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arcoPiccoli\Desktop\A.C. Cell\1 - Sito anno 2021\Codice ID - Fondi Comuni #1   (522)\"/>
    </mc:Choice>
  </mc:AlternateContent>
  <bookViews>
    <workbookView xWindow="240" yWindow="375" windowWidth="18840" windowHeight="12270" tabRatio="843"/>
  </bookViews>
  <sheets>
    <sheet name="Presentazione" sheetId="8" r:id="rId1"/>
    <sheet name="ENTI" sheetId="12" r:id="rId2"/>
    <sheet name="COSTI" sheetId="10" r:id="rId3"/>
    <sheet name="RIPARTIZIONI" sheetId="16" r:id="rId4"/>
    <sheet name="PATRIMONIALE" sheetId="11" r:id="rId5"/>
    <sheet name="REPORT" sheetId="13" r:id="rId6"/>
    <sheet name="ESTRATTO CONTO" sheetId="14" r:id="rId7"/>
    <sheet name="RENDICONTO" sheetId="17" r:id="rId8"/>
    <sheet name="CIRCOLARI" sheetId="18" r:id="rId9"/>
  </sheets>
  <definedNames>
    <definedName name="_xlnm._FilterDatabase" localSheetId="8" hidden="1">CIRCOLARI!$B$2:$P$3</definedName>
    <definedName name="_xlnm._FilterDatabase" localSheetId="2" hidden="1">COSTI!$V$3:$AC$1003</definedName>
    <definedName name="_xlnm._FilterDatabase" localSheetId="1" hidden="1">ENTI!$V$3:$AQ$1003</definedName>
    <definedName name="_xlnm._FilterDatabase" localSheetId="6" hidden="1">'ESTRATTO CONTO'!$C$5:$L$5</definedName>
    <definedName name="_xlnm._FilterDatabase" localSheetId="4" hidden="1">PATRIMONIALE!$V$3:$AP$3</definedName>
    <definedName name="_xlnm._FilterDatabase" localSheetId="0" hidden="1">Presentazione!$C$32:$C$35</definedName>
    <definedName name="_xlnm._FilterDatabase" localSheetId="7" hidden="1">RENDICONTO!$B$2:$P$3</definedName>
    <definedName name="_xlnm._FilterDatabase" localSheetId="5" hidden="1">REPORT!$A$59:$S$78</definedName>
    <definedName name="_xlnm._FilterDatabase" localSheetId="3" hidden="1">RIPARTIZIONI!#REF!</definedName>
    <definedName name="_xlnm.Print_Area" localSheetId="8">CIRCOLARI!$C$6:$N$65</definedName>
    <definedName name="_xlnm.Print_Area" localSheetId="2">COSTI!$A$4:$T$141,COSTI!$V$1:$AC$1006</definedName>
    <definedName name="_xlnm.Print_Area" localSheetId="1">ENTI!$A$4:$T$32,ENTI!$V$1:$AQ$1007</definedName>
    <definedName name="_xlnm.Print_Area" localSheetId="6">'ESTRATTO CONTO'!$C$2:$L$1015</definedName>
    <definedName name="_xlnm.Print_Area" localSheetId="4">PATRIMONIALE!$A$4:$T$62,PATRIMONIALE!$V$1:$AF$1006,PATRIMONIALE!$AL$1:$AP$1006</definedName>
    <definedName name="_xlnm.Print_Area" localSheetId="0">Presentazione!$B$2:$L$155</definedName>
    <definedName name="_xlnm.Print_Area" localSheetId="7">RENDICONTO!$B$7:$P$43,RENDICONTO!$B$47:$P$123</definedName>
    <definedName name="_xlnm.Print_Area" localSheetId="5">REPORT!$A$3:$T$82</definedName>
    <definedName name="_xlnm.Print_Area" localSheetId="3">RIPARTIZIONI!$A$5:$T$59</definedName>
    <definedName name="_xlnm.Print_Titles" localSheetId="6">'ESTRATTO CONTO'!$2:$5</definedName>
  </definedNames>
  <calcPr calcId="152511"/>
</workbook>
</file>

<file path=xl/calcChain.xml><?xml version="1.0" encoding="utf-8"?>
<calcChain xmlns="http://schemas.openxmlformats.org/spreadsheetml/2006/main">
  <c r="H12" i="16" l="1"/>
  <c r="G12" i="16"/>
  <c r="F12" i="16"/>
  <c r="I82" i="13" l="1"/>
  <c r="E93" i="8"/>
  <c r="I32" i="12" s="1"/>
  <c r="H101" i="8"/>
  <c r="A102" i="8" s="1"/>
  <c r="E92" i="8"/>
  <c r="I61" i="10" l="1"/>
  <c r="I62" i="11"/>
  <c r="G1015" i="14"/>
  <c r="F72" i="18" l="1"/>
  <c r="H72" i="18" s="1"/>
  <c r="F73" i="18"/>
  <c r="G73" i="18" s="1"/>
  <c r="F1013" i="10"/>
  <c r="B1013" i="10" s="1"/>
  <c r="F1014" i="10"/>
  <c r="B1014" i="10" s="1"/>
  <c r="E1013" i="10"/>
  <c r="E1014" i="10"/>
  <c r="G72" i="18" l="1"/>
  <c r="H73" i="18"/>
  <c r="B170" i="17"/>
  <c r="B168" i="17"/>
  <c r="B166" i="17"/>
  <c r="M58" i="17" l="1"/>
  <c r="B116" i="17" l="1"/>
  <c r="B117" i="17" s="1"/>
  <c r="B118" i="17" s="1"/>
  <c r="B119" i="17" s="1"/>
  <c r="B71" i="17"/>
  <c r="B72" i="17" s="1"/>
  <c r="B73" i="17" s="1"/>
  <c r="B74" i="17" s="1"/>
  <c r="B52" i="17"/>
  <c r="B53" i="17" s="1"/>
  <c r="B54" i="17" s="1"/>
  <c r="B55" i="17" s="1"/>
  <c r="B36" i="17"/>
  <c r="B37" i="17" s="1"/>
  <c r="B38" i="17" s="1"/>
  <c r="B39" i="17" s="1"/>
  <c r="F74" i="10" l="1"/>
  <c r="Z33" i="11" l="1"/>
  <c r="Z32" i="11"/>
  <c r="Z31" i="11"/>
  <c r="Z30" i="11"/>
  <c r="Z29" i="11"/>
  <c r="Z28" i="11"/>
  <c r="Z27" i="11"/>
  <c r="Z26" i="11"/>
  <c r="Z25" i="11"/>
  <c r="Z24" i="11"/>
  <c r="Z23" i="11"/>
  <c r="Z22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5" i="11"/>
  <c r="W33" i="10"/>
  <c r="W32" i="10"/>
  <c r="W31" i="10"/>
  <c r="W30" i="10"/>
  <c r="W30" i="11" s="1"/>
  <c r="W29" i="10"/>
  <c r="W29" i="11" s="1"/>
  <c r="W28" i="10"/>
  <c r="W27" i="10"/>
  <c r="W26" i="10"/>
  <c r="W26" i="11" s="1"/>
  <c r="W25" i="10"/>
  <c r="W24" i="10"/>
  <c r="W24" i="11" s="1"/>
  <c r="W23" i="10"/>
  <c r="W23" i="11" s="1"/>
  <c r="W22" i="10"/>
  <c r="W21" i="10"/>
  <c r="W20" i="10"/>
  <c r="W19" i="10"/>
  <c r="W19" i="11" s="1"/>
  <c r="W18" i="10"/>
  <c r="W18" i="11" s="1"/>
  <c r="W17" i="10"/>
  <c r="W16" i="10"/>
  <c r="W15" i="10"/>
  <c r="W15" i="11" s="1"/>
  <c r="W14" i="10"/>
  <c r="W14" i="11" s="1"/>
  <c r="W13" i="10"/>
  <c r="W12" i="10"/>
  <c r="W11" i="10"/>
  <c r="W10" i="10"/>
  <c r="W10" i="11" s="1"/>
  <c r="W9" i="10"/>
  <c r="W8" i="10"/>
  <c r="W8" i="11" s="1"/>
  <c r="W7" i="10"/>
  <c r="W7" i="11" s="1"/>
  <c r="W6" i="10"/>
  <c r="W6" i="11" s="1"/>
  <c r="W5" i="10"/>
  <c r="W5" i="11" s="1"/>
  <c r="W4" i="10"/>
  <c r="W9" i="11" l="1"/>
  <c r="W13" i="11"/>
  <c r="W17" i="11"/>
  <c r="W21" i="11"/>
  <c r="W25" i="11"/>
  <c r="W33" i="11"/>
  <c r="W11" i="11"/>
  <c r="W27" i="11"/>
  <c r="W31" i="11"/>
  <c r="W4" i="11"/>
  <c r="W12" i="11"/>
  <c r="W16" i="11"/>
  <c r="W20" i="11"/>
  <c r="W28" i="11"/>
  <c r="W32" i="11"/>
  <c r="W22" i="11"/>
  <c r="J112" i="8"/>
  <c r="C123" i="8"/>
  <c r="C124" i="8"/>
  <c r="C122" i="8"/>
  <c r="C120" i="8"/>
  <c r="C121" i="8"/>
  <c r="C119" i="8"/>
  <c r="C117" i="8"/>
  <c r="C118" i="8"/>
  <c r="C116" i="8"/>
  <c r="C114" i="8"/>
  <c r="C115" i="8"/>
  <c r="C113" i="8"/>
  <c r="E114" i="8"/>
  <c r="E115" i="8"/>
  <c r="E116" i="8"/>
  <c r="E117" i="8"/>
  <c r="E118" i="8"/>
  <c r="E119" i="8"/>
  <c r="E120" i="8"/>
  <c r="E121" i="8"/>
  <c r="E122" i="8"/>
  <c r="E123" i="8"/>
  <c r="E124" i="8"/>
  <c r="E113" i="8"/>
  <c r="H125" i="8" l="1"/>
  <c r="F125" i="8"/>
  <c r="G125" i="8"/>
  <c r="F33" i="17"/>
  <c r="I33" i="17"/>
  <c r="K125" i="8" l="1"/>
  <c r="N54" i="13"/>
  <c r="J54" i="13"/>
  <c r="F54" i="13"/>
  <c r="I116" i="18"/>
  <c r="I112" i="18"/>
  <c r="I110" i="18"/>
  <c r="I108" i="18"/>
  <c r="I107" i="18"/>
  <c r="I105" i="18"/>
  <c r="I99" i="18"/>
  <c r="I95" i="18"/>
  <c r="I91" i="18"/>
  <c r="I90" i="18"/>
  <c r="I89" i="18"/>
  <c r="I88" i="18"/>
  <c r="I84" i="18"/>
  <c r="I80" i="18"/>
  <c r="I76" i="18"/>
  <c r="I74" i="18"/>
  <c r="I72" i="18"/>
  <c r="I71" i="18"/>
  <c r="M88" i="17"/>
  <c r="H88" i="17"/>
  <c r="C88" i="17"/>
  <c r="M67" i="17"/>
  <c r="M66" i="17"/>
  <c r="M10" i="17" l="1"/>
  <c r="O52" i="11"/>
  <c r="H4195" i="14" s="1"/>
  <c r="O51" i="11"/>
  <c r="H4194" i="14" s="1"/>
  <c r="O50" i="11"/>
  <c r="H4193" i="14" s="1"/>
  <c r="P35" i="16" l="1"/>
  <c r="C1073" i="11"/>
  <c r="AB1003" i="12" l="1"/>
  <c r="AB1002" i="12"/>
  <c r="AB1001" i="12"/>
  <c r="AB1000" i="12"/>
  <c r="AB999" i="12"/>
  <c r="AB998" i="12"/>
  <c r="AB997" i="12"/>
  <c r="AB996" i="12"/>
  <c r="AB995" i="12"/>
  <c r="AB994" i="12"/>
  <c r="AB993" i="12"/>
  <c r="AB992" i="12"/>
  <c r="AB991" i="12"/>
  <c r="AB990" i="12"/>
  <c r="AB989" i="12"/>
  <c r="AB988" i="12"/>
  <c r="AB987" i="12"/>
  <c r="AB986" i="12"/>
  <c r="AB985" i="12"/>
  <c r="AB984" i="12"/>
  <c r="AB983" i="12"/>
  <c r="AB982" i="12"/>
  <c r="AB981" i="12"/>
  <c r="AB980" i="12"/>
  <c r="AB979" i="12"/>
  <c r="AB978" i="12"/>
  <c r="AB977" i="12"/>
  <c r="AB976" i="12"/>
  <c r="AB975" i="12"/>
  <c r="AB974" i="12"/>
  <c r="AB973" i="12"/>
  <c r="AB972" i="12"/>
  <c r="AB971" i="12"/>
  <c r="AB970" i="12"/>
  <c r="AB969" i="12"/>
  <c r="AB968" i="12"/>
  <c r="AB967" i="12"/>
  <c r="AB966" i="12"/>
  <c r="AB965" i="12"/>
  <c r="AB964" i="12"/>
  <c r="AB963" i="12"/>
  <c r="AB962" i="12"/>
  <c r="AB961" i="12"/>
  <c r="AB960" i="12"/>
  <c r="AB959" i="12"/>
  <c r="AB958" i="12"/>
  <c r="AB957" i="12"/>
  <c r="AB956" i="12"/>
  <c r="AB955" i="12"/>
  <c r="AB954" i="12"/>
  <c r="AB953" i="12"/>
  <c r="AB952" i="12"/>
  <c r="AB951" i="12"/>
  <c r="AB950" i="12"/>
  <c r="AB949" i="12"/>
  <c r="AB948" i="12"/>
  <c r="AB947" i="12"/>
  <c r="AB946" i="12"/>
  <c r="AB945" i="12"/>
  <c r="AB944" i="12"/>
  <c r="AB943" i="12"/>
  <c r="AB942" i="12"/>
  <c r="AB941" i="12"/>
  <c r="AB940" i="12"/>
  <c r="AB939" i="12"/>
  <c r="AB938" i="12"/>
  <c r="AB937" i="12"/>
  <c r="AB936" i="12"/>
  <c r="AB935" i="12"/>
  <c r="AB934" i="12"/>
  <c r="AB933" i="12"/>
  <c r="AB932" i="12"/>
  <c r="AB931" i="12"/>
  <c r="AB930" i="12"/>
  <c r="AB929" i="12"/>
  <c r="AB928" i="12"/>
  <c r="AB927" i="12"/>
  <c r="AB926" i="12"/>
  <c r="AB925" i="12"/>
  <c r="AB924" i="12"/>
  <c r="AB923" i="12"/>
  <c r="AB922" i="12"/>
  <c r="AB921" i="12"/>
  <c r="AB920" i="12"/>
  <c r="AB919" i="12"/>
  <c r="AB918" i="12"/>
  <c r="AB917" i="12"/>
  <c r="AB916" i="12"/>
  <c r="AB915" i="12"/>
  <c r="AB914" i="12"/>
  <c r="AB913" i="12"/>
  <c r="AB912" i="12"/>
  <c r="AB911" i="12"/>
  <c r="AB910" i="12"/>
  <c r="AB909" i="12"/>
  <c r="AB908" i="12"/>
  <c r="AB907" i="12"/>
  <c r="AB906" i="12"/>
  <c r="AB905" i="12"/>
  <c r="AB904" i="12"/>
  <c r="AB903" i="12"/>
  <c r="AB902" i="12"/>
  <c r="AB901" i="12"/>
  <c r="AB900" i="12"/>
  <c r="AB899" i="12"/>
  <c r="AB898" i="12"/>
  <c r="AB897" i="12"/>
  <c r="AB896" i="12"/>
  <c r="AB895" i="12"/>
  <c r="AB894" i="12"/>
  <c r="AB893" i="12"/>
  <c r="AB892" i="12"/>
  <c r="AB891" i="12"/>
  <c r="AB890" i="12"/>
  <c r="AB889" i="12"/>
  <c r="AB888" i="12"/>
  <c r="AB887" i="12"/>
  <c r="AB886" i="12"/>
  <c r="AB885" i="12"/>
  <c r="AB884" i="12"/>
  <c r="AB883" i="12"/>
  <c r="AB882" i="12"/>
  <c r="AB881" i="12"/>
  <c r="AB880" i="12"/>
  <c r="AB879" i="12"/>
  <c r="AB878" i="12"/>
  <c r="AB877" i="12"/>
  <c r="AB876" i="12"/>
  <c r="AB875" i="12"/>
  <c r="AB874" i="12"/>
  <c r="AB873" i="12"/>
  <c r="AB872" i="12"/>
  <c r="AB871" i="12"/>
  <c r="AB870" i="12"/>
  <c r="AB869" i="12"/>
  <c r="AB868" i="12"/>
  <c r="AB867" i="12"/>
  <c r="AB866" i="12"/>
  <c r="AB865" i="12"/>
  <c r="AB864" i="12"/>
  <c r="AB863" i="12"/>
  <c r="AB862" i="12"/>
  <c r="AB861" i="12"/>
  <c r="AB860" i="12"/>
  <c r="AB859" i="12"/>
  <c r="AB858" i="12"/>
  <c r="AB857" i="12"/>
  <c r="AB856" i="12"/>
  <c r="AB855" i="12"/>
  <c r="AB854" i="12"/>
  <c r="AB853" i="12"/>
  <c r="AB852" i="12"/>
  <c r="AB851" i="12"/>
  <c r="AB850" i="12"/>
  <c r="AB849" i="12"/>
  <c r="AB848" i="12"/>
  <c r="AB847" i="12"/>
  <c r="AB846" i="12"/>
  <c r="AB845" i="12"/>
  <c r="AB844" i="12"/>
  <c r="AB843" i="12"/>
  <c r="AB842" i="12"/>
  <c r="AB841" i="12"/>
  <c r="AB840" i="12"/>
  <c r="AB839" i="12"/>
  <c r="AB838" i="12"/>
  <c r="AB837" i="12"/>
  <c r="AB836" i="12"/>
  <c r="AB835" i="12"/>
  <c r="AB834" i="12"/>
  <c r="AB833" i="12"/>
  <c r="AB832" i="12"/>
  <c r="AB831" i="12"/>
  <c r="AB830" i="12"/>
  <c r="AB829" i="12"/>
  <c r="AB828" i="12"/>
  <c r="AB827" i="12"/>
  <c r="AB826" i="12"/>
  <c r="AB825" i="12"/>
  <c r="AB824" i="12"/>
  <c r="AB823" i="12"/>
  <c r="AB822" i="12"/>
  <c r="AB821" i="12"/>
  <c r="AB820" i="12"/>
  <c r="AB819" i="12"/>
  <c r="AB818" i="12"/>
  <c r="AB817" i="12"/>
  <c r="AB816" i="12"/>
  <c r="AB815" i="12"/>
  <c r="AB814" i="12"/>
  <c r="AB813" i="12"/>
  <c r="AB812" i="12"/>
  <c r="AB811" i="12"/>
  <c r="AB810" i="12"/>
  <c r="AB809" i="12"/>
  <c r="AB808" i="12"/>
  <c r="AB807" i="12"/>
  <c r="AB806" i="12"/>
  <c r="AB805" i="12"/>
  <c r="AB804" i="12"/>
  <c r="AB803" i="12"/>
  <c r="AB802" i="12"/>
  <c r="AB801" i="12"/>
  <c r="AB800" i="12"/>
  <c r="AB799" i="12"/>
  <c r="AB798" i="12"/>
  <c r="AB797" i="12"/>
  <c r="AB796" i="12"/>
  <c r="AB795" i="12"/>
  <c r="AB794" i="12"/>
  <c r="AB793" i="12"/>
  <c r="AB792" i="12"/>
  <c r="AB791" i="12"/>
  <c r="AB790" i="12"/>
  <c r="AB789" i="12"/>
  <c r="AB788" i="12"/>
  <c r="AB787" i="12"/>
  <c r="AB786" i="12"/>
  <c r="AB785" i="12"/>
  <c r="AB784" i="12"/>
  <c r="AB783" i="12"/>
  <c r="AB782" i="12"/>
  <c r="AB781" i="12"/>
  <c r="AB780" i="12"/>
  <c r="AB779" i="12"/>
  <c r="AB778" i="12"/>
  <c r="AB777" i="12"/>
  <c r="AB776" i="12"/>
  <c r="AB775" i="12"/>
  <c r="AB774" i="12"/>
  <c r="AB773" i="12"/>
  <c r="AB772" i="12"/>
  <c r="AB771" i="12"/>
  <c r="AB770" i="12"/>
  <c r="AB769" i="12"/>
  <c r="AB768" i="12"/>
  <c r="AB767" i="12"/>
  <c r="AB766" i="12"/>
  <c r="AB765" i="12"/>
  <c r="AB764" i="12"/>
  <c r="AB763" i="12"/>
  <c r="AB762" i="12"/>
  <c r="AB761" i="12"/>
  <c r="AB760" i="12"/>
  <c r="AB759" i="12"/>
  <c r="AB758" i="12"/>
  <c r="AB757" i="12"/>
  <c r="AB756" i="12"/>
  <c r="AB755" i="12"/>
  <c r="AB754" i="12"/>
  <c r="AB753" i="12"/>
  <c r="AB752" i="12"/>
  <c r="AB751" i="12"/>
  <c r="AB750" i="12"/>
  <c r="AB749" i="12"/>
  <c r="AB748" i="12"/>
  <c r="AB747" i="12"/>
  <c r="AB746" i="12"/>
  <c r="AB745" i="12"/>
  <c r="AB744" i="12"/>
  <c r="AB743" i="12"/>
  <c r="AB742" i="12"/>
  <c r="AB741" i="12"/>
  <c r="AB740" i="12"/>
  <c r="AB739" i="12"/>
  <c r="AB738" i="12"/>
  <c r="AB737" i="12"/>
  <c r="AB736" i="12"/>
  <c r="AB735" i="12"/>
  <c r="AB734" i="12"/>
  <c r="AB733" i="12"/>
  <c r="AB732" i="12"/>
  <c r="AB731" i="12"/>
  <c r="AB730" i="12"/>
  <c r="AB729" i="12"/>
  <c r="AB728" i="12"/>
  <c r="AB727" i="12"/>
  <c r="AB726" i="12"/>
  <c r="AB725" i="12"/>
  <c r="AB724" i="12"/>
  <c r="AB723" i="12"/>
  <c r="AB722" i="12"/>
  <c r="AB721" i="12"/>
  <c r="AB720" i="12"/>
  <c r="AB719" i="12"/>
  <c r="AB718" i="12"/>
  <c r="AB717" i="12"/>
  <c r="AB716" i="12"/>
  <c r="AB715" i="12"/>
  <c r="AB714" i="12"/>
  <c r="AB713" i="12"/>
  <c r="AB712" i="12"/>
  <c r="AB711" i="12"/>
  <c r="AB710" i="12"/>
  <c r="AB709" i="12"/>
  <c r="AB708" i="12"/>
  <c r="AB707" i="12"/>
  <c r="AB706" i="12"/>
  <c r="AB705" i="12"/>
  <c r="AB704" i="12"/>
  <c r="AB703" i="12"/>
  <c r="AB702" i="12"/>
  <c r="AB701" i="12"/>
  <c r="AB700" i="12"/>
  <c r="AB699" i="12"/>
  <c r="AB698" i="12"/>
  <c r="AB697" i="12"/>
  <c r="AB696" i="12"/>
  <c r="AB695" i="12"/>
  <c r="AB694" i="12"/>
  <c r="AB693" i="12"/>
  <c r="AB692" i="12"/>
  <c r="AB691" i="12"/>
  <c r="AB690" i="12"/>
  <c r="AB689" i="12"/>
  <c r="AB688" i="12"/>
  <c r="AB687" i="12"/>
  <c r="AB686" i="12"/>
  <c r="AB685" i="12"/>
  <c r="AB684" i="12"/>
  <c r="AB683" i="12"/>
  <c r="AB682" i="12"/>
  <c r="AB681" i="12"/>
  <c r="AB680" i="12"/>
  <c r="AB679" i="12"/>
  <c r="AB678" i="12"/>
  <c r="AB677" i="12"/>
  <c r="AB676" i="12"/>
  <c r="AB675" i="12"/>
  <c r="AB674" i="12"/>
  <c r="AB673" i="12"/>
  <c r="AB672" i="12"/>
  <c r="AB671" i="12"/>
  <c r="AB670" i="12"/>
  <c r="AB669" i="12"/>
  <c r="AB668" i="12"/>
  <c r="AB667" i="12"/>
  <c r="AB666" i="12"/>
  <c r="AB665" i="12"/>
  <c r="AB664" i="12"/>
  <c r="AB663" i="12"/>
  <c r="AB662" i="12"/>
  <c r="AB661" i="12"/>
  <c r="AB660" i="12"/>
  <c r="AB659" i="12"/>
  <c r="AB658" i="12"/>
  <c r="AB657" i="12"/>
  <c r="AB656" i="12"/>
  <c r="AB655" i="12"/>
  <c r="AB654" i="12"/>
  <c r="AB653" i="12"/>
  <c r="AB652" i="12"/>
  <c r="AB651" i="12"/>
  <c r="AB650" i="12"/>
  <c r="AB649" i="12"/>
  <c r="AB648" i="12"/>
  <c r="AB647" i="12"/>
  <c r="AB646" i="12"/>
  <c r="AB645" i="12"/>
  <c r="AB644" i="12"/>
  <c r="AB643" i="12"/>
  <c r="AB642" i="12"/>
  <c r="AB641" i="12"/>
  <c r="AB640" i="12"/>
  <c r="AB639" i="12"/>
  <c r="AB638" i="12"/>
  <c r="AB637" i="12"/>
  <c r="AB636" i="12"/>
  <c r="AB635" i="12"/>
  <c r="AB634" i="12"/>
  <c r="AB633" i="12"/>
  <c r="AB632" i="12"/>
  <c r="AB631" i="12"/>
  <c r="AB630" i="12"/>
  <c r="AB629" i="12"/>
  <c r="AB628" i="12"/>
  <c r="AB627" i="12"/>
  <c r="AB626" i="12"/>
  <c r="AB625" i="12"/>
  <c r="AB624" i="12"/>
  <c r="AB623" i="12"/>
  <c r="AB622" i="12"/>
  <c r="AB621" i="12"/>
  <c r="AB620" i="12"/>
  <c r="AB619" i="12"/>
  <c r="AB618" i="12"/>
  <c r="AB617" i="12"/>
  <c r="AB616" i="12"/>
  <c r="AB615" i="12"/>
  <c r="AB614" i="12"/>
  <c r="AB613" i="12"/>
  <c r="AB612" i="12"/>
  <c r="AB611" i="12"/>
  <c r="AB610" i="12"/>
  <c r="AB609" i="12"/>
  <c r="AB608" i="12"/>
  <c r="AB607" i="12"/>
  <c r="AB606" i="12"/>
  <c r="AB605" i="12"/>
  <c r="AB604" i="12"/>
  <c r="AB603" i="12"/>
  <c r="AB602" i="12"/>
  <c r="AB601" i="12"/>
  <c r="AB600" i="12"/>
  <c r="AB599" i="12"/>
  <c r="AB598" i="12"/>
  <c r="AB597" i="12"/>
  <c r="AB596" i="12"/>
  <c r="AB595" i="12"/>
  <c r="AB594" i="12"/>
  <c r="AB593" i="12"/>
  <c r="AB592" i="12"/>
  <c r="AB591" i="12"/>
  <c r="AB590" i="12"/>
  <c r="AB589" i="12"/>
  <c r="AB588" i="12"/>
  <c r="AB587" i="12"/>
  <c r="AB586" i="12"/>
  <c r="AB585" i="12"/>
  <c r="AB584" i="12"/>
  <c r="AB583" i="12"/>
  <c r="AB582" i="12"/>
  <c r="AB581" i="12"/>
  <c r="AB580" i="12"/>
  <c r="AB579" i="12"/>
  <c r="AB578" i="12"/>
  <c r="AB577" i="12"/>
  <c r="AB576" i="12"/>
  <c r="AB575" i="12"/>
  <c r="AB574" i="12"/>
  <c r="AB573" i="12"/>
  <c r="AB572" i="12"/>
  <c r="AB571" i="12"/>
  <c r="AB570" i="12"/>
  <c r="AB569" i="12"/>
  <c r="AB568" i="12"/>
  <c r="AB567" i="12"/>
  <c r="AB566" i="12"/>
  <c r="AB565" i="12"/>
  <c r="AB564" i="12"/>
  <c r="AB563" i="12"/>
  <c r="AB562" i="12"/>
  <c r="AB561" i="12"/>
  <c r="AB560" i="12"/>
  <c r="AB559" i="12"/>
  <c r="AB558" i="12"/>
  <c r="AB557" i="12"/>
  <c r="AB556" i="12"/>
  <c r="AB555" i="12"/>
  <c r="AB554" i="12"/>
  <c r="AB553" i="12"/>
  <c r="AB552" i="12"/>
  <c r="AB551" i="12"/>
  <c r="AB550" i="12"/>
  <c r="AB549" i="12"/>
  <c r="AB548" i="12"/>
  <c r="AB547" i="12"/>
  <c r="AB546" i="12"/>
  <c r="AB545" i="12"/>
  <c r="AB544" i="12"/>
  <c r="AB543" i="12"/>
  <c r="AB542" i="12"/>
  <c r="AB541" i="12"/>
  <c r="AB540" i="12"/>
  <c r="AB539" i="12"/>
  <c r="AB538" i="12"/>
  <c r="AB537" i="12"/>
  <c r="AB536" i="12"/>
  <c r="AB535" i="12"/>
  <c r="AB534" i="12"/>
  <c r="AB533" i="12"/>
  <c r="AB532" i="12"/>
  <c r="AB531" i="12"/>
  <c r="AB530" i="12"/>
  <c r="AB529" i="12"/>
  <c r="AB528" i="12"/>
  <c r="AB527" i="12"/>
  <c r="AB526" i="12"/>
  <c r="AB525" i="12"/>
  <c r="AB524" i="12"/>
  <c r="AB523" i="12"/>
  <c r="AB522" i="12"/>
  <c r="AB521" i="12"/>
  <c r="AB520" i="12"/>
  <c r="AB519" i="12"/>
  <c r="AB518" i="12"/>
  <c r="AB517" i="12"/>
  <c r="AB516" i="12"/>
  <c r="AB515" i="12"/>
  <c r="AB514" i="12"/>
  <c r="AB513" i="12"/>
  <c r="AB512" i="12"/>
  <c r="AB511" i="12"/>
  <c r="AB510" i="12"/>
  <c r="AB509" i="12"/>
  <c r="AB508" i="12"/>
  <c r="AB507" i="12"/>
  <c r="AB506" i="12"/>
  <c r="AB505" i="12"/>
  <c r="AB504" i="12"/>
  <c r="AB503" i="12"/>
  <c r="AB502" i="12"/>
  <c r="AB501" i="12"/>
  <c r="AB500" i="12"/>
  <c r="AB499" i="12"/>
  <c r="AB498" i="12"/>
  <c r="AB497" i="12"/>
  <c r="AB496" i="12"/>
  <c r="AB495" i="12"/>
  <c r="AB494" i="12"/>
  <c r="AB493" i="12"/>
  <c r="AB492" i="12"/>
  <c r="AB491" i="12"/>
  <c r="AB490" i="12"/>
  <c r="AB489" i="12"/>
  <c r="AB488" i="12"/>
  <c r="AB487" i="12"/>
  <c r="AB486" i="12"/>
  <c r="AB485" i="12"/>
  <c r="AB484" i="12"/>
  <c r="AB483" i="12"/>
  <c r="AB482" i="12"/>
  <c r="AB481" i="12"/>
  <c r="AB480" i="12"/>
  <c r="AB479" i="12"/>
  <c r="AB478" i="12"/>
  <c r="AB477" i="12"/>
  <c r="AB476" i="12"/>
  <c r="AB475" i="12"/>
  <c r="AB474" i="12"/>
  <c r="AB473" i="12"/>
  <c r="AB472" i="12"/>
  <c r="AB471" i="12"/>
  <c r="AB470" i="12"/>
  <c r="AB469" i="12"/>
  <c r="AB468" i="12"/>
  <c r="AB467" i="12"/>
  <c r="AB466" i="12"/>
  <c r="AB465" i="12"/>
  <c r="AB464" i="12"/>
  <c r="AB463" i="12"/>
  <c r="AB462" i="12"/>
  <c r="AB461" i="12"/>
  <c r="AB460" i="12"/>
  <c r="AB459" i="12"/>
  <c r="AB458" i="12"/>
  <c r="AB457" i="12"/>
  <c r="AB456" i="12"/>
  <c r="AB455" i="12"/>
  <c r="AB454" i="12"/>
  <c r="AB453" i="12"/>
  <c r="AB452" i="12"/>
  <c r="AB451" i="12"/>
  <c r="AB450" i="12"/>
  <c r="AB449" i="12"/>
  <c r="AB448" i="12"/>
  <c r="AB447" i="12"/>
  <c r="AB446" i="12"/>
  <c r="AB445" i="12"/>
  <c r="AB444" i="12"/>
  <c r="AB443" i="12"/>
  <c r="AB442" i="12"/>
  <c r="AB441" i="12"/>
  <c r="AB440" i="12"/>
  <c r="AB439" i="12"/>
  <c r="AB438" i="12"/>
  <c r="AB437" i="12"/>
  <c r="AB436" i="12"/>
  <c r="AB435" i="12"/>
  <c r="AB434" i="12"/>
  <c r="AB433" i="12"/>
  <c r="AB432" i="12"/>
  <c r="AB431" i="12"/>
  <c r="AB430" i="12"/>
  <c r="AB429" i="12"/>
  <c r="AB428" i="12"/>
  <c r="AB427" i="12"/>
  <c r="AB426" i="12"/>
  <c r="AB425" i="12"/>
  <c r="AB424" i="12"/>
  <c r="AB423" i="12"/>
  <c r="AB422" i="12"/>
  <c r="AB421" i="12"/>
  <c r="AB420" i="12"/>
  <c r="AB419" i="12"/>
  <c r="AB418" i="12"/>
  <c r="AB417" i="12"/>
  <c r="AB416" i="12"/>
  <c r="AB415" i="12"/>
  <c r="AB414" i="12"/>
  <c r="AB413" i="12"/>
  <c r="AB412" i="12"/>
  <c r="AB411" i="12"/>
  <c r="AB410" i="12"/>
  <c r="AB409" i="12"/>
  <c r="AB408" i="12"/>
  <c r="AB407" i="12"/>
  <c r="AB406" i="12"/>
  <c r="AB405" i="12"/>
  <c r="AB404" i="12"/>
  <c r="AB403" i="12"/>
  <c r="AB402" i="12"/>
  <c r="AB401" i="12"/>
  <c r="AB400" i="12"/>
  <c r="AB399" i="12"/>
  <c r="AB398" i="12"/>
  <c r="AB397" i="12"/>
  <c r="AB396" i="12"/>
  <c r="AB395" i="12"/>
  <c r="AB394" i="12"/>
  <c r="AB393" i="12"/>
  <c r="AB392" i="12"/>
  <c r="AB391" i="12"/>
  <c r="AB390" i="12"/>
  <c r="AB389" i="12"/>
  <c r="AB388" i="12"/>
  <c r="AB387" i="12"/>
  <c r="AB386" i="12"/>
  <c r="AB385" i="12"/>
  <c r="AB384" i="12"/>
  <c r="AB383" i="12"/>
  <c r="AB382" i="12"/>
  <c r="AB381" i="12"/>
  <c r="AB380" i="12"/>
  <c r="AB379" i="12"/>
  <c r="AB378" i="12"/>
  <c r="AB377" i="12"/>
  <c r="AB376" i="12"/>
  <c r="AB375" i="12"/>
  <c r="AB374" i="12"/>
  <c r="AB373" i="12"/>
  <c r="AB372" i="12"/>
  <c r="AB371" i="12"/>
  <c r="AB370" i="12"/>
  <c r="AB369" i="12"/>
  <c r="AB368" i="12"/>
  <c r="AB367" i="12"/>
  <c r="AB366" i="12"/>
  <c r="AB365" i="12"/>
  <c r="AB364" i="12"/>
  <c r="AB363" i="12"/>
  <c r="AB362" i="12"/>
  <c r="AB361" i="12"/>
  <c r="AB360" i="12"/>
  <c r="AB359" i="12"/>
  <c r="AB358" i="12"/>
  <c r="AB357" i="12"/>
  <c r="AB356" i="12"/>
  <c r="AB355" i="12"/>
  <c r="AB354" i="12"/>
  <c r="AB353" i="12"/>
  <c r="AB352" i="12"/>
  <c r="AB351" i="12"/>
  <c r="AB350" i="12"/>
  <c r="AB349" i="12"/>
  <c r="AB348" i="12"/>
  <c r="AB347" i="12"/>
  <c r="AB346" i="12"/>
  <c r="AB345" i="12"/>
  <c r="AB344" i="12"/>
  <c r="AB343" i="12"/>
  <c r="AB342" i="12"/>
  <c r="AB341" i="12"/>
  <c r="AB340" i="12"/>
  <c r="AB339" i="12"/>
  <c r="AB338" i="12"/>
  <c r="AB337" i="12"/>
  <c r="AB336" i="12"/>
  <c r="AB335" i="12"/>
  <c r="AB334" i="12"/>
  <c r="AB333" i="12"/>
  <c r="AB332" i="12"/>
  <c r="AB331" i="12"/>
  <c r="AB330" i="12"/>
  <c r="AB329" i="12"/>
  <c r="AB328" i="12"/>
  <c r="AB327" i="12"/>
  <c r="AB326" i="12"/>
  <c r="AB325" i="12"/>
  <c r="AB324" i="12"/>
  <c r="AB323" i="12"/>
  <c r="AB322" i="12"/>
  <c r="AB321" i="12"/>
  <c r="AB320" i="12"/>
  <c r="AB319" i="12"/>
  <c r="AB318" i="12"/>
  <c r="AB317" i="12"/>
  <c r="AB316" i="12"/>
  <c r="AB315" i="12"/>
  <c r="AB314" i="12"/>
  <c r="AB313" i="12"/>
  <c r="AB312" i="12"/>
  <c r="AB311" i="12"/>
  <c r="AB310" i="12"/>
  <c r="AB309" i="12"/>
  <c r="AB308" i="12"/>
  <c r="AB307" i="12"/>
  <c r="AB306" i="12"/>
  <c r="AB305" i="12"/>
  <c r="AB304" i="12"/>
  <c r="AB303" i="12"/>
  <c r="AB302" i="12"/>
  <c r="AB301" i="12"/>
  <c r="AB300" i="12"/>
  <c r="AB299" i="12"/>
  <c r="AB298" i="12"/>
  <c r="AB297" i="12"/>
  <c r="AB296" i="12"/>
  <c r="AB295" i="12"/>
  <c r="AB294" i="12"/>
  <c r="AB293" i="12"/>
  <c r="AB292" i="12"/>
  <c r="AB291" i="12"/>
  <c r="AB290" i="12"/>
  <c r="AB289" i="12"/>
  <c r="AB288" i="12"/>
  <c r="AB287" i="12"/>
  <c r="AB286" i="12"/>
  <c r="AB285" i="12"/>
  <c r="AB284" i="12"/>
  <c r="AB283" i="12"/>
  <c r="AB282" i="12"/>
  <c r="AB281" i="12"/>
  <c r="AB280" i="12"/>
  <c r="AB279" i="12"/>
  <c r="AB278" i="12"/>
  <c r="AB277" i="12"/>
  <c r="AB276" i="12"/>
  <c r="AB275" i="12"/>
  <c r="AB274" i="12"/>
  <c r="AB273" i="12"/>
  <c r="AB272" i="12"/>
  <c r="AB271" i="12"/>
  <c r="AB270" i="12"/>
  <c r="AB269" i="12"/>
  <c r="AB268" i="12"/>
  <c r="AB267" i="12"/>
  <c r="AB266" i="12"/>
  <c r="AB265" i="12"/>
  <c r="AB264" i="12"/>
  <c r="AB263" i="12"/>
  <c r="AB262" i="12"/>
  <c r="AB261" i="12"/>
  <c r="AB260" i="12"/>
  <c r="AB259" i="12"/>
  <c r="AB258" i="12"/>
  <c r="AB257" i="12"/>
  <c r="AB256" i="12"/>
  <c r="AB255" i="12"/>
  <c r="AB254" i="12"/>
  <c r="AB253" i="12"/>
  <c r="AB252" i="12"/>
  <c r="AB251" i="12"/>
  <c r="AB250" i="12"/>
  <c r="AB249" i="12"/>
  <c r="AB248" i="12"/>
  <c r="AB247" i="12"/>
  <c r="AB246" i="12"/>
  <c r="AB245" i="12"/>
  <c r="AB244" i="12"/>
  <c r="AB243" i="12"/>
  <c r="AB242" i="12"/>
  <c r="AB241" i="12"/>
  <c r="AB240" i="12"/>
  <c r="AB239" i="12"/>
  <c r="AB238" i="12"/>
  <c r="AB237" i="12"/>
  <c r="AB236" i="12"/>
  <c r="AB235" i="12"/>
  <c r="AB234" i="12"/>
  <c r="AB233" i="12"/>
  <c r="AB232" i="12"/>
  <c r="AB231" i="12"/>
  <c r="AB230" i="12"/>
  <c r="AB229" i="12"/>
  <c r="AB228" i="12"/>
  <c r="AB227" i="12"/>
  <c r="AB226" i="12"/>
  <c r="AB225" i="12"/>
  <c r="AB224" i="12"/>
  <c r="AB223" i="12"/>
  <c r="AB222" i="12"/>
  <c r="AB221" i="12"/>
  <c r="AB220" i="12"/>
  <c r="AB219" i="12"/>
  <c r="AB218" i="12"/>
  <c r="AB217" i="12"/>
  <c r="AB216" i="12"/>
  <c r="AB215" i="12"/>
  <c r="AB214" i="12"/>
  <c r="AB213" i="12"/>
  <c r="AB212" i="12"/>
  <c r="AB211" i="12"/>
  <c r="AB210" i="12"/>
  <c r="AB209" i="12"/>
  <c r="AB208" i="12"/>
  <c r="AB207" i="12"/>
  <c r="AB206" i="12"/>
  <c r="AB205" i="12"/>
  <c r="AB204" i="12"/>
  <c r="AB203" i="12"/>
  <c r="AB202" i="12"/>
  <c r="AB201" i="12"/>
  <c r="AB200" i="12"/>
  <c r="AB199" i="12"/>
  <c r="AB198" i="12"/>
  <c r="AB197" i="12"/>
  <c r="AB196" i="12"/>
  <c r="AB195" i="12"/>
  <c r="AB194" i="12"/>
  <c r="AB193" i="12"/>
  <c r="AB192" i="12"/>
  <c r="AB191" i="12"/>
  <c r="AB190" i="12"/>
  <c r="AB189" i="12"/>
  <c r="AB188" i="12"/>
  <c r="AB187" i="12"/>
  <c r="AB186" i="12"/>
  <c r="AB185" i="12"/>
  <c r="AB184" i="12"/>
  <c r="AB183" i="12"/>
  <c r="AB182" i="12"/>
  <c r="AB181" i="12"/>
  <c r="AB180" i="12"/>
  <c r="AB179" i="12"/>
  <c r="AB178" i="12"/>
  <c r="AB177" i="12"/>
  <c r="AB176" i="12"/>
  <c r="AB175" i="12"/>
  <c r="AB174" i="12"/>
  <c r="AB173" i="12"/>
  <c r="AB172" i="12"/>
  <c r="AB171" i="12"/>
  <c r="AB170" i="12"/>
  <c r="AB169" i="12"/>
  <c r="AB168" i="12"/>
  <c r="AB167" i="12"/>
  <c r="AB166" i="12"/>
  <c r="AB165" i="12"/>
  <c r="AB164" i="12"/>
  <c r="AB163" i="12"/>
  <c r="AB162" i="12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Z4" i="11" l="1"/>
  <c r="E44" i="11"/>
  <c r="E46" i="11" s="1"/>
  <c r="X1006" i="12" l="1"/>
  <c r="Z1012" i="12" l="1"/>
  <c r="Z1011" i="12"/>
  <c r="Z1010" i="12"/>
  <c r="Z1009" i="12"/>
  <c r="AC64" i="12" l="1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19" i="12"/>
  <c r="AC120" i="12"/>
  <c r="AC121" i="12"/>
  <c r="AC122" i="12"/>
  <c r="AC123" i="12"/>
  <c r="AC124" i="12"/>
  <c r="AC125" i="12"/>
  <c r="AC126" i="12"/>
  <c r="AC127" i="12"/>
  <c r="AC128" i="12"/>
  <c r="AC129" i="12"/>
  <c r="AC130" i="12"/>
  <c r="AC131" i="12"/>
  <c r="AC132" i="12"/>
  <c r="AC133" i="12"/>
  <c r="AC134" i="12"/>
  <c r="AC135" i="12"/>
  <c r="AC136" i="12"/>
  <c r="AC137" i="12"/>
  <c r="AC138" i="12"/>
  <c r="AC139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156" i="12"/>
  <c r="AC157" i="12"/>
  <c r="AC158" i="12"/>
  <c r="AC159" i="12"/>
  <c r="AC160" i="12"/>
  <c r="AC161" i="12"/>
  <c r="AC162" i="12"/>
  <c r="AC163" i="12"/>
  <c r="AC164" i="12"/>
  <c r="AC165" i="12"/>
  <c r="AC166" i="12"/>
  <c r="AC167" i="12"/>
  <c r="AC168" i="12"/>
  <c r="AC169" i="12"/>
  <c r="AC170" i="12"/>
  <c r="AC171" i="12"/>
  <c r="AC172" i="12"/>
  <c r="AC173" i="12"/>
  <c r="AC174" i="12"/>
  <c r="AC175" i="12"/>
  <c r="AC176" i="12"/>
  <c r="AC177" i="12"/>
  <c r="AC178" i="12"/>
  <c r="AC179" i="12"/>
  <c r="AC180" i="12"/>
  <c r="AC181" i="12"/>
  <c r="AC182" i="12"/>
  <c r="AC183" i="12"/>
  <c r="AC184" i="12"/>
  <c r="AC185" i="12"/>
  <c r="AC186" i="12"/>
  <c r="AC187" i="12"/>
  <c r="AC188" i="12"/>
  <c r="AC189" i="12"/>
  <c r="AC190" i="12"/>
  <c r="AC191" i="12"/>
  <c r="AC192" i="12"/>
  <c r="AC193" i="12"/>
  <c r="AC194" i="12"/>
  <c r="AC195" i="12"/>
  <c r="AC196" i="12"/>
  <c r="AC197" i="12"/>
  <c r="AC198" i="12"/>
  <c r="AC199" i="12"/>
  <c r="AC200" i="12"/>
  <c r="AC201" i="12"/>
  <c r="AC202" i="12"/>
  <c r="AC203" i="12"/>
  <c r="AC204" i="12"/>
  <c r="AC205" i="12"/>
  <c r="AC206" i="12"/>
  <c r="AC207" i="12"/>
  <c r="AC208" i="12"/>
  <c r="AC209" i="12"/>
  <c r="AC210" i="12"/>
  <c r="AC211" i="12"/>
  <c r="AC212" i="12"/>
  <c r="AC213" i="12"/>
  <c r="AC214" i="12"/>
  <c r="AC215" i="12"/>
  <c r="AC216" i="12"/>
  <c r="AC217" i="12"/>
  <c r="AC218" i="12"/>
  <c r="AC219" i="12"/>
  <c r="AC220" i="12"/>
  <c r="AC221" i="12"/>
  <c r="AC222" i="12"/>
  <c r="AC223" i="12"/>
  <c r="AC224" i="12"/>
  <c r="AC225" i="12"/>
  <c r="AC226" i="12"/>
  <c r="AC227" i="12"/>
  <c r="AC228" i="12"/>
  <c r="AC229" i="12"/>
  <c r="AC230" i="12"/>
  <c r="AC231" i="12"/>
  <c r="AC232" i="12"/>
  <c r="AC233" i="12"/>
  <c r="AC234" i="12"/>
  <c r="AC235" i="12"/>
  <c r="AC236" i="12"/>
  <c r="AC237" i="12"/>
  <c r="AC238" i="12"/>
  <c r="AC239" i="12"/>
  <c r="AC240" i="12"/>
  <c r="AC241" i="12"/>
  <c r="AC242" i="12"/>
  <c r="AC243" i="12"/>
  <c r="AC244" i="12"/>
  <c r="AC245" i="12"/>
  <c r="AC246" i="12"/>
  <c r="AC247" i="12"/>
  <c r="AC248" i="12"/>
  <c r="AC249" i="12"/>
  <c r="AC250" i="12"/>
  <c r="AC251" i="12"/>
  <c r="AC252" i="12"/>
  <c r="AC253" i="12"/>
  <c r="AC254" i="12"/>
  <c r="AC255" i="12"/>
  <c r="AC256" i="12"/>
  <c r="AC257" i="12"/>
  <c r="AC258" i="12"/>
  <c r="AC259" i="12"/>
  <c r="AC260" i="12"/>
  <c r="AC261" i="12"/>
  <c r="AC262" i="12"/>
  <c r="AC263" i="12"/>
  <c r="AC264" i="12"/>
  <c r="AC265" i="12"/>
  <c r="AC266" i="12"/>
  <c r="AC267" i="12"/>
  <c r="AC268" i="12"/>
  <c r="AC269" i="12"/>
  <c r="AC270" i="12"/>
  <c r="AC271" i="12"/>
  <c r="AC272" i="12"/>
  <c r="AC273" i="12"/>
  <c r="AC274" i="12"/>
  <c r="AC275" i="12"/>
  <c r="AC276" i="12"/>
  <c r="AC277" i="12"/>
  <c r="AC278" i="12"/>
  <c r="AC279" i="12"/>
  <c r="AC280" i="12"/>
  <c r="AC281" i="12"/>
  <c r="AC282" i="12"/>
  <c r="AC283" i="12"/>
  <c r="AC284" i="12"/>
  <c r="AC285" i="12"/>
  <c r="AC286" i="12"/>
  <c r="AC287" i="12"/>
  <c r="AC288" i="12"/>
  <c r="AC289" i="12"/>
  <c r="AC290" i="12"/>
  <c r="AC291" i="12"/>
  <c r="AC292" i="12"/>
  <c r="AC293" i="12"/>
  <c r="AC294" i="12"/>
  <c r="AC295" i="12"/>
  <c r="AC296" i="12"/>
  <c r="AC297" i="12"/>
  <c r="AC298" i="12"/>
  <c r="AC299" i="12"/>
  <c r="AC300" i="12"/>
  <c r="AC301" i="12"/>
  <c r="AC302" i="12"/>
  <c r="AC303" i="12"/>
  <c r="AC304" i="12"/>
  <c r="AC305" i="12"/>
  <c r="AC306" i="12"/>
  <c r="AC307" i="12"/>
  <c r="AC308" i="12"/>
  <c r="AC309" i="12"/>
  <c r="AC310" i="12"/>
  <c r="AC311" i="12"/>
  <c r="AC312" i="12"/>
  <c r="AC313" i="12"/>
  <c r="AC314" i="12"/>
  <c r="AC315" i="12"/>
  <c r="AC316" i="12"/>
  <c r="AC317" i="12"/>
  <c r="AC318" i="12"/>
  <c r="AC319" i="12"/>
  <c r="AC320" i="12"/>
  <c r="AC321" i="12"/>
  <c r="AC322" i="12"/>
  <c r="AC323" i="12"/>
  <c r="AC324" i="12"/>
  <c r="AC325" i="12"/>
  <c r="AC326" i="12"/>
  <c r="AC327" i="12"/>
  <c r="AC328" i="12"/>
  <c r="AC329" i="12"/>
  <c r="AC330" i="12"/>
  <c r="AC331" i="12"/>
  <c r="AC332" i="12"/>
  <c r="AC333" i="12"/>
  <c r="AC334" i="12"/>
  <c r="AC335" i="12"/>
  <c r="AC336" i="12"/>
  <c r="AC337" i="12"/>
  <c r="AC338" i="12"/>
  <c r="AC339" i="12"/>
  <c r="AC340" i="12"/>
  <c r="AC341" i="12"/>
  <c r="AC342" i="12"/>
  <c r="AC343" i="12"/>
  <c r="AC344" i="12"/>
  <c r="AC345" i="12"/>
  <c r="AC346" i="12"/>
  <c r="AC347" i="12"/>
  <c r="AC348" i="12"/>
  <c r="AC349" i="12"/>
  <c r="AC350" i="12"/>
  <c r="AC351" i="12"/>
  <c r="AC352" i="12"/>
  <c r="AC353" i="12"/>
  <c r="AC354" i="12"/>
  <c r="AC355" i="12"/>
  <c r="AC356" i="12"/>
  <c r="AC357" i="12"/>
  <c r="AC358" i="12"/>
  <c r="AC359" i="12"/>
  <c r="AC360" i="12"/>
  <c r="AC361" i="12"/>
  <c r="AC362" i="12"/>
  <c r="AC363" i="12"/>
  <c r="AC364" i="12"/>
  <c r="AC365" i="12"/>
  <c r="AC366" i="12"/>
  <c r="AC367" i="12"/>
  <c r="AC368" i="12"/>
  <c r="AC369" i="12"/>
  <c r="AC370" i="12"/>
  <c r="AC371" i="12"/>
  <c r="AC372" i="12"/>
  <c r="AC373" i="12"/>
  <c r="AC374" i="12"/>
  <c r="AC375" i="12"/>
  <c r="AC376" i="12"/>
  <c r="AC377" i="12"/>
  <c r="AC378" i="12"/>
  <c r="AC379" i="12"/>
  <c r="AC380" i="12"/>
  <c r="AC381" i="12"/>
  <c r="AC382" i="12"/>
  <c r="AC383" i="12"/>
  <c r="AC384" i="12"/>
  <c r="AC385" i="12"/>
  <c r="AC386" i="12"/>
  <c r="AC387" i="12"/>
  <c r="AC388" i="12"/>
  <c r="AC389" i="12"/>
  <c r="AC390" i="12"/>
  <c r="AC391" i="12"/>
  <c r="AC392" i="12"/>
  <c r="AC393" i="12"/>
  <c r="AC394" i="12"/>
  <c r="AC395" i="12"/>
  <c r="AC396" i="12"/>
  <c r="AC397" i="12"/>
  <c r="AC398" i="12"/>
  <c r="AC399" i="12"/>
  <c r="AC400" i="12"/>
  <c r="AC401" i="12"/>
  <c r="AC402" i="12"/>
  <c r="AC403" i="12"/>
  <c r="AC404" i="12"/>
  <c r="AC405" i="12"/>
  <c r="AC406" i="12"/>
  <c r="AC407" i="12"/>
  <c r="AC408" i="12"/>
  <c r="AC409" i="12"/>
  <c r="AC410" i="12"/>
  <c r="AC411" i="12"/>
  <c r="AC412" i="12"/>
  <c r="AC413" i="12"/>
  <c r="AC414" i="12"/>
  <c r="AC415" i="12"/>
  <c r="AC416" i="12"/>
  <c r="AC417" i="12"/>
  <c r="AC418" i="12"/>
  <c r="AC419" i="12"/>
  <c r="AC420" i="12"/>
  <c r="AC421" i="12"/>
  <c r="AC422" i="12"/>
  <c r="AC423" i="12"/>
  <c r="AC424" i="12"/>
  <c r="AC425" i="12"/>
  <c r="AC426" i="12"/>
  <c r="AC427" i="12"/>
  <c r="AC428" i="12"/>
  <c r="AC429" i="12"/>
  <c r="AC430" i="12"/>
  <c r="AC431" i="12"/>
  <c r="AC432" i="12"/>
  <c r="AC433" i="12"/>
  <c r="AC434" i="12"/>
  <c r="AC435" i="12"/>
  <c r="AC436" i="12"/>
  <c r="AC437" i="12"/>
  <c r="AC438" i="12"/>
  <c r="AC439" i="12"/>
  <c r="AC440" i="12"/>
  <c r="AC441" i="12"/>
  <c r="AC442" i="12"/>
  <c r="AC443" i="12"/>
  <c r="AC444" i="12"/>
  <c r="AC445" i="12"/>
  <c r="AC446" i="12"/>
  <c r="AC447" i="12"/>
  <c r="AC448" i="12"/>
  <c r="AC449" i="12"/>
  <c r="AC450" i="12"/>
  <c r="AC451" i="12"/>
  <c r="AC452" i="12"/>
  <c r="AC453" i="12"/>
  <c r="AC454" i="12"/>
  <c r="AC455" i="12"/>
  <c r="AC456" i="12"/>
  <c r="AC457" i="12"/>
  <c r="AC458" i="12"/>
  <c r="AC459" i="12"/>
  <c r="AC460" i="12"/>
  <c r="AC461" i="12"/>
  <c r="AC462" i="12"/>
  <c r="AC463" i="12"/>
  <c r="AC464" i="12"/>
  <c r="AC465" i="12"/>
  <c r="AC466" i="12"/>
  <c r="AC467" i="12"/>
  <c r="AC468" i="12"/>
  <c r="AC469" i="12"/>
  <c r="AC470" i="12"/>
  <c r="AC471" i="12"/>
  <c r="AC472" i="12"/>
  <c r="AC473" i="12"/>
  <c r="AC474" i="12"/>
  <c r="AC475" i="12"/>
  <c r="AC476" i="12"/>
  <c r="AC477" i="12"/>
  <c r="AC478" i="12"/>
  <c r="AC479" i="12"/>
  <c r="AC480" i="12"/>
  <c r="AC481" i="12"/>
  <c r="AC482" i="12"/>
  <c r="AC483" i="12"/>
  <c r="AC484" i="12"/>
  <c r="AC485" i="12"/>
  <c r="AC486" i="12"/>
  <c r="AC487" i="12"/>
  <c r="AC488" i="12"/>
  <c r="AC489" i="12"/>
  <c r="AC490" i="12"/>
  <c r="AC491" i="12"/>
  <c r="AC492" i="12"/>
  <c r="AC493" i="12"/>
  <c r="AC494" i="12"/>
  <c r="AC495" i="12"/>
  <c r="AC496" i="12"/>
  <c r="AC497" i="12"/>
  <c r="AC498" i="12"/>
  <c r="AC499" i="12"/>
  <c r="AC500" i="12"/>
  <c r="AC501" i="12"/>
  <c r="AC502" i="12"/>
  <c r="AC503" i="12"/>
  <c r="AC504" i="12"/>
  <c r="AC505" i="12"/>
  <c r="AC506" i="12"/>
  <c r="AC507" i="12"/>
  <c r="AC508" i="12"/>
  <c r="AC509" i="12"/>
  <c r="AC510" i="12"/>
  <c r="AC511" i="12"/>
  <c r="AC512" i="12"/>
  <c r="AC513" i="12"/>
  <c r="AC514" i="12"/>
  <c r="AC515" i="12"/>
  <c r="AC516" i="12"/>
  <c r="AC517" i="12"/>
  <c r="AC518" i="12"/>
  <c r="AC519" i="12"/>
  <c r="AC520" i="12"/>
  <c r="AC521" i="12"/>
  <c r="AC522" i="12"/>
  <c r="AC523" i="12"/>
  <c r="AC524" i="12"/>
  <c r="AC525" i="12"/>
  <c r="AC526" i="12"/>
  <c r="AC527" i="12"/>
  <c r="AC528" i="12"/>
  <c r="AC529" i="12"/>
  <c r="AC530" i="12"/>
  <c r="AC531" i="12"/>
  <c r="AC532" i="12"/>
  <c r="AC533" i="12"/>
  <c r="AC534" i="12"/>
  <c r="AC535" i="12"/>
  <c r="AC536" i="12"/>
  <c r="AC537" i="12"/>
  <c r="AC538" i="12"/>
  <c r="AC539" i="12"/>
  <c r="AC540" i="12"/>
  <c r="AC541" i="12"/>
  <c r="AC542" i="12"/>
  <c r="AC543" i="12"/>
  <c r="AC544" i="12"/>
  <c r="AC545" i="12"/>
  <c r="AC546" i="12"/>
  <c r="AC547" i="12"/>
  <c r="AC548" i="12"/>
  <c r="AC549" i="12"/>
  <c r="AC550" i="12"/>
  <c r="AC551" i="12"/>
  <c r="AC552" i="12"/>
  <c r="AC553" i="12"/>
  <c r="AC554" i="12"/>
  <c r="AC555" i="12"/>
  <c r="AC556" i="12"/>
  <c r="AC557" i="12"/>
  <c r="AC558" i="12"/>
  <c r="AC559" i="12"/>
  <c r="AC560" i="12"/>
  <c r="AC561" i="12"/>
  <c r="AC562" i="12"/>
  <c r="AC563" i="12"/>
  <c r="AC564" i="12"/>
  <c r="AC565" i="12"/>
  <c r="AC566" i="12"/>
  <c r="AC567" i="12"/>
  <c r="AC568" i="12"/>
  <c r="AC569" i="12"/>
  <c r="AC570" i="12"/>
  <c r="AC571" i="12"/>
  <c r="AC572" i="12"/>
  <c r="AC573" i="12"/>
  <c r="AC574" i="12"/>
  <c r="AC575" i="12"/>
  <c r="AC576" i="12"/>
  <c r="AC577" i="12"/>
  <c r="AC578" i="12"/>
  <c r="AC579" i="12"/>
  <c r="AC580" i="12"/>
  <c r="AC581" i="12"/>
  <c r="AC582" i="12"/>
  <c r="AC583" i="12"/>
  <c r="AC584" i="12"/>
  <c r="AC585" i="12"/>
  <c r="AC586" i="12"/>
  <c r="AC587" i="12"/>
  <c r="AC588" i="12"/>
  <c r="AC589" i="12"/>
  <c r="AC590" i="12"/>
  <c r="AC591" i="12"/>
  <c r="AC592" i="12"/>
  <c r="AC593" i="12"/>
  <c r="AC594" i="12"/>
  <c r="AC595" i="12"/>
  <c r="AC596" i="12"/>
  <c r="AC597" i="12"/>
  <c r="AC598" i="12"/>
  <c r="AC599" i="12"/>
  <c r="AC600" i="12"/>
  <c r="AC601" i="12"/>
  <c r="AC602" i="12"/>
  <c r="AC603" i="12"/>
  <c r="AC604" i="12"/>
  <c r="AC605" i="12"/>
  <c r="AC606" i="12"/>
  <c r="AC607" i="12"/>
  <c r="AC608" i="12"/>
  <c r="AC609" i="12"/>
  <c r="AC610" i="12"/>
  <c r="AC611" i="12"/>
  <c r="AC612" i="12"/>
  <c r="AC613" i="12"/>
  <c r="AC614" i="12"/>
  <c r="AC615" i="12"/>
  <c r="AC616" i="12"/>
  <c r="AC617" i="12"/>
  <c r="AC618" i="12"/>
  <c r="AC619" i="12"/>
  <c r="AC620" i="12"/>
  <c r="AC621" i="12"/>
  <c r="AC622" i="12"/>
  <c r="AC623" i="12"/>
  <c r="AC624" i="12"/>
  <c r="AC625" i="12"/>
  <c r="AC626" i="12"/>
  <c r="AC627" i="12"/>
  <c r="AC628" i="12"/>
  <c r="AC629" i="12"/>
  <c r="AC630" i="12"/>
  <c r="AC631" i="12"/>
  <c r="AC632" i="12"/>
  <c r="AC633" i="12"/>
  <c r="AC634" i="12"/>
  <c r="AC635" i="12"/>
  <c r="AC636" i="12"/>
  <c r="AC637" i="12"/>
  <c r="AC638" i="12"/>
  <c r="AC639" i="12"/>
  <c r="AC640" i="12"/>
  <c r="AC641" i="12"/>
  <c r="AC642" i="12"/>
  <c r="AC643" i="12"/>
  <c r="AC644" i="12"/>
  <c r="AC645" i="12"/>
  <c r="AC646" i="12"/>
  <c r="AC647" i="12"/>
  <c r="AC648" i="12"/>
  <c r="AC649" i="12"/>
  <c r="AC650" i="12"/>
  <c r="AC651" i="12"/>
  <c r="AC652" i="12"/>
  <c r="AC653" i="12"/>
  <c r="AC654" i="12"/>
  <c r="AC655" i="12"/>
  <c r="AC656" i="12"/>
  <c r="AC657" i="12"/>
  <c r="AC658" i="12"/>
  <c r="AC659" i="12"/>
  <c r="AC660" i="12"/>
  <c r="AC661" i="12"/>
  <c r="AC662" i="12"/>
  <c r="AC663" i="12"/>
  <c r="AC664" i="12"/>
  <c r="AC665" i="12"/>
  <c r="AC666" i="12"/>
  <c r="AC667" i="12"/>
  <c r="AC668" i="12"/>
  <c r="AC669" i="12"/>
  <c r="AC670" i="12"/>
  <c r="AC671" i="12"/>
  <c r="AC672" i="12"/>
  <c r="AC673" i="12"/>
  <c r="AC674" i="12"/>
  <c r="AC675" i="12"/>
  <c r="AC676" i="12"/>
  <c r="AC677" i="12"/>
  <c r="AC678" i="12"/>
  <c r="AC679" i="12"/>
  <c r="AC680" i="12"/>
  <c r="AC681" i="12"/>
  <c r="AC682" i="12"/>
  <c r="AC683" i="12"/>
  <c r="AC684" i="12"/>
  <c r="AC685" i="12"/>
  <c r="AC686" i="12"/>
  <c r="AC687" i="12"/>
  <c r="AC688" i="12"/>
  <c r="AC689" i="12"/>
  <c r="AC690" i="12"/>
  <c r="AC691" i="12"/>
  <c r="AC692" i="12"/>
  <c r="AC693" i="12"/>
  <c r="AC694" i="12"/>
  <c r="AC695" i="12"/>
  <c r="AC696" i="12"/>
  <c r="AC697" i="12"/>
  <c r="AC698" i="12"/>
  <c r="AC699" i="12"/>
  <c r="AC700" i="12"/>
  <c r="AC701" i="12"/>
  <c r="AC702" i="12"/>
  <c r="AC703" i="12"/>
  <c r="AC704" i="12"/>
  <c r="AC705" i="12"/>
  <c r="AC706" i="12"/>
  <c r="AC707" i="12"/>
  <c r="AC708" i="12"/>
  <c r="AC709" i="12"/>
  <c r="AC710" i="12"/>
  <c r="AC711" i="12"/>
  <c r="AC712" i="12"/>
  <c r="AC713" i="12"/>
  <c r="AC714" i="12"/>
  <c r="AC715" i="12"/>
  <c r="AC716" i="12"/>
  <c r="AC717" i="12"/>
  <c r="AC718" i="12"/>
  <c r="AC719" i="12"/>
  <c r="AC720" i="12"/>
  <c r="AC721" i="12"/>
  <c r="AC722" i="12"/>
  <c r="AC723" i="12"/>
  <c r="AC724" i="12"/>
  <c r="AC725" i="12"/>
  <c r="AC726" i="12"/>
  <c r="AC727" i="12"/>
  <c r="AC728" i="12"/>
  <c r="AC729" i="12"/>
  <c r="AC730" i="12"/>
  <c r="AC731" i="12"/>
  <c r="AC732" i="12"/>
  <c r="AC733" i="12"/>
  <c r="AC734" i="12"/>
  <c r="AC735" i="12"/>
  <c r="AC736" i="12"/>
  <c r="AC737" i="12"/>
  <c r="AC738" i="12"/>
  <c r="AC739" i="12"/>
  <c r="AC740" i="12"/>
  <c r="AC741" i="12"/>
  <c r="AC742" i="12"/>
  <c r="AC743" i="12"/>
  <c r="AC744" i="12"/>
  <c r="AC745" i="12"/>
  <c r="AC746" i="12"/>
  <c r="AC747" i="12"/>
  <c r="AC748" i="12"/>
  <c r="AC749" i="12"/>
  <c r="AC750" i="12"/>
  <c r="AC751" i="12"/>
  <c r="AC752" i="12"/>
  <c r="AC753" i="12"/>
  <c r="AC754" i="12"/>
  <c r="AC755" i="12"/>
  <c r="AC756" i="12"/>
  <c r="AC757" i="12"/>
  <c r="AC758" i="12"/>
  <c r="AC759" i="12"/>
  <c r="AC760" i="12"/>
  <c r="AC761" i="12"/>
  <c r="AC762" i="12"/>
  <c r="AC763" i="12"/>
  <c r="AC764" i="12"/>
  <c r="AC765" i="12"/>
  <c r="AC766" i="12"/>
  <c r="AC767" i="12"/>
  <c r="AC768" i="12"/>
  <c r="AC769" i="12"/>
  <c r="AC770" i="12"/>
  <c r="AC771" i="12"/>
  <c r="AC772" i="12"/>
  <c r="AC773" i="12"/>
  <c r="AC774" i="12"/>
  <c r="AC775" i="12"/>
  <c r="AC776" i="12"/>
  <c r="AC777" i="12"/>
  <c r="AC778" i="12"/>
  <c r="AC779" i="12"/>
  <c r="AC780" i="12"/>
  <c r="AC781" i="12"/>
  <c r="AC782" i="12"/>
  <c r="AC783" i="12"/>
  <c r="AC784" i="12"/>
  <c r="AC785" i="12"/>
  <c r="AC786" i="12"/>
  <c r="AC787" i="12"/>
  <c r="AC788" i="12"/>
  <c r="AC789" i="12"/>
  <c r="AC790" i="12"/>
  <c r="AC791" i="12"/>
  <c r="AC792" i="12"/>
  <c r="AC793" i="12"/>
  <c r="AC794" i="12"/>
  <c r="AC795" i="12"/>
  <c r="AC796" i="12"/>
  <c r="AC797" i="12"/>
  <c r="AC798" i="12"/>
  <c r="AC799" i="12"/>
  <c r="AC800" i="12"/>
  <c r="AC801" i="12"/>
  <c r="AC802" i="12"/>
  <c r="AC803" i="12"/>
  <c r="AC804" i="12"/>
  <c r="AC805" i="12"/>
  <c r="AC806" i="12"/>
  <c r="AC807" i="12"/>
  <c r="AC808" i="12"/>
  <c r="AC809" i="12"/>
  <c r="AC810" i="12"/>
  <c r="AC811" i="12"/>
  <c r="AC812" i="12"/>
  <c r="AC813" i="12"/>
  <c r="AC814" i="12"/>
  <c r="AC815" i="12"/>
  <c r="AC816" i="12"/>
  <c r="AC817" i="12"/>
  <c r="AC818" i="12"/>
  <c r="AC819" i="12"/>
  <c r="AC820" i="12"/>
  <c r="AC821" i="12"/>
  <c r="AC822" i="12"/>
  <c r="AC823" i="12"/>
  <c r="AC824" i="12"/>
  <c r="AC825" i="12"/>
  <c r="AC826" i="12"/>
  <c r="AC827" i="12"/>
  <c r="AC828" i="12"/>
  <c r="AC829" i="12"/>
  <c r="AC830" i="12"/>
  <c r="AC831" i="12"/>
  <c r="AC832" i="12"/>
  <c r="AC833" i="12"/>
  <c r="AC834" i="12"/>
  <c r="AC835" i="12"/>
  <c r="AC836" i="12"/>
  <c r="AC837" i="12"/>
  <c r="AC838" i="12"/>
  <c r="AC839" i="12"/>
  <c r="AC840" i="12"/>
  <c r="AC841" i="12"/>
  <c r="AC842" i="12"/>
  <c r="AC843" i="12"/>
  <c r="AC844" i="12"/>
  <c r="AC845" i="12"/>
  <c r="AC846" i="12"/>
  <c r="AC847" i="12"/>
  <c r="AC848" i="12"/>
  <c r="AC849" i="12"/>
  <c r="AC850" i="12"/>
  <c r="AC851" i="12"/>
  <c r="AC852" i="12"/>
  <c r="AC853" i="12"/>
  <c r="AC854" i="12"/>
  <c r="AC855" i="12"/>
  <c r="AC856" i="12"/>
  <c r="AC857" i="12"/>
  <c r="AC858" i="12"/>
  <c r="AC859" i="12"/>
  <c r="AC860" i="12"/>
  <c r="AC861" i="12"/>
  <c r="AC862" i="12"/>
  <c r="AC863" i="12"/>
  <c r="AC864" i="12"/>
  <c r="AC865" i="12"/>
  <c r="AC866" i="12"/>
  <c r="AC867" i="12"/>
  <c r="AC868" i="12"/>
  <c r="AC869" i="12"/>
  <c r="AC870" i="12"/>
  <c r="AC871" i="12"/>
  <c r="AC872" i="12"/>
  <c r="AC873" i="12"/>
  <c r="AC874" i="12"/>
  <c r="AC875" i="12"/>
  <c r="AC876" i="12"/>
  <c r="AC877" i="12"/>
  <c r="AC878" i="12"/>
  <c r="AC879" i="12"/>
  <c r="AC880" i="12"/>
  <c r="AC881" i="12"/>
  <c r="AC882" i="12"/>
  <c r="AC883" i="12"/>
  <c r="AC884" i="12"/>
  <c r="AC885" i="12"/>
  <c r="AC886" i="12"/>
  <c r="AC887" i="12"/>
  <c r="AC888" i="12"/>
  <c r="AC889" i="12"/>
  <c r="AC890" i="12"/>
  <c r="AC891" i="12"/>
  <c r="AC892" i="12"/>
  <c r="AC893" i="12"/>
  <c r="AC894" i="12"/>
  <c r="AC895" i="12"/>
  <c r="AC896" i="12"/>
  <c r="AC897" i="12"/>
  <c r="AC898" i="12"/>
  <c r="AC899" i="12"/>
  <c r="AC900" i="12"/>
  <c r="AC901" i="12"/>
  <c r="AC902" i="12"/>
  <c r="AC903" i="12"/>
  <c r="AC904" i="12"/>
  <c r="AC905" i="12"/>
  <c r="AC906" i="12"/>
  <c r="AC907" i="12"/>
  <c r="AC908" i="12"/>
  <c r="AC909" i="12"/>
  <c r="AC910" i="12"/>
  <c r="AC911" i="12"/>
  <c r="AC912" i="12"/>
  <c r="AC913" i="12"/>
  <c r="AC914" i="12"/>
  <c r="AC915" i="12"/>
  <c r="AC916" i="12"/>
  <c r="AC917" i="12"/>
  <c r="AC918" i="12"/>
  <c r="AC919" i="12"/>
  <c r="AC920" i="12"/>
  <c r="AC921" i="12"/>
  <c r="AC922" i="12"/>
  <c r="AC923" i="12"/>
  <c r="AC924" i="12"/>
  <c r="AC925" i="12"/>
  <c r="AC926" i="12"/>
  <c r="AC927" i="12"/>
  <c r="AC928" i="12"/>
  <c r="AC929" i="12"/>
  <c r="AC930" i="12"/>
  <c r="AC931" i="12"/>
  <c r="AC932" i="12"/>
  <c r="AC933" i="12"/>
  <c r="AC934" i="12"/>
  <c r="AC935" i="12"/>
  <c r="AC936" i="12"/>
  <c r="AC937" i="12"/>
  <c r="AC938" i="12"/>
  <c r="AC939" i="12"/>
  <c r="AC940" i="12"/>
  <c r="AC941" i="12"/>
  <c r="AC942" i="12"/>
  <c r="AC943" i="12"/>
  <c r="AC944" i="12"/>
  <c r="AC945" i="12"/>
  <c r="AC946" i="12"/>
  <c r="AC947" i="12"/>
  <c r="AC948" i="12"/>
  <c r="AC949" i="12"/>
  <c r="AC950" i="12"/>
  <c r="AC951" i="12"/>
  <c r="AC952" i="12"/>
  <c r="AC953" i="12"/>
  <c r="AC954" i="12"/>
  <c r="AC955" i="12"/>
  <c r="AC956" i="12"/>
  <c r="AC957" i="12"/>
  <c r="AC958" i="12"/>
  <c r="AC959" i="12"/>
  <c r="AC960" i="12"/>
  <c r="AC961" i="12"/>
  <c r="AC962" i="12"/>
  <c r="AC963" i="12"/>
  <c r="AC964" i="12"/>
  <c r="AC965" i="12"/>
  <c r="AC966" i="12"/>
  <c r="AC967" i="12"/>
  <c r="AC968" i="12"/>
  <c r="AC969" i="12"/>
  <c r="AC970" i="12"/>
  <c r="AC971" i="12"/>
  <c r="AC972" i="12"/>
  <c r="AC973" i="12"/>
  <c r="AC974" i="12"/>
  <c r="AC975" i="12"/>
  <c r="AC976" i="12"/>
  <c r="AC977" i="12"/>
  <c r="AC978" i="12"/>
  <c r="AC979" i="12"/>
  <c r="AC980" i="12"/>
  <c r="AC981" i="12"/>
  <c r="AC982" i="12"/>
  <c r="AC983" i="12"/>
  <c r="AC984" i="12"/>
  <c r="AC985" i="12"/>
  <c r="AC986" i="12"/>
  <c r="AC987" i="12"/>
  <c r="AC988" i="12"/>
  <c r="AC989" i="12"/>
  <c r="AC990" i="12"/>
  <c r="AC991" i="12"/>
  <c r="AC992" i="12"/>
  <c r="AC993" i="12"/>
  <c r="AC994" i="12"/>
  <c r="AC995" i="12"/>
  <c r="AC996" i="12"/>
  <c r="AC997" i="12"/>
  <c r="AC998" i="12"/>
  <c r="AC999" i="12"/>
  <c r="AC1000" i="12"/>
  <c r="AC1001" i="12"/>
  <c r="AC1002" i="12"/>
  <c r="AC1003" i="12"/>
  <c r="L181" i="8" l="1"/>
  <c r="C177" i="8" s="1"/>
  <c r="F10" i="8" s="1"/>
  <c r="B204" i="8"/>
  <c r="F4" i="13" s="1"/>
  <c r="AB1003" i="11"/>
  <c r="AB1002" i="11"/>
  <c r="AB1001" i="11"/>
  <c r="AB1000" i="11"/>
  <c r="AB999" i="11"/>
  <c r="AB998" i="11"/>
  <c r="AB997" i="11"/>
  <c r="AB996" i="11"/>
  <c r="AB995" i="11"/>
  <c r="AB994" i="11"/>
  <c r="AB993" i="11"/>
  <c r="AB992" i="11"/>
  <c r="AB991" i="11"/>
  <c r="AB990" i="11"/>
  <c r="AB989" i="11"/>
  <c r="AB988" i="11"/>
  <c r="AB987" i="11"/>
  <c r="AB986" i="11"/>
  <c r="AB985" i="11"/>
  <c r="AB984" i="11"/>
  <c r="AB983" i="11"/>
  <c r="AB982" i="11"/>
  <c r="AB981" i="11"/>
  <c r="AB980" i="11"/>
  <c r="AB979" i="11"/>
  <c r="AB978" i="11"/>
  <c r="AB977" i="11"/>
  <c r="AB976" i="11"/>
  <c r="AB975" i="11"/>
  <c r="AB974" i="11"/>
  <c r="AB973" i="11"/>
  <c r="AB972" i="11"/>
  <c r="AB971" i="11"/>
  <c r="AB970" i="11"/>
  <c r="AB969" i="11"/>
  <c r="AB968" i="11"/>
  <c r="AB967" i="11"/>
  <c r="AB966" i="11"/>
  <c r="AB965" i="11"/>
  <c r="AB964" i="11"/>
  <c r="AB963" i="11"/>
  <c r="AB962" i="11"/>
  <c r="AB961" i="11"/>
  <c r="AB960" i="11"/>
  <c r="AB959" i="11"/>
  <c r="AB958" i="11"/>
  <c r="AB957" i="11"/>
  <c r="AB956" i="11"/>
  <c r="AB955" i="11"/>
  <c r="AB954" i="11"/>
  <c r="AB953" i="11"/>
  <c r="AB952" i="11"/>
  <c r="AB951" i="11"/>
  <c r="AB950" i="11"/>
  <c r="AB949" i="11"/>
  <c r="AB948" i="11"/>
  <c r="AB947" i="11"/>
  <c r="AB946" i="11"/>
  <c r="AB945" i="11"/>
  <c r="AB944" i="11"/>
  <c r="AB943" i="11"/>
  <c r="AB942" i="11"/>
  <c r="AB941" i="11"/>
  <c r="AB940" i="11"/>
  <c r="AB939" i="11"/>
  <c r="AB938" i="11"/>
  <c r="AB937" i="11"/>
  <c r="AB936" i="11"/>
  <c r="AB935" i="11"/>
  <c r="AB934" i="11"/>
  <c r="AB933" i="11"/>
  <c r="AB932" i="11"/>
  <c r="AB931" i="11"/>
  <c r="AB930" i="11"/>
  <c r="AB929" i="11"/>
  <c r="AB928" i="11"/>
  <c r="AB927" i="11"/>
  <c r="AB926" i="11"/>
  <c r="AB925" i="11"/>
  <c r="AB924" i="11"/>
  <c r="AB923" i="11"/>
  <c r="AB922" i="11"/>
  <c r="AB921" i="11"/>
  <c r="AB920" i="11"/>
  <c r="AB919" i="11"/>
  <c r="AB918" i="11"/>
  <c r="AB917" i="11"/>
  <c r="AB916" i="11"/>
  <c r="AB915" i="11"/>
  <c r="AB914" i="11"/>
  <c r="AB913" i="11"/>
  <c r="AB912" i="11"/>
  <c r="AB911" i="11"/>
  <c r="AB910" i="11"/>
  <c r="AB909" i="11"/>
  <c r="AB908" i="11"/>
  <c r="AB907" i="11"/>
  <c r="AB906" i="11"/>
  <c r="AB905" i="11"/>
  <c r="AB904" i="11"/>
  <c r="AB903" i="11"/>
  <c r="AB902" i="11"/>
  <c r="AB901" i="11"/>
  <c r="AB900" i="11"/>
  <c r="AB899" i="11"/>
  <c r="AB898" i="11"/>
  <c r="AB897" i="11"/>
  <c r="AB896" i="11"/>
  <c r="AB895" i="11"/>
  <c r="AB894" i="11"/>
  <c r="AB893" i="11"/>
  <c r="AB892" i="11"/>
  <c r="AB891" i="11"/>
  <c r="AB890" i="11"/>
  <c r="AB889" i="11"/>
  <c r="AB888" i="11"/>
  <c r="AB887" i="11"/>
  <c r="AB886" i="11"/>
  <c r="AB885" i="11"/>
  <c r="AB884" i="11"/>
  <c r="AB883" i="11"/>
  <c r="AB882" i="11"/>
  <c r="AB881" i="11"/>
  <c r="AB880" i="11"/>
  <c r="AB879" i="11"/>
  <c r="AB878" i="11"/>
  <c r="AB877" i="11"/>
  <c r="AB876" i="11"/>
  <c r="AB875" i="11"/>
  <c r="AB874" i="11"/>
  <c r="AB873" i="11"/>
  <c r="AB872" i="11"/>
  <c r="AB871" i="11"/>
  <c r="AB870" i="11"/>
  <c r="AB869" i="11"/>
  <c r="AB868" i="11"/>
  <c r="AB867" i="11"/>
  <c r="AB866" i="11"/>
  <c r="AB865" i="11"/>
  <c r="AB864" i="11"/>
  <c r="AB863" i="11"/>
  <c r="AB862" i="11"/>
  <c r="AB861" i="11"/>
  <c r="AB860" i="11"/>
  <c r="AB859" i="11"/>
  <c r="AB858" i="11"/>
  <c r="AB857" i="11"/>
  <c r="AB856" i="11"/>
  <c r="AB855" i="11"/>
  <c r="AB854" i="11"/>
  <c r="AB853" i="11"/>
  <c r="AB852" i="11"/>
  <c r="AB851" i="11"/>
  <c r="AB850" i="11"/>
  <c r="AB849" i="11"/>
  <c r="AB848" i="11"/>
  <c r="AB847" i="11"/>
  <c r="AB846" i="11"/>
  <c r="AB845" i="11"/>
  <c r="AB844" i="11"/>
  <c r="AB843" i="11"/>
  <c r="AB842" i="11"/>
  <c r="AB841" i="11"/>
  <c r="AB840" i="11"/>
  <c r="AB839" i="11"/>
  <c r="AB838" i="11"/>
  <c r="AB837" i="11"/>
  <c r="AB836" i="11"/>
  <c r="AB835" i="11"/>
  <c r="AB834" i="11"/>
  <c r="AB833" i="11"/>
  <c r="AB832" i="11"/>
  <c r="AB831" i="11"/>
  <c r="AB830" i="11"/>
  <c r="AB829" i="11"/>
  <c r="AB828" i="11"/>
  <c r="AB827" i="11"/>
  <c r="AB826" i="11"/>
  <c r="AB825" i="11"/>
  <c r="AB824" i="11"/>
  <c r="AB823" i="11"/>
  <c r="AB822" i="11"/>
  <c r="AB821" i="11"/>
  <c r="AB820" i="11"/>
  <c r="AB819" i="11"/>
  <c r="AB818" i="11"/>
  <c r="AB817" i="11"/>
  <c r="AB816" i="11"/>
  <c r="AB815" i="11"/>
  <c r="AB814" i="11"/>
  <c r="AB813" i="11"/>
  <c r="AB812" i="11"/>
  <c r="AB811" i="11"/>
  <c r="AB810" i="11"/>
  <c r="AB809" i="11"/>
  <c r="AB808" i="11"/>
  <c r="AB807" i="11"/>
  <c r="AB806" i="11"/>
  <c r="AB805" i="11"/>
  <c r="AB804" i="11"/>
  <c r="AB803" i="11"/>
  <c r="AB802" i="11"/>
  <c r="AB801" i="11"/>
  <c r="AB800" i="11"/>
  <c r="AB799" i="11"/>
  <c r="AB798" i="11"/>
  <c r="AB797" i="11"/>
  <c r="AB796" i="11"/>
  <c r="AB795" i="11"/>
  <c r="AB794" i="11"/>
  <c r="AB793" i="11"/>
  <c r="AB792" i="11"/>
  <c r="AB791" i="11"/>
  <c r="AB790" i="11"/>
  <c r="AB789" i="11"/>
  <c r="AB788" i="11"/>
  <c r="AB787" i="11"/>
  <c r="AB786" i="11"/>
  <c r="AB785" i="11"/>
  <c r="AB784" i="11"/>
  <c r="AB783" i="11"/>
  <c r="AB782" i="11"/>
  <c r="AB781" i="11"/>
  <c r="AB780" i="11"/>
  <c r="AB779" i="11"/>
  <c r="AB778" i="11"/>
  <c r="AB777" i="11"/>
  <c r="AB776" i="11"/>
  <c r="AB775" i="11"/>
  <c r="AB774" i="11"/>
  <c r="AB773" i="11"/>
  <c r="AB772" i="11"/>
  <c r="AB771" i="11"/>
  <c r="AB770" i="11"/>
  <c r="AB769" i="11"/>
  <c r="AB768" i="11"/>
  <c r="AB767" i="11"/>
  <c r="AB766" i="11"/>
  <c r="AB765" i="11"/>
  <c r="AB764" i="11"/>
  <c r="AB763" i="11"/>
  <c r="AB762" i="11"/>
  <c r="AB761" i="11"/>
  <c r="AB760" i="11"/>
  <c r="AB759" i="11"/>
  <c r="AB758" i="11"/>
  <c r="AB757" i="11"/>
  <c r="AB756" i="11"/>
  <c r="AB755" i="11"/>
  <c r="AB754" i="11"/>
  <c r="AB753" i="11"/>
  <c r="AB752" i="11"/>
  <c r="AB751" i="11"/>
  <c r="AB750" i="11"/>
  <c r="AB749" i="11"/>
  <c r="AB748" i="11"/>
  <c r="AB747" i="11"/>
  <c r="AB746" i="11"/>
  <c r="AB745" i="11"/>
  <c r="AB744" i="11"/>
  <c r="AB743" i="11"/>
  <c r="AB742" i="11"/>
  <c r="AB741" i="11"/>
  <c r="AB740" i="11"/>
  <c r="AB739" i="11"/>
  <c r="AB738" i="11"/>
  <c r="AB737" i="11"/>
  <c r="AB736" i="11"/>
  <c r="AB735" i="11"/>
  <c r="AB734" i="11"/>
  <c r="AB733" i="11"/>
  <c r="AB732" i="11"/>
  <c r="AB731" i="11"/>
  <c r="AB730" i="11"/>
  <c r="AB729" i="11"/>
  <c r="AB728" i="11"/>
  <c r="AB727" i="11"/>
  <c r="AB726" i="11"/>
  <c r="AB725" i="11"/>
  <c r="AB724" i="11"/>
  <c r="AB723" i="11"/>
  <c r="AB722" i="11"/>
  <c r="AB721" i="11"/>
  <c r="AB720" i="11"/>
  <c r="AB719" i="11"/>
  <c r="AB718" i="11"/>
  <c r="AB717" i="11"/>
  <c r="AB716" i="11"/>
  <c r="AB715" i="11"/>
  <c r="AB714" i="11"/>
  <c r="AB713" i="11"/>
  <c r="AB712" i="11"/>
  <c r="AB711" i="11"/>
  <c r="AB710" i="11"/>
  <c r="AB709" i="11"/>
  <c r="AB708" i="11"/>
  <c r="AB707" i="11"/>
  <c r="AB706" i="11"/>
  <c r="AB705" i="11"/>
  <c r="AB704" i="11"/>
  <c r="AB703" i="11"/>
  <c r="AB702" i="11"/>
  <c r="AB701" i="11"/>
  <c r="AB700" i="11"/>
  <c r="AB699" i="11"/>
  <c r="AB698" i="11"/>
  <c r="AB697" i="11"/>
  <c r="AB696" i="11"/>
  <c r="AB695" i="11"/>
  <c r="AB694" i="11"/>
  <c r="AB693" i="11"/>
  <c r="AB692" i="11"/>
  <c r="AB691" i="11"/>
  <c r="AB690" i="11"/>
  <c r="AB689" i="11"/>
  <c r="AB688" i="11"/>
  <c r="AB687" i="11"/>
  <c r="AB686" i="11"/>
  <c r="AB685" i="11"/>
  <c r="AB684" i="11"/>
  <c r="AB683" i="11"/>
  <c r="AB682" i="11"/>
  <c r="AB681" i="11"/>
  <c r="AB680" i="11"/>
  <c r="AB679" i="11"/>
  <c r="AB678" i="11"/>
  <c r="AB677" i="11"/>
  <c r="AB676" i="11"/>
  <c r="AB675" i="11"/>
  <c r="AB674" i="11"/>
  <c r="AB673" i="11"/>
  <c r="AB672" i="11"/>
  <c r="AB671" i="11"/>
  <c r="AB670" i="11"/>
  <c r="AB669" i="11"/>
  <c r="AB668" i="11"/>
  <c r="AB667" i="11"/>
  <c r="AB666" i="11"/>
  <c r="AB665" i="11"/>
  <c r="AB664" i="11"/>
  <c r="AB663" i="11"/>
  <c r="AB662" i="11"/>
  <c r="AB661" i="11"/>
  <c r="AB660" i="11"/>
  <c r="AB659" i="11"/>
  <c r="AB658" i="11"/>
  <c r="AB657" i="11"/>
  <c r="AB656" i="11"/>
  <c r="AB655" i="11"/>
  <c r="AB654" i="11"/>
  <c r="AB653" i="11"/>
  <c r="AB652" i="11"/>
  <c r="AB651" i="11"/>
  <c r="AB650" i="11"/>
  <c r="AB649" i="11"/>
  <c r="AB648" i="11"/>
  <c r="AB647" i="11"/>
  <c r="AB646" i="11"/>
  <c r="AB645" i="11"/>
  <c r="AB644" i="11"/>
  <c r="AB643" i="11"/>
  <c r="AB642" i="11"/>
  <c r="AB641" i="11"/>
  <c r="AB640" i="11"/>
  <c r="AB639" i="11"/>
  <c r="AB638" i="11"/>
  <c r="AB637" i="11"/>
  <c r="AB636" i="11"/>
  <c r="AB635" i="11"/>
  <c r="AB634" i="11"/>
  <c r="AB633" i="11"/>
  <c r="AB632" i="11"/>
  <c r="AB631" i="11"/>
  <c r="AB630" i="11"/>
  <c r="AB629" i="11"/>
  <c r="AB628" i="11"/>
  <c r="AB627" i="11"/>
  <c r="AB626" i="11"/>
  <c r="AB625" i="11"/>
  <c r="AB624" i="11"/>
  <c r="AB623" i="11"/>
  <c r="AB622" i="11"/>
  <c r="AB621" i="11"/>
  <c r="AB620" i="11"/>
  <c r="AB619" i="11"/>
  <c r="AB618" i="11"/>
  <c r="AB617" i="11"/>
  <c r="AB616" i="11"/>
  <c r="AB615" i="11"/>
  <c r="AB614" i="11"/>
  <c r="AB613" i="11"/>
  <c r="AB612" i="11"/>
  <c r="AB611" i="11"/>
  <c r="AB610" i="11"/>
  <c r="AB609" i="11"/>
  <c r="AB608" i="11"/>
  <c r="AB607" i="11"/>
  <c r="AB606" i="11"/>
  <c r="AB605" i="11"/>
  <c r="AB604" i="11"/>
  <c r="AB603" i="11"/>
  <c r="AB602" i="11"/>
  <c r="AB601" i="11"/>
  <c r="AB600" i="11"/>
  <c r="AB599" i="11"/>
  <c r="AB598" i="11"/>
  <c r="AB597" i="11"/>
  <c r="AB596" i="11"/>
  <c r="AB595" i="11"/>
  <c r="AB594" i="11"/>
  <c r="AB593" i="11"/>
  <c r="AB592" i="11"/>
  <c r="AB591" i="11"/>
  <c r="AB590" i="11"/>
  <c r="AB589" i="11"/>
  <c r="AB588" i="11"/>
  <c r="AB587" i="11"/>
  <c r="AB586" i="11"/>
  <c r="AB585" i="11"/>
  <c r="AB584" i="11"/>
  <c r="AB583" i="11"/>
  <c r="AB582" i="11"/>
  <c r="AB581" i="11"/>
  <c r="AB580" i="11"/>
  <c r="AB579" i="11"/>
  <c r="AB578" i="11"/>
  <c r="AB577" i="11"/>
  <c r="AB576" i="11"/>
  <c r="AB575" i="11"/>
  <c r="AB574" i="11"/>
  <c r="AB573" i="11"/>
  <c r="AB572" i="11"/>
  <c r="AB571" i="11"/>
  <c r="AB570" i="11"/>
  <c r="AB569" i="11"/>
  <c r="AB568" i="11"/>
  <c r="AB567" i="11"/>
  <c r="AB566" i="11"/>
  <c r="AB565" i="11"/>
  <c r="AB564" i="11"/>
  <c r="AB563" i="11"/>
  <c r="AB562" i="11"/>
  <c r="AB561" i="11"/>
  <c r="AB560" i="11"/>
  <c r="AB559" i="11"/>
  <c r="AB558" i="11"/>
  <c r="AB557" i="11"/>
  <c r="AB556" i="11"/>
  <c r="AB555" i="11"/>
  <c r="AB554" i="11"/>
  <c r="AB553" i="11"/>
  <c r="AB552" i="11"/>
  <c r="AB551" i="11"/>
  <c r="AB550" i="11"/>
  <c r="AB549" i="11"/>
  <c r="AB548" i="11"/>
  <c r="AB547" i="11"/>
  <c r="AB546" i="11"/>
  <c r="AB545" i="11"/>
  <c r="AB544" i="11"/>
  <c r="AB543" i="11"/>
  <c r="AB542" i="11"/>
  <c r="AB541" i="11"/>
  <c r="AB540" i="11"/>
  <c r="AB539" i="11"/>
  <c r="AB538" i="11"/>
  <c r="AB537" i="11"/>
  <c r="AB536" i="11"/>
  <c r="AB535" i="11"/>
  <c r="AB534" i="11"/>
  <c r="AB533" i="11"/>
  <c r="AB532" i="11"/>
  <c r="AB531" i="11"/>
  <c r="AB530" i="11"/>
  <c r="AB529" i="11"/>
  <c r="AB528" i="11"/>
  <c r="AB527" i="11"/>
  <c r="AB526" i="11"/>
  <c r="AB525" i="11"/>
  <c r="AB524" i="11"/>
  <c r="AB523" i="11"/>
  <c r="AB522" i="11"/>
  <c r="AB521" i="11"/>
  <c r="AB520" i="11"/>
  <c r="AB519" i="11"/>
  <c r="AB518" i="11"/>
  <c r="AB517" i="11"/>
  <c r="AB516" i="11"/>
  <c r="AB515" i="11"/>
  <c r="AB514" i="11"/>
  <c r="AB513" i="11"/>
  <c r="AB512" i="11"/>
  <c r="AB511" i="11"/>
  <c r="AB510" i="11"/>
  <c r="AB509" i="11"/>
  <c r="AB508" i="11"/>
  <c r="AB507" i="11"/>
  <c r="AB506" i="11"/>
  <c r="AB505" i="11"/>
  <c r="AB504" i="11"/>
  <c r="AB503" i="11"/>
  <c r="AB502" i="11"/>
  <c r="AB501" i="11"/>
  <c r="AB500" i="11"/>
  <c r="AB499" i="11"/>
  <c r="AB498" i="11"/>
  <c r="AB497" i="11"/>
  <c r="AB496" i="11"/>
  <c r="AB495" i="11"/>
  <c r="AB494" i="11"/>
  <c r="AB493" i="11"/>
  <c r="AB492" i="11"/>
  <c r="AB491" i="11"/>
  <c r="AB490" i="11"/>
  <c r="AB489" i="11"/>
  <c r="AB488" i="11"/>
  <c r="AB487" i="11"/>
  <c r="AB486" i="11"/>
  <c r="AB485" i="11"/>
  <c r="AB484" i="11"/>
  <c r="AB483" i="11"/>
  <c r="AB482" i="11"/>
  <c r="AB481" i="11"/>
  <c r="AB480" i="11"/>
  <c r="AB479" i="11"/>
  <c r="AB478" i="11"/>
  <c r="AB477" i="11"/>
  <c r="AB476" i="11"/>
  <c r="AB475" i="11"/>
  <c r="AB474" i="11"/>
  <c r="AB473" i="11"/>
  <c r="AB472" i="11"/>
  <c r="AB471" i="11"/>
  <c r="AB470" i="11"/>
  <c r="AB469" i="11"/>
  <c r="AB468" i="11"/>
  <c r="AB467" i="11"/>
  <c r="AB466" i="11"/>
  <c r="AB465" i="11"/>
  <c r="AB464" i="11"/>
  <c r="AB463" i="11"/>
  <c r="AB462" i="11"/>
  <c r="AB461" i="11"/>
  <c r="AB460" i="11"/>
  <c r="AB459" i="11"/>
  <c r="AB458" i="11"/>
  <c r="AB457" i="11"/>
  <c r="AB456" i="11"/>
  <c r="AB455" i="11"/>
  <c r="AB454" i="11"/>
  <c r="AB453" i="11"/>
  <c r="AB452" i="11"/>
  <c r="AB451" i="11"/>
  <c r="AB450" i="11"/>
  <c r="AB449" i="11"/>
  <c r="AB448" i="11"/>
  <c r="AB447" i="11"/>
  <c r="AB446" i="11"/>
  <c r="AB445" i="11"/>
  <c r="AB444" i="11"/>
  <c r="AB443" i="11"/>
  <c r="AB442" i="11"/>
  <c r="AB441" i="11"/>
  <c r="AB440" i="11"/>
  <c r="AB439" i="11"/>
  <c r="AB438" i="11"/>
  <c r="AB437" i="11"/>
  <c r="AB436" i="11"/>
  <c r="AB435" i="11"/>
  <c r="AB434" i="11"/>
  <c r="AB433" i="11"/>
  <c r="AB432" i="11"/>
  <c r="AB431" i="11"/>
  <c r="AB430" i="11"/>
  <c r="AB429" i="11"/>
  <c r="AB428" i="11"/>
  <c r="AB427" i="11"/>
  <c r="AB426" i="11"/>
  <c r="AB425" i="11"/>
  <c r="AB424" i="11"/>
  <c r="AB423" i="11"/>
  <c r="AB422" i="11"/>
  <c r="AB421" i="11"/>
  <c r="AB420" i="11"/>
  <c r="AB419" i="11"/>
  <c r="AB418" i="11"/>
  <c r="AB417" i="11"/>
  <c r="AB416" i="11"/>
  <c r="AB415" i="11"/>
  <c r="AB414" i="11"/>
  <c r="AB413" i="11"/>
  <c r="AB412" i="11"/>
  <c r="AB411" i="11"/>
  <c r="AB410" i="11"/>
  <c r="AB409" i="11"/>
  <c r="AB408" i="11"/>
  <c r="AB407" i="11"/>
  <c r="AB406" i="11"/>
  <c r="AB405" i="11"/>
  <c r="AB404" i="11"/>
  <c r="AB403" i="11"/>
  <c r="AB402" i="11"/>
  <c r="AB401" i="11"/>
  <c r="AB400" i="11"/>
  <c r="AB399" i="11"/>
  <c r="AB398" i="11"/>
  <c r="AB397" i="11"/>
  <c r="AB396" i="11"/>
  <c r="AB395" i="11"/>
  <c r="AB394" i="11"/>
  <c r="AB393" i="11"/>
  <c r="AB392" i="11"/>
  <c r="AB391" i="11"/>
  <c r="AB390" i="11"/>
  <c r="AB389" i="11"/>
  <c r="AB388" i="11"/>
  <c r="AB387" i="11"/>
  <c r="AB386" i="11"/>
  <c r="AB385" i="11"/>
  <c r="AB384" i="11"/>
  <c r="AB383" i="11"/>
  <c r="AB382" i="11"/>
  <c r="AB381" i="11"/>
  <c r="AB380" i="11"/>
  <c r="AB379" i="11"/>
  <c r="AB378" i="11"/>
  <c r="AB377" i="11"/>
  <c r="AB376" i="11"/>
  <c r="AB375" i="11"/>
  <c r="AB374" i="11"/>
  <c r="AB373" i="11"/>
  <c r="AB372" i="11"/>
  <c r="AB371" i="11"/>
  <c r="AB370" i="11"/>
  <c r="AB369" i="11"/>
  <c r="AB368" i="11"/>
  <c r="AB367" i="11"/>
  <c r="AB366" i="11"/>
  <c r="AB365" i="11"/>
  <c r="AB364" i="11"/>
  <c r="AB363" i="11"/>
  <c r="AB362" i="11"/>
  <c r="AB361" i="11"/>
  <c r="AB360" i="11"/>
  <c r="AB359" i="11"/>
  <c r="AB358" i="11"/>
  <c r="AB357" i="11"/>
  <c r="AB356" i="11"/>
  <c r="AB355" i="11"/>
  <c r="AB354" i="11"/>
  <c r="AB353" i="11"/>
  <c r="AB352" i="11"/>
  <c r="AB351" i="11"/>
  <c r="AB350" i="11"/>
  <c r="AB349" i="11"/>
  <c r="AB348" i="11"/>
  <c r="AB347" i="11"/>
  <c r="AB346" i="11"/>
  <c r="AB345" i="11"/>
  <c r="AB344" i="11"/>
  <c r="AB343" i="11"/>
  <c r="AB342" i="11"/>
  <c r="AB341" i="11"/>
  <c r="AB340" i="11"/>
  <c r="AB339" i="11"/>
  <c r="AB338" i="11"/>
  <c r="AB337" i="11"/>
  <c r="AB336" i="11"/>
  <c r="AB335" i="11"/>
  <c r="AB334" i="11"/>
  <c r="AB333" i="11"/>
  <c r="AB332" i="11"/>
  <c r="AB331" i="11"/>
  <c r="AB330" i="11"/>
  <c r="AB329" i="11"/>
  <c r="AB328" i="11"/>
  <c r="AB327" i="11"/>
  <c r="AB326" i="11"/>
  <c r="AB325" i="11"/>
  <c r="AB324" i="11"/>
  <c r="AB323" i="11"/>
  <c r="AB322" i="11"/>
  <c r="AB321" i="11"/>
  <c r="AB320" i="11"/>
  <c r="AB319" i="11"/>
  <c r="AB318" i="11"/>
  <c r="AB317" i="11"/>
  <c r="AB316" i="11"/>
  <c r="AB315" i="11"/>
  <c r="AB314" i="11"/>
  <c r="AB313" i="11"/>
  <c r="AB312" i="11"/>
  <c r="AB311" i="11"/>
  <c r="AB310" i="11"/>
  <c r="AB309" i="11"/>
  <c r="AB308" i="11"/>
  <c r="AB307" i="11"/>
  <c r="AB306" i="11"/>
  <c r="AB305" i="11"/>
  <c r="AB304" i="11"/>
  <c r="AB303" i="11"/>
  <c r="AB302" i="11"/>
  <c r="AB301" i="11"/>
  <c r="AB300" i="11"/>
  <c r="AB299" i="11"/>
  <c r="AB298" i="11"/>
  <c r="AB297" i="11"/>
  <c r="AB296" i="11"/>
  <c r="AB295" i="11"/>
  <c r="AB294" i="11"/>
  <c r="AB293" i="11"/>
  <c r="AB292" i="11"/>
  <c r="AB291" i="11"/>
  <c r="AB290" i="11"/>
  <c r="AB289" i="11"/>
  <c r="AB288" i="11"/>
  <c r="AB287" i="11"/>
  <c r="AB286" i="11"/>
  <c r="AB285" i="11"/>
  <c r="AB284" i="11"/>
  <c r="AB283" i="11"/>
  <c r="AB282" i="11"/>
  <c r="AB281" i="11"/>
  <c r="AB280" i="11"/>
  <c r="AB279" i="11"/>
  <c r="AB278" i="11"/>
  <c r="AB277" i="11"/>
  <c r="AB276" i="11"/>
  <c r="AB275" i="11"/>
  <c r="AB274" i="11"/>
  <c r="AB273" i="11"/>
  <c r="AB272" i="11"/>
  <c r="AB271" i="11"/>
  <c r="AB270" i="11"/>
  <c r="AB269" i="11"/>
  <c r="AB268" i="11"/>
  <c r="AB267" i="11"/>
  <c r="AB266" i="11"/>
  <c r="AB265" i="11"/>
  <c r="AB264" i="11"/>
  <c r="AB263" i="11"/>
  <c r="AB262" i="11"/>
  <c r="AB261" i="11"/>
  <c r="AB260" i="11"/>
  <c r="AB259" i="11"/>
  <c r="AB258" i="11"/>
  <c r="AB257" i="11"/>
  <c r="AB256" i="11"/>
  <c r="AB255" i="11"/>
  <c r="AB254" i="11"/>
  <c r="AB253" i="11"/>
  <c r="AB252" i="11"/>
  <c r="AB251" i="11"/>
  <c r="AB250" i="11"/>
  <c r="AB249" i="11"/>
  <c r="AB248" i="11"/>
  <c r="AB247" i="11"/>
  <c r="AB246" i="11"/>
  <c r="AB245" i="11"/>
  <c r="AB244" i="11"/>
  <c r="AB243" i="11"/>
  <c r="AB242" i="11"/>
  <c r="AB241" i="11"/>
  <c r="AB240" i="11"/>
  <c r="AB239" i="11"/>
  <c r="AB238" i="11"/>
  <c r="AB237" i="11"/>
  <c r="AB236" i="11"/>
  <c r="AB235" i="11"/>
  <c r="AB234" i="11"/>
  <c r="AB233" i="11"/>
  <c r="AB232" i="11"/>
  <c r="AB231" i="11"/>
  <c r="AB230" i="11"/>
  <c r="AB229" i="11"/>
  <c r="AB228" i="11"/>
  <c r="AB227" i="11"/>
  <c r="AB226" i="11"/>
  <c r="AB225" i="11"/>
  <c r="AB224" i="11"/>
  <c r="AB223" i="11"/>
  <c r="AB222" i="11"/>
  <c r="AB221" i="11"/>
  <c r="AB220" i="11"/>
  <c r="AB219" i="11"/>
  <c r="AB218" i="11"/>
  <c r="AB217" i="11"/>
  <c r="AB216" i="11"/>
  <c r="AB215" i="11"/>
  <c r="AB214" i="11"/>
  <c r="AB213" i="11"/>
  <c r="AB212" i="11"/>
  <c r="AB211" i="11"/>
  <c r="AB210" i="11"/>
  <c r="AB209" i="11"/>
  <c r="AB208" i="11"/>
  <c r="AB207" i="11"/>
  <c r="AB206" i="11"/>
  <c r="AB205" i="11"/>
  <c r="AB204" i="11"/>
  <c r="AB203" i="11"/>
  <c r="AB202" i="11"/>
  <c r="AB201" i="11"/>
  <c r="AB200" i="11"/>
  <c r="AB199" i="11"/>
  <c r="AB198" i="11"/>
  <c r="AB197" i="11"/>
  <c r="AB196" i="11"/>
  <c r="AB195" i="11"/>
  <c r="AB194" i="11"/>
  <c r="AB193" i="11"/>
  <c r="AB192" i="11"/>
  <c r="AB191" i="11"/>
  <c r="AB190" i="11"/>
  <c r="AB189" i="11"/>
  <c r="AB188" i="11"/>
  <c r="AB187" i="11"/>
  <c r="AB186" i="11"/>
  <c r="AB185" i="11"/>
  <c r="AB184" i="11"/>
  <c r="AB183" i="11"/>
  <c r="AB182" i="11"/>
  <c r="AB181" i="11"/>
  <c r="AB180" i="11"/>
  <c r="AB179" i="11"/>
  <c r="AB178" i="11"/>
  <c r="AB177" i="11"/>
  <c r="AB176" i="11"/>
  <c r="AB175" i="11"/>
  <c r="AB174" i="11"/>
  <c r="AB173" i="11"/>
  <c r="AB172" i="11"/>
  <c r="AB171" i="11"/>
  <c r="AB170" i="11"/>
  <c r="AB169" i="11"/>
  <c r="AB168" i="11"/>
  <c r="AB167" i="11"/>
  <c r="AB166" i="11"/>
  <c r="AB165" i="11"/>
  <c r="AB164" i="11"/>
  <c r="AB163" i="11"/>
  <c r="AB162" i="11"/>
  <c r="AB161" i="11"/>
  <c r="AB160" i="11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W1384" i="10"/>
  <c r="W1379" i="10"/>
  <c r="W1388" i="10"/>
  <c r="W1392" i="10"/>
  <c r="AB1392" i="10" s="1"/>
  <c r="W1386" i="10"/>
  <c r="P186" i="8"/>
  <c r="C73" i="10"/>
  <c r="Q186" i="8"/>
  <c r="R186" i="8"/>
  <c r="S186" i="8"/>
  <c r="T186" i="8"/>
  <c r="U186" i="8"/>
  <c r="V186" i="8"/>
  <c r="W186" i="8"/>
  <c r="X186" i="8"/>
  <c r="Y186" i="8"/>
  <c r="Z186" i="8"/>
  <c r="AA186" i="8"/>
  <c r="AB1003" i="10"/>
  <c r="AB1002" i="10"/>
  <c r="AB1001" i="10"/>
  <c r="AB1000" i="10"/>
  <c r="AB999" i="10"/>
  <c r="AB998" i="10"/>
  <c r="AB997" i="10"/>
  <c r="AB996" i="10"/>
  <c r="AB995" i="10"/>
  <c r="AB994" i="10"/>
  <c r="AB993" i="10"/>
  <c r="AB992" i="10"/>
  <c r="AB991" i="10"/>
  <c r="AB990" i="10"/>
  <c r="AB989" i="10"/>
  <c r="AB988" i="10"/>
  <c r="AB987" i="10"/>
  <c r="AB986" i="10"/>
  <c r="AB985" i="10"/>
  <c r="AB984" i="10"/>
  <c r="AB983" i="10"/>
  <c r="AB982" i="10"/>
  <c r="AB981" i="10"/>
  <c r="AB980" i="10"/>
  <c r="AB979" i="10"/>
  <c r="AB978" i="10"/>
  <c r="AB977" i="10"/>
  <c r="AB976" i="10"/>
  <c r="AB975" i="10"/>
  <c r="AB974" i="10"/>
  <c r="AB973" i="10"/>
  <c r="AB972" i="10"/>
  <c r="AB971" i="10"/>
  <c r="AB970" i="10"/>
  <c r="AB969" i="10"/>
  <c r="AB968" i="10"/>
  <c r="AB967" i="10"/>
  <c r="AB966" i="10"/>
  <c r="AB965" i="10"/>
  <c r="AB964" i="10"/>
  <c r="AB963" i="10"/>
  <c r="AB962" i="10"/>
  <c r="AB961" i="10"/>
  <c r="AB960" i="10"/>
  <c r="AB959" i="10"/>
  <c r="AB958" i="10"/>
  <c r="AB957" i="10"/>
  <c r="AB956" i="10"/>
  <c r="AB955" i="10"/>
  <c r="AB954" i="10"/>
  <c r="AB953" i="10"/>
  <c r="AB952" i="10"/>
  <c r="AB951" i="10"/>
  <c r="AB950" i="10"/>
  <c r="AB949" i="10"/>
  <c r="AB948" i="10"/>
  <c r="AB947" i="10"/>
  <c r="AB946" i="10"/>
  <c r="AB945" i="10"/>
  <c r="AB944" i="10"/>
  <c r="AB943" i="10"/>
  <c r="AB942" i="10"/>
  <c r="AB941" i="10"/>
  <c r="AB940" i="10"/>
  <c r="AB939" i="10"/>
  <c r="AB938" i="10"/>
  <c r="AB937" i="10"/>
  <c r="AB936" i="10"/>
  <c r="AB935" i="10"/>
  <c r="AB934" i="10"/>
  <c r="AB933" i="10"/>
  <c r="AB932" i="10"/>
  <c r="AB931" i="10"/>
  <c r="AB930" i="10"/>
  <c r="AB929" i="10"/>
  <c r="AB928" i="10"/>
  <c r="AB927" i="10"/>
  <c r="AB926" i="10"/>
  <c r="AB925" i="10"/>
  <c r="AB924" i="10"/>
  <c r="AB923" i="10"/>
  <c r="AB922" i="10"/>
  <c r="AB921" i="10"/>
  <c r="AB920" i="10"/>
  <c r="AB919" i="10"/>
  <c r="AB918" i="10"/>
  <c r="AB917" i="10"/>
  <c r="AB916" i="10"/>
  <c r="AB915" i="10"/>
  <c r="AB914" i="10"/>
  <c r="AB913" i="10"/>
  <c r="AB912" i="10"/>
  <c r="AB911" i="10"/>
  <c r="AB910" i="10"/>
  <c r="AB909" i="10"/>
  <c r="AB908" i="10"/>
  <c r="AB907" i="10"/>
  <c r="AB906" i="10"/>
  <c r="AB905" i="10"/>
  <c r="AB904" i="10"/>
  <c r="AB903" i="10"/>
  <c r="AB902" i="10"/>
  <c r="AB901" i="10"/>
  <c r="AB900" i="10"/>
  <c r="AB899" i="10"/>
  <c r="AB898" i="10"/>
  <c r="AB897" i="10"/>
  <c r="AB896" i="10"/>
  <c r="AB895" i="10"/>
  <c r="AB894" i="10"/>
  <c r="AB893" i="10"/>
  <c r="AB892" i="10"/>
  <c r="AB891" i="10"/>
  <c r="AB890" i="10"/>
  <c r="AB889" i="10"/>
  <c r="AB888" i="10"/>
  <c r="AB887" i="10"/>
  <c r="AB886" i="10"/>
  <c r="AB885" i="10"/>
  <c r="AB884" i="10"/>
  <c r="AB883" i="10"/>
  <c r="AB882" i="10"/>
  <c r="AB881" i="10"/>
  <c r="AB880" i="10"/>
  <c r="AB879" i="10"/>
  <c r="AB878" i="10"/>
  <c r="AB877" i="10"/>
  <c r="AB876" i="10"/>
  <c r="AB875" i="10"/>
  <c r="AB874" i="10"/>
  <c r="AB873" i="10"/>
  <c r="AB872" i="10"/>
  <c r="AB871" i="10"/>
  <c r="AB870" i="10"/>
  <c r="AB869" i="10"/>
  <c r="AB868" i="10"/>
  <c r="AB867" i="10"/>
  <c r="AB866" i="10"/>
  <c r="AB865" i="10"/>
  <c r="AB864" i="10"/>
  <c r="AB863" i="10"/>
  <c r="AB862" i="10"/>
  <c r="AB861" i="10"/>
  <c r="AB860" i="10"/>
  <c r="AB859" i="10"/>
  <c r="AB858" i="10"/>
  <c r="AB857" i="10"/>
  <c r="AB856" i="10"/>
  <c r="AB855" i="10"/>
  <c r="AB854" i="10"/>
  <c r="AB853" i="10"/>
  <c r="AB852" i="10"/>
  <c r="AB851" i="10"/>
  <c r="AB850" i="10"/>
  <c r="AB849" i="10"/>
  <c r="AB848" i="10"/>
  <c r="AB847" i="10"/>
  <c r="AB846" i="10"/>
  <c r="AB845" i="10"/>
  <c r="AB844" i="10"/>
  <c r="AB843" i="10"/>
  <c r="AB842" i="10"/>
  <c r="AB841" i="10"/>
  <c r="AB840" i="10"/>
  <c r="AB839" i="10"/>
  <c r="AB838" i="10"/>
  <c r="AB837" i="10"/>
  <c r="AB836" i="10"/>
  <c r="AB835" i="10"/>
  <c r="AB834" i="10"/>
  <c r="AB833" i="10"/>
  <c r="AB832" i="10"/>
  <c r="AB831" i="10"/>
  <c r="AB830" i="10"/>
  <c r="AB829" i="10"/>
  <c r="AB828" i="10"/>
  <c r="AB827" i="10"/>
  <c r="AB826" i="10"/>
  <c r="AB825" i="10"/>
  <c r="AB824" i="10"/>
  <c r="AB823" i="10"/>
  <c r="AB822" i="10"/>
  <c r="AB821" i="10"/>
  <c r="AB820" i="10"/>
  <c r="AB819" i="10"/>
  <c r="AB818" i="10"/>
  <c r="AB817" i="10"/>
  <c r="AB816" i="10"/>
  <c r="AB815" i="10"/>
  <c r="AB814" i="10"/>
  <c r="AB813" i="10"/>
  <c r="AB812" i="10"/>
  <c r="AB811" i="10"/>
  <c r="AB810" i="10"/>
  <c r="AB809" i="10"/>
  <c r="AB808" i="10"/>
  <c r="AB807" i="10"/>
  <c r="AB806" i="10"/>
  <c r="AB805" i="10"/>
  <c r="AB804" i="10"/>
  <c r="AB803" i="10"/>
  <c r="AB802" i="10"/>
  <c r="AB801" i="10"/>
  <c r="AB800" i="10"/>
  <c r="AB799" i="10"/>
  <c r="AB798" i="10"/>
  <c r="AB797" i="10"/>
  <c r="AB796" i="10"/>
  <c r="AB795" i="10"/>
  <c r="AB794" i="10"/>
  <c r="AB793" i="10"/>
  <c r="AB792" i="10"/>
  <c r="AB791" i="10"/>
  <c r="AB790" i="10"/>
  <c r="AB789" i="10"/>
  <c r="AB788" i="10"/>
  <c r="AB787" i="10"/>
  <c r="AB786" i="10"/>
  <c r="AB785" i="10"/>
  <c r="AB784" i="10"/>
  <c r="AB783" i="10"/>
  <c r="AB782" i="10"/>
  <c r="AB781" i="10"/>
  <c r="AB780" i="10"/>
  <c r="AB779" i="10"/>
  <c r="AB778" i="10"/>
  <c r="AB777" i="10"/>
  <c r="AB776" i="10"/>
  <c r="AB775" i="10"/>
  <c r="AB774" i="10"/>
  <c r="AB773" i="10"/>
  <c r="AB772" i="10"/>
  <c r="AB771" i="10"/>
  <c r="AB770" i="10"/>
  <c r="AB769" i="10"/>
  <c r="AB768" i="10"/>
  <c r="AB767" i="10"/>
  <c r="AB766" i="10"/>
  <c r="AB765" i="10"/>
  <c r="AB764" i="10"/>
  <c r="AB763" i="10"/>
  <c r="AB762" i="10"/>
  <c r="AB761" i="10"/>
  <c r="AB760" i="10"/>
  <c r="AB759" i="10"/>
  <c r="AB758" i="10"/>
  <c r="AB757" i="10"/>
  <c r="AB756" i="10"/>
  <c r="AB755" i="10"/>
  <c r="AB754" i="10"/>
  <c r="AB753" i="10"/>
  <c r="AB752" i="10"/>
  <c r="AB751" i="10"/>
  <c r="AB750" i="10"/>
  <c r="AB749" i="10"/>
  <c r="AB748" i="10"/>
  <c r="AB747" i="10"/>
  <c r="AB746" i="10"/>
  <c r="AB745" i="10"/>
  <c r="AB744" i="10"/>
  <c r="AB743" i="10"/>
  <c r="AB742" i="10"/>
  <c r="AB741" i="10"/>
  <c r="AB740" i="10"/>
  <c r="AB739" i="10"/>
  <c r="AB738" i="10"/>
  <c r="AB737" i="10"/>
  <c r="AB736" i="10"/>
  <c r="AB735" i="10"/>
  <c r="AB734" i="10"/>
  <c r="AB733" i="10"/>
  <c r="AB732" i="10"/>
  <c r="AB731" i="10"/>
  <c r="AB730" i="10"/>
  <c r="AB729" i="10"/>
  <c r="AB728" i="10"/>
  <c r="AB727" i="10"/>
  <c r="AB726" i="10"/>
  <c r="AB725" i="10"/>
  <c r="AB724" i="10"/>
  <c r="AB723" i="10"/>
  <c r="AB722" i="10"/>
  <c r="AB721" i="10"/>
  <c r="AB720" i="10"/>
  <c r="AB719" i="10"/>
  <c r="AB718" i="10"/>
  <c r="AB717" i="10"/>
  <c r="AB716" i="10"/>
  <c r="AB715" i="10"/>
  <c r="AB714" i="10"/>
  <c r="AB713" i="10"/>
  <c r="AB712" i="10"/>
  <c r="AB711" i="10"/>
  <c r="AB710" i="10"/>
  <c r="AB709" i="10"/>
  <c r="AB708" i="10"/>
  <c r="AB707" i="10"/>
  <c r="AB706" i="10"/>
  <c r="AB705" i="10"/>
  <c r="AB704" i="10"/>
  <c r="AB703" i="10"/>
  <c r="AB702" i="10"/>
  <c r="AB701" i="10"/>
  <c r="AB700" i="10"/>
  <c r="AB699" i="10"/>
  <c r="AB698" i="10"/>
  <c r="AB697" i="10"/>
  <c r="AB696" i="10"/>
  <c r="AB695" i="10"/>
  <c r="AB694" i="10"/>
  <c r="AB693" i="10"/>
  <c r="AB692" i="10"/>
  <c r="AB691" i="10"/>
  <c r="AB690" i="10"/>
  <c r="AB689" i="10"/>
  <c r="AB688" i="10"/>
  <c r="AB687" i="10"/>
  <c r="AB686" i="10"/>
  <c r="AB685" i="10"/>
  <c r="AB684" i="10"/>
  <c r="AB683" i="10"/>
  <c r="AB682" i="10"/>
  <c r="AB681" i="10"/>
  <c r="AB680" i="10"/>
  <c r="AB679" i="10"/>
  <c r="AB678" i="10"/>
  <c r="AB677" i="10"/>
  <c r="AB676" i="10"/>
  <c r="AB675" i="10"/>
  <c r="AB674" i="10"/>
  <c r="AB673" i="10"/>
  <c r="AB672" i="10"/>
  <c r="AB671" i="10"/>
  <c r="AB670" i="10"/>
  <c r="AB669" i="10"/>
  <c r="AB668" i="10"/>
  <c r="AB667" i="10"/>
  <c r="AB666" i="10"/>
  <c r="AB665" i="10"/>
  <c r="AB664" i="10"/>
  <c r="AB663" i="10"/>
  <c r="AB662" i="10"/>
  <c r="AB661" i="10"/>
  <c r="AB660" i="10"/>
  <c r="AB659" i="10"/>
  <c r="AB658" i="10"/>
  <c r="AB657" i="10"/>
  <c r="AB656" i="10"/>
  <c r="AB655" i="10"/>
  <c r="AB654" i="10"/>
  <c r="AB653" i="10"/>
  <c r="AB652" i="10"/>
  <c r="AB651" i="10"/>
  <c r="AB650" i="10"/>
  <c r="AB649" i="10"/>
  <c r="AB648" i="10"/>
  <c r="AB647" i="10"/>
  <c r="AB646" i="10"/>
  <c r="AB645" i="10"/>
  <c r="AB644" i="10"/>
  <c r="AB643" i="10"/>
  <c r="AB642" i="10"/>
  <c r="AB641" i="10"/>
  <c r="AB640" i="10"/>
  <c r="AB639" i="10"/>
  <c r="AB638" i="10"/>
  <c r="AB637" i="10"/>
  <c r="AB636" i="10"/>
  <c r="AB635" i="10"/>
  <c r="AB634" i="10"/>
  <c r="AB633" i="10"/>
  <c r="AB632" i="10"/>
  <c r="AB631" i="10"/>
  <c r="AB630" i="10"/>
  <c r="AB629" i="10"/>
  <c r="AB628" i="10"/>
  <c r="AB627" i="10"/>
  <c r="AB626" i="10"/>
  <c r="AB625" i="10"/>
  <c r="AB624" i="10"/>
  <c r="AB623" i="10"/>
  <c r="AB622" i="10"/>
  <c r="AB621" i="10"/>
  <c r="AB620" i="10"/>
  <c r="AB619" i="10"/>
  <c r="AB618" i="10"/>
  <c r="AB617" i="10"/>
  <c r="AB616" i="10"/>
  <c r="AB615" i="10"/>
  <c r="AB614" i="10"/>
  <c r="AB613" i="10"/>
  <c r="AB612" i="10"/>
  <c r="AB611" i="10"/>
  <c r="AB610" i="10"/>
  <c r="AB609" i="10"/>
  <c r="AB608" i="10"/>
  <c r="AB607" i="10"/>
  <c r="AB606" i="10"/>
  <c r="AB605" i="10"/>
  <c r="AB604" i="10"/>
  <c r="AB603" i="10"/>
  <c r="AB602" i="10"/>
  <c r="AB601" i="10"/>
  <c r="AB600" i="10"/>
  <c r="AB599" i="10"/>
  <c r="AB598" i="10"/>
  <c r="AB597" i="10"/>
  <c r="AB596" i="10"/>
  <c r="AB595" i="10"/>
  <c r="AB594" i="10"/>
  <c r="AB593" i="10"/>
  <c r="AB592" i="10"/>
  <c r="AB591" i="10"/>
  <c r="AB590" i="10"/>
  <c r="AB589" i="10"/>
  <c r="AB588" i="10"/>
  <c r="AB587" i="10"/>
  <c r="AB586" i="10"/>
  <c r="AB585" i="10"/>
  <c r="AB584" i="10"/>
  <c r="AB583" i="10"/>
  <c r="AB582" i="10"/>
  <c r="AB581" i="10"/>
  <c r="AB580" i="10"/>
  <c r="AB579" i="10"/>
  <c r="AB578" i="10"/>
  <c r="AB577" i="10"/>
  <c r="AB576" i="10"/>
  <c r="AB575" i="10"/>
  <c r="AB574" i="10"/>
  <c r="AB573" i="10"/>
  <c r="AB572" i="10"/>
  <c r="AB571" i="10"/>
  <c r="AB570" i="10"/>
  <c r="AB569" i="10"/>
  <c r="AB568" i="10"/>
  <c r="AB567" i="10"/>
  <c r="AB566" i="10"/>
  <c r="AB565" i="10"/>
  <c r="AB564" i="10"/>
  <c r="AB563" i="10"/>
  <c r="AB562" i="10"/>
  <c r="AB561" i="10"/>
  <c r="AB560" i="10"/>
  <c r="AB559" i="10"/>
  <c r="AB558" i="10"/>
  <c r="AB557" i="10"/>
  <c r="AB556" i="10"/>
  <c r="AB555" i="10"/>
  <c r="AB554" i="10"/>
  <c r="AB553" i="10"/>
  <c r="AB552" i="10"/>
  <c r="AB551" i="10"/>
  <c r="AB550" i="10"/>
  <c r="AB549" i="10"/>
  <c r="AB548" i="10"/>
  <c r="AB547" i="10"/>
  <c r="AB546" i="10"/>
  <c r="AB545" i="10"/>
  <c r="AB544" i="10"/>
  <c r="AB543" i="10"/>
  <c r="AB542" i="10"/>
  <c r="AB541" i="10"/>
  <c r="AB540" i="10"/>
  <c r="AB539" i="10"/>
  <c r="AB538" i="10"/>
  <c r="AB537" i="10"/>
  <c r="AB536" i="10"/>
  <c r="AB535" i="10"/>
  <c r="AB534" i="10"/>
  <c r="AB533" i="10"/>
  <c r="AB532" i="10"/>
  <c r="AB531" i="10"/>
  <c r="AB530" i="10"/>
  <c r="AB529" i="10"/>
  <c r="AB528" i="10"/>
  <c r="AB527" i="10"/>
  <c r="AB526" i="10"/>
  <c r="AB525" i="10"/>
  <c r="AB524" i="10"/>
  <c r="AB523" i="10"/>
  <c r="AB522" i="10"/>
  <c r="AB521" i="10"/>
  <c r="AB520" i="10"/>
  <c r="AB519" i="10"/>
  <c r="AB518" i="10"/>
  <c r="AB517" i="10"/>
  <c r="AB516" i="10"/>
  <c r="AB515" i="10"/>
  <c r="AB514" i="10"/>
  <c r="AB513" i="10"/>
  <c r="AB512" i="10"/>
  <c r="AB511" i="10"/>
  <c r="AB510" i="10"/>
  <c r="AB509" i="10"/>
  <c r="AB508" i="10"/>
  <c r="AB507" i="10"/>
  <c r="AB506" i="10"/>
  <c r="AB505" i="10"/>
  <c r="AB504" i="10"/>
  <c r="AB503" i="10"/>
  <c r="AB502" i="10"/>
  <c r="AB501" i="10"/>
  <c r="AB500" i="10"/>
  <c r="AB499" i="10"/>
  <c r="AB498" i="10"/>
  <c r="AB497" i="10"/>
  <c r="AB496" i="10"/>
  <c r="AB495" i="10"/>
  <c r="AB494" i="10"/>
  <c r="AB493" i="10"/>
  <c r="AB492" i="10"/>
  <c r="AB491" i="10"/>
  <c r="AB490" i="10"/>
  <c r="AB489" i="10"/>
  <c r="AB488" i="10"/>
  <c r="AB487" i="10"/>
  <c r="AB486" i="10"/>
  <c r="AB485" i="10"/>
  <c r="AB484" i="10"/>
  <c r="AB483" i="10"/>
  <c r="AB482" i="10"/>
  <c r="AB481" i="10"/>
  <c r="AB480" i="10"/>
  <c r="AB479" i="10"/>
  <c r="AB478" i="10"/>
  <c r="AB477" i="10"/>
  <c r="AB476" i="10"/>
  <c r="AB475" i="10"/>
  <c r="AB474" i="10"/>
  <c r="AB473" i="10"/>
  <c r="AB472" i="10"/>
  <c r="AB471" i="10"/>
  <c r="AB470" i="10"/>
  <c r="AB469" i="10"/>
  <c r="AB468" i="10"/>
  <c r="AB467" i="10"/>
  <c r="AB466" i="10"/>
  <c r="AB465" i="10"/>
  <c r="AB464" i="10"/>
  <c r="AB463" i="10"/>
  <c r="AB462" i="10"/>
  <c r="AB461" i="10"/>
  <c r="AB460" i="10"/>
  <c r="AB459" i="10"/>
  <c r="AB458" i="10"/>
  <c r="AB457" i="10"/>
  <c r="AB456" i="10"/>
  <c r="AB455" i="10"/>
  <c r="AB454" i="10"/>
  <c r="AB453" i="10"/>
  <c r="AB452" i="10"/>
  <c r="AB451" i="10"/>
  <c r="AB450" i="10"/>
  <c r="AB449" i="10"/>
  <c r="AB448" i="10"/>
  <c r="AB447" i="10"/>
  <c r="AB446" i="10"/>
  <c r="AB445" i="10"/>
  <c r="AB444" i="10"/>
  <c r="AB443" i="10"/>
  <c r="AB442" i="10"/>
  <c r="AB441" i="10"/>
  <c r="AB440" i="10"/>
  <c r="AB439" i="10"/>
  <c r="AB438" i="10"/>
  <c r="AB437" i="10"/>
  <c r="AB436" i="10"/>
  <c r="AB435" i="10"/>
  <c r="AB434" i="10"/>
  <c r="AB433" i="10"/>
  <c r="AB432" i="10"/>
  <c r="AB431" i="10"/>
  <c r="AB430" i="10"/>
  <c r="AB429" i="10"/>
  <c r="AB428" i="10"/>
  <c r="AB427" i="10"/>
  <c r="AB426" i="10"/>
  <c r="AB425" i="10"/>
  <c r="AB424" i="10"/>
  <c r="AB423" i="10"/>
  <c r="AB422" i="10"/>
  <c r="AB421" i="10"/>
  <c r="AB420" i="10"/>
  <c r="AB419" i="10"/>
  <c r="AB418" i="10"/>
  <c r="AB417" i="10"/>
  <c r="AB416" i="10"/>
  <c r="AB415" i="10"/>
  <c r="AB414" i="10"/>
  <c r="AB413" i="10"/>
  <c r="AB412" i="10"/>
  <c r="AB411" i="10"/>
  <c r="AB410" i="10"/>
  <c r="AB409" i="10"/>
  <c r="AB408" i="10"/>
  <c r="AB407" i="10"/>
  <c r="AB406" i="10"/>
  <c r="AB405" i="10"/>
  <c r="AB404" i="10"/>
  <c r="AB403" i="10"/>
  <c r="AB402" i="10"/>
  <c r="AB401" i="10"/>
  <c r="AB400" i="10"/>
  <c r="AB399" i="10"/>
  <c r="AB398" i="10"/>
  <c r="AB397" i="10"/>
  <c r="AB396" i="10"/>
  <c r="AB395" i="10"/>
  <c r="AB394" i="10"/>
  <c r="AB393" i="10"/>
  <c r="AB392" i="10"/>
  <c r="AB391" i="10"/>
  <c r="AB390" i="10"/>
  <c r="AB389" i="10"/>
  <c r="AB388" i="10"/>
  <c r="AB387" i="10"/>
  <c r="AB386" i="10"/>
  <c r="AB385" i="10"/>
  <c r="AB384" i="10"/>
  <c r="AB383" i="10"/>
  <c r="AB382" i="10"/>
  <c r="AB381" i="10"/>
  <c r="AB380" i="10"/>
  <c r="AB379" i="10"/>
  <c r="AB378" i="10"/>
  <c r="AB377" i="10"/>
  <c r="AB376" i="10"/>
  <c r="AB375" i="10"/>
  <c r="AB374" i="10"/>
  <c r="AB373" i="10"/>
  <c r="AB372" i="10"/>
  <c r="AB371" i="10"/>
  <c r="AB370" i="10"/>
  <c r="AB369" i="10"/>
  <c r="AB368" i="10"/>
  <c r="AB367" i="10"/>
  <c r="AB366" i="10"/>
  <c r="AB365" i="10"/>
  <c r="AB364" i="10"/>
  <c r="AB363" i="10"/>
  <c r="AB362" i="10"/>
  <c r="AB361" i="10"/>
  <c r="AB360" i="10"/>
  <c r="AB359" i="10"/>
  <c r="AB358" i="10"/>
  <c r="AB357" i="10"/>
  <c r="AB356" i="10"/>
  <c r="AB355" i="10"/>
  <c r="AB354" i="10"/>
  <c r="AB353" i="10"/>
  <c r="AB352" i="10"/>
  <c r="AB351" i="10"/>
  <c r="AB350" i="10"/>
  <c r="AB349" i="10"/>
  <c r="AB348" i="10"/>
  <c r="AB347" i="10"/>
  <c r="AB346" i="10"/>
  <c r="AB345" i="10"/>
  <c r="AB344" i="10"/>
  <c r="AB343" i="10"/>
  <c r="AB342" i="10"/>
  <c r="AB341" i="10"/>
  <c r="AB340" i="10"/>
  <c r="AB339" i="10"/>
  <c r="AB338" i="10"/>
  <c r="AB337" i="10"/>
  <c r="AB336" i="10"/>
  <c r="AB335" i="10"/>
  <c r="AB334" i="10"/>
  <c r="AB333" i="10"/>
  <c r="AB332" i="10"/>
  <c r="AB331" i="10"/>
  <c r="AB330" i="10"/>
  <c r="AB329" i="10"/>
  <c r="AB328" i="10"/>
  <c r="AB327" i="10"/>
  <c r="AB326" i="10"/>
  <c r="AB325" i="10"/>
  <c r="AB324" i="10"/>
  <c r="AB323" i="10"/>
  <c r="AB322" i="10"/>
  <c r="AB321" i="10"/>
  <c r="AB320" i="10"/>
  <c r="AB319" i="10"/>
  <c r="AB318" i="10"/>
  <c r="AB317" i="10"/>
  <c r="AB316" i="10"/>
  <c r="AB315" i="10"/>
  <c r="AB314" i="10"/>
  <c r="AB313" i="10"/>
  <c r="AB312" i="10"/>
  <c r="AB311" i="10"/>
  <c r="AB310" i="10"/>
  <c r="AB309" i="10"/>
  <c r="AB308" i="10"/>
  <c r="AB307" i="10"/>
  <c r="AB306" i="10"/>
  <c r="AB305" i="10"/>
  <c r="AB304" i="10"/>
  <c r="AB303" i="10"/>
  <c r="AB302" i="10"/>
  <c r="AB301" i="10"/>
  <c r="AB300" i="10"/>
  <c r="AB299" i="10"/>
  <c r="AB298" i="10"/>
  <c r="AB297" i="10"/>
  <c r="AB296" i="10"/>
  <c r="AB295" i="10"/>
  <c r="AB294" i="10"/>
  <c r="AB293" i="10"/>
  <c r="AB292" i="10"/>
  <c r="AB291" i="10"/>
  <c r="AB290" i="10"/>
  <c r="AB289" i="10"/>
  <c r="AB288" i="10"/>
  <c r="AB287" i="10"/>
  <c r="AB286" i="10"/>
  <c r="AB285" i="10"/>
  <c r="AB284" i="10"/>
  <c r="AB283" i="10"/>
  <c r="AB282" i="10"/>
  <c r="AB281" i="10"/>
  <c r="AB280" i="10"/>
  <c r="AB279" i="10"/>
  <c r="AB278" i="10"/>
  <c r="AB277" i="10"/>
  <c r="AB276" i="10"/>
  <c r="AB275" i="10"/>
  <c r="AB274" i="10"/>
  <c r="AB273" i="10"/>
  <c r="AB272" i="10"/>
  <c r="AB271" i="10"/>
  <c r="AB270" i="10"/>
  <c r="AB269" i="10"/>
  <c r="AB268" i="10"/>
  <c r="AB267" i="10"/>
  <c r="AB266" i="10"/>
  <c r="AB265" i="10"/>
  <c r="AB264" i="10"/>
  <c r="AB263" i="10"/>
  <c r="AB262" i="10"/>
  <c r="AB261" i="10"/>
  <c r="AB260" i="10"/>
  <c r="AB259" i="10"/>
  <c r="AB258" i="10"/>
  <c r="AB257" i="10"/>
  <c r="AB256" i="10"/>
  <c r="AB255" i="10"/>
  <c r="AB254" i="10"/>
  <c r="AB253" i="10"/>
  <c r="AB252" i="10"/>
  <c r="AB251" i="10"/>
  <c r="AB250" i="10"/>
  <c r="AB249" i="10"/>
  <c r="AB248" i="10"/>
  <c r="AB247" i="10"/>
  <c r="AB246" i="10"/>
  <c r="AB245" i="10"/>
  <c r="AB244" i="10"/>
  <c r="AB243" i="10"/>
  <c r="AB242" i="10"/>
  <c r="AB241" i="10"/>
  <c r="AB240" i="10"/>
  <c r="AB239" i="10"/>
  <c r="AB238" i="10"/>
  <c r="AB237" i="10"/>
  <c r="AB236" i="10"/>
  <c r="AB235" i="10"/>
  <c r="AB234" i="10"/>
  <c r="AB233" i="10"/>
  <c r="AB232" i="10"/>
  <c r="AB231" i="10"/>
  <c r="AB230" i="10"/>
  <c r="AB229" i="10"/>
  <c r="AB228" i="10"/>
  <c r="AB227" i="10"/>
  <c r="AB226" i="10"/>
  <c r="AB225" i="10"/>
  <c r="AB224" i="10"/>
  <c r="AB223" i="10"/>
  <c r="AB222" i="10"/>
  <c r="AB221" i="10"/>
  <c r="AB220" i="10"/>
  <c r="AB219" i="10"/>
  <c r="AB218" i="10"/>
  <c r="AB217" i="10"/>
  <c r="AB216" i="10"/>
  <c r="AB215" i="10"/>
  <c r="AB214" i="10"/>
  <c r="AB213" i="10"/>
  <c r="AB212" i="10"/>
  <c r="AB211" i="10"/>
  <c r="AB210" i="10"/>
  <c r="AB209" i="10"/>
  <c r="AB208" i="10"/>
  <c r="AB207" i="10"/>
  <c r="AB206" i="10"/>
  <c r="AB205" i="10"/>
  <c r="AB204" i="10"/>
  <c r="AB203" i="10"/>
  <c r="AB202" i="10"/>
  <c r="AB201" i="10"/>
  <c r="AB200" i="10"/>
  <c r="AB199" i="10"/>
  <c r="AB198" i="10"/>
  <c r="AB197" i="10"/>
  <c r="AB196" i="10"/>
  <c r="AB195" i="10"/>
  <c r="AB194" i="10"/>
  <c r="AB193" i="10"/>
  <c r="AB192" i="10"/>
  <c r="AB191" i="10"/>
  <c r="AB190" i="10"/>
  <c r="AB189" i="10"/>
  <c r="AB188" i="10"/>
  <c r="AB187" i="10"/>
  <c r="AB186" i="10"/>
  <c r="AB185" i="10"/>
  <c r="AB184" i="10"/>
  <c r="AB183" i="10"/>
  <c r="AB182" i="10"/>
  <c r="AB181" i="10"/>
  <c r="AB180" i="10"/>
  <c r="AB179" i="10"/>
  <c r="AB178" i="10"/>
  <c r="AB177" i="10"/>
  <c r="AB176" i="10"/>
  <c r="AB175" i="10"/>
  <c r="AB174" i="10"/>
  <c r="AB173" i="10"/>
  <c r="AB172" i="10"/>
  <c r="AB171" i="10"/>
  <c r="AB170" i="10"/>
  <c r="AB169" i="10"/>
  <c r="AB168" i="10"/>
  <c r="AB167" i="10"/>
  <c r="AB166" i="10"/>
  <c r="AB165" i="10"/>
  <c r="AB164" i="10"/>
  <c r="AB163" i="10"/>
  <c r="AB162" i="10"/>
  <c r="AB161" i="10"/>
  <c r="AB160" i="10"/>
  <c r="AB159" i="10"/>
  <c r="AB158" i="10"/>
  <c r="AB157" i="10"/>
  <c r="AB156" i="10"/>
  <c r="AB155" i="10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2" i="10"/>
  <c r="AB51" i="10"/>
  <c r="AB50" i="10"/>
  <c r="AB49" i="10"/>
  <c r="AB48" i="10"/>
  <c r="AB47" i="10"/>
  <c r="N29" i="18"/>
  <c r="J29" i="18"/>
  <c r="F81" i="16"/>
  <c r="F80" i="16"/>
  <c r="F79" i="16"/>
  <c r="F78" i="16"/>
  <c r="F77" i="16"/>
  <c r="F76" i="16"/>
  <c r="F75" i="16"/>
  <c r="F74" i="16"/>
  <c r="F73" i="16"/>
  <c r="F72" i="16"/>
  <c r="F71" i="16"/>
  <c r="F82" i="16"/>
  <c r="B41" i="11"/>
  <c r="E41" i="11"/>
  <c r="B34" i="11"/>
  <c r="B35" i="11"/>
  <c r="B36" i="11"/>
  <c r="F1036" i="14" s="1"/>
  <c r="B37" i="11"/>
  <c r="F1037" i="14" s="1"/>
  <c r="B38" i="11"/>
  <c r="B171" i="17"/>
  <c r="M86" i="17"/>
  <c r="C113" i="17" s="1"/>
  <c r="C35" i="17"/>
  <c r="C70" i="17" s="1"/>
  <c r="C115" i="17" s="1"/>
  <c r="B167" i="17"/>
  <c r="B45" i="17"/>
  <c r="O100" i="18"/>
  <c r="K99" i="18" s="1"/>
  <c r="H41" i="18"/>
  <c r="H46" i="18" s="1"/>
  <c r="CP5" i="10"/>
  <c r="C36" i="17"/>
  <c r="C71" i="17" s="1"/>
  <c r="C37" i="17"/>
  <c r="J111" i="17"/>
  <c r="J110" i="17"/>
  <c r="F111" i="17"/>
  <c r="F110" i="17"/>
  <c r="L90" i="18"/>
  <c r="P29" i="16"/>
  <c r="P30" i="16"/>
  <c r="O30" i="16" s="1"/>
  <c r="L27" i="16"/>
  <c r="K8" i="16"/>
  <c r="K9" i="16"/>
  <c r="K10" i="16"/>
  <c r="K11" i="16"/>
  <c r="K7" i="16"/>
  <c r="J6" i="16"/>
  <c r="N89" i="16"/>
  <c r="N88" i="16" s="1"/>
  <c r="T57" i="16"/>
  <c r="C2" i="16"/>
  <c r="C13" i="16" s="1"/>
  <c r="I57" i="16" s="1"/>
  <c r="I104" i="17"/>
  <c r="AW25" i="16"/>
  <c r="AW29" i="16"/>
  <c r="AW30" i="16"/>
  <c r="AW28" i="16"/>
  <c r="AW27" i="16"/>
  <c r="AW26" i="16"/>
  <c r="E182" i="8"/>
  <c r="B85" i="8" s="1"/>
  <c r="D61" i="16" s="1"/>
  <c r="Z2" i="11"/>
  <c r="AO2" i="11" s="1"/>
  <c r="Q6" i="16"/>
  <c r="Z2" i="12"/>
  <c r="AQ2" i="12" s="1"/>
  <c r="N7" i="16"/>
  <c r="N8" i="16"/>
  <c r="N9" i="16"/>
  <c r="N10" i="16"/>
  <c r="N11" i="16"/>
  <c r="N12" i="16"/>
  <c r="N13" i="16"/>
  <c r="N14" i="16"/>
  <c r="N15" i="16"/>
  <c r="N16" i="16"/>
  <c r="N17" i="16"/>
  <c r="N18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L44" i="18"/>
  <c r="C1076" i="10"/>
  <c r="I1079" i="10" s="1"/>
  <c r="G1010" i="12" s="1"/>
  <c r="C1077" i="10"/>
  <c r="I1080" i="10" s="1"/>
  <c r="H78" i="16" s="1"/>
  <c r="C1078" i="10"/>
  <c r="C1079" i="10"/>
  <c r="K80" i="16" s="1"/>
  <c r="O28" i="16"/>
  <c r="A1079" i="10" s="1"/>
  <c r="O27" i="16"/>
  <c r="A1078" i="10" s="1"/>
  <c r="O26" i="16"/>
  <c r="A1077" i="10" s="1"/>
  <c r="O25" i="16"/>
  <c r="S25" i="16" s="1"/>
  <c r="H1009" i="10"/>
  <c r="L1008" i="10"/>
  <c r="N1009" i="10"/>
  <c r="Q1009" i="10" s="1"/>
  <c r="M1009" i="10"/>
  <c r="F1010" i="10"/>
  <c r="B1010" i="10" s="1"/>
  <c r="F1011" i="10"/>
  <c r="E1011" i="10"/>
  <c r="L1010" i="10"/>
  <c r="L1011" i="10"/>
  <c r="L1009" i="10"/>
  <c r="E1010" i="10"/>
  <c r="F1012" i="10"/>
  <c r="B1012" i="10" s="1"/>
  <c r="E1012" i="10"/>
  <c r="L1012" i="10"/>
  <c r="L1013" i="10"/>
  <c r="L1014" i="10"/>
  <c r="L1015" i="10"/>
  <c r="L1016" i="10"/>
  <c r="L1017" i="10"/>
  <c r="L1018" i="10"/>
  <c r="L1019" i="10"/>
  <c r="L1020" i="10"/>
  <c r="L1021" i="10"/>
  <c r="E1023" i="10"/>
  <c r="O120" i="18"/>
  <c r="J197" i="8"/>
  <c r="L197" i="8" s="1"/>
  <c r="AA197" i="8"/>
  <c r="P197" i="8"/>
  <c r="Q197" i="8"/>
  <c r="G121" i="17"/>
  <c r="C66" i="16"/>
  <c r="F1023" i="10"/>
  <c r="F158" i="17"/>
  <c r="M158" i="17" s="1"/>
  <c r="F157" i="17"/>
  <c r="C10" i="16"/>
  <c r="AU10" i="16" s="1"/>
  <c r="C9" i="16"/>
  <c r="AU9" i="16" s="1"/>
  <c r="M7" i="16"/>
  <c r="M8" i="16"/>
  <c r="C8" i="16"/>
  <c r="AU8" i="16" s="1"/>
  <c r="C11" i="16"/>
  <c r="AU11" i="16" s="1"/>
  <c r="M18" i="16"/>
  <c r="C7" i="16"/>
  <c r="AU7" i="16" s="1"/>
  <c r="A4182" i="14"/>
  <c r="A4181" i="14"/>
  <c r="Z197" i="8"/>
  <c r="A4180" i="14"/>
  <c r="Y197" i="8"/>
  <c r="A4179" i="14"/>
  <c r="X197" i="8"/>
  <c r="A4178" i="14"/>
  <c r="W197" i="8"/>
  <c r="A4177" i="14"/>
  <c r="V197" i="8"/>
  <c r="A4176" i="14"/>
  <c r="U197" i="8"/>
  <c r="A4175" i="14"/>
  <c r="T197" i="8"/>
  <c r="A4174" i="14"/>
  <c r="S197" i="8"/>
  <c r="A4173" i="14"/>
  <c r="R197" i="8"/>
  <c r="A4172" i="14"/>
  <c r="A4171" i="14"/>
  <c r="D156" i="17"/>
  <c r="D157" i="17"/>
  <c r="D158" i="17"/>
  <c r="G1023" i="10"/>
  <c r="I1009" i="10"/>
  <c r="J1009" i="10"/>
  <c r="I12" i="16"/>
  <c r="K1023" i="10" s="1"/>
  <c r="E1034" i="12"/>
  <c r="F4185" i="14"/>
  <c r="C4171" i="14"/>
  <c r="C4172" i="14" s="1"/>
  <c r="E30" i="12"/>
  <c r="B30" i="12"/>
  <c r="F71" i="18"/>
  <c r="G71" i="18" s="1"/>
  <c r="F70" i="18"/>
  <c r="F69" i="18"/>
  <c r="G69" i="18" s="1"/>
  <c r="E69" i="18" s="1"/>
  <c r="AM5" i="12"/>
  <c r="F6" i="14"/>
  <c r="F7" i="14" s="1"/>
  <c r="F8" i="14" s="1"/>
  <c r="F9" i="14" s="1"/>
  <c r="F10" i="14" s="1"/>
  <c r="AF64" i="12"/>
  <c r="AF65" i="12"/>
  <c r="AF66" i="12"/>
  <c r="AF67" i="12"/>
  <c r="AF68" i="12"/>
  <c r="AF69" i="12"/>
  <c r="AF70" i="12"/>
  <c r="AF71" i="12"/>
  <c r="AF72" i="12"/>
  <c r="AJ72" i="12" s="1"/>
  <c r="AF73" i="12"/>
  <c r="AF74" i="12"/>
  <c r="AF75" i="12"/>
  <c r="AH75" i="12" s="1"/>
  <c r="AF76" i="12"/>
  <c r="AF77" i="12"/>
  <c r="AJ77" i="12" s="1"/>
  <c r="AF78" i="12"/>
  <c r="AF79" i="12"/>
  <c r="AJ79" i="12" s="1"/>
  <c r="AF80" i="12"/>
  <c r="AF81" i="12"/>
  <c r="AF82" i="12"/>
  <c r="AF83" i="12"/>
  <c r="AF84" i="12"/>
  <c r="AF85" i="12"/>
  <c r="AG85" i="12" s="1"/>
  <c r="AF86" i="12"/>
  <c r="AF87" i="12"/>
  <c r="AF88" i="12"/>
  <c r="AF89" i="12"/>
  <c r="AF90" i="12"/>
  <c r="AF91" i="12"/>
  <c r="AF92" i="12"/>
  <c r="AF93" i="12"/>
  <c r="AF94" i="12"/>
  <c r="AF95" i="12"/>
  <c r="AH95" i="12" s="1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I109" i="12" s="1"/>
  <c r="AF110" i="12"/>
  <c r="AF111" i="12"/>
  <c r="AF112" i="12"/>
  <c r="AF113" i="12"/>
  <c r="AH113" i="12" s="1"/>
  <c r="AF114" i="12"/>
  <c r="AF115" i="12"/>
  <c r="AF116" i="12"/>
  <c r="AF117" i="12"/>
  <c r="AF118" i="12"/>
  <c r="AF119" i="12"/>
  <c r="AF120" i="12"/>
  <c r="AF121" i="12"/>
  <c r="AF122" i="12"/>
  <c r="AF123" i="12"/>
  <c r="AI123" i="12" s="1"/>
  <c r="AF124" i="12"/>
  <c r="AF125" i="12"/>
  <c r="AF126" i="12"/>
  <c r="AF127" i="12"/>
  <c r="AF128" i="12"/>
  <c r="AI128" i="12" s="1"/>
  <c r="AF129" i="12"/>
  <c r="AF130" i="12"/>
  <c r="AF131" i="12"/>
  <c r="AF132" i="12"/>
  <c r="AF133" i="12"/>
  <c r="AF134" i="12"/>
  <c r="AG134" i="12" s="1"/>
  <c r="AF135" i="12"/>
  <c r="AF136" i="12"/>
  <c r="AF137" i="12"/>
  <c r="AF138" i="12"/>
  <c r="AJ138" i="12" s="1"/>
  <c r="AF139" i="12"/>
  <c r="AJ139" i="12" s="1"/>
  <c r="AF140" i="12"/>
  <c r="AG140" i="12" s="1"/>
  <c r="AF141" i="12"/>
  <c r="AF142" i="12"/>
  <c r="AF143" i="12"/>
  <c r="AF144" i="12"/>
  <c r="AF145" i="12"/>
  <c r="AH145" i="12" s="1"/>
  <c r="AF146" i="12"/>
  <c r="AF147" i="12"/>
  <c r="AF148" i="12"/>
  <c r="AF149" i="12"/>
  <c r="AF150" i="12"/>
  <c r="AF151" i="12"/>
  <c r="AG151" i="12" s="1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J163" i="12" s="1"/>
  <c r="AF164" i="12"/>
  <c r="AF165" i="12"/>
  <c r="AF166" i="12"/>
  <c r="AF167" i="12"/>
  <c r="AF168" i="12"/>
  <c r="AF169" i="12"/>
  <c r="AF170" i="12"/>
  <c r="AJ170" i="12" s="1"/>
  <c r="AF171" i="12"/>
  <c r="AF172" i="12"/>
  <c r="AF173" i="12"/>
  <c r="AF174" i="12"/>
  <c r="AF175" i="12"/>
  <c r="AF176" i="12"/>
  <c r="AF177" i="12"/>
  <c r="AF178" i="12"/>
  <c r="AF179" i="12"/>
  <c r="AI179" i="12" s="1"/>
  <c r="AF180" i="12"/>
  <c r="AF181" i="12"/>
  <c r="AF182" i="12"/>
  <c r="AJ182" i="12" s="1"/>
  <c r="AF183" i="12"/>
  <c r="AF184" i="12"/>
  <c r="AF185" i="12"/>
  <c r="AF186" i="12"/>
  <c r="AJ186" i="12" s="1"/>
  <c r="AF187" i="12"/>
  <c r="AF188" i="12"/>
  <c r="AF189" i="12"/>
  <c r="AF190" i="12"/>
  <c r="AF191" i="12"/>
  <c r="AF192" i="12"/>
  <c r="AF193" i="12"/>
  <c r="AF194" i="12"/>
  <c r="AF195" i="12"/>
  <c r="AH195" i="12" s="1"/>
  <c r="AF196" i="12"/>
  <c r="AF197" i="12"/>
  <c r="AF198" i="12"/>
  <c r="AF199" i="12"/>
  <c r="AF200" i="12"/>
  <c r="AH200" i="12" s="1"/>
  <c r="AF201" i="12"/>
  <c r="AF202" i="12"/>
  <c r="AF203" i="12"/>
  <c r="AF204" i="12"/>
  <c r="AI204" i="12" s="1"/>
  <c r="AF205" i="12"/>
  <c r="AF206" i="12"/>
  <c r="AF207" i="12"/>
  <c r="AF208" i="12"/>
  <c r="AF209" i="12"/>
  <c r="AH209" i="12" s="1"/>
  <c r="AF210" i="12"/>
  <c r="AF211" i="12"/>
  <c r="AF212" i="12"/>
  <c r="AF213" i="12"/>
  <c r="AF214" i="12"/>
  <c r="AF215" i="12"/>
  <c r="AF216" i="12"/>
  <c r="AJ216" i="12" s="1"/>
  <c r="AF217" i="12"/>
  <c r="AF218" i="12"/>
  <c r="AF219" i="12"/>
  <c r="AF220" i="12"/>
  <c r="AF221" i="12"/>
  <c r="AF222" i="12"/>
  <c r="AF223" i="12"/>
  <c r="AJ223" i="12" s="1"/>
  <c r="AF224" i="12"/>
  <c r="AF225" i="12"/>
  <c r="AF226" i="12"/>
  <c r="AF227" i="12"/>
  <c r="AF228" i="12"/>
  <c r="AH228" i="12" s="1"/>
  <c r="AF229" i="12"/>
  <c r="AF230" i="12"/>
  <c r="AF231" i="12"/>
  <c r="AF232" i="12"/>
  <c r="AF233" i="12"/>
  <c r="AF234" i="12"/>
  <c r="AF235" i="12"/>
  <c r="AH235" i="12" s="1"/>
  <c r="AF236" i="12"/>
  <c r="AF237" i="12"/>
  <c r="AF238" i="12"/>
  <c r="AJ238" i="12" s="1"/>
  <c r="AF239" i="12"/>
  <c r="AF240" i="12"/>
  <c r="AJ240" i="12" s="1"/>
  <c r="AF241" i="12"/>
  <c r="AF242" i="12"/>
  <c r="AF243" i="12"/>
  <c r="AJ243" i="12" s="1"/>
  <c r="AF244" i="12"/>
  <c r="AF245" i="12"/>
  <c r="AF246" i="12"/>
  <c r="AF247" i="12"/>
  <c r="AF248" i="12"/>
  <c r="AF249" i="12"/>
  <c r="AF250" i="12"/>
  <c r="AF251" i="12"/>
  <c r="AF252" i="12"/>
  <c r="AI252" i="12" s="1"/>
  <c r="AF253" i="12"/>
  <c r="AF254" i="12"/>
  <c r="AF255" i="12"/>
  <c r="AJ255" i="12" s="1"/>
  <c r="AF256" i="12"/>
  <c r="AF257" i="12"/>
  <c r="AF258" i="12"/>
  <c r="AF259" i="12"/>
  <c r="AF260" i="12"/>
  <c r="AF261" i="12"/>
  <c r="AF262" i="12"/>
  <c r="AF263" i="12"/>
  <c r="AF264" i="12"/>
  <c r="AJ264" i="12" s="1"/>
  <c r="AF265" i="12"/>
  <c r="AF266" i="12"/>
  <c r="AF267" i="12"/>
  <c r="AH267" i="12" s="1"/>
  <c r="AF268" i="12"/>
  <c r="AF269" i="12"/>
  <c r="AF270" i="12"/>
  <c r="AF271" i="12"/>
  <c r="AF272" i="12"/>
  <c r="AF273" i="12"/>
  <c r="AF274" i="12"/>
  <c r="AF275" i="12"/>
  <c r="AJ275" i="12" s="1"/>
  <c r="AF276" i="12"/>
  <c r="AF277" i="12"/>
  <c r="AF278" i="12"/>
  <c r="AF279" i="12"/>
  <c r="AF280" i="12"/>
  <c r="AF281" i="12"/>
  <c r="AF282" i="12"/>
  <c r="AG282" i="12" s="1"/>
  <c r="AF283" i="12"/>
  <c r="AF284" i="12"/>
  <c r="AF285" i="12"/>
  <c r="AF286" i="12"/>
  <c r="AJ286" i="12" s="1"/>
  <c r="AF287" i="12"/>
  <c r="AJ287" i="12" s="1"/>
  <c r="AF288" i="12"/>
  <c r="AI288" i="12" s="1"/>
  <c r="AF289" i="12"/>
  <c r="AF290" i="12"/>
  <c r="AF291" i="12"/>
  <c r="AF292" i="12"/>
  <c r="AF293" i="12"/>
  <c r="AF294" i="12"/>
  <c r="AJ294" i="12" s="1"/>
  <c r="AF295" i="12"/>
  <c r="AF296" i="12"/>
  <c r="AF297" i="12"/>
  <c r="AF298" i="12"/>
  <c r="AG298" i="12" s="1"/>
  <c r="AF299" i="12"/>
  <c r="AH299" i="12" s="1"/>
  <c r="AF300" i="12"/>
  <c r="AF301" i="12"/>
  <c r="AF302" i="12"/>
  <c r="AF303" i="12"/>
  <c r="AF304" i="12"/>
  <c r="AF305" i="12"/>
  <c r="AF306" i="12"/>
  <c r="AJ306" i="12" s="1"/>
  <c r="AF307" i="12"/>
  <c r="AJ307" i="12" s="1"/>
  <c r="AF308" i="12"/>
  <c r="AF309" i="12"/>
  <c r="AF310" i="12"/>
  <c r="AF311" i="12"/>
  <c r="AF312" i="12"/>
  <c r="AF313" i="12"/>
  <c r="AF314" i="12"/>
  <c r="AJ314" i="12" s="1"/>
  <c r="AF315" i="12"/>
  <c r="AF316" i="12"/>
  <c r="AG316" i="12" s="1"/>
  <c r="AF317" i="12"/>
  <c r="AF318" i="12"/>
  <c r="AF319" i="12"/>
  <c r="AJ319" i="12" s="1"/>
  <c r="AF320" i="12"/>
  <c r="AF321" i="12"/>
  <c r="AF322" i="12"/>
  <c r="AF323" i="12"/>
  <c r="AF324" i="12"/>
  <c r="AJ324" i="12" s="1"/>
  <c r="AF325" i="12"/>
  <c r="AF326" i="12"/>
  <c r="AG326" i="12" s="1"/>
  <c r="AF327" i="12"/>
  <c r="AF328" i="12"/>
  <c r="AF329" i="12"/>
  <c r="AF330" i="12"/>
  <c r="AG330" i="12" s="1"/>
  <c r="AF331" i="12"/>
  <c r="AH331" i="12" s="1"/>
  <c r="AF332" i="12"/>
  <c r="AG332" i="12" s="1"/>
  <c r="AF333" i="12"/>
  <c r="AF334" i="12"/>
  <c r="AJ334" i="12" s="1"/>
  <c r="AF335" i="12"/>
  <c r="AF336" i="12"/>
  <c r="AG336" i="12" s="1"/>
  <c r="AF337" i="12"/>
  <c r="AF338" i="12"/>
  <c r="AF339" i="12"/>
  <c r="AJ339" i="12" s="1"/>
  <c r="AF340" i="12"/>
  <c r="AF341" i="12"/>
  <c r="AF342" i="12"/>
  <c r="AF343" i="12"/>
  <c r="AF344" i="12"/>
  <c r="AF345" i="12"/>
  <c r="AF346" i="12"/>
  <c r="AJ346" i="12" s="1"/>
  <c r="AF347" i="12"/>
  <c r="AF348" i="12"/>
  <c r="AF349" i="12"/>
  <c r="AF350" i="12"/>
  <c r="AF351" i="12"/>
  <c r="AJ351" i="12" s="1"/>
  <c r="AF352" i="12"/>
  <c r="AJ352" i="12" s="1"/>
  <c r="AF353" i="12"/>
  <c r="AF354" i="12"/>
  <c r="AJ354" i="12" s="1"/>
  <c r="AF355" i="12"/>
  <c r="AF356" i="12"/>
  <c r="AF357" i="12"/>
  <c r="AF358" i="12"/>
  <c r="AF359" i="12"/>
  <c r="AF360" i="12"/>
  <c r="AF361" i="12"/>
  <c r="AF362" i="12"/>
  <c r="AF363" i="12"/>
  <c r="AH363" i="12" s="1"/>
  <c r="AF364" i="12"/>
  <c r="AF365" i="12"/>
  <c r="AF366" i="12"/>
  <c r="AG366" i="12" s="1"/>
  <c r="AF367" i="12"/>
  <c r="AF368" i="12"/>
  <c r="AH368" i="12" s="1"/>
  <c r="AF369" i="12"/>
  <c r="AF370" i="12"/>
  <c r="AG370" i="12" s="1"/>
  <c r="AF371" i="12"/>
  <c r="AJ371" i="12" s="1"/>
  <c r="AF372" i="12"/>
  <c r="AF373" i="12"/>
  <c r="AF374" i="12"/>
  <c r="AF375" i="12"/>
  <c r="AF376" i="12"/>
  <c r="AF377" i="12"/>
  <c r="AF378" i="12"/>
  <c r="AF379" i="12"/>
  <c r="AF380" i="12"/>
  <c r="AF381" i="12"/>
  <c r="AF382" i="12"/>
  <c r="AG382" i="12" s="1"/>
  <c r="AF383" i="12"/>
  <c r="AJ383" i="12" s="1"/>
  <c r="AF384" i="12"/>
  <c r="AI384" i="12" s="1"/>
  <c r="AF385" i="12"/>
  <c r="AF386" i="12"/>
  <c r="AJ386" i="12" s="1"/>
  <c r="AF387" i="12"/>
  <c r="AF388" i="12"/>
  <c r="AG388" i="12" s="1"/>
  <c r="AF389" i="12"/>
  <c r="AF390" i="12"/>
  <c r="AF391" i="12"/>
  <c r="AF392" i="12"/>
  <c r="AI392" i="12" s="1"/>
  <c r="AF393" i="12"/>
  <c r="AF394" i="12"/>
  <c r="AF395" i="12"/>
  <c r="AH395" i="12" s="1"/>
  <c r="AF396" i="12"/>
  <c r="AH396" i="12" s="1"/>
  <c r="AF397" i="12"/>
  <c r="AF398" i="12"/>
  <c r="AJ398" i="12" s="1"/>
  <c r="AF399" i="12"/>
  <c r="AF400" i="12"/>
  <c r="AI400" i="12" s="1"/>
  <c r="AF401" i="12"/>
  <c r="AF402" i="12"/>
  <c r="AG402" i="12" s="1"/>
  <c r="AF403" i="12"/>
  <c r="AJ403" i="12" s="1"/>
  <c r="AF404" i="12"/>
  <c r="AF405" i="12"/>
  <c r="AF406" i="12"/>
  <c r="AG406" i="12" s="1"/>
  <c r="AF407" i="12"/>
  <c r="AF408" i="12"/>
  <c r="AH408" i="12" s="1"/>
  <c r="AF409" i="12"/>
  <c r="AF410" i="12"/>
  <c r="AF411" i="12"/>
  <c r="AF412" i="12"/>
  <c r="AI412" i="12" s="1"/>
  <c r="AF413" i="12"/>
  <c r="AF414" i="12"/>
  <c r="AG414" i="12" s="1"/>
  <c r="AF415" i="12"/>
  <c r="AJ415" i="12" s="1"/>
  <c r="AF416" i="12"/>
  <c r="AG416" i="12" s="1"/>
  <c r="AF417" i="12"/>
  <c r="AF418" i="12"/>
  <c r="AG418" i="12" s="1"/>
  <c r="AF419" i="12"/>
  <c r="AF420" i="12"/>
  <c r="AF421" i="12"/>
  <c r="AF422" i="12"/>
  <c r="AF423" i="12"/>
  <c r="AF424" i="12"/>
  <c r="AF425" i="12"/>
  <c r="AF426" i="12"/>
  <c r="AF427" i="12"/>
  <c r="AH427" i="12" s="1"/>
  <c r="AF428" i="12"/>
  <c r="AG428" i="12" s="1"/>
  <c r="AF429" i="12"/>
  <c r="AF430" i="12"/>
  <c r="AJ430" i="12" s="1"/>
  <c r="AF431" i="12"/>
  <c r="AF432" i="12"/>
  <c r="AI432" i="12" s="1"/>
  <c r="AF433" i="12"/>
  <c r="AF434" i="12"/>
  <c r="AJ434" i="12" s="1"/>
  <c r="AF435" i="12"/>
  <c r="AJ435" i="12" s="1"/>
  <c r="AF436" i="12"/>
  <c r="AJ436" i="12" s="1"/>
  <c r="AF437" i="12"/>
  <c r="AF438" i="12"/>
  <c r="AJ438" i="12" s="1"/>
  <c r="AF439" i="12"/>
  <c r="AF440" i="12"/>
  <c r="AJ440" i="12" s="1"/>
  <c r="AF441" i="12"/>
  <c r="AF442" i="12"/>
  <c r="AJ442" i="12" s="1"/>
  <c r="AF443" i="12"/>
  <c r="AF444" i="12"/>
  <c r="AF445" i="12"/>
  <c r="AF446" i="12"/>
  <c r="AG446" i="12" s="1"/>
  <c r="AF447" i="12"/>
  <c r="AJ447" i="12" s="1"/>
  <c r="AF448" i="12"/>
  <c r="AI448" i="12" s="1"/>
  <c r="AF449" i="12"/>
  <c r="AF450" i="12"/>
  <c r="AG450" i="12" s="1"/>
  <c r="AF451" i="12"/>
  <c r="AF452" i="12"/>
  <c r="AJ452" i="12" s="1"/>
  <c r="AF453" i="12"/>
  <c r="AF454" i="12"/>
  <c r="AJ454" i="12" s="1"/>
  <c r="AF455" i="12"/>
  <c r="AF456" i="12"/>
  <c r="AF457" i="12"/>
  <c r="AF458" i="12"/>
  <c r="AG458" i="12" s="1"/>
  <c r="AF459" i="12"/>
  <c r="AH459" i="12" s="1"/>
  <c r="AF460" i="12"/>
  <c r="AJ460" i="12" s="1"/>
  <c r="AF461" i="12"/>
  <c r="AF462" i="12"/>
  <c r="AG462" i="12" s="1"/>
  <c r="AF463" i="12"/>
  <c r="AF464" i="12"/>
  <c r="AJ464" i="12" s="1"/>
  <c r="AF465" i="12"/>
  <c r="AF466" i="12"/>
  <c r="AJ466" i="12" s="1"/>
  <c r="AF467" i="12"/>
  <c r="AJ467" i="12" s="1"/>
  <c r="AF468" i="12"/>
  <c r="AH468" i="12" s="1"/>
  <c r="AF469" i="12"/>
  <c r="AF470" i="12"/>
  <c r="AJ470" i="12" s="1"/>
  <c r="AF471" i="12"/>
  <c r="AF472" i="12"/>
  <c r="AJ472" i="12" s="1"/>
  <c r="AF473" i="12"/>
  <c r="AH473" i="12" s="1"/>
  <c r="AF474" i="12"/>
  <c r="AJ474" i="12" s="1"/>
  <c r="AF475" i="12"/>
  <c r="AF476" i="12"/>
  <c r="AH476" i="12" s="1"/>
  <c r="AF477" i="12"/>
  <c r="AI477" i="12" s="1"/>
  <c r="AF478" i="12"/>
  <c r="AF479" i="12"/>
  <c r="AF480" i="12"/>
  <c r="AG480" i="12" s="1"/>
  <c r="AF481" i="12"/>
  <c r="AF482" i="12"/>
  <c r="AF483" i="12"/>
  <c r="AH483" i="12" s="1"/>
  <c r="AF484" i="12"/>
  <c r="AH484" i="12" s="1"/>
  <c r="AF485" i="12"/>
  <c r="AF486" i="12"/>
  <c r="AG486" i="12" s="1"/>
  <c r="AF487" i="12"/>
  <c r="AF488" i="12"/>
  <c r="AG488" i="12" s="1"/>
  <c r="AF489" i="12"/>
  <c r="AH489" i="12" s="1"/>
  <c r="AF490" i="12"/>
  <c r="AJ490" i="12" s="1"/>
  <c r="AF491" i="12"/>
  <c r="AF492" i="12"/>
  <c r="AI492" i="12" s="1"/>
  <c r="AF493" i="12"/>
  <c r="AI493" i="12" s="1"/>
  <c r="AF494" i="12"/>
  <c r="AG494" i="12" s="1"/>
  <c r="AF495" i="12"/>
  <c r="AJ495" i="12" s="1"/>
  <c r="AF496" i="12"/>
  <c r="AG496" i="12" s="1"/>
  <c r="AF497" i="12"/>
  <c r="AH497" i="12" s="1"/>
  <c r="AF498" i="12"/>
  <c r="AF499" i="12"/>
  <c r="AH499" i="12" s="1"/>
  <c r="AF500" i="12"/>
  <c r="AF501" i="12"/>
  <c r="AI501" i="12" s="1"/>
  <c r="AF502" i="12"/>
  <c r="AG502" i="12" s="1"/>
  <c r="AF503" i="12"/>
  <c r="AG503" i="12" s="1"/>
  <c r="AF504" i="12"/>
  <c r="AF505" i="12"/>
  <c r="AH505" i="12" s="1"/>
  <c r="AF506" i="12"/>
  <c r="AF507" i="12"/>
  <c r="AF508" i="12"/>
  <c r="AF509" i="12"/>
  <c r="AI509" i="12" s="1"/>
  <c r="AF510" i="12"/>
  <c r="AF511" i="12"/>
  <c r="AF512" i="12"/>
  <c r="AF513" i="12"/>
  <c r="AF514" i="12"/>
  <c r="AF515" i="12"/>
  <c r="AH515" i="12" s="1"/>
  <c r="AF516" i="12"/>
  <c r="AG516" i="12" s="1"/>
  <c r="AF517" i="12"/>
  <c r="AF518" i="12"/>
  <c r="AG518" i="12" s="1"/>
  <c r="AF519" i="12"/>
  <c r="AF520" i="12"/>
  <c r="AI520" i="12" s="1"/>
  <c r="AF521" i="12"/>
  <c r="AH521" i="12" s="1"/>
  <c r="AF522" i="12"/>
  <c r="AG522" i="12" s="1"/>
  <c r="AF523" i="12"/>
  <c r="AF524" i="12"/>
  <c r="AG524" i="12" s="1"/>
  <c r="AF525" i="12"/>
  <c r="AF526" i="12"/>
  <c r="AJ526" i="12" s="1"/>
  <c r="AF527" i="12"/>
  <c r="AH527" i="12" s="1"/>
  <c r="AF528" i="12"/>
  <c r="AF529" i="12"/>
  <c r="AH529" i="12" s="1"/>
  <c r="AF530" i="12"/>
  <c r="AF531" i="12"/>
  <c r="AJ531" i="12" s="1"/>
  <c r="AF532" i="12"/>
  <c r="AF533" i="12"/>
  <c r="AI533" i="12" s="1"/>
  <c r="AF534" i="12"/>
  <c r="AJ534" i="12" s="1"/>
  <c r="AF535" i="12"/>
  <c r="AG535" i="12" s="1"/>
  <c r="AF536" i="12"/>
  <c r="AF537" i="12"/>
  <c r="AI537" i="12" s="1"/>
  <c r="AF538" i="12"/>
  <c r="AF539" i="12"/>
  <c r="AG539" i="12" s="1"/>
  <c r="AF540" i="12"/>
  <c r="AH540" i="12" s="1"/>
  <c r="AF541" i="12"/>
  <c r="AF542" i="12"/>
  <c r="AG542" i="12" s="1"/>
  <c r="AF543" i="12"/>
  <c r="AJ543" i="12" s="1"/>
  <c r="AF544" i="12"/>
  <c r="AF545" i="12"/>
  <c r="AF546" i="12"/>
  <c r="AJ546" i="12" s="1"/>
  <c r="AF547" i="12"/>
  <c r="AF548" i="12"/>
  <c r="AF549" i="12"/>
  <c r="AI549" i="12" s="1"/>
  <c r="AF550" i="12"/>
  <c r="AF551" i="12"/>
  <c r="AF552" i="12"/>
  <c r="AH552" i="12" s="1"/>
  <c r="AF553" i="12"/>
  <c r="AF554" i="12"/>
  <c r="AF555" i="12"/>
  <c r="AH555" i="12" s="1"/>
  <c r="AF556" i="12"/>
  <c r="AG556" i="12" s="1"/>
  <c r="AF557" i="12"/>
  <c r="AF558" i="12"/>
  <c r="AG558" i="12" s="1"/>
  <c r="AF559" i="12"/>
  <c r="AH559" i="12" s="1"/>
  <c r="AF560" i="12"/>
  <c r="AF561" i="12"/>
  <c r="AH561" i="12" s="1"/>
  <c r="AF562" i="12"/>
  <c r="AG562" i="12" s="1"/>
  <c r="AF563" i="12"/>
  <c r="AJ563" i="12" s="1"/>
  <c r="AF564" i="12"/>
  <c r="AJ564" i="12" s="1"/>
  <c r="AF565" i="12"/>
  <c r="AF566" i="12"/>
  <c r="AJ566" i="12" s="1"/>
  <c r="AF567" i="12"/>
  <c r="AF568" i="12"/>
  <c r="AF569" i="12"/>
  <c r="AF570" i="12"/>
  <c r="AF571" i="12"/>
  <c r="AG571" i="12" s="1"/>
  <c r="AF572" i="12"/>
  <c r="AF573" i="12"/>
  <c r="AG573" i="12" s="1"/>
  <c r="AF574" i="12"/>
  <c r="AJ574" i="12" s="1"/>
  <c r="AF575" i="12"/>
  <c r="AG575" i="12" s="1"/>
  <c r="AF576" i="12"/>
  <c r="AF577" i="12"/>
  <c r="AH577" i="12" s="1"/>
  <c r="AF578" i="12"/>
  <c r="AF579" i="12"/>
  <c r="AF580" i="12"/>
  <c r="AH580" i="12" s="1"/>
  <c r="AF581" i="12"/>
  <c r="AI581" i="12" s="1"/>
  <c r="AF582" i="12"/>
  <c r="AG582" i="12" s="1"/>
  <c r="AF583" i="12"/>
  <c r="AF584" i="12"/>
  <c r="AI584" i="12" s="1"/>
  <c r="AF585" i="12"/>
  <c r="AI585" i="12" s="1"/>
  <c r="AF586" i="12"/>
  <c r="AG586" i="12" s="1"/>
  <c r="AF587" i="12"/>
  <c r="AF588" i="12"/>
  <c r="AG588" i="12" s="1"/>
  <c r="AF589" i="12"/>
  <c r="AF590" i="12"/>
  <c r="AJ590" i="12" s="1"/>
  <c r="AF591" i="12"/>
  <c r="AH591" i="12" s="1"/>
  <c r="AF592" i="12"/>
  <c r="AF593" i="12"/>
  <c r="AH593" i="12" s="1"/>
  <c r="AF594" i="12"/>
  <c r="AF595" i="12"/>
  <c r="AJ595" i="12" s="1"/>
  <c r="AF596" i="12"/>
  <c r="AF597" i="12"/>
  <c r="AI597" i="12" s="1"/>
  <c r="AF598" i="12"/>
  <c r="AJ598" i="12" s="1"/>
  <c r="AF599" i="12"/>
  <c r="AG599" i="12" s="1"/>
  <c r="AF600" i="12"/>
  <c r="AF601" i="12"/>
  <c r="AI601" i="12" s="1"/>
  <c r="AF602" i="12"/>
  <c r="AF603" i="12"/>
  <c r="AG603" i="12" s="1"/>
  <c r="AF604" i="12"/>
  <c r="AH604" i="12" s="1"/>
  <c r="AF605" i="12"/>
  <c r="AF606" i="12"/>
  <c r="AG606" i="12" s="1"/>
  <c r="AF607" i="12"/>
  <c r="AJ607" i="12" s="1"/>
  <c r="AF608" i="12"/>
  <c r="AG608" i="12" s="1"/>
  <c r="AF609" i="12"/>
  <c r="AF610" i="12"/>
  <c r="AJ610" i="12" s="1"/>
  <c r="AF611" i="12"/>
  <c r="AF612" i="12"/>
  <c r="AF613" i="12"/>
  <c r="AI613" i="12" s="1"/>
  <c r="AF614" i="12"/>
  <c r="AF615" i="12"/>
  <c r="AF616" i="12"/>
  <c r="AF617" i="12"/>
  <c r="AF618" i="12"/>
  <c r="AF619" i="12"/>
  <c r="AH619" i="12" s="1"/>
  <c r="AF620" i="12"/>
  <c r="AG620" i="12" s="1"/>
  <c r="AF621" i="12"/>
  <c r="AG621" i="12" s="1"/>
  <c r="AF622" i="12"/>
  <c r="AJ622" i="12" s="1"/>
  <c r="AF623" i="12"/>
  <c r="AH623" i="12" s="1"/>
  <c r="AF624" i="12"/>
  <c r="AF625" i="12"/>
  <c r="AH625" i="12" s="1"/>
  <c r="AF626" i="12"/>
  <c r="AG626" i="12" s="1"/>
  <c r="AF627" i="12"/>
  <c r="AJ627" i="12" s="1"/>
  <c r="AF628" i="12"/>
  <c r="AJ628" i="12" s="1"/>
  <c r="AF629" i="12"/>
  <c r="AF630" i="12"/>
  <c r="AJ630" i="12" s="1"/>
  <c r="AF631" i="12"/>
  <c r="AF632" i="12"/>
  <c r="AF633" i="12"/>
  <c r="AG633" i="12" s="1"/>
  <c r="AF634" i="12"/>
  <c r="AF635" i="12"/>
  <c r="AG635" i="12" s="1"/>
  <c r="AF636" i="12"/>
  <c r="AF637" i="12"/>
  <c r="AF638" i="12"/>
  <c r="AJ638" i="12" s="1"/>
  <c r="AF639" i="12"/>
  <c r="AG639" i="12" s="1"/>
  <c r="AF640" i="12"/>
  <c r="AF641" i="12"/>
  <c r="AH641" i="12" s="1"/>
  <c r="AF642" i="12"/>
  <c r="AF643" i="12"/>
  <c r="AF644" i="12"/>
  <c r="AF645" i="12"/>
  <c r="AI645" i="12" s="1"/>
  <c r="AF646" i="12"/>
  <c r="AG646" i="12" s="1"/>
  <c r="AF647" i="12"/>
  <c r="AF648" i="12"/>
  <c r="AI648" i="12" s="1"/>
  <c r="AF649" i="12"/>
  <c r="AF650" i="12"/>
  <c r="AG650" i="12" s="1"/>
  <c r="AF651" i="12"/>
  <c r="AF652" i="12"/>
  <c r="AG652" i="12" s="1"/>
  <c r="AF653" i="12"/>
  <c r="AI653" i="12" s="1"/>
  <c r="AF654" i="12"/>
  <c r="AJ654" i="12" s="1"/>
  <c r="AF655" i="12"/>
  <c r="AH655" i="12" s="1"/>
  <c r="AF656" i="12"/>
  <c r="AF657" i="12"/>
  <c r="AH657" i="12" s="1"/>
  <c r="AF658" i="12"/>
  <c r="AF659" i="12"/>
  <c r="AJ659" i="12" s="1"/>
  <c r="AF660" i="12"/>
  <c r="AF661" i="12"/>
  <c r="AI661" i="12" s="1"/>
  <c r="AF662" i="12"/>
  <c r="AJ662" i="12" s="1"/>
  <c r="AF663" i="12"/>
  <c r="AG663" i="12" s="1"/>
  <c r="AF664" i="12"/>
  <c r="AF665" i="12"/>
  <c r="AF666" i="12"/>
  <c r="AF667" i="12"/>
  <c r="AG667" i="12" s="1"/>
  <c r="AF668" i="12"/>
  <c r="AH668" i="12" s="1"/>
  <c r="AF669" i="12"/>
  <c r="AF670" i="12"/>
  <c r="AG670" i="12" s="1"/>
  <c r="AF671" i="12"/>
  <c r="AJ671" i="12" s="1"/>
  <c r="AF672" i="12"/>
  <c r="AF673" i="12"/>
  <c r="AF674" i="12"/>
  <c r="AJ674" i="12" s="1"/>
  <c r="AF675" i="12"/>
  <c r="AF676" i="12"/>
  <c r="AF677" i="12"/>
  <c r="AI677" i="12" s="1"/>
  <c r="AF678" i="12"/>
  <c r="AF679" i="12"/>
  <c r="AF680" i="12"/>
  <c r="AF681" i="12"/>
  <c r="AF682" i="12"/>
  <c r="AF683" i="12"/>
  <c r="AH683" i="12" s="1"/>
  <c r="AF684" i="12"/>
  <c r="AG684" i="12" s="1"/>
  <c r="AF685" i="12"/>
  <c r="AG685" i="12" s="1"/>
  <c r="AF686" i="12"/>
  <c r="AG686" i="12" s="1"/>
  <c r="AF687" i="12"/>
  <c r="AH687" i="12" s="1"/>
  <c r="AF688" i="12"/>
  <c r="AF689" i="12"/>
  <c r="AH689" i="12" s="1"/>
  <c r="AF690" i="12"/>
  <c r="AG690" i="12" s="1"/>
  <c r="AF691" i="12"/>
  <c r="AJ691" i="12" s="1"/>
  <c r="AF692" i="12"/>
  <c r="AJ692" i="12" s="1"/>
  <c r="AF693" i="12"/>
  <c r="AF694" i="12"/>
  <c r="AJ694" i="12" s="1"/>
  <c r="AF695" i="12"/>
  <c r="AF696" i="12"/>
  <c r="AG696" i="12" s="1"/>
  <c r="AF697" i="12"/>
  <c r="AF698" i="12"/>
  <c r="AF699" i="12"/>
  <c r="AG699" i="12" s="1"/>
  <c r="AF700" i="12"/>
  <c r="AJ700" i="12" s="1"/>
  <c r="AF701" i="12"/>
  <c r="AF702" i="12"/>
  <c r="AJ702" i="12" s="1"/>
  <c r="AF703" i="12"/>
  <c r="AG703" i="12" s="1"/>
  <c r="AF704" i="12"/>
  <c r="AF705" i="12"/>
  <c r="AH705" i="12" s="1"/>
  <c r="AF706" i="12"/>
  <c r="AF707" i="12"/>
  <c r="AF708" i="12"/>
  <c r="AF709" i="12"/>
  <c r="AI709" i="12" s="1"/>
  <c r="AF710" i="12"/>
  <c r="AG710" i="12" s="1"/>
  <c r="AF711" i="12"/>
  <c r="AF712" i="12"/>
  <c r="AI712" i="12" s="1"/>
  <c r="AF713" i="12"/>
  <c r="AF714" i="12"/>
  <c r="AG714" i="12" s="1"/>
  <c r="AF715" i="12"/>
  <c r="AF716" i="12"/>
  <c r="AG716" i="12" s="1"/>
  <c r="AF717" i="12"/>
  <c r="AI717" i="12" s="1"/>
  <c r="AF718" i="12"/>
  <c r="AJ718" i="12" s="1"/>
  <c r="AF719" i="12"/>
  <c r="AH719" i="12" s="1"/>
  <c r="AF720" i="12"/>
  <c r="AH720" i="12" s="1"/>
  <c r="AF721" i="12"/>
  <c r="AH721" i="12" s="1"/>
  <c r="AF722" i="12"/>
  <c r="AF723" i="12"/>
  <c r="AJ723" i="12" s="1"/>
  <c r="AF724" i="12"/>
  <c r="AF725" i="12"/>
  <c r="AI725" i="12" s="1"/>
  <c r="AF726" i="12"/>
  <c r="AJ726" i="12" s="1"/>
  <c r="AF727" i="12"/>
  <c r="AG727" i="12" s="1"/>
  <c r="AF728" i="12"/>
  <c r="AF729" i="12"/>
  <c r="AF730" i="12"/>
  <c r="AF731" i="12"/>
  <c r="AG731" i="12" s="1"/>
  <c r="AF732" i="12"/>
  <c r="AH732" i="12" s="1"/>
  <c r="AF733" i="12"/>
  <c r="AF734" i="12"/>
  <c r="AG734" i="12" s="1"/>
  <c r="AF735" i="12"/>
  <c r="AJ735" i="12" s="1"/>
  <c r="AF736" i="12"/>
  <c r="AF737" i="12"/>
  <c r="AF738" i="12"/>
  <c r="AJ738" i="12" s="1"/>
  <c r="AF739" i="12"/>
  <c r="AF740" i="12"/>
  <c r="AF741" i="12"/>
  <c r="AI741" i="12" s="1"/>
  <c r="AF742" i="12"/>
  <c r="AF743" i="12"/>
  <c r="AF744" i="12"/>
  <c r="AF745" i="12"/>
  <c r="AF746" i="12"/>
  <c r="AF747" i="12"/>
  <c r="AH747" i="12" s="1"/>
  <c r="AF748" i="12"/>
  <c r="AG748" i="12" s="1"/>
  <c r="AF749" i="12"/>
  <c r="AG749" i="12" s="1"/>
  <c r="AF750" i="12"/>
  <c r="AG750" i="12" s="1"/>
  <c r="AF751" i="12"/>
  <c r="AH751" i="12" s="1"/>
  <c r="AF752" i="12"/>
  <c r="AF753" i="12"/>
  <c r="AH753" i="12" s="1"/>
  <c r="AF754" i="12"/>
  <c r="AG754" i="12" s="1"/>
  <c r="AF755" i="12"/>
  <c r="AJ755" i="12" s="1"/>
  <c r="AF756" i="12"/>
  <c r="AJ756" i="12" s="1"/>
  <c r="AF757" i="12"/>
  <c r="AF758" i="12"/>
  <c r="AJ758" i="12" s="1"/>
  <c r="AF759" i="12"/>
  <c r="AF760" i="12"/>
  <c r="AF761" i="12"/>
  <c r="AG761" i="12" s="1"/>
  <c r="AF762" i="12"/>
  <c r="AF763" i="12"/>
  <c r="AG763" i="12" s="1"/>
  <c r="AF764" i="12"/>
  <c r="AF765" i="12"/>
  <c r="AF766" i="12"/>
  <c r="AJ766" i="12" s="1"/>
  <c r="AF767" i="12"/>
  <c r="AG767" i="12" s="1"/>
  <c r="AF768" i="12"/>
  <c r="AF769" i="12"/>
  <c r="AH769" i="12" s="1"/>
  <c r="AF770" i="12"/>
  <c r="AF771" i="12"/>
  <c r="AF772" i="12"/>
  <c r="AF773" i="12"/>
  <c r="AI773" i="12" s="1"/>
  <c r="AF774" i="12"/>
  <c r="AG774" i="12" s="1"/>
  <c r="AF775" i="12"/>
  <c r="AF776" i="12"/>
  <c r="AI776" i="12" s="1"/>
  <c r="AF777" i="12"/>
  <c r="AF778" i="12"/>
  <c r="AG778" i="12" s="1"/>
  <c r="AF779" i="12"/>
  <c r="AF780" i="12"/>
  <c r="AG780" i="12" s="1"/>
  <c r="AF781" i="12"/>
  <c r="AI781" i="12" s="1"/>
  <c r="AF782" i="12"/>
  <c r="AJ782" i="12" s="1"/>
  <c r="AF783" i="12"/>
  <c r="AH783" i="12" s="1"/>
  <c r="AF784" i="12"/>
  <c r="AF785" i="12"/>
  <c r="AH785" i="12" s="1"/>
  <c r="AF786" i="12"/>
  <c r="AG786" i="12" s="1"/>
  <c r="AF787" i="12"/>
  <c r="AJ787" i="12" s="1"/>
  <c r="AF788" i="12"/>
  <c r="AF789" i="12"/>
  <c r="AI789" i="12" s="1"/>
  <c r="AF790" i="12"/>
  <c r="AF791" i="12"/>
  <c r="AG791" i="12" s="1"/>
  <c r="AF792" i="12"/>
  <c r="AF793" i="12"/>
  <c r="AF794" i="12"/>
  <c r="AJ794" i="12" s="1"/>
  <c r="AF795" i="12"/>
  <c r="AG795" i="12" s="1"/>
  <c r="AF796" i="12"/>
  <c r="AF797" i="12"/>
  <c r="AF798" i="12"/>
  <c r="AJ798" i="12" s="1"/>
  <c r="AF799" i="12"/>
  <c r="AJ799" i="12" s="1"/>
  <c r="AF800" i="12"/>
  <c r="AF801" i="12"/>
  <c r="AF802" i="12"/>
  <c r="AG802" i="12" s="1"/>
  <c r="AF803" i="12"/>
  <c r="AF804" i="12"/>
  <c r="AF805" i="12"/>
  <c r="AI805" i="12" s="1"/>
  <c r="AF806" i="12"/>
  <c r="AJ806" i="12" s="1"/>
  <c r="AF807" i="12"/>
  <c r="AF808" i="12"/>
  <c r="AH808" i="12" s="1"/>
  <c r="AF809" i="12"/>
  <c r="AF810" i="12"/>
  <c r="AG810" i="12" s="1"/>
  <c r="AF811" i="12"/>
  <c r="AH811" i="12" s="1"/>
  <c r="AF812" i="12"/>
  <c r="AF813" i="12"/>
  <c r="AG813" i="12" s="1"/>
  <c r="AF814" i="12"/>
  <c r="AG814" i="12" s="1"/>
  <c r="AF815" i="12"/>
  <c r="AH815" i="12" s="1"/>
  <c r="AF816" i="12"/>
  <c r="AF817" i="12"/>
  <c r="AH817" i="12" s="1"/>
  <c r="AF818" i="12"/>
  <c r="AF819" i="12"/>
  <c r="AJ819" i="12" s="1"/>
  <c r="AF820" i="12"/>
  <c r="AF821" i="12"/>
  <c r="AF822" i="12"/>
  <c r="AG822" i="12" s="1"/>
  <c r="AF823" i="12"/>
  <c r="AF824" i="12"/>
  <c r="AF825" i="12"/>
  <c r="AG825" i="12" s="1"/>
  <c r="AF826" i="12"/>
  <c r="AG826" i="12" s="1"/>
  <c r="AF827" i="12"/>
  <c r="AG827" i="12" s="1"/>
  <c r="AF828" i="12"/>
  <c r="AF829" i="12"/>
  <c r="AF830" i="12"/>
  <c r="AF831" i="12"/>
  <c r="AG831" i="12" s="1"/>
  <c r="AF832" i="12"/>
  <c r="AF833" i="12"/>
  <c r="AH833" i="12" s="1"/>
  <c r="AF834" i="12"/>
  <c r="AJ834" i="12" s="1"/>
  <c r="AF835" i="12"/>
  <c r="AF836" i="12"/>
  <c r="AF837" i="12"/>
  <c r="AI837" i="12" s="1"/>
  <c r="AF838" i="12"/>
  <c r="AG838" i="12" s="1"/>
  <c r="AF839" i="12"/>
  <c r="AF840" i="12"/>
  <c r="AF841" i="12"/>
  <c r="AF842" i="12"/>
  <c r="AJ842" i="12" s="1"/>
  <c r="AF843" i="12"/>
  <c r="AF844" i="12"/>
  <c r="AF845" i="12"/>
  <c r="AF846" i="12"/>
  <c r="AJ846" i="12" s="1"/>
  <c r="AF847" i="12"/>
  <c r="AH847" i="12" s="1"/>
  <c r="AF848" i="12"/>
  <c r="AF849" i="12"/>
  <c r="AH849" i="12" s="1"/>
  <c r="AF850" i="12"/>
  <c r="AG850" i="12" s="1"/>
  <c r="AF851" i="12"/>
  <c r="AJ851" i="12" s="1"/>
  <c r="AF852" i="12"/>
  <c r="AF853" i="12"/>
  <c r="AI853" i="12" s="1"/>
  <c r="AF854" i="12"/>
  <c r="AF855" i="12"/>
  <c r="AG855" i="12" s="1"/>
  <c r="AF856" i="12"/>
  <c r="AF857" i="12"/>
  <c r="AF858" i="12"/>
  <c r="AJ858" i="12" s="1"/>
  <c r="AF859" i="12"/>
  <c r="AG859" i="12" s="1"/>
  <c r="AF860" i="12"/>
  <c r="AF861" i="12"/>
  <c r="AF862" i="12"/>
  <c r="AJ862" i="12" s="1"/>
  <c r="AF863" i="12"/>
  <c r="AJ863" i="12" s="1"/>
  <c r="AF864" i="12"/>
  <c r="AF865" i="12"/>
  <c r="AF866" i="12"/>
  <c r="AG866" i="12" s="1"/>
  <c r="AF867" i="12"/>
  <c r="AF868" i="12"/>
  <c r="AF869" i="12"/>
  <c r="AI869" i="12" s="1"/>
  <c r="AF870" i="12"/>
  <c r="AJ870" i="12" s="1"/>
  <c r="AF871" i="12"/>
  <c r="AF872" i="12"/>
  <c r="AF873" i="12"/>
  <c r="AF874" i="12"/>
  <c r="AJ874" i="12" s="1"/>
  <c r="AF875" i="12"/>
  <c r="AH875" i="12" s="1"/>
  <c r="AF876" i="12"/>
  <c r="AF877" i="12"/>
  <c r="AG877" i="12" s="1"/>
  <c r="AF878" i="12"/>
  <c r="AG878" i="12" s="1"/>
  <c r="AF879" i="12"/>
  <c r="AH879" i="12" s="1"/>
  <c r="AF880" i="12"/>
  <c r="AF881" i="12"/>
  <c r="AH881" i="12" s="1"/>
  <c r="AF882" i="12"/>
  <c r="AF883" i="12"/>
  <c r="AJ883" i="12" s="1"/>
  <c r="AF884" i="12"/>
  <c r="AG884" i="12" s="1"/>
  <c r="AF885" i="12"/>
  <c r="AF886" i="12"/>
  <c r="AG886" i="12" s="1"/>
  <c r="AF887" i="12"/>
  <c r="AF888" i="12"/>
  <c r="AF889" i="12"/>
  <c r="AG889" i="12" s="1"/>
  <c r="AF890" i="12"/>
  <c r="AG890" i="12" s="1"/>
  <c r="AF891" i="12"/>
  <c r="AG891" i="12" s="1"/>
  <c r="AF892" i="12"/>
  <c r="AF893" i="12"/>
  <c r="AF894" i="12"/>
  <c r="AF895" i="12"/>
  <c r="AG895" i="12" s="1"/>
  <c r="AF896" i="12"/>
  <c r="AF897" i="12"/>
  <c r="AH897" i="12" s="1"/>
  <c r="AF898" i="12"/>
  <c r="AJ898" i="12" s="1"/>
  <c r="AF899" i="12"/>
  <c r="AF900" i="12"/>
  <c r="AF901" i="12"/>
  <c r="AI901" i="12" s="1"/>
  <c r="AF902" i="12"/>
  <c r="AG902" i="12" s="1"/>
  <c r="AF903" i="12"/>
  <c r="AF904" i="12"/>
  <c r="AF905" i="12"/>
  <c r="AF906" i="12"/>
  <c r="AJ906" i="12" s="1"/>
  <c r="AF907" i="12"/>
  <c r="AF908" i="12"/>
  <c r="AF909" i="12"/>
  <c r="AI909" i="12" s="1"/>
  <c r="AF910" i="12"/>
  <c r="AG910" i="12" s="1"/>
  <c r="AF911" i="12"/>
  <c r="AH911" i="12" s="1"/>
  <c r="AF912" i="12"/>
  <c r="AF913" i="12"/>
  <c r="AH913" i="12" s="1"/>
  <c r="AF914" i="12"/>
  <c r="AJ914" i="12" s="1"/>
  <c r="AF915" i="12"/>
  <c r="AJ915" i="12" s="1"/>
  <c r="AF916" i="12"/>
  <c r="AF917" i="12"/>
  <c r="AI917" i="12" s="1"/>
  <c r="AF918" i="12"/>
  <c r="AG918" i="12" s="1"/>
  <c r="AF919" i="12"/>
  <c r="AG919" i="12" s="1"/>
  <c r="AF920" i="12"/>
  <c r="AF921" i="12"/>
  <c r="AF922" i="12"/>
  <c r="AG922" i="12" s="1"/>
  <c r="AF923" i="12"/>
  <c r="AG923" i="12" s="1"/>
  <c r="AF924" i="12"/>
  <c r="AF925" i="12"/>
  <c r="AF926" i="12"/>
  <c r="AJ926" i="12" s="1"/>
  <c r="AF927" i="12"/>
  <c r="AJ927" i="12" s="1"/>
  <c r="AF928" i="12"/>
  <c r="AF929" i="12"/>
  <c r="AF930" i="12"/>
  <c r="AG930" i="12" s="1"/>
  <c r="AF931" i="12"/>
  <c r="AF932" i="12"/>
  <c r="AF933" i="12"/>
  <c r="AI933" i="12" s="1"/>
  <c r="AF934" i="12"/>
  <c r="AG934" i="12" s="1"/>
  <c r="AF935" i="12"/>
  <c r="AF936" i="12"/>
  <c r="AF937" i="12"/>
  <c r="AF938" i="12"/>
  <c r="AG938" i="12" s="1"/>
  <c r="AF939" i="12"/>
  <c r="AF940" i="12"/>
  <c r="AF941" i="12"/>
  <c r="AF942" i="12"/>
  <c r="AF943" i="12"/>
  <c r="AF944" i="12"/>
  <c r="AJ944" i="12" s="1"/>
  <c r="AF945" i="12"/>
  <c r="AH945" i="12" s="1"/>
  <c r="AF946" i="12"/>
  <c r="AJ946" i="12" s="1"/>
  <c r="AF947" i="12"/>
  <c r="AF948" i="12"/>
  <c r="AF949" i="12"/>
  <c r="AF950" i="12"/>
  <c r="AG950" i="12" s="1"/>
  <c r="AF951" i="12"/>
  <c r="AF952" i="12"/>
  <c r="AF953" i="12"/>
  <c r="AF954" i="12"/>
  <c r="AG954" i="12" s="1"/>
  <c r="AF955" i="12"/>
  <c r="AG955" i="12" s="1"/>
  <c r="AF956" i="12"/>
  <c r="AF957" i="12"/>
  <c r="AG957" i="12" s="1"/>
  <c r="AF958" i="12"/>
  <c r="AG958" i="12" s="1"/>
  <c r="AF959" i="12"/>
  <c r="AG959" i="12" s="1"/>
  <c r="AF960" i="12"/>
  <c r="AF961" i="12"/>
  <c r="AH961" i="12" s="1"/>
  <c r="AF962" i="12"/>
  <c r="AG962" i="12" s="1"/>
  <c r="AF963" i="12"/>
  <c r="AF964" i="12"/>
  <c r="AF965" i="12"/>
  <c r="AI965" i="12" s="1"/>
  <c r="AF966" i="12"/>
  <c r="AF967" i="12"/>
  <c r="AF968" i="12"/>
  <c r="AF969" i="12"/>
  <c r="AI969" i="12" s="1"/>
  <c r="AF970" i="12"/>
  <c r="AJ970" i="12" s="1"/>
  <c r="AF971" i="12"/>
  <c r="AF972" i="12"/>
  <c r="AH972" i="12" s="1"/>
  <c r="AF973" i="12"/>
  <c r="AI973" i="12" s="1"/>
  <c r="AF974" i="12"/>
  <c r="AJ974" i="12" s="1"/>
  <c r="AF975" i="12"/>
  <c r="AH975" i="12" s="1"/>
  <c r="AF976" i="12"/>
  <c r="AF977" i="12"/>
  <c r="AH977" i="12" s="1"/>
  <c r="AF978" i="12"/>
  <c r="AJ978" i="12" s="1"/>
  <c r="AF979" i="12"/>
  <c r="AJ979" i="12" s="1"/>
  <c r="AF980" i="12"/>
  <c r="AF981" i="12"/>
  <c r="AI981" i="12" s="1"/>
  <c r="AF982" i="12"/>
  <c r="AJ982" i="12" s="1"/>
  <c r="AF983" i="12"/>
  <c r="AG983" i="12" s="1"/>
  <c r="AF984" i="12"/>
  <c r="AF985" i="12"/>
  <c r="AF986" i="12"/>
  <c r="AJ986" i="12" s="1"/>
  <c r="AF987" i="12"/>
  <c r="AG987" i="12" s="1"/>
  <c r="AF988" i="12"/>
  <c r="AF989" i="12"/>
  <c r="AF990" i="12"/>
  <c r="AF991" i="12"/>
  <c r="AF992" i="12"/>
  <c r="AF993" i="12"/>
  <c r="AF994" i="12"/>
  <c r="AG994" i="12" s="1"/>
  <c r="AF995" i="12"/>
  <c r="AF996" i="12"/>
  <c r="AF997" i="12"/>
  <c r="AJ997" i="12" s="1"/>
  <c r="AF998" i="12"/>
  <c r="AJ998" i="12" s="1"/>
  <c r="AF999" i="12"/>
  <c r="AG999" i="12" s="1"/>
  <c r="AF1000" i="12"/>
  <c r="AF1001" i="12"/>
  <c r="AF1002" i="12"/>
  <c r="AG1002" i="12" s="1"/>
  <c r="AF1003" i="12"/>
  <c r="AD1009" i="12"/>
  <c r="AD1017" i="12" s="1"/>
  <c r="AD1010" i="12"/>
  <c r="AC1010" i="12" s="1"/>
  <c r="W1430" i="10"/>
  <c r="W1429" i="10"/>
  <c r="W1428" i="10"/>
  <c r="W1427" i="10"/>
  <c r="W1426" i="10"/>
  <c r="W1425" i="10"/>
  <c r="W1424" i="10"/>
  <c r="W1423" i="10"/>
  <c r="W1422" i="10"/>
  <c r="W1421" i="10"/>
  <c r="W1420" i="10"/>
  <c r="W1419" i="10"/>
  <c r="W1418" i="10"/>
  <c r="W1417" i="10"/>
  <c r="W1416" i="10"/>
  <c r="W1415" i="10"/>
  <c r="W1414" i="10"/>
  <c r="W1413" i="10"/>
  <c r="W1412" i="10"/>
  <c r="W1411" i="10"/>
  <c r="W1410" i="10"/>
  <c r="W1409" i="10"/>
  <c r="W1408" i="10"/>
  <c r="W1407" i="10"/>
  <c r="W1406" i="10"/>
  <c r="W1405" i="10"/>
  <c r="W1404" i="10"/>
  <c r="W1403" i="10"/>
  <c r="W1402" i="10"/>
  <c r="AB1402" i="10" s="1"/>
  <c r="W1401" i="10"/>
  <c r="W1400" i="10"/>
  <c r="W1399" i="10"/>
  <c r="W1398" i="10"/>
  <c r="W1397" i="10"/>
  <c r="W1396" i="10"/>
  <c r="W1395" i="10"/>
  <c r="W1394" i="10"/>
  <c r="W1393" i="10"/>
  <c r="W1391" i="10"/>
  <c r="W1390" i="10"/>
  <c r="W1389" i="10"/>
  <c r="AC1389" i="10" s="1"/>
  <c r="W1387" i="10"/>
  <c r="W1385" i="10"/>
  <c r="W1383" i="10"/>
  <c r="W1382" i="10"/>
  <c r="W1381" i="10"/>
  <c r="W1380" i="10"/>
  <c r="F1025" i="14"/>
  <c r="F1033" i="14"/>
  <c r="W1020" i="11"/>
  <c r="L1012" i="14"/>
  <c r="AF4" i="12"/>
  <c r="J188" i="8"/>
  <c r="L188" i="8" s="1"/>
  <c r="K28" i="8" s="1"/>
  <c r="M204" i="8" s="1"/>
  <c r="M206" i="8" s="1"/>
  <c r="Q8" i="13" s="1"/>
  <c r="P188" i="8"/>
  <c r="D7" i="14"/>
  <c r="D8" i="14" s="1"/>
  <c r="Q188" i="8"/>
  <c r="R188" i="8"/>
  <c r="S188" i="8"/>
  <c r="T188" i="8"/>
  <c r="U188" i="8"/>
  <c r="V188" i="8"/>
  <c r="W188" i="8"/>
  <c r="X188" i="8"/>
  <c r="Y188" i="8"/>
  <c r="Z188" i="8"/>
  <c r="AA188" i="8"/>
  <c r="B45" i="10"/>
  <c r="J1122" i="10" s="1"/>
  <c r="R19" i="16"/>
  <c r="H64" i="10"/>
  <c r="C64" i="10"/>
  <c r="K64" i="10"/>
  <c r="X1006" i="10"/>
  <c r="M10" i="16"/>
  <c r="J187" i="8"/>
  <c r="L187" i="8" s="1"/>
  <c r="K104" i="17"/>
  <c r="C104" i="17"/>
  <c r="G77" i="17"/>
  <c r="I42" i="17"/>
  <c r="K27" i="17"/>
  <c r="F7" i="17"/>
  <c r="B105" i="8"/>
  <c r="B155" i="8" s="1"/>
  <c r="T34" i="16"/>
  <c r="J138" i="18"/>
  <c r="B139" i="18" s="1"/>
  <c r="L148" i="18"/>
  <c r="B149" i="18" s="1"/>
  <c r="B156" i="18"/>
  <c r="C150" i="18"/>
  <c r="C156" i="18"/>
  <c r="C155" i="18"/>
  <c r="C154" i="18"/>
  <c r="C151" i="18"/>
  <c r="C149" i="18"/>
  <c r="K148" i="18"/>
  <c r="I138" i="18"/>
  <c r="L88" i="10"/>
  <c r="C67" i="10"/>
  <c r="AD1011" i="12"/>
  <c r="AD1012" i="12"/>
  <c r="AD1013" i="12"/>
  <c r="AD1014" i="12"/>
  <c r="AD1015" i="12"/>
  <c r="Z187" i="8"/>
  <c r="B22" i="11"/>
  <c r="B51" i="10"/>
  <c r="B20" i="12"/>
  <c r="H4" i="14"/>
  <c r="S3" i="13"/>
  <c r="S31" i="11"/>
  <c r="S8" i="11"/>
  <c r="B16" i="11"/>
  <c r="S7" i="10"/>
  <c r="S7" i="12"/>
  <c r="T54" i="16"/>
  <c r="T42" i="16"/>
  <c r="Z2" i="10"/>
  <c r="W1023" i="11"/>
  <c r="V5" i="11"/>
  <c r="V6" i="11" s="1"/>
  <c r="V7" i="11" s="1"/>
  <c r="V8" i="11" s="1"/>
  <c r="V9" i="11" s="1"/>
  <c r="V10" i="11" s="1"/>
  <c r="V11" i="11" s="1"/>
  <c r="V12" i="11" s="1"/>
  <c r="V13" i="11" s="1"/>
  <c r="V14" i="11" s="1"/>
  <c r="V15" i="11" s="1"/>
  <c r="V16" i="11" s="1"/>
  <c r="V17" i="11" s="1"/>
  <c r="V18" i="11" s="1"/>
  <c r="V19" i="11" s="1"/>
  <c r="V20" i="11" s="1"/>
  <c r="V21" i="11" s="1"/>
  <c r="V22" i="11" s="1"/>
  <c r="V23" i="11" s="1"/>
  <c r="V24" i="11" s="1"/>
  <c r="V25" i="11" s="1"/>
  <c r="V26" i="11" s="1"/>
  <c r="V27" i="11" s="1"/>
  <c r="V28" i="11" s="1"/>
  <c r="V29" i="11" s="1"/>
  <c r="V30" i="11" s="1"/>
  <c r="V31" i="11" s="1"/>
  <c r="V32" i="11" s="1"/>
  <c r="V33" i="11" s="1"/>
  <c r="V34" i="11" s="1"/>
  <c r="V35" i="11" s="1"/>
  <c r="V36" i="11" s="1"/>
  <c r="V37" i="11" s="1"/>
  <c r="V38" i="11" s="1"/>
  <c r="V39" i="11" s="1"/>
  <c r="V40" i="11" s="1"/>
  <c r="V41" i="11" s="1"/>
  <c r="V42" i="11" s="1"/>
  <c r="V43" i="11" s="1"/>
  <c r="V44" i="11" s="1"/>
  <c r="V45" i="11" s="1"/>
  <c r="V46" i="11" s="1"/>
  <c r="V47" i="11" s="1"/>
  <c r="V48" i="11" s="1"/>
  <c r="V49" i="11" s="1"/>
  <c r="V50" i="11" s="1"/>
  <c r="V51" i="11" s="1"/>
  <c r="V52" i="11" s="1"/>
  <c r="V53" i="11" s="1"/>
  <c r="V54" i="11" s="1"/>
  <c r="V55" i="11" s="1"/>
  <c r="V56" i="11" s="1"/>
  <c r="V57" i="11" s="1"/>
  <c r="V58" i="11" s="1"/>
  <c r="V59" i="11" s="1"/>
  <c r="V60" i="11" s="1"/>
  <c r="V61" i="11" s="1"/>
  <c r="V62" i="11" s="1"/>
  <c r="V63" i="11" s="1"/>
  <c r="V64" i="11" s="1"/>
  <c r="V65" i="11" s="1"/>
  <c r="V66" i="11" s="1"/>
  <c r="V67" i="11" s="1"/>
  <c r="V68" i="11" s="1"/>
  <c r="V69" i="11" s="1"/>
  <c r="V70" i="11" s="1"/>
  <c r="V71" i="11" s="1"/>
  <c r="V72" i="11" s="1"/>
  <c r="V73" i="11" s="1"/>
  <c r="V74" i="11" s="1"/>
  <c r="V75" i="11" s="1"/>
  <c r="V76" i="11" s="1"/>
  <c r="V77" i="11" s="1"/>
  <c r="V78" i="11" s="1"/>
  <c r="V79" i="11" s="1"/>
  <c r="V80" i="11" s="1"/>
  <c r="V81" i="11" s="1"/>
  <c r="V82" i="11" s="1"/>
  <c r="V83" i="11" s="1"/>
  <c r="V84" i="11" s="1"/>
  <c r="V85" i="11" s="1"/>
  <c r="V86" i="11" s="1"/>
  <c r="V87" i="11" s="1"/>
  <c r="V88" i="11" s="1"/>
  <c r="V89" i="11" s="1"/>
  <c r="V90" i="11" s="1"/>
  <c r="V91" i="11" s="1"/>
  <c r="V92" i="11" s="1"/>
  <c r="V93" i="11" s="1"/>
  <c r="V94" i="11" s="1"/>
  <c r="V95" i="11" s="1"/>
  <c r="V96" i="11" s="1"/>
  <c r="V97" i="11" s="1"/>
  <c r="V98" i="11" s="1"/>
  <c r="V99" i="11" s="1"/>
  <c r="V100" i="11" s="1"/>
  <c r="V101" i="11" s="1"/>
  <c r="V102" i="11" s="1"/>
  <c r="V103" i="11" s="1"/>
  <c r="V104" i="11" s="1"/>
  <c r="V105" i="11" s="1"/>
  <c r="V106" i="11" s="1"/>
  <c r="V107" i="11" s="1"/>
  <c r="V108" i="11" s="1"/>
  <c r="V109" i="11" s="1"/>
  <c r="V110" i="11" s="1"/>
  <c r="V111" i="11" s="1"/>
  <c r="V112" i="11" s="1"/>
  <c r="V113" i="11" s="1"/>
  <c r="V114" i="11" s="1"/>
  <c r="V115" i="11" s="1"/>
  <c r="V116" i="11" s="1"/>
  <c r="V117" i="11" s="1"/>
  <c r="V118" i="11" s="1"/>
  <c r="V119" i="11" s="1"/>
  <c r="V120" i="11" s="1"/>
  <c r="V121" i="11" s="1"/>
  <c r="V122" i="11" s="1"/>
  <c r="V123" i="11" s="1"/>
  <c r="V124" i="11" s="1"/>
  <c r="V125" i="11" s="1"/>
  <c r="V126" i="11" s="1"/>
  <c r="V127" i="11" s="1"/>
  <c r="V128" i="11" s="1"/>
  <c r="V129" i="11" s="1"/>
  <c r="V130" i="11" s="1"/>
  <c r="V131" i="11" s="1"/>
  <c r="V132" i="11" s="1"/>
  <c r="V133" i="11" s="1"/>
  <c r="V134" i="11" s="1"/>
  <c r="V135" i="11" s="1"/>
  <c r="V136" i="11" s="1"/>
  <c r="V137" i="11" s="1"/>
  <c r="V138" i="11" s="1"/>
  <c r="V139" i="11" s="1"/>
  <c r="V140" i="11" s="1"/>
  <c r="V141" i="11" s="1"/>
  <c r="V142" i="11" s="1"/>
  <c r="V143" i="11" s="1"/>
  <c r="V144" i="11" s="1"/>
  <c r="V145" i="11" s="1"/>
  <c r="V146" i="11" s="1"/>
  <c r="V147" i="11" s="1"/>
  <c r="V148" i="11" s="1"/>
  <c r="V149" i="11" s="1"/>
  <c r="V150" i="11" s="1"/>
  <c r="V151" i="11" s="1"/>
  <c r="V152" i="11" s="1"/>
  <c r="V153" i="11" s="1"/>
  <c r="V154" i="11" s="1"/>
  <c r="V155" i="11" s="1"/>
  <c r="V156" i="11" s="1"/>
  <c r="V157" i="11" s="1"/>
  <c r="V158" i="11" s="1"/>
  <c r="V159" i="11" s="1"/>
  <c r="V160" i="11" s="1"/>
  <c r="V161" i="11" s="1"/>
  <c r="V162" i="11" s="1"/>
  <c r="V163" i="11" s="1"/>
  <c r="V164" i="11" s="1"/>
  <c r="V165" i="11" s="1"/>
  <c r="V166" i="11" s="1"/>
  <c r="V167" i="11" s="1"/>
  <c r="V168" i="11" s="1"/>
  <c r="V169" i="11" s="1"/>
  <c r="V170" i="11" s="1"/>
  <c r="V171" i="11" s="1"/>
  <c r="V172" i="11" s="1"/>
  <c r="V173" i="11" s="1"/>
  <c r="V174" i="11" s="1"/>
  <c r="V175" i="11" s="1"/>
  <c r="V176" i="11" s="1"/>
  <c r="V177" i="11" s="1"/>
  <c r="V178" i="11" s="1"/>
  <c r="V179" i="11" s="1"/>
  <c r="V180" i="11" s="1"/>
  <c r="V181" i="11" s="1"/>
  <c r="V182" i="11" s="1"/>
  <c r="V183" i="11" s="1"/>
  <c r="V184" i="11" s="1"/>
  <c r="V185" i="11" s="1"/>
  <c r="V186" i="11" s="1"/>
  <c r="V187" i="11" s="1"/>
  <c r="V188" i="11" s="1"/>
  <c r="V189" i="11" s="1"/>
  <c r="V190" i="11" s="1"/>
  <c r="V191" i="11" s="1"/>
  <c r="V192" i="11" s="1"/>
  <c r="V193" i="11" s="1"/>
  <c r="V194" i="11" s="1"/>
  <c r="V195" i="11" s="1"/>
  <c r="V196" i="11" s="1"/>
  <c r="V197" i="11" s="1"/>
  <c r="V198" i="11" s="1"/>
  <c r="V199" i="11" s="1"/>
  <c r="V200" i="11" s="1"/>
  <c r="V201" i="11" s="1"/>
  <c r="V202" i="11" s="1"/>
  <c r="V203" i="11" s="1"/>
  <c r="V204" i="11" s="1"/>
  <c r="V205" i="11" s="1"/>
  <c r="V206" i="11" s="1"/>
  <c r="V207" i="11" s="1"/>
  <c r="V208" i="11" s="1"/>
  <c r="V209" i="11" s="1"/>
  <c r="V210" i="11" s="1"/>
  <c r="V211" i="11" s="1"/>
  <c r="V212" i="11" s="1"/>
  <c r="V213" i="11" s="1"/>
  <c r="V214" i="11" s="1"/>
  <c r="V215" i="11" s="1"/>
  <c r="V216" i="11" s="1"/>
  <c r="V217" i="11" s="1"/>
  <c r="V218" i="11" s="1"/>
  <c r="V219" i="11" s="1"/>
  <c r="V220" i="11" s="1"/>
  <c r="V221" i="11" s="1"/>
  <c r="V222" i="11" s="1"/>
  <c r="V223" i="11" s="1"/>
  <c r="V224" i="11" s="1"/>
  <c r="V225" i="11" s="1"/>
  <c r="V226" i="11" s="1"/>
  <c r="V227" i="11" s="1"/>
  <c r="V228" i="11" s="1"/>
  <c r="V229" i="11" s="1"/>
  <c r="V230" i="11" s="1"/>
  <c r="V231" i="11" s="1"/>
  <c r="V232" i="11" s="1"/>
  <c r="V233" i="11" s="1"/>
  <c r="V234" i="11" s="1"/>
  <c r="V235" i="11" s="1"/>
  <c r="V236" i="11" s="1"/>
  <c r="V237" i="11" s="1"/>
  <c r="V238" i="11" s="1"/>
  <c r="V239" i="11" s="1"/>
  <c r="V240" i="11" s="1"/>
  <c r="V241" i="11" s="1"/>
  <c r="V242" i="11" s="1"/>
  <c r="V243" i="11" s="1"/>
  <c r="V244" i="11" s="1"/>
  <c r="V245" i="11" s="1"/>
  <c r="V246" i="11" s="1"/>
  <c r="V247" i="11" s="1"/>
  <c r="V248" i="11" s="1"/>
  <c r="V249" i="11" s="1"/>
  <c r="V250" i="11" s="1"/>
  <c r="V251" i="11" s="1"/>
  <c r="V252" i="11" s="1"/>
  <c r="V253" i="11" s="1"/>
  <c r="V254" i="11" s="1"/>
  <c r="V255" i="11" s="1"/>
  <c r="V256" i="11" s="1"/>
  <c r="V257" i="11" s="1"/>
  <c r="V258" i="11" s="1"/>
  <c r="V259" i="11" s="1"/>
  <c r="V260" i="11" s="1"/>
  <c r="V261" i="11" s="1"/>
  <c r="V262" i="11" s="1"/>
  <c r="V263" i="11" s="1"/>
  <c r="V264" i="11" s="1"/>
  <c r="V265" i="11" s="1"/>
  <c r="V266" i="11" s="1"/>
  <c r="V267" i="11" s="1"/>
  <c r="V268" i="11" s="1"/>
  <c r="V269" i="11" s="1"/>
  <c r="V270" i="11" s="1"/>
  <c r="V271" i="11" s="1"/>
  <c r="V272" i="11" s="1"/>
  <c r="V273" i="11" s="1"/>
  <c r="V274" i="11" s="1"/>
  <c r="V275" i="11" s="1"/>
  <c r="V276" i="11" s="1"/>
  <c r="V277" i="11" s="1"/>
  <c r="V278" i="11" s="1"/>
  <c r="V279" i="11" s="1"/>
  <c r="V280" i="11" s="1"/>
  <c r="V281" i="11" s="1"/>
  <c r="V282" i="11" s="1"/>
  <c r="V283" i="11" s="1"/>
  <c r="V284" i="11" s="1"/>
  <c r="V285" i="11" s="1"/>
  <c r="V286" i="11" s="1"/>
  <c r="V287" i="11" s="1"/>
  <c r="V288" i="11" s="1"/>
  <c r="V289" i="11" s="1"/>
  <c r="V290" i="11" s="1"/>
  <c r="V291" i="11" s="1"/>
  <c r="V292" i="11" s="1"/>
  <c r="V293" i="11" s="1"/>
  <c r="V294" i="11" s="1"/>
  <c r="V295" i="11" s="1"/>
  <c r="V296" i="11" s="1"/>
  <c r="V297" i="11" s="1"/>
  <c r="V298" i="11" s="1"/>
  <c r="V299" i="11" s="1"/>
  <c r="V300" i="11" s="1"/>
  <c r="V301" i="11" s="1"/>
  <c r="V302" i="11" s="1"/>
  <c r="V303" i="11" s="1"/>
  <c r="V304" i="11" s="1"/>
  <c r="V305" i="11" s="1"/>
  <c r="V306" i="11" s="1"/>
  <c r="V307" i="11" s="1"/>
  <c r="V308" i="11" s="1"/>
  <c r="V309" i="11" s="1"/>
  <c r="V310" i="11" s="1"/>
  <c r="V311" i="11" s="1"/>
  <c r="V312" i="11" s="1"/>
  <c r="V313" i="11" s="1"/>
  <c r="V314" i="11" s="1"/>
  <c r="V315" i="11" s="1"/>
  <c r="V316" i="11" s="1"/>
  <c r="V317" i="11" s="1"/>
  <c r="V318" i="11" s="1"/>
  <c r="V319" i="11" s="1"/>
  <c r="V320" i="11" s="1"/>
  <c r="V321" i="11" s="1"/>
  <c r="V322" i="11" s="1"/>
  <c r="V323" i="11" s="1"/>
  <c r="V324" i="11" s="1"/>
  <c r="V325" i="11" s="1"/>
  <c r="V326" i="11" s="1"/>
  <c r="V327" i="11" s="1"/>
  <c r="V328" i="11" s="1"/>
  <c r="V329" i="11" s="1"/>
  <c r="V330" i="11" s="1"/>
  <c r="V331" i="11" s="1"/>
  <c r="V332" i="11" s="1"/>
  <c r="V333" i="11" s="1"/>
  <c r="V334" i="11" s="1"/>
  <c r="V335" i="11" s="1"/>
  <c r="V336" i="11" s="1"/>
  <c r="V337" i="11" s="1"/>
  <c r="V338" i="11" s="1"/>
  <c r="V339" i="11" s="1"/>
  <c r="V340" i="11" s="1"/>
  <c r="V341" i="11" s="1"/>
  <c r="V342" i="11" s="1"/>
  <c r="V343" i="11" s="1"/>
  <c r="V344" i="11" s="1"/>
  <c r="V345" i="11" s="1"/>
  <c r="V346" i="11" s="1"/>
  <c r="V347" i="11" s="1"/>
  <c r="V348" i="11" s="1"/>
  <c r="V349" i="11" s="1"/>
  <c r="V350" i="11" s="1"/>
  <c r="V351" i="11" s="1"/>
  <c r="V352" i="11" s="1"/>
  <c r="V353" i="11" s="1"/>
  <c r="V354" i="11" s="1"/>
  <c r="V355" i="11" s="1"/>
  <c r="V356" i="11" s="1"/>
  <c r="V357" i="11" s="1"/>
  <c r="V358" i="11" s="1"/>
  <c r="V359" i="11" s="1"/>
  <c r="V360" i="11" s="1"/>
  <c r="V361" i="11" s="1"/>
  <c r="V362" i="11" s="1"/>
  <c r="V363" i="11" s="1"/>
  <c r="V364" i="11" s="1"/>
  <c r="V365" i="11" s="1"/>
  <c r="V366" i="11" s="1"/>
  <c r="V367" i="11" s="1"/>
  <c r="V368" i="11" s="1"/>
  <c r="V369" i="11" s="1"/>
  <c r="V370" i="11" s="1"/>
  <c r="V371" i="11" s="1"/>
  <c r="V372" i="11" s="1"/>
  <c r="V373" i="11" s="1"/>
  <c r="V374" i="11" s="1"/>
  <c r="V375" i="11" s="1"/>
  <c r="V376" i="11" s="1"/>
  <c r="V377" i="11" s="1"/>
  <c r="V378" i="11" s="1"/>
  <c r="V379" i="11" s="1"/>
  <c r="V380" i="11" s="1"/>
  <c r="V381" i="11" s="1"/>
  <c r="V382" i="11" s="1"/>
  <c r="V383" i="11" s="1"/>
  <c r="V384" i="11" s="1"/>
  <c r="V385" i="11" s="1"/>
  <c r="V386" i="11" s="1"/>
  <c r="V387" i="11" s="1"/>
  <c r="V388" i="11" s="1"/>
  <c r="V389" i="11" s="1"/>
  <c r="V390" i="11" s="1"/>
  <c r="V391" i="11" s="1"/>
  <c r="V392" i="11" s="1"/>
  <c r="V393" i="11" s="1"/>
  <c r="V394" i="11" s="1"/>
  <c r="V395" i="11" s="1"/>
  <c r="V396" i="11" s="1"/>
  <c r="V397" i="11" s="1"/>
  <c r="V398" i="11" s="1"/>
  <c r="V399" i="11" s="1"/>
  <c r="V400" i="11" s="1"/>
  <c r="V401" i="11" s="1"/>
  <c r="V402" i="11" s="1"/>
  <c r="V403" i="11" s="1"/>
  <c r="V404" i="11" s="1"/>
  <c r="V405" i="11" s="1"/>
  <c r="V406" i="11" s="1"/>
  <c r="V407" i="11" s="1"/>
  <c r="V408" i="11" s="1"/>
  <c r="V409" i="11" s="1"/>
  <c r="V410" i="11" s="1"/>
  <c r="V411" i="11" s="1"/>
  <c r="V412" i="11" s="1"/>
  <c r="V413" i="11" s="1"/>
  <c r="V414" i="11" s="1"/>
  <c r="V415" i="11" s="1"/>
  <c r="V416" i="11" s="1"/>
  <c r="V417" i="11" s="1"/>
  <c r="V418" i="11" s="1"/>
  <c r="V419" i="11" s="1"/>
  <c r="V420" i="11" s="1"/>
  <c r="V421" i="11" s="1"/>
  <c r="V422" i="11" s="1"/>
  <c r="V423" i="11" s="1"/>
  <c r="V424" i="11" s="1"/>
  <c r="V425" i="11" s="1"/>
  <c r="V426" i="11" s="1"/>
  <c r="V427" i="11" s="1"/>
  <c r="V428" i="11" s="1"/>
  <c r="V429" i="11" s="1"/>
  <c r="V430" i="11" s="1"/>
  <c r="V431" i="11" s="1"/>
  <c r="V432" i="11" s="1"/>
  <c r="V433" i="11" s="1"/>
  <c r="V434" i="11" s="1"/>
  <c r="V435" i="11" s="1"/>
  <c r="V436" i="11" s="1"/>
  <c r="V437" i="11" s="1"/>
  <c r="V438" i="11" s="1"/>
  <c r="V439" i="11" s="1"/>
  <c r="V440" i="11" s="1"/>
  <c r="V441" i="11" s="1"/>
  <c r="V442" i="11" s="1"/>
  <c r="V443" i="11" s="1"/>
  <c r="V444" i="11" s="1"/>
  <c r="V445" i="11" s="1"/>
  <c r="V446" i="11" s="1"/>
  <c r="V447" i="11" s="1"/>
  <c r="V448" i="11" s="1"/>
  <c r="V449" i="11" s="1"/>
  <c r="V450" i="11" s="1"/>
  <c r="V451" i="11" s="1"/>
  <c r="V452" i="11" s="1"/>
  <c r="V453" i="11" s="1"/>
  <c r="V454" i="11" s="1"/>
  <c r="V455" i="11" s="1"/>
  <c r="V456" i="11" s="1"/>
  <c r="V457" i="11" s="1"/>
  <c r="V458" i="11" s="1"/>
  <c r="V459" i="11" s="1"/>
  <c r="V460" i="11" s="1"/>
  <c r="V461" i="11" s="1"/>
  <c r="V462" i="11" s="1"/>
  <c r="V463" i="11" s="1"/>
  <c r="V464" i="11" s="1"/>
  <c r="V465" i="11" s="1"/>
  <c r="V466" i="11" s="1"/>
  <c r="V467" i="11" s="1"/>
  <c r="V468" i="11" s="1"/>
  <c r="V469" i="11" s="1"/>
  <c r="V470" i="11" s="1"/>
  <c r="V471" i="11" s="1"/>
  <c r="V472" i="11" s="1"/>
  <c r="V473" i="11" s="1"/>
  <c r="V474" i="11" s="1"/>
  <c r="V475" i="11" s="1"/>
  <c r="V476" i="11" s="1"/>
  <c r="V477" i="11" s="1"/>
  <c r="V478" i="11" s="1"/>
  <c r="V479" i="11" s="1"/>
  <c r="V480" i="11" s="1"/>
  <c r="V481" i="11" s="1"/>
  <c r="V482" i="11" s="1"/>
  <c r="V483" i="11" s="1"/>
  <c r="V484" i="11" s="1"/>
  <c r="V485" i="11" s="1"/>
  <c r="V486" i="11" s="1"/>
  <c r="V487" i="11" s="1"/>
  <c r="V488" i="11" s="1"/>
  <c r="V489" i="11" s="1"/>
  <c r="V490" i="11" s="1"/>
  <c r="V491" i="11" s="1"/>
  <c r="V492" i="11" s="1"/>
  <c r="V493" i="11" s="1"/>
  <c r="V494" i="11" s="1"/>
  <c r="V495" i="11" s="1"/>
  <c r="V496" i="11" s="1"/>
  <c r="V497" i="11" s="1"/>
  <c r="V498" i="11" s="1"/>
  <c r="V499" i="11" s="1"/>
  <c r="V500" i="11" s="1"/>
  <c r="V501" i="11" s="1"/>
  <c r="V502" i="11" s="1"/>
  <c r="V503" i="11" s="1"/>
  <c r="V504" i="11" s="1"/>
  <c r="V505" i="11" s="1"/>
  <c r="V506" i="11" s="1"/>
  <c r="V507" i="11" s="1"/>
  <c r="V508" i="11" s="1"/>
  <c r="V509" i="11" s="1"/>
  <c r="V510" i="11" s="1"/>
  <c r="V511" i="11" s="1"/>
  <c r="V512" i="11" s="1"/>
  <c r="V513" i="11" s="1"/>
  <c r="V514" i="11" s="1"/>
  <c r="V515" i="11" s="1"/>
  <c r="V516" i="11" s="1"/>
  <c r="V517" i="11" s="1"/>
  <c r="V518" i="11" s="1"/>
  <c r="V519" i="11" s="1"/>
  <c r="V520" i="11" s="1"/>
  <c r="V521" i="11" s="1"/>
  <c r="V522" i="11" s="1"/>
  <c r="V523" i="11" s="1"/>
  <c r="V524" i="11" s="1"/>
  <c r="V525" i="11" s="1"/>
  <c r="V526" i="11" s="1"/>
  <c r="V527" i="11" s="1"/>
  <c r="V528" i="11" s="1"/>
  <c r="V529" i="11" s="1"/>
  <c r="V530" i="11" s="1"/>
  <c r="V531" i="11" s="1"/>
  <c r="V532" i="11" s="1"/>
  <c r="V533" i="11" s="1"/>
  <c r="V534" i="11" s="1"/>
  <c r="V535" i="11" s="1"/>
  <c r="V536" i="11" s="1"/>
  <c r="V537" i="11" s="1"/>
  <c r="V538" i="11" s="1"/>
  <c r="V539" i="11" s="1"/>
  <c r="V540" i="11" s="1"/>
  <c r="V541" i="11" s="1"/>
  <c r="V542" i="11" s="1"/>
  <c r="V543" i="11" s="1"/>
  <c r="V544" i="11" s="1"/>
  <c r="V545" i="11" s="1"/>
  <c r="V546" i="11" s="1"/>
  <c r="V547" i="11" s="1"/>
  <c r="V548" i="11" s="1"/>
  <c r="V549" i="11" s="1"/>
  <c r="V550" i="11" s="1"/>
  <c r="V551" i="11" s="1"/>
  <c r="V552" i="11" s="1"/>
  <c r="V553" i="11" s="1"/>
  <c r="V554" i="11" s="1"/>
  <c r="V555" i="11" s="1"/>
  <c r="V556" i="11" s="1"/>
  <c r="V557" i="11" s="1"/>
  <c r="V558" i="11" s="1"/>
  <c r="V559" i="11" s="1"/>
  <c r="V560" i="11" s="1"/>
  <c r="V561" i="11" s="1"/>
  <c r="V562" i="11" s="1"/>
  <c r="V563" i="11" s="1"/>
  <c r="V564" i="11" s="1"/>
  <c r="V565" i="11" s="1"/>
  <c r="V566" i="11" s="1"/>
  <c r="V567" i="11" s="1"/>
  <c r="V568" i="11" s="1"/>
  <c r="V569" i="11" s="1"/>
  <c r="V570" i="11" s="1"/>
  <c r="V571" i="11" s="1"/>
  <c r="V572" i="11" s="1"/>
  <c r="V573" i="11" s="1"/>
  <c r="V574" i="11" s="1"/>
  <c r="V575" i="11" s="1"/>
  <c r="V576" i="11" s="1"/>
  <c r="V577" i="11" s="1"/>
  <c r="V578" i="11" s="1"/>
  <c r="V579" i="11" s="1"/>
  <c r="V580" i="11" s="1"/>
  <c r="V581" i="11" s="1"/>
  <c r="V582" i="11" s="1"/>
  <c r="V583" i="11" s="1"/>
  <c r="V584" i="11" s="1"/>
  <c r="V585" i="11" s="1"/>
  <c r="V586" i="11" s="1"/>
  <c r="V587" i="11" s="1"/>
  <c r="V588" i="11" s="1"/>
  <c r="V589" i="11" s="1"/>
  <c r="V590" i="11" s="1"/>
  <c r="V591" i="11" s="1"/>
  <c r="V592" i="11" s="1"/>
  <c r="V593" i="11" s="1"/>
  <c r="V594" i="11" s="1"/>
  <c r="V595" i="11" s="1"/>
  <c r="V596" i="11" s="1"/>
  <c r="V597" i="11" s="1"/>
  <c r="V598" i="11" s="1"/>
  <c r="V599" i="11" s="1"/>
  <c r="V600" i="11" s="1"/>
  <c r="V601" i="11" s="1"/>
  <c r="V602" i="11" s="1"/>
  <c r="V603" i="11" s="1"/>
  <c r="V604" i="11" s="1"/>
  <c r="V605" i="11" s="1"/>
  <c r="V606" i="11" s="1"/>
  <c r="V607" i="11" s="1"/>
  <c r="V608" i="11" s="1"/>
  <c r="V609" i="11" s="1"/>
  <c r="V610" i="11" s="1"/>
  <c r="V611" i="11" s="1"/>
  <c r="V612" i="11" s="1"/>
  <c r="V613" i="11" s="1"/>
  <c r="V614" i="11" s="1"/>
  <c r="V615" i="11" s="1"/>
  <c r="V616" i="11" s="1"/>
  <c r="V617" i="11" s="1"/>
  <c r="V618" i="11" s="1"/>
  <c r="V619" i="11" s="1"/>
  <c r="V620" i="11" s="1"/>
  <c r="V621" i="11" s="1"/>
  <c r="V622" i="11" s="1"/>
  <c r="V623" i="11" s="1"/>
  <c r="V624" i="11" s="1"/>
  <c r="V625" i="11" s="1"/>
  <c r="V626" i="11" s="1"/>
  <c r="V627" i="11" s="1"/>
  <c r="V628" i="11" s="1"/>
  <c r="V629" i="11" s="1"/>
  <c r="V630" i="11" s="1"/>
  <c r="V631" i="11" s="1"/>
  <c r="V632" i="11" s="1"/>
  <c r="V633" i="11" s="1"/>
  <c r="V634" i="11" s="1"/>
  <c r="V635" i="11" s="1"/>
  <c r="V636" i="11" s="1"/>
  <c r="V637" i="11" s="1"/>
  <c r="V638" i="11" s="1"/>
  <c r="V639" i="11" s="1"/>
  <c r="V640" i="11" s="1"/>
  <c r="V641" i="11" s="1"/>
  <c r="V642" i="11" s="1"/>
  <c r="V643" i="11" s="1"/>
  <c r="V644" i="11" s="1"/>
  <c r="V645" i="11" s="1"/>
  <c r="V646" i="11" s="1"/>
  <c r="V647" i="11" s="1"/>
  <c r="V648" i="11" s="1"/>
  <c r="V649" i="11" s="1"/>
  <c r="V650" i="11" s="1"/>
  <c r="V651" i="11" s="1"/>
  <c r="V652" i="11" s="1"/>
  <c r="V653" i="11" s="1"/>
  <c r="V654" i="11" s="1"/>
  <c r="V655" i="11" s="1"/>
  <c r="V656" i="11" s="1"/>
  <c r="V657" i="11" s="1"/>
  <c r="V658" i="11" s="1"/>
  <c r="V659" i="11" s="1"/>
  <c r="V660" i="11" s="1"/>
  <c r="V661" i="11" s="1"/>
  <c r="V662" i="11" s="1"/>
  <c r="V663" i="11" s="1"/>
  <c r="V664" i="11" s="1"/>
  <c r="V665" i="11" s="1"/>
  <c r="V666" i="11" s="1"/>
  <c r="V667" i="11" s="1"/>
  <c r="V668" i="11" s="1"/>
  <c r="V669" i="11" s="1"/>
  <c r="V670" i="11" s="1"/>
  <c r="V671" i="11" s="1"/>
  <c r="V672" i="11" s="1"/>
  <c r="V673" i="11" s="1"/>
  <c r="V674" i="11" s="1"/>
  <c r="V675" i="11" s="1"/>
  <c r="V676" i="11" s="1"/>
  <c r="V677" i="11" s="1"/>
  <c r="V678" i="11" s="1"/>
  <c r="V679" i="11" s="1"/>
  <c r="V680" i="11" s="1"/>
  <c r="V681" i="11" s="1"/>
  <c r="V682" i="11" s="1"/>
  <c r="V683" i="11" s="1"/>
  <c r="V684" i="11" s="1"/>
  <c r="V685" i="11" s="1"/>
  <c r="V686" i="11" s="1"/>
  <c r="V687" i="11" s="1"/>
  <c r="V688" i="11" s="1"/>
  <c r="V689" i="11" s="1"/>
  <c r="V690" i="11" s="1"/>
  <c r="V691" i="11" s="1"/>
  <c r="V692" i="11" s="1"/>
  <c r="V693" i="11" s="1"/>
  <c r="V694" i="11" s="1"/>
  <c r="V695" i="11" s="1"/>
  <c r="V696" i="11" s="1"/>
  <c r="V697" i="11" s="1"/>
  <c r="V698" i="11" s="1"/>
  <c r="V699" i="11" s="1"/>
  <c r="V700" i="11" s="1"/>
  <c r="V701" i="11" s="1"/>
  <c r="V702" i="11" s="1"/>
  <c r="V703" i="11" s="1"/>
  <c r="V704" i="11" s="1"/>
  <c r="V705" i="11" s="1"/>
  <c r="V706" i="11" s="1"/>
  <c r="V707" i="11" s="1"/>
  <c r="V708" i="11" s="1"/>
  <c r="V709" i="11" s="1"/>
  <c r="V710" i="11" s="1"/>
  <c r="V711" i="11" s="1"/>
  <c r="V712" i="11" s="1"/>
  <c r="V713" i="11" s="1"/>
  <c r="V714" i="11" s="1"/>
  <c r="V715" i="11" s="1"/>
  <c r="V716" i="11" s="1"/>
  <c r="V717" i="11" s="1"/>
  <c r="V718" i="11" s="1"/>
  <c r="V719" i="11" s="1"/>
  <c r="V720" i="11" s="1"/>
  <c r="V721" i="11" s="1"/>
  <c r="V722" i="11" s="1"/>
  <c r="V723" i="11" s="1"/>
  <c r="V724" i="11" s="1"/>
  <c r="V725" i="11" s="1"/>
  <c r="V726" i="11" s="1"/>
  <c r="V727" i="11" s="1"/>
  <c r="V728" i="11" s="1"/>
  <c r="V729" i="11" s="1"/>
  <c r="V730" i="11" s="1"/>
  <c r="V731" i="11" s="1"/>
  <c r="V732" i="11" s="1"/>
  <c r="V733" i="11" s="1"/>
  <c r="V734" i="11" s="1"/>
  <c r="V735" i="11" s="1"/>
  <c r="V736" i="11" s="1"/>
  <c r="V737" i="11" s="1"/>
  <c r="V738" i="11" s="1"/>
  <c r="V739" i="11" s="1"/>
  <c r="V740" i="11" s="1"/>
  <c r="V741" i="11" s="1"/>
  <c r="V742" i="11" s="1"/>
  <c r="V743" i="11" s="1"/>
  <c r="V744" i="11" s="1"/>
  <c r="V745" i="11" s="1"/>
  <c r="V746" i="11" s="1"/>
  <c r="V747" i="11" s="1"/>
  <c r="V748" i="11" s="1"/>
  <c r="V749" i="11" s="1"/>
  <c r="V750" i="11" s="1"/>
  <c r="V751" i="11" s="1"/>
  <c r="V752" i="11" s="1"/>
  <c r="V753" i="11" s="1"/>
  <c r="V754" i="11" s="1"/>
  <c r="V755" i="11" s="1"/>
  <c r="V756" i="11" s="1"/>
  <c r="V757" i="11" s="1"/>
  <c r="V758" i="11" s="1"/>
  <c r="V759" i="11" s="1"/>
  <c r="V760" i="11" s="1"/>
  <c r="V761" i="11" s="1"/>
  <c r="V762" i="11" s="1"/>
  <c r="V763" i="11" s="1"/>
  <c r="V764" i="11" s="1"/>
  <c r="V765" i="11" s="1"/>
  <c r="V766" i="11" s="1"/>
  <c r="V767" i="11" s="1"/>
  <c r="V768" i="11" s="1"/>
  <c r="V769" i="11" s="1"/>
  <c r="V770" i="11" s="1"/>
  <c r="V771" i="11" s="1"/>
  <c r="V772" i="11" s="1"/>
  <c r="V773" i="11" s="1"/>
  <c r="V774" i="11" s="1"/>
  <c r="V775" i="11" s="1"/>
  <c r="V776" i="11" s="1"/>
  <c r="V777" i="11" s="1"/>
  <c r="V778" i="11" s="1"/>
  <c r="V779" i="11" s="1"/>
  <c r="V780" i="11" s="1"/>
  <c r="V781" i="11" s="1"/>
  <c r="V782" i="11" s="1"/>
  <c r="V783" i="11" s="1"/>
  <c r="V784" i="11" s="1"/>
  <c r="V785" i="11" s="1"/>
  <c r="V786" i="11" s="1"/>
  <c r="V787" i="11" s="1"/>
  <c r="V788" i="11" s="1"/>
  <c r="V789" i="11" s="1"/>
  <c r="V790" i="11" s="1"/>
  <c r="V791" i="11" s="1"/>
  <c r="V792" i="11" s="1"/>
  <c r="V793" i="11" s="1"/>
  <c r="V794" i="11" s="1"/>
  <c r="V795" i="11" s="1"/>
  <c r="V796" i="11" s="1"/>
  <c r="V797" i="11" s="1"/>
  <c r="V798" i="11" s="1"/>
  <c r="V799" i="11" s="1"/>
  <c r="V800" i="11" s="1"/>
  <c r="V801" i="11" s="1"/>
  <c r="V802" i="11" s="1"/>
  <c r="V803" i="11" s="1"/>
  <c r="V804" i="11" s="1"/>
  <c r="V805" i="11" s="1"/>
  <c r="V806" i="11" s="1"/>
  <c r="V807" i="11" s="1"/>
  <c r="V808" i="11" s="1"/>
  <c r="V809" i="11" s="1"/>
  <c r="V810" i="11" s="1"/>
  <c r="V811" i="11" s="1"/>
  <c r="V812" i="11" s="1"/>
  <c r="V813" i="11" s="1"/>
  <c r="V814" i="11" s="1"/>
  <c r="V815" i="11" s="1"/>
  <c r="V816" i="11" s="1"/>
  <c r="V817" i="11" s="1"/>
  <c r="V818" i="11" s="1"/>
  <c r="V819" i="11" s="1"/>
  <c r="V820" i="11" s="1"/>
  <c r="V821" i="11" s="1"/>
  <c r="V822" i="11" s="1"/>
  <c r="V823" i="11" s="1"/>
  <c r="V824" i="11" s="1"/>
  <c r="V825" i="11" s="1"/>
  <c r="V826" i="11" s="1"/>
  <c r="V827" i="11" s="1"/>
  <c r="V828" i="11" s="1"/>
  <c r="V829" i="11" s="1"/>
  <c r="V830" i="11" s="1"/>
  <c r="V831" i="11" s="1"/>
  <c r="V832" i="11" s="1"/>
  <c r="V833" i="11" s="1"/>
  <c r="V834" i="11" s="1"/>
  <c r="V835" i="11" s="1"/>
  <c r="V836" i="11" s="1"/>
  <c r="V837" i="11" s="1"/>
  <c r="V838" i="11" s="1"/>
  <c r="V839" i="11" s="1"/>
  <c r="V840" i="11" s="1"/>
  <c r="V841" i="11" s="1"/>
  <c r="V842" i="11" s="1"/>
  <c r="V843" i="11" s="1"/>
  <c r="V844" i="11" s="1"/>
  <c r="V845" i="11" s="1"/>
  <c r="V846" i="11" s="1"/>
  <c r="V847" i="11" s="1"/>
  <c r="V848" i="11" s="1"/>
  <c r="V849" i="11" s="1"/>
  <c r="V850" i="11" s="1"/>
  <c r="V851" i="11" s="1"/>
  <c r="V852" i="11" s="1"/>
  <c r="V853" i="11" s="1"/>
  <c r="V854" i="11" s="1"/>
  <c r="V855" i="11" s="1"/>
  <c r="V856" i="11" s="1"/>
  <c r="V857" i="11" s="1"/>
  <c r="V858" i="11" s="1"/>
  <c r="V859" i="11" s="1"/>
  <c r="V860" i="11" s="1"/>
  <c r="V861" i="11" s="1"/>
  <c r="V862" i="11" s="1"/>
  <c r="V863" i="11" s="1"/>
  <c r="V864" i="11" s="1"/>
  <c r="V865" i="11" s="1"/>
  <c r="V866" i="11" s="1"/>
  <c r="V867" i="11" s="1"/>
  <c r="V868" i="11" s="1"/>
  <c r="V869" i="11" s="1"/>
  <c r="V870" i="11" s="1"/>
  <c r="V871" i="11" s="1"/>
  <c r="V872" i="11" s="1"/>
  <c r="V873" i="11" s="1"/>
  <c r="V874" i="11" s="1"/>
  <c r="V875" i="11" s="1"/>
  <c r="V876" i="11" s="1"/>
  <c r="V877" i="11" s="1"/>
  <c r="V878" i="11" s="1"/>
  <c r="V879" i="11" s="1"/>
  <c r="V880" i="11" s="1"/>
  <c r="V881" i="11" s="1"/>
  <c r="V882" i="11" s="1"/>
  <c r="V883" i="11" s="1"/>
  <c r="V884" i="11" s="1"/>
  <c r="V885" i="11" s="1"/>
  <c r="V886" i="11" s="1"/>
  <c r="V887" i="11" s="1"/>
  <c r="V888" i="11" s="1"/>
  <c r="V889" i="11" s="1"/>
  <c r="V890" i="11" s="1"/>
  <c r="V891" i="11" s="1"/>
  <c r="V892" i="11" s="1"/>
  <c r="V893" i="11" s="1"/>
  <c r="V894" i="11" s="1"/>
  <c r="V895" i="11" s="1"/>
  <c r="V896" i="11" s="1"/>
  <c r="V897" i="11" s="1"/>
  <c r="V898" i="11" s="1"/>
  <c r="V899" i="11" s="1"/>
  <c r="V900" i="11" s="1"/>
  <c r="V901" i="11" s="1"/>
  <c r="V902" i="11" s="1"/>
  <c r="V903" i="11" s="1"/>
  <c r="V904" i="11" s="1"/>
  <c r="V905" i="11" s="1"/>
  <c r="V906" i="11" s="1"/>
  <c r="V907" i="11" s="1"/>
  <c r="V908" i="11" s="1"/>
  <c r="V909" i="11" s="1"/>
  <c r="V910" i="11" s="1"/>
  <c r="V911" i="11" s="1"/>
  <c r="V912" i="11" s="1"/>
  <c r="V913" i="11" s="1"/>
  <c r="V914" i="11" s="1"/>
  <c r="V915" i="11" s="1"/>
  <c r="V916" i="11" s="1"/>
  <c r="V917" i="11" s="1"/>
  <c r="V918" i="11" s="1"/>
  <c r="V919" i="11" s="1"/>
  <c r="V920" i="11" s="1"/>
  <c r="V921" i="11" s="1"/>
  <c r="V922" i="11" s="1"/>
  <c r="V923" i="11" s="1"/>
  <c r="V924" i="11" s="1"/>
  <c r="V925" i="11" s="1"/>
  <c r="V926" i="11" s="1"/>
  <c r="V927" i="11" s="1"/>
  <c r="V928" i="11" s="1"/>
  <c r="V929" i="11" s="1"/>
  <c r="V930" i="11" s="1"/>
  <c r="V931" i="11" s="1"/>
  <c r="V932" i="11" s="1"/>
  <c r="V933" i="11" s="1"/>
  <c r="V934" i="11" s="1"/>
  <c r="V935" i="11" s="1"/>
  <c r="V936" i="11" s="1"/>
  <c r="V937" i="11" s="1"/>
  <c r="V938" i="11" s="1"/>
  <c r="V939" i="11" s="1"/>
  <c r="V940" i="11" s="1"/>
  <c r="V941" i="11" s="1"/>
  <c r="V942" i="11" s="1"/>
  <c r="V943" i="11" s="1"/>
  <c r="V944" i="11" s="1"/>
  <c r="V945" i="11" s="1"/>
  <c r="V946" i="11" s="1"/>
  <c r="V947" i="11" s="1"/>
  <c r="V948" i="11" s="1"/>
  <c r="V949" i="11" s="1"/>
  <c r="V950" i="11" s="1"/>
  <c r="V951" i="11" s="1"/>
  <c r="V952" i="11" s="1"/>
  <c r="V953" i="11" s="1"/>
  <c r="V954" i="11" s="1"/>
  <c r="V955" i="11" s="1"/>
  <c r="V956" i="11" s="1"/>
  <c r="V957" i="11" s="1"/>
  <c r="V958" i="11" s="1"/>
  <c r="V959" i="11" s="1"/>
  <c r="V960" i="11" s="1"/>
  <c r="V961" i="11" s="1"/>
  <c r="V962" i="11" s="1"/>
  <c r="V963" i="11" s="1"/>
  <c r="V964" i="11" s="1"/>
  <c r="V965" i="11" s="1"/>
  <c r="V966" i="11" s="1"/>
  <c r="V967" i="11" s="1"/>
  <c r="V968" i="11" s="1"/>
  <c r="V969" i="11" s="1"/>
  <c r="V970" i="11" s="1"/>
  <c r="V971" i="11" s="1"/>
  <c r="V972" i="11" s="1"/>
  <c r="V973" i="11" s="1"/>
  <c r="V974" i="11" s="1"/>
  <c r="V975" i="11" s="1"/>
  <c r="V976" i="11" s="1"/>
  <c r="V977" i="11" s="1"/>
  <c r="V978" i="11" s="1"/>
  <c r="V979" i="11" s="1"/>
  <c r="V980" i="11" s="1"/>
  <c r="V981" i="11" s="1"/>
  <c r="V982" i="11" s="1"/>
  <c r="V983" i="11" s="1"/>
  <c r="V984" i="11" s="1"/>
  <c r="V985" i="11" s="1"/>
  <c r="V986" i="11" s="1"/>
  <c r="V987" i="11" s="1"/>
  <c r="V988" i="11" s="1"/>
  <c r="V989" i="11" s="1"/>
  <c r="V990" i="11" s="1"/>
  <c r="V991" i="11" s="1"/>
  <c r="V992" i="11" s="1"/>
  <c r="V993" i="11" s="1"/>
  <c r="V994" i="11" s="1"/>
  <c r="V995" i="11" s="1"/>
  <c r="V996" i="11" s="1"/>
  <c r="V997" i="11" s="1"/>
  <c r="V998" i="11" s="1"/>
  <c r="V999" i="11" s="1"/>
  <c r="V1000" i="11" s="1"/>
  <c r="V1001" i="11" s="1"/>
  <c r="V1002" i="11" s="1"/>
  <c r="V1003" i="11" s="1"/>
  <c r="B62" i="13"/>
  <c r="B66" i="13"/>
  <c r="B70" i="13"/>
  <c r="B74" i="13"/>
  <c r="B78" i="13"/>
  <c r="B65" i="13"/>
  <c r="B69" i="13"/>
  <c r="B73" i="13"/>
  <c r="B77" i="13"/>
  <c r="B61" i="13"/>
  <c r="B76" i="13"/>
  <c r="B64" i="13"/>
  <c r="B68" i="13"/>
  <c r="B72" i="13"/>
  <c r="B60" i="13"/>
  <c r="S59" i="10"/>
  <c r="E59" i="10"/>
  <c r="B59" i="10"/>
  <c r="S30" i="12"/>
  <c r="W1436" i="10"/>
  <c r="V5" i="10"/>
  <c r="V6" i="10" s="1"/>
  <c r="V7" i="10" s="1"/>
  <c r="V8" i="10" s="1"/>
  <c r="V9" i="10" s="1"/>
  <c r="V10" i="10" s="1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V73" i="10" s="1"/>
  <c r="V74" i="10" s="1"/>
  <c r="V75" i="10" s="1"/>
  <c r="V76" i="10" s="1"/>
  <c r="V77" i="10" s="1"/>
  <c r="V78" i="10" s="1"/>
  <c r="V79" i="10" s="1"/>
  <c r="V80" i="10" s="1"/>
  <c r="V81" i="10" s="1"/>
  <c r="V82" i="10" s="1"/>
  <c r="V83" i="10" s="1"/>
  <c r="V84" i="10" s="1"/>
  <c r="V85" i="10" s="1"/>
  <c r="V86" i="10" s="1"/>
  <c r="V87" i="10" s="1"/>
  <c r="V88" i="10" s="1"/>
  <c r="V89" i="10" s="1"/>
  <c r="V90" i="10" s="1"/>
  <c r="V91" i="10" s="1"/>
  <c r="V92" i="10" s="1"/>
  <c r="V93" i="10" s="1"/>
  <c r="V94" i="10" s="1"/>
  <c r="V95" i="10" s="1"/>
  <c r="V96" i="10" s="1"/>
  <c r="V97" i="10" s="1"/>
  <c r="V98" i="10" s="1"/>
  <c r="V99" i="10" s="1"/>
  <c r="V100" i="10" s="1"/>
  <c r="V101" i="10" s="1"/>
  <c r="V102" i="10" s="1"/>
  <c r="V103" i="10" s="1"/>
  <c r="V104" i="10" s="1"/>
  <c r="V105" i="10" s="1"/>
  <c r="V106" i="10" s="1"/>
  <c r="V107" i="10" s="1"/>
  <c r="V108" i="10" s="1"/>
  <c r="V109" i="10" s="1"/>
  <c r="V110" i="10" s="1"/>
  <c r="V111" i="10" s="1"/>
  <c r="V112" i="10" s="1"/>
  <c r="V113" i="10" s="1"/>
  <c r="V114" i="10" s="1"/>
  <c r="V115" i="10" s="1"/>
  <c r="V116" i="10" s="1"/>
  <c r="V117" i="10" s="1"/>
  <c r="V118" i="10" s="1"/>
  <c r="V119" i="10" s="1"/>
  <c r="V120" i="10" s="1"/>
  <c r="V121" i="10" s="1"/>
  <c r="V122" i="10" s="1"/>
  <c r="V123" i="10" s="1"/>
  <c r="V124" i="10" s="1"/>
  <c r="V125" i="10" s="1"/>
  <c r="V126" i="10" s="1"/>
  <c r="V127" i="10" s="1"/>
  <c r="V128" i="10" s="1"/>
  <c r="V129" i="10" s="1"/>
  <c r="V130" i="10" s="1"/>
  <c r="V131" i="10" s="1"/>
  <c r="V132" i="10" s="1"/>
  <c r="V133" i="10" s="1"/>
  <c r="V134" i="10" s="1"/>
  <c r="V135" i="10" s="1"/>
  <c r="V136" i="10" s="1"/>
  <c r="V137" i="10" s="1"/>
  <c r="V138" i="10" s="1"/>
  <c r="V139" i="10" s="1"/>
  <c r="V140" i="10" s="1"/>
  <c r="V141" i="10" s="1"/>
  <c r="V142" i="10" s="1"/>
  <c r="V143" i="10" s="1"/>
  <c r="V144" i="10" s="1"/>
  <c r="V145" i="10" s="1"/>
  <c r="V146" i="10" s="1"/>
  <c r="V147" i="10" s="1"/>
  <c r="V148" i="10" s="1"/>
  <c r="V149" i="10" s="1"/>
  <c r="V150" i="10" s="1"/>
  <c r="V151" i="10" s="1"/>
  <c r="V152" i="10" s="1"/>
  <c r="V153" i="10" s="1"/>
  <c r="V154" i="10" s="1"/>
  <c r="V155" i="10" s="1"/>
  <c r="V156" i="10" s="1"/>
  <c r="V157" i="10" s="1"/>
  <c r="V158" i="10" s="1"/>
  <c r="V159" i="10" s="1"/>
  <c r="V160" i="10" s="1"/>
  <c r="V161" i="10" s="1"/>
  <c r="V162" i="10" s="1"/>
  <c r="V163" i="10" s="1"/>
  <c r="V164" i="10" s="1"/>
  <c r="V165" i="10" s="1"/>
  <c r="V166" i="10" s="1"/>
  <c r="V167" i="10" s="1"/>
  <c r="V168" i="10" s="1"/>
  <c r="V169" i="10" s="1"/>
  <c r="V170" i="10" s="1"/>
  <c r="V171" i="10" s="1"/>
  <c r="V172" i="10" s="1"/>
  <c r="V173" i="10" s="1"/>
  <c r="V174" i="10" s="1"/>
  <c r="V175" i="10" s="1"/>
  <c r="V176" i="10" s="1"/>
  <c r="V177" i="10" s="1"/>
  <c r="V178" i="10" s="1"/>
  <c r="V179" i="10" s="1"/>
  <c r="V180" i="10" s="1"/>
  <c r="V181" i="10" s="1"/>
  <c r="V182" i="10" s="1"/>
  <c r="V183" i="10" s="1"/>
  <c r="V184" i="10" s="1"/>
  <c r="V185" i="10" s="1"/>
  <c r="V186" i="10" s="1"/>
  <c r="V187" i="10" s="1"/>
  <c r="V188" i="10" s="1"/>
  <c r="V189" i="10" s="1"/>
  <c r="V190" i="10" s="1"/>
  <c r="V191" i="10" s="1"/>
  <c r="V192" i="10" s="1"/>
  <c r="V193" i="10" s="1"/>
  <c r="V194" i="10" s="1"/>
  <c r="V195" i="10" s="1"/>
  <c r="V196" i="10" s="1"/>
  <c r="V197" i="10" s="1"/>
  <c r="V198" i="10" s="1"/>
  <c r="V199" i="10" s="1"/>
  <c r="V200" i="10" s="1"/>
  <c r="V201" i="10" s="1"/>
  <c r="V202" i="10" s="1"/>
  <c r="V203" i="10" s="1"/>
  <c r="V204" i="10" s="1"/>
  <c r="V205" i="10" s="1"/>
  <c r="V206" i="10" s="1"/>
  <c r="V207" i="10" s="1"/>
  <c r="V208" i="10" s="1"/>
  <c r="V209" i="10" s="1"/>
  <c r="V210" i="10" s="1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V502" i="10" s="1"/>
  <c r="V503" i="10" s="1"/>
  <c r="V504" i="10" s="1"/>
  <c r="V505" i="10" s="1"/>
  <c r="V506" i="10" s="1"/>
  <c r="V507" i="10" s="1"/>
  <c r="V508" i="10" s="1"/>
  <c r="V509" i="10" s="1"/>
  <c r="V510" i="10" s="1"/>
  <c r="V511" i="10" s="1"/>
  <c r="V512" i="10" s="1"/>
  <c r="V513" i="10" s="1"/>
  <c r="V514" i="10" s="1"/>
  <c r="V515" i="10" s="1"/>
  <c r="V516" i="10" s="1"/>
  <c r="V517" i="10" s="1"/>
  <c r="V518" i="10" s="1"/>
  <c r="V519" i="10" s="1"/>
  <c r="V520" i="10" s="1"/>
  <c r="V521" i="10" s="1"/>
  <c r="V522" i="10" s="1"/>
  <c r="V523" i="10" s="1"/>
  <c r="V524" i="10" s="1"/>
  <c r="V525" i="10" s="1"/>
  <c r="V526" i="10" s="1"/>
  <c r="V527" i="10" s="1"/>
  <c r="V528" i="10" s="1"/>
  <c r="V529" i="10" s="1"/>
  <c r="V530" i="10" s="1"/>
  <c r="V531" i="10" s="1"/>
  <c r="V532" i="10" s="1"/>
  <c r="V533" i="10" s="1"/>
  <c r="V534" i="10" s="1"/>
  <c r="V535" i="10" s="1"/>
  <c r="V536" i="10" s="1"/>
  <c r="V537" i="10" s="1"/>
  <c r="V538" i="10" s="1"/>
  <c r="V539" i="10" s="1"/>
  <c r="V540" i="10" s="1"/>
  <c r="V541" i="10" s="1"/>
  <c r="V542" i="10" s="1"/>
  <c r="V543" i="10" s="1"/>
  <c r="V544" i="10" s="1"/>
  <c r="V545" i="10" s="1"/>
  <c r="V546" i="10" s="1"/>
  <c r="V547" i="10" s="1"/>
  <c r="V548" i="10" s="1"/>
  <c r="V549" i="10" s="1"/>
  <c r="V550" i="10" s="1"/>
  <c r="V551" i="10" s="1"/>
  <c r="V552" i="10" s="1"/>
  <c r="V553" i="10" s="1"/>
  <c r="V554" i="10" s="1"/>
  <c r="V555" i="10" s="1"/>
  <c r="V556" i="10" s="1"/>
  <c r="V557" i="10" s="1"/>
  <c r="V558" i="10" s="1"/>
  <c r="V559" i="10" s="1"/>
  <c r="V560" i="10" s="1"/>
  <c r="V561" i="10" s="1"/>
  <c r="V562" i="10" s="1"/>
  <c r="V563" i="10" s="1"/>
  <c r="V564" i="10" s="1"/>
  <c r="V565" i="10" s="1"/>
  <c r="V566" i="10" s="1"/>
  <c r="V567" i="10" s="1"/>
  <c r="V568" i="10" s="1"/>
  <c r="V569" i="10" s="1"/>
  <c r="V570" i="10" s="1"/>
  <c r="V571" i="10" s="1"/>
  <c r="V572" i="10" s="1"/>
  <c r="V573" i="10" s="1"/>
  <c r="V574" i="10" s="1"/>
  <c r="V575" i="10" s="1"/>
  <c r="V576" i="10" s="1"/>
  <c r="V577" i="10" s="1"/>
  <c r="V578" i="10" s="1"/>
  <c r="V579" i="10" s="1"/>
  <c r="V580" i="10" s="1"/>
  <c r="V581" i="10" s="1"/>
  <c r="V582" i="10" s="1"/>
  <c r="V583" i="10" s="1"/>
  <c r="V584" i="10" s="1"/>
  <c r="V585" i="10" s="1"/>
  <c r="V586" i="10" s="1"/>
  <c r="V587" i="10" s="1"/>
  <c r="V588" i="10" s="1"/>
  <c r="V589" i="10" s="1"/>
  <c r="V590" i="10" s="1"/>
  <c r="V591" i="10" s="1"/>
  <c r="V592" i="10" s="1"/>
  <c r="V593" i="10" s="1"/>
  <c r="V594" i="10" s="1"/>
  <c r="V595" i="10" s="1"/>
  <c r="V596" i="10" s="1"/>
  <c r="V597" i="10" s="1"/>
  <c r="V598" i="10" s="1"/>
  <c r="V599" i="10" s="1"/>
  <c r="V600" i="10" s="1"/>
  <c r="V601" i="10" s="1"/>
  <c r="V602" i="10" s="1"/>
  <c r="V603" i="10" s="1"/>
  <c r="V604" i="10" s="1"/>
  <c r="V605" i="10" s="1"/>
  <c r="V606" i="10" s="1"/>
  <c r="V607" i="10" s="1"/>
  <c r="V608" i="10" s="1"/>
  <c r="V609" i="10" s="1"/>
  <c r="V610" i="10" s="1"/>
  <c r="V611" i="10" s="1"/>
  <c r="V612" i="10" s="1"/>
  <c r="V613" i="10" s="1"/>
  <c r="V614" i="10" s="1"/>
  <c r="V615" i="10" s="1"/>
  <c r="V616" i="10" s="1"/>
  <c r="V617" i="10" s="1"/>
  <c r="V618" i="10" s="1"/>
  <c r="V619" i="10" s="1"/>
  <c r="V620" i="10" s="1"/>
  <c r="V621" i="10" s="1"/>
  <c r="V622" i="10" s="1"/>
  <c r="V623" i="10" s="1"/>
  <c r="V624" i="10" s="1"/>
  <c r="V625" i="10" s="1"/>
  <c r="V626" i="10" s="1"/>
  <c r="V627" i="10" s="1"/>
  <c r="V628" i="10" s="1"/>
  <c r="V629" i="10" s="1"/>
  <c r="V630" i="10" s="1"/>
  <c r="V631" i="10" s="1"/>
  <c r="V632" i="10" s="1"/>
  <c r="V633" i="10" s="1"/>
  <c r="V634" i="10" s="1"/>
  <c r="V635" i="10" s="1"/>
  <c r="V636" i="10" s="1"/>
  <c r="V637" i="10" s="1"/>
  <c r="V638" i="10" s="1"/>
  <c r="V639" i="10" s="1"/>
  <c r="V640" i="10" s="1"/>
  <c r="V641" i="10" s="1"/>
  <c r="V642" i="10" s="1"/>
  <c r="V643" i="10" s="1"/>
  <c r="V644" i="10" s="1"/>
  <c r="V645" i="10" s="1"/>
  <c r="V646" i="10" s="1"/>
  <c r="V647" i="10" s="1"/>
  <c r="V648" i="10" s="1"/>
  <c r="V649" i="10" s="1"/>
  <c r="V650" i="10" s="1"/>
  <c r="V651" i="10" s="1"/>
  <c r="V652" i="10" s="1"/>
  <c r="V653" i="10" s="1"/>
  <c r="V654" i="10" s="1"/>
  <c r="V655" i="10" s="1"/>
  <c r="V656" i="10" s="1"/>
  <c r="V657" i="10" s="1"/>
  <c r="V658" i="10" s="1"/>
  <c r="V659" i="10" s="1"/>
  <c r="V660" i="10" s="1"/>
  <c r="V661" i="10" s="1"/>
  <c r="V662" i="10" s="1"/>
  <c r="V663" i="10" s="1"/>
  <c r="V664" i="10" s="1"/>
  <c r="V665" i="10" s="1"/>
  <c r="V666" i="10" s="1"/>
  <c r="V667" i="10" s="1"/>
  <c r="V668" i="10" s="1"/>
  <c r="V669" i="10" s="1"/>
  <c r="V670" i="10" s="1"/>
  <c r="V671" i="10" s="1"/>
  <c r="V672" i="10" s="1"/>
  <c r="V673" i="10" s="1"/>
  <c r="V674" i="10" s="1"/>
  <c r="V675" i="10" s="1"/>
  <c r="V676" i="10" s="1"/>
  <c r="V677" i="10" s="1"/>
  <c r="V678" i="10" s="1"/>
  <c r="V679" i="10" s="1"/>
  <c r="V680" i="10" s="1"/>
  <c r="V681" i="10" s="1"/>
  <c r="V682" i="10" s="1"/>
  <c r="V683" i="10" s="1"/>
  <c r="V684" i="10" s="1"/>
  <c r="V685" i="10" s="1"/>
  <c r="V686" i="10" s="1"/>
  <c r="V687" i="10" s="1"/>
  <c r="V688" i="10" s="1"/>
  <c r="V689" i="10" s="1"/>
  <c r="V690" i="10" s="1"/>
  <c r="V691" i="10" s="1"/>
  <c r="V692" i="10" s="1"/>
  <c r="V693" i="10" s="1"/>
  <c r="V694" i="10" s="1"/>
  <c r="V695" i="10" s="1"/>
  <c r="V696" i="10" s="1"/>
  <c r="V697" i="10" s="1"/>
  <c r="V698" i="10" s="1"/>
  <c r="V699" i="10" s="1"/>
  <c r="V700" i="10" s="1"/>
  <c r="V701" i="10" s="1"/>
  <c r="V702" i="10" s="1"/>
  <c r="V703" i="10" s="1"/>
  <c r="V704" i="10" s="1"/>
  <c r="V705" i="10" s="1"/>
  <c r="V706" i="10" s="1"/>
  <c r="V707" i="10" s="1"/>
  <c r="V708" i="10" s="1"/>
  <c r="V709" i="10" s="1"/>
  <c r="V710" i="10" s="1"/>
  <c r="V711" i="10" s="1"/>
  <c r="V712" i="10" s="1"/>
  <c r="V713" i="10" s="1"/>
  <c r="V714" i="10" s="1"/>
  <c r="V715" i="10" s="1"/>
  <c r="V716" i="10" s="1"/>
  <c r="V717" i="10" s="1"/>
  <c r="V718" i="10" s="1"/>
  <c r="V719" i="10" s="1"/>
  <c r="V720" i="10" s="1"/>
  <c r="V721" i="10" s="1"/>
  <c r="V722" i="10" s="1"/>
  <c r="V723" i="10" s="1"/>
  <c r="V724" i="10" s="1"/>
  <c r="V725" i="10" s="1"/>
  <c r="V726" i="10" s="1"/>
  <c r="V727" i="10" s="1"/>
  <c r="V728" i="10" s="1"/>
  <c r="V729" i="10" s="1"/>
  <c r="V730" i="10" s="1"/>
  <c r="V731" i="10" s="1"/>
  <c r="V732" i="10" s="1"/>
  <c r="V733" i="10" s="1"/>
  <c r="V734" i="10" s="1"/>
  <c r="V735" i="10" s="1"/>
  <c r="V736" i="10" s="1"/>
  <c r="V737" i="10" s="1"/>
  <c r="V738" i="10" s="1"/>
  <c r="V739" i="10" s="1"/>
  <c r="V740" i="10" s="1"/>
  <c r="V741" i="10" s="1"/>
  <c r="V742" i="10" s="1"/>
  <c r="V743" i="10" s="1"/>
  <c r="V744" i="10" s="1"/>
  <c r="V745" i="10" s="1"/>
  <c r="V746" i="10" s="1"/>
  <c r="V747" i="10" s="1"/>
  <c r="V748" i="10" s="1"/>
  <c r="V749" i="10" s="1"/>
  <c r="V750" i="10" s="1"/>
  <c r="V751" i="10" s="1"/>
  <c r="V752" i="10" s="1"/>
  <c r="V753" i="10" s="1"/>
  <c r="V754" i="10" s="1"/>
  <c r="V755" i="10" s="1"/>
  <c r="V756" i="10" s="1"/>
  <c r="V757" i="10" s="1"/>
  <c r="V758" i="10" s="1"/>
  <c r="V759" i="10" s="1"/>
  <c r="V760" i="10" s="1"/>
  <c r="V761" i="10" s="1"/>
  <c r="V762" i="10" s="1"/>
  <c r="V763" i="10" s="1"/>
  <c r="V764" i="10" s="1"/>
  <c r="V765" i="10" s="1"/>
  <c r="V766" i="10" s="1"/>
  <c r="V767" i="10" s="1"/>
  <c r="V768" i="10" s="1"/>
  <c r="V769" i="10" s="1"/>
  <c r="V770" i="10" s="1"/>
  <c r="V771" i="10" s="1"/>
  <c r="V772" i="10" s="1"/>
  <c r="V773" i="10" s="1"/>
  <c r="V774" i="10" s="1"/>
  <c r="V775" i="10" s="1"/>
  <c r="V776" i="10" s="1"/>
  <c r="V777" i="10" s="1"/>
  <c r="V778" i="10" s="1"/>
  <c r="V779" i="10" s="1"/>
  <c r="V780" i="10" s="1"/>
  <c r="V781" i="10" s="1"/>
  <c r="V782" i="10" s="1"/>
  <c r="V783" i="10" s="1"/>
  <c r="V784" i="10" s="1"/>
  <c r="V785" i="10" s="1"/>
  <c r="V786" i="10" s="1"/>
  <c r="V787" i="10" s="1"/>
  <c r="V788" i="10" s="1"/>
  <c r="V789" i="10" s="1"/>
  <c r="V790" i="10" s="1"/>
  <c r="V791" i="10" s="1"/>
  <c r="V792" i="10" s="1"/>
  <c r="V793" i="10" s="1"/>
  <c r="V794" i="10" s="1"/>
  <c r="V795" i="10" s="1"/>
  <c r="V796" i="10" s="1"/>
  <c r="V797" i="10" s="1"/>
  <c r="V798" i="10" s="1"/>
  <c r="V799" i="10" s="1"/>
  <c r="V800" i="10" s="1"/>
  <c r="V801" i="10" s="1"/>
  <c r="V802" i="10" s="1"/>
  <c r="V803" i="10" s="1"/>
  <c r="V804" i="10" s="1"/>
  <c r="V805" i="10" s="1"/>
  <c r="V806" i="10" s="1"/>
  <c r="V807" i="10" s="1"/>
  <c r="V808" i="10" s="1"/>
  <c r="V809" i="10" s="1"/>
  <c r="V810" i="10" s="1"/>
  <c r="V811" i="10" s="1"/>
  <c r="V812" i="10" s="1"/>
  <c r="V813" i="10" s="1"/>
  <c r="V814" i="10" s="1"/>
  <c r="V815" i="10" s="1"/>
  <c r="V816" i="10" s="1"/>
  <c r="V817" i="10" s="1"/>
  <c r="V818" i="10" s="1"/>
  <c r="V819" i="10" s="1"/>
  <c r="V820" i="10" s="1"/>
  <c r="V821" i="10" s="1"/>
  <c r="V822" i="10" s="1"/>
  <c r="V823" i="10" s="1"/>
  <c r="V824" i="10" s="1"/>
  <c r="V825" i="10" s="1"/>
  <c r="V826" i="10" s="1"/>
  <c r="V827" i="10" s="1"/>
  <c r="V828" i="10" s="1"/>
  <c r="V829" i="10" s="1"/>
  <c r="V830" i="10" s="1"/>
  <c r="V831" i="10" s="1"/>
  <c r="V832" i="10" s="1"/>
  <c r="V833" i="10" s="1"/>
  <c r="V834" i="10" s="1"/>
  <c r="V835" i="10" s="1"/>
  <c r="V836" i="10" s="1"/>
  <c r="V837" i="10" s="1"/>
  <c r="V838" i="10" s="1"/>
  <c r="V839" i="10" s="1"/>
  <c r="V840" i="10" s="1"/>
  <c r="V841" i="10" s="1"/>
  <c r="V842" i="10" s="1"/>
  <c r="V843" i="10" s="1"/>
  <c r="V844" i="10" s="1"/>
  <c r="V845" i="10" s="1"/>
  <c r="V846" i="10" s="1"/>
  <c r="V847" i="10" s="1"/>
  <c r="V848" i="10" s="1"/>
  <c r="V849" i="10" s="1"/>
  <c r="V850" i="10" s="1"/>
  <c r="V851" i="10" s="1"/>
  <c r="V852" i="10" s="1"/>
  <c r="V853" i="10" s="1"/>
  <c r="V854" i="10" s="1"/>
  <c r="V855" i="10" s="1"/>
  <c r="V856" i="10" s="1"/>
  <c r="V857" i="10" s="1"/>
  <c r="V858" i="10" s="1"/>
  <c r="V859" i="10" s="1"/>
  <c r="V860" i="10" s="1"/>
  <c r="V861" i="10" s="1"/>
  <c r="V862" i="10" s="1"/>
  <c r="V863" i="10" s="1"/>
  <c r="V864" i="10" s="1"/>
  <c r="V865" i="10" s="1"/>
  <c r="V866" i="10" s="1"/>
  <c r="V867" i="10" s="1"/>
  <c r="V868" i="10" s="1"/>
  <c r="V869" i="10" s="1"/>
  <c r="V870" i="10" s="1"/>
  <c r="V871" i="10" s="1"/>
  <c r="V872" i="10" s="1"/>
  <c r="V873" i="10" s="1"/>
  <c r="V874" i="10" s="1"/>
  <c r="V875" i="10" s="1"/>
  <c r="V876" i="10" s="1"/>
  <c r="V877" i="10" s="1"/>
  <c r="V878" i="10" s="1"/>
  <c r="V879" i="10" s="1"/>
  <c r="V880" i="10" s="1"/>
  <c r="V881" i="10" s="1"/>
  <c r="V882" i="10" s="1"/>
  <c r="V883" i="10" s="1"/>
  <c r="V884" i="10" s="1"/>
  <c r="V885" i="10" s="1"/>
  <c r="V886" i="10" s="1"/>
  <c r="V887" i="10" s="1"/>
  <c r="V888" i="10" s="1"/>
  <c r="V889" i="10" s="1"/>
  <c r="V890" i="10" s="1"/>
  <c r="V891" i="10" s="1"/>
  <c r="V892" i="10" s="1"/>
  <c r="V893" i="10" s="1"/>
  <c r="V894" i="10" s="1"/>
  <c r="V895" i="10" s="1"/>
  <c r="V896" i="10" s="1"/>
  <c r="V897" i="10" s="1"/>
  <c r="V898" i="10" s="1"/>
  <c r="V899" i="10" s="1"/>
  <c r="V900" i="10" s="1"/>
  <c r="V901" i="10" s="1"/>
  <c r="V902" i="10" s="1"/>
  <c r="V903" i="10" s="1"/>
  <c r="V904" i="10" s="1"/>
  <c r="V905" i="10" s="1"/>
  <c r="V906" i="10" s="1"/>
  <c r="V907" i="10" s="1"/>
  <c r="V908" i="10" s="1"/>
  <c r="V909" i="10" s="1"/>
  <c r="V910" i="10" s="1"/>
  <c r="V911" i="10" s="1"/>
  <c r="V912" i="10" s="1"/>
  <c r="V913" i="10" s="1"/>
  <c r="V914" i="10" s="1"/>
  <c r="V915" i="10" s="1"/>
  <c r="V916" i="10" s="1"/>
  <c r="V917" i="10" s="1"/>
  <c r="V918" i="10" s="1"/>
  <c r="V919" i="10" s="1"/>
  <c r="V920" i="10" s="1"/>
  <c r="V921" i="10" s="1"/>
  <c r="V922" i="10" s="1"/>
  <c r="V923" i="10" s="1"/>
  <c r="V924" i="10" s="1"/>
  <c r="V925" i="10" s="1"/>
  <c r="V926" i="10" s="1"/>
  <c r="V927" i="10" s="1"/>
  <c r="V928" i="10" s="1"/>
  <c r="V929" i="10" s="1"/>
  <c r="V930" i="10" s="1"/>
  <c r="V931" i="10" s="1"/>
  <c r="V932" i="10" s="1"/>
  <c r="V933" i="10" s="1"/>
  <c r="V934" i="10" s="1"/>
  <c r="V935" i="10" s="1"/>
  <c r="V936" i="10" s="1"/>
  <c r="V937" i="10" s="1"/>
  <c r="V938" i="10" s="1"/>
  <c r="V939" i="10" s="1"/>
  <c r="V940" i="10" s="1"/>
  <c r="V941" i="10" s="1"/>
  <c r="V942" i="10" s="1"/>
  <c r="V943" i="10" s="1"/>
  <c r="V944" i="10" s="1"/>
  <c r="V945" i="10" s="1"/>
  <c r="V946" i="10" s="1"/>
  <c r="V947" i="10" s="1"/>
  <c r="V948" i="10" s="1"/>
  <c r="V949" i="10" s="1"/>
  <c r="V950" i="10" s="1"/>
  <c r="V951" i="10" s="1"/>
  <c r="V952" i="10" s="1"/>
  <c r="V953" i="10" s="1"/>
  <c r="V954" i="10" s="1"/>
  <c r="V955" i="10" s="1"/>
  <c r="V956" i="10" s="1"/>
  <c r="V957" i="10" s="1"/>
  <c r="V958" i="10" s="1"/>
  <c r="V959" i="10" s="1"/>
  <c r="V960" i="10" s="1"/>
  <c r="V961" i="10" s="1"/>
  <c r="V962" i="10" s="1"/>
  <c r="V963" i="10" s="1"/>
  <c r="V964" i="10" s="1"/>
  <c r="V965" i="10" s="1"/>
  <c r="V966" i="10" s="1"/>
  <c r="V967" i="10" s="1"/>
  <c r="V968" i="10" s="1"/>
  <c r="V969" i="10" s="1"/>
  <c r="V970" i="10" s="1"/>
  <c r="V971" i="10" s="1"/>
  <c r="V972" i="10" s="1"/>
  <c r="V973" i="10" s="1"/>
  <c r="V974" i="10" s="1"/>
  <c r="V975" i="10" s="1"/>
  <c r="V976" i="10" s="1"/>
  <c r="V977" i="10" s="1"/>
  <c r="V978" i="10" s="1"/>
  <c r="V979" i="10" s="1"/>
  <c r="V980" i="10" s="1"/>
  <c r="V981" i="10" s="1"/>
  <c r="V982" i="10" s="1"/>
  <c r="V983" i="10" s="1"/>
  <c r="V984" i="10" s="1"/>
  <c r="V985" i="10" s="1"/>
  <c r="V986" i="10" s="1"/>
  <c r="V987" i="10" s="1"/>
  <c r="V988" i="10" s="1"/>
  <c r="V989" i="10" s="1"/>
  <c r="V990" i="10" s="1"/>
  <c r="V991" i="10" s="1"/>
  <c r="V992" i="10" s="1"/>
  <c r="V993" i="10" s="1"/>
  <c r="V994" i="10" s="1"/>
  <c r="V995" i="10" s="1"/>
  <c r="V996" i="10" s="1"/>
  <c r="V997" i="10" s="1"/>
  <c r="V998" i="10" s="1"/>
  <c r="V999" i="10" s="1"/>
  <c r="V1000" i="10" s="1"/>
  <c r="V1001" i="10" s="1"/>
  <c r="V1002" i="10" s="1"/>
  <c r="V1003" i="10" s="1"/>
  <c r="P187" i="8"/>
  <c r="V5" i="12"/>
  <c r="V6" i="12" s="1"/>
  <c r="V7" i="12" s="1"/>
  <c r="V8" i="12" s="1"/>
  <c r="V9" i="12" s="1"/>
  <c r="V10" i="12" s="1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V92" i="12" s="1"/>
  <c r="V93" i="12" s="1"/>
  <c r="V94" i="12" s="1"/>
  <c r="V95" i="12" s="1"/>
  <c r="V96" i="12" s="1"/>
  <c r="V97" i="12" s="1"/>
  <c r="V98" i="12" s="1"/>
  <c r="V99" i="12" s="1"/>
  <c r="V100" i="12" s="1"/>
  <c r="V101" i="12" s="1"/>
  <c r="V102" i="12" s="1"/>
  <c r="V103" i="12" s="1"/>
  <c r="V104" i="12" s="1"/>
  <c r="V105" i="12" s="1"/>
  <c r="V106" i="12" s="1"/>
  <c r="V107" i="12" s="1"/>
  <c r="V108" i="12" s="1"/>
  <c r="V109" i="12" s="1"/>
  <c r="V110" i="12" s="1"/>
  <c r="V111" i="12" s="1"/>
  <c r="V112" i="12" s="1"/>
  <c r="V113" i="12" s="1"/>
  <c r="V114" i="12" s="1"/>
  <c r="V115" i="12" s="1"/>
  <c r="V116" i="12" s="1"/>
  <c r="V117" i="12" s="1"/>
  <c r="V118" i="12" s="1"/>
  <c r="V119" i="12" s="1"/>
  <c r="V120" i="12" s="1"/>
  <c r="V121" i="12" s="1"/>
  <c r="V122" i="12" s="1"/>
  <c r="V123" i="12" s="1"/>
  <c r="V124" i="12" s="1"/>
  <c r="V125" i="12" s="1"/>
  <c r="V126" i="12" s="1"/>
  <c r="V127" i="12" s="1"/>
  <c r="V128" i="12" s="1"/>
  <c r="V129" i="12" s="1"/>
  <c r="V130" i="12" s="1"/>
  <c r="V131" i="12" s="1"/>
  <c r="V132" i="12" s="1"/>
  <c r="V133" i="12" s="1"/>
  <c r="V134" i="12" s="1"/>
  <c r="V135" i="12" s="1"/>
  <c r="V136" i="12" s="1"/>
  <c r="V137" i="12" s="1"/>
  <c r="V138" i="12" s="1"/>
  <c r="V139" i="12" s="1"/>
  <c r="V140" i="12" s="1"/>
  <c r="V141" i="12" s="1"/>
  <c r="V142" i="12" s="1"/>
  <c r="V143" i="12" s="1"/>
  <c r="V144" i="12" s="1"/>
  <c r="V145" i="12" s="1"/>
  <c r="V146" i="12" s="1"/>
  <c r="V147" i="12" s="1"/>
  <c r="V148" i="12" s="1"/>
  <c r="V149" i="12" s="1"/>
  <c r="V150" i="12" s="1"/>
  <c r="V151" i="12" s="1"/>
  <c r="V152" i="12" s="1"/>
  <c r="V153" i="12" s="1"/>
  <c r="V154" i="12" s="1"/>
  <c r="V155" i="12" s="1"/>
  <c r="V156" i="12" s="1"/>
  <c r="V157" i="12" s="1"/>
  <c r="V158" i="12" s="1"/>
  <c r="V159" i="12" s="1"/>
  <c r="V160" i="12" s="1"/>
  <c r="V161" i="12" s="1"/>
  <c r="V162" i="12" s="1"/>
  <c r="V163" i="12" s="1"/>
  <c r="V164" i="12" s="1"/>
  <c r="V165" i="12" s="1"/>
  <c r="V166" i="12" s="1"/>
  <c r="V167" i="12" s="1"/>
  <c r="V168" i="12" s="1"/>
  <c r="V169" i="12" s="1"/>
  <c r="V170" i="12" s="1"/>
  <c r="V171" i="12" s="1"/>
  <c r="V172" i="12" s="1"/>
  <c r="V173" i="12" s="1"/>
  <c r="V174" i="12" s="1"/>
  <c r="V175" i="12" s="1"/>
  <c r="V176" i="12" s="1"/>
  <c r="V177" i="12" s="1"/>
  <c r="V178" i="12" s="1"/>
  <c r="V179" i="12" s="1"/>
  <c r="V180" i="12" s="1"/>
  <c r="V181" i="12" s="1"/>
  <c r="V182" i="12" s="1"/>
  <c r="V183" i="12" s="1"/>
  <c r="V184" i="12" s="1"/>
  <c r="V185" i="12" s="1"/>
  <c r="V186" i="12" s="1"/>
  <c r="V187" i="12" s="1"/>
  <c r="V188" i="12" s="1"/>
  <c r="V189" i="12" s="1"/>
  <c r="V190" i="12" s="1"/>
  <c r="V191" i="12" s="1"/>
  <c r="V192" i="12" s="1"/>
  <c r="V193" i="12" s="1"/>
  <c r="V194" i="12" s="1"/>
  <c r="V195" i="12" s="1"/>
  <c r="V196" i="12" s="1"/>
  <c r="V197" i="12" s="1"/>
  <c r="V198" i="12" s="1"/>
  <c r="V199" i="12" s="1"/>
  <c r="V200" i="12" s="1"/>
  <c r="V201" i="12" s="1"/>
  <c r="V202" i="12" s="1"/>
  <c r="V203" i="12" s="1"/>
  <c r="V204" i="12" s="1"/>
  <c r="V205" i="12" s="1"/>
  <c r="V206" i="12" s="1"/>
  <c r="V207" i="12" s="1"/>
  <c r="V208" i="12" s="1"/>
  <c r="V209" i="12" s="1"/>
  <c r="V210" i="12" s="1"/>
  <c r="V211" i="12" s="1"/>
  <c r="V212" i="12" s="1"/>
  <c r="V213" i="12" s="1"/>
  <c r="V214" i="12" s="1"/>
  <c r="V215" i="12" s="1"/>
  <c r="V216" i="12" s="1"/>
  <c r="V217" i="12" s="1"/>
  <c r="V218" i="12" s="1"/>
  <c r="V219" i="12" s="1"/>
  <c r="V220" i="12" s="1"/>
  <c r="V221" i="12" s="1"/>
  <c r="V222" i="12" s="1"/>
  <c r="V223" i="12" s="1"/>
  <c r="V224" i="12" s="1"/>
  <c r="V225" i="12" s="1"/>
  <c r="V226" i="12" s="1"/>
  <c r="V227" i="12" s="1"/>
  <c r="V228" i="12" s="1"/>
  <c r="V229" i="12" s="1"/>
  <c r="V230" i="12" s="1"/>
  <c r="V231" i="12" s="1"/>
  <c r="V232" i="12" s="1"/>
  <c r="V233" i="12" s="1"/>
  <c r="V234" i="12" s="1"/>
  <c r="V235" i="12" s="1"/>
  <c r="V236" i="12" s="1"/>
  <c r="V237" i="12" s="1"/>
  <c r="V238" i="12" s="1"/>
  <c r="V239" i="12" s="1"/>
  <c r="V240" i="12" s="1"/>
  <c r="V241" i="12" s="1"/>
  <c r="V242" i="12" s="1"/>
  <c r="V243" i="12" s="1"/>
  <c r="V244" i="12" s="1"/>
  <c r="V245" i="12" s="1"/>
  <c r="V246" i="12" s="1"/>
  <c r="V247" i="12" s="1"/>
  <c r="V248" i="12" s="1"/>
  <c r="V249" i="12" s="1"/>
  <c r="V250" i="12" s="1"/>
  <c r="V251" i="12" s="1"/>
  <c r="V252" i="12" s="1"/>
  <c r="V253" i="12" s="1"/>
  <c r="V254" i="12" s="1"/>
  <c r="V255" i="12" s="1"/>
  <c r="V256" i="12" s="1"/>
  <c r="V257" i="12" s="1"/>
  <c r="V258" i="12" s="1"/>
  <c r="V259" i="12" s="1"/>
  <c r="V260" i="12" s="1"/>
  <c r="V261" i="12" s="1"/>
  <c r="V262" i="12" s="1"/>
  <c r="V263" i="12" s="1"/>
  <c r="V264" i="12" s="1"/>
  <c r="V265" i="12" s="1"/>
  <c r="V266" i="12" s="1"/>
  <c r="V267" i="12" s="1"/>
  <c r="V268" i="12" s="1"/>
  <c r="V269" i="12" s="1"/>
  <c r="V270" i="12" s="1"/>
  <c r="V271" i="12" s="1"/>
  <c r="V272" i="12" s="1"/>
  <c r="V273" i="12" s="1"/>
  <c r="V274" i="12" s="1"/>
  <c r="V275" i="12" s="1"/>
  <c r="V276" i="12" s="1"/>
  <c r="V277" i="12" s="1"/>
  <c r="V278" i="12" s="1"/>
  <c r="V279" i="12" s="1"/>
  <c r="V280" i="12" s="1"/>
  <c r="V281" i="12" s="1"/>
  <c r="V282" i="12" s="1"/>
  <c r="V283" i="12" s="1"/>
  <c r="V284" i="12" s="1"/>
  <c r="V285" i="12" s="1"/>
  <c r="V286" i="12" s="1"/>
  <c r="V287" i="12" s="1"/>
  <c r="V288" i="12" s="1"/>
  <c r="V289" i="12" s="1"/>
  <c r="V290" i="12" s="1"/>
  <c r="V291" i="12" s="1"/>
  <c r="V292" i="12" s="1"/>
  <c r="V293" i="12" s="1"/>
  <c r="V294" i="12" s="1"/>
  <c r="V295" i="12" s="1"/>
  <c r="V296" i="12" s="1"/>
  <c r="V297" i="12" s="1"/>
  <c r="V298" i="12" s="1"/>
  <c r="V299" i="12" s="1"/>
  <c r="V300" i="12" s="1"/>
  <c r="V301" i="12" s="1"/>
  <c r="V302" i="12" s="1"/>
  <c r="V303" i="12" s="1"/>
  <c r="V304" i="12" s="1"/>
  <c r="V305" i="12" s="1"/>
  <c r="V306" i="12" s="1"/>
  <c r="V307" i="12" s="1"/>
  <c r="V308" i="12" s="1"/>
  <c r="V309" i="12" s="1"/>
  <c r="V310" i="12" s="1"/>
  <c r="V311" i="12" s="1"/>
  <c r="V312" i="12" s="1"/>
  <c r="V313" i="12" s="1"/>
  <c r="V314" i="12" s="1"/>
  <c r="V315" i="12" s="1"/>
  <c r="V316" i="12" s="1"/>
  <c r="V317" i="12" s="1"/>
  <c r="V318" i="12" s="1"/>
  <c r="V319" i="12" s="1"/>
  <c r="V320" i="12" s="1"/>
  <c r="V321" i="12" s="1"/>
  <c r="V322" i="12" s="1"/>
  <c r="V323" i="12" s="1"/>
  <c r="V324" i="12" s="1"/>
  <c r="V325" i="12" s="1"/>
  <c r="V326" i="12" s="1"/>
  <c r="V327" i="12" s="1"/>
  <c r="V328" i="12" s="1"/>
  <c r="V329" i="12" s="1"/>
  <c r="V330" i="12" s="1"/>
  <c r="V331" i="12" s="1"/>
  <c r="V332" i="12" s="1"/>
  <c r="V333" i="12" s="1"/>
  <c r="V334" i="12" s="1"/>
  <c r="V335" i="12" s="1"/>
  <c r="V336" i="12" s="1"/>
  <c r="V337" i="12" s="1"/>
  <c r="V338" i="12" s="1"/>
  <c r="V339" i="12" s="1"/>
  <c r="V340" i="12" s="1"/>
  <c r="V341" i="12" s="1"/>
  <c r="V342" i="12" s="1"/>
  <c r="V343" i="12" s="1"/>
  <c r="V344" i="12" s="1"/>
  <c r="V345" i="12" s="1"/>
  <c r="V346" i="12" s="1"/>
  <c r="V347" i="12" s="1"/>
  <c r="V348" i="12" s="1"/>
  <c r="V349" i="12" s="1"/>
  <c r="V350" i="12" s="1"/>
  <c r="V351" i="12" s="1"/>
  <c r="V352" i="12" s="1"/>
  <c r="V353" i="12" s="1"/>
  <c r="V354" i="12" s="1"/>
  <c r="V355" i="12" s="1"/>
  <c r="V356" i="12" s="1"/>
  <c r="V357" i="12" s="1"/>
  <c r="V358" i="12" s="1"/>
  <c r="V359" i="12" s="1"/>
  <c r="V360" i="12" s="1"/>
  <c r="V361" i="12" s="1"/>
  <c r="V362" i="12" s="1"/>
  <c r="V363" i="12" s="1"/>
  <c r="V364" i="12" s="1"/>
  <c r="V365" i="12" s="1"/>
  <c r="V366" i="12" s="1"/>
  <c r="V367" i="12" s="1"/>
  <c r="V368" i="12" s="1"/>
  <c r="V369" i="12" s="1"/>
  <c r="V370" i="12" s="1"/>
  <c r="V371" i="12" s="1"/>
  <c r="V372" i="12" s="1"/>
  <c r="V373" i="12" s="1"/>
  <c r="V374" i="12" s="1"/>
  <c r="V375" i="12" s="1"/>
  <c r="V376" i="12" s="1"/>
  <c r="V377" i="12" s="1"/>
  <c r="V378" i="12" s="1"/>
  <c r="V379" i="12" s="1"/>
  <c r="V380" i="12" s="1"/>
  <c r="V381" i="12" s="1"/>
  <c r="V382" i="12" s="1"/>
  <c r="V383" i="12" s="1"/>
  <c r="V384" i="12" s="1"/>
  <c r="V385" i="12" s="1"/>
  <c r="V386" i="12" s="1"/>
  <c r="V387" i="12" s="1"/>
  <c r="V388" i="12" s="1"/>
  <c r="V389" i="12" s="1"/>
  <c r="V390" i="12" s="1"/>
  <c r="V391" i="12" s="1"/>
  <c r="V392" i="12" s="1"/>
  <c r="V393" i="12" s="1"/>
  <c r="V394" i="12" s="1"/>
  <c r="V395" i="12" s="1"/>
  <c r="V396" i="12" s="1"/>
  <c r="V397" i="12" s="1"/>
  <c r="V398" i="12" s="1"/>
  <c r="V399" i="12" s="1"/>
  <c r="V400" i="12" s="1"/>
  <c r="V401" i="12" s="1"/>
  <c r="V402" i="12" s="1"/>
  <c r="V403" i="12" s="1"/>
  <c r="V404" i="12" s="1"/>
  <c r="V405" i="12" s="1"/>
  <c r="V406" i="12" s="1"/>
  <c r="V407" i="12" s="1"/>
  <c r="V408" i="12" s="1"/>
  <c r="V409" i="12" s="1"/>
  <c r="V410" i="12" s="1"/>
  <c r="V411" i="12" s="1"/>
  <c r="V412" i="12" s="1"/>
  <c r="V413" i="12" s="1"/>
  <c r="V414" i="12" s="1"/>
  <c r="V415" i="12" s="1"/>
  <c r="V416" i="12" s="1"/>
  <c r="V417" i="12" s="1"/>
  <c r="V418" i="12" s="1"/>
  <c r="V419" i="12" s="1"/>
  <c r="V420" i="12" s="1"/>
  <c r="V421" i="12" s="1"/>
  <c r="V422" i="12" s="1"/>
  <c r="V423" i="12" s="1"/>
  <c r="V424" i="12" s="1"/>
  <c r="V425" i="12" s="1"/>
  <c r="V426" i="12" s="1"/>
  <c r="V427" i="12" s="1"/>
  <c r="V428" i="12" s="1"/>
  <c r="V429" i="12" s="1"/>
  <c r="V430" i="12" s="1"/>
  <c r="V431" i="12" s="1"/>
  <c r="V432" i="12" s="1"/>
  <c r="V433" i="12" s="1"/>
  <c r="V434" i="12" s="1"/>
  <c r="V435" i="12" s="1"/>
  <c r="V436" i="12" s="1"/>
  <c r="V437" i="12" s="1"/>
  <c r="V438" i="12" s="1"/>
  <c r="V439" i="12" s="1"/>
  <c r="V440" i="12" s="1"/>
  <c r="V441" i="12" s="1"/>
  <c r="V442" i="12" s="1"/>
  <c r="V443" i="12" s="1"/>
  <c r="V444" i="12" s="1"/>
  <c r="V445" i="12" s="1"/>
  <c r="V446" i="12" s="1"/>
  <c r="V447" i="12" s="1"/>
  <c r="V448" i="12" s="1"/>
  <c r="V449" i="12" s="1"/>
  <c r="V450" i="12" s="1"/>
  <c r="V451" i="12" s="1"/>
  <c r="V452" i="12" s="1"/>
  <c r="V453" i="12" s="1"/>
  <c r="V454" i="12" s="1"/>
  <c r="V455" i="12" s="1"/>
  <c r="V456" i="12" s="1"/>
  <c r="V457" i="12" s="1"/>
  <c r="V458" i="12" s="1"/>
  <c r="V459" i="12" s="1"/>
  <c r="V460" i="12" s="1"/>
  <c r="V461" i="12" s="1"/>
  <c r="V462" i="12" s="1"/>
  <c r="V463" i="12" s="1"/>
  <c r="V464" i="12" s="1"/>
  <c r="V465" i="12" s="1"/>
  <c r="V466" i="12" s="1"/>
  <c r="V467" i="12" s="1"/>
  <c r="V468" i="12" s="1"/>
  <c r="V469" i="12" s="1"/>
  <c r="V470" i="12" s="1"/>
  <c r="V471" i="12" s="1"/>
  <c r="V472" i="12" s="1"/>
  <c r="V473" i="12" s="1"/>
  <c r="V474" i="12" s="1"/>
  <c r="V475" i="12" s="1"/>
  <c r="V476" i="12" s="1"/>
  <c r="V477" i="12" s="1"/>
  <c r="V478" i="12" s="1"/>
  <c r="V479" i="12" s="1"/>
  <c r="V480" i="12" s="1"/>
  <c r="V481" i="12" s="1"/>
  <c r="V482" i="12" s="1"/>
  <c r="V483" i="12" s="1"/>
  <c r="V484" i="12" s="1"/>
  <c r="V485" i="12" s="1"/>
  <c r="V486" i="12" s="1"/>
  <c r="V487" i="12" s="1"/>
  <c r="V488" i="12" s="1"/>
  <c r="V489" i="12" s="1"/>
  <c r="V490" i="12" s="1"/>
  <c r="V491" i="12" s="1"/>
  <c r="V492" i="12" s="1"/>
  <c r="V493" i="12" s="1"/>
  <c r="V494" i="12" s="1"/>
  <c r="V495" i="12" s="1"/>
  <c r="V496" i="12" s="1"/>
  <c r="V497" i="12" s="1"/>
  <c r="V498" i="12" s="1"/>
  <c r="V499" i="12" s="1"/>
  <c r="V500" i="12" s="1"/>
  <c r="V501" i="12" s="1"/>
  <c r="V502" i="12" s="1"/>
  <c r="V503" i="12" s="1"/>
  <c r="V504" i="12" s="1"/>
  <c r="V505" i="12" s="1"/>
  <c r="V506" i="12" s="1"/>
  <c r="V507" i="12" s="1"/>
  <c r="V508" i="12" s="1"/>
  <c r="V509" i="12" s="1"/>
  <c r="V510" i="12" s="1"/>
  <c r="V511" i="12" s="1"/>
  <c r="V512" i="12" s="1"/>
  <c r="V513" i="12" s="1"/>
  <c r="V514" i="12" s="1"/>
  <c r="V515" i="12" s="1"/>
  <c r="V516" i="12" s="1"/>
  <c r="V517" i="12" s="1"/>
  <c r="V518" i="12" s="1"/>
  <c r="V519" i="12" s="1"/>
  <c r="V520" i="12" s="1"/>
  <c r="V521" i="12" s="1"/>
  <c r="V522" i="12" s="1"/>
  <c r="V523" i="12" s="1"/>
  <c r="V524" i="12" s="1"/>
  <c r="V525" i="12" s="1"/>
  <c r="V526" i="12" s="1"/>
  <c r="V527" i="12" s="1"/>
  <c r="V528" i="12" s="1"/>
  <c r="V529" i="12" s="1"/>
  <c r="V530" i="12" s="1"/>
  <c r="V531" i="12" s="1"/>
  <c r="V532" i="12" s="1"/>
  <c r="V533" i="12" s="1"/>
  <c r="V534" i="12" s="1"/>
  <c r="V535" i="12" s="1"/>
  <c r="V536" i="12" s="1"/>
  <c r="V537" i="12" s="1"/>
  <c r="V538" i="12" s="1"/>
  <c r="V539" i="12" s="1"/>
  <c r="V540" i="12" s="1"/>
  <c r="V541" i="12" s="1"/>
  <c r="V542" i="12" s="1"/>
  <c r="V543" i="12" s="1"/>
  <c r="V544" i="12" s="1"/>
  <c r="V545" i="12" s="1"/>
  <c r="V546" i="12" s="1"/>
  <c r="V547" i="12" s="1"/>
  <c r="V548" i="12" s="1"/>
  <c r="V549" i="12" s="1"/>
  <c r="V550" i="12" s="1"/>
  <c r="V551" i="12" s="1"/>
  <c r="V552" i="12" s="1"/>
  <c r="V553" i="12" s="1"/>
  <c r="V554" i="12" s="1"/>
  <c r="V555" i="12" s="1"/>
  <c r="V556" i="12" s="1"/>
  <c r="V557" i="12" s="1"/>
  <c r="V558" i="12" s="1"/>
  <c r="V559" i="12" s="1"/>
  <c r="V560" i="12" s="1"/>
  <c r="V561" i="12" s="1"/>
  <c r="V562" i="12" s="1"/>
  <c r="V563" i="12" s="1"/>
  <c r="V564" i="12" s="1"/>
  <c r="V565" i="12" s="1"/>
  <c r="V566" i="12" s="1"/>
  <c r="V567" i="12" s="1"/>
  <c r="V568" i="12" s="1"/>
  <c r="V569" i="12" s="1"/>
  <c r="V570" i="12" s="1"/>
  <c r="V571" i="12" s="1"/>
  <c r="V572" i="12" s="1"/>
  <c r="V573" i="12" s="1"/>
  <c r="V574" i="12" s="1"/>
  <c r="V575" i="12" s="1"/>
  <c r="V576" i="12" s="1"/>
  <c r="V577" i="12" s="1"/>
  <c r="V578" i="12" s="1"/>
  <c r="V579" i="12" s="1"/>
  <c r="V580" i="12" s="1"/>
  <c r="V581" i="12" s="1"/>
  <c r="V582" i="12" s="1"/>
  <c r="V583" i="12" s="1"/>
  <c r="V584" i="12" s="1"/>
  <c r="V585" i="12" s="1"/>
  <c r="V586" i="12" s="1"/>
  <c r="V587" i="12" s="1"/>
  <c r="V588" i="12" s="1"/>
  <c r="V589" i="12" s="1"/>
  <c r="V590" i="12" s="1"/>
  <c r="V591" i="12" s="1"/>
  <c r="V592" i="12" s="1"/>
  <c r="V593" i="12" s="1"/>
  <c r="V594" i="12" s="1"/>
  <c r="V595" i="12" s="1"/>
  <c r="V596" i="12" s="1"/>
  <c r="V597" i="12" s="1"/>
  <c r="V598" i="12" s="1"/>
  <c r="V599" i="12" s="1"/>
  <c r="V600" i="12" s="1"/>
  <c r="V601" i="12" s="1"/>
  <c r="V602" i="12" s="1"/>
  <c r="V603" i="12" s="1"/>
  <c r="V604" i="12" s="1"/>
  <c r="V605" i="12" s="1"/>
  <c r="V606" i="12" s="1"/>
  <c r="V607" i="12" s="1"/>
  <c r="V608" i="12" s="1"/>
  <c r="V609" i="12" s="1"/>
  <c r="V610" i="12" s="1"/>
  <c r="V611" i="12" s="1"/>
  <c r="V612" i="12" s="1"/>
  <c r="V613" i="12" s="1"/>
  <c r="V614" i="12" s="1"/>
  <c r="V615" i="12" s="1"/>
  <c r="V616" i="12" s="1"/>
  <c r="V617" i="12" s="1"/>
  <c r="V618" i="12" s="1"/>
  <c r="V619" i="12" s="1"/>
  <c r="V620" i="12" s="1"/>
  <c r="V621" i="12" s="1"/>
  <c r="V622" i="12" s="1"/>
  <c r="V623" i="12" s="1"/>
  <c r="V624" i="12" s="1"/>
  <c r="V625" i="12" s="1"/>
  <c r="V626" i="12" s="1"/>
  <c r="V627" i="12" s="1"/>
  <c r="V628" i="12" s="1"/>
  <c r="V629" i="12" s="1"/>
  <c r="V630" i="12" s="1"/>
  <c r="V631" i="12" s="1"/>
  <c r="V632" i="12" s="1"/>
  <c r="V633" i="12" s="1"/>
  <c r="V634" i="12" s="1"/>
  <c r="V635" i="12" s="1"/>
  <c r="V636" i="12" s="1"/>
  <c r="V637" i="12" s="1"/>
  <c r="V638" i="12" s="1"/>
  <c r="V639" i="12" s="1"/>
  <c r="V640" i="12" s="1"/>
  <c r="V641" i="12" s="1"/>
  <c r="V642" i="12" s="1"/>
  <c r="V643" i="12" s="1"/>
  <c r="V644" i="12" s="1"/>
  <c r="V645" i="12" s="1"/>
  <c r="V646" i="12" s="1"/>
  <c r="V647" i="12" s="1"/>
  <c r="V648" i="12" s="1"/>
  <c r="V649" i="12" s="1"/>
  <c r="V650" i="12" s="1"/>
  <c r="V651" i="12" s="1"/>
  <c r="V652" i="12" s="1"/>
  <c r="V653" i="12" s="1"/>
  <c r="V654" i="12" s="1"/>
  <c r="V655" i="12" s="1"/>
  <c r="V656" i="12" s="1"/>
  <c r="V657" i="12" s="1"/>
  <c r="V658" i="12" s="1"/>
  <c r="V659" i="12" s="1"/>
  <c r="V660" i="12" s="1"/>
  <c r="V661" i="12" s="1"/>
  <c r="V662" i="12" s="1"/>
  <c r="V663" i="12" s="1"/>
  <c r="V664" i="12" s="1"/>
  <c r="V665" i="12" s="1"/>
  <c r="V666" i="12" s="1"/>
  <c r="V667" i="12" s="1"/>
  <c r="V668" i="12" s="1"/>
  <c r="V669" i="12" s="1"/>
  <c r="V670" i="12" s="1"/>
  <c r="V671" i="12" s="1"/>
  <c r="V672" i="12" s="1"/>
  <c r="V673" i="12" s="1"/>
  <c r="V674" i="12" s="1"/>
  <c r="V675" i="12" s="1"/>
  <c r="V676" i="12" s="1"/>
  <c r="V677" i="12" s="1"/>
  <c r="V678" i="12" s="1"/>
  <c r="V679" i="12" s="1"/>
  <c r="V680" i="12" s="1"/>
  <c r="V681" i="12" s="1"/>
  <c r="V682" i="12" s="1"/>
  <c r="V683" i="12" s="1"/>
  <c r="V684" i="12" s="1"/>
  <c r="V685" i="12" s="1"/>
  <c r="V686" i="12" s="1"/>
  <c r="V687" i="12" s="1"/>
  <c r="V688" i="12" s="1"/>
  <c r="V689" i="12" s="1"/>
  <c r="V690" i="12" s="1"/>
  <c r="V691" i="12" s="1"/>
  <c r="V692" i="12" s="1"/>
  <c r="V693" i="12" s="1"/>
  <c r="V694" i="12" s="1"/>
  <c r="V695" i="12" s="1"/>
  <c r="V696" i="12" s="1"/>
  <c r="V697" i="12" s="1"/>
  <c r="V698" i="12" s="1"/>
  <c r="V699" i="12" s="1"/>
  <c r="V700" i="12" s="1"/>
  <c r="V701" i="12" s="1"/>
  <c r="V702" i="12" s="1"/>
  <c r="V703" i="12" s="1"/>
  <c r="V704" i="12" s="1"/>
  <c r="V705" i="12" s="1"/>
  <c r="V706" i="12" s="1"/>
  <c r="V707" i="12" s="1"/>
  <c r="V708" i="12" s="1"/>
  <c r="V709" i="12" s="1"/>
  <c r="V710" i="12" s="1"/>
  <c r="V711" i="12" s="1"/>
  <c r="V712" i="12" s="1"/>
  <c r="V713" i="12" s="1"/>
  <c r="V714" i="12" s="1"/>
  <c r="V715" i="12" s="1"/>
  <c r="V716" i="12" s="1"/>
  <c r="V717" i="12" s="1"/>
  <c r="V718" i="12" s="1"/>
  <c r="V719" i="12" s="1"/>
  <c r="V720" i="12" s="1"/>
  <c r="V721" i="12" s="1"/>
  <c r="V722" i="12" s="1"/>
  <c r="V723" i="12" s="1"/>
  <c r="V724" i="12" s="1"/>
  <c r="V725" i="12" s="1"/>
  <c r="V726" i="12" s="1"/>
  <c r="V727" i="12" s="1"/>
  <c r="V728" i="12" s="1"/>
  <c r="V729" i="12" s="1"/>
  <c r="V730" i="12" s="1"/>
  <c r="V731" i="12" s="1"/>
  <c r="V732" i="12" s="1"/>
  <c r="V733" i="12" s="1"/>
  <c r="V734" i="12" s="1"/>
  <c r="V735" i="12" s="1"/>
  <c r="V736" i="12" s="1"/>
  <c r="V737" i="12" s="1"/>
  <c r="V738" i="12" s="1"/>
  <c r="V739" i="12" s="1"/>
  <c r="V740" i="12" s="1"/>
  <c r="V741" i="12" s="1"/>
  <c r="V742" i="12" s="1"/>
  <c r="V743" i="12" s="1"/>
  <c r="V744" i="12" s="1"/>
  <c r="V745" i="12" s="1"/>
  <c r="V746" i="12" s="1"/>
  <c r="V747" i="12" s="1"/>
  <c r="V748" i="12" s="1"/>
  <c r="V749" i="12" s="1"/>
  <c r="V750" i="12" s="1"/>
  <c r="V751" i="12" s="1"/>
  <c r="V752" i="12" s="1"/>
  <c r="V753" i="12" s="1"/>
  <c r="V754" i="12" s="1"/>
  <c r="V755" i="12" s="1"/>
  <c r="V756" i="12" s="1"/>
  <c r="V757" i="12" s="1"/>
  <c r="V758" i="12" s="1"/>
  <c r="V759" i="12" s="1"/>
  <c r="V760" i="12" s="1"/>
  <c r="V761" i="12" s="1"/>
  <c r="V762" i="12" s="1"/>
  <c r="V763" i="12" s="1"/>
  <c r="V764" i="12" s="1"/>
  <c r="V765" i="12" s="1"/>
  <c r="V766" i="12" s="1"/>
  <c r="V767" i="12" s="1"/>
  <c r="V768" i="12" s="1"/>
  <c r="V769" i="12" s="1"/>
  <c r="V770" i="12" s="1"/>
  <c r="V771" i="12" s="1"/>
  <c r="V772" i="12" s="1"/>
  <c r="V773" i="12" s="1"/>
  <c r="V774" i="12" s="1"/>
  <c r="V775" i="12" s="1"/>
  <c r="V776" i="12" s="1"/>
  <c r="V777" i="12" s="1"/>
  <c r="V778" i="12" s="1"/>
  <c r="V779" i="12" s="1"/>
  <c r="V780" i="12" s="1"/>
  <c r="V781" i="12" s="1"/>
  <c r="V782" i="12" s="1"/>
  <c r="V783" i="12" s="1"/>
  <c r="V784" i="12" s="1"/>
  <c r="V785" i="12" s="1"/>
  <c r="V786" i="12" s="1"/>
  <c r="V787" i="12" s="1"/>
  <c r="V788" i="12" s="1"/>
  <c r="V789" i="12" s="1"/>
  <c r="V790" i="12" s="1"/>
  <c r="V791" i="12" s="1"/>
  <c r="V792" i="12" s="1"/>
  <c r="V793" i="12" s="1"/>
  <c r="V794" i="12" s="1"/>
  <c r="V795" i="12" s="1"/>
  <c r="V796" i="12" s="1"/>
  <c r="V797" i="12" s="1"/>
  <c r="V798" i="12" s="1"/>
  <c r="V799" i="12" s="1"/>
  <c r="V800" i="12" s="1"/>
  <c r="V801" i="12" s="1"/>
  <c r="V802" i="12" s="1"/>
  <c r="V803" i="12" s="1"/>
  <c r="V804" i="12" s="1"/>
  <c r="V805" i="12" s="1"/>
  <c r="V806" i="12" s="1"/>
  <c r="V807" i="12" s="1"/>
  <c r="V808" i="12" s="1"/>
  <c r="V809" i="12" s="1"/>
  <c r="V810" i="12" s="1"/>
  <c r="V811" i="12" s="1"/>
  <c r="V812" i="12" s="1"/>
  <c r="V813" i="12" s="1"/>
  <c r="V814" i="12" s="1"/>
  <c r="V815" i="12" s="1"/>
  <c r="V816" i="12" s="1"/>
  <c r="V817" i="12" s="1"/>
  <c r="V818" i="12" s="1"/>
  <c r="V819" i="12" s="1"/>
  <c r="V820" i="12" s="1"/>
  <c r="V821" i="12" s="1"/>
  <c r="V822" i="12" s="1"/>
  <c r="V823" i="12" s="1"/>
  <c r="V824" i="12" s="1"/>
  <c r="V825" i="12" s="1"/>
  <c r="V826" i="12" s="1"/>
  <c r="V827" i="12" s="1"/>
  <c r="V828" i="12" s="1"/>
  <c r="V829" i="12" s="1"/>
  <c r="V830" i="12" s="1"/>
  <c r="V831" i="12" s="1"/>
  <c r="V832" i="12" s="1"/>
  <c r="V833" i="12" s="1"/>
  <c r="V834" i="12" s="1"/>
  <c r="V835" i="12" s="1"/>
  <c r="V836" i="12" s="1"/>
  <c r="V837" i="12" s="1"/>
  <c r="V838" i="12" s="1"/>
  <c r="V839" i="12" s="1"/>
  <c r="V840" i="12" s="1"/>
  <c r="V841" i="12" s="1"/>
  <c r="V842" i="12" s="1"/>
  <c r="V843" i="12" s="1"/>
  <c r="V844" i="12" s="1"/>
  <c r="V845" i="12" s="1"/>
  <c r="V846" i="12" s="1"/>
  <c r="V847" i="12" s="1"/>
  <c r="V848" i="12" s="1"/>
  <c r="V849" i="12" s="1"/>
  <c r="V850" i="12" s="1"/>
  <c r="V851" i="12" s="1"/>
  <c r="V852" i="12" s="1"/>
  <c r="V853" i="12" s="1"/>
  <c r="V854" i="12" s="1"/>
  <c r="V855" i="12" s="1"/>
  <c r="V856" i="12" s="1"/>
  <c r="V857" i="12" s="1"/>
  <c r="V858" i="12" s="1"/>
  <c r="V859" i="12" s="1"/>
  <c r="V860" i="12" s="1"/>
  <c r="V861" i="12" s="1"/>
  <c r="V862" i="12" s="1"/>
  <c r="V863" i="12" s="1"/>
  <c r="V864" i="12" s="1"/>
  <c r="V865" i="12" s="1"/>
  <c r="V866" i="12" s="1"/>
  <c r="V867" i="12" s="1"/>
  <c r="V868" i="12" s="1"/>
  <c r="V869" i="12" s="1"/>
  <c r="V870" i="12" s="1"/>
  <c r="V871" i="12" s="1"/>
  <c r="V872" i="12" s="1"/>
  <c r="V873" i="12" s="1"/>
  <c r="V874" i="12" s="1"/>
  <c r="V875" i="12" s="1"/>
  <c r="V876" i="12" s="1"/>
  <c r="V877" i="12" s="1"/>
  <c r="V878" i="12" s="1"/>
  <c r="V879" i="12" s="1"/>
  <c r="V880" i="12" s="1"/>
  <c r="V881" i="12" s="1"/>
  <c r="V882" i="12" s="1"/>
  <c r="V883" i="12" s="1"/>
  <c r="V884" i="12" s="1"/>
  <c r="V885" i="12" s="1"/>
  <c r="V886" i="12" s="1"/>
  <c r="V887" i="12" s="1"/>
  <c r="V888" i="12" s="1"/>
  <c r="V889" i="12" s="1"/>
  <c r="V890" i="12" s="1"/>
  <c r="V891" i="12" s="1"/>
  <c r="V892" i="12" s="1"/>
  <c r="V893" i="12" s="1"/>
  <c r="V894" i="12" s="1"/>
  <c r="V895" i="12" s="1"/>
  <c r="V896" i="12" s="1"/>
  <c r="V897" i="12" s="1"/>
  <c r="V898" i="12" s="1"/>
  <c r="V899" i="12" s="1"/>
  <c r="V900" i="12" s="1"/>
  <c r="V901" i="12" s="1"/>
  <c r="V902" i="12" s="1"/>
  <c r="V903" i="12" s="1"/>
  <c r="V904" i="12" s="1"/>
  <c r="V905" i="12" s="1"/>
  <c r="V906" i="12" s="1"/>
  <c r="V907" i="12" s="1"/>
  <c r="V908" i="12" s="1"/>
  <c r="V909" i="12" s="1"/>
  <c r="V910" i="12" s="1"/>
  <c r="V911" i="12" s="1"/>
  <c r="V912" i="12" s="1"/>
  <c r="V913" i="12" s="1"/>
  <c r="V914" i="12" s="1"/>
  <c r="V915" i="12" s="1"/>
  <c r="V916" i="12" s="1"/>
  <c r="V917" i="12" s="1"/>
  <c r="V918" i="12" s="1"/>
  <c r="V919" i="12" s="1"/>
  <c r="V920" i="12" s="1"/>
  <c r="V921" i="12" s="1"/>
  <c r="V922" i="12" s="1"/>
  <c r="V923" i="12" s="1"/>
  <c r="V924" i="12" s="1"/>
  <c r="V925" i="12" s="1"/>
  <c r="V926" i="12" s="1"/>
  <c r="V927" i="12" s="1"/>
  <c r="V928" i="12" s="1"/>
  <c r="V929" i="12" s="1"/>
  <c r="V930" i="12" s="1"/>
  <c r="V931" i="12" s="1"/>
  <c r="V932" i="12" s="1"/>
  <c r="V933" i="12" s="1"/>
  <c r="V934" i="12" s="1"/>
  <c r="V935" i="12" s="1"/>
  <c r="V936" i="12" s="1"/>
  <c r="V937" i="12" s="1"/>
  <c r="V938" i="12" s="1"/>
  <c r="V939" i="12" s="1"/>
  <c r="V940" i="12" s="1"/>
  <c r="V941" i="12" s="1"/>
  <c r="V942" i="12" s="1"/>
  <c r="V943" i="12" s="1"/>
  <c r="V944" i="12" s="1"/>
  <c r="V945" i="12" s="1"/>
  <c r="V946" i="12" s="1"/>
  <c r="V947" i="12" s="1"/>
  <c r="V948" i="12" s="1"/>
  <c r="V949" i="12" s="1"/>
  <c r="V950" i="12" s="1"/>
  <c r="V951" i="12" s="1"/>
  <c r="V952" i="12" s="1"/>
  <c r="V953" i="12" s="1"/>
  <c r="V954" i="12" s="1"/>
  <c r="V955" i="12" s="1"/>
  <c r="V956" i="12" s="1"/>
  <c r="V957" i="12" s="1"/>
  <c r="V958" i="12" s="1"/>
  <c r="V959" i="12" s="1"/>
  <c r="V960" i="12" s="1"/>
  <c r="V961" i="12" s="1"/>
  <c r="V962" i="12" s="1"/>
  <c r="V963" i="12" s="1"/>
  <c r="V964" i="12" s="1"/>
  <c r="V965" i="12" s="1"/>
  <c r="V966" i="12" s="1"/>
  <c r="V967" i="12" s="1"/>
  <c r="V968" i="12" s="1"/>
  <c r="V969" i="12" s="1"/>
  <c r="V970" i="12" s="1"/>
  <c r="V971" i="12" s="1"/>
  <c r="V972" i="12" s="1"/>
  <c r="V973" i="12" s="1"/>
  <c r="V974" i="12" s="1"/>
  <c r="V975" i="12" s="1"/>
  <c r="V976" i="12" s="1"/>
  <c r="V977" i="12" s="1"/>
  <c r="V978" i="12" s="1"/>
  <c r="V979" i="12" s="1"/>
  <c r="V980" i="12" s="1"/>
  <c r="V981" i="12" s="1"/>
  <c r="V982" i="12" s="1"/>
  <c r="V983" i="12" s="1"/>
  <c r="V984" i="12" s="1"/>
  <c r="V985" i="12" s="1"/>
  <c r="V986" i="12" s="1"/>
  <c r="V987" i="12" s="1"/>
  <c r="V988" i="12" s="1"/>
  <c r="V989" i="12" s="1"/>
  <c r="V990" i="12" s="1"/>
  <c r="V991" i="12" s="1"/>
  <c r="V992" i="12" s="1"/>
  <c r="V993" i="12" s="1"/>
  <c r="V994" i="12" s="1"/>
  <c r="V995" i="12" s="1"/>
  <c r="V996" i="12" s="1"/>
  <c r="V997" i="12" s="1"/>
  <c r="V998" i="12" s="1"/>
  <c r="V999" i="12" s="1"/>
  <c r="V1000" i="12" s="1"/>
  <c r="V1001" i="12" s="1"/>
  <c r="V1002" i="12" s="1"/>
  <c r="V1003" i="12" s="1"/>
  <c r="W1008" i="12"/>
  <c r="M14" i="16"/>
  <c r="M15" i="16"/>
  <c r="M9" i="16"/>
  <c r="M16" i="16"/>
  <c r="M12" i="16"/>
  <c r="M11" i="16"/>
  <c r="M13" i="16"/>
  <c r="M17" i="16"/>
  <c r="W187" i="8"/>
  <c r="X187" i="8"/>
  <c r="Q187" i="8"/>
  <c r="AA187" i="8"/>
  <c r="I65" i="18"/>
  <c r="C38" i="17"/>
  <c r="C39" i="17"/>
  <c r="C74" i="17" s="1"/>
  <c r="C119" i="17" s="1"/>
  <c r="L89" i="18"/>
  <c r="J46" i="18"/>
  <c r="H48" i="18"/>
  <c r="K105" i="18"/>
  <c r="K69" i="18"/>
  <c r="D48" i="18" s="1"/>
  <c r="D46" i="18"/>
  <c r="V187" i="8"/>
  <c r="G164" i="17"/>
  <c r="C102" i="17" s="1"/>
  <c r="F128" i="17"/>
  <c r="F129" i="17"/>
  <c r="F130" i="17"/>
  <c r="M130" i="17" s="1"/>
  <c r="F131" i="17"/>
  <c r="M131" i="17" s="1"/>
  <c r="F132" i="17"/>
  <c r="F133" i="17"/>
  <c r="M133" i="17" s="1"/>
  <c r="F134" i="17"/>
  <c r="M134" i="17" s="1"/>
  <c r="F135" i="17"/>
  <c r="M135" i="17" s="1"/>
  <c r="F136" i="17"/>
  <c r="F137" i="17"/>
  <c r="F138" i="17"/>
  <c r="M138" i="17" s="1"/>
  <c r="F139" i="17"/>
  <c r="M139" i="17" s="1"/>
  <c r="F140" i="17"/>
  <c r="F141" i="17"/>
  <c r="M141" i="17" s="1"/>
  <c r="F142" i="17"/>
  <c r="M142" i="17" s="1"/>
  <c r="F143" i="17"/>
  <c r="M143" i="17" s="1"/>
  <c r="F144" i="17"/>
  <c r="F145" i="17"/>
  <c r="F146" i="17"/>
  <c r="M146" i="17" s="1"/>
  <c r="F147" i="17"/>
  <c r="M147" i="17" s="1"/>
  <c r="F148" i="17"/>
  <c r="F149" i="17"/>
  <c r="M149" i="17" s="1"/>
  <c r="F150" i="17"/>
  <c r="M150" i="17" s="1"/>
  <c r="F151" i="17"/>
  <c r="M151" i="17" s="1"/>
  <c r="F152" i="17"/>
  <c r="F153" i="17"/>
  <c r="F154" i="17"/>
  <c r="M154" i="17" s="1"/>
  <c r="F155" i="17"/>
  <c r="M155" i="17" s="1"/>
  <c r="F156" i="17"/>
  <c r="F159" i="17"/>
  <c r="M159" i="17" s="1"/>
  <c r="F160" i="17"/>
  <c r="F161" i="17"/>
  <c r="M161" i="17" s="1"/>
  <c r="F162" i="17"/>
  <c r="M162" i="17" s="1"/>
  <c r="F163" i="17"/>
  <c r="M163" i="17" s="1"/>
  <c r="M44" i="18"/>
  <c r="L72" i="18"/>
  <c r="L108" i="18"/>
  <c r="M108" i="18"/>
  <c r="L71" i="18"/>
  <c r="L107" i="18"/>
  <c r="M107" i="18"/>
  <c r="K103" i="18"/>
  <c r="J20" i="18"/>
  <c r="J19" i="18"/>
  <c r="J18" i="18"/>
  <c r="B14" i="12"/>
  <c r="D155" i="17"/>
  <c r="F69" i="17"/>
  <c r="U187" i="8"/>
  <c r="R187" i="8"/>
  <c r="S187" i="8"/>
  <c r="T187" i="8"/>
  <c r="Y187" i="8"/>
  <c r="X1019" i="11"/>
  <c r="C1057" i="11"/>
  <c r="A1057" i="11" s="1"/>
  <c r="C1058" i="11"/>
  <c r="C1059" i="11"/>
  <c r="C1060" i="11"/>
  <c r="C1061" i="11"/>
  <c r="C1062" i="11"/>
  <c r="C1063" i="11"/>
  <c r="B1068" i="11"/>
  <c r="B1067" i="11"/>
  <c r="B1066" i="11"/>
  <c r="B1065" i="11"/>
  <c r="B1063" i="11"/>
  <c r="B1062" i="11"/>
  <c r="B1061" i="11"/>
  <c r="B1060" i="11"/>
  <c r="B1059" i="11"/>
  <c r="B1058" i="11"/>
  <c r="B1057" i="11"/>
  <c r="V38" i="16"/>
  <c r="V39" i="16"/>
  <c r="V40" i="16"/>
  <c r="V41" i="16"/>
  <c r="V37" i="16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I1086" i="10" s="1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N69" i="10"/>
  <c r="N68" i="10"/>
  <c r="D1014" i="14"/>
  <c r="A64" i="13"/>
  <c r="A68" i="13" s="1"/>
  <c r="A72" i="13" s="1"/>
  <c r="A76" i="13" s="1"/>
  <c r="S60" i="11"/>
  <c r="BB9" i="11"/>
  <c r="BB4" i="11"/>
  <c r="BB5" i="11"/>
  <c r="BB6" i="11"/>
  <c r="BB7" i="11"/>
  <c r="BB8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4" i="11"/>
  <c r="BB35" i="11"/>
  <c r="BB36" i="11"/>
  <c r="BB37" i="11"/>
  <c r="BB40" i="11"/>
  <c r="BB41" i="11"/>
  <c r="BB42" i="11"/>
  <c r="BB43" i="11"/>
  <c r="BB46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03" i="11"/>
  <c r="BB104" i="11"/>
  <c r="BB105" i="11"/>
  <c r="BB106" i="11"/>
  <c r="BB107" i="11"/>
  <c r="BB108" i="11"/>
  <c r="BB109" i="11"/>
  <c r="BB110" i="11"/>
  <c r="BB111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BB125" i="11"/>
  <c r="BB126" i="11"/>
  <c r="BB127" i="11"/>
  <c r="BB128" i="11"/>
  <c r="BB129" i="11"/>
  <c r="BB130" i="11"/>
  <c r="BB131" i="11"/>
  <c r="BB132" i="11"/>
  <c r="BB133" i="11"/>
  <c r="BB134" i="11"/>
  <c r="BB135" i="11"/>
  <c r="BB136" i="11"/>
  <c r="BB137" i="11"/>
  <c r="BB138" i="11"/>
  <c r="BB139" i="11"/>
  <c r="BB140" i="11"/>
  <c r="BB141" i="11"/>
  <c r="BB142" i="11"/>
  <c r="BB143" i="11"/>
  <c r="BB144" i="11"/>
  <c r="BB145" i="11"/>
  <c r="BB146" i="11"/>
  <c r="BB147" i="11"/>
  <c r="BB148" i="11"/>
  <c r="BB149" i="11"/>
  <c r="BB150" i="11"/>
  <c r="BB151" i="11"/>
  <c r="BB152" i="11"/>
  <c r="BB153" i="11"/>
  <c r="BB154" i="11"/>
  <c r="BB155" i="11"/>
  <c r="BB156" i="11"/>
  <c r="BB157" i="11"/>
  <c r="BB158" i="11"/>
  <c r="BB159" i="11"/>
  <c r="BB160" i="11"/>
  <c r="BB161" i="11"/>
  <c r="BB162" i="11"/>
  <c r="BB163" i="11"/>
  <c r="BB164" i="11"/>
  <c r="BB165" i="11"/>
  <c r="BB166" i="11"/>
  <c r="BB167" i="11"/>
  <c r="BB168" i="11"/>
  <c r="BB169" i="11"/>
  <c r="BB170" i="11"/>
  <c r="BB171" i="11"/>
  <c r="BB172" i="11"/>
  <c r="BB173" i="11"/>
  <c r="BB174" i="11"/>
  <c r="BB175" i="11"/>
  <c r="BB176" i="11"/>
  <c r="BB177" i="11"/>
  <c r="BB178" i="11"/>
  <c r="BB179" i="11"/>
  <c r="BB180" i="11"/>
  <c r="BB181" i="11"/>
  <c r="BB182" i="11"/>
  <c r="BB183" i="11"/>
  <c r="BB184" i="11"/>
  <c r="BB185" i="11"/>
  <c r="BB186" i="11"/>
  <c r="BB187" i="11"/>
  <c r="BB188" i="11"/>
  <c r="BB189" i="11"/>
  <c r="BB190" i="11"/>
  <c r="BB191" i="11"/>
  <c r="BB192" i="11"/>
  <c r="BB193" i="11"/>
  <c r="BB194" i="11"/>
  <c r="BB195" i="11"/>
  <c r="BB196" i="11"/>
  <c r="BB197" i="11"/>
  <c r="BB198" i="11"/>
  <c r="BB199" i="11"/>
  <c r="BB200" i="11"/>
  <c r="BB201" i="11"/>
  <c r="BB202" i="11"/>
  <c r="BB203" i="11"/>
  <c r="BB204" i="11"/>
  <c r="BB205" i="11"/>
  <c r="BB206" i="11"/>
  <c r="BB207" i="11"/>
  <c r="BB208" i="11"/>
  <c r="BB209" i="11"/>
  <c r="BB210" i="11"/>
  <c r="BB211" i="11"/>
  <c r="BB212" i="11"/>
  <c r="BB213" i="11"/>
  <c r="BB214" i="11"/>
  <c r="BB215" i="11"/>
  <c r="BB216" i="11"/>
  <c r="BB217" i="11"/>
  <c r="BB218" i="11"/>
  <c r="BB219" i="11"/>
  <c r="BB220" i="11"/>
  <c r="BB221" i="11"/>
  <c r="BB222" i="11"/>
  <c r="BB223" i="11"/>
  <c r="BB224" i="11"/>
  <c r="BB225" i="11"/>
  <c r="BB226" i="11"/>
  <c r="BB227" i="11"/>
  <c r="BB228" i="11"/>
  <c r="BB229" i="11"/>
  <c r="BB230" i="11"/>
  <c r="BB231" i="11"/>
  <c r="BB232" i="11"/>
  <c r="BB233" i="11"/>
  <c r="BB234" i="11"/>
  <c r="BB235" i="11"/>
  <c r="BB236" i="11"/>
  <c r="BB237" i="11"/>
  <c r="BB238" i="11"/>
  <c r="BB239" i="11"/>
  <c r="BB240" i="11"/>
  <c r="BB241" i="11"/>
  <c r="BB242" i="11"/>
  <c r="BB243" i="11"/>
  <c r="BB244" i="11"/>
  <c r="BB245" i="11"/>
  <c r="BB246" i="11"/>
  <c r="BB247" i="11"/>
  <c r="BB248" i="11"/>
  <c r="BB249" i="11"/>
  <c r="BB250" i="11"/>
  <c r="BB251" i="11"/>
  <c r="BB252" i="11"/>
  <c r="BB253" i="11"/>
  <c r="BB254" i="11"/>
  <c r="BB255" i="11"/>
  <c r="BB256" i="11"/>
  <c r="BB257" i="11"/>
  <c r="BB258" i="11"/>
  <c r="BB259" i="11"/>
  <c r="BB260" i="11"/>
  <c r="BB261" i="11"/>
  <c r="BB262" i="11"/>
  <c r="BB263" i="11"/>
  <c r="BB264" i="11"/>
  <c r="BB265" i="11"/>
  <c r="BB266" i="11"/>
  <c r="BB267" i="11"/>
  <c r="BB268" i="11"/>
  <c r="BB269" i="11"/>
  <c r="BB270" i="11"/>
  <c r="BB271" i="11"/>
  <c r="BB272" i="11"/>
  <c r="BB273" i="11"/>
  <c r="BB274" i="11"/>
  <c r="BB275" i="11"/>
  <c r="BB276" i="11"/>
  <c r="BB277" i="11"/>
  <c r="BB278" i="11"/>
  <c r="BB279" i="11"/>
  <c r="BB280" i="11"/>
  <c r="BB281" i="11"/>
  <c r="BB282" i="11"/>
  <c r="BB283" i="11"/>
  <c r="BB284" i="11"/>
  <c r="BB285" i="11"/>
  <c r="BB286" i="11"/>
  <c r="BB287" i="11"/>
  <c r="BB288" i="11"/>
  <c r="BB289" i="11"/>
  <c r="BB290" i="11"/>
  <c r="BB291" i="11"/>
  <c r="BB292" i="11"/>
  <c r="BB293" i="11"/>
  <c r="BB294" i="11"/>
  <c r="BB295" i="11"/>
  <c r="BB296" i="11"/>
  <c r="BB297" i="11"/>
  <c r="BB298" i="11"/>
  <c r="BB299" i="11"/>
  <c r="BB300" i="11"/>
  <c r="BB301" i="11"/>
  <c r="BB302" i="11"/>
  <c r="BB303" i="11"/>
  <c r="BB304" i="11"/>
  <c r="BB305" i="11"/>
  <c r="BB306" i="11"/>
  <c r="BB307" i="11"/>
  <c r="BB308" i="11"/>
  <c r="BB309" i="11"/>
  <c r="BB310" i="11"/>
  <c r="BB311" i="11"/>
  <c r="BB312" i="11"/>
  <c r="BB313" i="11"/>
  <c r="BB314" i="11"/>
  <c r="BB315" i="11"/>
  <c r="BB316" i="11"/>
  <c r="BB317" i="11"/>
  <c r="BB318" i="11"/>
  <c r="BB319" i="11"/>
  <c r="BB320" i="11"/>
  <c r="BB321" i="11"/>
  <c r="BB322" i="11"/>
  <c r="BB323" i="11"/>
  <c r="BB324" i="11"/>
  <c r="BB325" i="11"/>
  <c r="BB326" i="11"/>
  <c r="BB327" i="11"/>
  <c r="BB328" i="11"/>
  <c r="BB329" i="11"/>
  <c r="BB330" i="11"/>
  <c r="BB331" i="11"/>
  <c r="BB332" i="11"/>
  <c r="BB333" i="11"/>
  <c r="BB334" i="11"/>
  <c r="BB335" i="11"/>
  <c r="BB336" i="11"/>
  <c r="BB337" i="11"/>
  <c r="BB338" i="11"/>
  <c r="BB339" i="11"/>
  <c r="BB340" i="11"/>
  <c r="BB341" i="11"/>
  <c r="BB342" i="11"/>
  <c r="BB343" i="11"/>
  <c r="BB344" i="11"/>
  <c r="BB345" i="11"/>
  <c r="BB346" i="11"/>
  <c r="BB347" i="11"/>
  <c r="BB348" i="11"/>
  <c r="BB349" i="11"/>
  <c r="BB350" i="11"/>
  <c r="BB351" i="11"/>
  <c r="BB352" i="11"/>
  <c r="BB353" i="11"/>
  <c r="BB354" i="11"/>
  <c r="BB355" i="11"/>
  <c r="BB356" i="11"/>
  <c r="BB357" i="11"/>
  <c r="BB358" i="11"/>
  <c r="BB359" i="11"/>
  <c r="BB360" i="11"/>
  <c r="BB361" i="11"/>
  <c r="BB362" i="11"/>
  <c r="BB363" i="11"/>
  <c r="BB364" i="11"/>
  <c r="BB365" i="11"/>
  <c r="BB366" i="11"/>
  <c r="BB367" i="11"/>
  <c r="BB368" i="11"/>
  <c r="BB369" i="11"/>
  <c r="BB370" i="11"/>
  <c r="BB371" i="11"/>
  <c r="BB372" i="11"/>
  <c r="BB373" i="11"/>
  <c r="BB374" i="11"/>
  <c r="BB375" i="11"/>
  <c r="BB376" i="11"/>
  <c r="BB377" i="11"/>
  <c r="BB378" i="11"/>
  <c r="BB379" i="11"/>
  <c r="BB380" i="11"/>
  <c r="BB381" i="11"/>
  <c r="BB382" i="11"/>
  <c r="BB383" i="11"/>
  <c r="BB384" i="11"/>
  <c r="BB385" i="11"/>
  <c r="BB386" i="11"/>
  <c r="BB387" i="11"/>
  <c r="BB388" i="11"/>
  <c r="BB389" i="11"/>
  <c r="BB390" i="11"/>
  <c r="BB391" i="11"/>
  <c r="BB392" i="11"/>
  <c r="BB393" i="11"/>
  <c r="BB394" i="11"/>
  <c r="BB395" i="11"/>
  <c r="BB396" i="11"/>
  <c r="BB397" i="11"/>
  <c r="BB398" i="11"/>
  <c r="BB399" i="11"/>
  <c r="BB400" i="11"/>
  <c r="BB401" i="11"/>
  <c r="BB402" i="11"/>
  <c r="BB403" i="11"/>
  <c r="BB404" i="11"/>
  <c r="BB405" i="11"/>
  <c r="BB406" i="11"/>
  <c r="BB407" i="11"/>
  <c r="BB408" i="11"/>
  <c r="BB409" i="11"/>
  <c r="BB410" i="11"/>
  <c r="BB411" i="11"/>
  <c r="BB412" i="11"/>
  <c r="BB413" i="11"/>
  <c r="BB414" i="11"/>
  <c r="BB415" i="11"/>
  <c r="BB416" i="11"/>
  <c r="BB417" i="11"/>
  <c r="BB418" i="11"/>
  <c r="BB419" i="11"/>
  <c r="BB420" i="11"/>
  <c r="BB421" i="11"/>
  <c r="BB422" i="11"/>
  <c r="BB423" i="11"/>
  <c r="BB424" i="11"/>
  <c r="BB425" i="11"/>
  <c r="BB426" i="11"/>
  <c r="BB427" i="11"/>
  <c r="BB428" i="11"/>
  <c r="BB429" i="11"/>
  <c r="BB430" i="11"/>
  <c r="BB431" i="11"/>
  <c r="BB432" i="11"/>
  <c r="BB433" i="11"/>
  <c r="BB434" i="11"/>
  <c r="BB435" i="11"/>
  <c r="BB436" i="11"/>
  <c r="BB437" i="11"/>
  <c r="BB438" i="11"/>
  <c r="BB439" i="11"/>
  <c r="BB440" i="11"/>
  <c r="BB441" i="11"/>
  <c r="BB442" i="11"/>
  <c r="BB443" i="11"/>
  <c r="BB444" i="11"/>
  <c r="BB445" i="11"/>
  <c r="BB446" i="11"/>
  <c r="BB447" i="11"/>
  <c r="BB448" i="11"/>
  <c r="BB449" i="11"/>
  <c r="BB450" i="11"/>
  <c r="BB451" i="11"/>
  <c r="BB452" i="11"/>
  <c r="BB453" i="11"/>
  <c r="BB454" i="11"/>
  <c r="BB455" i="11"/>
  <c r="BB456" i="11"/>
  <c r="BB457" i="11"/>
  <c r="BB458" i="11"/>
  <c r="BB459" i="11"/>
  <c r="BB460" i="11"/>
  <c r="BB461" i="11"/>
  <c r="BB462" i="11"/>
  <c r="BB463" i="11"/>
  <c r="BB464" i="11"/>
  <c r="BB465" i="11"/>
  <c r="BB466" i="11"/>
  <c r="BB467" i="11"/>
  <c r="BB468" i="11"/>
  <c r="BB469" i="11"/>
  <c r="BB470" i="11"/>
  <c r="BB471" i="11"/>
  <c r="BB472" i="11"/>
  <c r="BB473" i="11"/>
  <c r="BB474" i="11"/>
  <c r="BB475" i="11"/>
  <c r="BB476" i="11"/>
  <c r="BB477" i="11"/>
  <c r="BB478" i="11"/>
  <c r="BB479" i="11"/>
  <c r="BB480" i="11"/>
  <c r="BB481" i="11"/>
  <c r="BB482" i="11"/>
  <c r="BB483" i="11"/>
  <c r="BB484" i="11"/>
  <c r="BB485" i="11"/>
  <c r="BB486" i="11"/>
  <c r="BB487" i="11"/>
  <c r="BB488" i="11"/>
  <c r="BB489" i="11"/>
  <c r="BB490" i="11"/>
  <c r="BB491" i="11"/>
  <c r="BB492" i="11"/>
  <c r="BB493" i="11"/>
  <c r="BB494" i="11"/>
  <c r="BB495" i="11"/>
  <c r="BB496" i="11"/>
  <c r="BB497" i="11"/>
  <c r="BB498" i="11"/>
  <c r="BB499" i="11"/>
  <c r="BB500" i="11"/>
  <c r="BB501" i="11"/>
  <c r="BB502" i="11"/>
  <c r="BB503" i="11"/>
  <c r="BB504" i="11"/>
  <c r="BB505" i="11"/>
  <c r="BB506" i="11"/>
  <c r="BB507" i="11"/>
  <c r="BB508" i="11"/>
  <c r="BB509" i="11"/>
  <c r="BB510" i="11"/>
  <c r="BB511" i="11"/>
  <c r="BB512" i="11"/>
  <c r="BB513" i="11"/>
  <c r="BB514" i="11"/>
  <c r="BB515" i="11"/>
  <c r="BB516" i="11"/>
  <c r="BB517" i="11"/>
  <c r="BB518" i="11"/>
  <c r="BB519" i="11"/>
  <c r="BB520" i="11"/>
  <c r="BB521" i="11"/>
  <c r="BB522" i="11"/>
  <c r="BB523" i="11"/>
  <c r="BB524" i="11"/>
  <c r="BB525" i="11"/>
  <c r="BB526" i="11"/>
  <c r="BB527" i="11"/>
  <c r="BB528" i="11"/>
  <c r="BB529" i="11"/>
  <c r="BB530" i="11"/>
  <c r="BB531" i="11"/>
  <c r="BB532" i="11"/>
  <c r="BB533" i="11"/>
  <c r="BB534" i="11"/>
  <c r="BB535" i="11"/>
  <c r="BB536" i="11"/>
  <c r="BB537" i="11"/>
  <c r="BB538" i="11"/>
  <c r="BB539" i="11"/>
  <c r="BB540" i="11"/>
  <c r="BB541" i="11"/>
  <c r="BB542" i="11"/>
  <c r="BB543" i="11"/>
  <c r="BB544" i="11"/>
  <c r="BB545" i="11"/>
  <c r="BB546" i="11"/>
  <c r="BB547" i="11"/>
  <c r="BB548" i="11"/>
  <c r="BB549" i="11"/>
  <c r="BB550" i="11"/>
  <c r="BB551" i="11"/>
  <c r="BB552" i="11"/>
  <c r="BB553" i="11"/>
  <c r="BB554" i="11"/>
  <c r="BB555" i="11"/>
  <c r="BB556" i="11"/>
  <c r="BB557" i="11"/>
  <c r="BB558" i="11"/>
  <c r="BB559" i="11"/>
  <c r="BB560" i="11"/>
  <c r="BB561" i="11"/>
  <c r="BB562" i="11"/>
  <c r="BB563" i="11"/>
  <c r="BB564" i="11"/>
  <c r="BB565" i="11"/>
  <c r="BB566" i="11"/>
  <c r="BB567" i="11"/>
  <c r="BB568" i="11"/>
  <c r="BB569" i="11"/>
  <c r="BB570" i="11"/>
  <c r="BB571" i="11"/>
  <c r="BB572" i="11"/>
  <c r="BB573" i="11"/>
  <c r="BB574" i="11"/>
  <c r="BB575" i="11"/>
  <c r="BB576" i="11"/>
  <c r="BB577" i="11"/>
  <c r="BB578" i="11"/>
  <c r="BB579" i="11"/>
  <c r="BB580" i="11"/>
  <c r="BB581" i="11"/>
  <c r="BB582" i="11"/>
  <c r="BB583" i="11"/>
  <c r="BB584" i="11"/>
  <c r="BB585" i="11"/>
  <c r="BB586" i="11"/>
  <c r="BB587" i="11"/>
  <c r="BB588" i="11"/>
  <c r="BB589" i="11"/>
  <c r="BB590" i="11"/>
  <c r="BB591" i="11"/>
  <c r="BB592" i="11"/>
  <c r="BB593" i="11"/>
  <c r="BB594" i="11"/>
  <c r="BB595" i="11"/>
  <c r="BB596" i="11"/>
  <c r="BB597" i="11"/>
  <c r="BB598" i="11"/>
  <c r="BB599" i="11"/>
  <c r="BB600" i="11"/>
  <c r="BB601" i="11"/>
  <c r="BB602" i="11"/>
  <c r="BB603" i="11"/>
  <c r="BB604" i="11"/>
  <c r="BB605" i="11"/>
  <c r="BB606" i="11"/>
  <c r="BB607" i="11"/>
  <c r="BB608" i="11"/>
  <c r="BB609" i="11"/>
  <c r="BB610" i="11"/>
  <c r="BB611" i="11"/>
  <c r="BB612" i="11"/>
  <c r="BB613" i="11"/>
  <c r="BB614" i="11"/>
  <c r="BB615" i="11"/>
  <c r="BB616" i="11"/>
  <c r="BB617" i="11"/>
  <c r="BB618" i="11"/>
  <c r="BB619" i="11"/>
  <c r="BB620" i="11"/>
  <c r="BB621" i="11"/>
  <c r="BB622" i="11"/>
  <c r="BB623" i="11"/>
  <c r="BB624" i="11"/>
  <c r="BB625" i="11"/>
  <c r="BB626" i="11"/>
  <c r="BB627" i="11"/>
  <c r="BB628" i="11"/>
  <c r="BB629" i="11"/>
  <c r="BB630" i="11"/>
  <c r="BB631" i="11"/>
  <c r="BB632" i="11"/>
  <c r="BB633" i="11"/>
  <c r="BB634" i="11"/>
  <c r="BB635" i="11"/>
  <c r="BB636" i="11"/>
  <c r="BB637" i="11"/>
  <c r="BB638" i="11"/>
  <c r="BB639" i="11"/>
  <c r="BB640" i="11"/>
  <c r="BB641" i="11"/>
  <c r="BB642" i="11"/>
  <c r="BB643" i="11"/>
  <c r="BB644" i="11"/>
  <c r="BB645" i="11"/>
  <c r="BB646" i="11"/>
  <c r="BB647" i="11"/>
  <c r="BB648" i="11"/>
  <c r="BB649" i="11"/>
  <c r="BB650" i="11"/>
  <c r="BB651" i="11"/>
  <c r="BB652" i="11"/>
  <c r="BB653" i="11"/>
  <c r="BB654" i="11"/>
  <c r="BB655" i="11"/>
  <c r="BB656" i="11"/>
  <c r="BB657" i="11"/>
  <c r="BB658" i="11"/>
  <c r="BB659" i="11"/>
  <c r="BB660" i="11"/>
  <c r="BB661" i="11"/>
  <c r="BB662" i="11"/>
  <c r="BB663" i="11"/>
  <c r="BB664" i="11"/>
  <c r="BB665" i="11"/>
  <c r="BB666" i="11"/>
  <c r="BB667" i="11"/>
  <c r="BB668" i="11"/>
  <c r="BB669" i="11"/>
  <c r="BB670" i="11"/>
  <c r="BB671" i="11"/>
  <c r="BB672" i="11"/>
  <c r="BB673" i="11"/>
  <c r="BB674" i="11"/>
  <c r="BB675" i="11"/>
  <c r="BB676" i="11"/>
  <c r="BB677" i="11"/>
  <c r="BB678" i="11"/>
  <c r="BB679" i="11"/>
  <c r="BB680" i="11"/>
  <c r="BB681" i="11"/>
  <c r="BB682" i="11"/>
  <c r="BB683" i="11"/>
  <c r="BB684" i="11"/>
  <c r="BB685" i="11"/>
  <c r="BB686" i="11"/>
  <c r="BB687" i="11"/>
  <c r="BB688" i="11"/>
  <c r="BB689" i="11"/>
  <c r="BB690" i="11"/>
  <c r="BB691" i="11"/>
  <c r="BB692" i="11"/>
  <c r="BB693" i="11"/>
  <c r="BB694" i="11"/>
  <c r="BB695" i="11"/>
  <c r="BB696" i="11"/>
  <c r="BB697" i="11"/>
  <c r="BB698" i="11"/>
  <c r="BB699" i="11"/>
  <c r="BB700" i="11"/>
  <c r="BB701" i="11"/>
  <c r="BB702" i="11"/>
  <c r="BB703" i="11"/>
  <c r="BB704" i="11"/>
  <c r="BB705" i="11"/>
  <c r="BB706" i="11"/>
  <c r="BB707" i="11"/>
  <c r="BB708" i="11"/>
  <c r="BB709" i="11"/>
  <c r="BB710" i="11"/>
  <c r="BB711" i="11"/>
  <c r="BB712" i="11"/>
  <c r="BB713" i="11"/>
  <c r="BB714" i="11"/>
  <c r="BB715" i="11"/>
  <c r="BB716" i="11"/>
  <c r="BB717" i="11"/>
  <c r="BB718" i="11"/>
  <c r="BB719" i="11"/>
  <c r="BB720" i="11"/>
  <c r="BB721" i="11"/>
  <c r="BB722" i="11"/>
  <c r="BB723" i="11"/>
  <c r="BB724" i="11"/>
  <c r="BB725" i="11"/>
  <c r="BB726" i="11"/>
  <c r="BB727" i="11"/>
  <c r="BB728" i="11"/>
  <c r="BB729" i="11"/>
  <c r="BB730" i="11"/>
  <c r="BB731" i="11"/>
  <c r="BB732" i="11"/>
  <c r="BB733" i="11"/>
  <c r="BB734" i="11"/>
  <c r="BB735" i="11"/>
  <c r="BB736" i="11"/>
  <c r="BB737" i="11"/>
  <c r="BB738" i="11"/>
  <c r="BB739" i="11"/>
  <c r="BB740" i="11"/>
  <c r="BB741" i="11"/>
  <c r="BB742" i="11"/>
  <c r="BB743" i="11"/>
  <c r="BB744" i="11"/>
  <c r="BB745" i="11"/>
  <c r="BB746" i="11"/>
  <c r="BB747" i="11"/>
  <c r="BB748" i="11"/>
  <c r="BB749" i="11"/>
  <c r="BB750" i="11"/>
  <c r="BB751" i="11"/>
  <c r="BB752" i="11"/>
  <c r="BB753" i="11"/>
  <c r="BB754" i="11"/>
  <c r="BB755" i="11"/>
  <c r="BB756" i="11"/>
  <c r="BB757" i="11"/>
  <c r="BB758" i="11"/>
  <c r="BB759" i="11"/>
  <c r="BB760" i="11"/>
  <c r="BB761" i="11"/>
  <c r="BB762" i="11"/>
  <c r="BB763" i="11"/>
  <c r="BB764" i="11"/>
  <c r="BB765" i="11"/>
  <c r="BB766" i="11"/>
  <c r="BB767" i="11"/>
  <c r="BB768" i="11"/>
  <c r="BB769" i="11"/>
  <c r="BB770" i="11"/>
  <c r="BB771" i="11"/>
  <c r="BB772" i="11"/>
  <c r="BB773" i="11"/>
  <c r="BB774" i="11"/>
  <c r="BB775" i="11"/>
  <c r="BB776" i="11"/>
  <c r="BB777" i="11"/>
  <c r="BB778" i="11"/>
  <c r="BB779" i="11"/>
  <c r="BB780" i="11"/>
  <c r="BB781" i="11"/>
  <c r="BB782" i="11"/>
  <c r="BB783" i="11"/>
  <c r="BB784" i="11"/>
  <c r="BB785" i="11"/>
  <c r="BB786" i="11"/>
  <c r="BB787" i="11"/>
  <c r="BB788" i="11"/>
  <c r="BB789" i="11"/>
  <c r="BB790" i="11"/>
  <c r="BB791" i="11"/>
  <c r="BB792" i="11"/>
  <c r="BB793" i="11"/>
  <c r="BB794" i="11"/>
  <c r="BB795" i="11"/>
  <c r="BB796" i="11"/>
  <c r="BB797" i="11"/>
  <c r="BB798" i="11"/>
  <c r="BB799" i="11"/>
  <c r="BB800" i="11"/>
  <c r="BB801" i="11"/>
  <c r="BB802" i="11"/>
  <c r="BB803" i="11"/>
  <c r="BB804" i="11"/>
  <c r="BB805" i="11"/>
  <c r="BB806" i="11"/>
  <c r="BB807" i="11"/>
  <c r="BB808" i="11"/>
  <c r="BB809" i="11"/>
  <c r="BB810" i="11"/>
  <c r="BB811" i="11"/>
  <c r="BB812" i="11"/>
  <c r="BB813" i="11"/>
  <c r="BB814" i="11"/>
  <c r="BB815" i="11"/>
  <c r="BB816" i="11"/>
  <c r="BB817" i="11"/>
  <c r="BB818" i="11"/>
  <c r="BB819" i="11"/>
  <c r="BB820" i="11"/>
  <c r="BB821" i="11"/>
  <c r="BB822" i="11"/>
  <c r="BB823" i="11"/>
  <c r="BB824" i="11"/>
  <c r="BB825" i="11"/>
  <c r="BB826" i="11"/>
  <c r="BB827" i="11"/>
  <c r="BB828" i="11"/>
  <c r="BB829" i="11"/>
  <c r="BB830" i="11"/>
  <c r="BB831" i="11"/>
  <c r="BB832" i="11"/>
  <c r="BB833" i="11"/>
  <c r="BB834" i="11"/>
  <c r="BB835" i="11"/>
  <c r="BB836" i="11"/>
  <c r="BB837" i="11"/>
  <c r="BB838" i="11"/>
  <c r="BB839" i="11"/>
  <c r="BB840" i="11"/>
  <c r="BB841" i="11"/>
  <c r="BB842" i="11"/>
  <c r="BB843" i="11"/>
  <c r="BB844" i="11"/>
  <c r="BB845" i="11"/>
  <c r="BB846" i="11"/>
  <c r="BB847" i="11"/>
  <c r="BB848" i="11"/>
  <c r="BB849" i="11"/>
  <c r="BB850" i="11"/>
  <c r="BB851" i="11"/>
  <c r="BB852" i="11"/>
  <c r="BB853" i="11"/>
  <c r="BB854" i="11"/>
  <c r="BB855" i="11"/>
  <c r="BB856" i="11"/>
  <c r="BB857" i="11"/>
  <c r="BB858" i="11"/>
  <c r="BB859" i="11"/>
  <c r="BB860" i="11"/>
  <c r="BB861" i="11"/>
  <c r="BB862" i="11"/>
  <c r="BB863" i="11"/>
  <c r="BB864" i="11"/>
  <c r="BB865" i="11"/>
  <c r="BB866" i="11"/>
  <c r="BB867" i="11"/>
  <c r="BB868" i="11"/>
  <c r="BB869" i="11"/>
  <c r="BB870" i="11"/>
  <c r="BB871" i="11"/>
  <c r="BB872" i="11"/>
  <c r="BB873" i="11"/>
  <c r="BB874" i="11"/>
  <c r="BB875" i="11"/>
  <c r="BB876" i="11"/>
  <c r="BB877" i="11"/>
  <c r="BB878" i="11"/>
  <c r="BB879" i="11"/>
  <c r="BB880" i="11"/>
  <c r="BB881" i="11"/>
  <c r="BB882" i="11"/>
  <c r="BB883" i="11"/>
  <c r="BB884" i="11"/>
  <c r="BB885" i="11"/>
  <c r="BB886" i="11"/>
  <c r="BB887" i="11"/>
  <c r="BB888" i="11"/>
  <c r="BB889" i="11"/>
  <c r="BB890" i="11"/>
  <c r="BB891" i="11"/>
  <c r="BB892" i="11"/>
  <c r="BB893" i="11"/>
  <c r="BB894" i="11"/>
  <c r="BB895" i="11"/>
  <c r="BB896" i="11"/>
  <c r="BB897" i="11"/>
  <c r="BB898" i="11"/>
  <c r="BB899" i="11"/>
  <c r="BB900" i="11"/>
  <c r="BB901" i="11"/>
  <c r="BB902" i="11"/>
  <c r="BB903" i="11"/>
  <c r="BB904" i="11"/>
  <c r="BB905" i="11"/>
  <c r="BB906" i="11"/>
  <c r="BB907" i="11"/>
  <c r="BB908" i="11"/>
  <c r="BB909" i="11"/>
  <c r="BB910" i="11"/>
  <c r="BB911" i="11"/>
  <c r="BB912" i="11"/>
  <c r="BB913" i="11"/>
  <c r="BB914" i="11"/>
  <c r="BB915" i="11"/>
  <c r="BB916" i="11"/>
  <c r="BB917" i="11"/>
  <c r="BB918" i="11"/>
  <c r="BB919" i="11"/>
  <c r="BB920" i="11"/>
  <c r="BB921" i="11"/>
  <c r="BB922" i="11"/>
  <c r="BB923" i="11"/>
  <c r="BB924" i="11"/>
  <c r="BB925" i="11"/>
  <c r="BB926" i="11"/>
  <c r="BB927" i="11"/>
  <c r="BB928" i="11"/>
  <c r="BB929" i="11"/>
  <c r="BB930" i="11"/>
  <c r="BB931" i="11"/>
  <c r="BB932" i="11"/>
  <c r="BB933" i="11"/>
  <c r="BB934" i="11"/>
  <c r="BB935" i="11"/>
  <c r="BB936" i="11"/>
  <c r="BB937" i="11"/>
  <c r="BB938" i="11"/>
  <c r="BB939" i="11"/>
  <c r="BB940" i="11"/>
  <c r="BB941" i="11"/>
  <c r="BB942" i="11"/>
  <c r="BB943" i="11"/>
  <c r="BB944" i="11"/>
  <c r="BB945" i="11"/>
  <c r="BB946" i="11"/>
  <c r="BB947" i="11"/>
  <c r="BB948" i="11"/>
  <c r="BB949" i="11"/>
  <c r="BB950" i="11"/>
  <c r="BB951" i="11"/>
  <c r="BB952" i="11"/>
  <c r="BB953" i="11"/>
  <c r="BB954" i="11"/>
  <c r="BB955" i="11"/>
  <c r="BB956" i="11"/>
  <c r="BB957" i="11"/>
  <c r="BB958" i="11"/>
  <c r="BB959" i="11"/>
  <c r="BB960" i="11"/>
  <c r="BB961" i="11"/>
  <c r="BB962" i="11"/>
  <c r="BB963" i="11"/>
  <c r="BB964" i="11"/>
  <c r="BB965" i="11"/>
  <c r="BB966" i="11"/>
  <c r="BB967" i="11"/>
  <c r="BB968" i="11"/>
  <c r="BB969" i="11"/>
  <c r="BB970" i="11"/>
  <c r="BB971" i="11"/>
  <c r="BB972" i="11"/>
  <c r="BB973" i="11"/>
  <c r="BB974" i="11"/>
  <c r="BB975" i="11"/>
  <c r="BB976" i="11"/>
  <c r="BB977" i="11"/>
  <c r="BB978" i="11"/>
  <c r="BB979" i="11"/>
  <c r="BB980" i="11"/>
  <c r="BB981" i="11"/>
  <c r="BB982" i="11"/>
  <c r="BB983" i="11"/>
  <c r="BB984" i="11"/>
  <c r="BB985" i="11"/>
  <c r="BB986" i="11"/>
  <c r="BB987" i="11"/>
  <c r="BB988" i="11"/>
  <c r="BB989" i="11"/>
  <c r="BB990" i="11"/>
  <c r="BB991" i="11"/>
  <c r="BB992" i="11"/>
  <c r="BB993" i="11"/>
  <c r="BB994" i="11"/>
  <c r="BB995" i="11"/>
  <c r="BB996" i="11"/>
  <c r="BB997" i="11"/>
  <c r="BB998" i="11"/>
  <c r="BB999" i="11"/>
  <c r="BB1000" i="11"/>
  <c r="BB1001" i="11"/>
  <c r="BB1002" i="11"/>
  <c r="BB1003" i="11"/>
  <c r="AH1003" i="11"/>
  <c r="AK15" i="12"/>
  <c r="AK5" i="12"/>
  <c r="AK6" i="12"/>
  <c r="AK8" i="12"/>
  <c r="AD2" i="11"/>
  <c r="AD114" i="11" s="1"/>
  <c r="AR2" i="11"/>
  <c r="AK16" i="12"/>
  <c r="AK17" i="12"/>
  <c r="AK12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38" i="12"/>
  <c r="AK39" i="12"/>
  <c r="AK40" i="12"/>
  <c r="AK41" i="12"/>
  <c r="AK42" i="12"/>
  <c r="AK43" i="12"/>
  <c r="AK44" i="12"/>
  <c r="AK45" i="12"/>
  <c r="AK46" i="12"/>
  <c r="AK47" i="12"/>
  <c r="AK48" i="12"/>
  <c r="AK49" i="12"/>
  <c r="AK50" i="12"/>
  <c r="AK51" i="12"/>
  <c r="AK52" i="12"/>
  <c r="AK53" i="12"/>
  <c r="AK54" i="12"/>
  <c r="AK55" i="12"/>
  <c r="AK56" i="12"/>
  <c r="AK57" i="12"/>
  <c r="AK58" i="12"/>
  <c r="AK59" i="12"/>
  <c r="AK60" i="12"/>
  <c r="AK61" i="12"/>
  <c r="AK1003" i="12"/>
  <c r="AK62" i="12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185" i="11"/>
  <c r="AH186" i="11"/>
  <c r="AH187" i="11"/>
  <c r="AH188" i="11"/>
  <c r="AH189" i="11"/>
  <c r="AH190" i="11"/>
  <c r="AH191" i="11"/>
  <c r="AH192" i="11"/>
  <c r="AH193" i="11"/>
  <c r="AH194" i="11"/>
  <c r="AH195" i="11"/>
  <c r="AH196" i="11"/>
  <c r="AH197" i="11"/>
  <c r="AH198" i="11"/>
  <c r="AH199" i="11"/>
  <c r="AH200" i="11"/>
  <c r="AH201" i="11"/>
  <c r="AH202" i="11"/>
  <c r="AH203" i="11"/>
  <c r="AH204" i="11"/>
  <c r="AH205" i="11"/>
  <c r="AH206" i="11"/>
  <c r="AH207" i="11"/>
  <c r="AH208" i="11"/>
  <c r="AH209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232" i="11"/>
  <c r="AH233" i="11"/>
  <c r="AH234" i="11"/>
  <c r="AH235" i="11"/>
  <c r="AH236" i="11"/>
  <c r="AH237" i="11"/>
  <c r="AH238" i="11"/>
  <c r="AH239" i="11"/>
  <c r="AH240" i="11"/>
  <c r="AH241" i="11"/>
  <c r="AH242" i="11"/>
  <c r="AH243" i="11"/>
  <c r="AH244" i="11"/>
  <c r="AH245" i="11"/>
  <c r="AH246" i="11"/>
  <c r="AH247" i="11"/>
  <c r="AH248" i="11"/>
  <c r="AH249" i="11"/>
  <c r="AH250" i="11"/>
  <c r="AH251" i="11"/>
  <c r="AH252" i="11"/>
  <c r="AH253" i="11"/>
  <c r="AH254" i="11"/>
  <c r="AH255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73" i="11"/>
  <c r="AH274" i="11"/>
  <c r="AH275" i="11"/>
  <c r="AH276" i="11"/>
  <c r="AH277" i="11"/>
  <c r="AH278" i="11"/>
  <c r="AH279" i="11"/>
  <c r="AH280" i="11"/>
  <c r="AH281" i="11"/>
  <c r="AH282" i="11"/>
  <c r="AH283" i="11"/>
  <c r="AH284" i="11"/>
  <c r="AH285" i="11"/>
  <c r="AH286" i="11"/>
  <c r="AH287" i="11"/>
  <c r="AH288" i="11"/>
  <c r="AH289" i="11"/>
  <c r="AH290" i="11"/>
  <c r="AH291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314" i="11"/>
  <c r="AH315" i="11"/>
  <c r="AH316" i="11"/>
  <c r="AH317" i="11"/>
  <c r="AH318" i="11"/>
  <c r="AH319" i="11"/>
  <c r="AH320" i="11"/>
  <c r="AH321" i="11"/>
  <c r="AH322" i="11"/>
  <c r="AH323" i="11"/>
  <c r="AH324" i="11"/>
  <c r="AH325" i="11"/>
  <c r="AH326" i="11"/>
  <c r="AH327" i="11"/>
  <c r="AH328" i="11"/>
  <c r="AH329" i="11"/>
  <c r="AH330" i="11"/>
  <c r="AH331" i="11"/>
  <c r="AH332" i="11"/>
  <c r="AH333" i="11"/>
  <c r="AH334" i="11"/>
  <c r="AH335" i="11"/>
  <c r="AH336" i="11"/>
  <c r="AH337" i="11"/>
  <c r="AH338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361" i="11"/>
  <c r="AH362" i="11"/>
  <c r="AH363" i="11"/>
  <c r="AH364" i="11"/>
  <c r="AH365" i="11"/>
  <c r="AH366" i="11"/>
  <c r="AH367" i="11"/>
  <c r="AH368" i="11"/>
  <c r="AH369" i="11"/>
  <c r="AH370" i="11"/>
  <c r="AH371" i="11"/>
  <c r="AH372" i="11"/>
  <c r="AH373" i="11"/>
  <c r="AH374" i="11"/>
  <c r="AH375" i="11"/>
  <c r="AH376" i="11"/>
  <c r="AH377" i="11"/>
  <c r="AH378" i="11"/>
  <c r="AH379" i="11"/>
  <c r="AH380" i="11"/>
  <c r="AH381" i="11"/>
  <c r="AH382" i="11"/>
  <c r="AH383" i="11"/>
  <c r="AH384" i="11"/>
  <c r="AH385" i="11"/>
  <c r="AH386" i="11"/>
  <c r="AH387" i="11"/>
  <c r="AH388" i="11"/>
  <c r="AH389" i="11"/>
  <c r="AH390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4" i="11"/>
  <c r="AH405" i="11"/>
  <c r="AH406" i="11"/>
  <c r="AH407" i="11"/>
  <c r="AH408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31" i="11"/>
  <c r="AH432" i="11"/>
  <c r="AH433" i="11"/>
  <c r="AH434" i="11"/>
  <c r="AH435" i="11"/>
  <c r="AH436" i="11"/>
  <c r="AH437" i="11"/>
  <c r="AH438" i="11"/>
  <c r="AH439" i="11"/>
  <c r="AH440" i="11"/>
  <c r="AH441" i="11"/>
  <c r="AH442" i="11"/>
  <c r="AH443" i="11"/>
  <c r="AH444" i="11"/>
  <c r="AH445" i="11"/>
  <c r="AH446" i="11"/>
  <c r="AH447" i="11"/>
  <c r="AH448" i="11"/>
  <c r="AH449" i="11"/>
  <c r="AH450" i="11"/>
  <c r="AH451" i="11"/>
  <c r="AH452" i="11"/>
  <c r="AH453" i="11"/>
  <c r="AH454" i="11"/>
  <c r="AH455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478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493" i="11"/>
  <c r="AH494" i="11"/>
  <c r="AH495" i="11"/>
  <c r="AH496" i="11"/>
  <c r="AH497" i="11"/>
  <c r="AH498" i="11"/>
  <c r="AH499" i="11"/>
  <c r="AH500" i="11"/>
  <c r="AH501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524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547" i="11"/>
  <c r="AH548" i="11"/>
  <c r="AH549" i="11"/>
  <c r="AH550" i="11"/>
  <c r="AH551" i="11"/>
  <c r="AH552" i="11"/>
  <c r="AH553" i="11"/>
  <c r="AH554" i="11"/>
  <c r="AH555" i="11"/>
  <c r="AH556" i="11"/>
  <c r="AH557" i="11"/>
  <c r="AH558" i="11"/>
  <c r="AH559" i="11"/>
  <c r="AH560" i="11"/>
  <c r="AH561" i="11"/>
  <c r="AH562" i="11"/>
  <c r="AH563" i="11"/>
  <c r="AH564" i="11"/>
  <c r="AH565" i="11"/>
  <c r="AH566" i="11"/>
  <c r="AH567" i="11"/>
  <c r="AH568" i="11"/>
  <c r="AH569" i="11"/>
  <c r="AH570" i="11"/>
  <c r="AH571" i="11"/>
  <c r="AH572" i="11"/>
  <c r="AH573" i="11"/>
  <c r="AH574" i="11"/>
  <c r="AH575" i="11"/>
  <c r="AH576" i="11"/>
  <c r="AH577" i="11"/>
  <c r="AH578" i="11"/>
  <c r="AH579" i="11"/>
  <c r="AH580" i="11"/>
  <c r="AH581" i="11"/>
  <c r="AH582" i="11"/>
  <c r="AH583" i="11"/>
  <c r="AH584" i="11"/>
  <c r="AH585" i="11"/>
  <c r="AH586" i="11"/>
  <c r="AH587" i="11"/>
  <c r="AH588" i="11"/>
  <c r="AH589" i="11"/>
  <c r="AH590" i="11"/>
  <c r="AH591" i="11"/>
  <c r="AH592" i="11"/>
  <c r="AH593" i="11"/>
  <c r="AH594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17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640" i="11"/>
  <c r="AH641" i="11"/>
  <c r="AH642" i="11"/>
  <c r="AH643" i="11"/>
  <c r="AH644" i="11"/>
  <c r="AH645" i="11"/>
  <c r="AH646" i="11"/>
  <c r="AH647" i="11"/>
  <c r="AH648" i="11"/>
  <c r="AH649" i="11"/>
  <c r="AH650" i="11"/>
  <c r="AH651" i="11"/>
  <c r="AH652" i="11"/>
  <c r="AH653" i="11"/>
  <c r="AH654" i="11"/>
  <c r="AH655" i="11"/>
  <c r="AH656" i="11"/>
  <c r="AH657" i="11"/>
  <c r="AH658" i="11"/>
  <c r="AH659" i="11"/>
  <c r="AH660" i="11"/>
  <c r="AH661" i="11"/>
  <c r="AH662" i="11"/>
  <c r="AH663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68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0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732" i="11"/>
  <c r="AH733" i="11"/>
  <c r="AH734" i="11"/>
  <c r="AH735" i="11"/>
  <c r="AH736" i="11"/>
  <c r="AH737" i="11"/>
  <c r="AH738" i="11"/>
  <c r="AH739" i="11"/>
  <c r="AH740" i="11"/>
  <c r="AH741" i="11"/>
  <c r="AH742" i="11"/>
  <c r="AH743" i="11"/>
  <c r="AH744" i="11"/>
  <c r="AH745" i="11"/>
  <c r="AH746" i="11"/>
  <c r="AH747" i="11"/>
  <c r="AH748" i="11"/>
  <c r="AH749" i="11"/>
  <c r="AH750" i="11"/>
  <c r="AH751" i="11"/>
  <c r="AH752" i="11"/>
  <c r="AH753" i="11"/>
  <c r="AH754" i="11"/>
  <c r="AH755" i="11"/>
  <c r="AH756" i="11"/>
  <c r="AH757" i="11"/>
  <c r="AH758" i="11"/>
  <c r="AH759" i="11"/>
  <c r="AH760" i="11"/>
  <c r="AH761" i="11"/>
  <c r="AH762" i="11"/>
  <c r="AH763" i="11"/>
  <c r="AH764" i="11"/>
  <c r="AH765" i="11"/>
  <c r="AH766" i="11"/>
  <c r="AH767" i="11"/>
  <c r="AH768" i="11"/>
  <c r="AH769" i="11"/>
  <c r="AH770" i="11"/>
  <c r="AH771" i="11"/>
  <c r="AH772" i="11"/>
  <c r="AH773" i="11"/>
  <c r="AH774" i="11"/>
  <c r="AH775" i="11"/>
  <c r="AH776" i="11"/>
  <c r="AH777" i="11"/>
  <c r="AH778" i="11"/>
  <c r="AH779" i="11"/>
  <c r="AH780" i="11"/>
  <c r="AH781" i="11"/>
  <c r="AH782" i="11"/>
  <c r="AH783" i="11"/>
  <c r="AH784" i="11"/>
  <c r="AH785" i="11"/>
  <c r="AH786" i="11"/>
  <c r="AH787" i="11"/>
  <c r="AH788" i="11"/>
  <c r="AH789" i="11"/>
  <c r="AH790" i="11"/>
  <c r="AH791" i="11"/>
  <c r="AH792" i="11"/>
  <c r="AH793" i="11"/>
  <c r="AH794" i="11"/>
  <c r="AH795" i="11"/>
  <c r="AH796" i="11"/>
  <c r="AH797" i="11"/>
  <c r="AH798" i="11"/>
  <c r="AH799" i="11"/>
  <c r="AH800" i="11"/>
  <c r="AH801" i="11"/>
  <c r="AH802" i="11"/>
  <c r="AH803" i="11"/>
  <c r="AH804" i="11"/>
  <c r="AH805" i="11"/>
  <c r="AH806" i="11"/>
  <c r="AH807" i="11"/>
  <c r="AH808" i="11"/>
  <c r="AH809" i="11"/>
  <c r="AH810" i="11"/>
  <c r="AH811" i="11"/>
  <c r="AH812" i="11"/>
  <c r="AH813" i="11"/>
  <c r="AH814" i="11"/>
  <c r="AH815" i="11"/>
  <c r="AH816" i="11"/>
  <c r="AH817" i="11"/>
  <c r="AH818" i="11"/>
  <c r="AH819" i="11"/>
  <c r="AH820" i="11"/>
  <c r="AH821" i="11"/>
  <c r="AH822" i="11"/>
  <c r="AH823" i="11"/>
  <c r="AH824" i="11"/>
  <c r="AH825" i="11"/>
  <c r="AH826" i="11"/>
  <c r="AH827" i="11"/>
  <c r="AH828" i="11"/>
  <c r="AH829" i="11"/>
  <c r="AH830" i="11"/>
  <c r="AH831" i="11"/>
  <c r="AH832" i="11"/>
  <c r="AH833" i="11"/>
  <c r="AH834" i="11"/>
  <c r="AH835" i="11"/>
  <c r="AH836" i="11"/>
  <c r="AH837" i="11"/>
  <c r="AH838" i="11"/>
  <c r="AH839" i="11"/>
  <c r="AH840" i="11"/>
  <c r="AH841" i="11"/>
  <c r="AH842" i="11"/>
  <c r="AH843" i="11"/>
  <c r="AH844" i="11"/>
  <c r="AH845" i="11"/>
  <c r="AH846" i="11"/>
  <c r="AH847" i="11"/>
  <c r="AH848" i="11"/>
  <c r="AH849" i="11"/>
  <c r="AH850" i="11"/>
  <c r="AH851" i="11"/>
  <c r="AH852" i="11"/>
  <c r="AH853" i="11"/>
  <c r="AH854" i="11"/>
  <c r="AH855" i="11"/>
  <c r="AH856" i="11"/>
  <c r="AH857" i="11"/>
  <c r="AH858" i="11"/>
  <c r="AH859" i="11"/>
  <c r="AH860" i="11"/>
  <c r="AH861" i="11"/>
  <c r="AH862" i="11"/>
  <c r="AH863" i="11"/>
  <c r="AH864" i="11"/>
  <c r="AH865" i="11"/>
  <c r="AH866" i="11"/>
  <c r="AH867" i="11"/>
  <c r="AH868" i="11"/>
  <c r="AH869" i="11"/>
  <c r="AH870" i="11"/>
  <c r="AH871" i="11"/>
  <c r="AH872" i="11"/>
  <c r="AH873" i="11"/>
  <c r="AH874" i="11"/>
  <c r="AH875" i="11"/>
  <c r="AH876" i="11"/>
  <c r="AH877" i="11"/>
  <c r="AH878" i="11"/>
  <c r="AH879" i="11"/>
  <c r="AH880" i="11"/>
  <c r="AH881" i="11"/>
  <c r="AH882" i="11"/>
  <c r="AH883" i="11"/>
  <c r="AH884" i="11"/>
  <c r="AH885" i="11"/>
  <c r="AH886" i="11"/>
  <c r="AH887" i="11"/>
  <c r="AH888" i="11"/>
  <c r="AH889" i="11"/>
  <c r="AH890" i="11"/>
  <c r="AH891" i="11"/>
  <c r="AH892" i="11"/>
  <c r="AH893" i="11"/>
  <c r="AH894" i="11"/>
  <c r="AH895" i="11"/>
  <c r="AH896" i="11"/>
  <c r="AH897" i="11"/>
  <c r="AH898" i="11"/>
  <c r="AH899" i="11"/>
  <c r="AH900" i="11"/>
  <c r="AH901" i="11"/>
  <c r="AH902" i="11"/>
  <c r="AH903" i="11"/>
  <c r="AH904" i="11"/>
  <c r="AH905" i="11"/>
  <c r="AH906" i="11"/>
  <c r="AH907" i="11"/>
  <c r="AH908" i="11"/>
  <c r="AH909" i="11"/>
  <c r="AH910" i="11"/>
  <c r="AH911" i="11"/>
  <c r="AH912" i="11"/>
  <c r="AH913" i="11"/>
  <c r="AH914" i="11"/>
  <c r="AH915" i="11"/>
  <c r="AH916" i="11"/>
  <c r="AH917" i="11"/>
  <c r="AH918" i="11"/>
  <c r="AH919" i="11"/>
  <c r="AH920" i="11"/>
  <c r="AH921" i="11"/>
  <c r="AH922" i="11"/>
  <c r="AH923" i="11"/>
  <c r="AH924" i="11"/>
  <c r="AH925" i="11"/>
  <c r="AH926" i="11"/>
  <c r="AH927" i="11"/>
  <c r="AH928" i="11"/>
  <c r="AH929" i="11"/>
  <c r="AH930" i="11"/>
  <c r="AH931" i="11"/>
  <c r="AH932" i="11"/>
  <c r="AH933" i="11"/>
  <c r="AH934" i="11"/>
  <c r="AH935" i="11"/>
  <c r="AH936" i="11"/>
  <c r="AH937" i="11"/>
  <c r="AH938" i="11"/>
  <c r="AH939" i="11"/>
  <c r="AH940" i="11"/>
  <c r="AH941" i="11"/>
  <c r="AH942" i="11"/>
  <c r="AH943" i="11"/>
  <c r="AH944" i="11"/>
  <c r="AH945" i="11"/>
  <c r="AH946" i="11"/>
  <c r="AH947" i="11"/>
  <c r="AH948" i="11"/>
  <c r="AH949" i="11"/>
  <c r="AH950" i="11"/>
  <c r="AH951" i="11"/>
  <c r="AH952" i="11"/>
  <c r="AH953" i="11"/>
  <c r="AH954" i="11"/>
  <c r="AH955" i="11"/>
  <c r="AH956" i="11"/>
  <c r="AH957" i="11"/>
  <c r="AH958" i="11"/>
  <c r="AH959" i="11"/>
  <c r="AH960" i="11"/>
  <c r="AH961" i="11"/>
  <c r="AH962" i="11"/>
  <c r="AH963" i="11"/>
  <c r="AH964" i="11"/>
  <c r="AH965" i="11"/>
  <c r="AH966" i="11"/>
  <c r="AH967" i="11"/>
  <c r="AH968" i="11"/>
  <c r="AH969" i="11"/>
  <c r="AH970" i="11"/>
  <c r="AH971" i="11"/>
  <c r="AH972" i="11"/>
  <c r="AH973" i="11"/>
  <c r="AH974" i="11"/>
  <c r="AH975" i="11"/>
  <c r="AH976" i="11"/>
  <c r="AH977" i="11"/>
  <c r="AH978" i="11"/>
  <c r="AH979" i="11"/>
  <c r="AH980" i="11"/>
  <c r="AH981" i="11"/>
  <c r="AH982" i="11"/>
  <c r="AH983" i="11"/>
  <c r="AH984" i="11"/>
  <c r="AH985" i="11"/>
  <c r="AH986" i="11"/>
  <c r="AH987" i="11"/>
  <c r="AH988" i="11"/>
  <c r="AH989" i="11"/>
  <c r="AH990" i="11"/>
  <c r="AH991" i="11"/>
  <c r="AH992" i="11"/>
  <c r="AH993" i="11"/>
  <c r="AH994" i="11"/>
  <c r="AH995" i="11"/>
  <c r="AH996" i="11"/>
  <c r="AH997" i="11"/>
  <c r="AH998" i="11"/>
  <c r="AH999" i="11"/>
  <c r="AH1000" i="11"/>
  <c r="AH1001" i="11"/>
  <c r="AH1002" i="11"/>
  <c r="F1058" i="11"/>
  <c r="AI6" i="11"/>
  <c r="AC6" i="11" s="1"/>
  <c r="AI7" i="11"/>
  <c r="AC7" i="11" s="1"/>
  <c r="AI8" i="11"/>
  <c r="AC8" i="11" s="1"/>
  <c r="AI9" i="11"/>
  <c r="AC9" i="11" s="1"/>
  <c r="AI10" i="11"/>
  <c r="AC10" i="11" s="1"/>
  <c r="C55" i="16"/>
  <c r="AS5" i="12"/>
  <c r="AS6" i="12"/>
  <c r="AS7" i="12"/>
  <c r="AS8" i="12"/>
  <c r="AS9" i="12"/>
  <c r="AS10" i="12"/>
  <c r="AS11" i="12"/>
  <c r="AS12" i="12"/>
  <c r="AS13" i="12"/>
  <c r="AS14" i="12"/>
  <c r="AS15" i="12"/>
  <c r="AS16" i="12"/>
  <c r="AS17" i="12"/>
  <c r="AS18" i="12"/>
  <c r="AS19" i="12"/>
  <c r="AS20" i="12"/>
  <c r="AS21" i="12"/>
  <c r="AS22" i="12"/>
  <c r="AS23" i="12"/>
  <c r="AS24" i="12"/>
  <c r="AS25" i="12"/>
  <c r="AS26" i="12"/>
  <c r="AS27" i="12"/>
  <c r="AS28" i="12"/>
  <c r="AS29" i="12"/>
  <c r="AS30" i="12"/>
  <c r="AS31" i="12"/>
  <c r="AS32" i="12"/>
  <c r="AS33" i="12"/>
  <c r="AS34" i="12"/>
  <c r="AS35" i="12"/>
  <c r="AS36" i="12"/>
  <c r="AS37" i="12"/>
  <c r="AS38" i="12"/>
  <c r="AS39" i="12"/>
  <c r="AS40" i="12"/>
  <c r="AS41" i="12"/>
  <c r="AS42" i="12"/>
  <c r="AS43" i="12"/>
  <c r="AS44" i="12"/>
  <c r="AS45" i="12"/>
  <c r="AS46" i="12"/>
  <c r="AS47" i="12"/>
  <c r="AS48" i="12"/>
  <c r="AS49" i="12"/>
  <c r="AS50" i="12"/>
  <c r="AS51" i="12"/>
  <c r="AS52" i="12"/>
  <c r="AS53" i="12"/>
  <c r="AS54" i="12"/>
  <c r="AS55" i="12"/>
  <c r="AS56" i="12"/>
  <c r="AS57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S70" i="12"/>
  <c r="AS71" i="12"/>
  <c r="AS72" i="12"/>
  <c r="AS73" i="12"/>
  <c r="AS74" i="12"/>
  <c r="AS75" i="12"/>
  <c r="AS76" i="12"/>
  <c r="AS77" i="12"/>
  <c r="AS78" i="12"/>
  <c r="AS79" i="12"/>
  <c r="AS80" i="12"/>
  <c r="AS81" i="12"/>
  <c r="AS82" i="12"/>
  <c r="AS83" i="12"/>
  <c r="AS84" i="12"/>
  <c r="AS85" i="12"/>
  <c r="AS86" i="12"/>
  <c r="AS87" i="12"/>
  <c r="AS88" i="12"/>
  <c r="AS89" i="12"/>
  <c r="AS90" i="12"/>
  <c r="AS91" i="12"/>
  <c r="AS92" i="12"/>
  <c r="AS93" i="12"/>
  <c r="AS94" i="12"/>
  <c r="AS95" i="12"/>
  <c r="AS96" i="12"/>
  <c r="AS97" i="12"/>
  <c r="AS98" i="12"/>
  <c r="AS99" i="12"/>
  <c r="AS100" i="12"/>
  <c r="AS101" i="12"/>
  <c r="AS102" i="12"/>
  <c r="AS103" i="12"/>
  <c r="AS104" i="12"/>
  <c r="AS105" i="12"/>
  <c r="AS106" i="12"/>
  <c r="AS107" i="12"/>
  <c r="AS108" i="12"/>
  <c r="AS109" i="12"/>
  <c r="AS110" i="12"/>
  <c r="AS111" i="12"/>
  <c r="AS112" i="12"/>
  <c r="AS113" i="12"/>
  <c r="AS114" i="12"/>
  <c r="AS115" i="12"/>
  <c r="AS116" i="12"/>
  <c r="AS117" i="12"/>
  <c r="AS118" i="12"/>
  <c r="AS119" i="12"/>
  <c r="AS120" i="12"/>
  <c r="AS121" i="12"/>
  <c r="AS122" i="12"/>
  <c r="AS123" i="12"/>
  <c r="AS124" i="12"/>
  <c r="AS125" i="12"/>
  <c r="AS126" i="12"/>
  <c r="AS127" i="12"/>
  <c r="AS128" i="12"/>
  <c r="AS129" i="12"/>
  <c r="AS130" i="12"/>
  <c r="AS131" i="12"/>
  <c r="AS132" i="12"/>
  <c r="AS133" i="12"/>
  <c r="AS134" i="12"/>
  <c r="AS135" i="12"/>
  <c r="AS136" i="12"/>
  <c r="AS137" i="12"/>
  <c r="AS138" i="12"/>
  <c r="AS139" i="12"/>
  <c r="AS140" i="12"/>
  <c r="AS141" i="12"/>
  <c r="AS142" i="12"/>
  <c r="AS143" i="12"/>
  <c r="AS144" i="12"/>
  <c r="AS145" i="12"/>
  <c r="AS146" i="12"/>
  <c r="AS147" i="12"/>
  <c r="AS148" i="12"/>
  <c r="AS149" i="12"/>
  <c r="AS150" i="12"/>
  <c r="AS151" i="12"/>
  <c r="AS152" i="12"/>
  <c r="AS153" i="12"/>
  <c r="AS154" i="12"/>
  <c r="AS155" i="12"/>
  <c r="AS156" i="12"/>
  <c r="AS157" i="12"/>
  <c r="AS158" i="12"/>
  <c r="AS159" i="12"/>
  <c r="AS160" i="12"/>
  <c r="AS161" i="12"/>
  <c r="AS162" i="12"/>
  <c r="AS163" i="12"/>
  <c r="AS164" i="12"/>
  <c r="AS165" i="12"/>
  <c r="AS166" i="12"/>
  <c r="AS167" i="12"/>
  <c r="AS168" i="12"/>
  <c r="AS169" i="12"/>
  <c r="AS170" i="12"/>
  <c r="AS171" i="12"/>
  <c r="AS172" i="12"/>
  <c r="AS173" i="12"/>
  <c r="AS174" i="12"/>
  <c r="AS175" i="12"/>
  <c r="AS176" i="12"/>
  <c r="AS177" i="12"/>
  <c r="AS178" i="12"/>
  <c r="AS179" i="12"/>
  <c r="AS180" i="12"/>
  <c r="AS181" i="12"/>
  <c r="AS182" i="12"/>
  <c r="AS183" i="12"/>
  <c r="AS184" i="12"/>
  <c r="AS185" i="12"/>
  <c r="AS186" i="12"/>
  <c r="AS187" i="12"/>
  <c r="AS188" i="12"/>
  <c r="AS189" i="12"/>
  <c r="AS190" i="12"/>
  <c r="AS191" i="12"/>
  <c r="AS192" i="12"/>
  <c r="AS193" i="12"/>
  <c r="AS194" i="12"/>
  <c r="AS195" i="12"/>
  <c r="AS196" i="12"/>
  <c r="AS197" i="12"/>
  <c r="AS198" i="12"/>
  <c r="AS199" i="12"/>
  <c r="AS200" i="12"/>
  <c r="AS201" i="12"/>
  <c r="AS202" i="12"/>
  <c r="AS203" i="12"/>
  <c r="AS204" i="12"/>
  <c r="AS205" i="12"/>
  <c r="AS206" i="12"/>
  <c r="AS207" i="12"/>
  <c r="AS208" i="12"/>
  <c r="AS209" i="12"/>
  <c r="AS210" i="12"/>
  <c r="AS211" i="12"/>
  <c r="AS212" i="12"/>
  <c r="AS213" i="12"/>
  <c r="AS214" i="12"/>
  <c r="AS215" i="12"/>
  <c r="AS216" i="12"/>
  <c r="AS217" i="12"/>
  <c r="AS218" i="12"/>
  <c r="AS219" i="12"/>
  <c r="AS220" i="12"/>
  <c r="AS221" i="12"/>
  <c r="AS222" i="12"/>
  <c r="AS223" i="12"/>
  <c r="AS224" i="12"/>
  <c r="AS225" i="12"/>
  <c r="AS226" i="12"/>
  <c r="AS227" i="12"/>
  <c r="AS228" i="12"/>
  <c r="AS229" i="12"/>
  <c r="AS230" i="12"/>
  <c r="AS231" i="12"/>
  <c r="AS232" i="12"/>
  <c r="AS233" i="12"/>
  <c r="AS234" i="12"/>
  <c r="AS235" i="12"/>
  <c r="AS236" i="12"/>
  <c r="AS237" i="12"/>
  <c r="AS238" i="12"/>
  <c r="AS239" i="12"/>
  <c r="AS240" i="12"/>
  <c r="AS241" i="12"/>
  <c r="AS242" i="12"/>
  <c r="AS243" i="12"/>
  <c r="AS244" i="12"/>
  <c r="AS245" i="12"/>
  <c r="AS246" i="12"/>
  <c r="AS247" i="12"/>
  <c r="AS248" i="12"/>
  <c r="AS249" i="12"/>
  <c r="AS250" i="12"/>
  <c r="AS251" i="12"/>
  <c r="AS252" i="12"/>
  <c r="AS253" i="12"/>
  <c r="AS254" i="12"/>
  <c r="AS255" i="12"/>
  <c r="AS256" i="12"/>
  <c r="AS257" i="12"/>
  <c r="AS258" i="12"/>
  <c r="AS259" i="12"/>
  <c r="AS260" i="12"/>
  <c r="AS261" i="12"/>
  <c r="AS262" i="12"/>
  <c r="AS263" i="12"/>
  <c r="AS264" i="12"/>
  <c r="AS265" i="12"/>
  <c r="AS266" i="12"/>
  <c r="AS267" i="12"/>
  <c r="AS268" i="12"/>
  <c r="AS269" i="12"/>
  <c r="AS270" i="12"/>
  <c r="AS271" i="12"/>
  <c r="AS272" i="12"/>
  <c r="AS273" i="12"/>
  <c r="AS274" i="12"/>
  <c r="AS275" i="12"/>
  <c r="AS276" i="12"/>
  <c r="AS277" i="12"/>
  <c r="AS278" i="12"/>
  <c r="AS279" i="12"/>
  <c r="AS280" i="12"/>
  <c r="AS281" i="12"/>
  <c r="AS282" i="12"/>
  <c r="AS283" i="12"/>
  <c r="AS284" i="12"/>
  <c r="AS285" i="12"/>
  <c r="AS286" i="12"/>
  <c r="AS287" i="12"/>
  <c r="AS288" i="12"/>
  <c r="AS289" i="12"/>
  <c r="AS290" i="12"/>
  <c r="AS291" i="12"/>
  <c r="AS292" i="12"/>
  <c r="AS293" i="12"/>
  <c r="AS294" i="12"/>
  <c r="AS295" i="12"/>
  <c r="AS296" i="12"/>
  <c r="AS297" i="12"/>
  <c r="AS298" i="12"/>
  <c r="AS299" i="12"/>
  <c r="AS300" i="12"/>
  <c r="AS301" i="12"/>
  <c r="AS302" i="12"/>
  <c r="AS303" i="12"/>
  <c r="AS304" i="12"/>
  <c r="AS305" i="12"/>
  <c r="AS306" i="12"/>
  <c r="AS307" i="12"/>
  <c r="AS308" i="12"/>
  <c r="AS309" i="12"/>
  <c r="AS310" i="12"/>
  <c r="AS311" i="12"/>
  <c r="AS312" i="12"/>
  <c r="AS313" i="12"/>
  <c r="AS314" i="12"/>
  <c r="AS315" i="12"/>
  <c r="AS316" i="12"/>
  <c r="AS317" i="12"/>
  <c r="AS318" i="12"/>
  <c r="AS319" i="12"/>
  <c r="AS320" i="12"/>
  <c r="AS321" i="12"/>
  <c r="AS322" i="12"/>
  <c r="AS323" i="12"/>
  <c r="AS324" i="12"/>
  <c r="AS325" i="12"/>
  <c r="AS326" i="12"/>
  <c r="AS327" i="12"/>
  <c r="AS328" i="12"/>
  <c r="AS329" i="12"/>
  <c r="AS330" i="12"/>
  <c r="AS331" i="12"/>
  <c r="AS332" i="12"/>
  <c r="AS333" i="12"/>
  <c r="AS334" i="12"/>
  <c r="AS335" i="12"/>
  <c r="AS336" i="12"/>
  <c r="AS337" i="12"/>
  <c r="AS338" i="12"/>
  <c r="AS339" i="12"/>
  <c r="AS340" i="12"/>
  <c r="AS341" i="12"/>
  <c r="AS342" i="12"/>
  <c r="AS343" i="12"/>
  <c r="AS344" i="12"/>
  <c r="AS345" i="12"/>
  <c r="AS346" i="12"/>
  <c r="AS347" i="12"/>
  <c r="AS348" i="12"/>
  <c r="AS349" i="12"/>
  <c r="AS350" i="12"/>
  <c r="AS351" i="12"/>
  <c r="AS352" i="12"/>
  <c r="AS353" i="12"/>
  <c r="AS354" i="12"/>
  <c r="AS355" i="12"/>
  <c r="AS356" i="12"/>
  <c r="AS357" i="12"/>
  <c r="AS358" i="12"/>
  <c r="AS359" i="12"/>
  <c r="AS360" i="12"/>
  <c r="AS361" i="12"/>
  <c r="AS362" i="12"/>
  <c r="AS363" i="12"/>
  <c r="AS364" i="12"/>
  <c r="AS365" i="12"/>
  <c r="AS366" i="12"/>
  <c r="AS367" i="12"/>
  <c r="AS368" i="12"/>
  <c r="AS369" i="12"/>
  <c r="AS370" i="12"/>
  <c r="AS371" i="12"/>
  <c r="AS372" i="12"/>
  <c r="AS373" i="12"/>
  <c r="AS374" i="12"/>
  <c r="AS375" i="12"/>
  <c r="AS376" i="12"/>
  <c r="AS377" i="12"/>
  <c r="AS378" i="12"/>
  <c r="AS379" i="12"/>
  <c r="AS380" i="12"/>
  <c r="AS381" i="12"/>
  <c r="AS382" i="12"/>
  <c r="AS383" i="12"/>
  <c r="AS384" i="12"/>
  <c r="AS385" i="12"/>
  <c r="AS386" i="12"/>
  <c r="AS387" i="12"/>
  <c r="AS388" i="12"/>
  <c r="AS389" i="12"/>
  <c r="AS390" i="12"/>
  <c r="AS391" i="12"/>
  <c r="AS392" i="12"/>
  <c r="AS393" i="12"/>
  <c r="AS394" i="12"/>
  <c r="AS395" i="12"/>
  <c r="AS396" i="12"/>
  <c r="AS397" i="12"/>
  <c r="AS398" i="12"/>
  <c r="AS399" i="12"/>
  <c r="AS400" i="12"/>
  <c r="AS401" i="12"/>
  <c r="AS402" i="12"/>
  <c r="AS403" i="12"/>
  <c r="AS404" i="12"/>
  <c r="AS405" i="12"/>
  <c r="AS406" i="12"/>
  <c r="AS407" i="12"/>
  <c r="AS408" i="12"/>
  <c r="AS409" i="12"/>
  <c r="AS410" i="12"/>
  <c r="AS411" i="12"/>
  <c r="AS412" i="12"/>
  <c r="AS413" i="12"/>
  <c r="AS414" i="12"/>
  <c r="AS415" i="12"/>
  <c r="AS416" i="12"/>
  <c r="AS417" i="12"/>
  <c r="AS418" i="12"/>
  <c r="AS419" i="12"/>
  <c r="AS420" i="12"/>
  <c r="AS421" i="12"/>
  <c r="AS422" i="12"/>
  <c r="AS423" i="12"/>
  <c r="AS424" i="12"/>
  <c r="AS425" i="12"/>
  <c r="AS426" i="12"/>
  <c r="AS427" i="12"/>
  <c r="AS428" i="12"/>
  <c r="AS429" i="12"/>
  <c r="AS430" i="12"/>
  <c r="AS431" i="12"/>
  <c r="AS432" i="12"/>
  <c r="AS433" i="12"/>
  <c r="AS434" i="12"/>
  <c r="AS435" i="12"/>
  <c r="AS436" i="12"/>
  <c r="AS437" i="12"/>
  <c r="AS438" i="12"/>
  <c r="AS439" i="12"/>
  <c r="AS440" i="12"/>
  <c r="AS441" i="12"/>
  <c r="AS442" i="12"/>
  <c r="AS443" i="12"/>
  <c r="AS444" i="12"/>
  <c r="AS445" i="12"/>
  <c r="AS446" i="12"/>
  <c r="AS447" i="12"/>
  <c r="AS448" i="12"/>
  <c r="AS449" i="12"/>
  <c r="AS450" i="12"/>
  <c r="AS451" i="12"/>
  <c r="AS452" i="12"/>
  <c r="AS453" i="12"/>
  <c r="AS454" i="12"/>
  <c r="AS455" i="12"/>
  <c r="AS456" i="12"/>
  <c r="AS457" i="12"/>
  <c r="AS458" i="12"/>
  <c r="AS459" i="12"/>
  <c r="AS460" i="12"/>
  <c r="AS461" i="12"/>
  <c r="AS462" i="12"/>
  <c r="AS463" i="12"/>
  <c r="AS464" i="12"/>
  <c r="AS465" i="12"/>
  <c r="AS466" i="12"/>
  <c r="AS467" i="12"/>
  <c r="AS468" i="12"/>
  <c r="AS469" i="12"/>
  <c r="AS470" i="12"/>
  <c r="AS471" i="12"/>
  <c r="AS472" i="12"/>
  <c r="AS473" i="12"/>
  <c r="AS474" i="12"/>
  <c r="AS475" i="12"/>
  <c r="AS476" i="12"/>
  <c r="AS477" i="12"/>
  <c r="AS478" i="12"/>
  <c r="AS479" i="12"/>
  <c r="AS480" i="12"/>
  <c r="AS481" i="12"/>
  <c r="AS482" i="12"/>
  <c r="AS483" i="12"/>
  <c r="AS484" i="12"/>
  <c r="AS485" i="12"/>
  <c r="AS486" i="12"/>
  <c r="AS487" i="12"/>
  <c r="AS488" i="12"/>
  <c r="AS489" i="12"/>
  <c r="AS490" i="12"/>
  <c r="AS491" i="12"/>
  <c r="AS492" i="12"/>
  <c r="AS493" i="12"/>
  <c r="AS494" i="12"/>
  <c r="AS495" i="12"/>
  <c r="AS496" i="12"/>
  <c r="AS497" i="12"/>
  <c r="AS498" i="12"/>
  <c r="AS499" i="12"/>
  <c r="AS500" i="12"/>
  <c r="AS501" i="12"/>
  <c r="AS502" i="12"/>
  <c r="AS503" i="12"/>
  <c r="AS504" i="12"/>
  <c r="AS505" i="12"/>
  <c r="AS506" i="12"/>
  <c r="AS507" i="12"/>
  <c r="AS508" i="12"/>
  <c r="AS509" i="12"/>
  <c r="AS510" i="12"/>
  <c r="AS511" i="12"/>
  <c r="AS512" i="12"/>
  <c r="AS513" i="12"/>
  <c r="AS514" i="12"/>
  <c r="AS515" i="12"/>
  <c r="AS516" i="12"/>
  <c r="AS517" i="12"/>
  <c r="AS518" i="12"/>
  <c r="AS519" i="12"/>
  <c r="AS520" i="12"/>
  <c r="AS521" i="12"/>
  <c r="AS522" i="12"/>
  <c r="AS523" i="12"/>
  <c r="AS524" i="12"/>
  <c r="AS525" i="12"/>
  <c r="AS526" i="12"/>
  <c r="AS527" i="12"/>
  <c r="AS528" i="12"/>
  <c r="AS529" i="12"/>
  <c r="AS530" i="12"/>
  <c r="AS531" i="12"/>
  <c r="AS532" i="12"/>
  <c r="AS533" i="12"/>
  <c r="AS534" i="12"/>
  <c r="AS535" i="12"/>
  <c r="AS536" i="12"/>
  <c r="AS537" i="12"/>
  <c r="AS538" i="12"/>
  <c r="AS539" i="12"/>
  <c r="AS540" i="12"/>
  <c r="AS541" i="12"/>
  <c r="AS542" i="12"/>
  <c r="AS543" i="12"/>
  <c r="AS544" i="12"/>
  <c r="AS545" i="12"/>
  <c r="AS546" i="12"/>
  <c r="AS547" i="12"/>
  <c r="AS548" i="12"/>
  <c r="AS549" i="12"/>
  <c r="AS550" i="12"/>
  <c r="AS551" i="12"/>
  <c r="AS552" i="12"/>
  <c r="AS553" i="12"/>
  <c r="AS554" i="12"/>
  <c r="AS555" i="12"/>
  <c r="AS556" i="12"/>
  <c r="AS557" i="12"/>
  <c r="AS558" i="12"/>
  <c r="AS559" i="12"/>
  <c r="AS560" i="12"/>
  <c r="AS561" i="12"/>
  <c r="AS562" i="12"/>
  <c r="AS563" i="12"/>
  <c r="AS564" i="12"/>
  <c r="AS565" i="12"/>
  <c r="AS566" i="12"/>
  <c r="AS567" i="12"/>
  <c r="AS568" i="12"/>
  <c r="AS569" i="12"/>
  <c r="AS570" i="12"/>
  <c r="AS571" i="12"/>
  <c r="AS572" i="12"/>
  <c r="AS573" i="12"/>
  <c r="AS574" i="12"/>
  <c r="AS575" i="12"/>
  <c r="AS576" i="12"/>
  <c r="AS577" i="12"/>
  <c r="AS578" i="12"/>
  <c r="AS579" i="12"/>
  <c r="AS580" i="12"/>
  <c r="AS581" i="12"/>
  <c r="AS582" i="12"/>
  <c r="AS583" i="12"/>
  <c r="AS584" i="12"/>
  <c r="AS585" i="12"/>
  <c r="AS586" i="12"/>
  <c r="AS587" i="12"/>
  <c r="AS588" i="12"/>
  <c r="AS589" i="12"/>
  <c r="AS590" i="12"/>
  <c r="AS591" i="12"/>
  <c r="AS592" i="12"/>
  <c r="AS593" i="12"/>
  <c r="AS594" i="12"/>
  <c r="AS595" i="12"/>
  <c r="AS596" i="12"/>
  <c r="AS597" i="12"/>
  <c r="AS598" i="12"/>
  <c r="AS599" i="12"/>
  <c r="AS600" i="12"/>
  <c r="AS601" i="12"/>
  <c r="AS602" i="12"/>
  <c r="AS603" i="12"/>
  <c r="AS604" i="12"/>
  <c r="AS605" i="12"/>
  <c r="AS606" i="12"/>
  <c r="AS607" i="12"/>
  <c r="AS608" i="12"/>
  <c r="AS609" i="12"/>
  <c r="AS610" i="12"/>
  <c r="AS611" i="12"/>
  <c r="AS612" i="12"/>
  <c r="AS613" i="12"/>
  <c r="AS614" i="12"/>
  <c r="AS615" i="12"/>
  <c r="AS616" i="12"/>
  <c r="AS617" i="12"/>
  <c r="AS618" i="12"/>
  <c r="AS619" i="12"/>
  <c r="AS620" i="12"/>
  <c r="AS621" i="12"/>
  <c r="AS622" i="12"/>
  <c r="AS623" i="12"/>
  <c r="AS624" i="12"/>
  <c r="AS625" i="12"/>
  <c r="AS626" i="12"/>
  <c r="AS627" i="12"/>
  <c r="AS628" i="12"/>
  <c r="AS629" i="12"/>
  <c r="AS630" i="12"/>
  <c r="AS631" i="12"/>
  <c r="AS632" i="12"/>
  <c r="AS633" i="12"/>
  <c r="AS634" i="12"/>
  <c r="AS635" i="12"/>
  <c r="AS636" i="12"/>
  <c r="AS637" i="12"/>
  <c r="AS638" i="12"/>
  <c r="AS639" i="12"/>
  <c r="AS640" i="12"/>
  <c r="AS641" i="12"/>
  <c r="AS642" i="12"/>
  <c r="AS643" i="12"/>
  <c r="AS644" i="12"/>
  <c r="AS645" i="12"/>
  <c r="AS646" i="12"/>
  <c r="AS647" i="12"/>
  <c r="AS648" i="12"/>
  <c r="AS649" i="12"/>
  <c r="AS650" i="12"/>
  <c r="AS651" i="12"/>
  <c r="AS652" i="12"/>
  <c r="AS653" i="12"/>
  <c r="AS654" i="12"/>
  <c r="AS655" i="12"/>
  <c r="AS656" i="12"/>
  <c r="AS657" i="12"/>
  <c r="AS658" i="12"/>
  <c r="AS659" i="12"/>
  <c r="AS660" i="12"/>
  <c r="AS661" i="12"/>
  <c r="AS662" i="12"/>
  <c r="AS663" i="12"/>
  <c r="AS664" i="12"/>
  <c r="AS665" i="12"/>
  <c r="AS666" i="12"/>
  <c r="AS667" i="12"/>
  <c r="AS668" i="12"/>
  <c r="AS669" i="12"/>
  <c r="AS670" i="12"/>
  <c r="AS671" i="12"/>
  <c r="AS672" i="12"/>
  <c r="AS673" i="12"/>
  <c r="AS674" i="12"/>
  <c r="AS675" i="12"/>
  <c r="AS676" i="12"/>
  <c r="AS677" i="12"/>
  <c r="AS678" i="12"/>
  <c r="AS679" i="12"/>
  <c r="AS680" i="12"/>
  <c r="AS681" i="12"/>
  <c r="AS682" i="12"/>
  <c r="AS683" i="12"/>
  <c r="AS684" i="12"/>
  <c r="AS685" i="12"/>
  <c r="AS686" i="12"/>
  <c r="AS687" i="12"/>
  <c r="AS688" i="12"/>
  <c r="AS689" i="12"/>
  <c r="AS690" i="12"/>
  <c r="AS691" i="12"/>
  <c r="AS692" i="12"/>
  <c r="AS693" i="12"/>
  <c r="AS694" i="12"/>
  <c r="AS695" i="12"/>
  <c r="AS696" i="12"/>
  <c r="AS697" i="12"/>
  <c r="AS698" i="12"/>
  <c r="AS699" i="12"/>
  <c r="AS700" i="12"/>
  <c r="AS701" i="12"/>
  <c r="AS702" i="12"/>
  <c r="AS703" i="12"/>
  <c r="AS704" i="12"/>
  <c r="AS705" i="12"/>
  <c r="AS706" i="12"/>
  <c r="AS707" i="12"/>
  <c r="AS708" i="12"/>
  <c r="AS709" i="12"/>
  <c r="AS710" i="12"/>
  <c r="AS711" i="12"/>
  <c r="AS712" i="12"/>
  <c r="AS713" i="12"/>
  <c r="AS714" i="12"/>
  <c r="AS715" i="12"/>
  <c r="AS716" i="12"/>
  <c r="AS717" i="12"/>
  <c r="AS718" i="12"/>
  <c r="AS719" i="12"/>
  <c r="AS720" i="12"/>
  <c r="AS721" i="12"/>
  <c r="AS722" i="12"/>
  <c r="AS723" i="12"/>
  <c r="AS724" i="12"/>
  <c r="AS725" i="12"/>
  <c r="AS726" i="12"/>
  <c r="AS727" i="12"/>
  <c r="AS728" i="12"/>
  <c r="AS729" i="12"/>
  <c r="AS730" i="12"/>
  <c r="AS731" i="12"/>
  <c r="AS732" i="12"/>
  <c r="AS733" i="12"/>
  <c r="AS734" i="12"/>
  <c r="AS735" i="12"/>
  <c r="AS736" i="12"/>
  <c r="AS737" i="12"/>
  <c r="AS738" i="12"/>
  <c r="AS739" i="12"/>
  <c r="AS740" i="12"/>
  <c r="AS741" i="12"/>
  <c r="AS742" i="12"/>
  <c r="AS743" i="12"/>
  <c r="AS744" i="12"/>
  <c r="AS745" i="12"/>
  <c r="AS746" i="12"/>
  <c r="AS747" i="12"/>
  <c r="AS748" i="12"/>
  <c r="AS749" i="12"/>
  <c r="AS750" i="12"/>
  <c r="AS751" i="12"/>
  <c r="AS752" i="12"/>
  <c r="AS753" i="12"/>
  <c r="AS754" i="12"/>
  <c r="AS755" i="12"/>
  <c r="AS756" i="12"/>
  <c r="AS757" i="12"/>
  <c r="AS758" i="12"/>
  <c r="AS759" i="12"/>
  <c r="AS760" i="12"/>
  <c r="AS761" i="12"/>
  <c r="AS762" i="12"/>
  <c r="AS763" i="12"/>
  <c r="AS764" i="12"/>
  <c r="AS765" i="12"/>
  <c r="AS766" i="12"/>
  <c r="AS767" i="12"/>
  <c r="AS768" i="12"/>
  <c r="AS769" i="12"/>
  <c r="AS770" i="12"/>
  <c r="AS771" i="12"/>
  <c r="AS772" i="12"/>
  <c r="AS773" i="12"/>
  <c r="AS774" i="12"/>
  <c r="AS775" i="12"/>
  <c r="AS776" i="12"/>
  <c r="AS777" i="12"/>
  <c r="AS778" i="12"/>
  <c r="AS779" i="12"/>
  <c r="AS780" i="12"/>
  <c r="AS781" i="12"/>
  <c r="AS782" i="12"/>
  <c r="AS783" i="12"/>
  <c r="AS784" i="12"/>
  <c r="AS785" i="12"/>
  <c r="AS786" i="12"/>
  <c r="AS787" i="12"/>
  <c r="AS788" i="12"/>
  <c r="AS789" i="12"/>
  <c r="AS790" i="12"/>
  <c r="AS791" i="12"/>
  <c r="AS792" i="12"/>
  <c r="AS793" i="12"/>
  <c r="AS794" i="12"/>
  <c r="AS795" i="12"/>
  <c r="AS796" i="12"/>
  <c r="AS797" i="12"/>
  <c r="AS798" i="12"/>
  <c r="AS799" i="12"/>
  <c r="AS800" i="12"/>
  <c r="AS801" i="12"/>
  <c r="AS802" i="12"/>
  <c r="AS803" i="12"/>
  <c r="AS804" i="12"/>
  <c r="AS805" i="12"/>
  <c r="AS806" i="12"/>
  <c r="AS807" i="12"/>
  <c r="AS808" i="12"/>
  <c r="AS809" i="12"/>
  <c r="AS810" i="12"/>
  <c r="AS811" i="12"/>
  <c r="AS812" i="12"/>
  <c r="AS813" i="12"/>
  <c r="AS814" i="12"/>
  <c r="AS815" i="12"/>
  <c r="AS816" i="12"/>
  <c r="AS817" i="12"/>
  <c r="AS818" i="12"/>
  <c r="AS819" i="12"/>
  <c r="AS820" i="12"/>
  <c r="AS821" i="12"/>
  <c r="AS822" i="12"/>
  <c r="AS823" i="12"/>
  <c r="AS824" i="12"/>
  <c r="AS825" i="12"/>
  <c r="AS826" i="12"/>
  <c r="AS827" i="12"/>
  <c r="AS828" i="12"/>
  <c r="AS829" i="12"/>
  <c r="AS830" i="12"/>
  <c r="AS831" i="12"/>
  <c r="AS832" i="12"/>
  <c r="AS833" i="12"/>
  <c r="AS834" i="12"/>
  <c r="AS835" i="12"/>
  <c r="AS836" i="12"/>
  <c r="AS837" i="12"/>
  <c r="AS838" i="12"/>
  <c r="AS839" i="12"/>
  <c r="AS840" i="12"/>
  <c r="AS841" i="12"/>
  <c r="AS842" i="12"/>
  <c r="AS843" i="12"/>
  <c r="AS844" i="12"/>
  <c r="AS845" i="12"/>
  <c r="AS846" i="12"/>
  <c r="AS847" i="12"/>
  <c r="AS848" i="12"/>
  <c r="AS849" i="12"/>
  <c r="AS850" i="12"/>
  <c r="AS851" i="12"/>
  <c r="AS852" i="12"/>
  <c r="AS853" i="12"/>
  <c r="AS854" i="12"/>
  <c r="AS855" i="12"/>
  <c r="AS856" i="12"/>
  <c r="AS857" i="12"/>
  <c r="AS858" i="12"/>
  <c r="AS859" i="12"/>
  <c r="AS860" i="12"/>
  <c r="AS861" i="12"/>
  <c r="AS862" i="12"/>
  <c r="AS863" i="12"/>
  <c r="AS864" i="12"/>
  <c r="AS865" i="12"/>
  <c r="AS866" i="12"/>
  <c r="AS867" i="12"/>
  <c r="AS868" i="12"/>
  <c r="AS869" i="12"/>
  <c r="AS870" i="12"/>
  <c r="AS871" i="12"/>
  <c r="AS872" i="12"/>
  <c r="AS873" i="12"/>
  <c r="AS874" i="12"/>
  <c r="AS875" i="12"/>
  <c r="AS876" i="12"/>
  <c r="AS877" i="12"/>
  <c r="AS878" i="12"/>
  <c r="AS879" i="12"/>
  <c r="AS880" i="12"/>
  <c r="AS881" i="12"/>
  <c r="AS882" i="12"/>
  <c r="AS883" i="12"/>
  <c r="AS884" i="12"/>
  <c r="AS885" i="12"/>
  <c r="AS886" i="12"/>
  <c r="AS887" i="12"/>
  <c r="AS888" i="12"/>
  <c r="AS889" i="12"/>
  <c r="AS890" i="12"/>
  <c r="AS891" i="12"/>
  <c r="AS892" i="12"/>
  <c r="AS893" i="12"/>
  <c r="AS894" i="12"/>
  <c r="AS895" i="12"/>
  <c r="AS896" i="12"/>
  <c r="AS897" i="12"/>
  <c r="AS898" i="12"/>
  <c r="AS899" i="12"/>
  <c r="AS900" i="12"/>
  <c r="AS901" i="12"/>
  <c r="AS902" i="12"/>
  <c r="AS903" i="12"/>
  <c r="AS904" i="12"/>
  <c r="AS905" i="12"/>
  <c r="AS906" i="12"/>
  <c r="AS907" i="12"/>
  <c r="AS908" i="12"/>
  <c r="AS909" i="12"/>
  <c r="AS910" i="12"/>
  <c r="AS911" i="12"/>
  <c r="AS912" i="12"/>
  <c r="AS913" i="12"/>
  <c r="AS914" i="12"/>
  <c r="AS915" i="12"/>
  <c r="AS916" i="12"/>
  <c r="AS917" i="12"/>
  <c r="AS918" i="12"/>
  <c r="AS919" i="12"/>
  <c r="AS920" i="12"/>
  <c r="AS921" i="12"/>
  <c r="AS922" i="12"/>
  <c r="AS923" i="12"/>
  <c r="AS924" i="12"/>
  <c r="AS925" i="12"/>
  <c r="AS926" i="12"/>
  <c r="AS927" i="12"/>
  <c r="AS928" i="12"/>
  <c r="AS929" i="12"/>
  <c r="AS930" i="12"/>
  <c r="AS931" i="12"/>
  <c r="AS932" i="12"/>
  <c r="AS933" i="12"/>
  <c r="AS934" i="12"/>
  <c r="AS935" i="12"/>
  <c r="AS936" i="12"/>
  <c r="AS937" i="12"/>
  <c r="AS938" i="12"/>
  <c r="AS939" i="12"/>
  <c r="AS940" i="12"/>
  <c r="AS941" i="12"/>
  <c r="AS942" i="12"/>
  <c r="AS943" i="12"/>
  <c r="AS944" i="12"/>
  <c r="AS945" i="12"/>
  <c r="AS946" i="12"/>
  <c r="AS947" i="12"/>
  <c r="AS948" i="12"/>
  <c r="AS949" i="12"/>
  <c r="AS950" i="12"/>
  <c r="AS951" i="12"/>
  <c r="AS952" i="12"/>
  <c r="AS953" i="12"/>
  <c r="AS954" i="12"/>
  <c r="AS955" i="12"/>
  <c r="AS956" i="12"/>
  <c r="AS957" i="12"/>
  <c r="AS958" i="12"/>
  <c r="AS959" i="12"/>
  <c r="AS960" i="12"/>
  <c r="AS961" i="12"/>
  <c r="AS962" i="12"/>
  <c r="AS963" i="12"/>
  <c r="AS964" i="12"/>
  <c r="AS965" i="12"/>
  <c r="AS966" i="12"/>
  <c r="AS967" i="12"/>
  <c r="AS968" i="12"/>
  <c r="AS969" i="12"/>
  <c r="AS970" i="12"/>
  <c r="AS971" i="12"/>
  <c r="AS972" i="12"/>
  <c r="AS973" i="12"/>
  <c r="AS974" i="12"/>
  <c r="AS975" i="12"/>
  <c r="AS976" i="12"/>
  <c r="AS977" i="12"/>
  <c r="AS978" i="12"/>
  <c r="AS979" i="12"/>
  <c r="AS980" i="12"/>
  <c r="AS981" i="12"/>
  <c r="AS982" i="12"/>
  <c r="AS983" i="12"/>
  <c r="AS984" i="12"/>
  <c r="AS985" i="12"/>
  <c r="AS986" i="12"/>
  <c r="AS987" i="12"/>
  <c r="AS988" i="12"/>
  <c r="AS989" i="12"/>
  <c r="AS990" i="12"/>
  <c r="AS991" i="12"/>
  <c r="AS992" i="12"/>
  <c r="AS993" i="12"/>
  <c r="AS994" i="12"/>
  <c r="AS995" i="12"/>
  <c r="AS996" i="12"/>
  <c r="AS997" i="12"/>
  <c r="AS998" i="12"/>
  <c r="AS999" i="12"/>
  <c r="AS1000" i="12"/>
  <c r="AS1001" i="12"/>
  <c r="AS1002" i="12"/>
  <c r="AS1003" i="12"/>
  <c r="AS4" i="12"/>
  <c r="CM5" i="10"/>
  <c r="CM6" i="10"/>
  <c r="CM7" i="10"/>
  <c r="CM8" i="10"/>
  <c r="CM9" i="10"/>
  <c r="CM10" i="10"/>
  <c r="CM11" i="10"/>
  <c r="CM13" i="10"/>
  <c r="CM14" i="10"/>
  <c r="CM15" i="10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M56" i="10"/>
  <c r="CM57" i="10"/>
  <c r="CM58" i="10"/>
  <c r="CM59" i="10"/>
  <c r="CM60" i="10"/>
  <c r="CM61" i="10"/>
  <c r="CM62" i="10"/>
  <c r="CM63" i="10"/>
  <c r="CM64" i="10"/>
  <c r="CM65" i="10"/>
  <c r="CM66" i="10"/>
  <c r="CM67" i="10"/>
  <c r="CM68" i="10"/>
  <c r="CM69" i="10"/>
  <c r="CM70" i="10"/>
  <c r="CM71" i="10"/>
  <c r="CM72" i="10"/>
  <c r="CM73" i="10"/>
  <c r="CM74" i="10"/>
  <c r="CM75" i="10"/>
  <c r="CM76" i="10"/>
  <c r="CM77" i="10"/>
  <c r="CM78" i="10"/>
  <c r="CM79" i="10"/>
  <c r="CM80" i="10"/>
  <c r="CM81" i="10"/>
  <c r="CM82" i="10"/>
  <c r="CM83" i="10"/>
  <c r="CM84" i="10"/>
  <c r="CM85" i="10"/>
  <c r="CM86" i="10"/>
  <c r="CM87" i="10"/>
  <c r="CM88" i="10"/>
  <c r="CM89" i="10"/>
  <c r="CM90" i="10"/>
  <c r="CM91" i="10"/>
  <c r="CM92" i="10"/>
  <c r="CM93" i="10"/>
  <c r="CM94" i="10"/>
  <c r="CM95" i="10"/>
  <c r="CM96" i="10"/>
  <c r="CM97" i="10"/>
  <c r="CM98" i="10"/>
  <c r="CM99" i="10"/>
  <c r="CM100" i="10"/>
  <c r="CM101" i="10"/>
  <c r="CM102" i="10"/>
  <c r="CM103" i="10"/>
  <c r="CM104" i="10"/>
  <c r="CM105" i="10"/>
  <c r="CM106" i="10"/>
  <c r="CM107" i="10"/>
  <c r="CM108" i="10"/>
  <c r="CM109" i="10"/>
  <c r="CM110" i="10"/>
  <c r="CM111" i="10"/>
  <c r="CM112" i="10"/>
  <c r="CM113" i="10"/>
  <c r="CM114" i="10"/>
  <c r="CM115" i="10"/>
  <c r="CM116" i="10"/>
  <c r="CM117" i="10"/>
  <c r="CM118" i="10"/>
  <c r="CM119" i="10"/>
  <c r="CM120" i="10"/>
  <c r="CM121" i="10"/>
  <c r="CM122" i="10"/>
  <c r="CM123" i="10"/>
  <c r="CM124" i="10"/>
  <c r="CM125" i="10"/>
  <c r="CM126" i="10"/>
  <c r="CM127" i="10"/>
  <c r="CM128" i="10"/>
  <c r="CM129" i="10"/>
  <c r="CM130" i="10"/>
  <c r="CM131" i="10"/>
  <c r="CM132" i="10"/>
  <c r="CM133" i="10"/>
  <c r="CM134" i="10"/>
  <c r="CM135" i="10"/>
  <c r="CM136" i="10"/>
  <c r="CM137" i="10"/>
  <c r="CM138" i="10"/>
  <c r="CM139" i="10"/>
  <c r="CM140" i="10"/>
  <c r="CM141" i="10"/>
  <c r="CM142" i="10"/>
  <c r="CM143" i="10"/>
  <c r="CM144" i="10"/>
  <c r="CM145" i="10"/>
  <c r="CM146" i="10"/>
  <c r="CM147" i="10"/>
  <c r="CM148" i="10"/>
  <c r="CM149" i="10"/>
  <c r="CM150" i="10"/>
  <c r="CM151" i="10"/>
  <c r="CM152" i="10"/>
  <c r="CM153" i="10"/>
  <c r="CM154" i="10"/>
  <c r="CM155" i="10"/>
  <c r="CM156" i="10"/>
  <c r="CM157" i="10"/>
  <c r="CM158" i="10"/>
  <c r="CM159" i="10"/>
  <c r="CM160" i="10"/>
  <c r="CM161" i="10"/>
  <c r="CM162" i="10"/>
  <c r="CM163" i="10"/>
  <c r="CM164" i="10"/>
  <c r="CM165" i="10"/>
  <c r="CM166" i="10"/>
  <c r="CM167" i="10"/>
  <c r="CM168" i="10"/>
  <c r="CM169" i="10"/>
  <c r="CM170" i="10"/>
  <c r="CM171" i="10"/>
  <c r="CM172" i="10"/>
  <c r="CM173" i="10"/>
  <c r="CM174" i="10"/>
  <c r="CM175" i="10"/>
  <c r="CM176" i="10"/>
  <c r="CM177" i="10"/>
  <c r="CM178" i="10"/>
  <c r="CM179" i="10"/>
  <c r="CM180" i="10"/>
  <c r="CM181" i="10"/>
  <c r="CM182" i="10"/>
  <c r="CM183" i="10"/>
  <c r="CM184" i="10"/>
  <c r="CM185" i="10"/>
  <c r="CM186" i="10"/>
  <c r="CM187" i="10"/>
  <c r="CM188" i="10"/>
  <c r="CM189" i="10"/>
  <c r="CM190" i="10"/>
  <c r="CM191" i="10"/>
  <c r="CM192" i="10"/>
  <c r="CM193" i="10"/>
  <c r="CM194" i="10"/>
  <c r="CM195" i="10"/>
  <c r="CM196" i="10"/>
  <c r="CM197" i="10"/>
  <c r="CM198" i="10"/>
  <c r="CM199" i="10"/>
  <c r="CM200" i="10"/>
  <c r="CM201" i="10"/>
  <c r="CM202" i="10"/>
  <c r="CM203" i="10"/>
  <c r="CM204" i="10"/>
  <c r="CM205" i="10"/>
  <c r="CM206" i="10"/>
  <c r="CM207" i="10"/>
  <c r="CM208" i="10"/>
  <c r="CM209" i="10"/>
  <c r="CM210" i="10"/>
  <c r="CM211" i="10"/>
  <c r="CM212" i="10"/>
  <c r="CM213" i="10"/>
  <c r="CM214" i="10"/>
  <c r="CM215" i="10"/>
  <c r="CM216" i="10"/>
  <c r="CM217" i="10"/>
  <c r="CM218" i="10"/>
  <c r="CM219" i="10"/>
  <c r="CM220" i="10"/>
  <c r="CM221" i="10"/>
  <c r="CM222" i="10"/>
  <c r="CM223" i="10"/>
  <c r="CM224" i="10"/>
  <c r="CM225" i="10"/>
  <c r="CM226" i="10"/>
  <c r="CM227" i="10"/>
  <c r="CM228" i="10"/>
  <c r="CM229" i="10"/>
  <c r="CM230" i="10"/>
  <c r="CM231" i="10"/>
  <c r="CM232" i="10"/>
  <c r="CM233" i="10"/>
  <c r="CM234" i="10"/>
  <c r="CM235" i="10"/>
  <c r="CM236" i="10"/>
  <c r="CM237" i="10"/>
  <c r="CM238" i="10"/>
  <c r="CM239" i="10"/>
  <c r="CM240" i="10"/>
  <c r="CM241" i="10"/>
  <c r="CM242" i="10"/>
  <c r="CM243" i="10"/>
  <c r="CM244" i="10"/>
  <c r="CM245" i="10"/>
  <c r="CM246" i="10"/>
  <c r="CM247" i="10"/>
  <c r="CM248" i="10"/>
  <c r="CM249" i="10"/>
  <c r="CM250" i="10"/>
  <c r="CM251" i="10"/>
  <c r="CM252" i="10"/>
  <c r="CM253" i="10"/>
  <c r="CM254" i="10"/>
  <c r="CM255" i="10"/>
  <c r="CM256" i="10"/>
  <c r="CM257" i="10"/>
  <c r="CM258" i="10"/>
  <c r="CM259" i="10"/>
  <c r="CM260" i="10"/>
  <c r="CM261" i="10"/>
  <c r="CM262" i="10"/>
  <c r="CM263" i="10"/>
  <c r="CM264" i="10"/>
  <c r="CM265" i="10"/>
  <c r="CM266" i="10"/>
  <c r="CM267" i="10"/>
  <c r="CM268" i="10"/>
  <c r="CM269" i="10"/>
  <c r="CM270" i="10"/>
  <c r="CM271" i="10"/>
  <c r="CM272" i="10"/>
  <c r="CM273" i="10"/>
  <c r="CM274" i="10"/>
  <c r="CM275" i="10"/>
  <c r="CM276" i="10"/>
  <c r="CM277" i="10"/>
  <c r="CM278" i="10"/>
  <c r="CM279" i="10"/>
  <c r="CM280" i="10"/>
  <c r="CM281" i="10"/>
  <c r="CM282" i="10"/>
  <c r="CM283" i="10"/>
  <c r="CM284" i="10"/>
  <c r="CM285" i="10"/>
  <c r="CM286" i="10"/>
  <c r="CM287" i="10"/>
  <c r="CM288" i="10"/>
  <c r="CM289" i="10"/>
  <c r="CM290" i="10"/>
  <c r="CM291" i="10"/>
  <c r="CM292" i="10"/>
  <c r="CM293" i="10"/>
  <c r="CM294" i="10"/>
  <c r="CM295" i="10"/>
  <c r="CM296" i="10"/>
  <c r="CM297" i="10"/>
  <c r="CM298" i="10"/>
  <c r="CM299" i="10"/>
  <c r="CM300" i="10"/>
  <c r="CM301" i="10"/>
  <c r="CM302" i="10"/>
  <c r="CM303" i="10"/>
  <c r="CM304" i="10"/>
  <c r="CM305" i="10"/>
  <c r="CM306" i="10"/>
  <c r="CM307" i="10"/>
  <c r="CM308" i="10"/>
  <c r="CM309" i="10"/>
  <c r="CM310" i="10"/>
  <c r="CM311" i="10"/>
  <c r="CM312" i="10"/>
  <c r="CM313" i="10"/>
  <c r="CM314" i="10"/>
  <c r="CM315" i="10"/>
  <c r="CM316" i="10"/>
  <c r="CM317" i="10"/>
  <c r="CM318" i="10"/>
  <c r="CM319" i="10"/>
  <c r="CM320" i="10"/>
  <c r="CM321" i="10"/>
  <c r="CM322" i="10"/>
  <c r="CM323" i="10"/>
  <c r="CM324" i="10"/>
  <c r="CM325" i="10"/>
  <c r="CM326" i="10"/>
  <c r="CM327" i="10"/>
  <c r="CM328" i="10"/>
  <c r="CM329" i="10"/>
  <c r="CM330" i="10"/>
  <c r="CM331" i="10"/>
  <c r="CM332" i="10"/>
  <c r="CM333" i="10"/>
  <c r="CM334" i="10"/>
  <c r="CM335" i="10"/>
  <c r="CM336" i="10"/>
  <c r="CM337" i="10"/>
  <c r="CM338" i="10"/>
  <c r="CM339" i="10"/>
  <c r="CM340" i="10"/>
  <c r="CM341" i="10"/>
  <c r="CM342" i="10"/>
  <c r="CM343" i="10"/>
  <c r="CM344" i="10"/>
  <c r="CM345" i="10"/>
  <c r="CM346" i="10"/>
  <c r="CM347" i="10"/>
  <c r="CM348" i="10"/>
  <c r="CM349" i="10"/>
  <c r="CM350" i="10"/>
  <c r="CM351" i="10"/>
  <c r="CM352" i="10"/>
  <c r="CM353" i="10"/>
  <c r="CM354" i="10"/>
  <c r="CM355" i="10"/>
  <c r="CM356" i="10"/>
  <c r="CM357" i="10"/>
  <c r="CM358" i="10"/>
  <c r="CM359" i="10"/>
  <c r="CM360" i="10"/>
  <c r="CM361" i="10"/>
  <c r="CM362" i="10"/>
  <c r="CM363" i="10"/>
  <c r="CM364" i="10"/>
  <c r="CM365" i="10"/>
  <c r="CM366" i="10"/>
  <c r="CM367" i="10"/>
  <c r="CM368" i="10"/>
  <c r="CM369" i="10"/>
  <c r="CM370" i="10"/>
  <c r="CM371" i="10"/>
  <c r="CM372" i="10"/>
  <c r="CM373" i="10"/>
  <c r="CM374" i="10"/>
  <c r="CM375" i="10"/>
  <c r="CM376" i="10"/>
  <c r="CM377" i="10"/>
  <c r="CM378" i="10"/>
  <c r="CM379" i="10"/>
  <c r="CM380" i="10"/>
  <c r="CM381" i="10"/>
  <c r="CM382" i="10"/>
  <c r="CM383" i="10"/>
  <c r="CM384" i="10"/>
  <c r="CM385" i="10"/>
  <c r="CM386" i="10"/>
  <c r="CM387" i="10"/>
  <c r="CM388" i="10"/>
  <c r="CM389" i="10"/>
  <c r="CM390" i="10"/>
  <c r="CM391" i="10"/>
  <c r="CM392" i="10"/>
  <c r="CM393" i="10"/>
  <c r="CM394" i="10"/>
  <c r="CM395" i="10"/>
  <c r="CM396" i="10"/>
  <c r="CM397" i="10"/>
  <c r="CM398" i="10"/>
  <c r="CM399" i="10"/>
  <c r="CM400" i="10"/>
  <c r="CM401" i="10"/>
  <c r="CM402" i="10"/>
  <c r="CM403" i="10"/>
  <c r="CM404" i="10"/>
  <c r="CM405" i="10"/>
  <c r="CM406" i="10"/>
  <c r="CM407" i="10"/>
  <c r="CM408" i="10"/>
  <c r="CM409" i="10"/>
  <c r="CM410" i="10"/>
  <c r="CM411" i="10"/>
  <c r="CM412" i="10"/>
  <c r="CM413" i="10"/>
  <c r="CM414" i="10"/>
  <c r="CM415" i="10"/>
  <c r="CM416" i="10"/>
  <c r="CM417" i="10"/>
  <c r="CM418" i="10"/>
  <c r="CM419" i="10"/>
  <c r="CM420" i="10"/>
  <c r="CM421" i="10"/>
  <c r="CM422" i="10"/>
  <c r="CM423" i="10"/>
  <c r="CM424" i="10"/>
  <c r="CM425" i="10"/>
  <c r="CM426" i="10"/>
  <c r="CM427" i="10"/>
  <c r="CM428" i="10"/>
  <c r="CM429" i="10"/>
  <c r="CM430" i="10"/>
  <c r="CM431" i="10"/>
  <c r="CM432" i="10"/>
  <c r="CM433" i="10"/>
  <c r="CM434" i="10"/>
  <c r="CM435" i="10"/>
  <c r="CM436" i="10"/>
  <c r="CM437" i="10"/>
  <c r="CM438" i="10"/>
  <c r="CM439" i="10"/>
  <c r="CM440" i="10"/>
  <c r="CM441" i="10"/>
  <c r="CM442" i="10"/>
  <c r="CM443" i="10"/>
  <c r="CM444" i="10"/>
  <c r="CM445" i="10"/>
  <c r="CM446" i="10"/>
  <c r="CM447" i="10"/>
  <c r="CM448" i="10"/>
  <c r="CM449" i="10"/>
  <c r="CM450" i="10"/>
  <c r="CM451" i="10"/>
  <c r="CM452" i="10"/>
  <c r="CM453" i="10"/>
  <c r="CM454" i="10"/>
  <c r="CM455" i="10"/>
  <c r="CM456" i="10"/>
  <c r="CM457" i="10"/>
  <c r="CM458" i="10"/>
  <c r="CM459" i="10"/>
  <c r="CM460" i="10"/>
  <c r="CM461" i="10"/>
  <c r="CM462" i="10"/>
  <c r="CM463" i="10"/>
  <c r="CM464" i="10"/>
  <c r="CM465" i="10"/>
  <c r="CM466" i="10"/>
  <c r="CM467" i="10"/>
  <c r="CM468" i="10"/>
  <c r="CM469" i="10"/>
  <c r="CM470" i="10"/>
  <c r="CM471" i="10"/>
  <c r="CM472" i="10"/>
  <c r="CM473" i="10"/>
  <c r="CM474" i="10"/>
  <c r="CM475" i="10"/>
  <c r="CM476" i="10"/>
  <c r="CM477" i="10"/>
  <c r="CM478" i="10"/>
  <c r="CM479" i="10"/>
  <c r="CM480" i="10"/>
  <c r="CM481" i="10"/>
  <c r="CM482" i="10"/>
  <c r="CM483" i="10"/>
  <c r="CM484" i="10"/>
  <c r="CM485" i="10"/>
  <c r="CM486" i="10"/>
  <c r="CM487" i="10"/>
  <c r="CM488" i="10"/>
  <c r="CM489" i="10"/>
  <c r="CM490" i="10"/>
  <c r="CM491" i="10"/>
  <c r="CM492" i="10"/>
  <c r="CM493" i="10"/>
  <c r="CM494" i="10"/>
  <c r="CM495" i="10"/>
  <c r="CM496" i="10"/>
  <c r="CM497" i="10"/>
  <c r="CM498" i="10"/>
  <c r="CM499" i="10"/>
  <c r="CM500" i="10"/>
  <c r="CM501" i="10"/>
  <c r="CM502" i="10"/>
  <c r="CM503" i="10"/>
  <c r="CM504" i="10"/>
  <c r="CM505" i="10"/>
  <c r="CM506" i="10"/>
  <c r="CM507" i="10"/>
  <c r="CM508" i="10"/>
  <c r="CM509" i="10"/>
  <c r="CM510" i="10"/>
  <c r="CM511" i="10"/>
  <c r="CM512" i="10"/>
  <c r="CM513" i="10"/>
  <c r="CM514" i="10"/>
  <c r="CM515" i="10"/>
  <c r="CM516" i="10"/>
  <c r="CM517" i="10"/>
  <c r="CM518" i="10"/>
  <c r="CM519" i="10"/>
  <c r="CM520" i="10"/>
  <c r="CM521" i="10"/>
  <c r="CM522" i="10"/>
  <c r="CM523" i="10"/>
  <c r="CM524" i="10"/>
  <c r="CM525" i="10"/>
  <c r="CM526" i="10"/>
  <c r="CM527" i="10"/>
  <c r="CM528" i="10"/>
  <c r="CM529" i="10"/>
  <c r="CM530" i="10"/>
  <c r="CM531" i="10"/>
  <c r="CM532" i="10"/>
  <c r="CM533" i="10"/>
  <c r="CM534" i="10"/>
  <c r="CM535" i="10"/>
  <c r="CM536" i="10"/>
  <c r="CM537" i="10"/>
  <c r="CM538" i="10"/>
  <c r="CM539" i="10"/>
  <c r="CM540" i="10"/>
  <c r="CM541" i="10"/>
  <c r="CM542" i="10"/>
  <c r="CM543" i="10"/>
  <c r="CM544" i="10"/>
  <c r="CM545" i="10"/>
  <c r="CM546" i="10"/>
  <c r="CM547" i="10"/>
  <c r="CM548" i="10"/>
  <c r="CM549" i="10"/>
  <c r="CM550" i="10"/>
  <c r="CM551" i="10"/>
  <c r="CM552" i="10"/>
  <c r="CM553" i="10"/>
  <c r="CM554" i="10"/>
  <c r="CM555" i="10"/>
  <c r="CM556" i="10"/>
  <c r="CM557" i="10"/>
  <c r="CM558" i="10"/>
  <c r="CM559" i="10"/>
  <c r="CM560" i="10"/>
  <c r="CM561" i="10"/>
  <c r="CM562" i="10"/>
  <c r="CM563" i="10"/>
  <c r="CM564" i="10"/>
  <c r="CM565" i="10"/>
  <c r="CM566" i="10"/>
  <c r="CM567" i="10"/>
  <c r="CM568" i="10"/>
  <c r="CM569" i="10"/>
  <c r="CM570" i="10"/>
  <c r="CM571" i="10"/>
  <c r="CM572" i="10"/>
  <c r="CM573" i="10"/>
  <c r="CM574" i="10"/>
  <c r="CM575" i="10"/>
  <c r="CM576" i="10"/>
  <c r="CM577" i="10"/>
  <c r="CM578" i="10"/>
  <c r="CM579" i="10"/>
  <c r="CM580" i="10"/>
  <c r="CM581" i="10"/>
  <c r="CM582" i="10"/>
  <c r="CM583" i="10"/>
  <c r="CM584" i="10"/>
  <c r="CM585" i="10"/>
  <c r="CM586" i="10"/>
  <c r="CM587" i="10"/>
  <c r="CM588" i="10"/>
  <c r="CM589" i="10"/>
  <c r="CM590" i="10"/>
  <c r="CM591" i="10"/>
  <c r="CM592" i="10"/>
  <c r="CM593" i="10"/>
  <c r="CM594" i="10"/>
  <c r="CM595" i="10"/>
  <c r="CM596" i="10"/>
  <c r="CM597" i="10"/>
  <c r="CM598" i="10"/>
  <c r="CM599" i="10"/>
  <c r="CM600" i="10"/>
  <c r="CM601" i="10"/>
  <c r="CM602" i="10"/>
  <c r="CM603" i="10"/>
  <c r="CM604" i="10"/>
  <c r="CM605" i="10"/>
  <c r="CM606" i="10"/>
  <c r="CM607" i="10"/>
  <c r="CM608" i="10"/>
  <c r="CM609" i="10"/>
  <c r="CM610" i="10"/>
  <c r="CM611" i="10"/>
  <c r="CM612" i="10"/>
  <c r="CM613" i="10"/>
  <c r="CM614" i="10"/>
  <c r="CM615" i="10"/>
  <c r="CM616" i="10"/>
  <c r="CM617" i="10"/>
  <c r="CM618" i="10"/>
  <c r="CM619" i="10"/>
  <c r="CM620" i="10"/>
  <c r="CM621" i="10"/>
  <c r="CM622" i="10"/>
  <c r="CM623" i="10"/>
  <c r="CM624" i="10"/>
  <c r="CM625" i="10"/>
  <c r="CM626" i="10"/>
  <c r="CM627" i="10"/>
  <c r="CM628" i="10"/>
  <c r="CM629" i="10"/>
  <c r="CM630" i="10"/>
  <c r="CM631" i="10"/>
  <c r="CM632" i="10"/>
  <c r="CM633" i="10"/>
  <c r="CM634" i="10"/>
  <c r="CM635" i="10"/>
  <c r="CM636" i="10"/>
  <c r="CM637" i="10"/>
  <c r="CM638" i="10"/>
  <c r="CM639" i="10"/>
  <c r="CM640" i="10"/>
  <c r="CM641" i="10"/>
  <c r="CM642" i="10"/>
  <c r="CM643" i="10"/>
  <c r="CM644" i="10"/>
  <c r="CM645" i="10"/>
  <c r="CM646" i="10"/>
  <c r="CM647" i="10"/>
  <c r="CM648" i="10"/>
  <c r="CM649" i="10"/>
  <c r="CM650" i="10"/>
  <c r="CM651" i="10"/>
  <c r="CM652" i="10"/>
  <c r="CM653" i="10"/>
  <c r="CM654" i="10"/>
  <c r="CM655" i="10"/>
  <c r="CM656" i="10"/>
  <c r="CM657" i="10"/>
  <c r="CM658" i="10"/>
  <c r="CM659" i="10"/>
  <c r="CM660" i="10"/>
  <c r="CM661" i="10"/>
  <c r="CM662" i="10"/>
  <c r="CM663" i="10"/>
  <c r="CM664" i="10"/>
  <c r="CM665" i="10"/>
  <c r="CM666" i="10"/>
  <c r="CM667" i="10"/>
  <c r="CM668" i="10"/>
  <c r="CM669" i="10"/>
  <c r="CM670" i="10"/>
  <c r="CM671" i="10"/>
  <c r="CM672" i="10"/>
  <c r="CM673" i="10"/>
  <c r="CM674" i="10"/>
  <c r="CM675" i="10"/>
  <c r="CM676" i="10"/>
  <c r="CM677" i="10"/>
  <c r="CM678" i="10"/>
  <c r="CM679" i="10"/>
  <c r="CM680" i="10"/>
  <c r="CM681" i="10"/>
  <c r="CM682" i="10"/>
  <c r="CM683" i="10"/>
  <c r="CM684" i="10"/>
  <c r="CM685" i="10"/>
  <c r="CM686" i="10"/>
  <c r="CM687" i="10"/>
  <c r="CM688" i="10"/>
  <c r="CM689" i="10"/>
  <c r="CM690" i="10"/>
  <c r="CM691" i="10"/>
  <c r="CM692" i="10"/>
  <c r="CM693" i="10"/>
  <c r="CM694" i="10"/>
  <c r="CM695" i="10"/>
  <c r="CM696" i="10"/>
  <c r="CM697" i="10"/>
  <c r="CM698" i="10"/>
  <c r="CM699" i="10"/>
  <c r="CM700" i="10"/>
  <c r="CM701" i="10"/>
  <c r="CM702" i="10"/>
  <c r="CM703" i="10"/>
  <c r="CM704" i="10"/>
  <c r="CM705" i="10"/>
  <c r="CM706" i="10"/>
  <c r="CM707" i="10"/>
  <c r="CM708" i="10"/>
  <c r="CM709" i="10"/>
  <c r="CM710" i="10"/>
  <c r="CM711" i="10"/>
  <c r="CM712" i="10"/>
  <c r="CM713" i="10"/>
  <c r="CM714" i="10"/>
  <c r="CM715" i="10"/>
  <c r="CM716" i="10"/>
  <c r="CM717" i="10"/>
  <c r="CM718" i="10"/>
  <c r="CM719" i="10"/>
  <c r="CM720" i="10"/>
  <c r="CM721" i="10"/>
  <c r="CM722" i="10"/>
  <c r="CM723" i="10"/>
  <c r="CM724" i="10"/>
  <c r="CM725" i="10"/>
  <c r="CM726" i="10"/>
  <c r="CM727" i="10"/>
  <c r="CM728" i="10"/>
  <c r="CM729" i="10"/>
  <c r="CM730" i="10"/>
  <c r="CM731" i="10"/>
  <c r="CM732" i="10"/>
  <c r="CM733" i="10"/>
  <c r="CM734" i="10"/>
  <c r="CM735" i="10"/>
  <c r="CM736" i="10"/>
  <c r="CM737" i="10"/>
  <c r="CM738" i="10"/>
  <c r="CM739" i="10"/>
  <c r="CM740" i="10"/>
  <c r="CM741" i="10"/>
  <c r="CM742" i="10"/>
  <c r="CM743" i="10"/>
  <c r="CM744" i="10"/>
  <c r="CM745" i="10"/>
  <c r="CM746" i="10"/>
  <c r="CM747" i="10"/>
  <c r="CM748" i="10"/>
  <c r="CM749" i="10"/>
  <c r="CM750" i="10"/>
  <c r="CM751" i="10"/>
  <c r="CM752" i="10"/>
  <c r="CM753" i="10"/>
  <c r="CM754" i="10"/>
  <c r="CM755" i="10"/>
  <c r="CM756" i="10"/>
  <c r="CM757" i="10"/>
  <c r="CM758" i="10"/>
  <c r="CM759" i="10"/>
  <c r="CM760" i="10"/>
  <c r="CM761" i="10"/>
  <c r="CM762" i="10"/>
  <c r="CM763" i="10"/>
  <c r="CM764" i="10"/>
  <c r="CM765" i="10"/>
  <c r="CM766" i="10"/>
  <c r="CM767" i="10"/>
  <c r="CM768" i="10"/>
  <c r="CM769" i="10"/>
  <c r="CM770" i="10"/>
  <c r="CM771" i="10"/>
  <c r="CM772" i="10"/>
  <c r="CM773" i="10"/>
  <c r="CM774" i="10"/>
  <c r="CM775" i="10"/>
  <c r="CM776" i="10"/>
  <c r="CM777" i="10"/>
  <c r="CM778" i="10"/>
  <c r="CM779" i="10"/>
  <c r="CM780" i="10"/>
  <c r="CM781" i="10"/>
  <c r="CM782" i="10"/>
  <c r="CM783" i="10"/>
  <c r="CM784" i="10"/>
  <c r="CM785" i="10"/>
  <c r="CM786" i="10"/>
  <c r="CM787" i="10"/>
  <c r="CM788" i="10"/>
  <c r="CM789" i="10"/>
  <c r="CM790" i="10"/>
  <c r="CM791" i="10"/>
  <c r="CM792" i="10"/>
  <c r="CM793" i="10"/>
  <c r="CM794" i="10"/>
  <c r="CM795" i="10"/>
  <c r="CM796" i="10"/>
  <c r="CM797" i="10"/>
  <c r="CM798" i="10"/>
  <c r="CM799" i="10"/>
  <c r="CM800" i="10"/>
  <c r="CM801" i="10"/>
  <c r="CM802" i="10"/>
  <c r="CM803" i="10"/>
  <c r="CM804" i="10"/>
  <c r="CM805" i="10"/>
  <c r="CM806" i="10"/>
  <c r="CM807" i="10"/>
  <c r="CM808" i="10"/>
  <c r="CM809" i="10"/>
  <c r="CM810" i="10"/>
  <c r="CM811" i="10"/>
  <c r="CM812" i="10"/>
  <c r="CM813" i="10"/>
  <c r="CM814" i="10"/>
  <c r="CM815" i="10"/>
  <c r="CM816" i="10"/>
  <c r="CM817" i="10"/>
  <c r="CM818" i="10"/>
  <c r="CM819" i="10"/>
  <c r="CM820" i="10"/>
  <c r="CM821" i="10"/>
  <c r="CM822" i="10"/>
  <c r="CM823" i="10"/>
  <c r="CM824" i="10"/>
  <c r="CM825" i="10"/>
  <c r="CM826" i="10"/>
  <c r="CM827" i="10"/>
  <c r="CM828" i="10"/>
  <c r="CM829" i="10"/>
  <c r="CM830" i="10"/>
  <c r="CM831" i="10"/>
  <c r="CM832" i="10"/>
  <c r="CM833" i="10"/>
  <c r="CM834" i="10"/>
  <c r="CM835" i="10"/>
  <c r="CM836" i="10"/>
  <c r="CM837" i="10"/>
  <c r="CM838" i="10"/>
  <c r="CM839" i="10"/>
  <c r="CM840" i="10"/>
  <c r="CM841" i="10"/>
  <c r="CM842" i="10"/>
  <c r="CM843" i="10"/>
  <c r="CM844" i="10"/>
  <c r="CM845" i="10"/>
  <c r="CM846" i="10"/>
  <c r="CM847" i="10"/>
  <c r="CM848" i="10"/>
  <c r="CM849" i="10"/>
  <c r="CM850" i="10"/>
  <c r="CM851" i="10"/>
  <c r="CM852" i="10"/>
  <c r="CM853" i="10"/>
  <c r="CM854" i="10"/>
  <c r="CM855" i="10"/>
  <c r="CM856" i="10"/>
  <c r="CM857" i="10"/>
  <c r="CM858" i="10"/>
  <c r="CM859" i="10"/>
  <c r="CM860" i="10"/>
  <c r="CM861" i="10"/>
  <c r="CM862" i="10"/>
  <c r="CM863" i="10"/>
  <c r="CM864" i="10"/>
  <c r="CM865" i="10"/>
  <c r="CM866" i="10"/>
  <c r="CM867" i="10"/>
  <c r="CM868" i="10"/>
  <c r="CM869" i="10"/>
  <c r="CM870" i="10"/>
  <c r="CM871" i="10"/>
  <c r="CM872" i="10"/>
  <c r="CM873" i="10"/>
  <c r="CM874" i="10"/>
  <c r="CM875" i="10"/>
  <c r="CM876" i="10"/>
  <c r="CM877" i="10"/>
  <c r="CM878" i="10"/>
  <c r="CM879" i="10"/>
  <c r="CM880" i="10"/>
  <c r="CM881" i="10"/>
  <c r="CM882" i="10"/>
  <c r="CM883" i="10"/>
  <c r="CM884" i="10"/>
  <c r="CM885" i="10"/>
  <c r="CM886" i="10"/>
  <c r="CM887" i="10"/>
  <c r="CM888" i="10"/>
  <c r="CM889" i="10"/>
  <c r="CM890" i="10"/>
  <c r="CM891" i="10"/>
  <c r="CM892" i="10"/>
  <c r="CM893" i="10"/>
  <c r="CM894" i="10"/>
  <c r="CM895" i="10"/>
  <c r="CM896" i="10"/>
  <c r="CM897" i="10"/>
  <c r="CM898" i="10"/>
  <c r="CM899" i="10"/>
  <c r="CM900" i="10"/>
  <c r="CM901" i="10"/>
  <c r="CM902" i="10"/>
  <c r="CM903" i="10"/>
  <c r="CM904" i="10"/>
  <c r="CM905" i="10"/>
  <c r="CM906" i="10"/>
  <c r="CM907" i="10"/>
  <c r="CM908" i="10"/>
  <c r="CM909" i="10"/>
  <c r="CM910" i="10"/>
  <c r="CM911" i="10"/>
  <c r="CM912" i="10"/>
  <c r="CM913" i="10"/>
  <c r="CM914" i="10"/>
  <c r="CM915" i="10"/>
  <c r="CM916" i="10"/>
  <c r="CM917" i="10"/>
  <c r="CM918" i="10"/>
  <c r="CM919" i="10"/>
  <c r="CM920" i="10"/>
  <c r="CM921" i="10"/>
  <c r="CM922" i="10"/>
  <c r="CM923" i="10"/>
  <c r="CM924" i="10"/>
  <c r="CM925" i="10"/>
  <c r="CM926" i="10"/>
  <c r="CM927" i="10"/>
  <c r="CM928" i="10"/>
  <c r="CM929" i="10"/>
  <c r="CM930" i="10"/>
  <c r="CM931" i="10"/>
  <c r="CM932" i="10"/>
  <c r="CM933" i="10"/>
  <c r="CM934" i="10"/>
  <c r="CM935" i="10"/>
  <c r="CM936" i="10"/>
  <c r="CM937" i="10"/>
  <c r="CM938" i="10"/>
  <c r="CM939" i="10"/>
  <c r="CM940" i="10"/>
  <c r="CM941" i="10"/>
  <c r="CM942" i="10"/>
  <c r="CM943" i="10"/>
  <c r="CM944" i="10"/>
  <c r="CM945" i="10"/>
  <c r="CM946" i="10"/>
  <c r="CM947" i="10"/>
  <c r="CM948" i="10"/>
  <c r="CM949" i="10"/>
  <c r="CM950" i="10"/>
  <c r="CM951" i="10"/>
  <c r="CM952" i="10"/>
  <c r="CM953" i="10"/>
  <c r="CM954" i="10"/>
  <c r="CM955" i="10"/>
  <c r="CM956" i="10"/>
  <c r="CM957" i="10"/>
  <c r="CM958" i="10"/>
  <c r="CM959" i="10"/>
  <c r="CM960" i="10"/>
  <c r="CM961" i="10"/>
  <c r="CM962" i="10"/>
  <c r="CM963" i="10"/>
  <c r="CM964" i="10"/>
  <c r="CM965" i="10"/>
  <c r="CM966" i="10"/>
  <c r="CM967" i="10"/>
  <c r="CM968" i="10"/>
  <c r="CM969" i="10"/>
  <c r="CM970" i="10"/>
  <c r="CM971" i="10"/>
  <c r="CM972" i="10"/>
  <c r="CM973" i="10"/>
  <c r="CM974" i="10"/>
  <c r="CM975" i="10"/>
  <c r="CM976" i="10"/>
  <c r="CM977" i="10"/>
  <c r="CM978" i="10"/>
  <c r="CM979" i="10"/>
  <c r="CM980" i="10"/>
  <c r="CM981" i="10"/>
  <c r="CM982" i="10"/>
  <c r="CM983" i="10"/>
  <c r="CM984" i="10"/>
  <c r="CM985" i="10"/>
  <c r="CM986" i="10"/>
  <c r="CM987" i="10"/>
  <c r="CM988" i="10"/>
  <c r="CM989" i="10"/>
  <c r="CM990" i="10"/>
  <c r="CM991" i="10"/>
  <c r="CM992" i="10"/>
  <c r="CM993" i="10"/>
  <c r="CM994" i="10"/>
  <c r="CM995" i="10"/>
  <c r="CM996" i="10"/>
  <c r="CM997" i="10"/>
  <c r="CM998" i="10"/>
  <c r="CM999" i="10"/>
  <c r="CM1000" i="10"/>
  <c r="CM1001" i="10"/>
  <c r="CM1002" i="10"/>
  <c r="CM1003" i="10"/>
  <c r="CM4" i="10"/>
  <c r="S1009" i="10"/>
  <c r="K1009" i="10"/>
  <c r="AK7" i="12"/>
  <c r="AK9" i="12"/>
  <c r="AK10" i="12"/>
  <c r="AK11" i="12"/>
  <c r="AK13" i="12"/>
  <c r="AK14" i="12"/>
  <c r="AK63" i="12"/>
  <c r="AK64" i="12"/>
  <c r="AK65" i="12"/>
  <c r="AK66" i="12"/>
  <c r="AK67" i="12"/>
  <c r="AK68" i="12"/>
  <c r="AK69" i="12"/>
  <c r="AK70" i="12"/>
  <c r="AK71" i="12"/>
  <c r="AK72" i="12"/>
  <c r="AK73" i="12"/>
  <c r="AK74" i="12"/>
  <c r="AK75" i="12"/>
  <c r="AK76" i="12"/>
  <c r="AK77" i="12"/>
  <c r="AK78" i="12"/>
  <c r="AK79" i="12"/>
  <c r="AK80" i="12"/>
  <c r="AK81" i="12"/>
  <c r="AK82" i="12"/>
  <c r="AK83" i="12"/>
  <c r="AK84" i="12"/>
  <c r="AK85" i="12"/>
  <c r="AK86" i="12"/>
  <c r="AK87" i="12"/>
  <c r="AK88" i="12"/>
  <c r="AK89" i="12"/>
  <c r="AK90" i="12"/>
  <c r="AK91" i="12"/>
  <c r="AK92" i="12"/>
  <c r="AK93" i="12"/>
  <c r="AK94" i="12"/>
  <c r="AK95" i="12"/>
  <c r="AK96" i="12"/>
  <c r="AK97" i="12"/>
  <c r="AK98" i="12"/>
  <c r="AK99" i="12"/>
  <c r="AK100" i="12"/>
  <c r="AK101" i="12"/>
  <c r="AK102" i="12"/>
  <c r="AK103" i="12"/>
  <c r="AK104" i="12"/>
  <c r="AK105" i="12"/>
  <c r="AK106" i="12"/>
  <c r="AK107" i="12"/>
  <c r="AK108" i="12"/>
  <c r="AK109" i="12"/>
  <c r="AK110" i="12"/>
  <c r="AK111" i="12"/>
  <c r="AK112" i="12"/>
  <c r="AK113" i="12"/>
  <c r="AK114" i="12"/>
  <c r="AK115" i="12"/>
  <c r="AK116" i="12"/>
  <c r="AK117" i="12"/>
  <c r="AK118" i="12"/>
  <c r="AK119" i="12"/>
  <c r="AK120" i="12"/>
  <c r="AK121" i="12"/>
  <c r="AK122" i="12"/>
  <c r="AK123" i="12"/>
  <c r="AK124" i="12"/>
  <c r="AK125" i="12"/>
  <c r="AK126" i="12"/>
  <c r="AK127" i="12"/>
  <c r="AK128" i="12"/>
  <c r="AK129" i="12"/>
  <c r="AK130" i="12"/>
  <c r="AK131" i="12"/>
  <c r="AK132" i="12"/>
  <c r="AK133" i="12"/>
  <c r="AK134" i="12"/>
  <c r="AK135" i="12"/>
  <c r="AK136" i="12"/>
  <c r="AK137" i="12"/>
  <c r="AK138" i="12"/>
  <c r="AK139" i="12"/>
  <c r="AK140" i="12"/>
  <c r="AK141" i="12"/>
  <c r="AK142" i="12"/>
  <c r="AK143" i="12"/>
  <c r="AK144" i="12"/>
  <c r="AK145" i="12"/>
  <c r="AK146" i="12"/>
  <c r="AK147" i="12"/>
  <c r="AK148" i="12"/>
  <c r="AK149" i="12"/>
  <c r="AK150" i="12"/>
  <c r="AK151" i="12"/>
  <c r="AK152" i="12"/>
  <c r="AK153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K166" i="12"/>
  <c r="AK167" i="12"/>
  <c r="AK168" i="12"/>
  <c r="AK169" i="12"/>
  <c r="AK170" i="12"/>
  <c r="AK171" i="12"/>
  <c r="AK172" i="12"/>
  <c r="AK173" i="12"/>
  <c r="AK174" i="12"/>
  <c r="AK175" i="12"/>
  <c r="AK176" i="12"/>
  <c r="AK177" i="12"/>
  <c r="AK178" i="12"/>
  <c r="AK179" i="12"/>
  <c r="AK180" i="12"/>
  <c r="AK181" i="12"/>
  <c r="AK182" i="12"/>
  <c r="AK183" i="12"/>
  <c r="AK184" i="12"/>
  <c r="AK185" i="12"/>
  <c r="AK186" i="12"/>
  <c r="AK187" i="12"/>
  <c r="AK188" i="12"/>
  <c r="AK189" i="12"/>
  <c r="AK190" i="12"/>
  <c r="AK191" i="12"/>
  <c r="AK192" i="12"/>
  <c r="AK193" i="12"/>
  <c r="AK194" i="12"/>
  <c r="AK195" i="12"/>
  <c r="AK196" i="12"/>
  <c r="AK197" i="12"/>
  <c r="AK198" i="12"/>
  <c r="AK199" i="12"/>
  <c r="AK200" i="12"/>
  <c r="AK201" i="12"/>
  <c r="AK202" i="12"/>
  <c r="AK203" i="12"/>
  <c r="AK204" i="12"/>
  <c r="AK205" i="12"/>
  <c r="AK206" i="12"/>
  <c r="AK207" i="12"/>
  <c r="AK208" i="12"/>
  <c r="AK209" i="12"/>
  <c r="AK210" i="12"/>
  <c r="AK211" i="12"/>
  <c r="AK212" i="12"/>
  <c r="AK213" i="12"/>
  <c r="AK214" i="12"/>
  <c r="AK215" i="12"/>
  <c r="AK216" i="12"/>
  <c r="AK217" i="12"/>
  <c r="AK218" i="12"/>
  <c r="AK219" i="12"/>
  <c r="AK220" i="12"/>
  <c r="AK221" i="12"/>
  <c r="AK222" i="12"/>
  <c r="AK223" i="12"/>
  <c r="AK224" i="12"/>
  <c r="AK225" i="12"/>
  <c r="AK226" i="12"/>
  <c r="AK227" i="12"/>
  <c r="AK228" i="12"/>
  <c r="AK229" i="12"/>
  <c r="AK230" i="12"/>
  <c r="AK231" i="12"/>
  <c r="AK232" i="12"/>
  <c r="AK233" i="12"/>
  <c r="AK234" i="12"/>
  <c r="AK235" i="12"/>
  <c r="AK236" i="12"/>
  <c r="AK237" i="12"/>
  <c r="AK238" i="12"/>
  <c r="AK239" i="12"/>
  <c r="AK240" i="12"/>
  <c r="AK241" i="12"/>
  <c r="AK242" i="12"/>
  <c r="AK243" i="12"/>
  <c r="AK244" i="12"/>
  <c r="AK245" i="12"/>
  <c r="AK246" i="12"/>
  <c r="AK247" i="12"/>
  <c r="AK248" i="12"/>
  <c r="AK249" i="12"/>
  <c r="AK250" i="12"/>
  <c r="AK251" i="12"/>
  <c r="AK252" i="12"/>
  <c r="AK253" i="12"/>
  <c r="AK254" i="12"/>
  <c r="AK255" i="12"/>
  <c r="AK256" i="12"/>
  <c r="AK257" i="12"/>
  <c r="AK258" i="12"/>
  <c r="AK259" i="12"/>
  <c r="AK260" i="12"/>
  <c r="AK261" i="12"/>
  <c r="AK262" i="12"/>
  <c r="AK263" i="12"/>
  <c r="AK264" i="12"/>
  <c r="AK265" i="12"/>
  <c r="AK266" i="12"/>
  <c r="AK267" i="12"/>
  <c r="AK268" i="12"/>
  <c r="AK269" i="12"/>
  <c r="AK270" i="12"/>
  <c r="AK271" i="12"/>
  <c r="AK272" i="12"/>
  <c r="AK273" i="12"/>
  <c r="AK274" i="12"/>
  <c r="AK275" i="12"/>
  <c r="AK276" i="12"/>
  <c r="AK277" i="12"/>
  <c r="AK278" i="12"/>
  <c r="AK279" i="12"/>
  <c r="AK280" i="12"/>
  <c r="AK281" i="12"/>
  <c r="AK282" i="12"/>
  <c r="AK283" i="12"/>
  <c r="AK284" i="12"/>
  <c r="AK285" i="12"/>
  <c r="AK286" i="12"/>
  <c r="AK287" i="12"/>
  <c r="AK288" i="12"/>
  <c r="AK289" i="12"/>
  <c r="AK290" i="12"/>
  <c r="AK291" i="12"/>
  <c r="AK292" i="12"/>
  <c r="AK293" i="12"/>
  <c r="AK294" i="12"/>
  <c r="AK295" i="12"/>
  <c r="AK296" i="12"/>
  <c r="AK297" i="12"/>
  <c r="AK298" i="12"/>
  <c r="AK299" i="12"/>
  <c r="AK300" i="12"/>
  <c r="AK301" i="12"/>
  <c r="AK302" i="12"/>
  <c r="AK303" i="12"/>
  <c r="AK304" i="12"/>
  <c r="AK305" i="12"/>
  <c r="AK306" i="12"/>
  <c r="AK307" i="12"/>
  <c r="AK308" i="12"/>
  <c r="AK309" i="12"/>
  <c r="AK310" i="12"/>
  <c r="AK311" i="12"/>
  <c r="AK312" i="12"/>
  <c r="AK313" i="12"/>
  <c r="AK314" i="12"/>
  <c r="AK315" i="12"/>
  <c r="AK316" i="12"/>
  <c r="AK317" i="12"/>
  <c r="AK318" i="12"/>
  <c r="AK319" i="12"/>
  <c r="AK320" i="12"/>
  <c r="AK321" i="12"/>
  <c r="AK322" i="12"/>
  <c r="AK323" i="12"/>
  <c r="AK324" i="12"/>
  <c r="AK325" i="12"/>
  <c r="AK326" i="12"/>
  <c r="AK327" i="12"/>
  <c r="AK328" i="12"/>
  <c r="AK329" i="12"/>
  <c r="AK330" i="12"/>
  <c r="AK331" i="12"/>
  <c r="AK332" i="12"/>
  <c r="AK333" i="12"/>
  <c r="AK334" i="12"/>
  <c r="AK335" i="12"/>
  <c r="AK336" i="12"/>
  <c r="AK337" i="12"/>
  <c r="AK338" i="12"/>
  <c r="AK339" i="12"/>
  <c r="AK340" i="12"/>
  <c r="AK341" i="12"/>
  <c r="AK342" i="12"/>
  <c r="AK343" i="12"/>
  <c r="AK344" i="12"/>
  <c r="AK345" i="12"/>
  <c r="AK346" i="12"/>
  <c r="AK347" i="12"/>
  <c r="AK348" i="12"/>
  <c r="AK349" i="12"/>
  <c r="AK350" i="12"/>
  <c r="AK351" i="12"/>
  <c r="AK352" i="12"/>
  <c r="AK353" i="12"/>
  <c r="AK354" i="12"/>
  <c r="AK355" i="12"/>
  <c r="AK356" i="12"/>
  <c r="AK357" i="12"/>
  <c r="AK358" i="12"/>
  <c r="AK359" i="12"/>
  <c r="AK360" i="12"/>
  <c r="AK361" i="12"/>
  <c r="AK362" i="12"/>
  <c r="AK363" i="12"/>
  <c r="AK364" i="12"/>
  <c r="AK365" i="12"/>
  <c r="AK366" i="12"/>
  <c r="AK367" i="12"/>
  <c r="AK368" i="12"/>
  <c r="AK369" i="12"/>
  <c r="AK370" i="12"/>
  <c r="AK371" i="12"/>
  <c r="AK372" i="12"/>
  <c r="AK373" i="12"/>
  <c r="AK374" i="12"/>
  <c r="AK375" i="12"/>
  <c r="AK376" i="12"/>
  <c r="AK377" i="12"/>
  <c r="AK378" i="12"/>
  <c r="AK379" i="12"/>
  <c r="AK380" i="12"/>
  <c r="AK381" i="12"/>
  <c r="AK382" i="12"/>
  <c r="AK383" i="12"/>
  <c r="AK384" i="12"/>
  <c r="AK385" i="12"/>
  <c r="AK386" i="12"/>
  <c r="AK387" i="12"/>
  <c r="AK388" i="12"/>
  <c r="AK389" i="12"/>
  <c r="AK390" i="12"/>
  <c r="AK391" i="12"/>
  <c r="AK392" i="12"/>
  <c r="AK393" i="12"/>
  <c r="AK394" i="12"/>
  <c r="AK395" i="12"/>
  <c r="AK396" i="12"/>
  <c r="AK397" i="12"/>
  <c r="AK398" i="12"/>
  <c r="AK399" i="12"/>
  <c r="AK400" i="12"/>
  <c r="AK401" i="12"/>
  <c r="AK402" i="12"/>
  <c r="AK403" i="12"/>
  <c r="AK404" i="12"/>
  <c r="AK405" i="12"/>
  <c r="AK406" i="12"/>
  <c r="AK407" i="12"/>
  <c r="AK408" i="12"/>
  <c r="AK409" i="12"/>
  <c r="AK410" i="12"/>
  <c r="AK411" i="12"/>
  <c r="AK412" i="12"/>
  <c r="AK413" i="12"/>
  <c r="AK414" i="12"/>
  <c r="AK415" i="12"/>
  <c r="AK416" i="12"/>
  <c r="AK417" i="12"/>
  <c r="AK418" i="12"/>
  <c r="AK419" i="12"/>
  <c r="AK420" i="12"/>
  <c r="AK421" i="12"/>
  <c r="AK422" i="12"/>
  <c r="AK423" i="12"/>
  <c r="AK424" i="12"/>
  <c r="AK425" i="12"/>
  <c r="AK426" i="12"/>
  <c r="AK427" i="12"/>
  <c r="AK428" i="12"/>
  <c r="AK429" i="12"/>
  <c r="AK430" i="12"/>
  <c r="AK431" i="12"/>
  <c r="AK432" i="12"/>
  <c r="AK433" i="12"/>
  <c r="AK434" i="12"/>
  <c r="AK435" i="12"/>
  <c r="AK436" i="12"/>
  <c r="AK437" i="12"/>
  <c r="AK438" i="12"/>
  <c r="AK439" i="12"/>
  <c r="AK440" i="12"/>
  <c r="AK441" i="12"/>
  <c r="AK442" i="12"/>
  <c r="AK443" i="12"/>
  <c r="AK444" i="12"/>
  <c r="AK445" i="12"/>
  <c r="AK446" i="12"/>
  <c r="AK447" i="12"/>
  <c r="AK448" i="12"/>
  <c r="AK449" i="12"/>
  <c r="AK450" i="12"/>
  <c r="AK451" i="12"/>
  <c r="AK452" i="12"/>
  <c r="AK453" i="12"/>
  <c r="AK454" i="12"/>
  <c r="AK455" i="12"/>
  <c r="AK456" i="12"/>
  <c r="AK457" i="12"/>
  <c r="AK458" i="12"/>
  <c r="AK459" i="12"/>
  <c r="AK460" i="12"/>
  <c r="AK461" i="12"/>
  <c r="AK462" i="12"/>
  <c r="AK463" i="12"/>
  <c r="AK464" i="12"/>
  <c r="AK465" i="12"/>
  <c r="AK466" i="12"/>
  <c r="AK467" i="12"/>
  <c r="AK468" i="12"/>
  <c r="AK469" i="12"/>
  <c r="AK470" i="12"/>
  <c r="AK471" i="12"/>
  <c r="AK472" i="12"/>
  <c r="AK473" i="12"/>
  <c r="AK474" i="12"/>
  <c r="AK475" i="12"/>
  <c r="AK476" i="12"/>
  <c r="AK477" i="12"/>
  <c r="AK478" i="12"/>
  <c r="AK479" i="12"/>
  <c r="AK480" i="12"/>
  <c r="AK481" i="12"/>
  <c r="AK482" i="12"/>
  <c r="AK483" i="12"/>
  <c r="AK484" i="12"/>
  <c r="AK485" i="12"/>
  <c r="AK486" i="12"/>
  <c r="AK487" i="12"/>
  <c r="AK488" i="12"/>
  <c r="AK489" i="12"/>
  <c r="AK490" i="12"/>
  <c r="AK491" i="12"/>
  <c r="AK492" i="12"/>
  <c r="AK493" i="12"/>
  <c r="AK494" i="12"/>
  <c r="AK495" i="12"/>
  <c r="AK496" i="12"/>
  <c r="AK497" i="12"/>
  <c r="AK498" i="12"/>
  <c r="AK499" i="12"/>
  <c r="AK500" i="12"/>
  <c r="AK501" i="12"/>
  <c r="AK502" i="12"/>
  <c r="AK503" i="12"/>
  <c r="AK504" i="12"/>
  <c r="AK505" i="12"/>
  <c r="AK506" i="12"/>
  <c r="AK507" i="12"/>
  <c r="AK508" i="12"/>
  <c r="AK509" i="12"/>
  <c r="AK510" i="12"/>
  <c r="AK511" i="12"/>
  <c r="AK512" i="12"/>
  <c r="AK513" i="12"/>
  <c r="AK514" i="12"/>
  <c r="AK515" i="12"/>
  <c r="AK516" i="12"/>
  <c r="AK517" i="12"/>
  <c r="AK518" i="12"/>
  <c r="AK519" i="12"/>
  <c r="AK520" i="12"/>
  <c r="AK521" i="12"/>
  <c r="AK522" i="12"/>
  <c r="AK523" i="12"/>
  <c r="AK524" i="12"/>
  <c r="AK525" i="12"/>
  <c r="AK526" i="12"/>
  <c r="AK527" i="12"/>
  <c r="AK528" i="12"/>
  <c r="AK529" i="12"/>
  <c r="AK530" i="12"/>
  <c r="AK531" i="12"/>
  <c r="AK532" i="12"/>
  <c r="AK533" i="12"/>
  <c r="AK534" i="12"/>
  <c r="AK535" i="12"/>
  <c r="AK536" i="12"/>
  <c r="AK537" i="12"/>
  <c r="AK538" i="12"/>
  <c r="AK539" i="12"/>
  <c r="AK540" i="12"/>
  <c r="AK541" i="12"/>
  <c r="AK542" i="12"/>
  <c r="AK543" i="12"/>
  <c r="AK544" i="12"/>
  <c r="AK545" i="12"/>
  <c r="AK546" i="12"/>
  <c r="AK547" i="12"/>
  <c r="AK548" i="12"/>
  <c r="AK549" i="12"/>
  <c r="AK550" i="12"/>
  <c r="AK551" i="12"/>
  <c r="AK552" i="12"/>
  <c r="AK553" i="12"/>
  <c r="AK554" i="12"/>
  <c r="AK555" i="12"/>
  <c r="AK556" i="12"/>
  <c r="AK557" i="12"/>
  <c r="AK558" i="12"/>
  <c r="AK559" i="12"/>
  <c r="AK560" i="12"/>
  <c r="AK561" i="12"/>
  <c r="AK562" i="12"/>
  <c r="AK563" i="12"/>
  <c r="AK564" i="12"/>
  <c r="AK565" i="12"/>
  <c r="AK566" i="12"/>
  <c r="AK567" i="12"/>
  <c r="AK568" i="12"/>
  <c r="AK569" i="12"/>
  <c r="AK570" i="12"/>
  <c r="AK571" i="12"/>
  <c r="AK572" i="12"/>
  <c r="AK573" i="12"/>
  <c r="AK574" i="12"/>
  <c r="AK575" i="12"/>
  <c r="AK576" i="12"/>
  <c r="AK577" i="12"/>
  <c r="AK578" i="12"/>
  <c r="AK579" i="12"/>
  <c r="AK580" i="12"/>
  <c r="AK581" i="12"/>
  <c r="AK582" i="12"/>
  <c r="AK583" i="12"/>
  <c r="AK584" i="12"/>
  <c r="AK585" i="12"/>
  <c r="AK586" i="12"/>
  <c r="AK587" i="12"/>
  <c r="AK588" i="12"/>
  <c r="AK589" i="12"/>
  <c r="AK590" i="12"/>
  <c r="AK591" i="12"/>
  <c r="AK592" i="12"/>
  <c r="AK593" i="12"/>
  <c r="AK594" i="12"/>
  <c r="AK595" i="12"/>
  <c r="AK596" i="12"/>
  <c r="AK597" i="12"/>
  <c r="AK598" i="12"/>
  <c r="AK599" i="12"/>
  <c r="AK600" i="12"/>
  <c r="AK601" i="12"/>
  <c r="AK602" i="12"/>
  <c r="AK603" i="12"/>
  <c r="AK604" i="12"/>
  <c r="AK605" i="12"/>
  <c r="AK606" i="12"/>
  <c r="AK607" i="12"/>
  <c r="AK608" i="12"/>
  <c r="AK609" i="12"/>
  <c r="AK610" i="12"/>
  <c r="AK611" i="12"/>
  <c r="AK612" i="12"/>
  <c r="AK613" i="12"/>
  <c r="AK614" i="12"/>
  <c r="AK615" i="12"/>
  <c r="AK616" i="12"/>
  <c r="AK617" i="12"/>
  <c r="AK618" i="12"/>
  <c r="AK619" i="12"/>
  <c r="AK620" i="12"/>
  <c r="AK621" i="12"/>
  <c r="AK622" i="12"/>
  <c r="AK623" i="12"/>
  <c r="AK624" i="12"/>
  <c r="AK625" i="12"/>
  <c r="AK626" i="12"/>
  <c r="AK627" i="12"/>
  <c r="AK628" i="12"/>
  <c r="AK629" i="12"/>
  <c r="AK630" i="12"/>
  <c r="AK631" i="12"/>
  <c r="AK632" i="12"/>
  <c r="AK633" i="12"/>
  <c r="AK634" i="12"/>
  <c r="AK635" i="12"/>
  <c r="AK636" i="12"/>
  <c r="AK637" i="12"/>
  <c r="AK638" i="12"/>
  <c r="AK639" i="12"/>
  <c r="AK640" i="12"/>
  <c r="AK641" i="12"/>
  <c r="AK642" i="12"/>
  <c r="AK643" i="12"/>
  <c r="AK644" i="12"/>
  <c r="AK645" i="12"/>
  <c r="AK646" i="12"/>
  <c r="AK647" i="12"/>
  <c r="AK648" i="12"/>
  <c r="AK649" i="12"/>
  <c r="AK650" i="12"/>
  <c r="AK651" i="12"/>
  <c r="AK652" i="12"/>
  <c r="AK653" i="12"/>
  <c r="AK654" i="12"/>
  <c r="AK655" i="12"/>
  <c r="AK656" i="12"/>
  <c r="AK657" i="12"/>
  <c r="AK658" i="12"/>
  <c r="AK659" i="12"/>
  <c r="AK660" i="12"/>
  <c r="AK661" i="12"/>
  <c r="AK662" i="12"/>
  <c r="AK663" i="12"/>
  <c r="AK664" i="12"/>
  <c r="AK665" i="12"/>
  <c r="AK666" i="12"/>
  <c r="AK667" i="12"/>
  <c r="AK668" i="12"/>
  <c r="AK669" i="12"/>
  <c r="AK670" i="12"/>
  <c r="AK671" i="12"/>
  <c r="AK672" i="12"/>
  <c r="AK673" i="12"/>
  <c r="AK674" i="12"/>
  <c r="AK675" i="12"/>
  <c r="AK676" i="12"/>
  <c r="AK677" i="12"/>
  <c r="AK678" i="12"/>
  <c r="AK679" i="12"/>
  <c r="AK680" i="12"/>
  <c r="AK681" i="12"/>
  <c r="AK682" i="12"/>
  <c r="AK683" i="12"/>
  <c r="AK684" i="12"/>
  <c r="AK685" i="12"/>
  <c r="AK686" i="12"/>
  <c r="AK687" i="12"/>
  <c r="AK688" i="12"/>
  <c r="AK689" i="12"/>
  <c r="AK690" i="12"/>
  <c r="AK691" i="12"/>
  <c r="AK692" i="12"/>
  <c r="AK693" i="12"/>
  <c r="AK694" i="12"/>
  <c r="AK695" i="12"/>
  <c r="AK696" i="12"/>
  <c r="AK697" i="12"/>
  <c r="AK698" i="12"/>
  <c r="AK699" i="12"/>
  <c r="AK700" i="12"/>
  <c r="AK701" i="12"/>
  <c r="AK702" i="12"/>
  <c r="AK703" i="12"/>
  <c r="AK704" i="12"/>
  <c r="AK705" i="12"/>
  <c r="AK706" i="12"/>
  <c r="AK707" i="12"/>
  <c r="AK708" i="12"/>
  <c r="AK709" i="12"/>
  <c r="AK710" i="12"/>
  <c r="AK711" i="12"/>
  <c r="AK712" i="12"/>
  <c r="AK713" i="12"/>
  <c r="AK714" i="12"/>
  <c r="AK715" i="12"/>
  <c r="AK716" i="12"/>
  <c r="AK717" i="12"/>
  <c r="AK718" i="12"/>
  <c r="AK719" i="12"/>
  <c r="AK720" i="12"/>
  <c r="AK721" i="12"/>
  <c r="AK722" i="12"/>
  <c r="AK723" i="12"/>
  <c r="AK724" i="12"/>
  <c r="AK725" i="12"/>
  <c r="AK726" i="12"/>
  <c r="AK727" i="12"/>
  <c r="AK728" i="12"/>
  <c r="AK729" i="12"/>
  <c r="AK730" i="12"/>
  <c r="AK731" i="12"/>
  <c r="AK732" i="12"/>
  <c r="AK733" i="12"/>
  <c r="AK734" i="12"/>
  <c r="AK735" i="12"/>
  <c r="AK736" i="12"/>
  <c r="AK737" i="12"/>
  <c r="AK738" i="12"/>
  <c r="AK739" i="12"/>
  <c r="AK740" i="12"/>
  <c r="AK741" i="12"/>
  <c r="AK742" i="12"/>
  <c r="AK743" i="12"/>
  <c r="AK744" i="12"/>
  <c r="AK745" i="12"/>
  <c r="AK746" i="12"/>
  <c r="AK747" i="12"/>
  <c r="AK748" i="12"/>
  <c r="AK749" i="12"/>
  <c r="AK750" i="12"/>
  <c r="AK751" i="12"/>
  <c r="AK752" i="12"/>
  <c r="AK753" i="12"/>
  <c r="AK754" i="12"/>
  <c r="AK755" i="12"/>
  <c r="AK756" i="12"/>
  <c r="AK757" i="12"/>
  <c r="AK758" i="12"/>
  <c r="AK759" i="12"/>
  <c r="AK760" i="12"/>
  <c r="AK761" i="12"/>
  <c r="AK762" i="12"/>
  <c r="AK763" i="12"/>
  <c r="AK764" i="12"/>
  <c r="AK765" i="12"/>
  <c r="AK766" i="12"/>
  <c r="AK767" i="12"/>
  <c r="AK768" i="12"/>
  <c r="AK769" i="12"/>
  <c r="AK770" i="12"/>
  <c r="AK771" i="12"/>
  <c r="AK772" i="12"/>
  <c r="AK773" i="12"/>
  <c r="AK774" i="12"/>
  <c r="AK775" i="12"/>
  <c r="AK776" i="12"/>
  <c r="AK777" i="12"/>
  <c r="AK778" i="12"/>
  <c r="AK779" i="12"/>
  <c r="AK780" i="12"/>
  <c r="AK781" i="12"/>
  <c r="AK782" i="12"/>
  <c r="AK783" i="12"/>
  <c r="AK784" i="12"/>
  <c r="AK785" i="12"/>
  <c r="AK786" i="12"/>
  <c r="AK787" i="12"/>
  <c r="AK788" i="12"/>
  <c r="AK789" i="12"/>
  <c r="AK790" i="12"/>
  <c r="AK791" i="12"/>
  <c r="AK792" i="12"/>
  <c r="AK793" i="12"/>
  <c r="AK794" i="12"/>
  <c r="AK795" i="12"/>
  <c r="AK796" i="12"/>
  <c r="AK797" i="12"/>
  <c r="AK798" i="12"/>
  <c r="AK799" i="12"/>
  <c r="AK800" i="12"/>
  <c r="AK801" i="12"/>
  <c r="AK802" i="12"/>
  <c r="AK803" i="12"/>
  <c r="AK804" i="12"/>
  <c r="AK805" i="12"/>
  <c r="AK806" i="12"/>
  <c r="AK807" i="12"/>
  <c r="AK808" i="12"/>
  <c r="AK809" i="12"/>
  <c r="AK810" i="12"/>
  <c r="AK811" i="12"/>
  <c r="AK812" i="12"/>
  <c r="AK813" i="12"/>
  <c r="AK814" i="12"/>
  <c r="AK815" i="12"/>
  <c r="AK816" i="12"/>
  <c r="AK817" i="12"/>
  <c r="AK818" i="12"/>
  <c r="AK819" i="12"/>
  <c r="AK820" i="12"/>
  <c r="AK821" i="12"/>
  <c r="AK822" i="12"/>
  <c r="AK823" i="12"/>
  <c r="AK824" i="12"/>
  <c r="AK825" i="12"/>
  <c r="AK826" i="12"/>
  <c r="AK827" i="12"/>
  <c r="AK828" i="12"/>
  <c r="AK829" i="12"/>
  <c r="AK830" i="12"/>
  <c r="AK831" i="12"/>
  <c r="AK832" i="12"/>
  <c r="AK833" i="12"/>
  <c r="AK834" i="12"/>
  <c r="AK835" i="12"/>
  <c r="AK836" i="12"/>
  <c r="AK837" i="12"/>
  <c r="AK838" i="12"/>
  <c r="AK839" i="12"/>
  <c r="AK840" i="12"/>
  <c r="AK841" i="12"/>
  <c r="AK842" i="12"/>
  <c r="AK843" i="12"/>
  <c r="AK844" i="12"/>
  <c r="AK845" i="12"/>
  <c r="AK846" i="12"/>
  <c r="AK847" i="12"/>
  <c r="AK848" i="12"/>
  <c r="AK849" i="12"/>
  <c r="AK850" i="12"/>
  <c r="AK851" i="12"/>
  <c r="AK852" i="12"/>
  <c r="AK853" i="12"/>
  <c r="AK854" i="12"/>
  <c r="AK855" i="12"/>
  <c r="AK856" i="12"/>
  <c r="AK857" i="12"/>
  <c r="AK858" i="12"/>
  <c r="AK859" i="12"/>
  <c r="AK860" i="12"/>
  <c r="AK861" i="12"/>
  <c r="AK862" i="12"/>
  <c r="AK863" i="12"/>
  <c r="AK864" i="12"/>
  <c r="AK865" i="12"/>
  <c r="AK866" i="12"/>
  <c r="AK867" i="12"/>
  <c r="AK868" i="12"/>
  <c r="AK869" i="12"/>
  <c r="AK870" i="12"/>
  <c r="AK871" i="12"/>
  <c r="AK872" i="12"/>
  <c r="AK873" i="12"/>
  <c r="AK874" i="12"/>
  <c r="AK875" i="12"/>
  <c r="AK876" i="12"/>
  <c r="AK877" i="12"/>
  <c r="AK878" i="12"/>
  <c r="AK879" i="12"/>
  <c r="AK880" i="12"/>
  <c r="AK881" i="12"/>
  <c r="AK882" i="12"/>
  <c r="AK883" i="12"/>
  <c r="AK884" i="12"/>
  <c r="AK885" i="12"/>
  <c r="AK886" i="12"/>
  <c r="AK887" i="12"/>
  <c r="AK888" i="12"/>
  <c r="AK889" i="12"/>
  <c r="AK890" i="12"/>
  <c r="AK891" i="12"/>
  <c r="AK892" i="12"/>
  <c r="AK893" i="12"/>
  <c r="AK894" i="12"/>
  <c r="AK895" i="12"/>
  <c r="AK896" i="12"/>
  <c r="AK897" i="12"/>
  <c r="AK898" i="12"/>
  <c r="AK899" i="12"/>
  <c r="AK900" i="12"/>
  <c r="AK901" i="12"/>
  <c r="AK902" i="12"/>
  <c r="AK903" i="12"/>
  <c r="AK904" i="12"/>
  <c r="AK905" i="12"/>
  <c r="AK906" i="12"/>
  <c r="AK907" i="12"/>
  <c r="AK908" i="12"/>
  <c r="AK909" i="12"/>
  <c r="AK910" i="12"/>
  <c r="AK911" i="12"/>
  <c r="AK912" i="12"/>
  <c r="AK913" i="12"/>
  <c r="AK914" i="12"/>
  <c r="AK915" i="12"/>
  <c r="AK916" i="12"/>
  <c r="AK917" i="12"/>
  <c r="AK918" i="12"/>
  <c r="AK919" i="12"/>
  <c r="AK920" i="12"/>
  <c r="AK921" i="12"/>
  <c r="AK922" i="12"/>
  <c r="AK923" i="12"/>
  <c r="AK924" i="12"/>
  <c r="AK925" i="12"/>
  <c r="AK926" i="12"/>
  <c r="AK927" i="12"/>
  <c r="AK928" i="12"/>
  <c r="AK929" i="12"/>
  <c r="AK930" i="12"/>
  <c r="AK931" i="12"/>
  <c r="AK932" i="12"/>
  <c r="AK933" i="12"/>
  <c r="AK934" i="12"/>
  <c r="AK935" i="12"/>
  <c r="AK936" i="12"/>
  <c r="AK937" i="12"/>
  <c r="AK938" i="12"/>
  <c r="AK939" i="12"/>
  <c r="AK940" i="12"/>
  <c r="AK941" i="12"/>
  <c r="AK942" i="12"/>
  <c r="AK943" i="12"/>
  <c r="AK944" i="12"/>
  <c r="AK945" i="12"/>
  <c r="AK946" i="12"/>
  <c r="AK947" i="12"/>
  <c r="AK948" i="12"/>
  <c r="AK949" i="12"/>
  <c r="AK950" i="12"/>
  <c r="AK951" i="12"/>
  <c r="AK952" i="12"/>
  <c r="AK953" i="12"/>
  <c r="AK954" i="12"/>
  <c r="AK955" i="12"/>
  <c r="AK956" i="12"/>
  <c r="AK957" i="12"/>
  <c r="AK958" i="12"/>
  <c r="AK959" i="12"/>
  <c r="AK960" i="12"/>
  <c r="AK961" i="12"/>
  <c r="AK962" i="12"/>
  <c r="AK963" i="12"/>
  <c r="AK964" i="12"/>
  <c r="AK965" i="12"/>
  <c r="AK966" i="12"/>
  <c r="AK967" i="12"/>
  <c r="AK968" i="12"/>
  <c r="AK969" i="12"/>
  <c r="AK970" i="12"/>
  <c r="AK971" i="12"/>
  <c r="AK972" i="12"/>
  <c r="AK973" i="12"/>
  <c r="AK974" i="12"/>
  <c r="AK975" i="12"/>
  <c r="AK976" i="12"/>
  <c r="AK977" i="12"/>
  <c r="AK978" i="12"/>
  <c r="AK979" i="12"/>
  <c r="AK980" i="12"/>
  <c r="AK981" i="12"/>
  <c r="AK982" i="12"/>
  <c r="AK983" i="12"/>
  <c r="AK984" i="12"/>
  <c r="AK985" i="12"/>
  <c r="AK986" i="12"/>
  <c r="AK987" i="12"/>
  <c r="AK988" i="12"/>
  <c r="AK989" i="12"/>
  <c r="AK990" i="12"/>
  <c r="AK991" i="12"/>
  <c r="AK992" i="12"/>
  <c r="AK993" i="12"/>
  <c r="AK994" i="12"/>
  <c r="AK995" i="12"/>
  <c r="AK996" i="12"/>
  <c r="AK997" i="12"/>
  <c r="AK998" i="12"/>
  <c r="AK999" i="12"/>
  <c r="AK1000" i="12"/>
  <c r="AK1001" i="12"/>
  <c r="AK1002" i="12"/>
  <c r="J192" i="8"/>
  <c r="L192" i="8" s="1"/>
  <c r="Q19" i="16"/>
  <c r="L24" i="16"/>
  <c r="P192" i="8"/>
  <c r="F88" i="16"/>
  <c r="M99" i="8"/>
  <c r="P189" i="8"/>
  <c r="J189" i="8"/>
  <c r="L189" i="8" s="1"/>
  <c r="J186" i="8"/>
  <c r="L186" i="8" s="1"/>
  <c r="F1019" i="14"/>
  <c r="F1039" i="14"/>
  <c r="AA189" i="8"/>
  <c r="AA192" i="8"/>
  <c r="Z189" i="8"/>
  <c r="Z192" i="8"/>
  <c r="Y189" i="8"/>
  <c r="Y192" i="8"/>
  <c r="X189" i="8"/>
  <c r="X192" i="8"/>
  <c r="W189" i="8"/>
  <c r="W192" i="8"/>
  <c r="V189" i="8"/>
  <c r="V192" i="8"/>
  <c r="U189" i="8"/>
  <c r="U192" i="8"/>
  <c r="T189" i="8"/>
  <c r="T192" i="8"/>
  <c r="S189" i="8"/>
  <c r="S192" i="8"/>
  <c r="R189" i="8"/>
  <c r="R192" i="8"/>
  <c r="Q189" i="8"/>
  <c r="Q192" i="8"/>
  <c r="W190" i="8"/>
  <c r="V190" i="8"/>
  <c r="V191" i="8"/>
  <c r="U190" i="8"/>
  <c r="U191" i="8"/>
  <c r="T190" i="8"/>
  <c r="T191" i="8"/>
  <c r="T193" i="8"/>
  <c r="S190" i="8"/>
  <c r="S191" i="8"/>
  <c r="S193" i="8"/>
  <c r="S194" i="8"/>
  <c r="R190" i="8"/>
  <c r="R191" i="8"/>
  <c r="R193" i="8"/>
  <c r="R194" i="8"/>
  <c r="R195" i="8"/>
  <c r="Q190" i="8"/>
  <c r="Q191" i="8"/>
  <c r="Q193" i="8"/>
  <c r="Q194" i="8"/>
  <c r="Q195" i="8"/>
  <c r="Q196" i="8"/>
  <c r="P190" i="8"/>
  <c r="P191" i="8"/>
  <c r="P193" i="8"/>
  <c r="P194" i="8"/>
  <c r="P195" i="8"/>
  <c r="P196" i="8"/>
  <c r="S196" i="8"/>
  <c r="T195" i="8"/>
  <c r="T196" i="8"/>
  <c r="U194" i="8"/>
  <c r="U195" i="8"/>
  <c r="U196" i="8"/>
  <c r="V193" i="8"/>
  <c r="V194" i="8"/>
  <c r="V195" i="8"/>
  <c r="V196" i="8"/>
  <c r="W193" i="8"/>
  <c r="W194" i="8"/>
  <c r="W195" i="8"/>
  <c r="W196" i="8"/>
  <c r="X191" i="8"/>
  <c r="X193" i="8"/>
  <c r="X194" i="8"/>
  <c r="X195" i="8"/>
  <c r="X196" i="8"/>
  <c r="Y190" i="8"/>
  <c r="Y191" i="8"/>
  <c r="Y193" i="8"/>
  <c r="Y194" i="8"/>
  <c r="Y195" i="8"/>
  <c r="Y196" i="8"/>
  <c r="Z190" i="8"/>
  <c r="Z191" i="8"/>
  <c r="Z193" i="8"/>
  <c r="Z194" i="8"/>
  <c r="Z195" i="8"/>
  <c r="Z196" i="8"/>
  <c r="AA190" i="8"/>
  <c r="AA191" i="8"/>
  <c r="AA193" i="8"/>
  <c r="AA194" i="8"/>
  <c r="AA195" i="8"/>
  <c r="AA196" i="8"/>
  <c r="R196" i="8"/>
  <c r="S195" i="8"/>
  <c r="T194" i="8"/>
  <c r="U193" i="8"/>
  <c r="W191" i="8"/>
  <c r="X190" i="8"/>
  <c r="G112" i="13"/>
  <c r="H112" i="13"/>
  <c r="I112" i="13"/>
  <c r="J112" i="13"/>
  <c r="K112" i="13"/>
  <c r="L112" i="13"/>
  <c r="M112" i="13"/>
  <c r="N112" i="13"/>
  <c r="O112" i="13"/>
  <c r="P112" i="13"/>
  <c r="Q112" i="13"/>
  <c r="F112" i="13"/>
  <c r="E4" i="13"/>
  <c r="E5" i="11"/>
  <c r="E5" i="10"/>
  <c r="E5" i="12"/>
  <c r="J190" i="8"/>
  <c r="L190" i="8" s="1"/>
  <c r="J191" i="8"/>
  <c r="L191" i="8" s="1"/>
  <c r="J193" i="8"/>
  <c r="L193" i="8" s="1"/>
  <c r="J194" i="8"/>
  <c r="L194" i="8" s="1"/>
  <c r="J195" i="8"/>
  <c r="L195" i="8" s="1"/>
  <c r="J196" i="8"/>
  <c r="L196" i="8" s="1"/>
  <c r="X1006" i="11"/>
  <c r="M1042" i="12"/>
  <c r="M1041" i="12" s="1"/>
  <c r="F1061" i="11"/>
  <c r="E1012" i="14"/>
  <c r="M56" i="13"/>
  <c r="B80" i="13"/>
  <c r="B60" i="11"/>
  <c r="K68" i="10"/>
  <c r="W1006" i="11"/>
  <c r="W1006" i="10"/>
  <c r="W1006" i="12"/>
  <c r="Z1006" i="12"/>
  <c r="E49" i="13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89" i="10"/>
  <c r="H70" i="10"/>
  <c r="B44" i="11"/>
  <c r="J1076" i="10"/>
  <c r="B80" i="10"/>
  <c r="B79" i="10"/>
  <c r="S57" i="13"/>
  <c r="S80" i="13" s="1"/>
  <c r="M57" i="13"/>
  <c r="E80" i="13" s="1"/>
  <c r="E16" i="11"/>
  <c r="AI5" i="11"/>
  <c r="AC5" i="11" s="1"/>
  <c r="F1057" i="11"/>
  <c r="F1065" i="11"/>
  <c r="AK4" i="12"/>
  <c r="F1063" i="11"/>
  <c r="F1060" i="11"/>
  <c r="F1059" i="11"/>
  <c r="F1062" i="11"/>
  <c r="F1066" i="11"/>
  <c r="F1067" i="11"/>
  <c r="F1068" i="11"/>
  <c r="N64" i="10"/>
  <c r="F1012" i="14"/>
  <c r="B9" i="13"/>
  <c r="E22" i="12"/>
  <c r="E23" i="12"/>
  <c r="E24" i="12"/>
  <c r="E25" i="12"/>
  <c r="E26" i="12"/>
  <c r="E24" i="11"/>
  <c r="E25" i="11"/>
  <c r="E26" i="11"/>
  <c r="E27" i="11"/>
  <c r="E28" i="11"/>
  <c r="E60" i="11"/>
  <c r="E53" i="10"/>
  <c r="E54" i="10"/>
  <c r="E55" i="10"/>
  <c r="E56" i="10"/>
  <c r="E57" i="10"/>
  <c r="B150" i="18" l="1"/>
  <c r="B144" i="18"/>
  <c r="I1014" i="10"/>
  <c r="I1013" i="10"/>
  <c r="H1013" i="10"/>
  <c r="H1014" i="10"/>
  <c r="J1013" i="10"/>
  <c r="J1014" i="10"/>
  <c r="K1014" i="10"/>
  <c r="K1013" i="10"/>
  <c r="J1012" i="10"/>
  <c r="B172" i="17"/>
  <c r="AD758" i="11"/>
  <c r="AD454" i="11"/>
  <c r="AB1391" i="10"/>
  <c r="X1400" i="10"/>
  <c r="X1404" i="10"/>
  <c r="X1412" i="10"/>
  <c r="X1416" i="10"/>
  <c r="AB1424" i="10"/>
  <c r="Y1388" i="10"/>
  <c r="AB1393" i="10"/>
  <c r="X1397" i="10"/>
  <c r="Y1405" i="10"/>
  <c r="X1413" i="10"/>
  <c r="AB1421" i="10"/>
  <c r="X1429" i="10"/>
  <c r="AC1379" i="10"/>
  <c r="X1382" i="10"/>
  <c r="X1389" i="10"/>
  <c r="X1394" i="10"/>
  <c r="AB1398" i="10"/>
  <c r="AC1402" i="10"/>
  <c r="X1406" i="10"/>
  <c r="X1410" i="10"/>
  <c r="Y1414" i="10"/>
  <c r="AC1418" i="10"/>
  <c r="Y1422" i="10"/>
  <c r="X1426" i="10"/>
  <c r="Y1430" i="10"/>
  <c r="AC1386" i="10"/>
  <c r="AC1384" i="10"/>
  <c r="X1385" i="10"/>
  <c r="X1396" i="10"/>
  <c r="X1408" i="10"/>
  <c r="X1420" i="10"/>
  <c r="AB1428" i="10"/>
  <c r="AB1387" i="10"/>
  <c r="X1401" i="10"/>
  <c r="AB1409" i="10"/>
  <c r="X1417" i="10"/>
  <c r="AB1425" i="10"/>
  <c r="AB1383" i="10"/>
  <c r="AC1390" i="10"/>
  <c r="AC1395" i="10"/>
  <c r="AC1399" i="10"/>
  <c r="Y1403" i="10"/>
  <c r="AC1407" i="10"/>
  <c r="AC1411" i="10"/>
  <c r="Y1415" i="10"/>
  <c r="AB1419" i="10"/>
  <c r="AC1423" i="10"/>
  <c r="Y1427" i="10"/>
  <c r="Y1392" i="10"/>
  <c r="AH10" i="11"/>
  <c r="AH28" i="11"/>
  <c r="AH44" i="11"/>
  <c r="M181" i="8"/>
  <c r="M207" i="8" s="1"/>
  <c r="J4188" i="14"/>
  <c r="K175" i="17"/>
  <c r="L122" i="13"/>
  <c r="J131" i="18"/>
  <c r="M92" i="16"/>
  <c r="L1037" i="11"/>
  <c r="L1045" i="12"/>
  <c r="L1444" i="10"/>
  <c r="B151" i="18"/>
  <c r="F171" i="17"/>
  <c r="G171" i="17" s="1"/>
  <c r="F170" i="17"/>
  <c r="G170" i="17" s="1"/>
  <c r="B154" i="18"/>
  <c r="B145" i="18"/>
  <c r="O107" i="18"/>
  <c r="K77" i="16"/>
  <c r="N1020" i="10"/>
  <c r="Y1410" i="10"/>
  <c r="Y1425" i="10"/>
  <c r="AB1417" i="10"/>
  <c r="Y1379" i="10"/>
  <c r="Y1394" i="10"/>
  <c r="CM43" i="10"/>
  <c r="AB1379" i="10"/>
  <c r="S26" i="16"/>
  <c r="D160" i="17"/>
  <c r="S28" i="16"/>
  <c r="AH52" i="11"/>
  <c r="AH40" i="11"/>
  <c r="AH24" i="11"/>
  <c r="AH25" i="11"/>
  <c r="AH48" i="11"/>
  <c r="AH36" i="11"/>
  <c r="AH47" i="11"/>
  <c r="AH32" i="11"/>
  <c r="AH50" i="11"/>
  <c r="AH46" i="11"/>
  <c r="AH42" i="11"/>
  <c r="AH38" i="11"/>
  <c r="AH34" i="11"/>
  <c r="AH30" i="11"/>
  <c r="AH26" i="11"/>
  <c r="AH51" i="11"/>
  <c r="AH43" i="11"/>
  <c r="AH39" i="11"/>
  <c r="AH35" i="11"/>
  <c r="AH31" i="11"/>
  <c r="AH27" i="11"/>
  <c r="AH23" i="11"/>
  <c r="AH49" i="11"/>
  <c r="AH45" i="11"/>
  <c r="AH41" i="11"/>
  <c r="AH37" i="11"/>
  <c r="AH33" i="11"/>
  <c r="AH29" i="11"/>
  <c r="AG294" i="12"/>
  <c r="AH22" i="11"/>
  <c r="AH14" i="11"/>
  <c r="AH21" i="11"/>
  <c r="AH13" i="11"/>
  <c r="AH18" i="11"/>
  <c r="AH15" i="11"/>
  <c r="AH17" i="11"/>
  <c r="AH20" i="11"/>
  <c r="AH16" i="11"/>
  <c r="AH12" i="11"/>
  <c r="AH19" i="11"/>
  <c r="AD150" i="11"/>
  <c r="AC1392" i="10"/>
  <c r="J1010" i="12"/>
  <c r="H77" i="16"/>
  <c r="G1011" i="12"/>
  <c r="Y1386" i="10"/>
  <c r="AD908" i="11"/>
  <c r="AD606" i="11"/>
  <c r="AD306" i="11"/>
  <c r="AD970" i="11"/>
  <c r="AD682" i="11"/>
  <c r="AD380" i="11"/>
  <c r="AD70" i="11"/>
  <c r="AD834" i="11"/>
  <c r="AD532" i="11"/>
  <c r="AD226" i="11"/>
  <c r="AD940" i="11"/>
  <c r="AD796" i="11"/>
  <c r="AD646" i="11"/>
  <c r="AD492" i="11"/>
  <c r="AD340" i="11"/>
  <c r="AD190" i="11"/>
  <c r="AD12" i="11"/>
  <c r="AD996" i="11"/>
  <c r="AD874" i="11"/>
  <c r="AD722" i="11"/>
  <c r="AD566" i="11"/>
  <c r="AD418" i="11"/>
  <c r="AD266" i="11"/>
  <c r="AD16" i="11"/>
  <c r="AD14" i="11"/>
  <c r="AD26" i="11"/>
  <c r="AD36" i="11"/>
  <c r="AD46" i="11"/>
  <c r="AD58" i="11"/>
  <c r="AD68" i="11"/>
  <c r="AD78" i="11"/>
  <c r="AD90" i="11"/>
  <c r="AD100" i="11"/>
  <c r="AD110" i="11"/>
  <c r="AD122" i="11"/>
  <c r="AD132" i="11"/>
  <c r="AD142" i="11"/>
  <c r="AD154" i="11"/>
  <c r="AD164" i="11"/>
  <c r="AD174" i="11"/>
  <c r="AD186" i="11"/>
  <c r="AD196" i="11"/>
  <c r="AD206" i="11"/>
  <c r="AD218" i="11"/>
  <c r="AD228" i="11"/>
  <c r="AD238" i="11"/>
  <c r="AD250" i="11"/>
  <c r="AD260" i="11"/>
  <c r="AD270" i="11"/>
  <c r="AD282" i="11"/>
  <c r="AD292" i="11"/>
  <c r="AD302" i="11"/>
  <c r="AD314" i="11"/>
  <c r="AD324" i="11"/>
  <c r="AD334" i="11"/>
  <c r="AD346" i="11"/>
  <c r="AD356" i="11"/>
  <c r="AD366" i="11"/>
  <c r="AD378" i="11"/>
  <c r="AD388" i="11"/>
  <c r="AD398" i="11"/>
  <c r="AD410" i="11"/>
  <c r="AD420" i="11"/>
  <c r="AD430" i="11"/>
  <c r="AD442" i="11"/>
  <c r="AD452" i="11"/>
  <c r="AD462" i="11"/>
  <c r="AD474" i="11"/>
  <c r="AD484" i="11"/>
  <c r="AD494" i="11"/>
  <c r="AD506" i="11"/>
  <c r="AD516" i="11"/>
  <c r="AD526" i="11"/>
  <c r="AD538" i="11"/>
  <c r="AD548" i="11"/>
  <c r="AD558" i="11"/>
  <c r="AD570" i="11"/>
  <c r="AD580" i="11"/>
  <c r="AD590" i="11"/>
  <c r="AD602" i="11"/>
  <c r="AD612" i="11"/>
  <c r="AD622" i="11"/>
  <c r="AD634" i="11"/>
  <c r="AD644" i="11"/>
  <c r="AD654" i="11"/>
  <c r="AD666" i="11"/>
  <c r="AD676" i="11"/>
  <c r="AD686" i="11"/>
  <c r="AD698" i="11"/>
  <c r="AD708" i="11"/>
  <c r="AD718" i="11"/>
  <c r="AD730" i="11"/>
  <c r="AD740" i="11"/>
  <c r="AD750" i="11"/>
  <c r="AD762" i="11"/>
  <c r="AD772" i="11"/>
  <c r="AD782" i="11"/>
  <c r="AD794" i="11"/>
  <c r="AD804" i="11"/>
  <c r="AD814" i="11"/>
  <c r="AD826" i="11"/>
  <c r="AD836" i="11"/>
  <c r="AD846" i="11"/>
  <c r="AD858" i="11"/>
  <c r="AD868" i="11"/>
  <c r="AD878" i="11"/>
  <c r="AD890" i="11"/>
  <c r="AD900" i="11"/>
  <c r="AD910" i="11"/>
  <c r="AD18" i="11"/>
  <c r="AD30" i="11"/>
  <c r="AD44" i="11"/>
  <c r="AD60" i="11"/>
  <c r="AD74" i="11"/>
  <c r="AD86" i="11"/>
  <c r="AD102" i="11"/>
  <c r="AD116" i="11"/>
  <c r="AD130" i="11"/>
  <c r="AD146" i="11"/>
  <c r="AD158" i="11"/>
  <c r="AD172" i="11"/>
  <c r="AD188" i="11"/>
  <c r="AD202" i="11"/>
  <c r="AD214" i="11"/>
  <c r="AD230" i="11"/>
  <c r="AD244" i="11"/>
  <c r="AD258" i="11"/>
  <c r="AD274" i="11"/>
  <c r="AD286" i="11"/>
  <c r="AD300" i="11"/>
  <c r="AD316" i="11"/>
  <c r="AD330" i="11"/>
  <c r="AD342" i="11"/>
  <c r="AD358" i="11"/>
  <c r="AD372" i="11"/>
  <c r="AD386" i="11"/>
  <c r="AD402" i="11"/>
  <c r="AD414" i="11"/>
  <c r="AD428" i="11"/>
  <c r="AD444" i="11"/>
  <c r="AD458" i="11"/>
  <c r="AD470" i="11"/>
  <c r="AD486" i="11"/>
  <c r="AD500" i="11"/>
  <c r="AD514" i="11"/>
  <c r="AD530" i="11"/>
  <c r="AD542" i="11"/>
  <c r="AD556" i="11"/>
  <c r="AD572" i="11"/>
  <c r="AD586" i="11"/>
  <c r="AD598" i="11"/>
  <c r="AD614" i="11"/>
  <c r="AD628" i="11"/>
  <c r="AD642" i="11"/>
  <c r="AD658" i="11"/>
  <c r="AD670" i="11"/>
  <c r="AD684" i="11"/>
  <c r="AD700" i="11"/>
  <c r="AD714" i="11"/>
  <c r="AD726" i="11"/>
  <c r="AD742" i="11"/>
  <c r="AD756" i="11"/>
  <c r="AD770" i="11"/>
  <c r="AD786" i="11"/>
  <c r="AD798" i="11"/>
  <c r="AD812" i="11"/>
  <c r="AD828" i="11"/>
  <c r="AD842" i="11"/>
  <c r="AD854" i="11"/>
  <c r="AD870" i="11"/>
  <c r="AD884" i="11"/>
  <c r="AD898" i="11"/>
  <c r="AD914" i="11"/>
  <c r="AD924" i="11"/>
  <c r="AD934" i="11"/>
  <c r="AD946" i="11"/>
  <c r="AD956" i="11"/>
  <c r="AD966" i="11"/>
  <c r="AD978" i="11"/>
  <c r="AD988" i="11"/>
  <c r="AD998" i="11"/>
  <c r="AD6" i="11"/>
  <c r="AD20" i="11"/>
  <c r="AD50" i="11"/>
  <c r="AD62" i="11"/>
  <c r="AD76" i="11"/>
  <c r="AD34" i="11"/>
  <c r="AD52" i="11"/>
  <c r="AD82" i="11"/>
  <c r="AD98" i="11"/>
  <c r="AD118" i="11"/>
  <c r="AD138" i="11"/>
  <c r="AD156" i="11"/>
  <c r="AD178" i="11"/>
  <c r="AD194" i="11"/>
  <c r="AD212" i="11"/>
  <c r="AD234" i="11"/>
  <c r="AD252" i="11"/>
  <c r="AD268" i="11"/>
  <c r="AD290" i="11"/>
  <c r="AD308" i="11"/>
  <c r="AD326" i="11"/>
  <c r="AD348" i="11"/>
  <c r="AD364" i="11"/>
  <c r="AD382" i="11"/>
  <c r="AD404" i="11"/>
  <c r="AD422" i="11"/>
  <c r="AD438" i="11"/>
  <c r="AD460" i="11"/>
  <c r="AD478" i="11"/>
  <c r="AD498" i="11"/>
  <c r="AD518" i="11"/>
  <c r="AD534" i="11"/>
  <c r="AD554" i="11"/>
  <c r="AD574" i="11"/>
  <c r="AD594" i="11"/>
  <c r="AD610" i="11"/>
  <c r="AD630" i="11"/>
  <c r="AD650" i="11"/>
  <c r="AD668" i="11"/>
  <c r="AD690" i="11"/>
  <c r="AD706" i="11"/>
  <c r="AD724" i="11"/>
  <c r="AD746" i="11"/>
  <c r="AD764" i="11"/>
  <c r="AD780" i="11"/>
  <c r="AD802" i="11"/>
  <c r="AD820" i="11"/>
  <c r="AD838" i="11"/>
  <c r="AD860" i="11"/>
  <c r="AD876" i="11"/>
  <c r="AD894" i="11"/>
  <c r="AD916" i="11"/>
  <c r="AD930" i="11"/>
  <c r="AD942" i="11"/>
  <c r="AD958" i="11"/>
  <c r="AD972" i="11"/>
  <c r="AD986" i="11"/>
  <c r="AD1002" i="11"/>
  <c r="AD54" i="11"/>
  <c r="AD84" i="11"/>
  <c r="AD106" i="11"/>
  <c r="AD124" i="11"/>
  <c r="AD140" i="11"/>
  <c r="AD162" i="11"/>
  <c r="AD180" i="11"/>
  <c r="AD198" i="11"/>
  <c r="AD220" i="11"/>
  <c r="AD236" i="11"/>
  <c r="AD254" i="11"/>
  <c r="AD276" i="11"/>
  <c r="AD294" i="11"/>
  <c r="AD310" i="11"/>
  <c r="AD332" i="11"/>
  <c r="AD350" i="11"/>
  <c r="AD370" i="11"/>
  <c r="AD390" i="11"/>
  <c r="AD406" i="11"/>
  <c r="AD426" i="11"/>
  <c r="AD446" i="11"/>
  <c r="AD466" i="11"/>
  <c r="AD482" i="11"/>
  <c r="AD502" i="11"/>
  <c r="AD522" i="11"/>
  <c r="AD540" i="11"/>
  <c r="AD562" i="11"/>
  <c r="AD578" i="11"/>
  <c r="AD596" i="11"/>
  <c r="AD618" i="11"/>
  <c r="AD636" i="11"/>
  <c r="AD652" i="11"/>
  <c r="AD674" i="11"/>
  <c r="AD692" i="11"/>
  <c r="AD710" i="11"/>
  <c r="AD732" i="11"/>
  <c r="AD748" i="11"/>
  <c r="AD766" i="11"/>
  <c r="AD788" i="11"/>
  <c r="AD806" i="11"/>
  <c r="AD822" i="11"/>
  <c r="AD844" i="11"/>
  <c r="AD862" i="11"/>
  <c r="AD882" i="11"/>
  <c r="AD902" i="11"/>
  <c r="AD918" i="11"/>
  <c r="AD932" i="11"/>
  <c r="AD948" i="11"/>
  <c r="AD962" i="11"/>
  <c r="AD974" i="11"/>
  <c r="AD990" i="11"/>
  <c r="AD994" i="11"/>
  <c r="AD964" i="11"/>
  <c r="AD938" i="11"/>
  <c r="AD906" i="11"/>
  <c r="AD866" i="11"/>
  <c r="AD830" i="11"/>
  <c r="AD790" i="11"/>
  <c r="AD754" i="11"/>
  <c r="AD716" i="11"/>
  <c r="AD678" i="11"/>
  <c r="AD638" i="11"/>
  <c r="AD604" i="11"/>
  <c r="AD564" i="11"/>
  <c r="AD524" i="11"/>
  <c r="AD490" i="11"/>
  <c r="AD450" i="11"/>
  <c r="AD412" i="11"/>
  <c r="AD374" i="11"/>
  <c r="AD338" i="11"/>
  <c r="AD298" i="11"/>
  <c r="AD262" i="11"/>
  <c r="AD222" i="11"/>
  <c r="AD182" i="11"/>
  <c r="AD148" i="11"/>
  <c r="AD108" i="11"/>
  <c r="AD66" i="11"/>
  <c r="AD10" i="11"/>
  <c r="AD284" i="11"/>
  <c r="AD982" i="11"/>
  <c r="AD954" i="11"/>
  <c r="AD926" i="11"/>
  <c r="AD892" i="11"/>
  <c r="AD852" i="11"/>
  <c r="AD818" i="11"/>
  <c r="AD778" i="11"/>
  <c r="AD738" i="11"/>
  <c r="AD702" i="11"/>
  <c r="AD662" i="11"/>
  <c r="AD626" i="11"/>
  <c r="AD588" i="11"/>
  <c r="AD550" i="11"/>
  <c r="AD510" i="11"/>
  <c r="AD476" i="11"/>
  <c r="AD436" i="11"/>
  <c r="AD396" i="11"/>
  <c r="AD362" i="11"/>
  <c r="AD322" i="11"/>
  <c r="AD246" i="11"/>
  <c r="AD210" i="11"/>
  <c r="AD170" i="11"/>
  <c r="AD134" i="11"/>
  <c r="AD94" i="11"/>
  <c r="AD42" i="11"/>
  <c r="AD980" i="11"/>
  <c r="AD950" i="11"/>
  <c r="AD922" i="11"/>
  <c r="AD886" i="11"/>
  <c r="AD850" i="11"/>
  <c r="AD810" i="11"/>
  <c r="AD774" i="11"/>
  <c r="AD734" i="11"/>
  <c r="AD694" i="11"/>
  <c r="AD660" i="11"/>
  <c r="AD620" i="11"/>
  <c r="AD582" i="11"/>
  <c r="AD546" i="11"/>
  <c r="AD508" i="11"/>
  <c r="AD468" i="11"/>
  <c r="AD434" i="11"/>
  <c r="AD394" i="11"/>
  <c r="AD354" i="11"/>
  <c r="AD318" i="11"/>
  <c r="AD278" i="11"/>
  <c r="AD242" i="11"/>
  <c r="AD204" i="11"/>
  <c r="AD166" i="11"/>
  <c r="AD126" i="11"/>
  <c r="AD92" i="11"/>
  <c r="AB1394" i="10"/>
  <c r="Y1402" i="10"/>
  <c r="Y1398" i="10"/>
  <c r="AB1416" i="10"/>
  <c r="Y1406" i="10"/>
  <c r="AB1386" i="10"/>
  <c r="AB1420" i="10"/>
  <c r="AC1416" i="10"/>
  <c r="Y1400" i="10"/>
  <c r="Y1408" i="10"/>
  <c r="AB1400" i="10"/>
  <c r="M1020" i="10"/>
  <c r="AC1396" i="10"/>
  <c r="Y1396" i="10"/>
  <c r="Y1404" i="10"/>
  <c r="Y1412" i="10"/>
  <c r="AB1389" i="10"/>
  <c r="AB1396" i="10"/>
  <c r="AB1404" i="10"/>
  <c r="Y1389" i="10"/>
  <c r="AC1422" i="10"/>
  <c r="AC1383" i="10"/>
  <c r="Y1409" i="10"/>
  <c r="Y1413" i="10"/>
  <c r="Y1429" i="10"/>
  <c r="Y1417" i="10"/>
  <c r="AC1413" i="10"/>
  <c r="Y1407" i="10"/>
  <c r="Y1411" i="10"/>
  <c r="Y1419" i="10"/>
  <c r="AB1429" i="10"/>
  <c r="CM12" i="10"/>
  <c r="AC1429" i="10"/>
  <c r="AI608" i="12"/>
  <c r="AI573" i="12"/>
  <c r="AJ685" i="12"/>
  <c r="AG537" i="12"/>
  <c r="AH969" i="12"/>
  <c r="AJ813" i="12"/>
  <c r="AJ749" i="12"/>
  <c r="AH585" i="12"/>
  <c r="AI1001" i="12"/>
  <c r="AH1001" i="12"/>
  <c r="AG997" i="12"/>
  <c r="AI997" i="12"/>
  <c r="AG989" i="12"/>
  <c r="AI989" i="12"/>
  <c r="AJ989" i="12"/>
  <c r="AI985" i="12"/>
  <c r="AG985" i="12"/>
  <c r="AG973" i="12"/>
  <c r="AJ973" i="12"/>
  <c r="AI953" i="12"/>
  <c r="AG953" i="12"/>
  <c r="AH953" i="12"/>
  <c r="AG941" i="12"/>
  <c r="AJ941" i="12"/>
  <c r="AI937" i="12"/>
  <c r="AG937" i="12"/>
  <c r="AH937" i="12"/>
  <c r="AG925" i="12"/>
  <c r="AI925" i="12"/>
  <c r="AJ925" i="12"/>
  <c r="AI921" i="12"/>
  <c r="AG921" i="12"/>
  <c r="AG909" i="12"/>
  <c r="AJ909" i="12"/>
  <c r="AI905" i="12"/>
  <c r="AH905" i="12"/>
  <c r="AG893" i="12"/>
  <c r="AI893" i="12"/>
  <c r="AI889" i="12"/>
  <c r="AH889" i="12"/>
  <c r="AI873" i="12"/>
  <c r="AG873" i="12"/>
  <c r="AH873" i="12"/>
  <c r="AG861" i="12"/>
  <c r="AI861" i="12"/>
  <c r="AJ861" i="12"/>
  <c r="AI857" i="12"/>
  <c r="AG857" i="12"/>
  <c r="AG845" i="12"/>
  <c r="AJ845" i="12"/>
  <c r="AI841" i="12"/>
  <c r="AH841" i="12"/>
  <c r="AG829" i="12"/>
  <c r="AI829" i="12"/>
  <c r="AI825" i="12"/>
  <c r="AH825" i="12"/>
  <c r="AI809" i="12"/>
  <c r="AG809" i="12"/>
  <c r="AH809" i="12"/>
  <c r="AG797" i="12"/>
  <c r="AI797" i="12"/>
  <c r="AJ797" i="12"/>
  <c r="AI793" i="12"/>
  <c r="AG793" i="12"/>
  <c r="AG781" i="12"/>
  <c r="AJ781" i="12"/>
  <c r="AI777" i="12"/>
  <c r="AH777" i="12"/>
  <c r="AG765" i="12"/>
  <c r="AI765" i="12"/>
  <c r="AI761" i="12"/>
  <c r="AH761" i="12"/>
  <c r="AI745" i="12"/>
  <c r="AG745" i="12"/>
  <c r="AH745" i="12"/>
  <c r="AG733" i="12"/>
  <c r="AI733" i="12"/>
  <c r="AJ733" i="12"/>
  <c r="AI729" i="12"/>
  <c r="AG729" i="12"/>
  <c r="AG717" i="12"/>
  <c r="AJ717" i="12"/>
  <c r="AI713" i="12"/>
  <c r="AH713" i="12"/>
  <c r="AG701" i="12"/>
  <c r="AI701" i="12"/>
  <c r="AI697" i="12"/>
  <c r="AH697" i="12"/>
  <c r="AI681" i="12"/>
  <c r="AG681" i="12"/>
  <c r="AH681" i="12"/>
  <c r="AG669" i="12"/>
  <c r="AI669" i="12"/>
  <c r="AJ669" i="12"/>
  <c r="AI665" i="12"/>
  <c r="AG665" i="12"/>
  <c r="AG653" i="12"/>
  <c r="AJ653" i="12"/>
  <c r="AI649" i="12"/>
  <c r="AH649" i="12"/>
  <c r="AG637" i="12"/>
  <c r="AI637" i="12"/>
  <c r="AI633" i="12"/>
  <c r="AH633" i="12"/>
  <c r="AI617" i="12"/>
  <c r="AG617" i="12"/>
  <c r="AH617" i="12"/>
  <c r="AG605" i="12"/>
  <c r="AJ605" i="12"/>
  <c r="AI605" i="12"/>
  <c r="AG589" i="12"/>
  <c r="AI589" i="12"/>
  <c r="AJ589" i="12"/>
  <c r="AI569" i="12"/>
  <c r="AG569" i="12"/>
  <c r="AH569" i="12"/>
  <c r="AG557" i="12"/>
  <c r="AJ557" i="12"/>
  <c r="AI553" i="12"/>
  <c r="AH553" i="12"/>
  <c r="AG553" i="12"/>
  <c r="AG541" i="12"/>
  <c r="AJ541" i="12"/>
  <c r="AI541" i="12"/>
  <c r="AG525" i="12"/>
  <c r="AI525" i="12"/>
  <c r="AJ525" i="12"/>
  <c r="AG117" i="12"/>
  <c r="AH117" i="12"/>
  <c r="AI105" i="12"/>
  <c r="AJ105" i="12"/>
  <c r="AI957" i="12"/>
  <c r="AJ877" i="12"/>
  <c r="AI845" i="12"/>
  <c r="AG697" i="12"/>
  <c r="AJ621" i="12"/>
  <c r="AG601" i="12"/>
  <c r="AG998" i="12"/>
  <c r="AJ402" i="12"/>
  <c r="AG914" i="12"/>
  <c r="AG386" i="12"/>
  <c r="AG306" i="12"/>
  <c r="AJ826" i="12"/>
  <c r="AJ810" i="12"/>
  <c r="AJ778" i="12"/>
  <c r="AG622" i="12"/>
  <c r="AJ930" i="12"/>
  <c r="AG874" i="12"/>
  <c r="AG858" i="12"/>
  <c r="AI496" i="12"/>
  <c r="AG490" i="12"/>
  <c r="AI480" i="12"/>
  <c r="AJ950" i="12"/>
  <c r="AJ522" i="12"/>
  <c r="AJ494" i="12"/>
  <c r="AG454" i="12"/>
  <c r="AJ1002" i="12"/>
  <c r="AG946" i="12"/>
  <c r="AG846" i="12"/>
  <c r="AG782" i="12"/>
  <c r="AG758" i="12"/>
  <c r="AG674" i="12"/>
  <c r="AJ562" i="12"/>
  <c r="AG470" i="12"/>
  <c r="AJ282" i="12"/>
  <c r="AG182" i="12"/>
  <c r="AJ958" i="12"/>
  <c r="AJ918" i="12"/>
  <c r="AJ886" i="12"/>
  <c r="AJ686" i="12"/>
  <c r="AJ670" i="12"/>
  <c r="AG598" i="12"/>
  <c r="AJ582" i="12"/>
  <c r="AG574" i="12"/>
  <c r="AG526" i="12"/>
  <c r="AG474" i="12"/>
  <c r="AG438" i="12"/>
  <c r="AJ1000" i="12"/>
  <c r="AI1000" i="12"/>
  <c r="AG1000" i="12"/>
  <c r="AH1000" i="12"/>
  <c r="AG996" i="12"/>
  <c r="AI996" i="12"/>
  <c r="AH996" i="12"/>
  <c r="AJ996" i="12"/>
  <c r="AI992" i="12"/>
  <c r="AG992" i="12"/>
  <c r="AH992" i="12"/>
  <c r="AI988" i="12"/>
  <c r="AH988" i="12"/>
  <c r="AG988" i="12"/>
  <c r="AJ988" i="12"/>
  <c r="AI984" i="12"/>
  <c r="AJ984" i="12"/>
  <c r="AG984" i="12"/>
  <c r="AH984" i="12"/>
  <c r="AI980" i="12"/>
  <c r="AH980" i="12"/>
  <c r="AG980" i="12"/>
  <c r="AJ980" i="12"/>
  <c r="AI976" i="12"/>
  <c r="AG976" i="12"/>
  <c r="AJ976" i="12"/>
  <c r="AJ992" i="12"/>
  <c r="AH976" i="12"/>
  <c r="AJ972" i="12"/>
  <c r="AI972" i="12"/>
  <c r="AG972" i="12"/>
  <c r="AI968" i="12"/>
  <c r="AG968" i="12"/>
  <c r="AJ968" i="12"/>
  <c r="AH968" i="12"/>
  <c r="AH964" i="12"/>
  <c r="AJ964" i="12"/>
  <c r="AG964" i="12"/>
  <c r="AG960" i="12"/>
  <c r="AJ960" i="12"/>
  <c r="AH960" i="12"/>
  <c r="AI960" i="12"/>
  <c r="AG956" i="12"/>
  <c r="AH956" i="12"/>
  <c r="AJ956" i="12"/>
  <c r="AI956" i="12"/>
  <c r="AH952" i="12"/>
  <c r="AJ952" i="12"/>
  <c r="AG952" i="12"/>
  <c r="AI952" i="12"/>
  <c r="AJ948" i="12"/>
  <c r="AI948" i="12"/>
  <c r="AG948" i="12"/>
  <c r="AH948" i="12"/>
  <c r="AI944" i="12"/>
  <c r="AH944" i="12"/>
  <c r="AG944" i="12"/>
  <c r="AH940" i="12"/>
  <c r="AI940" i="12"/>
  <c r="AJ940" i="12"/>
  <c r="AG940" i="12"/>
  <c r="AH936" i="12"/>
  <c r="AG936" i="12"/>
  <c r="AJ936" i="12"/>
  <c r="AI936" i="12"/>
  <c r="AG932" i="12"/>
  <c r="AH932" i="12"/>
  <c r="AJ932" i="12"/>
  <c r="AI932" i="12"/>
  <c r="AI928" i="12"/>
  <c r="AG928" i="12"/>
  <c r="AJ928" i="12"/>
  <c r="AH928" i="12"/>
  <c r="AJ924" i="12"/>
  <c r="AI924" i="12"/>
  <c r="AG924" i="12"/>
  <c r="AH924" i="12"/>
  <c r="AJ920" i="12"/>
  <c r="AH920" i="12"/>
  <c r="AI920" i="12"/>
  <c r="AG920" i="12"/>
  <c r="AJ916" i="12"/>
  <c r="AH916" i="12"/>
  <c r="AG916" i="12"/>
  <c r="AI916" i="12"/>
  <c r="AJ912" i="12"/>
  <c r="AH912" i="12"/>
  <c r="AI912" i="12"/>
  <c r="AG912" i="12"/>
  <c r="AH908" i="12"/>
  <c r="AI908" i="12"/>
  <c r="AG908" i="12"/>
  <c r="AJ908" i="12"/>
  <c r="AG904" i="12"/>
  <c r="AH904" i="12"/>
  <c r="AJ900" i="12"/>
  <c r="AG900" i="12"/>
  <c r="AI900" i="12"/>
  <c r="AH900" i="12"/>
  <c r="AI896" i="12"/>
  <c r="AJ896" i="12"/>
  <c r="AG896" i="12"/>
  <c r="AI892" i="12"/>
  <c r="AJ892" i="12"/>
  <c r="AH892" i="12"/>
  <c r="AJ888" i="12"/>
  <c r="AH888" i="12"/>
  <c r="AI888" i="12"/>
  <c r="AH884" i="12"/>
  <c r="AJ884" i="12"/>
  <c r="AH880" i="12"/>
  <c r="AJ880" i="12"/>
  <c r="AI880" i="12"/>
  <c r="AH876" i="12"/>
  <c r="AG876" i="12"/>
  <c r="AJ876" i="12"/>
  <c r="AI876" i="12"/>
  <c r="AI872" i="12"/>
  <c r="AH872" i="12"/>
  <c r="AG872" i="12"/>
  <c r="AH868" i="12"/>
  <c r="AG868" i="12"/>
  <c r="AJ868" i="12"/>
  <c r="AJ864" i="12"/>
  <c r="AG864" i="12"/>
  <c r="AH864" i="12"/>
  <c r="AG860" i="12"/>
  <c r="AI860" i="12"/>
  <c r="AH860" i="12"/>
  <c r="AG856" i="12"/>
  <c r="AH856" i="12"/>
  <c r="AJ856" i="12"/>
  <c r="AG852" i="12"/>
  <c r="AI852" i="12"/>
  <c r="AJ852" i="12"/>
  <c r="AG848" i="12"/>
  <c r="AI848" i="12"/>
  <c r="AJ848" i="12"/>
  <c r="AH848" i="12"/>
  <c r="AH844" i="12"/>
  <c r="AJ844" i="12"/>
  <c r="AG844" i="12"/>
  <c r="AG840" i="12"/>
  <c r="AJ840" i="12"/>
  <c r="AH840" i="12"/>
  <c r="AJ836" i="12"/>
  <c r="AH836" i="12"/>
  <c r="AI836" i="12"/>
  <c r="AG836" i="12"/>
  <c r="AI832" i="12"/>
  <c r="AG832" i="12"/>
  <c r="AJ832" i="12"/>
  <c r="AI828" i="12"/>
  <c r="AH828" i="12"/>
  <c r="AJ828" i="12"/>
  <c r="AJ824" i="12"/>
  <c r="AH824" i="12"/>
  <c r="AI824" i="12"/>
  <c r="AH820" i="12"/>
  <c r="AG820" i="12"/>
  <c r="AJ820" i="12"/>
  <c r="AH816" i="12"/>
  <c r="AI816" i="12"/>
  <c r="AH812" i="12"/>
  <c r="AI812" i="12"/>
  <c r="AJ812" i="12"/>
  <c r="AG812" i="12"/>
  <c r="AI808" i="12"/>
  <c r="AG808" i="12"/>
  <c r="AJ808" i="12"/>
  <c r="AH804" i="12"/>
  <c r="AJ804" i="12"/>
  <c r="AG804" i="12"/>
  <c r="AJ800" i="12"/>
  <c r="AH800" i="12"/>
  <c r="AG800" i="12"/>
  <c r="AG796" i="12"/>
  <c r="AH796" i="12"/>
  <c r="AI796" i="12"/>
  <c r="AG792" i="12"/>
  <c r="AH792" i="12"/>
  <c r="AJ792" i="12"/>
  <c r="AG788" i="12"/>
  <c r="AI788" i="12"/>
  <c r="AJ788" i="12"/>
  <c r="AG784" i="12"/>
  <c r="AI784" i="12"/>
  <c r="AJ784" i="12"/>
  <c r="AH784" i="12"/>
  <c r="AG772" i="12"/>
  <c r="AH772" i="12"/>
  <c r="AJ768" i="12"/>
  <c r="AH768" i="12"/>
  <c r="AI764" i="12"/>
  <c r="AJ764" i="12"/>
  <c r="AJ760" i="12"/>
  <c r="AG760" i="12"/>
  <c r="AH752" i="12"/>
  <c r="AI752" i="12"/>
  <c r="AG752" i="12"/>
  <c r="AH744" i="12"/>
  <c r="AG744" i="12"/>
  <c r="AI740" i="12"/>
  <c r="AJ740" i="12"/>
  <c r="AG736" i="12"/>
  <c r="AI736" i="12"/>
  <c r="AI728" i="12"/>
  <c r="AJ728" i="12"/>
  <c r="AG724" i="12"/>
  <c r="AH724" i="12"/>
  <c r="AJ724" i="12"/>
  <c r="AH708" i="12"/>
  <c r="AG708" i="12"/>
  <c r="AH704" i="12"/>
  <c r="AJ704" i="12"/>
  <c r="AI700" i="12"/>
  <c r="AG700" i="12"/>
  <c r="AJ696" i="12"/>
  <c r="AI696" i="12"/>
  <c r="AH688" i="12"/>
  <c r="AI688" i="12"/>
  <c r="AJ688" i="12"/>
  <c r="AG688" i="12"/>
  <c r="AG680" i="12"/>
  <c r="AH680" i="12"/>
  <c r="AJ676" i="12"/>
  <c r="AI676" i="12"/>
  <c r="AG672" i="12"/>
  <c r="AI672" i="12"/>
  <c r="AJ664" i="12"/>
  <c r="AI664" i="12"/>
  <c r="AG660" i="12"/>
  <c r="AJ660" i="12"/>
  <c r="AH660" i="12"/>
  <c r="AI656" i="12"/>
  <c r="AH656" i="12"/>
  <c r="AG644" i="12"/>
  <c r="AH644" i="12"/>
  <c r="AJ640" i="12"/>
  <c r="AH640" i="12"/>
  <c r="AI636" i="12"/>
  <c r="AJ636" i="12"/>
  <c r="AG636" i="12"/>
  <c r="AJ632" i="12"/>
  <c r="AG632" i="12"/>
  <c r="AI632" i="12"/>
  <c r="AH624" i="12"/>
  <c r="AG624" i="12"/>
  <c r="AJ624" i="12"/>
  <c r="AI624" i="12"/>
  <c r="AH616" i="12"/>
  <c r="AG616" i="12"/>
  <c r="AI612" i="12"/>
  <c r="AJ612" i="12"/>
  <c r="AI600" i="12"/>
  <c r="AJ600" i="12"/>
  <c r="AG596" i="12"/>
  <c r="AJ596" i="12"/>
  <c r="AH596" i="12"/>
  <c r="AI592" i="12"/>
  <c r="AH592" i="12"/>
  <c r="AH576" i="12"/>
  <c r="AJ576" i="12"/>
  <c r="AI572" i="12"/>
  <c r="AJ572" i="12"/>
  <c r="AG572" i="12"/>
  <c r="AJ568" i="12"/>
  <c r="AG568" i="12"/>
  <c r="AI568" i="12"/>
  <c r="AH560" i="12"/>
  <c r="AI560" i="12"/>
  <c r="AJ560" i="12"/>
  <c r="AG560" i="12"/>
  <c r="AI548" i="12"/>
  <c r="AJ548" i="12"/>
  <c r="AG544" i="12"/>
  <c r="AI544" i="12"/>
  <c r="AI536" i="12"/>
  <c r="AJ536" i="12"/>
  <c r="AG532" i="12"/>
  <c r="AH532" i="12"/>
  <c r="AJ532" i="12"/>
  <c r="AH528" i="12"/>
  <c r="AI528" i="12"/>
  <c r="AH512" i="12"/>
  <c r="AG512" i="12"/>
  <c r="AI512" i="12"/>
  <c r="AJ508" i="12"/>
  <c r="AH508" i="12"/>
  <c r="AJ504" i="12"/>
  <c r="AH504" i="12"/>
  <c r="AI504" i="12"/>
  <c r="AG500" i="12"/>
  <c r="AH500" i="12"/>
  <c r="AG484" i="12"/>
  <c r="AJ484" i="12"/>
  <c r="AI476" i="12"/>
  <c r="AJ476" i="12"/>
  <c r="AJ456" i="12"/>
  <c r="AG456" i="12"/>
  <c r="AI456" i="12"/>
  <c r="AI444" i="12"/>
  <c r="AG444" i="12"/>
  <c r="AJ444" i="12"/>
  <c r="AH424" i="12"/>
  <c r="AG424" i="12"/>
  <c r="AI380" i="12"/>
  <c r="AH380" i="12"/>
  <c r="AH376" i="12"/>
  <c r="AG376" i="12"/>
  <c r="AI364" i="12"/>
  <c r="AG364" i="12"/>
  <c r="AG360" i="12"/>
  <c r="AI360" i="12"/>
  <c r="AI348" i="12"/>
  <c r="AJ348" i="12"/>
  <c r="AG344" i="12"/>
  <c r="AJ344" i="12"/>
  <c r="AJ340" i="12"/>
  <c r="AH340" i="12"/>
  <c r="AH320" i="12"/>
  <c r="AJ320" i="12"/>
  <c r="AI308" i="12"/>
  <c r="AG308" i="12"/>
  <c r="AH304" i="12"/>
  <c r="AG304" i="12"/>
  <c r="AI292" i="12"/>
  <c r="AG292" i="12"/>
  <c r="AH280" i="12"/>
  <c r="AJ280" i="12"/>
  <c r="AI272" i="12"/>
  <c r="AJ272" i="12"/>
  <c r="AI260" i="12"/>
  <c r="AJ260" i="12"/>
  <c r="AG256" i="12"/>
  <c r="AJ256" i="12"/>
  <c r="AI248" i="12"/>
  <c r="AH248" i="12"/>
  <c r="AG244" i="12"/>
  <c r="AJ244" i="12"/>
  <c r="AG232" i="12"/>
  <c r="AI232" i="12"/>
  <c r="AJ224" i="12"/>
  <c r="AI224" i="12"/>
  <c r="AI212" i="12"/>
  <c r="AJ212" i="12"/>
  <c r="AJ196" i="12"/>
  <c r="AG196" i="12"/>
  <c r="AG172" i="12"/>
  <c r="AI172" i="12"/>
  <c r="AG164" i="12"/>
  <c r="AI164" i="12"/>
  <c r="AJ160" i="12"/>
  <c r="AH160" i="12"/>
  <c r="AH156" i="12"/>
  <c r="AJ156" i="12"/>
  <c r="AH152" i="12"/>
  <c r="AG152" i="12"/>
  <c r="AH144" i="12"/>
  <c r="AI144" i="12"/>
  <c r="AH124" i="12"/>
  <c r="AI124" i="12"/>
  <c r="AG120" i="12"/>
  <c r="AJ120" i="12"/>
  <c r="AJ112" i="12"/>
  <c r="AH112" i="12"/>
  <c r="AJ104" i="12"/>
  <c r="AG104" i="12"/>
  <c r="AI100" i="12"/>
  <c r="AH100" i="12"/>
  <c r="AJ84" i="12"/>
  <c r="AI84" i="12"/>
  <c r="AH80" i="12"/>
  <c r="AI80" i="12"/>
  <c r="AJ872" i="12"/>
  <c r="AI844" i="12"/>
  <c r="AJ816" i="12"/>
  <c r="AG764" i="12"/>
  <c r="AI760" i="12"/>
  <c r="AJ752" i="12"/>
  <c r="AI720" i="12"/>
  <c r="AG580" i="12"/>
  <c r="AG552" i="12"/>
  <c r="AG412" i="12"/>
  <c r="AG392" i="12"/>
  <c r="AI964" i="12"/>
  <c r="AJ904" i="12"/>
  <c r="AG978" i="12"/>
  <c r="AJ902" i="12"/>
  <c r="AJ878" i="12"/>
  <c r="AG794" i="12"/>
  <c r="AJ750" i="12"/>
  <c r="AG738" i="12"/>
  <c r="AG590" i="12"/>
  <c r="AJ458" i="12"/>
  <c r="AG442" i="12"/>
  <c r="AG354" i="12"/>
  <c r="AJ330" i="12"/>
  <c r="AG138" i="12"/>
  <c r="AG966" i="12"/>
  <c r="AJ966" i="12"/>
  <c r="AG882" i="12"/>
  <c r="AJ882" i="12"/>
  <c r="AJ746" i="12"/>
  <c r="AG746" i="12"/>
  <c r="AG730" i="12"/>
  <c r="AJ730" i="12"/>
  <c r="AG706" i="12"/>
  <c r="AJ706" i="12"/>
  <c r="AG698" i="12"/>
  <c r="AJ698" i="12"/>
  <c r="AJ682" i="12"/>
  <c r="AG682" i="12"/>
  <c r="AG666" i="12"/>
  <c r="AJ666" i="12"/>
  <c r="AG658" i="12"/>
  <c r="AJ658" i="12"/>
  <c r="AG642" i="12"/>
  <c r="AJ642" i="12"/>
  <c r="AG634" i="12"/>
  <c r="AJ634" i="12"/>
  <c r="AJ618" i="12"/>
  <c r="AG618" i="12"/>
  <c r="AG578" i="12"/>
  <c r="AJ578" i="12"/>
  <c r="AG570" i="12"/>
  <c r="AJ570" i="12"/>
  <c r="AG550" i="12"/>
  <c r="AJ550" i="12"/>
  <c r="AG538" i="12"/>
  <c r="AJ538" i="12"/>
  <c r="AG530" i="12"/>
  <c r="AJ530" i="12"/>
  <c r="AG514" i="12"/>
  <c r="AJ514" i="12"/>
  <c r="AG506" i="12"/>
  <c r="AJ506" i="12"/>
  <c r="AJ498" i="12"/>
  <c r="AG498" i="12"/>
  <c r="AG482" i="12"/>
  <c r="AJ482" i="12"/>
  <c r="AG478" i="12"/>
  <c r="AJ478" i="12"/>
  <c r="AJ422" i="12"/>
  <c r="AG422" i="12"/>
  <c r="AJ410" i="12"/>
  <c r="AG410" i="12"/>
  <c r="AG394" i="12"/>
  <c r="AJ394" i="12"/>
  <c r="AJ374" i="12"/>
  <c r="AG374" i="12"/>
  <c r="AG318" i="12"/>
  <c r="AJ318" i="12"/>
  <c r="AG310" i="12"/>
  <c r="AJ310" i="12"/>
  <c r="AG302" i="12"/>
  <c r="AJ302" i="12"/>
  <c r="AG290" i="12"/>
  <c r="AJ290" i="12"/>
  <c r="AJ270" i="12"/>
  <c r="AG270" i="12"/>
  <c r="AJ262" i="12"/>
  <c r="AG262" i="12"/>
  <c r="AG254" i="12"/>
  <c r="AJ254" i="12"/>
  <c r="AG242" i="12"/>
  <c r="AJ242" i="12"/>
  <c r="AG234" i="12"/>
  <c r="AJ234" i="12"/>
  <c r="AJ226" i="12"/>
  <c r="AG226" i="12"/>
  <c r="AG218" i="12"/>
  <c r="AJ218" i="12"/>
  <c r="AJ210" i="12"/>
  <c r="AG210" i="12"/>
  <c r="AJ202" i="12"/>
  <c r="AG202" i="12"/>
  <c r="AJ190" i="12"/>
  <c r="AG190" i="12"/>
  <c r="AG158" i="12"/>
  <c r="AJ158" i="12"/>
  <c r="AJ122" i="12"/>
  <c r="AG122" i="12"/>
  <c r="AJ118" i="12"/>
  <c r="AG118" i="12"/>
  <c r="AG86" i="12"/>
  <c r="AJ86" i="12"/>
  <c r="AJ78" i="12"/>
  <c r="AG78" i="12"/>
  <c r="AJ70" i="12"/>
  <c r="AG70" i="12"/>
  <c r="AG990" i="12"/>
  <c r="AJ990" i="12"/>
  <c r="AG942" i="12"/>
  <c r="AJ942" i="12"/>
  <c r="AG894" i="12"/>
  <c r="AJ894" i="12"/>
  <c r="AG854" i="12"/>
  <c r="AJ854" i="12"/>
  <c r="AG830" i="12"/>
  <c r="AJ830" i="12"/>
  <c r="AG818" i="12"/>
  <c r="AJ818" i="12"/>
  <c r="AG790" i="12"/>
  <c r="AJ790" i="12"/>
  <c r="AG770" i="12"/>
  <c r="AJ770" i="12"/>
  <c r="AG762" i="12"/>
  <c r="AJ762" i="12"/>
  <c r="AG742" i="12"/>
  <c r="AJ742" i="12"/>
  <c r="AG722" i="12"/>
  <c r="AJ722" i="12"/>
  <c r="AG678" i="12"/>
  <c r="AJ678" i="12"/>
  <c r="AG614" i="12"/>
  <c r="AJ614" i="12"/>
  <c r="AG602" i="12"/>
  <c r="AJ602" i="12"/>
  <c r="AG594" i="12"/>
  <c r="AJ594" i="12"/>
  <c r="AJ554" i="12"/>
  <c r="AG554" i="12"/>
  <c r="AJ510" i="12"/>
  <c r="AG510" i="12"/>
  <c r="AG426" i="12"/>
  <c r="AJ426" i="12"/>
  <c r="AG390" i="12"/>
  <c r="AJ390" i="12"/>
  <c r="AG378" i="12"/>
  <c r="AJ378" i="12"/>
  <c r="AJ362" i="12"/>
  <c r="AG362" i="12"/>
  <c r="AJ358" i="12"/>
  <c r="AG358" i="12"/>
  <c r="AG350" i="12"/>
  <c r="AJ350" i="12"/>
  <c r="AG342" i="12"/>
  <c r="AJ342" i="12"/>
  <c r="AG338" i="12"/>
  <c r="AJ338" i="12"/>
  <c r="AG322" i="12"/>
  <c r="AJ322" i="12"/>
  <c r="AJ278" i="12"/>
  <c r="AG278" i="12"/>
  <c r="AJ274" i="12"/>
  <c r="AG274" i="12"/>
  <c r="AG266" i="12"/>
  <c r="AJ266" i="12"/>
  <c r="AJ258" i="12"/>
  <c r="AG258" i="12"/>
  <c r="AJ250" i="12"/>
  <c r="AG250" i="12"/>
  <c r="AJ246" i="12"/>
  <c r="AG246" i="12"/>
  <c r="AG230" i="12"/>
  <c r="AJ230" i="12"/>
  <c r="AJ222" i="12"/>
  <c r="AG222" i="12"/>
  <c r="AJ214" i="12"/>
  <c r="AG214" i="12"/>
  <c r="AG206" i="12"/>
  <c r="AJ206" i="12"/>
  <c r="AJ198" i="12"/>
  <c r="AG198" i="12"/>
  <c r="AG194" i="12"/>
  <c r="AJ194" i="12"/>
  <c r="AJ178" i="12"/>
  <c r="AG178" i="12"/>
  <c r="AJ174" i="12"/>
  <c r="AG174" i="12"/>
  <c r="AG154" i="12"/>
  <c r="AJ154" i="12"/>
  <c r="AG146" i="12"/>
  <c r="AJ146" i="12"/>
  <c r="AG130" i="12"/>
  <c r="AJ130" i="12"/>
  <c r="AJ126" i="12"/>
  <c r="AG126" i="12"/>
  <c r="AJ114" i="12"/>
  <c r="AG114" i="12"/>
  <c r="AJ110" i="12"/>
  <c r="AG110" i="12"/>
  <c r="AJ102" i="12"/>
  <c r="AG102" i="12"/>
  <c r="AJ94" i="12"/>
  <c r="AG94" i="12"/>
  <c r="AJ90" i="12"/>
  <c r="AG90" i="12"/>
  <c r="AJ82" i="12"/>
  <c r="AG82" i="12"/>
  <c r="AG74" i="12"/>
  <c r="AJ74" i="12"/>
  <c r="AG986" i="12"/>
  <c r="AG970" i="12"/>
  <c r="AJ938" i="12"/>
  <c r="AJ922" i="12"/>
  <c r="AG906" i="12"/>
  <c r="AJ850" i="12"/>
  <c r="AJ822" i="12"/>
  <c r="AJ734" i="12"/>
  <c r="AG662" i="12"/>
  <c r="AJ646" i="12"/>
  <c r="AG638" i="12"/>
  <c r="AJ626" i="12"/>
  <c r="AJ586" i="12"/>
  <c r="AG566" i="12"/>
  <c r="AJ462" i="12"/>
  <c r="AG430" i="12"/>
  <c r="AJ370" i="12"/>
  <c r="AG346" i="12"/>
  <c r="AJ994" i="12"/>
  <c r="AJ962" i="12"/>
  <c r="AJ954" i="12"/>
  <c r="AG926" i="12"/>
  <c r="AJ910" i="12"/>
  <c r="AG898" i="12"/>
  <c r="AG870" i="12"/>
  <c r="AJ866" i="12"/>
  <c r="AG862" i="12"/>
  <c r="AG842" i="12"/>
  <c r="AJ838" i="12"/>
  <c r="AJ814" i="12"/>
  <c r="AJ786" i="12"/>
  <c r="AG726" i="12"/>
  <c r="AJ710" i="12"/>
  <c r="AG702" i="12"/>
  <c r="AJ690" i="12"/>
  <c r="AG654" i="12"/>
  <c r="AJ650" i="12"/>
  <c r="AG630" i="12"/>
  <c r="AJ558" i="12"/>
  <c r="AG546" i="12"/>
  <c r="AJ542" i="12"/>
  <c r="AJ450" i="12"/>
  <c r="AJ446" i="12"/>
  <c r="AJ418" i="12"/>
  <c r="AJ414" i="12"/>
  <c r="AJ406" i="12"/>
  <c r="AG398" i="12"/>
  <c r="AG334" i="12"/>
  <c r="AJ326" i="12"/>
  <c r="AG314" i="12"/>
  <c r="AG238" i="12"/>
  <c r="AJ134" i="12"/>
  <c r="AG982" i="12"/>
  <c r="AG974" i="12"/>
  <c r="AJ934" i="12"/>
  <c r="AJ890" i="12"/>
  <c r="AG834" i="12"/>
  <c r="AG806" i="12"/>
  <c r="AJ802" i="12"/>
  <c r="AG798" i="12"/>
  <c r="AJ774" i="12"/>
  <c r="AG766" i="12"/>
  <c r="AJ754" i="12"/>
  <c r="AG718" i="12"/>
  <c r="AJ714" i="12"/>
  <c r="AG694" i="12"/>
  <c r="AG610" i="12"/>
  <c r="AJ606" i="12"/>
  <c r="AG534" i="12"/>
  <c r="AJ518" i="12"/>
  <c r="AJ502" i="12"/>
  <c r="AJ486" i="12"/>
  <c r="AG466" i="12"/>
  <c r="AG434" i="12"/>
  <c r="AJ382" i="12"/>
  <c r="AJ366" i="12"/>
  <c r="AJ298" i="12"/>
  <c r="AG286" i="12"/>
  <c r="AG186" i="12"/>
  <c r="AG170" i="12"/>
  <c r="AH780" i="12"/>
  <c r="AJ780" i="12"/>
  <c r="AG776" i="12"/>
  <c r="AH776" i="12"/>
  <c r="AJ772" i="12"/>
  <c r="AI772" i="12"/>
  <c r="AI768" i="12"/>
  <c r="AG768" i="12"/>
  <c r="AH756" i="12"/>
  <c r="AG756" i="12"/>
  <c r="AH748" i="12"/>
  <c r="AJ748" i="12"/>
  <c r="AI744" i="12"/>
  <c r="AJ744" i="12"/>
  <c r="AH740" i="12"/>
  <c r="AG740" i="12"/>
  <c r="AJ736" i="12"/>
  <c r="AH736" i="12"/>
  <c r="AG732" i="12"/>
  <c r="AI732" i="12"/>
  <c r="AG728" i="12"/>
  <c r="AH728" i="12"/>
  <c r="AG720" i="12"/>
  <c r="AJ720" i="12"/>
  <c r="AH716" i="12"/>
  <c r="AJ716" i="12"/>
  <c r="AG712" i="12"/>
  <c r="AH712" i="12"/>
  <c r="AJ708" i="12"/>
  <c r="AI708" i="12"/>
  <c r="AI704" i="12"/>
  <c r="AG704" i="12"/>
  <c r="AH692" i="12"/>
  <c r="AG692" i="12"/>
  <c r="AH684" i="12"/>
  <c r="AJ684" i="12"/>
  <c r="AI680" i="12"/>
  <c r="AJ680" i="12"/>
  <c r="AH676" i="12"/>
  <c r="AG676" i="12"/>
  <c r="AJ672" i="12"/>
  <c r="AH672" i="12"/>
  <c r="AG668" i="12"/>
  <c r="AI668" i="12"/>
  <c r="AG664" i="12"/>
  <c r="AH664" i="12"/>
  <c r="AG656" i="12"/>
  <c r="AJ656" i="12"/>
  <c r="AH652" i="12"/>
  <c r="AJ652" i="12"/>
  <c r="AG648" i="12"/>
  <c r="AH648" i="12"/>
  <c r="AJ644" i="12"/>
  <c r="AI644" i="12"/>
  <c r="AI640" i="12"/>
  <c r="AG640" i="12"/>
  <c r="AH628" i="12"/>
  <c r="AG628" i="12"/>
  <c r="AH620" i="12"/>
  <c r="AJ620" i="12"/>
  <c r="AI616" i="12"/>
  <c r="AJ616" i="12"/>
  <c r="AH612" i="12"/>
  <c r="AG612" i="12"/>
  <c r="AJ608" i="12"/>
  <c r="AH608" i="12"/>
  <c r="AG604" i="12"/>
  <c r="AI604" i="12"/>
  <c r="AG600" i="12"/>
  <c r="AH600" i="12"/>
  <c r="AG592" i="12"/>
  <c r="AJ592" i="12"/>
  <c r="AH588" i="12"/>
  <c r="AJ588" i="12"/>
  <c r="AG584" i="12"/>
  <c r="AH584" i="12"/>
  <c r="AJ580" i="12"/>
  <c r="AI580" i="12"/>
  <c r="AI576" i="12"/>
  <c r="AG576" i="12"/>
  <c r="AH564" i="12"/>
  <c r="AG564" i="12"/>
  <c r="AH556" i="12"/>
  <c r="AJ556" i="12"/>
  <c r="AI552" i="12"/>
  <c r="AJ552" i="12"/>
  <c r="AH548" i="12"/>
  <c r="AG548" i="12"/>
  <c r="AJ544" i="12"/>
  <c r="AH544" i="12"/>
  <c r="AG540" i="12"/>
  <c r="AI540" i="12"/>
  <c r="AG536" i="12"/>
  <c r="AH536" i="12"/>
  <c r="AG528" i="12"/>
  <c r="AJ528" i="12"/>
  <c r="AH524" i="12"/>
  <c r="AJ524" i="12"/>
  <c r="AG520" i="12"/>
  <c r="AH520" i="12"/>
  <c r="AI516" i="12"/>
  <c r="AH516" i="12"/>
  <c r="AG508" i="12"/>
  <c r="AI508" i="12"/>
  <c r="AJ500" i="12"/>
  <c r="AI500" i="12"/>
  <c r="AJ496" i="12"/>
  <c r="AH496" i="12"/>
  <c r="AJ492" i="12"/>
  <c r="AG492" i="12"/>
  <c r="AI488" i="12"/>
  <c r="AJ488" i="12"/>
  <c r="AJ480" i="12"/>
  <c r="AH480" i="12"/>
  <c r="AH472" i="12"/>
  <c r="AI472" i="12"/>
  <c r="AJ468" i="12"/>
  <c r="AI468" i="12"/>
  <c r="AI464" i="12"/>
  <c r="AG464" i="12"/>
  <c r="AG460" i="12"/>
  <c r="AI460" i="12"/>
  <c r="AH452" i="12"/>
  <c r="AG452" i="12"/>
  <c r="AJ448" i="12"/>
  <c r="AH448" i="12"/>
  <c r="AG440" i="12"/>
  <c r="AH440" i="12"/>
  <c r="AI436" i="12"/>
  <c r="AH436" i="12"/>
  <c r="AH432" i="12"/>
  <c r="AG432" i="12"/>
  <c r="AJ432" i="12"/>
  <c r="AJ428" i="12"/>
  <c r="AH428" i="12"/>
  <c r="AI428" i="12"/>
  <c r="AI424" i="12"/>
  <c r="AJ424" i="12"/>
  <c r="AG420" i="12"/>
  <c r="AH420" i="12"/>
  <c r="AJ420" i="12"/>
  <c r="AI416" i="12"/>
  <c r="AH416" i="12"/>
  <c r="AJ416" i="12"/>
  <c r="AH412" i="12"/>
  <c r="AJ412" i="12"/>
  <c r="AJ408" i="12"/>
  <c r="AG408" i="12"/>
  <c r="AI408" i="12"/>
  <c r="AH404" i="12"/>
  <c r="AI404" i="12"/>
  <c r="AJ404" i="12"/>
  <c r="AG400" i="12"/>
  <c r="AJ400" i="12"/>
  <c r="AI396" i="12"/>
  <c r="AG396" i="12"/>
  <c r="AJ396" i="12"/>
  <c r="AH392" i="12"/>
  <c r="AJ392" i="12"/>
  <c r="AJ388" i="12"/>
  <c r="AI388" i="12"/>
  <c r="AH384" i="12"/>
  <c r="AG384" i="12"/>
  <c r="AJ384" i="12"/>
  <c r="AG380" i="12"/>
  <c r="AJ380" i="12"/>
  <c r="AI376" i="12"/>
  <c r="AJ376" i="12"/>
  <c r="AG372" i="12"/>
  <c r="AH372" i="12"/>
  <c r="AJ372" i="12"/>
  <c r="AJ368" i="12"/>
  <c r="AI368" i="12"/>
  <c r="AH364" i="12"/>
  <c r="AJ364" i="12"/>
  <c r="AJ356" i="12"/>
  <c r="AG356" i="12"/>
  <c r="AI356" i="12"/>
  <c r="AH352" i="12"/>
  <c r="AG352" i="12"/>
  <c r="AI352" i="12"/>
  <c r="AJ336" i="12"/>
  <c r="AH336" i="12"/>
  <c r="AH332" i="12"/>
  <c r="AI332" i="12"/>
  <c r="AJ332" i="12"/>
  <c r="AJ328" i="12"/>
  <c r="AI328" i="12"/>
  <c r="AJ316" i="12"/>
  <c r="AI316" i="12"/>
  <c r="AJ312" i="12"/>
  <c r="AI312" i="12"/>
  <c r="AH300" i="12"/>
  <c r="AI300" i="12"/>
  <c r="AI296" i="12"/>
  <c r="AG296" i="12"/>
  <c r="AJ288" i="12"/>
  <c r="AH288" i="12"/>
  <c r="AH284" i="12"/>
  <c r="AJ284" i="12"/>
  <c r="AG276" i="12"/>
  <c r="AH276" i="12"/>
  <c r="AG268" i="12"/>
  <c r="AH268" i="12"/>
  <c r="AJ236" i="12"/>
  <c r="AH236" i="12"/>
  <c r="AH220" i="12"/>
  <c r="AI220" i="12"/>
  <c r="AG208" i="12"/>
  <c r="AH208" i="12"/>
  <c r="AJ192" i="12"/>
  <c r="AI192" i="12"/>
  <c r="AH188" i="12"/>
  <c r="AJ188" i="12"/>
  <c r="AJ184" i="12"/>
  <c r="AH184" i="12"/>
  <c r="AG180" i="12"/>
  <c r="AH180" i="12"/>
  <c r="AI176" i="12"/>
  <c r="AJ176" i="12"/>
  <c r="AI168" i="12"/>
  <c r="AG168" i="12"/>
  <c r="AI148" i="12"/>
  <c r="AJ148" i="12"/>
  <c r="AI140" i="12"/>
  <c r="AJ140" i="12"/>
  <c r="AH140" i="12"/>
  <c r="AG136" i="12"/>
  <c r="AJ136" i="12"/>
  <c r="AG132" i="12"/>
  <c r="AH132" i="12"/>
  <c r="AG116" i="12"/>
  <c r="AJ116" i="12"/>
  <c r="AH108" i="12"/>
  <c r="AI108" i="12"/>
  <c r="AG96" i="12"/>
  <c r="AJ96" i="12"/>
  <c r="AG92" i="12"/>
  <c r="AJ92" i="12"/>
  <c r="AG76" i="12"/>
  <c r="AH76" i="12"/>
  <c r="AJ68" i="12"/>
  <c r="AH68" i="12"/>
  <c r="AI904" i="12"/>
  <c r="AH896" i="12"/>
  <c r="AG892" i="12"/>
  <c r="AG888" i="12"/>
  <c r="AI884" i="12"/>
  <c r="AG880" i="12"/>
  <c r="AI868" i="12"/>
  <c r="AI864" i="12"/>
  <c r="AJ860" i="12"/>
  <c r="AI856" i="12"/>
  <c r="AH852" i="12"/>
  <c r="AI840" i="12"/>
  <c r="AH832" i="12"/>
  <c r="AG828" i="12"/>
  <c r="AG824" i="12"/>
  <c r="AI820" i="12"/>
  <c r="AG816" i="12"/>
  <c r="AI804" i="12"/>
  <c r="AI800" i="12"/>
  <c r="AJ796" i="12"/>
  <c r="AI792" i="12"/>
  <c r="AH788" i="12"/>
  <c r="AI780" i="12"/>
  <c r="AJ776" i="12"/>
  <c r="AH764" i="12"/>
  <c r="AH760" i="12"/>
  <c r="AI756" i="12"/>
  <c r="AI748" i="12"/>
  <c r="AJ732" i="12"/>
  <c r="AI724" i="12"/>
  <c r="AI716" i="12"/>
  <c r="AJ712" i="12"/>
  <c r="AH700" i="12"/>
  <c r="AH696" i="12"/>
  <c r="AI692" i="12"/>
  <c r="AI684" i="12"/>
  <c r="AJ668" i="12"/>
  <c r="AI660" i="12"/>
  <c r="AI652" i="12"/>
  <c r="AJ648" i="12"/>
  <c r="AH636" i="12"/>
  <c r="AH632" i="12"/>
  <c r="AI628" i="12"/>
  <c r="AI620" i="12"/>
  <c r="AJ604" i="12"/>
  <c r="AI596" i="12"/>
  <c r="AI588" i="12"/>
  <c r="AJ584" i="12"/>
  <c r="AH572" i="12"/>
  <c r="AH568" i="12"/>
  <c r="AI564" i="12"/>
  <c r="AI556" i="12"/>
  <c r="AJ540" i="12"/>
  <c r="AI532" i="12"/>
  <c r="AI524" i="12"/>
  <c r="AJ520" i="12"/>
  <c r="AJ516" i="12"/>
  <c r="AJ512" i="12"/>
  <c r="AG504" i="12"/>
  <c r="AH492" i="12"/>
  <c r="AH488" i="12"/>
  <c r="AI484" i="12"/>
  <c r="AG476" i="12"/>
  <c r="AG472" i="12"/>
  <c r="AG468" i="12"/>
  <c r="AH464" i="12"/>
  <c r="AH460" i="12"/>
  <c r="AH456" i="12"/>
  <c r="AI452" i="12"/>
  <c r="AG448" i="12"/>
  <c r="AH444" i="12"/>
  <c r="AI440" i="12"/>
  <c r="AG436" i="12"/>
  <c r="AI420" i="12"/>
  <c r="AG404" i="12"/>
  <c r="AH400" i="12"/>
  <c r="AH388" i="12"/>
  <c r="AI372" i="12"/>
  <c r="AG368" i="12"/>
  <c r="AH356" i="12"/>
  <c r="AI336" i="12"/>
  <c r="AG324" i="12"/>
  <c r="AH316" i="12"/>
  <c r="AG288" i="12"/>
  <c r="AJ252" i="12"/>
  <c r="AI228" i="12"/>
  <c r="AI200" i="12"/>
  <c r="F5" i="10"/>
  <c r="W36" i="16" s="1"/>
  <c r="W48" i="16" s="1"/>
  <c r="AH360" i="12"/>
  <c r="AJ360" i="12"/>
  <c r="AG348" i="12"/>
  <c r="AH348" i="12"/>
  <c r="AI344" i="12"/>
  <c r="AH344" i="12"/>
  <c r="AG340" i="12"/>
  <c r="AI340" i="12"/>
  <c r="AG328" i="12"/>
  <c r="AH328" i="12"/>
  <c r="AI324" i="12"/>
  <c r="AH324" i="12"/>
  <c r="AG320" i="12"/>
  <c r="AI320" i="12"/>
  <c r="AH312" i="12"/>
  <c r="AG312" i="12"/>
  <c r="AJ308" i="12"/>
  <c r="AH308" i="12"/>
  <c r="AI304" i="12"/>
  <c r="AJ304" i="12"/>
  <c r="AG300" i="12"/>
  <c r="AJ300" i="12"/>
  <c r="AJ296" i="12"/>
  <c r="AH296" i="12"/>
  <c r="AH292" i="12"/>
  <c r="AJ292" i="12"/>
  <c r="AI284" i="12"/>
  <c r="AG284" i="12"/>
  <c r="AG280" i="12"/>
  <c r="AI280" i="12"/>
  <c r="AI276" i="12"/>
  <c r="AJ276" i="12"/>
  <c r="AH272" i="12"/>
  <c r="AG272" i="12"/>
  <c r="AI264" i="12"/>
  <c r="AG264" i="12"/>
  <c r="AH264" i="12"/>
  <c r="AH252" i="12"/>
  <c r="AG252" i="12"/>
  <c r="AG240" i="12"/>
  <c r="AH240" i="12"/>
  <c r="AI240" i="12"/>
  <c r="AJ228" i="12"/>
  <c r="AG228" i="12"/>
  <c r="AI216" i="12"/>
  <c r="AG216" i="12"/>
  <c r="AH216" i="12"/>
  <c r="AH204" i="12"/>
  <c r="AG204" i="12"/>
  <c r="AJ204" i="12"/>
  <c r="AG192" i="12"/>
  <c r="AH192" i="12"/>
  <c r="AJ164" i="12"/>
  <c r="AH164" i="12"/>
  <c r="AH128" i="12"/>
  <c r="AG128" i="12"/>
  <c r="AJ128" i="12"/>
  <c r="AH116" i="12"/>
  <c r="AI116" i="12"/>
  <c r="AJ108" i="12"/>
  <c r="AG108" i="12"/>
  <c r="AI96" i="12"/>
  <c r="AH96" i="12"/>
  <c r="AG88" i="12"/>
  <c r="AH88" i="12"/>
  <c r="AH84" i="12"/>
  <c r="AG84" i="12"/>
  <c r="AI72" i="12"/>
  <c r="AG72" i="12"/>
  <c r="AH72" i="12"/>
  <c r="AG166" i="12"/>
  <c r="AJ166" i="12"/>
  <c r="AJ162" i="12"/>
  <c r="AG162" i="12"/>
  <c r="AJ150" i="12"/>
  <c r="AG150" i="12"/>
  <c r="AG142" i="12"/>
  <c r="AJ142" i="12"/>
  <c r="AJ106" i="12"/>
  <c r="AG106" i="12"/>
  <c r="AG98" i="12"/>
  <c r="AJ98" i="12"/>
  <c r="H69" i="18"/>
  <c r="AC1427" i="10"/>
  <c r="Y1423" i="10"/>
  <c r="AB1427" i="10"/>
  <c r="AB1407" i="10"/>
  <c r="AB1415" i="10"/>
  <c r="AB1423" i="10"/>
  <c r="AC1419" i="10"/>
  <c r="AC1400" i="10"/>
  <c r="AC1380" i="10"/>
  <c r="F5" i="11"/>
  <c r="AJ268" i="12"/>
  <c r="AI268" i="12"/>
  <c r="AG260" i="12"/>
  <c r="AH260" i="12"/>
  <c r="AI256" i="12"/>
  <c r="AH256" i="12"/>
  <c r="AJ248" i="12"/>
  <c r="AG248" i="12"/>
  <c r="AH244" i="12"/>
  <c r="AI244" i="12"/>
  <c r="AI236" i="12"/>
  <c r="AG236" i="12"/>
  <c r="AH232" i="12"/>
  <c r="AJ232" i="12"/>
  <c r="AH224" i="12"/>
  <c r="AG224" i="12"/>
  <c r="AG220" i="12"/>
  <c r="AJ220" i="12"/>
  <c r="AG212" i="12"/>
  <c r="AH212" i="12"/>
  <c r="AJ208" i="12"/>
  <c r="AI208" i="12"/>
  <c r="AJ200" i="12"/>
  <c r="AG200" i="12"/>
  <c r="AH196" i="12"/>
  <c r="AI196" i="12"/>
  <c r="AI188" i="12"/>
  <c r="AG188" i="12"/>
  <c r="AG184" i="12"/>
  <c r="AI184" i="12"/>
  <c r="AI180" i="12"/>
  <c r="AJ180" i="12"/>
  <c r="AH176" i="12"/>
  <c r="AG176" i="12"/>
  <c r="AJ172" i="12"/>
  <c r="AH172" i="12"/>
  <c r="AH168" i="12"/>
  <c r="AJ168" i="12"/>
  <c r="AI160" i="12"/>
  <c r="AG160" i="12"/>
  <c r="AG156" i="12"/>
  <c r="AI156" i="12"/>
  <c r="AI152" i="12"/>
  <c r="AJ152" i="12"/>
  <c r="AH148" i="12"/>
  <c r="AG148" i="12"/>
  <c r="AG144" i="12"/>
  <c r="AJ144" i="12"/>
  <c r="AH136" i="12"/>
  <c r="AI136" i="12"/>
  <c r="AJ132" i="12"/>
  <c r="AI132" i="12"/>
  <c r="AJ124" i="12"/>
  <c r="AG124" i="12"/>
  <c r="AI120" i="12"/>
  <c r="AH120" i="12"/>
  <c r="AG112" i="12"/>
  <c r="AI112" i="12"/>
  <c r="AI104" i="12"/>
  <c r="AH104" i="12"/>
  <c r="AG100" i="12"/>
  <c r="AJ100" i="12"/>
  <c r="AH92" i="12"/>
  <c r="AI92" i="12"/>
  <c r="AJ88" i="12"/>
  <c r="AI88" i="12"/>
  <c r="AJ80" i="12"/>
  <c r="AG80" i="12"/>
  <c r="AJ76" i="12"/>
  <c r="AI76" i="12"/>
  <c r="AG68" i="12"/>
  <c r="AI68" i="12"/>
  <c r="C1067" i="11"/>
  <c r="AW829" i="11"/>
  <c r="AY829" i="11" s="1"/>
  <c r="AW111" i="11"/>
  <c r="C1065" i="11"/>
  <c r="F1034" i="14"/>
  <c r="AW427" i="11"/>
  <c r="AV427" i="11" s="1"/>
  <c r="C52" i="17"/>
  <c r="H71" i="18"/>
  <c r="C51" i="17"/>
  <c r="AW558" i="11"/>
  <c r="AX558" i="11" s="1"/>
  <c r="Y1418" i="10"/>
  <c r="AB1384" i="10"/>
  <c r="AB1395" i="10"/>
  <c r="AB1399" i="10"/>
  <c r="AB1403" i="10"/>
  <c r="K1011" i="10"/>
  <c r="AC1420" i="10"/>
  <c r="AC1415" i="10"/>
  <c r="AC1403" i="10"/>
  <c r="N1013" i="10"/>
  <c r="J1011" i="12"/>
  <c r="AB1380" i="10"/>
  <c r="AB1411" i="10"/>
  <c r="Y1380" i="10"/>
  <c r="AC1385" i="10"/>
  <c r="Y1420" i="10"/>
  <c r="AB1382" i="10"/>
  <c r="AB1397" i="10"/>
  <c r="AB1401" i="10"/>
  <c r="AB1405" i="10"/>
  <c r="AB1413" i="10"/>
  <c r="AB1418" i="10"/>
  <c r="S1015" i="10"/>
  <c r="S1017" i="10"/>
  <c r="M1019" i="10"/>
  <c r="AC1417" i="10"/>
  <c r="AC1408" i="10"/>
  <c r="AC1397" i="10"/>
  <c r="X1418" i="10"/>
  <c r="Y1395" i="10"/>
  <c r="Y1399" i="10"/>
  <c r="Y1416" i="10"/>
  <c r="Y1424" i="10"/>
  <c r="Y1428" i="10"/>
  <c r="AB1408" i="10"/>
  <c r="AB1412" i="10"/>
  <c r="AB1422" i="10"/>
  <c r="AB1426" i="10"/>
  <c r="AB1430" i="10"/>
  <c r="Y1384" i="10"/>
  <c r="S1020" i="10"/>
  <c r="S1019" i="10"/>
  <c r="M1016" i="10"/>
  <c r="M1012" i="10"/>
  <c r="K1010" i="10"/>
  <c r="AC1401" i="10"/>
  <c r="X1422" i="10"/>
  <c r="N1015" i="10"/>
  <c r="N1019" i="10"/>
  <c r="AB1388" i="10"/>
  <c r="Y1381" i="10"/>
  <c r="S1016" i="10"/>
  <c r="S1012" i="10"/>
  <c r="S1013" i="10"/>
  <c r="M1014" i="10"/>
  <c r="M1017" i="10"/>
  <c r="AC1381" i="10"/>
  <c r="AC1388" i="10"/>
  <c r="Y1421" i="10"/>
  <c r="AC1406" i="10"/>
  <c r="N1016" i="10"/>
  <c r="I1082" i="10"/>
  <c r="H80" i="16" s="1"/>
  <c r="Y1397" i="10"/>
  <c r="Y1401" i="10"/>
  <c r="Y1426" i="10"/>
  <c r="AB1381" i="10"/>
  <c r="AB1385" i="10"/>
  <c r="AB1406" i="10"/>
  <c r="AB1410" i="10"/>
  <c r="K78" i="16"/>
  <c r="S1018" i="10"/>
  <c r="M1013" i="10"/>
  <c r="M1015" i="10"/>
  <c r="M1018" i="10"/>
  <c r="AC1412" i="10"/>
  <c r="AC1404" i="10"/>
  <c r="AW742" i="11"/>
  <c r="AX742" i="11" s="1"/>
  <c r="AW271" i="11"/>
  <c r="AR1" i="11"/>
  <c r="AW966" i="11"/>
  <c r="AY966" i="11" s="1"/>
  <c r="AW646" i="11"/>
  <c r="AZ646" i="11" s="1"/>
  <c r="AW898" i="11"/>
  <c r="AX898" i="11" s="1"/>
  <c r="E181" i="8"/>
  <c r="H122" i="13" s="1"/>
  <c r="F1038" i="14"/>
  <c r="E1038" i="14" s="1"/>
  <c r="C1068" i="11"/>
  <c r="AW17" i="11"/>
  <c r="AW57" i="11"/>
  <c r="AW105" i="11"/>
  <c r="AW139" i="11"/>
  <c r="AY139" i="11" s="1"/>
  <c r="AW176" i="11"/>
  <c r="AZ176" i="11" s="1"/>
  <c r="AW224" i="11"/>
  <c r="AZ224" i="11" s="1"/>
  <c r="AW261" i="11"/>
  <c r="AY261" i="11" s="1"/>
  <c r="AW295" i="11"/>
  <c r="AW340" i="11"/>
  <c r="AZ340" i="11" s="1"/>
  <c r="AW377" i="11"/>
  <c r="AW423" i="11"/>
  <c r="AW463" i="11"/>
  <c r="AW495" i="11"/>
  <c r="AW526" i="11"/>
  <c r="AW553" i="11"/>
  <c r="AW578" i="11"/>
  <c r="AV578" i="11" s="1"/>
  <c r="AW595" i="11"/>
  <c r="AW621" i="11"/>
  <c r="AV621" i="11" s="1"/>
  <c r="AW643" i="11"/>
  <c r="AW665" i="11"/>
  <c r="AW691" i="11"/>
  <c r="AW710" i="11"/>
  <c r="AW731" i="11"/>
  <c r="AW758" i="11"/>
  <c r="AW779" i="11"/>
  <c r="AW798" i="11"/>
  <c r="AW823" i="11"/>
  <c r="AW843" i="11"/>
  <c r="AW859" i="11"/>
  <c r="AW878" i="11"/>
  <c r="AW893" i="11"/>
  <c r="AW909" i="11"/>
  <c r="AW929" i="11"/>
  <c r="AW945" i="11"/>
  <c r="AW958" i="11"/>
  <c r="AW978" i="11"/>
  <c r="AW994" i="11"/>
  <c r="AH6" i="11"/>
  <c r="AH11" i="11"/>
  <c r="AW947" i="11"/>
  <c r="AW881" i="11"/>
  <c r="AW807" i="11"/>
  <c r="AW715" i="11"/>
  <c r="AW627" i="11"/>
  <c r="AW538" i="11"/>
  <c r="AW388" i="11"/>
  <c r="AZ388" i="11" s="1"/>
  <c r="AW225" i="11"/>
  <c r="AW71" i="11"/>
  <c r="AW13" i="11"/>
  <c r="AH8" i="11"/>
  <c r="AW998" i="11"/>
  <c r="AY998" i="11" s="1"/>
  <c r="AW930" i="11"/>
  <c r="AW865" i="11"/>
  <c r="AW781" i="11"/>
  <c r="AW694" i="11"/>
  <c r="AW606" i="11"/>
  <c r="AW505" i="11"/>
  <c r="AW352" i="11"/>
  <c r="AW196" i="11"/>
  <c r="AZ196" i="11" s="1"/>
  <c r="AW23" i="11"/>
  <c r="AH5" i="11"/>
  <c r="AW983" i="11"/>
  <c r="AY983" i="11" s="1"/>
  <c r="AW915" i="11"/>
  <c r="AW845" i="11"/>
  <c r="AW759" i="11"/>
  <c r="AW673" i="11"/>
  <c r="AW579" i="11"/>
  <c r="AW473" i="11"/>
  <c r="AW311" i="11"/>
  <c r="AW149" i="11"/>
  <c r="AY149" i="11" s="1"/>
  <c r="AH4" i="11"/>
  <c r="AH9" i="11"/>
  <c r="AH7" i="11"/>
  <c r="AW993" i="11"/>
  <c r="AW973" i="11"/>
  <c r="AW957" i="11"/>
  <c r="AW941" i="11"/>
  <c r="AW921" i="11"/>
  <c r="AW907" i="11"/>
  <c r="AW891" i="11"/>
  <c r="AY891" i="11" s="1"/>
  <c r="AW871" i="11"/>
  <c r="AW855" i="11"/>
  <c r="AX855" i="11" s="1"/>
  <c r="AW841" i="11"/>
  <c r="AW817" i="11"/>
  <c r="AW795" i="11"/>
  <c r="AW771" i="11"/>
  <c r="AW749" i="11"/>
  <c r="AW729" i="11"/>
  <c r="AW706" i="11"/>
  <c r="AW681" i="11"/>
  <c r="AW658" i="11"/>
  <c r="AW638" i="11"/>
  <c r="AW615" i="11"/>
  <c r="AW593" i="11"/>
  <c r="AW571" i="11"/>
  <c r="AY571" i="11" s="1"/>
  <c r="AW545" i="11"/>
  <c r="AW519" i="11"/>
  <c r="AW490" i="11"/>
  <c r="AW447" i="11"/>
  <c r="AW409" i="11"/>
  <c r="AW375" i="11"/>
  <c r="AW327" i="11"/>
  <c r="AW289" i="11"/>
  <c r="AW252" i="11"/>
  <c r="AZ252" i="11" s="1"/>
  <c r="AW207" i="11"/>
  <c r="AV207" i="11" s="1"/>
  <c r="AW171" i="11"/>
  <c r="AW133" i="11"/>
  <c r="AW85" i="11"/>
  <c r="AW48" i="11"/>
  <c r="AW26" i="11"/>
  <c r="AY26" i="11" s="1"/>
  <c r="AW39" i="11"/>
  <c r="AW53" i="11"/>
  <c r="AW64" i="11"/>
  <c r="AZ64" i="11" s="1"/>
  <c r="AW76" i="11"/>
  <c r="AZ76" i="11" s="1"/>
  <c r="AW91" i="11"/>
  <c r="AV91" i="11" s="1"/>
  <c r="AW103" i="11"/>
  <c r="AY103" i="11" s="1"/>
  <c r="AW113" i="11"/>
  <c r="AW128" i="11"/>
  <c r="AZ128" i="11" s="1"/>
  <c r="AW140" i="11"/>
  <c r="AZ140" i="11" s="1"/>
  <c r="AW153" i="11"/>
  <c r="AW167" i="11"/>
  <c r="AV167" i="11" s="1"/>
  <c r="AW177" i="11"/>
  <c r="AX177" i="11" s="1"/>
  <c r="AW191" i="11"/>
  <c r="AW204" i="11"/>
  <c r="AZ204" i="11" s="1"/>
  <c r="AW217" i="11"/>
  <c r="AX217" i="11" s="1"/>
  <c r="AW228" i="11"/>
  <c r="AZ228" i="11" s="1"/>
  <c r="AW241" i="11"/>
  <c r="AW255" i="11"/>
  <c r="AV255" i="11" s="1"/>
  <c r="AW267" i="11"/>
  <c r="AW281" i="11"/>
  <c r="AV281" i="11" s="1"/>
  <c r="AW292" i="11"/>
  <c r="AZ292" i="11" s="1"/>
  <c r="AW304" i="11"/>
  <c r="AZ304" i="11" s="1"/>
  <c r="AW319" i="11"/>
  <c r="AY319" i="11" s="1"/>
  <c r="AW331" i="11"/>
  <c r="AW341" i="11"/>
  <c r="AW356" i="11"/>
  <c r="AZ356" i="11" s="1"/>
  <c r="AW368" i="11"/>
  <c r="AZ368" i="11" s="1"/>
  <c r="AW380" i="11"/>
  <c r="AX380" i="11" s="1"/>
  <c r="AW395" i="11"/>
  <c r="AW405" i="11"/>
  <c r="AW417" i="11"/>
  <c r="AW432" i="11"/>
  <c r="AX432" i="11" s="1"/>
  <c r="AW444" i="11"/>
  <c r="AZ444" i="11" s="1"/>
  <c r="AW455" i="11"/>
  <c r="AW469" i="11"/>
  <c r="AV469" i="11" s="1"/>
  <c r="AW481" i="11"/>
  <c r="AX481" i="11" s="1"/>
  <c r="AW493" i="11"/>
  <c r="AW503" i="11"/>
  <c r="AX503" i="11" s="1"/>
  <c r="AW511" i="11"/>
  <c r="AW521" i="11"/>
  <c r="AW531" i="11"/>
  <c r="AW541" i="11"/>
  <c r="AZ541" i="11" s="1"/>
  <c r="AW547" i="11"/>
  <c r="AW555" i="11"/>
  <c r="AV555" i="11" s="1"/>
  <c r="AW562" i="11"/>
  <c r="AW569" i="11"/>
  <c r="AW577" i="11"/>
  <c r="AX577" i="11" s="1"/>
  <c r="AW583" i="11"/>
  <c r="AX583" i="11" s="1"/>
  <c r="AW590" i="11"/>
  <c r="AW598" i="11"/>
  <c r="AW605" i="11"/>
  <c r="AZ605" i="11" s="1"/>
  <c r="AW611" i="11"/>
  <c r="AW619" i="11"/>
  <c r="AW626" i="11"/>
  <c r="AY626" i="11" s="1"/>
  <c r="AW633" i="11"/>
  <c r="AW641" i="11"/>
  <c r="AX641" i="11" s="1"/>
  <c r="AW647" i="11"/>
  <c r="AW654" i="11"/>
  <c r="AW662" i="11"/>
  <c r="AW669" i="11"/>
  <c r="AZ669" i="11" s="1"/>
  <c r="AW675" i="11"/>
  <c r="AW683" i="11"/>
  <c r="AZ683" i="11" s="1"/>
  <c r="AW690" i="11"/>
  <c r="AW697" i="11"/>
  <c r="AW705" i="11"/>
  <c r="AW711" i="11"/>
  <c r="AX711" i="11" s="1"/>
  <c r="AW718" i="11"/>
  <c r="AW726" i="11"/>
  <c r="AW733" i="11"/>
  <c r="AV733" i="11" s="1"/>
  <c r="AW739" i="11"/>
  <c r="AW747" i="11"/>
  <c r="AZ747" i="11" s="1"/>
  <c r="AW754" i="11"/>
  <c r="AV754" i="11" s="1"/>
  <c r="AW761" i="11"/>
  <c r="AW769" i="11"/>
  <c r="AW775" i="11"/>
  <c r="AW782" i="11"/>
  <c r="AW790" i="11"/>
  <c r="AW797" i="11"/>
  <c r="AW803" i="11"/>
  <c r="AW811" i="11"/>
  <c r="AV811" i="11" s="1"/>
  <c r="AW818" i="11"/>
  <c r="AW825" i="11"/>
  <c r="AW833" i="11"/>
  <c r="AX833" i="11" s="1"/>
  <c r="AW27" i="11"/>
  <c r="AW47" i="11"/>
  <c r="AW63" i="11"/>
  <c r="AW81" i="11"/>
  <c r="AX81" i="11" s="1"/>
  <c r="AW96" i="11"/>
  <c r="AZ96" i="11" s="1"/>
  <c r="AW112" i="11"/>
  <c r="AZ112" i="11" s="1"/>
  <c r="AW132" i="11"/>
  <c r="AZ132" i="11" s="1"/>
  <c r="AW148" i="11"/>
  <c r="AZ148" i="11" s="1"/>
  <c r="AW161" i="11"/>
  <c r="AW181" i="11"/>
  <c r="AW197" i="11"/>
  <c r="AY197" i="11" s="1"/>
  <c r="AW213" i="11"/>
  <c r="AV213" i="11" s="1"/>
  <c r="AW233" i="11"/>
  <c r="AX233" i="11" s="1"/>
  <c r="AW247" i="11"/>
  <c r="AW263" i="11"/>
  <c r="AW283" i="11"/>
  <c r="AY283" i="11" s="1"/>
  <c r="AW299" i="11"/>
  <c r="AY299" i="11" s="1"/>
  <c r="AW313" i="11"/>
  <c r="AW332" i="11"/>
  <c r="AZ332" i="11" s="1"/>
  <c r="AW348" i="11"/>
  <c r="AZ348" i="11" s="1"/>
  <c r="AW367" i="11"/>
  <c r="AW384" i="11"/>
  <c r="AZ384" i="11" s="1"/>
  <c r="AW399" i="11"/>
  <c r="AW416" i="11"/>
  <c r="AY416" i="11" s="1"/>
  <c r="AW433" i="11"/>
  <c r="AY433" i="11" s="1"/>
  <c r="AW452" i="11"/>
  <c r="AZ452" i="11" s="1"/>
  <c r="AW465" i="11"/>
  <c r="AW484" i="11"/>
  <c r="AV484" i="11" s="1"/>
  <c r="AW498" i="11"/>
  <c r="AW510" i="11"/>
  <c r="AW525" i="11"/>
  <c r="AY525" i="11" s="1"/>
  <c r="AW535" i="11"/>
  <c r="AW546" i="11"/>
  <c r="AW557" i="11"/>
  <c r="AW566" i="11"/>
  <c r="AW574" i="11"/>
  <c r="AW585" i="11"/>
  <c r="AW594" i="11"/>
  <c r="AW603" i="11"/>
  <c r="AW614" i="11"/>
  <c r="AW622" i="11"/>
  <c r="AW631" i="11"/>
  <c r="AW642" i="11"/>
  <c r="AV642" i="11" s="1"/>
  <c r="AW651" i="11"/>
  <c r="AW659" i="11"/>
  <c r="AW670" i="11"/>
  <c r="AW679" i="11"/>
  <c r="AW689" i="11"/>
  <c r="AW699" i="11"/>
  <c r="AY699" i="11" s="1"/>
  <c r="AW707" i="11"/>
  <c r="AW717" i="11"/>
  <c r="AW727" i="11"/>
  <c r="AX727" i="11" s="1"/>
  <c r="AW737" i="11"/>
  <c r="AW745" i="11"/>
  <c r="AW755" i="11"/>
  <c r="AW765" i="11"/>
  <c r="AW774" i="11"/>
  <c r="AW785" i="11"/>
  <c r="AV785" i="11" s="1"/>
  <c r="AW793" i="11"/>
  <c r="AW802" i="11"/>
  <c r="AW813" i="11"/>
  <c r="AV813" i="11" s="1"/>
  <c r="AW822" i="11"/>
  <c r="AW830" i="11"/>
  <c r="AW839" i="11"/>
  <c r="AW846" i="11"/>
  <c r="AW854" i="11"/>
  <c r="AW861" i="11"/>
  <c r="AV861" i="11" s="1"/>
  <c r="AW867" i="11"/>
  <c r="AW875" i="11"/>
  <c r="AZ875" i="11" s="1"/>
  <c r="AW882" i="11"/>
  <c r="AW889" i="11"/>
  <c r="AW897" i="11"/>
  <c r="AW903" i="11"/>
  <c r="AV903" i="11" s="1"/>
  <c r="AW910" i="11"/>
  <c r="AW918" i="11"/>
  <c r="AW925" i="11"/>
  <c r="AV925" i="11" s="1"/>
  <c r="AW931" i="11"/>
  <c r="AW939" i="11"/>
  <c r="AW946" i="11"/>
  <c r="AV946" i="11" s="1"/>
  <c r="AW953" i="11"/>
  <c r="AW961" i="11"/>
  <c r="AV961" i="11" s="1"/>
  <c r="AW967" i="11"/>
  <c r="AW974" i="11"/>
  <c r="AW982" i="11"/>
  <c r="AW989" i="11"/>
  <c r="AV989" i="11" s="1"/>
  <c r="AW995" i="11"/>
  <c r="AW33" i="11"/>
  <c r="AW55" i="11"/>
  <c r="AV55" i="11" s="1"/>
  <c r="AW75" i="11"/>
  <c r="AV75" i="11" s="1"/>
  <c r="AW100" i="11"/>
  <c r="AZ100" i="11" s="1"/>
  <c r="AW121" i="11"/>
  <c r="AW143" i="11"/>
  <c r="AW169" i="11"/>
  <c r="AY169" i="11" s="1"/>
  <c r="AW188" i="11"/>
  <c r="AZ188" i="11" s="1"/>
  <c r="AW209" i="11"/>
  <c r="AW235" i="11"/>
  <c r="AW256" i="11"/>
  <c r="AZ256" i="11" s="1"/>
  <c r="AW276" i="11"/>
  <c r="AZ276" i="11" s="1"/>
  <c r="AW303" i="11"/>
  <c r="AW324" i="11"/>
  <c r="AZ324" i="11" s="1"/>
  <c r="AW347" i="11"/>
  <c r="AV347" i="11" s="1"/>
  <c r="AW369" i="11"/>
  <c r="AW389" i="11"/>
  <c r="AW412" i="11"/>
  <c r="AZ412" i="11" s="1"/>
  <c r="AW437" i="11"/>
  <c r="AW460" i="11"/>
  <c r="AZ460" i="11" s="1"/>
  <c r="AW480" i="11"/>
  <c r="AZ480" i="11" s="1"/>
  <c r="AW499" i="11"/>
  <c r="AW517" i="11"/>
  <c r="AW533" i="11"/>
  <c r="AY533" i="11" s="1"/>
  <c r="AW550" i="11"/>
  <c r="AW561" i="11"/>
  <c r="AW573" i="11"/>
  <c r="AW587" i="11"/>
  <c r="AW599" i="11"/>
  <c r="AW610" i="11"/>
  <c r="AW625" i="11"/>
  <c r="AW637" i="11"/>
  <c r="AW649" i="11"/>
  <c r="AW663" i="11"/>
  <c r="AV663" i="11" s="1"/>
  <c r="AW674" i="11"/>
  <c r="AW686" i="11"/>
  <c r="AW701" i="11"/>
  <c r="AW713" i="11"/>
  <c r="AW723" i="11"/>
  <c r="AW738" i="11"/>
  <c r="AW750" i="11"/>
  <c r="AW763" i="11"/>
  <c r="AX763" i="11" s="1"/>
  <c r="AW777" i="11"/>
  <c r="AW787" i="11"/>
  <c r="AW801" i="11"/>
  <c r="AW814" i="11"/>
  <c r="AW827" i="11"/>
  <c r="AX827" i="11" s="1"/>
  <c r="AW838" i="11"/>
  <c r="AW849" i="11"/>
  <c r="AW857" i="11"/>
  <c r="AW866" i="11"/>
  <c r="AW877" i="11"/>
  <c r="AX877" i="11" s="1"/>
  <c r="AW886" i="11"/>
  <c r="AW894" i="11"/>
  <c r="AW905" i="11"/>
  <c r="AW914" i="11"/>
  <c r="AW923" i="11"/>
  <c r="AW934" i="11"/>
  <c r="AY934" i="11" s="1"/>
  <c r="AW942" i="11"/>
  <c r="AW951" i="11"/>
  <c r="AW962" i="11"/>
  <c r="AY962" i="11" s="1"/>
  <c r="AW971" i="11"/>
  <c r="AW979" i="11"/>
  <c r="AW990" i="11"/>
  <c r="AW999" i="11"/>
  <c r="AW36" i="11"/>
  <c r="AZ36" i="11" s="1"/>
  <c r="AW68" i="11"/>
  <c r="AZ68" i="11" s="1"/>
  <c r="AW92" i="11"/>
  <c r="AZ92" i="11" s="1"/>
  <c r="AW124" i="11"/>
  <c r="AX124" i="11" s="1"/>
  <c r="AW156" i="11"/>
  <c r="AZ156" i="11" s="1"/>
  <c r="AW185" i="11"/>
  <c r="AW219" i="11"/>
  <c r="AW245" i="11"/>
  <c r="AW273" i="11"/>
  <c r="AW309" i="11"/>
  <c r="AW337" i="11"/>
  <c r="AW361" i="11"/>
  <c r="AW396" i="11"/>
  <c r="AX396" i="11" s="1"/>
  <c r="AW425" i="11"/>
  <c r="AW453" i="11"/>
  <c r="AW489" i="11"/>
  <c r="AW506" i="11"/>
  <c r="AW527" i="11"/>
  <c r="AW551" i="11"/>
  <c r="AW567" i="11"/>
  <c r="AW582" i="11"/>
  <c r="AW601" i="11"/>
  <c r="AW617" i="11"/>
  <c r="AW635" i="11"/>
  <c r="AW653" i="11"/>
  <c r="AW667" i="11"/>
  <c r="AW685" i="11"/>
  <c r="AW702" i="11"/>
  <c r="AW721" i="11"/>
  <c r="AZ721" i="11" s="1"/>
  <c r="AW734" i="11"/>
  <c r="AW753" i="11"/>
  <c r="AW770" i="11"/>
  <c r="AV770" i="11" s="1"/>
  <c r="AW786" i="11"/>
  <c r="AW806" i="11"/>
  <c r="AW819" i="11"/>
  <c r="AW835" i="11"/>
  <c r="AW850" i="11"/>
  <c r="AW862" i="11"/>
  <c r="AW873" i="11"/>
  <c r="AW887" i="11"/>
  <c r="AW899" i="11"/>
  <c r="AW913" i="11"/>
  <c r="AW926" i="11"/>
  <c r="AW937" i="11"/>
  <c r="AW950" i="11"/>
  <c r="AW963" i="11"/>
  <c r="AW977" i="11"/>
  <c r="AW987" i="11"/>
  <c r="AW1001" i="11"/>
  <c r="F1035" i="14"/>
  <c r="C1066" i="11"/>
  <c r="AW1003" i="11"/>
  <c r="AW985" i="11"/>
  <c r="AW969" i="11"/>
  <c r="AW955" i="11"/>
  <c r="AV955" i="11" s="1"/>
  <c r="AW935" i="11"/>
  <c r="AW919" i="11"/>
  <c r="AW902" i="11"/>
  <c r="AW883" i="11"/>
  <c r="AW870" i="11"/>
  <c r="AX870" i="11" s="1"/>
  <c r="AW851" i="11"/>
  <c r="AW834" i="11"/>
  <c r="AW809" i="11"/>
  <c r="AW791" i="11"/>
  <c r="AW766" i="11"/>
  <c r="AW743" i="11"/>
  <c r="AW722" i="11"/>
  <c r="AW695" i="11"/>
  <c r="AW678" i="11"/>
  <c r="AW657" i="11"/>
  <c r="AW630" i="11"/>
  <c r="AW609" i="11"/>
  <c r="AW589" i="11"/>
  <c r="AW563" i="11"/>
  <c r="AW542" i="11"/>
  <c r="AW514" i="11"/>
  <c r="AW475" i="11"/>
  <c r="AW441" i="11"/>
  <c r="AW404" i="11"/>
  <c r="AY404" i="11" s="1"/>
  <c r="AW359" i="11"/>
  <c r="AX359" i="11" s="1"/>
  <c r="AW320" i="11"/>
  <c r="AZ320" i="11" s="1"/>
  <c r="AW284" i="11"/>
  <c r="AZ284" i="11" s="1"/>
  <c r="AW239" i="11"/>
  <c r="AW199" i="11"/>
  <c r="AW160" i="11"/>
  <c r="AZ160" i="11" s="1"/>
  <c r="AW119" i="11"/>
  <c r="AX119" i="11" s="1"/>
  <c r="AW84" i="11"/>
  <c r="AY84" i="11" s="1"/>
  <c r="AW43" i="11"/>
  <c r="AZ43" i="11" s="1"/>
  <c r="A1058" i="11"/>
  <c r="A1059" i="11" s="1"/>
  <c r="L1059" i="11" s="1"/>
  <c r="AW18" i="11"/>
  <c r="AV18" i="11" s="1"/>
  <c r="AT12" i="16"/>
  <c r="I34" i="16"/>
  <c r="Q33" i="11"/>
  <c r="Q43" i="11" s="1"/>
  <c r="Q8" i="12"/>
  <c r="R36" i="16" s="1"/>
  <c r="R48" i="16" s="1"/>
  <c r="AH64" i="12"/>
  <c r="AJ64" i="12"/>
  <c r="AG64" i="12"/>
  <c r="AI64" i="12"/>
  <c r="Q8" i="10"/>
  <c r="F59" i="13"/>
  <c r="Q4" i="13"/>
  <c r="AG1003" i="12"/>
  <c r="AH1003" i="12"/>
  <c r="AJ1003" i="12"/>
  <c r="AI1003" i="12"/>
  <c r="AI999" i="12"/>
  <c r="AH999" i="12"/>
  <c r="AJ999" i="12"/>
  <c r="AI995" i="12"/>
  <c r="AG995" i="12"/>
  <c r="AJ995" i="12"/>
  <c r="AH995" i="12"/>
  <c r="AI991" i="12"/>
  <c r="AH991" i="12"/>
  <c r="AG991" i="12"/>
  <c r="AI987" i="12"/>
  <c r="AJ987" i="12"/>
  <c r="AH987" i="12"/>
  <c r="AI983" i="12"/>
  <c r="AH983" i="12"/>
  <c r="AJ983" i="12"/>
  <c r="AI979" i="12"/>
  <c r="AG979" i="12"/>
  <c r="AH979" i="12"/>
  <c r="AI975" i="12"/>
  <c r="AJ975" i="12"/>
  <c r="AG975" i="12"/>
  <c r="AI971" i="12"/>
  <c r="AJ971" i="12"/>
  <c r="AG971" i="12"/>
  <c r="AH971" i="12"/>
  <c r="AI967" i="12"/>
  <c r="AH967" i="12"/>
  <c r="AG967" i="12"/>
  <c r="AJ967" i="12"/>
  <c r="AI963" i="12"/>
  <c r="AG963" i="12"/>
  <c r="AJ963" i="12"/>
  <c r="AH963" i="12"/>
  <c r="AI959" i="12"/>
  <c r="AH959" i="12"/>
  <c r="AJ959" i="12"/>
  <c r="AI955" i="12"/>
  <c r="AJ955" i="12"/>
  <c r="AH955" i="12"/>
  <c r="AI951" i="12"/>
  <c r="AH951" i="12"/>
  <c r="AJ951" i="12"/>
  <c r="AG951" i="12"/>
  <c r="AI947" i="12"/>
  <c r="AG947" i="12"/>
  <c r="AH947" i="12"/>
  <c r="AI943" i="12"/>
  <c r="AG943" i="12"/>
  <c r="AJ943" i="12"/>
  <c r="AI939" i="12"/>
  <c r="AJ939" i="12"/>
  <c r="AG939" i="12"/>
  <c r="AI935" i="12"/>
  <c r="AH935" i="12"/>
  <c r="AG935" i="12"/>
  <c r="AJ935" i="12"/>
  <c r="AI931" i="12"/>
  <c r="AG931" i="12"/>
  <c r="AJ931" i="12"/>
  <c r="AH931" i="12"/>
  <c r="AJ947" i="12"/>
  <c r="AH943" i="12"/>
  <c r="AH939" i="12"/>
  <c r="AJ991" i="12"/>
  <c r="AI927" i="12"/>
  <c r="AH927" i="12"/>
  <c r="AI923" i="12"/>
  <c r="AJ923" i="12"/>
  <c r="AH923" i="12"/>
  <c r="AI919" i="12"/>
  <c r="AH919" i="12"/>
  <c r="AJ919" i="12"/>
  <c r="AI915" i="12"/>
  <c r="AG915" i="12"/>
  <c r="AH915" i="12"/>
  <c r="AI911" i="12"/>
  <c r="AJ911" i="12"/>
  <c r="AG911" i="12"/>
  <c r="AI907" i="12"/>
  <c r="AJ907" i="12"/>
  <c r="AG907" i="12"/>
  <c r="AI903" i="12"/>
  <c r="AH903" i="12"/>
  <c r="AG903" i="12"/>
  <c r="AI899" i="12"/>
  <c r="AG899" i="12"/>
  <c r="AJ899" i="12"/>
  <c r="AI895" i="12"/>
  <c r="AH895" i="12"/>
  <c r="AI891" i="12"/>
  <c r="AJ891" i="12"/>
  <c r="AH891" i="12"/>
  <c r="AI887" i="12"/>
  <c r="AH887" i="12"/>
  <c r="AJ887" i="12"/>
  <c r="AI883" i="12"/>
  <c r="AG883" i="12"/>
  <c r="AH883" i="12"/>
  <c r="AI879" i="12"/>
  <c r="AG879" i="12"/>
  <c r="AJ879" i="12"/>
  <c r="AI875" i="12"/>
  <c r="AJ875" i="12"/>
  <c r="AG875" i="12"/>
  <c r="AI871" i="12"/>
  <c r="AH871" i="12"/>
  <c r="AG871" i="12"/>
  <c r="AI867" i="12"/>
  <c r="AG867" i="12"/>
  <c r="AJ867" i="12"/>
  <c r="AI863" i="12"/>
  <c r="AH863" i="12"/>
  <c r="AI859" i="12"/>
  <c r="AJ859" i="12"/>
  <c r="AH859" i="12"/>
  <c r="AI855" i="12"/>
  <c r="AH855" i="12"/>
  <c r="AJ855" i="12"/>
  <c r="AI851" i="12"/>
  <c r="AG851" i="12"/>
  <c r="AH851" i="12"/>
  <c r="AI847" i="12"/>
  <c r="AJ847" i="12"/>
  <c r="AG847" i="12"/>
  <c r="AI843" i="12"/>
  <c r="AJ843" i="12"/>
  <c r="AG843" i="12"/>
  <c r="AI839" i="12"/>
  <c r="AH839" i="12"/>
  <c r="AG839" i="12"/>
  <c r="AI835" i="12"/>
  <c r="AG835" i="12"/>
  <c r="AJ835" i="12"/>
  <c r="AI831" i="12"/>
  <c r="AH831" i="12"/>
  <c r="AI827" i="12"/>
  <c r="AJ827" i="12"/>
  <c r="AH827" i="12"/>
  <c r="AI823" i="12"/>
  <c r="AH823" i="12"/>
  <c r="AJ823" i="12"/>
  <c r="AI819" i="12"/>
  <c r="AG819" i="12"/>
  <c r="AH819" i="12"/>
  <c r="AI815" i="12"/>
  <c r="AG815" i="12"/>
  <c r="AJ815" i="12"/>
  <c r="AI811" i="12"/>
  <c r="AJ811" i="12"/>
  <c r="AG811" i="12"/>
  <c r="AI807" i="12"/>
  <c r="AH807" i="12"/>
  <c r="AG807" i="12"/>
  <c r="AI803" i="12"/>
  <c r="AG803" i="12"/>
  <c r="AJ803" i="12"/>
  <c r="AI799" i="12"/>
  <c r="AH799" i="12"/>
  <c r="AI795" i="12"/>
  <c r="AJ795" i="12"/>
  <c r="AH795" i="12"/>
  <c r="AI791" i="12"/>
  <c r="AH791" i="12"/>
  <c r="AJ791" i="12"/>
  <c r="AI787" i="12"/>
  <c r="AG787" i="12"/>
  <c r="AH787" i="12"/>
  <c r="AI783" i="12"/>
  <c r="AJ783" i="12"/>
  <c r="AG783" i="12"/>
  <c r="AI779" i="12"/>
  <c r="AJ779" i="12"/>
  <c r="AG779" i="12"/>
  <c r="AI775" i="12"/>
  <c r="AH775" i="12"/>
  <c r="AG775" i="12"/>
  <c r="AI771" i="12"/>
  <c r="AG771" i="12"/>
  <c r="AJ771" i="12"/>
  <c r="AI767" i="12"/>
  <c r="AH767" i="12"/>
  <c r="AI763" i="12"/>
  <c r="AJ763" i="12"/>
  <c r="AH763" i="12"/>
  <c r="AI759" i="12"/>
  <c r="AH759" i="12"/>
  <c r="AJ759" i="12"/>
  <c r="AI755" i="12"/>
  <c r="AG755" i="12"/>
  <c r="AH755" i="12"/>
  <c r="AI751" i="12"/>
  <c r="AG751" i="12"/>
  <c r="AJ751" i="12"/>
  <c r="AI747" i="12"/>
  <c r="AJ747" i="12"/>
  <c r="AG747" i="12"/>
  <c r="AI743" i="12"/>
  <c r="AH743" i="12"/>
  <c r="AG743" i="12"/>
  <c r="AI739" i="12"/>
  <c r="AG739" i="12"/>
  <c r="AJ739" i="12"/>
  <c r="AI735" i="12"/>
  <c r="AH735" i="12"/>
  <c r="AI731" i="12"/>
  <c r="AJ731" i="12"/>
  <c r="AH731" i="12"/>
  <c r="AI727" i="12"/>
  <c r="AH727" i="12"/>
  <c r="AJ727" i="12"/>
  <c r="AI723" i="12"/>
  <c r="AG723" i="12"/>
  <c r="AH723" i="12"/>
  <c r="AI719" i="12"/>
  <c r="AJ719" i="12"/>
  <c r="AG719" i="12"/>
  <c r="AI715" i="12"/>
  <c r="AJ715" i="12"/>
  <c r="AG715" i="12"/>
  <c r="AI711" i="12"/>
  <c r="AH711" i="12"/>
  <c r="AG711" i="12"/>
  <c r="AI707" i="12"/>
  <c r="AG707" i="12"/>
  <c r="AJ707" i="12"/>
  <c r="AI703" i="12"/>
  <c r="AH703" i="12"/>
  <c r="AI699" i="12"/>
  <c r="AJ699" i="12"/>
  <c r="AH699" i="12"/>
  <c r="AI695" i="12"/>
  <c r="AH695" i="12"/>
  <c r="AJ695" i="12"/>
  <c r="AI691" i="12"/>
  <c r="AG691" i="12"/>
  <c r="AH691" i="12"/>
  <c r="AI687" i="12"/>
  <c r="AG687" i="12"/>
  <c r="AJ687" i="12"/>
  <c r="AI683" i="12"/>
  <c r="AJ683" i="12"/>
  <c r="AG683" i="12"/>
  <c r="AI679" i="12"/>
  <c r="AH679" i="12"/>
  <c r="AG679" i="12"/>
  <c r="AI675" i="12"/>
  <c r="AG675" i="12"/>
  <c r="AJ675" i="12"/>
  <c r="AI671" i="12"/>
  <c r="AH671" i="12"/>
  <c r="AI667" i="12"/>
  <c r="AJ667" i="12"/>
  <c r="AH667" i="12"/>
  <c r="AI663" i="12"/>
  <c r="AH663" i="12"/>
  <c r="AJ663" i="12"/>
  <c r="AI659" i="12"/>
  <c r="AG659" i="12"/>
  <c r="AH659" i="12"/>
  <c r="AI655" i="12"/>
  <c r="AJ655" i="12"/>
  <c r="AG655" i="12"/>
  <c r="AI651" i="12"/>
  <c r="AJ651" i="12"/>
  <c r="AG651" i="12"/>
  <c r="AI647" i="12"/>
  <c r="AH647" i="12"/>
  <c r="AG647" i="12"/>
  <c r="AI643" i="12"/>
  <c r="AG643" i="12"/>
  <c r="AJ643" i="12"/>
  <c r="AI639" i="12"/>
  <c r="AH639" i="12"/>
  <c r="AI635" i="12"/>
  <c r="AJ635" i="12"/>
  <c r="AH635" i="12"/>
  <c r="AI631" i="12"/>
  <c r="AH631" i="12"/>
  <c r="AJ631" i="12"/>
  <c r="AI627" i="12"/>
  <c r="AG627" i="12"/>
  <c r="AH627" i="12"/>
  <c r="AI623" i="12"/>
  <c r="AG623" i="12"/>
  <c r="AJ623" i="12"/>
  <c r="AI619" i="12"/>
  <c r="AJ619" i="12"/>
  <c r="AG619" i="12"/>
  <c r="AI615" i="12"/>
  <c r="AH615" i="12"/>
  <c r="AG615" i="12"/>
  <c r="AI611" i="12"/>
  <c r="AG611" i="12"/>
  <c r="AJ611" i="12"/>
  <c r="AI607" i="12"/>
  <c r="AH607" i="12"/>
  <c r="AI603" i="12"/>
  <c r="AJ603" i="12"/>
  <c r="AH603" i="12"/>
  <c r="AI599" i="12"/>
  <c r="AH599" i="12"/>
  <c r="AJ599" i="12"/>
  <c r="AI595" i="12"/>
  <c r="AG595" i="12"/>
  <c r="AH595" i="12"/>
  <c r="AI591" i="12"/>
  <c r="AJ591" i="12"/>
  <c r="AG591" i="12"/>
  <c r="AI587" i="12"/>
  <c r="AJ587" i="12"/>
  <c r="AG587" i="12"/>
  <c r="AI583" i="12"/>
  <c r="AH583" i="12"/>
  <c r="AG583" i="12"/>
  <c r="AI579" i="12"/>
  <c r="AG579" i="12"/>
  <c r="AJ579" i="12"/>
  <c r="AI575" i="12"/>
  <c r="AH575" i="12"/>
  <c r="AI571" i="12"/>
  <c r="AJ571" i="12"/>
  <c r="AH571" i="12"/>
  <c r="AI567" i="12"/>
  <c r="AH567" i="12"/>
  <c r="AJ567" i="12"/>
  <c r="AI563" i="12"/>
  <c r="AG563" i="12"/>
  <c r="AH563" i="12"/>
  <c r="AI559" i="12"/>
  <c r="AG559" i="12"/>
  <c r="AJ559" i="12"/>
  <c r="AI555" i="12"/>
  <c r="AJ555" i="12"/>
  <c r="AG555" i="12"/>
  <c r="AI551" i="12"/>
  <c r="AH551" i="12"/>
  <c r="AG551" i="12"/>
  <c r="AI547" i="12"/>
  <c r="AG547" i="12"/>
  <c r="AJ547" i="12"/>
  <c r="AI543" i="12"/>
  <c r="AH543" i="12"/>
  <c r="AI539" i="12"/>
  <c r="AJ539" i="12"/>
  <c r="AH539" i="12"/>
  <c r="AI535" i="12"/>
  <c r="AH535" i="12"/>
  <c r="AJ535" i="12"/>
  <c r="AI531" i="12"/>
  <c r="AG531" i="12"/>
  <c r="AH531" i="12"/>
  <c r="AI527" i="12"/>
  <c r="AJ527" i="12"/>
  <c r="AG527" i="12"/>
  <c r="AI523" i="12"/>
  <c r="AJ523" i="12"/>
  <c r="AG523" i="12"/>
  <c r="AI519" i="12"/>
  <c r="AH519" i="12"/>
  <c r="AJ519" i="12"/>
  <c r="AI515" i="12"/>
  <c r="AG515" i="12"/>
  <c r="AJ515" i="12"/>
  <c r="AI511" i="12"/>
  <c r="AH511" i="12"/>
  <c r="AG511" i="12"/>
  <c r="AI507" i="12"/>
  <c r="AJ507" i="12"/>
  <c r="AG507" i="12"/>
  <c r="AH507" i="12"/>
  <c r="AI503" i="12"/>
  <c r="AH503" i="12"/>
  <c r="AJ503" i="12"/>
  <c r="AI499" i="12"/>
  <c r="AG499" i="12"/>
  <c r="AJ499" i="12"/>
  <c r="AI495" i="12"/>
  <c r="AH495" i="12"/>
  <c r="AG495" i="12"/>
  <c r="AI491" i="12"/>
  <c r="AJ491" i="12"/>
  <c r="AG491" i="12"/>
  <c r="AH491" i="12"/>
  <c r="AI487" i="12"/>
  <c r="AH487" i="12"/>
  <c r="AJ487" i="12"/>
  <c r="AI483" i="12"/>
  <c r="AG483" i="12"/>
  <c r="AJ483" i="12"/>
  <c r="AI479" i="12"/>
  <c r="AH479" i="12"/>
  <c r="AG479" i="12"/>
  <c r="AI475" i="12"/>
  <c r="AJ475" i="12"/>
  <c r="AG475" i="12"/>
  <c r="AH475" i="12"/>
  <c r="AG471" i="12"/>
  <c r="AI471" i="12"/>
  <c r="AH471" i="12"/>
  <c r="AJ471" i="12"/>
  <c r="AG467" i="12"/>
  <c r="AI467" i="12"/>
  <c r="AH467" i="12"/>
  <c r="AG463" i="12"/>
  <c r="AI463" i="12"/>
  <c r="AH463" i="12"/>
  <c r="AG459" i="12"/>
  <c r="AI459" i="12"/>
  <c r="AJ459" i="12"/>
  <c r="AG455" i="12"/>
  <c r="AI455" i="12"/>
  <c r="AH455" i="12"/>
  <c r="AJ455" i="12"/>
  <c r="AG451" i="12"/>
  <c r="AI451" i="12"/>
  <c r="AH451" i="12"/>
  <c r="AG447" i="12"/>
  <c r="AI447" i="12"/>
  <c r="AH447" i="12"/>
  <c r="AG443" i="12"/>
  <c r="AI443" i="12"/>
  <c r="AJ443" i="12"/>
  <c r="AG439" i="12"/>
  <c r="AI439" i="12"/>
  <c r="AH439" i="12"/>
  <c r="AJ439" i="12"/>
  <c r="AG435" i="12"/>
  <c r="AI435" i="12"/>
  <c r="AH435" i="12"/>
  <c r="AG431" i="12"/>
  <c r="AI431" i="12"/>
  <c r="AH431" i="12"/>
  <c r="AG427" i="12"/>
  <c r="AI427" i="12"/>
  <c r="AJ427" i="12"/>
  <c r="AG423" i="12"/>
  <c r="AI423" i="12"/>
  <c r="AH423" i="12"/>
  <c r="AJ423" i="12"/>
  <c r="AG419" i="12"/>
  <c r="AI419" i="12"/>
  <c r="AH419" i="12"/>
  <c r="AG415" i="12"/>
  <c r="AI415" i="12"/>
  <c r="AH415" i="12"/>
  <c r="AG411" i="12"/>
  <c r="AI411" i="12"/>
  <c r="AJ411" i="12"/>
  <c r="AG407" i="12"/>
  <c r="AI407" i="12"/>
  <c r="AH407" i="12"/>
  <c r="AJ407" i="12"/>
  <c r="AG403" i="12"/>
  <c r="AI403" i="12"/>
  <c r="AH403" i="12"/>
  <c r="AG399" i="12"/>
  <c r="AI399" i="12"/>
  <c r="AH399" i="12"/>
  <c r="AG395" i="12"/>
  <c r="AI395" i="12"/>
  <c r="AJ395" i="12"/>
  <c r="AG391" i="12"/>
  <c r="AI391" i="12"/>
  <c r="AH391" i="12"/>
  <c r="AJ391" i="12"/>
  <c r="AG387" i="12"/>
  <c r="AI387" i="12"/>
  <c r="AH387" i="12"/>
  <c r="AG383" i="12"/>
  <c r="AI383" i="12"/>
  <c r="AH383" i="12"/>
  <c r="AG379" i="12"/>
  <c r="AI379" i="12"/>
  <c r="AJ379" i="12"/>
  <c r="AG375" i="12"/>
  <c r="AI375" i="12"/>
  <c r="AH375" i="12"/>
  <c r="AJ375" i="12"/>
  <c r="AG371" i="12"/>
  <c r="AI371" i="12"/>
  <c r="AH371" i="12"/>
  <c r="AG367" i="12"/>
  <c r="AI367" i="12"/>
  <c r="AH367" i="12"/>
  <c r="AG363" i="12"/>
  <c r="AI363" i="12"/>
  <c r="AJ363" i="12"/>
  <c r="AG359" i="12"/>
  <c r="AI359" i="12"/>
  <c r="AH359" i="12"/>
  <c r="AJ359" i="12"/>
  <c r="AG355" i="12"/>
  <c r="AI355" i="12"/>
  <c r="AH355" i="12"/>
  <c r="AG351" i="12"/>
  <c r="AI351" i="12"/>
  <c r="AH351" i="12"/>
  <c r="AG347" i="12"/>
  <c r="AI347" i="12"/>
  <c r="AJ347" i="12"/>
  <c r="AG343" i="12"/>
  <c r="AI343" i="12"/>
  <c r="AH343" i="12"/>
  <c r="AJ343" i="12"/>
  <c r="AG339" i="12"/>
  <c r="AI339" i="12"/>
  <c r="AH339" i="12"/>
  <c r="AG335" i="12"/>
  <c r="AI335" i="12"/>
  <c r="AH335" i="12"/>
  <c r="AG331" i="12"/>
  <c r="AI331" i="12"/>
  <c r="AJ331" i="12"/>
  <c r="AG327" i="12"/>
  <c r="AI327" i="12"/>
  <c r="AH327" i="12"/>
  <c r="AJ327" i="12"/>
  <c r="AG323" i="12"/>
  <c r="AI323" i="12"/>
  <c r="AH323" i="12"/>
  <c r="AG319" i="12"/>
  <c r="AI319" i="12"/>
  <c r="AH319" i="12"/>
  <c r="AG315" i="12"/>
  <c r="AI315" i="12"/>
  <c r="AJ315" i="12"/>
  <c r="AG311" i="12"/>
  <c r="AI311" i="12"/>
  <c r="AH311" i="12"/>
  <c r="AJ311" i="12"/>
  <c r="AG307" i="12"/>
  <c r="AI307" i="12"/>
  <c r="AH307" i="12"/>
  <c r="AG303" i="12"/>
  <c r="AI303" i="12"/>
  <c r="AH303" i="12"/>
  <c r="AG299" i="12"/>
  <c r="AI299" i="12"/>
  <c r="AJ299" i="12"/>
  <c r="AG295" i="12"/>
  <c r="AI295" i="12"/>
  <c r="AH295" i="12"/>
  <c r="AJ295" i="12"/>
  <c r="AG291" i="12"/>
  <c r="AI291" i="12"/>
  <c r="AH291" i="12"/>
  <c r="AG287" i="12"/>
  <c r="AI287" i="12"/>
  <c r="AH287" i="12"/>
  <c r="AG283" i="12"/>
  <c r="AI283" i="12"/>
  <c r="AJ283" i="12"/>
  <c r="AG279" i="12"/>
  <c r="AI279" i="12"/>
  <c r="AH279" i="12"/>
  <c r="AJ279" i="12"/>
  <c r="AG275" i="12"/>
  <c r="AI275" i="12"/>
  <c r="AH275" i="12"/>
  <c r="AG271" i="12"/>
  <c r="AI271" i="12"/>
  <c r="AH271" i="12"/>
  <c r="AG267" i="12"/>
  <c r="AI267" i="12"/>
  <c r="AJ267" i="12"/>
  <c r="AG263" i="12"/>
  <c r="AI263" i="12"/>
  <c r="AH263" i="12"/>
  <c r="AJ263" i="12"/>
  <c r="AG259" i="12"/>
  <c r="AI259" i="12"/>
  <c r="AH259" i="12"/>
  <c r="AG255" i="12"/>
  <c r="AI255" i="12"/>
  <c r="AH255" i="12"/>
  <c r="AG251" i="12"/>
  <c r="AI251" i="12"/>
  <c r="AJ251" i="12"/>
  <c r="AG247" i="12"/>
  <c r="AI247" i="12"/>
  <c r="AH247" i="12"/>
  <c r="AJ247" i="12"/>
  <c r="AG243" i="12"/>
  <c r="AI243" i="12"/>
  <c r="AH243" i="12"/>
  <c r="AG239" i="12"/>
  <c r="AI239" i="12"/>
  <c r="AH239" i="12"/>
  <c r="AG235" i="12"/>
  <c r="AI235" i="12"/>
  <c r="AJ235" i="12"/>
  <c r="AG231" i="12"/>
  <c r="AI231" i="12"/>
  <c r="AH231" i="12"/>
  <c r="AJ231" i="12"/>
  <c r="AG227" i="12"/>
  <c r="AI227" i="12"/>
  <c r="AH227" i="12"/>
  <c r="AG223" i="12"/>
  <c r="AI223" i="12"/>
  <c r="AH223" i="12"/>
  <c r="AG219" i="12"/>
  <c r="AI219" i="12"/>
  <c r="AJ219" i="12"/>
  <c r="AH219" i="12"/>
  <c r="AG215" i="12"/>
  <c r="AI215" i="12"/>
  <c r="AJ215" i="12"/>
  <c r="AG211" i="12"/>
  <c r="AJ211" i="12"/>
  <c r="AH211" i="12"/>
  <c r="AI211" i="12"/>
  <c r="AG207" i="12"/>
  <c r="AI207" i="12"/>
  <c r="AH207" i="12"/>
  <c r="AJ207" i="12"/>
  <c r="AG203" i="12"/>
  <c r="AI203" i="12"/>
  <c r="AH203" i="12"/>
  <c r="AJ203" i="12"/>
  <c r="AG199" i="12"/>
  <c r="AI199" i="12"/>
  <c r="AH199" i="12"/>
  <c r="AG195" i="12"/>
  <c r="AI195" i="12"/>
  <c r="AJ195" i="12"/>
  <c r="AG191" i="12"/>
  <c r="AI191" i="12"/>
  <c r="AH191" i="12"/>
  <c r="AJ191" i="12"/>
  <c r="AG187" i="12"/>
  <c r="AI187" i="12"/>
  <c r="AJ187" i="12"/>
  <c r="AG183" i="12"/>
  <c r="AI183" i="12"/>
  <c r="AJ183" i="12"/>
  <c r="AH183" i="12"/>
  <c r="AG179" i="12"/>
  <c r="AH179" i="12"/>
  <c r="AJ179" i="12"/>
  <c r="AG175" i="12"/>
  <c r="AI175" i="12"/>
  <c r="AH175" i="12"/>
  <c r="AJ175" i="12"/>
  <c r="AG171" i="12"/>
  <c r="AI171" i="12"/>
  <c r="AH171" i="12"/>
  <c r="AG167" i="12"/>
  <c r="AI167" i="12"/>
  <c r="AH167" i="12"/>
  <c r="AJ167" i="12"/>
  <c r="AG163" i="12"/>
  <c r="AI163" i="12"/>
  <c r="AH163" i="12"/>
  <c r="AG159" i="12"/>
  <c r="AI159" i="12"/>
  <c r="AH159" i="12"/>
  <c r="AG155" i="12"/>
  <c r="AI155" i="12"/>
  <c r="AJ155" i="12"/>
  <c r="AH155" i="12"/>
  <c r="AJ151" i="12"/>
  <c r="AH151" i="12"/>
  <c r="AI151" i="12"/>
  <c r="AI147" i="12"/>
  <c r="AJ147" i="12"/>
  <c r="AG147" i="12"/>
  <c r="AH147" i="12"/>
  <c r="AI143" i="12"/>
  <c r="AJ143" i="12"/>
  <c r="AH143" i="12"/>
  <c r="AG143" i="12"/>
  <c r="AI139" i="12"/>
  <c r="AH139" i="12"/>
  <c r="AG139" i="12"/>
  <c r="AH135" i="12"/>
  <c r="AG135" i="12"/>
  <c r="AI135" i="12"/>
  <c r="AJ135" i="12"/>
  <c r="AG131" i="12"/>
  <c r="AH131" i="12"/>
  <c r="AI131" i="12"/>
  <c r="AG127" i="12"/>
  <c r="AJ127" i="12"/>
  <c r="AI127" i="12"/>
  <c r="AH127" i="12"/>
  <c r="AG123" i="12"/>
  <c r="AH123" i="12"/>
  <c r="AJ123" i="12"/>
  <c r="AJ119" i="12"/>
  <c r="AI119" i="12"/>
  <c r="AG119" i="12"/>
  <c r="AH119" i="12"/>
  <c r="AI115" i="12"/>
  <c r="AG115" i="12"/>
  <c r="AH115" i="12"/>
  <c r="AJ115" i="12"/>
  <c r="AI111" i="12"/>
  <c r="AJ111" i="12"/>
  <c r="AH111" i="12"/>
  <c r="AI107" i="12"/>
  <c r="AJ107" i="12"/>
  <c r="AG107" i="12"/>
  <c r="AH107" i="12"/>
  <c r="AH103" i="12"/>
  <c r="AG103" i="12"/>
  <c r="AJ103" i="12"/>
  <c r="AI103" i="12"/>
  <c r="AG99" i="12"/>
  <c r="AI99" i="12"/>
  <c r="AJ99" i="12"/>
  <c r="AH99" i="12"/>
  <c r="AG95" i="12"/>
  <c r="AJ95" i="12"/>
  <c r="AI95" i="12"/>
  <c r="AG91" i="12"/>
  <c r="AI91" i="12"/>
  <c r="AH91" i="12"/>
  <c r="AJ91" i="12"/>
  <c r="AJ87" i="12"/>
  <c r="AG87" i="12"/>
  <c r="AH87" i="12"/>
  <c r="AI83" i="12"/>
  <c r="AH83" i="12"/>
  <c r="AJ83" i="12"/>
  <c r="AG83" i="12"/>
  <c r="AI79" i="12"/>
  <c r="AG79" i="12"/>
  <c r="AH79" i="12"/>
  <c r="AI75" i="12"/>
  <c r="AG75" i="12"/>
  <c r="AJ75" i="12"/>
  <c r="AH71" i="12"/>
  <c r="AI71" i="12"/>
  <c r="AJ71" i="12"/>
  <c r="AG71" i="12"/>
  <c r="AI67" i="12"/>
  <c r="AG67" i="12"/>
  <c r="AH67" i="12"/>
  <c r="AJ67" i="12"/>
  <c r="AH907" i="12"/>
  <c r="AJ903" i="12"/>
  <c r="AH899" i="12"/>
  <c r="AJ895" i="12"/>
  <c r="AH843" i="12"/>
  <c r="AJ839" i="12"/>
  <c r="AH835" i="12"/>
  <c r="AJ831" i="12"/>
  <c r="AH779" i="12"/>
  <c r="AJ775" i="12"/>
  <c r="AH771" i="12"/>
  <c r="AJ767" i="12"/>
  <c r="AH715" i="12"/>
  <c r="AJ711" i="12"/>
  <c r="AH707" i="12"/>
  <c r="AJ703" i="12"/>
  <c r="AH651" i="12"/>
  <c r="AJ647" i="12"/>
  <c r="AH643" i="12"/>
  <c r="AJ639" i="12"/>
  <c r="AH587" i="12"/>
  <c r="AJ583" i="12"/>
  <c r="AH579" i="12"/>
  <c r="AJ575" i="12"/>
  <c r="AH523" i="12"/>
  <c r="AG519" i="12"/>
  <c r="AG487" i="12"/>
  <c r="AH443" i="12"/>
  <c r="AJ431" i="12"/>
  <c r="AJ419" i="12"/>
  <c r="AH379" i="12"/>
  <c r="AJ367" i="12"/>
  <c r="AJ355" i="12"/>
  <c r="AH315" i="12"/>
  <c r="AJ303" i="12"/>
  <c r="AJ291" i="12"/>
  <c r="AH251" i="12"/>
  <c r="AJ239" i="12"/>
  <c r="AJ227" i="12"/>
  <c r="AH215" i="12"/>
  <c r="AJ171" i="12"/>
  <c r="AJ159" i="12"/>
  <c r="AG111" i="12"/>
  <c r="AI87" i="12"/>
  <c r="AG927" i="12"/>
  <c r="AG887" i="12"/>
  <c r="AJ871" i="12"/>
  <c r="AH867" i="12"/>
  <c r="AG863" i="12"/>
  <c r="AG823" i="12"/>
  <c r="AJ807" i="12"/>
  <c r="AH803" i="12"/>
  <c r="AG799" i="12"/>
  <c r="AG759" i="12"/>
  <c r="AJ743" i="12"/>
  <c r="AH739" i="12"/>
  <c r="AG735" i="12"/>
  <c r="AG695" i="12"/>
  <c r="AJ679" i="12"/>
  <c r="AH675" i="12"/>
  <c r="AG671" i="12"/>
  <c r="AG631" i="12"/>
  <c r="AJ615" i="12"/>
  <c r="AH611" i="12"/>
  <c r="AG607" i="12"/>
  <c r="AG567" i="12"/>
  <c r="AJ551" i="12"/>
  <c r="AH547" i="12"/>
  <c r="AG543" i="12"/>
  <c r="AJ511" i="12"/>
  <c r="AJ479" i="12"/>
  <c r="AJ463" i="12"/>
  <c r="AJ451" i="12"/>
  <c r="AH411" i="12"/>
  <c r="AJ399" i="12"/>
  <c r="AJ387" i="12"/>
  <c r="AH347" i="12"/>
  <c r="AJ335" i="12"/>
  <c r="AJ323" i="12"/>
  <c r="AH283" i="12"/>
  <c r="AJ271" i="12"/>
  <c r="AJ259" i="12"/>
  <c r="AJ199" i="12"/>
  <c r="AH187" i="12"/>
  <c r="AJ131" i="12"/>
  <c r="AG445" i="12"/>
  <c r="AI445" i="12"/>
  <c r="AJ445" i="12"/>
  <c r="AI993" i="12"/>
  <c r="AG993" i="12"/>
  <c r="AG981" i="12"/>
  <c r="AJ981" i="12"/>
  <c r="AI977" i="12"/>
  <c r="AG977" i="12"/>
  <c r="AG965" i="12"/>
  <c r="AJ965" i="12"/>
  <c r="AI961" i="12"/>
  <c r="AG961" i="12"/>
  <c r="AG949" i="12"/>
  <c r="AJ949" i="12"/>
  <c r="AI945" i="12"/>
  <c r="AG945" i="12"/>
  <c r="AG933" i="12"/>
  <c r="AJ933" i="12"/>
  <c r="AI929" i="12"/>
  <c r="AG929" i="12"/>
  <c r="AG917" i="12"/>
  <c r="AJ917" i="12"/>
  <c r="AI913" i="12"/>
  <c r="AG913" i="12"/>
  <c r="AG901" i="12"/>
  <c r="AJ901" i="12"/>
  <c r="AI897" i="12"/>
  <c r="AG897" i="12"/>
  <c r="AG885" i="12"/>
  <c r="AJ885" i="12"/>
  <c r="AI881" i="12"/>
  <c r="AG881" i="12"/>
  <c r="AG869" i="12"/>
  <c r="AJ869" i="12"/>
  <c r="AI865" i="12"/>
  <c r="AG865" i="12"/>
  <c r="AG853" i="12"/>
  <c r="AJ853" i="12"/>
  <c r="AI849" i="12"/>
  <c r="AG849" i="12"/>
  <c r="AG837" i="12"/>
  <c r="AJ837" i="12"/>
  <c r="AI833" i="12"/>
  <c r="AG833" i="12"/>
  <c r="AG821" i="12"/>
  <c r="AJ821" i="12"/>
  <c r="AI817" i="12"/>
  <c r="AG817" i="12"/>
  <c r="AG805" i="12"/>
  <c r="AJ805" i="12"/>
  <c r="AI801" i="12"/>
  <c r="AG801" i="12"/>
  <c r="AG789" i="12"/>
  <c r="AJ789" i="12"/>
  <c r="AI785" i="12"/>
  <c r="AG785" i="12"/>
  <c r="AG773" i="12"/>
  <c r="AJ773" i="12"/>
  <c r="AI769" i="12"/>
  <c r="AG769" i="12"/>
  <c r="AG757" i="12"/>
  <c r="AJ757" i="12"/>
  <c r="AI753" i="12"/>
  <c r="AG753" i="12"/>
  <c r="AG741" i="12"/>
  <c r="AJ741" i="12"/>
  <c r="AI737" i="12"/>
  <c r="AG737" i="12"/>
  <c r="AG725" i="12"/>
  <c r="AJ725" i="12"/>
  <c r="AI721" i="12"/>
  <c r="AG721" i="12"/>
  <c r="AG709" i="12"/>
  <c r="AJ709" i="12"/>
  <c r="AI705" i="12"/>
  <c r="AG705" i="12"/>
  <c r="AG693" i="12"/>
  <c r="AJ693" i="12"/>
  <c r="AI689" i="12"/>
  <c r="AG689" i="12"/>
  <c r="AG677" i="12"/>
  <c r="AJ677" i="12"/>
  <c r="AI673" i="12"/>
  <c r="AG673" i="12"/>
  <c r="AG661" i="12"/>
  <c r="AJ661" i="12"/>
  <c r="AI657" i="12"/>
  <c r="AG657" i="12"/>
  <c r="AG645" i="12"/>
  <c r="AJ645" i="12"/>
  <c r="AI641" i="12"/>
  <c r="AG641" i="12"/>
  <c r="AG629" i="12"/>
  <c r="AJ629" i="12"/>
  <c r="AI625" i="12"/>
  <c r="AG625" i="12"/>
  <c r="AG613" i="12"/>
  <c r="AJ613" i="12"/>
  <c r="AI609" i="12"/>
  <c r="AG609" i="12"/>
  <c r="AG597" i="12"/>
  <c r="AJ597" i="12"/>
  <c r="AI593" i="12"/>
  <c r="AG593" i="12"/>
  <c r="AG581" i="12"/>
  <c r="AJ581" i="12"/>
  <c r="AI577" i="12"/>
  <c r="AG577" i="12"/>
  <c r="AG565" i="12"/>
  <c r="AJ565" i="12"/>
  <c r="AI561" i="12"/>
  <c r="AG561" i="12"/>
  <c r="AG549" i="12"/>
  <c r="AJ549" i="12"/>
  <c r="AI545" i="12"/>
  <c r="AG545" i="12"/>
  <c r="AG533" i="12"/>
  <c r="AJ533" i="12"/>
  <c r="AI529" i="12"/>
  <c r="AG529" i="12"/>
  <c r="AI521" i="12"/>
  <c r="AG521" i="12"/>
  <c r="AG517" i="12"/>
  <c r="AJ517" i="12"/>
  <c r="AI513" i="12"/>
  <c r="AG513" i="12"/>
  <c r="AG509" i="12"/>
  <c r="AJ509" i="12"/>
  <c r="AI505" i="12"/>
  <c r="AG505" i="12"/>
  <c r="AG501" i="12"/>
  <c r="AJ501" i="12"/>
  <c r="AI497" i="12"/>
  <c r="AG497" i="12"/>
  <c r="AG493" i="12"/>
  <c r="AJ493" i="12"/>
  <c r="AI489" i="12"/>
  <c r="AG489" i="12"/>
  <c r="AG485" i="12"/>
  <c r="AJ485" i="12"/>
  <c r="AI481" i="12"/>
  <c r="AG481" i="12"/>
  <c r="AG477" i="12"/>
  <c r="AJ477" i="12"/>
  <c r="AI473" i="12"/>
  <c r="AG473" i="12"/>
  <c r="AG469" i="12"/>
  <c r="AI469" i="12"/>
  <c r="AJ469" i="12"/>
  <c r="AI465" i="12"/>
  <c r="AG465" i="12"/>
  <c r="AH465" i="12"/>
  <c r="AG461" i="12"/>
  <c r="AI461" i="12"/>
  <c r="AJ461" i="12"/>
  <c r="AI457" i="12"/>
  <c r="AG457" i="12"/>
  <c r="AH457" i="12"/>
  <c r="AG453" i="12"/>
  <c r="AI453" i="12"/>
  <c r="AJ453" i="12"/>
  <c r="AI449" i="12"/>
  <c r="AG449" i="12"/>
  <c r="AH449" i="12"/>
  <c r="AI441" i="12"/>
  <c r="AG441" i="12"/>
  <c r="AH441" i="12"/>
  <c r="AG437" i="12"/>
  <c r="AI437" i="12"/>
  <c r="AJ437" i="12"/>
  <c r="AI433" i="12"/>
  <c r="AG433" i="12"/>
  <c r="AH433" i="12"/>
  <c r="AG429" i="12"/>
  <c r="AI429" i="12"/>
  <c r="AJ429" i="12"/>
  <c r="AI425" i="12"/>
  <c r="AG425" i="12"/>
  <c r="AH425" i="12"/>
  <c r="AG421" i="12"/>
  <c r="AI421" i="12"/>
  <c r="AJ421" i="12"/>
  <c r="AI417" i="12"/>
  <c r="AG417" i="12"/>
  <c r="AH417" i="12"/>
  <c r="AG413" i="12"/>
  <c r="AI413" i="12"/>
  <c r="AJ413" i="12"/>
  <c r="AI409" i="12"/>
  <c r="AG409" i="12"/>
  <c r="AH409" i="12"/>
  <c r="AG405" i="12"/>
  <c r="AI405" i="12"/>
  <c r="AJ405" i="12"/>
  <c r="AI401" i="12"/>
  <c r="AG401" i="12"/>
  <c r="AH401" i="12"/>
  <c r="AG397" i="12"/>
  <c r="AI397" i="12"/>
  <c r="AJ397" i="12"/>
  <c r="AI393" i="12"/>
  <c r="AG393" i="12"/>
  <c r="AH393" i="12"/>
  <c r="AG389" i="12"/>
  <c r="AI389" i="12"/>
  <c r="AJ389" i="12"/>
  <c r="AI385" i="12"/>
  <c r="AG385" i="12"/>
  <c r="AH385" i="12"/>
  <c r="AG381" i="12"/>
  <c r="AI381" i="12"/>
  <c r="AJ381" i="12"/>
  <c r="AI377" i="12"/>
  <c r="AG377" i="12"/>
  <c r="AH377" i="12"/>
  <c r="AG373" i="12"/>
  <c r="AI373" i="12"/>
  <c r="AJ373" i="12"/>
  <c r="AI369" i="12"/>
  <c r="AG369" i="12"/>
  <c r="AH369" i="12"/>
  <c r="AG365" i="12"/>
  <c r="AI365" i="12"/>
  <c r="AJ365" i="12"/>
  <c r="AI361" i="12"/>
  <c r="AG361" i="12"/>
  <c r="AH361" i="12"/>
  <c r="AG357" i="12"/>
  <c r="AI357" i="12"/>
  <c r="AJ357" i="12"/>
  <c r="AI353" i="12"/>
  <c r="AG353" i="12"/>
  <c r="AH353" i="12"/>
  <c r="AG349" i="12"/>
  <c r="AI349" i="12"/>
  <c r="AJ349" i="12"/>
  <c r="AI345" i="12"/>
  <c r="AG345" i="12"/>
  <c r="AH345" i="12"/>
  <c r="AG341" i="12"/>
  <c r="AI341" i="12"/>
  <c r="AJ341" i="12"/>
  <c r="AI337" i="12"/>
  <c r="AG337" i="12"/>
  <c r="AH337" i="12"/>
  <c r="AG333" i="12"/>
  <c r="AI333" i="12"/>
  <c r="AJ333" i="12"/>
  <c r="AI329" i="12"/>
  <c r="AG329" i="12"/>
  <c r="AH329" i="12"/>
  <c r="AG325" i="12"/>
  <c r="AI325" i="12"/>
  <c r="AJ325" i="12"/>
  <c r="AI321" i="12"/>
  <c r="AG321" i="12"/>
  <c r="AH321" i="12"/>
  <c r="AG317" i="12"/>
  <c r="AI317" i="12"/>
  <c r="AJ317" i="12"/>
  <c r="AI313" i="12"/>
  <c r="AG313" i="12"/>
  <c r="AH313" i="12"/>
  <c r="AG309" i="12"/>
  <c r="AI309" i="12"/>
  <c r="AJ309" i="12"/>
  <c r="AI305" i="12"/>
  <c r="AG305" i="12"/>
  <c r="AH305" i="12"/>
  <c r="AG301" i="12"/>
  <c r="AI301" i="12"/>
  <c r="AJ301" i="12"/>
  <c r="AI297" i="12"/>
  <c r="AG297" i="12"/>
  <c r="AH297" i="12"/>
  <c r="AG293" i="12"/>
  <c r="AI293" i="12"/>
  <c r="AJ293" i="12"/>
  <c r="AI289" i="12"/>
  <c r="AG289" i="12"/>
  <c r="AH289" i="12"/>
  <c r="AG285" i="12"/>
  <c r="AI285" i="12"/>
  <c r="AJ285" i="12"/>
  <c r="AI281" i="12"/>
  <c r="AG281" i="12"/>
  <c r="AH281" i="12"/>
  <c r="AG277" i="12"/>
  <c r="AI277" i="12"/>
  <c r="AJ277" i="12"/>
  <c r="AI273" i="12"/>
  <c r="AG273" i="12"/>
  <c r="AH273" i="12"/>
  <c r="AG269" i="12"/>
  <c r="AI269" i="12"/>
  <c r="AJ269" i="12"/>
  <c r="AI265" i="12"/>
  <c r="AG265" i="12"/>
  <c r="AH265" i="12"/>
  <c r="AG261" i="12"/>
  <c r="AI261" i="12"/>
  <c r="AJ261" i="12"/>
  <c r="AI257" i="12"/>
  <c r="AG257" i="12"/>
  <c r="AH257" i="12"/>
  <c r="AG253" i="12"/>
  <c r="AI253" i="12"/>
  <c r="AJ253" i="12"/>
  <c r="AI249" i="12"/>
  <c r="AG249" i="12"/>
  <c r="AH249" i="12"/>
  <c r="AG245" i="12"/>
  <c r="AI245" i="12"/>
  <c r="AJ245" i="12"/>
  <c r="AI241" i="12"/>
  <c r="AG241" i="12"/>
  <c r="AH241" i="12"/>
  <c r="AG237" i="12"/>
  <c r="AI237" i="12"/>
  <c r="AJ237" i="12"/>
  <c r="AI233" i="12"/>
  <c r="AG233" i="12"/>
  <c r="AH233" i="12"/>
  <c r="AG229" i="12"/>
  <c r="AI229" i="12"/>
  <c r="AJ229" i="12"/>
  <c r="AI225" i="12"/>
  <c r="AG225" i="12"/>
  <c r="AH225" i="12"/>
  <c r="AG221" i="12"/>
  <c r="AI221" i="12"/>
  <c r="AJ221" i="12"/>
  <c r="AI217" i="12"/>
  <c r="AG217" i="12"/>
  <c r="AH217" i="12"/>
  <c r="AG213" i="12"/>
  <c r="AI213" i="12"/>
  <c r="AJ213" i="12"/>
  <c r="AI209" i="12"/>
  <c r="AG209" i="12"/>
  <c r="AG205" i="12"/>
  <c r="AI205" i="12"/>
  <c r="AJ205" i="12"/>
  <c r="AI201" i="12"/>
  <c r="AG201" i="12"/>
  <c r="AH201" i="12"/>
  <c r="AG197" i="12"/>
  <c r="AI197" i="12"/>
  <c r="AJ197" i="12"/>
  <c r="AI193" i="12"/>
  <c r="AG193" i="12"/>
  <c r="AH193" i="12"/>
  <c r="AG189" i="12"/>
  <c r="AI189" i="12"/>
  <c r="AJ189" i="12"/>
  <c r="AI185" i="12"/>
  <c r="AG185" i="12"/>
  <c r="AH185" i="12"/>
  <c r="AG181" i="12"/>
  <c r="AI181" i="12"/>
  <c r="AJ181" i="12"/>
  <c r="AI177" i="12"/>
  <c r="AG177" i="12"/>
  <c r="AG173" i="12"/>
  <c r="AI173" i="12"/>
  <c r="AJ173" i="12"/>
  <c r="AI169" i="12"/>
  <c r="AG169" i="12"/>
  <c r="AH169" i="12"/>
  <c r="AG165" i="12"/>
  <c r="AI165" i="12"/>
  <c r="AJ165" i="12"/>
  <c r="AI161" i="12"/>
  <c r="AG161" i="12"/>
  <c r="AH161" i="12"/>
  <c r="AG157" i="12"/>
  <c r="AI157" i="12"/>
  <c r="AJ157" i="12"/>
  <c r="AI153" i="12"/>
  <c r="AJ153" i="12"/>
  <c r="AG149" i="12"/>
  <c r="AH149" i="12"/>
  <c r="AI145" i="12"/>
  <c r="AG145" i="12"/>
  <c r="AG141" i="12"/>
  <c r="AJ141" i="12"/>
  <c r="AI141" i="12"/>
  <c r="AI137" i="12"/>
  <c r="AJ137" i="12"/>
  <c r="AG133" i="12"/>
  <c r="AH133" i="12"/>
  <c r="AI129" i="12"/>
  <c r="AG129" i="12"/>
  <c r="AH129" i="12"/>
  <c r="AG125" i="12"/>
  <c r="AI125" i="12"/>
  <c r="AJ125" i="12"/>
  <c r="AI121" i="12"/>
  <c r="AJ121" i="12"/>
  <c r="AI113" i="12"/>
  <c r="AG113" i="12"/>
  <c r="AG109" i="12"/>
  <c r="AJ109" i="12"/>
  <c r="AG101" i="12"/>
  <c r="AH101" i="12"/>
  <c r="AI97" i="12"/>
  <c r="AG97" i="12"/>
  <c r="AH97" i="12"/>
  <c r="AG93" i="12"/>
  <c r="AI93" i="12"/>
  <c r="AJ93" i="12"/>
  <c r="AI89" i="12"/>
  <c r="AJ89" i="12"/>
  <c r="AI81" i="12"/>
  <c r="AH81" i="12"/>
  <c r="AG81" i="12"/>
  <c r="AG77" i="12"/>
  <c r="AI77" i="12"/>
  <c r="AI73" i="12"/>
  <c r="AJ73" i="12"/>
  <c r="AG69" i="12"/>
  <c r="AH69" i="12"/>
  <c r="AG1001" i="12"/>
  <c r="AH993" i="12"/>
  <c r="AH985" i="12"/>
  <c r="AG969" i="12"/>
  <c r="AJ957" i="12"/>
  <c r="AI949" i="12"/>
  <c r="AI941" i="12"/>
  <c r="AH929" i="12"/>
  <c r="AH921" i="12"/>
  <c r="AG905" i="12"/>
  <c r="AJ893" i="12"/>
  <c r="AI885" i="12"/>
  <c r="AI877" i="12"/>
  <c r="AH865" i="12"/>
  <c r="AH857" i="12"/>
  <c r="AG841" i="12"/>
  <c r="AJ829" i="12"/>
  <c r="AI821" i="12"/>
  <c r="AI813" i="12"/>
  <c r="AH801" i="12"/>
  <c r="AH793" i="12"/>
  <c r="AG777" i="12"/>
  <c r="AJ765" i="12"/>
  <c r="AI757" i="12"/>
  <c r="AI749" i="12"/>
  <c r="AH737" i="12"/>
  <c r="AH729" i="12"/>
  <c r="AG713" i="12"/>
  <c r="AJ701" i="12"/>
  <c r="AI693" i="12"/>
  <c r="AI685" i="12"/>
  <c r="AH673" i="12"/>
  <c r="AH665" i="12"/>
  <c r="AG649" i="12"/>
  <c r="AJ637" i="12"/>
  <c r="AI629" i="12"/>
  <c r="AI621" i="12"/>
  <c r="AH609" i="12"/>
  <c r="AH601" i="12"/>
  <c r="AG585" i="12"/>
  <c r="AJ573" i="12"/>
  <c r="AI565" i="12"/>
  <c r="AI557" i="12"/>
  <c r="AH545" i="12"/>
  <c r="AH537" i="12"/>
  <c r="AI517" i="12"/>
  <c r="AH513" i="12"/>
  <c r="AI485" i="12"/>
  <c r="AH481" i="12"/>
  <c r="AH177" i="12"/>
  <c r="AH85" i="12"/>
  <c r="O108" i="18"/>
  <c r="V2" i="11"/>
  <c r="V2" i="10"/>
  <c r="V2" i="12"/>
  <c r="Q8" i="11"/>
  <c r="Q5" i="12"/>
  <c r="N4182" i="14" s="1"/>
  <c r="K4182" i="14" s="1"/>
  <c r="Q5" i="10"/>
  <c r="B139" i="17"/>
  <c r="Q59" i="13"/>
  <c r="Q5" i="11"/>
  <c r="I1010" i="10"/>
  <c r="I1012" i="10"/>
  <c r="I1011" i="10"/>
  <c r="X1424" i="10"/>
  <c r="AC1424" i="10"/>
  <c r="AG65" i="12"/>
  <c r="AJ65" i="12"/>
  <c r="AH65" i="12"/>
  <c r="AI65" i="12"/>
  <c r="AJ1001" i="12"/>
  <c r="AH997" i="12"/>
  <c r="AJ993" i="12"/>
  <c r="AH989" i="12"/>
  <c r="AJ985" i="12"/>
  <c r="AH981" i="12"/>
  <c r="AJ977" i="12"/>
  <c r="AH973" i="12"/>
  <c r="AJ969" i="12"/>
  <c r="AH965" i="12"/>
  <c r="AJ961" i="12"/>
  <c r="AH957" i="12"/>
  <c r="AJ953" i="12"/>
  <c r="AH949" i="12"/>
  <c r="AJ945" i="12"/>
  <c r="AH941" i="12"/>
  <c r="AJ937" i="12"/>
  <c r="AH933" i="12"/>
  <c r="AJ929" i="12"/>
  <c r="AH925" i="12"/>
  <c r="AJ921" i="12"/>
  <c r="AH917" i="12"/>
  <c r="AJ913" i="12"/>
  <c r="AH909" i="12"/>
  <c r="AJ905" i="12"/>
  <c r="AH901" i="12"/>
  <c r="AJ897" i="12"/>
  <c r="AH893" i="12"/>
  <c r="AJ889" i="12"/>
  <c r="AH885" i="12"/>
  <c r="AJ881" i="12"/>
  <c r="AH877" i="12"/>
  <c r="AJ873" i="12"/>
  <c r="AH869" i="12"/>
  <c r="AJ865" i="12"/>
  <c r="AH861" i="12"/>
  <c r="AJ857" i="12"/>
  <c r="AH853" i="12"/>
  <c r="AJ849" i="12"/>
  <c r="AH845" i="12"/>
  <c r="AJ841" i="12"/>
  <c r="AH837" i="12"/>
  <c r="AJ833" i="12"/>
  <c r="AH829" i="12"/>
  <c r="AJ825" i="12"/>
  <c r="AH821" i="12"/>
  <c r="AJ817" i="12"/>
  <c r="AH813" i="12"/>
  <c r="AJ809" i="12"/>
  <c r="AH805" i="12"/>
  <c r="AJ801" i="12"/>
  <c r="AH797" i="12"/>
  <c r="AJ793" i="12"/>
  <c r="AH789" i="12"/>
  <c r="AJ785" i="12"/>
  <c r="AH781" i="12"/>
  <c r="AJ777" i="12"/>
  <c r="AH773" i="12"/>
  <c r="AJ769" i="12"/>
  <c r="AH765" i="12"/>
  <c r="AJ761" i="12"/>
  <c r="AH757" i="12"/>
  <c r="AJ753" i="12"/>
  <c r="AH749" i="12"/>
  <c r="AJ745" i="12"/>
  <c r="AH741" i="12"/>
  <c r="AJ737" i="12"/>
  <c r="AH733" i="12"/>
  <c r="AJ729" i="12"/>
  <c r="AH725" i="12"/>
  <c r="AJ721" i="12"/>
  <c r="AH717" i="12"/>
  <c r="AJ713" i="12"/>
  <c r="AH709" i="12"/>
  <c r="AJ705" i="12"/>
  <c r="AH701" i="12"/>
  <c r="AJ697" i="12"/>
  <c r="AH693" i="12"/>
  <c r="AJ689" i="12"/>
  <c r="AH685" i="12"/>
  <c r="AJ681" i="12"/>
  <c r="AH677" i="12"/>
  <c r="AJ673" i="12"/>
  <c r="AH669" i="12"/>
  <c r="AJ665" i="12"/>
  <c r="AH661" i="12"/>
  <c r="AJ657" i="12"/>
  <c r="AH653" i="12"/>
  <c r="AJ649" i="12"/>
  <c r="AH645" i="12"/>
  <c r="AJ641" i="12"/>
  <c r="AH637" i="12"/>
  <c r="AJ633" i="12"/>
  <c r="AH629" i="12"/>
  <c r="AJ625" i="12"/>
  <c r="AH621" i="12"/>
  <c r="AJ617" i="12"/>
  <c r="AH613" i="12"/>
  <c r="AJ609" i="12"/>
  <c r="AH605" i="12"/>
  <c r="AJ601" i="12"/>
  <c r="AH597" i="12"/>
  <c r="AJ593" i="12"/>
  <c r="AH589" i="12"/>
  <c r="AJ585" i="12"/>
  <c r="AH581" i="12"/>
  <c r="AJ577" i="12"/>
  <c r="AH573" i="12"/>
  <c r="AJ569" i="12"/>
  <c r="AH565" i="12"/>
  <c r="AJ561" i="12"/>
  <c r="AH557" i="12"/>
  <c r="AJ553" i="12"/>
  <c r="AH549" i="12"/>
  <c r="AJ545" i="12"/>
  <c r="AH541" i="12"/>
  <c r="AJ537" i="12"/>
  <c r="AH533" i="12"/>
  <c r="AJ529" i="12"/>
  <c r="AH525" i="12"/>
  <c r="AJ521" i="12"/>
  <c r="AH517" i="12"/>
  <c r="AJ513" i="12"/>
  <c r="AH509" i="12"/>
  <c r="AJ505" i="12"/>
  <c r="AH501" i="12"/>
  <c r="AJ497" i="12"/>
  <c r="AH493" i="12"/>
  <c r="AJ489" i="12"/>
  <c r="AH485" i="12"/>
  <c r="AJ481" i="12"/>
  <c r="AH477" i="12"/>
  <c r="AJ473" i="12"/>
  <c r="AH469" i="12"/>
  <c r="AJ465" i="12"/>
  <c r="AH461" i="12"/>
  <c r="AJ457" i="12"/>
  <c r="AH453" i="12"/>
  <c r="AJ449" i="12"/>
  <c r="AH445" i="12"/>
  <c r="AJ441" i="12"/>
  <c r="AH437" i="12"/>
  <c r="AJ433" i="12"/>
  <c r="AH429" i="12"/>
  <c r="AJ425" i="12"/>
  <c r="AH421" i="12"/>
  <c r="AJ417" i="12"/>
  <c r="AH413" i="12"/>
  <c r="AJ409" i="12"/>
  <c r="AH405" i="12"/>
  <c r="AJ401" i="12"/>
  <c r="AH397" i="12"/>
  <c r="AJ393" i="12"/>
  <c r="AH389" i="12"/>
  <c r="AJ385" i="12"/>
  <c r="AH381" i="12"/>
  <c r="AJ377" i="12"/>
  <c r="AH373" i="12"/>
  <c r="AJ369" i="12"/>
  <c r="AH365" i="12"/>
  <c r="AJ361" i="12"/>
  <c r="AH357" i="12"/>
  <c r="AJ353" i="12"/>
  <c r="AH349" i="12"/>
  <c r="AJ345" i="12"/>
  <c r="AH341" i="12"/>
  <c r="AJ337" i="12"/>
  <c r="AH333" i="12"/>
  <c r="AJ329" i="12"/>
  <c r="AH325" i="12"/>
  <c r="AJ321" i="12"/>
  <c r="AH317" i="12"/>
  <c r="AJ313" i="12"/>
  <c r="AH309" i="12"/>
  <c r="AJ305" i="12"/>
  <c r="AH301" i="12"/>
  <c r="AJ297" i="12"/>
  <c r="AH293" i="12"/>
  <c r="AJ289" i="12"/>
  <c r="AH285" i="12"/>
  <c r="AJ281" i="12"/>
  <c r="AH277" i="12"/>
  <c r="AJ273" i="12"/>
  <c r="AH269" i="12"/>
  <c r="AJ265" i="12"/>
  <c r="AH261" i="12"/>
  <c r="AJ257" i="12"/>
  <c r="AH253" i="12"/>
  <c r="AJ249" i="12"/>
  <c r="AH245" i="12"/>
  <c r="AJ241" i="12"/>
  <c r="AH237" i="12"/>
  <c r="AJ233" i="12"/>
  <c r="AH229" i="12"/>
  <c r="AJ225" i="12"/>
  <c r="AH221" i="12"/>
  <c r="AJ217" i="12"/>
  <c r="AH213" i="12"/>
  <c r="AJ209" i="12"/>
  <c r="AH205" i="12"/>
  <c r="AJ201" i="12"/>
  <c r="AH197" i="12"/>
  <c r="AJ193" i="12"/>
  <c r="AH189" i="12"/>
  <c r="AJ185" i="12"/>
  <c r="AH181" i="12"/>
  <c r="AJ177" i="12"/>
  <c r="AH173" i="12"/>
  <c r="AJ169" i="12"/>
  <c r="AH165" i="12"/>
  <c r="AJ161" i="12"/>
  <c r="AH157" i="12"/>
  <c r="AH153" i="12"/>
  <c r="AJ149" i="12"/>
  <c r="AH141" i="12"/>
  <c r="AH137" i="12"/>
  <c r="AJ133" i="12"/>
  <c r="AH125" i="12"/>
  <c r="AH121" i="12"/>
  <c r="AJ117" i="12"/>
  <c r="AH109" i="12"/>
  <c r="AH105" i="12"/>
  <c r="AJ101" i="12"/>
  <c r="AH93" i="12"/>
  <c r="AH89" i="12"/>
  <c r="AJ85" i="12"/>
  <c r="AH77" i="12"/>
  <c r="AH73" i="12"/>
  <c r="AJ69" i="12"/>
  <c r="X1414" i="10"/>
  <c r="AC1414" i="10"/>
  <c r="X1421" i="10"/>
  <c r="AC1421" i="10"/>
  <c r="X1428" i="10"/>
  <c r="AC1428" i="10"/>
  <c r="AB1414" i="10"/>
  <c r="AG153" i="12"/>
  <c r="AI149" i="12"/>
  <c r="AJ145" i="12"/>
  <c r="AG137" i="12"/>
  <c r="AI133" i="12"/>
  <c r="AJ129" i="12"/>
  <c r="AG121" i="12"/>
  <c r="AI117" i="12"/>
  <c r="AJ113" i="12"/>
  <c r="AG105" i="12"/>
  <c r="AI101" i="12"/>
  <c r="AJ97" i="12"/>
  <c r="AG89" i="12"/>
  <c r="AI85" i="12"/>
  <c r="AJ81" i="12"/>
  <c r="AG73" i="12"/>
  <c r="AI69" i="12"/>
  <c r="X1387" i="10"/>
  <c r="AC1387" i="10"/>
  <c r="Y1387" i="10"/>
  <c r="X1391" i="10"/>
  <c r="AC1391" i="10"/>
  <c r="Y1391" i="10"/>
  <c r="X1425" i="10"/>
  <c r="AC1425" i="10"/>
  <c r="AD1000" i="11"/>
  <c r="AD992" i="11"/>
  <c r="AD984" i="11"/>
  <c r="AD976" i="11"/>
  <c r="AD968" i="11"/>
  <c r="AD960" i="11"/>
  <c r="AD952" i="11"/>
  <c r="AD944" i="11"/>
  <c r="AD936" i="11"/>
  <c r="AD928" i="11"/>
  <c r="AD920" i="11"/>
  <c r="AD912" i="11"/>
  <c r="AD904" i="11"/>
  <c r="AD896" i="11"/>
  <c r="AD888" i="11"/>
  <c r="AD880" i="11"/>
  <c r="AD872" i="11"/>
  <c r="AD864" i="11"/>
  <c r="AD856" i="11"/>
  <c r="AD848" i="11"/>
  <c r="AD840" i="11"/>
  <c r="AD832" i="11"/>
  <c r="AD824" i="11"/>
  <c r="AD816" i="11"/>
  <c r="AD808" i="11"/>
  <c r="AD800" i="11"/>
  <c r="AD792" i="11"/>
  <c r="AD784" i="11"/>
  <c r="AD776" i="11"/>
  <c r="AD768" i="11"/>
  <c r="AD760" i="11"/>
  <c r="AD752" i="11"/>
  <c r="AD744" i="11"/>
  <c r="AD736" i="11"/>
  <c r="AD728" i="11"/>
  <c r="AD720" i="11"/>
  <c r="AD712" i="11"/>
  <c r="AD704" i="11"/>
  <c r="AD696" i="11"/>
  <c r="AD688" i="11"/>
  <c r="AD680" i="11"/>
  <c r="AD672" i="11"/>
  <c r="AD664" i="11"/>
  <c r="AD656" i="11"/>
  <c r="AD648" i="11"/>
  <c r="AD640" i="11"/>
  <c r="AD632" i="11"/>
  <c r="AD624" i="11"/>
  <c r="AD616" i="11"/>
  <c r="AD608" i="11"/>
  <c r="AD600" i="11"/>
  <c r="AD592" i="11"/>
  <c r="AD584" i="11"/>
  <c r="AD576" i="11"/>
  <c r="AD568" i="11"/>
  <c r="AD560" i="11"/>
  <c r="AD552" i="11"/>
  <c r="AD544" i="11"/>
  <c r="AD536" i="11"/>
  <c r="AD528" i="11"/>
  <c r="AD520" i="11"/>
  <c r="AD512" i="11"/>
  <c r="AD504" i="11"/>
  <c r="AD496" i="11"/>
  <c r="AD488" i="11"/>
  <c r="AD480" i="11"/>
  <c r="AD472" i="11"/>
  <c r="AD464" i="11"/>
  <c r="AD456" i="11"/>
  <c r="AD448" i="11"/>
  <c r="AD440" i="11"/>
  <c r="AD432" i="11"/>
  <c r="AD424" i="11"/>
  <c r="AD416" i="11"/>
  <c r="AD408" i="11"/>
  <c r="AD400" i="11"/>
  <c r="AD392" i="11"/>
  <c r="AD384" i="11"/>
  <c r="AD376" i="11"/>
  <c r="AD368" i="11"/>
  <c r="AD360" i="11"/>
  <c r="AD352" i="11"/>
  <c r="AD344" i="11"/>
  <c r="AD336" i="11"/>
  <c r="AD328" i="11"/>
  <c r="AD320" i="11"/>
  <c r="AD312" i="11"/>
  <c r="AD304" i="11"/>
  <c r="AD296" i="11"/>
  <c r="AD288" i="11"/>
  <c r="AD280" i="11"/>
  <c r="AD272" i="11"/>
  <c r="AD264" i="11"/>
  <c r="AD256" i="11"/>
  <c r="AD248" i="11"/>
  <c r="AD240" i="11"/>
  <c r="AD232" i="11"/>
  <c r="AD224" i="11"/>
  <c r="AD216" i="11"/>
  <c r="AD208" i="11"/>
  <c r="AD200" i="11"/>
  <c r="AD192" i="11"/>
  <c r="AD184" i="11"/>
  <c r="AD176" i="11"/>
  <c r="AD168" i="11"/>
  <c r="AD160" i="11"/>
  <c r="AD152" i="11"/>
  <c r="AD144" i="11"/>
  <c r="AD136" i="11"/>
  <c r="AD128" i="11"/>
  <c r="AD120" i="11"/>
  <c r="AD112" i="11"/>
  <c r="AD104" i="11"/>
  <c r="AD96" i="11"/>
  <c r="AD88" i="11"/>
  <c r="AD80" i="11"/>
  <c r="AD72" i="11"/>
  <c r="AD64" i="11"/>
  <c r="AD56" i="11"/>
  <c r="AD48" i="11"/>
  <c r="AD40" i="11"/>
  <c r="AD32" i="11"/>
  <c r="AD24" i="11"/>
  <c r="AC1382" i="10"/>
  <c r="Y1382" i="10"/>
  <c r="X1393" i="10"/>
  <c r="AC1393" i="10"/>
  <c r="Y1393" i="10"/>
  <c r="C25" i="17"/>
  <c r="X1398" i="10"/>
  <c r="AC1398" i="10"/>
  <c r="X1402" i="10"/>
  <c r="X1405" i="10"/>
  <c r="AC1405" i="10"/>
  <c r="X1430" i="10"/>
  <c r="AC1430" i="10"/>
  <c r="A1081" i="10"/>
  <c r="S30" i="16"/>
  <c r="B140" i="18"/>
  <c r="B146" i="18"/>
  <c r="B141" i="18"/>
  <c r="X1409" i="10"/>
  <c r="AC1409" i="10"/>
  <c r="X1020" i="11"/>
  <c r="Y1020" i="11" s="1"/>
  <c r="Y1385" i="10"/>
  <c r="AC1426" i="10"/>
  <c r="AC1410" i="10"/>
  <c r="AC1394" i="10"/>
  <c r="AW1002" i="11"/>
  <c r="AW997" i="11"/>
  <c r="AW991" i="11"/>
  <c r="AW986" i="11"/>
  <c r="AW981" i="11"/>
  <c r="AW975" i="11"/>
  <c r="AW970" i="11"/>
  <c r="AW965" i="11"/>
  <c r="AW959" i="11"/>
  <c r="AW954" i="11"/>
  <c r="AW949" i="11"/>
  <c r="AW943" i="11"/>
  <c r="AW938" i="11"/>
  <c r="AW933" i="11"/>
  <c r="AW927" i="11"/>
  <c r="AW922" i="11"/>
  <c r="AW917" i="11"/>
  <c r="AW911" i="11"/>
  <c r="AW906" i="11"/>
  <c r="AW901" i="11"/>
  <c r="AW895" i="11"/>
  <c r="AW890" i="11"/>
  <c r="AW885" i="11"/>
  <c r="AW879" i="11"/>
  <c r="AW874" i="11"/>
  <c r="AW869" i="11"/>
  <c r="AW863" i="11"/>
  <c r="AW858" i="11"/>
  <c r="AW853" i="11"/>
  <c r="AW847" i="11"/>
  <c r="AW842" i="11"/>
  <c r="AW837" i="11"/>
  <c r="AW831" i="11"/>
  <c r="AW826" i="11"/>
  <c r="AW821" i="11"/>
  <c r="AW815" i="11"/>
  <c r="AW810" i="11"/>
  <c r="AW805" i="11"/>
  <c r="AW799" i="11"/>
  <c r="AW794" i="11"/>
  <c r="AW789" i="11"/>
  <c r="AW783" i="11"/>
  <c r="AW778" i="11"/>
  <c r="AW773" i="11"/>
  <c r="AW767" i="11"/>
  <c r="AW762" i="11"/>
  <c r="AW757" i="11"/>
  <c r="AW751" i="11"/>
  <c r="AW746" i="11"/>
  <c r="AW741" i="11"/>
  <c r="AW735" i="11"/>
  <c r="AW730" i="11"/>
  <c r="AW725" i="11"/>
  <c r="AW719" i="11"/>
  <c r="AW714" i="11"/>
  <c r="AW709" i="11"/>
  <c r="AW703" i="11"/>
  <c r="AW698" i="11"/>
  <c r="AW693" i="11"/>
  <c r="AW687" i="11"/>
  <c r="AW682" i="11"/>
  <c r="AW677" i="11"/>
  <c r="AW671" i="11"/>
  <c r="AW666" i="11"/>
  <c r="AW661" i="11"/>
  <c r="AW655" i="11"/>
  <c r="AW650" i="11"/>
  <c r="AW645" i="11"/>
  <c r="AW639" i="11"/>
  <c r="AW634" i="11"/>
  <c r="AW629" i="11"/>
  <c r="AW623" i="11"/>
  <c r="AW618" i="11"/>
  <c r="AW613" i="11"/>
  <c r="AW607" i="11"/>
  <c r="AW602" i="11"/>
  <c r="AW597" i="11"/>
  <c r="AW591" i="11"/>
  <c r="AW586" i="11"/>
  <c r="AW581" i="11"/>
  <c r="AW575" i="11"/>
  <c r="AW570" i="11"/>
  <c r="AW565" i="11"/>
  <c r="AW559" i="11"/>
  <c r="AW554" i="11"/>
  <c r="AW549" i="11"/>
  <c r="AW543" i="11"/>
  <c r="AW537" i="11"/>
  <c r="AW530" i="11"/>
  <c r="AW522" i="11"/>
  <c r="AW515" i="11"/>
  <c r="AW509" i="11"/>
  <c r="AW501" i="11"/>
  <c r="AW494" i="11"/>
  <c r="AW487" i="11"/>
  <c r="AW476" i="11"/>
  <c r="AW468" i="11"/>
  <c r="AZ468" i="11" s="1"/>
  <c r="AW459" i="11"/>
  <c r="AW448" i="11"/>
  <c r="AZ448" i="11" s="1"/>
  <c r="AW439" i="11"/>
  <c r="AW431" i="11"/>
  <c r="AW420" i="11"/>
  <c r="AX420" i="11" s="1"/>
  <c r="AW411" i="11"/>
  <c r="AW401" i="11"/>
  <c r="AW391" i="11"/>
  <c r="AW383" i="11"/>
  <c r="AW373" i="11"/>
  <c r="AW363" i="11"/>
  <c r="AW353" i="11"/>
  <c r="AW345" i="11"/>
  <c r="AW335" i="11"/>
  <c r="AW325" i="11"/>
  <c r="AW316" i="11"/>
  <c r="AZ316" i="11" s="1"/>
  <c r="AW305" i="11"/>
  <c r="AW297" i="11"/>
  <c r="AW288" i="11"/>
  <c r="AZ288" i="11" s="1"/>
  <c r="AW277" i="11"/>
  <c r="AW268" i="11"/>
  <c r="AZ268" i="11" s="1"/>
  <c r="AW260" i="11"/>
  <c r="AZ260" i="11" s="1"/>
  <c r="AW249" i="11"/>
  <c r="AW240" i="11"/>
  <c r="AZ240" i="11" s="1"/>
  <c r="AW231" i="11"/>
  <c r="AW220" i="11"/>
  <c r="AZ220" i="11" s="1"/>
  <c r="AW212" i="11"/>
  <c r="AZ212" i="11" s="1"/>
  <c r="AW203" i="11"/>
  <c r="AW192" i="11"/>
  <c r="AZ192" i="11" s="1"/>
  <c r="AW183" i="11"/>
  <c r="AW175" i="11"/>
  <c r="AW164" i="11"/>
  <c r="AZ164" i="11" s="1"/>
  <c r="AW155" i="11"/>
  <c r="AW145" i="11"/>
  <c r="AW135" i="11"/>
  <c r="AW127" i="11"/>
  <c r="AW117" i="11"/>
  <c r="AW107" i="11"/>
  <c r="AW97" i="11"/>
  <c r="AW89" i="11"/>
  <c r="AW79" i="11"/>
  <c r="AW69" i="11"/>
  <c r="AW60" i="11"/>
  <c r="AZ60" i="11" s="1"/>
  <c r="AW49" i="11"/>
  <c r="AW41" i="11"/>
  <c r="AW32" i="11"/>
  <c r="AZ32" i="11" s="1"/>
  <c r="P1009" i="10"/>
  <c r="O1009" i="10"/>
  <c r="S27" i="16"/>
  <c r="AW12" i="11"/>
  <c r="AZ12" i="11" s="1"/>
  <c r="AW16" i="11"/>
  <c r="AV16" i="11" s="1"/>
  <c r="AW20" i="11"/>
  <c r="AY20" i="11" s="1"/>
  <c r="AW24" i="11"/>
  <c r="AZ24" i="11" s="1"/>
  <c r="AW28" i="11"/>
  <c r="AZ28" i="11" s="1"/>
  <c r="AW14" i="11"/>
  <c r="AW19" i="11"/>
  <c r="AW25" i="11"/>
  <c r="AW30" i="11"/>
  <c r="AW34" i="11"/>
  <c r="AW38" i="11"/>
  <c r="AW42" i="11"/>
  <c r="AW46" i="11"/>
  <c r="AW50" i="11"/>
  <c r="AW54" i="11"/>
  <c r="AW58" i="11"/>
  <c r="AW62" i="11"/>
  <c r="AW66" i="11"/>
  <c r="AW70" i="11"/>
  <c r="AW74" i="11"/>
  <c r="AW78" i="11"/>
  <c r="AW82" i="11"/>
  <c r="AW86" i="11"/>
  <c r="AW90" i="11"/>
  <c r="AW94" i="11"/>
  <c r="AW98" i="11"/>
  <c r="AW102" i="11"/>
  <c r="AW106" i="11"/>
  <c r="AW110" i="11"/>
  <c r="AW114" i="11"/>
  <c r="AW118" i="11"/>
  <c r="AW122" i="11"/>
  <c r="AW126" i="11"/>
  <c r="AW130" i="11"/>
  <c r="AW134" i="11"/>
  <c r="AW138" i="11"/>
  <c r="AW142" i="11"/>
  <c r="AW146" i="11"/>
  <c r="AW150" i="11"/>
  <c r="AW154" i="11"/>
  <c r="AW158" i="11"/>
  <c r="AW162" i="11"/>
  <c r="AW166" i="11"/>
  <c r="AW170" i="11"/>
  <c r="AW174" i="11"/>
  <c r="AW178" i="11"/>
  <c r="AW182" i="11"/>
  <c r="AW186" i="11"/>
  <c r="AW190" i="11"/>
  <c r="AW194" i="11"/>
  <c r="AW198" i="11"/>
  <c r="AW202" i="11"/>
  <c r="AW206" i="11"/>
  <c r="AW210" i="11"/>
  <c r="AW214" i="11"/>
  <c r="AW218" i="11"/>
  <c r="AW222" i="11"/>
  <c r="AW226" i="11"/>
  <c r="AW230" i="11"/>
  <c r="AW234" i="11"/>
  <c r="AW238" i="11"/>
  <c r="AW242" i="11"/>
  <c r="AW246" i="11"/>
  <c r="AW250" i="11"/>
  <c r="AW254" i="11"/>
  <c r="AW258" i="11"/>
  <c r="AW262" i="11"/>
  <c r="AW266" i="11"/>
  <c r="AW270" i="11"/>
  <c r="AW274" i="11"/>
  <c r="AW278" i="11"/>
  <c r="AW282" i="11"/>
  <c r="AW286" i="11"/>
  <c r="AW290" i="11"/>
  <c r="AW294" i="11"/>
  <c r="AW298" i="11"/>
  <c r="AW302" i="11"/>
  <c r="AW306" i="11"/>
  <c r="AW310" i="11"/>
  <c r="AW314" i="11"/>
  <c r="AW318" i="11"/>
  <c r="AW322" i="11"/>
  <c r="AW326" i="11"/>
  <c r="AW330" i="11"/>
  <c r="AW334" i="11"/>
  <c r="AW338" i="11"/>
  <c r="AW342" i="11"/>
  <c r="AW346" i="11"/>
  <c r="AW350" i="11"/>
  <c r="AW354" i="11"/>
  <c r="AW358" i="11"/>
  <c r="AW362" i="11"/>
  <c r="AW366" i="11"/>
  <c r="AW370" i="11"/>
  <c r="AW374" i="11"/>
  <c r="AW378" i="11"/>
  <c r="AW382" i="11"/>
  <c r="AW386" i="11"/>
  <c r="AW390" i="11"/>
  <c r="AW394" i="11"/>
  <c r="AW398" i="11"/>
  <c r="AW402" i="11"/>
  <c r="AW406" i="11"/>
  <c r="AW410" i="11"/>
  <c r="AW414" i="11"/>
  <c r="AW418" i="11"/>
  <c r="AW422" i="11"/>
  <c r="AW426" i="11"/>
  <c r="AW430" i="11"/>
  <c r="AW434" i="11"/>
  <c r="AW438" i="11"/>
  <c r="AW442" i="11"/>
  <c r="AW446" i="11"/>
  <c r="AW450" i="11"/>
  <c r="AW454" i="11"/>
  <c r="AW458" i="11"/>
  <c r="AW462" i="11"/>
  <c r="AW466" i="11"/>
  <c r="AW470" i="11"/>
  <c r="AW474" i="11"/>
  <c r="AW478" i="11"/>
  <c r="AW482" i="11"/>
  <c r="AW486" i="11"/>
  <c r="AW15" i="11"/>
  <c r="AW22" i="11"/>
  <c r="AW29" i="11"/>
  <c r="AW35" i="11"/>
  <c r="AW40" i="11"/>
  <c r="AZ40" i="11" s="1"/>
  <c r="AW45" i="11"/>
  <c r="AW51" i="11"/>
  <c r="AW56" i="11"/>
  <c r="AY56" i="11" s="1"/>
  <c r="AW61" i="11"/>
  <c r="AW67" i="11"/>
  <c r="AW72" i="11"/>
  <c r="AV72" i="11" s="1"/>
  <c r="AW77" i="11"/>
  <c r="AW83" i="11"/>
  <c r="AW88" i="11"/>
  <c r="AZ88" i="11" s="1"/>
  <c r="AW93" i="11"/>
  <c r="AW99" i="11"/>
  <c r="AW104" i="11"/>
  <c r="AZ104" i="11" s="1"/>
  <c r="AW109" i="11"/>
  <c r="AW115" i="11"/>
  <c r="AW120" i="11"/>
  <c r="AZ120" i="11" s="1"/>
  <c r="AW125" i="11"/>
  <c r="AW131" i="11"/>
  <c r="AW136" i="11"/>
  <c r="AV136" i="11" s="1"/>
  <c r="AW141" i="11"/>
  <c r="AW147" i="11"/>
  <c r="AW152" i="11"/>
  <c r="AZ152" i="11" s="1"/>
  <c r="AW157" i="11"/>
  <c r="AW163" i="11"/>
  <c r="AW168" i="11"/>
  <c r="AZ168" i="11" s="1"/>
  <c r="AW173" i="11"/>
  <c r="AW179" i="11"/>
  <c r="AW184" i="11"/>
  <c r="AV184" i="11" s="1"/>
  <c r="AW189" i="11"/>
  <c r="AW195" i="11"/>
  <c r="AW200" i="11"/>
  <c r="AY200" i="11" s="1"/>
  <c r="AW205" i="11"/>
  <c r="AW211" i="11"/>
  <c r="AW216" i="11"/>
  <c r="AZ216" i="11" s="1"/>
  <c r="AW221" i="11"/>
  <c r="AW227" i="11"/>
  <c r="AW232" i="11"/>
  <c r="AZ232" i="11" s="1"/>
  <c r="AW237" i="11"/>
  <c r="AW243" i="11"/>
  <c r="AW248" i="11"/>
  <c r="AY248" i="11" s="1"/>
  <c r="AW253" i="11"/>
  <c r="AW259" i="11"/>
  <c r="AW264" i="11"/>
  <c r="AV264" i="11" s="1"/>
  <c r="AW269" i="11"/>
  <c r="AW275" i="11"/>
  <c r="AW280" i="11"/>
  <c r="AZ280" i="11" s="1"/>
  <c r="AW285" i="11"/>
  <c r="AW291" i="11"/>
  <c r="AW296" i="11"/>
  <c r="AZ296" i="11" s="1"/>
  <c r="AW301" i="11"/>
  <c r="AW307" i="11"/>
  <c r="AW312" i="11"/>
  <c r="AV312" i="11" s="1"/>
  <c r="AW317" i="11"/>
  <c r="AW323" i="11"/>
  <c r="AW328" i="11"/>
  <c r="AV328" i="11" s="1"/>
  <c r="AW333" i="11"/>
  <c r="AW339" i="11"/>
  <c r="AW344" i="11"/>
  <c r="AZ344" i="11" s="1"/>
  <c r="AW349" i="11"/>
  <c r="AW355" i="11"/>
  <c r="AW360" i="11"/>
  <c r="AZ360" i="11" s="1"/>
  <c r="AW365" i="11"/>
  <c r="AW371" i="11"/>
  <c r="AW376" i="11"/>
  <c r="AZ376" i="11" s="1"/>
  <c r="AW381" i="11"/>
  <c r="AW387" i="11"/>
  <c r="AW392" i="11"/>
  <c r="AV392" i="11" s="1"/>
  <c r="AW397" i="11"/>
  <c r="AW403" i="11"/>
  <c r="AW408" i="11"/>
  <c r="AZ408" i="11" s="1"/>
  <c r="AW413" i="11"/>
  <c r="AW419" i="11"/>
  <c r="AW424" i="11"/>
  <c r="AZ424" i="11" s="1"/>
  <c r="AW429" i="11"/>
  <c r="AW435" i="11"/>
  <c r="AW440" i="11"/>
  <c r="AY440" i="11" s="1"/>
  <c r="AW445" i="11"/>
  <c r="AW451" i="11"/>
  <c r="AW456" i="11"/>
  <c r="AX456" i="11" s="1"/>
  <c r="AW461" i="11"/>
  <c r="AW467" i="11"/>
  <c r="AW472" i="11"/>
  <c r="AZ472" i="11" s="1"/>
  <c r="AW477" i="11"/>
  <c r="AW483" i="11"/>
  <c r="AW488" i="11"/>
  <c r="AZ488" i="11" s="1"/>
  <c r="AW492" i="11"/>
  <c r="AZ492" i="11" s="1"/>
  <c r="AW496" i="11"/>
  <c r="AY496" i="11" s="1"/>
  <c r="AW500" i="11"/>
  <c r="AX500" i="11" s="1"/>
  <c r="AW504" i="11"/>
  <c r="AZ504" i="11" s="1"/>
  <c r="AW508" i="11"/>
  <c r="AZ508" i="11" s="1"/>
  <c r="AW512" i="11"/>
  <c r="AW516" i="11"/>
  <c r="AY516" i="11" s="1"/>
  <c r="AW520" i="11"/>
  <c r="AZ520" i="11" s="1"/>
  <c r="AW524" i="11"/>
  <c r="AZ524" i="11" s="1"/>
  <c r="AW528" i="11"/>
  <c r="AV528" i="11" s="1"/>
  <c r="AW532" i="11"/>
  <c r="AX532" i="11" s="1"/>
  <c r="AW536" i="11"/>
  <c r="AZ536" i="11" s="1"/>
  <c r="AW540" i="11"/>
  <c r="AZ540" i="11" s="1"/>
  <c r="AW544" i="11"/>
  <c r="AV544" i="11" s="1"/>
  <c r="AW548" i="11"/>
  <c r="AX548" i="11" s="1"/>
  <c r="AW552" i="11"/>
  <c r="AZ552" i="11" s="1"/>
  <c r="AW556" i="11"/>
  <c r="AZ556" i="11" s="1"/>
  <c r="AW560" i="11"/>
  <c r="AV560" i="11" s="1"/>
  <c r="AW564" i="11"/>
  <c r="AX564" i="11" s="1"/>
  <c r="AW568" i="11"/>
  <c r="AZ568" i="11" s="1"/>
  <c r="AW572" i="11"/>
  <c r="AZ572" i="11" s="1"/>
  <c r="AW576" i="11"/>
  <c r="AY576" i="11" s="1"/>
  <c r="AW580" i="11"/>
  <c r="AX580" i="11" s="1"/>
  <c r="AW584" i="11"/>
  <c r="AZ584" i="11" s="1"/>
  <c r="AW588" i="11"/>
  <c r="AW592" i="11"/>
  <c r="AV592" i="11" s="1"/>
  <c r="AW596" i="11"/>
  <c r="AY596" i="11" s="1"/>
  <c r="AW600" i="11"/>
  <c r="AZ600" i="11" s="1"/>
  <c r="AW604" i="11"/>
  <c r="AZ604" i="11" s="1"/>
  <c r="AW608" i="11"/>
  <c r="AY608" i="11" s="1"/>
  <c r="AW612" i="11"/>
  <c r="AY612" i="11" s="1"/>
  <c r="AW616" i="11"/>
  <c r="AZ616" i="11" s="1"/>
  <c r="AW620" i="11"/>
  <c r="AZ620" i="11" s="1"/>
  <c r="AW624" i="11"/>
  <c r="AY624" i="11" s="1"/>
  <c r="AW628" i="11"/>
  <c r="AY628" i="11" s="1"/>
  <c r="AW632" i="11"/>
  <c r="AZ632" i="11" s="1"/>
  <c r="AW636" i="11"/>
  <c r="AZ636" i="11" s="1"/>
  <c r="AW640" i="11"/>
  <c r="AY640" i="11" s="1"/>
  <c r="AW644" i="11"/>
  <c r="AY644" i="11" s="1"/>
  <c r="AW648" i="11"/>
  <c r="AZ648" i="11" s="1"/>
  <c r="AW652" i="11"/>
  <c r="AZ652" i="11" s="1"/>
  <c r="AW656" i="11"/>
  <c r="AY656" i="11" s="1"/>
  <c r="AW660" i="11"/>
  <c r="AY660" i="11" s="1"/>
  <c r="AW664" i="11"/>
  <c r="AZ664" i="11" s="1"/>
  <c r="AW668" i="11"/>
  <c r="AZ668" i="11" s="1"/>
  <c r="AW672" i="11"/>
  <c r="AV672" i="11" s="1"/>
  <c r="AW676" i="11"/>
  <c r="AY676" i="11" s="1"/>
  <c r="AW680" i="11"/>
  <c r="AZ680" i="11" s="1"/>
  <c r="AW684" i="11"/>
  <c r="AZ684" i="11" s="1"/>
  <c r="AW688" i="11"/>
  <c r="AY688" i="11" s="1"/>
  <c r="AW692" i="11"/>
  <c r="AX692" i="11" s="1"/>
  <c r="AW696" i="11"/>
  <c r="AZ696" i="11" s="1"/>
  <c r="AW700" i="11"/>
  <c r="AZ700" i="11" s="1"/>
  <c r="AW704" i="11"/>
  <c r="AW708" i="11"/>
  <c r="AY708" i="11" s="1"/>
  <c r="AW712" i="11"/>
  <c r="AZ712" i="11" s="1"/>
  <c r="AW716" i="11"/>
  <c r="AZ716" i="11" s="1"/>
  <c r="AW720" i="11"/>
  <c r="AW724" i="11"/>
  <c r="AX724" i="11" s="1"/>
  <c r="AW728" i="11"/>
  <c r="AZ728" i="11" s="1"/>
  <c r="AW732" i="11"/>
  <c r="AZ732" i="11" s="1"/>
  <c r="AW736" i="11"/>
  <c r="AV736" i="11" s="1"/>
  <c r="AW740" i="11"/>
  <c r="AY740" i="11" s="1"/>
  <c r="AW744" i="11"/>
  <c r="AZ744" i="11" s="1"/>
  <c r="AW748" i="11"/>
  <c r="AZ748" i="11" s="1"/>
  <c r="AW752" i="11"/>
  <c r="AY752" i="11" s="1"/>
  <c r="AW756" i="11"/>
  <c r="AX756" i="11" s="1"/>
  <c r="AW760" i="11"/>
  <c r="AZ760" i="11" s="1"/>
  <c r="AW764" i="11"/>
  <c r="AZ764" i="11" s="1"/>
  <c r="AW768" i="11"/>
  <c r="AW772" i="11"/>
  <c r="AY772" i="11" s="1"/>
  <c r="AW776" i="11"/>
  <c r="AZ776" i="11" s="1"/>
  <c r="AW780" i="11"/>
  <c r="AZ780" i="11" s="1"/>
  <c r="AW784" i="11"/>
  <c r="AW788" i="11"/>
  <c r="AX788" i="11" s="1"/>
  <c r="AW792" i="11"/>
  <c r="AZ792" i="11" s="1"/>
  <c r="AW796" i="11"/>
  <c r="AZ796" i="11" s="1"/>
  <c r="AW800" i="11"/>
  <c r="AV800" i="11" s="1"/>
  <c r="AW804" i="11"/>
  <c r="AX804" i="11" s="1"/>
  <c r="AW808" i="11"/>
  <c r="AZ808" i="11" s="1"/>
  <c r="AW812" i="11"/>
  <c r="AZ812" i="11" s="1"/>
  <c r="AW816" i="11"/>
  <c r="AY816" i="11" s="1"/>
  <c r="AW820" i="11"/>
  <c r="AX820" i="11" s="1"/>
  <c r="AW824" i="11"/>
  <c r="AZ824" i="11" s="1"/>
  <c r="AW828" i="11"/>
  <c r="AZ828" i="11" s="1"/>
  <c r="AW832" i="11"/>
  <c r="AW836" i="11"/>
  <c r="AY836" i="11" s="1"/>
  <c r="AW840" i="11"/>
  <c r="AZ840" i="11" s="1"/>
  <c r="AW844" i="11"/>
  <c r="AZ844" i="11" s="1"/>
  <c r="AW848" i="11"/>
  <c r="AW852" i="11"/>
  <c r="AX852" i="11" s="1"/>
  <c r="AW856" i="11"/>
  <c r="AZ856" i="11" s="1"/>
  <c r="AW860" i="11"/>
  <c r="AZ860" i="11" s="1"/>
  <c r="AW864" i="11"/>
  <c r="AV864" i="11" s="1"/>
  <c r="AW868" i="11"/>
  <c r="AX868" i="11" s="1"/>
  <c r="AW872" i="11"/>
  <c r="AZ872" i="11" s="1"/>
  <c r="AW876" i="11"/>
  <c r="AZ876" i="11" s="1"/>
  <c r="AW880" i="11"/>
  <c r="AY880" i="11" s="1"/>
  <c r="AW884" i="11"/>
  <c r="AY884" i="11" s="1"/>
  <c r="AW888" i="11"/>
  <c r="AZ888" i="11" s="1"/>
  <c r="AW892" i="11"/>
  <c r="AZ892" i="11" s="1"/>
  <c r="AW896" i="11"/>
  <c r="AW900" i="11"/>
  <c r="AX900" i="11" s="1"/>
  <c r="AW904" i="11"/>
  <c r="AZ904" i="11" s="1"/>
  <c r="AW908" i="11"/>
  <c r="AW912" i="11"/>
  <c r="AW916" i="11"/>
  <c r="AY916" i="11" s="1"/>
  <c r="AW920" i="11"/>
  <c r="AZ920" i="11" s="1"/>
  <c r="AW924" i="11"/>
  <c r="AZ924" i="11" s="1"/>
  <c r="AW928" i="11"/>
  <c r="AV928" i="11" s="1"/>
  <c r="AW932" i="11"/>
  <c r="AY932" i="11" s="1"/>
  <c r="AW936" i="11"/>
  <c r="AZ936" i="11" s="1"/>
  <c r="AW940" i="11"/>
  <c r="AZ940" i="11" s="1"/>
  <c r="AW944" i="11"/>
  <c r="AY944" i="11" s="1"/>
  <c r="AW948" i="11"/>
  <c r="AX948" i="11" s="1"/>
  <c r="AW952" i="11"/>
  <c r="AZ952" i="11" s="1"/>
  <c r="AW956" i="11"/>
  <c r="AZ956" i="11" s="1"/>
  <c r="AW960" i="11"/>
  <c r="AW964" i="11"/>
  <c r="AY964" i="11" s="1"/>
  <c r="AW968" i="11"/>
  <c r="AZ968" i="11" s="1"/>
  <c r="AW972" i="11"/>
  <c r="AZ972" i="11" s="1"/>
  <c r="AW976" i="11"/>
  <c r="AW980" i="11"/>
  <c r="AX980" i="11" s="1"/>
  <c r="AW984" i="11"/>
  <c r="AZ984" i="11" s="1"/>
  <c r="AW988" i="11"/>
  <c r="AZ988" i="11" s="1"/>
  <c r="AW992" i="11"/>
  <c r="AW996" i="11"/>
  <c r="AX996" i="11" s="1"/>
  <c r="AW1000" i="11"/>
  <c r="AZ1000" i="11" s="1"/>
  <c r="AW21" i="11"/>
  <c r="AW31" i="11"/>
  <c r="AW37" i="11"/>
  <c r="AW44" i="11"/>
  <c r="AZ44" i="11" s="1"/>
  <c r="AW52" i="11"/>
  <c r="AZ52" i="11" s="1"/>
  <c r="AW59" i="11"/>
  <c r="AW65" i="11"/>
  <c r="AW73" i="11"/>
  <c r="AW80" i="11"/>
  <c r="AZ80" i="11" s="1"/>
  <c r="AW87" i="11"/>
  <c r="AW95" i="11"/>
  <c r="AW101" i="11"/>
  <c r="AW108" i="11"/>
  <c r="AZ108" i="11" s="1"/>
  <c r="AW116" i="11"/>
  <c r="AW123" i="11"/>
  <c r="AW129" i="11"/>
  <c r="AW137" i="11"/>
  <c r="AW144" i="11"/>
  <c r="AZ144" i="11" s="1"/>
  <c r="AW151" i="11"/>
  <c r="AW159" i="11"/>
  <c r="AW165" i="11"/>
  <c r="AW172" i="11"/>
  <c r="AV172" i="11" s="1"/>
  <c r="AW180" i="11"/>
  <c r="AZ180" i="11" s="1"/>
  <c r="AW187" i="11"/>
  <c r="AW193" i="11"/>
  <c r="AW201" i="11"/>
  <c r="AW208" i="11"/>
  <c r="AX208" i="11" s="1"/>
  <c r="AW215" i="11"/>
  <c r="AW223" i="11"/>
  <c r="AW229" i="11"/>
  <c r="AW236" i="11"/>
  <c r="AV236" i="11" s="1"/>
  <c r="AW244" i="11"/>
  <c r="AZ244" i="11" s="1"/>
  <c r="AW251" i="11"/>
  <c r="AW257" i="11"/>
  <c r="AW265" i="11"/>
  <c r="AW272" i="11"/>
  <c r="AZ272" i="11" s="1"/>
  <c r="AW279" i="11"/>
  <c r="AW287" i="11"/>
  <c r="AW293" i="11"/>
  <c r="AW300" i="11"/>
  <c r="AZ300" i="11" s="1"/>
  <c r="AW308" i="11"/>
  <c r="AZ308" i="11" s="1"/>
  <c r="AW315" i="11"/>
  <c r="AW321" i="11"/>
  <c r="AW329" i="11"/>
  <c r="AW336" i="11"/>
  <c r="AZ336" i="11" s="1"/>
  <c r="AW343" i="11"/>
  <c r="AW351" i="11"/>
  <c r="AW357" i="11"/>
  <c r="AW364" i="11"/>
  <c r="AZ364" i="11" s="1"/>
  <c r="AW372" i="11"/>
  <c r="AW379" i="11"/>
  <c r="AW385" i="11"/>
  <c r="AW393" i="11"/>
  <c r="AW400" i="11"/>
  <c r="AZ400" i="11" s="1"/>
  <c r="AW407" i="11"/>
  <c r="AW415" i="11"/>
  <c r="AW421" i="11"/>
  <c r="AW428" i="11"/>
  <c r="AZ428" i="11" s="1"/>
  <c r="AW436" i="11"/>
  <c r="AX436" i="11" s="1"/>
  <c r="AW443" i="11"/>
  <c r="AW449" i="11"/>
  <c r="AW457" i="11"/>
  <c r="AW464" i="11"/>
  <c r="AY464" i="11" s="1"/>
  <c r="AW471" i="11"/>
  <c r="AW479" i="11"/>
  <c r="AW485" i="11"/>
  <c r="AW491" i="11"/>
  <c r="AW497" i="11"/>
  <c r="AW502" i="11"/>
  <c r="AW507" i="11"/>
  <c r="AW513" i="11"/>
  <c r="AW518" i="11"/>
  <c r="AW523" i="11"/>
  <c r="AW529" i="11"/>
  <c r="AW534" i="11"/>
  <c r="AW539" i="11"/>
  <c r="I1081" i="10"/>
  <c r="H79" i="16" s="1"/>
  <c r="K79" i="16"/>
  <c r="B206" i="8"/>
  <c r="F5" i="12"/>
  <c r="N4171" i="14" s="1"/>
  <c r="K4171" i="14" s="1"/>
  <c r="C204" i="8"/>
  <c r="C206" i="8" s="1"/>
  <c r="B128" i="17"/>
  <c r="N1018" i="10"/>
  <c r="N1014" i="10"/>
  <c r="S1010" i="10"/>
  <c r="N1017" i="10"/>
  <c r="N1012" i="10"/>
  <c r="C1081" i="10"/>
  <c r="H1010" i="10"/>
  <c r="X1388" i="10"/>
  <c r="S1021" i="10"/>
  <c r="C116" i="17"/>
  <c r="M145" i="17"/>
  <c r="M129" i="17"/>
  <c r="F81" i="17"/>
  <c r="H107" i="17" s="1"/>
  <c r="G30" i="17"/>
  <c r="F47" i="17" s="1"/>
  <c r="F62" i="17" s="1"/>
  <c r="C4173" i="14"/>
  <c r="M157" i="17"/>
  <c r="I1087" i="10"/>
  <c r="AG2" i="11"/>
  <c r="M153" i="17"/>
  <c r="M137" i="17"/>
  <c r="C73" i="17"/>
  <c r="C118" i="17" s="1"/>
  <c r="C54" i="17"/>
  <c r="X1383" i="10"/>
  <c r="Y1383" i="10"/>
  <c r="X1395" i="10"/>
  <c r="X1403" i="10"/>
  <c r="X1411" i="10"/>
  <c r="X1419" i="10"/>
  <c r="X1427" i="10"/>
  <c r="AD1018" i="12"/>
  <c r="AM6" i="12"/>
  <c r="L1057" i="11"/>
  <c r="X1390" i="10"/>
  <c r="Y1390" i="10"/>
  <c r="AB1390" i="10"/>
  <c r="X1399" i="10"/>
  <c r="X1407" i="10"/>
  <c r="X1415" i="10"/>
  <c r="X1423" i="10"/>
  <c r="AD1025" i="12"/>
  <c r="AD1026" i="12"/>
  <c r="P1076" i="10" s="1"/>
  <c r="AH1025" i="12"/>
  <c r="AH1026" i="12" s="1"/>
  <c r="G70" i="18"/>
  <c r="E70" i="18" s="1"/>
  <c r="E71" i="18" s="1"/>
  <c r="H70" i="18"/>
  <c r="K1012" i="10"/>
  <c r="B84" i="13"/>
  <c r="C144" i="10"/>
  <c r="B34" i="12"/>
  <c r="B64" i="11"/>
  <c r="O29" i="16"/>
  <c r="O31" i="16" s="1"/>
  <c r="C1080" i="10"/>
  <c r="D159" i="17"/>
  <c r="AQ2" i="11"/>
  <c r="AD8" i="11"/>
  <c r="AD4" i="11"/>
  <c r="AD7" i="11"/>
  <c r="AD9" i="11"/>
  <c r="AD13" i="11"/>
  <c r="AD15" i="11"/>
  <c r="AD17" i="11"/>
  <c r="AD19" i="11"/>
  <c r="AD21" i="11"/>
  <c r="AD23" i="11"/>
  <c r="AD27" i="11"/>
  <c r="AD29" i="11"/>
  <c r="AD33" i="11"/>
  <c r="AD35" i="11"/>
  <c r="AD41" i="11"/>
  <c r="AD43" i="11"/>
  <c r="AD45" i="11"/>
  <c r="AD47" i="11"/>
  <c r="AD49" i="11"/>
  <c r="AD51" i="11"/>
  <c r="AD53" i="11"/>
  <c r="AD55" i="11"/>
  <c r="AD57" i="11"/>
  <c r="AD59" i="11"/>
  <c r="AD61" i="11"/>
  <c r="AD63" i="11"/>
  <c r="AD65" i="11"/>
  <c r="AD67" i="11"/>
  <c r="AD69" i="11"/>
  <c r="AD71" i="11"/>
  <c r="AD73" i="11"/>
  <c r="AD75" i="11"/>
  <c r="AD77" i="11"/>
  <c r="AD79" i="11"/>
  <c r="AD81" i="11"/>
  <c r="AD83" i="11"/>
  <c r="AD85" i="11"/>
  <c r="AD87" i="11"/>
  <c r="AD89" i="11"/>
  <c r="AD91" i="11"/>
  <c r="AD93" i="11"/>
  <c r="AD95" i="11"/>
  <c r="AD97" i="11"/>
  <c r="AD99" i="11"/>
  <c r="AD101" i="11"/>
  <c r="AD103" i="11"/>
  <c r="AD105" i="11"/>
  <c r="AD107" i="11"/>
  <c r="AD109" i="11"/>
  <c r="AD111" i="11"/>
  <c r="AD113" i="11"/>
  <c r="AD115" i="11"/>
  <c r="AD117" i="11"/>
  <c r="AD119" i="11"/>
  <c r="AD121" i="11"/>
  <c r="AD123" i="11"/>
  <c r="AD125" i="11"/>
  <c r="AD127" i="11"/>
  <c r="AD129" i="11"/>
  <c r="AD131" i="11"/>
  <c r="AD133" i="11"/>
  <c r="AD135" i="11"/>
  <c r="AD137" i="11"/>
  <c r="AD139" i="11"/>
  <c r="AD141" i="11"/>
  <c r="AD143" i="11"/>
  <c r="AD145" i="11"/>
  <c r="AD147" i="11"/>
  <c r="AD149" i="11"/>
  <c r="AD151" i="11"/>
  <c r="AD153" i="11"/>
  <c r="AD155" i="11"/>
  <c r="AD157" i="11"/>
  <c r="AD159" i="11"/>
  <c r="AD161" i="11"/>
  <c r="AD163" i="11"/>
  <c r="AD165" i="11"/>
  <c r="AD167" i="11"/>
  <c r="AD169" i="11"/>
  <c r="AD171" i="11"/>
  <c r="AD173" i="11"/>
  <c r="AD175" i="11"/>
  <c r="AD177" i="11"/>
  <c r="AD179" i="11"/>
  <c r="AD181" i="11"/>
  <c r="AD183" i="11"/>
  <c r="AD185" i="11"/>
  <c r="AD187" i="11"/>
  <c r="AD189" i="11"/>
  <c r="AD191" i="11"/>
  <c r="AD193" i="11"/>
  <c r="AD195" i="11"/>
  <c r="AD197" i="11"/>
  <c r="AD199" i="11"/>
  <c r="AD201" i="11"/>
  <c r="AD203" i="11"/>
  <c r="AD205" i="11"/>
  <c r="AD207" i="11"/>
  <c r="AD209" i="11"/>
  <c r="AD211" i="11"/>
  <c r="AD213" i="11"/>
  <c r="AD215" i="11"/>
  <c r="AD217" i="11"/>
  <c r="AD219" i="11"/>
  <c r="AD221" i="11"/>
  <c r="AD223" i="11"/>
  <c r="AD225" i="11"/>
  <c r="AD227" i="11"/>
  <c r="AD229" i="11"/>
  <c r="AD231" i="11"/>
  <c r="AD233" i="11"/>
  <c r="AD235" i="11"/>
  <c r="AD237" i="11"/>
  <c r="AD239" i="11"/>
  <c r="AD241" i="11"/>
  <c r="AD243" i="11"/>
  <c r="AD245" i="11"/>
  <c r="AD247" i="11"/>
  <c r="AD249" i="11"/>
  <c r="AD251" i="11"/>
  <c r="AD253" i="11"/>
  <c r="AD255" i="11"/>
  <c r="AD257" i="11"/>
  <c r="AD259" i="11"/>
  <c r="AD261" i="11"/>
  <c r="AD263" i="11"/>
  <c r="AD265" i="11"/>
  <c r="AD267" i="11"/>
  <c r="AD269" i="11"/>
  <c r="AD271" i="11"/>
  <c r="AD273" i="11"/>
  <c r="AD275" i="11"/>
  <c r="AD277" i="11"/>
  <c r="AD279" i="11"/>
  <c r="AD281" i="11"/>
  <c r="AD283" i="11"/>
  <c r="AD285" i="11"/>
  <c r="AD287" i="11"/>
  <c r="AD289" i="11"/>
  <c r="AD291" i="11"/>
  <c r="AD293" i="11"/>
  <c r="AD295" i="11"/>
  <c r="AD297" i="11"/>
  <c r="AD299" i="11"/>
  <c r="AD301" i="11"/>
  <c r="AD303" i="11"/>
  <c r="AD305" i="11"/>
  <c r="AD307" i="11"/>
  <c r="AD309" i="11"/>
  <c r="AD311" i="11"/>
  <c r="AD313" i="11"/>
  <c r="AD315" i="11"/>
  <c r="AD317" i="11"/>
  <c r="AD319" i="11"/>
  <c r="AD321" i="11"/>
  <c r="AD323" i="11"/>
  <c r="AD325" i="11"/>
  <c r="AD327" i="11"/>
  <c r="AD329" i="11"/>
  <c r="AD331" i="11"/>
  <c r="AD333" i="11"/>
  <c r="AD335" i="11"/>
  <c r="AD337" i="11"/>
  <c r="AD339" i="11"/>
  <c r="AD341" i="11"/>
  <c r="AD343" i="11"/>
  <c r="AD345" i="11"/>
  <c r="AD347" i="11"/>
  <c r="AD349" i="11"/>
  <c r="AD351" i="11"/>
  <c r="AD353" i="11"/>
  <c r="AD355" i="11"/>
  <c r="AD357" i="11"/>
  <c r="AD359" i="11"/>
  <c r="AD361" i="11"/>
  <c r="AD363" i="11"/>
  <c r="AD365" i="11"/>
  <c r="AD367" i="11"/>
  <c r="AD369" i="11"/>
  <c r="AD371" i="11"/>
  <c r="AD373" i="11"/>
  <c r="AD375" i="11"/>
  <c r="AD377" i="11"/>
  <c r="AD379" i="11"/>
  <c r="AD381" i="11"/>
  <c r="AD383" i="11"/>
  <c r="AD385" i="11"/>
  <c r="AD387" i="11"/>
  <c r="AD389" i="11"/>
  <c r="AD391" i="11"/>
  <c r="AD393" i="11"/>
  <c r="AD395" i="11"/>
  <c r="AD397" i="11"/>
  <c r="AD399" i="11"/>
  <c r="AD401" i="11"/>
  <c r="AD403" i="11"/>
  <c r="AD405" i="11"/>
  <c r="AD407" i="11"/>
  <c r="AD409" i="11"/>
  <c r="AD411" i="11"/>
  <c r="AD413" i="11"/>
  <c r="AD415" i="11"/>
  <c r="AD417" i="11"/>
  <c r="AD419" i="11"/>
  <c r="AD421" i="11"/>
  <c r="AD423" i="11"/>
  <c r="AD425" i="11"/>
  <c r="AD427" i="11"/>
  <c r="AD429" i="11"/>
  <c r="AD431" i="11"/>
  <c r="AD433" i="11"/>
  <c r="AD435" i="11"/>
  <c r="AD437" i="11"/>
  <c r="AD439" i="11"/>
  <c r="AD441" i="11"/>
  <c r="AD443" i="11"/>
  <c r="AD445" i="11"/>
  <c r="AD447" i="11"/>
  <c r="AD449" i="11"/>
  <c r="AD451" i="11"/>
  <c r="AD453" i="11"/>
  <c r="AD455" i="11"/>
  <c r="AD457" i="11"/>
  <c r="AD459" i="11"/>
  <c r="AD461" i="11"/>
  <c r="AD463" i="11"/>
  <c r="AD465" i="11"/>
  <c r="AD467" i="11"/>
  <c r="AD469" i="11"/>
  <c r="AD471" i="11"/>
  <c r="AD473" i="11"/>
  <c r="AD475" i="11"/>
  <c r="AD477" i="11"/>
  <c r="AD479" i="11"/>
  <c r="AD481" i="11"/>
  <c r="AD483" i="11"/>
  <c r="AD485" i="11"/>
  <c r="AD487" i="11"/>
  <c r="AD489" i="11"/>
  <c r="AD491" i="11"/>
  <c r="AD493" i="11"/>
  <c r="AD495" i="11"/>
  <c r="AD497" i="11"/>
  <c r="AD499" i="11"/>
  <c r="AD501" i="11"/>
  <c r="AD503" i="11"/>
  <c r="AD505" i="11"/>
  <c r="AD507" i="11"/>
  <c r="AD509" i="11"/>
  <c r="AD511" i="11"/>
  <c r="AD513" i="11"/>
  <c r="AD515" i="11"/>
  <c r="AD517" i="11"/>
  <c r="AD519" i="11"/>
  <c r="AD521" i="11"/>
  <c r="AD523" i="11"/>
  <c r="AD525" i="11"/>
  <c r="AD527" i="11"/>
  <c r="AD529" i="11"/>
  <c r="AD531" i="11"/>
  <c r="AD533" i="11"/>
  <c r="AD535" i="11"/>
  <c r="AD537" i="11"/>
  <c r="AD539" i="11"/>
  <c r="AD541" i="11"/>
  <c r="AD543" i="11"/>
  <c r="AD545" i="11"/>
  <c r="AD547" i="11"/>
  <c r="AD549" i="11"/>
  <c r="AD551" i="11"/>
  <c r="AD553" i="11"/>
  <c r="AD555" i="11"/>
  <c r="AD557" i="11"/>
  <c r="AD559" i="11"/>
  <c r="AD561" i="11"/>
  <c r="AD563" i="11"/>
  <c r="AD565" i="11"/>
  <c r="AD567" i="11"/>
  <c r="AD569" i="11"/>
  <c r="AD571" i="11"/>
  <c r="AD573" i="11"/>
  <c r="AD575" i="11"/>
  <c r="AD577" i="11"/>
  <c r="AD579" i="11"/>
  <c r="AD581" i="11"/>
  <c r="AD583" i="11"/>
  <c r="AD585" i="11"/>
  <c r="AD587" i="11"/>
  <c r="AD589" i="11"/>
  <c r="AD591" i="11"/>
  <c r="AD593" i="11"/>
  <c r="AD595" i="11"/>
  <c r="AD597" i="11"/>
  <c r="AD599" i="11"/>
  <c r="AD601" i="11"/>
  <c r="AD603" i="11"/>
  <c r="AD605" i="11"/>
  <c r="AD607" i="11"/>
  <c r="AD609" i="11"/>
  <c r="AD611" i="11"/>
  <c r="AD613" i="11"/>
  <c r="AD615" i="11"/>
  <c r="AD617" i="11"/>
  <c r="AD619" i="11"/>
  <c r="AD621" i="11"/>
  <c r="AD623" i="11"/>
  <c r="AD625" i="11"/>
  <c r="AD627" i="11"/>
  <c r="AD629" i="11"/>
  <c r="AD631" i="11"/>
  <c r="AD633" i="11"/>
  <c r="AD635" i="11"/>
  <c r="AD637" i="11"/>
  <c r="AD639" i="11"/>
  <c r="AD641" i="11"/>
  <c r="AD643" i="11"/>
  <c r="AD645" i="11"/>
  <c r="AD647" i="11"/>
  <c r="AD649" i="11"/>
  <c r="AD651" i="11"/>
  <c r="AD653" i="11"/>
  <c r="AD655" i="11"/>
  <c r="AD657" i="11"/>
  <c r="AD659" i="11"/>
  <c r="AD661" i="11"/>
  <c r="AD663" i="11"/>
  <c r="AD665" i="11"/>
  <c r="AD667" i="11"/>
  <c r="AD669" i="11"/>
  <c r="AD671" i="11"/>
  <c r="AD673" i="11"/>
  <c r="AD675" i="11"/>
  <c r="AD677" i="11"/>
  <c r="AD679" i="11"/>
  <c r="AD681" i="11"/>
  <c r="AD683" i="11"/>
  <c r="AD685" i="11"/>
  <c r="AD687" i="11"/>
  <c r="AD689" i="11"/>
  <c r="AD691" i="11"/>
  <c r="AD693" i="11"/>
  <c r="AD695" i="11"/>
  <c r="AD697" i="11"/>
  <c r="AD699" i="11"/>
  <c r="AD701" i="11"/>
  <c r="AD703" i="11"/>
  <c r="AD705" i="11"/>
  <c r="AD707" i="11"/>
  <c r="AD709" i="11"/>
  <c r="AD711" i="11"/>
  <c r="AD713" i="11"/>
  <c r="AD715" i="11"/>
  <c r="AD717" i="11"/>
  <c r="AD719" i="11"/>
  <c r="AD721" i="11"/>
  <c r="AD723" i="11"/>
  <c r="AD725" i="11"/>
  <c r="AD727" i="11"/>
  <c r="AD729" i="11"/>
  <c r="AD731" i="11"/>
  <c r="AD733" i="11"/>
  <c r="AD735" i="11"/>
  <c r="AD737" i="11"/>
  <c r="AD739" i="11"/>
  <c r="AD741" i="11"/>
  <c r="AD743" i="11"/>
  <c r="AD745" i="11"/>
  <c r="AD747" i="11"/>
  <c r="AD749" i="11"/>
  <c r="AD751" i="11"/>
  <c r="AD753" i="11"/>
  <c r="AD755" i="11"/>
  <c r="AD757" i="11"/>
  <c r="AD759" i="11"/>
  <c r="AD761" i="11"/>
  <c r="AD763" i="11"/>
  <c r="AD765" i="11"/>
  <c r="AD767" i="11"/>
  <c r="AD769" i="11"/>
  <c r="AD771" i="11"/>
  <c r="AD773" i="11"/>
  <c r="AD775" i="11"/>
  <c r="AD777" i="11"/>
  <c r="AD779" i="11"/>
  <c r="AD781" i="11"/>
  <c r="AD783" i="11"/>
  <c r="AD785" i="11"/>
  <c r="AD787" i="11"/>
  <c r="AD789" i="11"/>
  <c r="AD791" i="11"/>
  <c r="AD793" i="11"/>
  <c r="AD795" i="11"/>
  <c r="AD797" i="11"/>
  <c r="AD799" i="11"/>
  <c r="AD801" i="11"/>
  <c r="AD803" i="11"/>
  <c r="AD805" i="11"/>
  <c r="AD807" i="11"/>
  <c r="AD809" i="11"/>
  <c r="AD811" i="11"/>
  <c r="AD813" i="11"/>
  <c r="AD815" i="11"/>
  <c r="AD817" i="11"/>
  <c r="AD819" i="11"/>
  <c r="AD821" i="11"/>
  <c r="AD823" i="11"/>
  <c r="AD825" i="11"/>
  <c r="AD827" i="11"/>
  <c r="AD829" i="11"/>
  <c r="AD831" i="11"/>
  <c r="AD833" i="11"/>
  <c r="AD835" i="11"/>
  <c r="AD837" i="11"/>
  <c r="AD839" i="11"/>
  <c r="AD841" i="11"/>
  <c r="AD843" i="11"/>
  <c r="AD845" i="11"/>
  <c r="AD847" i="11"/>
  <c r="AD849" i="11"/>
  <c r="AD851" i="11"/>
  <c r="AD853" i="11"/>
  <c r="AD855" i="11"/>
  <c r="AD857" i="11"/>
  <c r="AD859" i="11"/>
  <c r="AD861" i="11"/>
  <c r="AD863" i="11"/>
  <c r="AD865" i="11"/>
  <c r="AD867" i="11"/>
  <c r="AD869" i="11"/>
  <c r="AD871" i="11"/>
  <c r="AD873" i="11"/>
  <c r="AD875" i="11"/>
  <c r="AD877" i="11"/>
  <c r="AD879" i="11"/>
  <c r="AD881" i="11"/>
  <c r="AD883" i="11"/>
  <c r="AD885" i="11"/>
  <c r="AD887" i="11"/>
  <c r="AD889" i="11"/>
  <c r="AD891" i="11"/>
  <c r="AD893" i="11"/>
  <c r="AD895" i="11"/>
  <c r="AD897" i="11"/>
  <c r="AD899" i="11"/>
  <c r="AD901" i="11"/>
  <c r="AD903" i="11"/>
  <c r="AD905" i="11"/>
  <c r="AD907" i="11"/>
  <c r="AD909" i="11"/>
  <c r="AD911" i="11"/>
  <c r="AD913" i="11"/>
  <c r="AD915" i="11"/>
  <c r="AD917" i="11"/>
  <c r="AD919" i="11"/>
  <c r="AD921" i="11"/>
  <c r="AD923" i="11"/>
  <c r="AD925" i="11"/>
  <c r="AD927" i="11"/>
  <c r="AD929" i="11"/>
  <c r="AD931" i="11"/>
  <c r="AD933" i="11"/>
  <c r="AD935" i="11"/>
  <c r="AD937" i="11"/>
  <c r="AD939" i="11"/>
  <c r="AD941" i="11"/>
  <c r="AD943" i="11"/>
  <c r="AD945" i="11"/>
  <c r="AD947" i="11"/>
  <c r="AD949" i="11"/>
  <c r="AD951" i="11"/>
  <c r="AD953" i="11"/>
  <c r="AD955" i="11"/>
  <c r="AD957" i="11"/>
  <c r="AD959" i="11"/>
  <c r="AD961" i="11"/>
  <c r="AD963" i="11"/>
  <c r="AD965" i="11"/>
  <c r="AD967" i="11"/>
  <c r="AD969" i="11"/>
  <c r="AD971" i="11"/>
  <c r="AD973" i="11"/>
  <c r="AD975" i="11"/>
  <c r="AD977" i="11"/>
  <c r="AD979" i="11"/>
  <c r="AD981" i="11"/>
  <c r="AD983" i="11"/>
  <c r="AD985" i="11"/>
  <c r="AD987" i="11"/>
  <c r="AD989" i="11"/>
  <c r="AD991" i="11"/>
  <c r="AD993" i="11"/>
  <c r="AD995" i="11"/>
  <c r="AD997" i="11"/>
  <c r="AD999" i="11"/>
  <c r="AD1001" i="11"/>
  <c r="AD1003" i="11"/>
  <c r="AD5" i="11"/>
  <c r="F11" i="14"/>
  <c r="S1014" i="10"/>
  <c r="AC1011" i="12"/>
  <c r="B32" i="12"/>
  <c r="D1015" i="14"/>
  <c r="D9" i="14"/>
  <c r="AG4" i="12"/>
  <c r="AF5" i="12"/>
  <c r="AJ4" i="12"/>
  <c r="AI4" i="12"/>
  <c r="AH1002" i="12"/>
  <c r="AI1002" i="12"/>
  <c r="AH998" i="12"/>
  <c r="AI998" i="12"/>
  <c r="AH994" i="12"/>
  <c r="AI994" i="12"/>
  <c r="AH990" i="12"/>
  <c r="AI990" i="12"/>
  <c r="AH986" i="12"/>
  <c r="AI986" i="12"/>
  <c r="AH982" i="12"/>
  <c r="AI982" i="12"/>
  <c r="AH978" i="12"/>
  <c r="AI978" i="12"/>
  <c r="AH974" i="12"/>
  <c r="AI974" i="12"/>
  <c r="AH970" i="12"/>
  <c r="AI970" i="12"/>
  <c r="AH966" i="12"/>
  <c r="AI966" i="12"/>
  <c r="AH962" i="12"/>
  <c r="AI962" i="12"/>
  <c r="AH958" i="12"/>
  <c r="AI958" i="12"/>
  <c r="AH954" i="12"/>
  <c r="AI954" i="12"/>
  <c r="AH950" i="12"/>
  <c r="AI950" i="12"/>
  <c r="AH946" i="12"/>
  <c r="AI946" i="12"/>
  <c r="AH942" i="12"/>
  <c r="AI942" i="12"/>
  <c r="AH938" i="12"/>
  <c r="AI938" i="12"/>
  <c r="AH934" i="12"/>
  <c r="AI934" i="12"/>
  <c r="AH930" i="12"/>
  <c r="AI930" i="12"/>
  <c r="AH926" i="12"/>
  <c r="AI926" i="12"/>
  <c r="AH922" i="12"/>
  <c r="AI922" i="12"/>
  <c r="AH918" i="12"/>
  <c r="AI918" i="12"/>
  <c r="AH914" i="12"/>
  <c r="AI914" i="12"/>
  <c r="AH910" i="12"/>
  <c r="AI910" i="12"/>
  <c r="AH906" i="12"/>
  <c r="AI906" i="12"/>
  <c r="AH902" i="12"/>
  <c r="AI902" i="12"/>
  <c r="AH898" i="12"/>
  <c r="AI898" i="12"/>
  <c r="AH894" i="12"/>
  <c r="AI894" i="12"/>
  <c r="AH890" i="12"/>
  <c r="AI890" i="12"/>
  <c r="AH886" i="12"/>
  <c r="AI886" i="12"/>
  <c r="AH882" i="12"/>
  <c r="AI882" i="12"/>
  <c r="AH878" i="12"/>
  <c r="AI878" i="12"/>
  <c r="AH874" i="12"/>
  <c r="AI874" i="12"/>
  <c r="AH870" i="12"/>
  <c r="AI870" i="12"/>
  <c r="AH866" i="12"/>
  <c r="AI866" i="12"/>
  <c r="AH862" i="12"/>
  <c r="AI862" i="12"/>
  <c r="AH858" i="12"/>
  <c r="AI858" i="12"/>
  <c r="AH854" i="12"/>
  <c r="AI854" i="12"/>
  <c r="AH850" i="12"/>
  <c r="AI850" i="12"/>
  <c r="AH846" i="12"/>
  <c r="AI846" i="12"/>
  <c r="AH842" i="12"/>
  <c r="AI842" i="12"/>
  <c r="AH838" i="12"/>
  <c r="AI838" i="12"/>
  <c r="AH834" i="12"/>
  <c r="AI834" i="12"/>
  <c r="AH830" i="12"/>
  <c r="AI830" i="12"/>
  <c r="AH826" i="12"/>
  <c r="AI826" i="12"/>
  <c r="AH822" i="12"/>
  <c r="AI822" i="12"/>
  <c r="AH818" i="12"/>
  <c r="AI818" i="12"/>
  <c r="AH814" i="12"/>
  <c r="AI814" i="12"/>
  <c r="AH810" i="12"/>
  <c r="AI810" i="12"/>
  <c r="AH806" i="12"/>
  <c r="AI806" i="12"/>
  <c r="AH802" i="12"/>
  <c r="AI802" i="12"/>
  <c r="AH798" i="12"/>
  <c r="AI798" i="12"/>
  <c r="AH794" i="12"/>
  <c r="AI794" i="12"/>
  <c r="AH790" i="12"/>
  <c r="AI790" i="12"/>
  <c r="AH786" i="12"/>
  <c r="AI786" i="12"/>
  <c r="AH782" i="12"/>
  <c r="AI782" i="12"/>
  <c r="AH778" i="12"/>
  <c r="AI778" i="12"/>
  <c r="AH774" i="12"/>
  <c r="AI774" i="12"/>
  <c r="AH770" i="12"/>
  <c r="AI770" i="12"/>
  <c r="AH766" i="12"/>
  <c r="AI766" i="12"/>
  <c r="AH762" i="12"/>
  <c r="AI762" i="12"/>
  <c r="AH758" i="12"/>
  <c r="AI758" i="12"/>
  <c r="AH754" i="12"/>
  <c r="AI754" i="12"/>
  <c r="AH750" i="12"/>
  <c r="AI750" i="12"/>
  <c r="AH746" i="12"/>
  <c r="AI746" i="12"/>
  <c r="AH742" i="12"/>
  <c r="AI742" i="12"/>
  <c r="AH738" i="12"/>
  <c r="AI738" i="12"/>
  <c r="AH734" i="12"/>
  <c r="AI734" i="12"/>
  <c r="AH730" i="12"/>
  <c r="AI730" i="12"/>
  <c r="AH726" i="12"/>
  <c r="AI726" i="12"/>
  <c r="AH722" i="12"/>
  <c r="AI722" i="12"/>
  <c r="AH718" i="12"/>
  <c r="AI718" i="12"/>
  <c r="AH714" i="12"/>
  <c r="AI714" i="12"/>
  <c r="AH710" i="12"/>
  <c r="AI710" i="12"/>
  <c r="AH706" i="12"/>
  <c r="AI706" i="12"/>
  <c r="AH702" i="12"/>
  <c r="AI702" i="12"/>
  <c r="AH698" i="12"/>
  <c r="AI698" i="12"/>
  <c r="AH694" i="12"/>
  <c r="AI694" i="12"/>
  <c r="AH690" i="12"/>
  <c r="AI690" i="12"/>
  <c r="AH686" i="12"/>
  <c r="AI686" i="12"/>
  <c r="AH682" i="12"/>
  <c r="AI682" i="12"/>
  <c r="AH678" i="12"/>
  <c r="AI678" i="12"/>
  <c r="AH674" i="12"/>
  <c r="AI674" i="12"/>
  <c r="AH670" i="12"/>
  <c r="AI670" i="12"/>
  <c r="AH666" i="12"/>
  <c r="AI666" i="12"/>
  <c r="AH662" i="12"/>
  <c r="AI662" i="12"/>
  <c r="AH658" i="12"/>
  <c r="AI658" i="12"/>
  <c r="AH654" i="12"/>
  <c r="AI654" i="12"/>
  <c r="AH650" i="12"/>
  <c r="AI650" i="12"/>
  <c r="AH646" i="12"/>
  <c r="AI646" i="12"/>
  <c r="AH642" i="12"/>
  <c r="AI642" i="12"/>
  <c r="AH638" i="12"/>
  <c r="AI638" i="12"/>
  <c r="AH634" i="12"/>
  <c r="AI634" i="12"/>
  <c r="AH630" i="12"/>
  <c r="AI630" i="12"/>
  <c r="AH626" i="12"/>
  <c r="AI626" i="12"/>
  <c r="AH622" i="12"/>
  <c r="AI622" i="12"/>
  <c r="AH618" i="12"/>
  <c r="AI618" i="12"/>
  <c r="AH614" i="12"/>
  <c r="AI614" i="12"/>
  <c r="AH610" i="12"/>
  <c r="AI610" i="12"/>
  <c r="AH606" i="12"/>
  <c r="AI606" i="12"/>
  <c r="AH602" i="12"/>
  <c r="AI602" i="12"/>
  <c r="AH598" i="12"/>
  <c r="AI598" i="12"/>
  <c r="AH594" i="12"/>
  <c r="AI594" i="12"/>
  <c r="AH590" i="12"/>
  <c r="AI590" i="12"/>
  <c r="AH586" i="12"/>
  <c r="AI586" i="12"/>
  <c r="AH582" i="12"/>
  <c r="AI582" i="12"/>
  <c r="AH578" i="12"/>
  <c r="AI578" i="12"/>
  <c r="AH574" i="12"/>
  <c r="AI574" i="12"/>
  <c r="AH570" i="12"/>
  <c r="AI570" i="12"/>
  <c r="AH566" i="12"/>
  <c r="AI566" i="12"/>
  <c r="AH562" i="12"/>
  <c r="AI562" i="12"/>
  <c r="AH558" i="12"/>
  <c r="AI558" i="12"/>
  <c r="AH554" i="12"/>
  <c r="AI554" i="12"/>
  <c r="AH550" i="12"/>
  <c r="AI550" i="12"/>
  <c r="AH546" i="12"/>
  <c r="AI546" i="12"/>
  <c r="AH542" i="12"/>
  <c r="AI542" i="12"/>
  <c r="AH538" i="12"/>
  <c r="AI538" i="12"/>
  <c r="AH534" i="12"/>
  <c r="AI534" i="12"/>
  <c r="AH530" i="12"/>
  <c r="AI530" i="12"/>
  <c r="AH526" i="12"/>
  <c r="AI526" i="12"/>
  <c r="AH522" i="12"/>
  <c r="AI522" i="12"/>
  <c r="AH518" i="12"/>
  <c r="AI518" i="12"/>
  <c r="AH514" i="12"/>
  <c r="AI514" i="12"/>
  <c r="AH510" i="12"/>
  <c r="AI510" i="12"/>
  <c r="AH506" i="12"/>
  <c r="AI506" i="12"/>
  <c r="AH502" i="12"/>
  <c r="AI502" i="12"/>
  <c r="AH498" i="12"/>
  <c r="AI498" i="12"/>
  <c r="AH494" i="12"/>
  <c r="AI494" i="12"/>
  <c r="AH490" i="12"/>
  <c r="AI490" i="12"/>
  <c r="AH486" i="12"/>
  <c r="AI486" i="12"/>
  <c r="AH482" i="12"/>
  <c r="AI482" i="12"/>
  <c r="AH478" i="12"/>
  <c r="AI478" i="12"/>
  <c r="AH474" i="12"/>
  <c r="AI474" i="12"/>
  <c r="AH470" i="12"/>
  <c r="AI470" i="12"/>
  <c r="AH466" i="12"/>
  <c r="AI466" i="12"/>
  <c r="AH462" i="12"/>
  <c r="AI462" i="12"/>
  <c r="AH458" i="12"/>
  <c r="AI458" i="12"/>
  <c r="AH454" i="12"/>
  <c r="AI454" i="12"/>
  <c r="AH450" i="12"/>
  <c r="AI450" i="12"/>
  <c r="AH446" i="12"/>
  <c r="AI446" i="12"/>
  <c r="AH442" i="12"/>
  <c r="AI442" i="12"/>
  <c r="AH438" i="12"/>
  <c r="AI438" i="12"/>
  <c r="AH434" i="12"/>
  <c r="AI434" i="12"/>
  <c r="AH430" i="12"/>
  <c r="AI430" i="12"/>
  <c r="AH426" i="12"/>
  <c r="AI426" i="12"/>
  <c r="AH422" i="12"/>
  <c r="AI422" i="12"/>
  <c r="AH418" i="12"/>
  <c r="AI418" i="12"/>
  <c r="AH414" i="12"/>
  <c r="AI414" i="12"/>
  <c r="AH410" i="12"/>
  <c r="AI410" i="12"/>
  <c r="AH406" i="12"/>
  <c r="AI406" i="12"/>
  <c r="AH402" i="12"/>
  <c r="AI402" i="12"/>
  <c r="AH398" i="12"/>
  <c r="AI398" i="12"/>
  <c r="AH394" i="12"/>
  <c r="AI394" i="12"/>
  <c r="AH390" i="12"/>
  <c r="AI390" i="12"/>
  <c r="AH386" i="12"/>
  <c r="AI386" i="12"/>
  <c r="AH382" i="12"/>
  <c r="AI382" i="12"/>
  <c r="AH378" i="12"/>
  <c r="AI378" i="12"/>
  <c r="AH374" i="12"/>
  <c r="AI374" i="12"/>
  <c r="AH370" i="12"/>
  <c r="AI370" i="12"/>
  <c r="AH366" i="12"/>
  <c r="AI366" i="12"/>
  <c r="AH362" i="12"/>
  <c r="AI362" i="12"/>
  <c r="AH358" i="12"/>
  <c r="AI358" i="12"/>
  <c r="AH354" i="12"/>
  <c r="AI354" i="12"/>
  <c r="AH350" i="12"/>
  <c r="AI350" i="12"/>
  <c r="AH346" i="12"/>
  <c r="AI346" i="12"/>
  <c r="AH342" i="12"/>
  <c r="AI342" i="12"/>
  <c r="AH338" i="12"/>
  <c r="AI338" i="12"/>
  <c r="AH334" i="12"/>
  <c r="AI334" i="12"/>
  <c r="AH330" i="12"/>
  <c r="AI330" i="12"/>
  <c r="AH326" i="12"/>
  <c r="AI326" i="12"/>
  <c r="AH322" i="12"/>
  <c r="AI322" i="12"/>
  <c r="AH318" i="12"/>
  <c r="AI318" i="12"/>
  <c r="AH314" i="12"/>
  <c r="AI314" i="12"/>
  <c r="AH310" i="12"/>
  <c r="AI310" i="12"/>
  <c r="AH306" i="12"/>
  <c r="AI306" i="12"/>
  <c r="AH302" i="12"/>
  <c r="AI302" i="12"/>
  <c r="AH298" i="12"/>
  <c r="AI298" i="12"/>
  <c r="AH294" i="12"/>
  <c r="AI294" i="12"/>
  <c r="AH290" i="12"/>
  <c r="AI290" i="12"/>
  <c r="AH286" i="12"/>
  <c r="AI286" i="12"/>
  <c r="AH282" i="12"/>
  <c r="AI282" i="12"/>
  <c r="AH278" i="12"/>
  <c r="AI278" i="12"/>
  <c r="AH274" i="12"/>
  <c r="AI274" i="12"/>
  <c r="AH270" i="12"/>
  <c r="AI270" i="12"/>
  <c r="AH266" i="12"/>
  <c r="AI266" i="12"/>
  <c r="AH262" i="12"/>
  <c r="AI262" i="12"/>
  <c r="AH258" i="12"/>
  <c r="AI258" i="12"/>
  <c r="AH254" i="12"/>
  <c r="AI254" i="12"/>
  <c r="AH250" i="12"/>
  <c r="AI250" i="12"/>
  <c r="AH246" i="12"/>
  <c r="AI246" i="12"/>
  <c r="AH242" i="12"/>
  <c r="AI242" i="12"/>
  <c r="AH238" i="12"/>
  <c r="AI238" i="12"/>
  <c r="AH234" i="12"/>
  <c r="AI234" i="12"/>
  <c r="AH230" i="12"/>
  <c r="AI230" i="12"/>
  <c r="AH226" i="12"/>
  <c r="AI226" i="12"/>
  <c r="AH222" i="12"/>
  <c r="AI222" i="12"/>
  <c r="AH218" i="12"/>
  <c r="AI218" i="12"/>
  <c r="AH214" i="12"/>
  <c r="AI214" i="12"/>
  <c r="AH210" i="12"/>
  <c r="AI210" i="12"/>
  <c r="AH206" i="12"/>
  <c r="AI206" i="12"/>
  <c r="AH202" i="12"/>
  <c r="AI202" i="12"/>
  <c r="AH198" i="12"/>
  <c r="AI198" i="12"/>
  <c r="AH194" i="12"/>
  <c r="AI194" i="12"/>
  <c r="AH190" i="12"/>
  <c r="AI190" i="12"/>
  <c r="AH186" i="12"/>
  <c r="AI186" i="12"/>
  <c r="AH182" i="12"/>
  <c r="AI182" i="12"/>
  <c r="AH178" i="12"/>
  <c r="AI178" i="12"/>
  <c r="AH174" i="12"/>
  <c r="AI174" i="12"/>
  <c r="AH170" i="12"/>
  <c r="AI170" i="12"/>
  <c r="AH166" i="12"/>
  <c r="AI166" i="12"/>
  <c r="AH162" i="12"/>
  <c r="AI162" i="12"/>
  <c r="AH158" i="12"/>
  <c r="AI158" i="12"/>
  <c r="AH154" i="12"/>
  <c r="AI154" i="12"/>
  <c r="AH150" i="12"/>
  <c r="AI150" i="12"/>
  <c r="AH146" i="12"/>
  <c r="AI146" i="12"/>
  <c r="AH142" i="12"/>
  <c r="AI142" i="12"/>
  <c r="AH138" i="12"/>
  <c r="AI138" i="12"/>
  <c r="AH134" i="12"/>
  <c r="AI134" i="12"/>
  <c r="AH130" i="12"/>
  <c r="AI130" i="12"/>
  <c r="AH126" i="12"/>
  <c r="AI126" i="12"/>
  <c r="AH122" i="12"/>
  <c r="AI122" i="12"/>
  <c r="AH118" i="12"/>
  <c r="AI118" i="12"/>
  <c r="AH114" i="12"/>
  <c r="AI114" i="12"/>
  <c r="AH110" i="12"/>
  <c r="AI110" i="12"/>
  <c r="AH106" i="12"/>
  <c r="AI106" i="12"/>
  <c r="AH102" i="12"/>
  <c r="AI102" i="12"/>
  <c r="AH98" i="12"/>
  <c r="AI98" i="12"/>
  <c r="AH94" i="12"/>
  <c r="AI94" i="12"/>
  <c r="AH90" i="12"/>
  <c r="AI90" i="12"/>
  <c r="AH86" i="12"/>
  <c r="AI86" i="12"/>
  <c r="AH82" i="12"/>
  <c r="AI82" i="12"/>
  <c r="AH78" i="12"/>
  <c r="AI78" i="12"/>
  <c r="AH74" i="12"/>
  <c r="AI74" i="12"/>
  <c r="AH70" i="12"/>
  <c r="AI70" i="12"/>
  <c r="AH66" i="12"/>
  <c r="AJ66" i="12"/>
  <c r="AG66" i="12"/>
  <c r="AI66" i="12"/>
  <c r="J1010" i="10"/>
  <c r="J1011" i="10"/>
  <c r="B1011" i="10"/>
  <c r="M128" i="17"/>
  <c r="M160" i="17"/>
  <c r="M156" i="17"/>
  <c r="M152" i="17"/>
  <c r="M148" i="17"/>
  <c r="M144" i="17"/>
  <c r="M140" i="17"/>
  <c r="M136" i="17"/>
  <c r="M132" i="17"/>
  <c r="C55" i="17"/>
  <c r="B155" i="18"/>
  <c r="N1011" i="10"/>
  <c r="M1011" i="10"/>
  <c r="N1010" i="10"/>
  <c r="S1011" i="10"/>
  <c r="N1021" i="10"/>
  <c r="M1010" i="10"/>
  <c r="M1021" i="10"/>
  <c r="A1076" i="10"/>
  <c r="N19" i="16"/>
  <c r="AW4" i="11"/>
  <c r="AW6" i="11"/>
  <c r="AW8" i="11"/>
  <c r="AW10" i="11"/>
  <c r="AW11" i="11"/>
  <c r="AW7" i="11"/>
  <c r="AW5" i="11"/>
  <c r="AW9" i="11"/>
  <c r="N99" i="18"/>
  <c r="J99" i="18" s="1"/>
  <c r="O99" i="18" s="1"/>
  <c r="O19" i="16"/>
  <c r="Q1023" i="10" s="1"/>
  <c r="C72" i="17"/>
  <c r="C117" i="17" s="1"/>
  <c r="C53" i="17"/>
  <c r="C1007" i="10"/>
  <c r="H1012" i="10"/>
  <c r="H1011" i="10"/>
  <c r="X1386" i="10"/>
  <c r="X1392" i="10"/>
  <c r="X1384" i="10"/>
  <c r="H1023" i="10" l="1"/>
  <c r="O1014" i="10"/>
  <c r="O1013" i="10"/>
  <c r="E72" i="18"/>
  <c r="C1013" i="10"/>
  <c r="C1014" i="10"/>
  <c r="I1023" i="10"/>
  <c r="J1023" i="10"/>
  <c r="E73" i="18"/>
  <c r="X1381" i="10"/>
  <c r="O1011" i="10"/>
  <c r="O1010" i="10"/>
  <c r="L19" i="16"/>
  <c r="X1380" i="10"/>
  <c r="B207" i="8"/>
  <c r="C207" i="8"/>
  <c r="H171" i="17"/>
  <c r="L129" i="17"/>
  <c r="F4188" i="14"/>
  <c r="F131" i="18"/>
  <c r="G175" i="17"/>
  <c r="H1045" i="12"/>
  <c r="H1037" i="11"/>
  <c r="AC40" i="12"/>
  <c r="AC61" i="12"/>
  <c r="AC54" i="12"/>
  <c r="AC47" i="12"/>
  <c r="I1088" i="10"/>
  <c r="AX347" i="11"/>
  <c r="AY827" i="11"/>
  <c r="C48" i="16"/>
  <c r="A1060" i="11"/>
  <c r="L1060" i="11" s="1"/>
  <c r="F77" i="10"/>
  <c r="AT10" i="16"/>
  <c r="Q1013" i="10" s="1"/>
  <c r="AY156" i="11"/>
  <c r="AX252" i="11"/>
  <c r="AY128" i="11"/>
  <c r="AV76" i="11"/>
  <c r="AV340" i="11"/>
  <c r="AX196" i="11"/>
  <c r="AV148" i="11"/>
  <c r="AV96" i="11"/>
  <c r="AX176" i="11"/>
  <c r="AV256" i="11"/>
  <c r="AV26" i="11"/>
  <c r="AX891" i="11"/>
  <c r="AY36" i="11"/>
  <c r="AX228" i="11"/>
  <c r="AC5" i="12"/>
  <c r="AC21" i="12"/>
  <c r="AC12" i="12"/>
  <c r="AC20" i="12"/>
  <c r="AC4" i="12"/>
  <c r="AV608" i="11"/>
  <c r="AY320" i="11"/>
  <c r="AZ770" i="11"/>
  <c r="AY898" i="11"/>
  <c r="AX571" i="11"/>
  <c r="AY742" i="11"/>
  <c r="AX829" i="11"/>
  <c r="AX80" i="11"/>
  <c r="AY340" i="11"/>
  <c r="AV412" i="11"/>
  <c r="AV742" i="11"/>
  <c r="AV898" i="11"/>
  <c r="AV829" i="11"/>
  <c r="AX60" i="11"/>
  <c r="AY188" i="11"/>
  <c r="AY364" i="11"/>
  <c r="AY716" i="11"/>
  <c r="AV261" i="11"/>
  <c r="AZ898" i="11"/>
  <c r="AZ829" i="11"/>
  <c r="AV68" i="11"/>
  <c r="AX100" i="11"/>
  <c r="AY112" i="11"/>
  <c r="AX160" i="11"/>
  <c r="AX220" i="11"/>
  <c r="AV276" i="11"/>
  <c r="AX444" i="11"/>
  <c r="AY780" i="11"/>
  <c r="AV292" i="11"/>
  <c r="AX460" i="11"/>
  <c r="AJ36" i="16"/>
  <c r="AX36" i="11"/>
  <c r="AX156" i="11"/>
  <c r="AV196" i="11"/>
  <c r="AV268" i="11"/>
  <c r="AY43" i="11"/>
  <c r="AY76" i="11"/>
  <c r="AY96" i="11"/>
  <c r="AV128" i="11"/>
  <c r="AV156" i="11"/>
  <c r="AX248" i="11"/>
  <c r="AY256" i="11"/>
  <c r="AV169" i="11"/>
  <c r="AX128" i="11"/>
  <c r="AY180" i="11"/>
  <c r="AV228" i="11"/>
  <c r="AV252" i="11"/>
  <c r="AY312" i="11"/>
  <c r="AV464" i="11"/>
  <c r="AX76" i="11"/>
  <c r="AX96" i="11"/>
  <c r="AY120" i="11"/>
  <c r="AY196" i="11"/>
  <c r="AY228" i="11"/>
  <c r="AY252" i="11"/>
  <c r="AX256" i="11"/>
  <c r="AV288" i="11"/>
  <c r="AV388" i="11"/>
  <c r="AY560" i="11"/>
  <c r="AY972" i="11"/>
  <c r="AZ233" i="11"/>
  <c r="AX56" i="11"/>
  <c r="AY108" i="11"/>
  <c r="AV120" i="11"/>
  <c r="AX140" i="11"/>
  <c r="AV180" i="11"/>
  <c r="AV188" i="11"/>
  <c r="AY276" i="11"/>
  <c r="AY292" i="11"/>
  <c r="AX384" i="11"/>
  <c r="AX452" i="11"/>
  <c r="AY844" i="11"/>
  <c r="AX184" i="11"/>
  <c r="AX427" i="11"/>
  <c r="AY192" i="11"/>
  <c r="AV20" i="11"/>
  <c r="AY48" i="11"/>
  <c r="AY68" i="11"/>
  <c r="AV112" i="11"/>
  <c r="AX192" i="11"/>
  <c r="AX268" i="11"/>
  <c r="AX288" i="11"/>
  <c r="AV308" i="11"/>
  <c r="AV320" i="11"/>
  <c r="AV376" i="11"/>
  <c r="AY524" i="11"/>
  <c r="AY64" i="11"/>
  <c r="AV124" i="11"/>
  <c r="AX224" i="11"/>
  <c r="AY324" i="11"/>
  <c r="AX348" i="11"/>
  <c r="AX368" i="11"/>
  <c r="AX404" i="11"/>
  <c r="AV149" i="11"/>
  <c r="AY167" i="11"/>
  <c r="AV217" i="11"/>
  <c r="AV577" i="11"/>
  <c r="AV747" i="11"/>
  <c r="AZ925" i="11"/>
  <c r="AV571" i="11"/>
  <c r="AX983" i="11"/>
  <c r="AX64" i="11"/>
  <c r="AX120" i="11"/>
  <c r="AX148" i="11"/>
  <c r="AX180" i="11"/>
  <c r="AV192" i="11"/>
  <c r="AY268" i="11"/>
  <c r="AY316" i="11"/>
  <c r="AX324" i="11"/>
  <c r="AV348" i="11"/>
  <c r="AX376" i="11"/>
  <c r="AX412" i="11"/>
  <c r="AV496" i="11"/>
  <c r="AY528" i="11"/>
  <c r="AV640" i="11"/>
  <c r="AY213" i="11"/>
  <c r="AV605" i="11"/>
  <c r="AZ727" i="11"/>
  <c r="AZ955" i="11"/>
  <c r="AY24" i="11"/>
  <c r="AY224" i="11"/>
  <c r="AY368" i="11"/>
  <c r="AY760" i="11"/>
  <c r="AY792" i="11"/>
  <c r="AZ469" i="11"/>
  <c r="AV833" i="11"/>
  <c r="AZ571" i="11"/>
  <c r="AV763" i="11"/>
  <c r="AX646" i="11"/>
  <c r="AT11" i="16"/>
  <c r="Q1014" i="10" s="1"/>
  <c r="AT7" i="16"/>
  <c r="Q1010" i="10" s="1"/>
  <c r="AT9" i="16"/>
  <c r="Q1012" i="10" s="1"/>
  <c r="AY16" i="11"/>
  <c r="AY136" i="11"/>
  <c r="AV200" i="11"/>
  <c r="AY544" i="11"/>
  <c r="AV624" i="11"/>
  <c r="AX423" i="11"/>
  <c r="AV423" i="11"/>
  <c r="AZ116" i="11"/>
  <c r="AX116" i="11"/>
  <c r="AY512" i="11"/>
  <c r="AV512" i="11"/>
  <c r="AV32" i="11"/>
  <c r="AY40" i="11"/>
  <c r="AV164" i="11"/>
  <c r="AY264" i="11"/>
  <c r="AY392" i="11"/>
  <c r="AX428" i="11"/>
  <c r="AV576" i="11"/>
  <c r="AY664" i="11"/>
  <c r="AY696" i="11"/>
  <c r="AY728" i="11"/>
  <c r="AY920" i="11"/>
  <c r="AY952" i="11"/>
  <c r="AZ236" i="11"/>
  <c r="AX236" i="11"/>
  <c r="AZ208" i="11"/>
  <c r="AY208" i="11"/>
  <c r="AZ312" i="11"/>
  <c r="AX312" i="11"/>
  <c r="AZ248" i="11"/>
  <c r="AV248" i="11"/>
  <c r="AZ184" i="11"/>
  <c r="AY184" i="11"/>
  <c r="AZ56" i="11"/>
  <c r="AV56" i="11"/>
  <c r="AZ20" i="11"/>
  <c r="AX20" i="11"/>
  <c r="AZ84" i="11"/>
  <c r="AX84" i="11"/>
  <c r="AZ404" i="11"/>
  <c r="AV404" i="11"/>
  <c r="AY635" i="11"/>
  <c r="AZ635" i="11"/>
  <c r="AX635" i="11"/>
  <c r="AZ245" i="11"/>
  <c r="AV245" i="11"/>
  <c r="AY245" i="11"/>
  <c r="AZ124" i="11"/>
  <c r="AY124" i="11"/>
  <c r="AX934" i="11"/>
  <c r="AZ934" i="11"/>
  <c r="AV934" i="11"/>
  <c r="AV235" i="11"/>
  <c r="AY235" i="11"/>
  <c r="AV897" i="11"/>
  <c r="AX897" i="11"/>
  <c r="AX839" i="11"/>
  <c r="AV839" i="11"/>
  <c r="AV614" i="11"/>
  <c r="AX614" i="11"/>
  <c r="AZ484" i="11"/>
  <c r="AY484" i="11"/>
  <c r="AZ416" i="11"/>
  <c r="AV416" i="11"/>
  <c r="AV283" i="11"/>
  <c r="AZ283" i="11"/>
  <c r="AX775" i="11"/>
  <c r="AV775" i="11"/>
  <c r="AV690" i="11"/>
  <c r="AY690" i="11"/>
  <c r="AV511" i="11"/>
  <c r="AX511" i="11"/>
  <c r="AX319" i="11"/>
  <c r="AZ319" i="11"/>
  <c r="AZ217" i="11"/>
  <c r="AY217" i="11"/>
  <c r="AZ749" i="11"/>
  <c r="AV749" i="11"/>
  <c r="AV983" i="11"/>
  <c r="AZ983" i="11"/>
  <c r="AZ352" i="11"/>
  <c r="AX352" i="11"/>
  <c r="AZ372" i="11"/>
  <c r="AY372" i="11"/>
  <c r="AY72" i="11"/>
  <c r="AY328" i="11"/>
  <c r="AX388" i="11"/>
  <c r="AY592" i="11"/>
  <c r="AY824" i="11"/>
  <c r="AY856" i="11"/>
  <c r="AY888" i="11"/>
  <c r="AX283" i="11"/>
  <c r="AY614" i="11"/>
  <c r="AX245" i="11"/>
  <c r="AZ427" i="11"/>
  <c r="AY427" i="11"/>
  <c r="AY359" i="11"/>
  <c r="AZ359" i="11"/>
  <c r="AY791" i="11"/>
  <c r="AX791" i="11"/>
  <c r="AZ396" i="11"/>
  <c r="AV396" i="11"/>
  <c r="AY396" i="11"/>
  <c r="AZ432" i="11"/>
  <c r="AY432" i="11"/>
  <c r="AV432" i="11"/>
  <c r="AZ380" i="11"/>
  <c r="AV380" i="11"/>
  <c r="AY380" i="11"/>
  <c r="AX331" i="11"/>
  <c r="AV331" i="11"/>
  <c r="AZ281" i="11"/>
  <c r="AY281" i="11"/>
  <c r="AZ177" i="11"/>
  <c r="AV177" i="11"/>
  <c r="AY92" i="11"/>
  <c r="AY652" i="11"/>
  <c r="AZ464" i="11"/>
  <c r="AX464" i="11"/>
  <c r="AZ436" i="11"/>
  <c r="AV436" i="11"/>
  <c r="AZ996" i="11"/>
  <c r="AY996" i="11"/>
  <c r="AZ980" i="11"/>
  <c r="AY980" i="11"/>
  <c r="AZ964" i="11"/>
  <c r="AX964" i="11"/>
  <c r="AZ948" i="11"/>
  <c r="AY948" i="11"/>
  <c r="AZ932" i="11"/>
  <c r="AX932" i="11"/>
  <c r="AZ916" i="11"/>
  <c r="AX916" i="11"/>
  <c r="AZ900" i="11"/>
  <c r="AY900" i="11"/>
  <c r="AZ884" i="11"/>
  <c r="AX884" i="11"/>
  <c r="AZ868" i="11"/>
  <c r="AY868" i="11"/>
  <c r="AZ852" i="11"/>
  <c r="AY852" i="11"/>
  <c r="AZ836" i="11"/>
  <c r="AX836" i="11"/>
  <c r="AZ820" i="11"/>
  <c r="AY820" i="11"/>
  <c r="AZ804" i="11"/>
  <c r="AY804" i="11"/>
  <c r="AZ788" i="11"/>
  <c r="AY788" i="11"/>
  <c r="AZ772" i="11"/>
  <c r="AX772" i="11"/>
  <c r="AZ756" i="11"/>
  <c r="AY756" i="11"/>
  <c r="AZ740" i="11"/>
  <c r="AX740" i="11"/>
  <c r="AZ724" i="11"/>
  <c r="AY724" i="11"/>
  <c r="AZ708" i="11"/>
  <c r="AX708" i="11"/>
  <c r="AZ692" i="11"/>
  <c r="AY692" i="11"/>
  <c r="AZ676" i="11"/>
  <c r="AX676" i="11"/>
  <c r="AZ660" i="11"/>
  <c r="AX660" i="11"/>
  <c r="AZ644" i="11"/>
  <c r="AX644" i="11"/>
  <c r="AZ628" i="11"/>
  <c r="AX628" i="11"/>
  <c r="AZ612" i="11"/>
  <c r="AX612" i="11"/>
  <c r="AZ596" i="11"/>
  <c r="AX596" i="11"/>
  <c r="AZ580" i="11"/>
  <c r="AY580" i="11"/>
  <c r="AZ564" i="11"/>
  <c r="AY564" i="11"/>
  <c r="AZ548" i="11"/>
  <c r="AY548" i="11"/>
  <c r="AZ532" i="11"/>
  <c r="AY532" i="11"/>
  <c r="AZ516" i="11"/>
  <c r="AX516" i="11"/>
  <c r="AZ500" i="11"/>
  <c r="AY500" i="11"/>
  <c r="AZ440" i="11"/>
  <c r="AV440" i="11"/>
  <c r="AZ420" i="11"/>
  <c r="AY420" i="11"/>
  <c r="AV420" i="11"/>
  <c r="AV299" i="11"/>
  <c r="AY75" i="11"/>
  <c r="AV721" i="11"/>
  <c r="AY13" i="11"/>
  <c r="AX13" i="11"/>
  <c r="AY284" i="11"/>
  <c r="AZ908" i="11"/>
  <c r="AY908" i="11"/>
  <c r="AZ588" i="11"/>
  <c r="AY588" i="11"/>
  <c r="AZ476" i="11"/>
  <c r="AX476" i="11"/>
  <c r="AV966" i="11"/>
  <c r="AX966" i="11"/>
  <c r="AZ966" i="11"/>
  <c r="AZ271" i="11"/>
  <c r="AY271" i="11"/>
  <c r="AV271" i="11"/>
  <c r="AX271" i="11"/>
  <c r="AY111" i="11"/>
  <c r="AV111" i="11"/>
  <c r="AZ111" i="11"/>
  <c r="AX111" i="11"/>
  <c r="AY144" i="11"/>
  <c r="AX240" i="11"/>
  <c r="AV468" i="11"/>
  <c r="AZ172" i="11"/>
  <c r="AY172" i="11"/>
  <c r="AZ992" i="11"/>
  <c r="AV992" i="11"/>
  <c r="AY992" i="11"/>
  <c r="AZ976" i="11"/>
  <c r="AY976" i="11"/>
  <c r="AZ960" i="11"/>
  <c r="AV960" i="11"/>
  <c r="AY960" i="11"/>
  <c r="AZ944" i="11"/>
  <c r="AV944" i="11"/>
  <c r="AZ928" i="11"/>
  <c r="AY928" i="11"/>
  <c r="AZ912" i="11"/>
  <c r="AV912" i="11"/>
  <c r="AY912" i="11"/>
  <c r="AZ896" i="11"/>
  <c r="AV896" i="11"/>
  <c r="AY896" i="11"/>
  <c r="AZ880" i="11"/>
  <c r="AV880" i="11"/>
  <c r="AZ864" i="11"/>
  <c r="AY864" i="11"/>
  <c r="AZ848" i="11"/>
  <c r="AV848" i="11"/>
  <c r="AY848" i="11"/>
  <c r="AZ832" i="11"/>
  <c r="AV832" i="11"/>
  <c r="AY832" i="11"/>
  <c r="AZ816" i="11"/>
  <c r="AV816" i="11"/>
  <c r="AZ800" i="11"/>
  <c r="AY800" i="11"/>
  <c r="AZ784" i="11"/>
  <c r="AV784" i="11"/>
  <c r="AY784" i="11"/>
  <c r="AZ768" i="11"/>
  <c r="AV768" i="11"/>
  <c r="AY768" i="11"/>
  <c r="AZ752" i="11"/>
  <c r="AV752" i="11"/>
  <c r="AZ736" i="11"/>
  <c r="AY736" i="11"/>
  <c r="AZ720" i="11"/>
  <c r="AV720" i="11"/>
  <c r="AY720" i="11"/>
  <c r="AZ704" i="11"/>
  <c r="AV704" i="11"/>
  <c r="AY704" i="11"/>
  <c r="AZ688" i="11"/>
  <c r="AV688" i="11"/>
  <c r="AZ672" i="11"/>
  <c r="AY672" i="11"/>
  <c r="AZ656" i="11"/>
  <c r="AV656" i="11"/>
  <c r="AZ640" i="11"/>
  <c r="AX640" i="11"/>
  <c r="AZ624" i="11"/>
  <c r="AX624" i="11"/>
  <c r="AZ608" i="11"/>
  <c r="AX608" i="11"/>
  <c r="AZ592" i="11"/>
  <c r="AX592" i="11"/>
  <c r="AZ576" i="11"/>
  <c r="AX576" i="11"/>
  <c r="AZ560" i="11"/>
  <c r="AX560" i="11"/>
  <c r="AZ544" i="11"/>
  <c r="AX544" i="11"/>
  <c r="AZ528" i="11"/>
  <c r="AX528" i="11"/>
  <c r="AZ512" i="11"/>
  <c r="AX512" i="11"/>
  <c r="AZ496" i="11"/>
  <c r="AX496" i="11"/>
  <c r="AZ456" i="11"/>
  <c r="AY456" i="11"/>
  <c r="AV456" i="11"/>
  <c r="AZ392" i="11"/>
  <c r="AX392" i="11"/>
  <c r="AZ328" i="11"/>
  <c r="AX328" i="11"/>
  <c r="AZ264" i="11"/>
  <c r="AX264" i="11"/>
  <c r="AZ200" i="11"/>
  <c r="AX200" i="11"/>
  <c r="AZ136" i="11"/>
  <c r="AX136" i="11"/>
  <c r="AZ72" i="11"/>
  <c r="AX72" i="11"/>
  <c r="AZ16" i="11"/>
  <c r="AX16" i="11"/>
  <c r="AY176" i="11"/>
  <c r="AY300" i="11"/>
  <c r="AX340" i="11"/>
  <c r="AY448" i="11"/>
  <c r="AV480" i="11"/>
  <c r="AY488" i="11"/>
  <c r="AY552" i="11"/>
  <c r="AY616" i="11"/>
  <c r="AY984" i="11"/>
  <c r="AY946" i="11"/>
  <c r="AV13" i="11"/>
  <c r="AX955" i="11"/>
  <c r="AY955" i="11"/>
  <c r="AX770" i="11"/>
  <c r="AY770" i="11"/>
  <c r="AZ763" i="11"/>
  <c r="AY763" i="11"/>
  <c r="AZ663" i="11"/>
  <c r="AX663" i="11"/>
  <c r="AZ55" i="11"/>
  <c r="AX55" i="11"/>
  <c r="AY727" i="11"/>
  <c r="AV727" i="11"/>
  <c r="AZ81" i="11"/>
  <c r="AV81" i="11"/>
  <c r="AZ167" i="11"/>
  <c r="AX167" i="11"/>
  <c r="AZ558" i="11"/>
  <c r="AV558" i="11"/>
  <c r="AY12" i="11"/>
  <c r="AY28" i="11"/>
  <c r="AV52" i="11"/>
  <c r="AY60" i="11"/>
  <c r="AV64" i="11"/>
  <c r="AV84" i="11"/>
  <c r="AY148" i="11"/>
  <c r="AV176" i="11"/>
  <c r="AV212" i="11"/>
  <c r="AV224" i="11"/>
  <c r="AY232" i="11"/>
  <c r="AV324" i="11"/>
  <c r="AX336" i="11"/>
  <c r="AY348" i="11"/>
  <c r="AY356" i="11"/>
  <c r="AV368" i="11"/>
  <c r="AY388" i="11"/>
  <c r="AY412" i="11"/>
  <c r="AX416" i="11"/>
  <c r="AY476" i="11"/>
  <c r="AX484" i="11"/>
  <c r="AY508" i="11"/>
  <c r="AY540" i="11"/>
  <c r="AY572" i="11"/>
  <c r="AY604" i="11"/>
  <c r="AY636" i="11"/>
  <c r="AY684" i="11"/>
  <c r="AY748" i="11"/>
  <c r="AY812" i="11"/>
  <c r="AY876" i="11"/>
  <c r="AY940" i="11"/>
  <c r="AV319" i="11"/>
  <c r="AV503" i="11"/>
  <c r="AY55" i="11"/>
  <c r="AZ614" i="11"/>
  <c r="AY663" i="11"/>
  <c r="AZ621" i="11"/>
  <c r="AY558" i="11"/>
  <c r="G1007" i="10"/>
  <c r="I92" i="16"/>
  <c r="H1444" i="10"/>
  <c r="AY32" i="11"/>
  <c r="AV92" i="11"/>
  <c r="AX132" i="11"/>
  <c r="AY168" i="11"/>
  <c r="AX204" i="11"/>
  <c r="AX260" i="11"/>
  <c r="AV284" i="11"/>
  <c r="AX304" i="11"/>
  <c r="AX332" i="11"/>
  <c r="AV356" i="11"/>
  <c r="AY424" i="11"/>
  <c r="AV448" i="11"/>
  <c r="AY480" i="11"/>
  <c r="AY520" i="11"/>
  <c r="AY584" i="11"/>
  <c r="AY648" i="11"/>
  <c r="AY680" i="11"/>
  <c r="AY712" i="11"/>
  <c r="AY744" i="11"/>
  <c r="AY776" i="11"/>
  <c r="AY808" i="11"/>
  <c r="AY840" i="11"/>
  <c r="AY872" i="11"/>
  <c r="AY904" i="11"/>
  <c r="AY936" i="11"/>
  <c r="AY968" i="11"/>
  <c r="AY1000" i="11"/>
  <c r="AV711" i="11"/>
  <c r="AZ861" i="11"/>
  <c r="AX998" i="11"/>
  <c r="AV998" i="11"/>
  <c r="AZ998" i="11"/>
  <c r="AY119" i="11"/>
  <c r="AZ119" i="11"/>
  <c r="AZ657" i="11"/>
  <c r="AX657" i="11"/>
  <c r="AY657" i="11"/>
  <c r="AV657" i="11"/>
  <c r="AY834" i="11"/>
  <c r="AX834" i="11"/>
  <c r="AZ834" i="11"/>
  <c r="AX977" i="11"/>
  <c r="AY977" i="11"/>
  <c r="AV977" i="11"/>
  <c r="AZ849" i="11"/>
  <c r="AX849" i="11"/>
  <c r="AV849" i="11"/>
  <c r="AY550" i="11"/>
  <c r="AV550" i="11"/>
  <c r="AX550" i="11"/>
  <c r="AV525" i="11"/>
  <c r="AX525" i="11"/>
  <c r="AZ525" i="11"/>
  <c r="AX769" i="11"/>
  <c r="AV769" i="11"/>
  <c r="AY53" i="11"/>
  <c r="AZ53" i="11"/>
  <c r="AV53" i="11"/>
  <c r="AZ593" i="11"/>
  <c r="AY593" i="11"/>
  <c r="AV593" i="11"/>
  <c r="AX593" i="11"/>
  <c r="AX32" i="11"/>
  <c r="AY104" i="11"/>
  <c r="AV132" i="11"/>
  <c r="AV204" i="11"/>
  <c r="AY220" i="11"/>
  <c r="AV260" i="11"/>
  <c r="AY296" i="11"/>
  <c r="AV304" i="11"/>
  <c r="AV332" i="11"/>
  <c r="AY360" i="11"/>
  <c r="AX480" i="11"/>
  <c r="AY504" i="11"/>
  <c r="AY568" i="11"/>
  <c r="AY632" i="11"/>
  <c r="AV197" i="11"/>
  <c r="AV541" i="11"/>
  <c r="AV683" i="11"/>
  <c r="AZ550" i="11"/>
  <c r="AV834" i="11"/>
  <c r="AX18" i="11"/>
  <c r="AZ18" i="11"/>
  <c r="AX685" i="11"/>
  <c r="AV685" i="11"/>
  <c r="AY685" i="11"/>
  <c r="AZ962" i="11"/>
  <c r="AV962" i="11"/>
  <c r="AX962" i="11"/>
  <c r="AY599" i="11"/>
  <c r="AV599" i="11"/>
  <c r="AX599" i="11"/>
  <c r="AX642" i="11"/>
  <c r="AY642" i="11"/>
  <c r="AZ642" i="11"/>
  <c r="AZ797" i="11"/>
  <c r="AV797" i="11"/>
  <c r="AZ405" i="11"/>
  <c r="AX405" i="11"/>
  <c r="AV405" i="11"/>
  <c r="AY405" i="11"/>
  <c r="AZ103" i="11"/>
  <c r="AX103" i="11"/>
  <c r="AV103" i="11"/>
  <c r="AV855" i="11"/>
  <c r="AZ855" i="11"/>
  <c r="AY855" i="11"/>
  <c r="AV646" i="11"/>
  <c r="AY646" i="11"/>
  <c r="AX92" i="11"/>
  <c r="AY132" i="11"/>
  <c r="AV144" i="11"/>
  <c r="AY204" i="11"/>
  <c r="AV220" i="11"/>
  <c r="AY260" i="11"/>
  <c r="AX284" i="11"/>
  <c r="AY304" i="11"/>
  <c r="AY332" i="11"/>
  <c r="AX356" i="11"/>
  <c r="AV372" i="11"/>
  <c r="AX400" i="11"/>
  <c r="AX448" i="11"/>
  <c r="AY492" i="11"/>
  <c r="AY536" i="11"/>
  <c r="AY556" i="11"/>
  <c r="AY600" i="11"/>
  <c r="AY620" i="11"/>
  <c r="AY668" i="11"/>
  <c r="AY700" i="11"/>
  <c r="AY732" i="11"/>
  <c r="AY764" i="11"/>
  <c r="AY796" i="11"/>
  <c r="AY828" i="11"/>
  <c r="AY860" i="11"/>
  <c r="AY892" i="11"/>
  <c r="AY924" i="11"/>
  <c r="AY956" i="11"/>
  <c r="AV976" i="11"/>
  <c r="AY988" i="11"/>
  <c r="AX53" i="11"/>
  <c r="AX255" i="11"/>
  <c r="AV626" i="11"/>
  <c r="AZ685" i="11"/>
  <c r="AY495" i="11"/>
  <c r="AV495" i="11"/>
  <c r="AZ495" i="11"/>
  <c r="AX495" i="11"/>
  <c r="AX43" i="11"/>
  <c r="AZ870" i="11"/>
  <c r="AX721" i="11"/>
  <c r="AX26" i="11"/>
  <c r="AX169" i="11"/>
  <c r="AZ347" i="11"/>
  <c r="AV635" i="11"/>
  <c r="AZ891" i="11"/>
  <c r="AY81" i="11"/>
  <c r="AV433" i="11"/>
  <c r="AZ742" i="11"/>
  <c r="AZ813" i="11"/>
  <c r="X1379" i="10"/>
  <c r="AV475" i="11"/>
  <c r="AZ475" i="11"/>
  <c r="AY475" i="11"/>
  <c r="AX475" i="11"/>
  <c r="AV589" i="11"/>
  <c r="AY589" i="11"/>
  <c r="AX589" i="11"/>
  <c r="AZ589" i="11"/>
  <c r="AY678" i="11"/>
  <c r="AZ678" i="11"/>
  <c r="AV678" i="11"/>
  <c r="AV766" i="11"/>
  <c r="AY766" i="11"/>
  <c r="AX766" i="11"/>
  <c r="AZ766" i="11"/>
  <c r="AV851" i="11"/>
  <c r="AX851" i="11"/>
  <c r="AY851" i="11"/>
  <c r="AZ851" i="11"/>
  <c r="AZ919" i="11"/>
  <c r="AY919" i="11"/>
  <c r="AV919" i="11"/>
  <c r="AV985" i="11"/>
  <c r="AY985" i="11"/>
  <c r="AZ985" i="11"/>
  <c r="AX985" i="11"/>
  <c r="AV963" i="11"/>
  <c r="AX963" i="11"/>
  <c r="AY963" i="11"/>
  <c r="AZ963" i="11"/>
  <c r="AY913" i="11"/>
  <c r="AZ913" i="11"/>
  <c r="AX913" i="11"/>
  <c r="AV862" i="11"/>
  <c r="AZ862" i="11"/>
  <c r="AX862" i="11"/>
  <c r="AY862" i="11"/>
  <c r="AY806" i="11"/>
  <c r="AZ806" i="11"/>
  <c r="AV806" i="11"/>
  <c r="AX806" i="11"/>
  <c r="AV734" i="11"/>
  <c r="AZ734" i="11"/>
  <c r="AX734" i="11"/>
  <c r="AY734" i="11"/>
  <c r="AV667" i="11"/>
  <c r="AY667" i="11"/>
  <c r="AZ667" i="11"/>
  <c r="AX667" i="11"/>
  <c r="AV601" i="11"/>
  <c r="AX601" i="11"/>
  <c r="AY601" i="11"/>
  <c r="AZ601" i="11"/>
  <c r="AV527" i="11"/>
  <c r="AZ527" i="11"/>
  <c r="AY527" i="11"/>
  <c r="AX527" i="11"/>
  <c r="AV425" i="11"/>
  <c r="AX425" i="11"/>
  <c r="AY425" i="11"/>
  <c r="AZ425" i="11"/>
  <c r="AV309" i="11"/>
  <c r="AY309" i="11"/>
  <c r="AV185" i="11"/>
  <c r="AY185" i="11"/>
  <c r="AZ185" i="11"/>
  <c r="AX185" i="11"/>
  <c r="AV990" i="11"/>
  <c r="AX990" i="11"/>
  <c r="AY990" i="11"/>
  <c r="AZ990" i="11"/>
  <c r="AV951" i="11"/>
  <c r="AZ951" i="11"/>
  <c r="AX951" i="11"/>
  <c r="AY951" i="11"/>
  <c r="AV914" i="11"/>
  <c r="AZ914" i="11"/>
  <c r="AX914" i="11"/>
  <c r="AY914" i="11"/>
  <c r="AV877" i="11"/>
  <c r="AZ877" i="11"/>
  <c r="AV838" i="11"/>
  <c r="AX838" i="11"/>
  <c r="AY838" i="11"/>
  <c r="AZ838" i="11"/>
  <c r="AV787" i="11"/>
  <c r="AX787" i="11"/>
  <c r="AY787" i="11"/>
  <c r="AZ787" i="11"/>
  <c r="AV738" i="11"/>
  <c r="AX738" i="11"/>
  <c r="AZ738" i="11"/>
  <c r="AY738" i="11"/>
  <c r="AV686" i="11"/>
  <c r="AZ686" i="11"/>
  <c r="AY686" i="11"/>
  <c r="AX686" i="11"/>
  <c r="AV637" i="11"/>
  <c r="AZ637" i="11"/>
  <c r="AX637" i="11"/>
  <c r="AY637" i="11"/>
  <c r="AV587" i="11"/>
  <c r="AX587" i="11"/>
  <c r="AZ587" i="11"/>
  <c r="AY587" i="11"/>
  <c r="AV533" i="11"/>
  <c r="AZ533" i="11"/>
  <c r="AV369" i="11"/>
  <c r="AY369" i="11"/>
  <c r="AX369" i="11"/>
  <c r="AZ369" i="11"/>
  <c r="AV995" i="11"/>
  <c r="AZ995" i="11"/>
  <c r="AX995" i="11"/>
  <c r="AY995" i="11"/>
  <c r="AY967" i="11"/>
  <c r="AZ967" i="11"/>
  <c r="AV967" i="11"/>
  <c r="AX939" i="11"/>
  <c r="AY939" i="11"/>
  <c r="AZ939" i="11"/>
  <c r="AV910" i="11"/>
  <c r="AZ910" i="11"/>
  <c r="AX910" i="11"/>
  <c r="AY910" i="11"/>
  <c r="AX882" i="11"/>
  <c r="AZ882" i="11"/>
  <c r="AY882" i="11"/>
  <c r="AV854" i="11"/>
  <c r="AY854" i="11"/>
  <c r="AX854" i="11"/>
  <c r="AZ854" i="11"/>
  <c r="AV822" i="11"/>
  <c r="AY822" i="11"/>
  <c r="AX822" i="11"/>
  <c r="AZ822" i="11"/>
  <c r="AY785" i="11"/>
  <c r="AX785" i="11"/>
  <c r="AZ785" i="11"/>
  <c r="AV745" i="11"/>
  <c r="AZ745" i="11"/>
  <c r="AX745" i="11"/>
  <c r="AY745" i="11"/>
  <c r="AV707" i="11"/>
  <c r="AY707" i="11"/>
  <c r="AX707" i="11"/>
  <c r="AZ707" i="11"/>
  <c r="AV670" i="11"/>
  <c r="AX670" i="11"/>
  <c r="AZ670" i="11"/>
  <c r="AY670" i="11"/>
  <c r="AV631" i="11"/>
  <c r="AX631" i="11"/>
  <c r="AY631" i="11"/>
  <c r="AZ631" i="11"/>
  <c r="AV594" i="11"/>
  <c r="AZ594" i="11"/>
  <c r="AX594" i="11"/>
  <c r="AY594" i="11"/>
  <c r="AY557" i="11"/>
  <c r="AV557" i="11"/>
  <c r="AZ557" i="11"/>
  <c r="AV510" i="11"/>
  <c r="AZ510" i="11"/>
  <c r="AX510" i="11"/>
  <c r="AY510" i="11"/>
  <c r="AV313" i="11"/>
  <c r="AZ313" i="11"/>
  <c r="AX313" i="11"/>
  <c r="AY313" i="11"/>
  <c r="AV247" i="11"/>
  <c r="AY247" i="11"/>
  <c r="AZ247" i="11"/>
  <c r="AX247" i="11"/>
  <c r="AV181" i="11"/>
  <c r="AZ181" i="11"/>
  <c r="AY181" i="11"/>
  <c r="AX181" i="11"/>
  <c r="AX47" i="11"/>
  <c r="AY47" i="11"/>
  <c r="AX818" i="11"/>
  <c r="AZ818" i="11"/>
  <c r="AV818" i="11"/>
  <c r="AV790" i="11"/>
  <c r="AY790" i="11"/>
  <c r="AX790" i="11"/>
  <c r="AZ790" i="11"/>
  <c r="AV761" i="11"/>
  <c r="AY761" i="11"/>
  <c r="AZ761" i="11"/>
  <c r="AX761" i="11"/>
  <c r="AX733" i="11"/>
  <c r="AY733" i="11"/>
  <c r="AZ733" i="11"/>
  <c r="AZ705" i="11"/>
  <c r="AY705" i="11"/>
  <c r="AX705" i="11"/>
  <c r="AV675" i="11"/>
  <c r="AX675" i="11"/>
  <c r="AY675" i="11"/>
  <c r="AZ675" i="11"/>
  <c r="AY647" i="11"/>
  <c r="AZ647" i="11"/>
  <c r="AX647" i="11"/>
  <c r="AX619" i="11"/>
  <c r="AY619" i="11"/>
  <c r="AV619" i="11"/>
  <c r="AV590" i="11"/>
  <c r="AZ590" i="11"/>
  <c r="AY590" i="11"/>
  <c r="AX590" i="11"/>
  <c r="AX562" i="11"/>
  <c r="AZ562" i="11"/>
  <c r="AV562" i="11"/>
  <c r="AX531" i="11"/>
  <c r="AY531" i="11"/>
  <c r="AZ531" i="11"/>
  <c r="AV493" i="11"/>
  <c r="AZ493" i="11"/>
  <c r="AX493" i="11"/>
  <c r="AY493" i="11"/>
  <c r="AZ395" i="11"/>
  <c r="AV395" i="11"/>
  <c r="AY395" i="11"/>
  <c r="AV341" i="11"/>
  <c r="AY341" i="11"/>
  <c r="AZ341" i="11"/>
  <c r="AX341" i="11"/>
  <c r="AX241" i="11"/>
  <c r="AY241" i="11"/>
  <c r="AV241" i="11"/>
  <c r="AZ241" i="11"/>
  <c r="AV191" i="11"/>
  <c r="AX191" i="11"/>
  <c r="AY191" i="11"/>
  <c r="AZ191" i="11"/>
  <c r="AZ91" i="11"/>
  <c r="AY91" i="11"/>
  <c r="AX91" i="11"/>
  <c r="AZ39" i="11"/>
  <c r="AX39" i="11"/>
  <c r="AY39" i="11"/>
  <c r="AY207" i="11"/>
  <c r="AZ207" i="11"/>
  <c r="AX207" i="11"/>
  <c r="AV375" i="11"/>
  <c r="AZ375" i="11"/>
  <c r="AX375" i="11"/>
  <c r="AY375" i="11"/>
  <c r="AV519" i="11"/>
  <c r="AX519" i="11"/>
  <c r="AY519" i="11"/>
  <c r="AZ519" i="11"/>
  <c r="AV615" i="11"/>
  <c r="AX615" i="11"/>
  <c r="AY615" i="11"/>
  <c r="AZ615" i="11"/>
  <c r="AZ706" i="11"/>
  <c r="AX706" i="11"/>
  <c r="AV795" i="11"/>
  <c r="AZ795" i="11"/>
  <c r="AX795" i="11"/>
  <c r="AY795" i="11"/>
  <c r="AV871" i="11"/>
  <c r="AY871" i="11"/>
  <c r="AX871" i="11"/>
  <c r="AZ871" i="11"/>
  <c r="AX941" i="11"/>
  <c r="AY941" i="11"/>
  <c r="AV941" i="11"/>
  <c r="AX473" i="11"/>
  <c r="AY473" i="11"/>
  <c r="AZ473" i="11"/>
  <c r="AV845" i="11"/>
  <c r="AY845" i="11"/>
  <c r="AX845" i="11"/>
  <c r="AZ845" i="11"/>
  <c r="AV781" i="11"/>
  <c r="AZ781" i="11"/>
  <c r="AX781" i="11"/>
  <c r="AY781" i="11"/>
  <c r="AV807" i="11"/>
  <c r="AX807" i="11"/>
  <c r="AZ807" i="11"/>
  <c r="AY807" i="11"/>
  <c r="AV978" i="11"/>
  <c r="AX978" i="11"/>
  <c r="AY978" i="11"/>
  <c r="AZ978" i="11"/>
  <c r="AV909" i="11"/>
  <c r="AY909" i="11"/>
  <c r="AZ909" i="11"/>
  <c r="AX909" i="11"/>
  <c r="AV843" i="11"/>
  <c r="AX843" i="11"/>
  <c r="AZ843" i="11"/>
  <c r="AY843" i="11"/>
  <c r="AV758" i="11"/>
  <c r="AY758" i="11"/>
  <c r="AZ758" i="11"/>
  <c r="AX758" i="11"/>
  <c r="AV665" i="11"/>
  <c r="AX665" i="11"/>
  <c r="AY665" i="11"/>
  <c r="AZ665" i="11"/>
  <c r="AZ578" i="11"/>
  <c r="AY578" i="11"/>
  <c r="AX578" i="11"/>
  <c r="AV463" i="11"/>
  <c r="AX463" i="11"/>
  <c r="AZ463" i="11"/>
  <c r="AY463" i="11"/>
  <c r="AV295" i="11"/>
  <c r="AZ295" i="11"/>
  <c r="AX295" i="11"/>
  <c r="AY295" i="11"/>
  <c r="AX139" i="11"/>
  <c r="AZ139" i="11"/>
  <c r="AX48" i="11"/>
  <c r="AX68" i="11"/>
  <c r="AV100" i="11"/>
  <c r="AX112" i="11"/>
  <c r="AV116" i="11"/>
  <c r="AY140" i="11"/>
  <c r="AX144" i="11"/>
  <c r="AY160" i="11"/>
  <c r="AX276" i="11"/>
  <c r="AX292" i="11"/>
  <c r="AX300" i="11"/>
  <c r="AY352" i="11"/>
  <c r="AX372" i="11"/>
  <c r="AY384" i="11"/>
  <c r="AY400" i="11"/>
  <c r="AY428" i="11"/>
  <c r="AY444" i="11"/>
  <c r="AV452" i="11"/>
  <c r="AY460" i="11"/>
  <c r="L1058" i="11"/>
  <c r="AV139" i="11"/>
  <c r="AV531" i="11"/>
  <c r="AY562" i="11"/>
  <c r="AV705" i="11"/>
  <c r="AV939" i="11"/>
  <c r="AX967" i="11"/>
  <c r="AX533" i="11"/>
  <c r="AX678" i="11"/>
  <c r="AX919" i="11"/>
  <c r="AV473" i="11"/>
  <c r="AY44" i="11"/>
  <c r="AX272" i="11"/>
  <c r="AX395" i="11"/>
  <c r="AZ309" i="11"/>
  <c r="AY706" i="11"/>
  <c r="AZ941" i="11"/>
  <c r="AY877" i="11"/>
  <c r="AV913" i="11"/>
  <c r="AX44" i="11"/>
  <c r="AY100" i="11"/>
  <c r="AY116" i="11"/>
  <c r="AV140" i="11"/>
  <c r="AV160" i="11"/>
  <c r="AX172" i="11"/>
  <c r="AX188" i="11"/>
  <c r="AV208" i="11"/>
  <c r="AY236" i="11"/>
  <c r="AV244" i="11"/>
  <c r="AV272" i="11"/>
  <c r="AX320" i="11"/>
  <c r="AV352" i="11"/>
  <c r="AY376" i="11"/>
  <c r="AV384" i="11"/>
  <c r="AV400" i="11"/>
  <c r="AV428" i="11"/>
  <c r="AY436" i="11"/>
  <c r="AX440" i="11"/>
  <c r="AV444" i="11"/>
  <c r="AY452" i="11"/>
  <c r="AV460" i="11"/>
  <c r="AV500" i="11"/>
  <c r="AV516" i="11"/>
  <c r="AV532" i="11"/>
  <c r="AV548" i="11"/>
  <c r="AV564" i="11"/>
  <c r="AV580" i="11"/>
  <c r="AV596" i="11"/>
  <c r="AV612" i="11"/>
  <c r="AV628" i="11"/>
  <c r="AV644" i="11"/>
  <c r="AX656" i="11"/>
  <c r="AV660" i="11"/>
  <c r="AX672" i="11"/>
  <c r="AV676" i="11"/>
  <c r="AX688" i="11"/>
  <c r="AV692" i="11"/>
  <c r="AX704" i="11"/>
  <c r="AV708" i="11"/>
  <c r="AX720" i="11"/>
  <c r="AV724" i="11"/>
  <c r="AX736" i="11"/>
  <c r="AV740" i="11"/>
  <c r="AX752" i="11"/>
  <c r="AV756" i="11"/>
  <c r="AX768" i="11"/>
  <c r="AV772" i="11"/>
  <c r="AX784" i="11"/>
  <c r="AV788" i="11"/>
  <c r="AX800" i="11"/>
  <c r="AV804" i="11"/>
  <c r="AX816" i="11"/>
  <c r="AV820" i="11"/>
  <c r="AX832" i="11"/>
  <c r="AV836" i="11"/>
  <c r="AX848" i="11"/>
  <c r="AV852" i="11"/>
  <c r="AX864" i="11"/>
  <c r="AV868" i="11"/>
  <c r="AX880" i="11"/>
  <c r="AV884" i="11"/>
  <c r="AX896" i="11"/>
  <c r="AV900" i="11"/>
  <c r="AX912" i="11"/>
  <c r="AV916" i="11"/>
  <c r="AX928" i="11"/>
  <c r="AV932" i="11"/>
  <c r="AX944" i="11"/>
  <c r="AV948" i="11"/>
  <c r="AX960" i="11"/>
  <c r="AV964" i="11"/>
  <c r="AX976" i="11"/>
  <c r="AV980" i="11"/>
  <c r="AX992" i="11"/>
  <c r="AV996" i="11"/>
  <c r="AZ619" i="11"/>
  <c r="AV647" i="11"/>
  <c r="AY818" i="11"/>
  <c r="AV882" i="11"/>
  <c r="AX309" i="11"/>
  <c r="AV706" i="11"/>
  <c r="AX557" i="11"/>
  <c r="AV199" i="11"/>
  <c r="AY199" i="11"/>
  <c r="AX199" i="11"/>
  <c r="AZ199" i="11"/>
  <c r="AV514" i="11"/>
  <c r="AY514" i="11"/>
  <c r="AX514" i="11"/>
  <c r="AZ514" i="11"/>
  <c r="AV609" i="11"/>
  <c r="AY609" i="11"/>
  <c r="AZ609" i="11"/>
  <c r="AX609" i="11"/>
  <c r="AV695" i="11"/>
  <c r="AX695" i="11"/>
  <c r="AY695" i="11"/>
  <c r="AZ695" i="11"/>
  <c r="AZ791" i="11"/>
  <c r="AV791" i="11"/>
  <c r="AV935" i="11"/>
  <c r="AY935" i="11"/>
  <c r="AX935" i="11"/>
  <c r="AZ935" i="11"/>
  <c r="AX1003" i="11"/>
  <c r="AV1003" i="11"/>
  <c r="AV1001" i="11"/>
  <c r="AX1001" i="11"/>
  <c r="AY1001" i="11"/>
  <c r="AZ1001" i="11"/>
  <c r="AV950" i="11"/>
  <c r="AZ950" i="11"/>
  <c r="AX950" i="11"/>
  <c r="AY950" i="11"/>
  <c r="AV899" i="11"/>
  <c r="AX899" i="11"/>
  <c r="AY899" i="11"/>
  <c r="AZ899" i="11"/>
  <c r="AV850" i="11"/>
  <c r="AX850" i="11"/>
  <c r="AY850" i="11"/>
  <c r="AZ850" i="11"/>
  <c r="AV786" i="11"/>
  <c r="AY786" i="11"/>
  <c r="AZ786" i="11"/>
  <c r="AX786" i="11"/>
  <c r="AV653" i="11"/>
  <c r="AX653" i="11"/>
  <c r="AY653" i="11"/>
  <c r="AZ653" i="11"/>
  <c r="AV582" i="11"/>
  <c r="AX582" i="11"/>
  <c r="AY582" i="11"/>
  <c r="AZ582" i="11"/>
  <c r="AV506" i="11"/>
  <c r="AY506" i="11"/>
  <c r="AX506" i="11"/>
  <c r="AZ506" i="11"/>
  <c r="AV273" i="11"/>
  <c r="AZ273" i="11"/>
  <c r="AY273" i="11"/>
  <c r="AX273" i="11"/>
  <c r="AV979" i="11"/>
  <c r="AY979" i="11"/>
  <c r="AZ979" i="11"/>
  <c r="AX979" i="11"/>
  <c r="AV942" i="11"/>
  <c r="AY942" i="11"/>
  <c r="AX942" i="11"/>
  <c r="AZ942" i="11"/>
  <c r="AV905" i="11"/>
  <c r="AZ905" i="11"/>
  <c r="AX905" i="11"/>
  <c r="AY905" i="11"/>
  <c r="AV866" i="11"/>
  <c r="AX866" i="11"/>
  <c r="AZ866" i="11"/>
  <c r="AY866" i="11"/>
  <c r="AV777" i="11"/>
  <c r="AX777" i="11"/>
  <c r="AY777" i="11"/>
  <c r="AZ777" i="11"/>
  <c r="AV723" i="11"/>
  <c r="AY723" i="11"/>
  <c r="AZ723" i="11"/>
  <c r="AX723" i="11"/>
  <c r="AV674" i="11"/>
  <c r="AZ674" i="11"/>
  <c r="AY674" i="11"/>
  <c r="AX674" i="11"/>
  <c r="AV625" i="11"/>
  <c r="AY625" i="11"/>
  <c r="AZ625" i="11"/>
  <c r="AX625" i="11"/>
  <c r="AV573" i="11"/>
  <c r="AX573" i="11"/>
  <c r="AY573" i="11"/>
  <c r="AZ573" i="11"/>
  <c r="AV517" i="11"/>
  <c r="AZ517" i="11"/>
  <c r="AX517" i="11"/>
  <c r="AY517" i="11"/>
  <c r="AV437" i="11"/>
  <c r="AX437" i="11"/>
  <c r="AY437" i="11"/>
  <c r="AZ437" i="11"/>
  <c r="AZ75" i="11"/>
  <c r="AX75" i="11"/>
  <c r="AY989" i="11"/>
  <c r="AX989" i="11"/>
  <c r="AZ961" i="11"/>
  <c r="AY961" i="11"/>
  <c r="AV931" i="11"/>
  <c r="AX931" i="11"/>
  <c r="AY931" i="11"/>
  <c r="AZ931" i="11"/>
  <c r="AZ903" i="11"/>
  <c r="AY903" i="11"/>
  <c r="AX875" i="11"/>
  <c r="AY875" i="11"/>
  <c r="AV846" i="11"/>
  <c r="AZ846" i="11"/>
  <c r="AY846" i="11"/>
  <c r="AX846" i="11"/>
  <c r="AV774" i="11"/>
  <c r="AY774" i="11"/>
  <c r="AX774" i="11"/>
  <c r="AZ774" i="11"/>
  <c r="AV737" i="11"/>
  <c r="AX737" i="11"/>
  <c r="AY737" i="11"/>
  <c r="AZ737" i="11"/>
  <c r="AX699" i="11"/>
  <c r="AV699" i="11"/>
  <c r="AV659" i="11"/>
  <c r="AY659" i="11"/>
  <c r="AZ659" i="11"/>
  <c r="AX659" i="11"/>
  <c r="AV622" i="11"/>
  <c r="AZ622" i="11"/>
  <c r="AX622" i="11"/>
  <c r="AY622" i="11"/>
  <c r="AV585" i="11"/>
  <c r="AX585" i="11"/>
  <c r="AZ585" i="11"/>
  <c r="AY585" i="11"/>
  <c r="AV546" i="11"/>
  <c r="AX546" i="11"/>
  <c r="AY546" i="11"/>
  <c r="AZ546" i="11"/>
  <c r="AV498" i="11"/>
  <c r="AZ498" i="11"/>
  <c r="AY498" i="11"/>
  <c r="AX498" i="11"/>
  <c r="AV367" i="11"/>
  <c r="AX367" i="11"/>
  <c r="AZ367" i="11"/>
  <c r="AY367" i="11"/>
  <c r="AX299" i="11"/>
  <c r="AZ299" i="11"/>
  <c r="AV161" i="11"/>
  <c r="AZ161" i="11"/>
  <c r="AX161" i="11"/>
  <c r="AY161" i="11"/>
  <c r="AV27" i="11"/>
  <c r="AY27" i="11"/>
  <c r="AZ27" i="11"/>
  <c r="AX27" i="11"/>
  <c r="AY811" i="11"/>
  <c r="AX811" i="11"/>
  <c r="AV782" i="11"/>
  <c r="AX782" i="11"/>
  <c r="AY782" i="11"/>
  <c r="AZ782" i="11"/>
  <c r="AZ754" i="11"/>
  <c r="AX754" i="11"/>
  <c r="AV726" i="11"/>
  <c r="AZ726" i="11"/>
  <c r="AX726" i="11"/>
  <c r="AY726" i="11"/>
  <c r="AV697" i="11"/>
  <c r="AY697" i="11"/>
  <c r="AX697" i="11"/>
  <c r="AZ697" i="11"/>
  <c r="AX669" i="11"/>
  <c r="AY669" i="11"/>
  <c r="AY641" i="11"/>
  <c r="AZ641" i="11"/>
  <c r="AV611" i="11"/>
  <c r="AY611" i="11"/>
  <c r="AZ611" i="11"/>
  <c r="AX611" i="11"/>
  <c r="AZ583" i="11"/>
  <c r="AY583" i="11"/>
  <c r="AY555" i="11"/>
  <c r="AX555" i="11"/>
  <c r="AV521" i="11"/>
  <c r="AX521" i="11"/>
  <c r="AZ521" i="11"/>
  <c r="AY521" i="11"/>
  <c r="AY481" i="11"/>
  <c r="AZ481" i="11"/>
  <c r="AV85" i="11"/>
  <c r="AX85" i="11"/>
  <c r="AY85" i="11"/>
  <c r="AZ85" i="11"/>
  <c r="AV409" i="11"/>
  <c r="AY409" i="11"/>
  <c r="AZ409" i="11"/>
  <c r="AX409" i="11"/>
  <c r="AV545" i="11"/>
  <c r="AZ545" i="11"/>
  <c r="AY545" i="11"/>
  <c r="AX545" i="11"/>
  <c r="AV638" i="11"/>
  <c r="AZ638" i="11"/>
  <c r="AX638" i="11"/>
  <c r="AY638" i="11"/>
  <c r="AV729" i="11"/>
  <c r="AZ729" i="11"/>
  <c r="AX729" i="11"/>
  <c r="AY729" i="11"/>
  <c r="AV817" i="11"/>
  <c r="AY817" i="11"/>
  <c r="AZ817" i="11"/>
  <c r="AX817" i="11"/>
  <c r="AV957" i="11"/>
  <c r="AY957" i="11"/>
  <c r="AZ957" i="11"/>
  <c r="AX957" i="11"/>
  <c r="AV579" i="11"/>
  <c r="AZ579" i="11"/>
  <c r="AX579" i="11"/>
  <c r="AY579" i="11"/>
  <c r="AV915" i="11"/>
  <c r="AZ915" i="11"/>
  <c r="AX915" i="11"/>
  <c r="AY915" i="11"/>
  <c r="AY505" i="11"/>
  <c r="AZ505" i="11"/>
  <c r="AV865" i="11"/>
  <c r="AX865" i="11"/>
  <c r="AY865" i="11"/>
  <c r="AZ865" i="11"/>
  <c r="AV538" i="11"/>
  <c r="AZ538" i="11"/>
  <c r="AY538" i="11"/>
  <c r="AX538" i="11"/>
  <c r="AV881" i="11"/>
  <c r="AZ881" i="11"/>
  <c r="AX881" i="11"/>
  <c r="AY881" i="11"/>
  <c r="AV958" i="11"/>
  <c r="AZ958" i="11"/>
  <c r="AX958" i="11"/>
  <c r="AY958" i="11"/>
  <c r="AV893" i="11"/>
  <c r="AX893" i="11"/>
  <c r="AY893" i="11"/>
  <c r="AZ893" i="11"/>
  <c r="AV823" i="11"/>
  <c r="AZ823" i="11"/>
  <c r="AY823" i="11"/>
  <c r="AX823" i="11"/>
  <c r="AV731" i="11"/>
  <c r="AZ731" i="11"/>
  <c r="AX731" i="11"/>
  <c r="AY731" i="11"/>
  <c r="AV643" i="11"/>
  <c r="AZ643" i="11"/>
  <c r="AX643" i="11"/>
  <c r="AY643" i="11"/>
  <c r="AV553" i="11"/>
  <c r="AY553" i="11"/>
  <c r="AZ553" i="11"/>
  <c r="AX553" i="11"/>
  <c r="AY423" i="11"/>
  <c r="AZ423" i="11"/>
  <c r="AX261" i="11"/>
  <c r="AZ261" i="11"/>
  <c r="AV105" i="11"/>
  <c r="AX105" i="11"/>
  <c r="AZ105" i="11"/>
  <c r="AY105" i="11"/>
  <c r="AZ26" i="11"/>
  <c r="AX281" i="11"/>
  <c r="AZ331" i="11"/>
  <c r="AV481" i="11"/>
  <c r="AV583" i="11"/>
  <c r="AV641" i="11"/>
  <c r="AV669" i="11"/>
  <c r="AV875" i="11"/>
  <c r="AZ169" i="11"/>
  <c r="AZ977" i="11"/>
  <c r="AV43" i="11"/>
  <c r="AY233" i="11"/>
  <c r="AY347" i="11"/>
  <c r="AX505" i="11"/>
  <c r="AY849" i="11"/>
  <c r="AY870" i="11"/>
  <c r="AV891" i="11"/>
  <c r="AZ13" i="11"/>
  <c r="AV119" i="11"/>
  <c r="AV359" i="11"/>
  <c r="AZ599" i="11"/>
  <c r="AZ699" i="11"/>
  <c r="AY813" i="11"/>
  <c r="AZ827" i="11"/>
  <c r="AZ1003" i="11"/>
  <c r="AY18" i="11"/>
  <c r="AY177" i="11"/>
  <c r="AY331" i="11"/>
  <c r="AZ555" i="11"/>
  <c r="AY754" i="11"/>
  <c r="AZ811" i="11"/>
  <c r="AX903" i="11"/>
  <c r="AX961" i="11"/>
  <c r="AZ989" i="11"/>
  <c r="AZ433" i="11"/>
  <c r="AV233" i="11"/>
  <c r="AV505" i="11"/>
  <c r="AV870" i="11"/>
  <c r="AX433" i="11"/>
  <c r="AY721" i="11"/>
  <c r="AX813" i="11"/>
  <c r="AV827" i="11"/>
  <c r="AY1003" i="11"/>
  <c r="AV441" i="11"/>
  <c r="AY441" i="11"/>
  <c r="AZ441" i="11"/>
  <c r="AX441" i="11"/>
  <c r="AV563" i="11"/>
  <c r="AX563" i="11"/>
  <c r="AZ563" i="11"/>
  <c r="AY563" i="11"/>
  <c r="AV743" i="11"/>
  <c r="AY743" i="11"/>
  <c r="AX743" i="11"/>
  <c r="AZ743" i="11"/>
  <c r="AV902" i="11"/>
  <c r="AX902" i="11"/>
  <c r="AZ902" i="11"/>
  <c r="AY902" i="11"/>
  <c r="AV969" i="11"/>
  <c r="AX969" i="11"/>
  <c r="AY969" i="11"/>
  <c r="AZ969" i="11"/>
  <c r="AV926" i="11"/>
  <c r="AY926" i="11"/>
  <c r="AX926" i="11"/>
  <c r="AZ926" i="11"/>
  <c r="AV873" i="11"/>
  <c r="AZ873" i="11"/>
  <c r="AX873" i="11"/>
  <c r="AY873" i="11"/>
  <c r="AV819" i="11"/>
  <c r="AX819" i="11"/>
  <c r="AZ819" i="11"/>
  <c r="AY819" i="11"/>
  <c r="AV753" i="11"/>
  <c r="AY753" i="11"/>
  <c r="AX753" i="11"/>
  <c r="AZ753" i="11"/>
  <c r="AV617" i="11"/>
  <c r="AY617" i="11"/>
  <c r="AX617" i="11"/>
  <c r="AZ617" i="11"/>
  <c r="AV551" i="11"/>
  <c r="AX551" i="11"/>
  <c r="AZ551" i="11"/>
  <c r="AY551" i="11"/>
  <c r="AV453" i="11"/>
  <c r="AY453" i="11"/>
  <c r="AX453" i="11"/>
  <c r="AZ453" i="11"/>
  <c r="AV337" i="11"/>
  <c r="AY337" i="11"/>
  <c r="AX337" i="11"/>
  <c r="AZ337" i="11"/>
  <c r="AV219" i="11"/>
  <c r="AX219" i="11"/>
  <c r="AY219" i="11"/>
  <c r="AZ219" i="11"/>
  <c r="AV999" i="11"/>
  <c r="AZ999" i="11"/>
  <c r="AX999" i="11"/>
  <c r="AY999" i="11"/>
  <c r="AV923" i="11"/>
  <c r="AZ923" i="11"/>
  <c r="AX923" i="11"/>
  <c r="AY923" i="11"/>
  <c r="AV886" i="11"/>
  <c r="AZ886" i="11"/>
  <c r="AX886" i="11"/>
  <c r="AY886" i="11"/>
  <c r="AV801" i="11"/>
  <c r="AZ801" i="11"/>
  <c r="AY801" i="11"/>
  <c r="AX801" i="11"/>
  <c r="AV750" i="11"/>
  <c r="AX750" i="11"/>
  <c r="AZ750" i="11"/>
  <c r="AY750" i="11"/>
  <c r="AV701" i="11"/>
  <c r="AY701" i="11"/>
  <c r="AZ701" i="11"/>
  <c r="AX701" i="11"/>
  <c r="AV649" i="11"/>
  <c r="AZ649" i="11"/>
  <c r="AX649" i="11"/>
  <c r="AY649" i="11"/>
  <c r="AV389" i="11"/>
  <c r="AZ389" i="11"/>
  <c r="AX389" i="11"/>
  <c r="AY389" i="11"/>
  <c r="AV303" i="11"/>
  <c r="AY303" i="11"/>
  <c r="AX303" i="11"/>
  <c r="AZ303" i="11"/>
  <c r="AV209" i="11"/>
  <c r="AY209" i="11"/>
  <c r="AX209" i="11"/>
  <c r="AZ209" i="11"/>
  <c r="AV121" i="11"/>
  <c r="AZ121" i="11"/>
  <c r="AX121" i="11"/>
  <c r="AY121" i="11"/>
  <c r="AV33" i="11"/>
  <c r="AZ33" i="11"/>
  <c r="AX33" i="11"/>
  <c r="AY33" i="11"/>
  <c r="AV974" i="11"/>
  <c r="AZ974" i="11"/>
  <c r="AX974" i="11"/>
  <c r="AY974" i="11"/>
  <c r="AX946" i="11"/>
  <c r="AZ946" i="11"/>
  <c r="AV918" i="11"/>
  <c r="AX918" i="11"/>
  <c r="AY918" i="11"/>
  <c r="AZ918" i="11"/>
  <c r="AV889" i="11"/>
  <c r="AX889" i="11"/>
  <c r="AZ889" i="11"/>
  <c r="AY889" i="11"/>
  <c r="AX861" i="11"/>
  <c r="AY861" i="11"/>
  <c r="AV830" i="11"/>
  <c r="AX830" i="11"/>
  <c r="AZ830" i="11"/>
  <c r="AY830" i="11"/>
  <c r="AV793" i="11"/>
  <c r="AY793" i="11"/>
  <c r="AZ793" i="11"/>
  <c r="AX793" i="11"/>
  <c r="AV755" i="11"/>
  <c r="AX755" i="11"/>
  <c r="AY755" i="11"/>
  <c r="AZ755" i="11"/>
  <c r="AV717" i="11"/>
  <c r="AY717" i="11"/>
  <c r="AZ717" i="11"/>
  <c r="AX717" i="11"/>
  <c r="AV679" i="11"/>
  <c r="AZ679" i="11"/>
  <c r="AX679" i="11"/>
  <c r="AY679" i="11"/>
  <c r="AV603" i="11"/>
  <c r="AY603" i="11"/>
  <c r="AX603" i="11"/>
  <c r="AZ603" i="11"/>
  <c r="AV566" i="11"/>
  <c r="AY566" i="11"/>
  <c r="AX566" i="11"/>
  <c r="AZ566" i="11"/>
  <c r="AV465" i="11"/>
  <c r="AX465" i="11"/>
  <c r="AZ465" i="11"/>
  <c r="AY465" i="11"/>
  <c r="AV399" i="11"/>
  <c r="AZ399" i="11"/>
  <c r="AY399" i="11"/>
  <c r="AX399" i="11"/>
  <c r="AV263" i="11"/>
  <c r="AX263" i="11"/>
  <c r="AY263" i="11"/>
  <c r="AZ263" i="11"/>
  <c r="AZ197" i="11"/>
  <c r="AX197" i="11"/>
  <c r="AV63" i="11"/>
  <c r="AX63" i="11"/>
  <c r="AY63" i="11"/>
  <c r="AZ63" i="11"/>
  <c r="AV825" i="11"/>
  <c r="AX825" i="11"/>
  <c r="AY825" i="11"/>
  <c r="AZ825" i="11"/>
  <c r="AY797" i="11"/>
  <c r="AX797" i="11"/>
  <c r="AY769" i="11"/>
  <c r="AZ769" i="11"/>
  <c r="AV739" i="11"/>
  <c r="AY739" i="11"/>
  <c r="AX739" i="11"/>
  <c r="AZ739" i="11"/>
  <c r="AY711" i="11"/>
  <c r="AZ711" i="11"/>
  <c r="AX683" i="11"/>
  <c r="AY683" i="11"/>
  <c r="AV654" i="11"/>
  <c r="AY654" i="11"/>
  <c r="AZ654" i="11"/>
  <c r="AX654" i="11"/>
  <c r="AX626" i="11"/>
  <c r="AZ626" i="11"/>
  <c r="AV598" i="11"/>
  <c r="AX598" i="11"/>
  <c r="AZ598" i="11"/>
  <c r="AY598" i="11"/>
  <c r="AV569" i="11"/>
  <c r="AY569" i="11"/>
  <c r="AZ569" i="11"/>
  <c r="AX569" i="11"/>
  <c r="AY541" i="11"/>
  <c r="AX541" i="11"/>
  <c r="AY503" i="11"/>
  <c r="AZ503" i="11"/>
  <c r="AV455" i="11"/>
  <c r="AZ455" i="11"/>
  <c r="AX455" i="11"/>
  <c r="AY455" i="11"/>
  <c r="AZ255" i="11"/>
  <c r="AY255" i="11"/>
  <c r="AV153" i="11"/>
  <c r="AY153" i="11"/>
  <c r="AZ153" i="11"/>
  <c r="AX153" i="11"/>
  <c r="AV239" i="11"/>
  <c r="AZ239" i="11"/>
  <c r="AY239" i="11"/>
  <c r="AX239" i="11"/>
  <c r="AV542" i="11"/>
  <c r="AY542" i="11"/>
  <c r="AX542" i="11"/>
  <c r="AZ542" i="11"/>
  <c r="AV630" i="11"/>
  <c r="AX630" i="11"/>
  <c r="AY630" i="11"/>
  <c r="AZ630" i="11"/>
  <c r="AV722" i="11"/>
  <c r="AX722" i="11"/>
  <c r="AY722" i="11"/>
  <c r="AZ722" i="11"/>
  <c r="AV809" i="11"/>
  <c r="AY809" i="11"/>
  <c r="AX809" i="11"/>
  <c r="AZ809" i="11"/>
  <c r="AV883" i="11"/>
  <c r="AY883" i="11"/>
  <c r="AX883" i="11"/>
  <c r="AZ883" i="11"/>
  <c r="AV987" i="11"/>
  <c r="AX987" i="11"/>
  <c r="AY987" i="11"/>
  <c r="AZ987" i="11"/>
  <c r="AV937" i="11"/>
  <c r="AZ937" i="11"/>
  <c r="AX937" i="11"/>
  <c r="AY937" i="11"/>
  <c r="AV887" i="11"/>
  <c r="AX887" i="11"/>
  <c r="AY887" i="11"/>
  <c r="AZ887" i="11"/>
  <c r="AV835" i="11"/>
  <c r="AZ835" i="11"/>
  <c r="AX835" i="11"/>
  <c r="AY835" i="11"/>
  <c r="AV702" i="11"/>
  <c r="AZ702" i="11"/>
  <c r="AX702" i="11"/>
  <c r="AY702" i="11"/>
  <c r="AV567" i="11"/>
  <c r="AZ567" i="11"/>
  <c r="AY567" i="11"/>
  <c r="AX567" i="11"/>
  <c r="AV489" i="11"/>
  <c r="AX489" i="11"/>
  <c r="AY489" i="11"/>
  <c r="AZ489" i="11"/>
  <c r="AV361" i="11"/>
  <c r="AY361" i="11"/>
  <c r="AX361" i="11"/>
  <c r="AZ361" i="11"/>
  <c r="AV971" i="11"/>
  <c r="AY971" i="11"/>
  <c r="AX971" i="11"/>
  <c r="AZ971" i="11"/>
  <c r="AV894" i="11"/>
  <c r="AY894" i="11"/>
  <c r="AX894" i="11"/>
  <c r="AZ894" i="11"/>
  <c r="AV857" i="11"/>
  <c r="AZ857" i="11"/>
  <c r="AX857" i="11"/>
  <c r="AY857" i="11"/>
  <c r="AV814" i="11"/>
  <c r="AX814" i="11"/>
  <c r="AY814" i="11"/>
  <c r="AZ814" i="11"/>
  <c r="AV713" i="11"/>
  <c r="AY713" i="11"/>
  <c r="AZ713" i="11"/>
  <c r="AX713" i="11"/>
  <c r="AV610" i="11"/>
  <c r="AZ610" i="11"/>
  <c r="AX610" i="11"/>
  <c r="AY610" i="11"/>
  <c r="AV561" i="11"/>
  <c r="AY561" i="11"/>
  <c r="AZ561" i="11"/>
  <c r="AX561" i="11"/>
  <c r="AV499" i="11"/>
  <c r="AZ499" i="11"/>
  <c r="AX499" i="11"/>
  <c r="AY499" i="11"/>
  <c r="AX235" i="11"/>
  <c r="AZ235" i="11"/>
  <c r="AV143" i="11"/>
  <c r="AZ143" i="11"/>
  <c r="AX143" i="11"/>
  <c r="AY143" i="11"/>
  <c r="AV982" i="11"/>
  <c r="AZ982" i="11"/>
  <c r="AX982" i="11"/>
  <c r="AY982" i="11"/>
  <c r="AV953" i="11"/>
  <c r="AX953" i="11"/>
  <c r="AY953" i="11"/>
  <c r="AZ953" i="11"/>
  <c r="AY925" i="11"/>
  <c r="AX925" i="11"/>
  <c r="AY897" i="11"/>
  <c r="AZ897" i="11"/>
  <c r="AV867" i="11"/>
  <c r="AY867" i="11"/>
  <c r="AX867" i="11"/>
  <c r="AZ867" i="11"/>
  <c r="AZ839" i="11"/>
  <c r="AY839" i="11"/>
  <c r="AV802" i="11"/>
  <c r="AX802" i="11"/>
  <c r="AY802" i="11"/>
  <c r="AZ802" i="11"/>
  <c r="AV765" i="11"/>
  <c r="AX765" i="11"/>
  <c r="AY765" i="11"/>
  <c r="AZ765" i="11"/>
  <c r="AV689" i="11"/>
  <c r="AX689" i="11"/>
  <c r="AY689" i="11"/>
  <c r="AZ689" i="11"/>
  <c r="AV651" i="11"/>
  <c r="AZ651" i="11"/>
  <c r="AX651" i="11"/>
  <c r="AY651" i="11"/>
  <c r="AV574" i="11"/>
  <c r="AY574" i="11"/>
  <c r="AZ574" i="11"/>
  <c r="AX574" i="11"/>
  <c r="AV535" i="11"/>
  <c r="AY535" i="11"/>
  <c r="AZ535" i="11"/>
  <c r="AX535" i="11"/>
  <c r="AX213" i="11"/>
  <c r="AZ213" i="11"/>
  <c r="AZ833" i="11"/>
  <c r="AY833" i="11"/>
  <c r="AV803" i="11"/>
  <c r="AX803" i="11"/>
  <c r="AY803" i="11"/>
  <c r="AZ803" i="11"/>
  <c r="AY775" i="11"/>
  <c r="AZ775" i="11"/>
  <c r="AX747" i="11"/>
  <c r="AY747" i="11"/>
  <c r="AV718" i="11"/>
  <c r="AX718" i="11"/>
  <c r="AY718" i="11"/>
  <c r="AZ718" i="11"/>
  <c r="AX690" i="11"/>
  <c r="AZ690" i="11"/>
  <c r="AV662" i="11"/>
  <c r="AX662" i="11"/>
  <c r="AY662" i="11"/>
  <c r="AZ662" i="11"/>
  <c r="AV633" i="11"/>
  <c r="AY633" i="11"/>
  <c r="AX633" i="11"/>
  <c r="AZ633" i="11"/>
  <c r="AY605" i="11"/>
  <c r="AX605" i="11"/>
  <c r="AY577" i="11"/>
  <c r="AZ577" i="11"/>
  <c r="AV547" i="11"/>
  <c r="AX547" i="11"/>
  <c r="AY547" i="11"/>
  <c r="AZ547" i="11"/>
  <c r="AY511" i="11"/>
  <c r="AZ511" i="11"/>
  <c r="AY469" i="11"/>
  <c r="AX469" i="11"/>
  <c r="AV417" i="11"/>
  <c r="AY417" i="11"/>
  <c r="AX417" i="11"/>
  <c r="AZ417" i="11"/>
  <c r="AV267" i="11"/>
  <c r="AY267" i="11"/>
  <c r="AX267" i="11"/>
  <c r="AZ267" i="11"/>
  <c r="AV113" i="11"/>
  <c r="AZ113" i="11"/>
  <c r="AY113" i="11"/>
  <c r="AX113" i="11"/>
  <c r="AV133" i="11"/>
  <c r="AY133" i="11"/>
  <c r="AX133" i="11"/>
  <c r="AZ133" i="11"/>
  <c r="AV289" i="11"/>
  <c r="AY289" i="11"/>
  <c r="AX289" i="11"/>
  <c r="AZ289" i="11"/>
  <c r="AV447" i="11"/>
  <c r="AY447" i="11"/>
  <c r="AX447" i="11"/>
  <c r="AZ447" i="11"/>
  <c r="AV658" i="11"/>
  <c r="AZ658" i="11"/>
  <c r="AX658" i="11"/>
  <c r="AY658" i="11"/>
  <c r="AX749" i="11"/>
  <c r="AY749" i="11"/>
  <c r="AV841" i="11"/>
  <c r="AX841" i="11"/>
  <c r="AY841" i="11"/>
  <c r="AZ841" i="11"/>
  <c r="AV907" i="11"/>
  <c r="AX907" i="11"/>
  <c r="AY907" i="11"/>
  <c r="AZ907" i="11"/>
  <c r="AV973" i="11"/>
  <c r="AZ973" i="11"/>
  <c r="AX973" i="11"/>
  <c r="AY973" i="11"/>
  <c r="AX149" i="11"/>
  <c r="AZ149" i="11"/>
  <c r="AV673" i="11"/>
  <c r="AY673" i="11"/>
  <c r="AX673" i="11"/>
  <c r="AZ673" i="11"/>
  <c r="AV23" i="11"/>
  <c r="AX23" i="11"/>
  <c r="AY23" i="11"/>
  <c r="AZ23" i="11"/>
  <c r="AV606" i="11"/>
  <c r="AX606" i="11"/>
  <c r="AY606" i="11"/>
  <c r="AZ606" i="11"/>
  <c r="AV930" i="11"/>
  <c r="AX930" i="11"/>
  <c r="AY930" i="11"/>
  <c r="AZ930" i="11"/>
  <c r="AV71" i="11"/>
  <c r="AX71" i="11"/>
  <c r="AZ71" i="11"/>
  <c r="AY71" i="11"/>
  <c r="AV627" i="11"/>
  <c r="AZ627" i="11"/>
  <c r="AY627" i="11"/>
  <c r="AX627" i="11"/>
  <c r="AV947" i="11"/>
  <c r="AY947" i="11"/>
  <c r="AX947" i="11"/>
  <c r="AZ947" i="11"/>
  <c r="AV945" i="11"/>
  <c r="AZ945" i="11"/>
  <c r="AX945" i="11"/>
  <c r="AY945" i="11"/>
  <c r="AV878" i="11"/>
  <c r="AY878" i="11"/>
  <c r="AX878" i="11"/>
  <c r="AZ878" i="11"/>
  <c r="AV798" i="11"/>
  <c r="AY798" i="11"/>
  <c r="AX798" i="11"/>
  <c r="AZ798" i="11"/>
  <c r="AV710" i="11"/>
  <c r="AZ710" i="11"/>
  <c r="AY710" i="11"/>
  <c r="AX710" i="11"/>
  <c r="AX621" i="11"/>
  <c r="AY621" i="11"/>
  <c r="AV526" i="11"/>
  <c r="AY526" i="11"/>
  <c r="AX526" i="11"/>
  <c r="AZ526" i="11"/>
  <c r="AV377" i="11"/>
  <c r="AX377" i="11"/>
  <c r="AY377" i="11"/>
  <c r="AZ377" i="11"/>
  <c r="AV57" i="11"/>
  <c r="AY57" i="11"/>
  <c r="AZ57" i="11"/>
  <c r="AX57" i="11"/>
  <c r="AV171" i="11"/>
  <c r="AZ171" i="11"/>
  <c r="AX171" i="11"/>
  <c r="AY171" i="11"/>
  <c r="AV327" i="11"/>
  <c r="AZ327" i="11"/>
  <c r="AX327" i="11"/>
  <c r="AY327" i="11"/>
  <c r="AV490" i="11"/>
  <c r="AY490" i="11"/>
  <c r="AX490" i="11"/>
  <c r="AZ490" i="11"/>
  <c r="AV681" i="11"/>
  <c r="AY681" i="11"/>
  <c r="AZ681" i="11"/>
  <c r="AX681" i="11"/>
  <c r="AV771" i="11"/>
  <c r="AX771" i="11"/>
  <c r="AY771" i="11"/>
  <c r="AZ771" i="11"/>
  <c r="AV921" i="11"/>
  <c r="AY921" i="11"/>
  <c r="AZ921" i="11"/>
  <c r="AX921" i="11"/>
  <c r="AV993" i="11"/>
  <c r="AX993" i="11"/>
  <c r="AY993" i="11"/>
  <c r="AZ993" i="11"/>
  <c r="AV311" i="11"/>
  <c r="AY311" i="11"/>
  <c r="AZ311" i="11"/>
  <c r="AX311" i="11"/>
  <c r="AV759" i="11"/>
  <c r="AZ759" i="11"/>
  <c r="AX759" i="11"/>
  <c r="AY759" i="11"/>
  <c r="AV694" i="11"/>
  <c r="AY694" i="11"/>
  <c r="AZ694" i="11"/>
  <c r="AX694" i="11"/>
  <c r="AV225" i="11"/>
  <c r="AY225" i="11"/>
  <c r="AX225" i="11"/>
  <c r="AZ225" i="11"/>
  <c r="AV715" i="11"/>
  <c r="AZ715" i="11"/>
  <c r="AX715" i="11"/>
  <c r="AY715" i="11"/>
  <c r="AV994" i="11"/>
  <c r="AY994" i="11"/>
  <c r="AX994" i="11"/>
  <c r="AZ994" i="11"/>
  <c r="AV929" i="11"/>
  <c r="AZ929" i="11"/>
  <c r="AY929" i="11"/>
  <c r="AX929" i="11"/>
  <c r="AV859" i="11"/>
  <c r="AZ859" i="11"/>
  <c r="AX859" i="11"/>
  <c r="AY859" i="11"/>
  <c r="AV779" i="11"/>
  <c r="AY779" i="11"/>
  <c r="AX779" i="11"/>
  <c r="AZ779" i="11"/>
  <c r="AV691" i="11"/>
  <c r="AZ691" i="11"/>
  <c r="AX691" i="11"/>
  <c r="AY691" i="11"/>
  <c r="AV595" i="11"/>
  <c r="AX595" i="11"/>
  <c r="AY595" i="11"/>
  <c r="AZ595" i="11"/>
  <c r="AV17" i="11"/>
  <c r="AZ17" i="11"/>
  <c r="AX17" i="11"/>
  <c r="AY17" i="11"/>
  <c r="AT8" i="16"/>
  <c r="Q1011" i="10" s="1"/>
  <c r="O1012" i="10"/>
  <c r="H170" i="17"/>
  <c r="AH36" i="16"/>
  <c r="Q77" i="10"/>
  <c r="AV502" i="11"/>
  <c r="AX502" i="11"/>
  <c r="AY502" i="11"/>
  <c r="AZ502" i="11"/>
  <c r="AV449" i="11"/>
  <c r="AX449" i="11"/>
  <c r="AZ449" i="11"/>
  <c r="AY449" i="11"/>
  <c r="AV393" i="11"/>
  <c r="AX393" i="11"/>
  <c r="AY393" i="11"/>
  <c r="AZ393" i="11"/>
  <c r="AV279" i="11"/>
  <c r="AX279" i="11"/>
  <c r="AY279" i="11"/>
  <c r="AZ279" i="11"/>
  <c r="AV223" i="11"/>
  <c r="AX223" i="11"/>
  <c r="AZ223" i="11"/>
  <c r="AY223" i="11"/>
  <c r="AV165" i="11"/>
  <c r="AY165" i="11"/>
  <c r="AX165" i="11"/>
  <c r="AZ165" i="11"/>
  <c r="AV451" i="11"/>
  <c r="AZ451" i="11"/>
  <c r="AY451" i="11"/>
  <c r="AX451" i="11"/>
  <c r="AV365" i="11"/>
  <c r="AY365" i="11"/>
  <c r="AX365" i="11"/>
  <c r="AZ365" i="11"/>
  <c r="AV323" i="11"/>
  <c r="AY323" i="11"/>
  <c r="AX323" i="11"/>
  <c r="AZ323" i="11"/>
  <c r="AV237" i="11"/>
  <c r="AY237" i="11"/>
  <c r="AZ237" i="11"/>
  <c r="AX237" i="11"/>
  <c r="AV195" i="11"/>
  <c r="AY195" i="11"/>
  <c r="AX195" i="11"/>
  <c r="AZ195" i="11"/>
  <c r="AV109" i="11"/>
  <c r="AY109" i="11"/>
  <c r="AZ109" i="11"/>
  <c r="AX109" i="11"/>
  <c r="AV67" i="11"/>
  <c r="AY67" i="11"/>
  <c r="AZ67" i="11"/>
  <c r="AX67" i="11"/>
  <c r="AV22" i="11"/>
  <c r="AZ22" i="11"/>
  <c r="AX22" i="11"/>
  <c r="AY22" i="11"/>
  <c r="AV462" i="11"/>
  <c r="AX462" i="11"/>
  <c r="AY462" i="11"/>
  <c r="AZ462" i="11"/>
  <c r="AV430" i="11"/>
  <c r="AX430" i="11"/>
  <c r="AY430" i="11"/>
  <c r="AZ430" i="11"/>
  <c r="AV398" i="11"/>
  <c r="AZ398" i="11"/>
  <c r="AY398" i="11"/>
  <c r="AX398" i="11"/>
  <c r="AV366" i="11"/>
  <c r="AZ366" i="11"/>
  <c r="AY366" i="11"/>
  <c r="AX366" i="11"/>
  <c r="AV334" i="11"/>
  <c r="AZ334" i="11"/>
  <c r="AX334" i="11"/>
  <c r="AY334" i="11"/>
  <c r="AV302" i="11"/>
  <c r="AZ302" i="11"/>
  <c r="AY302" i="11"/>
  <c r="AX302" i="11"/>
  <c r="AV270" i="11"/>
  <c r="AZ270" i="11"/>
  <c r="AY270" i="11"/>
  <c r="AX270" i="11"/>
  <c r="AV254" i="11"/>
  <c r="AZ254" i="11"/>
  <c r="AY254" i="11"/>
  <c r="AX254" i="11"/>
  <c r="AV222" i="11"/>
  <c r="AZ222" i="11"/>
  <c r="AY222" i="11"/>
  <c r="AX222" i="11"/>
  <c r="AV190" i="11"/>
  <c r="AZ190" i="11"/>
  <c r="AY190" i="11"/>
  <c r="AX190" i="11"/>
  <c r="AV158" i="11"/>
  <c r="AZ158" i="11"/>
  <c r="AX158" i="11"/>
  <c r="AY158" i="11"/>
  <c r="AV126" i="11"/>
  <c r="AZ126" i="11"/>
  <c r="AY126" i="11"/>
  <c r="AX126" i="11"/>
  <c r="AV94" i="11"/>
  <c r="AZ94" i="11"/>
  <c r="AY94" i="11"/>
  <c r="AX94" i="11"/>
  <c r="AV62" i="11"/>
  <c r="AZ62" i="11"/>
  <c r="AX62" i="11"/>
  <c r="AY62" i="11"/>
  <c r="AV30" i="11"/>
  <c r="AZ30" i="11"/>
  <c r="AX30" i="11"/>
  <c r="AY30" i="11"/>
  <c r="AV49" i="11"/>
  <c r="AX49" i="11"/>
  <c r="AY49" i="11"/>
  <c r="AZ49" i="11"/>
  <c r="AV127" i="11"/>
  <c r="AX127" i="11"/>
  <c r="AZ127" i="11"/>
  <c r="AY127" i="11"/>
  <c r="AV277" i="11"/>
  <c r="AY277" i="11"/>
  <c r="AX277" i="11"/>
  <c r="AZ277" i="11"/>
  <c r="AV353" i="11"/>
  <c r="AX353" i="11"/>
  <c r="AY353" i="11"/>
  <c r="AZ353" i="11"/>
  <c r="AV431" i="11"/>
  <c r="AX431" i="11"/>
  <c r="AZ431" i="11"/>
  <c r="AY431" i="11"/>
  <c r="AV501" i="11"/>
  <c r="AZ501" i="11"/>
  <c r="AX501" i="11"/>
  <c r="AY501" i="11"/>
  <c r="AV554" i="11"/>
  <c r="AY554" i="11"/>
  <c r="AZ554" i="11"/>
  <c r="AX554" i="11"/>
  <c r="AV597" i="11"/>
  <c r="AZ597" i="11"/>
  <c r="AX597" i="11"/>
  <c r="AY597" i="11"/>
  <c r="AV639" i="11"/>
  <c r="AX639" i="11"/>
  <c r="AZ639" i="11"/>
  <c r="AY639" i="11"/>
  <c r="AV682" i="11"/>
  <c r="AY682" i="11"/>
  <c r="AZ682" i="11"/>
  <c r="AX682" i="11"/>
  <c r="AV725" i="11"/>
  <c r="AZ725" i="11"/>
  <c r="AY725" i="11"/>
  <c r="AX725" i="11"/>
  <c r="AV767" i="11"/>
  <c r="AX767" i="11"/>
  <c r="AY767" i="11"/>
  <c r="AZ767" i="11"/>
  <c r="AV810" i="11"/>
  <c r="AY810" i="11"/>
  <c r="AZ810" i="11"/>
  <c r="AX810" i="11"/>
  <c r="AV853" i="11"/>
  <c r="AZ853" i="11"/>
  <c r="AX853" i="11"/>
  <c r="AY853" i="11"/>
  <c r="AV895" i="11"/>
  <c r="AX895" i="11"/>
  <c r="AZ895" i="11"/>
  <c r="AY895" i="11"/>
  <c r="AV938" i="11"/>
  <c r="AY938" i="11"/>
  <c r="AZ938" i="11"/>
  <c r="AX938" i="11"/>
  <c r="AV981" i="11"/>
  <c r="AZ981" i="11"/>
  <c r="AY981" i="11"/>
  <c r="AX981" i="11"/>
  <c r="AX28" i="11"/>
  <c r="AY152" i="11"/>
  <c r="AY216" i="11"/>
  <c r="AY344" i="11"/>
  <c r="AX508" i="11"/>
  <c r="AX540" i="11"/>
  <c r="AX556" i="11"/>
  <c r="AX620" i="11"/>
  <c r="AX652" i="11"/>
  <c r="AX700" i="11"/>
  <c r="AX748" i="11"/>
  <c r="AX780" i="11"/>
  <c r="AX812" i="11"/>
  <c r="AX876" i="11"/>
  <c r="AX892" i="11"/>
  <c r="AX924" i="11"/>
  <c r="AX940" i="11"/>
  <c r="AX972" i="11"/>
  <c r="AV518" i="11"/>
  <c r="AX518" i="11"/>
  <c r="AZ518" i="11"/>
  <c r="AY518" i="11"/>
  <c r="AV471" i="11"/>
  <c r="AX471" i="11"/>
  <c r="AY471" i="11"/>
  <c r="AZ471" i="11"/>
  <c r="AV415" i="11"/>
  <c r="AX415" i="11"/>
  <c r="AY415" i="11"/>
  <c r="AZ415" i="11"/>
  <c r="AV357" i="11"/>
  <c r="AY357" i="11"/>
  <c r="AX357" i="11"/>
  <c r="AZ357" i="11"/>
  <c r="AV329" i="11"/>
  <c r="AZ329" i="11"/>
  <c r="AX329" i="11"/>
  <c r="AY329" i="11"/>
  <c r="AV215" i="11"/>
  <c r="AX215" i="11"/>
  <c r="AZ215" i="11"/>
  <c r="AY215" i="11"/>
  <c r="AV159" i="11"/>
  <c r="AZ159" i="11"/>
  <c r="AY159" i="11"/>
  <c r="AX159" i="11"/>
  <c r="AV101" i="11"/>
  <c r="AY101" i="11"/>
  <c r="AX101" i="11"/>
  <c r="AZ101" i="11"/>
  <c r="AV467" i="11"/>
  <c r="AZ467" i="11"/>
  <c r="AX467" i="11"/>
  <c r="AY467" i="11"/>
  <c r="AV381" i="11"/>
  <c r="AY381" i="11"/>
  <c r="AX381" i="11"/>
  <c r="AZ381" i="11"/>
  <c r="AV339" i="11"/>
  <c r="AY339" i="11"/>
  <c r="AZ339" i="11"/>
  <c r="AX339" i="11"/>
  <c r="AV253" i="11"/>
  <c r="AY253" i="11"/>
  <c r="AX253" i="11"/>
  <c r="AZ253" i="11"/>
  <c r="AV211" i="11"/>
  <c r="AY211" i="11"/>
  <c r="AX211" i="11"/>
  <c r="AZ211" i="11"/>
  <c r="AV125" i="11"/>
  <c r="AY125" i="11"/>
  <c r="AX125" i="11"/>
  <c r="AZ125" i="11"/>
  <c r="AV83" i="11"/>
  <c r="AY83" i="11"/>
  <c r="AX83" i="11"/>
  <c r="AZ83" i="11"/>
  <c r="AV61" i="11"/>
  <c r="AY61" i="11"/>
  <c r="AZ61" i="11"/>
  <c r="AX61" i="11"/>
  <c r="AV15" i="11"/>
  <c r="AY15" i="11"/>
  <c r="AZ15" i="11"/>
  <c r="AX15" i="11"/>
  <c r="AV458" i="11"/>
  <c r="AY458" i="11"/>
  <c r="AX458" i="11"/>
  <c r="AZ458" i="11"/>
  <c r="AV426" i="11"/>
  <c r="AY426" i="11"/>
  <c r="AX426" i="11"/>
  <c r="AZ426" i="11"/>
  <c r="AV394" i="11"/>
  <c r="AX394" i="11"/>
  <c r="AY394" i="11"/>
  <c r="AZ394" i="11"/>
  <c r="AV362" i="11"/>
  <c r="AX362" i="11"/>
  <c r="AZ362" i="11"/>
  <c r="AY362" i="11"/>
  <c r="AV330" i="11"/>
  <c r="AX330" i="11"/>
  <c r="AY330" i="11"/>
  <c r="AZ330" i="11"/>
  <c r="AV298" i="11"/>
  <c r="AX298" i="11"/>
  <c r="AY298" i="11"/>
  <c r="AZ298" i="11"/>
  <c r="AV266" i="11"/>
  <c r="AX266" i="11"/>
  <c r="AZ266" i="11"/>
  <c r="AY266" i="11"/>
  <c r="AV234" i="11"/>
  <c r="AX234" i="11"/>
  <c r="AZ234" i="11"/>
  <c r="AY234" i="11"/>
  <c r="AV202" i="11"/>
  <c r="AX202" i="11"/>
  <c r="AY202" i="11"/>
  <c r="AZ202" i="11"/>
  <c r="AV170" i="11"/>
  <c r="AX170" i="11"/>
  <c r="AZ170" i="11"/>
  <c r="AY170" i="11"/>
  <c r="AV138" i="11"/>
  <c r="AX138" i="11"/>
  <c r="AZ138" i="11"/>
  <c r="AY138" i="11"/>
  <c r="AV106" i="11"/>
  <c r="AX106" i="11"/>
  <c r="AZ106" i="11"/>
  <c r="AY106" i="11"/>
  <c r="AV74" i="11"/>
  <c r="AX74" i="11"/>
  <c r="AY74" i="11"/>
  <c r="AZ74" i="11"/>
  <c r="AV25" i="11"/>
  <c r="AX25" i="11"/>
  <c r="AY25" i="11"/>
  <c r="AZ25" i="11"/>
  <c r="AV97" i="11"/>
  <c r="AX97" i="11"/>
  <c r="AY97" i="11"/>
  <c r="AZ97" i="11"/>
  <c r="AV175" i="11"/>
  <c r="AX175" i="11"/>
  <c r="AY175" i="11"/>
  <c r="AZ175" i="11"/>
  <c r="AV249" i="11"/>
  <c r="AX249" i="11"/>
  <c r="AY249" i="11"/>
  <c r="AZ249" i="11"/>
  <c r="AV325" i="11"/>
  <c r="AY325" i="11"/>
  <c r="AZ325" i="11"/>
  <c r="AX325" i="11"/>
  <c r="AV401" i="11"/>
  <c r="AX401" i="11"/>
  <c r="AY401" i="11"/>
  <c r="AZ401" i="11"/>
  <c r="AV537" i="11"/>
  <c r="AX537" i="11"/>
  <c r="AY537" i="11"/>
  <c r="AZ537" i="11"/>
  <c r="AV581" i="11"/>
  <c r="AZ581" i="11"/>
  <c r="AY581" i="11"/>
  <c r="AX581" i="11"/>
  <c r="AV623" i="11"/>
  <c r="AX623" i="11"/>
  <c r="AZ623" i="11"/>
  <c r="AY623" i="11"/>
  <c r="AV666" i="11"/>
  <c r="AY666" i="11"/>
  <c r="AZ666" i="11"/>
  <c r="AX666" i="11"/>
  <c r="AV709" i="11"/>
  <c r="AZ709" i="11"/>
  <c r="AY709" i="11"/>
  <c r="AX709" i="11"/>
  <c r="AV751" i="11"/>
  <c r="AX751" i="11"/>
  <c r="AZ751" i="11"/>
  <c r="AY751" i="11"/>
  <c r="AV794" i="11"/>
  <c r="AY794" i="11"/>
  <c r="AZ794" i="11"/>
  <c r="AX794" i="11"/>
  <c r="AV837" i="11"/>
  <c r="AZ837" i="11"/>
  <c r="AY837" i="11"/>
  <c r="AX837" i="11"/>
  <c r="AV879" i="11"/>
  <c r="AX879" i="11"/>
  <c r="AZ879" i="11"/>
  <c r="AY879" i="11"/>
  <c r="AV922" i="11"/>
  <c r="AY922" i="11"/>
  <c r="AZ922" i="11"/>
  <c r="AX922" i="11"/>
  <c r="AV965" i="11"/>
  <c r="AZ965" i="11"/>
  <c r="AY965" i="11"/>
  <c r="AX965" i="11"/>
  <c r="AV12" i="11"/>
  <c r="AX24" i="11"/>
  <c r="AV28" i="11"/>
  <c r="AX40" i="11"/>
  <c r="AV44" i="11"/>
  <c r="AY52" i="11"/>
  <c r="AV60" i="11"/>
  <c r="AX88" i="11"/>
  <c r="AX104" i="11"/>
  <c r="AV108" i="11"/>
  <c r="AX152" i="11"/>
  <c r="AY164" i="11"/>
  <c r="AX168" i="11"/>
  <c r="AY212" i="11"/>
  <c r="AX216" i="11"/>
  <c r="AX232" i="11"/>
  <c r="AY244" i="11"/>
  <c r="AX280" i="11"/>
  <c r="AX296" i="11"/>
  <c r="AV300" i="11"/>
  <c r="AY308" i="11"/>
  <c r="AV316" i="11"/>
  <c r="AX344" i="11"/>
  <c r="AX360" i="11"/>
  <c r="AV364" i="11"/>
  <c r="AX408" i="11"/>
  <c r="AX424" i="11"/>
  <c r="AY468" i="11"/>
  <c r="AX472" i="11"/>
  <c r="AV476" i="11"/>
  <c r="AX488" i="11"/>
  <c r="AV492" i="11"/>
  <c r="AX504" i="11"/>
  <c r="AV508" i="11"/>
  <c r="AX520" i="11"/>
  <c r="AV524" i="11"/>
  <c r="AX536" i="11"/>
  <c r="AV540" i="11"/>
  <c r="AX552" i="11"/>
  <c r="AV556" i="11"/>
  <c r="AX568" i="11"/>
  <c r="AV572" i="11"/>
  <c r="AX584" i="11"/>
  <c r="AV588" i="11"/>
  <c r="AX600" i="11"/>
  <c r="AV604" i="11"/>
  <c r="AX616" i="11"/>
  <c r="AV620" i="11"/>
  <c r="AX632" i="11"/>
  <c r="AV636" i="11"/>
  <c r="AX648" i="11"/>
  <c r="AV652" i="11"/>
  <c r="AX664" i="11"/>
  <c r="AV668" i="11"/>
  <c r="AX680" i="11"/>
  <c r="AV684" i="11"/>
  <c r="AX696" i="11"/>
  <c r="AV700" i="11"/>
  <c r="AX712" i="11"/>
  <c r="AV716" i="11"/>
  <c r="AX728" i="11"/>
  <c r="AV732" i="11"/>
  <c r="AX744" i="11"/>
  <c r="AV748" i="11"/>
  <c r="AX760" i="11"/>
  <c r="AV764" i="11"/>
  <c r="AX776" i="11"/>
  <c r="AV780" i="11"/>
  <c r="AX792" i="11"/>
  <c r="AV796" i="11"/>
  <c r="AX808" i="11"/>
  <c r="AV812" i="11"/>
  <c r="AX824" i="11"/>
  <c r="AV828" i="11"/>
  <c r="AX840" i="11"/>
  <c r="AV844" i="11"/>
  <c r="AX856" i="11"/>
  <c r="AV860" i="11"/>
  <c r="AX872" i="11"/>
  <c r="AV876" i="11"/>
  <c r="AX888" i="11"/>
  <c r="AV892" i="11"/>
  <c r="AX904" i="11"/>
  <c r="AV908" i="11"/>
  <c r="AX920" i="11"/>
  <c r="AV924" i="11"/>
  <c r="AX936" i="11"/>
  <c r="AV940" i="11"/>
  <c r="AX952" i="11"/>
  <c r="AV956" i="11"/>
  <c r="AX968" i="11"/>
  <c r="AV972" i="11"/>
  <c r="AX984" i="11"/>
  <c r="AV988" i="11"/>
  <c r="AX1000" i="11"/>
  <c r="AU12" i="16"/>
  <c r="C12" i="16" s="1"/>
  <c r="I1084" i="10"/>
  <c r="K82" i="16"/>
  <c r="J1013" i="12"/>
  <c r="AV534" i="11"/>
  <c r="AZ534" i="11"/>
  <c r="AX534" i="11"/>
  <c r="AY534" i="11"/>
  <c r="AV513" i="11"/>
  <c r="AX513" i="11"/>
  <c r="AY513" i="11"/>
  <c r="AZ513" i="11"/>
  <c r="AV491" i="11"/>
  <c r="AZ491" i="11"/>
  <c r="AX491" i="11"/>
  <c r="AY491" i="11"/>
  <c r="AV407" i="11"/>
  <c r="AX407" i="11"/>
  <c r="AZ407" i="11"/>
  <c r="AY407" i="11"/>
  <c r="AV379" i="11"/>
  <c r="AY379" i="11"/>
  <c r="AZ379" i="11"/>
  <c r="AX379" i="11"/>
  <c r="AV351" i="11"/>
  <c r="AX351" i="11"/>
  <c r="AZ351" i="11"/>
  <c r="AY351" i="11"/>
  <c r="AV321" i="11"/>
  <c r="AY321" i="11"/>
  <c r="AZ321" i="11"/>
  <c r="AX321" i="11"/>
  <c r="AV293" i="11"/>
  <c r="AY293" i="11"/>
  <c r="AX293" i="11"/>
  <c r="AZ293" i="11"/>
  <c r="AV265" i="11"/>
  <c r="AX265" i="11"/>
  <c r="AY265" i="11"/>
  <c r="AZ265" i="11"/>
  <c r="AV151" i="11"/>
  <c r="AY151" i="11"/>
  <c r="AZ151" i="11"/>
  <c r="AX151" i="11"/>
  <c r="AV123" i="11"/>
  <c r="AY123" i="11"/>
  <c r="AZ123" i="11"/>
  <c r="AX123" i="11"/>
  <c r="AV95" i="11"/>
  <c r="AX95" i="11"/>
  <c r="AY95" i="11"/>
  <c r="AZ95" i="11"/>
  <c r="AV65" i="11"/>
  <c r="AZ65" i="11"/>
  <c r="AX65" i="11"/>
  <c r="AY65" i="11"/>
  <c r="AY37" i="11"/>
  <c r="AX37" i="11"/>
  <c r="AZ37" i="11"/>
  <c r="AV483" i="11"/>
  <c r="AZ483" i="11"/>
  <c r="AX483" i="11"/>
  <c r="AY483" i="11"/>
  <c r="AV461" i="11"/>
  <c r="AZ461" i="11"/>
  <c r="AY461" i="11"/>
  <c r="AX461" i="11"/>
  <c r="AV419" i="11"/>
  <c r="AY419" i="11"/>
  <c r="AX419" i="11"/>
  <c r="AZ419" i="11"/>
  <c r="AV397" i="11"/>
  <c r="AY397" i="11"/>
  <c r="AX397" i="11"/>
  <c r="AZ397" i="11"/>
  <c r="AV355" i="11"/>
  <c r="AY355" i="11"/>
  <c r="AZ355" i="11"/>
  <c r="AX355" i="11"/>
  <c r="AV333" i="11"/>
  <c r="AY333" i="11"/>
  <c r="AZ333" i="11"/>
  <c r="AX333" i="11"/>
  <c r="AV291" i="11"/>
  <c r="AY291" i="11"/>
  <c r="AZ291" i="11"/>
  <c r="AX291" i="11"/>
  <c r="AV269" i="11"/>
  <c r="AY269" i="11"/>
  <c r="AX269" i="11"/>
  <c r="AZ269" i="11"/>
  <c r="AV227" i="11"/>
  <c r="AY227" i="11"/>
  <c r="AX227" i="11"/>
  <c r="AZ227" i="11"/>
  <c r="AV205" i="11"/>
  <c r="AY205" i="11"/>
  <c r="AX205" i="11"/>
  <c r="AZ205" i="11"/>
  <c r="AV163" i="11"/>
  <c r="AY163" i="11"/>
  <c r="AX163" i="11"/>
  <c r="AZ163" i="11"/>
  <c r="AV141" i="11"/>
  <c r="AY141" i="11"/>
  <c r="AX141" i="11"/>
  <c r="AZ141" i="11"/>
  <c r="AV99" i="11"/>
  <c r="AY99" i="11"/>
  <c r="AX99" i="11"/>
  <c r="AZ99" i="11"/>
  <c r="AV77" i="11"/>
  <c r="AY77" i="11"/>
  <c r="AX77" i="11"/>
  <c r="AZ77" i="11"/>
  <c r="AY35" i="11"/>
  <c r="AX35" i="11"/>
  <c r="AZ35" i="11"/>
  <c r="AV486" i="11"/>
  <c r="AX486" i="11"/>
  <c r="AY486" i="11"/>
  <c r="AZ486" i="11"/>
  <c r="AV470" i="11"/>
  <c r="AZ470" i="11"/>
  <c r="AX470" i="11"/>
  <c r="AY470" i="11"/>
  <c r="AV454" i="11"/>
  <c r="AX454" i="11"/>
  <c r="AY454" i="11"/>
  <c r="AZ454" i="11"/>
  <c r="AV438" i="11"/>
  <c r="AX438" i="11"/>
  <c r="AY438" i="11"/>
  <c r="AZ438" i="11"/>
  <c r="AV422" i="11"/>
  <c r="AZ422" i="11"/>
  <c r="AX422" i="11"/>
  <c r="AY422" i="11"/>
  <c r="AV406" i="11"/>
  <c r="AZ406" i="11"/>
  <c r="AY406" i="11"/>
  <c r="AX406" i="11"/>
  <c r="AV390" i="11"/>
  <c r="AZ390" i="11"/>
  <c r="AX390" i="11"/>
  <c r="AY390" i="11"/>
  <c r="AV374" i="11"/>
  <c r="AZ374" i="11"/>
  <c r="AY374" i="11"/>
  <c r="AX374" i="11"/>
  <c r="AV358" i="11"/>
  <c r="AZ358" i="11"/>
  <c r="AY358" i="11"/>
  <c r="AX358" i="11"/>
  <c r="AV342" i="11"/>
  <c r="AZ342" i="11"/>
  <c r="AX342" i="11"/>
  <c r="AY342" i="11"/>
  <c r="AV326" i="11"/>
  <c r="AZ326" i="11"/>
  <c r="AX326" i="11"/>
  <c r="AY326" i="11"/>
  <c r="AV310" i="11"/>
  <c r="AZ310" i="11"/>
  <c r="AY310" i="11"/>
  <c r="AX310" i="11"/>
  <c r="AV294" i="11"/>
  <c r="AZ294" i="11"/>
  <c r="AX294" i="11"/>
  <c r="AY294" i="11"/>
  <c r="AV278" i="11"/>
  <c r="AZ278" i="11"/>
  <c r="AY278" i="11"/>
  <c r="AX278" i="11"/>
  <c r="AV262" i="11"/>
  <c r="AZ262" i="11"/>
  <c r="AY262" i="11"/>
  <c r="AX262" i="11"/>
  <c r="AV246" i="11"/>
  <c r="AZ246" i="11"/>
  <c r="AX246" i="11"/>
  <c r="AY246" i="11"/>
  <c r="AV230" i="11"/>
  <c r="AZ230" i="11"/>
  <c r="AY230" i="11"/>
  <c r="AX230" i="11"/>
  <c r="AV214" i="11"/>
  <c r="AZ214" i="11"/>
  <c r="AY214" i="11"/>
  <c r="AX214" i="11"/>
  <c r="AV198" i="11"/>
  <c r="AZ198" i="11"/>
  <c r="AX198" i="11"/>
  <c r="AY198" i="11"/>
  <c r="AV182" i="11"/>
  <c r="AZ182" i="11"/>
  <c r="AY182" i="11"/>
  <c r="AX182" i="11"/>
  <c r="AV166" i="11"/>
  <c r="AZ166" i="11"/>
  <c r="AY166" i="11"/>
  <c r="AX166" i="11"/>
  <c r="AV150" i="11"/>
  <c r="AZ150" i="11"/>
  <c r="AX150" i="11"/>
  <c r="AY150" i="11"/>
  <c r="AV134" i="11"/>
  <c r="AZ134" i="11"/>
  <c r="AY134" i="11"/>
  <c r="AX134" i="11"/>
  <c r="AV118" i="11"/>
  <c r="AZ118" i="11"/>
  <c r="AX118" i="11"/>
  <c r="AY118" i="11"/>
  <c r="AV102" i="11"/>
  <c r="AZ102" i="11"/>
  <c r="AY102" i="11"/>
  <c r="AX102" i="11"/>
  <c r="AV86" i="11"/>
  <c r="AZ86" i="11"/>
  <c r="AY86" i="11"/>
  <c r="AX86" i="11"/>
  <c r="AV70" i="11"/>
  <c r="AZ70" i="11"/>
  <c r="AX70" i="11"/>
  <c r="AY70" i="11"/>
  <c r="AV54" i="11"/>
  <c r="AZ54" i="11"/>
  <c r="AX54" i="11"/>
  <c r="AY54" i="11"/>
  <c r="AZ38" i="11"/>
  <c r="AY38" i="11"/>
  <c r="AX38" i="11"/>
  <c r="AV19" i="11"/>
  <c r="AY19" i="11"/>
  <c r="AZ19" i="11"/>
  <c r="AX19" i="11"/>
  <c r="AV69" i="11"/>
  <c r="AY69" i="11"/>
  <c r="AZ69" i="11"/>
  <c r="AX69" i="11"/>
  <c r="AV107" i="11"/>
  <c r="AY107" i="11"/>
  <c r="AX107" i="11"/>
  <c r="AZ107" i="11"/>
  <c r="AV145" i="11"/>
  <c r="AY145" i="11"/>
  <c r="AZ145" i="11"/>
  <c r="AX145" i="11"/>
  <c r="AV183" i="11"/>
  <c r="AX183" i="11"/>
  <c r="AZ183" i="11"/>
  <c r="AY183" i="11"/>
  <c r="AV297" i="11"/>
  <c r="AX297" i="11"/>
  <c r="AY297" i="11"/>
  <c r="AZ297" i="11"/>
  <c r="AV335" i="11"/>
  <c r="AZ335" i="11"/>
  <c r="AY335" i="11"/>
  <c r="AX335" i="11"/>
  <c r="AV373" i="11"/>
  <c r="AY373" i="11"/>
  <c r="AZ373" i="11"/>
  <c r="AX373" i="11"/>
  <c r="AV411" i="11"/>
  <c r="AY411" i="11"/>
  <c r="AX411" i="11"/>
  <c r="AZ411" i="11"/>
  <c r="AV487" i="11"/>
  <c r="AX487" i="11"/>
  <c r="AY487" i="11"/>
  <c r="AZ487" i="11"/>
  <c r="AV515" i="11"/>
  <c r="AZ515" i="11"/>
  <c r="AY515" i="11"/>
  <c r="AX515" i="11"/>
  <c r="AV543" i="11"/>
  <c r="AX543" i="11"/>
  <c r="AY543" i="11"/>
  <c r="AZ543" i="11"/>
  <c r="AV565" i="11"/>
  <c r="AZ565" i="11"/>
  <c r="AX565" i="11"/>
  <c r="AY565" i="11"/>
  <c r="AV586" i="11"/>
  <c r="AY586" i="11"/>
  <c r="AZ586" i="11"/>
  <c r="AX586" i="11"/>
  <c r="AV607" i="11"/>
  <c r="AX607" i="11"/>
  <c r="AY607" i="11"/>
  <c r="AZ607" i="11"/>
  <c r="AV629" i="11"/>
  <c r="AZ629" i="11"/>
  <c r="AY629" i="11"/>
  <c r="AX629" i="11"/>
  <c r="AV650" i="11"/>
  <c r="AY650" i="11"/>
  <c r="AX650" i="11"/>
  <c r="AZ650" i="11"/>
  <c r="AV671" i="11"/>
  <c r="AX671" i="11"/>
  <c r="AZ671" i="11"/>
  <c r="AY671" i="11"/>
  <c r="AV693" i="11"/>
  <c r="AZ693" i="11"/>
  <c r="AX693" i="11"/>
  <c r="AY693" i="11"/>
  <c r="AV714" i="11"/>
  <c r="AY714" i="11"/>
  <c r="AX714" i="11"/>
  <c r="AZ714" i="11"/>
  <c r="AV735" i="11"/>
  <c r="AX735" i="11"/>
  <c r="AY735" i="11"/>
  <c r="AZ735" i="11"/>
  <c r="AV757" i="11"/>
  <c r="AZ757" i="11"/>
  <c r="AY757" i="11"/>
  <c r="AX757" i="11"/>
  <c r="AV778" i="11"/>
  <c r="AY778" i="11"/>
  <c r="AX778" i="11"/>
  <c r="AZ778" i="11"/>
  <c r="AV799" i="11"/>
  <c r="AX799" i="11"/>
  <c r="AY799" i="11"/>
  <c r="AZ799" i="11"/>
  <c r="AV821" i="11"/>
  <c r="AZ821" i="11"/>
  <c r="AX821" i="11"/>
  <c r="AY821" i="11"/>
  <c r="AV842" i="11"/>
  <c r="AY842" i="11"/>
  <c r="AZ842" i="11"/>
  <c r="AX842" i="11"/>
  <c r="AV863" i="11"/>
  <c r="AX863" i="11"/>
  <c r="AY863" i="11"/>
  <c r="AZ863" i="11"/>
  <c r="AV885" i="11"/>
  <c r="AZ885" i="11"/>
  <c r="AY885" i="11"/>
  <c r="AX885" i="11"/>
  <c r="AV906" i="11"/>
  <c r="AY906" i="11"/>
  <c r="AX906" i="11"/>
  <c r="AZ906" i="11"/>
  <c r="AV927" i="11"/>
  <c r="AX927" i="11"/>
  <c r="AZ927" i="11"/>
  <c r="AY927" i="11"/>
  <c r="AV949" i="11"/>
  <c r="AZ949" i="11"/>
  <c r="AX949" i="11"/>
  <c r="AY949" i="11"/>
  <c r="AV970" i="11"/>
  <c r="AY970" i="11"/>
  <c r="AX970" i="11"/>
  <c r="AZ970" i="11"/>
  <c r="AV991" i="11"/>
  <c r="AX991" i="11"/>
  <c r="AY991" i="11"/>
  <c r="AZ991" i="11"/>
  <c r="AV523" i="11"/>
  <c r="AZ523" i="11"/>
  <c r="AX523" i="11"/>
  <c r="AY523" i="11"/>
  <c r="AV479" i="11"/>
  <c r="AX479" i="11"/>
  <c r="AY479" i="11"/>
  <c r="AZ479" i="11"/>
  <c r="AV421" i="11"/>
  <c r="AY421" i="11"/>
  <c r="AX421" i="11"/>
  <c r="AZ421" i="11"/>
  <c r="AV251" i="11"/>
  <c r="AY251" i="11"/>
  <c r="AX251" i="11"/>
  <c r="AZ251" i="11"/>
  <c r="AV193" i="11"/>
  <c r="AY193" i="11"/>
  <c r="AZ193" i="11"/>
  <c r="AX193" i="11"/>
  <c r="AV137" i="11"/>
  <c r="AX137" i="11"/>
  <c r="AY137" i="11"/>
  <c r="AZ137" i="11"/>
  <c r="AV21" i="11"/>
  <c r="AY21" i="11"/>
  <c r="AX21" i="11"/>
  <c r="AZ21" i="11"/>
  <c r="AV429" i="11"/>
  <c r="AZ429" i="11"/>
  <c r="AX429" i="11"/>
  <c r="AY429" i="11"/>
  <c r="AV387" i="11"/>
  <c r="AY387" i="11"/>
  <c r="AZ387" i="11"/>
  <c r="AX387" i="11"/>
  <c r="AV301" i="11"/>
  <c r="AY301" i="11"/>
  <c r="AX301" i="11"/>
  <c r="AZ301" i="11"/>
  <c r="AV259" i="11"/>
  <c r="AY259" i="11"/>
  <c r="AX259" i="11"/>
  <c r="AZ259" i="11"/>
  <c r="AV173" i="11"/>
  <c r="AY173" i="11"/>
  <c r="AX173" i="11"/>
  <c r="AZ173" i="11"/>
  <c r="AV131" i="11"/>
  <c r="AY131" i="11"/>
  <c r="AX131" i="11"/>
  <c r="AZ131" i="11"/>
  <c r="AV45" i="11"/>
  <c r="AY45" i="11"/>
  <c r="AX45" i="11"/>
  <c r="AZ45" i="11"/>
  <c r="AV478" i="11"/>
  <c r="AZ478" i="11"/>
  <c r="AX478" i="11"/>
  <c r="AY478" i="11"/>
  <c r="AV446" i="11"/>
  <c r="AX446" i="11"/>
  <c r="AY446" i="11"/>
  <c r="AZ446" i="11"/>
  <c r="AV414" i="11"/>
  <c r="AZ414" i="11"/>
  <c r="AY414" i="11"/>
  <c r="AX414" i="11"/>
  <c r="AV382" i="11"/>
  <c r="AZ382" i="11"/>
  <c r="AX382" i="11"/>
  <c r="AY382" i="11"/>
  <c r="AV350" i="11"/>
  <c r="AZ350" i="11"/>
  <c r="AY350" i="11"/>
  <c r="AX350" i="11"/>
  <c r="AV318" i="11"/>
  <c r="AZ318" i="11"/>
  <c r="AY318" i="11"/>
  <c r="AX318" i="11"/>
  <c r="AV286" i="11"/>
  <c r="AZ286" i="11"/>
  <c r="AX286" i="11"/>
  <c r="AY286" i="11"/>
  <c r="AV238" i="11"/>
  <c r="AZ238" i="11"/>
  <c r="AX238" i="11"/>
  <c r="AY238" i="11"/>
  <c r="AV206" i="11"/>
  <c r="AZ206" i="11"/>
  <c r="AX206" i="11"/>
  <c r="AY206" i="11"/>
  <c r="AV174" i="11"/>
  <c r="AZ174" i="11"/>
  <c r="AY174" i="11"/>
  <c r="AX174" i="11"/>
  <c r="AV142" i="11"/>
  <c r="AZ142" i="11"/>
  <c r="AY142" i="11"/>
  <c r="AX142" i="11"/>
  <c r="AV110" i="11"/>
  <c r="AZ110" i="11"/>
  <c r="AX110" i="11"/>
  <c r="AY110" i="11"/>
  <c r="AV78" i="11"/>
  <c r="AZ78" i="11"/>
  <c r="AY78" i="11"/>
  <c r="AX78" i="11"/>
  <c r="AV46" i="11"/>
  <c r="AZ46" i="11"/>
  <c r="AY46" i="11"/>
  <c r="AX46" i="11"/>
  <c r="AV89" i="11"/>
  <c r="AX89" i="11"/>
  <c r="AY89" i="11"/>
  <c r="AZ89" i="11"/>
  <c r="AV203" i="11"/>
  <c r="AY203" i="11"/>
  <c r="AZ203" i="11"/>
  <c r="AX203" i="11"/>
  <c r="AV391" i="11"/>
  <c r="AZ391" i="11"/>
  <c r="AX391" i="11"/>
  <c r="AY391" i="11"/>
  <c r="AV530" i="11"/>
  <c r="AY530" i="11"/>
  <c r="AZ530" i="11"/>
  <c r="AX530" i="11"/>
  <c r="AV575" i="11"/>
  <c r="AX575" i="11"/>
  <c r="AY575" i="11"/>
  <c r="AZ575" i="11"/>
  <c r="AV618" i="11"/>
  <c r="AY618" i="11"/>
  <c r="AX618" i="11"/>
  <c r="AZ618" i="11"/>
  <c r="AV661" i="11"/>
  <c r="AZ661" i="11"/>
  <c r="AX661" i="11"/>
  <c r="AY661" i="11"/>
  <c r="AV703" i="11"/>
  <c r="AX703" i="11"/>
  <c r="AY703" i="11"/>
  <c r="AZ703" i="11"/>
  <c r="AV746" i="11"/>
  <c r="AY746" i="11"/>
  <c r="AX746" i="11"/>
  <c r="AZ746" i="11"/>
  <c r="AV789" i="11"/>
  <c r="AZ789" i="11"/>
  <c r="AX789" i="11"/>
  <c r="AY789" i="11"/>
  <c r="AV831" i="11"/>
  <c r="AX831" i="11"/>
  <c r="AY831" i="11"/>
  <c r="AZ831" i="11"/>
  <c r="AV874" i="11"/>
  <c r="AY874" i="11"/>
  <c r="AX874" i="11"/>
  <c r="AZ874" i="11"/>
  <c r="AV917" i="11"/>
  <c r="AZ917" i="11"/>
  <c r="AX917" i="11"/>
  <c r="AY917" i="11"/>
  <c r="AV959" i="11"/>
  <c r="AX959" i="11"/>
  <c r="AY959" i="11"/>
  <c r="AZ959" i="11"/>
  <c r="AV1002" i="11"/>
  <c r="AY1002" i="11"/>
  <c r="AX1002" i="11"/>
  <c r="AZ1002" i="11"/>
  <c r="AX12" i="11"/>
  <c r="AV80" i="11"/>
  <c r="AY88" i="11"/>
  <c r="AX108" i="11"/>
  <c r="AV240" i="11"/>
  <c r="AY280" i="11"/>
  <c r="AX316" i="11"/>
  <c r="AV336" i="11"/>
  <c r="AX364" i="11"/>
  <c r="AY408" i="11"/>
  <c r="AY472" i="11"/>
  <c r="AX492" i="11"/>
  <c r="AX524" i="11"/>
  <c r="AX572" i="11"/>
  <c r="AX588" i="11"/>
  <c r="AX604" i="11"/>
  <c r="AX636" i="11"/>
  <c r="AX668" i="11"/>
  <c r="AX684" i="11"/>
  <c r="AX716" i="11"/>
  <c r="AX732" i="11"/>
  <c r="AX764" i="11"/>
  <c r="AX796" i="11"/>
  <c r="AX828" i="11"/>
  <c r="AX844" i="11"/>
  <c r="AX860" i="11"/>
  <c r="AX908" i="11"/>
  <c r="AX956" i="11"/>
  <c r="AX988" i="11"/>
  <c r="F8" i="11"/>
  <c r="F8" i="13"/>
  <c r="F8" i="12"/>
  <c r="F33" i="11"/>
  <c r="F43" i="11" s="1"/>
  <c r="F8" i="10"/>
  <c r="AV539" i="11"/>
  <c r="AZ539" i="11"/>
  <c r="AY539" i="11"/>
  <c r="AX539" i="11"/>
  <c r="AV497" i="11"/>
  <c r="AX497" i="11"/>
  <c r="AY497" i="11"/>
  <c r="AZ497" i="11"/>
  <c r="AV443" i="11"/>
  <c r="AZ443" i="11"/>
  <c r="AY443" i="11"/>
  <c r="AX443" i="11"/>
  <c r="AV385" i="11"/>
  <c r="AY385" i="11"/>
  <c r="AX385" i="11"/>
  <c r="AZ385" i="11"/>
  <c r="AV187" i="11"/>
  <c r="AY187" i="11"/>
  <c r="AX187" i="11"/>
  <c r="AZ187" i="11"/>
  <c r="AV129" i="11"/>
  <c r="AX129" i="11"/>
  <c r="AY129" i="11"/>
  <c r="AZ129" i="11"/>
  <c r="AV73" i="11"/>
  <c r="AX73" i="11"/>
  <c r="AY73" i="11"/>
  <c r="AZ73" i="11"/>
  <c r="AV445" i="11"/>
  <c r="AZ445" i="11"/>
  <c r="AX445" i="11"/>
  <c r="AY445" i="11"/>
  <c r="AV403" i="11"/>
  <c r="AY403" i="11"/>
  <c r="AZ403" i="11"/>
  <c r="AX403" i="11"/>
  <c r="AV317" i="11"/>
  <c r="AY317" i="11"/>
  <c r="AX317" i="11"/>
  <c r="AZ317" i="11"/>
  <c r="AV275" i="11"/>
  <c r="AY275" i="11"/>
  <c r="AX275" i="11"/>
  <c r="AZ275" i="11"/>
  <c r="AV189" i="11"/>
  <c r="AY189" i="11"/>
  <c r="AX189" i="11"/>
  <c r="AZ189" i="11"/>
  <c r="AV147" i="11"/>
  <c r="AY147" i="11"/>
  <c r="AX147" i="11"/>
  <c r="AZ147" i="11"/>
  <c r="AV474" i="11"/>
  <c r="AY474" i="11"/>
  <c r="AX474" i="11"/>
  <c r="AZ474" i="11"/>
  <c r="AV442" i="11"/>
  <c r="AY442" i="11"/>
  <c r="AX442" i="11"/>
  <c r="AZ442" i="11"/>
  <c r="AV410" i="11"/>
  <c r="AX410" i="11"/>
  <c r="AY410" i="11"/>
  <c r="AZ410" i="11"/>
  <c r="AV378" i="11"/>
  <c r="AX378" i="11"/>
  <c r="AZ378" i="11"/>
  <c r="AY378" i="11"/>
  <c r="AV346" i="11"/>
  <c r="AX346" i="11"/>
  <c r="AY346" i="11"/>
  <c r="AZ346" i="11"/>
  <c r="AV314" i="11"/>
  <c r="AX314" i="11"/>
  <c r="AZ314" i="11"/>
  <c r="AY314" i="11"/>
  <c r="AV282" i="11"/>
  <c r="AX282" i="11"/>
  <c r="AZ282" i="11"/>
  <c r="AY282" i="11"/>
  <c r="AV250" i="11"/>
  <c r="AX250" i="11"/>
  <c r="AY250" i="11"/>
  <c r="AZ250" i="11"/>
  <c r="AV218" i="11"/>
  <c r="AX218" i="11"/>
  <c r="AZ218" i="11"/>
  <c r="AY218" i="11"/>
  <c r="AV186" i="11"/>
  <c r="AX186" i="11"/>
  <c r="AZ186" i="11"/>
  <c r="AY186" i="11"/>
  <c r="AV154" i="11"/>
  <c r="AX154" i="11"/>
  <c r="AY154" i="11"/>
  <c r="AZ154" i="11"/>
  <c r="AV122" i="11"/>
  <c r="AX122" i="11"/>
  <c r="AY122" i="11"/>
  <c r="AZ122" i="11"/>
  <c r="AV90" i="11"/>
  <c r="AX90" i="11"/>
  <c r="AZ90" i="11"/>
  <c r="AY90" i="11"/>
  <c r="AV58" i="11"/>
  <c r="AX58" i="11"/>
  <c r="AY58" i="11"/>
  <c r="AZ58" i="11"/>
  <c r="AX42" i="11"/>
  <c r="AZ42" i="11"/>
  <c r="AY42" i="11"/>
  <c r="AV135" i="11"/>
  <c r="AX135" i="11"/>
  <c r="AY135" i="11"/>
  <c r="AZ135" i="11"/>
  <c r="AV363" i="11"/>
  <c r="AY363" i="11"/>
  <c r="AZ363" i="11"/>
  <c r="AX363" i="11"/>
  <c r="AV439" i="11"/>
  <c r="AX439" i="11"/>
  <c r="AZ439" i="11"/>
  <c r="AY439" i="11"/>
  <c r="AV509" i="11"/>
  <c r="AZ509" i="11"/>
  <c r="AY509" i="11"/>
  <c r="AX509" i="11"/>
  <c r="AV559" i="11"/>
  <c r="AX559" i="11"/>
  <c r="AY559" i="11"/>
  <c r="AZ559" i="11"/>
  <c r="AV602" i="11"/>
  <c r="AY602" i="11"/>
  <c r="AX602" i="11"/>
  <c r="AZ602" i="11"/>
  <c r="AV645" i="11"/>
  <c r="AZ645" i="11"/>
  <c r="AX645" i="11"/>
  <c r="AY645" i="11"/>
  <c r="AV687" i="11"/>
  <c r="AX687" i="11"/>
  <c r="AY687" i="11"/>
  <c r="AZ687" i="11"/>
  <c r="AV730" i="11"/>
  <c r="AY730" i="11"/>
  <c r="AX730" i="11"/>
  <c r="AZ730" i="11"/>
  <c r="AV773" i="11"/>
  <c r="AZ773" i="11"/>
  <c r="AX773" i="11"/>
  <c r="AY773" i="11"/>
  <c r="AV815" i="11"/>
  <c r="AX815" i="11"/>
  <c r="AY815" i="11"/>
  <c r="AZ815" i="11"/>
  <c r="AV858" i="11"/>
  <c r="AY858" i="11"/>
  <c r="AX858" i="11"/>
  <c r="AZ858" i="11"/>
  <c r="AV901" i="11"/>
  <c r="AZ901" i="11"/>
  <c r="AX901" i="11"/>
  <c r="AY901" i="11"/>
  <c r="AV943" i="11"/>
  <c r="AX943" i="11"/>
  <c r="AY943" i="11"/>
  <c r="AZ943" i="11"/>
  <c r="AV986" i="11"/>
  <c r="AY986" i="11"/>
  <c r="AX986" i="11"/>
  <c r="AZ986" i="11"/>
  <c r="C54" i="18"/>
  <c r="AV24" i="11"/>
  <c r="AV40" i="11"/>
  <c r="AX52" i="11"/>
  <c r="AY80" i="11"/>
  <c r="AV88" i="11"/>
  <c r="AV104" i="11"/>
  <c r="AV152" i="11"/>
  <c r="AX164" i="11"/>
  <c r="AV168" i="11"/>
  <c r="AX212" i="11"/>
  <c r="AV216" i="11"/>
  <c r="AV232" i="11"/>
  <c r="AY240" i="11"/>
  <c r="AX244" i="11"/>
  <c r="AY272" i="11"/>
  <c r="AV280" i="11"/>
  <c r="AY288" i="11"/>
  <c r="AV296" i="11"/>
  <c r="AX308" i="11"/>
  <c r="AY336" i="11"/>
  <c r="AV344" i="11"/>
  <c r="AV360" i="11"/>
  <c r="AV408" i="11"/>
  <c r="AV424" i="11"/>
  <c r="AX468" i="11"/>
  <c r="AV472" i="11"/>
  <c r="AV488" i="11"/>
  <c r="AV504" i="11"/>
  <c r="AV520" i="11"/>
  <c r="AV536" i="11"/>
  <c r="AV552" i="11"/>
  <c r="AV568" i="11"/>
  <c r="AV584" i="11"/>
  <c r="AV600" i="11"/>
  <c r="AV616" i="11"/>
  <c r="AV632" i="11"/>
  <c r="AV648" i="11"/>
  <c r="AV664" i="11"/>
  <c r="AV680" i="11"/>
  <c r="AV696" i="11"/>
  <c r="AV712" i="11"/>
  <c r="AV728" i="11"/>
  <c r="AV744" i="11"/>
  <c r="AV760" i="11"/>
  <c r="AV776" i="11"/>
  <c r="AV792" i="11"/>
  <c r="AV808" i="11"/>
  <c r="AV824" i="11"/>
  <c r="AV840" i="11"/>
  <c r="AV856" i="11"/>
  <c r="AV872" i="11"/>
  <c r="AV888" i="11"/>
  <c r="AV904" i="11"/>
  <c r="AV920" i="11"/>
  <c r="AV936" i="11"/>
  <c r="AV952" i="11"/>
  <c r="AV968" i="11"/>
  <c r="AV984" i="11"/>
  <c r="AV1000" i="11"/>
  <c r="D204" i="8"/>
  <c r="G5" i="12"/>
  <c r="N4172" i="14" s="1"/>
  <c r="K4172" i="14" s="1"/>
  <c r="B129" i="17"/>
  <c r="L130" i="17" s="1"/>
  <c r="G5" i="10"/>
  <c r="G5" i="11"/>
  <c r="G59" i="13"/>
  <c r="G4" i="13"/>
  <c r="AV529" i="11"/>
  <c r="AX529" i="11"/>
  <c r="AY529" i="11"/>
  <c r="AZ529" i="11"/>
  <c r="AV507" i="11"/>
  <c r="AZ507" i="11"/>
  <c r="AY507" i="11"/>
  <c r="AX507" i="11"/>
  <c r="AV485" i="11"/>
  <c r="AZ485" i="11"/>
  <c r="AY485" i="11"/>
  <c r="AX485" i="11"/>
  <c r="AV457" i="11"/>
  <c r="AX457" i="11"/>
  <c r="AY457" i="11"/>
  <c r="AZ457" i="11"/>
  <c r="AV343" i="11"/>
  <c r="AZ343" i="11"/>
  <c r="AX343" i="11"/>
  <c r="AY343" i="11"/>
  <c r="AV315" i="11"/>
  <c r="AY315" i="11"/>
  <c r="AX315" i="11"/>
  <c r="AZ315" i="11"/>
  <c r="AV287" i="11"/>
  <c r="AY287" i="11"/>
  <c r="AZ287" i="11"/>
  <c r="AX287" i="11"/>
  <c r="AV257" i="11"/>
  <c r="AX257" i="11"/>
  <c r="AY257" i="11"/>
  <c r="AZ257" i="11"/>
  <c r="AV229" i="11"/>
  <c r="AY229" i="11"/>
  <c r="AX229" i="11"/>
  <c r="AZ229" i="11"/>
  <c r="AV201" i="11"/>
  <c r="AZ201" i="11"/>
  <c r="AX201" i="11"/>
  <c r="AY201" i="11"/>
  <c r="AV87" i="11"/>
  <c r="AX87" i="11"/>
  <c r="AY87" i="11"/>
  <c r="AZ87" i="11"/>
  <c r="AV59" i="11"/>
  <c r="AY59" i="11"/>
  <c r="AX59" i="11"/>
  <c r="AZ59" i="11"/>
  <c r="AV31" i="11"/>
  <c r="AZ31" i="11"/>
  <c r="AY31" i="11"/>
  <c r="AX31" i="11"/>
  <c r="AV477" i="11"/>
  <c r="AZ477" i="11"/>
  <c r="AX477" i="11"/>
  <c r="AY477" i="11"/>
  <c r="AV435" i="11"/>
  <c r="AZ435" i="11"/>
  <c r="AY435" i="11"/>
  <c r="AX435" i="11"/>
  <c r="AV413" i="11"/>
  <c r="AY413" i="11"/>
  <c r="AZ413" i="11"/>
  <c r="AX413" i="11"/>
  <c r="AV371" i="11"/>
  <c r="AY371" i="11"/>
  <c r="AX371" i="11"/>
  <c r="AZ371" i="11"/>
  <c r="AV349" i="11"/>
  <c r="AY349" i="11"/>
  <c r="AX349" i="11"/>
  <c r="AZ349" i="11"/>
  <c r="AV307" i="11"/>
  <c r="AY307" i="11"/>
  <c r="AZ307" i="11"/>
  <c r="AX307" i="11"/>
  <c r="AV285" i="11"/>
  <c r="AY285" i="11"/>
  <c r="AZ285" i="11"/>
  <c r="AX285" i="11"/>
  <c r="AV243" i="11"/>
  <c r="AY243" i="11"/>
  <c r="AZ243" i="11"/>
  <c r="AX243" i="11"/>
  <c r="AV221" i="11"/>
  <c r="AY221" i="11"/>
  <c r="AX221" i="11"/>
  <c r="AZ221" i="11"/>
  <c r="AV179" i="11"/>
  <c r="AY179" i="11"/>
  <c r="AX179" i="11"/>
  <c r="AZ179" i="11"/>
  <c r="AV157" i="11"/>
  <c r="AY157" i="11"/>
  <c r="AX157" i="11"/>
  <c r="AZ157" i="11"/>
  <c r="AV115" i="11"/>
  <c r="AY115" i="11"/>
  <c r="AZ115" i="11"/>
  <c r="AX115" i="11"/>
  <c r="AV93" i="11"/>
  <c r="AY93" i="11"/>
  <c r="AX93" i="11"/>
  <c r="AZ93" i="11"/>
  <c r="AV51" i="11"/>
  <c r="AY51" i="11"/>
  <c r="AX51" i="11"/>
  <c r="AZ51" i="11"/>
  <c r="AV29" i="11"/>
  <c r="AY29" i="11"/>
  <c r="AZ29" i="11"/>
  <c r="AX29" i="11"/>
  <c r="AV482" i="11"/>
  <c r="AY482" i="11"/>
  <c r="AX482" i="11"/>
  <c r="AZ482" i="11"/>
  <c r="AV466" i="11"/>
  <c r="AY466" i="11"/>
  <c r="AZ466" i="11"/>
  <c r="AX466" i="11"/>
  <c r="AV450" i="11"/>
  <c r="AY450" i="11"/>
  <c r="AX450" i="11"/>
  <c r="AZ450" i="11"/>
  <c r="AV434" i="11"/>
  <c r="AY434" i="11"/>
  <c r="AX434" i="11"/>
  <c r="AZ434" i="11"/>
  <c r="AV418" i="11"/>
  <c r="AX418" i="11"/>
  <c r="AZ418" i="11"/>
  <c r="AY418" i="11"/>
  <c r="AV402" i="11"/>
  <c r="AX402" i="11"/>
  <c r="AZ402" i="11"/>
  <c r="AY402" i="11"/>
  <c r="AV386" i="11"/>
  <c r="AX386" i="11"/>
  <c r="AY386" i="11"/>
  <c r="AZ386" i="11"/>
  <c r="AV370" i="11"/>
  <c r="AX370" i="11"/>
  <c r="AZ370" i="11"/>
  <c r="AY370" i="11"/>
  <c r="AV354" i="11"/>
  <c r="AX354" i="11"/>
  <c r="AY354" i="11"/>
  <c r="AZ354" i="11"/>
  <c r="AV338" i="11"/>
  <c r="AX338" i="11"/>
  <c r="AY338" i="11"/>
  <c r="AZ338" i="11"/>
  <c r="AV322" i="11"/>
  <c r="AX322" i="11"/>
  <c r="AY322" i="11"/>
  <c r="AZ322" i="11"/>
  <c r="AV306" i="11"/>
  <c r="AX306" i="11"/>
  <c r="AY306" i="11"/>
  <c r="AZ306" i="11"/>
  <c r="AV290" i="11"/>
  <c r="AX290" i="11"/>
  <c r="AY290" i="11"/>
  <c r="AZ290" i="11"/>
  <c r="AV274" i="11"/>
  <c r="AX274" i="11"/>
  <c r="AZ274" i="11"/>
  <c r="AY274" i="11"/>
  <c r="AV258" i="11"/>
  <c r="AX258" i="11"/>
  <c r="AY258" i="11"/>
  <c r="AZ258" i="11"/>
  <c r="AV242" i="11"/>
  <c r="AX242" i="11"/>
  <c r="AY242" i="11"/>
  <c r="AZ242" i="11"/>
  <c r="AV226" i="11"/>
  <c r="AX226" i="11"/>
  <c r="AZ226" i="11"/>
  <c r="AY226" i="11"/>
  <c r="AV210" i="11"/>
  <c r="AX210" i="11"/>
  <c r="AY210" i="11"/>
  <c r="AZ210" i="11"/>
  <c r="AV194" i="11"/>
  <c r="AX194" i="11"/>
  <c r="AY194" i="11"/>
  <c r="AZ194" i="11"/>
  <c r="AV178" i="11"/>
  <c r="AX178" i="11"/>
  <c r="AZ178" i="11"/>
  <c r="AY178" i="11"/>
  <c r="AV162" i="11"/>
  <c r="AX162" i="11"/>
  <c r="AY162" i="11"/>
  <c r="AZ162" i="11"/>
  <c r="AV146" i="11"/>
  <c r="AX146" i="11"/>
  <c r="AY146" i="11"/>
  <c r="AZ146" i="11"/>
  <c r="AV130" i="11"/>
  <c r="AX130" i="11"/>
  <c r="AZ130" i="11"/>
  <c r="AY130" i="11"/>
  <c r="AV114" i="11"/>
  <c r="AX114" i="11"/>
  <c r="AY114" i="11"/>
  <c r="AZ114" i="11"/>
  <c r="AV98" i="11"/>
  <c r="AX98" i="11"/>
  <c r="AZ98" i="11"/>
  <c r="AY98" i="11"/>
  <c r="AV82" i="11"/>
  <c r="AX82" i="11"/>
  <c r="AZ82" i="11"/>
  <c r="AY82" i="11"/>
  <c r="AV66" i="11"/>
  <c r="AX66" i="11"/>
  <c r="AY66" i="11"/>
  <c r="AZ66" i="11"/>
  <c r="AV50" i="11"/>
  <c r="AX50" i="11"/>
  <c r="AZ50" i="11"/>
  <c r="AY50" i="11"/>
  <c r="AV34" i="11"/>
  <c r="AX34" i="11"/>
  <c r="AY34" i="11"/>
  <c r="AZ34" i="11"/>
  <c r="AV14" i="11"/>
  <c r="AZ14" i="11"/>
  <c r="AX14" i="11"/>
  <c r="AY14" i="11"/>
  <c r="AV41" i="11"/>
  <c r="AX41" i="11"/>
  <c r="AY41" i="11"/>
  <c r="AZ41" i="11"/>
  <c r="AV79" i="11"/>
  <c r="AX79" i="11"/>
  <c r="AZ79" i="11"/>
  <c r="AY79" i="11"/>
  <c r="AV117" i="11"/>
  <c r="AY117" i="11"/>
  <c r="AX117" i="11"/>
  <c r="AZ117" i="11"/>
  <c r="AV155" i="11"/>
  <c r="AY155" i="11"/>
  <c r="AZ155" i="11"/>
  <c r="AX155" i="11"/>
  <c r="AV231" i="11"/>
  <c r="AX231" i="11"/>
  <c r="AY231" i="11"/>
  <c r="AZ231" i="11"/>
  <c r="AV305" i="11"/>
  <c r="AX305" i="11"/>
  <c r="AZ305" i="11"/>
  <c r="AY305" i="11"/>
  <c r="AV345" i="11"/>
  <c r="AX345" i="11"/>
  <c r="AZ345" i="11"/>
  <c r="AY345" i="11"/>
  <c r="AV383" i="11"/>
  <c r="AZ383" i="11"/>
  <c r="AY383" i="11"/>
  <c r="AX383" i="11"/>
  <c r="AV459" i="11"/>
  <c r="AZ459" i="11"/>
  <c r="AX459" i="11"/>
  <c r="AY459" i="11"/>
  <c r="AV494" i="11"/>
  <c r="AY494" i="11"/>
  <c r="AZ494" i="11"/>
  <c r="AX494" i="11"/>
  <c r="AV522" i="11"/>
  <c r="AY522" i="11"/>
  <c r="AZ522" i="11"/>
  <c r="AX522" i="11"/>
  <c r="AV549" i="11"/>
  <c r="AZ549" i="11"/>
  <c r="AY549" i="11"/>
  <c r="AX549" i="11"/>
  <c r="AV570" i="11"/>
  <c r="AY570" i="11"/>
  <c r="AX570" i="11"/>
  <c r="AZ570" i="11"/>
  <c r="AV591" i="11"/>
  <c r="AX591" i="11"/>
  <c r="AZ591" i="11"/>
  <c r="AY591" i="11"/>
  <c r="AV613" i="11"/>
  <c r="AZ613" i="11"/>
  <c r="AX613" i="11"/>
  <c r="AY613" i="11"/>
  <c r="AV634" i="11"/>
  <c r="AY634" i="11"/>
  <c r="AZ634" i="11"/>
  <c r="AX634" i="11"/>
  <c r="AV655" i="11"/>
  <c r="AX655" i="11"/>
  <c r="AY655" i="11"/>
  <c r="AZ655" i="11"/>
  <c r="AV677" i="11"/>
  <c r="AZ677" i="11"/>
  <c r="AY677" i="11"/>
  <c r="AX677" i="11"/>
  <c r="AV698" i="11"/>
  <c r="AY698" i="11"/>
  <c r="AX698" i="11"/>
  <c r="AZ698" i="11"/>
  <c r="AV719" i="11"/>
  <c r="AX719" i="11"/>
  <c r="AY719" i="11"/>
  <c r="AZ719" i="11"/>
  <c r="AV741" i="11"/>
  <c r="AZ741" i="11"/>
  <c r="AX741" i="11"/>
  <c r="AY741" i="11"/>
  <c r="AV762" i="11"/>
  <c r="AY762" i="11"/>
  <c r="AZ762" i="11"/>
  <c r="AX762" i="11"/>
  <c r="AV783" i="11"/>
  <c r="AX783" i="11"/>
  <c r="AY783" i="11"/>
  <c r="AZ783" i="11"/>
  <c r="AV805" i="11"/>
  <c r="AZ805" i="11"/>
  <c r="AY805" i="11"/>
  <c r="AX805" i="11"/>
  <c r="AV826" i="11"/>
  <c r="AY826" i="11"/>
  <c r="AX826" i="11"/>
  <c r="AZ826" i="11"/>
  <c r="AV847" i="11"/>
  <c r="AX847" i="11"/>
  <c r="AZ847" i="11"/>
  <c r="AY847" i="11"/>
  <c r="AV869" i="11"/>
  <c r="AZ869" i="11"/>
  <c r="AX869" i="11"/>
  <c r="AY869" i="11"/>
  <c r="AV890" i="11"/>
  <c r="AY890" i="11"/>
  <c r="AZ890" i="11"/>
  <c r="AX890" i="11"/>
  <c r="AV911" i="11"/>
  <c r="AX911" i="11"/>
  <c r="AY911" i="11"/>
  <c r="AZ911" i="11"/>
  <c r="AV933" i="11"/>
  <c r="AZ933" i="11"/>
  <c r="AY933" i="11"/>
  <c r="AX933" i="11"/>
  <c r="AV954" i="11"/>
  <c r="AY954" i="11"/>
  <c r="AX954" i="11"/>
  <c r="AZ954" i="11"/>
  <c r="AV975" i="11"/>
  <c r="AX975" i="11"/>
  <c r="AY975" i="11"/>
  <c r="AZ975" i="11"/>
  <c r="AV997" i="11"/>
  <c r="AZ997" i="11"/>
  <c r="AX997" i="11"/>
  <c r="AY997" i="11"/>
  <c r="AV11" i="11"/>
  <c r="AX11" i="11"/>
  <c r="AY11" i="11"/>
  <c r="AZ11" i="11"/>
  <c r="AV4" i="11"/>
  <c r="AY4" i="11"/>
  <c r="AX4" i="11"/>
  <c r="AZ4" i="11"/>
  <c r="B43" i="17"/>
  <c r="B61" i="10"/>
  <c r="C59" i="16" s="1"/>
  <c r="B62" i="11" s="1"/>
  <c r="B57" i="13" s="1"/>
  <c r="B82" i="13" s="1"/>
  <c r="C65" i="18" s="1"/>
  <c r="B123" i="17"/>
  <c r="B79" i="17"/>
  <c r="L1" i="16"/>
  <c r="C33" i="16" s="1"/>
  <c r="F12" i="14"/>
  <c r="AH4" i="12"/>
  <c r="C33" i="18"/>
  <c r="AV9" i="11"/>
  <c r="AZ9" i="11"/>
  <c r="AX9" i="11"/>
  <c r="AY9" i="11"/>
  <c r="AX10" i="11"/>
  <c r="AZ10" i="11"/>
  <c r="AY10" i="11"/>
  <c r="AG5" i="12"/>
  <c r="AH5" i="12"/>
  <c r="AJ5" i="12"/>
  <c r="AI5" i="12"/>
  <c r="D10" i="14"/>
  <c r="AD1028" i="12"/>
  <c r="P1077" i="10" s="1"/>
  <c r="AD1027" i="12"/>
  <c r="AH1027" i="12"/>
  <c r="AH1028" i="12" s="1"/>
  <c r="AF10" i="11"/>
  <c r="AF12" i="11"/>
  <c r="AF14" i="11"/>
  <c r="AF16" i="11"/>
  <c r="AF18" i="11"/>
  <c r="AF20" i="11"/>
  <c r="AF24" i="11"/>
  <c r="AF26" i="11"/>
  <c r="AF28" i="11"/>
  <c r="AF30" i="11"/>
  <c r="AF32" i="11"/>
  <c r="AF34" i="11"/>
  <c r="AF36" i="11"/>
  <c r="AF38" i="11"/>
  <c r="AF40" i="11"/>
  <c r="AF42" i="11"/>
  <c r="AF44" i="11"/>
  <c r="AF46" i="11"/>
  <c r="AF48" i="11"/>
  <c r="AF52" i="11"/>
  <c r="AF54" i="11"/>
  <c r="AF56" i="11"/>
  <c r="AF58" i="11"/>
  <c r="AF60" i="11"/>
  <c r="AF62" i="11"/>
  <c r="AF64" i="11"/>
  <c r="AF66" i="11"/>
  <c r="AF68" i="11"/>
  <c r="AF70" i="11"/>
  <c r="AF72" i="11"/>
  <c r="AF74" i="11"/>
  <c r="AF76" i="11"/>
  <c r="AF78" i="11"/>
  <c r="AF80" i="11"/>
  <c r="AF82" i="11"/>
  <c r="AF84" i="11"/>
  <c r="AF86" i="11"/>
  <c r="AF88" i="11"/>
  <c r="AF90" i="11"/>
  <c r="AF92" i="11"/>
  <c r="AF94" i="11"/>
  <c r="AF96" i="11"/>
  <c r="AF98" i="11"/>
  <c r="AF100" i="11"/>
  <c r="AF102" i="11"/>
  <c r="AF104" i="11"/>
  <c r="AF106" i="11"/>
  <c r="AF108" i="11"/>
  <c r="AF110" i="11"/>
  <c r="AF112" i="11"/>
  <c r="AF114" i="11"/>
  <c r="AF116" i="11"/>
  <c r="AF118" i="11"/>
  <c r="AF120" i="11"/>
  <c r="AF122" i="11"/>
  <c r="AF124" i="11"/>
  <c r="AF126" i="11"/>
  <c r="AF128" i="11"/>
  <c r="AF130" i="11"/>
  <c r="AF132" i="11"/>
  <c r="AF134" i="11"/>
  <c r="AF136" i="11"/>
  <c r="AF138" i="11"/>
  <c r="AF140" i="11"/>
  <c r="AF142" i="11"/>
  <c r="AF144" i="11"/>
  <c r="AF146" i="11"/>
  <c r="AF148" i="11"/>
  <c r="AF150" i="11"/>
  <c r="AF152" i="11"/>
  <c r="AF154" i="11"/>
  <c r="AF156" i="11"/>
  <c r="AF158" i="11"/>
  <c r="AF160" i="11"/>
  <c r="AF162" i="11"/>
  <c r="AF164" i="11"/>
  <c r="AF166" i="11"/>
  <c r="AF168" i="11"/>
  <c r="AF170" i="11"/>
  <c r="AF172" i="11"/>
  <c r="AF174" i="11"/>
  <c r="AF176" i="11"/>
  <c r="AF178" i="11"/>
  <c r="AF180" i="11"/>
  <c r="AF182" i="11"/>
  <c r="AF184" i="11"/>
  <c r="AF186" i="11"/>
  <c r="AF188" i="11"/>
  <c r="AF190" i="11"/>
  <c r="AF192" i="11"/>
  <c r="AF194" i="11"/>
  <c r="AF196" i="11"/>
  <c r="AF198" i="11"/>
  <c r="AF200" i="11"/>
  <c r="AF202" i="11"/>
  <c r="AF204" i="11"/>
  <c r="AF206" i="11"/>
  <c r="AF208" i="11"/>
  <c r="AF210" i="11"/>
  <c r="AF212" i="11"/>
  <c r="AF214" i="11"/>
  <c r="AF216" i="11"/>
  <c r="AF218" i="11"/>
  <c r="AF220" i="11"/>
  <c r="AF222" i="11"/>
  <c r="AF224" i="11"/>
  <c r="AF226" i="11"/>
  <c r="AF228" i="11"/>
  <c r="AF230" i="11"/>
  <c r="AF232" i="11"/>
  <c r="AF234" i="11"/>
  <c r="AF236" i="11"/>
  <c r="AF238" i="11"/>
  <c r="AF240" i="11"/>
  <c r="AF242" i="11"/>
  <c r="AF244" i="11"/>
  <c r="AF246" i="11"/>
  <c r="AF248" i="11"/>
  <c r="AF250" i="11"/>
  <c r="AF252" i="11"/>
  <c r="AF254" i="11"/>
  <c r="AF256" i="11"/>
  <c r="AF258" i="11"/>
  <c r="AF260" i="11"/>
  <c r="AF262" i="11"/>
  <c r="AF264" i="11"/>
  <c r="AF266" i="11"/>
  <c r="AF268" i="11"/>
  <c r="AF270" i="11"/>
  <c r="AF272" i="11"/>
  <c r="AF274" i="11"/>
  <c r="AF276" i="11"/>
  <c r="AF278" i="11"/>
  <c r="AF280" i="11"/>
  <c r="AF282" i="11"/>
  <c r="AF284" i="11"/>
  <c r="AF286" i="11"/>
  <c r="AF288" i="11"/>
  <c r="AF290" i="11"/>
  <c r="AF292" i="11"/>
  <c r="AF294" i="11"/>
  <c r="AF296" i="11"/>
  <c r="AF298" i="11"/>
  <c r="AF300" i="11"/>
  <c r="AF302" i="11"/>
  <c r="AF304" i="11"/>
  <c r="AF306" i="11"/>
  <c r="AF308" i="11"/>
  <c r="AF310" i="11"/>
  <c r="AF312" i="11"/>
  <c r="AF314" i="11"/>
  <c r="AF316" i="11"/>
  <c r="AF318" i="11"/>
  <c r="AF320" i="11"/>
  <c r="AF322" i="11"/>
  <c r="AF324" i="11"/>
  <c r="AF326" i="11"/>
  <c r="AF328" i="11"/>
  <c r="AF330" i="11"/>
  <c r="AF332" i="11"/>
  <c r="AF334" i="11"/>
  <c r="AF336" i="11"/>
  <c r="AF338" i="11"/>
  <c r="AF340" i="11"/>
  <c r="AF342" i="11"/>
  <c r="AF344" i="11"/>
  <c r="AF346" i="11"/>
  <c r="AF348" i="11"/>
  <c r="AF350" i="11"/>
  <c r="AF352" i="11"/>
  <c r="AF354" i="11"/>
  <c r="AF356" i="11"/>
  <c r="AF358" i="11"/>
  <c r="AF360" i="11"/>
  <c r="AF362" i="11"/>
  <c r="AF364" i="11"/>
  <c r="AF366" i="11"/>
  <c r="AF368" i="11"/>
  <c r="AF370" i="11"/>
  <c r="AF372" i="11"/>
  <c r="AF374" i="11"/>
  <c r="AF376" i="11"/>
  <c r="AF378" i="11"/>
  <c r="AF380" i="11"/>
  <c r="AF382" i="11"/>
  <c r="AF384" i="11"/>
  <c r="AF386" i="11"/>
  <c r="AF388" i="11"/>
  <c r="AF390" i="11"/>
  <c r="AF392" i="11"/>
  <c r="AF394" i="11"/>
  <c r="AF396" i="11"/>
  <c r="AF398" i="11"/>
  <c r="AF400" i="11"/>
  <c r="AF402" i="11"/>
  <c r="AF404" i="11"/>
  <c r="AF406" i="11"/>
  <c r="AF408" i="11"/>
  <c r="AF410" i="11"/>
  <c r="AF412" i="11"/>
  <c r="AF414" i="11"/>
  <c r="AF416" i="11"/>
  <c r="AF418" i="11"/>
  <c r="AF420" i="11"/>
  <c r="AF422" i="11"/>
  <c r="AF424" i="11"/>
  <c r="AF426" i="11"/>
  <c r="AF428" i="11"/>
  <c r="AF430" i="11"/>
  <c r="AF432" i="11"/>
  <c r="AF434" i="11"/>
  <c r="AF436" i="11"/>
  <c r="AF438" i="11"/>
  <c r="AF440" i="11"/>
  <c r="AF442" i="11"/>
  <c r="AF444" i="11"/>
  <c r="AF446" i="11"/>
  <c r="AF448" i="11"/>
  <c r="AF450" i="11"/>
  <c r="AF452" i="11"/>
  <c r="AF454" i="11"/>
  <c r="AF456" i="11"/>
  <c r="AF458" i="11"/>
  <c r="AF460" i="11"/>
  <c r="AF462" i="11"/>
  <c r="AF464" i="11"/>
  <c r="AF466" i="11"/>
  <c r="AF468" i="11"/>
  <c r="AF470" i="11"/>
  <c r="AF472" i="11"/>
  <c r="AF474" i="11"/>
  <c r="AF476" i="11"/>
  <c r="AF478" i="11"/>
  <c r="AF480" i="11"/>
  <c r="AF482" i="11"/>
  <c r="AF484" i="11"/>
  <c r="AF486" i="11"/>
  <c r="AF488" i="11"/>
  <c r="AF490" i="11"/>
  <c r="AF492" i="11"/>
  <c r="AF494" i="11"/>
  <c r="AF496" i="11"/>
  <c r="AF498" i="11"/>
  <c r="AF500" i="11"/>
  <c r="AF502" i="11"/>
  <c r="AF504" i="11"/>
  <c r="AF506" i="11"/>
  <c r="AF508" i="11"/>
  <c r="AF510" i="11"/>
  <c r="AF512" i="11"/>
  <c r="AF514" i="11"/>
  <c r="AF516" i="11"/>
  <c r="AF518" i="11"/>
  <c r="AF520" i="11"/>
  <c r="AF522" i="11"/>
  <c r="AF524" i="11"/>
  <c r="AF526" i="11"/>
  <c r="AF528" i="11"/>
  <c r="AF530" i="11"/>
  <c r="AF532" i="11"/>
  <c r="AF534" i="11"/>
  <c r="AF536" i="11"/>
  <c r="AF538" i="11"/>
  <c r="AF540" i="11"/>
  <c r="AF542" i="11"/>
  <c r="AF544" i="11"/>
  <c r="AF546" i="11"/>
  <c r="AF548" i="11"/>
  <c r="AF550" i="11"/>
  <c r="AF552" i="11"/>
  <c r="AF554" i="11"/>
  <c r="AF556" i="11"/>
  <c r="AF558" i="11"/>
  <c r="AF560" i="11"/>
  <c r="AF562" i="11"/>
  <c r="AF564" i="11"/>
  <c r="AF566" i="11"/>
  <c r="AF568" i="11"/>
  <c r="AF570" i="11"/>
  <c r="AF572" i="11"/>
  <c r="AF574" i="11"/>
  <c r="AF576" i="11"/>
  <c r="AF578" i="11"/>
  <c r="AF580" i="11"/>
  <c r="AF582" i="11"/>
  <c r="AF584" i="11"/>
  <c r="AF586" i="11"/>
  <c r="AF588" i="11"/>
  <c r="AF590" i="11"/>
  <c r="AF592" i="11"/>
  <c r="AF594" i="11"/>
  <c r="AF596" i="11"/>
  <c r="AF598" i="11"/>
  <c r="AF600" i="11"/>
  <c r="AF602" i="11"/>
  <c r="AF604" i="11"/>
  <c r="AF606" i="11"/>
  <c r="AF608" i="11"/>
  <c r="AF610" i="11"/>
  <c r="AF612" i="11"/>
  <c r="AF614" i="11"/>
  <c r="AF616" i="11"/>
  <c r="AF618" i="11"/>
  <c r="AF620" i="11"/>
  <c r="AF622" i="11"/>
  <c r="AF624" i="11"/>
  <c r="AF626" i="11"/>
  <c r="AF628" i="11"/>
  <c r="AF630" i="11"/>
  <c r="AF632" i="11"/>
  <c r="AF634" i="11"/>
  <c r="AF636" i="11"/>
  <c r="AF638" i="11"/>
  <c r="AF640" i="11"/>
  <c r="AF642" i="11"/>
  <c r="AF644" i="11"/>
  <c r="AF646" i="11"/>
  <c r="AF648" i="11"/>
  <c r="AF650" i="11"/>
  <c r="AF652" i="11"/>
  <c r="AF654" i="11"/>
  <c r="AF656" i="11"/>
  <c r="AF658" i="11"/>
  <c r="AF660" i="11"/>
  <c r="AF662" i="11"/>
  <c r="AF664" i="11"/>
  <c r="AF666" i="11"/>
  <c r="AF668" i="11"/>
  <c r="AF670" i="11"/>
  <c r="AF672" i="11"/>
  <c r="AF674" i="11"/>
  <c r="AF676" i="11"/>
  <c r="AF678" i="11"/>
  <c r="AF680" i="11"/>
  <c r="AF682" i="11"/>
  <c r="AF684" i="11"/>
  <c r="AF686" i="11"/>
  <c r="AF688" i="11"/>
  <c r="AF690" i="11"/>
  <c r="AF692" i="11"/>
  <c r="AF694" i="11"/>
  <c r="AF696" i="11"/>
  <c r="AF698" i="11"/>
  <c r="AF700" i="11"/>
  <c r="AF702" i="11"/>
  <c r="AF704" i="11"/>
  <c r="AF706" i="11"/>
  <c r="AF708" i="11"/>
  <c r="AF710" i="11"/>
  <c r="AF712" i="11"/>
  <c r="AF714" i="11"/>
  <c r="AF716" i="11"/>
  <c r="AF718" i="11"/>
  <c r="AF720" i="11"/>
  <c r="AF722" i="11"/>
  <c r="AF724" i="11"/>
  <c r="AF726" i="11"/>
  <c r="AF728" i="11"/>
  <c r="AF730" i="11"/>
  <c r="AF732" i="11"/>
  <c r="AF734" i="11"/>
  <c r="AF736" i="11"/>
  <c r="AF738" i="11"/>
  <c r="AF740" i="11"/>
  <c r="AF742" i="11"/>
  <c r="AF744" i="11"/>
  <c r="AF746" i="11"/>
  <c r="AF748" i="11"/>
  <c r="AF750" i="11"/>
  <c r="AF752" i="11"/>
  <c r="AF754" i="11"/>
  <c r="AF756" i="11"/>
  <c r="AF758" i="11"/>
  <c r="AF760" i="11"/>
  <c r="AF762" i="11"/>
  <c r="AF764" i="11"/>
  <c r="AF766" i="11"/>
  <c r="AF768" i="11"/>
  <c r="AF770" i="11"/>
  <c r="AF772" i="11"/>
  <c r="AF774" i="11"/>
  <c r="AF776" i="11"/>
  <c r="AF778" i="11"/>
  <c r="AF780" i="11"/>
  <c r="AF782" i="11"/>
  <c r="AF784" i="11"/>
  <c r="AF786" i="11"/>
  <c r="AF788" i="11"/>
  <c r="AF790" i="11"/>
  <c r="AF792" i="11"/>
  <c r="AF794" i="11"/>
  <c r="AF796" i="11"/>
  <c r="AF798" i="11"/>
  <c r="AF800" i="11"/>
  <c r="AF802" i="11"/>
  <c r="AF804" i="11"/>
  <c r="AF806" i="11"/>
  <c r="AF808" i="11"/>
  <c r="AF810" i="11"/>
  <c r="AF812" i="11"/>
  <c r="AF814" i="11"/>
  <c r="AF816" i="11"/>
  <c r="AF818" i="11"/>
  <c r="AF820" i="11"/>
  <c r="AF822" i="11"/>
  <c r="AF824" i="11"/>
  <c r="AF826" i="11"/>
  <c r="AF828" i="11"/>
  <c r="AF830" i="11"/>
  <c r="AF832" i="11"/>
  <c r="AF834" i="11"/>
  <c r="AF836" i="11"/>
  <c r="AF838" i="11"/>
  <c r="AF840" i="11"/>
  <c r="AF842" i="11"/>
  <c r="AF844" i="11"/>
  <c r="AF846" i="11"/>
  <c r="AF848" i="11"/>
  <c r="AF850" i="11"/>
  <c r="AF852" i="11"/>
  <c r="AF854" i="11"/>
  <c r="AF856" i="11"/>
  <c r="AF858" i="11"/>
  <c r="AF860" i="11"/>
  <c r="AF862" i="11"/>
  <c r="AF864" i="11"/>
  <c r="AF866" i="11"/>
  <c r="AF868" i="11"/>
  <c r="AF870" i="11"/>
  <c r="AF872" i="11"/>
  <c r="AF874" i="11"/>
  <c r="AF876" i="11"/>
  <c r="AF878" i="11"/>
  <c r="AF880" i="11"/>
  <c r="AF882" i="11"/>
  <c r="AF884" i="11"/>
  <c r="AF886" i="11"/>
  <c r="AF888" i="11"/>
  <c r="AF890" i="11"/>
  <c r="AF892" i="11"/>
  <c r="AF894" i="11"/>
  <c r="AF896" i="11"/>
  <c r="AF898" i="11"/>
  <c r="AF900" i="11"/>
  <c r="AF902" i="11"/>
  <c r="AF904" i="11"/>
  <c r="AF906" i="11"/>
  <c r="AF908" i="11"/>
  <c r="AF910" i="11"/>
  <c r="AF912" i="11"/>
  <c r="AF914" i="11"/>
  <c r="AF916" i="11"/>
  <c r="AF918" i="11"/>
  <c r="AF920" i="11"/>
  <c r="AF922" i="11"/>
  <c r="AF924" i="11"/>
  <c r="AF926" i="11"/>
  <c r="AF928" i="11"/>
  <c r="AF930" i="11"/>
  <c r="AF932" i="11"/>
  <c r="AF934" i="11"/>
  <c r="AF936" i="11"/>
  <c r="AF938" i="11"/>
  <c r="AF940" i="11"/>
  <c r="AF942" i="11"/>
  <c r="AF944" i="11"/>
  <c r="AF946" i="11"/>
  <c r="AF948" i="11"/>
  <c r="AF950" i="11"/>
  <c r="AF952" i="11"/>
  <c r="AF954" i="11"/>
  <c r="AF956" i="11"/>
  <c r="AF958" i="11"/>
  <c r="AF960" i="11"/>
  <c r="AF962" i="11"/>
  <c r="AF964" i="11"/>
  <c r="AF966" i="11"/>
  <c r="AF968" i="11"/>
  <c r="AF970" i="11"/>
  <c r="AF972" i="11"/>
  <c r="AF974" i="11"/>
  <c r="AF976" i="11"/>
  <c r="AF978" i="11"/>
  <c r="AF980" i="11"/>
  <c r="AF982" i="11"/>
  <c r="AF984" i="11"/>
  <c r="AF986" i="11"/>
  <c r="AF988" i="11"/>
  <c r="AF990" i="11"/>
  <c r="AF992" i="11"/>
  <c r="AF994" i="11"/>
  <c r="AF996" i="11"/>
  <c r="AF998" i="11"/>
  <c r="AF1000" i="11"/>
  <c r="AF1002" i="11"/>
  <c r="AF8" i="11"/>
  <c r="AF6" i="11"/>
  <c r="AF9" i="11"/>
  <c r="AF13" i="11"/>
  <c r="AF17" i="11"/>
  <c r="AF21" i="11"/>
  <c r="AF25" i="11"/>
  <c r="AF29" i="11"/>
  <c r="AF33" i="11"/>
  <c r="AF37" i="11"/>
  <c r="AF41" i="11"/>
  <c r="AF45" i="11"/>
  <c r="AF53" i="11"/>
  <c r="AF57" i="11"/>
  <c r="AF61" i="11"/>
  <c r="AF65" i="11"/>
  <c r="AF69" i="11"/>
  <c r="AF73" i="11"/>
  <c r="AF77" i="11"/>
  <c r="AF81" i="11"/>
  <c r="AF85" i="11"/>
  <c r="AF89" i="11"/>
  <c r="AF93" i="11"/>
  <c r="AF97" i="11"/>
  <c r="AF101" i="11"/>
  <c r="AF105" i="11"/>
  <c r="AF109" i="11"/>
  <c r="AF113" i="11"/>
  <c r="AF117" i="11"/>
  <c r="AF121" i="11"/>
  <c r="AF125" i="11"/>
  <c r="AF129" i="11"/>
  <c r="AF133" i="11"/>
  <c r="AF137" i="11"/>
  <c r="AF141" i="11"/>
  <c r="AF145" i="11"/>
  <c r="AF149" i="11"/>
  <c r="AF153" i="11"/>
  <c r="AF157" i="11"/>
  <c r="AF161" i="11"/>
  <c r="AF165" i="11"/>
  <c r="AF169" i="11"/>
  <c r="AF173" i="11"/>
  <c r="AF177" i="11"/>
  <c r="AF181" i="11"/>
  <c r="AF185" i="11"/>
  <c r="AF189" i="11"/>
  <c r="AF193" i="11"/>
  <c r="AF197" i="11"/>
  <c r="AF201" i="11"/>
  <c r="AF205" i="11"/>
  <c r="AF209" i="11"/>
  <c r="AF213" i="11"/>
  <c r="AF217" i="11"/>
  <c r="AF221" i="11"/>
  <c r="AF225" i="11"/>
  <c r="AF229" i="11"/>
  <c r="AF233" i="11"/>
  <c r="AF237" i="11"/>
  <c r="AF241" i="11"/>
  <c r="AF245" i="11"/>
  <c r="AF249" i="11"/>
  <c r="AF253" i="11"/>
  <c r="AF257" i="11"/>
  <c r="AF261" i="11"/>
  <c r="AF265" i="11"/>
  <c r="AF269" i="11"/>
  <c r="AF273" i="11"/>
  <c r="AF277" i="11"/>
  <c r="AF281" i="11"/>
  <c r="AF285" i="11"/>
  <c r="AF289" i="11"/>
  <c r="AF293" i="11"/>
  <c r="AF297" i="11"/>
  <c r="AF301" i="11"/>
  <c r="AF305" i="11"/>
  <c r="AF309" i="11"/>
  <c r="AF313" i="11"/>
  <c r="AF317" i="11"/>
  <c r="AF321" i="11"/>
  <c r="AF325" i="11"/>
  <c r="AF329" i="11"/>
  <c r="AF333" i="11"/>
  <c r="AF337" i="11"/>
  <c r="AF341" i="11"/>
  <c r="AF345" i="11"/>
  <c r="AF349" i="11"/>
  <c r="AF353" i="11"/>
  <c r="AF357" i="11"/>
  <c r="AF361" i="11"/>
  <c r="AF365" i="11"/>
  <c r="AF369" i="11"/>
  <c r="AF373" i="11"/>
  <c r="AF377" i="11"/>
  <c r="AF381" i="11"/>
  <c r="AF385" i="11"/>
  <c r="AF389" i="11"/>
  <c r="AF393" i="11"/>
  <c r="AF397" i="11"/>
  <c r="AF401" i="11"/>
  <c r="AF405" i="11"/>
  <c r="AF409" i="11"/>
  <c r="AF413" i="11"/>
  <c r="AF417" i="11"/>
  <c r="AF421" i="11"/>
  <c r="AF425" i="11"/>
  <c r="AF429" i="11"/>
  <c r="AF433" i="11"/>
  <c r="AF437" i="11"/>
  <c r="AF441" i="11"/>
  <c r="AF445" i="11"/>
  <c r="AF449" i="11"/>
  <c r="AF453" i="11"/>
  <c r="AF457" i="11"/>
  <c r="AF461" i="11"/>
  <c r="AF465" i="11"/>
  <c r="AF469" i="11"/>
  <c r="AF473" i="11"/>
  <c r="AF477" i="11"/>
  <c r="AF481" i="11"/>
  <c r="AF485" i="11"/>
  <c r="AF489" i="11"/>
  <c r="AF493" i="11"/>
  <c r="AF497" i="11"/>
  <c r="AF501" i="11"/>
  <c r="AF505" i="11"/>
  <c r="AF509" i="11"/>
  <c r="AF513" i="11"/>
  <c r="AF517" i="11"/>
  <c r="AF521" i="11"/>
  <c r="AF525" i="11"/>
  <c r="AF529" i="11"/>
  <c r="AF533" i="11"/>
  <c r="AF537" i="11"/>
  <c r="AF541" i="11"/>
  <c r="AF545" i="11"/>
  <c r="AF549" i="11"/>
  <c r="AF553" i="11"/>
  <c r="AF557" i="11"/>
  <c r="AF561" i="11"/>
  <c r="AF565" i="11"/>
  <c r="AF569" i="11"/>
  <c r="AF573" i="11"/>
  <c r="AF577" i="11"/>
  <c r="AF581" i="11"/>
  <c r="AF585" i="11"/>
  <c r="AF589" i="11"/>
  <c r="AF593" i="11"/>
  <c r="AF597" i="11"/>
  <c r="AF601" i="11"/>
  <c r="AF605" i="11"/>
  <c r="AF609" i="11"/>
  <c r="AF613" i="11"/>
  <c r="AF617" i="11"/>
  <c r="AF621" i="11"/>
  <c r="AF625" i="11"/>
  <c r="AF629" i="11"/>
  <c r="AF633" i="11"/>
  <c r="AF637" i="11"/>
  <c r="AF641" i="11"/>
  <c r="AF645" i="11"/>
  <c r="AF649" i="11"/>
  <c r="AF653" i="11"/>
  <c r="AF657" i="11"/>
  <c r="AF661" i="11"/>
  <c r="AF665" i="11"/>
  <c r="AF669" i="11"/>
  <c r="AF673" i="11"/>
  <c r="AF677" i="11"/>
  <c r="AF681" i="11"/>
  <c r="AF685" i="11"/>
  <c r="AF689" i="11"/>
  <c r="AF693" i="11"/>
  <c r="AF697" i="11"/>
  <c r="AF701" i="11"/>
  <c r="AF705" i="11"/>
  <c r="AF709" i="11"/>
  <c r="AF713" i="11"/>
  <c r="AF717" i="11"/>
  <c r="AF721" i="11"/>
  <c r="AF725" i="11"/>
  <c r="AF729" i="11"/>
  <c r="AF733" i="11"/>
  <c r="AF737" i="11"/>
  <c r="AF741" i="11"/>
  <c r="AF745" i="11"/>
  <c r="AF749" i="11"/>
  <c r="AF753" i="11"/>
  <c r="AF757" i="11"/>
  <c r="AF761" i="11"/>
  <c r="AF765" i="11"/>
  <c r="AF769" i="11"/>
  <c r="AF773" i="11"/>
  <c r="AF777" i="11"/>
  <c r="AF781" i="11"/>
  <c r="AF785" i="11"/>
  <c r="AF789" i="11"/>
  <c r="AF793" i="11"/>
  <c r="AF797" i="11"/>
  <c r="AF801" i="11"/>
  <c r="AF805" i="11"/>
  <c r="AF809" i="11"/>
  <c r="AF813" i="11"/>
  <c r="AF817" i="11"/>
  <c r="AF821" i="11"/>
  <c r="AF825" i="11"/>
  <c r="AF829" i="11"/>
  <c r="AF833" i="11"/>
  <c r="AF837" i="11"/>
  <c r="AF841" i="11"/>
  <c r="AF845" i="11"/>
  <c r="AF849" i="11"/>
  <c r="AF853" i="11"/>
  <c r="AF857" i="11"/>
  <c r="AF861" i="11"/>
  <c r="AF865" i="11"/>
  <c r="AF869" i="11"/>
  <c r="AF873" i="11"/>
  <c r="AF877" i="11"/>
  <c r="AF881" i="11"/>
  <c r="AF885" i="11"/>
  <c r="AF889" i="11"/>
  <c r="AF893" i="11"/>
  <c r="AF897" i="11"/>
  <c r="AF901" i="11"/>
  <c r="AF905" i="11"/>
  <c r="AF909" i="11"/>
  <c r="AF913" i="11"/>
  <c r="AF917" i="11"/>
  <c r="AF921" i="11"/>
  <c r="AF925" i="11"/>
  <c r="AF929" i="11"/>
  <c r="AF933" i="11"/>
  <c r="AF937" i="11"/>
  <c r="AF941" i="11"/>
  <c r="AF945" i="11"/>
  <c r="AF949" i="11"/>
  <c r="AF953" i="11"/>
  <c r="AF957" i="11"/>
  <c r="AF961" i="11"/>
  <c r="AF965" i="11"/>
  <c r="AF969" i="11"/>
  <c r="AF973" i="11"/>
  <c r="AF977" i="11"/>
  <c r="AF981" i="11"/>
  <c r="AF985" i="11"/>
  <c r="AF989" i="11"/>
  <c r="AF993" i="11"/>
  <c r="AF997" i="11"/>
  <c r="AF1001" i="11"/>
  <c r="AF7" i="11"/>
  <c r="AF19" i="11"/>
  <c r="AF35" i="11"/>
  <c r="AF51" i="11"/>
  <c r="AF67" i="11"/>
  <c r="AF83" i="11"/>
  <c r="AF99" i="11"/>
  <c r="AF115" i="11"/>
  <c r="AF131" i="11"/>
  <c r="AF147" i="11"/>
  <c r="AF163" i="11"/>
  <c r="AF179" i="11"/>
  <c r="AF195" i="11"/>
  <c r="AF211" i="11"/>
  <c r="AF227" i="11"/>
  <c r="AF243" i="11"/>
  <c r="AF259" i="11"/>
  <c r="AF275" i="11"/>
  <c r="AF291" i="11"/>
  <c r="AF307" i="11"/>
  <c r="AF323" i="11"/>
  <c r="AF339" i="11"/>
  <c r="AF355" i="11"/>
  <c r="AF371" i="11"/>
  <c r="AF387" i="11"/>
  <c r="AF403" i="11"/>
  <c r="AF419" i="11"/>
  <c r="AF435" i="11"/>
  <c r="AF451" i="11"/>
  <c r="AF467" i="11"/>
  <c r="AF483" i="11"/>
  <c r="AF499" i="11"/>
  <c r="AF515" i="11"/>
  <c r="AF531" i="11"/>
  <c r="AF547" i="11"/>
  <c r="AF563" i="11"/>
  <c r="AF579" i="11"/>
  <c r="AF595" i="11"/>
  <c r="AF611" i="11"/>
  <c r="AF627" i="11"/>
  <c r="AF643" i="11"/>
  <c r="AF659" i="11"/>
  <c r="AF675" i="11"/>
  <c r="AF691" i="11"/>
  <c r="AF707" i="11"/>
  <c r="AF723" i="11"/>
  <c r="AF739" i="11"/>
  <c r="AF755" i="11"/>
  <c r="AF771" i="11"/>
  <c r="AF787" i="11"/>
  <c r="AF803" i="11"/>
  <c r="AF819" i="11"/>
  <c r="AF835" i="11"/>
  <c r="AF851" i="11"/>
  <c r="AF867" i="11"/>
  <c r="AF883" i="11"/>
  <c r="AF899" i="11"/>
  <c r="AF915" i="11"/>
  <c r="AF931" i="11"/>
  <c r="AF947" i="11"/>
  <c r="AF963" i="11"/>
  <c r="AF979" i="11"/>
  <c r="AF995" i="11"/>
  <c r="AF4" i="11"/>
  <c r="AF15" i="11"/>
  <c r="AF31" i="11"/>
  <c r="AF47" i="11"/>
  <c r="AF63" i="11"/>
  <c r="AF79" i="11"/>
  <c r="AF95" i="11"/>
  <c r="AF111" i="11"/>
  <c r="AF127" i="11"/>
  <c r="AF143" i="11"/>
  <c r="AF159" i="11"/>
  <c r="AF175" i="11"/>
  <c r="AF191" i="11"/>
  <c r="AF207" i="11"/>
  <c r="AF223" i="11"/>
  <c r="AF239" i="11"/>
  <c r="AF255" i="11"/>
  <c r="AF271" i="11"/>
  <c r="AF287" i="11"/>
  <c r="AF303" i="11"/>
  <c r="AF319" i="11"/>
  <c r="AF335" i="11"/>
  <c r="AF351" i="11"/>
  <c r="AF367" i="11"/>
  <c r="AF383" i="11"/>
  <c r="AF399" i="11"/>
  <c r="AF415" i="11"/>
  <c r="AF431" i="11"/>
  <c r="AF447" i="11"/>
  <c r="AF463" i="11"/>
  <c r="AF479" i="11"/>
  <c r="AF495" i="11"/>
  <c r="AF511" i="11"/>
  <c r="AF527" i="11"/>
  <c r="AF543" i="11"/>
  <c r="AF559" i="11"/>
  <c r="AF575" i="11"/>
  <c r="AF591" i="11"/>
  <c r="AF607" i="11"/>
  <c r="AF623" i="11"/>
  <c r="AF639" i="11"/>
  <c r="AF655" i="11"/>
  <c r="AF671" i="11"/>
  <c r="AF687" i="11"/>
  <c r="AF703" i="11"/>
  <c r="AF719" i="11"/>
  <c r="AF735" i="11"/>
  <c r="AF751" i="11"/>
  <c r="AF767" i="11"/>
  <c r="AF783" i="11"/>
  <c r="AF799" i="11"/>
  <c r="AF815" i="11"/>
  <c r="AF831" i="11"/>
  <c r="AF847" i="11"/>
  <c r="AF863" i="11"/>
  <c r="AF879" i="11"/>
  <c r="AF895" i="11"/>
  <c r="AF911" i="11"/>
  <c r="AF927" i="11"/>
  <c r="AF943" i="11"/>
  <c r="AF959" i="11"/>
  <c r="AF975" i="11"/>
  <c r="AF991" i="11"/>
  <c r="AF103" i="11"/>
  <c r="AF215" i="11"/>
  <c r="AF247" i="11"/>
  <c r="AF263" i="11"/>
  <c r="AF279" i="11"/>
  <c r="AF327" i="11"/>
  <c r="AF375" i="11"/>
  <c r="AF423" i="11"/>
  <c r="AF471" i="11"/>
  <c r="AF519" i="11"/>
  <c r="AF567" i="11"/>
  <c r="AF615" i="11"/>
  <c r="AF647" i="11"/>
  <c r="AF695" i="11"/>
  <c r="AF743" i="11"/>
  <c r="AF775" i="11"/>
  <c r="AF823" i="11"/>
  <c r="AF855" i="11"/>
  <c r="AF903" i="11"/>
  <c r="AF951" i="11"/>
  <c r="AF27" i="11"/>
  <c r="AF43" i="11"/>
  <c r="AF59" i="11"/>
  <c r="AF75" i="11"/>
  <c r="AF91" i="11"/>
  <c r="AF107" i="11"/>
  <c r="AF123" i="11"/>
  <c r="AF139" i="11"/>
  <c r="AF155" i="11"/>
  <c r="AF171" i="11"/>
  <c r="AF187" i="11"/>
  <c r="AF203" i="11"/>
  <c r="AF219" i="11"/>
  <c r="AF235" i="11"/>
  <c r="AF251" i="11"/>
  <c r="AF267" i="11"/>
  <c r="AF283" i="11"/>
  <c r="AF299" i="11"/>
  <c r="AF315" i="11"/>
  <c r="AF331" i="11"/>
  <c r="AF347" i="11"/>
  <c r="AF363" i="11"/>
  <c r="AF379" i="11"/>
  <c r="AF395" i="11"/>
  <c r="AF411" i="11"/>
  <c r="AF427" i="11"/>
  <c r="AF443" i="11"/>
  <c r="AF459" i="11"/>
  <c r="AF475" i="11"/>
  <c r="AF491" i="11"/>
  <c r="AF507" i="11"/>
  <c r="AF523" i="11"/>
  <c r="AF539" i="11"/>
  <c r="AF555" i="11"/>
  <c r="AF571" i="11"/>
  <c r="AF587" i="11"/>
  <c r="AF603" i="11"/>
  <c r="AF619" i="11"/>
  <c r="AF635" i="11"/>
  <c r="AF651" i="11"/>
  <c r="AF667" i="11"/>
  <c r="AF683" i="11"/>
  <c r="AF699" i="11"/>
  <c r="AF715" i="11"/>
  <c r="AF731" i="11"/>
  <c r="AF747" i="11"/>
  <c r="AF763" i="11"/>
  <c r="AF779" i="11"/>
  <c r="AF795" i="11"/>
  <c r="AF811" i="11"/>
  <c r="AF827" i="11"/>
  <c r="AF843" i="11"/>
  <c r="AF859" i="11"/>
  <c r="AF875" i="11"/>
  <c r="AF891" i="11"/>
  <c r="AF907" i="11"/>
  <c r="AF923" i="11"/>
  <c r="AF939" i="11"/>
  <c r="AF955" i="11"/>
  <c r="AF971" i="11"/>
  <c r="AF987" i="11"/>
  <c r="AF23" i="11"/>
  <c r="AF39" i="11"/>
  <c r="AF55" i="11"/>
  <c r="AF71" i="11"/>
  <c r="AF87" i="11"/>
  <c r="AF119" i="11"/>
  <c r="AF135" i="11"/>
  <c r="AF151" i="11"/>
  <c r="AF167" i="11"/>
  <c r="AF183" i="11"/>
  <c r="AF199" i="11"/>
  <c r="AF231" i="11"/>
  <c r="AF295" i="11"/>
  <c r="AF311" i="11"/>
  <c r="AF343" i="11"/>
  <c r="AF359" i="11"/>
  <c r="AF391" i="11"/>
  <c r="AF407" i="11"/>
  <c r="AF439" i="11"/>
  <c r="AF455" i="11"/>
  <c r="AF487" i="11"/>
  <c r="AF503" i="11"/>
  <c r="AF535" i="11"/>
  <c r="AF551" i="11"/>
  <c r="AF583" i="11"/>
  <c r="AF599" i="11"/>
  <c r="AF631" i="11"/>
  <c r="AF663" i="11"/>
  <c r="AF679" i="11"/>
  <c r="AF711" i="11"/>
  <c r="AF727" i="11"/>
  <c r="AF759" i="11"/>
  <c r="AF791" i="11"/>
  <c r="AF807" i="11"/>
  <c r="AF839" i="11"/>
  <c r="AF871" i="11"/>
  <c r="AF887" i="11"/>
  <c r="AF919" i="11"/>
  <c r="AF935" i="11"/>
  <c r="AF967" i="11"/>
  <c r="AF983" i="11"/>
  <c r="AF999" i="11"/>
  <c r="AF1003" i="11"/>
  <c r="AF5" i="11"/>
  <c r="C34" i="18"/>
  <c r="C55" i="18"/>
  <c r="AV5" i="11"/>
  <c r="AY5" i="11"/>
  <c r="AZ5" i="11"/>
  <c r="AX5" i="11"/>
  <c r="AV8" i="11"/>
  <c r="AY8" i="11"/>
  <c r="AZ8" i="11"/>
  <c r="AX8" i="11"/>
  <c r="AF6" i="12"/>
  <c r="I1083" i="10"/>
  <c r="K81" i="16"/>
  <c r="J1012" i="12"/>
  <c r="A1061" i="11"/>
  <c r="L1061" i="11" s="1"/>
  <c r="AM7" i="12"/>
  <c r="C4174" i="14"/>
  <c r="C32" i="18"/>
  <c r="C56" i="18"/>
  <c r="AC1012" i="12"/>
  <c r="AC1013" i="12" s="1"/>
  <c r="G8" i="12"/>
  <c r="H36" i="16" s="1"/>
  <c r="H48" i="16" s="1"/>
  <c r="G33" i="11"/>
  <c r="G43" i="11" s="1"/>
  <c r="G8" i="13"/>
  <c r="G8" i="11"/>
  <c r="G8" i="10"/>
  <c r="C1011" i="10"/>
  <c r="C1010" i="10"/>
  <c r="C1009" i="10"/>
  <c r="D114" i="17" s="1"/>
  <c r="C1012" i="10"/>
  <c r="AV7" i="11"/>
  <c r="AX7" i="11"/>
  <c r="AY7" i="11"/>
  <c r="AZ7" i="11"/>
  <c r="AV6" i="11"/>
  <c r="AX6" i="11"/>
  <c r="AY6" i="11"/>
  <c r="AZ6" i="11"/>
  <c r="CK1014" i="10"/>
  <c r="K1076" i="11"/>
  <c r="A1080" i="10"/>
  <c r="S29" i="16"/>
  <c r="D36" i="16" s="1"/>
  <c r="B178" i="17"/>
  <c r="B158" i="18"/>
  <c r="AD1019" i="12"/>
  <c r="T118" i="17" l="1"/>
  <c r="T117" i="17"/>
  <c r="E117" i="17" s="1"/>
  <c r="T116" i="17"/>
  <c r="E116" i="17" s="1"/>
  <c r="T119" i="17"/>
  <c r="E119" i="17" s="1"/>
  <c r="N112" i="18" s="1"/>
  <c r="T115" i="17"/>
  <c r="O1023" i="10"/>
  <c r="AC13" i="12"/>
  <c r="AV36" i="11"/>
  <c r="AV38" i="11" s="1"/>
  <c r="E118" i="17"/>
  <c r="G36" i="16"/>
  <c r="G48" i="16" s="1"/>
  <c r="H172" i="17"/>
  <c r="E122" i="17" s="1"/>
  <c r="I38" i="18" s="1"/>
  <c r="AC55" i="12"/>
  <c r="AC41" i="12"/>
  <c r="AC34" i="12"/>
  <c r="AC62" i="12"/>
  <c r="AC48" i="12"/>
  <c r="I1089" i="10"/>
  <c r="BB32" i="11"/>
  <c r="AC28" i="12"/>
  <c r="AH48" i="16"/>
  <c r="AU36" i="16"/>
  <c r="D206" i="8"/>
  <c r="D207" i="8" s="1"/>
  <c r="E204" i="8"/>
  <c r="H5" i="11"/>
  <c r="H5" i="10"/>
  <c r="H5" i="12"/>
  <c r="N4173" i="14" s="1"/>
  <c r="K4173" i="14" s="1"/>
  <c r="B130" i="17"/>
  <c r="H59" i="13"/>
  <c r="H4" i="13"/>
  <c r="X36" i="16"/>
  <c r="G77" i="10"/>
  <c r="H82" i="16"/>
  <c r="G1013" i="12"/>
  <c r="H81" i="16"/>
  <c r="G1012" i="12"/>
  <c r="D11" i="14"/>
  <c r="AC1014" i="12"/>
  <c r="AC1015" i="12" s="1"/>
  <c r="AD1023" i="12" s="1"/>
  <c r="AV10" i="11"/>
  <c r="AV47" i="11" s="1"/>
  <c r="CL6" i="10"/>
  <c r="CL9" i="10"/>
  <c r="CL5" i="10"/>
  <c r="CL8" i="10"/>
  <c r="CL7" i="10"/>
  <c r="CL4" i="10"/>
  <c r="CL1002" i="10"/>
  <c r="CL998" i="10"/>
  <c r="CL994" i="10"/>
  <c r="CL990" i="10"/>
  <c r="CL986" i="10"/>
  <c r="CL982" i="10"/>
  <c r="CL978" i="10"/>
  <c r="CL974" i="10"/>
  <c r="CL970" i="10"/>
  <c r="CL966" i="10"/>
  <c r="CL962" i="10"/>
  <c r="CL958" i="10"/>
  <c r="CL954" i="10"/>
  <c r="CL950" i="10"/>
  <c r="CL946" i="10"/>
  <c r="CL942" i="10"/>
  <c r="CL938" i="10"/>
  <c r="CL934" i="10"/>
  <c r="CL930" i="10"/>
  <c r="CL926" i="10"/>
  <c r="CL922" i="10"/>
  <c r="CL918" i="10"/>
  <c r="CL914" i="10"/>
  <c r="CL910" i="10"/>
  <c r="CL906" i="10"/>
  <c r="CL902" i="10"/>
  <c r="CL898" i="10"/>
  <c r="CL894" i="10"/>
  <c r="CL890" i="10"/>
  <c r="CL886" i="10"/>
  <c r="CL882" i="10"/>
  <c r="CL878" i="10"/>
  <c r="CL874" i="10"/>
  <c r="CL870" i="10"/>
  <c r="CL866" i="10"/>
  <c r="CL862" i="10"/>
  <c r="CL858" i="10"/>
  <c r="CL854" i="10"/>
  <c r="CL850" i="10"/>
  <c r="CL846" i="10"/>
  <c r="CL842" i="10"/>
  <c r="CL838" i="10"/>
  <c r="CL834" i="10"/>
  <c r="CL830" i="10"/>
  <c r="CL826" i="10"/>
  <c r="CL822" i="10"/>
  <c r="CL818" i="10"/>
  <c r="CL814" i="10"/>
  <c r="CL810" i="10"/>
  <c r="CL806" i="10"/>
  <c r="CL802" i="10"/>
  <c r="CL798" i="10"/>
  <c r="CL794" i="10"/>
  <c r="CL790" i="10"/>
  <c r="CL786" i="10"/>
  <c r="CL782" i="10"/>
  <c r="CL778" i="10"/>
  <c r="CL774" i="10"/>
  <c r="CL770" i="10"/>
  <c r="CL766" i="10"/>
  <c r="CL762" i="10"/>
  <c r="CL758" i="10"/>
  <c r="CL754" i="10"/>
  <c r="CL750" i="10"/>
  <c r="CL746" i="10"/>
  <c r="CL742" i="10"/>
  <c r="CL738" i="10"/>
  <c r="CL734" i="10"/>
  <c r="CL730" i="10"/>
  <c r="CL726" i="10"/>
  <c r="CL722" i="10"/>
  <c r="CL718" i="10"/>
  <c r="CL714" i="10"/>
  <c r="CL710" i="10"/>
  <c r="CL706" i="10"/>
  <c r="CL702" i="10"/>
  <c r="CL698" i="10"/>
  <c r="CL694" i="10"/>
  <c r="CL690" i="10"/>
  <c r="CL686" i="10"/>
  <c r="CL682" i="10"/>
  <c r="CL678" i="10"/>
  <c r="CL674" i="10"/>
  <c r="CL670" i="10"/>
  <c r="CL666" i="10"/>
  <c r="CL662" i="10"/>
  <c r="CL658" i="10"/>
  <c r="CL654" i="10"/>
  <c r="CL650" i="10"/>
  <c r="CL646" i="10"/>
  <c r="CL642" i="10"/>
  <c r="CL638" i="10"/>
  <c r="CL634" i="10"/>
  <c r="CL630" i="10"/>
  <c r="CL626" i="10"/>
  <c r="CL622" i="10"/>
  <c r="CL618" i="10"/>
  <c r="CL614" i="10"/>
  <c r="CL610" i="10"/>
  <c r="CL606" i="10"/>
  <c r="CL602" i="10"/>
  <c r="CL598" i="10"/>
  <c r="CL594" i="10"/>
  <c r="CL590" i="10"/>
  <c r="CL586" i="10"/>
  <c r="CL582" i="10"/>
  <c r="CL578" i="10"/>
  <c r="CL574" i="10"/>
  <c r="CL570" i="10"/>
  <c r="CL566" i="10"/>
  <c r="CL562" i="10"/>
  <c r="CL558" i="10"/>
  <c r="CL554" i="10"/>
  <c r="CL550" i="10"/>
  <c r="CL546" i="10"/>
  <c r="CL542" i="10"/>
  <c r="CL538" i="10"/>
  <c r="CL534" i="10"/>
  <c r="CL530" i="10"/>
  <c r="CL526" i="10"/>
  <c r="CL522" i="10"/>
  <c r="CL518" i="10"/>
  <c r="CL514" i="10"/>
  <c r="CL510" i="10"/>
  <c r="CL506" i="10"/>
  <c r="CL502" i="10"/>
  <c r="CL498" i="10"/>
  <c r="CL494" i="10"/>
  <c r="CL490" i="10"/>
  <c r="CL486" i="10"/>
  <c r="CL482" i="10"/>
  <c r="CL478" i="10"/>
  <c r="CL474" i="10"/>
  <c r="CL470" i="10"/>
  <c r="CL466" i="10"/>
  <c r="CL462" i="10"/>
  <c r="CL458" i="10"/>
  <c r="CL454" i="10"/>
  <c r="CL450" i="10"/>
  <c r="CL446" i="10"/>
  <c r="CL442" i="10"/>
  <c r="CL438" i="10"/>
  <c r="CL434" i="10"/>
  <c r="CL430" i="10"/>
  <c r="CL426" i="10"/>
  <c r="CL422" i="10"/>
  <c r="CL418" i="10"/>
  <c r="CL414" i="10"/>
  <c r="CL410" i="10"/>
  <c r="CL406" i="10"/>
  <c r="CL402" i="10"/>
  <c r="CL398" i="10"/>
  <c r="CL394" i="10"/>
  <c r="CL390" i="10"/>
  <c r="CL386" i="10"/>
  <c r="CL382" i="10"/>
  <c r="CL378" i="10"/>
  <c r="CL374" i="10"/>
  <c r="CL370" i="10"/>
  <c r="CL366" i="10"/>
  <c r="CL362" i="10"/>
  <c r="CL358" i="10"/>
  <c r="CL354" i="10"/>
  <c r="CL350" i="10"/>
  <c r="CL346" i="10"/>
  <c r="CL342" i="10"/>
  <c r="CL338" i="10"/>
  <c r="CL334" i="10"/>
  <c r="CL330" i="10"/>
  <c r="CL326" i="10"/>
  <c r="CL322" i="10"/>
  <c r="CL318" i="10"/>
  <c r="CL314" i="10"/>
  <c r="CL310" i="10"/>
  <c r="CL306" i="10"/>
  <c r="CL302" i="10"/>
  <c r="CL298" i="10"/>
  <c r="CL294" i="10"/>
  <c r="CL290" i="10"/>
  <c r="CL286" i="10"/>
  <c r="CL282" i="10"/>
  <c r="CL278" i="10"/>
  <c r="CL274" i="10"/>
  <c r="CL270" i="10"/>
  <c r="CL266" i="10"/>
  <c r="CL262" i="10"/>
  <c r="CL258" i="10"/>
  <c r="CL254" i="10"/>
  <c r="CL250" i="10"/>
  <c r="CL246" i="10"/>
  <c r="CL242" i="10"/>
  <c r="CL238" i="10"/>
  <c r="CL234" i="10"/>
  <c r="CL230" i="10"/>
  <c r="CL226" i="10"/>
  <c r="CL222" i="10"/>
  <c r="CL218" i="10"/>
  <c r="CL214" i="10"/>
  <c r="CL210" i="10"/>
  <c r="CL206" i="10"/>
  <c r="CL202" i="10"/>
  <c r="CL198" i="10"/>
  <c r="CL194" i="10"/>
  <c r="CL190" i="10"/>
  <c r="CL186" i="10"/>
  <c r="CL182" i="10"/>
  <c r="CL178" i="10"/>
  <c r="CL174" i="10"/>
  <c r="CL170" i="10"/>
  <c r="CL166" i="10"/>
  <c r="CL162" i="10"/>
  <c r="CL158" i="10"/>
  <c r="CL154" i="10"/>
  <c r="CL150" i="10"/>
  <c r="CL146" i="10"/>
  <c r="CL142" i="10"/>
  <c r="CL138" i="10"/>
  <c r="CL134" i="10"/>
  <c r="CL130" i="10"/>
  <c r="CL126" i="10"/>
  <c r="CL122" i="10"/>
  <c r="CL118" i="10"/>
  <c r="CL114" i="10"/>
  <c r="CL110" i="10"/>
  <c r="CL106" i="10"/>
  <c r="CL102" i="10"/>
  <c r="CL98" i="10"/>
  <c r="CL94" i="10"/>
  <c r="CL90" i="10"/>
  <c r="CL86" i="10"/>
  <c r="CL82" i="10"/>
  <c r="CL78" i="10"/>
  <c r="CL74" i="10"/>
  <c r="CL70" i="10"/>
  <c r="CL66" i="10"/>
  <c r="CL62" i="10"/>
  <c r="CL58" i="10"/>
  <c r="CL54" i="10"/>
  <c r="CL50" i="10"/>
  <c r="CL46" i="10"/>
  <c r="CL42" i="10"/>
  <c r="CL38" i="10"/>
  <c r="CL34" i="10"/>
  <c r="CL30" i="10"/>
  <c r="CL26" i="10"/>
  <c r="CL22" i="10"/>
  <c r="CL18" i="10"/>
  <c r="CL14" i="10"/>
  <c r="CL10" i="10"/>
  <c r="CL1001" i="10"/>
  <c r="CL997" i="10"/>
  <c r="CL993" i="10"/>
  <c r="CL989" i="10"/>
  <c r="CL985" i="10"/>
  <c r="CL981" i="10"/>
  <c r="CL977" i="10"/>
  <c r="CL973" i="10"/>
  <c r="CL969" i="10"/>
  <c r="CL965" i="10"/>
  <c r="CL961" i="10"/>
  <c r="CL957" i="10"/>
  <c r="CL953" i="10"/>
  <c r="CL949" i="10"/>
  <c r="CL945" i="10"/>
  <c r="CL941" i="10"/>
  <c r="CL937" i="10"/>
  <c r="CL933" i="10"/>
  <c r="CL929" i="10"/>
  <c r="CL925" i="10"/>
  <c r="CL921" i="10"/>
  <c r="CL917" i="10"/>
  <c r="CL913" i="10"/>
  <c r="CL909" i="10"/>
  <c r="CL905" i="10"/>
  <c r="CL901" i="10"/>
  <c r="CL897" i="10"/>
  <c r="CL893" i="10"/>
  <c r="CL889" i="10"/>
  <c r="CL885" i="10"/>
  <c r="CL881" i="10"/>
  <c r="CL877" i="10"/>
  <c r="CL873" i="10"/>
  <c r="CL869" i="10"/>
  <c r="CL865" i="10"/>
  <c r="CL861" i="10"/>
  <c r="CL857" i="10"/>
  <c r="CL853" i="10"/>
  <c r="CL849" i="10"/>
  <c r="CL845" i="10"/>
  <c r="CL841" i="10"/>
  <c r="CL837" i="10"/>
  <c r="CL833" i="10"/>
  <c r="CL829" i="10"/>
  <c r="CL825" i="10"/>
  <c r="CL821" i="10"/>
  <c r="CL817" i="10"/>
  <c r="CL813" i="10"/>
  <c r="CL809" i="10"/>
  <c r="CL805" i="10"/>
  <c r="CL801" i="10"/>
  <c r="CL797" i="10"/>
  <c r="CL793" i="10"/>
  <c r="CL789" i="10"/>
  <c r="CL785" i="10"/>
  <c r="CL781" i="10"/>
  <c r="CL777" i="10"/>
  <c r="CL773" i="10"/>
  <c r="CL769" i="10"/>
  <c r="CL765" i="10"/>
  <c r="CL761" i="10"/>
  <c r="CL757" i="10"/>
  <c r="CL753" i="10"/>
  <c r="CL749" i="10"/>
  <c r="CL745" i="10"/>
  <c r="CL741" i="10"/>
  <c r="CL737" i="10"/>
  <c r="CL733" i="10"/>
  <c r="CL729" i="10"/>
  <c r="CL725" i="10"/>
  <c r="CL721" i="10"/>
  <c r="CL717" i="10"/>
  <c r="CL713" i="10"/>
  <c r="CL709" i="10"/>
  <c r="CL705" i="10"/>
  <c r="CL701" i="10"/>
  <c r="CL697" i="10"/>
  <c r="CL693" i="10"/>
  <c r="CL689" i="10"/>
  <c r="CL685" i="10"/>
  <c r="CL681" i="10"/>
  <c r="CL677" i="10"/>
  <c r="CL673" i="10"/>
  <c r="CL669" i="10"/>
  <c r="CL665" i="10"/>
  <c r="CL661" i="10"/>
  <c r="CL657" i="10"/>
  <c r="CL653" i="10"/>
  <c r="CL649" i="10"/>
  <c r="CL645" i="10"/>
  <c r="CL641" i="10"/>
  <c r="CL637" i="10"/>
  <c r="CL633" i="10"/>
  <c r="CL629" i="10"/>
  <c r="CL625" i="10"/>
  <c r="CL621" i="10"/>
  <c r="CL617" i="10"/>
  <c r="CL613" i="10"/>
  <c r="CL609" i="10"/>
  <c r="CL605" i="10"/>
  <c r="CL601" i="10"/>
  <c r="CL597" i="10"/>
  <c r="CL593" i="10"/>
  <c r="CL589" i="10"/>
  <c r="CL585" i="10"/>
  <c r="CL581" i="10"/>
  <c r="CL577" i="10"/>
  <c r="CL573" i="10"/>
  <c r="CL569" i="10"/>
  <c r="CL565" i="10"/>
  <c r="CL561" i="10"/>
  <c r="CL557" i="10"/>
  <c r="CL553" i="10"/>
  <c r="CL549" i="10"/>
  <c r="CL545" i="10"/>
  <c r="CL541" i="10"/>
  <c r="CL537" i="10"/>
  <c r="CL533" i="10"/>
  <c r="CL529" i="10"/>
  <c r="CL525" i="10"/>
  <c r="CL521" i="10"/>
  <c r="CL517" i="10"/>
  <c r="CL513" i="10"/>
  <c r="CL509" i="10"/>
  <c r="CL505" i="10"/>
  <c r="CL501" i="10"/>
  <c r="CL497" i="10"/>
  <c r="CL493" i="10"/>
  <c r="CL489" i="10"/>
  <c r="CL485" i="10"/>
  <c r="CL481" i="10"/>
  <c r="CL477" i="10"/>
  <c r="CL473" i="10"/>
  <c r="CL469" i="10"/>
  <c r="CL465" i="10"/>
  <c r="CL461" i="10"/>
  <c r="CL457" i="10"/>
  <c r="CL453" i="10"/>
  <c r="CL449" i="10"/>
  <c r="CL445" i="10"/>
  <c r="CL441" i="10"/>
  <c r="CL437" i="10"/>
  <c r="CL433" i="10"/>
  <c r="CL429" i="10"/>
  <c r="CL425" i="10"/>
  <c r="CL421" i="10"/>
  <c r="CL417" i="10"/>
  <c r="CL413" i="10"/>
  <c r="CL409" i="10"/>
  <c r="CL405" i="10"/>
  <c r="CL401" i="10"/>
  <c r="CL397" i="10"/>
  <c r="CL393" i="10"/>
  <c r="CL389" i="10"/>
  <c r="CL385" i="10"/>
  <c r="CL381" i="10"/>
  <c r="CL377" i="10"/>
  <c r="CL373" i="10"/>
  <c r="CL369" i="10"/>
  <c r="CL365" i="10"/>
  <c r="CL361" i="10"/>
  <c r="CL357" i="10"/>
  <c r="CL353" i="10"/>
  <c r="CL349" i="10"/>
  <c r="CL345" i="10"/>
  <c r="CL341" i="10"/>
  <c r="CL337" i="10"/>
  <c r="CL333" i="10"/>
  <c r="CL329" i="10"/>
  <c r="CL325" i="10"/>
  <c r="CL321" i="10"/>
  <c r="CL317" i="10"/>
  <c r="CL313" i="10"/>
  <c r="CL309" i="10"/>
  <c r="CL305" i="10"/>
  <c r="CL301" i="10"/>
  <c r="CL297" i="10"/>
  <c r="CL293" i="10"/>
  <c r="CL289" i="10"/>
  <c r="CL285" i="10"/>
  <c r="CL281" i="10"/>
  <c r="CL277" i="10"/>
  <c r="CL273" i="10"/>
  <c r="CL269" i="10"/>
  <c r="CL265" i="10"/>
  <c r="CL261" i="10"/>
  <c r="CL257" i="10"/>
  <c r="CL253" i="10"/>
  <c r="CL249" i="10"/>
  <c r="CL245" i="10"/>
  <c r="CL241" i="10"/>
  <c r="CL237" i="10"/>
  <c r="CL233" i="10"/>
  <c r="CL229" i="10"/>
  <c r="CL225" i="10"/>
  <c r="CL221" i="10"/>
  <c r="CL217" i="10"/>
  <c r="CL213" i="10"/>
  <c r="CL209" i="10"/>
  <c r="CL205" i="10"/>
  <c r="CL201" i="10"/>
  <c r="CL197" i="10"/>
  <c r="CL193" i="10"/>
  <c r="CL189" i="10"/>
  <c r="CL185" i="10"/>
  <c r="CL181" i="10"/>
  <c r="CL177" i="10"/>
  <c r="CL173" i="10"/>
  <c r="CL169" i="10"/>
  <c r="CL165" i="10"/>
  <c r="CL161" i="10"/>
  <c r="CL157" i="10"/>
  <c r="CL153" i="10"/>
  <c r="CL149" i="10"/>
  <c r="CL145" i="10"/>
  <c r="CL141" i="10"/>
  <c r="CL137" i="10"/>
  <c r="CL133" i="10"/>
  <c r="CL129" i="10"/>
  <c r="CL125" i="10"/>
  <c r="CL121" i="10"/>
  <c r="CL117" i="10"/>
  <c r="CL113" i="10"/>
  <c r="CL109" i="10"/>
  <c r="CL105" i="10"/>
  <c r="CL101" i="10"/>
  <c r="CL97" i="10"/>
  <c r="CL93" i="10"/>
  <c r="CL89" i="10"/>
  <c r="CL85" i="10"/>
  <c r="CL81" i="10"/>
  <c r="CL77" i="10"/>
  <c r="CL73" i="10"/>
  <c r="CL69" i="10"/>
  <c r="CL65" i="10"/>
  <c r="CL61" i="10"/>
  <c r="CL57" i="10"/>
  <c r="CL53" i="10"/>
  <c r="CL49" i="10"/>
  <c r="CL45" i="10"/>
  <c r="CL41" i="10"/>
  <c r="CL37" i="10"/>
  <c r="CL33" i="10"/>
  <c r="CL29" i="10"/>
  <c r="CL25" i="10"/>
  <c r="CL21" i="10"/>
  <c r="CL17" i="10"/>
  <c r="CL13" i="10"/>
  <c r="Q1" i="10"/>
  <c r="CL1000" i="10"/>
  <c r="CL996" i="10"/>
  <c r="CL992" i="10"/>
  <c r="CL988" i="10"/>
  <c r="CL984" i="10"/>
  <c r="CL980" i="10"/>
  <c r="CL976" i="10"/>
  <c r="CL972" i="10"/>
  <c r="CL968" i="10"/>
  <c r="CL964" i="10"/>
  <c r="CL960" i="10"/>
  <c r="CL956" i="10"/>
  <c r="CL952" i="10"/>
  <c r="CL948" i="10"/>
  <c r="CL944" i="10"/>
  <c r="CL940" i="10"/>
  <c r="CL936" i="10"/>
  <c r="CL932" i="10"/>
  <c r="CL928" i="10"/>
  <c r="CL924" i="10"/>
  <c r="CL920" i="10"/>
  <c r="CL916" i="10"/>
  <c r="CL912" i="10"/>
  <c r="CL908" i="10"/>
  <c r="CL904" i="10"/>
  <c r="CL900" i="10"/>
  <c r="CL896" i="10"/>
  <c r="CL892" i="10"/>
  <c r="CL888" i="10"/>
  <c r="CL884" i="10"/>
  <c r="CL880" i="10"/>
  <c r="CL876" i="10"/>
  <c r="CL872" i="10"/>
  <c r="CL868" i="10"/>
  <c r="CL864" i="10"/>
  <c r="CL860" i="10"/>
  <c r="CL856" i="10"/>
  <c r="CL852" i="10"/>
  <c r="CL848" i="10"/>
  <c r="CL844" i="10"/>
  <c r="CL840" i="10"/>
  <c r="CL836" i="10"/>
  <c r="CL832" i="10"/>
  <c r="CL828" i="10"/>
  <c r="CL824" i="10"/>
  <c r="CL820" i="10"/>
  <c r="CL816" i="10"/>
  <c r="CL812" i="10"/>
  <c r="CL808" i="10"/>
  <c r="CL804" i="10"/>
  <c r="CL800" i="10"/>
  <c r="CL796" i="10"/>
  <c r="CL792" i="10"/>
  <c r="CL788" i="10"/>
  <c r="CL784" i="10"/>
  <c r="CL780" i="10"/>
  <c r="CL776" i="10"/>
  <c r="CL772" i="10"/>
  <c r="CL768" i="10"/>
  <c r="CL764" i="10"/>
  <c r="CL760" i="10"/>
  <c r="CL756" i="10"/>
  <c r="CL752" i="10"/>
  <c r="CL748" i="10"/>
  <c r="CL744" i="10"/>
  <c r="CL740" i="10"/>
  <c r="CL736" i="10"/>
  <c r="CL732" i="10"/>
  <c r="CL728" i="10"/>
  <c r="CL724" i="10"/>
  <c r="CL720" i="10"/>
  <c r="CL716" i="10"/>
  <c r="CL712" i="10"/>
  <c r="CL708" i="10"/>
  <c r="CL704" i="10"/>
  <c r="CL700" i="10"/>
  <c r="CL696" i="10"/>
  <c r="CL692" i="10"/>
  <c r="CL688" i="10"/>
  <c r="CL684" i="10"/>
  <c r="CL680" i="10"/>
  <c r="CL676" i="10"/>
  <c r="CL672" i="10"/>
  <c r="CL668" i="10"/>
  <c r="CL664" i="10"/>
  <c r="CL660" i="10"/>
  <c r="CL656" i="10"/>
  <c r="CL652" i="10"/>
  <c r="CL648" i="10"/>
  <c r="CL644" i="10"/>
  <c r="CL640" i="10"/>
  <c r="CL636" i="10"/>
  <c r="CL632" i="10"/>
  <c r="CL628" i="10"/>
  <c r="CL624" i="10"/>
  <c r="CL620" i="10"/>
  <c r="CL616" i="10"/>
  <c r="CL612" i="10"/>
  <c r="CL608" i="10"/>
  <c r="CL604" i="10"/>
  <c r="CL600" i="10"/>
  <c r="CL596" i="10"/>
  <c r="CL592" i="10"/>
  <c r="CL588" i="10"/>
  <c r="CL584" i="10"/>
  <c r="CL580" i="10"/>
  <c r="CL576" i="10"/>
  <c r="CL572" i="10"/>
  <c r="CL568" i="10"/>
  <c r="CL564" i="10"/>
  <c r="CL560" i="10"/>
  <c r="CL556" i="10"/>
  <c r="CL552" i="10"/>
  <c r="CL548" i="10"/>
  <c r="CL544" i="10"/>
  <c r="CL540" i="10"/>
  <c r="CL536" i="10"/>
  <c r="CL532" i="10"/>
  <c r="CL528" i="10"/>
  <c r="CL524" i="10"/>
  <c r="CL520" i="10"/>
  <c r="CL516" i="10"/>
  <c r="CL512" i="10"/>
  <c r="CL508" i="10"/>
  <c r="CL504" i="10"/>
  <c r="CL500" i="10"/>
  <c r="CL496" i="10"/>
  <c r="CL492" i="10"/>
  <c r="CL488" i="10"/>
  <c r="CL484" i="10"/>
  <c r="CL480" i="10"/>
  <c r="CL476" i="10"/>
  <c r="CL472" i="10"/>
  <c r="CL468" i="10"/>
  <c r="CL464" i="10"/>
  <c r="CL460" i="10"/>
  <c r="CL456" i="10"/>
  <c r="CL452" i="10"/>
  <c r="CL448" i="10"/>
  <c r="CL444" i="10"/>
  <c r="CL440" i="10"/>
  <c r="CL436" i="10"/>
  <c r="CL432" i="10"/>
  <c r="CL428" i="10"/>
  <c r="CL424" i="10"/>
  <c r="CL420" i="10"/>
  <c r="CL416" i="10"/>
  <c r="CL412" i="10"/>
  <c r="CL408" i="10"/>
  <c r="CL404" i="10"/>
  <c r="CL400" i="10"/>
  <c r="CL396" i="10"/>
  <c r="CL392" i="10"/>
  <c r="CL388" i="10"/>
  <c r="CL384" i="10"/>
  <c r="CL380" i="10"/>
  <c r="CL376" i="10"/>
  <c r="CL372" i="10"/>
  <c r="CL368" i="10"/>
  <c r="CL364" i="10"/>
  <c r="CL360" i="10"/>
  <c r="CL356" i="10"/>
  <c r="CL352" i="10"/>
  <c r="CL348" i="10"/>
  <c r="CL344" i="10"/>
  <c r="CL340" i="10"/>
  <c r="CL336" i="10"/>
  <c r="CL332" i="10"/>
  <c r="CL328" i="10"/>
  <c r="CL324" i="10"/>
  <c r="CL320" i="10"/>
  <c r="CL316" i="10"/>
  <c r="CL312" i="10"/>
  <c r="CL308" i="10"/>
  <c r="CL304" i="10"/>
  <c r="CL300" i="10"/>
  <c r="CL296" i="10"/>
  <c r="CL292" i="10"/>
  <c r="CL288" i="10"/>
  <c r="CL284" i="10"/>
  <c r="CL280" i="10"/>
  <c r="CL276" i="10"/>
  <c r="CL272" i="10"/>
  <c r="CL268" i="10"/>
  <c r="CL264" i="10"/>
  <c r="CL260" i="10"/>
  <c r="CL256" i="10"/>
  <c r="CL252" i="10"/>
  <c r="CL248" i="10"/>
  <c r="CL244" i="10"/>
  <c r="CL240" i="10"/>
  <c r="CL236" i="10"/>
  <c r="CL232" i="10"/>
  <c r="CL228" i="10"/>
  <c r="CL224" i="10"/>
  <c r="CL220" i="10"/>
  <c r="CL216" i="10"/>
  <c r="CL212" i="10"/>
  <c r="CL208" i="10"/>
  <c r="CL204" i="10"/>
  <c r="CL200" i="10"/>
  <c r="CL196" i="10"/>
  <c r="CL192" i="10"/>
  <c r="CL188" i="10"/>
  <c r="CL184" i="10"/>
  <c r="CL180" i="10"/>
  <c r="CL176" i="10"/>
  <c r="CL172" i="10"/>
  <c r="CL168" i="10"/>
  <c r="CL164" i="10"/>
  <c r="CL160" i="10"/>
  <c r="CL156" i="10"/>
  <c r="CL152" i="10"/>
  <c r="CL148" i="10"/>
  <c r="CL144" i="10"/>
  <c r="CL140" i="10"/>
  <c r="CL136" i="10"/>
  <c r="CL132" i="10"/>
  <c r="CL128" i="10"/>
  <c r="CL124" i="10"/>
  <c r="CL120" i="10"/>
  <c r="CL116" i="10"/>
  <c r="CL112" i="10"/>
  <c r="CL108" i="10"/>
  <c r="CL104" i="10"/>
  <c r="CL100" i="10"/>
  <c r="CL96" i="10"/>
  <c r="CL92" i="10"/>
  <c r="CL88" i="10"/>
  <c r="CL84" i="10"/>
  <c r="CL80" i="10"/>
  <c r="CL76" i="10"/>
  <c r="CL72" i="10"/>
  <c r="CL68" i="10"/>
  <c r="CL64" i="10"/>
  <c r="CL60" i="10"/>
  <c r="CL56" i="10"/>
  <c r="CL52" i="10"/>
  <c r="CL48" i="10"/>
  <c r="CL44" i="10"/>
  <c r="CL40" i="10"/>
  <c r="CL36" i="10"/>
  <c r="CL32" i="10"/>
  <c r="CL28" i="10"/>
  <c r="CL24" i="10"/>
  <c r="CL20" i="10"/>
  <c r="CL16" i="10"/>
  <c r="CL12" i="10"/>
  <c r="CL999" i="10"/>
  <c r="CL983" i="10"/>
  <c r="CL967" i="10"/>
  <c r="CL951" i="10"/>
  <c r="CL935" i="10"/>
  <c r="CL919" i="10"/>
  <c r="CL903" i="10"/>
  <c r="CL887" i="10"/>
  <c r="CL871" i="10"/>
  <c r="CL855" i="10"/>
  <c r="CL839" i="10"/>
  <c r="CL823" i="10"/>
  <c r="CL807" i="10"/>
  <c r="CL791" i="10"/>
  <c r="CL775" i="10"/>
  <c r="CL759" i="10"/>
  <c r="CL743" i="10"/>
  <c r="CL727" i="10"/>
  <c r="CL711" i="10"/>
  <c r="CL695" i="10"/>
  <c r="CL679" i="10"/>
  <c r="CL663" i="10"/>
  <c r="CL647" i="10"/>
  <c r="CL631" i="10"/>
  <c r="CL615" i="10"/>
  <c r="CL599" i="10"/>
  <c r="CL583" i="10"/>
  <c r="CL567" i="10"/>
  <c r="CL551" i="10"/>
  <c r="CL535" i="10"/>
  <c r="CL519" i="10"/>
  <c r="CL503" i="10"/>
  <c r="CL487" i="10"/>
  <c r="CL471" i="10"/>
  <c r="CL455" i="10"/>
  <c r="CL439" i="10"/>
  <c r="CL423" i="10"/>
  <c r="CL407" i="10"/>
  <c r="CL391" i="10"/>
  <c r="CL375" i="10"/>
  <c r="CL359" i="10"/>
  <c r="CL343" i="10"/>
  <c r="CL327" i="10"/>
  <c r="CL311" i="10"/>
  <c r="CL295" i="10"/>
  <c r="CL279" i="10"/>
  <c r="CL263" i="10"/>
  <c r="CL247" i="10"/>
  <c r="CL231" i="10"/>
  <c r="CL215" i="10"/>
  <c r="CL199" i="10"/>
  <c r="CL183" i="10"/>
  <c r="CL167" i="10"/>
  <c r="CL151" i="10"/>
  <c r="CL135" i="10"/>
  <c r="CL119" i="10"/>
  <c r="CL103" i="10"/>
  <c r="CL87" i="10"/>
  <c r="CL71" i="10"/>
  <c r="CL55" i="10"/>
  <c r="CL39" i="10"/>
  <c r="CL23" i="10"/>
  <c r="CL1003" i="10"/>
  <c r="CL995" i="10"/>
  <c r="CL979" i="10"/>
  <c r="CL963" i="10"/>
  <c r="CL947" i="10"/>
  <c r="CL931" i="10"/>
  <c r="CL915" i="10"/>
  <c r="CL899" i="10"/>
  <c r="CL883" i="10"/>
  <c r="CL867" i="10"/>
  <c r="CL851" i="10"/>
  <c r="CL835" i="10"/>
  <c r="CL819" i="10"/>
  <c r="CL803" i="10"/>
  <c r="CL787" i="10"/>
  <c r="CL771" i="10"/>
  <c r="CL755" i="10"/>
  <c r="CL739" i="10"/>
  <c r="CL723" i="10"/>
  <c r="CL707" i="10"/>
  <c r="CL691" i="10"/>
  <c r="CL675" i="10"/>
  <c r="CL659" i="10"/>
  <c r="CL643" i="10"/>
  <c r="CL627" i="10"/>
  <c r="CL611" i="10"/>
  <c r="CL595" i="10"/>
  <c r="CL579" i="10"/>
  <c r="CL563" i="10"/>
  <c r="CL547" i="10"/>
  <c r="CL531" i="10"/>
  <c r="CL515" i="10"/>
  <c r="CL499" i="10"/>
  <c r="CL483" i="10"/>
  <c r="CL467" i="10"/>
  <c r="CL451" i="10"/>
  <c r="CL435" i="10"/>
  <c r="CL419" i="10"/>
  <c r="CL403" i="10"/>
  <c r="CL387" i="10"/>
  <c r="CL371" i="10"/>
  <c r="CL355" i="10"/>
  <c r="CL339" i="10"/>
  <c r="CL323" i="10"/>
  <c r="CL307" i="10"/>
  <c r="CL291" i="10"/>
  <c r="CL275" i="10"/>
  <c r="CL259" i="10"/>
  <c r="CL243" i="10"/>
  <c r="CL227" i="10"/>
  <c r="CL211" i="10"/>
  <c r="CL195" i="10"/>
  <c r="CL179" i="10"/>
  <c r="CL163" i="10"/>
  <c r="CL147" i="10"/>
  <c r="CL131" i="10"/>
  <c r="CL115" i="10"/>
  <c r="CL99" i="10"/>
  <c r="CL83" i="10"/>
  <c r="CL67" i="10"/>
  <c r="CL51" i="10"/>
  <c r="CL35" i="10"/>
  <c r="CL19" i="10"/>
  <c r="CL991" i="10"/>
  <c r="CL975" i="10"/>
  <c r="CL959" i="10"/>
  <c r="CL943" i="10"/>
  <c r="CL927" i="10"/>
  <c r="CL911" i="10"/>
  <c r="CL895" i="10"/>
  <c r="CL879" i="10"/>
  <c r="CL863" i="10"/>
  <c r="CL847" i="10"/>
  <c r="CL831" i="10"/>
  <c r="CL815" i="10"/>
  <c r="CL799" i="10"/>
  <c r="CL783" i="10"/>
  <c r="CL767" i="10"/>
  <c r="CL751" i="10"/>
  <c r="CL735" i="10"/>
  <c r="CL719" i="10"/>
  <c r="CL703" i="10"/>
  <c r="CL687" i="10"/>
  <c r="CL671" i="10"/>
  <c r="CL655" i="10"/>
  <c r="CL639" i="10"/>
  <c r="CL623" i="10"/>
  <c r="CL607" i="10"/>
  <c r="CL591" i="10"/>
  <c r="CL575" i="10"/>
  <c r="CL559" i="10"/>
  <c r="CL543" i="10"/>
  <c r="CL527" i="10"/>
  <c r="CL511" i="10"/>
  <c r="CL495" i="10"/>
  <c r="CL479" i="10"/>
  <c r="CL463" i="10"/>
  <c r="CL447" i="10"/>
  <c r="CL431" i="10"/>
  <c r="CL415" i="10"/>
  <c r="CL399" i="10"/>
  <c r="CL383" i="10"/>
  <c r="CL367" i="10"/>
  <c r="CL351" i="10"/>
  <c r="CL335" i="10"/>
  <c r="CL319" i="10"/>
  <c r="CL303" i="10"/>
  <c r="CL287" i="10"/>
  <c r="CL271" i="10"/>
  <c r="CL255" i="10"/>
  <c r="CL239" i="10"/>
  <c r="CL223" i="10"/>
  <c r="CL207" i="10"/>
  <c r="CL191" i="10"/>
  <c r="CL175" i="10"/>
  <c r="CL159" i="10"/>
  <c r="CL143" i="10"/>
  <c r="CL127" i="10"/>
  <c r="CL111" i="10"/>
  <c r="CL95" i="10"/>
  <c r="CL79" i="10"/>
  <c r="CL63" i="10"/>
  <c r="CL47" i="10"/>
  <c r="CL31" i="10"/>
  <c r="CL15" i="10"/>
  <c r="CL955" i="10"/>
  <c r="CL891" i="10"/>
  <c r="CL827" i="10"/>
  <c r="CL763" i="10"/>
  <c r="CL699" i="10"/>
  <c r="CL635" i="10"/>
  <c r="CL571" i="10"/>
  <c r="CL507" i="10"/>
  <c r="CL443" i="10"/>
  <c r="CL379" i="10"/>
  <c r="CL315" i="10"/>
  <c r="CL251" i="10"/>
  <c r="CL187" i="10"/>
  <c r="CL123" i="10"/>
  <c r="CL59" i="10"/>
  <c r="CL939" i="10"/>
  <c r="CL875" i="10"/>
  <c r="CL811" i="10"/>
  <c r="CL747" i="10"/>
  <c r="CL683" i="10"/>
  <c r="CL619" i="10"/>
  <c r="CL555" i="10"/>
  <c r="CL491" i="10"/>
  <c r="CL427" i="10"/>
  <c r="CL363" i="10"/>
  <c r="CL299" i="10"/>
  <c r="CL235" i="10"/>
  <c r="CL171" i="10"/>
  <c r="CL107" i="10"/>
  <c r="CL43" i="10"/>
  <c r="CL971" i="10"/>
  <c r="CL907" i="10"/>
  <c r="CL843" i="10"/>
  <c r="CL779" i="10"/>
  <c r="CL715" i="10"/>
  <c r="CL651" i="10"/>
  <c r="CL587" i="10"/>
  <c r="CL523" i="10"/>
  <c r="CL459" i="10"/>
  <c r="CL395" i="10"/>
  <c r="CL331" i="10"/>
  <c r="CL267" i="10"/>
  <c r="CL203" i="10"/>
  <c r="CL139" i="10"/>
  <c r="CL75" i="10"/>
  <c r="CL11" i="10"/>
  <c r="CL859" i="10"/>
  <c r="CL603" i="10"/>
  <c r="CL347" i="10"/>
  <c r="CL91" i="10"/>
  <c r="CL795" i="10"/>
  <c r="CL539" i="10"/>
  <c r="CL283" i="10"/>
  <c r="CL27" i="10"/>
  <c r="CL667" i="10"/>
  <c r="CL987" i="10"/>
  <c r="CL731" i="10"/>
  <c r="CL475" i="10"/>
  <c r="CL219" i="10"/>
  <c r="CL923" i="10"/>
  <c r="CL411" i="10"/>
  <c r="CL155" i="10"/>
  <c r="AM8" i="12"/>
  <c r="AG6" i="12"/>
  <c r="AI6" i="12"/>
  <c r="AJ6" i="12"/>
  <c r="AF7" i="12"/>
  <c r="A1062" i="11"/>
  <c r="AH1029" i="12"/>
  <c r="AH1030" i="12" s="1"/>
  <c r="AD1029" i="12"/>
  <c r="AC63" i="12" s="1"/>
  <c r="AD1030" i="12"/>
  <c r="P1078" i="10" s="1"/>
  <c r="C4175" i="14"/>
  <c r="F13" i="14"/>
  <c r="C122" i="17" l="1"/>
  <c r="P1014" i="10"/>
  <c r="P1013" i="10"/>
  <c r="AD1021" i="12"/>
  <c r="AD1033" i="12" s="1"/>
  <c r="AC25" i="12"/>
  <c r="AC33" i="12"/>
  <c r="AV35" i="11"/>
  <c r="AV37" i="11" s="1"/>
  <c r="AV39" i="11" s="1"/>
  <c r="AV42" i="11" s="1"/>
  <c r="AD1020" i="12"/>
  <c r="AD1031" i="12" s="1"/>
  <c r="E115" i="17"/>
  <c r="J112" i="18" s="1"/>
  <c r="O112" i="18" s="1"/>
  <c r="C163" i="17"/>
  <c r="E171" i="17"/>
  <c r="E121" i="17" s="1"/>
  <c r="O105" i="18" s="1"/>
  <c r="C162" i="17"/>
  <c r="O104" i="17" s="1"/>
  <c r="L131" i="17"/>
  <c r="AC29" i="12"/>
  <c r="AC49" i="12"/>
  <c r="AC42" i="12"/>
  <c r="AC43" i="12"/>
  <c r="AC57" i="12"/>
  <c r="AC36" i="12"/>
  <c r="AC56" i="12"/>
  <c r="AC35" i="12"/>
  <c r="AD1022" i="12"/>
  <c r="AH1035" i="12" s="1"/>
  <c r="AH1036" i="12" s="1"/>
  <c r="AC50" i="12"/>
  <c r="P1011" i="10"/>
  <c r="BB33" i="11"/>
  <c r="I1090" i="10"/>
  <c r="I1091" i="10" s="1"/>
  <c r="P1010" i="10"/>
  <c r="P1012" i="10"/>
  <c r="AV48" i="11"/>
  <c r="AF8" i="12"/>
  <c r="X48" i="16"/>
  <c r="AK36" i="16"/>
  <c r="E206" i="8"/>
  <c r="E207" i="8" s="1"/>
  <c r="B131" i="17"/>
  <c r="L132" i="17" s="1"/>
  <c r="I5" i="11"/>
  <c r="I5" i="10"/>
  <c r="F204" i="8"/>
  <c r="I5" i="12"/>
  <c r="N4174" i="14" s="1"/>
  <c r="K4174" i="14" s="1"/>
  <c r="I4" i="13"/>
  <c r="I59" i="13"/>
  <c r="Y36" i="16"/>
  <c r="H77" i="10"/>
  <c r="H8" i="12"/>
  <c r="I36" i="16" s="1"/>
  <c r="I48" i="16" s="1"/>
  <c r="H33" i="11"/>
  <c r="H43" i="11" s="1"/>
  <c r="H8" i="11"/>
  <c r="H8" i="10"/>
  <c r="H8" i="13"/>
  <c r="AD1037" i="12"/>
  <c r="AD1038" i="12"/>
  <c r="P1082" i="10" s="1"/>
  <c r="AH1037" i="12"/>
  <c r="AH1038" i="12" s="1"/>
  <c r="AM9" i="12"/>
  <c r="CP8" i="10"/>
  <c r="CP6" i="10"/>
  <c r="CP9" i="10"/>
  <c r="CP7" i="10"/>
  <c r="CP4" i="10"/>
  <c r="CP1003" i="10"/>
  <c r="CP1000" i="10"/>
  <c r="CP996" i="10"/>
  <c r="CP992" i="10"/>
  <c r="CP988" i="10"/>
  <c r="CP984" i="10"/>
  <c r="CP980" i="10"/>
  <c r="CP976" i="10"/>
  <c r="CP972" i="10"/>
  <c r="CP968" i="10"/>
  <c r="CP964" i="10"/>
  <c r="CP960" i="10"/>
  <c r="CP956" i="10"/>
  <c r="CP952" i="10"/>
  <c r="CP948" i="10"/>
  <c r="CP944" i="10"/>
  <c r="CP940" i="10"/>
  <c r="CP936" i="10"/>
  <c r="CP932" i="10"/>
  <c r="CP928" i="10"/>
  <c r="CP924" i="10"/>
  <c r="CP920" i="10"/>
  <c r="CP916" i="10"/>
  <c r="CP912" i="10"/>
  <c r="CP908" i="10"/>
  <c r="CP904" i="10"/>
  <c r="CP900" i="10"/>
  <c r="CP896" i="10"/>
  <c r="CP892" i="10"/>
  <c r="CP888" i="10"/>
  <c r="CP884" i="10"/>
  <c r="CP880" i="10"/>
  <c r="CP876" i="10"/>
  <c r="CP872" i="10"/>
  <c r="CP868" i="10"/>
  <c r="CP864" i="10"/>
  <c r="CP860" i="10"/>
  <c r="CP856" i="10"/>
  <c r="CP852" i="10"/>
  <c r="CP848" i="10"/>
  <c r="CP844" i="10"/>
  <c r="CP840" i="10"/>
  <c r="CP836" i="10"/>
  <c r="CP832" i="10"/>
  <c r="CP828" i="10"/>
  <c r="CP824" i="10"/>
  <c r="CP820" i="10"/>
  <c r="CP816" i="10"/>
  <c r="CP812" i="10"/>
  <c r="CP808" i="10"/>
  <c r="CP804" i="10"/>
  <c r="CP800" i="10"/>
  <c r="CP796" i="10"/>
  <c r="CP792" i="10"/>
  <c r="CP788" i="10"/>
  <c r="CP784" i="10"/>
  <c r="CP780" i="10"/>
  <c r="CP776" i="10"/>
  <c r="CP772" i="10"/>
  <c r="CP768" i="10"/>
  <c r="CP764" i="10"/>
  <c r="CP760" i="10"/>
  <c r="CP756" i="10"/>
  <c r="CP752" i="10"/>
  <c r="CP748" i="10"/>
  <c r="CP744" i="10"/>
  <c r="CP740" i="10"/>
  <c r="CP736" i="10"/>
  <c r="CP732" i="10"/>
  <c r="CP728" i="10"/>
  <c r="CP724" i="10"/>
  <c r="CP720" i="10"/>
  <c r="CP716" i="10"/>
  <c r="CP712" i="10"/>
  <c r="CP708" i="10"/>
  <c r="CP704" i="10"/>
  <c r="CP700" i="10"/>
  <c r="CP696" i="10"/>
  <c r="CP692" i="10"/>
  <c r="CP688" i="10"/>
  <c r="CP684" i="10"/>
  <c r="CP680" i="10"/>
  <c r="CP676" i="10"/>
  <c r="CP672" i="10"/>
  <c r="CP668" i="10"/>
  <c r="CP664" i="10"/>
  <c r="CP660" i="10"/>
  <c r="CP656" i="10"/>
  <c r="CP652" i="10"/>
  <c r="CP648" i="10"/>
  <c r="CP644" i="10"/>
  <c r="CP640" i="10"/>
  <c r="CP636" i="10"/>
  <c r="CP632" i="10"/>
  <c r="CP628" i="10"/>
  <c r="CP624" i="10"/>
  <c r="CP620" i="10"/>
  <c r="CP616" i="10"/>
  <c r="CP612" i="10"/>
  <c r="CP608" i="10"/>
  <c r="CP604" i="10"/>
  <c r="CP600" i="10"/>
  <c r="CP596" i="10"/>
  <c r="CP592" i="10"/>
  <c r="CP588" i="10"/>
  <c r="CP584" i="10"/>
  <c r="CP580" i="10"/>
  <c r="CP576" i="10"/>
  <c r="CP572" i="10"/>
  <c r="CP568" i="10"/>
  <c r="CP564" i="10"/>
  <c r="CP560" i="10"/>
  <c r="CP556" i="10"/>
  <c r="CP552" i="10"/>
  <c r="CP548" i="10"/>
  <c r="CP544" i="10"/>
  <c r="CP540" i="10"/>
  <c r="CP536" i="10"/>
  <c r="CP532" i="10"/>
  <c r="CP528" i="10"/>
  <c r="CP524" i="10"/>
  <c r="CP520" i="10"/>
  <c r="CP516" i="10"/>
  <c r="CP512" i="10"/>
  <c r="CP508" i="10"/>
  <c r="CP504" i="10"/>
  <c r="CP500" i="10"/>
  <c r="CP496" i="10"/>
  <c r="CP492" i="10"/>
  <c r="CP488" i="10"/>
  <c r="CP484" i="10"/>
  <c r="CP480" i="10"/>
  <c r="CP476" i="10"/>
  <c r="CP472" i="10"/>
  <c r="CP468" i="10"/>
  <c r="CP464" i="10"/>
  <c r="CP460" i="10"/>
  <c r="CP456" i="10"/>
  <c r="CP452" i="10"/>
  <c r="CP448" i="10"/>
  <c r="CP444" i="10"/>
  <c r="CP440" i="10"/>
  <c r="CP436" i="10"/>
  <c r="CP432" i="10"/>
  <c r="CP428" i="10"/>
  <c r="CP424" i="10"/>
  <c r="CP420" i="10"/>
  <c r="CP416" i="10"/>
  <c r="CP412" i="10"/>
  <c r="CP408" i="10"/>
  <c r="CP404" i="10"/>
  <c r="CP400" i="10"/>
  <c r="CP396" i="10"/>
  <c r="CP392" i="10"/>
  <c r="CP388" i="10"/>
  <c r="CP384" i="10"/>
  <c r="CP380" i="10"/>
  <c r="CP376" i="10"/>
  <c r="CP372" i="10"/>
  <c r="CP368" i="10"/>
  <c r="CP364" i="10"/>
  <c r="CP360" i="10"/>
  <c r="CP356" i="10"/>
  <c r="CP352" i="10"/>
  <c r="CP348" i="10"/>
  <c r="CP344" i="10"/>
  <c r="CP340" i="10"/>
  <c r="CP336" i="10"/>
  <c r="CP332" i="10"/>
  <c r="CP328" i="10"/>
  <c r="CP324" i="10"/>
  <c r="CP320" i="10"/>
  <c r="CP316" i="10"/>
  <c r="CP312" i="10"/>
  <c r="CP308" i="10"/>
  <c r="CP304" i="10"/>
  <c r="CP300" i="10"/>
  <c r="CP296" i="10"/>
  <c r="CP292" i="10"/>
  <c r="CP288" i="10"/>
  <c r="CP284" i="10"/>
  <c r="CP280" i="10"/>
  <c r="CP276" i="10"/>
  <c r="CP272" i="10"/>
  <c r="CP268" i="10"/>
  <c r="CP264" i="10"/>
  <c r="CP260" i="10"/>
  <c r="CP256" i="10"/>
  <c r="CP252" i="10"/>
  <c r="CP248" i="10"/>
  <c r="CP244" i="10"/>
  <c r="CP240" i="10"/>
  <c r="CP236" i="10"/>
  <c r="CP232" i="10"/>
  <c r="CP228" i="10"/>
  <c r="CP224" i="10"/>
  <c r="CP220" i="10"/>
  <c r="CP216" i="10"/>
  <c r="CP212" i="10"/>
  <c r="CP208" i="10"/>
  <c r="CP204" i="10"/>
  <c r="CP200" i="10"/>
  <c r="CP196" i="10"/>
  <c r="CP192" i="10"/>
  <c r="CP188" i="10"/>
  <c r="CP184" i="10"/>
  <c r="CP180" i="10"/>
  <c r="CP176" i="10"/>
  <c r="CP172" i="10"/>
  <c r="CP168" i="10"/>
  <c r="CP164" i="10"/>
  <c r="CP160" i="10"/>
  <c r="CP156" i="10"/>
  <c r="CP152" i="10"/>
  <c r="CP148" i="10"/>
  <c r="CP144" i="10"/>
  <c r="CP140" i="10"/>
  <c r="CP136" i="10"/>
  <c r="CP132" i="10"/>
  <c r="CP128" i="10"/>
  <c r="CP124" i="10"/>
  <c r="CP120" i="10"/>
  <c r="CP116" i="10"/>
  <c r="CP112" i="10"/>
  <c r="CP108" i="10"/>
  <c r="CP104" i="10"/>
  <c r="CP100" i="10"/>
  <c r="CP96" i="10"/>
  <c r="CP92" i="10"/>
  <c r="CP88" i="10"/>
  <c r="CP84" i="10"/>
  <c r="CP80" i="10"/>
  <c r="CP76" i="10"/>
  <c r="CP72" i="10"/>
  <c r="CP68" i="10"/>
  <c r="CP64" i="10"/>
  <c r="CP60" i="10"/>
  <c r="CP56" i="10"/>
  <c r="CP52" i="10"/>
  <c r="CP48" i="10"/>
  <c r="CP44" i="10"/>
  <c r="CP40" i="10"/>
  <c r="CP36" i="10"/>
  <c r="CP32" i="10"/>
  <c r="CP28" i="10"/>
  <c r="CP24" i="10"/>
  <c r="CP20" i="10"/>
  <c r="CP16" i="10"/>
  <c r="CP12" i="10"/>
  <c r="CP999" i="10"/>
  <c r="CP995" i="10"/>
  <c r="CP991" i="10"/>
  <c r="CP987" i="10"/>
  <c r="CP983" i="10"/>
  <c r="CP979" i="10"/>
  <c r="CP975" i="10"/>
  <c r="CP971" i="10"/>
  <c r="CP967" i="10"/>
  <c r="CP963" i="10"/>
  <c r="CP959" i="10"/>
  <c r="CP955" i="10"/>
  <c r="CP951" i="10"/>
  <c r="CP947" i="10"/>
  <c r="CP943" i="10"/>
  <c r="CP939" i="10"/>
  <c r="CP935" i="10"/>
  <c r="CP931" i="10"/>
  <c r="CP927" i="10"/>
  <c r="CP923" i="10"/>
  <c r="CP919" i="10"/>
  <c r="CP915" i="10"/>
  <c r="CP911" i="10"/>
  <c r="CP907" i="10"/>
  <c r="CP903" i="10"/>
  <c r="CP899" i="10"/>
  <c r="CP895" i="10"/>
  <c r="CP891" i="10"/>
  <c r="CP887" i="10"/>
  <c r="CP883" i="10"/>
  <c r="CP879" i="10"/>
  <c r="CP875" i="10"/>
  <c r="CP871" i="10"/>
  <c r="CP867" i="10"/>
  <c r="CP863" i="10"/>
  <c r="CP859" i="10"/>
  <c r="CP855" i="10"/>
  <c r="CP851" i="10"/>
  <c r="CP847" i="10"/>
  <c r="CP843" i="10"/>
  <c r="CP839" i="10"/>
  <c r="CP835" i="10"/>
  <c r="CP831" i="10"/>
  <c r="CP827" i="10"/>
  <c r="CP823" i="10"/>
  <c r="CP819" i="10"/>
  <c r="CP815" i="10"/>
  <c r="CP811" i="10"/>
  <c r="CP807" i="10"/>
  <c r="CP803" i="10"/>
  <c r="CP799" i="10"/>
  <c r="CP795" i="10"/>
  <c r="CP791" i="10"/>
  <c r="CP787" i="10"/>
  <c r="CP783" i="10"/>
  <c r="CP779" i="10"/>
  <c r="CP775" i="10"/>
  <c r="CP771" i="10"/>
  <c r="CP767" i="10"/>
  <c r="CP763" i="10"/>
  <c r="CP759" i="10"/>
  <c r="CP755" i="10"/>
  <c r="CP751" i="10"/>
  <c r="CP747" i="10"/>
  <c r="CP743" i="10"/>
  <c r="CP739" i="10"/>
  <c r="CP735" i="10"/>
  <c r="CP731" i="10"/>
  <c r="CP727" i="10"/>
  <c r="CP723" i="10"/>
  <c r="CP719" i="10"/>
  <c r="CP715" i="10"/>
  <c r="CP711" i="10"/>
  <c r="CP707" i="10"/>
  <c r="CP703" i="10"/>
  <c r="CP699" i="10"/>
  <c r="CP695" i="10"/>
  <c r="CP691" i="10"/>
  <c r="CP687" i="10"/>
  <c r="CP683" i="10"/>
  <c r="CP679" i="10"/>
  <c r="CP675" i="10"/>
  <c r="CP671" i="10"/>
  <c r="CP667" i="10"/>
  <c r="CP663" i="10"/>
  <c r="CP659" i="10"/>
  <c r="CP655" i="10"/>
  <c r="CP651" i="10"/>
  <c r="CP647" i="10"/>
  <c r="CP643" i="10"/>
  <c r="CP639" i="10"/>
  <c r="CP635" i="10"/>
  <c r="CP631" i="10"/>
  <c r="CP627" i="10"/>
  <c r="CP623" i="10"/>
  <c r="CP619" i="10"/>
  <c r="CP615" i="10"/>
  <c r="CP611" i="10"/>
  <c r="CP607" i="10"/>
  <c r="CP603" i="10"/>
  <c r="CP599" i="10"/>
  <c r="CP595" i="10"/>
  <c r="CP591" i="10"/>
  <c r="CP587" i="10"/>
  <c r="CP583" i="10"/>
  <c r="CP579" i="10"/>
  <c r="CP575" i="10"/>
  <c r="CP571" i="10"/>
  <c r="CP567" i="10"/>
  <c r="CP563" i="10"/>
  <c r="CP559" i="10"/>
  <c r="CP555" i="10"/>
  <c r="CP551" i="10"/>
  <c r="CP547" i="10"/>
  <c r="CP543" i="10"/>
  <c r="CP539" i="10"/>
  <c r="CP535" i="10"/>
  <c r="CP531" i="10"/>
  <c r="CP527" i="10"/>
  <c r="CP523" i="10"/>
  <c r="CP519" i="10"/>
  <c r="CP515" i="10"/>
  <c r="CP511" i="10"/>
  <c r="CP507" i="10"/>
  <c r="CP503" i="10"/>
  <c r="CP499" i="10"/>
  <c r="CP495" i="10"/>
  <c r="CP491" i="10"/>
  <c r="CP487" i="10"/>
  <c r="CP483" i="10"/>
  <c r="CP479" i="10"/>
  <c r="CP475" i="10"/>
  <c r="CP471" i="10"/>
  <c r="CP467" i="10"/>
  <c r="CP463" i="10"/>
  <c r="CP459" i="10"/>
  <c r="CP455" i="10"/>
  <c r="CP451" i="10"/>
  <c r="CP447" i="10"/>
  <c r="CP443" i="10"/>
  <c r="CP439" i="10"/>
  <c r="CP435" i="10"/>
  <c r="CP431" i="10"/>
  <c r="CP427" i="10"/>
  <c r="CP423" i="10"/>
  <c r="CP419" i="10"/>
  <c r="CP415" i="10"/>
  <c r="CP411" i="10"/>
  <c r="CP407" i="10"/>
  <c r="CP403" i="10"/>
  <c r="CP399" i="10"/>
  <c r="CP395" i="10"/>
  <c r="CP391" i="10"/>
  <c r="CP387" i="10"/>
  <c r="CP383" i="10"/>
  <c r="CP379" i="10"/>
  <c r="CP375" i="10"/>
  <c r="CP371" i="10"/>
  <c r="CP367" i="10"/>
  <c r="CP363" i="10"/>
  <c r="CP359" i="10"/>
  <c r="CP355" i="10"/>
  <c r="CP351" i="10"/>
  <c r="CP347" i="10"/>
  <c r="CP343" i="10"/>
  <c r="CP339" i="10"/>
  <c r="CP335" i="10"/>
  <c r="CP331" i="10"/>
  <c r="CP327" i="10"/>
  <c r="CP323" i="10"/>
  <c r="CP319" i="10"/>
  <c r="CP315" i="10"/>
  <c r="CP311" i="10"/>
  <c r="CP307" i="10"/>
  <c r="CP303" i="10"/>
  <c r="CP299" i="10"/>
  <c r="CP295" i="10"/>
  <c r="CP291" i="10"/>
  <c r="CP287" i="10"/>
  <c r="CP283" i="10"/>
  <c r="CP279" i="10"/>
  <c r="CP275" i="10"/>
  <c r="CP271" i="10"/>
  <c r="CP267" i="10"/>
  <c r="CP263" i="10"/>
  <c r="CP259" i="10"/>
  <c r="CP255" i="10"/>
  <c r="CP251" i="10"/>
  <c r="CP247" i="10"/>
  <c r="CP243" i="10"/>
  <c r="CP239" i="10"/>
  <c r="CP235" i="10"/>
  <c r="CP231" i="10"/>
  <c r="CP227" i="10"/>
  <c r="CP223" i="10"/>
  <c r="CP219" i="10"/>
  <c r="CP215" i="10"/>
  <c r="CP211" i="10"/>
  <c r="CP207" i="10"/>
  <c r="CP203" i="10"/>
  <c r="CP199" i="10"/>
  <c r="CP195" i="10"/>
  <c r="CP191" i="10"/>
  <c r="CP187" i="10"/>
  <c r="CP183" i="10"/>
  <c r="CP179" i="10"/>
  <c r="CP175" i="10"/>
  <c r="CP171" i="10"/>
  <c r="CP167" i="10"/>
  <c r="CP163" i="10"/>
  <c r="CP159" i="10"/>
  <c r="CP155" i="10"/>
  <c r="CP151" i="10"/>
  <c r="CP147" i="10"/>
  <c r="CP143" i="10"/>
  <c r="CP139" i="10"/>
  <c r="CP135" i="10"/>
  <c r="CP131" i="10"/>
  <c r="CP127" i="10"/>
  <c r="CP123" i="10"/>
  <c r="CP119" i="10"/>
  <c r="CP115" i="10"/>
  <c r="CP111" i="10"/>
  <c r="CP107" i="10"/>
  <c r="CP103" i="10"/>
  <c r="CP99" i="10"/>
  <c r="CP95" i="10"/>
  <c r="CP91" i="10"/>
  <c r="CP87" i="10"/>
  <c r="CP83" i="10"/>
  <c r="CP79" i="10"/>
  <c r="CP75" i="10"/>
  <c r="CP71" i="10"/>
  <c r="CP67" i="10"/>
  <c r="CP63" i="10"/>
  <c r="CP59" i="10"/>
  <c r="CP55" i="10"/>
  <c r="CP51" i="10"/>
  <c r="CP47" i="10"/>
  <c r="CP43" i="10"/>
  <c r="CP39" i="10"/>
  <c r="CP35" i="10"/>
  <c r="CP31" i="10"/>
  <c r="CP27" i="10"/>
  <c r="CP23" i="10"/>
  <c r="CP19" i="10"/>
  <c r="CP15" i="10"/>
  <c r="CP11" i="10"/>
  <c r="CP1002" i="10"/>
  <c r="CP998" i="10"/>
  <c r="CP994" i="10"/>
  <c r="CP990" i="10"/>
  <c r="CP986" i="10"/>
  <c r="CP982" i="10"/>
  <c r="CP978" i="10"/>
  <c r="CP974" i="10"/>
  <c r="CP970" i="10"/>
  <c r="CP966" i="10"/>
  <c r="CP962" i="10"/>
  <c r="CP958" i="10"/>
  <c r="CP954" i="10"/>
  <c r="CP950" i="10"/>
  <c r="CP946" i="10"/>
  <c r="CP942" i="10"/>
  <c r="CP938" i="10"/>
  <c r="CP934" i="10"/>
  <c r="CP930" i="10"/>
  <c r="CP926" i="10"/>
  <c r="CP922" i="10"/>
  <c r="CP918" i="10"/>
  <c r="CP914" i="10"/>
  <c r="CP910" i="10"/>
  <c r="CP906" i="10"/>
  <c r="CP902" i="10"/>
  <c r="CP898" i="10"/>
  <c r="CP894" i="10"/>
  <c r="CP890" i="10"/>
  <c r="CP886" i="10"/>
  <c r="CP882" i="10"/>
  <c r="CP878" i="10"/>
  <c r="CP874" i="10"/>
  <c r="CP870" i="10"/>
  <c r="CP866" i="10"/>
  <c r="CP862" i="10"/>
  <c r="CP858" i="10"/>
  <c r="CP854" i="10"/>
  <c r="CP850" i="10"/>
  <c r="CP846" i="10"/>
  <c r="CP842" i="10"/>
  <c r="CP838" i="10"/>
  <c r="CP834" i="10"/>
  <c r="CP830" i="10"/>
  <c r="CP826" i="10"/>
  <c r="CP822" i="10"/>
  <c r="CP818" i="10"/>
  <c r="CP814" i="10"/>
  <c r="CP810" i="10"/>
  <c r="CP806" i="10"/>
  <c r="CP802" i="10"/>
  <c r="CP798" i="10"/>
  <c r="CP794" i="10"/>
  <c r="CP790" i="10"/>
  <c r="CP786" i="10"/>
  <c r="CP782" i="10"/>
  <c r="CP778" i="10"/>
  <c r="CP774" i="10"/>
  <c r="CP770" i="10"/>
  <c r="CP766" i="10"/>
  <c r="CP762" i="10"/>
  <c r="CP758" i="10"/>
  <c r="CP754" i="10"/>
  <c r="CP750" i="10"/>
  <c r="CP746" i="10"/>
  <c r="CP742" i="10"/>
  <c r="CP738" i="10"/>
  <c r="CP734" i="10"/>
  <c r="CP730" i="10"/>
  <c r="CP726" i="10"/>
  <c r="CP722" i="10"/>
  <c r="CP718" i="10"/>
  <c r="CP714" i="10"/>
  <c r="CP710" i="10"/>
  <c r="CP706" i="10"/>
  <c r="CP702" i="10"/>
  <c r="CP698" i="10"/>
  <c r="CP694" i="10"/>
  <c r="CP690" i="10"/>
  <c r="CP686" i="10"/>
  <c r="CP682" i="10"/>
  <c r="CP678" i="10"/>
  <c r="CP674" i="10"/>
  <c r="CP670" i="10"/>
  <c r="CP666" i="10"/>
  <c r="CP662" i="10"/>
  <c r="CP658" i="10"/>
  <c r="CP654" i="10"/>
  <c r="CP650" i="10"/>
  <c r="CP646" i="10"/>
  <c r="CP642" i="10"/>
  <c r="CP638" i="10"/>
  <c r="CP634" i="10"/>
  <c r="CP630" i="10"/>
  <c r="CP626" i="10"/>
  <c r="CP622" i="10"/>
  <c r="CP618" i="10"/>
  <c r="CP614" i="10"/>
  <c r="CP610" i="10"/>
  <c r="CP606" i="10"/>
  <c r="CP602" i="10"/>
  <c r="CP598" i="10"/>
  <c r="CP594" i="10"/>
  <c r="CP590" i="10"/>
  <c r="CP586" i="10"/>
  <c r="CP582" i="10"/>
  <c r="CP578" i="10"/>
  <c r="CP574" i="10"/>
  <c r="CP570" i="10"/>
  <c r="CP566" i="10"/>
  <c r="CP562" i="10"/>
  <c r="CP558" i="10"/>
  <c r="CP554" i="10"/>
  <c r="CP550" i="10"/>
  <c r="CP546" i="10"/>
  <c r="CP542" i="10"/>
  <c r="CP538" i="10"/>
  <c r="CP534" i="10"/>
  <c r="CP530" i="10"/>
  <c r="CP526" i="10"/>
  <c r="CP522" i="10"/>
  <c r="CP518" i="10"/>
  <c r="CP514" i="10"/>
  <c r="CP510" i="10"/>
  <c r="CP506" i="10"/>
  <c r="CP502" i="10"/>
  <c r="CP498" i="10"/>
  <c r="CP494" i="10"/>
  <c r="CP490" i="10"/>
  <c r="CP486" i="10"/>
  <c r="CP482" i="10"/>
  <c r="CP478" i="10"/>
  <c r="CP474" i="10"/>
  <c r="CP470" i="10"/>
  <c r="CP466" i="10"/>
  <c r="CP462" i="10"/>
  <c r="CP458" i="10"/>
  <c r="CP454" i="10"/>
  <c r="CP450" i="10"/>
  <c r="CP446" i="10"/>
  <c r="CP442" i="10"/>
  <c r="CP438" i="10"/>
  <c r="CP434" i="10"/>
  <c r="CP430" i="10"/>
  <c r="CP426" i="10"/>
  <c r="CP422" i="10"/>
  <c r="CP418" i="10"/>
  <c r="CP414" i="10"/>
  <c r="CP410" i="10"/>
  <c r="CP406" i="10"/>
  <c r="CP402" i="10"/>
  <c r="CP398" i="10"/>
  <c r="CP394" i="10"/>
  <c r="CP390" i="10"/>
  <c r="CP386" i="10"/>
  <c r="CP382" i="10"/>
  <c r="CP378" i="10"/>
  <c r="CP374" i="10"/>
  <c r="CP370" i="10"/>
  <c r="CP366" i="10"/>
  <c r="CP362" i="10"/>
  <c r="CP358" i="10"/>
  <c r="CP354" i="10"/>
  <c r="CP350" i="10"/>
  <c r="CP346" i="10"/>
  <c r="CP342" i="10"/>
  <c r="CP338" i="10"/>
  <c r="CP334" i="10"/>
  <c r="CP330" i="10"/>
  <c r="CP326" i="10"/>
  <c r="CP322" i="10"/>
  <c r="CP318" i="10"/>
  <c r="CP314" i="10"/>
  <c r="CP310" i="10"/>
  <c r="CP306" i="10"/>
  <c r="CP302" i="10"/>
  <c r="CP298" i="10"/>
  <c r="CP294" i="10"/>
  <c r="CP290" i="10"/>
  <c r="CP286" i="10"/>
  <c r="CP282" i="10"/>
  <c r="CP278" i="10"/>
  <c r="CP274" i="10"/>
  <c r="CP270" i="10"/>
  <c r="CP266" i="10"/>
  <c r="CP262" i="10"/>
  <c r="CP258" i="10"/>
  <c r="CP254" i="10"/>
  <c r="CP250" i="10"/>
  <c r="CP246" i="10"/>
  <c r="CP242" i="10"/>
  <c r="CP238" i="10"/>
  <c r="CP234" i="10"/>
  <c r="CP230" i="10"/>
  <c r="CP226" i="10"/>
  <c r="CP222" i="10"/>
  <c r="CP218" i="10"/>
  <c r="CP214" i="10"/>
  <c r="CP210" i="10"/>
  <c r="CP206" i="10"/>
  <c r="CP202" i="10"/>
  <c r="CP198" i="10"/>
  <c r="CP194" i="10"/>
  <c r="CP190" i="10"/>
  <c r="CP186" i="10"/>
  <c r="CP182" i="10"/>
  <c r="CP178" i="10"/>
  <c r="CP174" i="10"/>
  <c r="CP170" i="10"/>
  <c r="CP166" i="10"/>
  <c r="CP162" i="10"/>
  <c r="CP158" i="10"/>
  <c r="CP154" i="10"/>
  <c r="CP150" i="10"/>
  <c r="CP146" i="10"/>
  <c r="CP142" i="10"/>
  <c r="CP138" i="10"/>
  <c r="CP134" i="10"/>
  <c r="CP130" i="10"/>
  <c r="CP126" i="10"/>
  <c r="CP122" i="10"/>
  <c r="CP118" i="10"/>
  <c r="CP114" i="10"/>
  <c r="CP110" i="10"/>
  <c r="CP106" i="10"/>
  <c r="CP102" i="10"/>
  <c r="CP98" i="10"/>
  <c r="CP94" i="10"/>
  <c r="CP90" i="10"/>
  <c r="CP86" i="10"/>
  <c r="CP82" i="10"/>
  <c r="CP78" i="10"/>
  <c r="CP74" i="10"/>
  <c r="CP70" i="10"/>
  <c r="CP66" i="10"/>
  <c r="CP62" i="10"/>
  <c r="CP58" i="10"/>
  <c r="CP54" i="10"/>
  <c r="CP50" i="10"/>
  <c r="CP46" i="10"/>
  <c r="CP42" i="10"/>
  <c r="CP38" i="10"/>
  <c r="CP34" i="10"/>
  <c r="CP30" i="10"/>
  <c r="CP26" i="10"/>
  <c r="CP22" i="10"/>
  <c r="CP18" i="10"/>
  <c r="CP14" i="10"/>
  <c r="CP10" i="10"/>
  <c r="CP989" i="10"/>
  <c r="CP973" i="10"/>
  <c r="CP957" i="10"/>
  <c r="CP941" i="10"/>
  <c r="CP925" i="10"/>
  <c r="CP909" i="10"/>
  <c r="CP893" i="10"/>
  <c r="CP877" i="10"/>
  <c r="CP861" i="10"/>
  <c r="CP845" i="10"/>
  <c r="CP829" i="10"/>
  <c r="CP813" i="10"/>
  <c r="CP797" i="10"/>
  <c r="CP781" i="10"/>
  <c r="CP765" i="10"/>
  <c r="CP749" i="10"/>
  <c r="CP733" i="10"/>
  <c r="CP717" i="10"/>
  <c r="CP701" i="10"/>
  <c r="CP685" i="10"/>
  <c r="CP669" i="10"/>
  <c r="CP653" i="10"/>
  <c r="CP637" i="10"/>
  <c r="CP621" i="10"/>
  <c r="CP605" i="10"/>
  <c r="CP589" i="10"/>
  <c r="CP573" i="10"/>
  <c r="CP557" i="10"/>
  <c r="CP541" i="10"/>
  <c r="CP525" i="10"/>
  <c r="CP509" i="10"/>
  <c r="CP493" i="10"/>
  <c r="CP477" i="10"/>
  <c r="CP461" i="10"/>
  <c r="CP445" i="10"/>
  <c r="CP429" i="10"/>
  <c r="CP413" i="10"/>
  <c r="CP397" i="10"/>
  <c r="CP381" i="10"/>
  <c r="CP365" i="10"/>
  <c r="CP349" i="10"/>
  <c r="CP333" i="10"/>
  <c r="CP317" i="10"/>
  <c r="CP301" i="10"/>
  <c r="CP285" i="10"/>
  <c r="CP269" i="10"/>
  <c r="CP253" i="10"/>
  <c r="CP237" i="10"/>
  <c r="CP221" i="10"/>
  <c r="CP205" i="10"/>
  <c r="CP189" i="10"/>
  <c r="CP173" i="10"/>
  <c r="CP157" i="10"/>
  <c r="CP141" i="10"/>
  <c r="CP125" i="10"/>
  <c r="CP109" i="10"/>
  <c r="CP93" i="10"/>
  <c r="CP77" i="10"/>
  <c r="CP61" i="10"/>
  <c r="CP45" i="10"/>
  <c r="CP29" i="10"/>
  <c r="CP13" i="10"/>
  <c r="CP1001" i="10"/>
  <c r="CP985" i="10"/>
  <c r="CP969" i="10"/>
  <c r="CP953" i="10"/>
  <c r="CP937" i="10"/>
  <c r="CP921" i="10"/>
  <c r="CP905" i="10"/>
  <c r="CP889" i="10"/>
  <c r="CP873" i="10"/>
  <c r="CP857" i="10"/>
  <c r="CP841" i="10"/>
  <c r="CP825" i="10"/>
  <c r="CP809" i="10"/>
  <c r="CP793" i="10"/>
  <c r="CP777" i="10"/>
  <c r="CP761" i="10"/>
  <c r="CP745" i="10"/>
  <c r="CP729" i="10"/>
  <c r="CP713" i="10"/>
  <c r="CP697" i="10"/>
  <c r="CP681" i="10"/>
  <c r="CP665" i="10"/>
  <c r="CP649" i="10"/>
  <c r="CP633" i="10"/>
  <c r="CP617" i="10"/>
  <c r="CP601" i="10"/>
  <c r="CP585" i="10"/>
  <c r="CP569" i="10"/>
  <c r="CP553" i="10"/>
  <c r="CP537" i="10"/>
  <c r="CP521" i="10"/>
  <c r="CP505" i="10"/>
  <c r="CP489" i="10"/>
  <c r="CP473" i="10"/>
  <c r="CP457" i="10"/>
  <c r="CP441" i="10"/>
  <c r="CP425" i="10"/>
  <c r="CP409" i="10"/>
  <c r="CP393" i="10"/>
  <c r="CP377" i="10"/>
  <c r="CP361" i="10"/>
  <c r="CP345" i="10"/>
  <c r="CP329" i="10"/>
  <c r="CP313" i="10"/>
  <c r="CP297" i="10"/>
  <c r="CP281" i="10"/>
  <c r="CP265" i="10"/>
  <c r="CP249" i="10"/>
  <c r="CP233" i="10"/>
  <c r="CP217" i="10"/>
  <c r="CP201" i="10"/>
  <c r="CP185" i="10"/>
  <c r="CP169" i="10"/>
  <c r="CP153" i="10"/>
  <c r="CP137" i="10"/>
  <c r="CP121" i="10"/>
  <c r="CP105" i="10"/>
  <c r="CP89" i="10"/>
  <c r="CP73" i="10"/>
  <c r="CP57" i="10"/>
  <c r="CP41" i="10"/>
  <c r="CP25" i="10"/>
  <c r="CP993" i="10"/>
  <c r="CP977" i="10"/>
  <c r="CP961" i="10"/>
  <c r="CP945" i="10"/>
  <c r="CP929" i="10"/>
  <c r="CP913" i="10"/>
  <c r="CP897" i="10"/>
  <c r="CP881" i="10"/>
  <c r="CP865" i="10"/>
  <c r="CP849" i="10"/>
  <c r="CP833" i="10"/>
  <c r="CP817" i="10"/>
  <c r="CP801" i="10"/>
  <c r="CP785" i="10"/>
  <c r="CP769" i="10"/>
  <c r="CP753" i="10"/>
  <c r="CP737" i="10"/>
  <c r="CP721" i="10"/>
  <c r="CP705" i="10"/>
  <c r="CP689" i="10"/>
  <c r="CP673" i="10"/>
  <c r="CP657" i="10"/>
  <c r="CP641" i="10"/>
  <c r="CP625" i="10"/>
  <c r="CP609" i="10"/>
  <c r="CP593" i="10"/>
  <c r="CP577" i="10"/>
  <c r="CP561" i="10"/>
  <c r="CP545" i="10"/>
  <c r="CP529" i="10"/>
  <c r="CP513" i="10"/>
  <c r="CP497" i="10"/>
  <c r="CP481" i="10"/>
  <c r="CP465" i="10"/>
  <c r="CP449" i="10"/>
  <c r="CP433" i="10"/>
  <c r="CP417" i="10"/>
  <c r="CP401" i="10"/>
  <c r="CP385" i="10"/>
  <c r="CP369" i="10"/>
  <c r="CP353" i="10"/>
  <c r="CP337" i="10"/>
  <c r="CP321" i="10"/>
  <c r="CP305" i="10"/>
  <c r="CP289" i="10"/>
  <c r="CP273" i="10"/>
  <c r="CP257" i="10"/>
  <c r="CP241" i="10"/>
  <c r="CP225" i="10"/>
  <c r="CP209" i="10"/>
  <c r="CP193" i="10"/>
  <c r="CP177" i="10"/>
  <c r="CP161" i="10"/>
  <c r="CP145" i="10"/>
  <c r="CP129" i="10"/>
  <c r="CP113" i="10"/>
  <c r="CP97" i="10"/>
  <c r="CP81" i="10"/>
  <c r="CP65" i="10"/>
  <c r="CP49" i="10"/>
  <c r="CP33" i="10"/>
  <c r="CP17" i="10"/>
  <c r="CP981" i="10"/>
  <c r="CP917" i="10"/>
  <c r="CP853" i="10"/>
  <c r="CP789" i="10"/>
  <c r="CP725" i="10"/>
  <c r="CP661" i="10"/>
  <c r="CP597" i="10"/>
  <c r="CP533" i="10"/>
  <c r="CP469" i="10"/>
  <c r="CP405" i="10"/>
  <c r="CP341" i="10"/>
  <c r="CP277" i="10"/>
  <c r="CP213" i="10"/>
  <c r="CP149" i="10"/>
  <c r="CP85" i="10"/>
  <c r="CP21" i="10"/>
  <c r="CP965" i="10"/>
  <c r="CP901" i="10"/>
  <c r="CP837" i="10"/>
  <c r="CP773" i="10"/>
  <c r="CP709" i="10"/>
  <c r="CP645" i="10"/>
  <c r="CP581" i="10"/>
  <c r="CP517" i="10"/>
  <c r="CP453" i="10"/>
  <c r="CP389" i="10"/>
  <c r="CP325" i="10"/>
  <c r="CP261" i="10"/>
  <c r="CP197" i="10"/>
  <c r="CP133" i="10"/>
  <c r="CP69" i="10"/>
  <c r="CP997" i="10"/>
  <c r="CP869" i="10"/>
  <c r="CP677" i="10"/>
  <c r="CP549" i="10"/>
  <c r="CP421" i="10"/>
  <c r="CP229" i="10"/>
  <c r="CP101" i="10"/>
  <c r="CP949" i="10"/>
  <c r="CP885" i="10"/>
  <c r="CP821" i="10"/>
  <c r="CP757" i="10"/>
  <c r="CP693" i="10"/>
  <c r="CP629" i="10"/>
  <c r="CP565" i="10"/>
  <c r="CP501" i="10"/>
  <c r="CP437" i="10"/>
  <c r="CP373" i="10"/>
  <c r="CP309" i="10"/>
  <c r="CP245" i="10"/>
  <c r="CP181" i="10"/>
  <c r="CP117" i="10"/>
  <c r="CP53" i="10"/>
  <c r="CP933" i="10"/>
  <c r="CP805" i="10"/>
  <c r="CP741" i="10"/>
  <c r="CP613" i="10"/>
  <c r="CP485" i="10"/>
  <c r="CP357" i="10"/>
  <c r="CP293" i="10"/>
  <c r="CP165" i="10"/>
  <c r="CP37" i="10"/>
  <c r="G1008" i="10"/>
  <c r="A1063" i="11"/>
  <c r="A1064" i="11" s="1"/>
  <c r="D12" i="14"/>
  <c r="F14" i="14"/>
  <c r="AG7" i="12"/>
  <c r="AJ7" i="12"/>
  <c r="AI7" i="12"/>
  <c r="C4176" i="14"/>
  <c r="L1062" i="11"/>
  <c r="AD613" i="10" l="1"/>
  <c r="AE613" i="10"/>
  <c r="AL613" i="10"/>
  <c r="CK613" i="10"/>
  <c r="AF613" i="10"/>
  <c r="AL309" i="10"/>
  <c r="AE309" i="10"/>
  <c r="AF309" i="10"/>
  <c r="AD309" i="10"/>
  <c r="CK309" i="10"/>
  <c r="AL229" i="10"/>
  <c r="AE229" i="10"/>
  <c r="CK229" i="10"/>
  <c r="AD229" i="10"/>
  <c r="AF229" i="10"/>
  <c r="AL197" i="10"/>
  <c r="AE197" i="10"/>
  <c r="AF197" i="10"/>
  <c r="AD197" i="10"/>
  <c r="CK197" i="10"/>
  <c r="AD709" i="10"/>
  <c r="AE709" i="10"/>
  <c r="CK709" i="10"/>
  <c r="AF709" i="10"/>
  <c r="AL709" i="10"/>
  <c r="AD965" i="10"/>
  <c r="AE965" i="10"/>
  <c r="CK965" i="10"/>
  <c r="AF965" i="10"/>
  <c r="AL965" i="10"/>
  <c r="CK469" i="10"/>
  <c r="AE469" i="10"/>
  <c r="AF469" i="10"/>
  <c r="AL469" i="10"/>
  <c r="AD469" i="10"/>
  <c r="CK725" i="10"/>
  <c r="AL725" i="10"/>
  <c r="AD725" i="10"/>
  <c r="AE725" i="10"/>
  <c r="AF725" i="10"/>
  <c r="CK981" i="10"/>
  <c r="AL981" i="10"/>
  <c r="AD981" i="10"/>
  <c r="AE981" i="10"/>
  <c r="AF981" i="10"/>
  <c r="CK65" i="10"/>
  <c r="AF65" i="10"/>
  <c r="AD65" i="10"/>
  <c r="AL65" i="10"/>
  <c r="AE65" i="10"/>
  <c r="CK129" i="10"/>
  <c r="AF129" i="10"/>
  <c r="AD129" i="10"/>
  <c r="AL129" i="10"/>
  <c r="AE129" i="10"/>
  <c r="CK193" i="10"/>
  <c r="AF193" i="10"/>
  <c r="AD193" i="10"/>
  <c r="AE193" i="10"/>
  <c r="AL193" i="10"/>
  <c r="CK257" i="10"/>
  <c r="AF257" i="10"/>
  <c r="AD257" i="10"/>
  <c r="AL257" i="10"/>
  <c r="AE257" i="10"/>
  <c r="AL321" i="10"/>
  <c r="AF321" i="10"/>
  <c r="AD321" i="10"/>
  <c r="CK321" i="10"/>
  <c r="AE321" i="10"/>
  <c r="AL385" i="10"/>
  <c r="AF385" i="10"/>
  <c r="AD385" i="10"/>
  <c r="CK385" i="10"/>
  <c r="AE385" i="10"/>
  <c r="AL449" i="10"/>
  <c r="AF449" i="10"/>
  <c r="AD449" i="10"/>
  <c r="AE449" i="10"/>
  <c r="CK449" i="10"/>
  <c r="AL513" i="10"/>
  <c r="AF513" i="10"/>
  <c r="AD513" i="10"/>
  <c r="CK513" i="10"/>
  <c r="AE513" i="10"/>
  <c r="AL577" i="10"/>
  <c r="AD577" i="10"/>
  <c r="AF577" i="10"/>
  <c r="AE577" i="10"/>
  <c r="CK577" i="10"/>
  <c r="AL641" i="10"/>
  <c r="AD641" i="10"/>
  <c r="AF641" i="10"/>
  <c r="CK641" i="10"/>
  <c r="AE641" i="10"/>
  <c r="AL705" i="10"/>
  <c r="AD705" i="10"/>
  <c r="AF705" i="10"/>
  <c r="AE705" i="10"/>
  <c r="CK705" i="10"/>
  <c r="AL769" i="10"/>
  <c r="AD769" i="10"/>
  <c r="AF769" i="10"/>
  <c r="CK769" i="10"/>
  <c r="AE769" i="10"/>
  <c r="AL833" i="10"/>
  <c r="AD833" i="10"/>
  <c r="AF833" i="10"/>
  <c r="AE833" i="10"/>
  <c r="CK833" i="10"/>
  <c r="AL897" i="10"/>
  <c r="AD897" i="10"/>
  <c r="AF897" i="10"/>
  <c r="CK897" i="10"/>
  <c r="AE897" i="10"/>
  <c r="AL961" i="10"/>
  <c r="AD961" i="10"/>
  <c r="AF961" i="10"/>
  <c r="AE961" i="10"/>
  <c r="CK961" i="10"/>
  <c r="AE105" i="10"/>
  <c r="AL105" i="10"/>
  <c r="AD105" i="10"/>
  <c r="CK105" i="10"/>
  <c r="AF105" i="10"/>
  <c r="AE169" i="10"/>
  <c r="AL169" i="10"/>
  <c r="AD169" i="10"/>
  <c r="CK169" i="10"/>
  <c r="AF169" i="10"/>
  <c r="AE233" i="10"/>
  <c r="AL233" i="10"/>
  <c r="AD233" i="10"/>
  <c r="CK233" i="10"/>
  <c r="AF233" i="10"/>
  <c r="CK297" i="10"/>
  <c r="AL297" i="10"/>
  <c r="AD297" i="10"/>
  <c r="AE297" i="10"/>
  <c r="AF297" i="10"/>
  <c r="AE361" i="10"/>
  <c r="AL361" i="10"/>
  <c r="AD361" i="10"/>
  <c r="AF361" i="10"/>
  <c r="CK361" i="10"/>
  <c r="AL425" i="10"/>
  <c r="AF425" i="10"/>
  <c r="AD425" i="10"/>
  <c r="AE425" i="10"/>
  <c r="CK425" i="10"/>
  <c r="AE489" i="10"/>
  <c r="AF489" i="10"/>
  <c r="AD489" i="10"/>
  <c r="CK489" i="10"/>
  <c r="AL489" i="10"/>
  <c r="AL553" i="10"/>
  <c r="AF553" i="10"/>
  <c r="AD553" i="10"/>
  <c r="AE553" i="10"/>
  <c r="CK553" i="10"/>
  <c r="AL617" i="10"/>
  <c r="AD617" i="10"/>
  <c r="AF617" i="10"/>
  <c r="AE617" i="10"/>
  <c r="CK617" i="10"/>
  <c r="AE681" i="10"/>
  <c r="AD681" i="10"/>
  <c r="AL681" i="10"/>
  <c r="AF681" i="10"/>
  <c r="CK681" i="10"/>
  <c r="CK745" i="10"/>
  <c r="AD745" i="10"/>
  <c r="AE745" i="10"/>
  <c r="AL745" i="10"/>
  <c r="AF745" i="10"/>
  <c r="AE809" i="10"/>
  <c r="AD809" i="10"/>
  <c r="AL809" i="10"/>
  <c r="CK809" i="10"/>
  <c r="AF809" i="10"/>
  <c r="AL873" i="10"/>
  <c r="CK873" i="10"/>
  <c r="AE873" i="10"/>
  <c r="AF873" i="10"/>
  <c r="AD873" i="10"/>
  <c r="AE937" i="10"/>
  <c r="AD937" i="10"/>
  <c r="AL937" i="10"/>
  <c r="AF937" i="10"/>
  <c r="CK937" i="10"/>
  <c r="AL1001" i="10"/>
  <c r="AD1001" i="10"/>
  <c r="AE1001" i="10"/>
  <c r="AF1001" i="10"/>
  <c r="CK1001" i="10"/>
  <c r="AF61" i="10"/>
  <c r="AE61" i="10"/>
  <c r="AL61" i="10"/>
  <c r="CK61" i="10"/>
  <c r="AD61" i="10"/>
  <c r="AF125" i="10"/>
  <c r="AE125" i="10"/>
  <c r="AL125" i="10"/>
  <c r="AD125" i="10"/>
  <c r="CK125" i="10"/>
  <c r="AF189" i="10"/>
  <c r="AE189" i="10"/>
  <c r="AL189" i="10"/>
  <c r="CK189" i="10"/>
  <c r="AD189" i="10"/>
  <c r="AF253" i="10"/>
  <c r="AE253" i="10"/>
  <c r="AL253" i="10"/>
  <c r="CK253" i="10"/>
  <c r="AD253" i="10"/>
  <c r="AE317" i="10"/>
  <c r="AD317" i="10"/>
  <c r="AF317" i="10"/>
  <c r="AL317" i="10"/>
  <c r="CK317" i="10"/>
  <c r="AF381" i="10"/>
  <c r="AE381" i="10"/>
  <c r="CK381" i="10"/>
  <c r="AL381" i="10"/>
  <c r="AD381" i="10"/>
  <c r="CK445" i="10"/>
  <c r="AE445" i="10"/>
  <c r="AF445" i="10"/>
  <c r="AL445" i="10"/>
  <c r="AD445" i="10"/>
  <c r="AE509" i="10"/>
  <c r="CK509" i="10"/>
  <c r="AF509" i="10"/>
  <c r="AD509" i="10"/>
  <c r="AL509" i="10"/>
  <c r="AF573" i="10"/>
  <c r="CK573" i="10"/>
  <c r="AL573" i="10"/>
  <c r="AD573" i="10"/>
  <c r="AE573" i="10"/>
  <c r="AL637" i="10"/>
  <c r="AF637" i="10"/>
  <c r="CK637" i="10"/>
  <c r="AE637" i="10"/>
  <c r="AD637" i="10"/>
  <c r="AF701" i="10"/>
  <c r="CK701" i="10"/>
  <c r="AL701" i="10"/>
  <c r="AD701" i="10"/>
  <c r="AE701" i="10"/>
  <c r="AL765" i="10"/>
  <c r="AF765" i="10"/>
  <c r="CK765" i="10"/>
  <c r="AE765" i="10"/>
  <c r="AD765" i="10"/>
  <c r="AL829" i="10"/>
  <c r="AF829" i="10"/>
  <c r="CK829" i="10"/>
  <c r="AD829" i="10"/>
  <c r="AE829" i="10"/>
  <c r="AL893" i="10"/>
  <c r="AF893" i="10"/>
  <c r="AD893" i="10"/>
  <c r="AE893" i="10"/>
  <c r="CK893" i="10"/>
  <c r="AF957" i="10"/>
  <c r="AE957" i="10"/>
  <c r="AL957" i="10"/>
  <c r="AD957" i="10"/>
  <c r="CK957" i="10"/>
  <c r="AD62" i="10"/>
  <c r="AL62" i="10"/>
  <c r="AF62" i="10"/>
  <c r="AE62" i="10"/>
  <c r="CK62" i="10"/>
  <c r="AD78" i="10"/>
  <c r="AF78" i="10"/>
  <c r="AL78" i="10"/>
  <c r="CK78" i="10"/>
  <c r="AE78" i="10"/>
  <c r="AD94" i="10"/>
  <c r="AL94" i="10"/>
  <c r="AF94" i="10"/>
  <c r="AE94" i="10"/>
  <c r="CK94" i="10"/>
  <c r="AF110" i="10"/>
  <c r="CK110" i="10"/>
  <c r="AL110" i="10"/>
  <c r="AD110" i="10"/>
  <c r="AE110" i="10"/>
  <c r="AL126" i="10"/>
  <c r="CK126" i="10"/>
  <c r="AF126" i="10"/>
  <c r="AE126" i="10"/>
  <c r="AD126" i="10"/>
  <c r="AD142" i="10"/>
  <c r="AF142" i="10"/>
  <c r="AL142" i="10"/>
  <c r="CK142" i="10"/>
  <c r="AE142" i="10"/>
  <c r="AD158" i="10"/>
  <c r="AL158" i="10"/>
  <c r="AF158" i="10"/>
  <c r="AE158" i="10"/>
  <c r="CK158" i="10"/>
  <c r="CK174" i="10"/>
  <c r="AF174" i="10"/>
  <c r="AL174" i="10"/>
  <c r="AD174" i="10"/>
  <c r="AE174" i="10"/>
  <c r="AD190" i="10"/>
  <c r="AL190" i="10"/>
  <c r="AF190" i="10"/>
  <c r="AE190" i="10"/>
  <c r="CK190" i="10"/>
  <c r="AD206" i="10"/>
  <c r="AF206" i="10"/>
  <c r="AL206" i="10"/>
  <c r="CK206" i="10"/>
  <c r="AE206" i="10"/>
  <c r="AD222" i="10"/>
  <c r="AL222" i="10"/>
  <c r="AF222" i="10"/>
  <c r="AE222" i="10"/>
  <c r="CK222" i="10"/>
  <c r="AF238" i="10"/>
  <c r="CK238" i="10"/>
  <c r="AL238" i="10"/>
  <c r="AD238" i="10"/>
  <c r="AE238" i="10"/>
  <c r="AL254" i="10"/>
  <c r="CK254" i="10"/>
  <c r="AF254" i="10"/>
  <c r="AE254" i="10"/>
  <c r="AD254" i="10"/>
  <c r="AD270" i="10"/>
  <c r="AF270" i="10"/>
  <c r="AL270" i="10"/>
  <c r="CK270" i="10"/>
  <c r="AE270" i="10"/>
  <c r="AD286" i="10"/>
  <c r="AL286" i="10"/>
  <c r="AF286" i="10"/>
  <c r="AE286" i="10"/>
  <c r="CK286" i="10"/>
  <c r="AD302" i="10"/>
  <c r="AF302" i="10"/>
  <c r="AL302" i="10"/>
  <c r="CK302" i="10"/>
  <c r="AE302" i="10"/>
  <c r="AD318" i="10"/>
  <c r="AL318" i="10"/>
  <c r="AF318" i="10"/>
  <c r="AE318" i="10"/>
  <c r="CK318" i="10"/>
  <c r="AF334" i="10"/>
  <c r="AL334" i="10"/>
  <c r="CK334" i="10"/>
  <c r="AE334" i="10"/>
  <c r="AD334" i="10"/>
  <c r="AL350" i="10"/>
  <c r="AF350" i="10"/>
  <c r="AE350" i="10"/>
  <c r="CK350" i="10"/>
  <c r="AD350" i="10"/>
  <c r="AF366" i="10"/>
  <c r="AL366" i="10"/>
  <c r="CK366" i="10"/>
  <c r="AE366" i="10"/>
  <c r="AD366" i="10"/>
  <c r="AL382" i="10"/>
  <c r="AF382" i="10"/>
  <c r="AE382" i="10"/>
  <c r="CK382" i="10"/>
  <c r="AD382" i="10"/>
  <c r="AF398" i="10"/>
  <c r="AL398" i="10"/>
  <c r="CK398" i="10"/>
  <c r="AE398" i="10"/>
  <c r="AD398" i="10"/>
  <c r="AD414" i="10"/>
  <c r="AF414" i="10"/>
  <c r="AE414" i="10"/>
  <c r="CK414" i="10"/>
  <c r="AL414" i="10"/>
  <c r="AD430" i="10"/>
  <c r="AF430" i="10"/>
  <c r="CK430" i="10"/>
  <c r="AE430" i="10"/>
  <c r="AL430" i="10"/>
  <c r="AD446" i="10"/>
  <c r="AF446" i="10"/>
  <c r="AE446" i="10"/>
  <c r="CK446" i="10"/>
  <c r="AL446" i="10"/>
  <c r="AD462" i="10"/>
  <c r="AF462" i="10"/>
  <c r="CK462" i="10"/>
  <c r="AE462" i="10"/>
  <c r="AL462" i="10"/>
  <c r="AD478" i="10"/>
  <c r="AF478" i="10"/>
  <c r="AE478" i="10"/>
  <c r="CK478" i="10"/>
  <c r="AL478" i="10"/>
  <c r="AD494" i="10"/>
  <c r="AF494" i="10"/>
  <c r="CK494" i="10"/>
  <c r="AE494" i="10"/>
  <c r="AL494" i="10"/>
  <c r="AD510" i="10"/>
  <c r="AF510" i="10"/>
  <c r="AE510" i="10"/>
  <c r="CK510" i="10"/>
  <c r="AL510" i="10"/>
  <c r="AD526" i="10"/>
  <c r="AF526" i="10"/>
  <c r="CK526" i="10"/>
  <c r="AE526" i="10"/>
  <c r="AL526" i="10"/>
  <c r="AD542" i="10"/>
  <c r="AF542" i="10"/>
  <c r="AE542" i="10"/>
  <c r="CK542" i="10"/>
  <c r="AL542" i="10"/>
  <c r="AE558" i="10"/>
  <c r="AD558" i="10"/>
  <c r="CK558" i="10"/>
  <c r="AF558" i="10"/>
  <c r="AL558" i="10"/>
  <c r="AE574" i="10"/>
  <c r="AF574" i="10"/>
  <c r="AD574" i="10"/>
  <c r="CK574" i="10"/>
  <c r="AL574" i="10"/>
  <c r="AE590" i="10"/>
  <c r="AF590" i="10"/>
  <c r="CK590" i="10"/>
  <c r="AD590" i="10"/>
  <c r="AL590" i="10"/>
  <c r="AE606" i="10"/>
  <c r="AF606" i="10"/>
  <c r="AD606" i="10"/>
  <c r="CK606" i="10"/>
  <c r="AL606" i="10"/>
  <c r="AE622" i="10"/>
  <c r="AD622" i="10"/>
  <c r="CK622" i="10"/>
  <c r="AF622" i="10"/>
  <c r="AL622" i="10"/>
  <c r="AE638" i="10"/>
  <c r="AF638" i="10"/>
  <c r="AD638" i="10"/>
  <c r="CK638" i="10"/>
  <c r="AL638" i="10"/>
  <c r="AE654" i="10"/>
  <c r="AF654" i="10"/>
  <c r="CK654" i="10"/>
  <c r="AD654" i="10"/>
  <c r="AL654" i="10"/>
  <c r="AE670" i="10"/>
  <c r="AF670" i="10"/>
  <c r="AD670" i="10"/>
  <c r="CK670" i="10"/>
  <c r="AL670" i="10"/>
  <c r="AE686" i="10"/>
  <c r="AF686" i="10"/>
  <c r="CK686" i="10"/>
  <c r="AD686" i="10"/>
  <c r="AL686" i="10"/>
  <c r="AE702" i="10"/>
  <c r="AF702" i="10"/>
  <c r="AD702" i="10"/>
  <c r="CK702" i="10"/>
  <c r="AL702" i="10"/>
  <c r="AE718" i="10"/>
  <c r="AF718" i="10"/>
  <c r="CK718" i="10"/>
  <c r="AD718" i="10"/>
  <c r="AL718" i="10"/>
  <c r="CK734" i="10"/>
  <c r="AF734" i="10"/>
  <c r="AD734" i="10"/>
  <c r="AE734" i="10"/>
  <c r="AL734" i="10"/>
  <c r="AE750" i="10"/>
  <c r="AF750" i="10"/>
  <c r="AL750" i="10"/>
  <c r="AD750" i="10"/>
  <c r="CK750" i="10"/>
  <c r="AF766" i="10"/>
  <c r="CK766" i="10"/>
  <c r="AD766" i="10"/>
  <c r="AL766" i="10"/>
  <c r="AE766" i="10"/>
  <c r="AE782" i="10"/>
  <c r="AF782" i="10"/>
  <c r="CK782" i="10"/>
  <c r="AL782" i="10"/>
  <c r="AD782" i="10"/>
  <c r="AE798" i="10"/>
  <c r="AF798" i="10"/>
  <c r="AD798" i="10"/>
  <c r="AL798" i="10"/>
  <c r="CK798" i="10"/>
  <c r="CK814" i="10"/>
  <c r="AF814" i="10"/>
  <c r="AL814" i="10"/>
  <c r="AE814" i="10"/>
  <c r="AD814" i="10"/>
  <c r="CK830" i="10"/>
  <c r="AF830" i="10"/>
  <c r="AD830" i="10"/>
  <c r="AL830" i="10"/>
  <c r="AE830" i="10"/>
  <c r="AE846" i="10"/>
  <c r="AF846" i="10"/>
  <c r="CK846" i="10"/>
  <c r="AL846" i="10"/>
  <c r="AD846" i="10"/>
  <c r="CK862" i="10"/>
  <c r="AF862" i="10"/>
  <c r="AD862" i="10"/>
  <c r="AE862" i="10"/>
  <c r="AL862" i="10"/>
  <c r="CK878" i="10"/>
  <c r="AF878" i="10"/>
  <c r="AL878" i="10"/>
  <c r="AD878" i="10"/>
  <c r="AE878" i="10"/>
  <c r="AF894" i="10"/>
  <c r="CK894" i="10"/>
  <c r="AD894" i="10"/>
  <c r="AL894" i="10"/>
  <c r="AE894" i="10"/>
  <c r="AE910" i="10"/>
  <c r="AF910" i="10"/>
  <c r="CK910" i="10"/>
  <c r="AL910" i="10"/>
  <c r="AD910" i="10"/>
  <c r="CK926" i="10"/>
  <c r="AF926" i="10"/>
  <c r="AD926" i="10"/>
  <c r="AL926" i="10"/>
  <c r="AE926" i="10"/>
  <c r="CK942" i="10"/>
  <c r="AF942" i="10"/>
  <c r="AL942" i="10"/>
  <c r="AE942" i="10"/>
  <c r="AD942" i="10"/>
  <c r="AE958" i="10"/>
  <c r="AF958" i="10"/>
  <c r="AD958" i="10"/>
  <c r="AL958" i="10"/>
  <c r="CK958" i="10"/>
  <c r="AE974" i="10"/>
  <c r="AF974" i="10"/>
  <c r="CK974" i="10"/>
  <c r="AL974" i="10"/>
  <c r="AD974" i="10"/>
  <c r="CK990" i="10"/>
  <c r="AF990" i="10"/>
  <c r="AD990" i="10"/>
  <c r="AE990" i="10"/>
  <c r="AL990" i="10"/>
  <c r="AL59" i="10"/>
  <c r="CK59" i="10"/>
  <c r="AD59" i="10"/>
  <c r="AF59" i="10"/>
  <c r="AE59" i="10"/>
  <c r="AL75" i="10"/>
  <c r="CK75" i="10"/>
  <c r="AF75" i="10"/>
  <c r="AD75" i="10"/>
  <c r="AE75" i="10"/>
  <c r="CK91" i="10"/>
  <c r="AL91" i="10"/>
  <c r="AD91" i="10"/>
  <c r="AF91" i="10"/>
  <c r="AE91" i="10"/>
  <c r="AD107" i="10"/>
  <c r="AL107" i="10"/>
  <c r="AF107" i="10"/>
  <c r="CK107" i="10"/>
  <c r="AE107" i="10"/>
  <c r="AL123" i="10"/>
  <c r="AF123" i="10"/>
  <c r="AE123" i="10"/>
  <c r="CK123" i="10"/>
  <c r="AD123" i="10"/>
  <c r="AL139" i="10"/>
  <c r="AF139" i="10"/>
  <c r="CK139" i="10"/>
  <c r="AE139" i="10"/>
  <c r="AD139" i="10"/>
  <c r="CK155" i="10"/>
  <c r="AL155" i="10"/>
  <c r="AE155" i="10"/>
  <c r="AD155" i="10"/>
  <c r="AF155" i="10"/>
  <c r="AD171" i="10"/>
  <c r="AL171" i="10"/>
  <c r="AF171" i="10"/>
  <c r="CK171" i="10"/>
  <c r="AE171" i="10"/>
  <c r="AL187" i="10"/>
  <c r="CK187" i="10"/>
  <c r="AD187" i="10"/>
  <c r="AF187" i="10"/>
  <c r="AE187" i="10"/>
  <c r="AL203" i="10"/>
  <c r="CK203" i="10"/>
  <c r="AF203" i="10"/>
  <c r="AD203" i="10"/>
  <c r="AE203" i="10"/>
  <c r="CK219" i="10"/>
  <c r="AL219" i="10"/>
  <c r="AD219" i="10"/>
  <c r="AF219" i="10"/>
  <c r="AE219" i="10"/>
  <c r="AD235" i="10"/>
  <c r="AL235" i="10"/>
  <c r="AF235" i="10"/>
  <c r="CK235" i="10"/>
  <c r="AE235" i="10"/>
  <c r="AL251" i="10"/>
  <c r="AF251" i="10"/>
  <c r="AE251" i="10"/>
  <c r="CK251" i="10"/>
  <c r="AD251" i="10"/>
  <c r="AL267" i="10"/>
  <c r="AF267" i="10"/>
  <c r="CK267" i="10"/>
  <c r="AE267" i="10"/>
  <c r="AD267" i="10"/>
  <c r="CK283" i="10"/>
  <c r="AL283" i="10"/>
  <c r="AE283" i="10"/>
  <c r="AD283" i="10"/>
  <c r="AF283" i="10"/>
  <c r="AD299" i="10"/>
  <c r="AL299" i="10"/>
  <c r="AF299" i="10"/>
  <c r="CK299" i="10"/>
  <c r="AE299" i="10"/>
  <c r="AD315" i="10"/>
  <c r="AL315" i="10"/>
  <c r="AE315" i="10"/>
  <c r="CK315" i="10"/>
  <c r="AF315" i="10"/>
  <c r="CK331" i="10"/>
  <c r="AL331" i="10"/>
  <c r="AD331" i="10"/>
  <c r="AF331" i="10"/>
  <c r="AE331" i="10"/>
  <c r="AL347" i="10"/>
  <c r="CK347" i="10"/>
  <c r="AE347" i="10"/>
  <c r="AD347" i="10"/>
  <c r="AF347" i="10"/>
  <c r="AD363" i="10"/>
  <c r="AL363" i="10"/>
  <c r="CK363" i="10"/>
  <c r="AF363" i="10"/>
  <c r="AE363" i="10"/>
  <c r="CK379" i="10"/>
  <c r="AL379" i="10"/>
  <c r="AE379" i="10"/>
  <c r="AD379" i="10"/>
  <c r="AF379" i="10"/>
  <c r="AL395" i="10"/>
  <c r="AF395" i="10"/>
  <c r="AD395" i="10"/>
  <c r="CK395" i="10"/>
  <c r="AE395" i="10"/>
  <c r="AF411" i="10"/>
  <c r="AE411" i="10"/>
  <c r="AL411" i="10"/>
  <c r="AD411" i="10"/>
  <c r="CK411" i="10"/>
  <c r="AD427" i="10"/>
  <c r="AF427" i="10"/>
  <c r="CK427" i="10"/>
  <c r="AL427" i="10"/>
  <c r="AE427" i="10"/>
  <c r="AL443" i="10"/>
  <c r="CK443" i="10"/>
  <c r="AE443" i="10"/>
  <c r="AD443" i="10"/>
  <c r="AF443" i="10"/>
  <c r="AD459" i="10"/>
  <c r="CK459" i="10"/>
  <c r="AL459" i="10"/>
  <c r="AF459" i="10"/>
  <c r="AE459" i="10"/>
  <c r="AD475" i="10"/>
  <c r="AL475" i="10"/>
  <c r="AE475" i="10"/>
  <c r="CK475" i="10"/>
  <c r="AF475" i="10"/>
  <c r="AD491" i="10"/>
  <c r="AL491" i="10"/>
  <c r="CK491" i="10"/>
  <c r="AF491" i="10"/>
  <c r="AE491" i="10"/>
  <c r="AL507" i="10"/>
  <c r="AF507" i="10"/>
  <c r="CK507" i="10"/>
  <c r="AD507" i="10"/>
  <c r="AE507" i="10"/>
  <c r="AL523" i="10"/>
  <c r="AD523" i="10"/>
  <c r="CK523" i="10"/>
  <c r="AF523" i="10"/>
  <c r="AE523" i="10"/>
  <c r="CK539" i="10"/>
  <c r="AF539" i="10"/>
  <c r="AL539" i="10"/>
  <c r="AD539" i="10"/>
  <c r="AE539" i="10"/>
  <c r="AD555" i="10"/>
  <c r="AF555" i="10"/>
  <c r="CK555" i="10"/>
  <c r="AL555" i="10"/>
  <c r="AE555" i="10"/>
  <c r="CK571" i="10"/>
  <c r="AL571" i="10"/>
  <c r="AD571" i="10"/>
  <c r="AF571" i="10"/>
  <c r="AE571" i="10"/>
  <c r="AL587" i="10"/>
  <c r="CK587" i="10"/>
  <c r="AF587" i="10"/>
  <c r="AE587" i="10"/>
  <c r="AD587" i="10"/>
  <c r="AD603" i="10"/>
  <c r="AL603" i="10"/>
  <c r="AE603" i="10"/>
  <c r="AF603" i="10"/>
  <c r="CK603" i="10"/>
  <c r="AF619" i="10"/>
  <c r="AL619" i="10"/>
  <c r="CK619" i="10"/>
  <c r="AE619" i="10"/>
  <c r="AD619" i="10"/>
  <c r="CK635" i="10"/>
  <c r="AL635" i="10"/>
  <c r="AD635" i="10"/>
  <c r="AF635" i="10"/>
  <c r="AE635" i="10"/>
  <c r="AL651" i="10"/>
  <c r="CK651" i="10"/>
  <c r="AF651" i="10"/>
  <c r="AE651" i="10"/>
  <c r="AD651" i="10"/>
  <c r="AE667" i="10"/>
  <c r="CK667" i="10"/>
  <c r="AL667" i="10"/>
  <c r="AF667" i="10"/>
  <c r="AD667" i="10"/>
  <c r="AF683" i="10"/>
  <c r="AE683" i="10"/>
  <c r="CK683" i="10"/>
  <c r="AD683" i="10"/>
  <c r="AL683" i="10"/>
  <c r="AL699" i="10"/>
  <c r="AE699" i="10"/>
  <c r="AD699" i="10"/>
  <c r="AF699" i="10"/>
  <c r="CK699" i="10"/>
  <c r="AF715" i="10"/>
  <c r="AL715" i="10"/>
  <c r="CK715" i="10"/>
  <c r="AE715" i="10"/>
  <c r="AD715" i="10"/>
  <c r="AF731" i="10"/>
  <c r="AE731" i="10"/>
  <c r="AD731" i="10"/>
  <c r="AL731" i="10"/>
  <c r="CK731" i="10"/>
  <c r="AF747" i="10"/>
  <c r="AE747" i="10"/>
  <c r="CK747" i="10"/>
  <c r="AL747" i="10"/>
  <c r="AD747" i="10"/>
  <c r="AF763" i="10"/>
  <c r="AL763" i="10"/>
  <c r="AD763" i="10"/>
  <c r="CK763" i="10"/>
  <c r="AE763" i="10"/>
  <c r="AF779" i="10"/>
  <c r="AL779" i="10"/>
  <c r="CK779" i="10"/>
  <c r="AE779" i="10"/>
  <c r="AD779" i="10"/>
  <c r="AF795" i="10"/>
  <c r="AE795" i="10"/>
  <c r="AL795" i="10"/>
  <c r="CK795" i="10"/>
  <c r="AD795" i="10"/>
  <c r="AF811" i="10"/>
  <c r="AE811" i="10"/>
  <c r="CK811" i="10"/>
  <c r="AD811" i="10"/>
  <c r="AL811" i="10"/>
  <c r="AF827" i="10"/>
  <c r="AL827" i="10"/>
  <c r="AD827" i="10"/>
  <c r="CK827" i="10"/>
  <c r="AE827" i="10"/>
  <c r="AF843" i="10"/>
  <c r="AL843" i="10"/>
  <c r="CK843" i="10"/>
  <c r="AE843" i="10"/>
  <c r="AD843" i="10"/>
  <c r="AF859" i="10"/>
  <c r="AE859" i="10"/>
  <c r="AD859" i="10"/>
  <c r="CK859" i="10"/>
  <c r="AL859" i="10"/>
  <c r="AF875" i="10"/>
  <c r="AE875" i="10"/>
  <c r="CK875" i="10"/>
  <c r="AL875" i="10"/>
  <c r="AD875" i="10"/>
  <c r="AF891" i="10"/>
  <c r="AL891" i="10"/>
  <c r="AD891" i="10"/>
  <c r="CK891" i="10"/>
  <c r="AE891" i="10"/>
  <c r="AF907" i="10"/>
  <c r="AL907" i="10"/>
  <c r="CK907" i="10"/>
  <c r="AE907" i="10"/>
  <c r="AD907" i="10"/>
  <c r="AF923" i="10"/>
  <c r="AE923" i="10"/>
  <c r="AL923" i="10"/>
  <c r="CK923" i="10"/>
  <c r="AD923" i="10"/>
  <c r="AF939" i="10"/>
  <c r="AE939" i="10"/>
  <c r="CK939" i="10"/>
  <c r="AD939" i="10"/>
  <c r="AL939" i="10"/>
  <c r="AF955" i="10"/>
  <c r="AL955" i="10"/>
  <c r="AD955" i="10"/>
  <c r="CK955" i="10"/>
  <c r="AE955" i="10"/>
  <c r="AF971" i="10"/>
  <c r="AL971" i="10"/>
  <c r="CK971" i="10"/>
  <c r="AE971" i="10"/>
  <c r="AD971" i="10"/>
  <c r="AF987" i="10"/>
  <c r="AE987" i="10"/>
  <c r="AD987" i="10"/>
  <c r="AL987" i="10"/>
  <c r="CK987" i="10"/>
  <c r="AD60" i="10"/>
  <c r="CK60" i="10"/>
  <c r="AF60" i="10"/>
  <c r="AL60" i="10"/>
  <c r="AE60" i="10"/>
  <c r="AD76" i="10"/>
  <c r="CK76" i="10"/>
  <c r="AF76" i="10"/>
  <c r="AE76" i="10"/>
  <c r="AL76" i="10"/>
  <c r="AD92" i="10"/>
  <c r="CK92" i="10"/>
  <c r="AF92" i="10"/>
  <c r="AL92" i="10"/>
  <c r="AE92" i="10"/>
  <c r="AD108" i="10"/>
  <c r="CK108" i="10"/>
  <c r="AF108" i="10"/>
  <c r="AE108" i="10"/>
  <c r="AL108" i="10"/>
  <c r="AD124" i="10"/>
  <c r="CK124" i="10"/>
  <c r="AF124" i="10"/>
  <c r="AL124" i="10"/>
  <c r="AE124" i="10"/>
  <c r="AD140" i="10"/>
  <c r="CK140" i="10"/>
  <c r="AF140" i="10"/>
  <c r="AE140" i="10"/>
  <c r="AL140" i="10"/>
  <c r="AD156" i="10"/>
  <c r="CK156" i="10"/>
  <c r="AF156" i="10"/>
  <c r="AL156" i="10"/>
  <c r="AE156" i="10"/>
  <c r="AD172" i="10"/>
  <c r="CK172" i="10"/>
  <c r="AF172" i="10"/>
  <c r="AE172" i="10"/>
  <c r="AL172" i="10"/>
  <c r="AD188" i="10"/>
  <c r="CK188" i="10"/>
  <c r="AF188" i="10"/>
  <c r="AL188" i="10"/>
  <c r="AE188" i="10"/>
  <c r="AD204" i="10"/>
  <c r="CK204" i="10"/>
  <c r="AF204" i="10"/>
  <c r="AE204" i="10"/>
  <c r="AL204" i="10"/>
  <c r="AD220" i="10"/>
  <c r="CK220" i="10"/>
  <c r="AF220" i="10"/>
  <c r="AL220" i="10"/>
  <c r="AE220" i="10"/>
  <c r="AD236" i="10"/>
  <c r="CK236" i="10"/>
  <c r="AF236" i="10"/>
  <c r="AE236" i="10"/>
  <c r="AL236" i="10"/>
  <c r="AD252" i="10"/>
  <c r="CK252" i="10"/>
  <c r="AF252" i="10"/>
  <c r="AL252" i="10"/>
  <c r="AE252" i="10"/>
  <c r="AD268" i="10"/>
  <c r="CK268" i="10"/>
  <c r="AF268" i="10"/>
  <c r="AE268" i="10"/>
  <c r="AL268" i="10"/>
  <c r="AD284" i="10"/>
  <c r="CK284" i="10"/>
  <c r="AF284" i="10"/>
  <c r="AL284" i="10"/>
  <c r="AE284" i="10"/>
  <c r="AD300" i="10"/>
  <c r="CK300" i="10"/>
  <c r="AF300" i="10"/>
  <c r="AE300" i="10"/>
  <c r="AL300" i="10"/>
  <c r="AD316" i="10"/>
  <c r="CK316" i="10"/>
  <c r="AF316" i="10"/>
  <c r="AL316" i="10"/>
  <c r="AE316" i="10"/>
  <c r="AD332" i="10"/>
  <c r="CK332" i="10"/>
  <c r="AF332" i="10"/>
  <c r="AE332" i="10"/>
  <c r="AL332" i="10"/>
  <c r="AD348" i="10"/>
  <c r="CK348" i="10"/>
  <c r="AF348" i="10"/>
  <c r="AL348" i="10"/>
  <c r="AE348" i="10"/>
  <c r="AD364" i="10"/>
  <c r="CK364" i="10"/>
  <c r="AF364" i="10"/>
  <c r="AE364" i="10"/>
  <c r="AL364" i="10"/>
  <c r="AD380" i="10"/>
  <c r="CK380" i="10"/>
  <c r="AF380" i="10"/>
  <c r="AL380" i="10"/>
  <c r="AE380" i="10"/>
  <c r="AD396" i="10"/>
  <c r="CK396" i="10"/>
  <c r="AF396" i="10"/>
  <c r="AE396" i="10"/>
  <c r="AL396" i="10"/>
  <c r="AD412" i="10"/>
  <c r="CK412" i="10"/>
  <c r="AF412" i="10"/>
  <c r="AL412" i="10"/>
  <c r="AE412" i="10"/>
  <c r="AD428" i="10"/>
  <c r="CK428" i="10"/>
  <c r="AF428" i="10"/>
  <c r="AE428" i="10"/>
  <c r="AL428" i="10"/>
  <c r="AD444" i="10"/>
  <c r="CK444" i="10"/>
  <c r="AF444" i="10"/>
  <c r="AL444" i="10"/>
  <c r="AE444" i="10"/>
  <c r="AD460" i="10"/>
  <c r="CK460" i="10"/>
  <c r="AF460" i="10"/>
  <c r="AE460" i="10"/>
  <c r="AL460" i="10"/>
  <c r="AD476" i="10"/>
  <c r="CK476" i="10"/>
  <c r="AF476" i="10"/>
  <c r="AL476" i="10"/>
  <c r="AE476" i="10"/>
  <c r="AD492" i="10"/>
  <c r="CK492" i="10"/>
  <c r="AF492" i="10"/>
  <c r="AE492" i="10"/>
  <c r="AL492" i="10"/>
  <c r="AD508" i="10"/>
  <c r="CK508" i="10"/>
  <c r="AF508" i="10"/>
  <c r="AL508" i="10"/>
  <c r="AE508" i="10"/>
  <c r="AD524" i="10"/>
  <c r="CK524" i="10"/>
  <c r="AF524" i="10"/>
  <c r="AE524" i="10"/>
  <c r="AL524" i="10"/>
  <c r="AD540" i="10"/>
  <c r="CK540" i="10"/>
  <c r="AF540" i="10"/>
  <c r="AL540" i="10"/>
  <c r="AE540" i="10"/>
  <c r="AD556" i="10"/>
  <c r="CK556" i="10"/>
  <c r="AF556" i="10"/>
  <c r="AE556" i="10"/>
  <c r="AL556" i="10"/>
  <c r="AE572" i="10"/>
  <c r="CK572" i="10"/>
  <c r="AF572" i="10"/>
  <c r="AL572" i="10"/>
  <c r="AD572" i="10"/>
  <c r="AF588" i="10"/>
  <c r="CK588" i="10"/>
  <c r="AE588" i="10"/>
  <c r="AD588" i="10"/>
  <c r="AL588" i="10"/>
  <c r="AF604" i="10"/>
  <c r="CK604" i="10"/>
  <c r="AE604" i="10"/>
  <c r="AL604" i="10"/>
  <c r="AD604" i="10"/>
  <c r="AF620" i="10"/>
  <c r="CK620" i="10"/>
  <c r="AE620" i="10"/>
  <c r="AD620" i="10"/>
  <c r="AL620" i="10"/>
  <c r="AE636" i="10"/>
  <c r="CK636" i="10"/>
  <c r="AF636" i="10"/>
  <c r="AL636" i="10"/>
  <c r="AD636" i="10"/>
  <c r="AF652" i="10"/>
  <c r="CK652" i="10"/>
  <c r="AE652" i="10"/>
  <c r="AD652" i="10"/>
  <c r="AL652" i="10"/>
  <c r="AF668" i="10"/>
  <c r="CK668" i="10"/>
  <c r="AE668" i="10"/>
  <c r="AL668" i="10"/>
  <c r="AD668" i="10"/>
  <c r="AF684" i="10"/>
  <c r="CK684" i="10"/>
  <c r="AE684" i="10"/>
  <c r="AD684" i="10"/>
  <c r="AL684" i="10"/>
  <c r="AF700" i="10"/>
  <c r="CK700" i="10"/>
  <c r="AE700" i="10"/>
  <c r="AL700" i="10"/>
  <c r="AD700" i="10"/>
  <c r="AF716" i="10"/>
  <c r="CK716" i="10"/>
  <c r="AE716" i="10"/>
  <c r="AD716" i="10"/>
  <c r="AL716" i="10"/>
  <c r="AF732" i="10"/>
  <c r="CK732" i="10"/>
  <c r="AE732" i="10"/>
  <c r="AL732" i="10"/>
  <c r="AD732" i="10"/>
  <c r="AF748" i="10"/>
  <c r="CK748" i="10"/>
  <c r="AE748" i="10"/>
  <c r="AD748" i="10"/>
  <c r="AL748" i="10"/>
  <c r="AF764" i="10"/>
  <c r="CK764" i="10"/>
  <c r="AE764" i="10"/>
  <c r="AL764" i="10"/>
  <c r="AD764" i="10"/>
  <c r="AF780" i="10"/>
  <c r="CK780" i="10"/>
  <c r="AE780" i="10"/>
  <c r="AD780" i="10"/>
  <c r="AL780" i="10"/>
  <c r="AF796" i="10"/>
  <c r="CK796" i="10"/>
  <c r="AE796" i="10"/>
  <c r="AL796" i="10"/>
  <c r="AD796" i="10"/>
  <c r="AF812" i="10"/>
  <c r="CK812" i="10"/>
  <c r="AE812" i="10"/>
  <c r="AD812" i="10"/>
  <c r="AL812" i="10"/>
  <c r="AF828" i="10"/>
  <c r="CK828" i="10"/>
  <c r="AE828" i="10"/>
  <c r="AL828" i="10"/>
  <c r="AD828" i="10"/>
  <c r="AF844" i="10"/>
  <c r="CK844" i="10"/>
  <c r="AE844" i="10"/>
  <c r="AD844" i="10"/>
  <c r="AL844" i="10"/>
  <c r="AF860" i="10"/>
  <c r="CK860" i="10"/>
  <c r="AE860" i="10"/>
  <c r="AL860" i="10"/>
  <c r="AD860" i="10"/>
  <c r="AF876" i="10"/>
  <c r="CK876" i="10"/>
  <c r="AE876" i="10"/>
  <c r="AL876" i="10"/>
  <c r="AD876" i="10"/>
  <c r="AF892" i="10"/>
  <c r="CK892" i="10"/>
  <c r="AE892" i="10"/>
  <c r="AL892" i="10"/>
  <c r="AD892" i="10"/>
  <c r="AF908" i="10"/>
  <c r="CK908" i="10"/>
  <c r="AE908" i="10"/>
  <c r="AL908" i="10"/>
  <c r="AD908" i="10"/>
  <c r="AF924" i="10"/>
  <c r="CK924" i="10"/>
  <c r="AE924" i="10"/>
  <c r="AL924" i="10"/>
  <c r="AD924" i="10"/>
  <c r="AF940" i="10"/>
  <c r="CK940" i="10"/>
  <c r="AE940" i="10"/>
  <c r="AD940" i="10"/>
  <c r="AL940" i="10"/>
  <c r="AF956" i="10"/>
  <c r="CK956" i="10"/>
  <c r="AE956" i="10"/>
  <c r="AL956" i="10"/>
  <c r="AD956" i="10"/>
  <c r="AF972" i="10"/>
  <c r="CK972" i="10"/>
  <c r="AE972" i="10"/>
  <c r="AL972" i="10"/>
  <c r="AD972" i="10"/>
  <c r="AF988" i="10"/>
  <c r="CK988" i="10"/>
  <c r="AE988" i="10"/>
  <c r="AL988" i="10"/>
  <c r="AD988" i="10"/>
  <c r="AF1003" i="10"/>
  <c r="AE1003" i="10"/>
  <c r="CK1003" i="10"/>
  <c r="AL1003" i="10"/>
  <c r="AD1003" i="10"/>
  <c r="AL293" i="10"/>
  <c r="AE293" i="10"/>
  <c r="AF293" i="10"/>
  <c r="CK293" i="10"/>
  <c r="AD293" i="10"/>
  <c r="CK741" i="10"/>
  <c r="AE741" i="10"/>
  <c r="AD741" i="10"/>
  <c r="AL741" i="10"/>
  <c r="AF741" i="10"/>
  <c r="AL117" i="10"/>
  <c r="AE117" i="10"/>
  <c r="AF117" i="10"/>
  <c r="CK117" i="10"/>
  <c r="AD117" i="10"/>
  <c r="AL373" i="10"/>
  <c r="AE373" i="10"/>
  <c r="AF373" i="10"/>
  <c r="CK373" i="10"/>
  <c r="AD373" i="10"/>
  <c r="AD629" i="10"/>
  <c r="AF629" i="10"/>
  <c r="AL629" i="10"/>
  <c r="CK629" i="10"/>
  <c r="AE629" i="10"/>
  <c r="AD885" i="10"/>
  <c r="AE885" i="10"/>
  <c r="AL885" i="10"/>
  <c r="AF885" i="10"/>
  <c r="CK885" i="10"/>
  <c r="AF421" i="10"/>
  <c r="AE421" i="10"/>
  <c r="AL421" i="10"/>
  <c r="CK421" i="10"/>
  <c r="AD421" i="10"/>
  <c r="CK997" i="10"/>
  <c r="AE997" i="10"/>
  <c r="AD997" i="10"/>
  <c r="AL997" i="10"/>
  <c r="AF997" i="10"/>
  <c r="AL261" i="10"/>
  <c r="AE261" i="10"/>
  <c r="AF261" i="10"/>
  <c r="AD261" i="10"/>
  <c r="CK261" i="10"/>
  <c r="AF517" i="10"/>
  <c r="AE517" i="10"/>
  <c r="CK517" i="10"/>
  <c r="AL517" i="10"/>
  <c r="AD517" i="10"/>
  <c r="AD773" i="10"/>
  <c r="AE773" i="10"/>
  <c r="CK773" i="10"/>
  <c r="AF773" i="10"/>
  <c r="AL773" i="10"/>
  <c r="AL277" i="10"/>
  <c r="AE277" i="10"/>
  <c r="AF277" i="10"/>
  <c r="AD277" i="10"/>
  <c r="CK277" i="10"/>
  <c r="CK533" i="10"/>
  <c r="AE533" i="10"/>
  <c r="AF533" i="10"/>
  <c r="AD533" i="10"/>
  <c r="AL533" i="10"/>
  <c r="CK789" i="10"/>
  <c r="AE789" i="10"/>
  <c r="AD789" i="10"/>
  <c r="AF789" i="10"/>
  <c r="AL789" i="10"/>
  <c r="AF81" i="10"/>
  <c r="AE81" i="10"/>
  <c r="AL81" i="10"/>
  <c r="AD81" i="10"/>
  <c r="CK81" i="10"/>
  <c r="AF145" i="10"/>
  <c r="AE145" i="10"/>
  <c r="AL145" i="10"/>
  <c r="CK145" i="10"/>
  <c r="AD145" i="10"/>
  <c r="AF209" i="10"/>
  <c r="AE209" i="10"/>
  <c r="AL209" i="10"/>
  <c r="AD209" i="10"/>
  <c r="CK209" i="10"/>
  <c r="AF273" i="10"/>
  <c r="AE273" i="10"/>
  <c r="AL273" i="10"/>
  <c r="CK273" i="10"/>
  <c r="AD273" i="10"/>
  <c r="AL337" i="10"/>
  <c r="AF337" i="10"/>
  <c r="CK337" i="10"/>
  <c r="AE337" i="10"/>
  <c r="AD337" i="10"/>
  <c r="AL401" i="10"/>
  <c r="AF401" i="10"/>
  <c r="CK401" i="10"/>
  <c r="AE401" i="10"/>
  <c r="AD401" i="10"/>
  <c r="AL465" i="10"/>
  <c r="AF465" i="10"/>
  <c r="CK465" i="10"/>
  <c r="AD465" i="10"/>
  <c r="AE465" i="10"/>
  <c r="AL529" i="10"/>
  <c r="AF529" i="10"/>
  <c r="CK529" i="10"/>
  <c r="AE529" i="10"/>
  <c r="AD529" i="10"/>
  <c r="AL593" i="10"/>
  <c r="AD593" i="10"/>
  <c r="CK593" i="10"/>
  <c r="AF593" i="10"/>
  <c r="AE593" i="10"/>
  <c r="AL657" i="10"/>
  <c r="AD657" i="10"/>
  <c r="CK657" i="10"/>
  <c r="AE657" i="10"/>
  <c r="AF657" i="10"/>
  <c r="AL721" i="10"/>
  <c r="AD721" i="10"/>
  <c r="CK721" i="10"/>
  <c r="AF721" i="10"/>
  <c r="AE721" i="10"/>
  <c r="AL785" i="10"/>
  <c r="AD785" i="10"/>
  <c r="CK785" i="10"/>
  <c r="AE785" i="10"/>
  <c r="AF785" i="10"/>
  <c r="AL849" i="10"/>
  <c r="AD849" i="10"/>
  <c r="CK849" i="10"/>
  <c r="AF849" i="10"/>
  <c r="AE849" i="10"/>
  <c r="AL913" i="10"/>
  <c r="AD913" i="10"/>
  <c r="CK913" i="10"/>
  <c r="AE913" i="10"/>
  <c r="AF913" i="10"/>
  <c r="AL977" i="10"/>
  <c r="AD977" i="10"/>
  <c r="CK977" i="10"/>
  <c r="AF977" i="10"/>
  <c r="AE977" i="10"/>
  <c r="AE57" i="10"/>
  <c r="AL57" i="10"/>
  <c r="AD57" i="10"/>
  <c r="CK57" i="10"/>
  <c r="AF57" i="10"/>
  <c r="AE121" i="10"/>
  <c r="AL121" i="10"/>
  <c r="AD121" i="10"/>
  <c r="AF121" i="10"/>
  <c r="CK121" i="10"/>
  <c r="AE185" i="10"/>
  <c r="AL185" i="10"/>
  <c r="AD185" i="10"/>
  <c r="AF185" i="10"/>
  <c r="CK185" i="10"/>
  <c r="AE249" i="10"/>
  <c r="AL249" i="10"/>
  <c r="AD249" i="10"/>
  <c r="AF249" i="10"/>
  <c r="CK249" i="10"/>
  <c r="AE313" i="10"/>
  <c r="CK313" i="10"/>
  <c r="AD313" i="10"/>
  <c r="AL313" i="10"/>
  <c r="AF313" i="10"/>
  <c r="AE377" i="10"/>
  <c r="CK377" i="10"/>
  <c r="AD377" i="10"/>
  <c r="AL377" i="10"/>
  <c r="AF377" i="10"/>
  <c r="AE441" i="10"/>
  <c r="CK441" i="10"/>
  <c r="AD441" i="10"/>
  <c r="AL441" i="10"/>
  <c r="AF441" i="10"/>
  <c r="AE505" i="10"/>
  <c r="CK505" i="10"/>
  <c r="AD505" i="10"/>
  <c r="AF505" i="10"/>
  <c r="AL505" i="10"/>
  <c r="AE569" i="10"/>
  <c r="CK569" i="10"/>
  <c r="AL569" i="10"/>
  <c r="AF569" i="10"/>
  <c r="AD569" i="10"/>
  <c r="AF633" i="10"/>
  <c r="CK633" i="10"/>
  <c r="AE633" i="10"/>
  <c r="AD633" i="10"/>
  <c r="AL633" i="10"/>
  <c r="AE697" i="10"/>
  <c r="CK697" i="10"/>
  <c r="AL697" i="10"/>
  <c r="AF697" i="10"/>
  <c r="AD697" i="10"/>
  <c r="AL761" i="10"/>
  <c r="CK761" i="10"/>
  <c r="AE761" i="10"/>
  <c r="AD761" i="10"/>
  <c r="AF761" i="10"/>
  <c r="AE825" i="10"/>
  <c r="CK825" i="10"/>
  <c r="AL825" i="10"/>
  <c r="AF825" i="10"/>
  <c r="AD825" i="10"/>
  <c r="AL889" i="10"/>
  <c r="CK889" i="10"/>
  <c r="AE889" i="10"/>
  <c r="AD889" i="10"/>
  <c r="AF889" i="10"/>
  <c r="AE953" i="10"/>
  <c r="CK953" i="10"/>
  <c r="AL953" i="10"/>
  <c r="AF953" i="10"/>
  <c r="AD953" i="10"/>
  <c r="AF77" i="10"/>
  <c r="AE77" i="10"/>
  <c r="AL77" i="10"/>
  <c r="CK77" i="10"/>
  <c r="AD77" i="10"/>
  <c r="AF141" i="10"/>
  <c r="AE141" i="10"/>
  <c r="CK141" i="10"/>
  <c r="AL141" i="10"/>
  <c r="AD141" i="10"/>
  <c r="AF205" i="10"/>
  <c r="AE205" i="10"/>
  <c r="AL205" i="10"/>
  <c r="AD205" i="10"/>
  <c r="CK205" i="10"/>
  <c r="AF269" i="10"/>
  <c r="AE269" i="10"/>
  <c r="CK269" i="10"/>
  <c r="AL269" i="10"/>
  <c r="AD269" i="10"/>
  <c r="AF333" i="10"/>
  <c r="AE333" i="10"/>
  <c r="CK333" i="10"/>
  <c r="AL333" i="10"/>
  <c r="AD333" i="10"/>
  <c r="CK397" i="10"/>
  <c r="AE397" i="10"/>
  <c r="AD397" i="10"/>
  <c r="AL397" i="10"/>
  <c r="AF397" i="10"/>
  <c r="AL461" i="10"/>
  <c r="AE461" i="10"/>
  <c r="AF461" i="10"/>
  <c r="CK461" i="10"/>
  <c r="AD461" i="10"/>
  <c r="AD525" i="10"/>
  <c r="CK525" i="10"/>
  <c r="AL525" i="10"/>
  <c r="AF525" i="10"/>
  <c r="AE525" i="10"/>
  <c r="AF589" i="10"/>
  <c r="AL589" i="10"/>
  <c r="AD589" i="10"/>
  <c r="CK589" i="10"/>
  <c r="AE589" i="10"/>
  <c r="CK653" i="10"/>
  <c r="AL653" i="10"/>
  <c r="AE653" i="10"/>
  <c r="AD653" i="10"/>
  <c r="AF653" i="10"/>
  <c r="AE717" i="10"/>
  <c r="AL717" i="10"/>
  <c r="AD717" i="10"/>
  <c r="AF717" i="10"/>
  <c r="CK717" i="10"/>
  <c r="AE781" i="10"/>
  <c r="CK781" i="10"/>
  <c r="AL781" i="10"/>
  <c r="AD781" i="10"/>
  <c r="AF781" i="10"/>
  <c r="AF845" i="10"/>
  <c r="AE845" i="10"/>
  <c r="CK845" i="10"/>
  <c r="AD845" i="10"/>
  <c r="AL845" i="10"/>
  <c r="AE909" i="10"/>
  <c r="CK909" i="10"/>
  <c r="AL909" i="10"/>
  <c r="AD909" i="10"/>
  <c r="AF909" i="10"/>
  <c r="AE973" i="10"/>
  <c r="AL973" i="10"/>
  <c r="AD973" i="10"/>
  <c r="AF973" i="10"/>
  <c r="CK973" i="10"/>
  <c r="CK50" i="10"/>
  <c r="AD50" i="10"/>
  <c r="AL50" i="10"/>
  <c r="AF50" i="10"/>
  <c r="AE50" i="10"/>
  <c r="CK66" i="10"/>
  <c r="AD66" i="10"/>
  <c r="AL66" i="10"/>
  <c r="AF66" i="10"/>
  <c r="AE66" i="10"/>
  <c r="CK82" i="10"/>
  <c r="AD82" i="10"/>
  <c r="AL82" i="10"/>
  <c r="AF82" i="10"/>
  <c r="AE82" i="10"/>
  <c r="CK98" i="10"/>
  <c r="AD98" i="10"/>
  <c r="AL98" i="10"/>
  <c r="AF98" i="10"/>
  <c r="AE98" i="10"/>
  <c r="CK114" i="10"/>
  <c r="AD114" i="10"/>
  <c r="AL114" i="10"/>
  <c r="AF114" i="10"/>
  <c r="AE114" i="10"/>
  <c r="CK130" i="10"/>
  <c r="AD130" i="10"/>
  <c r="AL130" i="10"/>
  <c r="AF130" i="10"/>
  <c r="AE130" i="10"/>
  <c r="CK146" i="10"/>
  <c r="AD146" i="10"/>
  <c r="AL146" i="10"/>
  <c r="AF146" i="10"/>
  <c r="AE146" i="10"/>
  <c r="CK162" i="10"/>
  <c r="AD162" i="10"/>
  <c r="AL162" i="10"/>
  <c r="AF162" i="10"/>
  <c r="AE162" i="10"/>
  <c r="CK178" i="10"/>
  <c r="AD178" i="10"/>
  <c r="AL178" i="10"/>
  <c r="AF178" i="10"/>
  <c r="AE178" i="10"/>
  <c r="CK194" i="10"/>
  <c r="AD194" i="10"/>
  <c r="AL194" i="10"/>
  <c r="AF194" i="10"/>
  <c r="AE194" i="10"/>
  <c r="CK210" i="10"/>
  <c r="AD210" i="10"/>
  <c r="AL210" i="10"/>
  <c r="AF210" i="10"/>
  <c r="AE210" i="10"/>
  <c r="CK226" i="10"/>
  <c r="AD226" i="10"/>
  <c r="AL226" i="10"/>
  <c r="AF226" i="10"/>
  <c r="AE226" i="10"/>
  <c r="CK242" i="10"/>
  <c r="AD242" i="10"/>
  <c r="AL242" i="10"/>
  <c r="AF242" i="10"/>
  <c r="AE242" i="10"/>
  <c r="CK258" i="10"/>
  <c r="AD258" i="10"/>
  <c r="AL258" i="10"/>
  <c r="AF258" i="10"/>
  <c r="AE258" i="10"/>
  <c r="CK274" i="10"/>
  <c r="AD274" i="10"/>
  <c r="AL274" i="10"/>
  <c r="AF274" i="10"/>
  <c r="AE274" i="10"/>
  <c r="CK290" i="10"/>
  <c r="AD290" i="10"/>
  <c r="AL290" i="10"/>
  <c r="AF290" i="10"/>
  <c r="AE290" i="10"/>
  <c r="CK306" i="10"/>
  <c r="AD306" i="10"/>
  <c r="AL306" i="10"/>
  <c r="AF306" i="10"/>
  <c r="AE306" i="10"/>
  <c r="AL322" i="10"/>
  <c r="AF322" i="10"/>
  <c r="AE322" i="10"/>
  <c r="CK322" i="10"/>
  <c r="AD322" i="10"/>
  <c r="AL338" i="10"/>
  <c r="AF338" i="10"/>
  <c r="AE338" i="10"/>
  <c r="AD338" i="10"/>
  <c r="CK338" i="10"/>
  <c r="AL354" i="10"/>
  <c r="AF354" i="10"/>
  <c r="AE354" i="10"/>
  <c r="CK354" i="10"/>
  <c r="AD354" i="10"/>
  <c r="AL370" i="10"/>
  <c r="AF370" i="10"/>
  <c r="AE370" i="10"/>
  <c r="CK370" i="10"/>
  <c r="AD370" i="10"/>
  <c r="AL386" i="10"/>
  <c r="AF386" i="10"/>
  <c r="AE386" i="10"/>
  <c r="CK386" i="10"/>
  <c r="AD386" i="10"/>
  <c r="AL402" i="10"/>
  <c r="AF402" i="10"/>
  <c r="AE402" i="10"/>
  <c r="AD402" i="10"/>
  <c r="CK402" i="10"/>
  <c r="AL418" i="10"/>
  <c r="AF418" i="10"/>
  <c r="AE418" i="10"/>
  <c r="CK418" i="10"/>
  <c r="AD418" i="10"/>
  <c r="AL434" i="10"/>
  <c r="AF434" i="10"/>
  <c r="AE434" i="10"/>
  <c r="CK434" i="10"/>
  <c r="AD434" i="10"/>
  <c r="AL450" i="10"/>
  <c r="AF450" i="10"/>
  <c r="AE450" i="10"/>
  <c r="CK450" i="10"/>
  <c r="AD450" i="10"/>
  <c r="AL466" i="10"/>
  <c r="AF466" i="10"/>
  <c r="AE466" i="10"/>
  <c r="AD466" i="10"/>
  <c r="CK466" i="10"/>
  <c r="AL482" i="10"/>
  <c r="AF482" i="10"/>
  <c r="AE482" i="10"/>
  <c r="CK482" i="10"/>
  <c r="AD482" i="10"/>
  <c r="AL498" i="10"/>
  <c r="AF498" i="10"/>
  <c r="AE498" i="10"/>
  <c r="CK498" i="10"/>
  <c r="AD498" i="10"/>
  <c r="AL514" i="10"/>
  <c r="AF514" i="10"/>
  <c r="AE514" i="10"/>
  <c r="CK514" i="10"/>
  <c r="AD514" i="10"/>
  <c r="AL530" i="10"/>
  <c r="AF530" i="10"/>
  <c r="AE530" i="10"/>
  <c r="AD530" i="10"/>
  <c r="CK530" i="10"/>
  <c r="AL546" i="10"/>
  <c r="AF546" i="10"/>
  <c r="AE546" i="10"/>
  <c r="CK546" i="10"/>
  <c r="AD546" i="10"/>
  <c r="AL562" i="10"/>
  <c r="AE562" i="10"/>
  <c r="AF562" i="10"/>
  <c r="CK562" i="10"/>
  <c r="AD562" i="10"/>
  <c r="AL578" i="10"/>
  <c r="AE578" i="10"/>
  <c r="AF578" i="10"/>
  <c r="CK578" i="10"/>
  <c r="AD578" i="10"/>
  <c r="AL594" i="10"/>
  <c r="AE594" i="10"/>
  <c r="AF594" i="10"/>
  <c r="AD594" i="10"/>
  <c r="CK594" i="10"/>
  <c r="AL610" i="10"/>
  <c r="AE610" i="10"/>
  <c r="AD610" i="10"/>
  <c r="CK610" i="10"/>
  <c r="AF610" i="10"/>
  <c r="AL626" i="10"/>
  <c r="AE626" i="10"/>
  <c r="AF626" i="10"/>
  <c r="CK626" i="10"/>
  <c r="AD626" i="10"/>
  <c r="AL642" i="10"/>
  <c r="AE642" i="10"/>
  <c r="AF642" i="10"/>
  <c r="CK642" i="10"/>
  <c r="AD642" i="10"/>
  <c r="AL658" i="10"/>
  <c r="AE658" i="10"/>
  <c r="AF658" i="10"/>
  <c r="AD658" i="10"/>
  <c r="CK658" i="10"/>
  <c r="AL674" i="10"/>
  <c r="AE674" i="10"/>
  <c r="AF674" i="10"/>
  <c r="CK674" i="10"/>
  <c r="AD674" i="10"/>
  <c r="AL690" i="10"/>
  <c r="AE690" i="10"/>
  <c r="AF690" i="10"/>
  <c r="CK690" i="10"/>
  <c r="AD690" i="10"/>
  <c r="AL706" i="10"/>
  <c r="AE706" i="10"/>
  <c r="AF706" i="10"/>
  <c r="CK706" i="10"/>
  <c r="AD706" i="10"/>
  <c r="CK722" i="10"/>
  <c r="AE722" i="10"/>
  <c r="AF722" i="10"/>
  <c r="AD722" i="10"/>
  <c r="AL722" i="10"/>
  <c r="AE738" i="10"/>
  <c r="CK738" i="10"/>
  <c r="AL738" i="10"/>
  <c r="AF738" i="10"/>
  <c r="AD738" i="10"/>
  <c r="AL754" i="10"/>
  <c r="AE754" i="10"/>
  <c r="AF754" i="10"/>
  <c r="CK754" i="10"/>
  <c r="AD754" i="10"/>
  <c r="CK770" i="10"/>
  <c r="AE770" i="10"/>
  <c r="AL770" i="10"/>
  <c r="AF770" i="10"/>
  <c r="AD770" i="10"/>
  <c r="AE786" i="10"/>
  <c r="CK786" i="10"/>
  <c r="AF786" i="10"/>
  <c r="AL786" i="10"/>
  <c r="AD786" i="10"/>
  <c r="AE802" i="10"/>
  <c r="CK802" i="10"/>
  <c r="AF802" i="10"/>
  <c r="AD802" i="10"/>
  <c r="AL802" i="10"/>
  <c r="AL818" i="10"/>
  <c r="AE818" i="10"/>
  <c r="AF818" i="10"/>
  <c r="AD818" i="10"/>
  <c r="CK818" i="10"/>
  <c r="AE834" i="10"/>
  <c r="AF834" i="10"/>
  <c r="AD834" i="10"/>
  <c r="AL834" i="10"/>
  <c r="CK834" i="10"/>
  <c r="AE850" i="10"/>
  <c r="CK850" i="10"/>
  <c r="AF850" i="10"/>
  <c r="AL850" i="10"/>
  <c r="AD850" i="10"/>
  <c r="AE866" i="10"/>
  <c r="CK866" i="10"/>
  <c r="AL866" i="10"/>
  <c r="AF866" i="10"/>
  <c r="AD866" i="10"/>
  <c r="AL882" i="10"/>
  <c r="AE882" i="10"/>
  <c r="AF882" i="10"/>
  <c r="CK882" i="10"/>
  <c r="AD882" i="10"/>
  <c r="AE898" i="10"/>
  <c r="AF898" i="10"/>
  <c r="AL898" i="10"/>
  <c r="CK898" i="10"/>
  <c r="AD898" i="10"/>
  <c r="AE914" i="10"/>
  <c r="CK914" i="10"/>
  <c r="AF914" i="10"/>
  <c r="AL914" i="10"/>
  <c r="AD914" i="10"/>
  <c r="CK930" i="10"/>
  <c r="AE930" i="10"/>
  <c r="AF930" i="10"/>
  <c r="AD930" i="10"/>
  <c r="AL930" i="10"/>
  <c r="AL946" i="10"/>
  <c r="AE946" i="10"/>
  <c r="AF946" i="10"/>
  <c r="AD946" i="10"/>
  <c r="CK946" i="10"/>
  <c r="AE962" i="10"/>
  <c r="AF962" i="10"/>
  <c r="AD962" i="10"/>
  <c r="AL962" i="10"/>
  <c r="CK962" i="10"/>
  <c r="CK978" i="10"/>
  <c r="AE978" i="10"/>
  <c r="AF978" i="10"/>
  <c r="AL978" i="10"/>
  <c r="AD978" i="10"/>
  <c r="AE994" i="10"/>
  <c r="AF994" i="10"/>
  <c r="AL994" i="10"/>
  <c r="AD994" i="10"/>
  <c r="CK994" i="10"/>
  <c r="AD47" i="10"/>
  <c r="AL47" i="10"/>
  <c r="CK47" i="10"/>
  <c r="AF47" i="10"/>
  <c r="AE47" i="10"/>
  <c r="AD63" i="10"/>
  <c r="AE63" i="10"/>
  <c r="CK63" i="10"/>
  <c r="AL63" i="10"/>
  <c r="AF63" i="10"/>
  <c r="CK79" i="10"/>
  <c r="AL79" i="10"/>
  <c r="AD79" i="10"/>
  <c r="AE79" i="10"/>
  <c r="AF79" i="10"/>
  <c r="AD95" i="10"/>
  <c r="CK95" i="10"/>
  <c r="AL95" i="10"/>
  <c r="AF95" i="10"/>
  <c r="AE95" i="10"/>
  <c r="AD111" i="10"/>
  <c r="AL111" i="10"/>
  <c r="AF111" i="10"/>
  <c r="AE111" i="10"/>
  <c r="CK111" i="10"/>
  <c r="AD127" i="10"/>
  <c r="AE127" i="10"/>
  <c r="CK127" i="10"/>
  <c r="AL127" i="10"/>
  <c r="AF127" i="10"/>
  <c r="CK143" i="10"/>
  <c r="AL143" i="10"/>
  <c r="AD143" i="10"/>
  <c r="AF143" i="10"/>
  <c r="AE143" i="10"/>
  <c r="AD159" i="10"/>
  <c r="AE159" i="10"/>
  <c r="AL159" i="10"/>
  <c r="AF159" i="10"/>
  <c r="CK159" i="10"/>
  <c r="AD175" i="10"/>
  <c r="AL175" i="10"/>
  <c r="CK175" i="10"/>
  <c r="AF175" i="10"/>
  <c r="AE175" i="10"/>
  <c r="AD191" i="10"/>
  <c r="AE191" i="10"/>
  <c r="CK191" i="10"/>
  <c r="AL191" i="10"/>
  <c r="AF191" i="10"/>
  <c r="CK207" i="10"/>
  <c r="AL207" i="10"/>
  <c r="AD207" i="10"/>
  <c r="AE207" i="10"/>
  <c r="AF207" i="10"/>
  <c r="AD223" i="10"/>
  <c r="CK223" i="10"/>
  <c r="AL223" i="10"/>
  <c r="AF223" i="10"/>
  <c r="AE223" i="10"/>
  <c r="AD239" i="10"/>
  <c r="AL239" i="10"/>
  <c r="AF239" i="10"/>
  <c r="AE239" i="10"/>
  <c r="CK239" i="10"/>
  <c r="AD255" i="10"/>
  <c r="AE255" i="10"/>
  <c r="CK255" i="10"/>
  <c r="AL255" i="10"/>
  <c r="AF255" i="10"/>
  <c r="CK271" i="10"/>
  <c r="AL271" i="10"/>
  <c r="AD271" i="10"/>
  <c r="AF271" i="10"/>
  <c r="AE271" i="10"/>
  <c r="CK287" i="10"/>
  <c r="AE287" i="10"/>
  <c r="AD287" i="10"/>
  <c r="AL287" i="10"/>
  <c r="AF287" i="10"/>
  <c r="AD303" i="10"/>
  <c r="AL303" i="10"/>
  <c r="CK303" i="10"/>
  <c r="AF303" i="10"/>
  <c r="AE303" i="10"/>
  <c r="AD319" i="10"/>
  <c r="CK319" i="10"/>
  <c r="AL319" i="10"/>
  <c r="AF319" i="10"/>
  <c r="AE319" i="10"/>
  <c r="CK335" i="10"/>
  <c r="AL335" i="10"/>
  <c r="AD335" i="10"/>
  <c r="AE335" i="10"/>
  <c r="AF335" i="10"/>
  <c r="AD351" i="10"/>
  <c r="AE351" i="10"/>
  <c r="CK351" i="10"/>
  <c r="AL351" i="10"/>
  <c r="AF351" i="10"/>
  <c r="AD367" i="10"/>
  <c r="AL367" i="10"/>
  <c r="CK367" i="10"/>
  <c r="AE367" i="10"/>
  <c r="AF367" i="10"/>
  <c r="AD383" i="10"/>
  <c r="AE383" i="10"/>
  <c r="AL383" i="10"/>
  <c r="AF383" i="10"/>
  <c r="CK383" i="10"/>
  <c r="CK399" i="10"/>
  <c r="AL399" i="10"/>
  <c r="AD399" i="10"/>
  <c r="AE399" i="10"/>
  <c r="AF399" i="10"/>
  <c r="AD415" i="10"/>
  <c r="CK415" i="10"/>
  <c r="AL415" i="10"/>
  <c r="AF415" i="10"/>
  <c r="AE415" i="10"/>
  <c r="AL431" i="10"/>
  <c r="CK431" i="10"/>
  <c r="AD431" i="10"/>
  <c r="AE431" i="10"/>
  <c r="AF431" i="10"/>
  <c r="CK447" i="10"/>
  <c r="AE447" i="10"/>
  <c r="AD447" i="10"/>
  <c r="AF447" i="10"/>
  <c r="AL447" i="10"/>
  <c r="CK463" i="10"/>
  <c r="AE463" i="10"/>
  <c r="AD463" i="10"/>
  <c r="AF463" i="10"/>
  <c r="AL463" i="10"/>
  <c r="AD479" i="10"/>
  <c r="AE479" i="10"/>
  <c r="AL479" i="10"/>
  <c r="AF479" i="10"/>
  <c r="CK479" i="10"/>
  <c r="CK495" i="10"/>
  <c r="AE495" i="10"/>
  <c r="AL495" i="10"/>
  <c r="AF495" i="10"/>
  <c r="AD495" i="10"/>
  <c r="AD511" i="10"/>
  <c r="AL511" i="10"/>
  <c r="CK511" i="10"/>
  <c r="AF511" i="10"/>
  <c r="AE511" i="10"/>
  <c r="CK527" i="10"/>
  <c r="AL527" i="10"/>
  <c r="AD527" i="10"/>
  <c r="AE527" i="10"/>
  <c r="AF527" i="10"/>
  <c r="CK543" i="10"/>
  <c r="AE543" i="10"/>
  <c r="AD543" i="10"/>
  <c r="AL543" i="10"/>
  <c r="AF543" i="10"/>
  <c r="AF559" i="10"/>
  <c r="AD559" i="10"/>
  <c r="AL559" i="10"/>
  <c r="CK559" i="10"/>
  <c r="AE559" i="10"/>
  <c r="AF575" i="10"/>
  <c r="AD575" i="10"/>
  <c r="AE575" i="10"/>
  <c r="CK575" i="10"/>
  <c r="AL575" i="10"/>
  <c r="CK591" i="10"/>
  <c r="AD591" i="10"/>
  <c r="AF591" i="10"/>
  <c r="AL591" i="10"/>
  <c r="AE591" i="10"/>
  <c r="AF607" i="10"/>
  <c r="AD607" i="10"/>
  <c r="AE607" i="10"/>
  <c r="CK607" i="10"/>
  <c r="AL607" i="10"/>
  <c r="AF623" i="10"/>
  <c r="AD623" i="10"/>
  <c r="AL623" i="10"/>
  <c r="CK623" i="10"/>
  <c r="AE623" i="10"/>
  <c r="AF639" i="10"/>
  <c r="AD639" i="10"/>
  <c r="AE639" i="10"/>
  <c r="CK639" i="10"/>
  <c r="AL639" i="10"/>
  <c r="CK655" i="10"/>
  <c r="AL655" i="10"/>
  <c r="AF655" i="10"/>
  <c r="AD655" i="10"/>
  <c r="AE655" i="10"/>
  <c r="AF671" i="10"/>
  <c r="CK671" i="10"/>
  <c r="AE671" i="10"/>
  <c r="AL671" i="10"/>
  <c r="AD671" i="10"/>
  <c r="AF687" i="10"/>
  <c r="CK687" i="10"/>
  <c r="AL687" i="10"/>
  <c r="AD687" i="10"/>
  <c r="AE687" i="10"/>
  <c r="AF703" i="10"/>
  <c r="AL703" i="10"/>
  <c r="CK703" i="10"/>
  <c r="AE703" i="10"/>
  <c r="AD703" i="10"/>
  <c r="CK719" i="10"/>
  <c r="AL719" i="10"/>
  <c r="AF719" i="10"/>
  <c r="AD719" i="10"/>
  <c r="AE719" i="10"/>
  <c r="CK735" i="10"/>
  <c r="AD735" i="10"/>
  <c r="AF735" i="10"/>
  <c r="AE735" i="10"/>
  <c r="AL735" i="10"/>
  <c r="CK751" i="10"/>
  <c r="AD751" i="10"/>
  <c r="AF751" i="10"/>
  <c r="AE751" i="10"/>
  <c r="AL751" i="10"/>
  <c r="CK767" i="10"/>
  <c r="AL767" i="10"/>
  <c r="AF767" i="10"/>
  <c r="AE767" i="10"/>
  <c r="AD767" i="10"/>
  <c r="CK783" i="10"/>
  <c r="AL783" i="10"/>
  <c r="AF783" i="10"/>
  <c r="AD783" i="10"/>
  <c r="AE783" i="10"/>
  <c r="CK799" i="10"/>
  <c r="AD799" i="10"/>
  <c r="AF799" i="10"/>
  <c r="AE799" i="10"/>
  <c r="AL799" i="10"/>
  <c r="CK815" i="10"/>
  <c r="AD815" i="10"/>
  <c r="AF815" i="10"/>
  <c r="AE815" i="10"/>
  <c r="AL815" i="10"/>
  <c r="CK831" i="10"/>
  <c r="AL831" i="10"/>
  <c r="AF831" i="10"/>
  <c r="AE831" i="10"/>
  <c r="AD831" i="10"/>
  <c r="CK847" i="10"/>
  <c r="AL847" i="10"/>
  <c r="AF847" i="10"/>
  <c r="AD847" i="10"/>
  <c r="AE847" i="10"/>
  <c r="CK863" i="10"/>
  <c r="AD863" i="10"/>
  <c r="AF863" i="10"/>
  <c r="AE863" i="10"/>
  <c r="AL863" i="10"/>
  <c r="CK879" i="10"/>
  <c r="AD879" i="10"/>
  <c r="AF879" i="10"/>
  <c r="AE879" i="10"/>
  <c r="AL879" i="10"/>
  <c r="CK895" i="10"/>
  <c r="AL895" i="10"/>
  <c r="AF895" i="10"/>
  <c r="AE895" i="10"/>
  <c r="AD895" i="10"/>
  <c r="CK911" i="10"/>
  <c r="AL911" i="10"/>
  <c r="AF911" i="10"/>
  <c r="AD911" i="10"/>
  <c r="AE911" i="10"/>
  <c r="CK927" i="10"/>
  <c r="AD927" i="10"/>
  <c r="AF927" i="10"/>
  <c r="AE927" i="10"/>
  <c r="AL927" i="10"/>
  <c r="CK943" i="10"/>
  <c r="AD943" i="10"/>
  <c r="AF943" i="10"/>
  <c r="AE943" i="10"/>
  <c r="AL943" i="10"/>
  <c r="CK959" i="10"/>
  <c r="AL959" i="10"/>
  <c r="AF959" i="10"/>
  <c r="AE959" i="10"/>
  <c r="AD959" i="10"/>
  <c r="CK975" i="10"/>
  <c r="AL975" i="10"/>
  <c r="AF975" i="10"/>
  <c r="AD975" i="10"/>
  <c r="AE975" i="10"/>
  <c r="CK991" i="10"/>
  <c r="AD991" i="10"/>
  <c r="AF991" i="10"/>
  <c r="AE991" i="10"/>
  <c r="AL991" i="10"/>
  <c r="AL48" i="10"/>
  <c r="AF48" i="10"/>
  <c r="CK48" i="10"/>
  <c r="AD48" i="10"/>
  <c r="AE48" i="10"/>
  <c r="AL64" i="10"/>
  <c r="AF64" i="10"/>
  <c r="AE64" i="10"/>
  <c r="AD64" i="10"/>
  <c r="CK64" i="10"/>
  <c r="AL80" i="10"/>
  <c r="AF80" i="10"/>
  <c r="CK80" i="10"/>
  <c r="AE80" i="10"/>
  <c r="AD80" i="10"/>
  <c r="AL96" i="10"/>
  <c r="AF96" i="10"/>
  <c r="AE96" i="10"/>
  <c r="AD96" i="10"/>
  <c r="CK96" i="10"/>
  <c r="AL112" i="10"/>
  <c r="AF112" i="10"/>
  <c r="CK112" i="10"/>
  <c r="AD112" i="10"/>
  <c r="AE112" i="10"/>
  <c r="AL128" i="10"/>
  <c r="AF128" i="10"/>
  <c r="AE128" i="10"/>
  <c r="AD128" i="10"/>
  <c r="CK128" i="10"/>
  <c r="AL144" i="10"/>
  <c r="AF144" i="10"/>
  <c r="CK144" i="10"/>
  <c r="AE144" i="10"/>
  <c r="AD144" i="10"/>
  <c r="AL160" i="10"/>
  <c r="AF160" i="10"/>
  <c r="AE160" i="10"/>
  <c r="AD160" i="10"/>
  <c r="CK160" i="10"/>
  <c r="AL176" i="10"/>
  <c r="AF176" i="10"/>
  <c r="CK176" i="10"/>
  <c r="AD176" i="10"/>
  <c r="AE176" i="10"/>
  <c r="AL192" i="10"/>
  <c r="AF192" i="10"/>
  <c r="AE192" i="10"/>
  <c r="AD192" i="10"/>
  <c r="CK192" i="10"/>
  <c r="AL208" i="10"/>
  <c r="AF208" i="10"/>
  <c r="CK208" i="10"/>
  <c r="AD208" i="10"/>
  <c r="AE208" i="10"/>
  <c r="AL224" i="10"/>
  <c r="AF224" i="10"/>
  <c r="AE224" i="10"/>
  <c r="AD224" i="10"/>
  <c r="CK224" i="10"/>
  <c r="AL240" i="10"/>
  <c r="AF240" i="10"/>
  <c r="CK240" i="10"/>
  <c r="AD240" i="10"/>
  <c r="AE240" i="10"/>
  <c r="AL256" i="10"/>
  <c r="AF256" i="10"/>
  <c r="AE256" i="10"/>
  <c r="AD256" i="10"/>
  <c r="CK256" i="10"/>
  <c r="AL272" i="10"/>
  <c r="AF272" i="10"/>
  <c r="CK272" i="10"/>
  <c r="AE272" i="10"/>
  <c r="AD272" i="10"/>
  <c r="CK288" i="10"/>
  <c r="AF288" i="10"/>
  <c r="AL288" i="10"/>
  <c r="AD288" i="10"/>
  <c r="AE288" i="10"/>
  <c r="AL304" i="10"/>
  <c r="AF304" i="10"/>
  <c r="CK304" i="10"/>
  <c r="AD304" i="10"/>
  <c r="AE304" i="10"/>
  <c r="AL320" i="10"/>
  <c r="AF320" i="10"/>
  <c r="AE320" i="10"/>
  <c r="AD320" i="10"/>
  <c r="CK320" i="10"/>
  <c r="AF336" i="10"/>
  <c r="CK336" i="10"/>
  <c r="AE336" i="10"/>
  <c r="AL336" i="10"/>
  <c r="AD336" i="10"/>
  <c r="AL352" i="10"/>
  <c r="AF352" i="10"/>
  <c r="AE352" i="10"/>
  <c r="AD352" i="10"/>
  <c r="CK352" i="10"/>
  <c r="AL368" i="10"/>
  <c r="AF368" i="10"/>
  <c r="AE368" i="10"/>
  <c r="AD368" i="10"/>
  <c r="CK368" i="10"/>
  <c r="AL384" i="10"/>
  <c r="AF384" i="10"/>
  <c r="AE384" i="10"/>
  <c r="AD384" i="10"/>
  <c r="CK384" i="10"/>
  <c r="AL400" i="10"/>
  <c r="AF400" i="10"/>
  <c r="CK400" i="10"/>
  <c r="AE400" i="10"/>
  <c r="AD400" i="10"/>
  <c r="CK416" i="10"/>
  <c r="AF416" i="10"/>
  <c r="AE416" i="10"/>
  <c r="AD416" i="10"/>
  <c r="AL416" i="10"/>
  <c r="CK432" i="10"/>
  <c r="AF432" i="10"/>
  <c r="AE432" i="10"/>
  <c r="AD432" i="10"/>
  <c r="AL432" i="10"/>
  <c r="AL448" i="10"/>
  <c r="AF448" i="10"/>
  <c r="AE448" i="10"/>
  <c r="AD448" i="10"/>
  <c r="CK448" i="10"/>
  <c r="AL464" i="10"/>
  <c r="AF464" i="10"/>
  <c r="AE464" i="10"/>
  <c r="AD464" i="10"/>
  <c r="CK464" i="10"/>
  <c r="CK480" i="10"/>
  <c r="AF480" i="10"/>
  <c r="AE480" i="10"/>
  <c r="AD480" i="10"/>
  <c r="AL480" i="10"/>
  <c r="AF496" i="10"/>
  <c r="AL496" i="10"/>
  <c r="AE496" i="10"/>
  <c r="AD496" i="10"/>
  <c r="CK496" i="10"/>
  <c r="AL512" i="10"/>
  <c r="AF512" i="10"/>
  <c r="AE512" i="10"/>
  <c r="AD512" i="10"/>
  <c r="CK512" i="10"/>
  <c r="CK528" i="10"/>
  <c r="AF528" i="10"/>
  <c r="AE528" i="10"/>
  <c r="AL528" i="10"/>
  <c r="AD528" i="10"/>
  <c r="AF544" i="10"/>
  <c r="CK544" i="10"/>
  <c r="AE544" i="10"/>
  <c r="AD544" i="10"/>
  <c r="AL544" i="10"/>
  <c r="AL560" i="10"/>
  <c r="AD560" i="10"/>
  <c r="CK560" i="10"/>
  <c r="AF560" i="10"/>
  <c r="AE560" i="10"/>
  <c r="AF576" i="10"/>
  <c r="AE576" i="10"/>
  <c r="AL576" i="10"/>
  <c r="AD576" i="10"/>
  <c r="CK576" i="10"/>
  <c r="AF592" i="10"/>
  <c r="AE592" i="10"/>
  <c r="AL592" i="10"/>
  <c r="CK592" i="10"/>
  <c r="AD592" i="10"/>
  <c r="AD608" i="10"/>
  <c r="AF608" i="10"/>
  <c r="AL608" i="10"/>
  <c r="AE608" i="10"/>
  <c r="CK608" i="10"/>
  <c r="AD624" i="10"/>
  <c r="AL624" i="10"/>
  <c r="CK624" i="10"/>
  <c r="AF624" i="10"/>
  <c r="AE624" i="10"/>
  <c r="AE640" i="10"/>
  <c r="AL640" i="10"/>
  <c r="AF640" i="10"/>
  <c r="AD640" i="10"/>
  <c r="CK640" i="10"/>
  <c r="AF656" i="10"/>
  <c r="AE656" i="10"/>
  <c r="CK656" i="10"/>
  <c r="AL656" i="10"/>
  <c r="AD656" i="10"/>
  <c r="AF672" i="10"/>
  <c r="AE672" i="10"/>
  <c r="CK672" i="10"/>
  <c r="AD672" i="10"/>
  <c r="AL672" i="10"/>
  <c r="AL688" i="10"/>
  <c r="AE688" i="10"/>
  <c r="AF688" i="10"/>
  <c r="AD688" i="10"/>
  <c r="CK688" i="10"/>
  <c r="AL704" i="10"/>
  <c r="AE704" i="10"/>
  <c r="AF704" i="10"/>
  <c r="AD704" i="10"/>
  <c r="CK704" i="10"/>
  <c r="CK720" i="10"/>
  <c r="AE720" i="10"/>
  <c r="AL720" i="10"/>
  <c r="AD720" i="10"/>
  <c r="AF720" i="10"/>
  <c r="AF736" i="10"/>
  <c r="AE736" i="10"/>
  <c r="CK736" i="10"/>
  <c r="AD736" i="10"/>
  <c r="AL736" i="10"/>
  <c r="AE752" i="10"/>
  <c r="AL752" i="10"/>
  <c r="CK752" i="10"/>
  <c r="AD752" i="10"/>
  <c r="AF752" i="10"/>
  <c r="AE768" i="10"/>
  <c r="AD768" i="10"/>
  <c r="AF768" i="10"/>
  <c r="AL768" i="10"/>
  <c r="CK768" i="10"/>
  <c r="CK784" i="10"/>
  <c r="AE784" i="10"/>
  <c r="AL784" i="10"/>
  <c r="AF784" i="10"/>
  <c r="AD784" i="10"/>
  <c r="AF800" i="10"/>
  <c r="AE800" i="10"/>
  <c r="CK800" i="10"/>
  <c r="AD800" i="10"/>
  <c r="AL800" i="10"/>
  <c r="AL816" i="10"/>
  <c r="AE816" i="10"/>
  <c r="CK816" i="10"/>
  <c r="AD816" i="10"/>
  <c r="AF816" i="10"/>
  <c r="AL832" i="10"/>
  <c r="AE832" i="10"/>
  <c r="AF832" i="10"/>
  <c r="AD832" i="10"/>
  <c r="CK832" i="10"/>
  <c r="CK848" i="10"/>
  <c r="AE848" i="10"/>
  <c r="AL848" i="10"/>
  <c r="AF848" i="10"/>
  <c r="AD848" i="10"/>
  <c r="AF864" i="10"/>
  <c r="AE864" i="10"/>
  <c r="AD864" i="10"/>
  <c r="AL864" i="10"/>
  <c r="CK864" i="10"/>
  <c r="AE880" i="10"/>
  <c r="AL880" i="10"/>
  <c r="AF880" i="10"/>
  <c r="AD880" i="10"/>
  <c r="CK880" i="10"/>
  <c r="AE896" i="10"/>
  <c r="AD896" i="10"/>
  <c r="AL896" i="10"/>
  <c r="CK896" i="10"/>
  <c r="AF896" i="10"/>
  <c r="AF912" i="10"/>
  <c r="AE912" i="10"/>
  <c r="CK912" i="10"/>
  <c r="AD912" i="10"/>
  <c r="AL912" i="10"/>
  <c r="AF928" i="10"/>
  <c r="AE928" i="10"/>
  <c r="AD928" i="10"/>
  <c r="CK928" i="10"/>
  <c r="AL928" i="10"/>
  <c r="AE944" i="10"/>
  <c r="CK944" i="10"/>
  <c r="AF944" i="10"/>
  <c r="AL944" i="10"/>
  <c r="AD944" i="10"/>
  <c r="AL960" i="10"/>
  <c r="AE960" i="10"/>
  <c r="AD960" i="10"/>
  <c r="CK960" i="10"/>
  <c r="AF960" i="10"/>
  <c r="AF976" i="10"/>
  <c r="AE976" i="10"/>
  <c r="CK976" i="10"/>
  <c r="AL976" i="10"/>
  <c r="AD976" i="10"/>
  <c r="AF992" i="10"/>
  <c r="AE992" i="10"/>
  <c r="AD992" i="10"/>
  <c r="AL992" i="10"/>
  <c r="CK992" i="10"/>
  <c r="AL165" i="10"/>
  <c r="AE165" i="10"/>
  <c r="CK165" i="10"/>
  <c r="AF165" i="10"/>
  <c r="AD165" i="10"/>
  <c r="AL53" i="10"/>
  <c r="AE53" i="10"/>
  <c r="AF53" i="10"/>
  <c r="CK53" i="10"/>
  <c r="AD53" i="10"/>
  <c r="AD565" i="10"/>
  <c r="AF565" i="10"/>
  <c r="AL565" i="10"/>
  <c r="CK565" i="10"/>
  <c r="AE565" i="10"/>
  <c r="AD821" i="10"/>
  <c r="CK821" i="10"/>
  <c r="AL821" i="10"/>
  <c r="AE821" i="10"/>
  <c r="AF821" i="10"/>
  <c r="AD869" i="10"/>
  <c r="AE869" i="10"/>
  <c r="AL869" i="10"/>
  <c r="AF869" i="10"/>
  <c r="CK869" i="10"/>
  <c r="AF453" i="10"/>
  <c r="AE453" i="10"/>
  <c r="CK453" i="10"/>
  <c r="AD453" i="10"/>
  <c r="AL453" i="10"/>
  <c r="AL213" i="10"/>
  <c r="AE213" i="10"/>
  <c r="AF213" i="10"/>
  <c r="AD213" i="10"/>
  <c r="CK213" i="10"/>
  <c r="G1013" i="10"/>
  <c r="T54" i="17" s="1"/>
  <c r="G1014" i="10"/>
  <c r="T55" i="17" s="1"/>
  <c r="AL357" i="10"/>
  <c r="AE357" i="10"/>
  <c r="AF357" i="10"/>
  <c r="CK357" i="10"/>
  <c r="AD357" i="10"/>
  <c r="AD805" i="10"/>
  <c r="AE805" i="10"/>
  <c r="AL805" i="10"/>
  <c r="CK805" i="10"/>
  <c r="AF805" i="10"/>
  <c r="AL181" i="10"/>
  <c r="AE181" i="10"/>
  <c r="AF181" i="10"/>
  <c r="CK181" i="10"/>
  <c r="AD181" i="10"/>
  <c r="CK437" i="10"/>
  <c r="AE437" i="10"/>
  <c r="AL437" i="10"/>
  <c r="AD437" i="10"/>
  <c r="AF437" i="10"/>
  <c r="AD693" i="10"/>
  <c r="AE693" i="10"/>
  <c r="CK693" i="10"/>
  <c r="AF693" i="10"/>
  <c r="AL693" i="10"/>
  <c r="CK949" i="10"/>
  <c r="AE949" i="10"/>
  <c r="AD949" i="10"/>
  <c r="AF949" i="10"/>
  <c r="AL949" i="10"/>
  <c r="AF549" i="10"/>
  <c r="AE549" i="10"/>
  <c r="CK549" i="10"/>
  <c r="AL549" i="10"/>
  <c r="AD549" i="10"/>
  <c r="AL69" i="10"/>
  <c r="AE69" i="10"/>
  <c r="AF69" i="10"/>
  <c r="AD69" i="10"/>
  <c r="CK69" i="10"/>
  <c r="AL325" i="10"/>
  <c r="AE325" i="10"/>
  <c r="AF325" i="10"/>
  <c r="AD325" i="10"/>
  <c r="CK325" i="10"/>
  <c r="AD581" i="10"/>
  <c r="AL581" i="10"/>
  <c r="AF581" i="10"/>
  <c r="AE581" i="10"/>
  <c r="CK581" i="10"/>
  <c r="AD837" i="10"/>
  <c r="AE837" i="10"/>
  <c r="CK837" i="10"/>
  <c r="AF837" i="10"/>
  <c r="AL837" i="10"/>
  <c r="AL85" i="10"/>
  <c r="AE85" i="10"/>
  <c r="AF85" i="10"/>
  <c r="AD85" i="10"/>
  <c r="CK85" i="10"/>
  <c r="CK341" i="10"/>
  <c r="AE341" i="10"/>
  <c r="AL341" i="10"/>
  <c r="AD341" i="10"/>
  <c r="AF341" i="10"/>
  <c r="CK597" i="10"/>
  <c r="AE597" i="10"/>
  <c r="AD597" i="10"/>
  <c r="AL597" i="10"/>
  <c r="AF597" i="10"/>
  <c r="CK853" i="10"/>
  <c r="AL853" i="10"/>
  <c r="AD853" i="10"/>
  <c r="AE853" i="10"/>
  <c r="AF853" i="10"/>
  <c r="AF97" i="10"/>
  <c r="AE97" i="10"/>
  <c r="CK97" i="10"/>
  <c r="AL97" i="10"/>
  <c r="AD97" i="10"/>
  <c r="AF161" i="10"/>
  <c r="CK161" i="10"/>
  <c r="AD161" i="10"/>
  <c r="AE161" i="10"/>
  <c r="AL161" i="10"/>
  <c r="AF225" i="10"/>
  <c r="AE225" i="10"/>
  <c r="CK225" i="10"/>
  <c r="AL225" i="10"/>
  <c r="AD225" i="10"/>
  <c r="AL289" i="10"/>
  <c r="AF289" i="10"/>
  <c r="AD289" i="10"/>
  <c r="AE289" i="10"/>
  <c r="CK289" i="10"/>
  <c r="AL353" i="10"/>
  <c r="AF353" i="10"/>
  <c r="AD353" i="10"/>
  <c r="AE353" i="10"/>
  <c r="CK353" i="10"/>
  <c r="AL417" i="10"/>
  <c r="AF417" i="10"/>
  <c r="AD417" i="10"/>
  <c r="AE417" i="10"/>
  <c r="CK417" i="10"/>
  <c r="AL481" i="10"/>
  <c r="AF481" i="10"/>
  <c r="AD481" i="10"/>
  <c r="CK481" i="10"/>
  <c r="AE481" i="10"/>
  <c r="AL545" i="10"/>
  <c r="AF545" i="10"/>
  <c r="AD545" i="10"/>
  <c r="CK545" i="10"/>
  <c r="AE545" i="10"/>
  <c r="AL609" i="10"/>
  <c r="AD609" i="10"/>
  <c r="AF609" i="10"/>
  <c r="CK609" i="10"/>
  <c r="AE609" i="10"/>
  <c r="AL673" i="10"/>
  <c r="AD673" i="10"/>
  <c r="AF673" i="10"/>
  <c r="CK673" i="10"/>
  <c r="AE673" i="10"/>
  <c r="AL737" i="10"/>
  <c r="AD737" i="10"/>
  <c r="AF737" i="10"/>
  <c r="CK737" i="10"/>
  <c r="AE737" i="10"/>
  <c r="AL801" i="10"/>
  <c r="AD801" i="10"/>
  <c r="AF801" i="10"/>
  <c r="CK801" i="10"/>
  <c r="AE801" i="10"/>
  <c r="AL865" i="10"/>
  <c r="AD865" i="10"/>
  <c r="AF865" i="10"/>
  <c r="CK865" i="10"/>
  <c r="AE865" i="10"/>
  <c r="AL929" i="10"/>
  <c r="AD929" i="10"/>
  <c r="AF929" i="10"/>
  <c r="CK929" i="10"/>
  <c r="AE929" i="10"/>
  <c r="AL993" i="10"/>
  <c r="AD993" i="10"/>
  <c r="AF993" i="10"/>
  <c r="CK993" i="10"/>
  <c r="AE993" i="10"/>
  <c r="AE73" i="10"/>
  <c r="AL73" i="10"/>
  <c r="AD73" i="10"/>
  <c r="AF73" i="10"/>
  <c r="CK73" i="10"/>
  <c r="AE137" i="10"/>
  <c r="AL137" i="10"/>
  <c r="AD137" i="10"/>
  <c r="AF137" i="10"/>
  <c r="CK137" i="10"/>
  <c r="AE201" i="10"/>
  <c r="AL201" i="10"/>
  <c r="AD201" i="10"/>
  <c r="AF201" i="10"/>
  <c r="CK201" i="10"/>
  <c r="AE265" i="10"/>
  <c r="AL265" i="10"/>
  <c r="AD265" i="10"/>
  <c r="AF265" i="10"/>
  <c r="CK265" i="10"/>
  <c r="AE329" i="10"/>
  <c r="AL329" i="10"/>
  <c r="AD329" i="10"/>
  <c r="CK329" i="10"/>
  <c r="AF329" i="10"/>
  <c r="CK393" i="10"/>
  <c r="AL393" i="10"/>
  <c r="AD393" i="10"/>
  <c r="AE393" i="10"/>
  <c r="AF393" i="10"/>
  <c r="AE457" i="10"/>
  <c r="CK457" i="10"/>
  <c r="AD457" i="10"/>
  <c r="AL457" i="10"/>
  <c r="AF457" i="10"/>
  <c r="AE521" i="10"/>
  <c r="AF521" i="10"/>
  <c r="AD521" i="10"/>
  <c r="AL521" i="10"/>
  <c r="CK521" i="10"/>
  <c r="CK585" i="10"/>
  <c r="AD585" i="10"/>
  <c r="AE585" i="10"/>
  <c r="AF585" i="10"/>
  <c r="AL585" i="10"/>
  <c r="AF649" i="10"/>
  <c r="AD649" i="10"/>
  <c r="AE649" i="10"/>
  <c r="CK649" i="10"/>
  <c r="AL649" i="10"/>
  <c r="AF713" i="10"/>
  <c r="CK713" i="10"/>
  <c r="AE713" i="10"/>
  <c r="AL713" i="10"/>
  <c r="AD713" i="10"/>
  <c r="AF777" i="10"/>
  <c r="AD777" i="10"/>
  <c r="AE777" i="10"/>
  <c r="AL777" i="10"/>
  <c r="CK777" i="10"/>
  <c r="AF841" i="10"/>
  <c r="AD841" i="10"/>
  <c r="AE841" i="10"/>
  <c r="AL841" i="10"/>
  <c r="CK841" i="10"/>
  <c r="AF905" i="10"/>
  <c r="AD905" i="10"/>
  <c r="AE905" i="10"/>
  <c r="AL905" i="10"/>
  <c r="CK905" i="10"/>
  <c r="AF969" i="10"/>
  <c r="CK969" i="10"/>
  <c r="AE969" i="10"/>
  <c r="AL969" i="10"/>
  <c r="AD969" i="10"/>
  <c r="AF93" i="10"/>
  <c r="AE93" i="10"/>
  <c r="AL93" i="10"/>
  <c r="AD93" i="10"/>
  <c r="CK93" i="10"/>
  <c r="AF157" i="10"/>
  <c r="AE157" i="10"/>
  <c r="AL157" i="10"/>
  <c r="CK157" i="10"/>
  <c r="AD157" i="10"/>
  <c r="AF221" i="10"/>
  <c r="AE221" i="10"/>
  <c r="AL221" i="10"/>
  <c r="AD221" i="10"/>
  <c r="CK221" i="10"/>
  <c r="AF285" i="10"/>
  <c r="AE285" i="10"/>
  <c r="AL285" i="10"/>
  <c r="AD285" i="10"/>
  <c r="CK285" i="10"/>
  <c r="AF349" i="10"/>
  <c r="AE349" i="10"/>
  <c r="AL349" i="10"/>
  <c r="AD349" i="10"/>
  <c r="CK349" i="10"/>
  <c r="AE413" i="10"/>
  <c r="AL413" i="10"/>
  <c r="AF413" i="10"/>
  <c r="CK413" i="10"/>
  <c r="AD413" i="10"/>
  <c r="AL477" i="10"/>
  <c r="AE477" i="10"/>
  <c r="AF477" i="10"/>
  <c r="CK477" i="10"/>
  <c r="AD477" i="10"/>
  <c r="AE541" i="10"/>
  <c r="AL541" i="10"/>
  <c r="AF541" i="10"/>
  <c r="CK541" i="10"/>
  <c r="AD541" i="10"/>
  <c r="AF605" i="10"/>
  <c r="AL605" i="10"/>
  <c r="AD605" i="10"/>
  <c r="CK605" i="10"/>
  <c r="AE605" i="10"/>
  <c r="AF669" i="10"/>
  <c r="AE669" i="10"/>
  <c r="AD669" i="10"/>
  <c r="CK669" i="10"/>
  <c r="AL669" i="10"/>
  <c r="AF733" i="10"/>
  <c r="AE733" i="10"/>
  <c r="AD733" i="10"/>
  <c r="CK733" i="10"/>
  <c r="AL733" i="10"/>
  <c r="AF797" i="10"/>
  <c r="AE797" i="10"/>
  <c r="AD797" i="10"/>
  <c r="CK797" i="10"/>
  <c r="AL797" i="10"/>
  <c r="AF861" i="10"/>
  <c r="AE861" i="10"/>
  <c r="AD861" i="10"/>
  <c r="CK861" i="10"/>
  <c r="AL861" i="10"/>
  <c r="AF925" i="10"/>
  <c r="AE925" i="10"/>
  <c r="AD925" i="10"/>
  <c r="CK925" i="10"/>
  <c r="AL925" i="10"/>
  <c r="AF989" i="10"/>
  <c r="AE989" i="10"/>
  <c r="AD989" i="10"/>
  <c r="CK989" i="10"/>
  <c r="AL989" i="10"/>
  <c r="CK54" i="10"/>
  <c r="AL54" i="10"/>
  <c r="AD54" i="10"/>
  <c r="AF54" i="10"/>
  <c r="AE54" i="10"/>
  <c r="AE70" i="10"/>
  <c r="CK70" i="10"/>
  <c r="AD70" i="10"/>
  <c r="AL70" i="10"/>
  <c r="AF70" i="10"/>
  <c r="AE86" i="10"/>
  <c r="CK86" i="10"/>
  <c r="AD86" i="10"/>
  <c r="AL86" i="10"/>
  <c r="AF86" i="10"/>
  <c r="AE102" i="10"/>
  <c r="AL102" i="10"/>
  <c r="AD102" i="10"/>
  <c r="AF102" i="10"/>
  <c r="CK102" i="10"/>
  <c r="AE118" i="10"/>
  <c r="AL118" i="10"/>
  <c r="AD118" i="10"/>
  <c r="CK118" i="10"/>
  <c r="AF118" i="10"/>
  <c r="AE134" i="10"/>
  <c r="CK134" i="10"/>
  <c r="AD134" i="10"/>
  <c r="AL134" i="10"/>
  <c r="AF134" i="10"/>
  <c r="AE150" i="10"/>
  <c r="CK150" i="10"/>
  <c r="AD150" i="10"/>
  <c r="AL150" i="10"/>
  <c r="AF150" i="10"/>
  <c r="AD166" i="10"/>
  <c r="AL166" i="10"/>
  <c r="CK166" i="10"/>
  <c r="AF166" i="10"/>
  <c r="AE166" i="10"/>
  <c r="CK182" i="10"/>
  <c r="AL182" i="10"/>
  <c r="AD182" i="10"/>
  <c r="AF182" i="10"/>
  <c r="AE182" i="10"/>
  <c r="AE198" i="10"/>
  <c r="CK198" i="10"/>
  <c r="AD198" i="10"/>
  <c r="AL198" i="10"/>
  <c r="AF198" i="10"/>
  <c r="AE214" i="10"/>
  <c r="CK214" i="10"/>
  <c r="AD214" i="10"/>
  <c r="AL214" i="10"/>
  <c r="AF214" i="10"/>
  <c r="AE230" i="10"/>
  <c r="AL230" i="10"/>
  <c r="AD230" i="10"/>
  <c r="AF230" i="10"/>
  <c r="CK230" i="10"/>
  <c r="AE246" i="10"/>
  <c r="AL246" i="10"/>
  <c r="AD246" i="10"/>
  <c r="CK246" i="10"/>
  <c r="AF246" i="10"/>
  <c r="AE262" i="10"/>
  <c r="CK262" i="10"/>
  <c r="AD262" i="10"/>
  <c r="AL262" i="10"/>
  <c r="AF262" i="10"/>
  <c r="AE278" i="10"/>
  <c r="CK278" i="10"/>
  <c r="AD278" i="10"/>
  <c r="AL278" i="10"/>
  <c r="AF278" i="10"/>
  <c r="AE294" i="10"/>
  <c r="CK294" i="10"/>
  <c r="AD294" i="10"/>
  <c r="AL294" i="10"/>
  <c r="AF294" i="10"/>
  <c r="AE310" i="10"/>
  <c r="CK310" i="10"/>
  <c r="AD310" i="10"/>
  <c r="AL310" i="10"/>
  <c r="AF310" i="10"/>
  <c r="CK326" i="10"/>
  <c r="AD326" i="10"/>
  <c r="AL326" i="10"/>
  <c r="AF326" i="10"/>
  <c r="AE326" i="10"/>
  <c r="CK342" i="10"/>
  <c r="AD342" i="10"/>
  <c r="AL342" i="10"/>
  <c r="AF342" i="10"/>
  <c r="AE342" i="10"/>
  <c r="CK358" i="10"/>
  <c r="AD358" i="10"/>
  <c r="AL358" i="10"/>
  <c r="AF358" i="10"/>
  <c r="AE358" i="10"/>
  <c r="CK374" i="10"/>
  <c r="AD374" i="10"/>
  <c r="AL374" i="10"/>
  <c r="AF374" i="10"/>
  <c r="AE374" i="10"/>
  <c r="CK390" i="10"/>
  <c r="AD390" i="10"/>
  <c r="AL390" i="10"/>
  <c r="AF390" i="10"/>
  <c r="AE390" i="10"/>
  <c r="CK406" i="10"/>
  <c r="AD406" i="10"/>
  <c r="AL406" i="10"/>
  <c r="AF406" i="10"/>
  <c r="AE406" i="10"/>
  <c r="CK422" i="10"/>
  <c r="AD422" i="10"/>
  <c r="AL422" i="10"/>
  <c r="AF422" i="10"/>
  <c r="AE422" i="10"/>
  <c r="CK438" i="10"/>
  <c r="AD438" i="10"/>
  <c r="AL438" i="10"/>
  <c r="AF438" i="10"/>
  <c r="AE438" i="10"/>
  <c r="CK454" i="10"/>
  <c r="AD454" i="10"/>
  <c r="AL454" i="10"/>
  <c r="AF454" i="10"/>
  <c r="AE454" i="10"/>
  <c r="CK470" i="10"/>
  <c r="AD470" i="10"/>
  <c r="AL470" i="10"/>
  <c r="AF470" i="10"/>
  <c r="AE470" i="10"/>
  <c r="CK486" i="10"/>
  <c r="AD486" i="10"/>
  <c r="AL486" i="10"/>
  <c r="AF486" i="10"/>
  <c r="AE486" i="10"/>
  <c r="CK502" i="10"/>
  <c r="AD502" i="10"/>
  <c r="AL502" i="10"/>
  <c r="AF502" i="10"/>
  <c r="AE502" i="10"/>
  <c r="CK518" i="10"/>
  <c r="AD518" i="10"/>
  <c r="AL518" i="10"/>
  <c r="AF518" i="10"/>
  <c r="AE518" i="10"/>
  <c r="CK534" i="10"/>
  <c r="AD534" i="10"/>
  <c r="AL534" i="10"/>
  <c r="AF534" i="10"/>
  <c r="AE534" i="10"/>
  <c r="CK550" i="10"/>
  <c r="AD550" i="10"/>
  <c r="AL550" i="10"/>
  <c r="AF550" i="10"/>
  <c r="AE550" i="10"/>
  <c r="CK566" i="10"/>
  <c r="AD566" i="10"/>
  <c r="AL566" i="10"/>
  <c r="AE566" i="10"/>
  <c r="AF566" i="10"/>
  <c r="CK582" i="10"/>
  <c r="AD582" i="10"/>
  <c r="AL582" i="10"/>
  <c r="AE582" i="10"/>
  <c r="AF582" i="10"/>
  <c r="CK598" i="10"/>
  <c r="AD598" i="10"/>
  <c r="AL598" i="10"/>
  <c r="AE598" i="10"/>
  <c r="AF598" i="10"/>
  <c r="CK614" i="10"/>
  <c r="AD614" i="10"/>
  <c r="AL614" i="10"/>
  <c r="AE614" i="10"/>
  <c r="AF614" i="10"/>
  <c r="CK630" i="10"/>
  <c r="AD630" i="10"/>
  <c r="AL630" i="10"/>
  <c r="AE630" i="10"/>
  <c r="AF630" i="10"/>
  <c r="CK646" i="10"/>
  <c r="AD646" i="10"/>
  <c r="AL646" i="10"/>
  <c r="AE646" i="10"/>
  <c r="AF646" i="10"/>
  <c r="CK662" i="10"/>
  <c r="AD662" i="10"/>
  <c r="AL662" i="10"/>
  <c r="AE662" i="10"/>
  <c r="AF662" i="10"/>
  <c r="CK678" i="10"/>
  <c r="AD678" i="10"/>
  <c r="AL678" i="10"/>
  <c r="AE678" i="10"/>
  <c r="AF678" i="10"/>
  <c r="CK694" i="10"/>
  <c r="AD694" i="10"/>
  <c r="AL694" i="10"/>
  <c r="AE694" i="10"/>
  <c r="AF694" i="10"/>
  <c r="CK710" i="10"/>
  <c r="AD710" i="10"/>
  <c r="AL710" i="10"/>
  <c r="AE710" i="10"/>
  <c r="AF710" i="10"/>
  <c r="CK726" i="10"/>
  <c r="AD726" i="10"/>
  <c r="AL726" i="10"/>
  <c r="AE726" i="10"/>
  <c r="AF726" i="10"/>
  <c r="CK742" i="10"/>
  <c r="AD742" i="10"/>
  <c r="AL742" i="10"/>
  <c r="AE742" i="10"/>
  <c r="AF742" i="10"/>
  <c r="CK758" i="10"/>
  <c r="AD758" i="10"/>
  <c r="AL758" i="10"/>
  <c r="AF758" i="10"/>
  <c r="AE758" i="10"/>
  <c r="CK774" i="10"/>
  <c r="AD774" i="10"/>
  <c r="AL774" i="10"/>
  <c r="AE774" i="10"/>
  <c r="AF774" i="10"/>
  <c r="CK790" i="10"/>
  <c r="AD790" i="10"/>
  <c r="AL790" i="10"/>
  <c r="AE790" i="10"/>
  <c r="AF790" i="10"/>
  <c r="CK806" i="10"/>
  <c r="AD806" i="10"/>
  <c r="AL806" i="10"/>
  <c r="AE806" i="10"/>
  <c r="AF806" i="10"/>
  <c r="CK822" i="10"/>
  <c r="AD822" i="10"/>
  <c r="AL822" i="10"/>
  <c r="AE822" i="10"/>
  <c r="AF822" i="10"/>
  <c r="CK838" i="10"/>
  <c r="AD838" i="10"/>
  <c r="AL838" i="10"/>
  <c r="AE838" i="10"/>
  <c r="AF838" i="10"/>
  <c r="CK854" i="10"/>
  <c r="AD854" i="10"/>
  <c r="AL854" i="10"/>
  <c r="AE854" i="10"/>
  <c r="AF854" i="10"/>
  <c r="CK870" i="10"/>
  <c r="AD870" i="10"/>
  <c r="AL870" i="10"/>
  <c r="AE870" i="10"/>
  <c r="AF870" i="10"/>
  <c r="CK886" i="10"/>
  <c r="AD886" i="10"/>
  <c r="AL886" i="10"/>
  <c r="AF886" i="10"/>
  <c r="AE886" i="10"/>
  <c r="CK902" i="10"/>
  <c r="AD902" i="10"/>
  <c r="AL902" i="10"/>
  <c r="AE902" i="10"/>
  <c r="AF902" i="10"/>
  <c r="CK918" i="10"/>
  <c r="AD918" i="10"/>
  <c r="AL918" i="10"/>
  <c r="AE918" i="10"/>
  <c r="AF918" i="10"/>
  <c r="CK934" i="10"/>
  <c r="AD934" i="10"/>
  <c r="AL934" i="10"/>
  <c r="AE934" i="10"/>
  <c r="AF934" i="10"/>
  <c r="CK950" i="10"/>
  <c r="AD950" i="10"/>
  <c r="AL950" i="10"/>
  <c r="AE950" i="10"/>
  <c r="AF950" i="10"/>
  <c r="CK966" i="10"/>
  <c r="AD966" i="10"/>
  <c r="AL966" i="10"/>
  <c r="AE966" i="10"/>
  <c r="AF966" i="10"/>
  <c r="CK982" i="10"/>
  <c r="AD982" i="10"/>
  <c r="AL982" i="10"/>
  <c r="AE982" i="10"/>
  <c r="AF982" i="10"/>
  <c r="CK998" i="10"/>
  <c r="AD998" i="10"/>
  <c r="AL998" i="10"/>
  <c r="AE998" i="10"/>
  <c r="AF998" i="10"/>
  <c r="AL51" i="10"/>
  <c r="CK51" i="10"/>
  <c r="AF51" i="10"/>
  <c r="AD51" i="10"/>
  <c r="AE51" i="10"/>
  <c r="AL67" i="10"/>
  <c r="AD67" i="10"/>
  <c r="AF67" i="10"/>
  <c r="AE67" i="10"/>
  <c r="CK67" i="10"/>
  <c r="CK83" i="10"/>
  <c r="AD83" i="10"/>
  <c r="AF83" i="10"/>
  <c r="AE83" i="10"/>
  <c r="AL83" i="10"/>
  <c r="AL99" i="10"/>
  <c r="AD99" i="10"/>
  <c r="AF99" i="10"/>
  <c r="CK99" i="10"/>
  <c r="AE99" i="10"/>
  <c r="AL115" i="10"/>
  <c r="CK115" i="10"/>
  <c r="AF115" i="10"/>
  <c r="AD115" i="10"/>
  <c r="AE115" i="10"/>
  <c r="AL131" i="10"/>
  <c r="AD131" i="10"/>
  <c r="AF131" i="10"/>
  <c r="CK131" i="10"/>
  <c r="AE131" i="10"/>
  <c r="AL147" i="10"/>
  <c r="AD147" i="10"/>
  <c r="AF147" i="10"/>
  <c r="CK147" i="10"/>
  <c r="AE147" i="10"/>
  <c r="AL163" i="10"/>
  <c r="AD163" i="10"/>
  <c r="AF163" i="10"/>
  <c r="CK163" i="10"/>
  <c r="AE163" i="10"/>
  <c r="AL179" i="10"/>
  <c r="CK179" i="10"/>
  <c r="AF179" i="10"/>
  <c r="AD179" i="10"/>
  <c r="AE179" i="10"/>
  <c r="AL195" i="10"/>
  <c r="AD195" i="10"/>
  <c r="AF195" i="10"/>
  <c r="AE195" i="10"/>
  <c r="CK195" i="10"/>
  <c r="CK211" i="10"/>
  <c r="AD211" i="10"/>
  <c r="AF211" i="10"/>
  <c r="AE211" i="10"/>
  <c r="AL211" i="10"/>
  <c r="AL227" i="10"/>
  <c r="AD227" i="10"/>
  <c r="AF227" i="10"/>
  <c r="CK227" i="10"/>
  <c r="AE227" i="10"/>
  <c r="AL243" i="10"/>
  <c r="CK243" i="10"/>
  <c r="AF243" i="10"/>
  <c r="AD243" i="10"/>
  <c r="AE243" i="10"/>
  <c r="AL259" i="10"/>
  <c r="AD259" i="10"/>
  <c r="AF259" i="10"/>
  <c r="CK259" i="10"/>
  <c r="AE259" i="10"/>
  <c r="AL275" i="10"/>
  <c r="AD275" i="10"/>
  <c r="AF275" i="10"/>
  <c r="CK275" i="10"/>
  <c r="AE275" i="10"/>
  <c r="AL291" i="10"/>
  <c r="AD291" i="10"/>
  <c r="AF291" i="10"/>
  <c r="CK291" i="10"/>
  <c r="AE291" i="10"/>
  <c r="AL307" i="10"/>
  <c r="CK307" i="10"/>
  <c r="AF307" i="10"/>
  <c r="AD307" i="10"/>
  <c r="AE307" i="10"/>
  <c r="AL323" i="10"/>
  <c r="AD323" i="10"/>
  <c r="AF323" i="10"/>
  <c r="AE323" i="10"/>
  <c r="CK323" i="10"/>
  <c r="CK339" i="10"/>
  <c r="AD339" i="10"/>
  <c r="AF339" i="10"/>
  <c r="AE339" i="10"/>
  <c r="AL339" i="10"/>
  <c r="AL355" i="10"/>
  <c r="AD355" i="10"/>
  <c r="AF355" i="10"/>
  <c r="CK355" i="10"/>
  <c r="AE355" i="10"/>
  <c r="AL371" i="10"/>
  <c r="CK371" i="10"/>
  <c r="AF371" i="10"/>
  <c r="AD371" i="10"/>
  <c r="AE371" i="10"/>
  <c r="AL387" i="10"/>
  <c r="AD387" i="10"/>
  <c r="AF387" i="10"/>
  <c r="AE387" i="10"/>
  <c r="CK387" i="10"/>
  <c r="CK403" i="10"/>
  <c r="AL403" i="10"/>
  <c r="AF403" i="10"/>
  <c r="AD403" i="10"/>
  <c r="AE403" i="10"/>
  <c r="AL419" i="10"/>
  <c r="CK419" i="10"/>
  <c r="AF419" i="10"/>
  <c r="AE419" i="10"/>
  <c r="AD419" i="10"/>
  <c r="AE435" i="10"/>
  <c r="CK435" i="10"/>
  <c r="AF435" i="10"/>
  <c r="AD435" i="10"/>
  <c r="AL435" i="10"/>
  <c r="CK451" i="10"/>
  <c r="AD451" i="10"/>
  <c r="AF451" i="10"/>
  <c r="AE451" i="10"/>
  <c r="AL451" i="10"/>
  <c r="AE467" i="10"/>
  <c r="CK467" i="10"/>
  <c r="AF467" i="10"/>
  <c r="AL467" i="10"/>
  <c r="AD467" i="10"/>
  <c r="AL483" i="10"/>
  <c r="AD483" i="10"/>
  <c r="AF483" i="10"/>
  <c r="AE483" i="10"/>
  <c r="CK483" i="10"/>
  <c r="AL499" i="10"/>
  <c r="CK499" i="10"/>
  <c r="AF499" i="10"/>
  <c r="AD499" i="10"/>
  <c r="AE499" i="10"/>
  <c r="AE515" i="10"/>
  <c r="CK515" i="10"/>
  <c r="AF515" i="10"/>
  <c r="AL515" i="10"/>
  <c r="AD515" i="10"/>
  <c r="AE531" i="10"/>
  <c r="AL531" i="10"/>
  <c r="AF531" i="10"/>
  <c r="AD531" i="10"/>
  <c r="CK531" i="10"/>
  <c r="CK547" i="10"/>
  <c r="AD547" i="10"/>
  <c r="AF547" i="10"/>
  <c r="AL547" i="10"/>
  <c r="AE547" i="10"/>
  <c r="AL563" i="10"/>
  <c r="CK563" i="10"/>
  <c r="AE563" i="10"/>
  <c r="AF563" i="10"/>
  <c r="AD563" i="10"/>
  <c r="AL579" i="10"/>
  <c r="AF579" i="10"/>
  <c r="AE579" i="10"/>
  <c r="CK579" i="10"/>
  <c r="AD579" i="10"/>
  <c r="CK595" i="10"/>
  <c r="AF595" i="10"/>
  <c r="AE595" i="10"/>
  <c r="AL595" i="10"/>
  <c r="AD595" i="10"/>
  <c r="AE611" i="10"/>
  <c r="AF611" i="10"/>
  <c r="AL611" i="10"/>
  <c r="CK611" i="10"/>
  <c r="AD611" i="10"/>
  <c r="AL627" i="10"/>
  <c r="CK627" i="10"/>
  <c r="AE627" i="10"/>
  <c r="AF627" i="10"/>
  <c r="AD627" i="10"/>
  <c r="AE643" i="10"/>
  <c r="AF643" i="10"/>
  <c r="CK643" i="10"/>
  <c r="AL643" i="10"/>
  <c r="AD643" i="10"/>
  <c r="CK659" i="10"/>
  <c r="AF659" i="10"/>
  <c r="AE659" i="10"/>
  <c r="AL659" i="10"/>
  <c r="AD659" i="10"/>
  <c r="AL675" i="10"/>
  <c r="AF675" i="10"/>
  <c r="AE675" i="10"/>
  <c r="AD675" i="10"/>
  <c r="CK675" i="10"/>
  <c r="AL691" i="10"/>
  <c r="CK691" i="10"/>
  <c r="AE691" i="10"/>
  <c r="AF691" i="10"/>
  <c r="AD691" i="10"/>
  <c r="CK707" i="10"/>
  <c r="AF707" i="10"/>
  <c r="AE707" i="10"/>
  <c r="AL707" i="10"/>
  <c r="AD707" i="10"/>
  <c r="AD723" i="10"/>
  <c r="CK723" i="10"/>
  <c r="AE723" i="10"/>
  <c r="AF723" i="10"/>
  <c r="AL723" i="10"/>
  <c r="AE739" i="10"/>
  <c r="CK739" i="10"/>
  <c r="AL739" i="10"/>
  <c r="AD739" i="10"/>
  <c r="AF739" i="10"/>
  <c r="AL755" i="10"/>
  <c r="CK755" i="10"/>
  <c r="AE755" i="10"/>
  <c r="AF755" i="10"/>
  <c r="AD755" i="10"/>
  <c r="AL771" i="10"/>
  <c r="CK771" i="10"/>
  <c r="AE771" i="10"/>
  <c r="AD771" i="10"/>
  <c r="AF771" i="10"/>
  <c r="AD787" i="10"/>
  <c r="CK787" i="10"/>
  <c r="AE787" i="10"/>
  <c r="AF787" i="10"/>
  <c r="AL787" i="10"/>
  <c r="AL803" i="10"/>
  <c r="CK803" i="10"/>
  <c r="AE803" i="10"/>
  <c r="AD803" i="10"/>
  <c r="AF803" i="10"/>
  <c r="AL819" i="10"/>
  <c r="CK819" i="10"/>
  <c r="AE819" i="10"/>
  <c r="AF819" i="10"/>
  <c r="AD819" i="10"/>
  <c r="AL835" i="10"/>
  <c r="CK835" i="10"/>
  <c r="AE835" i="10"/>
  <c r="AD835" i="10"/>
  <c r="AF835" i="10"/>
  <c r="AD851" i="10"/>
  <c r="CK851" i="10"/>
  <c r="AE851" i="10"/>
  <c r="AF851" i="10"/>
  <c r="AL851" i="10"/>
  <c r="AE867" i="10"/>
  <c r="CK867" i="10"/>
  <c r="AL867" i="10"/>
  <c r="AD867" i="10"/>
  <c r="AF867" i="10"/>
  <c r="AL883" i="10"/>
  <c r="CK883" i="10"/>
  <c r="AE883" i="10"/>
  <c r="AF883" i="10"/>
  <c r="AD883" i="10"/>
  <c r="AL899" i="10"/>
  <c r="CK899" i="10"/>
  <c r="AE899" i="10"/>
  <c r="AD899" i="10"/>
  <c r="AF899" i="10"/>
  <c r="AD915" i="10"/>
  <c r="CK915" i="10"/>
  <c r="AE915" i="10"/>
  <c r="AF915" i="10"/>
  <c r="AL915" i="10"/>
  <c r="AL931" i="10"/>
  <c r="CK931" i="10"/>
  <c r="AE931" i="10"/>
  <c r="AD931" i="10"/>
  <c r="AF931" i="10"/>
  <c r="AL947" i="10"/>
  <c r="CK947" i="10"/>
  <c r="AE947" i="10"/>
  <c r="AF947" i="10"/>
  <c r="AD947" i="10"/>
  <c r="AL963" i="10"/>
  <c r="CK963" i="10"/>
  <c r="AE963" i="10"/>
  <c r="AD963" i="10"/>
  <c r="AF963" i="10"/>
  <c r="AD979" i="10"/>
  <c r="CK979" i="10"/>
  <c r="AE979" i="10"/>
  <c r="AF979" i="10"/>
  <c r="AL979" i="10"/>
  <c r="AE995" i="10"/>
  <c r="CK995" i="10"/>
  <c r="AL995" i="10"/>
  <c r="AD995" i="10"/>
  <c r="AF995" i="10"/>
  <c r="AE52" i="10"/>
  <c r="AL52" i="10"/>
  <c r="CK52" i="10"/>
  <c r="AF52" i="10"/>
  <c r="AD52" i="10"/>
  <c r="AE68" i="10"/>
  <c r="AF68" i="10"/>
  <c r="AD68" i="10"/>
  <c r="CK68" i="10"/>
  <c r="AL68" i="10"/>
  <c r="AE84" i="10"/>
  <c r="AL84" i="10"/>
  <c r="CK84" i="10"/>
  <c r="AF84" i="10"/>
  <c r="AD84" i="10"/>
  <c r="AE100" i="10"/>
  <c r="AF100" i="10"/>
  <c r="AD100" i="10"/>
  <c r="AL100" i="10"/>
  <c r="CK100" i="10"/>
  <c r="AE116" i="10"/>
  <c r="AL116" i="10"/>
  <c r="CK116" i="10"/>
  <c r="AF116" i="10"/>
  <c r="AD116" i="10"/>
  <c r="AE132" i="10"/>
  <c r="AF132" i="10"/>
  <c r="AD132" i="10"/>
  <c r="CK132" i="10"/>
  <c r="AL132" i="10"/>
  <c r="AE148" i="10"/>
  <c r="AL148" i="10"/>
  <c r="CK148" i="10"/>
  <c r="AF148" i="10"/>
  <c r="AD148" i="10"/>
  <c r="AE164" i="10"/>
  <c r="AF164" i="10"/>
  <c r="AD164" i="10"/>
  <c r="AL164" i="10"/>
  <c r="CK164" i="10"/>
  <c r="AE180" i="10"/>
  <c r="AL180" i="10"/>
  <c r="CK180" i="10"/>
  <c r="AF180" i="10"/>
  <c r="AD180" i="10"/>
  <c r="AE196" i="10"/>
  <c r="AF196" i="10"/>
  <c r="AD196" i="10"/>
  <c r="CK196" i="10"/>
  <c r="AL196" i="10"/>
  <c r="AE212" i="10"/>
  <c r="AL212" i="10"/>
  <c r="CK212" i="10"/>
  <c r="AF212" i="10"/>
  <c r="AD212" i="10"/>
  <c r="AE228" i="10"/>
  <c r="AF228" i="10"/>
  <c r="AD228" i="10"/>
  <c r="AL228" i="10"/>
  <c r="CK228" i="10"/>
  <c r="AE244" i="10"/>
  <c r="AL244" i="10"/>
  <c r="CK244" i="10"/>
  <c r="AF244" i="10"/>
  <c r="AD244" i="10"/>
  <c r="AE260" i="10"/>
  <c r="AF260" i="10"/>
  <c r="AD260" i="10"/>
  <c r="AL260" i="10"/>
  <c r="CK260" i="10"/>
  <c r="AE276" i="10"/>
  <c r="AL276" i="10"/>
  <c r="CK276" i="10"/>
  <c r="AF276" i="10"/>
  <c r="AD276" i="10"/>
  <c r="AE292" i="10"/>
  <c r="AF292" i="10"/>
  <c r="AD292" i="10"/>
  <c r="AL292" i="10"/>
  <c r="CK292" i="10"/>
  <c r="AL308" i="10"/>
  <c r="CK308" i="10"/>
  <c r="AE308" i="10"/>
  <c r="AF308" i="10"/>
  <c r="AD308" i="10"/>
  <c r="AE324" i="10"/>
  <c r="AF324" i="10"/>
  <c r="AD324" i="10"/>
  <c r="CK324" i="10"/>
  <c r="AL324" i="10"/>
  <c r="CK340" i="10"/>
  <c r="AL340" i="10"/>
  <c r="AE340" i="10"/>
  <c r="AF340" i="10"/>
  <c r="AD340" i="10"/>
  <c r="AE356" i="10"/>
  <c r="AF356" i="10"/>
  <c r="AD356" i="10"/>
  <c r="AL356" i="10"/>
  <c r="CK356" i="10"/>
  <c r="AE372" i="10"/>
  <c r="AL372" i="10"/>
  <c r="CK372" i="10"/>
  <c r="AF372" i="10"/>
  <c r="AD372" i="10"/>
  <c r="CK388" i="10"/>
  <c r="AF388" i="10"/>
  <c r="AD388" i="10"/>
  <c r="AE388" i="10"/>
  <c r="AL388" i="10"/>
  <c r="CK404" i="10"/>
  <c r="AL404" i="10"/>
  <c r="AE404" i="10"/>
  <c r="AF404" i="10"/>
  <c r="AD404" i="10"/>
  <c r="AE420" i="10"/>
  <c r="AL420" i="10"/>
  <c r="AD420" i="10"/>
  <c r="AF420" i="10"/>
  <c r="CK420" i="10"/>
  <c r="CK436" i="10"/>
  <c r="AL436" i="10"/>
  <c r="AE436" i="10"/>
  <c r="AF436" i="10"/>
  <c r="AD436" i="10"/>
  <c r="AE452" i="10"/>
  <c r="AF452" i="10"/>
  <c r="AD452" i="10"/>
  <c r="AL452" i="10"/>
  <c r="CK452" i="10"/>
  <c r="AF468" i="10"/>
  <c r="AD468" i="10"/>
  <c r="AE468" i="10"/>
  <c r="CK468" i="10"/>
  <c r="AL468" i="10"/>
  <c r="AE484" i="10"/>
  <c r="AF484" i="10"/>
  <c r="AD484" i="10"/>
  <c r="AL484" i="10"/>
  <c r="CK484" i="10"/>
  <c r="AL500" i="10"/>
  <c r="CK500" i="10"/>
  <c r="AE500" i="10"/>
  <c r="AF500" i="10"/>
  <c r="AD500" i="10"/>
  <c r="AE516" i="10"/>
  <c r="CK516" i="10"/>
  <c r="AD516" i="10"/>
  <c r="AF516" i="10"/>
  <c r="AL516" i="10"/>
  <c r="AE532" i="10"/>
  <c r="AL532" i="10"/>
  <c r="CK532" i="10"/>
  <c r="AF532" i="10"/>
  <c r="AD532" i="10"/>
  <c r="AE548" i="10"/>
  <c r="AL548" i="10"/>
  <c r="AD548" i="10"/>
  <c r="AF548" i="10"/>
  <c r="CK548" i="10"/>
  <c r="AL564" i="10"/>
  <c r="AE564" i="10"/>
  <c r="AF564" i="10"/>
  <c r="AD564" i="10"/>
  <c r="CK564" i="10"/>
  <c r="AL580" i="10"/>
  <c r="AF580" i="10"/>
  <c r="AD580" i="10"/>
  <c r="CK580" i="10"/>
  <c r="AE580" i="10"/>
  <c r="CK596" i="10"/>
  <c r="AD596" i="10"/>
  <c r="AF596" i="10"/>
  <c r="AL596" i="10"/>
  <c r="AE596" i="10"/>
  <c r="AF612" i="10"/>
  <c r="AE612" i="10"/>
  <c r="AL612" i="10"/>
  <c r="AD612" i="10"/>
  <c r="CK612" i="10"/>
  <c r="AF628" i="10"/>
  <c r="AL628" i="10"/>
  <c r="CK628" i="10"/>
  <c r="AE628" i="10"/>
  <c r="AD628" i="10"/>
  <c r="AF644" i="10"/>
  <c r="CK644" i="10"/>
  <c r="AD644" i="10"/>
  <c r="AL644" i="10"/>
  <c r="AE644" i="10"/>
  <c r="AE660" i="10"/>
  <c r="AL660" i="10"/>
  <c r="AF660" i="10"/>
  <c r="CK660" i="10"/>
  <c r="AD660" i="10"/>
  <c r="AF676" i="10"/>
  <c r="AE676" i="10"/>
  <c r="AD676" i="10"/>
  <c r="AL676" i="10"/>
  <c r="CK676" i="10"/>
  <c r="CK692" i="10"/>
  <c r="AL692" i="10"/>
  <c r="AF692" i="10"/>
  <c r="AE692" i="10"/>
  <c r="AD692" i="10"/>
  <c r="AF708" i="10"/>
  <c r="AE708" i="10"/>
  <c r="AD708" i="10"/>
  <c r="AL708" i="10"/>
  <c r="CK708" i="10"/>
  <c r="CK724" i="10"/>
  <c r="AE724" i="10"/>
  <c r="AF724" i="10"/>
  <c r="AD724" i="10"/>
  <c r="AL724" i="10"/>
  <c r="AF740" i="10"/>
  <c r="AE740" i="10"/>
  <c r="AL740" i="10"/>
  <c r="AD740" i="10"/>
  <c r="CK740" i="10"/>
  <c r="AL756" i="10"/>
  <c r="AE756" i="10"/>
  <c r="AF756" i="10"/>
  <c r="CK756" i="10"/>
  <c r="AD756" i="10"/>
  <c r="AF772" i="10"/>
  <c r="AE772" i="10"/>
  <c r="CK772" i="10"/>
  <c r="AD772" i="10"/>
  <c r="AL772" i="10"/>
  <c r="AF788" i="10"/>
  <c r="AE788" i="10"/>
  <c r="CK788" i="10"/>
  <c r="AL788" i="10"/>
  <c r="AD788" i="10"/>
  <c r="AF804" i="10"/>
  <c r="AE804" i="10"/>
  <c r="AD804" i="10"/>
  <c r="AL804" i="10"/>
  <c r="CK804" i="10"/>
  <c r="AL820" i="10"/>
  <c r="AE820" i="10"/>
  <c r="AF820" i="10"/>
  <c r="AD820" i="10"/>
  <c r="CK820" i="10"/>
  <c r="AL836" i="10"/>
  <c r="AF836" i="10"/>
  <c r="AD836" i="10"/>
  <c r="CK836" i="10"/>
  <c r="AE836" i="10"/>
  <c r="AF852" i="10"/>
  <c r="AE852" i="10"/>
  <c r="CK852" i="10"/>
  <c r="AD852" i="10"/>
  <c r="AL852" i="10"/>
  <c r="AF868" i="10"/>
  <c r="AE868" i="10"/>
  <c r="AD868" i="10"/>
  <c r="AL868" i="10"/>
  <c r="CK868" i="10"/>
  <c r="AF884" i="10"/>
  <c r="AL884" i="10"/>
  <c r="AE884" i="10"/>
  <c r="CK884" i="10"/>
  <c r="AD884" i="10"/>
  <c r="AF900" i="10"/>
  <c r="CK900" i="10"/>
  <c r="AL900" i="10"/>
  <c r="AD900" i="10"/>
  <c r="AE900" i="10"/>
  <c r="AF916" i="10"/>
  <c r="AE916" i="10"/>
  <c r="AL916" i="10"/>
  <c r="CK916" i="10"/>
  <c r="AD916" i="10"/>
  <c r="AF932" i="10"/>
  <c r="AE932" i="10"/>
  <c r="AL932" i="10"/>
  <c r="CK932" i="10"/>
  <c r="AD932" i="10"/>
  <c r="AL948" i="10"/>
  <c r="AE948" i="10"/>
  <c r="CK948" i="10"/>
  <c r="AD948" i="10"/>
  <c r="AF948" i="10"/>
  <c r="AF964" i="10"/>
  <c r="CK964" i="10"/>
  <c r="AD964" i="10"/>
  <c r="AL964" i="10"/>
  <c r="AE964" i="10"/>
  <c r="AF980" i="10"/>
  <c r="AE980" i="10"/>
  <c r="AD980" i="10"/>
  <c r="AL980" i="10"/>
  <c r="CK980" i="10"/>
  <c r="AF996" i="10"/>
  <c r="AE996" i="10"/>
  <c r="CK996" i="10"/>
  <c r="AD996" i="10"/>
  <c r="AL996" i="10"/>
  <c r="CK485" i="10"/>
  <c r="AE485" i="10"/>
  <c r="AF485" i="10"/>
  <c r="AL485" i="10"/>
  <c r="AD485" i="10"/>
  <c r="AD933" i="10"/>
  <c r="AE933" i="10"/>
  <c r="AL933" i="10"/>
  <c r="CK933" i="10"/>
  <c r="AF933" i="10"/>
  <c r="AL245" i="10"/>
  <c r="AE245" i="10"/>
  <c r="AF245" i="10"/>
  <c r="CK245" i="10"/>
  <c r="AD245" i="10"/>
  <c r="AL501" i="10"/>
  <c r="AE501" i="10"/>
  <c r="AF501" i="10"/>
  <c r="AD501" i="10"/>
  <c r="CK501" i="10"/>
  <c r="AD757" i="10"/>
  <c r="AE757" i="10"/>
  <c r="AL757" i="10"/>
  <c r="AF757" i="10"/>
  <c r="CK757" i="10"/>
  <c r="AL101" i="10"/>
  <c r="AE101" i="10"/>
  <c r="CK101" i="10"/>
  <c r="AD101" i="10"/>
  <c r="AF101" i="10"/>
  <c r="AD677" i="10"/>
  <c r="AE677" i="10"/>
  <c r="AL677" i="10"/>
  <c r="AF677" i="10"/>
  <c r="CK677" i="10"/>
  <c r="AL133" i="10"/>
  <c r="AE133" i="10"/>
  <c r="AF133" i="10"/>
  <c r="CK133" i="10"/>
  <c r="AD133" i="10"/>
  <c r="AL389" i="10"/>
  <c r="AE389" i="10"/>
  <c r="CK389" i="10"/>
  <c r="AF389" i="10"/>
  <c r="AD389" i="10"/>
  <c r="AD645" i="10"/>
  <c r="AE645" i="10"/>
  <c r="CK645" i="10"/>
  <c r="AL645" i="10"/>
  <c r="AF645" i="10"/>
  <c r="CK901" i="10"/>
  <c r="AE901" i="10"/>
  <c r="AD901" i="10"/>
  <c r="AF901" i="10"/>
  <c r="AL901" i="10"/>
  <c r="AL149" i="10"/>
  <c r="AE149" i="10"/>
  <c r="AF149" i="10"/>
  <c r="AD149" i="10"/>
  <c r="CK149" i="10"/>
  <c r="CK405" i="10"/>
  <c r="AE405" i="10"/>
  <c r="AF405" i="10"/>
  <c r="AD405" i="10"/>
  <c r="AL405" i="10"/>
  <c r="CK661" i="10"/>
  <c r="AE661" i="10"/>
  <c r="AD661" i="10"/>
  <c r="AF661" i="10"/>
  <c r="AL661" i="10"/>
  <c r="CK917" i="10"/>
  <c r="AE917" i="10"/>
  <c r="AD917" i="10"/>
  <c r="AF917" i="10"/>
  <c r="AL917" i="10"/>
  <c r="AF49" i="10"/>
  <c r="CK49" i="10"/>
  <c r="AL49" i="10"/>
  <c r="AD49" i="10"/>
  <c r="AE49" i="10"/>
  <c r="AF113" i="10"/>
  <c r="CK113" i="10"/>
  <c r="AL113" i="10"/>
  <c r="AD113" i="10"/>
  <c r="AE113" i="10"/>
  <c r="AF177" i="10"/>
  <c r="CK177" i="10"/>
  <c r="AL177" i="10"/>
  <c r="AD177" i="10"/>
  <c r="AE177" i="10"/>
  <c r="AF241" i="10"/>
  <c r="CK241" i="10"/>
  <c r="AL241" i="10"/>
  <c r="AE241" i="10"/>
  <c r="AD241" i="10"/>
  <c r="AL305" i="10"/>
  <c r="AF305" i="10"/>
  <c r="CK305" i="10"/>
  <c r="AD305" i="10"/>
  <c r="AE305" i="10"/>
  <c r="AL369" i="10"/>
  <c r="AF369" i="10"/>
  <c r="CK369" i="10"/>
  <c r="AE369" i="10"/>
  <c r="AD369" i="10"/>
  <c r="AL433" i="10"/>
  <c r="AF433" i="10"/>
  <c r="CK433" i="10"/>
  <c r="AE433" i="10"/>
  <c r="AD433" i="10"/>
  <c r="AL497" i="10"/>
  <c r="AF497" i="10"/>
  <c r="CK497" i="10"/>
  <c r="AE497" i="10"/>
  <c r="AD497" i="10"/>
  <c r="AL561" i="10"/>
  <c r="AD561" i="10"/>
  <c r="CK561" i="10"/>
  <c r="AE561" i="10"/>
  <c r="AF561" i="10"/>
  <c r="AL625" i="10"/>
  <c r="AD625" i="10"/>
  <c r="CK625" i="10"/>
  <c r="AE625" i="10"/>
  <c r="AF625" i="10"/>
  <c r="AL689" i="10"/>
  <c r="AD689" i="10"/>
  <c r="CK689" i="10"/>
  <c r="AE689" i="10"/>
  <c r="AF689" i="10"/>
  <c r="AL753" i="10"/>
  <c r="AD753" i="10"/>
  <c r="CK753" i="10"/>
  <c r="AE753" i="10"/>
  <c r="AF753" i="10"/>
  <c r="AL817" i="10"/>
  <c r="AD817" i="10"/>
  <c r="CK817" i="10"/>
  <c r="AE817" i="10"/>
  <c r="AF817" i="10"/>
  <c r="AL881" i="10"/>
  <c r="AD881" i="10"/>
  <c r="CK881" i="10"/>
  <c r="AE881" i="10"/>
  <c r="AF881" i="10"/>
  <c r="AL945" i="10"/>
  <c r="AD945" i="10"/>
  <c r="CK945" i="10"/>
  <c r="AE945" i="10"/>
  <c r="AF945" i="10"/>
  <c r="AE89" i="10"/>
  <c r="AL89" i="10"/>
  <c r="AD89" i="10"/>
  <c r="AF89" i="10"/>
  <c r="CK89" i="10"/>
  <c r="CK153" i="10"/>
  <c r="AL153" i="10"/>
  <c r="AD153" i="10"/>
  <c r="AE153" i="10"/>
  <c r="AF153" i="10"/>
  <c r="AE217" i="10"/>
  <c r="AL217" i="10"/>
  <c r="AD217" i="10"/>
  <c r="CK217" i="10"/>
  <c r="AF217" i="10"/>
  <c r="CK281" i="10"/>
  <c r="AL281" i="10"/>
  <c r="AD281" i="10"/>
  <c r="AE281" i="10"/>
  <c r="AF281" i="10"/>
  <c r="AE345" i="10"/>
  <c r="AL345" i="10"/>
  <c r="AD345" i="10"/>
  <c r="AF345" i="10"/>
  <c r="CK345" i="10"/>
  <c r="AE409" i="10"/>
  <c r="CK409" i="10"/>
  <c r="AD409" i="10"/>
  <c r="AF409" i="10"/>
  <c r="AL409" i="10"/>
  <c r="AE473" i="10"/>
  <c r="AL473" i="10"/>
  <c r="AD473" i="10"/>
  <c r="AF473" i="10"/>
  <c r="CK473" i="10"/>
  <c r="AE537" i="10"/>
  <c r="AL537" i="10"/>
  <c r="AD537" i="10"/>
  <c r="AF537" i="10"/>
  <c r="CK537" i="10"/>
  <c r="CK601" i="10"/>
  <c r="AD601" i="10"/>
  <c r="AE601" i="10"/>
  <c r="AL601" i="10"/>
  <c r="AF601" i="10"/>
  <c r="AF665" i="10"/>
  <c r="AD665" i="10"/>
  <c r="AE665" i="10"/>
  <c r="CK665" i="10"/>
  <c r="AL665" i="10"/>
  <c r="AE729" i="10"/>
  <c r="AD729" i="10"/>
  <c r="CK729" i="10"/>
  <c r="AL729" i="10"/>
  <c r="AF729" i="10"/>
  <c r="AE793" i="10"/>
  <c r="AD793" i="10"/>
  <c r="CK793" i="10"/>
  <c r="AL793" i="10"/>
  <c r="AF793" i="10"/>
  <c r="AE857" i="10"/>
  <c r="AD857" i="10"/>
  <c r="CK857" i="10"/>
  <c r="AL857" i="10"/>
  <c r="AF857" i="10"/>
  <c r="AF921" i="10"/>
  <c r="CK921" i="10"/>
  <c r="AE921" i="10"/>
  <c r="AD921" i="10"/>
  <c r="AL921" i="10"/>
  <c r="CK985" i="10"/>
  <c r="AD985" i="10"/>
  <c r="AE985" i="10"/>
  <c r="AL985" i="10"/>
  <c r="AF985" i="10"/>
  <c r="AF109" i="10"/>
  <c r="AE109" i="10"/>
  <c r="AD109" i="10"/>
  <c r="CK109" i="10"/>
  <c r="AL109" i="10"/>
  <c r="AF173" i="10"/>
  <c r="AE173" i="10"/>
  <c r="CK173" i="10"/>
  <c r="AL173" i="10"/>
  <c r="AD173" i="10"/>
  <c r="AF237" i="10"/>
  <c r="AE237" i="10"/>
  <c r="AD237" i="10"/>
  <c r="CK237" i="10"/>
  <c r="AL237" i="10"/>
  <c r="AE301" i="10"/>
  <c r="CK301" i="10"/>
  <c r="AL301" i="10"/>
  <c r="AF301" i="10"/>
  <c r="AD301" i="10"/>
  <c r="CK365" i="10"/>
  <c r="AE365" i="10"/>
  <c r="AD365" i="10"/>
  <c r="AF365" i="10"/>
  <c r="AL365" i="10"/>
  <c r="AL429" i="10"/>
  <c r="AE429" i="10"/>
  <c r="CK429" i="10"/>
  <c r="AF429" i="10"/>
  <c r="AD429" i="10"/>
  <c r="AL493" i="10"/>
  <c r="AE493" i="10"/>
  <c r="CK493" i="10"/>
  <c r="AD493" i="10"/>
  <c r="AF493" i="10"/>
  <c r="CK557" i="10"/>
  <c r="AE557" i="10"/>
  <c r="AF557" i="10"/>
  <c r="AL557" i="10"/>
  <c r="AD557" i="10"/>
  <c r="AL621" i="10"/>
  <c r="AE621" i="10"/>
  <c r="AF621" i="10"/>
  <c r="CK621" i="10"/>
  <c r="AD621" i="10"/>
  <c r="AF685" i="10"/>
  <c r="AL685" i="10"/>
  <c r="AD685" i="10"/>
  <c r="CK685" i="10"/>
  <c r="AE685" i="10"/>
  <c r="CK749" i="10"/>
  <c r="AL749" i="10"/>
  <c r="AF749" i="10"/>
  <c r="AE749" i="10"/>
  <c r="AD749" i="10"/>
  <c r="CK813" i="10"/>
  <c r="AL813" i="10"/>
  <c r="AD813" i="10"/>
  <c r="AF813" i="10"/>
  <c r="AE813" i="10"/>
  <c r="CK877" i="10"/>
  <c r="AL877" i="10"/>
  <c r="AF877" i="10"/>
  <c r="AE877" i="10"/>
  <c r="AD877" i="10"/>
  <c r="AF941" i="10"/>
  <c r="AL941" i="10"/>
  <c r="CK941" i="10"/>
  <c r="AD941" i="10"/>
  <c r="AE941" i="10"/>
  <c r="AD58" i="10"/>
  <c r="AL58" i="10"/>
  <c r="CK58" i="10"/>
  <c r="AF58" i="10"/>
  <c r="AE58" i="10"/>
  <c r="CK74" i="10"/>
  <c r="AD74" i="10"/>
  <c r="AL74" i="10"/>
  <c r="AF74" i="10"/>
  <c r="AE74" i="10"/>
  <c r="AD90" i="10"/>
  <c r="AL90" i="10"/>
  <c r="CK90" i="10"/>
  <c r="AF90" i="10"/>
  <c r="AE90" i="10"/>
  <c r="AE106" i="10"/>
  <c r="AD106" i="10"/>
  <c r="CK106" i="10"/>
  <c r="AF106" i="10"/>
  <c r="AL106" i="10"/>
  <c r="AD122" i="10"/>
  <c r="AL122" i="10"/>
  <c r="CK122" i="10"/>
  <c r="AF122" i="10"/>
  <c r="AE122" i="10"/>
  <c r="AD138" i="10"/>
  <c r="CK138" i="10"/>
  <c r="AL138" i="10"/>
  <c r="AF138" i="10"/>
  <c r="AE138" i="10"/>
  <c r="CK154" i="10"/>
  <c r="AL154" i="10"/>
  <c r="AE154" i="10"/>
  <c r="AF154" i="10"/>
  <c r="AD154" i="10"/>
  <c r="AE170" i="10"/>
  <c r="AD170" i="10"/>
  <c r="CK170" i="10"/>
  <c r="AF170" i="10"/>
  <c r="AL170" i="10"/>
  <c r="AD186" i="10"/>
  <c r="AL186" i="10"/>
  <c r="CK186" i="10"/>
  <c r="AF186" i="10"/>
  <c r="AE186" i="10"/>
  <c r="CK202" i="10"/>
  <c r="AD202" i="10"/>
  <c r="AL202" i="10"/>
  <c r="AF202" i="10"/>
  <c r="AE202" i="10"/>
  <c r="AD218" i="10"/>
  <c r="AL218" i="10"/>
  <c r="CK218" i="10"/>
  <c r="AF218" i="10"/>
  <c r="AE218" i="10"/>
  <c r="AE234" i="10"/>
  <c r="AD234" i="10"/>
  <c r="CK234" i="10"/>
  <c r="AF234" i="10"/>
  <c r="AL234" i="10"/>
  <c r="AD250" i="10"/>
  <c r="AL250" i="10"/>
  <c r="CK250" i="10"/>
  <c r="AF250" i="10"/>
  <c r="AE250" i="10"/>
  <c r="AD266" i="10"/>
  <c r="CK266" i="10"/>
  <c r="AL266" i="10"/>
  <c r="AF266" i="10"/>
  <c r="AE266" i="10"/>
  <c r="CK282" i="10"/>
  <c r="AL282" i="10"/>
  <c r="AE282" i="10"/>
  <c r="AF282" i="10"/>
  <c r="AD282" i="10"/>
  <c r="AE298" i="10"/>
  <c r="AD298" i="10"/>
  <c r="CK298" i="10"/>
  <c r="AF298" i="10"/>
  <c r="AL298" i="10"/>
  <c r="AD314" i="10"/>
  <c r="AL314" i="10"/>
  <c r="CK314" i="10"/>
  <c r="AF314" i="10"/>
  <c r="AE314" i="10"/>
  <c r="AD330" i="10"/>
  <c r="CK330" i="10"/>
  <c r="AF330" i="10"/>
  <c r="AL330" i="10"/>
  <c r="AE330" i="10"/>
  <c r="AL346" i="10"/>
  <c r="CK346" i="10"/>
  <c r="AF346" i="10"/>
  <c r="AE346" i="10"/>
  <c r="AD346" i="10"/>
  <c r="AD362" i="10"/>
  <c r="CK362" i="10"/>
  <c r="AF362" i="10"/>
  <c r="AL362" i="10"/>
  <c r="AE362" i="10"/>
  <c r="AL378" i="10"/>
  <c r="CK378" i="10"/>
  <c r="AF378" i="10"/>
  <c r="AE378" i="10"/>
  <c r="AD378" i="10"/>
  <c r="AD394" i="10"/>
  <c r="CK394" i="10"/>
  <c r="AF394" i="10"/>
  <c r="AL394" i="10"/>
  <c r="AE394" i="10"/>
  <c r="AD410" i="10"/>
  <c r="CK410" i="10"/>
  <c r="AF410" i="10"/>
  <c r="AL410" i="10"/>
  <c r="AE410" i="10"/>
  <c r="AD426" i="10"/>
  <c r="CK426" i="10"/>
  <c r="AF426" i="10"/>
  <c r="AL426" i="10"/>
  <c r="AE426" i="10"/>
  <c r="AD442" i="10"/>
  <c r="CK442" i="10"/>
  <c r="AF442" i="10"/>
  <c r="AL442" i="10"/>
  <c r="AE442" i="10"/>
  <c r="AD458" i="10"/>
  <c r="CK458" i="10"/>
  <c r="AF458" i="10"/>
  <c r="AL458" i="10"/>
  <c r="AE458" i="10"/>
  <c r="AD474" i="10"/>
  <c r="CK474" i="10"/>
  <c r="AF474" i="10"/>
  <c r="AL474" i="10"/>
  <c r="AE474" i="10"/>
  <c r="AD490" i="10"/>
  <c r="CK490" i="10"/>
  <c r="AF490" i="10"/>
  <c r="AL490" i="10"/>
  <c r="AE490" i="10"/>
  <c r="AD506" i="10"/>
  <c r="CK506" i="10"/>
  <c r="AF506" i="10"/>
  <c r="AL506" i="10"/>
  <c r="AE506" i="10"/>
  <c r="AD522" i="10"/>
  <c r="CK522" i="10"/>
  <c r="AF522" i="10"/>
  <c r="AL522" i="10"/>
  <c r="AE522" i="10"/>
  <c r="AD538" i="10"/>
  <c r="CK538" i="10"/>
  <c r="AF538" i="10"/>
  <c r="AL538" i="10"/>
  <c r="AE538" i="10"/>
  <c r="AD554" i="10"/>
  <c r="CK554" i="10"/>
  <c r="AF554" i="10"/>
  <c r="AL554" i="10"/>
  <c r="AE554" i="10"/>
  <c r="AD570" i="10"/>
  <c r="CK570" i="10"/>
  <c r="AF570" i="10"/>
  <c r="AL570" i="10"/>
  <c r="AE570" i="10"/>
  <c r="AD586" i="10"/>
  <c r="CK586" i="10"/>
  <c r="AF586" i="10"/>
  <c r="AL586" i="10"/>
  <c r="AE586" i="10"/>
  <c r="AD602" i="10"/>
  <c r="CK602" i="10"/>
  <c r="AF602" i="10"/>
  <c r="AL602" i="10"/>
  <c r="AE602" i="10"/>
  <c r="AD618" i="10"/>
  <c r="CK618" i="10"/>
  <c r="AF618" i="10"/>
  <c r="AL618" i="10"/>
  <c r="AE618" i="10"/>
  <c r="AD634" i="10"/>
  <c r="CK634" i="10"/>
  <c r="AF634" i="10"/>
  <c r="AL634" i="10"/>
  <c r="AE634" i="10"/>
  <c r="AD650" i="10"/>
  <c r="CK650" i="10"/>
  <c r="AF650" i="10"/>
  <c r="AL650" i="10"/>
  <c r="AE650" i="10"/>
  <c r="AD666" i="10"/>
  <c r="CK666" i="10"/>
  <c r="AF666" i="10"/>
  <c r="AL666" i="10"/>
  <c r="AE666" i="10"/>
  <c r="AD682" i="10"/>
  <c r="CK682" i="10"/>
  <c r="AF682" i="10"/>
  <c r="AL682" i="10"/>
  <c r="AE682" i="10"/>
  <c r="AD698" i="10"/>
  <c r="CK698" i="10"/>
  <c r="AF698" i="10"/>
  <c r="AL698" i="10"/>
  <c r="AE698" i="10"/>
  <c r="AD714" i="10"/>
  <c r="AL714" i="10"/>
  <c r="AF714" i="10"/>
  <c r="AE714" i="10"/>
  <c r="CK714" i="10"/>
  <c r="AD730" i="10"/>
  <c r="AL730" i="10"/>
  <c r="AF730" i="10"/>
  <c r="CK730" i="10"/>
  <c r="AE730" i="10"/>
  <c r="AD746" i="10"/>
  <c r="CK746" i="10"/>
  <c r="AF746" i="10"/>
  <c r="AL746" i="10"/>
  <c r="AE746" i="10"/>
  <c r="CK762" i="10"/>
  <c r="AL762" i="10"/>
  <c r="AF762" i="10"/>
  <c r="AE762" i="10"/>
  <c r="AD762" i="10"/>
  <c r="AD778" i="10"/>
  <c r="AL778" i="10"/>
  <c r="AF778" i="10"/>
  <c r="CK778" i="10"/>
  <c r="AE778" i="10"/>
  <c r="CK794" i="10"/>
  <c r="AL794" i="10"/>
  <c r="AF794" i="10"/>
  <c r="AE794" i="10"/>
  <c r="AD794" i="10"/>
  <c r="AD810" i="10"/>
  <c r="CK810" i="10"/>
  <c r="AF810" i="10"/>
  <c r="AE810" i="10"/>
  <c r="AL810" i="10"/>
  <c r="AD826" i="10"/>
  <c r="AL826" i="10"/>
  <c r="AF826" i="10"/>
  <c r="CK826" i="10"/>
  <c r="AE826" i="10"/>
  <c r="AF842" i="10"/>
  <c r="AL842" i="10"/>
  <c r="CK842" i="10"/>
  <c r="AE842" i="10"/>
  <c r="AD842" i="10"/>
  <c r="CK858" i="10"/>
  <c r="AL858" i="10"/>
  <c r="AF858" i="10"/>
  <c r="AE858" i="10"/>
  <c r="AD858" i="10"/>
  <c r="AD874" i="10"/>
  <c r="CK874" i="10"/>
  <c r="AF874" i="10"/>
  <c r="AL874" i="10"/>
  <c r="AE874" i="10"/>
  <c r="AD890" i="10"/>
  <c r="AL890" i="10"/>
  <c r="AF890" i="10"/>
  <c r="AE890" i="10"/>
  <c r="CK890" i="10"/>
  <c r="CK906" i="10"/>
  <c r="AL906" i="10"/>
  <c r="AF906" i="10"/>
  <c r="AE906" i="10"/>
  <c r="AD906" i="10"/>
  <c r="CK922" i="10"/>
  <c r="AL922" i="10"/>
  <c r="AF922" i="10"/>
  <c r="AE922" i="10"/>
  <c r="AD922" i="10"/>
  <c r="AD938" i="10"/>
  <c r="CK938" i="10"/>
  <c r="AF938" i="10"/>
  <c r="AE938" i="10"/>
  <c r="AL938" i="10"/>
  <c r="AD954" i="10"/>
  <c r="AL954" i="10"/>
  <c r="AF954" i="10"/>
  <c r="AE954" i="10"/>
  <c r="CK954" i="10"/>
  <c r="AF970" i="10"/>
  <c r="AL970" i="10"/>
  <c r="CK970" i="10"/>
  <c r="AE970" i="10"/>
  <c r="AD970" i="10"/>
  <c r="AD986" i="10"/>
  <c r="AL986" i="10"/>
  <c r="AF986" i="10"/>
  <c r="CK986" i="10"/>
  <c r="AE986" i="10"/>
  <c r="AD1002" i="10"/>
  <c r="CK1002" i="10"/>
  <c r="AF1002" i="10"/>
  <c r="AL1002" i="10"/>
  <c r="AE1002" i="10"/>
  <c r="AD55" i="10"/>
  <c r="AF55" i="10"/>
  <c r="AE55" i="10"/>
  <c r="AL55" i="10"/>
  <c r="CK55" i="10"/>
  <c r="AD71" i="10"/>
  <c r="AF71" i="10"/>
  <c r="CK71" i="10"/>
  <c r="AE71" i="10"/>
  <c r="AL71" i="10"/>
  <c r="AD87" i="10"/>
  <c r="AF87" i="10"/>
  <c r="AE87" i="10"/>
  <c r="CK87" i="10"/>
  <c r="AL87" i="10"/>
  <c r="AD103" i="10"/>
  <c r="AF103" i="10"/>
  <c r="CK103" i="10"/>
  <c r="AL103" i="10"/>
  <c r="AE103" i="10"/>
  <c r="AD119" i="10"/>
  <c r="AF119" i="10"/>
  <c r="AE119" i="10"/>
  <c r="CK119" i="10"/>
  <c r="AL119" i="10"/>
  <c r="AD135" i="10"/>
  <c r="AF135" i="10"/>
  <c r="CK135" i="10"/>
  <c r="AL135" i="10"/>
  <c r="AE135" i="10"/>
  <c r="AD151" i="10"/>
  <c r="AF151" i="10"/>
  <c r="AE151" i="10"/>
  <c r="CK151" i="10"/>
  <c r="AL151" i="10"/>
  <c r="AD167" i="10"/>
  <c r="AF167" i="10"/>
  <c r="CK167" i="10"/>
  <c r="AL167" i="10"/>
  <c r="AE167" i="10"/>
  <c r="AD183" i="10"/>
  <c r="AF183" i="10"/>
  <c r="AE183" i="10"/>
  <c r="AL183" i="10"/>
  <c r="CK183" i="10"/>
  <c r="AD199" i="10"/>
  <c r="AF199" i="10"/>
  <c r="CK199" i="10"/>
  <c r="AE199" i="10"/>
  <c r="AL199" i="10"/>
  <c r="AD215" i="10"/>
  <c r="AF215" i="10"/>
  <c r="AE215" i="10"/>
  <c r="CK215" i="10"/>
  <c r="AL215" i="10"/>
  <c r="AD231" i="10"/>
  <c r="AF231" i="10"/>
  <c r="CK231" i="10"/>
  <c r="AL231" i="10"/>
  <c r="AE231" i="10"/>
  <c r="AD247" i="10"/>
  <c r="AF247" i="10"/>
  <c r="AE247" i="10"/>
  <c r="CK247" i="10"/>
  <c r="AL247" i="10"/>
  <c r="AD263" i="10"/>
  <c r="AF263" i="10"/>
  <c r="CK263" i="10"/>
  <c r="AL263" i="10"/>
  <c r="AE263" i="10"/>
  <c r="AD279" i="10"/>
  <c r="AF279" i="10"/>
  <c r="AE279" i="10"/>
  <c r="CK279" i="10"/>
  <c r="AL279" i="10"/>
  <c r="AD295" i="10"/>
  <c r="AF295" i="10"/>
  <c r="CK295" i="10"/>
  <c r="AL295" i="10"/>
  <c r="AE295" i="10"/>
  <c r="AD311" i="10"/>
  <c r="AF311" i="10"/>
  <c r="AL311" i="10"/>
  <c r="AE311" i="10"/>
  <c r="CK311" i="10"/>
  <c r="AD327" i="10"/>
  <c r="AF327" i="10"/>
  <c r="CK327" i="10"/>
  <c r="AL327" i="10"/>
  <c r="AE327" i="10"/>
  <c r="AD343" i="10"/>
  <c r="AF343" i="10"/>
  <c r="AL343" i="10"/>
  <c r="AE343" i="10"/>
  <c r="CK343" i="10"/>
  <c r="AD359" i="10"/>
  <c r="AF359" i="10"/>
  <c r="CK359" i="10"/>
  <c r="AL359" i="10"/>
  <c r="AE359" i="10"/>
  <c r="AD375" i="10"/>
  <c r="AF375" i="10"/>
  <c r="AL375" i="10"/>
  <c r="AE375" i="10"/>
  <c r="CK375" i="10"/>
  <c r="AD391" i="10"/>
  <c r="AF391" i="10"/>
  <c r="CK391" i="10"/>
  <c r="AL391" i="10"/>
  <c r="AE391" i="10"/>
  <c r="AD407" i="10"/>
  <c r="AF407" i="10"/>
  <c r="AL407" i="10"/>
  <c r="AE407" i="10"/>
  <c r="CK407" i="10"/>
  <c r="AD423" i="10"/>
  <c r="AF423" i="10"/>
  <c r="CK423" i="10"/>
  <c r="AL423" i="10"/>
  <c r="AE423" i="10"/>
  <c r="AD439" i="10"/>
  <c r="AF439" i="10"/>
  <c r="AL439" i="10"/>
  <c r="AE439" i="10"/>
  <c r="CK439" i="10"/>
  <c r="AD455" i="10"/>
  <c r="AF455" i="10"/>
  <c r="CK455" i="10"/>
  <c r="AL455" i="10"/>
  <c r="AE455" i="10"/>
  <c r="AD471" i="10"/>
  <c r="AF471" i="10"/>
  <c r="AL471" i="10"/>
  <c r="AE471" i="10"/>
  <c r="CK471" i="10"/>
  <c r="AD487" i="10"/>
  <c r="AF487" i="10"/>
  <c r="CK487" i="10"/>
  <c r="AL487" i="10"/>
  <c r="AE487" i="10"/>
  <c r="AD503" i="10"/>
  <c r="AF503" i="10"/>
  <c r="AL503" i="10"/>
  <c r="AE503" i="10"/>
  <c r="CK503" i="10"/>
  <c r="AD519" i="10"/>
  <c r="AF519" i="10"/>
  <c r="CK519" i="10"/>
  <c r="AL519" i="10"/>
  <c r="AE519" i="10"/>
  <c r="AD535" i="10"/>
  <c r="AF535" i="10"/>
  <c r="AL535" i="10"/>
  <c r="AE535" i="10"/>
  <c r="CK535" i="10"/>
  <c r="AD551" i="10"/>
  <c r="AF551" i="10"/>
  <c r="CK551" i="10"/>
  <c r="AL551" i="10"/>
  <c r="AE551" i="10"/>
  <c r="AF567" i="10"/>
  <c r="AE567" i="10"/>
  <c r="AL567" i="10"/>
  <c r="AD567" i="10"/>
  <c r="CK567" i="10"/>
  <c r="AF583" i="10"/>
  <c r="AE583" i="10"/>
  <c r="CK583" i="10"/>
  <c r="AL583" i="10"/>
  <c r="AD583" i="10"/>
  <c r="AF599" i="10"/>
  <c r="AE599" i="10"/>
  <c r="AL599" i="10"/>
  <c r="AD599" i="10"/>
  <c r="CK599" i="10"/>
  <c r="AF615" i="10"/>
  <c r="AD615" i="10"/>
  <c r="CK615" i="10"/>
  <c r="AL615" i="10"/>
  <c r="AE615" i="10"/>
  <c r="AF631" i="10"/>
  <c r="AE631" i="10"/>
  <c r="AL631" i="10"/>
  <c r="AD631" i="10"/>
  <c r="CK631" i="10"/>
  <c r="AF647" i="10"/>
  <c r="AE647" i="10"/>
  <c r="CK647" i="10"/>
  <c r="AL647" i="10"/>
  <c r="AD647" i="10"/>
  <c r="AF663" i="10"/>
  <c r="AE663" i="10"/>
  <c r="AL663" i="10"/>
  <c r="AD663" i="10"/>
  <c r="CK663" i="10"/>
  <c r="AF679" i="10"/>
  <c r="AE679" i="10"/>
  <c r="CK679" i="10"/>
  <c r="AL679" i="10"/>
  <c r="AD679" i="10"/>
  <c r="AF695" i="10"/>
  <c r="AE695" i="10"/>
  <c r="AL695" i="10"/>
  <c r="AD695" i="10"/>
  <c r="CK695" i="10"/>
  <c r="AF711" i="10"/>
  <c r="AE711" i="10"/>
  <c r="CK711" i="10"/>
  <c r="AL711" i="10"/>
  <c r="AD711" i="10"/>
  <c r="AF727" i="10"/>
  <c r="AE727" i="10"/>
  <c r="AL727" i="10"/>
  <c r="AD727" i="10"/>
  <c r="CK727" i="10"/>
  <c r="AF743" i="10"/>
  <c r="AE743" i="10"/>
  <c r="CK743" i="10"/>
  <c r="AL743" i="10"/>
  <c r="AD743" i="10"/>
  <c r="AF759" i="10"/>
  <c r="AE759" i="10"/>
  <c r="AL759" i="10"/>
  <c r="AD759" i="10"/>
  <c r="CK759" i="10"/>
  <c r="AF775" i="10"/>
  <c r="AE775" i="10"/>
  <c r="CK775" i="10"/>
  <c r="AL775" i="10"/>
  <c r="AD775" i="10"/>
  <c r="AF791" i="10"/>
  <c r="AE791" i="10"/>
  <c r="AL791" i="10"/>
  <c r="AD791" i="10"/>
  <c r="CK791" i="10"/>
  <c r="AF807" i="10"/>
  <c r="AE807" i="10"/>
  <c r="CK807" i="10"/>
  <c r="AL807" i="10"/>
  <c r="AD807" i="10"/>
  <c r="AF823" i="10"/>
  <c r="AE823" i="10"/>
  <c r="AL823" i="10"/>
  <c r="AD823" i="10"/>
  <c r="CK823" i="10"/>
  <c r="AF839" i="10"/>
  <c r="AE839" i="10"/>
  <c r="CK839" i="10"/>
  <c r="AL839" i="10"/>
  <c r="AD839" i="10"/>
  <c r="AF855" i="10"/>
  <c r="AE855" i="10"/>
  <c r="AL855" i="10"/>
  <c r="AD855" i="10"/>
  <c r="CK855" i="10"/>
  <c r="AF871" i="10"/>
  <c r="AE871" i="10"/>
  <c r="CK871" i="10"/>
  <c r="AL871" i="10"/>
  <c r="AD871" i="10"/>
  <c r="AF887" i="10"/>
  <c r="AE887" i="10"/>
  <c r="AL887" i="10"/>
  <c r="AD887" i="10"/>
  <c r="CK887" i="10"/>
  <c r="AF903" i="10"/>
  <c r="AE903" i="10"/>
  <c r="CK903" i="10"/>
  <c r="AL903" i="10"/>
  <c r="AD903" i="10"/>
  <c r="AF919" i="10"/>
  <c r="AE919" i="10"/>
  <c r="AL919" i="10"/>
  <c r="AD919" i="10"/>
  <c r="CK919" i="10"/>
  <c r="AF935" i="10"/>
  <c r="AE935" i="10"/>
  <c r="CK935" i="10"/>
  <c r="AD935" i="10"/>
  <c r="AL935" i="10"/>
  <c r="AF951" i="10"/>
  <c r="AE951" i="10"/>
  <c r="AL951" i="10"/>
  <c r="AD951" i="10"/>
  <c r="CK951" i="10"/>
  <c r="AF967" i="10"/>
  <c r="AE967" i="10"/>
  <c r="CK967" i="10"/>
  <c r="AL967" i="10"/>
  <c r="AD967" i="10"/>
  <c r="AF983" i="10"/>
  <c r="AE983" i="10"/>
  <c r="AL983" i="10"/>
  <c r="AD983" i="10"/>
  <c r="CK983" i="10"/>
  <c r="AF999" i="10"/>
  <c r="AE999" i="10"/>
  <c r="CK999" i="10"/>
  <c r="AL999" i="10"/>
  <c r="AD999" i="10"/>
  <c r="CK56" i="10"/>
  <c r="AL56" i="10"/>
  <c r="AE56" i="10"/>
  <c r="AD56" i="10"/>
  <c r="AF56" i="10"/>
  <c r="CK72" i="10"/>
  <c r="AD72" i="10"/>
  <c r="AE72" i="10"/>
  <c r="AF72" i="10"/>
  <c r="AL72" i="10"/>
  <c r="CK88" i="10"/>
  <c r="AL88" i="10"/>
  <c r="AE88" i="10"/>
  <c r="AD88" i="10"/>
  <c r="AF88" i="10"/>
  <c r="CK104" i="10"/>
  <c r="AD104" i="10"/>
  <c r="AE104" i="10"/>
  <c r="AF104" i="10"/>
  <c r="AL104" i="10"/>
  <c r="CK120" i="10"/>
  <c r="AL120" i="10"/>
  <c r="AE120" i="10"/>
  <c r="AD120" i="10"/>
  <c r="AF120" i="10"/>
  <c r="CK136" i="10"/>
  <c r="AD136" i="10"/>
  <c r="AE136" i="10"/>
  <c r="AF136" i="10"/>
  <c r="AL136" i="10"/>
  <c r="CK152" i="10"/>
  <c r="AL152" i="10"/>
  <c r="AE152" i="10"/>
  <c r="AD152" i="10"/>
  <c r="AF152" i="10"/>
  <c r="CK168" i="10"/>
  <c r="AD168" i="10"/>
  <c r="AE168" i="10"/>
  <c r="AF168" i="10"/>
  <c r="AL168" i="10"/>
  <c r="CK184" i="10"/>
  <c r="AL184" i="10"/>
  <c r="AE184" i="10"/>
  <c r="AD184" i="10"/>
  <c r="AF184" i="10"/>
  <c r="CK200" i="10"/>
  <c r="AD200" i="10"/>
  <c r="AE200" i="10"/>
  <c r="AF200" i="10"/>
  <c r="AL200" i="10"/>
  <c r="CK216" i="10"/>
  <c r="AL216" i="10"/>
  <c r="AE216" i="10"/>
  <c r="AD216" i="10"/>
  <c r="AF216" i="10"/>
  <c r="CK232" i="10"/>
  <c r="AD232" i="10"/>
  <c r="AE232" i="10"/>
  <c r="AF232" i="10"/>
  <c r="AL232" i="10"/>
  <c r="CK248" i="10"/>
  <c r="AL248" i="10"/>
  <c r="AE248" i="10"/>
  <c r="AD248" i="10"/>
  <c r="AF248" i="10"/>
  <c r="CK264" i="10"/>
  <c r="AD264" i="10"/>
  <c r="AE264" i="10"/>
  <c r="AF264" i="10"/>
  <c r="AL264" i="10"/>
  <c r="CK280" i="10"/>
  <c r="AL280" i="10"/>
  <c r="AE280" i="10"/>
  <c r="AD280" i="10"/>
  <c r="AF280" i="10"/>
  <c r="CK296" i="10"/>
  <c r="AD296" i="10"/>
  <c r="AE296" i="10"/>
  <c r="AF296" i="10"/>
  <c r="AL296" i="10"/>
  <c r="AE312" i="10"/>
  <c r="AL312" i="10"/>
  <c r="CK312" i="10"/>
  <c r="AD312" i="10"/>
  <c r="AF312" i="10"/>
  <c r="CK328" i="10"/>
  <c r="AD328" i="10"/>
  <c r="AE328" i="10"/>
  <c r="AF328" i="10"/>
  <c r="AL328" i="10"/>
  <c r="CK344" i="10"/>
  <c r="AL344" i="10"/>
  <c r="AE344" i="10"/>
  <c r="AD344" i="10"/>
  <c r="AF344" i="10"/>
  <c r="AE360" i="10"/>
  <c r="AD360" i="10"/>
  <c r="CK360" i="10"/>
  <c r="AF360" i="10"/>
  <c r="AL360" i="10"/>
  <c r="AE376" i="10"/>
  <c r="AL376" i="10"/>
  <c r="AF376" i="10"/>
  <c r="CK376" i="10"/>
  <c r="AD376" i="10"/>
  <c r="CK392" i="10"/>
  <c r="AD392" i="10"/>
  <c r="AE392" i="10"/>
  <c r="AF392" i="10"/>
  <c r="AL392" i="10"/>
  <c r="AE408" i="10"/>
  <c r="AD408" i="10"/>
  <c r="CK408" i="10"/>
  <c r="AF408" i="10"/>
  <c r="AL408" i="10"/>
  <c r="AL424" i="10"/>
  <c r="AD424" i="10"/>
  <c r="AE424" i="10"/>
  <c r="CK424" i="10"/>
  <c r="AF424" i="10"/>
  <c r="AE440" i="10"/>
  <c r="AL440" i="10"/>
  <c r="AF440" i="10"/>
  <c r="AD440" i="10"/>
  <c r="CK440" i="10"/>
  <c r="CK456" i="10"/>
  <c r="AL456" i="10"/>
  <c r="AE456" i="10"/>
  <c r="AF456" i="10"/>
  <c r="AD456" i="10"/>
  <c r="AE472" i="10"/>
  <c r="CK472" i="10"/>
  <c r="AL472" i="10"/>
  <c r="AD472" i="10"/>
  <c r="AF472" i="10"/>
  <c r="AL488" i="10"/>
  <c r="CK488" i="10"/>
  <c r="AE488" i="10"/>
  <c r="AF488" i="10"/>
  <c r="AD488" i="10"/>
  <c r="CK504" i="10"/>
  <c r="AD504" i="10"/>
  <c r="AE504" i="10"/>
  <c r="AL504" i="10"/>
  <c r="AF504" i="10"/>
  <c r="CK520" i="10"/>
  <c r="AD520" i="10"/>
  <c r="AE520" i="10"/>
  <c r="AL520" i="10"/>
  <c r="AF520" i="10"/>
  <c r="AE536" i="10"/>
  <c r="AD536" i="10"/>
  <c r="AL536" i="10"/>
  <c r="CK536" i="10"/>
  <c r="AF536" i="10"/>
  <c r="CK552" i="10"/>
  <c r="AD552" i="10"/>
  <c r="AL552" i="10"/>
  <c r="AE552" i="10"/>
  <c r="AF552" i="10"/>
  <c r="AE568" i="10"/>
  <c r="AD568" i="10"/>
  <c r="CK568" i="10"/>
  <c r="AL568" i="10"/>
  <c r="AF568" i="10"/>
  <c r="CK584" i="10"/>
  <c r="AF584" i="10"/>
  <c r="AE584" i="10"/>
  <c r="AD584" i="10"/>
  <c r="AL584" i="10"/>
  <c r="CK600" i="10"/>
  <c r="AD600" i="10"/>
  <c r="AE600" i="10"/>
  <c r="AF600" i="10"/>
  <c r="AL600" i="10"/>
  <c r="AL616" i="10"/>
  <c r="AD616" i="10"/>
  <c r="AE616" i="10"/>
  <c r="CK616" i="10"/>
  <c r="AF616" i="10"/>
  <c r="AE632" i="10"/>
  <c r="AD632" i="10"/>
  <c r="CK632" i="10"/>
  <c r="AF632" i="10"/>
  <c r="AL632" i="10"/>
  <c r="CK648" i="10"/>
  <c r="AF648" i="10"/>
  <c r="AE648" i="10"/>
  <c r="AL648" i="10"/>
  <c r="AD648" i="10"/>
  <c r="AE664" i="10"/>
  <c r="AF664" i="10"/>
  <c r="CK664" i="10"/>
  <c r="AD664" i="10"/>
  <c r="AL664" i="10"/>
  <c r="AL680" i="10"/>
  <c r="AF680" i="10"/>
  <c r="AE680" i="10"/>
  <c r="AD680" i="10"/>
  <c r="CK680" i="10"/>
  <c r="AE696" i="10"/>
  <c r="AL696" i="10"/>
  <c r="AD696" i="10"/>
  <c r="CK696" i="10"/>
  <c r="AF696" i="10"/>
  <c r="CK712" i="10"/>
  <c r="AF712" i="10"/>
  <c r="AE712" i="10"/>
  <c r="AD712" i="10"/>
  <c r="AL712" i="10"/>
  <c r="CK728" i="10"/>
  <c r="AF728" i="10"/>
  <c r="AE728" i="10"/>
  <c r="AD728" i="10"/>
  <c r="AL728" i="10"/>
  <c r="AL744" i="10"/>
  <c r="AF744" i="10"/>
  <c r="AE744" i="10"/>
  <c r="AD744" i="10"/>
  <c r="CK744" i="10"/>
  <c r="CK760" i="10"/>
  <c r="AF760" i="10"/>
  <c r="AE760" i="10"/>
  <c r="AL760" i="10"/>
  <c r="AD760" i="10"/>
  <c r="CK776" i="10"/>
  <c r="AF776" i="10"/>
  <c r="AE776" i="10"/>
  <c r="AD776" i="10"/>
  <c r="AL776" i="10"/>
  <c r="CK792" i="10"/>
  <c r="AF792" i="10"/>
  <c r="AE792" i="10"/>
  <c r="AD792" i="10"/>
  <c r="AL792" i="10"/>
  <c r="CK808" i="10"/>
  <c r="AF808" i="10"/>
  <c r="AL808" i="10"/>
  <c r="AE808" i="10"/>
  <c r="AD808" i="10"/>
  <c r="AE824" i="10"/>
  <c r="AL824" i="10"/>
  <c r="CK824" i="10"/>
  <c r="AF824" i="10"/>
  <c r="AD824" i="10"/>
  <c r="CK840" i="10"/>
  <c r="AF840" i="10"/>
  <c r="AE840" i="10"/>
  <c r="AD840" i="10"/>
  <c r="AL840" i="10"/>
  <c r="CK856" i="10"/>
  <c r="AF856" i="10"/>
  <c r="AE856" i="10"/>
  <c r="AL856" i="10"/>
  <c r="AD856" i="10"/>
  <c r="AL872" i="10"/>
  <c r="AF872" i="10"/>
  <c r="AE872" i="10"/>
  <c r="AD872" i="10"/>
  <c r="CK872" i="10"/>
  <c r="AE888" i="10"/>
  <c r="AF888" i="10"/>
  <c r="CK888" i="10"/>
  <c r="AL888" i="10"/>
  <c r="AD888" i="10"/>
  <c r="CK904" i="10"/>
  <c r="AF904" i="10"/>
  <c r="AE904" i="10"/>
  <c r="AD904" i="10"/>
  <c r="AL904" i="10"/>
  <c r="AE920" i="10"/>
  <c r="CK920" i="10"/>
  <c r="AL920" i="10"/>
  <c r="AD920" i="10"/>
  <c r="AF920" i="10"/>
  <c r="AL936" i="10"/>
  <c r="AF936" i="10"/>
  <c r="AE936" i="10"/>
  <c r="AD936" i="10"/>
  <c r="CK936" i="10"/>
  <c r="AE952" i="10"/>
  <c r="AL952" i="10"/>
  <c r="CK952" i="10"/>
  <c r="AD952" i="10"/>
  <c r="AF952" i="10"/>
  <c r="CK968" i="10"/>
  <c r="AF968" i="10"/>
  <c r="AE968" i="10"/>
  <c r="AD968" i="10"/>
  <c r="AL968" i="10"/>
  <c r="AE984" i="10"/>
  <c r="AF984" i="10"/>
  <c r="AL984" i="10"/>
  <c r="AD984" i="10"/>
  <c r="CK984" i="10"/>
  <c r="AL1000" i="10"/>
  <c r="AF1000" i="10"/>
  <c r="AE1000" i="10"/>
  <c r="AD1000" i="10"/>
  <c r="CK1000" i="10"/>
  <c r="P1023" i="10"/>
  <c r="AD1032" i="12"/>
  <c r="AC19" i="12" s="1"/>
  <c r="AH1033" i="12"/>
  <c r="AH1034" i="12" s="1"/>
  <c r="AD1034" i="12"/>
  <c r="P1080" i="10" s="1"/>
  <c r="AH1031" i="12"/>
  <c r="AH1032" i="12" s="1"/>
  <c r="AC27" i="12"/>
  <c r="AD1035" i="12"/>
  <c r="AO7" i="12"/>
  <c r="AL7" i="12" s="1"/>
  <c r="AD1036" i="12"/>
  <c r="P1081" i="10" s="1"/>
  <c r="AN4" i="12"/>
  <c r="AP5" i="12"/>
  <c r="AN5" i="12"/>
  <c r="AP4" i="12"/>
  <c r="AO5" i="12"/>
  <c r="AO4" i="12"/>
  <c r="AP6" i="12"/>
  <c r="AQ7" i="12"/>
  <c r="F119" i="17"/>
  <c r="F115" i="17"/>
  <c r="F116" i="17"/>
  <c r="F117" i="17"/>
  <c r="F118" i="17"/>
  <c r="AN8" i="12"/>
  <c r="AP7" i="12"/>
  <c r="AO8" i="12"/>
  <c r="AL8" i="12" s="1"/>
  <c r="AO6" i="12"/>
  <c r="AQ8" i="12"/>
  <c r="AN7" i="12"/>
  <c r="AC58" i="12"/>
  <c r="AC52" i="12"/>
  <c r="AC59" i="12"/>
  <c r="AC32" i="12"/>
  <c r="AC44" i="12"/>
  <c r="P1079" i="10"/>
  <c r="AC31" i="12"/>
  <c r="AC37" i="12"/>
  <c r="AC51" i="12"/>
  <c r="AC38" i="12"/>
  <c r="AC39" i="12"/>
  <c r="AC30" i="12"/>
  <c r="AC53" i="12"/>
  <c r="AC60" i="12"/>
  <c r="AC46" i="12"/>
  <c r="AC45" i="12"/>
  <c r="I1092" i="10"/>
  <c r="AN6" i="12"/>
  <c r="AP8" i="12"/>
  <c r="AC24" i="12"/>
  <c r="AC26" i="12"/>
  <c r="AC22" i="12"/>
  <c r="AC10" i="12"/>
  <c r="AC15" i="12"/>
  <c r="AC6" i="12"/>
  <c r="AC18" i="12"/>
  <c r="AC8" i="12"/>
  <c r="AC9" i="12"/>
  <c r="AC17" i="12"/>
  <c r="AC16" i="12"/>
  <c r="AC23" i="12"/>
  <c r="AC7" i="12"/>
  <c r="AC14" i="12"/>
  <c r="AH7" i="12"/>
  <c r="AH6" i="12"/>
  <c r="AG8" i="12"/>
  <c r="AH8" i="12"/>
  <c r="AJ8" i="12"/>
  <c r="AI8" i="12"/>
  <c r="AF9" i="12"/>
  <c r="Z36" i="16"/>
  <c r="I77" i="10"/>
  <c r="AL36" i="16"/>
  <c r="Y48" i="16"/>
  <c r="J5" i="11"/>
  <c r="J5" i="10"/>
  <c r="B132" i="17"/>
  <c r="J5" i="12"/>
  <c r="N4175" i="14" s="1"/>
  <c r="K4175" i="14" s="1"/>
  <c r="J4" i="13"/>
  <c r="J59" i="13"/>
  <c r="G204" i="8"/>
  <c r="F206" i="8"/>
  <c r="F207" i="8" s="1"/>
  <c r="I8" i="12"/>
  <c r="J36" i="16" s="1"/>
  <c r="J48" i="16" s="1"/>
  <c r="I33" i="11"/>
  <c r="I43" i="11" s="1"/>
  <c r="I8" i="11"/>
  <c r="I8" i="10"/>
  <c r="I8" i="13"/>
  <c r="D13" i="14"/>
  <c r="L1063" i="11"/>
  <c r="G1009" i="10"/>
  <c r="D50" i="17" s="1"/>
  <c r="G1012" i="10"/>
  <c r="T53" i="17" s="1"/>
  <c r="G1010" i="10"/>
  <c r="T51" i="17" s="1"/>
  <c r="G1011" i="10"/>
  <c r="T52" i="17" s="1"/>
  <c r="AO9" i="12"/>
  <c r="AL9" i="12" s="1"/>
  <c r="AM10" i="12"/>
  <c r="AN9" i="12"/>
  <c r="AQ9" i="12"/>
  <c r="AP9" i="12"/>
  <c r="F15" i="14"/>
  <c r="C4177" i="14"/>
  <c r="A1065" i="11"/>
  <c r="K121" i="17" l="1"/>
  <c r="O121" i="17" s="1"/>
  <c r="O110" i="18" s="1"/>
  <c r="AC11" i="12"/>
  <c r="E55" i="17"/>
  <c r="E54" i="17"/>
  <c r="N116" i="18"/>
  <c r="J116" i="18" s="1"/>
  <c r="O116" i="18" s="1"/>
  <c r="L133" i="17"/>
  <c r="I1093" i="10"/>
  <c r="I1094" i="10" s="1"/>
  <c r="AF10" i="12"/>
  <c r="AI9" i="12"/>
  <c r="AJ9" i="12"/>
  <c r="AG9" i="12"/>
  <c r="AH9" i="12"/>
  <c r="K5" i="11"/>
  <c r="K4" i="13"/>
  <c r="K5" i="10"/>
  <c r="H204" i="8"/>
  <c r="K5" i="12"/>
  <c r="N4176" i="14" s="1"/>
  <c r="K4176" i="14" s="1"/>
  <c r="G206" i="8"/>
  <c r="G207" i="8" s="1"/>
  <c r="B133" i="17"/>
  <c r="L134" i="17" s="1"/>
  <c r="K59" i="13"/>
  <c r="AA36" i="16"/>
  <c r="J77" i="10"/>
  <c r="J8" i="13"/>
  <c r="J33" i="11"/>
  <c r="J43" i="11" s="1"/>
  <c r="J8" i="11"/>
  <c r="J8" i="12"/>
  <c r="K36" i="16" s="1"/>
  <c r="K48" i="16" s="1"/>
  <c r="J8" i="10"/>
  <c r="Z48" i="16"/>
  <c r="AM36" i="16"/>
  <c r="E52" i="17"/>
  <c r="B58" i="17"/>
  <c r="E51" i="17"/>
  <c r="E53" i="17"/>
  <c r="J83" i="18"/>
  <c r="A1066" i="11"/>
  <c r="L1065" i="11" s="1"/>
  <c r="D14" i="14"/>
  <c r="C4178" i="14"/>
  <c r="F16" i="14"/>
  <c r="AO10" i="12"/>
  <c r="AL10" i="12" s="1"/>
  <c r="AN10" i="12"/>
  <c r="AP10" i="12"/>
  <c r="AQ10" i="12"/>
  <c r="AM11" i="12"/>
  <c r="L1064" i="11"/>
  <c r="E58" i="17" l="1"/>
  <c r="F55" i="17" s="1"/>
  <c r="I1095" i="10"/>
  <c r="AI10" i="12"/>
  <c r="AJ10" i="12"/>
  <c r="AG10" i="12"/>
  <c r="AH10" i="12"/>
  <c r="AF11" i="12"/>
  <c r="A1067" i="11"/>
  <c r="B134" i="17"/>
  <c r="L135" i="17" s="1"/>
  <c r="L4" i="13"/>
  <c r="I204" i="8"/>
  <c r="L5" i="11"/>
  <c r="L5" i="10"/>
  <c r="L59" i="13"/>
  <c r="H206" i="8"/>
  <c r="H207" i="8" s="1"/>
  <c r="L5" i="12"/>
  <c r="N4177" i="14" s="1"/>
  <c r="K4177" i="14" s="1"/>
  <c r="AB36" i="16"/>
  <c r="K77" i="10"/>
  <c r="K8" i="13"/>
  <c r="K8" i="12"/>
  <c r="L36" i="16" s="1"/>
  <c r="L48" i="16" s="1"/>
  <c r="K8" i="11"/>
  <c r="K33" i="11"/>
  <c r="K43" i="11" s="1"/>
  <c r="K8" i="10"/>
  <c r="AA48" i="16"/>
  <c r="AN36" i="16"/>
  <c r="F17" i="14"/>
  <c r="D15" i="14"/>
  <c r="C4179" i="14"/>
  <c r="K80" i="18"/>
  <c r="J41" i="18"/>
  <c r="N80" i="18"/>
  <c r="J80" i="18" s="1"/>
  <c r="O80" i="18" s="1"/>
  <c r="AO11" i="12"/>
  <c r="AL11" i="12" s="1"/>
  <c r="AM12" i="12"/>
  <c r="AP11" i="12"/>
  <c r="AQ11" i="12"/>
  <c r="AN11" i="12"/>
  <c r="F51" i="17" l="1"/>
  <c r="N76" i="18" s="1"/>
  <c r="J76" i="18" s="1"/>
  <c r="O76" i="18" s="1"/>
  <c r="F54" i="17"/>
  <c r="F52" i="17"/>
  <c r="F53" i="17"/>
  <c r="I1096" i="10"/>
  <c r="I1097" i="10" s="1"/>
  <c r="I1098" i="10" s="1"/>
  <c r="AF12" i="12"/>
  <c r="AG12" i="12" s="1"/>
  <c r="L1066" i="11"/>
  <c r="AG11" i="12"/>
  <c r="AJ11" i="12"/>
  <c r="AH11" i="12"/>
  <c r="AI11" i="12"/>
  <c r="L8" i="11"/>
  <c r="L8" i="12"/>
  <c r="M36" i="16" s="1"/>
  <c r="M48" i="16" s="1"/>
  <c r="L8" i="10"/>
  <c r="L33" i="11"/>
  <c r="L43" i="11" s="1"/>
  <c r="L8" i="13"/>
  <c r="M5" i="11"/>
  <c r="M59" i="13"/>
  <c r="J204" i="8"/>
  <c r="B135" i="17"/>
  <c r="L136" i="17" s="1"/>
  <c r="M5" i="10"/>
  <c r="M4" i="13"/>
  <c r="I206" i="8"/>
  <c r="I207" i="8" s="1"/>
  <c r="M5" i="12"/>
  <c r="N4178" i="14" s="1"/>
  <c r="K4178" i="14" s="1"/>
  <c r="AB48" i="16"/>
  <c r="AO36" i="16"/>
  <c r="L77" i="10"/>
  <c r="AC36" i="16"/>
  <c r="C4180" i="14"/>
  <c r="D16" i="14"/>
  <c r="AO12" i="12"/>
  <c r="AL12" i="12" s="1"/>
  <c r="AM13" i="12"/>
  <c r="AQ12" i="12"/>
  <c r="AP12" i="12"/>
  <c r="AN12" i="12"/>
  <c r="F18" i="14"/>
  <c r="BB38" i="11" l="1"/>
  <c r="I1099" i="10"/>
  <c r="AH12" i="12"/>
  <c r="AF13" i="12"/>
  <c r="AG13" i="12" s="1"/>
  <c r="AI12" i="12"/>
  <c r="AJ12" i="12"/>
  <c r="M8" i="10"/>
  <c r="M8" i="13"/>
  <c r="M8" i="12"/>
  <c r="N36" i="16" s="1"/>
  <c r="N48" i="16" s="1"/>
  <c r="M8" i="11"/>
  <c r="M33" i="11"/>
  <c r="M43" i="11" s="1"/>
  <c r="J206" i="8"/>
  <c r="J207" i="8" s="1"/>
  <c r="N5" i="12"/>
  <c r="N4179" i="14" s="1"/>
  <c r="K4179" i="14" s="1"/>
  <c r="N5" i="11"/>
  <c r="N59" i="13"/>
  <c r="K204" i="8"/>
  <c r="N5" i="10"/>
  <c r="B136" i="17"/>
  <c r="L137" i="17" s="1"/>
  <c r="N4" i="13"/>
  <c r="AD36" i="16"/>
  <c r="M77" i="10"/>
  <c r="AP36" i="16"/>
  <c r="AC48" i="16"/>
  <c r="D17" i="14"/>
  <c r="F19" i="14"/>
  <c r="AO13" i="12"/>
  <c r="AL13" i="12" s="1"/>
  <c r="AM14" i="12"/>
  <c r="AN13" i="12"/>
  <c r="AP13" i="12"/>
  <c r="AQ13" i="12"/>
  <c r="C4181" i="14"/>
  <c r="BB39" i="11" l="1"/>
  <c r="I1100" i="10"/>
  <c r="AI13" i="12"/>
  <c r="AF14" i="12"/>
  <c r="AG14" i="12" s="1"/>
  <c r="AJ13" i="12"/>
  <c r="AH13" i="12"/>
  <c r="N8" i="12"/>
  <c r="O36" i="16" s="1"/>
  <c r="O48" i="16" s="1"/>
  <c r="N8" i="10"/>
  <c r="N33" i="11"/>
  <c r="N43" i="11" s="1"/>
  <c r="N8" i="13"/>
  <c r="N8" i="11"/>
  <c r="N77" i="10"/>
  <c r="AE36" i="16"/>
  <c r="AQ36" i="16"/>
  <c r="AD48" i="16"/>
  <c r="O5" i="11"/>
  <c r="O59" i="13"/>
  <c r="L204" i="8"/>
  <c r="O5" i="12"/>
  <c r="N4180" i="14" s="1"/>
  <c r="K4180" i="14" s="1"/>
  <c r="K206" i="8"/>
  <c r="K207" i="8" s="1"/>
  <c r="B137" i="17"/>
  <c r="L138" i="17" s="1"/>
  <c r="O5" i="10"/>
  <c r="O4" i="13"/>
  <c r="C4182" i="14"/>
  <c r="F20" i="14"/>
  <c r="AO14" i="12"/>
  <c r="AL14" i="12" s="1"/>
  <c r="AN14" i="12"/>
  <c r="AP14" i="12"/>
  <c r="AM15" i="12"/>
  <c r="AQ14" i="12"/>
  <c r="D18" i="14"/>
  <c r="AF15" i="12" l="1"/>
  <c r="AH15" i="12" s="1"/>
  <c r="AJ14" i="12"/>
  <c r="AI14" i="12"/>
  <c r="AH14" i="12"/>
  <c r="H131" i="18"/>
  <c r="I1101" i="10"/>
  <c r="I1102" i="10" s="1"/>
  <c r="I1103" i="10" s="1"/>
  <c r="I1104" i="10" s="1"/>
  <c r="I1105" i="10" s="1"/>
  <c r="I1106" i="10" s="1"/>
  <c r="I1107" i="10" s="1"/>
  <c r="I1108" i="10" s="1"/>
  <c r="I1109" i="10" s="1"/>
  <c r="I1110" i="10" s="1"/>
  <c r="I1111" i="10" s="1"/>
  <c r="I1112" i="10" s="1"/>
  <c r="J1037" i="11"/>
  <c r="O8" i="12"/>
  <c r="P36" i="16" s="1"/>
  <c r="P48" i="16" s="1"/>
  <c r="O8" i="10"/>
  <c r="O8" i="11"/>
  <c r="O33" i="11"/>
  <c r="O43" i="11" s="1"/>
  <c r="O8" i="13"/>
  <c r="AR36" i="16"/>
  <c r="AE48" i="16"/>
  <c r="O77" i="10"/>
  <c r="AF36" i="16"/>
  <c r="B138" i="17"/>
  <c r="L139" i="17" s="1"/>
  <c r="P59" i="13"/>
  <c r="P5" i="10"/>
  <c r="P4" i="13"/>
  <c r="L206" i="8"/>
  <c r="L207" i="8" s="1"/>
  <c r="P5" i="12"/>
  <c r="N4181" i="14" s="1"/>
  <c r="K4181" i="14" s="1"/>
  <c r="P5" i="11"/>
  <c r="AO15" i="12"/>
  <c r="AL15" i="12" s="1"/>
  <c r="AM16" i="12"/>
  <c r="AP15" i="12"/>
  <c r="AQ15" i="12"/>
  <c r="AN15" i="12"/>
  <c r="F21" i="14"/>
  <c r="D19" i="14"/>
  <c r="C4183" i="14"/>
  <c r="K92" i="16" l="1"/>
  <c r="I69" i="16" s="1"/>
  <c r="H4188" i="14"/>
  <c r="J1045" i="12"/>
  <c r="H1029" i="12" s="1"/>
  <c r="J1444" i="10"/>
  <c r="M64" i="10" s="1"/>
  <c r="B4" i="12"/>
  <c r="B4" i="10" s="1"/>
  <c r="AI15" i="12"/>
  <c r="AG15" i="12"/>
  <c r="AJ15" i="12"/>
  <c r="AF16" i="12"/>
  <c r="AI16" i="12" s="1"/>
  <c r="H177" i="8"/>
  <c r="P6" i="17" s="1"/>
  <c r="C5" i="18" s="1"/>
  <c r="I175" i="17"/>
  <c r="J122" i="13"/>
  <c r="B1" i="13" s="1"/>
  <c r="P1029" i="11"/>
  <c r="L1029" i="11"/>
  <c r="H1029" i="11"/>
  <c r="O1029" i="11"/>
  <c r="K1029" i="11"/>
  <c r="G1029" i="11"/>
  <c r="N1029" i="11"/>
  <c r="J1029" i="11"/>
  <c r="F1029" i="11"/>
  <c r="Q1029" i="11"/>
  <c r="M1029" i="11"/>
  <c r="I1029" i="11"/>
  <c r="Q69" i="16"/>
  <c r="P69" i="16"/>
  <c r="L69" i="16"/>
  <c r="H69" i="16"/>
  <c r="K69" i="16"/>
  <c r="G69" i="16"/>
  <c r="R69" i="16"/>
  <c r="J69" i="16"/>
  <c r="I1113" i="10"/>
  <c r="I1114" i="10"/>
  <c r="I1115" i="10" s="1"/>
  <c r="I1116" i="10" s="1"/>
  <c r="I1117" i="10" s="1"/>
  <c r="I1118" i="10" s="1"/>
  <c r="I1119" i="10" s="1"/>
  <c r="I1120" i="10" s="1"/>
  <c r="B1" i="11"/>
  <c r="AG36" i="16"/>
  <c r="P77" i="10"/>
  <c r="P8" i="13"/>
  <c r="P8" i="11"/>
  <c r="P8" i="10"/>
  <c r="P8" i="12"/>
  <c r="Q36" i="16" s="1"/>
  <c r="Q48" i="16" s="1"/>
  <c r="P33" i="11"/>
  <c r="P43" i="11" s="1"/>
  <c r="AF48" i="16"/>
  <c r="AS36" i="16"/>
  <c r="D20" i="14"/>
  <c r="F22" i="14"/>
  <c r="AO16" i="12"/>
  <c r="AL16" i="12" s="1"/>
  <c r="AM17" i="12"/>
  <c r="AQ16" i="12"/>
  <c r="AN16" i="12"/>
  <c r="AP16" i="12"/>
  <c r="B77" i="17" l="1"/>
  <c r="E1084" i="11"/>
  <c r="F16" i="11" s="1"/>
  <c r="I102" i="17"/>
  <c r="I44" i="17"/>
  <c r="G1014" i="14"/>
  <c r="P5" i="17" s="1"/>
  <c r="L5" i="18" s="1"/>
  <c r="N38" i="18" s="1"/>
  <c r="I31" i="12"/>
  <c r="M69" i="16"/>
  <c r="I1121" i="10"/>
  <c r="I1122" i="10" s="1"/>
  <c r="I1123" i="10" s="1"/>
  <c r="N69" i="16"/>
  <c r="O69" i="16"/>
  <c r="B1" i="12"/>
  <c r="F1029" i="12"/>
  <c r="K1029" i="12"/>
  <c r="J64" i="10"/>
  <c r="P1029" i="12"/>
  <c r="B1" i="10"/>
  <c r="I1029" i="12"/>
  <c r="G1029" i="12"/>
  <c r="L1029" i="12"/>
  <c r="M1029" i="12"/>
  <c r="J1029" i="12"/>
  <c r="O1029" i="12"/>
  <c r="Q1029" i="12"/>
  <c r="N1029" i="12"/>
  <c r="I61" i="11"/>
  <c r="I32" i="16"/>
  <c r="I60" i="10"/>
  <c r="C14" i="16" s="1"/>
  <c r="I58" i="16"/>
  <c r="J33" i="16"/>
  <c r="I81" i="13"/>
  <c r="B17" i="11"/>
  <c r="I25" i="17"/>
  <c r="I57" i="13"/>
  <c r="AF17" i="12"/>
  <c r="AG17" i="12" s="1"/>
  <c r="AG16" i="12"/>
  <c r="AJ16" i="12"/>
  <c r="AH16" i="12"/>
  <c r="E117" i="13"/>
  <c r="B2" i="13" s="1"/>
  <c r="E1041" i="12"/>
  <c r="B2" i="12" s="1"/>
  <c r="I79" i="17"/>
  <c r="E1129" i="10"/>
  <c r="B2" i="10" s="1"/>
  <c r="I43" i="17"/>
  <c r="I123" i="17"/>
  <c r="E1082" i="11"/>
  <c r="B2" i="11" s="1"/>
  <c r="B210" i="8"/>
  <c r="M210" i="8"/>
  <c r="Q1016" i="11" s="1"/>
  <c r="E45" i="13"/>
  <c r="AT36" i="16"/>
  <c r="AG48" i="16"/>
  <c r="AO17" i="12"/>
  <c r="AL17" i="12" s="1"/>
  <c r="AM18" i="12"/>
  <c r="AN17" i="12"/>
  <c r="AQ17" i="12"/>
  <c r="AP17" i="12"/>
  <c r="D21" i="14"/>
  <c r="F23" i="14"/>
  <c r="AJ17" i="12" l="1"/>
  <c r="AF18" i="12"/>
  <c r="AI18" i="12" s="1"/>
  <c r="J59" i="16"/>
  <c r="AH17" i="12"/>
  <c r="AI17" i="12"/>
  <c r="N1114" i="10"/>
  <c r="N1107" i="10"/>
  <c r="N1113" i="10"/>
  <c r="N1087" i="10"/>
  <c r="N1104" i="10"/>
  <c r="N1109" i="10"/>
  <c r="N1103" i="10"/>
  <c r="N1117" i="10"/>
  <c r="N1122" i="10"/>
  <c r="N1102" i="10"/>
  <c r="N1101" i="10"/>
  <c r="N1095" i="10"/>
  <c r="N1106" i="10"/>
  <c r="N1112" i="10"/>
  <c r="N1090" i="10"/>
  <c r="N1110" i="10"/>
  <c r="N1099" i="10"/>
  <c r="N1096" i="10"/>
  <c r="N1088" i="10"/>
  <c r="N1093" i="10"/>
  <c r="N1089" i="10"/>
  <c r="N1097" i="10"/>
  <c r="N1098" i="10"/>
  <c r="N1108" i="10"/>
  <c r="N1111" i="10"/>
  <c r="N1100" i="10"/>
  <c r="N1118" i="10"/>
  <c r="N1115" i="10"/>
  <c r="N1105" i="10"/>
  <c r="N1120" i="10"/>
  <c r="N1091" i="10"/>
  <c r="N1116" i="10"/>
  <c r="N1092" i="10"/>
  <c r="N1121" i="10"/>
  <c r="N1094" i="10"/>
  <c r="N1086" i="10"/>
  <c r="N1119" i="10"/>
  <c r="M110" i="13"/>
  <c r="M1437" i="10"/>
  <c r="I210" i="8"/>
  <c r="M1016" i="11" s="1"/>
  <c r="F1424" i="10"/>
  <c r="F1016" i="11"/>
  <c r="F1016" i="12"/>
  <c r="Q1016" i="12"/>
  <c r="Q1424" i="10"/>
  <c r="C139" i="17"/>
  <c r="N210" i="8"/>
  <c r="W1009" i="11"/>
  <c r="P1009" i="11" s="1"/>
  <c r="W1433" i="10"/>
  <c r="W1009" i="12"/>
  <c r="P1009" i="12" s="1"/>
  <c r="AG18" i="12"/>
  <c r="AJ18" i="12"/>
  <c r="W1009" i="10"/>
  <c r="W1010" i="10" s="1"/>
  <c r="I1437" i="10"/>
  <c r="O110" i="13"/>
  <c r="Q1437" i="10"/>
  <c r="F1437" i="10"/>
  <c r="C128" i="17"/>
  <c r="D4171" i="14"/>
  <c r="I110" i="13"/>
  <c r="D210" i="8"/>
  <c r="H1016" i="11" s="1"/>
  <c r="F110" i="13"/>
  <c r="E210" i="8"/>
  <c r="H1437" i="10"/>
  <c r="H110" i="13"/>
  <c r="G110" i="13"/>
  <c r="N110" i="13"/>
  <c r="K1437" i="10"/>
  <c r="P110" i="13"/>
  <c r="J110" i="13"/>
  <c r="G210" i="8"/>
  <c r="L210" i="8"/>
  <c r="P1016" i="11" s="1"/>
  <c r="G1437" i="10"/>
  <c r="Z1020" i="12"/>
  <c r="C210" i="8"/>
  <c r="G1016" i="11" s="1"/>
  <c r="N1437" i="10"/>
  <c r="Z1019" i="12"/>
  <c r="J210" i="8"/>
  <c r="P1437" i="10"/>
  <c r="O1437" i="10"/>
  <c r="H210" i="8"/>
  <c r="K210" i="8"/>
  <c r="K110" i="13"/>
  <c r="B221" i="8"/>
  <c r="D4182" i="14" s="1"/>
  <c r="L110" i="13"/>
  <c r="F210" i="8"/>
  <c r="J1016" i="11" s="1"/>
  <c r="Q110" i="13"/>
  <c r="L1437" i="10"/>
  <c r="J1437" i="10"/>
  <c r="I51" i="13"/>
  <c r="AO18" i="12"/>
  <c r="AL18" i="12" s="1"/>
  <c r="AN18" i="12"/>
  <c r="AP18" i="12"/>
  <c r="AM19" i="12"/>
  <c r="AQ18" i="12"/>
  <c r="F24" i="14"/>
  <c r="D22" i="14"/>
  <c r="AF19" i="12" l="1"/>
  <c r="AH18" i="12"/>
  <c r="D138" i="17"/>
  <c r="D51" i="18"/>
  <c r="C142" i="17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D139" i="17"/>
  <c r="BB44" i="11"/>
  <c r="B217" i="8"/>
  <c r="D4178" i="14" s="1"/>
  <c r="C135" i="17"/>
  <c r="D134" i="17" s="1"/>
  <c r="M1016" i="12"/>
  <c r="S1013" i="11"/>
  <c r="P1010" i="11"/>
  <c r="U1" i="11" s="1"/>
  <c r="M1424" i="10"/>
  <c r="L1424" i="10"/>
  <c r="L1016" i="11"/>
  <c r="P1012" i="11"/>
  <c r="S1011" i="11" s="1"/>
  <c r="N1424" i="10"/>
  <c r="N1016" i="11"/>
  <c r="K1424" i="10"/>
  <c r="K1016" i="11"/>
  <c r="S1016" i="11"/>
  <c r="S1424" i="10"/>
  <c r="I1424" i="10"/>
  <c r="I1016" i="11"/>
  <c r="P1011" i="11"/>
  <c r="S1010" i="11" s="1"/>
  <c r="O1424" i="10"/>
  <c r="P1013" i="11"/>
  <c r="S1012" i="11" s="1"/>
  <c r="O1016" i="11"/>
  <c r="G1016" i="12"/>
  <c r="G1424" i="10"/>
  <c r="P1016" i="12"/>
  <c r="P1424" i="10"/>
  <c r="J1016" i="12"/>
  <c r="J1424" i="10"/>
  <c r="H1016" i="12"/>
  <c r="H1424" i="10"/>
  <c r="S1016" i="12"/>
  <c r="P1417" i="10"/>
  <c r="B215" i="8"/>
  <c r="D4176" i="14" s="1"/>
  <c r="K1016" i="12"/>
  <c r="C134" i="17"/>
  <c r="D133" i="17" s="1"/>
  <c r="L1016" i="12"/>
  <c r="B213" i="8"/>
  <c r="D4174" i="14" s="1"/>
  <c r="I1016" i="12"/>
  <c r="C137" i="17"/>
  <c r="D136" i="17" s="1"/>
  <c r="O1016" i="12"/>
  <c r="B218" i="8"/>
  <c r="D4179" i="14" s="1"/>
  <c r="N1016" i="12"/>
  <c r="P1420" i="10"/>
  <c r="P1421" i="10"/>
  <c r="S1420" i="10" s="1"/>
  <c r="C129" i="17"/>
  <c r="D128" i="17" s="1"/>
  <c r="P1419" i="10"/>
  <c r="S1418" i="10" s="1"/>
  <c r="B220" i="8"/>
  <c r="D4181" i="14" s="1"/>
  <c r="S1421" i="10"/>
  <c r="P1418" i="10"/>
  <c r="F65" i="17"/>
  <c r="M89" i="18" s="1"/>
  <c r="O89" i="18" s="1"/>
  <c r="F9" i="17"/>
  <c r="F32" i="17" s="1"/>
  <c r="S1013" i="12"/>
  <c r="P1010" i="12"/>
  <c r="U1" i="12" s="1"/>
  <c r="P1012" i="12"/>
  <c r="S1011" i="12" s="1"/>
  <c r="B212" i="8"/>
  <c r="D4173" i="14" s="1"/>
  <c r="P1011" i="12"/>
  <c r="S1010" i="12" s="1"/>
  <c r="P1013" i="12"/>
  <c r="S1012" i="12" s="1"/>
  <c r="I65" i="17"/>
  <c r="M90" i="18" s="1"/>
  <c r="O90" i="18" s="1"/>
  <c r="I9" i="17"/>
  <c r="I32" i="17" s="1"/>
  <c r="W1010" i="11"/>
  <c r="Q1009" i="11" s="1"/>
  <c r="W1434" i="10"/>
  <c r="W1010" i="12"/>
  <c r="Q1009" i="12" s="1"/>
  <c r="V1009" i="10"/>
  <c r="U1009" i="10" s="1"/>
  <c r="X1009" i="10" s="1"/>
  <c r="Y1009" i="10" s="1"/>
  <c r="Z1009" i="10" s="1"/>
  <c r="AG19" i="12"/>
  <c r="AJ19" i="12"/>
  <c r="AH19" i="12"/>
  <c r="AI19" i="12"/>
  <c r="AF20" i="12"/>
  <c r="C130" i="17"/>
  <c r="P66" i="17" s="1"/>
  <c r="C136" i="17"/>
  <c r="D135" i="17" s="1"/>
  <c r="C131" i="17"/>
  <c r="D130" i="17" s="1"/>
  <c r="B219" i="8"/>
  <c r="D4180" i="14" s="1"/>
  <c r="C133" i="17"/>
  <c r="D132" i="17" s="1"/>
  <c r="B211" i="8"/>
  <c r="D4172" i="14" s="1"/>
  <c r="B214" i="8"/>
  <c r="D4175" i="14" s="1"/>
  <c r="C132" i="17"/>
  <c r="D131" i="17" s="1"/>
  <c r="J42" i="18"/>
  <c r="J43" i="18"/>
  <c r="D47" i="18"/>
  <c r="M42" i="18"/>
  <c r="D44" i="18"/>
  <c r="D42" i="18"/>
  <c r="J44" i="18"/>
  <c r="C138" i="17"/>
  <c r="D137" i="17" s="1"/>
  <c r="B216" i="8"/>
  <c r="D4177" i="14" s="1"/>
  <c r="D50" i="18"/>
  <c r="D23" i="14"/>
  <c r="F25" i="14"/>
  <c r="V1010" i="10"/>
  <c r="U1010" i="10" s="1"/>
  <c r="X1010" i="10" s="1"/>
  <c r="Y1010" i="10" s="1"/>
  <c r="W1011" i="10"/>
  <c r="AO19" i="12"/>
  <c r="AL19" i="12" s="1"/>
  <c r="AM20" i="12"/>
  <c r="AP19" i="12"/>
  <c r="AQ19" i="12"/>
  <c r="AN19" i="12"/>
  <c r="S1419" i="10" l="1"/>
  <c r="M1419" i="10" s="1"/>
  <c r="Q1419" i="10" s="1"/>
  <c r="U1" i="10"/>
  <c r="D129" i="17"/>
  <c r="P10" i="17"/>
  <c r="K10" i="17" s="1"/>
  <c r="L47" i="18"/>
  <c r="CO1" i="10"/>
  <c r="W1012" i="12"/>
  <c r="BB45" i="11"/>
  <c r="M1010" i="11"/>
  <c r="Q1010" i="11" s="1"/>
  <c r="U2" i="11" s="1"/>
  <c r="U600" i="11" s="1"/>
  <c r="M1012" i="11"/>
  <c r="Q1012" i="11" s="1"/>
  <c r="M1011" i="11"/>
  <c r="Q1011" i="11" s="1"/>
  <c r="W1012" i="11"/>
  <c r="M1013" i="11"/>
  <c r="Q1013" i="11" s="1"/>
  <c r="Q1417" i="10"/>
  <c r="AA17" i="10"/>
  <c r="AA33" i="10"/>
  <c r="AA49" i="10"/>
  <c r="AA65" i="10"/>
  <c r="AA81" i="10"/>
  <c r="AA97" i="10"/>
  <c r="AA113" i="10"/>
  <c r="AA129" i="10"/>
  <c r="AA145" i="10"/>
  <c r="AA161" i="10"/>
  <c r="AA177" i="10"/>
  <c r="AA193" i="10"/>
  <c r="AA209" i="10"/>
  <c r="AA225" i="10"/>
  <c r="AA241" i="10"/>
  <c r="AA257" i="10"/>
  <c r="AA273" i="10"/>
  <c r="AA289" i="10"/>
  <c r="AA305" i="10"/>
  <c r="AA321" i="10"/>
  <c r="AA337" i="10"/>
  <c r="AA15" i="10"/>
  <c r="AA31" i="10"/>
  <c r="AA47" i="10"/>
  <c r="AA63" i="10"/>
  <c r="AA79" i="10"/>
  <c r="AA95" i="10"/>
  <c r="AA111" i="10"/>
  <c r="AA127" i="10"/>
  <c r="AA143" i="10"/>
  <c r="AA159" i="10"/>
  <c r="AA175" i="10"/>
  <c r="AA191" i="10"/>
  <c r="AA207" i="10"/>
  <c r="AA223" i="10"/>
  <c r="AA239" i="10"/>
  <c r="AA255" i="10"/>
  <c r="AA271" i="10"/>
  <c r="AA287" i="10"/>
  <c r="AA303" i="10"/>
  <c r="AA319" i="10"/>
  <c r="AA335" i="10"/>
  <c r="AA14" i="10"/>
  <c r="AA46" i="10"/>
  <c r="AA78" i="10"/>
  <c r="AA110" i="10"/>
  <c r="AA142" i="10"/>
  <c r="AA174" i="10"/>
  <c r="AA206" i="10"/>
  <c r="AA238" i="10"/>
  <c r="AA270" i="10"/>
  <c r="AA302" i="10"/>
  <c r="AA334" i="10"/>
  <c r="AA355" i="10"/>
  <c r="AA371" i="10"/>
  <c r="AA387" i="10"/>
  <c r="AA403" i="10"/>
  <c r="AA419" i="10"/>
  <c r="AA435" i="10"/>
  <c r="AA451" i="10"/>
  <c r="AA467" i="10"/>
  <c r="AA483" i="10"/>
  <c r="AA499" i="10"/>
  <c r="AA515" i="10"/>
  <c r="AA26" i="10"/>
  <c r="AA58" i="10"/>
  <c r="AA90" i="10"/>
  <c r="AA122" i="10"/>
  <c r="AA154" i="10"/>
  <c r="AA186" i="10"/>
  <c r="AA218" i="10"/>
  <c r="AA250" i="10"/>
  <c r="AA282" i="10"/>
  <c r="AA314" i="10"/>
  <c r="AA345" i="10"/>
  <c r="AA361" i="10"/>
  <c r="AA377" i="10"/>
  <c r="AA393" i="10"/>
  <c r="AA409" i="10"/>
  <c r="AA425" i="10"/>
  <c r="AA441" i="10"/>
  <c r="AA457" i="10"/>
  <c r="AA473" i="10"/>
  <c r="AA489" i="10"/>
  <c r="AA505" i="10"/>
  <c r="AA24" i="10"/>
  <c r="AA88" i="10"/>
  <c r="AA152" i="10"/>
  <c r="AA216" i="10"/>
  <c r="AA280" i="10"/>
  <c r="AA344" i="10"/>
  <c r="AA376" i="10"/>
  <c r="AA408" i="10"/>
  <c r="AA440" i="10"/>
  <c r="AA472" i="10"/>
  <c r="AA504" i="10"/>
  <c r="AA527" i="10"/>
  <c r="AA543" i="10"/>
  <c r="AA559" i="10"/>
  <c r="AA575" i="10"/>
  <c r="AA591" i="10"/>
  <c r="AA607" i="10"/>
  <c r="AA623" i="10"/>
  <c r="AA639" i="10"/>
  <c r="AA655" i="10"/>
  <c r="AA671" i="10"/>
  <c r="AA687" i="10"/>
  <c r="AA703" i="10"/>
  <c r="AA719" i="10"/>
  <c r="AA735" i="10"/>
  <c r="AA751" i="10"/>
  <c r="AA767" i="10"/>
  <c r="AA783" i="10"/>
  <c r="AA799" i="10"/>
  <c r="AA815" i="10"/>
  <c r="AA831" i="10"/>
  <c r="AA847" i="10"/>
  <c r="AA863" i="10"/>
  <c r="AA879" i="10"/>
  <c r="AA895" i="10"/>
  <c r="AA911" i="10"/>
  <c r="AA927" i="10"/>
  <c r="AA943" i="10"/>
  <c r="AA959" i="10"/>
  <c r="AA975" i="10"/>
  <c r="AA991" i="10"/>
  <c r="AA64" i="10"/>
  <c r="AA128" i="10"/>
  <c r="AA192" i="10"/>
  <c r="AA256" i="10"/>
  <c r="AA320" i="10"/>
  <c r="AA364" i="10"/>
  <c r="AA396" i="10"/>
  <c r="AA428" i="10"/>
  <c r="AA460" i="10"/>
  <c r="AA492" i="10"/>
  <c r="AA521" i="10"/>
  <c r="AA537" i="10"/>
  <c r="AA553" i="10"/>
  <c r="AA569" i="10"/>
  <c r="AA585" i="10"/>
  <c r="AA601" i="10"/>
  <c r="AA617" i="10"/>
  <c r="AA633" i="10"/>
  <c r="AA649" i="10"/>
  <c r="AA665" i="10"/>
  <c r="AA681" i="10"/>
  <c r="AA697" i="10"/>
  <c r="AA713" i="10"/>
  <c r="AA729" i="10"/>
  <c r="AA745" i="10"/>
  <c r="AA761" i="10"/>
  <c r="AA777" i="10"/>
  <c r="AA793" i="10"/>
  <c r="AA809" i="10"/>
  <c r="AA825" i="10"/>
  <c r="AA841" i="10"/>
  <c r="AA857" i="10"/>
  <c r="AA873" i="10"/>
  <c r="AA889" i="10"/>
  <c r="AA905" i="10"/>
  <c r="AA921" i="10"/>
  <c r="AA937" i="10"/>
  <c r="AA953" i="10"/>
  <c r="AA969" i="10"/>
  <c r="AA985" i="10"/>
  <c r="AA1001" i="10"/>
  <c r="AA44" i="10"/>
  <c r="AA172" i="10"/>
  <c r="AA300" i="10"/>
  <c r="AA386" i="10"/>
  <c r="AA450" i="10"/>
  <c r="AA514" i="10"/>
  <c r="AA548" i="10"/>
  <c r="AA580" i="10"/>
  <c r="AA612" i="10"/>
  <c r="AA644" i="10"/>
  <c r="AA676" i="10"/>
  <c r="AA708" i="10"/>
  <c r="AA740" i="10"/>
  <c r="AA772" i="10"/>
  <c r="AA804" i="10"/>
  <c r="AA836" i="10"/>
  <c r="AA868" i="10"/>
  <c r="AA900" i="10"/>
  <c r="AA932" i="10"/>
  <c r="AA964" i="10"/>
  <c r="AA996" i="10"/>
  <c r="AA60" i="10"/>
  <c r="AA188" i="10"/>
  <c r="AA316" i="10"/>
  <c r="AA394" i="10"/>
  <c r="AA458" i="10"/>
  <c r="AA520" i="10"/>
  <c r="AA552" i="10"/>
  <c r="AA584" i="10"/>
  <c r="AA616" i="10"/>
  <c r="AA648" i="10"/>
  <c r="AA680" i="10"/>
  <c r="AA712" i="10"/>
  <c r="AA744" i="10"/>
  <c r="AA776" i="10"/>
  <c r="AA808" i="10"/>
  <c r="AA840" i="10"/>
  <c r="AA872" i="10"/>
  <c r="AA904" i="10"/>
  <c r="AA936" i="10"/>
  <c r="AA968" i="10"/>
  <c r="AA1000" i="10"/>
  <c r="AA212" i="10"/>
  <c r="AA406" i="10"/>
  <c r="AA526" i="10"/>
  <c r="AA590" i="10"/>
  <c r="AA654" i="10"/>
  <c r="AA718" i="10"/>
  <c r="AA782" i="10"/>
  <c r="AA846" i="10"/>
  <c r="AA910" i="10"/>
  <c r="AA974" i="10"/>
  <c r="AA228" i="10"/>
  <c r="AA414" i="10"/>
  <c r="AA530" i="10"/>
  <c r="AA594" i="10"/>
  <c r="AA658" i="10"/>
  <c r="AA722" i="10"/>
  <c r="AA786" i="10"/>
  <c r="AA850" i="10"/>
  <c r="AA914" i="10"/>
  <c r="AA978" i="10"/>
  <c r="AA180" i="10"/>
  <c r="AA390" i="10"/>
  <c r="AA517" i="10"/>
  <c r="AA582" i="10"/>
  <c r="AA646" i="10"/>
  <c r="AA710" i="10"/>
  <c r="AA774" i="10"/>
  <c r="AA838" i="10"/>
  <c r="AA902" i="10"/>
  <c r="AA966" i="10"/>
  <c r="AA196" i="10"/>
  <c r="AA398" i="10"/>
  <c r="AA522" i="10"/>
  <c r="AA586" i="10"/>
  <c r="AA650" i="10"/>
  <c r="AA714" i="10"/>
  <c r="AA778" i="10"/>
  <c r="AA842" i="10"/>
  <c r="AA906" i="10"/>
  <c r="AA970" i="10"/>
  <c r="AA5" i="10"/>
  <c r="AA21" i="10"/>
  <c r="AA37" i="10"/>
  <c r="AA53" i="10"/>
  <c r="AA69" i="10"/>
  <c r="AA85" i="10"/>
  <c r="AA101" i="10"/>
  <c r="AA117" i="10"/>
  <c r="AA133" i="10"/>
  <c r="AA149" i="10"/>
  <c r="AA165" i="10"/>
  <c r="AA181" i="10"/>
  <c r="AA197" i="10"/>
  <c r="AA213" i="10"/>
  <c r="AA229" i="10"/>
  <c r="AA245" i="10"/>
  <c r="AA261" i="10"/>
  <c r="AA277" i="10"/>
  <c r="AA293" i="10"/>
  <c r="AA309" i="10"/>
  <c r="AA325" i="10"/>
  <c r="AA341" i="10"/>
  <c r="AA19" i="10"/>
  <c r="AA35" i="10"/>
  <c r="AA51" i="10"/>
  <c r="AA67" i="10"/>
  <c r="AA83" i="10"/>
  <c r="AA99" i="10"/>
  <c r="AA115" i="10"/>
  <c r="AA131" i="10"/>
  <c r="AA147" i="10"/>
  <c r="AA163" i="10"/>
  <c r="AA179" i="10"/>
  <c r="AA195" i="10"/>
  <c r="AA211" i="10"/>
  <c r="AA227" i="10"/>
  <c r="AA243" i="10"/>
  <c r="AA259" i="10"/>
  <c r="AA275" i="10"/>
  <c r="AA291" i="10"/>
  <c r="AA307" i="10"/>
  <c r="AA323" i="10"/>
  <c r="AA339" i="10"/>
  <c r="AA22" i="10"/>
  <c r="AA54" i="10"/>
  <c r="AA86" i="10"/>
  <c r="AA118" i="10"/>
  <c r="AA150" i="10"/>
  <c r="AA182" i="10"/>
  <c r="AA214" i="10"/>
  <c r="AA246" i="10"/>
  <c r="AA278" i="10"/>
  <c r="AA310" i="10"/>
  <c r="AA342" i="10"/>
  <c r="AA359" i="10"/>
  <c r="AA375" i="10"/>
  <c r="AA391" i="10"/>
  <c r="AA407" i="10"/>
  <c r="AA423" i="10"/>
  <c r="AA439" i="10"/>
  <c r="AA455" i="10"/>
  <c r="AA471" i="10"/>
  <c r="AA487" i="10"/>
  <c r="AA503" i="10"/>
  <c r="AA519" i="10"/>
  <c r="AA34" i="10"/>
  <c r="AA66" i="10"/>
  <c r="AA98" i="10"/>
  <c r="AA130" i="10"/>
  <c r="AA162" i="10"/>
  <c r="AA194" i="10"/>
  <c r="AA226" i="10"/>
  <c r="AA258" i="10"/>
  <c r="AA290" i="10"/>
  <c r="AA322" i="10"/>
  <c r="AA349" i="10"/>
  <c r="AA365" i="10"/>
  <c r="AA381" i="10"/>
  <c r="AA397" i="10"/>
  <c r="AA413" i="10"/>
  <c r="AA429" i="10"/>
  <c r="AA445" i="10"/>
  <c r="AA461" i="10"/>
  <c r="AA477" i="10"/>
  <c r="AA493" i="10"/>
  <c r="AA509" i="10"/>
  <c r="AA40" i="10"/>
  <c r="AA104" i="10"/>
  <c r="AA168" i="10"/>
  <c r="AA232" i="10"/>
  <c r="AA296" i="10"/>
  <c r="AA352" i="10"/>
  <c r="AA384" i="10"/>
  <c r="AA416" i="10"/>
  <c r="AA448" i="10"/>
  <c r="AA480" i="10"/>
  <c r="AA512" i="10"/>
  <c r="AA531" i="10"/>
  <c r="AA547" i="10"/>
  <c r="AA563" i="10"/>
  <c r="AA579" i="10"/>
  <c r="AA595" i="10"/>
  <c r="AA611" i="10"/>
  <c r="AA627" i="10"/>
  <c r="AA643" i="10"/>
  <c r="AA659" i="10"/>
  <c r="AA675" i="10"/>
  <c r="AA691" i="10"/>
  <c r="AA707" i="10"/>
  <c r="AA723" i="10"/>
  <c r="AA739" i="10"/>
  <c r="AA755" i="10"/>
  <c r="AA771" i="10"/>
  <c r="AA787" i="10"/>
  <c r="AA803" i="10"/>
  <c r="AA819" i="10"/>
  <c r="AA835" i="10"/>
  <c r="AA851" i="10"/>
  <c r="AA867" i="10"/>
  <c r="AA883" i="10"/>
  <c r="AA899" i="10"/>
  <c r="AA915" i="10"/>
  <c r="AA931" i="10"/>
  <c r="AA947" i="10"/>
  <c r="AA963" i="10"/>
  <c r="AA979" i="10"/>
  <c r="AA995" i="10"/>
  <c r="AA16" i="10"/>
  <c r="AA80" i="10"/>
  <c r="AA144" i="10"/>
  <c r="AA208" i="10"/>
  <c r="AA272" i="10"/>
  <c r="AA336" i="10"/>
  <c r="AA372" i="10"/>
  <c r="AA404" i="10"/>
  <c r="AA436" i="10"/>
  <c r="AA468" i="10"/>
  <c r="AA500" i="10"/>
  <c r="AA525" i="10"/>
  <c r="AA541" i="10"/>
  <c r="AA557" i="10"/>
  <c r="AA573" i="10"/>
  <c r="AA589" i="10"/>
  <c r="AA605" i="10"/>
  <c r="AA621" i="10"/>
  <c r="AA637" i="10"/>
  <c r="AA653" i="10"/>
  <c r="AA669" i="10"/>
  <c r="AA685" i="10"/>
  <c r="AA701" i="10"/>
  <c r="AA717" i="10"/>
  <c r="AA733" i="10"/>
  <c r="AA749" i="10"/>
  <c r="AA765" i="10"/>
  <c r="AA781" i="10"/>
  <c r="AA797" i="10"/>
  <c r="AA813" i="10"/>
  <c r="AA829" i="10"/>
  <c r="AA845" i="10"/>
  <c r="AA861" i="10"/>
  <c r="AA877" i="10"/>
  <c r="AA893" i="10"/>
  <c r="AA909" i="10"/>
  <c r="AA925" i="10"/>
  <c r="AA941" i="10"/>
  <c r="AA957" i="10"/>
  <c r="AA973" i="10"/>
  <c r="AA989" i="10"/>
  <c r="AA76" i="10"/>
  <c r="AA204" i="10"/>
  <c r="AA332" i="10"/>
  <c r="AA402" i="10"/>
  <c r="AA466" i="10"/>
  <c r="AA524" i="10"/>
  <c r="AA556" i="10"/>
  <c r="AA588" i="10"/>
  <c r="AA620" i="10"/>
  <c r="AA652" i="10"/>
  <c r="AA684" i="10"/>
  <c r="AA9" i="10"/>
  <c r="AA25" i="10"/>
  <c r="AA41" i="10"/>
  <c r="AA57" i="10"/>
  <c r="AA73" i="10"/>
  <c r="AA89" i="10"/>
  <c r="AA105" i="10"/>
  <c r="AA121" i="10"/>
  <c r="AA137" i="10"/>
  <c r="AA153" i="10"/>
  <c r="AA169" i="10"/>
  <c r="AA185" i="10"/>
  <c r="AA201" i="10"/>
  <c r="AA217" i="10"/>
  <c r="AA233" i="10"/>
  <c r="AA249" i="10"/>
  <c r="AA265" i="10"/>
  <c r="AA281" i="10"/>
  <c r="AA297" i="10"/>
  <c r="AA313" i="10"/>
  <c r="AA329" i="10"/>
  <c r="AA7" i="10"/>
  <c r="AA23" i="10"/>
  <c r="AA39" i="10"/>
  <c r="AA55" i="10"/>
  <c r="AA71" i="10"/>
  <c r="AA87" i="10"/>
  <c r="AA103" i="10"/>
  <c r="AA119" i="10"/>
  <c r="AA135" i="10"/>
  <c r="AA151" i="10"/>
  <c r="AA167" i="10"/>
  <c r="AA183" i="10"/>
  <c r="AA199" i="10"/>
  <c r="AA215" i="10"/>
  <c r="AA231" i="10"/>
  <c r="AA247" i="10"/>
  <c r="AA263" i="10"/>
  <c r="AA279" i="10"/>
  <c r="AA295" i="10"/>
  <c r="AA311" i="10"/>
  <c r="AA327" i="10"/>
  <c r="AA343" i="10"/>
  <c r="AA30" i="10"/>
  <c r="AA62" i="10"/>
  <c r="AA94" i="10"/>
  <c r="AA126" i="10"/>
  <c r="AA158" i="10"/>
  <c r="AA190" i="10"/>
  <c r="AA222" i="10"/>
  <c r="AA254" i="10"/>
  <c r="AA286" i="10"/>
  <c r="AA318" i="10"/>
  <c r="AA347" i="10"/>
  <c r="AA363" i="10"/>
  <c r="AA379" i="10"/>
  <c r="AA395" i="10"/>
  <c r="AA411" i="10"/>
  <c r="AA427" i="10"/>
  <c r="AA443" i="10"/>
  <c r="AA459" i="10"/>
  <c r="AA475" i="10"/>
  <c r="AA491" i="10"/>
  <c r="AA507" i="10"/>
  <c r="AA10" i="10"/>
  <c r="AA42" i="10"/>
  <c r="AA74" i="10"/>
  <c r="AA106" i="10"/>
  <c r="AA138" i="10"/>
  <c r="AA170" i="10"/>
  <c r="AA202" i="10"/>
  <c r="AA234" i="10"/>
  <c r="AA266" i="10"/>
  <c r="AA298" i="10"/>
  <c r="AA330" i="10"/>
  <c r="AA353" i="10"/>
  <c r="AA369" i="10"/>
  <c r="AA385" i="10"/>
  <c r="AA401" i="10"/>
  <c r="AA417" i="10"/>
  <c r="AA433" i="10"/>
  <c r="AA449" i="10"/>
  <c r="AA465" i="10"/>
  <c r="AA481" i="10"/>
  <c r="AA497" i="10"/>
  <c r="AA513" i="10"/>
  <c r="AA56" i="10"/>
  <c r="AA120" i="10"/>
  <c r="AA184" i="10"/>
  <c r="AA248" i="10"/>
  <c r="AA312" i="10"/>
  <c r="AA360" i="10"/>
  <c r="AA392" i="10"/>
  <c r="AA424" i="10"/>
  <c r="AA456" i="10"/>
  <c r="AA488" i="10"/>
  <c r="AA518" i="10"/>
  <c r="AA535" i="10"/>
  <c r="AA551" i="10"/>
  <c r="AA567" i="10"/>
  <c r="AA583" i="10"/>
  <c r="AA599" i="10"/>
  <c r="AA615" i="10"/>
  <c r="AA631" i="10"/>
  <c r="AA647" i="10"/>
  <c r="AA663" i="10"/>
  <c r="AA679" i="10"/>
  <c r="AA695" i="10"/>
  <c r="AA711" i="10"/>
  <c r="AA727" i="10"/>
  <c r="AA743" i="10"/>
  <c r="AA759" i="10"/>
  <c r="AA775" i="10"/>
  <c r="AA791" i="10"/>
  <c r="AA807" i="10"/>
  <c r="AA823" i="10"/>
  <c r="AA839" i="10"/>
  <c r="AA855" i="10"/>
  <c r="AA871" i="10"/>
  <c r="AA887" i="10"/>
  <c r="AA903" i="10"/>
  <c r="AA919" i="10"/>
  <c r="AA935" i="10"/>
  <c r="AA951" i="10"/>
  <c r="AA967" i="10"/>
  <c r="AA983" i="10"/>
  <c r="AA999" i="10"/>
  <c r="AA32" i="10"/>
  <c r="AA96" i="10"/>
  <c r="AA160" i="10"/>
  <c r="AA224" i="10"/>
  <c r="AA288" i="10"/>
  <c r="AA348" i="10"/>
  <c r="AA380" i="10"/>
  <c r="AA412" i="10"/>
  <c r="AA444" i="10"/>
  <c r="AA476" i="10"/>
  <c r="AA508" i="10"/>
  <c r="AA529" i="10"/>
  <c r="AA545" i="10"/>
  <c r="AA561" i="10"/>
  <c r="AA577" i="10"/>
  <c r="AA593" i="10"/>
  <c r="AA609" i="10"/>
  <c r="AA625" i="10"/>
  <c r="AA641" i="10"/>
  <c r="AA657" i="10"/>
  <c r="AA673" i="10"/>
  <c r="AA689" i="10"/>
  <c r="AA705" i="10"/>
  <c r="AA721" i="10"/>
  <c r="AA737" i="10"/>
  <c r="AA753" i="10"/>
  <c r="AA769" i="10"/>
  <c r="AA785" i="10"/>
  <c r="AA801" i="10"/>
  <c r="AA817" i="10"/>
  <c r="AA833" i="10"/>
  <c r="AA849" i="10"/>
  <c r="AA865" i="10"/>
  <c r="AA881" i="10"/>
  <c r="AA897" i="10"/>
  <c r="AA913" i="10"/>
  <c r="AA929" i="10"/>
  <c r="AA945" i="10"/>
  <c r="AA961" i="10"/>
  <c r="AA977" i="10"/>
  <c r="AA993" i="10"/>
  <c r="AA108" i="10"/>
  <c r="AA236" i="10"/>
  <c r="AA354" i="10"/>
  <c r="AA418" i="10"/>
  <c r="AA482" i="10"/>
  <c r="AA532" i="10"/>
  <c r="AA564" i="10"/>
  <c r="AA596" i="10"/>
  <c r="AA628" i="10"/>
  <c r="AA660" i="10"/>
  <c r="AA692" i="10"/>
  <c r="AA724" i="10"/>
  <c r="AA756" i="10"/>
  <c r="AA788" i="10"/>
  <c r="AA820" i="10"/>
  <c r="AA852" i="10"/>
  <c r="AA884" i="10"/>
  <c r="AA916" i="10"/>
  <c r="AA948" i="10"/>
  <c r="AA980" i="10"/>
  <c r="AA124" i="10"/>
  <c r="AA252" i="10"/>
  <c r="AA362" i="10"/>
  <c r="AA426" i="10"/>
  <c r="AA490" i="10"/>
  <c r="AA536" i="10"/>
  <c r="AA568" i="10"/>
  <c r="AA600" i="10"/>
  <c r="AA632" i="10"/>
  <c r="AA664" i="10"/>
  <c r="AA696" i="10"/>
  <c r="AA728" i="10"/>
  <c r="AA760" i="10"/>
  <c r="AA792" i="10"/>
  <c r="AA824" i="10"/>
  <c r="AA856" i="10"/>
  <c r="AA888" i="10"/>
  <c r="AA920" i="10"/>
  <c r="AA952" i="10"/>
  <c r="AA984" i="10"/>
  <c r="AA84" i="10"/>
  <c r="AA340" i="10"/>
  <c r="AA470" i="10"/>
  <c r="AA558" i="10"/>
  <c r="AA622" i="10"/>
  <c r="AA686" i="10"/>
  <c r="AA750" i="10"/>
  <c r="AA814" i="10"/>
  <c r="AA878" i="10"/>
  <c r="AA942" i="10"/>
  <c r="AA100" i="10"/>
  <c r="AA350" i="10"/>
  <c r="AA478" i="10"/>
  <c r="AA562" i="10"/>
  <c r="AA626" i="10"/>
  <c r="AA690" i="10"/>
  <c r="AA754" i="10"/>
  <c r="AA818" i="10"/>
  <c r="AA882" i="10"/>
  <c r="AA946" i="10"/>
  <c r="AA52" i="10"/>
  <c r="AA308" i="10"/>
  <c r="AA454" i="10"/>
  <c r="AA550" i="10"/>
  <c r="AA614" i="10"/>
  <c r="AA678" i="10"/>
  <c r="AA742" i="10"/>
  <c r="AA806" i="10"/>
  <c r="AA870" i="10"/>
  <c r="AA934" i="10"/>
  <c r="AA998" i="10"/>
  <c r="AA68" i="10"/>
  <c r="AA324" i="10"/>
  <c r="AA462" i="10"/>
  <c r="AA554" i="10"/>
  <c r="AA618" i="10"/>
  <c r="AA682" i="10"/>
  <c r="AA746" i="10"/>
  <c r="AA810" i="10"/>
  <c r="AA874" i="10"/>
  <c r="AA938" i="10"/>
  <c r="AA1002" i="10"/>
  <c r="AA4" i="10"/>
  <c r="AA13" i="10"/>
  <c r="AA29" i="10"/>
  <c r="AA45" i="10"/>
  <c r="AA61" i="10"/>
  <c r="AA77" i="10"/>
  <c r="AA93" i="10"/>
  <c r="AA109" i="10"/>
  <c r="AA125" i="10"/>
  <c r="AA141" i="10"/>
  <c r="AA157" i="10"/>
  <c r="AA173" i="10"/>
  <c r="AA189" i="10"/>
  <c r="AA205" i="10"/>
  <c r="AA221" i="10"/>
  <c r="AA237" i="10"/>
  <c r="AA253" i="10"/>
  <c r="AA269" i="10"/>
  <c r="AA285" i="10"/>
  <c r="AA301" i="10"/>
  <c r="AA317" i="10"/>
  <c r="AA333" i="10"/>
  <c r="AA11" i="10"/>
  <c r="AA27" i="10"/>
  <c r="AA43" i="10"/>
  <c r="AA59" i="10"/>
  <c r="AA75" i="10"/>
  <c r="AA91" i="10"/>
  <c r="AA107" i="10"/>
  <c r="AA123" i="10"/>
  <c r="AA139" i="10"/>
  <c r="AA155" i="10"/>
  <c r="AA171" i="10"/>
  <c r="AA187" i="10"/>
  <c r="AA203" i="10"/>
  <c r="AA219" i="10"/>
  <c r="AA235" i="10"/>
  <c r="AA251" i="10"/>
  <c r="AA267" i="10"/>
  <c r="AA283" i="10"/>
  <c r="AA299" i="10"/>
  <c r="AA315" i="10"/>
  <c r="AA331" i="10"/>
  <c r="AA6" i="10"/>
  <c r="AA38" i="10"/>
  <c r="AA70" i="10"/>
  <c r="AA102" i="10"/>
  <c r="AA134" i="10"/>
  <c r="AA166" i="10"/>
  <c r="AA198" i="10"/>
  <c r="AA230" i="10"/>
  <c r="AA262" i="10"/>
  <c r="AA294" i="10"/>
  <c r="AA326" i="10"/>
  <c r="AA351" i="10"/>
  <c r="AA367" i="10"/>
  <c r="AA383" i="10"/>
  <c r="AA399" i="10"/>
  <c r="AA415" i="10"/>
  <c r="AA431" i="10"/>
  <c r="AA447" i="10"/>
  <c r="AA463" i="10"/>
  <c r="AA479" i="10"/>
  <c r="AA495" i="10"/>
  <c r="AA511" i="10"/>
  <c r="AA18" i="10"/>
  <c r="AA50" i="10"/>
  <c r="AA82" i="10"/>
  <c r="AA114" i="10"/>
  <c r="AA146" i="10"/>
  <c r="AA178" i="10"/>
  <c r="AA210" i="10"/>
  <c r="AA242" i="10"/>
  <c r="AA274" i="10"/>
  <c r="AA306" i="10"/>
  <c r="AA338" i="10"/>
  <c r="AA357" i="10"/>
  <c r="AA373" i="10"/>
  <c r="AA389" i="10"/>
  <c r="AA405" i="10"/>
  <c r="AA421" i="10"/>
  <c r="AA437" i="10"/>
  <c r="AA453" i="10"/>
  <c r="AA469" i="10"/>
  <c r="AA485" i="10"/>
  <c r="AA501" i="10"/>
  <c r="AA8" i="10"/>
  <c r="AA72" i="10"/>
  <c r="AA136" i="10"/>
  <c r="AA200" i="10"/>
  <c r="AA264" i="10"/>
  <c r="AA328" i="10"/>
  <c r="AA368" i="10"/>
  <c r="AA400" i="10"/>
  <c r="AA432" i="10"/>
  <c r="AA464" i="10"/>
  <c r="AA496" i="10"/>
  <c r="AA523" i="10"/>
  <c r="AA539" i="10"/>
  <c r="AA555" i="10"/>
  <c r="AA571" i="10"/>
  <c r="AA587" i="10"/>
  <c r="AA603" i="10"/>
  <c r="AA619" i="10"/>
  <c r="AA635" i="10"/>
  <c r="AA986" i="10"/>
  <c r="AA858" i="10"/>
  <c r="AA730" i="10"/>
  <c r="AA602" i="10"/>
  <c r="AA430" i="10"/>
  <c r="AA1003" i="10"/>
  <c r="AA918" i="10"/>
  <c r="AA790" i="10"/>
  <c r="AA662" i="10"/>
  <c r="AA534" i="10"/>
  <c r="AA244" i="10"/>
  <c r="AA930" i="10"/>
  <c r="AA802" i="10"/>
  <c r="AA674" i="10"/>
  <c r="AA546" i="10"/>
  <c r="AA292" i="10"/>
  <c r="AA990" i="10"/>
  <c r="AA862" i="10"/>
  <c r="AA734" i="10"/>
  <c r="AA606" i="10"/>
  <c r="AA438" i="10"/>
  <c r="AA20" i="10"/>
  <c r="AA944" i="10"/>
  <c r="AA880" i="10"/>
  <c r="AA816" i="10"/>
  <c r="AA752" i="10"/>
  <c r="AA688" i="10"/>
  <c r="AA624" i="10"/>
  <c r="AA560" i="10"/>
  <c r="AA474" i="10"/>
  <c r="AA346" i="10"/>
  <c r="AA92" i="10"/>
  <c r="AA972" i="10"/>
  <c r="AA908" i="10"/>
  <c r="AA844" i="10"/>
  <c r="AA780" i="10"/>
  <c r="AA716" i="10"/>
  <c r="AA604" i="10"/>
  <c r="AA434" i="10"/>
  <c r="AA12" i="10"/>
  <c r="AA965" i="10"/>
  <c r="AA901" i="10"/>
  <c r="AA837" i="10"/>
  <c r="AA773" i="10"/>
  <c r="AA709" i="10"/>
  <c r="AA645" i="10"/>
  <c r="AA581" i="10"/>
  <c r="AA516" i="10"/>
  <c r="AA388" i="10"/>
  <c r="AA176" i="10"/>
  <c r="AA939" i="10"/>
  <c r="AA875" i="10"/>
  <c r="AA811" i="10"/>
  <c r="AA747" i="10"/>
  <c r="AA683" i="10"/>
  <c r="AA954" i="10"/>
  <c r="AA826" i="10"/>
  <c r="AA698" i="10"/>
  <c r="AA570" i="10"/>
  <c r="AA366" i="10"/>
  <c r="AA886" i="10"/>
  <c r="AA758" i="10"/>
  <c r="AA630" i="10"/>
  <c r="AA486" i="10"/>
  <c r="AA116" i="10"/>
  <c r="AA898" i="10"/>
  <c r="AA770" i="10"/>
  <c r="AA642" i="10"/>
  <c r="AA510" i="10"/>
  <c r="AA164" i="10"/>
  <c r="AA958" i="10"/>
  <c r="AA830" i="10"/>
  <c r="AA702" i="10"/>
  <c r="AA574" i="10"/>
  <c r="AA374" i="10"/>
  <c r="AA992" i="10"/>
  <c r="AA928" i="10"/>
  <c r="AA864" i="10"/>
  <c r="AA800" i="10"/>
  <c r="AA736" i="10"/>
  <c r="AA672" i="10"/>
  <c r="AA608" i="10"/>
  <c r="AA544" i="10"/>
  <c r="AA442" i="10"/>
  <c r="AA284" i="10"/>
  <c r="AA28" i="10"/>
  <c r="AA956" i="10"/>
  <c r="AA892" i="10"/>
  <c r="AA828" i="10"/>
  <c r="AA764" i="10"/>
  <c r="AA700" i="10"/>
  <c r="AA572" i="10"/>
  <c r="AA370" i="10"/>
  <c r="AA949" i="10"/>
  <c r="AA885" i="10"/>
  <c r="AA821" i="10"/>
  <c r="AA757" i="10"/>
  <c r="AA693" i="10"/>
  <c r="AA629" i="10"/>
  <c r="AA565" i="10"/>
  <c r="AA484" i="10"/>
  <c r="AA356" i="10"/>
  <c r="AA112" i="10"/>
  <c r="AA987" i="10"/>
  <c r="AA923" i="10"/>
  <c r="AA859" i="10"/>
  <c r="AA795" i="10"/>
  <c r="AA731" i="10"/>
  <c r="AA667" i="10"/>
  <c r="AA922" i="10"/>
  <c r="AA794" i="10"/>
  <c r="AA666" i="10"/>
  <c r="AA538" i="10"/>
  <c r="AA260" i="10"/>
  <c r="AA982" i="10"/>
  <c r="AA854" i="10"/>
  <c r="AA726" i="10"/>
  <c r="AA598" i="10"/>
  <c r="AA422" i="10"/>
  <c r="AA994" i="10"/>
  <c r="AA866" i="10"/>
  <c r="AA738" i="10"/>
  <c r="AA610" i="10"/>
  <c r="AA446" i="10"/>
  <c r="AA36" i="10"/>
  <c r="AA926" i="10"/>
  <c r="AA798" i="10"/>
  <c r="AA670" i="10"/>
  <c r="AA542" i="10"/>
  <c r="AA276" i="10"/>
  <c r="AA976" i="10"/>
  <c r="AA912" i="10"/>
  <c r="AA848" i="10"/>
  <c r="AA784" i="10"/>
  <c r="AA720" i="10"/>
  <c r="AA656" i="10"/>
  <c r="AA592" i="10"/>
  <c r="AA528" i="10"/>
  <c r="AA410" i="10"/>
  <c r="AA220" i="10"/>
  <c r="AA940" i="10"/>
  <c r="AA876" i="10"/>
  <c r="AA812" i="10"/>
  <c r="AA748" i="10"/>
  <c r="AA668" i="10"/>
  <c r="AA540" i="10"/>
  <c r="AA268" i="10"/>
  <c r="AA997" i="10"/>
  <c r="AA933" i="10"/>
  <c r="AA869" i="10"/>
  <c r="AA805" i="10"/>
  <c r="AA741" i="10"/>
  <c r="AA677" i="10"/>
  <c r="AA613" i="10"/>
  <c r="AA549" i="10"/>
  <c r="AA452" i="10"/>
  <c r="AA304" i="10"/>
  <c r="AA48" i="10"/>
  <c r="AA971" i="10"/>
  <c r="AA907" i="10"/>
  <c r="AA843" i="10"/>
  <c r="AA779" i="10"/>
  <c r="AA715" i="10"/>
  <c r="AA651" i="10"/>
  <c r="AA890" i="10"/>
  <c r="AA762" i="10"/>
  <c r="AA634" i="10"/>
  <c r="AA494" i="10"/>
  <c r="AA132" i="10"/>
  <c r="AA950" i="10"/>
  <c r="AA822" i="10"/>
  <c r="AA694" i="10"/>
  <c r="AA566" i="10"/>
  <c r="AA358" i="10"/>
  <c r="AA962" i="10"/>
  <c r="AA834" i="10"/>
  <c r="AA706" i="10"/>
  <c r="AA578" i="10"/>
  <c r="AA382" i="10"/>
  <c r="AA894" i="10"/>
  <c r="AA766" i="10"/>
  <c r="AA638" i="10"/>
  <c r="AA502" i="10"/>
  <c r="AA148" i="10"/>
  <c r="AA960" i="10"/>
  <c r="AA896" i="10"/>
  <c r="AA832" i="10"/>
  <c r="AA768" i="10"/>
  <c r="AA704" i="10"/>
  <c r="AA640" i="10"/>
  <c r="AA576" i="10"/>
  <c r="AA506" i="10"/>
  <c r="AA378" i="10"/>
  <c r="AA156" i="10"/>
  <c r="AA988" i="10"/>
  <c r="AA924" i="10"/>
  <c r="AA860" i="10"/>
  <c r="AA796" i="10"/>
  <c r="AA732" i="10"/>
  <c r="AA636" i="10"/>
  <c r="AA498" i="10"/>
  <c r="AA140" i="10"/>
  <c r="AA981" i="10"/>
  <c r="AA917" i="10"/>
  <c r="AA853" i="10"/>
  <c r="AA789" i="10"/>
  <c r="AA725" i="10"/>
  <c r="AA661" i="10"/>
  <c r="AA597" i="10"/>
  <c r="AA533" i="10"/>
  <c r="AA420" i="10"/>
  <c r="AA240" i="10"/>
  <c r="AA955" i="10"/>
  <c r="AA891" i="10"/>
  <c r="AA827" i="10"/>
  <c r="AA763" i="10"/>
  <c r="AA699" i="10"/>
  <c r="W1438" i="10"/>
  <c r="M1420" i="10"/>
  <c r="Q1420" i="10" s="1"/>
  <c r="M1421" i="10"/>
  <c r="Q1421" i="10" s="1"/>
  <c r="M1418" i="10"/>
  <c r="Q1418" i="10" s="1"/>
  <c r="K95" i="18"/>
  <c r="D49" i="18" s="1"/>
  <c r="M72" i="18"/>
  <c r="O72" i="18" s="1"/>
  <c r="F38" i="18" s="1"/>
  <c r="M1010" i="12"/>
  <c r="Q1010" i="12" s="1"/>
  <c r="U2" i="12" s="1"/>
  <c r="M71" i="18"/>
  <c r="O71" i="18" s="1"/>
  <c r="C38" i="18" s="1"/>
  <c r="M1012" i="12"/>
  <c r="Q1012" i="12" s="1"/>
  <c r="M1011" i="12"/>
  <c r="Q1011" i="12" s="1"/>
  <c r="K66" i="17"/>
  <c r="M1013" i="12"/>
  <c r="Q1013" i="12" s="1"/>
  <c r="AH20" i="12"/>
  <c r="AI20" i="12"/>
  <c r="AJ20" i="12"/>
  <c r="AG20" i="12"/>
  <c r="AF21" i="12"/>
  <c r="Z1010" i="10"/>
  <c r="AB1010" i="10" s="1"/>
  <c r="AC1010" i="10" s="1"/>
  <c r="AB1009" i="10"/>
  <c r="AF1009" i="10" s="1"/>
  <c r="AD1009" i="10"/>
  <c r="AO20" i="12"/>
  <c r="AL20" i="12" s="1"/>
  <c r="AM21" i="12"/>
  <c r="AQ20" i="12"/>
  <c r="AP20" i="12"/>
  <c r="AN20" i="12"/>
  <c r="F26" i="14"/>
  <c r="D24" i="14"/>
  <c r="W1012" i="10"/>
  <c r="V1011" i="10"/>
  <c r="U1011" i="10" s="1"/>
  <c r="X1011" i="10" s="1"/>
  <c r="Y1011" i="10" s="1"/>
  <c r="Z1011" i="10" s="1"/>
  <c r="U2" i="10" l="1"/>
  <c r="U267" i="10" s="1"/>
  <c r="U21" i="11"/>
  <c r="U563" i="11"/>
  <c r="U51" i="11"/>
  <c r="U766" i="11"/>
  <c r="U409" i="11"/>
  <c r="U692" i="11"/>
  <c r="U623" i="11"/>
  <c r="U926" i="11"/>
  <c r="U872" i="11"/>
  <c r="U949" i="11"/>
  <c r="U387" i="11"/>
  <c r="U334" i="11"/>
  <c r="U253" i="11"/>
  <c r="U116" i="11"/>
  <c r="U635" i="11"/>
  <c r="U123" i="11"/>
  <c r="U582" i="11"/>
  <c r="U485" i="11"/>
  <c r="U576" i="11"/>
  <c r="U876" i="11"/>
  <c r="U599" i="11"/>
  <c r="U322" i="11"/>
  <c r="U854" i="11"/>
  <c r="U33" i="11"/>
  <c r="U4" i="11"/>
  <c r="U5" i="11"/>
  <c r="U743" i="11"/>
  <c r="U531" i="11"/>
  <c r="U339" i="11"/>
  <c r="U179" i="11"/>
  <c r="U678" i="11"/>
  <c r="U402" i="11"/>
  <c r="U190" i="11"/>
  <c r="U947" i="11"/>
  <c r="U581" i="11"/>
  <c r="U325" i="11"/>
  <c r="U109" i="11"/>
  <c r="U794" i="11"/>
  <c r="U500" i="11"/>
  <c r="U204" i="11"/>
  <c r="U748" i="11"/>
  <c r="U789" i="11"/>
  <c r="U591" i="11"/>
  <c r="U335" i="11"/>
  <c r="U79" i="11"/>
  <c r="U838" i="11"/>
  <c r="U398" i="11"/>
  <c r="U54" i="11"/>
  <c r="U683" i="11"/>
  <c r="U317" i="11"/>
  <c r="U580" i="11"/>
  <c r="U200" i="11"/>
  <c r="U924" i="11"/>
  <c r="U903" i="11"/>
  <c r="U259" i="11"/>
  <c r="U294" i="11"/>
  <c r="U217" i="11"/>
  <c r="U1002" i="11"/>
  <c r="U68" i="11"/>
  <c r="U703" i="11"/>
  <c r="U159" i="11"/>
  <c r="U162" i="11"/>
  <c r="U891" i="11"/>
  <c r="U85" i="11"/>
  <c r="U738" i="11"/>
  <c r="U788" i="11"/>
  <c r="U571" i="11"/>
  <c r="U315" i="11"/>
  <c r="U43" i="11"/>
  <c r="U478" i="11"/>
  <c r="U333" i="11"/>
  <c r="U404" i="11"/>
  <c r="U841" i="11"/>
  <c r="U423" i="11"/>
  <c r="U66" i="11"/>
  <c r="U437" i="11"/>
  <c r="U508" i="11"/>
  <c r="U707" i="11"/>
  <c r="U18" i="11"/>
  <c r="U807" i="11"/>
  <c r="U211" i="11"/>
  <c r="U486" i="11"/>
  <c r="U621" i="11"/>
  <c r="U874" i="11"/>
  <c r="U324" i="11"/>
  <c r="U367" i="11"/>
  <c r="U98" i="11"/>
  <c r="U361" i="11"/>
  <c r="U260" i="11"/>
  <c r="U466" i="11"/>
  <c r="U389" i="11"/>
  <c r="U292" i="11"/>
  <c r="U901" i="11"/>
  <c r="U959" i="11"/>
  <c r="U379" i="11"/>
  <c r="U134" i="11"/>
  <c r="U699" i="11"/>
  <c r="U9" i="11"/>
  <c r="U12" i="11"/>
  <c r="U32" i="11"/>
  <c r="U24" i="11"/>
  <c r="U999" i="11"/>
  <c r="U679" i="11"/>
  <c r="U467" i="11"/>
  <c r="U307" i="11"/>
  <c r="U147" i="11"/>
  <c r="U574" i="11"/>
  <c r="U358" i="11"/>
  <c r="U146" i="11"/>
  <c r="U859" i="11"/>
  <c r="U493" i="11"/>
  <c r="U281" i="11"/>
  <c r="U69" i="11"/>
  <c r="U706" i="11"/>
  <c r="U416" i="11"/>
  <c r="U152" i="11"/>
  <c r="U808" i="11"/>
  <c r="U863" i="11"/>
  <c r="U495" i="11"/>
  <c r="U239" i="11"/>
  <c r="U610" i="11"/>
  <c r="U270" i="11"/>
  <c r="U533" i="11"/>
  <c r="U189" i="11"/>
  <c r="U954" i="11"/>
  <c r="U452" i="11"/>
  <c r="U644" i="11"/>
  <c r="U645" i="11"/>
  <c r="U647" i="11"/>
  <c r="U131" i="11"/>
  <c r="U974" i="11"/>
  <c r="U126" i="11"/>
  <c r="U819" i="11"/>
  <c r="U45" i="11"/>
  <c r="U666" i="11"/>
  <c r="U836" i="11"/>
  <c r="U543" i="11"/>
  <c r="U710" i="11"/>
  <c r="U597" i="11"/>
  <c r="U516" i="11"/>
  <c r="U887" i="11"/>
  <c r="U507" i="11"/>
  <c r="U251" i="11"/>
  <c r="U998" i="11"/>
  <c r="U350" i="11"/>
  <c r="U843" i="11"/>
  <c r="U185" i="11"/>
  <c r="U220" i="11"/>
  <c r="U279" i="11"/>
  <c r="U862" i="11"/>
  <c r="U245" i="11"/>
  <c r="U977" i="11"/>
  <c r="U913" i="11"/>
  <c r="U849" i="11"/>
  <c r="U785" i="11"/>
  <c r="U721" i="11"/>
  <c r="U657" i="11"/>
  <c r="U997" i="11"/>
  <c r="U909" i="11"/>
  <c r="U825" i="11"/>
  <c r="U741" i="11"/>
  <c r="U653" i="11"/>
  <c r="U992" i="11"/>
  <c r="U928" i="11"/>
  <c r="U864" i="11"/>
  <c r="U800" i="11"/>
  <c r="U736" i="11"/>
  <c r="U672" i="11"/>
  <c r="U64" i="11"/>
  <c r="U128" i="11"/>
  <c r="U192" i="11"/>
  <c r="U256" i="11"/>
  <c r="U320" i="11"/>
  <c r="U941" i="11"/>
  <c r="U829" i="11"/>
  <c r="U713" i="11"/>
  <c r="U952" i="11"/>
  <c r="U868" i="11"/>
  <c r="U780" i="11"/>
  <c r="U696" i="11"/>
  <c r="U60" i="11"/>
  <c r="U148" i="11"/>
  <c r="U232" i="11"/>
  <c r="U316" i="11"/>
  <c r="U392" i="11"/>
  <c r="U456" i="11"/>
  <c r="U520" i="11"/>
  <c r="U584" i="11"/>
  <c r="U658" i="11"/>
  <c r="U786" i="11"/>
  <c r="U914" i="11"/>
  <c r="U65" i="11"/>
  <c r="U129" i="11"/>
  <c r="U193" i="11"/>
  <c r="U257" i="11"/>
  <c r="U321" i="11"/>
  <c r="U385" i="11"/>
  <c r="U449" i="11"/>
  <c r="U513" i="11"/>
  <c r="U577" i="11"/>
  <c r="U643" i="11"/>
  <c r="U771" i="11"/>
  <c r="U899" i="11"/>
  <c r="U58" i="11"/>
  <c r="U122" i="11"/>
  <c r="U186" i="11"/>
  <c r="U250" i="11"/>
  <c r="U314" i="11"/>
  <c r="U378" i="11"/>
  <c r="U442" i="11"/>
  <c r="U506" i="11"/>
  <c r="U570" i="11"/>
  <c r="U634" i="11"/>
  <c r="U758" i="11"/>
  <c r="U886" i="11"/>
  <c r="U961" i="11"/>
  <c r="U897" i="11"/>
  <c r="U833" i="11"/>
  <c r="U769" i="11"/>
  <c r="U705" i="11"/>
  <c r="U973" i="11"/>
  <c r="U889" i="11"/>
  <c r="U805" i="11"/>
  <c r="U717" i="11"/>
  <c r="U976" i="11"/>
  <c r="U912" i="11"/>
  <c r="U848" i="11"/>
  <c r="U784" i="11"/>
  <c r="U720" i="11"/>
  <c r="U656" i="11"/>
  <c r="U80" i="11"/>
  <c r="U144" i="11"/>
  <c r="U208" i="11"/>
  <c r="U272" i="11"/>
  <c r="U336" i="11"/>
  <c r="U917" i="11"/>
  <c r="U797" i="11"/>
  <c r="U685" i="11"/>
  <c r="U945" i="11"/>
  <c r="U881" i="11"/>
  <c r="U817" i="11"/>
  <c r="U753" i="11"/>
  <c r="U689" i="11"/>
  <c r="U953" i="11"/>
  <c r="U869" i="11"/>
  <c r="U781" i="11"/>
  <c r="U697" i="11"/>
  <c r="U960" i="11"/>
  <c r="U896" i="11"/>
  <c r="U832" i="11"/>
  <c r="U768" i="11"/>
  <c r="U704" i="11"/>
  <c r="U640" i="11"/>
  <c r="U96" i="11"/>
  <c r="U160" i="11"/>
  <c r="U224" i="11"/>
  <c r="U288" i="11"/>
  <c r="U352" i="11"/>
  <c r="U1001" i="11"/>
  <c r="U885" i="11"/>
  <c r="U773" i="11"/>
  <c r="U661" i="11"/>
  <c r="U929" i="11"/>
  <c r="U673" i="11"/>
  <c r="U677" i="11"/>
  <c r="U752" i="11"/>
  <c r="U176" i="11"/>
  <c r="U969" i="11"/>
  <c r="U996" i="11"/>
  <c r="U888" i="11"/>
  <c r="U760" i="11"/>
  <c r="U652" i="11"/>
  <c r="U124" i="11"/>
  <c r="U252" i="11"/>
  <c r="U360" i="11"/>
  <c r="U440" i="11"/>
  <c r="U536" i="11"/>
  <c r="U616" i="11"/>
  <c r="U754" i="11"/>
  <c r="U946" i="11"/>
  <c r="U97" i="11"/>
  <c r="U177" i="11"/>
  <c r="U273" i="11"/>
  <c r="U353" i="11"/>
  <c r="U433" i="11"/>
  <c r="U529" i="11"/>
  <c r="U609" i="11"/>
  <c r="U739" i="11"/>
  <c r="U931" i="11"/>
  <c r="U90" i="11"/>
  <c r="U170" i="11"/>
  <c r="U266" i="11"/>
  <c r="U346" i="11"/>
  <c r="U426" i="11"/>
  <c r="U522" i="11"/>
  <c r="U602" i="11"/>
  <c r="U726" i="11"/>
  <c r="U918" i="11"/>
  <c r="U925" i="11"/>
  <c r="U777" i="11"/>
  <c r="U968" i="11"/>
  <c r="U856" i="11"/>
  <c r="U744" i="11"/>
  <c r="U44" i="11"/>
  <c r="U156" i="11"/>
  <c r="U268" i="11"/>
  <c r="U380" i="11"/>
  <c r="U464" i="11"/>
  <c r="U548" i="11"/>
  <c r="U636" i="11"/>
  <c r="U802" i="11"/>
  <c r="U970" i="11"/>
  <c r="U117" i="11"/>
  <c r="U201" i="11"/>
  <c r="U285" i="11"/>
  <c r="U373" i="11"/>
  <c r="U457" i="11"/>
  <c r="U541" i="11"/>
  <c r="U629" i="11"/>
  <c r="U787" i="11"/>
  <c r="U955" i="11"/>
  <c r="U110" i="11"/>
  <c r="U194" i="11"/>
  <c r="U278" i="11"/>
  <c r="U366" i="11"/>
  <c r="U450" i="11"/>
  <c r="U534" i="11"/>
  <c r="U622" i="11"/>
  <c r="U774" i="11"/>
  <c r="U942" i="11"/>
  <c r="U55" i="11"/>
  <c r="U119" i="11"/>
  <c r="U183" i="11"/>
  <c r="U247" i="11"/>
  <c r="U311" i="11"/>
  <c r="U375" i="11"/>
  <c r="U439" i="11"/>
  <c r="U503" i="11"/>
  <c r="U567" i="11"/>
  <c r="U631" i="11"/>
  <c r="U751" i="11"/>
  <c r="U879" i="11"/>
  <c r="U921" i="11"/>
  <c r="U765" i="11"/>
  <c r="U964" i="11"/>
  <c r="U852" i="11"/>
  <c r="U732" i="11"/>
  <c r="U52" i="11"/>
  <c r="U164" i="11"/>
  <c r="U280" i="11"/>
  <c r="U384" i="11"/>
  <c r="U468" i="11"/>
  <c r="U556" i="11"/>
  <c r="U642" i="11"/>
  <c r="U810" i="11"/>
  <c r="U986" i="11"/>
  <c r="U37" i="11"/>
  <c r="U121" i="11"/>
  <c r="U205" i="11"/>
  <c r="U293" i="11"/>
  <c r="U377" i="11"/>
  <c r="U461" i="11"/>
  <c r="U549" i="11"/>
  <c r="U633" i="11"/>
  <c r="U795" i="11"/>
  <c r="U971" i="11"/>
  <c r="U114" i="11"/>
  <c r="U198" i="11"/>
  <c r="U286" i="11"/>
  <c r="U370" i="11"/>
  <c r="U454" i="11"/>
  <c r="U542" i="11"/>
  <c r="U626" i="11"/>
  <c r="U782" i="11"/>
  <c r="U958" i="11"/>
  <c r="U59" i="11"/>
  <c r="U865" i="11"/>
  <c r="U933" i="11"/>
  <c r="U944" i="11"/>
  <c r="U688" i="11"/>
  <c r="U240" i="11"/>
  <c r="U857" i="11"/>
  <c r="U972" i="11"/>
  <c r="U844" i="11"/>
  <c r="U740" i="11"/>
  <c r="U40" i="11"/>
  <c r="U168" i="11"/>
  <c r="U276" i="11"/>
  <c r="U376" i="11"/>
  <c r="U472" i="11"/>
  <c r="U552" i="11"/>
  <c r="U632" i="11"/>
  <c r="U818" i="11"/>
  <c r="U978" i="11"/>
  <c r="U113" i="11"/>
  <c r="U209" i="11"/>
  <c r="U289" i="11"/>
  <c r="U369" i="11"/>
  <c r="U465" i="11"/>
  <c r="U545" i="11"/>
  <c r="U625" i="11"/>
  <c r="U803" i="11"/>
  <c r="U963" i="11"/>
  <c r="U106" i="11"/>
  <c r="U202" i="11"/>
  <c r="U282" i="11"/>
  <c r="U362" i="11"/>
  <c r="U458" i="11"/>
  <c r="U538" i="11"/>
  <c r="U618" i="11"/>
  <c r="U790" i="11"/>
  <c r="U950" i="11"/>
  <c r="U893" i="11"/>
  <c r="U733" i="11"/>
  <c r="U940" i="11"/>
  <c r="U828" i="11"/>
  <c r="U712" i="11"/>
  <c r="U72" i="11"/>
  <c r="U184" i="11"/>
  <c r="U300" i="11"/>
  <c r="U400" i="11"/>
  <c r="U484" i="11"/>
  <c r="U572" i="11"/>
  <c r="U674" i="11"/>
  <c r="U842" i="11"/>
  <c r="U53" i="11"/>
  <c r="U137" i="11"/>
  <c r="U221" i="11"/>
  <c r="U309" i="11"/>
  <c r="U393" i="11"/>
  <c r="U477" i="11"/>
  <c r="U565" i="11"/>
  <c r="U659" i="11"/>
  <c r="U827" i="11"/>
  <c r="U46" i="11"/>
  <c r="U130" i="11"/>
  <c r="U214" i="11"/>
  <c r="U302" i="11"/>
  <c r="U386" i="11"/>
  <c r="U470" i="11"/>
  <c r="U558" i="11"/>
  <c r="U646" i="11"/>
  <c r="U814" i="11"/>
  <c r="U990" i="11"/>
  <c r="U71" i="11"/>
  <c r="U135" i="11"/>
  <c r="U199" i="11"/>
  <c r="U263" i="11"/>
  <c r="U327" i="11"/>
  <c r="U391" i="11"/>
  <c r="U455" i="11"/>
  <c r="U519" i="11"/>
  <c r="U583" i="11"/>
  <c r="U655" i="11"/>
  <c r="U783" i="11"/>
  <c r="U911" i="11"/>
  <c r="U877" i="11"/>
  <c r="U729" i="11"/>
  <c r="U801" i="11"/>
  <c r="U845" i="11"/>
  <c r="U880" i="11"/>
  <c r="U48" i="11"/>
  <c r="U304" i="11"/>
  <c r="U745" i="11"/>
  <c r="U932" i="11"/>
  <c r="U824" i="11"/>
  <c r="U716" i="11"/>
  <c r="U84" i="11"/>
  <c r="U188" i="11"/>
  <c r="U296" i="11"/>
  <c r="U408" i="11"/>
  <c r="U488" i="11"/>
  <c r="U568" i="11"/>
  <c r="U690" i="11"/>
  <c r="U850" i="11"/>
  <c r="U49" i="11"/>
  <c r="U145" i="11"/>
  <c r="U225" i="11"/>
  <c r="U305" i="11"/>
  <c r="U401" i="11"/>
  <c r="U481" i="11"/>
  <c r="U561" i="11"/>
  <c r="U675" i="11"/>
  <c r="U835" i="11"/>
  <c r="U995" i="11"/>
  <c r="U42" i="11"/>
  <c r="U138" i="11"/>
  <c r="U218" i="11"/>
  <c r="U298" i="11"/>
  <c r="U394" i="11"/>
  <c r="U474" i="11"/>
  <c r="U554" i="11"/>
  <c r="U662" i="11"/>
  <c r="U822" i="11"/>
  <c r="U982" i="11"/>
  <c r="U737" i="11"/>
  <c r="U761" i="11"/>
  <c r="U804" i="11"/>
  <c r="U340" i="11"/>
  <c r="U722" i="11"/>
  <c r="U81" i="11"/>
  <c r="U417" i="11"/>
  <c r="U867" i="11"/>
  <c r="U154" i="11"/>
  <c r="U490" i="11"/>
  <c r="U813" i="11"/>
  <c r="U1000" i="11"/>
  <c r="U772" i="11"/>
  <c r="U132" i="11"/>
  <c r="U356" i="11"/>
  <c r="U528" i="11"/>
  <c r="U762" i="11"/>
  <c r="U816" i="11"/>
  <c r="U676" i="11"/>
  <c r="U424" i="11"/>
  <c r="U882" i="11"/>
  <c r="U161" i="11"/>
  <c r="U497" i="11"/>
  <c r="U234" i="11"/>
  <c r="U586" i="11"/>
  <c r="U701" i="11"/>
  <c r="U916" i="11"/>
  <c r="U684" i="11"/>
  <c r="U216" i="11"/>
  <c r="U420" i="11"/>
  <c r="U592" i="11"/>
  <c r="U890" i="11"/>
  <c r="U112" i="11"/>
  <c r="U104" i="11"/>
  <c r="U504" i="11"/>
  <c r="U241" i="11"/>
  <c r="U593" i="11"/>
  <c r="U330" i="11"/>
  <c r="U694" i="11"/>
  <c r="U965" i="11"/>
  <c r="U665" i="11"/>
  <c r="U884" i="11"/>
  <c r="U660" i="11"/>
  <c r="U244" i="11"/>
  <c r="U444" i="11"/>
  <c r="U612" i="11"/>
  <c r="U930" i="11"/>
  <c r="U181" i="11"/>
  <c r="U349" i="11"/>
  <c r="U521" i="11"/>
  <c r="U747" i="11"/>
  <c r="U86" i="11"/>
  <c r="U258" i="11"/>
  <c r="U430" i="11"/>
  <c r="U598" i="11"/>
  <c r="U902" i="11"/>
  <c r="U103" i="11"/>
  <c r="U231" i="11"/>
  <c r="U359" i="11"/>
  <c r="U487" i="11"/>
  <c r="U615" i="11"/>
  <c r="U847" i="11"/>
  <c r="U957" i="11"/>
  <c r="U649" i="11"/>
  <c r="U988" i="11"/>
  <c r="U820" i="11"/>
  <c r="U680" i="11"/>
  <c r="U136" i="11"/>
  <c r="U308" i="11"/>
  <c r="U428" i="11"/>
  <c r="U532" i="11"/>
  <c r="U682" i="11"/>
  <c r="U898" i="11"/>
  <c r="U57" i="11"/>
  <c r="U165" i="11"/>
  <c r="U269" i="11"/>
  <c r="U397" i="11"/>
  <c r="U505" i="11"/>
  <c r="U993" i="11"/>
  <c r="U796" i="11"/>
  <c r="U714" i="11"/>
  <c r="U73" i="11"/>
  <c r="U265" i="11"/>
  <c r="U501" i="11"/>
  <c r="U875" i="11"/>
  <c r="U150" i="11"/>
  <c r="U342" i="11"/>
  <c r="U578" i="11"/>
  <c r="U151" i="11"/>
  <c r="U295" i="11"/>
  <c r="U471" i="11"/>
  <c r="U687" i="11"/>
  <c r="U975" i="11"/>
  <c r="U809" i="11"/>
  <c r="U792" i="11"/>
  <c r="U76" i="11"/>
  <c r="U248" i="11"/>
  <c r="U448" i="11"/>
  <c r="U596" i="11"/>
  <c r="U858" i="11"/>
  <c r="U77" i="11"/>
  <c r="U229" i="11"/>
  <c r="U357" i="11"/>
  <c r="U525" i="11"/>
  <c r="U667" i="11"/>
  <c r="U883" i="11"/>
  <c r="U50" i="11"/>
  <c r="U158" i="11"/>
  <c r="U262" i="11"/>
  <c r="U390" i="11"/>
  <c r="U498" i="11"/>
  <c r="U606" i="11"/>
  <c r="U830" i="11"/>
  <c r="U75" i="11"/>
  <c r="U139" i="11"/>
  <c r="U203" i="11"/>
  <c r="U267" i="11"/>
  <c r="U331" i="11"/>
  <c r="U395" i="11"/>
  <c r="U459" i="11"/>
  <c r="U523" i="11"/>
  <c r="U587" i="11"/>
  <c r="U663" i="11"/>
  <c r="U791" i="11"/>
  <c r="U919" i="11"/>
  <c r="U757" i="11"/>
  <c r="U956" i="11"/>
  <c r="U728" i="11"/>
  <c r="U172" i="11"/>
  <c r="U388" i="11"/>
  <c r="U560" i="11"/>
  <c r="U826" i="11"/>
  <c r="U125" i="11"/>
  <c r="U297" i="11"/>
  <c r="U469" i="11"/>
  <c r="U637" i="11"/>
  <c r="U979" i="11"/>
  <c r="U1003" i="11"/>
  <c r="U206" i="11"/>
  <c r="U374" i="11"/>
  <c r="U546" i="11"/>
  <c r="U798" i="11"/>
  <c r="U63" i="11"/>
  <c r="U191" i="11"/>
  <c r="U319" i="11"/>
  <c r="U447" i="11"/>
  <c r="U575" i="11"/>
  <c r="U767" i="11"/>
  <c r="U821" i="11"/>
  <c r="U776" i="11"/>
  <c r="U120" i="11"/>
  <c r="U348" i="11"/>
  <c r="U524" i="11"/>
  <c r="U746" i="11"/>
  <c r="U89" i="11"/>
  <c r="U261" i="11"/>
  <c r="U429" i="11"/>
  <c r="U601" i="11"/>
  <c r="U907" i="11"/>
  <c r="U166" i="11"/>
  <c r="U338" i="11"/>
  <c r="U510" i="11"/>
  <c r="U718" i="11"/>
  <c r="U35" i="11"/>
  <c r="U163" i="11"/>
  <c r="U291" i="11"/>
  <c r="U419" i="11"/>
  <c r="U547" i="11"/>
  <c r="U711" i="11"/>
  <c r="U967" i="11"/>
  <c r="U873" i="11"/>
  <c r="U812" i="11"/>
  <c r="U88" i="11"/>
  <c r="U312" i="11"/>
  <c r="U496" i="11"/>
  <c r="U698" i="11"/>
  <c r="U61" i="11"/>
  <c r="U233" i="11"/>
  <c r="U405" i="11"/>
  <c r="U573" i="11"/>
  <c r="U851" i="11"/>
  <c r="U142" i="11"/>
  <c r="U310" i="11"/>
  <c r="U482" i="11"/>
  <c r="U670" i="11"/>
  <c r="U143" i="11"/>
  <c r="U271" i="11"/>
  <c r="U399" i="11"/>
  <c r="U527" i="11"/>
  <c r="U671" i="11"/>
  <c r="U927" i="11"/>
  <c r="U937" i="11"/>
  <c r="U641" i="11"/>
  <c r="U860" i="11"/>
  <c r="U36" i="11"/>
  <c r="U264" i="11"/>
  <c r="U460" i="11"/>
  <c r="U628" i="11"/>
  <c r="U962" i="11"/>
  <c r="U197" i="11"/>
  <c r="U365" i="11"/>
  <c r="U537" i="11"/>
  <c r="U779" i="11"/>
  <c r="U102" i="11"/>
  <c r="U274" i="11"/>
  <c r="U446" i="11"/>
  <c r="U614" i="11"/>
  <c r="U934" i="11"/>
  <c r="U115" i="11"/>
  <c r="U243" i="11"/>
  <c r="U371" i="11"/>
  <c r="U499" i="11"/>
  <c r="U627" i="11"/>
  <c r="U871" i="11"/>
  <c r="U8" i="11"/>
  <c r="U14" i="11"/>
  <c r="U26" i="11"/>
  <c r="U908" i="11"/>
  <c r="U74" i="11"/>
  <c r="U100" i="11"/>
  <c r="U93" i="11"/>
  <c r="U329" i="11"/>
  <c r="U585" i="11"/>
  <c r="U915" i="11"/>
  <c r="U174" i="11"/>
  <c r="U406" i="11"/>
  <c r="U686" i="11"/>
  <c r="U167" i="11"/>
  <c r="U343" i="11"/>
  <c r="U535" i="11"/>
  <c r="U719" i="11"/>
  <c r="U693" i="11"/>
  <c r="U936" i="11"/>
  <c r="U764" i="11"/>
  <c r="U108" i="11"/>
  <c r="U332" i="11"/>
  <c r="U492" i="11"/>
  <c r="U620" i="11"/>
  <c r="U938" i="11"/>
  <c r="U101" i="11"/>
  <c r="U249" i="11"/>
  <c r="U421" i="11"/>
  <c r="U569" i="11"/>
  <c r="U715" i="11"/>
  <c r="U923" i="11"/>
  <c r="U70" i="11"/>
  <c r="U178" i="11"/>
  <c r="U306" i="11"/>
  <c r="U414" i="11"/>
  <c r="U518" i="11"/>
  <c r="U654" i="11"/>
  <c r="U870" i="11"/>
  <c r="U91" i="11"/>
  <c r="U155" i="11"/>
  <c r="U219" i="11"/>
  <c r="U283" i="11"/>
  <c r="U347" i="11"/>
  <c r="U411" i="11"/>
  <c r="U475" i="11"/>
  <c r="U539" i="11"/>
  <c r="U603" i="11"/>
  <c r="U695" i="11"/>
  <c r="U823" i="11"/>
  <c r="U951" i="11"/>
  <c r="U985" i="11"/>
  <c r="U681" i="11"/>
  <c r="U900" i="11"/>
  <c r="U668" i="11"/>
  <c r="U228" i="11"/>
  <c r="U432" i="11"/>
  <c r="U604" i="11"/>
  <c r="U906" i="11"/>
  <c r="U169" i="11"/>
  <c r="U341" i="11"/>
  <c r="U509" i="11"/>
  <c r="U723" i="11"/>
  <c r="U78" i="11"/>
  <c r="U246" i="11"/>
  <c r="U418" i="11"/>
  <c r="U590" i="11"/>
  <c r="U878" i="11"/>
  <c r="U95" i="11"/>
  <c r="U223" i="11"/>
  <c r="U351" i="11"/>
  <c r="U479" i="11"/>
  <c r="U607" i="11"/>
  <c r="U831" i="11"/>
  <c r="U749" i="11"/>
  <c r="U948" i="11"/>
  <c r="U724" i="11"/>
  <c r="U180" i="11"/>
  <c r="U396" i="11"/>
  <c r="U564" i="11"/>
  <c r="U834" i="11"/>
  <c r="U133" i="11"/>
  <c r="U301" i="11"/>
  <c r="U473" i="11"/>
  <c r="U651" i="11"/>
  <c r="U987" i="11"/>
  <c r="U34" i="11"/>
  <c r="U210" i="11"/>
  <c r="U382" i="11"/>
  <c r="U550" i="11"/>
  <c r="U806" i="11"/>
  <c r="U67" i="11"/>
  <c r="U195" i="11"/>
  <c r="U323" i="11"/>
  <c r="U451" i="11"/>
  <c r="U579" i="11"/>
  <c r="U775" i="11"/>
  <c r="U793" i="11"/>
  <c r="U984" i="11"/>
  <c r="U756" i="11"/>
  <c r="U140" i="11"/>
  <c r="U368" i="11"/>
  <c r="U540" i="11"/>
  <c r="U778" i="11"/>
  <c r="U105" i="11"/>
  <c r="U277" i="11"/>
  <c r="U445" i="11"/>
  <c r="U617" i="11"/>
  <c r="U939" i="11"/>
  <c r="U182" i="11"/>
  <c r="U354" i="11"/>
  <c r="U526" i="11"/>
  <c r="U750" i="11"/>
  <c r="U47" i="11"/>
  <c r="U175" i="11"/>
  <c r="U303" i="11"/>
  <c r="U431" i="11"/>
  <c r="U559" i="11"/>
  <c r="U735" i="11"/>
  <c r="U991" i="11"/>
  <c r="U861" i="11"/>
  <c r="U212" i="11"/>
  <c r="U337" i="11"/>
  <c r="U410" i="11"/>
  <c r="U853" i="11"/>
  <c r="U328" i="11"/>
  <c r="U157" i="11"/>
  <c r="U413" i="11"/>
  <c r="U605" i="11"/>
  <c r="U238" i="11"/>
  <c r="U494" i="11"/>
  <c r="U734" i="11"/>
  <c r="U39" i="11"/>
  <c r="U215" i="11"/>
  <c r="U407" i="11"/>
  <c r="U551" i="11"/>
  <c r="U815" i="11"/>
  <c r="U989" i="11"/>
  <c r="U904" i="11"/>
  <c r="U708" i="11"/>
  <c r="U196" i="11"/>
  <c r="U364" i="11"/>
  <c r="U512" i="11"/>
  <c r="U730" i="11"/>
  <c r="U141" i="11"/>
  <c r="U313" i="11"/>
  <c r="U441" i="11"/>
  <c r="U589" i="11"/>
  <c r="U755" i="11"/>
  <c r="U94" i="11"/>
  <c r="U222" i="11"/>
  <c r="U326" i="11"/>
  <c r="U434" i="11"/>
  <c r="U562" i="11"/>
  <c r="U702" i="11"/>
  <c r="U910" i="11"/>
  <c r="U107" i="11"/>
  <c r="U171" i="11"/>
  <c r="U235" i="11"/>
  <c r="U299" i="11"/>
  <c r="U363" i="11"/>
  <c r="U427" i="11"/>
  <c r="U491" i="11"/>
  <c r="U555" i="11"/>
  <c r="U619" i="11"/>
  <c r="U727" i="11"/>
  <c r="U855" i="11"/>
  <c r="U983" i="11"/>
  <c r="U905" i="11"/>
  <c r="U840" i="11"/>
  <c r="U56" i="11"/>
  <c r="U284" i="11"/>
  <c r="U476" i="11"/>
  <c r="U650" i="11"/>
  <c r="U994" i="11"/>
  <c r="U41" i="11"/>
  <c r="U213" i="11"/>
  <c r="U381" i="11"/>
  <c r="U553" i="11"/>
  <c r="U811" i="11"/>
  <c r="U118" i="11"/>
  <c r="U290" i="11"/>
  <c r="U462" i="11"/>
  <c r="U630" i="11"/>
  <c r="U966" i="11"/>
  <c r="U127" i="11"/>
  <c r="U255" i="11"/>
  <c r="U383" i="11"/>
  <c r="U511" i="11"/>
  <c r="U639" i="11"/>
  <c r="U895" i="11"/>
  <c r="U981" i="11"/>
  <c r="U669" i="11"/>
  <c r="U892" i="11"/>
  <c r="U664" i="11"/>
  <c r="U236" i="11"/>
  <c r="U436" i="11"/>
  <c r="U608" i="11"/>
  <c r="U922" i="11"/>
  <c r="U173" i="11"/>
  <c r="U345" i="11"/>
  <c r="U517" i="11"/>
  <c r="U731" i="11"/>
  <c r="U82" i="11"/>
  <c r="U254" i="11"/>
  <c r="U422" i="11"/>
  <c r="U594" i="11"/>
  <c r="U894" i="11"/>
  <c r="U99" i="11"/>
  <c r="U227" i="11"/>
  <c r="U355" i="11"/>
  <c r="U483" i="11"/>
  <c r="U611" i="11"/>
  <c r="U839" i="11"/>
  <c r="U17" i="11"/>
  <c r="U10" i="11"/>
  <c r="U403" i="11"/>
  <c r="U230" i="11"/>
  <c r="U153" i="11"/>
  <c r="U544" i="11"/>
  <c r="U980" i="11"/>
  <c r="U709" i="11"/>
  <c r="U111" i="11"/>
  <c r="U438" i="11"/>
  <c r="U763" i="11"/>
  <c r="U624" i="11"/>
  <c r="U287" i="11"/>
  <c r="U27" i="11"/>
  <c r="U11" i="11"/>
  <c r="U20" i="11"/>
  <c r="U23" i="11" s="1"/>
  <c r="U6" i="11"/>
  <c r="U15" i="11"/>
  <c r="U935" i="11"/>
  <c r="U595" i="11"/>
  <c r="U435" i="11"/>
  <c r="U275" i="11"/>
  <c r="U83" i="11"/>
  <c r="U846" i="11"/>
  <c r="U530" i="11"/>
  <c r="U318" i="11"/>
  <c r="U62" i="11"/>
  <c r="U691" i="11"/>
  <c r="U453" i="11"/>
  <c r="U237" i="11"/>
  <c r="U588" i="11"/>
  <c r="U372" i="11"/>
  <c r="U92" i="11"/>
  <c r="U920" i="11"/>
  <c r="U799" i="11"/>
  <c r="U463" i="11"/>
  <c r="U207" i="11"/>
  <c r="U566" i="11"/>
  <c r="U226" i="11"/>
  <c r="U489" i="11"/>
  <c r="U149" i="11"/>
  <c r="U866" i="11"/>
  <c r="U412" i="11"/>
  <c r="U700" i="11"/>
  <c r="U725" i="11"/>
  <c r="U515" i="11"/>
  <c r="U638" i="11"/>
  <c r="U557" i="11"/>
  <c r="U480" i="11"/>
  <c r="U415" i="11"/>
  <c r="U502" i="11"/>
  <c r="U425" i="11"/>
  <c r="U344" i="11"/>
  <c r="U837" i="11"/>
  <c r="U759" i="11"/>
  <c r="U443" i="11"/>
  <c r="U187" i="11"/>
  <c r="U742" i="11"/>
  <c r="U242" i="11"/>
  <c r="U613" i="11"/>
  <c r="U770" i="11"/>
  <c r="U648" i="11"/>
  <c r="U943" i="11"/>
  <c r="U87" i="11"/>
  <c r="U514" i="11"/>
  <c r="U4" i="12"/>
  <c r="U980" i="12"/>
  <c r="U916" i="12"/>
  <c r="U852" i="12"/>
  <c r="U788" i="12"/>
  <c r="U724" i="12"/>
  <c r="U660" i="12"/>
  <c r="U596" i="12"/>
  <c r="U532" i="12"/>
  <c r="U468" i="12"/>
  <c r="U404" i="12"/>
  <c r="U921" i="12"/>
  <c r="U835" i="12"/>
  <c r="U750" i="12"/>
  <c r="U665" i="12"/>
  <c r="U579" i="12"/>
  <c r="U494" i="12"/>
  <c r="U409" i="12"/>
  <c r="U339" i="12"/>
  <c r="U275" i="12"/>
  <c r="U211" i="12"/>
  <c r="U147" i="12"/>
  <c r="U83" i="12"/>
  <c r="U15" i="12"/>
  <c r="U994" i="12"/>
  <c r="U909" i="12"/>
  <c r="U823" i="12"/>
  <c r="U738" i="12"/>
  <c r="U653" i="12"/>
  <c r="U567" i="12"/>
  <c r="U482" i="12"/>
  <c r="U397" i="12"/>
  <c r="U330" i="12"/>
  <c r="U266" i="12"/>
  <c r="U202" i="12"/>
  <c r="U138" i="12"/>
  <c r="U17" i="12"/>
  <c r="U128" i="12"/>
  <c r="U256" i="12"/>
  <c r="U384" i="12"/>
  <c r="U964" i="12"/>
  <c r="U900" i="12"/>
  <c r="U836" i="12"/>
  <c r="U772" i="12"/>
  <c r="U708" i="12"/>
  <c r="U644" i="12"/>
  <c r="U580" i="12"/>
  <c r="U516" i="12"/>
  <c r="U452" i="12"/>
  <c r="U388" i="12"/>
  <c r="U985" i="12"/>
  <c r="U899" i="12"/>
  <c r="U814" i="12"/>
  <c r="U729" i="12"/>
  <c r="U643" i="12"/>
  <c r="U558" i="12"/>
  <c r="U473" i="12"/>
  <c r="U387" i="12"/>
  <c r="U323" i="12"/>
  <c r="U259" i="12"/>
  <c r="U195" i="12"/>
  <c r="U131" i="12"/>
  <c r="U67" i="12"/>
  <c r="U973" i="12"/>
  <c r="U887" i="12"/>
  <c r="U802" i="12"/>
  <c r="U717" i="12"/>
  <c r="U631" i="12"/>
  <c r="U546" i="12"/>
  <c r="U461" i="12"/>
  <c r="U378" i="12"/>
  <c r="U314" i="12"/>
  <c r="U250" i="12"/>
  <c r="U186" i="12"/>
  <c r="U122" i="12"/>
  <c r="U49" i="12"/>
  <c r="U160" i="12"/>
  <c r="U288" i="12"/>
  <c r="U948" i="12"/>
  <c r="U884" i="12"/>
  <c r="U820" i="12"/>
  <c r="U756" i="12"/>
  <c r="U692" i="12"/>
  <c r="U628" i="12"/>
  <c r="U564" i="12"/>
  <c r="U500" i="12"/>
  <c r="U436" i="12"/>
  <c r="U963" i="12"/>
  <c r="U878" i="12"/>
  <c r="U793" i="12"/>
  <c r="U707" i="12"/>
  <c r="U622" i="12"/>
  <c r="U537" i="12"/>
  <c r="U451" i="12"/>
  <c r="U371" i="12"/>
  <c r="U307" i="12"/>
  <c r="U243" i="12"/>
  <c r="U179" i="12"/>
  <c r="U115" i="12"/>
  <c r="U51" i="12"/>
  <c r="U951" i="12"/>
  <c r="U866" i="12"/>
  <c r="U781" i="12"/>
  <c r="U695" i="12"/>
  <c r="U610" i="12"/>
  <c r="U525" i="12"/>
  <c r="U439" i="12"/>
  <c r="U362" i="12"/>
  <c r="U298" i="12"/>
  <c r="U234" i="12"/>
  <c r="U170" i="12"/>
  <c r="U106" i="12"/>
  <c r="U70" i="12"/>
  <c r="U192" i="12"/>
  <c r="U320" i="12"/>
  <c r="U932" i="12"/>
  <c r="U676" i="12"/>
  <c r="U420" i="12"/>
  <c r="U771" i="12"/>
  <c r="U430" i="12"/>
  <c r="U163" i="12"/>
  <c r="U930" i="12"/>
  <c r="U589" i="12"/>
  <c r="U282" i="12"/>
  <c r="U96" i="12"/>
  <c r="U992" i="12"/>
  <c r="U908" i="12"/>
  <c r="U824" i="12"/>
  <c r="U736" i="12"/>
  <c r="U652" i="12"/>
  <c r="U568" i="12"/>
  <c r="U480" i="12"/>
  <c r="U396" i="12"/>
  <c r="U969" i="12"/>
  <c r="U851" i="12"/>
  <c r="U739" i="12"/>
  <c r="U627" i="12"/>
  <c r="U510" i="12"/>
  <c r="U398" i="12"/>
  <c r="U311" i="12"/>
  <c r="U223" i="12"/>
  <c r="U139" i="12"/>
  <c r="U55" i="12"/>
  <c r="U898" i="12"/>
  <c r="U786" i="12"/>
  <c r="U669" i="12"/>
  <c r="U557" i="12"/>
  <c r="U445" i="12"/>
  <c r="U342" i="12"/>
  <c r="U258" i="12"/>
  <c r="U174" i="12"/>
  <c r="U86" i="12"/>
  <c r="U144" i="12"/>
  <c r="U312" i="12"/>
  <c r="U490" i="12"/>
  <c r="U661" i="12"/>
  <c r="U831" i="12"/>
  <c r="U1002" i="12"/>
  <c r="U868" i="12"/>
  <c r="U612" i="12"/>
  <c r="U686" i="12"/>
  <c r="U355" i="12"/>
  <c r="U99" i="12"/>
  <c r="U845" i="12"/>
  <c r="U503" i="12"/>
  <c r="U218" i="12"/>
  <c r="U224" i="12"/>
  <c r="U972" i="12"/>
  <c r="U888" i="12"/>
  <c r="U800" i="12"/>
  <c r="U716" i="12"/>
  <c r="U632" i="12"/>
  <c r="U544" i="12"/>
  <c r="U460" i="12"/>
  <c r="U937" i="12"/>
  <c r="U825" i="12"/>
  <c r="U713" i="12"/>
  <c r="U595" i="12"/>
  <c r="U483" i="12"/>
  <c r="U375" i="12"/>
  <c r="U287" i="12"/>
  <c r="U203" i="12"/>
  <c r="U119" i="12"/>
  <c r="U27" i="12"/>
  <c r="U983" i="12"/>
  <c r="U871" i="12"/>
  <c r="U754" i="12"/>
  <c r="U642" i="12"/>
  <c r="U530" i="12"/>
  <c r="U413" i="12"/>
  <c r="U322" i="12"/>
  <c r="U238" i="12"/>
  <c r="U150" i="12"/>
  <c r="U38" i="12"/>
  <c r="U184" i="12"/>
  <c r="U360" i="12"/>
  <c r="U533" i="12"/>
  <c r="U703" i="12"/>
  <c r="U874" i="12"/>
  <c r="U804" i="12"/>
  <c r="U548" i="12"/>
  <c r="U942" i="12"/>
  <c r="U601" i="12"/>
  <c r="U291" i="12"/>
  <c r="U35" i="12"/>
  <c r="U759" i="12"/>
  <c r="U418" i="12"/>
  <c r="U154" i="12"/>
  <c r="U352" i="12"/>
  <c r="U952" i="12"/>
  <c r="U864" i="12"/>
  <c r="U780" i="12"/>
  <c r="U696" i="12"/>
  <c r="U608" i="12"/>
  <c r="U524" i="12"/>
  <c r="U440" i="12"/>
  <c r="U910" i="12"/>
  <c r="U798" i="12"/>
  <c r="U681" i="12"/>
  <c r="U569" i="12"/>
  <c r="U457" i="12"/>
  <c r="U351" i="12"/>
  <c r="U267" i="12"/>
  <c r="U183" i="12"/>
  <c r="U95" i="12"/>
  <c r="U7" i="12"/>
  <c r="U957" i="12"/>
  <c r="U839" i="12"/>
  <c r="U727" i="12"/>
  <c r="U615" i="12"/>
  <c r="U498" i="12"/>
  <c r="U386" i="12"/>
  <c r="U302" i="12"/>
  <c r="U214" i="12"/>
  <c r="U130" i="12"/>
  <c r="U65" i="12"/>
  <c r="U232" i="12"/>
  <c r="U405" i="12"/>
  <c r="U575" i="12"/>
  <c r="U746" i="12"/>
  <c r="U917" i="12"/>
  <c r="U484" i="12"/>
  <c r="U515" i="12"/>
  <c r="U928" i="12"/>
  <c r="U588" i="12"/>
  <c r="U654" i="12"/>
  <c r="U247" i="12"/>
  <c r="U701" i="12"/>
  <c r="U278" i="12"/>
  <c r="U272" i="12"/>
  <c r="U959" i="12"/>
  <c r="U89" i="12"/>
  <c r="U217" i="12"/>
  <c r="U345" i="12"/>
  <c r="U502" i="12"/>
  <c r="U673" i="12"/>
  <c r="U843" i="12"/>
  <c r="U68" i="12"/>
  <c r="U188" i="12"/>
  <c r="U316" i="12"/>
  <c r="U463" i="12"/>
  <c r="U634" i="12"/>
  <c r="U805" i="12"/>
  <c r="U975" i="12"/>
  <c r="U53" i="12"/>
  <c r="U165" i="12"/>
  <c r="U293" i="12"/>
  <c r="U433" i="12"/>
  <c r="U603" i="12"/>
  <c r="U774" i="12"/>
  <c r="U945" i="12"/>
  <c r="U944" i="12"/>
  <c r="U860" i="12"/>
  <c r="U776" i="12"/>
  <c r="U688" i="12"/>
  <c r="U604" i="12"/>
  <c r="U520" i="12"/>
  <c r="U432" i="12"/>
  <c r="U905" i="12"/>
  <c r="U787" i="12"/>
  <c r="U675" i="12"/>
  <c r="U563" i="12"/>
  <c r="U446" i="12"/>
  <c r="U347" i="12"/>
  <c r="U263" i="12"/>
  <c r="U175" i="12"/>
  <c r="U91" i="12"/>
  <c r="U946" i="12"/>
  <c r="U834" i="12"/>
  <c r="U722" i="12"/>
  <c r="U605" i="12"/>
  <c r="U493" i="12"/>
  <c r="U382" i="12"/>
  <c r="U294" i="12"/>
  <c r="U210" i="12"/>
  <c r="U126" i="12"/>
  <c r="U76" i="12"/>
  <c r="U240" i="12"/>
  <c r="U415" i="12"/>
  <c r="U586" i="12"/>
  <c r="U757" i="12"/>
  <c r="U927" i="12"/>
  <c r="U29" i="12"/>
  <c r="U129" i="12"/>
  <c r="U257" i="12"/>
  <c r="U385" i="12"/>
  <c r="U555" i="12"/>
  <c r="U726" i="12"/>
  <c r="U897" i="12"/>
  <c r="U9" i="12"/>
  <c r="U100" i="12"/>
  <c r="U228" i="12"/>
  <c r="U356" i="12"/>
  <c r="U517" i="12"/>
  <c r="U687" i="12"/>
  <c r="U858" i="12"/>
  <c r="U80" i="12"/>
  <c r="U205" i="12"/>
  <c r="U333" i="12"/>
  <c r="U486" i="12"/>
  <c r="U657" i="12"/>
  <c r="U827" i="12"/>
  <c r="U998" i="12"/>
  <c r="U227" i="12"/>
  <c r="U674" i="12"/>
  <c r="U844" i="12"/>
  <c r="U504" i="12"/>
  <c r="U995" i="12"/>
  <c r="U542" i="12"/>
  <c r="U159" i="12"/>
  <c r="U583" i="12"/>
  <c r="U194" i="12"/>
  <c r="U447" i="12"/>
  <c r="U24" i="12"/>
  <c r="U121" i="12"/>
  <c r="U249" i="12"/>
  <c r="U377" i="12"/>
  <c r="U545" i="12"/>
  <c r="U715" i="12"/>
  <c r="U886" i="12"/>
  <c r="U92" i="12"/>
  <c r="U220" i="12"/>
  <c r="U348" i="12"/>
  <c r="U506" i="12"/>
  <c r="U677" i="12"/>
  <c r="U847" i="12"/>
  <c r="U74" i="12"/>
  <c r="U197" i="12"/>
  <c r="U325" i="12"/>
  <c r="U475" i="12"/>
  <c r="U646" i="12"/>
  <c r="U817" i="12"/>
  <c r="U987" i="12"/>
  <c r="U924" i="12"/>
  <c r="U840" i="12"/>
  <c r="U752" i="12"/>
  <c r="U668" i="12"/>
  <c r="U584" i="12"/>
  <c r="U496" i="12"/>
  <c r="U412" i="12"/>
  <c r="U990" i="12"/>
  <c r="U873" i="12"/>
  <c r="U761" i="12"/>
  <c r="U649" i="12"/>
  <c r="U531" i="12"/>
  <c r="U419" i="12"/>
  <c r="U327" i="12"/>
  <c r="U239" i="12"/>
  <c r="U155" i="12"/>
  <c r="U71" i="12"/>
  <c r="U919" i="12"/>
  <c r="U807" i="12"/>
  <c r="U690" i="12"/>
  <c r="U578" i="12"/>
  <c r="U466" i="12"/>
  <c r="U358" i="12"/>
  <c r="U274" i="12"/>
  <c r="U190" i="12"/>
  <c r="U102" i="12"/>
  <c r="U112" i="12"/>
  <c r="U280" i="12"/>
  <c r="U458" i="12"/>
  <c r="U629" i="12"/>
  <c r="U799" i="12"/>
  <c r="U970" i="12"/>
  <c r="U50" i="12"/>
  <c r="U161" i="12"/>
  <c r="U289" i="12"/>
  <c r="U427" i="12"/>
  <c r="U598" i="12"/>
  <c r="U769" i="12"/>
  <c r="U939" i="12"/>
  <c r="U30" i="12"/>
  <c r="U132" i="12"/>
  <c r="U260" i="12"/>
  <c r="U389" i="12"/>
  <c r="U559" i="12"/>
  <c r="U730" i="12"/>
  <c r="U901" i="12"/>
  <c r="U10" i="12"/>
  <c r="U109" i="12"/>
  <c r="U237" i="12"/>
  <c r="U365" i="12"/>
  <c r="U529" i="12"/>
  <c r="U699" i="12"/>
  <c r="U870" i="12"/>
  <c r="U996" i="12"/>
  <c r="U346" i="12"/>
  <c r="U760" i="12"/>
  <c r="U416" i="12"/>
  <c r="U883" i="12"/>
  <c r="U425" i="12"/>
  <c r="U75" i="12"/>
  <c r="U925" i="12"/>
  <c r="U471" i="12"/>
  <c r="U110" i="12"/>
  <c r="U618" i="12"/>
  <c r="U45" i="12"/>
  <c r="U153" i="12"/>
  <c r="U281" i="12"/>
  <c r="U417" i="12"/>
  <c r="U587" i="12"/>
  <c r="U758" i="12"/>
  <c r="U929" i="12"/>
  <c r="U25" i="12"/>
  <c r="U124" i="12"/>
  <c r="U252" i="12"/>
  <c r="U380" i="12"/>
  <c r="U549" i="12"/>
  <c r="U719" i="12"/>
  <c r="U890" i="12"/>
  <c r="U101" i="12"/>
  <c r="U229" i="12"/>
  <c r="U357" i="12"/>
  <c r="U518" i="12"/>
  <c r="U689" i="12"/>
  <c r="U859" i="12"/>
  <c r="U988" i="12"/>
  <c r="U904" i="12"/>
  <c r="U816" i="12"/>
  <c r="U732" i="12"/>
  <c r="U648" i="12"/>
  <c r="U560" i="12"/>
  <c r="U476" i="12"/>
  <c r="U392" i="12"/>
  <c r="U958" i="12"/>
  <c r="U846" i="12"/>
  <c r="U734" i="12"/>
  <c r="U617" i="12"/>
  <c r="U505" i="12"/>
  <c r="U393" i="12"/>
  <c r="U303" i="12"/>
  <c r="U219" i="12"/>
  <c r="U135" i="12"/>
  <c r="U47" i="12"/>
  <c r="U893" i="12"/>
  <c r="U775" i="12"/>
  <c r="U663" i="12"/>
  <c r="U551" i="12"/>
  <c r="U434" i="12"/>
  <c r="U338" i="12"/>
  <c r="U254" i="12"/>
  <c r="U166" i="12"/>
  <c r="U6" i="12"/>
  <c r="U152" i="12"/>
  <c r="U328" i="12"/>
  <c r="U501" i="12"/>
  <c r="U671" i="12"/>
  <c r="U842" i="12"/>
  <c r="U72" i="12"/>
  <c r="U193" i="12"/>
  <c r="U321" i="12"/>
  <c r="U470" i="12"/>
  <c r="U641" i="12"/>
  <c r="U811" i="12"/>
  <c r="U982" i="12"/>
  <c r="U52" i="12"/>
  <c r="U164" i="12"/>
  <c r="U292" i="12"/>
  <c r="U431" i="12"/>
  <c r="U602" i="12"/>
  <c r="U773" i="12"/>
  <c r="U943" i="12"/>
  <c r="U37" i="12"/>
  <c r="U141" i="12"/>
  <c r="U269" i="12"/>
  <c r="U401" i="12"/>
  <c r="U571" i="12"/>
  <c r="U742" i="12"/>
  <c r="U913" i="12"/>
  <c r="U1003" i="12"/>
  <c r="U90" i="12"/>
  <c r="U789" i="12"/>
  <c r="U459" i="12"/>
  <c r="U46" i="12"/>
  <c r="U591" i="12"/>
  <c r="U133" i="12"/>
  <c r="U731" i="12"/>
  <c r="U880" i="12"/>
  <c r="U540" i="12"/>
  <c r="U590" i="12"/>
  <c r="U199" i="12"/>
  <c r="U637" i="12"/>
  <c r="U230" i="12"/>
  <c r="U368" i="12"/>
  <c r="U513" i="12"/>
  <c r="U73" i="12"/>
  <c r="U645" i="12"/>
  <c r="U173" i="12"/>
  <c r="U785" i="12"/>
  <c r="U892" i="12"/>
  <c r="U720" i="12"/>
  <c r="U552" i="12"/>
  <c r="U830" i="12"/>
  <c r="U606" i="12"/>
  <c r="U379" i="12"/>
  <c r="U207" i="12"/>
  <c r="U39" i="12"/>
  <c r="U877" i="12"/>
  <c r="U647" i="12"/>
  <c r="U423" i="12"/>
  <c r="U242" i="12"/>
  <c r="U28" i="12"/>
  <c r="U344" i="12"/>
  <c r="U693" i="12"/>
  <c r="U209" i="12"/>
  <c r="U491" i="12"/>
  <c r="U833" i="12"/>
  <c r="U62" i="12"/>
  <c r="U308" i="12"/>
  <c r="U623" i="12"/>
  <c r="U965" i="12"/>
  <c r="U157" i="12"/>
  <c r="U422" i="12"/>
  <c r="U763" i="12"/>
  <c r="U876" i="12"/>
  <c r="U704" i="12"/>
  <c r="U536" i="12"/>
  <c r="U809" i="12"/>
  <c r="U585" i="12"/>
  <c r="U363" i="12"/>
  <c r="U191" i="12"/>
  <c r="U19" i="12"/>
  <c r="U855" i="12"/>
  <c r="U626" i="12"/>
  <c r="U402" i="12"/>
  <c r="U226" i="12"/>
  <c r="U54" i="12"/>
  <c r="U376" i="12"/>
  <c r="U725" i="12"/>
  <c r="U8" i="12"/>
  <c r="U233" i="12"/>
  <c r="U523" i="12"/>
  <c r="U865" i="12"/>
  <c r="U78" i="12"/>
  <c r="U332" i="12"/>
  <c r="U655" i="12"/>
  <c r="U997" i="12"/>
  <c r="U181" i="12"/>
  <c r="U454" i="12"/>
  <c r="U795" i="12"/>
  <c r="U872" i="12"/>
  <c r="U700" i="12"/>
  <c r="U528" i="12"/>
  <c r="U803" i="12"/>
  <c r="U574" i="12"/>
  <c r="U359" i="12"/>
  <c r="U187" i="12"/>
  <c r="U11" i="12"/>
  <c r="U850" i="12"/>
  <c r="U621" i="12"/>
  <c r="U391" i="12"/>
  <c r="U222" i="12"/>
  <c r="U60" i="12"/>
  <c r="U394" i="12"/>
  <c r="U740" i="12"/>
  <c r="U766" i="12"/>
  <c r="U813" i="12"/>
  <c r="U66" i="12"/>
  <c r="U630" i="12"/>
  <c r="U156" i="12"/>
  <c r="U762" i="12"/>
  <c r="U261" i="12"/>
  <c r="U902" i="12"/>
  <c r="U796" i="12"/>
  <c r="U456" i="12"/>
  <c r="U931" i="12"/>
  <c r="U478" i="12"/>
  <c r="U111" i="12"/>
  <c r="U978" i="12"/>
  <c r="U519" i="12"/>
  <c r="U146" i="12"/>
  <c r="U543" i="12"/>
  <c r="U97" i="12"/>
  <c r="U683" i="12"/>
  <c r="U196" i="12"/>
  <c r="U815" i="12"/>
  <c r="U301" i="12"/>
  <c r="U955" i="12"/>
  <c r="U848" i="12"/>
  <c r="U680" i="12"/>
  <c r="U508" i="12"/>
  <c r="U1001" i="12"/>
  <c r="U777" i="12"/>
  <c r="U547" i="12"/>
  <c r="U335" i="12"/>
  <c r="U167" i="12"/>
  <c r="U818" i="12"/>
  <c r="U594" i="12"/>
  <c r="U370" i="12"/>
  <c r="U198" i="12"/>
  <c r="U88" i="12"/>
  <c r="U437" i="12"/>
  <c r="U778" i="12"/>
  <c r="U40" i="12"/>
  <c r="U273" i="12"/>
  <c r="U577" i="12"/>
  <c r="U918" i="12"/>
  <c r="U116" i="12"/>
  <c r="U372" i="12"/>
  <c r="U709" i="12"/>
  <c r="U221" i="12"/>
  <c r="U507" i="12"/>
  <c r="U849" i="12"/>
  <c r="U832" i="12"/>
  <c r="U664" i="12"/>
  <c r="U492" i="12"/>
  <c r="U979" i="12"/>
  <c r="U755" i="12"/>
  <c r="U526" i="12"/>
  <c r="U319" i="12"/>
  <c r="U151" i="12"/>
  <c r="U797" i="12"/>
  <c r="U573" i="12"/>
  <c r="U354" i="12"/>
  <c r="U182" i="12"/>
  <c r="U120" i="12"/>
  <c r="U469" i="12"/>
  <c r="U810" i="12"/>
  <c r="U56" i="12"/>
  <c r="U297" i="12"/>
  <c r="U609" i="12"/>
  <c r="U950" i="12"/>
  <c r="U140" i="12"/>
  <c r="U399" i="12"/>
  <c r="U741" i="12"/>
  <c r="U16" i="12"/>
  <c r="U245" i="12"/>
  <c r="U539" i="12"/>
  <c r="U881" i="12"/>
  <c r="U1000" i="12"/>
  <c r="U828" i="12"/>
  <c r="U656" i="12"/>
  <c r="U488" i="12"/>
  <c r="U974" i="12"/>
  <c r="U745" i="12"/>
  <c r="U521" i="12"/>
  <c r="U315" i="12"/>
  <c r="U143" i="12"/>
  <c r="U791" i="12"/>
  <c r="U562" i="12"/>
  <c r="U350" i="12"/>
  <c r="U178" i="12"/>
  <c r="U136" i="12"/>
  <c r="U479" i="12"/>
  <c r="U857" i="12"/>
  <c r="U672" i="12"/>
  <c r="U331" i="12"/>
  <c r="U366" i="12"/>
  <c r="U185" i="12"/>
  <c r="U801" i="12"/>
  <c r="U284" i="12"/>
  <c r="U933" i="12"/>
  <c r="U390" i="12"/>
  <c r="U712" i="12"/>
  <c r="U819" i="12"/>
  <c r="U367" i="12"/>
  <c r="U23" i="12"/>
  <c r="U861" i="12"/>
  <c r="U407" i="12"/>
  <c r="U44" i="12"/>
  <c r="U714" i="12"/>
  <c r="U225" i="12"/>
  <c r="U854" i="12"/>
  <c r="U324" i="12"/>
  <c r="U986" i="12"/>
  <c r="U443" i="12"/>
  <c r="U976" i="12"/>
  <c r="U808" i="12"/>
  <c r="U636" i="12"/>
  <c r="U464" i="12"/>
  <c r="U947" i="12"/>
  <c r="U718" i="12"/>
  <c r="U489" i="12"/>
  <c r="U295" i="12"/>
  <c r="U123" i="12"/>
  <c r="U989" i="12"/>
  <c r="U765" i="12"/>
  <c r="U535" i="12"/>
  <c r="U326" i="12"/>
  <c r="U158" i="12"/>
  <c r="U176" i="12"/>
  <c r="U522" i="12"/>
  <c r="U863" i="12"/>
  <c r="U82" i="12"/>
  <c r="U337" i="12"/>
  <c r="U662" i="12"/>
  <c r="U180" i="12"/>
  <c r="U453" i="12"/>
  <c r="U794" i="12"/>
  <c r="U48" i="12"/>
  <c r="U285" i="12"/>
  <c r="U593" i="12"/>
  <c r="U934" i="12"/>
  <c r="U960" i="12"/>
  <c r="U792" i="12"/>
  <c r="U620" i="12"/>
  <c r="U448" i="12"/>
  <c r="U926" i="12"/>
  <c r="U697" i="12"/>
  <c r="U467" i="12"/>
  <c r="U279" i="12"/>
  <c r="U107" i="12"/>
  <c r="U967" i="12"/>
  <c r="U743" i="12"/>
  <c r="U514" i="12"/>
  <c r="U310" i="12"/>
  <c r="U142" i="12"/>
  <c r="U208" i="12"/>
  <c r="U554" i="12"/>
  <c r="U895" i="12"/>
  <c r="U105" i="12"/>
  <c r="U361" i="12"/>
  <c r="U694" i="12"/>
  <c r="U204" i="12"/>
  <c r="U485" i="12"/>
  <c r="U826" i="12"/>
  <c r="U64" i="12"/>
  <c r="U309" i="12"/>
  <c r="U625" i="12"/>
  <c r="U966" i="12"/>
  <c r="U956" i="12"/>
  <c r="U784" i="12"/>
  <c r="U616" i="12"/>
  <c r="U444" i="12"/>
  <c r="U915" i="12"/>
  <c r="U691" i="12"/>
  <c r="U462" i="12"/>
  <c r="U271" i="12"/>
  <c r="U103" i="12"/>
  <c r="U962" i="12"/>
  <c r="U733" i="12"/>
  <c r="U509" i="12"/>
  <c r="U306" i="12"/>
  <c r="U134" i="12"/>
  <c r="U216" i="12"/>
  <c r="AL5" i="12"/>
  <c r="U13" i="12"/>
  <c r="U753" i="12"/>
  <c r="U411" i="12"/>
  <c r="U149" i="12"/>
  <c r="U954" i="12"/>
  <c r="U613" i="12"/>
  <c r="U300" i="12"/>
  <c r="U57" i="12"/>
  <c r="U822" i="12"/>
  <c r="U481" i="12"/>
  <c r="U201" i="12"/>
  <c r="U682" i="12"/>
  <c r="U336" i="12"/>
  <c r="U12" i="12"/>
  <c r="U246" i="12"/>
  <c r="U429" i="12"/>
  <c r="U658" i="12"/>
  <c r="U882" i="12"/>
  <c r="U43" i="12"/>
  <c r="U215" i="12"/>
  <c r="U383" i="12"/>
  <c r="U611" i="12"/>
  <c r="U841" i="12"/>
  <c r="U556" i="12"/>
  <c r="U728" i="12"/>
  <c r="U896" i="12"/>
  <c r="U721" i="12"/>
  <c r="U381" i="12"/>
  <c r="U125" i="12"/>
  <c r="U922" i="12"/>
  <c r="U581" i="12"/>
  <c r="U276" i="12"/>
  <c r="U41" i="12"/>
  <c r="U790" i="12"/>
  <c r="U449" i="12"/>
  <c r="U177" i="12"/>
  <c r="U991" i="12"/>
  <c r="U650" i="12"/>
  <c r="U262" i="12"/>
  <c r="U231" i="12"/>
  <c r="U572" i="12"/>
  <c r="U710" i="12"/>
  <c r="U36" i="12"/>
  <c r="U438" i="12"/>
  <c r="U981" i="12"/>
  <c r="U270" i="12"/>
  <c r="U235" i="12"/>
  <c r="U576" i="12"/>
  <c r="U678" i="12"/>
  <c r="U20" i="12"/>
  <c r="U406" i="12"/>
  <c r="U949" i="12"/>
  <c r="U286" i="12"/>
  <c r="U251" i="12"/>
  <c r="U592" i="12"/>
  <c r="U474" i="12"/>
  <c r="U749" i="12"/>
  <c r="U702" i="12"/>
  <c r="U968" i="12"/>
  <c r="U26" i="12"/>
  <c r="U971" i="12"/>
  <c r="U32" i="12"/>
  <c r="U667" i="12"/>
  <c r="U341" i="12"/>
  <c r="U85" i="12"/>
  <c r="U869" i="12"/>
  <c r="U527" i="12"/>
  <c r="U236" i="12"/>
  <c r="U14" i="12"/>
  <c r="U737" i="12"/>
  <c r="U395" i="12"/>
  <c r="U137" i="12"/>
  <c r="U938" i="12"/>
  <c r="U597" i="12"/>
  <c r="U248" i="12"/>
  <c r="U118" i="12"/>
  <c r="U290" i="12"/>
  <c r="U487" i="12"/>
  <c r="U711" i="12"/>
  <c r="U941" i="12"/>
  <c r="U87" i="12"/>
  <c r="U255" i="12"/>
  <c r="U441" i="12"/>
  <c r="U670" i="12"/>
  <c r="U894" i="12"/>
  <c r="U428" i="12"/>
  <c r="U600" i="12"/>
  <c r="U768" i="12"/>
  <c r="U940" i="12"/>
  <c r="U977" i="12"/>
  <c r="U635" i="12"/>
  <c r="U317" i="12"/>
  <c r="U69" i="12"/>
  <c r="U837" i="12"/>
  <c r="U495" i="12"/>
  <c r="U212" i="12"/>
  <c r="U705" i="12"/>
  <c r="U369" i="12"/>
  <c r="U113" i="12"/>
  <c r="U906" i="12"/>
  <c r="U565" i="12"/>
  <c r="U450" i="12"/>
  <c r="U403" i="12"/>
  <c r="U744" i="12"/>
  <c r="U373" i="12"/>
  <c r="U911" i="12"/>
  <c r="U169" i="12"/>
  <c r="U639" i="12"/>
  <c r="U455" i="12"/>
  <c r="U414" i="12"/>
  <c r="U748" i="12"/>
  <c r="U349" i="12"/>
  <c r="U879" i="12"/>
  <c r="U145" i="12"/>
  <c r="U607" i="12"/>
  <c r="U477" i="12"/>
  <c r="U435" i="12"/>
  <c r="U764" i="12"/>
  <c r="U614" i="12"/>
  <c r="U885" i="12"/>
  <c r="U313" i="12"/>
  <c r="U33" i="12"/>
  <c r="U923" i="12"/>
  <c r="U582" i="12"/>
  <c r="U277" i="12"/>
  <c r="U42" i="12"/>
  <c r="U783" i="12"/>
  <c r="U442" i="12"/>
  <c r="U172" i="12"/>
  <c r="U993" i="12"/>
  <c r="U651" i="12"/>
  <c r="U329" i="12"/>
  <c r="U77" i="12"/>
  <c r="U853" i="12"/>
  <c r="U511" i="12"/>
  <c r="U168" i="12"/>
  <c r="U162" i="12"/>
  <c r="U334" i="12"/>
  <c r="U541" i="12"/>
  <c r="U770" i="12"/>
  <c r="U999" i="12"/>
  <c r="U127" i="12"/>
  <c r="U299" i="12"/>
  <c r="U499" i="12"/>
  <c r="U723" i="12"/>
  <c r="U953" i="12"/>
  <c r="U472" i="12"/>
  <c r="U640" i="12"/>
  <c r="U812" i="12"/>
  <c r="U984" i="12"/>
  <c r="U891" i="12"/>
  <c r="U550" i="12"/>
  <c r="U253" i="12"/>
  <c r="U21" i="12"/>
  <c r="U751" i="12"/>
  <c r="U410" i="12"/>
  <c r="U148" i="12"/>
  <c r="U961" i="12"/>
  <c r="U619" i="12"/>
  <c r="U305" i="12"/>
  <c r="U61" i="12"/>
  <c r="U821" i="12"/>
  <c r="U304" i="12"/>
  <c r="U679" i="12"/>
  <c r="U633" i="12"/>
  <c r="U912" i="12"/>
  <c r="U117" i="12"/>
  <c r="U570" i="12"/>
  <c r="U296" i="12"/>
  <c r="U685" i="12"/>
  <c r="U638" i="12"/>
  <c r="U920" i="12"/>
  <c r="U93" i="12"/>
  <c r="U538" i="12"/>
  <c r="U264" i="12"/>
  <c r="U706" i="12"/>
  <c r="U659" i="12"/>
  <c r="U936" i="12"/>
  <c r="U58" i="12"/>
  <c r="U200" i="12"/>
  <c r="U421" i="12"/>
  <c r="AL4" i="12"/>
  <c r="U22" i="12"/>
  <c r="U31" i="12" s="1"/>
  <c r="U838" i="12"/>
  <c r="U497" i="12"/>
  <c r="U213" i="12"/>
  <c r="U698" i="12"/>
  <c r="U364" i="12"/>
  <c r="U108" i="12"/>
  <c r="U907" i="12"/>
  <c r="U566" i="12"/>
  <c r="U265" i="12"/>
  <c r="U34" i="12"/>
  <c r="U767" i="12"/>
  <c r="U426" i="12"/>
  <c r="U81" i="12"/>
  <c r="U206" i="12"/>
  <c r="U374" i="12"/>
  <c r="U599" i="12"/>
  <c r="U829" i="12"/>
  <c r="U171" i="12"/>
  <c r="U343" i="12"/>
  <c r="U553" i="12"/>
  <c r="U782" i="12"/>
  <c r="U512" i="12"/>
  <c r="U684" i="12"/>
  <c r="U856" i="12"/>
  <c r="U806" i="12"/>
  <c r="U465" i="12"/>
  <c r="U189" i="12"/>
  <c r="U666" i="12"/>
  <c r="U340" i="12"/>
  <c r="U84" i="12"/>
  <c r="U875" i="12"/>
  <c r="U534" i="12"/>
  <c r="U241" i="12"/>
  <c r="U18" i="12"/>
  <c r="U735" i="12"/>
  <c r="U94" i="12"/>
  <c r="U903" i="12"/>
  <c r="U59" i="12"/>
  <c r="U862" i="12"/>
  <c r="U400" i="12"/>
  <c r="U268" i="12"/>
  <c r="U779" i="12"/>
  <c r="U98" i="12"/>
  <c r="U914" i="12"/>
  <c r="U63" i="12"/>
  <c r="U867" i="12"/>
  <c r="U408" i="12"/>
  <c r="U244" i="12"/>
  <c r="U747" i="12"/>
  <c r="U114" i="12"/>
  <c r="U935" i="12"/>
  <c r="U79" i="12"/>
  <c r="U889" i="12"/>
  <c r="U424" i="12"/>
  <c r="U353" i="12"/>
  <c r="U318" i="12"/>
  <c r="U283" i="12"/>
  <c r="U624" i="12"/>
  <c r="U561" i="12"/>
  <c r="U104" i="12"/>
  <c r="CO2" i="10"/>
  <c r="CN2" i="10" s="1"/>
  <c r="CN1" i="10" s="1"/>
  <c r="CN631" i="10" s="1"/>
  <c r="CO631" i="10" s="1"/>
  <c r="W1013" i="11"/>
  <c r="V1013" i="11" s="1"/>
  <c r="K33" i="17"/>
  <c r="W1013" i="12"/>
  <c r="AB34" i="12" s="1"/>
  <c r="V1012" i="11"/>
  <c r="W1439" i="10"/>
  <c r="V1439" i="10" s="1"/>
  <c r="L1020" i="14"/>
  <c r="V1438" i="10"/>
  <c r="V1012" i="12"/>
  <c r="AG21" i="12"/>
  <c r="AH21" i="12"/>
  <c r="AJ21" i="12"/>
  <c r="AI21" i="12"/>
  <c r="AF22" i="12"/>
  <c r="AC1009" i="10"/>
  <c r="AE1009" i="10" s="1"/>
  <c r="AF1010" i="10"/>
  <c r="V1012" i="10"/>
  <c r="U1012" i="10" s="1"/>
  <c r="X1012" i="10" s="1"/>
  <c r="Y1012" i="10" s="1"/>
  <c r="Z1012" i="10" s="1"/>
  <c r="W1013" i="10"/>
  <c r="F27" i="14"/>
  <c r="AO21" i="12"/>
  <c r="AL21" i="12" s="1"/>
  <c r="AM22" i="12"/>
  <c r="AN21" i="12"/>
  <c r="AQ21" i="12"/>
  <c r="AP21" i="12"/>
  <c r="AB1011" i="10"/>
  <c r="AC1011" i="10" s="1"/>
  <c r="D25" i="14"/>
  <c r="U129" i="10" l="1"/>
  <c r="U33" i="10"/>
  <c r="U350" i="10"/>
  <c r="U1415" i="10"/>
  <c r="U312" i="10"/>
  <c r="U462" i="10"/>
  <c r="U365" i="10"/>
  <c r="U1382" i="10"/>
  <c r="U20" i="10"/>
  <c r="U662" i="10"/>
  <c r="U974" i="10"/>
  <c r="U1413" i="10"/>
  <c r="U965" i="10"/>
  <c r="U805" i="10"/>
  <c r="U249" i="10"/>
  <c r="U1390" i="10"/>
  <c r="U1396" i="10"/>
  <c r="U1395" i="10"/>
  <c r="U26" i="10"/>
  <c r="U275" i="10"/>
  <c r="U213" i="10"/>
  <c r="U833" i="10"/>
  <c r="U763" i="10"/>
  <c r="U340" i="10"/>
  <c r="U544" i="10"/>
  <c r="U816" i="10"/>
  <c r="U354" i="10"/>
  <c r="U499" i="10"/>
  <c r="U820" i="10"/>
  <c r="U1422" i="10"/>
  <c r="U1379" i="10"/>
  <c r="U1380" i="10" s="1"/>
  <c r="U1426" i="10"/>
  <c r="U25" i="10"/>
  <c r="U99" i="10"/>
  <c r="U337" i="10"/>
  <c r="U122" i="10"/>
  <c r="U676" i="10"/>
  <c r="U550" i="10"/>
  <c r="U691" i="10"/>
  <c r="U442" i="10"/>
  <c r="U512" i="10"/>
  <c r="U48" i="10"/>
  <c r="U304" i="10"/>
  <c r="U1391" i="10"/>
  <c r="U1393" i="10"/>
  <c r="U1403" i="10"/>
  <c r="U1397" i="10"/>
  <c r="U16" i="10"/>
  <c r="U686" i="10"/>
  <c r="U889" i="10"/>
  <c r="U730" i="10"/>
  <c r="U492" i="10"/>
  <c r="U429" i="10"/>
  <c r="U964" i="10"/>
  <c r="U601" i="10"/>
  <c r="U556" i="10"/>
  <c r="U699" i="10"/>
  <c r="M107" i="10"/>
  <c r="M125" i="10"/>
  <c r="M112" i="10"/>
  <c r="U100" i="10"/>
  <c r="U228" i="10"/>
  <c r="U356" i="10"/>
  <c r="U517" i="10"/>
  <c r="U692" i="10"/>
  <c r="U958" i="10"/>
  <c r="U80" i="10"/>
  <c r="U207" i="10"/>
  <c r="U335" i="10"/>
  <c r="U489" i="10"/>
  <c r="M126" i="10"/>
  <c r="M120" i="10"/>
  <c r="U63" i="10"/>
  <c r="U220" i="10"/>
  <c r="U400" i="10"/>
  <c r="U624" i="10"/>
  <c r="U937" i="10"/>
  <c r="U53" i="10"/>
  <c r="U215" i="10"/>
  <c r="U383" i="10"/>
  <c r="U585" i="10"/>
  <c r="U778" i="10"/>
  <c r="U55" i="10"/>
  <c r="U168" i="10"/>
  <c r="U296" i="10"/>
  <c r="U437" i="10"/>
  <c r="U608" i="10"/>
  <c r="U810" i="10"/>
  <c r="M131" i="10"/>
  <c r="M117" i="10"/>
  <c r="U57" i="10"/>
  <c r="U276" i="10"/>
  <c r="U538" i="10"/>
  <c r="U916" i="10"/>
  <c r="U159" i="10"/>
  <c r="U393" i="10"/>
  <c r="U649" i="10"/>
  <c r="U981" i="10"/>
  <c r="U71" i="10"/>
  <c r="U240" i="10"/>
  <c r="U416" i="10"/>
  <c r="U640" i="10"/>
  <c r="U990" i="10"/>
  <c r="M130" i="10"/>
  <c r="M109" i="10"/>
  <c r="M92" i="10"/>
  <c r="U132" i="10"/>
  <c r="U260" i="10"/>
  <c r="U389" i="10"/>
  <c r="U560" i="10"/>
  <c r="U746" i="10"/>
  <c r="U111" i="10"/>
  <c r="U239" i="10"/>
  <c r="U367" i="10"/>
  <c r="M135" i="10"/>
  <c r="M106" i="10"/>
  <c r="M140" i="10"/>
  <c r="U92" i="10"/>
  <c r="U268" i="10"/>
  <c r="U453" i="10"/>
  <c r="U677" i="10"/>
  <c r="U87" i="10"/>
  <c r="U255" i="10"/>
  <c r="U436" i="10"/>
  <c r="U628" i="10"/>
  <c r="U836" i="10"/>
  <c r="U76" i="10"/>
  <c r="U200" i="10"/>
  <c r="U328" i="10"/>
  <c r="U480" i="10"/>
  <c r="U650" i="10"/>
  <c r="U884" i="10"/>
  <c r="M103" i="10"/>
  <c r="M104" i="10"/>
  <c r="U108" i="10"/>
  <c r="U332" i="10"/>
  <c r="U613" i="10"/>
  <c r="U223" i="10"/>
  <c r="U468" i="10"/>
  <c r="U708" i="10"/>
  <c r="U112" i="10"/>
  <c r="U280" i="10"/>
  <c r="U469" i="10"/>
  <c r="U713" i="10"/>
  <c r="M139" i="10"/>
  <c r="M114" i="10"/>
  <c r="M93" i="10"/>
  <c r="U52" i="10"/>
  <c r="U164" i="10"/>
  <c r="U292" i="10"/>
  <c r="U432" i="10"/>
  <c r="U602" i="10"/>
  <c r="U804" i="10"/>
  <c r="U37" i="10"/>
  <c r="U143" i="10"/>
  <c r="U271" i="10"/>
  <c r="U404" i="10"/>
  <c r="M115" i="10"/>
  <c r="M121" i="10"/>
  <c r="U140" i="10"/>
  <c r="U308" i="10"/>
  <c r="U506" i="10"/>
  <c r="U761" i="10"/>
  <c r="U127" i="10"/>
  <c r="U295" i="10"/>
  <c r="U500" i="10"/>
  <c r="U670" i="10"/>
  <c r="U917" i="10"/>
  <c r="U104" i="10"/>
  <c r="U232" i="10"/>
  <c r="U360" i="10"/>
  <c r="U522" i="10"/>
  <c r="U697" i="10"/>
  <c r="U969" i="10"/>
  <c r="M138" i="10"/>
  <c r="M132" i="10"/>
  <c r="U156" i="10"/>
  <c r="U380" i="10"/>
  <c r="U704" i="10"/>
  <c r="U64" i="10"/>
  <c r="U279" i="10"/>
  <c r="U532" i="10"/>
  <c r="U793" i="10"/>
  <c r="U152" i="10"/>
  <c r="U320" i="10"/>
  <c r="U533" i="10"/>
  <c r="U782" i="10"/>
  <c r="M100" i="10"/>
  <c r="U474" i="10"/>
  <c r="U446" i="10"/>
  <c r="U180" i="10"/>
  <c r="U542" i="10"/>
  <c r="U565" i="10"/>
  <c r="M108" i="10"/>
  <c r="U874" i="10"/>
  <c r="U368" i="10"/>
  <c r="U999" i="10"/>
  <c r="U935" i="10"/>
  <c r="U871" i="10"/>
  <c r="U807" i="10"/>
  <c r="U743" i="10"/>
  <c r="U679" i="10"/>
  <c r="U615" i="10"/>
  <c r="U551" i="10"/>
  <c r="U487" i="10"/>
  <c r="U423" i="10"/>
  <c r="U946" i="10"/>
  <c r="U861" i="10"/>
  <c r="U776" i="10"/>
  <c r="U690" i="10"/>
  <c r="U605" i="10"/>
  <c r="U520" i="10"/>
  <c r="U434" i="10"/>
  <c r="U358" i="10"/>
  <c r="U294" i="10"/>
  <c r="U230" i="10"/>
  <c r="U166" i="10"/>
  <c r="U102" i="10"/>
  <c r="U38" i="10"/>
  <c r="M94" i="10"/>
  <c r="U148" i="10"/>
  <c r="U485" i="10"/>
  <c r="U1001" i="10"/>
  <c r="U69" i="10"/>
  <c r="U359" i="10"/>
  <c r="U693" i="10"/>
  <c r="U65" i="10"/>
  <c r="U288" i="10"/>
  <c r="U554" i="10"/>
  <c r="U948" i="10"/>
  <c r="U73" i="10"/>
  <c r="U645" i="10"/>
  <c r="U59" i="10"/>
  <c r="M95" i="10"/>
  <c r="U348" i="10"/>
  <c r="U1003" i="10"/>
  <c r="U724" i="10"/>
  <c r="U136" i="10"/>
  <c r="U756" i="10"/>
  <c r="U212" i="10"/>
  <c r="U103" i="10"/>
  <c r="U586" i="10"/>
  <c r="U983" i="10"/>
  <c r="U919" i="10"/>
  <c r="U855" i="10"/>
  <c r="U791" i="10"/>
  <c r="U727" i="10"/>
  <c r="U663" i="10"/>
  <c r="U599" i="10"/>
  <c r="U535" i="10"/>
  <c r="U471" i="10"/>
  <c r="U407" i="10"/>
  <c r="U925" i="10"/>
  <c r="U840" i="10"/>
  <c r="U754" i="10"/>
  <c r="U669" i="10"/>
  <c r="U584" i="10"/>
  <c r="U498" i="10"/>
  <c r="U413" i="10"/>
  <c r="U342" i="10"/>
  <c r="U278" i="10"/>
  <c r="U214" i="10"/>
  <c r="U150" i="10"/>
  <c r="U86" i="10"/>
  <c r="M123" i="10"/>
  <c r="U196" i="10"/>
  <c r="U873" i="10"/>
  <c r="U175" i="10"/>
  <c r="M101" i="10"/>
  <c r="U570" i="10"/>
  <c r="U167" i="10"/>
  <c r="U1002" i="10"/>
  <c r="U264" i="10"/>
  <c r="U464" i="10"/>
  <c r="U327" i="10"/>
  <c r="U44" i="10"/>
  <c r="U862" i="10"/>
  <c r="U967" i="10"/>
  <c r="U903" i="10"/>
  <c r="U839" i="10"/>
  <c r="U775" i="10"/>
  <c r="U711" i="10"/>
  <c r="U647" i="10"/>
  <c r="U583" i="10"/>
  <c r="U519" i="10"/>
  <c r="U455" i="10"/>
  <c r="U391" i="10"/>
  <c r="U989" i="10"/>
  <c r="U904" i="10"/>
  <c r="U818" i="10"/>
  <c r="U733" i="10"/>
  <c r="U648" i="10"/>
  <c r="U562" i="10"/>
  <c r="U477" i="10"/>
  <c r="U392" i="10"/>
  <c r="U326" i="10"/>
  <c r="U262" i="10"/>
  <c r="U198" i="10"/>
  <c r="U134" i="10"/>
  <c r="U70" i="10"/>
  <c r="U343" i="10"/>
  <c r="U789" i="10"/>
  <c r="U759" i="10"/>
  <c r="U503" i="10"/>
  <c r="U882" i="10"/>
  <c r="U541" i="10"/>
  <c r="U246" i="10"/>
  <c r="M105" i="10"/>
  <c r="U372" i="10"/>
  <c r="U199" i="10"/>
  <c r="U617" i="10"/>
  <c r="U176" i="10"/>
  <c r="U490" i="10"/>
  <c r="U943" i="10"/>
  <c r="U859" i="10"/>
  <c r="U771" i="10"/>
  <c r="U687" i="10"/>
  <c r="U603" i="10"/>
  <c r="U515" i="10"/>
  <c r="U431" i="10"/>
  <c r="U898" i="10"/>
  <c r="U786" i="10"/>
  <c r="U674" i="10"/>
  <c r="U557" i="10"/>
  <c r="U445" i="10"/>
  <c r="U346" i="10"/>
  <c r="U258" i="10"/>
  <c r="U174" i="10"/>
  <c r="U90" i="10"/>
  <c r="U950" i="10"/>
  <c r="U865" i="10"/>
  <c r="U780" i="10"/>
  <c r="U694" i="10"/>
  <c r="U609" i="10"/>
  <c r="U524" i="10"/>
  <c r="U438" i="10"/>
  <c r="U361" i="10"/>
  <c r="U297" i="10"/>
  <c r="U233" i="10"/>
  <c r="U303" i="10"/>
  <c r="U596" i="10"/>
  <c r="U951" i="10"/>
  <c r="U695" i="10"/>
  <c r="U439" i="10"/>
  <c r="U797" i="10"/>
  <c r="U456" i="10"/>
  <c r="U182" i="10"/>
  <c r="M127" i="10"/>
  <c r="U79" i="10"/>
  <c r="U581" i="10"/>
  <c r="U287" i="10"/>
  <c r="U809" i="10"/>
  <c r="U224" i="10"/>
  <c r="U629" i="10"/>
  <c r="U923" i="10"/>
  <c r="U835" i="10"/>
  <c r="U751" i="10"/>
  <c r="U667" i="10"/>
  <c r="U579" i="10"/>
  <c r="U495" i="10"/>
  <c r="U411" i="10"/>
  <c r="U984" i="10"/>
  <c r="U872" i="10"/>
  <c r="U760" i="10"/>
  <c r="U642" i="10"/>
  <c r="U530" i="10"/>
  <c r="U418" i="10"/>
  <c r="U322" i="10"/>
  <c r="U238" i="10"/>
  <c r="U154" i="10"/>
  <c r="U66" i="10"/>
  <c r="U929" i="10"/>
  <c r="U844" i="10"/>
  <c r="U758" i="10"/>
  <c r="U673" i="10"/>
  <c r="U588" i="10"/>
  <c r="U502" i="10"/>
  <c r="U417" i="10"/>
  <c r="U345" i="10"/>
  <c r="U281" i="10"/>
  <c r="M98" i="10"/>
  <c r="U36" i="10"/>
  <c r="U394" i="10"/>
  <c r="U192" i="10"/>
  <c r="U887" i="10"/>
  <c r="U631" i="10"/>
  <c r="U712" i="10"/>
  <c r="U374" i="10"/>
  <c r="U118" i="10"/>
  <c r="M134" i="10"/>
  <c r="U236" i="10"/>
  <c r="U666" i="10"/>
  <c r="U457" i="10"/>
  <c r="U938" i="10"/>
  <c r="U344" i="10"/>
  <c r="U725" i="10"/>
  <c r="U987" i="10"/>
  <c r="U899" i="10"/>
  <c r="U815" i="10"/>
  <c r="U731" i="10"/>
  <c r="U643" i="10"/>
  <c r="U559" i="10"/>
  <c r="U475" i="10"/>
  <c r="U387" i="10"/>
  <c r="U957" i="10"/>
  <c r="U845" i="10"/>
  <c r="U728" i="10"/>
  <c r="U616" i="10"/>
  <c r="U504" i="10"/>
  <c r="U386" i="10"/>
  <c r="U302" i="10"/>
  <c r="U218" i="10"/>
  <c r="U130" i="10"/>
  <c r="U46" i="10"/>
  <c r="U993" i="10"/>
  <c r="U908" i="10"/>
  <c r="U822" i="10"/>
  <c r="U737" i="10"/>
  <c r="U652" i="10"/>
  <c r="U566" i="10"/>
  <c r="U481" i="10"/>
  <c r="U396" i="10"/>
  <c r="U329" i="10"/>
  <c r="U265" i="10"/>
  <c r="U310" i="10"/>
  <c r="U135" i="10"/>
  <c r="U405" i="10"/>
  <c r="U963" i="10"/>
  <c r="U623" i="10"/>
  <c r="U701" i="10"/>
  <c r="U282" i="10"/>
  <c r="U801" i="10"/>
  <c r="U460" i="10"/>
  <c r="U217" i="10"/>
  <c r="U153" i="10"/>
  <c r="U89" i="10"/>
  <c r="U912" i="10"/>
  <c r="U741" i="10"/>
  <c r="U953" i="10"/>
  <c r="U56" i="10"/>
  <c r="U171" i="10"/>
  <c r="U299" i="10"/>
  <c r="U441" i="10"/>
  <c r="U612" i="10"/>
  <c r="U814" i="10"/>
  <c r="M119" i="10"/>
  <c r="U41" i="10"/>
  <c r="U316" i="10"/>
  <c r="U718" i="10"/>
  <c r="U231" i="10"/>
  <c r="U564" i="10"/>
  <c r="U960" i="10"/>
  <c r="U128" i="10"/>
  <c r="U352" i="10"/>
  <c r="U661" i="10"/>
  <c r="U915" i="10"/>
  <c r="U831" i="10"/>
  <c r="U747" i="10"/>
  <c r="U659" i="10"/>
  <c r="U575" i="10"/>
  <c r="U491" i="10"/>
  <c r="U403" i="10"/>
  <c r="U978" i="10"/>
  <c r="U866" i="10"/>
  <c r="U749" i="10"/>
  <c r="U637" i="10"/>
  <c r="U525" i="10"/>
  <c r="U408" i="10"/>
  <c r="U318" i="10"/>
  <c r="U234" i="10"/>
  <c r="U146" i="10"/>
  <c r="U62" i="10"/>
  <c r="U945" i="10"/>
  <c r="U860" i="10"/>
  <c r="U774" i="10"/>
  <c r="U689" i="10"/>
  <c r="U604" i="10"/>
  <c r="U518" i="10"/>
  <c r="U433" i="10"/>
  <c r="U357" i="10"/>
  <c r="U293" i="10"/>
  <c r="U229" i="10"/>
  <c r="U68" i="10"/>
  <c r="U777" i="10"/>
  <c r="U191" i="10"/>
  <c r="U896" i="10"/>
  <c r="U216" i="10"/>
  <c r="U798" i="10"/>
  <c r="U971" i="10"/>
  <c r="U799" i="10"/>
  <c r="U627" i="10"/>
  <c r="U459" i="10"/>
  <c r="U936" i="10"/>
  <c r="U706" i="10"/>
  <c r="U482" i="10"/>
  <c r="U286" i="10"/>
  <c r="U114" i="10"/>
  <c r="U998" i="10"/>
  <c r="U828" i="10"/>
  <c r="U657" i="10"/>
  <c r="U486" i="10"/>
  <c r="U333" i="10"/>
  <c r="U209" i="10"/>
  <c r="U125" i="10"/>
  <c r="U944" i="10"/>
  <c r="U720" i="10"/>
  <c r="U878" i="10"/>
  <c r="U155" i="10"/>
  <c r="U323" i="10"/>
  <c r="U537" i="10"/>
  <c r="U788" i="10"/>
  <c r="M96" i="10"/>
  <c r="U634" i="10"/>
  <c r="U95" i="10"/>
  <c r="M110" i="10"/>
  <c r="U54" i="10"/>
  <c r="M137" i="10"/>
  <c r="U553" i="10"/>
  <c r="U825" i="10"/>
  <c r="U879" i="10"/>
  <c r="U539" i="10"/>
  <c r="U589" i="10"/>
  <c r="U194" i="10"/>
  <c r="U716" i="10"/>
  <c r="U377" i="10"/>
  <c r="U201" i="10"/>
  <c r="U137" i="10"/>
  <c r="U869" i="10"/>
  <c r="U698" i="10"/>
  <c r="U910" i="10"/>
  <c r="U77" i="10"/>
  <c r="U203" i="10"/>
  <c r="U331" i="10"/>
  <c r="U484" i="10"/>
  <c r="U654" i="10"/>
  <c r="U885" i="10"/>
  <c r="M122" i="10"/>
  <c r="U84" i="10"/>
  <c r="U410" i="10"/>
  <c r="U852" i="10"/>
  <c r="U311" i="10"/>
  <c r="U638" i="10"/>
  <c r="U184" i="10"/>
  <c r="U426" i="10"/>
  <c r="U740" i="10"/>
  <c r="U979" i="10"/>
  <c r="U895" i="10"/>
  <c r="U811" i="10"/>
  <c r="U723" i="10"/>
  <c r="U639" i="10"/>
  <c r="U555" i="10"/>
  <c r="U467" i="10"/>
  <c r="U952" i="10"/>
  <c r="U834" i="10"/>
  <c r="U722" i="10"/>
  <c r="U610" i="10"/>
  <c r="U493" i="10"/>
  <c r="U382" i="10"/>
  <c r="U298" i="10"/>
  <c r="U210" i="10"/>
  <c r="U126" i="10"/>
  <c r="U42" i="10"/>
  <c r="U924" i="10"/>
  <c r="U838" i="10"/>
  <c r="U753" i="10"/>
  <c r="U668" i="10"/>
  <c r="U582" i="10"/>
  <c r="U497" i="10"/>
  <c r="U412" i="10"/>
  <c r="U341" i="10"/>
  <c r="U277" i="10"/>
  <c r="M111" i="10"/>
  <c r="U204" i="10"/>
  <c r="U351" i="10"/>
  <c r="U336" i="10"/>
  <c r="U927" i="10"/>
  <c r="U755" i="10"/>
  <c r="U587" i="10"/>
  <c r="U415" i="10"/>
  <c r="U877" i="10"/>
  <c r="U653" i="10"/>
  <c r="U424" i="10"/>
  <c r="U242" i="10"/>
  <c r="U74" i="10"/>
  <c r="U956" i="10"/>
  <c r="U785" i="10"/>
  <c r="U614" i="10"/>
  <c r="U444" i="10"/>
  <c r="U301" i="10"/>
  <c r="U189" i="10"/>
  <c r="U101" i="10"/>
  <c r="U890" i="10"/>
  <c r="U45" i="10"/>
  <c r="U195" i="10"/>
  <c r="U371" i="10"/>
  <c r="U590" i="10"/>
  <c r="U864" i="10"/>
  <c r="M99" i="10"/>
  <c r="U116" i="10"/>
  <c r="U894" i="10"/>
  <c r="U324" i="10"/>
  <c r="U823" i="10"/>
  <c r="U968" i="10"/>
  <c r="U300" i="10"/>
  <c r="U795" i="10"/>
  <c r="U451" i="10"/>
  <c r="U930" i="10"/>
  <c r="U472" i="10"/>
  <c r="U110" i="10"/>
  <c r="U972" i="10"/>
  <c r="U630" i="10"/>
  <c r="U313" i="10"/>
  <c r="U185" i="10"/>
  <c r="U121" i="10"/>
  <c r="U997" i="10"/>
  <c r="U826" i="10"/>
  <c r="U868" i="10"/>
  <c r="U107" i="10"/>
  <c r="U235" i="10"/>
  <c r="U363" i="10"/>
  <c r="U526" i="10"/>
  <c r="U702" i="10"/>
  <c r="U970" i="10"/>
  <c r="M133" i="10"/>
  <c r="U172" i="10"/>
  <c r="U496" i="10"/>
  <c r="U75" i="10"/>
  <c r="U375" i="10"/>
  <c r="U736" i="10"/>
  <c r="U39" i="10"/>
  <c r="U248" i="10"/>
  <c r="U501" i="10"/>
  <c r="U841" i="10"/>
  <c r="U959" i="10"/>
  <c r="U875" i="10"/>
  <c r="U787" i="10"/>
  <c r="U703" i="10"/>
  <c r="U619" i="10"/>
  <c r="U531" i="10"/>
  <c r="U447" i="10"/>
  <c r="U920" i="10"/>
  <c r="U808" i="10"/>
  <c r="U696" i="10"/>
  <c r="U578" i="10"/>
  <c r="U466" i="10"/>
  <c r="U362" i="10"/>
  <c r="U274" i="10"/>
  <c r="U190" i="10"/>
  <c r="U106" i="10"/>
  <c r="U18" i="10"/>
  <c r="U988" i="10"/>
  <c r="U902" i="10"/>
  <c r="U817" i="10"/>
  <c r="U732" i="10"/>
  <c r="U646" i="10"/>
  <c r="U561" i="10"/>
  <c r="U476" i="10"/>
  <c r="U390" i="10"/>
  <c r="U325" i="10"/>
  <c r="U261" i="10"/>
  <c r="M129" i="10"/>
  <c r="U364" i="10"/>
  <c r="U521" i="10"/>
  <c r="U458" i="10"/>
  <c r="U883" i="10"/>
  <c r="U715" i="10"/>
  <c r="U543" i="10"/>
  <c r="U824" i="10"/>
  <c r="U594" i="10"/>
  <c r="U370" i="10"/>
  <c r="U202" i="10"/>
  <c r="U30" i="10"/>
  <c r="U913" i="10"/>
  <c r="U742" i="10"/>
  <c r="U572" i="10"/>
  <c r="U401" i="10"/>
  <c r="U269" i="10"/>
  <c r="U165" i="10"/>
  <c r="U837" i="10"/>
  <c r="U985" i="10"/>
  <c r="U72" i="10"/>
  <c r="U243" i="10"/>
  <c r="U420" i="10"/>
  <c r="U644" i="10"/>
  <c r="U992" i="10"/>
  <c r="M113" i="10"/>
  <c r="U252" i="10"/>
  <c r="U567" i="10"/>
  <c r="U120" i="10"/>
  <c r="U169" i="10"/>
  <c r="U996" i="10"/>
  <c r="U398" i="10"/>
  <c r="U592" i="10"/>
  <c r="U821" i="10"/>
  <c r="U576" i="10"/>
  <c r="U683" i="10"/>
  <c r="U781" i="10"/>
  <c r="U338" i="10"/>
  <c r="U881" i="10"/>
  <c r="U540" i="10"/>
  <c r="U245" i="10"/>
  <c r="U681" i="10"/>
  <c r="U765" i="10"/>
  <c r="U870" i="10"/>
  <c r="U237" i="10"/>
  <c r="U283" i="10"/>
  <c r="U247" i="10"/>
  <c r="U144" i="10"/>
  <c r="U672" i="10"/>
  <c r="U995" i="10"/>
  <c r="U827" i="10"/>
  <c r="U655" i="10"/>
  <c r="U483" i="10"/>
  <c r="U973" i="10"/>
  <c r="U744" i="10"/>
  <c r="U514" i="10"/>
  <c r="U314" i="10"/>
  <c r="U142" i="10"/>
  <c r="U854" i="10"/>
  <c r="U684" i="10"/>
  <c r="U513" i="10"/>
  <c r="U353" i="10"/>
  <c r="U225" i="10"/>
  <c r="U141" i="10"/>
  <c r="U986" i="10"/>
  <c r="U762" i="10"/>
  <c r="U921" i="10"/>
  <c r="U83" i="10"/>
  <c r="U251" i="10"/>
  <c r="U430" i="10"/>
  <c r="U665" i="10"/>
  <c r="U15" i="10"/>
  <c r="U656" i="10"/>
  <c r="U263" i="10"/>
  <c r="U160" i="10"/>
  <c r="U682" i="10"/>
  <c r="U991" i="10"/>
  <c r="U819" i="10"/>
  <c r="U651" i="10"/>
  <c r="U479" i="10"/>
  <c r="U962" i="10"/>
  <c r="U738" i="10"/>
  <c r="U509" i="10"/>
  <c r="U306" i="10"/>
  <c r="U138" i="10"/>
  <c r="U849" i="10"/>
  <c r="U678" i="10"/>
  <c r="U508" i="10"/>
  <c r="U349" i="10"/>
  <c r="U221" i="10"/>
  <c r="U133" i="10"/>
  <c r="U976" i="10"/>
  <c r="U752" i="10"/>
  <c r="U900" i="10"/>
  <c r="U131" i="10"/>
  <c r="U307" i="10"/>
  <c r="U505" i="10"/>
  <c r="U745" i="10"/>
  <c r="M124" i="10"/>
  <c r="U528" i="10"/>
  <c r="U43" i="10"/>
  <c r="U660" i="10"/>
  <c r="U7" i="10"/>
  <c r="U448" i="10"/>
  <c r="U891" i="10"/>
  <c r="U719" i="10"/>
  <c r="U547" i="10"/>
  <c r="U829" i="10"/>
  <c r="U600" i="10"/>
  <c r="U378" i="10"/>
  <c r="U626" i="10"/>
  <c r="U813" i="10"/>
  <c r="U886" i="10"/>
  <c r="U105" i="10"/>
  <c r="U35" i="10"/>
  <c r="U569" i="10"/>
  <c r="U939" i="10"/>
  <c r="U595" i="10"/>
  <c r="U664" i="10"/>
  <c r="U254" i="10"/>
  <c r="U796" i="10"/>
  <c r="U454" i="10"/>
  <c r="M128" i="10"/>
  <c r="U96" i="10"/>
  <c r="U843" i="10"/>
  <c r="U536" i="10"/>
  <c r="U700" i="10"/>
  <c r="U145" i="10"/>
  <c r="U473" i="10"/>
  <c r="M136" i="10"/>
  <c r="U414" i="10"/>
  <c r="U256" i="10"/>
  <c r="U905" i="10"/>
  <c r="U955" i="10"/>
  <c r="U783" i="10"/>
  <c r="U611" i="10"/>
  <c r="U443" i="10"/>
  <c r="U914" i="10"/>
  <c r="U685" i="10"/>
  <c r="U461" i="10"/>
  <c r="U270" i="10"/>
  <c r="U98" i="10"/>
  <c r="U982" i="10"/>
  <c r="U812" i="10"/>
  <c r="U641" i="10"/>
  <c r="U470" i="10"/>
  <c r="U321" i="10"/>
  <c r="U205" i="10"/>
  <c r="U117" i="10"/>
  <c r="U933" i="10"/>
  <c r="U709" i="10"/>
  <c r="U857" i="10"/>
  <c r="U123" i="10"/>
  <c r="U291" i="10"/>
  <c r="U494" i="10"/>
  <c r="U729" i="10"/>
  <c r="U124" i="10"/>
  <c r="U980" i="10"/>
  <c r="U425" i="10"/>
  <c r="U272" i="10"/>
  <c r="U926" i="10"/>
  <c r="U947" i="10"/>
  <c r="U779" i="10"/>
  <c r="U607" i="10"/>
  <c r="U435" i="10"/>
  <c r="U909" i="10"/>
  <c r="U680" i="10"/>
  <c r="U450" i="10"/>
  <c r="U266" i="10"/>
  <c r="U94" i="10"/>
  <c r="U977" i="10"/>
  <c r="U806" i="10"/>
  <c r="U636" i="10"/>
  <c r="U465" i="10"/>
  <c r="U317" i="10"/>
  <c r="U197" i="10"/>
  <c r="U113" i="10"/>
  <c r="U922" i="10"/>
  <c r="U688" i="10"/>
  <c r="U846" i="10"/>
  <c r="U179" i="10"/>
  <c r="U347" i="10"/>
  <c r="U558" i="10"/>
  <c r="U830" i="10"/>
  <c r="U47" i="10"/>
  <c r="U734" i="10"/>
  <c r="U183" i="10"/>
  <c r="U853" i="10"/>
  <c r="U88" i="10"/>
  <c r="U597" i="10"/>
  <c r="U847" i="10"/>
  <c r="U675" i="10"/>
  <c r="U507" i="10"/>
  <c r="U1000" i="10"/>
  <c r="U770" i="10"/>
  <c r="U546" i="10"/>
  <c r="U334" i="10"/>
  <c r="U832" i="10"/>
  <c r="U707" i="10"/>
  <c r="U366" i="10"/>
  <c r="U545" i="10"/>
  <c r="U954" i="10"/>
  <c r="U139" i="10"/>
  <c r="U757" i="10"/>
  <c r="M97" i="10"/>
  <c r="U151" i="10"/>
  <c r="U81" i="10"/>
  <c r="U851" i="10"/>
  <c r="U511" i="10"/>
  <c r="U552" i="10"/>
  <c r="U170" i="10"/>
  <c r="U710" i="10"/>
  <c r="U373" i="10"/>
  <c r="U549" i="10"/>
  <c r="U618" i="10"/>
  <c r="U671" i="10"/>
  <c r="U330" i="10"/>
  <c r="U529" i="10"/>
  <c r="U773" i="10"/>
  <c r="U932" i="10"/>
  <c r="U714" i="10"/>
  <c r="U421" i="10"/>
  <c r="U574" i="10"/>
  <c r="U376" i="10"/>
  <c r="U911" i="10"/>
  <c r="U739" i="10"/>
  <c r="U571" i="10"/>
  <c r="U399" i="10"/>
  <c r="U856" i="10"/>
  <c r="U632" i="10"/>
  <c r="U402" i="10"/>
  <c r="U226" i="10"/>
  <c r="U58" i="10"/>
  <c r="U940" i="10"/>
  <c r="U769" i="10"/>
  <c r="U598" i="10"/>
  <c r="U428" i="10"/>
  <c r="U289" i="10"/>
  <c r="U181" i="10"/>
  <c r="U97" i="10"/>
  <c r="U880" i="10"/>
  <c r="U24" i="10"/>
  <c r="U163" i="10"/>
  <c r="U339" i="10"/>
  <c r="U548" i="10"/>
  <c r="U800" i="10"/>
  <c r="U284" i="10"/>
  <c r="U606" i="10"/>
  <c r="U384" i="10"/>
  <c r="U907" i="10"/>
  <c r="U735" i="10"/>
  <c r="U563" i="10"/>
  <c r="U395" i="10"/>
  <c r="U850" i="10"/>
  <c r="U621" i="10"/>
  <c r="U397" i="10"/>
  <c r="U222" i="10"/>
  <c r="U50" i="10"/>
  <c r="U934" i="10"/>
  <c r="U764" i="10"/>
  <c r="U593" i="10"/>
  <c r="U422" i="10"/>
  <c r="U285" i="10"/>
  <c r="U177" i="10"/>
  <c r="U93" i="10"/>
  <c r="U858" i="10"/>
  <c r="U61" i="10"/>
  <c r="U219" i="10"/>
  <c r="U388" i="10"/>
  <c r="U622" i="10"/>
  <c r="U928" i="10"/>
  <c r="M102" i="10"/>
  <c r="U188" i="10"/>
  <c r="U319" i="10"/>
  <c r="U208" i="10"/>
  <c r="U768" i="10"/>
  <c r="U975" i="10"/>
  <c r="U803" i="10"/>
  <c r="U635" i="10"/>
  <c r="U463" i="10"/>
  <c r="U941" i="10"/>
  <c r="U717" i="10"/>
  <c r="U488" i="10"/>
  <c r="U290" i="10"/>
  <c r="U1383" i="10"/>
  <c r="U1424" i="10"/>
  <c r="U1409" i="10"/>
  <c r="U1406" i="10"/>
  <c r="U1388" i="10"/>
  <c r="U1399" i="10"/>
  <c r="U1430" i="10"/>
  <c r="U1405" i="10"/>
  <c r="U1408" i="10"/>
  <c r="U1400" i="10"/>
  <c r="U1417" i="10"/>
  <c r="U1410" i="10"/>
  <c r="U1412" i="10"/>
  <c r="U21" i="10"/>
  <c r="U19" i="10"/>
  <c r="U17" i="10"/>
  <c r="U4" i="10"/>
  <c r="U12" i="10"/>
  <c r="U949" i="10"/>
  <c r="U633" i="10"/>
  <c r="U409" i="10"/>
  <c r="U227" i="10"/>
  <c r="U67" i="10"/>
  <c r="U942" i="10"/>
  <c r="U794" i="10"/>
  <c r="U149" i="10"/>
  <c r="U241" i="10"/>
  <c r="U369" i="10"/>
  <c r="U534" i="10"/>
  <c r="U705" i="10"/>
  <c r="U876" i="10"/>
  <c r="U162" i="10"/>
  <c r="U658" i="10"/>
  <c r="U931" i="10"/>
  <c r="M116" i="10"/>
  <c r="U452" i="10"/>
  <c r="U157" i="10"/>
  <c r="U721" i="10"/>
  <c r="U568" i="10"/>
  <c r="U863" i="10"/>
  <c r="U60" i="10"/>
  <c r="M118" i="10"/>
  <c r="U379" i="10"/>
  <c r="U161" i="10"/>
  <c r="U726" i="10"/>
  <c r="U573" i="10"/>
  <c r="U867" i="10"/>
  <c r="U49" i="10"/>
  <c r="U115" i="10"/>
  <c r="U309" i="10"/>
  <c r="U82" i="10"/>
  <c r="U427" i="10"/>
  <c r="U478" i="10"/>
  <c r="U1401" i="10"/>
  <c r="U1423" i="10"/>
  <c r="U1420" i="10"/>
  <c r="U1389" i="10"/>
  <c r="U1404" i="10"/>
  <c r="U1425" i="10"/>
  <c r="U1414" i="10"/>
  <c r="U1416" i="10"/>
  <c r="U1386" i="10"/>
  <c r="U1427" i="10"/>
  <c r="U1428" i="10"/>
  <c r="U1394" i="10"/>
  <c r="U31" i="10"/>
  <c r="U13" i="10"/>
  <c r="U27" i="10"/>
  <c r="U9" i="10"/>
  <c r="U22" i="10"/>
  <c r="U29" i="10"/>
  <c r="U842" i="10"/>
  <c r="U580" i="10"/>
  <c r="U355" i="10"/>
  <c r="U187" i="10"/>
  <c r="U40" i="10"/>
  <c r="U848" i="10"/>
  <c r="U85" i="10"/>
  <c r="U173" i="10"/>
  <c r="U273" i="10"/>
  <c r="U406" i="10"/>
  <c r="U577" i="10"/>
  <c r="U748" i="10"/>
  <c r="U918" i="10"/>
  <c r="U34" i="10"/>
  <c r="U206" i="10"/>
  <c r="U888" i="10"/>
  <c r="U419" i="10"/>
  <c r="U510" i="10"/>
  <c r="U259" i="10"/>
  <c r="U253" i="10"/>
  <c r="U892" i="10"/>
  <c r="U6" i="10"/>
  <c r="U10" i="10" s="1"/>
  <c r="U792" i="10"/>
  <c r="U766" i="10"/>
  <c r="U211" i="10"/>
  <c r="U257" i="10"/>
  <c r="U897" i="10"/>
  <c r="U14" i="10"/>
  <c r="U802" i="10"/>
  <c r="U750" i="10"/>
  <c r="U158" i="10"/>
  <c r="U625" i="10"/>
  <c r="U440" i="10"/>
  <c r="U767" i="10"/>
  <c r="U244" i="10"/>
  <c r="U784" i="10"/>
  <c r="U1402" i="10"/>
  <c r="U1407" i="10"/>
  <c r="U1384" i="10"/>
  <c r="U1421" i="10"/>
  <c r="U1392" i="10"/>
  <c r="U1387" i="10"/>
  <c r="U1398" i="10"/>
  <c r="U1419" i="10"/>
  <c r="U1418" i="10"/>
  <c r="U1411" i="10"/>
  <c r="U1385" i="10"/>
  <c r="U1429" i="10"/>
  <c r="U11" i="10"/>
  <c r="U23" i="10"/>
  <c r="U5" i="10"/>
  <c r="U28" i="10"/>
  <c r="U32" i="10"/>
  <c r="U772" i="10"/>
  <c r="U516" i="10"/>
  <c r="U315" i="10"/>
  <c r="U147" i="10"/>
  <c r="U8" i="10"/>
  <c r="U901" i="10"/>
  <c r="U109" i="10"/>
  <c r="U193" i="10"/>
  <c r="U305" i="10"/>
  <c r="U449" i="10"/>
  <c r="U620" i="10"/>
  <c r="U790" i="10"/>
  <c r="U961" i="10"/>
  <c r="U78" i="10"/>
  <c r="U250" i="10"/>
  <c r="U591" i="10"/>
  <c r="U91" i="10"/>
  <c r="U381" i="10"/>
  <c r="U178" i="10"/>
  <c r="U523" i="10"/>
  <c r="U119" i="10"/>
  <c r="U906" i="10"/>
  <c r="U51" i="10"/>
  <c r="U385" i="10"/>
  <c r="U186" i="10"/>
  <c r="U527" i="10"/>
  <c r="U994" i="10"/>
  <c r="U966" i="10"/>
  <c r="U893" i="10"/>
  <c r="U7" i="11"/>
  <c r="U13" i="11" s="1"/>
  <c r="U5" i="12"/>
  <c r="U1009" i="12" s="1"/>
  <c r="AL6" i="12" s="1"/>
  <c r="AE1425" i="10"/>
  <c r="AE1414" i="10"/>
  <c r="AE1403" i="10"/>
  <c r="AE1386" i="10"/>
  <c r="AE1413" i="10"/>
  <c r="AE1411" i="10"/>
  <c r="AE1385" i="10"/>
  <c r="AE1429" i="10"/>
  <c r="AE1415" i="10"/>
  <c r="AE1416" i="10"/>
  <c r="AE1409" i="10"/>
  <c r="AE1406" i="10"/>
  <c r="AE1388" i="10"/>
  <c r="AE1387" i="10"/>
  <c r="AE1405" i="10"/>
  <c r="AE1383" i="10"/>
  <c r="AE1418" i="10"/>
  <c r="AE1424" i="10"/>
  <c r="AE1395" i="10"/>
  <c r="AE1426" i="10"/>
  <c r="AE1397" i="10"/>
  <c r="AE1398" i="10"/>
  <c r="AE1423" i="10"/>
  <c r="AE1420" i="10"/>
  <c r="AE1389" i="10"/>
  <c r="AE1404" i="10"/>
  <c r="AE1396" i="10"/>
  <c r="AE1391" i="10"/>
  <c r="AE1401" i="10"/>
  <c r="AE1402" i="10"/>
  <c r="AE1400" i="10"/>
  <c r="AE1417" i="10"/>
  <c r="AE1410" i="10"/>
  <c r="AE1412" i="10"/>
  <c r="AE1379" i="10"/>
  <c r="AE1407" i="10"/>
  <c r="AE1384" i="10"/>
  <c r="AE1421" i="10"/>
  <c r="AE1380" i="10"/>
  <c r="AE1399" i="10"/>
  <c r="AE1430" i="10"/>
  <c r="AE1419" i="10"/>
  <c r="AE1408" i="10"/>
  <c r="AE1382" i="10"/>
  <c r="AE1427" i="10"/>
  <c r="AE1428" i="10"/>
  <c r="AE1394" i="10"/>
  <c r="AE1392" i="10"/>
  <c r="AE1381" i="10"/>
  <c r="AE1390" i="10"/>
  <c r="AE1422" i="10"/>
  <c r="AE1393" i="10"/>
  <c r="AB4" i="10"/>
  <c r="AB14" i="11"/>
  <c r="AB25" i="11"/>
  <c r="AB42" i="11"/>
  <c r="AB20" i="11"/>
  <c r="AB52" i="11"/>
  <c r="AB34" i="11"/>
  <c r="AB51" i="11"/>
  <c r="AB18" i="11"/>
  <c r="AB28" i="11"/>
  <c r="AB41" i="11"/>
  <c r="AB27" i="11"/>
  <c r="AB5" i="11"/>
  <c r="AB16" i="11"/>
  <c r="AB36" i="11"/>
  <c r="AB45" i="11"/>
  <c r="AB31" i="11"/>
  <c r="AB13" i="11"/>
  <c r="AB15" i="11"/>
  <c r="AB40" i="11"/>
  <c r="AB29" i="11"/>
  <c r="AB26" i="11"/>
  <c r="AB46" i="11"/>
  <c r="AB43" i="11"/>
  <c r="AB21" i="11"/>
  <c r="AB19" i="11"/>
  <c r="AB24" i="11"/>
  <c r="AB44" i="11"/>
  <c r="AB37" i="11"/>
  <c r="AB30" i="11"/>
  <c r="AB50" i="11"/>
  <c r="AB47" i="11"/>
  <c r="AB50" i="12"/>
  <c r="AB35" i="11"/>
  <c r="L1021" i="14"/>
  <c r="AB12" i="11"/>
  <c r="AB17" i="11"/>
  <c r="AB22" i="11"/>
  <c r="AB32" i="11"/>
  <c r="AB48" i="11"/>
  <c r="AB33" i="11"/>
  <c r="AB49" i="11"/>
  <c r="AB38" i="11"/>
  <c r="AB23" i="11"/>
  <c r="AB39" i="11"/>
  <c r="AB61" i="12"/>
  <c r="AB16" i="12"/>
  <c r="AB19" i="12"/>
  <c r="V1013" i="12"/>
  <c r="AB47" i="12"/>
  <c r="AB17" i="12"/>
  <c r="AB49" i="12"/>
  <c r="AB55" i="12"/>
  <c r="AB38" i="12"/>
  <c r="AB14" i="12"/>
  <c r="AB37" i="12"/>
  <c r="AB52" i="12"/>
  <c r="AB23" i="12"/>
  <c r="AB20" i="12"/>
  <c r="AB26" i="12"/>
  <c r="AB51" i="12"/>
  <c r="AB22" i="12"/>
  <c r="AB41" i="12"/>
  <c r="AB30" i="12"/>
  <c r="AB21" i="12"/>
  <c r="AB18" i="12"/>
  <c r="AB42" i="12"/>
  <c r="AB5" i="12"/>
  <c r="AB57" i="12"/>
  <c r="AB9" i="12"/>
  <c r="AB24" i="12"/>
  <c r="AB59" i="12"/>
  <c r="AB29" i="12"/>
  <c r="AB10" i="12"/>
  <c r="AB4" i="12"/>
  <c r="AB6" i="12"/>
  <c r="AB25" i="12"/>
  <c r="AB36" i="12"/>
  <c r="AB28" i="12"/>
  <c r="AB46" i="12"/>
  <c r="AB58" i="12"/>
  <c r="AB62" i="12"/>
  <c r="AB13" i="12"/>
  <c r="AB45" i="12"/>
  <c r="AB53" i="12"/>
  <c r="AB35" i="12"/>
  <c r="AB15" i="12"/>
  <c r="AB40" i="12"/>
  <c r="AB63" i="12"/>
  <c r="AB27" i="12"/>
  <c r="AB44" i="12"/>
  <c r="AB11" i="12"/>
  <c r="AB39" i="12"/>
  <c r="AB43" i="12"/>
  <c r="AB48" i="12"/>
  <c r="AB60" i="12"/>
  <c r="AB33" i="12"/>
  <c r="AB56" i="12"/>
  <c r="AB7" i="12"/>
  <c r="AB31" i="12"/>
  <c r="AB32" i="12"/>
  <c r="AB12" i="12"/>
  <c r="AB8" i="12"/>
  <c r="AB54" i="12"/>
  <c r="Z1006" i="10"/>
  <c r="Z1399" i="10"/>
  <c r="Z1386" i="10"/>
  <c r="Z1385" i="10"/>
  <c r="Z1391" i="10"/>
  <c r="Z1396" i="10"/>
  <c r="AB31" i="10"/>
  <c r="AB24" i="10"/>
  <c r="AB40" i="10"/>
  <c r="AB29" i="10"/>
  <c r="AB45" i="10"/>
  <c r="AB34" i="10"/>
  <c r="Z1406" i="10"/>
  <c r="AB23" i="10"/>
  <c r="AB39" i="10"/>
  <c r="AB32" i="10"/>
  <c r="AB21" i="10"/>
  <c r="AB37" i="10"/>
  <c r="AB26" i="10"/>
  <c r="AB42" i="10"/>
  <c r="AB35" i="10"/>
  <c r="AB28" i="10"/>
  <c r="AB44" i="10"/>
  <c r="AB33" i="10"/>
  <c r="AB22" i="10"/>
  <c r="AB38" i="10"/>
  <c r="Z1397" i="10"/>
  <c r="Z1424" i="10"/>
  <c r="Z1404" i="10"/>
  <c r="Z1418" i="10"/>
  <c r="Z1425" i="10"/>
  <c r="AB27" i="10"/>
  <c r="AB43" i="10"/>
  <c r="AB36" i="10"/>
  <c r="AB25" i="10"/>
  <c r="AB41" i="10"/>
  <c r="AB30" i="10"/>
  <c r="AB46" i="10"/>
  <c r="Z1409" i="10"/>
  <c r="Z1422" i="10"/>
  <c r="Z1414" i="10"/>
  <c r="Z1401" i="10"/>
  <c r="Z1416" i="10"/>
  <c r="Z1389" i="10"/>
  <c r="Z1383" i="10"/>
  <c r="AB9" i="10"/>
  <c r="Z1403" i="10"/>
  <c r="Z1410" i="10"/>
  <c r="Z1427" i="10"/>
  <c r="Z1426" i="10"/>
  <c r="Z1387" i="10"/>
  <c r="Z1384" i="10"/>
  <c r="Z1423" i="10"/>
  <c r="Z1419" i="10"/>
  <c r="Z1405" i="10"/>
  <c r="Z1413" i="10"/>
  <c r="AB8" i="10"/>
  <c r="Z1390" i="10"/>
  <c r="Z1421" i="10"/>
  <c r="Z1407" i="10"/>
  <c r="Z1429" i="10"/>
  <c r="AB5" i="10"/>
  <c r="Z1402" i="10"/>
  <c r="Z1430" i="10"/>
  <c r="Z1395" i="10"/>
  <c r="Z1382" i="10"/>
  <c r="Z1394" i="10"/>
  <c r="Z1393" i="10"/>
  <c r="AB6" i="10"/>
  <c r="Z1400" i="10"/>
  <c r="Z1417" i="10"/>
  <c r="Z1411" i="10"/>
  <c r="Z1388" i="10"/>
  <c r="AB10" i="10"/>
  <c r="AB7" i="10"/>
  <c r="AB12" i="10"/>
  <c r="AB11" i="10"/>
  <c r="AB16" i="10"/>
  <c r="AB15" i="10"/>
  <c r="AB17" i="10"/>
  <c r="AB20" i="10"/>
  <c r="Z1392" i="10"/>
  <c r="Z1420" i="10"/>
  <c r="Z1428" i="10"/>
  <c r="Z1398" i="10"/>
  <c r="Z1412" i="10"/>
  <c r="Z1408" i="10"/>
  <c r="Z1415" i="10"/>
  <c r="AB13" i="10"/>
  <c r="AB14" i="10"/>
  <c r="AB19" i="10"/>
  <c r="AB18" i="10"/>
  <c r="AB8" i="11"/>
  <c r="AB6" i="11"/>
  <c r="AB7" i="11"/>
  <c r="AB9" i="11"/>
  <c r="AB11" i="11"/>
  <c r="AB4" i="11"/>
  <c r="AB10" i="11"/>
  <c r="CN964" i="10"/>
  <c r="CO964" i="10" s="1"/>
  <c r="CN559" i="10"/>
  <c r="CO559" i="10" s="1"/>
  <c r="CN745" i="10"/>
  <c r="CO745" i="10" s="1"/>
  <c r="CN847" i="10"/>
  <c r="CO847" i="10" s="1"/>
  <c r="CN112" i="10"/>
  <c r="CO112" i="10" s="1"/>
  <c r="CN200" i="10"/>
  <c r="CO200" i="10" s="1"/>
  <c r="CN557" i="10"/>
  <c r="CO557" i="10" s="1"/>
  <c r="CN233" i="10"/>
  <c r="CO233" i="10" s="1"/>
  <c r="CN65" i="10"/>
  <c r="CO65" i="10" s="1"/>
  <c r="CN255" i="10"/>
  <c r="CO255" i="10" s="1"/>
  <c r="CN23" i="10"/>
  <c r="CO23" i="10" s="1"/>
  <c r="CN797" i="10"/>
  <c r="CO797" i="10" s="1"/>
  <c r="CN228" i="10"/>
  <c r="CO228" i="10" s="1"/>
  <c r="CN665" i="10"/>
  <c r="CO665" i="10" s="1"/>
  <c r="CN801" i="10"/>
  <c r="CO801" i="10" s="1"/>
  <c r="CN554" i="10"/>
  <c r="CO554" i="10" s="1"/>
  <c r="CN681" i="10"/>
  <c r="CO681" i="10" s="1"/>
  <c r="CN495" i="10"/>
  <c r="CO495" i="10" s="1"/>
  <c r="CN815" i="10"/>
  <c r="CO815" i="10" s="1"/>
  <c r="CN569" i="10"/>
  <c r="CO569" i="10" s="1"/>
  <c r="CN605" i="10"/>
  <c r="CO605" i="10" s="1"/>
  <c r="CN126" i="10"/>
  <c r="CO126" i="10" s="1"/>
  <c r="CN489" i="10"/>
  <c r="CO489" i="10" s="1"/>
  <c r="CN481" i="10"/>
  <c r="CO481" i="10" s="1"/>
  <c r="CN551" i="10"/>
  <c r="CO551" i="10" s="1"/>
  <c r="CN89" i="10"/>
  <c r="CO89" i="10" s="1"/>
  <c r="CN735" i="10"/>
  <c r="CO735" i="10" s="1"/>
  <c r="CN949" i="10"/>
  <c r="CO949" i="10" s="1"/>
  <c r="CN866" i="10"/>
  <c r="CO866" i="10" s="1"/>
  <c r="CN968" i="10"/>
  <c r="CO968" i="10" s="1"/>
  <c r="CN584" i="10"/>
  <c r="CO584" i="10" s="1"/>
  <c r="CN560" i="10"/>
  <c r="CO560" i="10" s="1"/>
  <c r="CN248" i="10"/>
  <c r="CO248" i="10" s="1"/>
  <c r="CN467" i="10"/>
  <c r="CO467" i="10" s="1"/>
  <c r="CN625" i="10"/>
  <c r="CO625" i="10" s="1"/>
  <c r="CN539" i="10"/>
  <c r="CO539" i="10" s="1"/>
  <c r="CN116" i="10"/>
  <c r="CO116" i="10" s="1"/>
  <c r="CN340" i="10"/>
  <c r="CO340" i="10" s="1"/>
  <c r="CN572" i="10"/>
  <c r="CO572" i="10" s="1"/>
  <c r="CN174" i="10"/>
  <c r="CO174" i="10" s="1"/>
  <c r="CN472" i="10"/>
  <c r="CO472" i="10" s="1"/>
  <c r="CN752" i="10"/>
  <c r="CO752" i="10" s="1"/>
  <c r="CN176" i="10"/>
  <c r="CO176" i="10" s="1"/>
  <c r="CN474" i="10"/>
  <c r="CO474" i="10" s="1"/>
  <c r="CN62" i="10"/>
  <c r="CO62" i="10" s="1"/>
  <c r="CN360" i="10"/>
  <c r="CO360" i="10" s="1"/>
  <c r="CN658" i="10"/>
  <c r="CO658" i="10" s="1"/>
  <c r="CN256" i="10"/>
  <c r="CO256" i="10" s="1"/>
  <c r="CN918" i="10"/>
  <c r="CO918" i="10" s="1"/>
  <c r="CN224" i="10"/>
  <c r="CO224" i="10" s="1"/>
  <c r="CN912" i="10"/>
  <c r="CO912" i="10" s="1"/>
  <c r="CN278" i="10"/>
  <c r="CO278" i="10" s="1"/>
  <c r="CN922" i="10"/>
  <c r="CO922" i="10" s="1"/>
  <c r="CN202" i="10"/>
  <c r="CO202" i="10" s="1"/>
  <c r="CN445" i="10"/>
  <c r="CO445" i="10" s="1"/>
  <c r="CN957" i="10"/>
  <c r="CO957" i="10" s="1"/>
  <c r="CN246" i="10"/>
  <c r="CO246" i="10" s="1"/>
  <c r="CN485" i="10"/>
  <c r="CO485" i="10" s="1"/>
  <c r="CN977" i="10"/>
  <c r="CO977" i="10" s="1"/>
  <c r="CN458" i="10"/>
  <c r="CO458" i="10" s="1"/>
  <c r="CN333" i="10"/>
  <c r="CO333" i="10" s="1"/>
  <c r="CN749" i="10"/>
  <c r="CO749" i="10" s="1"/>
  <c r="CN383" i="10"/>
  <c r="CO383" i="10" s="1"/>
  <c r="CN857" i="10"/>
  <c r="CO857" i="10" s="1"/>
  <c r="CN167" i="10"/>
  <c r="CO167" i="10" s="1"/>
  <c r="CN313" i="10"/>
  <c r="CO313" i="10" s="1"/>
  <c r="CN793" i="10"/>
  <c r="CO793" i="10" s="1"/>
  <c r="CN330" i="10"/>
  <c r="CO330" i="10" s="1"/>
  <c r="CN437" i="10"/>
  <c r="CO437" i="10" s="1"/>
  <c r="CN455" i="10"/>
  <c r="CO455" i="10" s="1"/>
  <c r="CN321" i="10"/>
  <c r="CO321" i="10" s="1"/>
  <c r="CN641" i="10"/>
  <c r="CO641" i="10" s="1"/>
  <c r="CN895" i="10"/>
  <c r="CO895" i="10" s="1"/>
  <c r="CN502" i="10"/>
  <c r="CO502" i="10" s="1"/>
  <c r="CN469" i="10"/>
  <c r="CO469" i="10" s="1"/>
  <c r="CN471" i="10"/>
  <c r="CO471" i="10" s="1"/>
  <c r="CN284" i="10"/>
  <c r="CO284" i="10" s="1"/>
  <c r="CN628" i="10"/>
  <c r="CO628" i="10" s="1"/>
  <c r="CN334" i="10"/>
  <c r="CO334" i="10" s="1"/>
  <c r="CN688" i="10"/>
  <c r="CO688" i="10" s="1"/>
  <c r="CN250" i="10"/>
  <c r="CO250" i="10" s="1"/>
  <c r="CN634" i="10"/>
  <c r="CO634" i="10" s="1"/>
  <c r="CN286" i="10"/>
  <c r="CO286" i="10" s="1"/>
  <c r="CN724" i="10"/>
  <c r="CO724" i="10" s="1"/>
  <c r="CN746" i="10"/>
  <c r="CO746" i="10" s="1"/>
  <c r="CN522" i="10"/>
  <c r="CO522" i="10" s="1"/>
  <c r="CN970" i="10"/>
  <c r="CO970" i="10" s="1"/>
  <c r="CN93" i="10"/>
  <c r="CO93" i="10" s="1"/>
  <c r="CN877" i="10"/>
  <c r="CO877" i="10" s="1"/>
  <c r="CN175" i="10"/>
  <c r="CO175" i="10" s="1"/>
  <c r="CN133" i="10"/>
  <c r="CO133" i="10" s="1"/>
  <c r="CN897" i="10"/>
  <c r="CO897" i="10" s="1"/>
  <c r="CN183" i="10"/>
  <c r="CO183" i="10" s="1"/>
  <c r="CN77" i="10"/>
  <c r="CO77" i="10" s="1"/>
  <c r="CN685" i="10"/>
  <c r="CO685" i="10" s="1"/>
  <c r="CN160" i="10"/>
  <c r="CO160" i="10" s="1"/>
  <c r="CN149" i="10"/>
  <c r="CO149" i="10" s="1"/>
  <c r="CN217" i="10"/>
  <c r="CO217" i="10" s="1"/>
  <c r="CN859" i="10"/>
  <c r="CO859" i="10" s="1"/>
  <c r="CN53" i="10"/>
  <c r="CO53" i="10" s="1"/>
  <c r="CN647" i="10"/>
  <c r="CO647" i="10" s="1"/>
  <c r="CN129" i="10"/>
  <c r="CO129" i="10" s="1"/>
  <c r="CN577" i="10"/>
  <c r="CO577" i="10" s="1"/>
  <c r="CN943" i="10"/>
  <c r="CO943" i="10" s="1"/>
  <c r="CN213" i="10"/>
  <c r="CO213" i="10" s="1"/>
  <c r="CN103" i="10"/>
  <c r="CO103" i="10" s="1"/>
  <c r="CN623" i="10"/>
  <c r="CO623" i="10" s="1"/>
  <c r="CN41" i="10"/>
  <c r="CO41" i="10" s="1"/>
  <c r="CN297" i="10"/>
  <c r="CO297" i="10" s="1"/>
  <c r="CN553" i="10"/>
  <c r="CO553" i="10" s="1"/>
  <c r="CN803" i="10"/>
  <c r="CO803" i="10" s="1"/>
  <c r="CN931" i="10"/>
  <c r="CO931" i="10" s="1"/>
  <c r="CN675" i="10"/>
  <c r="CO675" i="10" s="1"/>
  <c r="CN164" i="10"/>
  <c r="CO164" i="10" s="1"/>
  <c r="CN452" i="10"/>
  <c r="CO452" i="10" s="1"/>
  <c r="CN98" i="10"/>
  <c r="CO98" i="10" s="1"/>
  <c r="CN558" i="10"/>
  <c r="CO558" i="10" s="1"/>
  <c r="CN26" i="10"/>
  <c r="CO26" i="10" s="1"/>
  <c r="CN983" i="10"/>
  <c r="CO983" i="10" s="1"/>
  <c r="CN60" i="10"/>
  <c r="CO60" i="10" s="1"/>
  <c r="CN404" i="10"/>
  <c r="CO404" i="10" s="1"/>
  <c r="CN14" i="10"/>
  <c r="CO14" i="10" s="1"/>
  <c r="CN398" i="10"/>
  <c r="CO398" i="10" s="1"/>
  <c r="CN808" i="10"/>
  <c r="CO808" i="10" s="1"/>
  <c r="CN336" i="10"/>
  <c r="CO336" i="10" s="1"/>
  <c r="CN698" i="10"/>
  <c r="CO698" i="10" s="1"/>
  <c r="CN424" i="10"/>
  <c r="CO424" i="10" s="1"/>
  <c r="CN772" i="10"/>
  <c r="CO772" i="10" s="1"/>
  <c r="CN862" i="10"/>
  <c r="CO862" i="10" s="1"/>
  <c r="CN750" i="10"/>
  <c r="CO750" i="10" s="1"/>
  <c r="CN534" i="10"/>
  <c r="CO534" i="10" s="1"/>
  <c r="CN285" i="10"/>
  <c r="CO285" i="10" s="1"/>
  <c r="CN335" i="10"/>
  <c r="CO335" i="10" s="1"/>
  <c r="CN293" i="10"/>
  <c r="CO293" i="10" s="1"/>
  <c r="CN375" i="10"/>
  <c r="CO375" i="10" s="1"/>
  <c r="CN205" i="10"/>
  <c r="CO205" i="10" s="1"/>
  <c r="CN837" i="10"/>
  <c r="CO837" i="10" s="1"/>
  <c r="CN63" i="10"/>
  <c r="CO63" i="10" s="1"/>
  <c r="CN405" i="10"/>
  <c r="CO405" i="10" s="1"/>
  <c r="CN479" i="10"/>
  <c r="CO479" i="10" s="1"/>
  <c r="CN441" i="10"/>
  <c r="CO441" i="10" s="1"/>
  <c r="CN891" i="10"/>
  <c r="CO891" i="10" s="1"/>
  <c r="CN809" i="10"/>
  <c r="CO809" i="10" s="1"/>
  <c r="CN711" i="10"/>
  <c r="CO711" i="10" s="1"/>
  <c r="CN225" i="10"/>
  <c r="CO225" i="10" s="1"/>
  <c r="CN737" i="10"/>
  <c r="CO737" i="10" s="1"/>
  <c r="CN975" i="10"/>
  <c r="CO975" i="10" s="1"/>
  <c r="CN725" i="10"/>
  <c r="CO725" i="10" s="1"/>
  <c r="CN359" i="10"/>
  <c r="CO359" i="10" s="1"/>
  <c r="CN687" i="10"/>
  <c r="CO687" i="10" s="1"/>
  <c r="CN105" i="10"/>
  <c r="CO105" i="10" s="1"/>
  <c r="CN361" i="10"/>
  <c r="CO361" i="10" s="1"/>
  <c r="CN617" i="10"/>
  <c r="CO617" i="10" s="1"/>
  <c r="CN835" i="10"/>
  <c r="CO835" i="10" s="1"/>
  <c r="CN963" i="10"/>
  <c r="CO963" i="10" s="1"/>
  <c r="CN995" i="10"/>
  <c r="CO995" i="10" s="1"/>
  <c r="CN169" i="10"/>
  <c r="CO169" i="10" s="1"/>
  <c r="CN889" i="10"/>
  <c r="CO889" i="10" s="1"/>
  <c r="CN937" i="10"/>
  <c r="CO937" i="10" s="1"/>
  <c r="CN127" i="10"/>
  <c r="CO127" i="10" s="1"/>
  <c r="CN429" i="10"/>
  <c r="CO429" i="10" s="1"/>
  <c r="CN645" i="10"/>
  <c r="CO645" i="10" s="1"/>
  <c r="CN828" i="10"/>
  <c r="CO828" i="10" s="1"/>
  <c r="CN632" i="10"/>
  <c r="CO632" i="10" s="1"/>
  <c r="CN899" i="10"/>
  <c r="CO899" i="10" s="1"/>
  <c r="CN867" i="10"/>
  <c r="CO867" i="10" s="1"/>
  <c r="CN425" i="10"/>
  <c r="CO425" i="10" s="1"/>
  <c r="CN751" i="10"/>
  <c r="CO751" i="10" s="1"/>
  <c r="CN385" i="10"/>
  <c r="CO385" i="10" s="1"/>
  <c r="CN199" i="10"/>
  <c r="CO199" i="10" s="1"/>
  <c r="CN955" i="10"/>
  <c r="CO955" i="10" s="1"/>
  <c r="CN607" i="10"/>
  <c r="CO607" i="10" s="1"/>
  <c r="CN901" i="10"/>
  <c r="CO901" i="10" s="1"/>
  <c r="CN892" i="10"/>
  <c r="CO892" i="10" s="1"/>
  <c r="CN884" i="10"/>
  <c r="CO884" i="10" s="1"/>
  <c r="CN838" i="10"/>
  <c r="CO838" i="10" s="1"/>
  <c r="CN754" i="10"/>
  <c r="CO754" i="10" s="1"/>
  <c r="CN864" i="10"/>
  <c r="CO864" i="10" s="1"/>
  <c r="CN974" i="10"/>
  <c r="CO974" i="10" s="1"/>
  <c r="CN510" i="10"/>
  <c r="CO510" i="10" s="1"/>
  <c r="CN410" i="10"/>
  <c r="CO410" i="10" s="1"/>
  <c r="CN508" i="10"/>
  <c r="CO508" i="10" s="1"/>
  <c r="CN49" i="10"/>
  <c r="CO49" i="10" s="1"/>
  <c r="CN43" i="10"/>
  <c r="CO43" i="10" s="1"/>
  <c r="CN905" i="10"/>
  <c r="CO905" i="10" s="1"/>
  <c r="CN113" i="10"/>
  <c r="CO113" i="10" s="1"/>
  <c r="CN209" i="10"/>
  <c r="CO209" i="10" s="1"/>
  <c r="CN27" i="10"/>
  <c r="CO27" i="10" s="1"/>
  <c r="CN435" i="10"/>
  <c r="CO435" i="10" s="1"/>
  <c r="CN195" i="10"/>
  <c r="CO195" i="10" s="1"/>
  <c r="CN12" i="10"/>
  <c r="CO12" i="10" s="1"/>
  <c r="CN44" i="10"/>
  <c r="CO44" i="10" s="1"/>
  <c r="CN76" i="10"/>
  <c r="CO76" i="10" s="1"/>
  <c r="CN108" i="10"/>
  <c r="CO108" i="10" s="1"/>
  <c r="CN140" i="10"/>
  <c r="CO140" i="10" s="1"/>
  <c r="CN172" i="10"/>
  <c r="CO172" i="10" s="1"/>
  <c r="CN204" i="10"/>
  <c r="CO204" i="10" s="1"/>
  <c r="CN236" i="10"/>
  <c r="CO236" i="10" s="1"/>
  <c r="CN268" i="10"/>
  <c r="CO268" i="10" s="1"/>
  <c r="CN300" i="10"/>
  <c r="CO300" i="10" s="1"/>
  <c r="CN332" i="10"/>
  <c r="CO332" i="10" s="1"/>
  <c r="CN364" i="10"/>
  <c r="CO364" i="10" s="1"/>
  <c r="CN396" i="10"/>
  <c r="CO396" i="10" s="1"/>
  <c r="CN428" i="10"/>
  <c r="CO428" i="10" s="1"/>
  <c r="CN460" i="10"/>
  <c r="CO460" i="10" s="1"/>
  <c r="CN492" i="10"/>
  <c r="CO492" i="10" s="1"/>
  <c r="CN524" i="10"/>
  <c r="CO524" i="10" s="1"/>
  <c r="CN556" i="10"/>
  <c r="CO556" i="10" s="1"/>
  <c r="CN588" i="10"/>
  <c r="CO588" i="10" s="1"/>
  <c r="CN620" i="10"/>
  <c r="CO620" i="10" s="1"/>
  <c r="CN652" i="10"/>
  <c r="CO652" i="10" s="1"/>
  <c r="CN24" i="10"/>
  <c r="CO24" i="10" s="1"/>
  <c r="CN66" i="10"/>
  <c r="CO66" i="10" s="1"/>
  <c r="CN110" i="10"/>
  <c r="CO110" i="10" s="1"/>
  <c r="CN152" i="10"/>
  <c r="CO152" i="10" s="1"/>
  <c r="CN194" i="10"/>
  <c r="CO194" i="10" s="1"/>
  <c r="CN238" i="10"/>
  <c r="CO238" i="10" s="1"/>
  <c r="CN280" i="10"/>
  <c r="CO280" i="10" s="1"/>
  <c r="CN322" i="10"/>
  <c r="CO322" i="10" s="1"/>
  <c r="CN366" i="10"/>
  <c r="CO366" i="10" s="1"/>
  <c r="CN408" i="10"/>
  <c r="CO408" i="10" s="1"/>
  <c r="CN450" i="10"/>
  <c r="CO450" i="10" s="1"/>
  <c r="CN494" i="10"/>
  <c r="CO494" i="10" s="1"/>
  <c r="CN536" i="10"/>
  <c r="CO536" i="10" s="1"/>
  <c r="CN578" i="10"/>
  <c r="CO578" i="10" s="1"/>
  <c r="CN622" i="10"/>
  <c r="CO622" i="10" s="1"/>
  <c r="CN664" i="10"/>
  <c r="CO664" i="10" s="1"/>
  <c r="CN696" i="10"/>
  <c r="CO696" i="10" s="1"/>
  <c r="CN728" i="10"/>
  <c r="CO728" i="10" s="1"/>
  <c r="CN760" i="10"/>
  <c r="CO760" i="10" s="1"/>
  <c r="CN792" i="10"/>
  <c r="CO792" i="10" s="1"/>
  <c r="CN824" i="10"/>
  <c r="CO824" i="10" s="1"/>
  <c r="CN16" i="10"/>
  <c r="CO16" i="10" s="1"/>
  <c r="CN58" i="10"/>
  <c r="CO58" i="10" s="1"/>
  <c r="CN102" i="10"/>
  <c r="CO102" i="10" s="1"/>
  <c r="CN144" i="10"/>
  <c r="CO144" i="10" s="1"/>
  <c r="CN186" i="10"/>
  <c r="CO186" i="10" s="1"/>
  <c r="CN230" i="10"/>
  <c r="CO230" i="10" s="1"/>
  <c r="CN272" i="10"/>
  <c r="CO272" i="10" s="1"/>
  <c r="CN314" i="10"/>
  <c r="CO314" i="10" s="1"/>
  <c r="CN358" i="10"/>
  <c r="CO358" i="10" s="1"/>
  <c r="CN400" i="10"/>
  <c r="CO400" i="10" s="1"/>
  <c r="CN442" i="10"/>
  <c r="CO442" i="10" s="1"/>
  <c r="CN486" i="10"/>
  <c r="CO486" i="10" s="1"/>
  <c r="CN528" i="10"/>
  <c r="CO528" i="10" s="1"/>
  <c r="CN570" i="10"/>
  <c r="CO570" i="10" s="1"/>
  <c r="CN614" i="10"/>
  <c r="CO614" i="10" s="1"/>
  <c r="CN656" i="10"/>
  <c r="CO656" i="10" s="1"/>
  <c r="CN690" i="10"/>
  <c r="CO690" i="10" s="1"/>
  <c r="CN6" i="10"/>
  <c r="CO6" i="10" s="1"/>
  <c r="CN50" i="10"/>
  <c r="CO50" i="10" s="1"/>
  <c r="CN94" i="10"/>
  <c r="CO94" i="10" s="1"/>
  <c r="CN136" i="10"/>
  <c r="CO136" i="10" s="1"/>
  <c r="CN178" i="10"/>
  <c r="CO178" i="10" s="1"/>
  <c r="CN222" i="10"/>
  <c r="CO222" i="10" s="1"/>
  <c r="CN264" i="10"/>
  <c r="CO264" i="10" s="1"/>
  <c r="CN306" i="10"/>
  <c r="CO306" i="10" s="1"/>
  <c r="CN350" i="10"/>
  <c r="CO350" i="10" s="1"/>
  <c r="CN392" i="10"/>
  <c r="CO392" i="10" s="1"/>
  <c r="CN434" i="10"/>
  <c r="CO434" i="10" s="1"/>
  <c r="CN478" i="10"/>
  <c r="CO478" i="10" s="1"/>
  <c r="CN520" i="10"/>
  <c r="CO520" i="10" s="1"/>
  <c r="CN562" i="10"/>
  <c r="CO562" i="10" s="1"/>
  <c r="CN606" i="10"/>
  <c r="CO606" i="10" s="1"/>
  <c r="CN648" i="10"/>
  <c r="CO648" i="10" s="1"/>
  <c r="CN684" i="10"/>
  <c r="CO684" i="10" s="1"/>
  <c r="CN716" i="10"/>
  <c r="CO716" i="10" s="1"/>
  <c r="CN748" i="10"/>
  <c r="CO748" i="10" s="1"/>
  <c r="CN780" i="10"/>
  <c r="CO780" i="10" s="1"/>
  <c r="CN812" i="10"/>
  <c r="CO812" i="10" s="1"/>
  <c r="CN844" i="10"/>
  <c r="CO844" i="10" s="1"/>
  <c r="CN170" i="10"/>
  <c r="CO170" i="10" s="1"/>
  <c r="CN342" i="10"/>
  <c r="CO342" i="10" s="1"/>
  <c r="CN512" i="10"/>
  <c r="CO512" i="10" s="1"/>
  <c r="CN678" i="10"/>
  <c r="CO678" i="10" s="1"/>
  <c r="CN762" i="10"/>
  <c r="CO762" i="10" s="1"/>
  <c r="CN826" i="10"/>
  <c r="CO826" i="10" s="1"/>
  <c r="CN870" i="10"/>
  <c r="CO870" i="10" s="1"/>
  <c r="CN902" i="10"/>
  <c r="CO902" i="10" s="1"/>
  <c r="CN934" i="10"/>
  <c r="CO934" i="10" s="1"/>
  <c r="CN966" i="10"/>
  <c r="CO966" i="10" s="1"/>
  <c r="CN998" i="10"/>
  <c r="CO998" i="10" s="1"/>
  <c r="CN96" i="10"/>
  <c r="CO96" i="10" s="1"/>
  <c r="CN266" i="10"/>
  <c r="CO266" i="10" s="1"/>
  <c r="CN438" i="10"/>
  <c r="CO438" i="10" s="1"/>
  <c r="CN608" i="10"/>
  <c r="CO608" i="10" s="1"/>
  <c r="CN734" i="10"/>
  <c r="CO734" i="10" s="1"/>
  <c r="CN798" i="10"/>
  <c r="CO798" i="10" s="1"/>
  <c r="CN856" i="10"/>
  <c r="CO856" i="10" s="1"/>
  <c r="CN888" i="10"/>
  <c r="CO888" i="10" s="1"/>
  <c r="CN920" i="10"/>
  <c r="CO920" i="10" s="1"/>
  <c r="CN952" i="10"/>
  <c r="CO952" i="10" s="1"/>
  <c r="CN984" i="10"/>
  <c r="CO984" i="10" s="1"/>
  <c r="CN64" i="10"/>
  <c r="CO64" i="10" s="1"/>
  <c r="CN234" i="10"/>
  <c r="CO234" i="10" s="1"/>
  <c r="CN406" i="10"/>
  <c r="CO406" i="10" s="1"/>
  <c r="CN576" i="10"/>
  <c r="CO576" i="10" s="1"/>
  <c r="CN722" i="10"/>
  <c r="CO722" i="10" s="1"/>
  <c r="CN786" i="10"/>
  <c r="CO786" i="10" s="1"/>
  <c r="CN850" i="10"/>
  <c r="CO850" i="10" s="1"/>
  <c r="CN882" i="10"/>
  <c r="CO882" i="10" s="1"/>
  <c r="CN914" i="10"/>
  <c r="CO914" i="10" s="1"/>
  <c r="CN946" i="10"/>
  <c r="CO946" i="10" s="1"/>
  <c r="CN978" i="10"/>
  <c r="CO978" i="10" s="1"/>
  <c r="CN323" i="10"/>
  <c r="CO323" i="10" s="1"/>
  <c r="CN747" i="10"/>
  <c r="CO747" i="10" s="1"/>
  <c r="CN529" i="10"/>
  <c r="CO529" i="10" s="1"/>
  <c r="CN331" i="10"/>
  <c r="CO331" i="10" s="1"/>
  <c r="CN83" i="10"/>
  <c r="CO83" i="10" s="1"/>
  <c r="CN363" i="10"/>
  <c r="CO363" i="10" s="1"/>
  <c r="CN871" i="10"/>
  <c r="CO871" i="10" s="1"/>
  <c r="CN4" i="10"/>
  <c r="CO4" i="10" s="1"/>
  <c r="CN52" i="10"/>
  <c r="CO52" i="10" s="1"/>
  <c r="CN92" i="10"/>
  <c r="CO92" i="10" s="1"/>
  <c r="CN132" i="10"/>
  <c r="CO132" i="10" s="1"/>
  <c r="CN180" i="10"/>
  <c r="CO180" i="10" s="1"/>
  <c r="CN220" i="10"/>
  <c r="CO220" i="10" s="1"/>
  <c r="CN260" i="10"/>
  <c r="CO260" i="10" s="1"/>
  <c r="CN308" i="10"/>
  <c r="CO308" i="10" s="1"/>
  <c r="CN348" i="10"/>
  <c r="CO348" i="10" s="1"/>
  <c r="CN388" i="10"/>
  <c r="CO388" i="10" s="1"/>
  <c r="CN436" i="10"/>
  <c r="CO436" i="10" s="1"/>
  <c r="CN476" i="10"/>
  <c r="CO476" i="10" s="1"/>
  <c r="CN516" i="10"/>
  <c r="CO516" i="10" s="1"/>
  <c r="CN564" i="10"/>
  <c r="CO564" i="10" s="1"/>
  <c r="CN604" i="10"/>
  <c r="CO604" i="10" s="1"/>
  <c r="CN644" i="10"/>
  <c r="CO644" i="10" s="1"/>
  <c r="CN34" i="10"/>
  <c r="CO34" i="10" s="1"/>
  <c r="CN88" i="10"/>
  <c r="CO88" i="10" s="1"/>
  <c r="CN142" i="10"/>
  <c r="CO142" i="10" s="1"/>
  <c r="CN206" i="10"/>
  <c r="CO206" i="10" s="1"/>
  <c r="CN258" i="10"/>
  <c r="CO258" i="10" s="1"/>
  <c r="CN312" i="10"/>
  <c r="CO312" i="10" s="1"/>
  <c r="CN376" i="10"/>
  <c r="CO376" i="10" s="1"/>
  <c r="CN430" i="10"/>
  <c r="CO430" i="10" s="1"/>
  <c r="CN482" i="10"/>
  <c r="CO482" i="10" s="1"/>
  <c r="CN546" i="10"/>
  <c r="CO546" i="10" s="1"/>
  <c r="CN600" i="10"/>
  <c r="CO600" i="10" s="1"/>
  <c r="CN654" i="10"/>
  <c r="CO654" i="10" s="1"/>
  <c r="CN704" i="10"/>
  <c r="CO704" i="10" s="1"/>
  <c r="CN744" i="10"/>
  <c r="CO744" i="10" s="1"/>
  <c r="CN784" i="10"/>
  <c r="CO784" i="10" s="1"/>
  <c r="CN832" i="10"/>
  <c r="CO832" i="10" s="1"/>
  <c r="CN38" i="10"/>
  <c r="CO38" i="10" s="1"/>
  <c r="CN90" i="10"/>
  <c r="CO90" i="10" s="1"/>
  <c r="CN154" i="10"/>
  <c r="CO154" i="10" s="1"/>
  <c r="CN208" i="10"/>
  <c r="CO208" i="10" s="1"/>
  <c r="CN262" i="10"/>
  <c r="CO262" i="10" s="1"/>
  <c r="CN326" i="10"/>
  <c r="CO326" i="10" s="1"/>
  <c r="CN378" i="10"/>
  <c r="CO378" i="10" s="1"/>
  <c r="CN432" i="10"/>
  <c r="CO432" i="10" s="1"/>
  <c r="CN496" i="10"/>
  <c r="CO496" i="10" s="1"/>
  <c r="CN550" i="10"/>
  <c r="CO550" i="10" s="1"/>
  <c r="CN602" i="10"/>
  <c r="CO602" i="10" s="1"/>
  <c r="CN666" i="10"/>
  <c r="CO666" i="10" s="1"/>
  <c r="CN706" i="10"/>
  <c r="CO706" i="10" s="1"/>
  <c r="CN40" i="10"/>
  <c r="CO40" i="10" s="1"/>
  <c r="CN104" i="10"/>
  <c r="CO104" i="10" s="1"/>
  <c r="CN158" i="10"/>
  <c r="CO158" i="10" s="1"/>
  <c r="CN210" i="10"/>
  <c r="CO210" i="10" s="1"/>
  <c r="CN274" i="10"/>
  <c r="CO274" i="10" s="1"/>
  <c r="CN328" i="10"/>
  <c r="CO328" i="10" s="1"/>
  <c r="CN382" i="10"/>
  <c r="CO382" i="10" s="1"/>
  <c r="CN446" i="10"/>
  <c r="CO446" i="10" s="1"/>
  <c r="CN498" i="10"/>
  <c r="CO498" i="10" s="1"/>
  <c r="CN552" i="10"/>
  <c r="CO552" i="10" s="1"/>
  <c r="CN616" i="10"/>
  <c r="CO616" i="10" s="1"/>
  <c r="CN668" i="10"/>
  <c r="CO668" i="10" s="1"/>
  <c r="CN708" i="10"/>
  <c r="CO708" i="10" s="1"/>
  <c r="CN756" i="10"/>
  <c r="CO756" i="10" s="1"/>
  <c r="CN796" i="10"/>
  <c r="CO796" i="10" s="1"/>
  <c r="CN836" i="10"/>
  <c r="CO836" i="10" s="1"/>
  <c r="CN214" i="10"/>
  <c r="CO214" i="10" s="1"/>
  <c r="CN426" i="10"/>
  <c r="CO426" i="10" s="1"/>
  <c r="CN640" i="10"/>
  <c r="CO640" i="10" s="1"/>
  <c r="CN778" i="10"/>
  <c r="CO778" i="10" s="1"/>
  <c r="CN854" i="10"/>
  <c r="CO854" i="10" s="1"/>
  <c r="CN894" i="10"/>
  <c r="CO894" i="10" s="1"/>
  <c r="CN942" i="10"/>
  <c r="CO942" i="10" s="1"/>
  <c r="CN982" i="10"/>
  <c r="CO982" i="10" s="1"/>
  <c r="CN182" i="10"/>
  <c r="CO182" i="10" s="1"/>
  <c r="CN394" i="10"/>
  <c r="CO394" i="10" s="1"/>
  <c r="CN650" i="10"/>
  <c r="CO650" i="10" s="1"/>
  <c r="CN766" i="10"/>
  <c r="CO766" i="10" s="1"/>
  <c r="CN846" i="10"/>
  <c r="CO846" i="10" s="1"/>
  <c r="CN896" i="10"/>
  <c r="CO896" i="10" s="1"/>
  <c r="CN936" i="10"/>
  <c r="CO936" i="10" s="1"/>
  <c r="CN976" i="10"/>
  <c r="CO976" i="10" s="1"/>
  <c r="CN192" i="10"/>
  <c r="CO192" i="10" s="1"/>
  <c r="CN448" i="10"/>
  <c r="CO448" i="10" s="1"/>
  <c r="CN662" i="10"/>
  <c r="CO662" i="10" s="1"/>
  <c r="CN770" i="10"/>
  <c r="CO770" i="10" s="1"/>
  <c r="CN858" i="10"/>
  <c r="CO858" i="10" s="1"/>
  <c r="CN898" i="10"/>
  <c r="CO898" i="10" s="1"/>
  <c r="CN938" i="10"/>
  <c r="CO938" i="10" s="1"/>
  <c r="CN986" i="10"/>
  <c r="CO986" i="10" s="1"/>
  <c r="CN32" i="10"/>
  <c r="CO32" i="10" s="1"/>
  <c r="CN702" i="10"/>
  <c r="CO702" i="10" s="1"/>
  <c r="CN908" i="10"/>
  <c r="CO908" i="10" s="1"/>
  <c r="CN125" i="10"/>
  <c r="CO125" i="10" s="1"/>
  <c r="CN253" i="10"/>
  <c r="CO253" i="10" s="1"/>
  <c r="CN381" i="10"/>
  <c r="CO381" i="10" s="1"/>
  <c r="CN509" i="10"/>
  <c r="CO509" i="10" s="1"/>
  <c r="CN637" i="10"/>
  <c r="CO637" i="10" s="1"/>
  <c r="CN765" i="10"/>
  <c r="CO765" i="10" s="1"/>
  <c r="CN845" i="10"/>
  <c r="CO845" i="10" s="1"/>
  <c r="CN909" i="10"/>
  <c r="CO909" i="10" s="1"/>
  <c r="CN973" i="10"/>
  <c r="CO973" i="10" s="1"/>
  <c r="CN15" i="10"/>
  <c r="CO15" i="10" s="1"/>
  <c r="CN143" i="10"/>
  <c r="CO143" i="10" s="1"/>
  <c r="CN271" i="10"/>
  <c r="CO271" i="10" s="1"/>
  <c r="CN399" i="10"/>
  <c r="CO399" i="10" s="1"/>
  <c r="CN416" i="10"/>
  <c r="CO416" i="10" s="1"/>
  <c r="CN852" i="10"/>
  <c r="CO852" i="10" s="1"/>
  <c r="CN980" i="10"/>
  <c r="CO980" i="10" s="1"/>
  <c r="CN69" i="10"/>
  <c r="CO69" i="10" s="1"/>
  <c r="CN197" i="10"/>
  <c r="CO197" i="10" s="1"/>
  <c r="CN325" i="10"/>
  <c r="CO325" i="10" s="1"/>
  <c r="CN453" i="10"/>
  <c r="CO453" i="10" s="1"/>
  <c r="CN581" i="10"/>
  <c r="CO581" i="10" s="1"/>
  <c r="CN709" i="10"/>
  <c r="CO709" i="10" s="1"/>
  <c r="CN817" i="10"/>
  <c r="CO817" i="10" s="1"/>
  <c r="CN881" i="10"/>
  <c r="CO881" i="10" s="1"/>
  <c r="CN945" i="10"/>
  <c r="CO945" i="10" s="1"/>
  <c r="CN87" i="10"/>
  <c r="CO87" i="10" s="1"/>
  <c r="CN215" i="10"/>
  <c r="CO215" i="10" s="1"/>
  <c r="CN343" i="10"/>
  <c r="CO343" i="10" s="1"/>
  <c r="CN118" i="10"/>
  <c r="CO118" i="10" s="1"/>
  <c r="CN742" i="10"/>
  <c r="CO742" i="10" s="1"/>
  <c r="CN924" i="10"/>
  <c r="CO924" i="10" s="1"/>
  <c r="CN13" i="10"/>
  <c r="CO13" i="10" s="1"/>
  <c r="CN141" i="10"/>
  <c r="CO141" i="10" s="1"/>
  <c r="CN269" i="10"/>
  <c r="CO269" i="10" s="1"/>
  <c r="CN397" i="10"/>
  <c r="CO397" i="10" s="1"/>
  <c r="CN525" i="10"/>
  <c r="CO525" i="10" s="1"/>
  <c r="CN653" i="10"/>
  <c r="CO653" i="10" s="1"/>
  <c r="CN781" i="10"/>
  <c r="CO781" i="10" s="1"/>
  <c r="CN853" i="10"/>
  <c r="CO853" i="10" s="1"/>
  <c r="CN917" i="10"/>
  <c r="CO917" i="10" s="1"/>
  <c r="CN981" i="10"/>
  <c r="CO981" i="10" s="1"/>
  <c r="CN31" i="10"/>
  <c r="CO31" i="10" s="1"/>
  <c r="CN159" i="10"/>
  <c r="CO159" i="10" s="1"/>
  <c r="CN287" i="10"/>
  <c r="CO287" i="10" s="1"/>
  <c r="CN415" i="10"/>
  <c r="CO415" i="10" s="1"/>
  <c r="CN932" i="10"/>
  <c r="CO932" i="10" s="1"/>
  <c r="CN21" i="10"/>
  <c r="CO21" i="10" s="1"/>
  <c r="CN533" i="10"/>
  <c r="CO533" i="10" s="1"/>
  <c r="CN921" i="10"/>
  <c r="CO921" i="10" s="1"/>
  <c r="CN423" i="10"/>
  <c r="CO423" i="10" s="1"/>
  <c r="CN575" i="10"/>
  <c r="CO575" i="10" s="1"/>
  <c r="CN703" i="10"/>
  <c r="CO703" i="10" s="1"/>
  <c r="CN121" i="10"/>
  <c r="CO121" i="10" s="1"/>
  <c r="CN249" i="10"/>
  <c r="CO249" i="10" s="1"/>
  <c r="CN377" i="10"/>
  <c r="CO377" i="10" s="1"/>
  <c r="CN505" i="10"/>
  <c r="CO505" i="10" s="1"/>
  <c r="CN633" i="10"/>
  <c r="CO633" i="10" s="1"/>
  <c r="CN761" i="10"/>
  <c r="CO761" i="10" s="1"/>
  <c r="CN843" i="10"/>
  <c r="CO843" i="10" s="1"/>
  <c r="CN907" i="10"/>
  <c r="CO907" i="10" s="1"/>
  <c r="CN971" i="10"/>
  <c r="CO971" i="10" s="1"/>
  <c r="CN67" i="10"/>
  <c r="CO67" i="10" s="1"/>
  <c r="CN181" i="10"/>
  <c r="CO181" i="10" s="1"/>
  <c r="CN693" i="10"/>
  <c r="CO693" i="10" s="1"/>
  <c r="CN1001" i="10"/>
  <c r="CO1001" i="10" s="1"/>
  <c r="CN71" i="10"/>
  <c r="CO71" i="10" s="1"/>
  <c r="CN487" i="10"/>
  <c r="CO487" i="10" s="1"/>
  <c r="CN615" i="10"/>
  <c r="CO615" i="10" s="1"/>
  <c r="CN743" i="10"/>
  <c r="CO743" i="10" s="1"/>
  <c r="CN33" i="10"/>
  <c r="CO33" i="10" s="1"/>
  <c r="CN161" i="10"/>
  <c r="CO161" i="10" s="1"/>
  <c r="CN289" i="10"/>
  <c r="CO289" i="10" s="1"/>
  <c r="CN417" i="10"/>
  <c r="CO417" i="10" s="1"/>
  <c r="CN545" i="10"/>
  <c r="CO545" i="10" s="1"/>
  <c r="CN673" i="10"/>
  <c r="CO673" i="10" s="1"/>
  <c r="CN799" i="10"/>
  <c r="CO799" i="10" s="1"/>
  <c r="CN863" i="10"/>
  <c r="CO863" i="10" s="1"/>
  <c r="CN927" i="10"/>
  <c r="CO927" i="10" s="1"/>
  <c r="CN991" i="10"/>
  <c r="CO991" i="10" s="1"/>
  <c r="CN868" i="10"/>
  <c r="CO868" i="10" s="1"/>
  <c r="CN251" i="10"/>
  <c r="CO251" i="10" s="1"/>
  <c r="CN969" i="10"/>
  <c r="CO969" i="10" s="1"/>
  <c r="CN535" i="10"/>
  <c r="CO535" i="10" s="1"/>
  <c r="CN163" i="10"/>
  <c r="CO163" i="10" s="1"/>
  <c r="CN659" i="10"/>
  <c r="CO659" i="10" s="1"/>
  <c r="CN36" i="10"/>
  <c r="CO36" i="10" s="1"/>
  <c r="CN100" i="10"/>
  <c r="CO100" i="10" s="1"/>
  <c r="CN156" i="10"/>
  <c r="CO156" i="10" s="1"/>
  <c r="CN212" i="10"/>
  <c r="CO212" i="10" s="1"/>
  <c r="CN276" i="10"/>
  <c r="CO276" i="10" s="1"/>
  <c r="CN324" i="10"/>
  <c r="CO324" i="10" s="1"/>
  <c r="CN380" i="10"/>
  <c r="CO380" i="10" s="1"/>
  <c r="CN444" i="10"/>
  <c r="CO444" i="10" s="1"/>
  <c r="CN500" i="10"/>
  <c r="CO500" i="10" s="1"/>
  <c r="CN548" i="10"/>
  <c r="CO548" i="10" s="1"/>
  <c r="CN612" i="10"/>
  <c r="CO612" i="10" s="1"/>
  <c r="CN8" i="10"/>
  <c r="CO8" i="10" s="1"/>
  <c r="CN78" i="10"/>
  <c r="CO78" i="10" s="1"/>
  <c r="CN162" i="10"/>
  <c r="CO162" i="10" s="1"/>
  <c r="CN226" i="10"/>
  <c r="CO226" i="10" s="1"/>
  <c r="CN302" i="10"/>
  <c r="CO302" i="10" s="1"/>
  <c r="CN386" i="10"/>
  <c r="CO386" i="10" s="1"/>
  <c r="CN462" i="10"/>
  <c r="CO462" i="10" s="1"/>
  <c r="CN526" i="10"/>
  <c r="CO526" i="10" s="1"/>
  <c r="CN610" i="10"/>
  <c r="CO610" i="10" s="1"/>
  <c r="CN680" i="10"/>
  <c r="CO680" i="10" s="1"/>
  <c r="CN736" i="10"/>
  <c r="CO736" i="10" s="1"/>
  <c r="CN800" i="10"/>
  <c r="CO800" i="10" s="1"/>
  <c r="CN848" i="10"/>
  <c r="CO848" i="10" s="1"/>
  <c r="CN80" i="10"/>
  <c r="CO80" i="10" s="1"/>
  <c r="CN166" i="10"/>
  <c r="CO166" i="10" s="1"/>
  <c r="CN240" i="10"/>
  <c r="CO240" i="10" s="1"/>
  <c r="CN304" i="10"/>
  <c r="CO304" i="10" s="1"/>
  <c r="CN390" i="10"/>
  <c r="CO390" i="10" s="1"/>
  <c r="CN464" i="10"/>
  <c r="CO464" i="10" s="1"/>
  <c r="CN538" i="10"/>
  <c r="CO538" i="10" s="1"/>
  <c r="CN624" i="10"/>
  <c r="CO624" i="10" s="1"/>
  <c r="CN682" i="10"/>
  <c r="CO682" i="10" s="1"/>
  <c r="CN30" i="10"/>
  <c r="CO30" i="10" s="1"/>
  <c r="CN114" i="10"/>
  <c r="CO114" i="10" s="1"/>
  <c r="CN190" i="10"/>
  <c r="CO190" i="10" s="1"/>
  <c r="CN254" i="10"/>
  <c r="CO254" i="10" s="1"/>
  <c r="CN338" i="10"/>
  <c r="CO338" i="10" s="1"/>
  <c r="CN414" i="10"/>
  <c r="CO414" i="10" s="1"/>
  <c r="CN488" i="10"/>
  <c r="CO488" i="10" s="1"/>
  <c r="CN574" i="10"/>
  <c r="CO574" i="10" s="1"/>
  <c r="CN638" i="10"/>
  <c r="CO638" i="10" s="1"/>
  <c r="CN700" i="10"/>
  <c r="CO700" i="10" s="1"/>
  <c r="CN764" i="10"/>
  <c r="CO764" i="10" s="1"/>
  <c r="CN820" i="10"/>
  <c r="CO820" i="10" s="1"/>
  <c r="CN128" i="10"/>
  <c r="CO128" i="10" s="1"/>
  <c r="CN470" i="10"/>
  <c r="CO470" i="10" s="1"/>
  <c r="CN730" i="10"/>
  <c r="CO730" i="10" s="1"/>
  <c r="CN842" i="10"/>
  <c r="CO842" i="10" s="1"/>
  <c r="CN910" i="10"/>
  <c r="CO910" i="10" s="1"/>
  <c r="CN958" i="10"/>
  <c r="CO958" i="10" s="1"/>
  <c r="CN138" i="10"/>
  <c r="CO138" i="10" s="1"/>
  <c r="CN480" i="10"/>
  <c r="CO480" i="10" s="1"/>
  <c r="CN718" i="10"/>
  <c r="CO718" i="10" s="1"/>
  <c r="CN830" i="10"/>
  <c r="CO830" i="10" s="1"/>
  <c r="CN904" i="10"/>
  <c r="CO904" i="10" s="1"/>
  <c r="CN960" i="10"/>
  <c r="CO960" i="10" s="1"/>
  <c r="CN150" i="10"/>
  <c r="CO150" i="10" s="1"/>
  <c r="CN490" i="10"/>
  <c r="CO490" i="10" s="1"/>
  <c r="CN738" i="10"/>
  <c r="CO738" i="10" s="1"/>
  <c r="CN834" i="10"/>
  <c r="CO834" i="10" s="1"/>
  <c r="CN906" i="10"/>
  <c r="CO906" i="10" s="1"/>
  <c r="CN962" i="10"/>
  <c r="CO962" i="10" s="1"/>
  <c r="CN774" i="10"/>
  <c r="CO774" i="10" s="1"/>
  <c r="CN972" i="10"/>
  <c r="CO972" i="10" s="1"/>
  <c r="CN61" i="10"/>
  <c r="CO61" i="10" s="1"/>
  <c r="CN221" i="10"/>
  <c r="CO221" i="10" s="1"/>
  <c r="CN413" i="10"/>
  <c r="CO413" i="10" s="1"/>
  <c r="CN573" i="10"/>
  <c r="CO573" i="10" s="1"/>
  <c r="CN733" i="10"/>
  <c r="CO733" i="10" s="1"/>
  <c r="CN861" i="10"/>
  <c r="CO861" i="10" s="1"/>
  <c r="CN941" i="10"/>
  <c r="CO941" i="10" s="1"/>
  <c r="CN111" i="10"/>
  <c r="CO111" i="10" s="1"/>
  <c r="CN303" i="10"/>
  <c r="CO303" i="10" s="1"/>
  <c r="CN74" i="10"/>
  <c r="CO74" i="10" s="1"/>
  <c r="CN790" i="10"/>
  <c r="CO790" i="10" s="1"/>
  <c r="CN101" i="10"/>
  <c r="CO101" i="10" s="1"/>
  <c r="CN261" i="10"/>
  <c r="CO261" i="10" s="1"/>
  <c r="CN421" i="10"/>
  <c r="CO421" i="10" s="1"/>
  <c r="CN613" i="10"/>
  <c r="CO613" i="10" s="1"/>
  <c r="CN773" i="10"/>
  <c r="CO773" i="10" s="1"/>
  <c r="CN865" i="10"/>
  <c r="CO865" i="10" s="1"/>
  <c r="CN961" i="10"/>
  <c r="CO961" i="10" s="1"/>
  <c r="CN151" i="10"/>
  <c r="CO151" i="10" s="1"/>
  <c r="CN311" i="10"/>
  <c r="CO311" i="10" s="1"/>
  <c r="CN288" i="10"/>
  <c r="CO288" i="10" s="1"/>
  <c r="CN860" i="10"/>
  <c r="CO860" i="10" s="1"/>
  <c r="CN109" i="10"/>
  <c r="CO109" i="10" s="1"/>
  <c r="CN301" i="10"/>
  <c r="CO301" i="10" s="1"/>
  <c r="CN461" i="10"/>
  <c r="CO461" i="10" s="1"/>
  <c r="CN621" i="10"/>
  <c r="CO621" i="10" s="1"/>
  <c r="CN805" i="10"/>
  <c r="CO805" i="10" s="1"/>
  <c r="CN885" i="10"/>
  <c r="CO885" i="10" s="1"/>
  <c r="CN965" i="10"/>
  <c r="CO965" i="10" s="1"/>
  <c r="CN191" i="10"/>
  <c r="CO191" i="10" s="1"/>
  <c r="CN351" i="10"/>
  <c r="CO351" i="10" s="1"/>
  <c r="CN758" i="10"/>
  <c r="CO758" i="10" s="1"/>
  <c r="CN661" i="10"/>
  <c r="CO661" i="10" s="1"/>
  <c r="CN39" i="10"/>
  <c r="CO39" i="10" s="1"/>
  <c r="CN511" i="10"/>
  <c r="CO511" i="10" s="1"/>
  <c r="CN671" i="10"/>
  <c r="CO671" i="10" s="1"/>
  <c r="CN25" i="10"/>
  <c r="CO25" i="10" s="1"/>
  <c r="CN185" i="10"/>
  <c r="CO185" i="10" s="1"/>
  <c r="CN345" i="10"/>
  <c r="CO345" i="10" s="1"/>
  <c r="CN537" i="10"/>
  <c r="CO537" i="10" s="1"/>
  <c r="CN697" i="10"/>
  <c r="CO697" i="10" s="1"/>
  <c r="CN827" i="10"/>
  <c r="CO827" i="10" s="1"/>
  <c r="CN923" i="10"/>
  <c r="CO923" i="10" s="1"/>
  <c r="CN699" i="10"/>
  <c r="CO699" i="10" s="1"/>
  <c r="CN757" i="10"/>
  <c r="CO757" i="10" s="1"/>
  <c r="CN967" i="10"/>
  <c r="CO967" i="10" s="1"/>
  <c r="CN145" i="10"/>
  <c r="CO145" i="10" s="1"/>
  <c r="CN721" i="10"/>
  <c r="CO721" i="10" s="1"/>
  <c r="CN571" i="10"/>
  <c r="CO571" i="10" s="1"/>
  <c r="CN20" i="10"/>
  <c r="CO20" i="10" s="1"/>
  <c r="CN68" i="10"/>
  <c r="CO68" i="10" s="1"/>
  <c r="CN124" i="10"/>
  <c r="CO124" i="10" s="1"/>
  <c r="CN188" i="10"/>
  <c r="CO188" i="10" s="1"/>
  <c r="CN244" i="10"/>
  <c r="CO244" i="10" s="1"/>
  <c r="CN292" i="10"/>
  <c r="CO292" i="10" s="1"/>
  <c r="CN356" i="10"/>
  <c r="CO356" i="10" s="1"/>
  <c r="CN412" i="10"/>
  <c r="CO412" i="10" s="1"/>
  <c r="CN468" i="10"/>
  <c r="CO468" i="10" s="1"/>
  <c r="CN532" i="10"/>
  <c r="CO532" i="10" s="1"/>
  <c r="CN580" i="10"/>
  <c r="CO580" i="10" s="1"/>
  <c r="CN636" i="10"/>
  <c r="CO636" i="10" s="1"/>
  <c r="CN46" i="10"/>
  <c r="CO46" i="10" s="1"/>
  <c r="CN120" i="10"/>
  <c r="CO120" i="10" s="1"/>
  <c r="CN184" i="10"/>
  <c r="CO184" i="10" s="1"/>
  <c r="CN270" i="10"/>
  <c r="CO270" i="10" s="1"/>
  <c r="CN344" i="10"/>
  <c r="CO344" i="10" s="1"/>
  <c r="CN418" i="10"/>
  <c r="CO418" i="10" s="1"/>
  <c r="CN504" i="10"/>
  <c r="CO504" i="10" s="1"/>
  <c r="CN568" i="10"/>
  <c r="CO568" i="10" s="1"/>
  <c r="CN642" i="10"/>
  <c r="CO642" i="10" s="1"/>
  <c r="CN712" i="10"/>
  <c r="CO712" i="10" s="1"/>
  <c r="CN768" i="10"/>
  <c r="CO768" i="10" s="1"/>
  <c r="CN816" i="10"/>
  <c r="CO816" i="10" s="1"/>
  <c r="CN48" i="10"/>
  <c r="CO48" i="10" s="1"/>
  <c r="CN122" i="10"/>
  <c r="CO122" i="10" s="1"/>
  <c r="CN198" i="10"/>
  <c r="CO198" i="10" s="1"/>
  <c r="CN282" i="10"/>
  <c r="CO282" i="10" s="1"/>
  <c r="CN346" i="10"/>
  <c r="CO346" i="10" s="1"/>
  <c r="CN422" i="10"/>
  <c r="CO422" i="10" s="1"/>
  <c r="CN506" i="10"/>
  <c r="CO506" i="10" s="1"/>
  <c r="CN582" i="10"/>
  <c r="CO582" i="10" s="1"/>
  <c r="CN646" i="10"/>
  <c r="CO646" i="10" s="1"/>
  <c r="CN714" i="10"/>
  <c r="CO714" i="10" s="1"/>
  <c r="CN72" i="10"/>
  <c r="CO72" i="10" s="1"/>
  <c r="CN146" i="10"/>
  <c r="CO146" i="10" s="1"/>
  <c r="CN232" i="10"/>
  <c r="CO232" i="10" s="1"/>
  <c r="CN296" i="10"/>
  <c r="CO296" i="10" s="1"/>
  <c r="CN370" i="10"/>
  <c r="CO370" i="10" s="1"/>
  <c r="CN456" i="10"/>
  <c r="CO456" i="10" s="1"/>
  <c r="CN530" i="10"/>
  <c r="CO530" i="10" s="1"/>
  <c r="CN594" i="10"/>
  <c r="CO594" i="10" s="1"/>
  <c r="CN676" i="10"/>
  <c r="CO676" i="10" s="1"/>
  <c r="CN732" i="10"/>
  <c r="CO732" i="10" s="1"/>
  <c r="CN788" i="10"/>
  <c r="CO788" i="10" s="1"/>
  <c r="CN42" i="10"/>
  <c r="CO42" i="10" s="1"/>
  <c r="CN298" i="10"/>
  <c r="CO298" i="10" s="1"/>
  <c r="CN598" i="10"/>
  <c r="CO598" i="10" s="1"/>
  <c r="CN794" i="10"/>
  <c r="CO794" i="10" s="1"/>
  <c r="CN878" i="10"/>
  <c r="CO878" i="10" s="1"/>
  <c r="CN926" i="10"/>
  <c r="CO926" i="10" s="1"/>
  <c r="CN990" i="10"/>
  <c r="CO990" i="10" s="1"/>
  <c r="CN10" i="10"/>
  <c r="CO10" i="10" s="1"/>
  <c r="CN310" i="10"/>
  <c r="CO310" i="10" s="1"/>
  <c r="CN566" i="10"/>
  <c r="CO566" i="10" s="1"/>
  <c r="CN782" i="10"/>
  <c r="CO782" i="10" s="1"/>
  <c r="CN872" i="10"/>
  <c r="CO872" i="10" s="1"/>
  <c r="CN928" i="10"/>
  <c r="CO928" i="10" s="1"/>
  <c r="CN992" i="10"/>
  <c r="CO992" i="10" s="1"/>
  <c r="CN22" i="10"/>
  <c r="CO22" i="10" s="1"/>
  <c r="CN320" i="10"/>
  <c r="CO320" i="10" s="1"/>
  <c r="CN618" i="10"/>
  <c r="CO618" i="10" s="1"/>
  <c r="CN802" i="10"/>
  <c r="CO802" i="10" s="1"/>
  <c r="CN874" i="10"/>
  <c r="CO874" i="10" s="1"/>
  <c r="CN930" i="10"/>
  <c r="CO930" i="10" s="1"/>
  <c r="CN994" i="10"/>
  <c r="CO994" i="10" s="1"/>
  <c r="CN374" i="10"/>
  <c r="CO374" i="10" s="1"/>
  <c r="CN876" i="10"/>
  <c r="CO876" i="10" s="1"/>
  <c r="CN157" i="10"/>
  <c r="CO157" i="10" s="1"/>
  <c r="CN317" i="10"/>
  <c r="CO317" i="10" s="1"/>
  <c r="CN477" i="10"/>
  <c r="CO477" i="10" s="1"/>
  <c r="CN669" i="10"/>
  <c r="CO669" i="10" s="1"/>
  <c r="CN813" i="10"/>
  <c r="CO813" i="10" s="1"/>
  <c r="CN893" i="10"/>
  <c r="CO893" i="10" s="1"/>
  <c r="CN989" i="10"/>
  <c r="CO989" i="10" s="1"/>
  <c r="CN47" i="10"/>
  <c r="CO47" i="10" s="1"/>
  <c r="CN207" i="10"/>
  <c r="CO207" i="10" s="1"/>
  <c r="CN367" i="10"/>
  <c r="CO367" i="10" s="1"/>
  <c r="CN586" i="10"/>
  <c r="CO586" i="10" s="1"/>
  <c r="CN916" i="10"/>
  <c r="CO916" i="10" s="1"/>
  <c r="CN5" i="10"/>
  <c r="CO5" i="10" s="1"/>
  <c r="CN165" i="10"/>
  <c r="CO165" i="10" s="1"/>
  <c r="CN357" i="10"/>
  <c r="CO357" i="10" s="1"/>
  <c r="CN517" i="10"/>
  <c r="CO517" i="10" s="1"/>
  <c r="CN677" i="10"/>
  <c r="CO677" i="10" s="1"/>
  <c r="CN833" i="10"/>
  <c r="CO833" i="10" s="1"/>
  <c r="CN913" i="10"/>
  <c r="CO913" i="10" s="1"/>
  <c r="CN993" i="10"/>
  <c r="CO993" i="10" s="1"/>
  <c r="CN55" i="10"/>
  <c r="CO55" i="10" s="1"/>
  <c r="CN247" i="10"/>
  <c r="CO247" i="10" s="1"/>
  <c r="CN407" i="10"/>
  <c r="CO407" i="10" s="1"/>
  <c r="CN630" i="10"/>
  <c r="CO630" i="10" s="1"/>
  <c r="CN956" i="10"/>
  <c r="CO956" i="10" s="1"/>
  <c r="CN947" i="10"/>
  <c r="CO947" i="10" s="1"/>
  <c r="CN883" i="10"/>
  <c r="CO883" i="10" s="1"/>
  <c r="CN819" i="10"/>
  <c r="CO819" i="10" s="1"/>
  <c r="CN713" i="10"/>
  <c r="CO713" i="10" s="1"/>
  <c r="CN585" i="10"/>
  <c r="CO585" i="10" s="1"/>
  <c r="CN457" i="10"/>
  <c r="CO457" i="10" s="1"/>
  <c r="CN329" i="10"/>
  <c r="CO329" i="10" s="1"/>
  <c r="CN201" i="10"/>
  <c r="CO201" i="10" s="1"/>
  <c r="CN73" i="10"/>
  <c r="CO73" i="10" s="1"/>
  <c r="CN783" i="10"/>
  <c r="CO783" i="10" s="1"/>
  <c r="CN655" i="10"/>
  <c r="CO655" i="10" s="1"/>
  <c r="CN527" i="10"/>
  <c r="CO527" i="10" s="1"/>
  <c r="CN231" i="10"/>
  <c r="CO231" i="10" s="1"/>
  <c r="CN825" i="10"/>
  <c r="CO825" i="10" s="1"/>
  <c r="CN341" i="10"/>
  <c r="CO341" i="10" s="1"/>
  <c r="CN959" i="10"/>
  <c r="CO959" i="10" s="1"/>
  <c r="CN879" i="10"/>
  <c r="CO879" i="10" s="1"/>
  <c r="CN769" i="10"/>
  <c r="CO769" i="10" s="1"/>
  <c r="CN609" i="10"/>
  <c r="CO609" i="10" s="1"/>
  <c r="CN449" i="10"/>
  <c r="CO449" i="10" s="1"/>
  <c r="CN257" i="10"/>
  <c r="CO257" i="10" s="1"/>
  <c r="CN97" i="10"/>
  <c r="CO97" i="10" s="1"/>
  <c r="CN775" i="10"/>
  <c r="CO775" i="10" s="1"/>
  <c r="CN583" i="10"/>
  <c r="CO583" i="10" s="1"/>
  <c r="CN327" i="10"/>
  <c r="CO327" i="10" s="1"/>
  <c r="CN873" i="10"/>
  <c r="CO873" i="10" s="1"/>
  <c r="CN309" i="10"/>
  <c r="CO309" i="10" s="1"/>
  <c r="CN987" i="10"/>
  <c r="CO987" i="10" s="1"/>
  <c r="CN875" i="10"/>
  <c r="CO875" i="10" s="1"/>
  <c r="CN729" i="10"/>
  <c r="CO729" i="10" s="1"/>
  <c r="CN473" i="10"/>
  <c r="CO473" i="10" s="1"/>
  <c r="CN281" i="10"/>
  <c r="CO281" i="10" s="1"/>
  <c r="CN57" i="10"/>
  <c r="CO57" i="10" s="1"/>
  <c r="CN767" i="10"/>
  <c r="CO767" i="10" s="1"/>
  <c r="CN543" i="10"/>
  <c r="CO543" i="10" s="1"/>
  <c r="CN789" i="10"/>
  <c r="CO789" i="10" s="1"/>
  <c r="CN319" i="10"/>
  <c r="CO319" i="10" s="1"/>
  <c r="CN95" i="10"/>
  <c r="CO95" i="10" s="1"/>
  <c r="CN997" i="10"/>
  <c r="CO997" i="10" s="1"/>
  <c r="CN869" i="10"/>
  <c r="CO869" i="10" s="1"/>
  <c r="CN717" i="10"/>
  <c r="CO717" i="10" s="1"/>
  <c r="CN493" i="10"/>
  <c r="CO493" i="10" s="1"/>
  <c r="CN237" i="10"/>
  <c r="CO237" i="10" s="1"/>
  <c r="CN45" i="10"/>
  <c r="CO45" i="10" s="1"/>
  <c r="CN988" i="10"/>
  <c r="CO988" i="10" s="1"/>
  <c r="CN439" i="10"/>
  <c r="CO439" i="10" s="1"/>
  <c r="CN119" i="10"/>
  <c r="CO119" i="10" s="1"/>
  <c r="CN929" i="10"/>
  <c r="CO929" i="10" s="1"/>
  <c r="CN741" i="10"/>
  <c r="CO741" i="10" s="1"/>
  <c r="CN389" i="10"/>
  <c r="CO389" i="10" s="1"/>
  <c r="CN37" i="10"/>
  <c r="CO37" i="10" s="1"/>
  <c r="CN948" i="10"/>
  <c r="CO948" i="10" s="1"/>
  <c r="CN431" i="10"/>
  <c r="CO431" i="10" s="1"/>
  <c r="CN79" i="10"/>
  <c r="CO79" i="10" s="1"/>
  <c r="CN925" i="10"/>
  <c r="CO925" i="10" s="1"/>
  <c r="CN701" i="10"/>
  <c r="CO701" i="10" s="1"/>
  <c r="CN349" i="10"/>
  <c r="CO349" i="10" s="1"/>
  <c r="CN29" i="10"/>
  <c r="CO29" i="10" s="1"/>
  <c r="CN940" i="10"/>
  <c r="CO940" i="10" s="1"/>
  <c r="CN1002" i="10"/>
  <c r="CO1002" i="10" s="1"/>
  <c r="CN890" i="10"/>
  <c r="CO890" i="10" s="1"/>
  <c r="CN694" i="10"/>
  <c r="CO694" i="10" s="1"/>
  <c r="CN106" i="10"/>
  <c r="CO106" i="10" s="1"/>
  <c r="CN1000" i="10"/>
  <c r="CO1000" i="10" s="1"/>
  <c r="CN880" i="10"/>
  <c r="CO880" i="10" s="1"/>
  <c r="CN686" i="10"/>
  <c r="CO686" i="10" s="1"/>
  <c r="CN54" i="10"/>
  <c r="CO54" i="10" s="1"/>
  <c r="CN886" i="10"/>
  <c r="CO886" i="10" s="1"/>
  <c r="CN710" i="10"/>
  <c r="CO710" i="10" s="1"/>
  <c r="CN86" i="10"/>
  <c r="CO86" i="10" s="1"/>
  <c r="CN740" i="10"/>
  <c r="CO740" i="10" s="1"/>
  <c r="CN626" i="10"/>
  <c r="CO626" i="10" s="1"/>
  <c r="CN466" i="10"/>
  <c r="CO466" i="10" s="1"/>
  <c r="CN318" i="10"/>
  <c r="CO318" i="10" s="1"/>
  <c r="CN168" i="10"/>
  <c r="CO168" i="10" s="1"/>
  <c r="CN18" i="10"/>
  <c r="CO18" i="10" s="1"/>
  <c r="CN592" i="10"/>
  <c r="CO592" i="10" s="1"/>
  <c r="CN454" i="10"/>
  <c r="CO454" i="10" s="1"/>
  <c r="CN294" i="10"/>
  <c r="CO294" i="10" s="1"/>
  <c r="CN134" i="10"/>
  <c r="CO134" i="10" s="1"/>
  <c r="CN840" i="10"/>
  <c r="CO840" i="10" s="1"/>
  <c r="CN720" i="10"/>
  <c r="CO720" i="10" s="1"/>
  <c r="CN590" i="10"/>
  <c r="CO590" i="10" s="1"/>
  <c r="CN440" i="10"/>
  <c r="CO440" i="10" s="1"/>
  <c r="CN290" i="10"/>
  <c r="CO290" i="10" s="1"/>
  <c r="CN130" i="10"/>
  <c r="CO130" i="10" s="1"/>
  <c r="CN660" i="10"/>
  <c r="CO660" i="10" s="1"/>
  <c r="CN540" i="10"/>
  <c r="CO540" i="10" s="1"/>
  <c r="CN420" i="10"/>
  <c r="CO420" i="10" s="1"/>
  <c r="CN316" i="10"/>
  <c r="CO316" i="10" s="1"/>
  <c r="CN196" i="10"/>
  <c r="CO196" i="10" s="1"/>
  <c r="CN84" i="10"/>
  <c r="CO84" i="10" s="1"/>
  <c r="CN579" i="10"/>
  <c r="CO579" i="10" s="1"/>
  <c r="CN491" i="10"/>
  <c r="CO491" i="10" s="1"/>
  <c r="CN979" i="10"/>
  <c r="CO979" i="10" s="1"/>
  <c r="CN915" i="10"/>
  <c r="CO915" i="10" s="1"/>
  <c r="CN851" i="10"/>
  <c r="CO851" i="10" s="1"/>
  <c r="CN777" i="10"/>
  <c r="CO777" i="10" s="1"/>
  <c r="CN649" i="10"/>
  <c r="CO649" i="10" s="1"/>
  <c r="CN521" i="10"/>
  <c r="CO521" i="10" s="1"/>
  <c r="CN393" i="10"/>
  <c r="CO393" i="10" s="1"/>
  <c r="CN265" i="10"/>
  <c r="CO265" i="10" s="1"/>
  <c r="CN137" i="10"/>
  <c r="CO137" i="10" s="1"/>
  <c r="CN9" i="10"/>
  <c r="CO9" i="10" s="1"/>
  <c r="CN719" i="10"/>
  <c r="CO719" i="10" s="1"/>
  <c r="CN591" i="10"/>
  <c r="CO591" i="10" s="1"/>
  <c r="CN463" i="10"/>
  <c r="CO463" i="10" s="1"/>
  <c r="CN953" i="10"/>
  <c r="CO953" i="10" s="1"/>
  <c r="CN597" i="10"/>
  <c r="CO597" i="10" s="1"/>
  <c r="CN85" i="10"/>
  <c r="CO85" i="10" s="1"/>
  <c r="CN996" i="10"/>
  <c r="CO996" i="10" s="1"/>
  <c r="CN911" i="10"/>
  <c r="CO911" i="10" s="1"/>
  <c r="CN831" i="10"/>
  <c r="CO831" i="10" s="1"/>
  <c r="CN705" i="10"/>
  <c r="CO705" i="10" s="1"/>
  <c r="CN513" i="10"/>
  <c r="CO513" i="10" s="1"/>
  <c r="CN353" i="10"/>
  <c r="CO353" i="10" s="1"/>
  <c r="CN193" i="10"/>
  <c r="CO193" i="10" s="1"/>
  <c r="CN679" i="10"/>
  <c r="CO679" i="10" s="1"/>
  <c r="CN519" i="10"/>
  <c r="CO519" i="10" s="1"/>
  <c r="CN565" i="10"/>
  <c r="CO565" i="10" s="1"/>
  <c r="CN822" i="10"/>
  <c r="CO822" i="10" s="1"/>
  <c r="CN939" i="10"/>
  <c r="CO939" i="10" s="1"/>
  <c r="CN811" i="10"/>
  <c r="CO811" i="10" s="1"/>
  <c r="CN601" i="10"/>
  <c r="CO601" i="10" s="1"/>
  <c r="CN409" i="10"/>
  <c r="CO409" i="10" s="1"/>
  <c r="CN153" i="10"/>
  <c r="CO153" i="10" s="1"/>
  <c r="CN639" i="10"/>
  <c r="CO639" i="10" s="1"/>
  <c r="CN295" i="10"/>
  <c r="CO295" i="10" s="1"/>
  <c r="CN985" i="10"/>
  <c r="CO985" i="10" s="1"/>
  <c r="CN277" i="10"/>
  <c r="CO277" i="10" s="1"/>
  <c r="CN447" i="10"/>
  <c r="CO447" i="10" s="1"/>
  <c r="CN223" i="10"/>
  <c r="CO223" i="10" s="1"/>
  <c r="CN933" i="10"/>
  <c r="CO933" i="10" s="1"/>
  <c r="CN821" i="10"/>
  <c r="CO821" i="10" s="1"/>
  <c r="CN589" i="10"/>
  <c r="CO589" i="10" s="1"/>
  <c r="CN365" i="10"/>
  <c r="CO365" i="10" s="1"/>
  <c r="CN173" i="10"/>
  <c r="CO173" i="10" s="1"/>
  <c r="CN806" i="10"/>
  <c r="CO806" i="10" s="1"/>
  <c r="CN279" i="10"/>
  <c r="CO279" i="10" s="1"/>
  <c r="CN849" i="10"/>
  <c r="CO849" i="10" s="1"/>
  <c r="CN549" i="10"/>
  <c r="CO549" i="10" s="1"/>
  <c r="CN229" i="10"/>
  <c r="CO229" i="10" s="1"/>
  <c r="CN726" i="10"/>
  <c r="CO726" i="10" s="1"/>
  <c r="CN239" i="10"/>
  <c r="CO239" i="10" s="1"/>
  <c r="CN829" i="10"/>
  <c r="CO829" i="10" s="1"/>
  <c r="CN541" i="10"/>
  <c r="CO541" i="10" s="1"/>
  <c r="CN189" i="10"/>
  <c r="CO189" i="10" s="1"/>
  <c r="CN544" i="10"/>
  <c r="CO544" i="10" s="1"/>
  <c r="CN954" i="10"/>
  <c r="CO954" i="10" s="1"/>
  <c r="CN818" i="10"/>
  <c r="CO818" i="10" s="1"/>
  <c r="CN362" i="10"/>
  <c r="CO362" i="10" s="1"/>
  <c r="CN944" i="10"/>
  <c r="CO944" i="10" s="1"/>
  <c r="CN814" i="10"/>
  <c r="CO814" i="10" s="1"/>
  <c r="CN352" i="10"/>
  <c r="CO352" i="10" s="1"/>
  <c r="CN950" i="10"/>
  <c r="CO950" i="10" s="1"/>
  <c r="CN810" i="10"/>
  <c r="CO810" i="10" s="1"/>
  <c r="CN384" i="10"/>
  <c r="CO384" i="10" s="1"/>
  <c r="CN804" i="10"/>
  <c r="CO804" i="10" s="1"/>
  <c r="CN692" i="10"/>
  <c r="CO692" i="10" s="1"/>
  <c r="CN542" i="10"/>
  <c r="CO542" i="10" s="1"/>
  <c r="CN402" i="10"/>
  <c r="CO402" i="10" s="1"/>
  <c r="CN242" i="10"/>
  <c r="CO242" i="10" s="1"/>
  <c r="CN82" i="10"/>
  <c r="CO82" i="10" s="1"/>
  <c r="CN674" i="10"/>
  <c r="CO674" i="10" s="1"/>
  <c r="CN518" i="10"/>
  <c r="CO518" i="10" s="1"/>
  <c r="CN368" i="10"/>
  <c r="CO368" i="10" s="1"/>
  <c r="CN218" i="10"/>
  <c r="CO218" i="10" s="1"/>
  <c r="CN70" i="10"/>
  <c r="CO70" i="10" s="1"/>
  <c r="CN776" i="10"/>
  <c r="CO776" i="10" s="1"/>
  <c r="CN672" i="10"/>
  <c r="CO672" i="10" s="1"/>
  <c r="CN514" i="10"/>
  <c r="CO514" i="10" s="1"/>
  <c r="CN354" i="10"/>
  <c r="CO354" i="10" s="1"/>
  <c r="CN216" i="10"/>
  <c r="CO216" i="10" s="1"/>
  <c r="CN56" i="10"/>
  <c r="CO56" i="10" s="1"/>
  <c r="CN596" i="10"/>
  <c r="CO596" i="10" s="1"/>
  <c r="CN484" i="10"/>
  <c r="CO484" i="10" s="1"/>
  <c r="CN372" i="10"/>
  <c r="CO372" i="10" s="1"/>
  <c r="CN252" i="10"/>
  <c r="CO252" i="10" s="1"/>
  <c r="CN148" i="10"/>
  <c r="CO148" i="10" s="1"/>
  <c r="CN28" i="10"/>
  <c r="CO28" i="10" s="1"/>
  <c r="CN391" i="10"/>
  <c r="CO391" i="10" s="1"/>
  <c r="CN179" i="10"/>
  <c r="CO179" i="10" s="1"/>
  <c r="CN107" i="10"/>
  <c r="CO107" i="10" s="1"/>
  <c r="CN371" i="10"/>
  <c r="CO371" i="10" s="1"/>
  <c r="CN691" i="10"/>
  <c r="CO691" i="10" s="1"/>
  <c r="CN187" i="10"/>
  <c r="CO187" i="10" s="1"/>
  <c r="CN651" i="10"/>
  <c r="CO651" i="10" s="1"/>
  <c r="CN1003" i="10"/>
  <c r="CO1003" i="10" s="1"/>
  <c r="CN483" i="10"/>
  <c r="CO483" i="10" s="1"/>
  <c r="CN401" i="10"/>
  <c r="CO401" i="10" s="1"/>
  <c r="CN135" i="10"/>
  <c r="CO135" i="10" s="1"/>
  <c r="CN627" i="10"/>
  <c r="CO627" i="10" s="1"/>
  <c r="CN443" i="10"/>
  <c r="CO443" i="10" s="1"/>
  <c r="CN235" i="10"/>
  <c r="CO235" i="10" s="1"/>
  <c r="CN739" i="10"/>
  <c r="CO739" i="10" s="1"/>
  <c r="CN35" i="10"/>
  <c r="CO35" i="10" s="1"/>
  <c r="CN785" i="10"/>
  <c r="CO785" i="10" s="1"/>
  <c r="CN501" i="10"/>
  <c r="CO501" i="10" s="1"/>
  <c r="CN497" i="10"/>
  <c r="CO497" i="10" s="1"/>
  <c r="CN903" i="10"/>
  <c r="CO903" i="10" s="1"/>
  <c r="CN629" i="10"/>
  <c r="CO629" i="10" s="1"/>
  <c r="CN7" i="10"/>
  <c r="CO7" i="10" s="1"/>
  <c r="CN17" i="10"/>
  <c r="CO17" i="10" s="1"/>
  <c r="CN841" i="10"/>
  <c r="CO841" i="10" s="1"/>
  <c r="CN263" i="10"/>
  <c r="CO263" i="10" s="1"/>
  <c r="CN81" i="10"/>
  <c r="CO81" i="10" s="1"/>
  <c r="CN593" i="10"/>
  <c r="CO593" i="10" s="1"/>
  <c r="CN951" i="10"/>
  <c r="CO951" i="10" s="1"/>
  <c r="CN547" i="10"/>
  <c r="CO547" i="10" s="1"/>
  <c r="CN203" i="10"/>
  <c r="CO203" i="10" s="1"/>
  <c r="CN715" i="10"/>
  <c r="CO715" i="10" s="1"/>
  <c r="CN411" i="10"/>
  <c r="CO411" i="10" s="1"/>
  <c r="CN723" i="10"/>
  <c r="CO723" i="10" s="1"/>
  <c r="CN19" i="10"/>
  <c r="CO19" i="10" s="1"/>
  <c r="CN595" i="10"/>
  <c r="CO595" i="10" s="1"/>
  <c r="CN307" i="10"/>
  <c r="CO307" i="10" s="1"/>
  <c r="CN731" i="10"/>
  <c r="CO731" i="10" s="1"/>
  <c r="CN59" i="10"/>
  <c r="CO59" i="10" s="1"/>
  <c r="CN523" i="10"/>
  <c r="CO523" i="10" s="1"/>
  <c r="CN355" i="10"/>
  <c r="CO355" i="10" s="1"/>
  <c r="CN999" i="10"/>
  <c r="CO999" i="10" s="1"/>
  <c r="CN177" i="10"/>
  <c r="CO177" i="10" s="1"/>
  <c r="CN403" i="10"/>
  <c r="CO403" i="10" s="1"/>
  <c r="CN507" i="10"/>
  <c r="CO507" i="10" s="1"/>
  <c r="CN299" i="10"/>
  <c r="CO299" i="10" s="1"/>
  <c r="CN131" i="10"/>
  <c r="CO131" i="10" s="1"/>
  <c r="CN855" i="10"/>
  <c r="CO855" i="10" s="1"/>
  <c r="CN763" i="10"/>
  <c r="CO763" i="10" s="1"/>
  <c r="CN91" i="10"/>
  <c r="CO91" i="10" s="1"/>
  <c r="CN555" i="10"/>
  <c r="CO555" i="10" s="1"/>
  <c r="CN387" i="10"/>
  <c r="CO387" i="10" s="1"/>
  <c r="CN273" i="10"/>
  <c r="CO273" i="10" s="1"/>
  <c r="CN567" i="10"/>
  <c r="CO567" i="10" s="1"/>
  <c r="CN241" i="10"/>
  <c r="CO241" i="10" s="1"/>
  <c r="CN753" i="10"/>
  <c r="CO753" i="10" s="1"/>
  <c r="CN599" i="10"/>
  <c r="CO599" i="10" s="1"/>
  <c r="CN670" i="10"/>
  <c r="CO670" i="10" s="1"/>
  <c r="CN663" i="10"/>
  <c r="CO663" i="10" s="1"/>
  <c r="CN337" i="10"/>
  <c r="CO337" i="10" s="1"/>
  <c r="CN823" i="10"/>
  <c r="CO823" i="10" s="1"/>
  <c r="CN291" i="10"/>
  <c r="CO291" i="10" s="1"/>
  <c r="CN459" i="10"/>
  <c r="CO459" i="10" s="1"/>
  <c r="CN155" i="10"/>
  <c r="CO155" i="10" s="1"/>
  <c r="CN667" i="10"/>
  <c r="CO667" i="10" s="1"/>
  <c r="CN275" i="10"/>
  <c r="CO275" i="10" s="1"/>
  <c r="CN379" i="10"/>
  <c r="CO379" i="10" s="1"/>
  <c r="CN171" i="10"/>
  <c r="CO171" i="10" s="1"/>
  <c r="CN707" i="10"/>
  <c r="CO707" i="10" s="1"/>
  <c r="CN689" i="10"/>
  <c r="CO689" i="10" s="1"/>
  <c r="CN347" i="10"/>
  <c r="CO347" i="10" s="1"/>
  <c r="CN139" i="10"/>
  <c r="CO139" i="10" s="1"/>
  <c r="CN643" i="10"/>
  <c r="CO643" i="10" s="1"/>
  <c r="CN657" i="10"/>
  <c r="CO657" i="10" s="1"/>
  <c r="CN603" i="10"/>
  <c r="CO603" i="10" s="1"/>
  <c r="CN395" i="10"/>
  <c r="CO395" i="10" s="1"/>
  <c r="CN227" i="10"/>
  <c r="CO227" i="10" s="1"/>
  <c r="CN919" i="10"/>
  <c r="CO919" i="10" s="1"/>
  <c r="CN900" i="10"/>
  <c r="CO900" i="10" s="1"/>
  <c r="CN695" i="10"/>
  <c r="CO695" i="10" s="1"/>
  <c r="CN369" i="10"/>
  <c r="CO369" i="10" s="1"/>
  <c r="CN839" i="10"/>
  <c r="CO839" i="10" s="1"/>
  <c r="CN117" i="10"/>
  <c r="CO117" i="10" s="1"/>
  <c r="CN727" i="10"/>
  <c r="CO727" i="10" s="1"/>
  <c r="CN373" i="10"/>
  <c r="CO373" i="10" s="1"/>
  <c r="CN791" i="10"/>
  <c r="CO791" i="10" s="1"/>
  <c r="CN465" i="10"/>
  <c r="CO465" i="10" s="1"/>
  <c r="CN887" i="10"/>
  <c r="CO887" i="10" s="1"/>
  <c r="CN419" i="10"/>
  <c r="CO419" i="10" s="1"/>
  <c r="CN75" i="10"/>
  <c r="CO75" i="10" s="1"/>
  <c r="CN587" i="10"/>
  <c r="CO587" i="10" s="1"/>
  <c r="CN283" i="10"/>
  <c r="CO283" i="10" s="1"/>
  <c r="CN795" i="10"/>
  <c r="CO795" i="10" s="1"/>
  <c r="CN115" i="10"/>
  <c r="CO115" i="10" s="1"/>
  <c r="CN499" i="10"/>
  <c r="CO499" i="10" s="1"/>
  <c r="CN219" i="10"/>
  <c r="CO219" i="10" s="1"/>
  <c r="CN683" i="10"/>
  <c r="CO683" i="10" s="1"/>
  <c r="CN11" i="10"/>
  <c r="CO11" i="10" s="1"/>
  <c r="CN515" i="10"/>
  <c r="CO515" i="10" s="1"/>
  <c r="CN433" i="10"/>
  <c r="CO433" i="10" s="1"/>
  <c r="CN503" i="10"/>
  <c r="CO503" i="10" s="1"/>
  <c r="CN619" i="10"/>
  <c r="CO619" i="10" s="1"/>
  <c r="CN245" i="10"/>
  <c r="CO245" i="10" s="1"/>
  <c r="CN305" i="10"/>
  <c r="CO305" i="10" s="1"/>
  <c r="AD1010" i="10"/>
  <c r="AE1010" i="10" s="1"/>
  <c r="CN211" i="10"/>
  <c r="CO211" i="10" s="1"/>
  <c r="CN451" i="10"/>
  <c r="CO451" i="10" s="1"/>
  <c r="CN787" i="10"/>
  <c r="CO787" i="10" s="1"/>
  <c r="CN243" i="10"/>
  <c r="CO243" i="10" s="1"/>
  <c r="CN427" i="10"/>
  <c r="CO427" i="10" s="1"/>
  <c r="CN561" i="10"/>
  <c r="CO561" i="10" s="1"/>
  <c r="CN315" i="10"/>
  <c r="CO315" i="10" s="1"/>
  <c r="CN779" i="10"/>
  <c r="CO779" i="10" s="1"/>
  <c r="CN123" i="10"/>
  <c r="CO123" i="10" s="1"/>
  <c r="CN807" i="10"/>
  <c r="CO807" i="10" s="1"/>
  <c r="CN531" i="10"/>
  <c r="CO531" i="10" s="1"/>
  <c r="CN611" i="10"/>
  <c r="CO611" i="10" s="1"/>
  <c r="CN759" i="10"/>
  <c r="CO759" i="10" s="1"/>
  <c r="CN339" i="10"/>
  <c r="CO339" i="10" s="1"/>
  <c r="CN935" i="10"/>
  <c r="CO935" i="10" s="1"/>
  <c r="CN635" i="10"/>
  <c r="CO635" i="10" s="1"/>
  <c r="CN563" i="10"/>
  <c r="CO563" i="10" s="1"/>
  <c r="CN147" i="10"/>
  <c r="CO147" i="10" s="1"/>
  <c r="CN259" i="10"/>
  <c r="CO259" i="10" s="1"/>
  <c r="CN51" i="10"/>
  <c r="CO51" i="10" s="1"/>
  <c r="CN267" i="10"/>
  <c r="CO267" i="10" s="1"/>
  <c r="CN755" i="10"/>
  <c r="CO755" i="10" s="1"/>
  <c r="CN771" i="10"/>
  <c r="CO771" i="10" s="1"/>
  <c r="CN475" i="10"/>
  <c r="CO475" i="10" s="1"/>
  <c r="AD1011" i="10"/>
  <c r="CN99" i="10"/>
  <c r="CO99" i="10" s="1"/>
  <c r="AH22" i="12"/>
  <c r="AJ22" i="12"/>
  <c r="AI22" i="12"/>
  <c r="AG22" i="12"/>
  <c r="AF23" i="12"/>
  <c r="AF1011" i="10"/>
  <c r="AE1011" i="10"/>
  <c r="F28" i="14"/>
  <c r="W1014" i="10"/>
  <c r="V1013" i="10"/>
  <c r="U1013" i="10" s="1"/>
  <c r="X1013" i="10" s="1"/>
  <c r="Y1013" i="10" s="1"/>
  <c r="Z1013" i="10" s="1"/>
  <c r="AB1012" i="10"/>
  <c r="AC1012" i="10" s="1"/>
  <c r="D26" i="14"/>
  <c r="AO22" i="12"/>
  <c r="AL22" i="12" s="1"/>
  <c r="AN22" i="12"/>
  <c r="AP22" i="12"/>
  <c r="AM23" i="12"/>
  <c r="AQ22" i="12"/>
  <c r="U16" i="11" l="1"/>
  <c r="U19" i="11" s="1"/>
  <c r="CK44" i="10"/>
  <c r="AL44" i="10"/>
  <c r="AE44" i="10"/>
  <c r="AD44" i="10"/>
  <c r="AF44" i="10"/>
  <c r="CK39" i="10"/>
  <c r="AL39" i="10"/>
  <c r="AD39" i="10"/>
  <c r="AF39" i="10"/>
  <c r="AE39" i="10"/>
  <c r="CK43" i="10"/>
  <c r="AD43" i="10"/>
  <c r="AL43" i="10"/>
  <c r="AF43" i="10"/>
  <c r="AE43" i="10"/>
  <c r="AD35" i="10"/>
  <c r="CK35" i="10"/>
  <c r="AE35" i="10"/>
  <c r="AL35" i="10"/>
  <c r="AF35" i="10"/>
  <c r="CK40" i="10"/>
  <c r="AE40" i="10"/>
  <c r="AF40" i="10"/>
  <c r="AL40" i="10"/>
  <c r="AD40" i="10"/>
  <c r="CK45" i="10"/>
  <c r="AL45" i="10"/>
  <c r="AF45" i="10"/>
  <c r="AE45" i="10"/>
  <c r="AD45" i="10"/>
  <c r="AD46" i="10"/>
  <c r="CK46" i="10"/>
  <c r="AF46" i="10"/>
  <c r="AL46" i="10"/>
  <c r="AE46" i="10"/>
  <c r="CK36" i="10"/>
  <c r="AE36" i="10"/>
  <c r="AF36" i="10"/>
  <c r="AL36" i="10"/>
  <c r="AD36" i="10"/>
  <c r="AL38" i="10"/>
  <c r="AF38" i="10"/>
  <c r="AE38" i="10"/>
  <c r="AD38" i="10"/>
  <c r="CK38" i="10"/>
  <c r="AL37" i="10"/>
  <c r="CK37" i="10"/>
  <c r="AF37" i="10"/>
  <c r="AD37" i="10"/>
  <c r="AE37" i="10"/>
  <c r="AL41" i="10"/>
  <c r="AF41" i="10"/>
  <c r="CK41" i="10"/>
  <c r="AE41" i="10"/>
  <c r="AD41" i="10"/>
  <c r="CK42" i="10"/>
  <c r="AL42" i="10"/>
  <c r="AE42" i="10"/>
  <c r="AD42" i="10"/>
  <c r="AF42" i="10"/>
  <c r="CK34" i="10"/>
  <c r="AL34" i="10"/>
  <c r="AF34" i="10"/>
  <c r="AE34" i="10"/>
  <c r="AD34" i="10"/>
  <c r="AD14" i="10"/>
  <c r="AL14" i="10"/>
  <c r="AF14" i="10"/>
  <c r="CK14" i="10"/>
  <c r="AE14" i="10"/>
  <c r="AL16" i="10"/>
  <c r="AF16" i="10"/>
  <c r="AE16" i="10"/>
  <c r="AD16" i="10"/>
  <c r="CK16" i="10"/>
  <c r="AD10" i="10"/>
  <c r="AF10" i="10"/>
  <c r="AL10" i="10"/>
  <c r="CK10" i="10"/>
  <c r="AE10" i="10"/>
  <c r="AE5" i="10"/>
  <c r="CK5" i="10"/>
  <c r="AF5" i="10"/>
  <c r="AL5" i="10"/>
  <c r="AD5" i="10"/>
  <c r="CK9" i="10"/>
  <c r="AE9" i="10"/>
  <c r="AF9" i="10"/>
  <c r="AD9" i="10"/>
  <c r="AL9" i="10"/>
  <c r="AL28" i="10"/>
  <c r="AF28" i="10"/>
  <c r="AE28" i="10"/>
  <c r="AD28" i="10"/>
  <c r="CK28" i="10"/>
  <c r="AE23" i="10"/>
  <c r="AD23" i="10"/>
  <c r="AL23" i="10"/>
  <c r="CK23" i="10"/>
  <c r="AF23" i="10"/>
  <c r="CK29" i="10"/>
  <c r="AF29" i="10"/>
  <c r="AE29" i="10"/>
  <c r="AL29" i="10"/>
  <c r="AD29" i="10"/>
  <c r="CK13" i="10"/>
  <c r="AF13" i="10"/>
  <c r="AE13" i="10"/>
  <c r="AL13" i="10"/>
  <c r="AD13" i="10"/>
  <c r="AL20" i="10"/>
  <c r="AF20" i="10"/>
  <c r="CK20" i="10"/>
  <c r="AE20" i="10"/>
  <c r="AD20" i="10"/>
  <c r="AE11" i="10"/>
  <c r="CK11" i="10"/>
  <c r="AL11" i="10"/>
  <c r="AD11" i="10"/>
  <c r="AF11" i="10"/>
  <c r="AL6" i="10"/>
  <c r="AF6" i="10"/>
  <c r="AE6" i="10"/>
  <c r="AD6" i="10"/>
  <c r="CK6" i="10"/>
  <c r="AF8" i="10"/>
  <c r="CK8" i="10"/>
  <c r="AE8" i="10"/>
  <c r="AL8" i="10"/>
  <c r="AD8" i="10"/>
  <c r="AD30" i="10"/>
  <c r="AL30" i="10"/>
  <c r="AF30" i="10"/>
  <c r="CK30" i="10"/>
  <c r="AE30" i="10"/>
  <c r="AD22" i="10"/>
  <c r="AL22" i="10"/>
  <c r="AF22" i="10"/>
  <c r="CK22" i="10"/>
  <c r="AE22" i="10"/>
  <c r="CK21" i="10"/>
  <c r="AF21" i="10"/>
  <c r="AE21" i="10"/>
  <c r="AL21" i="10"/>
  <c r="AD21" i="10"/>
  <c r="CK4" i="10"/>
  <c r="AD4" i="10"/>
  <c r="AL4" i="10"/>
  <c r="AF4" i="10"/>
  <c r="AE4" i="10"/>
  <c r="AD18" i="10"/>
  <c r="AF18" i="10"/>
  <c r="AL18" i="10"/>
  <c r="CK18" i="10"/>
  <c r="AE18" i="10"/>
  <c r="CK17" i="10"/>
  <c r="AF17" i="10"/>
  <c r="AL17" i="10"/>
  <c r="AE17" i="10"/>
  <c r="AD17" i="10"/>
  <c r="AL12" i="10"/>
  <c r="AF12" i="10"/>
  <c r="AE12" i="10"/>
  <c r="CK12" i="10"/>
  <c r="AD12" i="10"/>
  <c r="AE27" i="10"/>
  <c r="AD27" i="10"/>
  <c r="AL27" i="10"/>
  <c r="CK27" i="10"/>
  <c r="AF27" i="10"/>
  <c r="CK33" i="10"/>
  <c r="AF33" i="10"/>
  <c r="AE33" i="10"/>
  <c r="AL33" i="10"/>
  <c r="AD33" i="10"/>
  <c r="AL32" i="10"/>
  <c r="AF32" i="10"/>
  <c r="AE32" i="10"/>
  <c r="CK32" i="10"/>
  <c r="AD32" i="10"/>
  <c r="AL24" i="10"/>
  <c r="AF24" i="10"/>
  <c r="AD24" i="10"/>
  <c r="CK24" i="10"/>
  <c r="AE24" i="10"/>
  <c r="AE19" i="10"/>
  <c r="AD19" i="10"/>
  <c r="AL19" i="10"/>
  <c r="CK19" i="10"/>
  <c r="AF19" i="10"/>
  <c r="AE15" i="10"/>
  <c r="AF15" i="10"/>
  <c r="AL15" i="10"/>
  <c r="AD15" i="10"/>
  <c r="CK15" i="10"/>
  <c r="AF7" i="10"/>
  <c r="CK7" i="10"/>
  <c r="AE7" i="10"/>
  <c r="AL7" i="10"/>
  <c r="AD7" i="10"/>
  <c r="CK25" i="10"/>
  <c r="AF25" i="10"/>
  <c r="AE25" i="10"/>
  <c r="AL25" i="10"/>
  <c r="AD25" i="10"/>
  <c r="AD26" i="10"/>
  <c r="AL26" i="10"/>
  <c r="AF26" i="10"/>
  <c r="CK26" i="10"/>
  <c r="AE26" i="10"/>
  <c r="AE31" i="10"/>
  <c r="AD31" i="10"/>
  <c r="AL31" i="10"/>
  <c r="CK31" i="10"/>
  <c r="AF31" i="10"/>
  <c r="U1006" i="10"/>
  <c r="C1076" i="14" s="1"/>
  <c r="U1381" i="10"/>
  <c r="U1432" i="10" s="1"/>
  <c r="C1072" i="14" s="1"/>
  <c r="L11" i="12"/>
  <c r="L69" i="13" s="1"/>
  <c r="I9" i="12"/>
  <c r="M11" i="12"/>
  <c r="M69" i="13" s="1"/>
  <c r="O13" i="12"/>
  <c r="J10" i="12"/>
  <c r="J65" i="13" s="1"/>
  <c r="M9" i="12"/>
  <c r="I10" i="12"/>
  <c r="I65" i="13" s="1"/>
  <c r="O10" i="12"/>
  <c r="O65" i="13" s="1"/>
  <c r="L12" i="12"/>
  <c r="L73" i="13" s="1"/>
  <c r="G13" i="12"/>
  <c r="G77" i="13" s="1"/>
  <c r="G11" i="12"/>
  <c r="G69" i="13" s="1"/>
  <c r="G10" i="12"/>
  <c r="G65" i="13" s="1"/>
  <c r="F10" i="12"/>
  <c r="H9" i="12"/>
  <c r="J13" i="12"/>
  <c r="J77" i="13" s="1"/>
  <c r="I11" i="12"/>
  <c r="I69" i="13" s="1"/>
  <c r="Q10" i="12"/>
  <c r="Q65" i="13" s="1"/>
  <c r="M13" i="12"/>
  <c r="P13" i="12"/>
  <c r="P77" i="13" s="1"/>
  <c r="H13" i="12"/>
  <c r="H77" i="13" s="1"/>
  <c r="F13" i="12"/>
  <c r="G9" i="12"/>
  <c r="O11" i="12"/>
  <c r="O69" i="13" s="1"/>
  <c r="P10" i="12"/>
  <c r="P65" i="13" s="1"/>
  <c r="O12" i="12"/>
  <c r="O73" i="13" s="1"/>
  <c r="L10" i="12"/>
  <c r="L65" i="13" s="1"/>
  <c r="I12" i="12"/>
  <c r="M10" i="12"/>
  <c r="M65" i="13" s="1"/>
  <c r="L13" i="12"/>
  <c r="L77" i="13" s="1"/>
  <c r="G12" i="12"/>
  <c r="P12" i="12"/>
  <c r="P73" i="13" s="1"/>
  <c r="N9" i="12"/>
  <c r="N11" i="12"/>
  <c r="N69" i="13" s="1"/>
  <c r="K10" i="12"/>
  <c r="K65" i="13" s="1"/>
  <c r="H10" i="12"/>
  <c r="O9" i="12"/>
  <c r="F11" i="12"/>
  <c r="K12" i="12"/>
  <c r="K73" i="13" s="1"/>
  <c r="N13" i="12"/>
  <c r="N77" i="13" s="1"/>
  <c r="H11" i="12"/>
  <c r="H69" i="13" s="1"/>
  <c r="K9" i="12"/>
  <c r="Q11" i="12"/>
  <c r="Q69" i="13" s="1"/>
  <c r="F12" i="12"/>
  <c r="L9" i="12"/>
  <c r="F9" i="12"/>
  <c r="K11" i="12"/>
  <c r="K69" i="13" s="1"/>
  <c r="I13" i="12"/>
  <c r="I77" i="13" s="1"/>
  <c r="N12" i="12"/>
  <c r="N73" i="13" s="1"/>
  <c r="P9" i="12"/>
  <c r="K13" i="12"/>
  <c r="K77" i="13" s="1"/>
  <c r="M12" i="12"/>
  <c r="M73" i="13" s="1"/>
  <c r="N10" i="12"/>
  <c r="N65" i="13" s="1"/>
  <c r="Q12" i="12"/>
  <c r="Q73" i="13" s="1"/>
  <c r="H12" i="12"/>
  <c r="H73" i="13" s="1"/>
  <c r="Q9" i="12"/>
  <c r="J9" i="12"/>
  <c r="Q13" i="12"/>
  <c r="Q77" i="13" s="1"/>
  <c r="J12" i="12"/>
  <c r="J73" i="13" s="1"/>
  <c r="P11" i="12"/>
  <c r="P69" i="13" s="1"/>
  <c r="J11" i="12"/>
  <c r="J69" i="13" s="1"/>
  <c r="BB47" i="11"/>
  <c r="AZ47" i="11"/>
  <c r="M25" i="10"/>
  <c r="M10" i="10"/>
  <c r="M36" i="10"/>
  <c r="K36" i="10"/>
  <c r="H44" i="10"/>
  <c r="M19" i="10"/>
  <c r="G20" i="10"/>
  <c r="Q38" i="10"/>
  <c r="L35" i="10"/>
  <c r="J25" i="10"/>
  <c r="M14" i="10"/>
  <c r="P15" i="10"/>
  <c r="G19" i="10"/>
  <c r="K41" i="10"/>
  <c r="G42" i="10"/>
  <c r="K34" i="10"/>
  <c r="F36" i="10"/>
  <c r="J43" i="10"/>
  <c r="N42" i="10"/>
  <c r="I17" i="10"/>
  <c r="G41" i="10"/>
  <c r="G44" i="10"/>
  <c r="P18" i="10"/>
  <c r="G25" i="10"/>
  <c r="H18" i="10"/>
  <c r="M33" i="10"/>
  <c r="P40" i="10"/>
  <c r="L9" i="10"/>
  <c r="H19" i="10"/>
  <c r="N25" i="10"/>
  <c r="O40" i="10"/>
  <c r="H32" i="10"/>
  <c r="F38" i="10"/>
  <c r="L38" i="10"/>
  <c r="Q37" i="10"/>
  <c r="O17" i="10"/>
  <c r="I30" i="10"/>
  <c r="H17" i="10"/>
  <c r="H27" i="10"/>
  <c r="I10" i="10"/>
  <c r="N15" i="10"/>
  <c r="Q29" i="10"/>
  <c r="N22" i="10"/>
  <c r="H41" i="10"/>
  <c r="H31" i="10"/>
  <c r="G10" i="10"/>
  <c r="F11" i="10"/>
  <c r="G33" i="10"/>
  <c r="J13" i="10"/>
  <c r="I24" i="10"/>
  <c r="P37" i="10"/>
  <c r="F39" i="10"/>
  <c r="J24" i="10"/>
  <c r="H39" i="10"/>
  <c r="L12" i="10"/>
  <c r="L44" i="10"/>
  <c r="O32" i="10"/>
  <c r="J30" i="10"/>
  <c r="H11" i="10"/>
  <c r="K42" i="10"/>
  <c r="G29" i="10"/>
  <c r="G15" i="10"/>
  <c r="K12" i="10"/>
  <c r="P23" i="10"/>
  <c r="N41" i="10"/>
  <c r="L27" i="10"/>
  <c r="P26" i="10"/>
  <c r="O13" i="10"/>
  <c r="Q33" i="10"/>
  <c r="J21" i="10"/>
  <c r="H40" i="10"/>
  <c r="I26" i="10"/>
  <c r="I38" i="10"/>
  <c r="P42" i="10"/>
  <c r="F40" i="10"/>
  <c r="J35" i="10"/>
  <c r="L26" i="10"/>
  <c r="P32" i="10"/>
  <c r="O12" i="10"/>
  <c r="N13" i="10"/>
  <c r="P24" i="10"/>
  <c r="Q36" i="10"/>
  <c r="P28" i="10"/>
  <c r="P35" i="10"/>
  <c r="F18" i="10"/>
  <c r="Q39" i="10"/>
  <c r="J34" i="10"/>
  <c r="L18" i="10"/>
  <c r="F30" i="10"/>
  <c r="K23" i="10"/>
  <c r="N21" i="10"/>
  <c r="N17" i="10"/>
  <c r="M42" i="10"/>
  <c r="K24" i="10"/>
  <c r="H35" i="10"/>
  <c r="I14" i="10"/>
  <c r="N33" i="10"/>
  <c r="Q11" i="10"/>
  <c r="J40" i="10"/>
  <c r="L10" i="10"/>
  <c r="O35" i="10"/>
  <c r="Q17" i="10"/>
  <c r="G21" i="10"/>
  <c r="O42" i="10"/>
  <c r="L22" i="10"/>
  <c r="K28" i="10"/>
  <c r="I44" i="10"/>
  <c r="J27" i="10"/>
  <c r="J31" i="10"/>
  <c r="L43" i="10"/>
  <c r="N44" i="10"/>
  <c r="O28" i="10"/>
  <c r="K14" i="10"/>
  <c r="M23" i="10"/>
  <c r="M35" i="10"/>
  <c r="I33" i="10"/>
  <c r="K13" i="10"/>
  <c r="H33" i="10"/>
  <c r="J14" i="10"/>
  <c r="N39" i="10"/>
  <c r="I32" i="10"/>
  <c r="Q42" i="10"/>
  <c r="H14" i="10"/>
  <c r="K16" i="10"/>
  <c r="G12" i="10"/>
  <c r="I15" i="10"/>
  <c r="F44" i="10"/>
  <c r="G34" i="10"/>
  <c r="J10" i="10"/>
  <c r="I19" i="10"/>
  <c r="H24" i="10"/>
  <c r="P29" i="10"/>
  <c r="O29" i="10"/>
  <c r="Q30" i="10"/>
  <c r="M38" i="10"/>
  <c r="M20" i="10"/>
  <c r="F34" i="10"/>
  <c r="L21" i="10"/>
  <c r="N36" i="10"/>
  <c r="I31" i="10"/>
  <c r="L30" i="10"/>
  <c r="G30" i="10"/>
  <c r="H28" i="10"/>
  <c r="O10" i="10"/>
  <c r="F37" i="10"/>
  <c r="J42" i="10"/>
  <c r="K31" i="10"/>
  <c r="Q16" i="10"/>
  <c r="P43" i="10"/>
  <c r="Q27" i="10"/>
  <c r="F16" i="10"/>
  <c r="H21" i="10"/>
  <c r="O23" i="10"/>
  <c r="G14" i="10"/>
  <c r="P41" i="10"/>
  <c r="M44" i="10"/>
  <c r="M43" i="10"/>
  <c r="I11" i="10"/>
  <c r="H12" i="10"/>
  <c r="P44" i="10"/>
  <c r="J36" i="10"/>
  <c r="N37" i="10"/>
  <c r="I13" i="10"/>
  <c r="K30" i="10"/>
  <c r="H13" i="10"/>
  <c r="J11" i="10"/>
  <c r="N27" i="10"/>
  <c r="I34" i="10"/>
  <c r="H9" i="10"/>
  <c r="N29" i="10"/>
  <c r="L34" i="10"/>
  <c r="Q28" i="10"/>
  <c r="N32" i="10"/>
  <c r="P22" i="10"/>
  <c r="L36" i="10"/>
  <c r="Q41" i="10"/>
  <c r="L42" i="10"/>
  <c r="G28" i="10"/>
  <c r="G9" i="10"/>
  <c r="I20" i="10"/>
  <c r="O33" i="10"/>
  <c r="L17" i="10"/>
  <c r="O38" i="10"/>
  <c r="P19" i="10"/>
  <c r="O37" i="10"/>
  <c r="O18" i="10"/>
  <c r="J39" i="10"/>
  <c r="L20" i="10"/>
  <c r="H23" i="10"/>
  <c r="F43" i="10"/>
  <c r="J28" i="10"/>
  <c r="O20" i="10"/>
  <c r="P27" i="10"/>
  <c r="F32" i="10"/>
  <c r="M39" i="10"/>
  <c r="M29" i="10"/>
  <c r="M13" i="10"/>
  <c r="Q35" i="10"/>
  <c r="F29" i="10"/>
  <c r="K38" i="10"/>
  <c r="G23" i="10"/>
  <c r="N11" i="10"/>
  <c r="K9" i="10"/>
  <c r="F19" i="10"/>
  <c r="N20" i="10"/>
  <c r="J26" i="10"/>
  <c r="N10" i="10"/>
  <c r="Q26" i="10"/>
  <c r="K15" i="10"/>
  <c r="P31" i="10"/>
  <c r="L15" i="10"/>
  <c r="K44" i="10"/>
  <c r="O27" i="10"/>
  <c r="J12" i="10"/>
  <c r="I43" i="10"/>
  <c r="H10" i="10"/>
  <c r="M17" i="10"/>
  <c r="M18" i="10"/>
  <c r="I37" i="10"/>
  <c r="K43" i="10"/>
  <c r="H38" i="10"/>
  <c r="J37" i="10"/>
  <c r="N28" i="10"/>
  <c r="I18" i="10"/>
  <c r="F17" i="10"/>
  <c r="H29" i="10"/>
  <c r="K21" i="10"/>
  <c r="G36" i="10"/>
  <c r="I27" i="10"/>
  <c r="H22" i="10"/>
  <c r="G18" i="10"/>
  <c r="J22" i="10"/>
  <c r="I42" i="10"/>
  <c r="H37" i="10"/>
  <c r="P39" i="10"/>
  <c r="O19" i="10"/>
  <c r="Q22" i="10"/>
  <c r="M22" i="10"/>
  <c r="Q40" i="10"/>
  <c r="K26" i="10"/>
  <c r="P11" i="10"/>
  <c r="F42" i="10"/>
  <c r="G39" i="10"/>
  <c r="O31" i="10"/>
  <c r="P25" i="10"/>
  <c r="F24" i="10"/>
  <c r="O21" i="10"/>
  <c r="H20" i="10"/>
  <c r="J16" i="10"/>
  <c r="F20" i="10"/>
  <c r="L33" i="10"/>
  <c r="O44" i="10"/>
  <c r="J32" i="10"/>
  <c r="M32" i="10"/>
  <c r="I21" i="10"/>
  <c r="H16" i="10"/>
  <c r="J17" i="10"/>
  <c r="Q31" i="10"/>
  <c r="M27" i="10"/>
  <c r="I29" i="10"/>
  <c r="M34" i="10"/>
  <c r="H36" i="10"/>
  <c r="P10" i="10"/>
  <c r="G11" i="10"/>
  <c r="P12" i="10"/>
  <c r="J38" i="10"/>
  <c r="O43" i="10"/>
  <c r="O39" i="10"/>
  <c r="G35" i="10"/>
  <c r="N16" i="10"/>
  <c r="O25" i="10"/>
  <c r="L25" i="10"/>
  <c r="N38" i="10"/>
  <c r="J9" i="10"/>
  <c r="L11" i="10"/>
  <c r="O26" i="10"/>
  <c r="P14" i="10"/>
  <c r="O34" i="10"/>
  <c r="F35" i="10"/>
  <c r="G24" i="10"/>
  <c r="F21" i="10"/>
  <c r="I28" i="10"/>
  <c r="J41" i="10"/>
  <c r="Q19" i="10"/>
  <c r="M16" i="10"/>
  <c r="I35" i="10"/>
  <c r="K40" i="10"/>
  <c r="Q15" i="10"/>
  <c r="M21" i="10"/>
  <c r="K19" i="10"/>
  <c r="Q43" i="10"/>
  <c r="L14" i="10"/>
  <c r="I16" i="10"/>
  <c r="L32" i="10"/>
  <c r="F9" i="10"/>
  <c r="J33" i="10"/>
  <c r="L31" i="10"/>
  <c r="K25" i="10"/>
  <c r="G27" i="10"/>
  <c r="G32" i="10"/>
  <c r="M41" i="10"/>
  <c r="I41" i="10"/>
  <c r="P34" i="10"/>
  <c r="F25" i="10"/>
  <c r="L13" i="10"/>
  <c r="P38" i="10"/>
  <c r="F12" i="10"/>
  <c r="N19" i="10"/>
  <c r="J15" i="10"/>
  <c r="F23" i="10"/>
  <c r="Q23" i="10"/>
  <c r="N14" i="10"/>
  <c r="K39" i="10"/>
  <c r="F14" i="10"/>
  <c r="I23" i="10"/>
  <c r="M9" i="10"/>
  <c r="F31" i="10"/>
  <c r="F27" i="10"/>
  <c r="H15" i="10"/>
  <c r="F33" i="10"/>
  <c r="L40" i="10"/>
  <c r="M40" i="10"/>
  <c r="F22" i="10"/>
  <c r="P33" i="10"/>
  <c r="I9" i="10"/>
  <c r="Q12" i="10"/>
  <c r="Q34" i="10"/>
  <c r="K32" i="10"/>
  <c r="H42" i="10"/>
  <c r="O15" i="10"/>
  <c r="Q13" i="10"/>
  <c r="N24" i="10"/>
  <c r="Q14" i="10"/>
  <c r="J20" i="10"/>
  <c r="F13" i="10"/>
  <c r="P13" i="10"/>
  <c r="O36" i="10"/>
  <c r="Q44" i="10"/>
  <c r="M24" i="10"/>
  <c r="G38" i="10"/>
  <c r="N9" i="10"/>
  <c r="M12" i="10"/>
  <c r="O14" i="10"/>
  <c r="L19" i="10"/>
  <c r="O16" i="10"/>
  <c r="O24" i="10"/>
  <c r="K11" i="10"/>
  <c r="N12" i="10"/>
  <c r="L28" i="10"/>
  <c r="H34" i="10"/>
  <c r="J19" i="10"/>
  <c r="K22" i="10"/>
  <c r="J23" i="10"/>
  <c r="I12" i="10"/>
  <c r="M37" i="10"/>
  <c r="L29" i="10"/>
  <c r="G37" i="10"/>
  <c r="H43" i="10"/>
  <c r="O11" i="10"/>
  <c r="J29" i="10"/>
  <c r="Q21" i="10"/>
  <c r="N30" i="10"/>
  <c r="K35" i="10"/>
  <c r="F26" i="10"/>
  <c r="I22" i="10"/>
  <c r="G26" i="10"/>
  <c r="K29" i="10"/>
  <c r="F41" i="10"/>
  <c r="Q20" i="10"/>
  <c r="M15" i="10"/>
  <c r="Q24" i="10"/>
  <c r="L16" i="10"/>
  <c r="P30" i="10"/>
  <c r="Q18" i="10"/>
  <c r="H25" i="10"/>
  <c r="M31" i="10"/>
  <c r="K27" i="10"/>
  <c r="N43" i="10"/>
  <c r="K17" i="10"/>
  <c r="Q32" i="10"/>
  <c r="P20" i="10"/>
  <c r="I25" i="10"/>
  <c r="G43" i="10"/>
  <c r="N26" i="10"/>
  <c r="K33" i="10"/>
  <c r="Q25" i="10"/>
  <c r="L41" i="10"/>
  <c r="H26" i="10"/>
  <c r="M26" i="10"/>
  <c r="F15" i="10"/>
  <c r="N18" i="10"/>
  <c r="F10" i="10"/>
  <c r="M28" i="10"/>
  <c r="O41" i="10"/>
  <c r="G40" i="10"/>
  <c r="N31" i="10"/>
  <c r="P16" i="10"/>
  <c r="H30" i="10"/>
  <c r="J44" i="10"/>
  <c r="L24" i="10"/>
  <c r="I36" i="10"/>
  <c r="K10" i="10"/>
  <c r="I39" i="10"/>
  <c r="P21" i="10"/>
  <c r="N23" i="10"/>
  <c r="F28" i="10"/>
  <c r="L37" i="10"/>
  <c r="K37" i="10"/>
  <c r="Q9" i="10"/>
  <c r="O30" i="10"/>
  <c r="K18" i="10"/>
  <c r="I40" i="10"/>
  <c r="G13" i="10"/>
  <c r="N34" i="10"/>
  <c r="O22" i="10"/>
  <c r="L39" i="10"/>
  <c r="G22" i="10"/>
  <c r="N35" i="10"/>
  <c r="K20" i="10"/>
  <c r="L23" i="10"/>
  <c r="M30" i="10"/>
  <c r="O9" i="10"/>
  <c r="P9" i="10"/>
  <c r="G17" i="10"/>
  <c r="P17" i="10"/>
  <c r="Q10" i="10"/>
  <c r="P36" i="10"/>
  <c r="M11" i="10"/>
  <c r="J18" i="10"/>
  <c r="G16" i="10"/>
  <c r="G31" i="10"/>
  <c r="N40" i="10"/>
  <c r="G148" i="17"/>
  <c r="J148" i="17" s="1"/>
  <c r="AF24" i="12"/>
  <c r="G153" i="17"/>
  <c r="G155" i="17"/>
  <c r="G154" i="17"/>
  <c r="G129" i="17"/>
  <c r="J129" i="17" s="1"/>
  <c r="G138" i="17"/>
  <c r="J138" i="17" s="1"/>
  <c r="G142" i="17"/>
  <c r="G143" i="17"/>
  <c r="J143" i="17" s="1"/>
  <c r="G141" i="17"/>
  <c r="G137" i="17"/>
  <c r="J137" i="17" s="1"/>
  <c r="G145" i="17"/>
  <c r="J145" i="17" s="1"/>
  <c r="G162" i="17"/>
  <c r="J162" i="17" s="1"/>
  <c r="G151" i="17"/>
  <c r="G156" i="17"/>
  <c r="J156" i="17" s="1"/>
  <c r="G146" i="17"/>
  <c r="J146" i="17" s="1"/>
  <c r="G147" i="17"/>
  <c r="J147" i="17" s="1"/>
  <c r="G139" i="17"/>
  <c r="J139" i="17" s="1"/>
  <c r="G128" i="17"/>
  <c r="J128" i="17" s="1"/>
  <c r="G133" i="17"/>
  <c r="J133" i="17" s="1"/>
  <c r="G132" i="17"/>
  <c r="J132" i="17" s="1"/>
  <c r="G149" i="17"/>
  <c r="G135" i="17"/>
  <c r="G134" i="17"/>
  <c r="J134" i="17" s="1"/>
  <c r="G157" i="17"/>
  <c r="G161" i="17"/>
  <c r="G160" i="17"/>
  <c r="J160" i="17" s="1"/>
  <c r="G144" i="17"/>
  <c r="J144" i="17" s="1"/>
  <c r="G150" i="17"/>
  <c r="J150" i="17" s="1"/>
  <c r="G131" i="17"/>
  <c r="J131" i="17" s="1"/>
  <c r="G152" i="17"/>
  <c r="J152" i="17" s="1"/>
  <c r="G130" i="17"/>
  <c r="G158" i="17"/>
  <c r="J158" i="17" s="1"/>
  <c r="G163" i="17"/>
  <c r="G136" i="17"/>
  <c r="J136" i="17" s="1"/>
  <c r="G140" i="17"/>
  <c r="G159" i="17"/>
  <c r="J159" i="17" s="1"/>
  <c r="AJ23" i="12"/>
  <c r="AI23" i="12"/>
  <c r="AH23" i="12"/>
  <c r="AG23" i="12"/>
  <c r="AD1012" i="10"/>
  <c r="AE1012" i="10" s="1"/>
  <c r="AF1012" i="10"/>
  <c r="AO23" i="12"/>
  <c r="AL23" i="12" s="1"/>
  <c r="AM24" i="12"/>
  <c r="AP23" i="12"/>
  <c r="AQ23" i="12"/>
  <c r="AN23" i="12"/>
  <c r="F29" i="14"/>
  <c r="D27" i="14"/>
  <c r="V1014" i="10"/>
  <c r="U1014" i="10" s="1"/>
  <c r="X1014" i="10" s="1"/>
  <c r="Y1014" i="10" s="1"/>
  <c r="Z1014" i="10" s="1"/>
  <c r="W1015" i="10"/>
  <c r="AB1013" i="10"/>
  <c r="AF1013" i="10" s="1"/>
  <c r="U22" i="11" l="1"/>
  <c r="U25" i="11" s="1"/>
  <c r="U28" i="11" s="1"/>
  <c r="D4110" i="14"/>
  <c r="E4110" i="14" s="1"/>
  <c r="D4072" i="14"/>
  <c r="E4072" i="14" s="1"/>
  <c r="G4116" i="14"/>
  <c r="D4108" i="14"/>
  <c r="E4108" i="14" s="1"/>
  <c r="D4103" i="14"/>
  <c r="E4103" i="14" s="1"/>
  <c r="G4085" i="14"/>
  <c r="G4081" i="14"/>
  <c r="D4074" i="14"/>
  <c r="E4074" i="14" s="1"/>
  <c r="D4106" i="14"/>
  <c r="E4106" i="14" s="1"/>
  <c r="D4096" i="14"/>
  <c r="E4096" i="14" s="1"/>
  <c r="D4073" i="14"/>
  <c r="E4073" i="14" s="1"/>
  <c r="D4084" i="14"/>
  <c r="E4084" i="14" s="1"/>
  <c r="D4107" i="14"/>
  <c r="E4107" i="14" s="1"/>
  <c r="G4108" i="14"/>
  <c r="G4114" i="14"/>
  <c r="G4096" i="14"/>
  <c r="G4080" i="14"/>
  <c r="D4079" i="14"/>
  <c r="E4079" i="14" s="1"/>
  <c r="D4069" i="14"/>
  <c r="E4069" i="14" s="1"/>
  <c r="G4078" i="14"/>
  <c r="D4083" i="14"/>
  <c r="E4083" i="14" s="1"/>
  <c r="D4095" i="14"/>
  <c r="E4095" i="14" s="1"/>
  <c r="D4080" i="14"/>
  <c r="E4080" i="14" s="1"/>
  <c r="G4100" i="14"/>
  <c r="G4110" i="14"/>
  <c r="G4082" i="14"/>
  <c r="H4088" i="14"/>
  <c r="H4093" i="14"/>
  <c r="H4097" i="14"/>
  <c r="H4076" i="14"/>
  <c r="H4103" i="14"/>
  <c r="H4083" i="14"/>
  <c r="H4071" i="14"/>
  <c r="H4074" i="14"/>
  <c r="H4089" i="14"/>
  <c r="H4082" i="14"/>
  <c r="H4072" i="14"/>
  <c r="H4106" i="14"/>
  <c r="G4102" i="14"/>
  <c r="D4086" i="14"/>
  <c r="E4086" i="14" s="1"/>
  <c r="G4084" i="14"/>
  <c r="G4076" i="14"/>
  <c r="D4094" i="14"/>
  <c r="E4094" i="14" s="1"/>
  <c r="D4093" i="14"/>
  <c r="E4093" i="14" s="1"/>
  <c r="D4111" i="14"/>
  <c r="E4111" i="14" s="1"/>
  <c r="G4104" i="14"/>
  <c r="G4079" i="14"/>
  <c r="G4083" i="14"/>
  <c r="G4098" i="14"/>
  <c r="G4091" i="14"/>
  <c r="G4103" i="14"/>
  <c r="D4100" i="14"/>
  <c r="E4100" i="14" s="1"/>
  <c r="G4093" i="14"/>
  <c r="G4067" i="14"/>
  <c r="D4101" i="14"/>
  <c r="E4101" i="14" s="1"/>
  <c r="G4111" i="14"/>
  <c r="G4092" i="14"/>
  <c r="G4090" i="14"/>
  <c r="G4097" i="14"/>
  <c r="G4070" i="14"/>
  <c r="D4098" i="14"/>
  <c r="E4098" i="14" s="1"/>
  <c r="G4113" i="14"/>
  <c r="G4118" i="14"/>
  <c r="G4077" i="14"/>
  <c r="H4070" i="14"/>
  <c r="H4075" i="14"/>
  <c r="H4092" i="14"/>
  <c r="H4107" i="14"/>
  <c r="H4116" i="14"/>
  <c r="H4117" i="14"/>
  <c r="H4102" i="14"/>
  <c r="H4086" i="14"/>
  <c r="H4096" i="14"/>
  <c r="H4118" i="14"/>
  <c r="H4098" i="14"/>
  <c r="H4084" i="14"/>
  <c r="D4113" i="14"/>
  <c r="E4113" i="14" s="1"/>
  <c r="D4075" i="14"/>
  <c r="E4075" i="14" s="1"/>
  <c r="D4099" i="14"/>
  <c r="E4099" i="14" s="1"/>
  <c r="G4105" i="14"/>
  <c r="D4088" i="14"/>
  <c r="E4088" i="14" s="1"/>
  <c r="D4070" i="14"/>
  <c r="E4070" i="14" s="1"/>
  <c r="G4068" i="14"/>
  <c r="D4116" i="14"/>
  <c r="E4116" i="14" s="1"/>
  <c r="D4082" i="14"/>
  <c r="E4082" i="14" s="1"/>
  <c r="D4114" i="14"/>
  <c r="E4114" i="14" s="1"/>
  <c r="G4109" i="14"/>
  <c r="D4112" i="14"/>
  <c r="E4112" i="14" s="1"/>
  <c r="G4115" i="14"/>
  <c r="G4074" i="14"/>
  <c r="G4088" i="14"/>
  <c r="D4077" i="14"/>
  <c r="E4077" i="14" s="1"/>
  <c r="G4099" i="14"/>
  <c r="G4072" i="14"/>
  <c r="D4102" i="14"/>
  <c r="E4102" i="14" s="1"/>
  <c r="G4071" i="14"/>
  <c r="D4089" i="14"/>
  <c r="E4089" i="14" s="1"/>
  <c r="D4091" i="14"/>
  <c r="E4091" i="14" s="1"/>
  <c r="G4117" i="14"/>
  <c r="G4069" i="14"/>
  <c r="D4090" i="14"/>
  <c r="E4090" i="14" s="1"/>
  <c r="G4101" i="14"/>
  <c r="H4080" i="14"/>
  <c r="H4109" i="14"/>
  <c r="H4104" i="14"/>
  <c r="H4079" i="14"/>
  <c r="H4073" i="14"/>
  <c r="H4081" i="14"/>
  <c r="H4115" i="14"/>
  <c r="H4085" i="14"/>
  <c r="H4114" i="14"/>
  <c r="H4105" i="14"/>
  <c r="H4101" i="14"/>
  <c r="H4110" i="14"/>
  <c r="G4107" i="14"/>
  <c r="G4087" i="14"/>
  <c r="G4095" i="14"/>
  <c r="D4109" i="14"/>
  <c r="E4109" i="14" s="1"/>
  <c r="G4106" i="14"/>
  <c r="G4089" i="14"/>
  <c r="D4068" i="14"/>
  <c r="E4068" i="14" s="1"/>
  <c r="D4105" i="14"/>
  <c r="E4105" i="14" s="1"/>
  <c r="D4104" i="14"/>
  <c r="E4104" i="14" s="1"/>
  <c r="D4115" i="14"/>
  <c r="E4115" i="14" s="1"/>
  <c r="D4087" i="14"/>
  <c r="E4087" i="14" s="1"/>
  <c r="D4085" i="14"/>
  <c r="E4085" i="14" s="1"/>
  <c r="D4092" i="14"/>
  <c r="E4092" i="14" s="1"/>
  <c r="D4097" i="14"/>
  <c r="E4097" i="14" s="1"/>
  <c r="G4075" i="14"/>
  <c r="G4073" i="14"/>
  <c r="G4112" i="14"/>
  <c r="D4117" i="14"/>
  <c r="E4117" i="14" s="1"/>
  <c r="D4118" i="14"/>
  <c r="E4118" i="14" s="1"/>
  <c r="D4067" i="14"/>
  <c r="E4067" i="14" s="1"/>
  <c r="D4076" i="14"/>
  <c r="E4076" i="14" s="1"/>
  <c r="D4081" i="14"/>
  <c r="E4081" i="14" s="1"/>
  <c r="D4078" i="14"/>
  <c r="E4078" i="14" s="1"/>
  <c r="G4094" i="14"/>
  <c r="G4086" i="14"/>
  <c r="D4071" i="14"/>
  <c r="E4071" i="14" s="1"/>
  <c r="H4100" i="14"/>
  <c r="H4090" i="14"/>
  <c r="H4091" i="14"/>
  <c r="H4094" i="14"/>
  <c r="H4112" i="14"/>
  <c r="H4099" i="14"/>
  <c r="H4111" i="14"/>
  <c r="H4113" i="14"/>
  <c r="H4078" i="14"/>
  <c r="H4108" i="14"/>
  <c r="H4095" i="14"/>
  <c r="H4077" i="14"/>
  <c r="H4087" i="14"/>
  <c r="S9" i="12"/>
  <c r="S12" i="12"/>
  <c r="S13" i="12"/>
  <c r="S10" i="12"/>
  <c r="S11" i="12"/>
  <c r="Z1006" i="11"/>
  <c r="BB48" i="11"/>
  <c r="AZ48" i="11"/>
  <c r="AQ6" i="12" s="1"/>
  <c r="AE1006" i="10"/>
  <c r="AF1006" i="10"/>
  <c r="AD1006" i="10"/>
  <c r="AL1006" i="10"/>
  <c r="CK1006" i="10"/>
  <c r="S31" i="10"/>
  <c r="F1062" i="14" s="1"/>
  <c r="S36" i="10"/>
  <c r="F1067" i="14" s="1"/>
  <c r="S30" i="10"/>
  <c r="F1061" i="14" s="1"/>
  <c r="S26" i="10"/>
  <c r="F1057" i="14" s="1"/>
  <c r="S12" i="10"/>
  <c r="I1043" i="14" s="1"/>
  <c r="S35" i="10"/>
  <c r="F1066" i="14" s="1"/>
  <c r="S29" i="10"/>
  <c r="F1060" i="14" s="1"/>
  <c r="S16" i="10"/>
  <c r="I1047" i="14" s="1"/>
  <c r="S44" i="10"/>
  <c r="I1075" i="14" s="1"/>
  <c r="S40" i="10"/>
  <c r="F1071" i="14" s="1"/>
  <c r="S11" i="10"/>
  <c r="I1042" i="14" s="1"/>
  <c r="S21" i="10"/>
  <c r="I1052" i="14" s="1"/>
  <c r="S17" i="10"/>
  <c r="F1048" i="14" s="1"/>
  <c r="S34" i="10"/>
  <c r="I1065" i="14" s="1"/>
  <c r="S18" i="10"/>
  <c r="F1049" i="14" s="1"/>
  <c r="S10" i="10"/>
  <c r="F1041" i="14" s="1"/>
  <c r="S41" i="10"/>
  <c r="F1072" i="14" s="1"/>
  <c r="S13" i="10"/>
  <c r="F1044" i="14" s="1"/>
  <c r="S22" i="10"/>
  <c r="F1053" i="14" s="1"/>
  <c r="S9" i="10"/>
  <c r="I1040" i="14" s="1"/>
  <c r="S28" i="10"/>
  <c r="I1059" i="14" s="1"/>
  <c r="S15" i="10"/>
  <c r="F1046" i="14" s="1"/>
  <c r="S27" i="10"/>
  <c r="F1058" i="14" s="1"/>
  <c r="S14" i="10"/>
  <c r="I1045" i="14" s="1"/>
  <c r="S23" i="10"/>
  <c r="F1054" i="14" s="1"/>
  <c r="S20" i="10"/>
  <c r="I1051" i="14" s="1"/>
  <c r="S24" i="10"/>
  <c r="I1055" i="14" s="1"/>
  <c r="S42" i="10"/>
  <c r="I1073" i="14" s="1"/>
  <c r="S32" i="10"/>
  <c r="I1063" i="14" s="1"/>
  <c r="S43" i="10"/>
  <c r="F1074" i="14" s="1"/>
  <c r="S38" i="10"/>
  <c r="F1069" i="14" s="1"/>
  <c r="S37" i="10"/>
  <c r="F1068" i="14" s="1"/>
  <c r="S33" i="10"/>
  <c r="F1064" i="14" s="1"/>
  <c r="S25" i="10"/>
  <c r="F1056" i="14" s="1"/>
  <c r="S19" i="10"/>
  <c r="I1050" i="14" s="1"/>
  <c r="S39" i="10"/>
  <c r="F1070" i="14" s="1"/>
  <c r="F6" i="12"/>
  <c r="AJ40" i="16"/>
  <c r="I61" i="13"/>
  <c r="I6" i="12"/>
  <c r="M61" i="13"/>
  <c r="M6" i="12"/>
  <c r="K61" i="13"/>
  <c r="K6" i="12"/>
  <c r="F61" i="13"/>
  <c r="N61" i="13"/>
  <c r="N6" i="12"/>
  <c r="P61" i="13"/>
  <c r="P6" i="12"/>
  <c r="Q61" i="13"/>
  <c r="Q6" i="12"/>
  <c r="O61" i="13"/>
  <c r="O6" i="12"/>
  <c r="G6" i="12"/>
  <c r="H61" i="13"/>
  <c r="H6" i="12"/>
  <c r="L61" i="13"/>
  <c r="L6" i="12"/>
  <c r="J6" i="12"/>
  <c r="J155" i="17"/>
  <c r="J153" i="17"/>
  <c r="J154" i="17"/>
  <c r="AI24" i="12"/>
  <c r="AG24" i="12"/>
  <c r="AJ24" i="12"/>
  <c r="AH24" i="12"/>
  <c r="AF25" i="12"/>
  <c r="J142" i="17"/>
  <c r="J141" i="17"/>
  <c r="AJ37" i="16"/>
  <c r="F73" i="13"/>
  <c r="AL37" i="16"/>
  <c r="AL41" i="16"/>
  <c r="J140" i="17"/>
  <c r="J130" i="17"/>
  <c r="G61" i="13"/>
  <c r="J151" i="17"/>
  <c r="J157" i="17"/>
  <c r="AP41" i="16"/>
  <c r="F77" i="13"/>
  <c r="AJ41" i="16"/>
  <c r="AM37" i="16"/>
  <c r="AN41" i="16"/>
  <c r="AK37" i="16"/>
  <c r="AM41" i="16"/>
  <c r="AN37" i="16"/>
  <c r="AR41" i="16"/>
  <c r="AM39" i="16"/>
  <c r="AL40" i="16"/>
  <c r="AO41" i="16"/>
  <c r="AK41" i="16"/>
  <c r="AR40" i="16"/>
  <c r="AT39" i="16"/>
  <c r="M77" i="13"/>
  <c r="AQ41" i="16"/>
  <c r="AL39" i="16"/>
  <c r="AP37" i="16"/>
  <c r="AT38" i="16"/>
  <c r="O77" i="13"/>
  <c r="AS41" i="16"/>
  <c r="G73" i="13"/>
  <c r="AM40" i="16"/>
  <c r="AO40" i="16"/>
  <c r="AT40" i="16"/>
  <c r="AN40" i="16"/>
  <c r="AP40" i="16"/>
  <c r="AS40" i="16"/>
  <c r="AK40" i="16"/>
  <c r="AP39" i="16"/>
  <c r="AN39" i="16"/>
  <c r="AQ40" i="16"/>
  <c r="H65" i="13"/>
  <c r="AL38" i="16"/>
  <c r="AP38" i="16"/>
  <c r="AR38" i="16"/>
  <c r="AN38" i="16"/>
  <c r="AS38" i="16"/>
  <c r="AU38" i="16"/>
  <c r="AJ38" i="16"/>
  <c r="AM38" i="16"/>
  <c r="AO38" i="16"/>
  <c r="F69" i="13"/>
  <c r="AQ38" i="16"/>
  <c r="F65" i="13"/>
  <c r="AT41" i="16"/>
  <c r="I73" i="13"/>
  <c r="AJ39" i="16"/>
  <c r="AS39" i="16"/>
  <c r="AU39" i="16"/>
  <c r="AK39" i="16"/>
  <c r="AR39" i="16"/>
  <c r="AQ39" i="16"/>
  <c r="AU37" i="16"/>
  <c r="AR37" i="16"/>
  <c r="AS37" i="16"/>
  <c r="J61" i="13"/>
  <c r="AQ37" i="16"/>
  <c r="AT37" i="16"/>
  <c r="AO39" i="16"/>
  <c r="AK38" i="16"/>
  <c r="AO37" i="16"/>
  <c r="AU41" i="16"/>
  <c r="AU40" i="16"/>
  <c r="J149" i="17"/>
  <c r="J163" i="17"/>
  <c r="E128" i="17"/>
  <c r="E129" i="17" s="1"/>
  <c r="AC1013" i="10"/>
  <c r="AD1013" i="10" s="1"/>
  <c r="J135" i="17"/>
  <c r="J161" i="17"/>
  <c r="D28" i="14"/>
  <c r="F30" i="14"/>
  <c r="AB1014" i="10"/>
  <c r="AC1014" i="10" s="1"/>
  <c r="AD1014" i="10" s="1"/>
  <c r="AE1014" i="10" s="1"/>
  <c r="AO24" i="12"/>
  <c r="AL24" i="12" s="1"/>
  <c r="AM25" i="12"/>
  <c r="AQ24" i="12"/>
  <c r="AN24" i="12"/>
  <c r="AP24" i="12"/>
  <c r="W1016" i="10"/>
  <c r="V1015" i="10"/>
  <c r="U1015" i="10" s="1"/>
  <c r="X1015" i="10" s="1"/>
  <c r="Y1015" i="10" s="1"/>
  <c r="Z1015" i="10" s="1"/>
  <c r="B81" i="10"/>
  <c r="U29" i="11" l="1"/>
  <c r="U30" i="11" s="1"/>
  <c r="U31" i="11" s="1"/>
  <c r="E74" i="17"/>
  <c r="E73" i="17"/>
  <c r="AQ4" i="12"/>
  <c r="AQ5" i="12"/>
  <c r="E71" i="17"/>
  <c r="E70" i="17"/>
  <c r="E72" i="17"/>
  <c r="S65" i="13"/>
  <c r="V65" i="13" s="1"/>
  <c r="E130" i="17"/>
  <c r="E131" i="17" s="1"/>
  <c r="S61" i="13"/>
  <c r="V61" i="13" s="1"/>
  <c r="S77" i="13"/>
  <c r="V77" i="13" s="1"/>
  <c r="S73" i="13"/>
  <c r="V73" i="13" s="1"/>
  <c r="S69" i="13"/>
  <c r="V69" i="13" s="1"/>
  <c r="H12" i="13"/>
  <c r="K12" i="13"/>
  <c r="I12" i="13"/>
  <c r="L12" i="13"/>
  <c r="G12" i="13"/>
  <c r="M12" i="13"/>
  <c r="J12" i="13"/>
  <c r="Q12" i="13"/>
  <c r="N12" i="13"/>
  <c r="O12" i="13"/>
  <c r="P12" i="13"/>
  <c r="I1057" i="14"/>
  <c r="F1052" i="14"/>
  <c r="I1069" i="14"/>
  <c r="I1049" i="14"/>
  <c r="I1061" i="14"/>
  <c r="I1074" i="14"/>
  <c r="F1051" i="14"/>
  <c r="F1075" i="14"/>
  <c r="I1067" i="14"/>
  <c r="I1048" i="14"/>
  <c r="I1064" i="14"/>
  <c r="I1054" i="14"/>
  <c r="F1042" i="14"/>
  <c r="F1043" i="14"/>
  <c r="I1041" i="14"/>
  <c r="I1062" i="14"/>
  <c r="F1047" i="14"/>
  <c r="F1073" i="14"/>
  <c r="I1056" i="14"/>
  <c r="I1060" i="14"/>
  <c r="I1053" i="14"/>
  <c r="I1044" i="14"/>
  <c r="F1063" i="14"/>
  <c r="F1050" i="14"/>
  <c r="F1045" i="14"/>
  <c r="I1072" i="14"/>
  <c r="I1071" i="14"/>
  <c r="F1065" i="14"/>
  <c r="F1059" i="14"/>
  <c r="I1070" i="14"/>
  <c r="I1068" i="14"/>
  <c r="I1046" i="14"/>
  <c r="F1055" i="14"/>
  <c r="F1040" i="14"/>
  <c r="I1066" i="14"/>
  <c r="I1058" i="14"/>
  <c r="S6" i="12"/>
  <c r="F12" i="13"/>
  <c r="AF26" i="12"/>
  <c r="AF27" i="12" s="1"/>
  <c r="AH25" i="12"/>
  <c r="AG25" i="12"/>
  <c r="AI25" i="12"/>
  <c r="AJ25" i="12"/>
  <c r="AE1013" i="10"/>
  <c r="AF1014" i="10"/>
  <c r="AB1015" i="10"/>
  <c r="AF1015" i="10"/>
  <c r="AC1015" i="10"/>
  <c r="AE1015" i="10" s="1"/>
  <c r="AD1015" i="10"/>
  <c r="F31" i="14"/>
  <c r="D29" i="14"/>
  <c r="V1016" i="10"/>
  <c r="U1016" i="10" s="1"/>
  <c r="X1016" i="10" s="1"/>
  <c r="Y1016" i="10" s="1"/>
  <c r="Z1016" i="10" s="1"/>
  <c r="W1017" i="10"/>
  <c r="AO25" i="12"/>
  <c r="AL25" i="12" s="1"/>
  <c r="AM26" i="12"/>
  <c r="AN25" i="12"/>
  <c r="AQ25" i="12"/>
  <c r="AP25" i="12"/>
  <c r="U38" i="11" l="1"/>
  <c r="U1015" i="11" s="1"/>
  <c r="J77" i="17"/>
  <c r="N91" i="18"/>
  <c r="J91" i="18" s="1"/>
  <c r="O91" i="18" s="1"/>
  <c r="E132" i="17"/>
  <c r="O45" i="13"/>
  <c r="S12" i="13"/>
  <c r="AF28" i="12"/>
  <c r="AH27" i="12"/>
  <c r="AI27" i="12"/>
  <c r="AJ27" i="12"/>
  <c r="AG27" i="12"/>
  <c r="AI26" i="12"/>
  <c r="AH26" i="12"/>
  <c r="AJ26" i="12"/>
  <c r="AG26" i="12"/>
  <c r="AO26" i="12"/>
  <c r="AL26" i="12" s="1"/>
  <c r="AN26" i="12"/>
  <c r="AP26" i="12"/>
  <c r="AM27" i="12"/>
  <c r="AQ26" i="12"/>
  <c r="F32" i="14"/>
  <c r="V1017" i="10"/>
  <c r="U1017" i="10" s="1"/>
  <c r="X1017" i="10" s="1"/>
  <c r="Y1017" i="10" s="1"/>
  <c r="Z1017" i="10" s="1"/>
  <c r="W1018" i="10"/>
  <c r="T1017" i="10"/>
  <c r="D30" i="14"/>
  <c r="AB1016" i="10"/>
  <c r="AF1016" i="10" s="1"/>
  <c r="H47" i="18" l="1"/>
  <c r="E133" i="17"/>
  <c r="E134" i="17" s="1"/>
  <c r="E135" i="17" s="1"/>
  <c r="AC1016" i="10"/>
  <c r="AI28" i="12"/>
  <c r="AH28" i="12"/>
  <c r="AJ28" i="12"/>
  <c r="AG28" i="12"/>
  <c r="AF29" i="12"/>
  <c r="AB1017" i="10"/>
  <c r="AC1017" i="10" s="1"/>
  <c r="D31" i="14"/>
  <c r="F33" i="14"/>
  <c r="W1019" i="10"/>
  <c r="V1018" i="10"/>
  <c r="U1018" i="10" s="1"/>
  <c r="X1018" i="10" s="1"/>
  <c r="Y1018" i="10" s="1"/>
  <c r="Z1018" i="10" s="1"/>
  <c r="T1018" i="10"/>
  <c r="AO27" i="12"/>
  <c r="AL27" i="12" s="1"/>
  <c r="AM28" i="12"/>
  <c r="AP27" i="12"/>
  <c r="AQ27" i="12"/>
  <c r="AN27" i="12"/>
  <c r="AF1017" i="10" l="1"/>
  <c r="AD1017" i="10"/>
  <c r="AE1017" i="10" s="1"/>
  <c r="E136" i="17"/>
  <c r="AF30" i="12"/>
  <c r="AD1016" i="10"/>
  <c r="AE1016" i="10" s="1"/>
  <c r="AI29" i="12"/>
  <c r="AJ29" i="12"/>
  <c r="AG29" i="12"/>
  <c r="AH29" i="12"/>
  <c r="AC1018" i="10"/>
  <c r="AE1018" i="10"/>
  <c r="AB1018" i="10"/>
  <c r="AF1018" i="10"/>
  <c r="AD1018" i="10"/>
  <c r="V1019" i="10"/>
  <c r="U1019" i="10" s="1"/>
  <c r="X1019" i="10" s="1"/>
  <c r="Y1019" i="10" s="1"/>
  <c r="Z1019" i="10" s="1"/>
  <c r="W1020" i="10"/>
  <c r="T1019" i="10"/>
  <c r="F34" i="14"/>
  <c r="AO28" i="12"/>
  <c r="AL28" i="12" s="1"/>
  <c r="AM29" i="12"/>
  <c r="AQ28" i="12"/>
  <c r="AP28" i="12"/>
  <c r="AN28" i="12"/>
  <c r="D32" i="14"/>
  <c r="E137" i="17" l="1"/>
  <c r="AH30" i="12"/>
  <c r="AJ30" i="12"/>
  <c r="AI30" i="12"/>
  <c r="AG30" i="12"/>
  <c r="AF31" i="12"/>
  <c r="AO29" i="12"/>
  <c r="AL29" i="12" s="1"/>
  <c r="AM30" i="12"/>
  <c r="AN29" i="12"/>
  <c r="AQ29" i="12"/>
  <c r="AP29" i="12"/>
  <c r="V1020" i="10"/>
  <c r="U1020" i="10" s="1"/>
  <c r="X1020" i="10" s="1"/>
  <c r="Y1020" i="10" s="1"/>
  <c r="Z1020" i="10" s="1"/>
  <c r="W1021" i="10"/>
  <c r="T1020" i="10"/>
  <c r="AC1019" i="10"/>
  <c r="AE1019" i="10" s="1"/>
  <c r="AF1019" i="10"/>
  <c r="AB1019" i="10"/>
  <c r="AD1019" i="10"/>
  <c r="D33" i="14"/>
  <c r="F35" i="14"/>
  <c r="E138" i="17" l="1"/>
  <c r="E139" i="17" s="1"/>
  <c r="AJ31" i="12"/>
  <c r="AG31" i="12"/>
  <c r="AI31" i="12"/>
  <c r="AH31" i="12"/>
  <c r="AF32" i="12"/>
  <c r="F36" i="14"/>
  <c r="V1021" i="10"/>
  <c r="U1021" i="10" s="1"/>
  <c r="X1021" i="10" s="1"/>
  <c r="Y1021" i="10" s="1"/>
  <c r="Z1021" i="10" s="1"/>
  <c r="W1022" i="10"/>
  <c r="T1021" i="10"/>
  <c r="AB1020" i="10"/>
  <c r="AF1020" i="10" s="1"/>
  <c r="AC1020" i="10"/>
  <c r="AO30" i="12"/>
  <c r="AL30" i="12" s="1"/>
  <c r="AN30" i="12"/>
  <c r="AP30" i="12"/>
  <c r="AM31" i="12"/>
  <c r="AQ30" i="12"/>
  <c r="D34" i="14"/>
  <c r="AD1020" i="10" l="1"/>
  <c r="AE1020" i="10" s="1"/>
  <c r="E140" i="17"/>
  <c r="E141" i="17" s="1"/>
  <c r="E142" i="17" s="1"/>
  <c r="AH32" i="12"/>
  <c r="AJ32" i="12"/>
  <c r="AI32" i="12"/>
  <c r="AG32" i="12"/>
  <c r="AF33" i="12"/>
  <c r="AO31" i="12"/>
  <c r="AL31" i="12" s="1"/>
  <c r="AM32" i="12"/>
  <c r="AP31" i="12"/>
  <c r="AQ31" i="12"/>
  <c r="AN31" i="12"/>
  <c r="AC1021" i="10"/>
  <c r="AB1021" i="10"/>
  <c r="AD1021" i="10"/>
  <c r="AF1021" i="10"/>
  <c r="AE1021" i="10"/>
  <c r="D35" i="14"/>
  <c r="F37" i="14"/>
  <c r="W1023" i="10"/>
  <c r="V1022" i="10"/>
  <c r="U1022" i="10" s="1"/>
  <c r="X1022" i="10" s="1"/>
  <c r="Y1022" i="10" s="1"/>
  <c r="Z1022" i="10" s="1"/>
  <c r="T1022" i="10"/>
  <c r="E143" i="17" l="1"/>
  <c r="E144" i="17" s="1"/>
  <c r="AH33" i="12"/>
  <c r="AJ33" i="12"/>
  <c r="AG33" i="12"/>
  <c r="AI33" i="12"/>
  <c r="AF34" i="12"/>
  <c r="AB1022" i="10"/>
  <c r="AC1022" i="10" s="1"/>
  <c r="V1023" i="10"/>
  <c r="U1023" i="10" s="1"/>
  <c r="X1023" i="10" s="1"/>
  <c r="Y1023" i="10" s="1"/>
  <c r="Z1023" i="10" s="1"/>
  <c r="W1024" i="10"/>
  <c r="T1023" i="10"/>
  <c r="F38" i="14"/>
  <c r="AO32" i="12"/>
  <c r="AL32" i="12" s="1"/>
  <c r="AM33" i="12"/>
  <c r="AQ32" i="12"/>
  <c r="AN32" i="12"/>
  <c r="AP32" i="12"/>
  <c r="D36" i="14"/>
  <c r="E145" i="17" l="1"/>
  <c r="AH34" i="12"/>
  <c r="AG34" i="12"/>
  <c r="AJ34" i="12"/>
  <c r="AI34" i="12"/>
  <c r="AF35" i="12"/>
  <c r="AD1022" i="10"/>
  <c r="AE1022" i="10" s="1"/>
  <c r="AF1022" i="10"/>
  <c r="V1024" i="10"/>
  <c r="U1024" i="10" s="1"/>
  <c r="X1024" i="10" s="1"/>
  <c r="Y1024" i="10" s="1"/>
  <c r="Z1024" i="10" s="1"/>
  <c r="W1025" i="10"/>
  <c r="T1024" i="10"/>
  <c r="AB1023" i="10"/>
  <c r="AC1023" i="10" s="1"/>
  <c r="AD1023" i="10" s="1"/>
  <c r="AE1023" i="10" s="1"/>
  <c r="F39" i="14"/>
  <c r="D37" i="14"/>
  <c r="AO33" i="12"/>
  <c r="AL33" i="12" s="1"/>
  <c r="AM34" i="12"/>
  <c r="AN33" i="12"/>
  <c r="AQ33" i="12"/>
  <c r="AP33" i="12"/>
  <c r="E146" i="17" l="1"/>
  <c r="AH35" i="12"/>
  <c r="AJ35" i="12"/>
  <c r="AG35" i="12"/>
  <c r="AI35" i="12"/>
  <c r="AF36" i="12"/>
  <c r="AF1023" i="10"/>
  <c r="AO34" i="12"/>
  <c r="AL34" i="12" s="1"/>
  <c r="AN34" i="12"/>
  <c r="AP34" i="12"/>
  <c r="AM35" i="12"/>
  <c r="AQ34" i="12"/>
  <c r="D38" i="14"/>
  <c r="F40" i="14"/>
  <c r="V1025" i="10"/>
  <c r="U1025" i="10" s="1"/>
  <c r="X1025" i="10" s="1"/>
  <c r="Y1025" i="10" s="1"/>
  <c r="Z1025" i="10" s="1"/>
  <c r="W1026" i="10"/>
  <c r="T1025" i="10"/>
  <c r="AB1024" i="10"/>
  <c r="AF1024" i="10" s="1"/>
  <c r="E147" i="17" l="1"/>
  <c r="AF37" i="12"/>
  <c r="AJ36" i="12"/>
  <c r="AG36" i="12"/>
  <c r="AI36" i="12"/>
  <c r="AH36" i="12"/>
  <c r="AC1024" i="10"/>
  <c r="AB1025" i="10"/>
  <c r="AF1025" i="10" s="1"/>
  <c r="F41" i="14"/>
  <c r="D39" i="14"/>
  <c r="AO35" i="12"/>
  <c r="AL35" i="12" s="1"/>
  <c r="AM36" i="12"/>
  <c r="AP35" i="12"/>
  <c r="AQ35" i="12"/>
  <c r="AN35" i="12"/>
  <c r="W1027" i="10"/>
  <c r="V1026" i="10"/>
  <c r="U1026" i="10" s="1"/>
  <c r="X1026" i="10" s="1"/>
  <c r="Y1026" i="10" s="1"/>
  <c r="Z1026" i="10" s="1"/>
  <c r="T1026" i="10"/>
  <c r="E148" i="17" l="1"/>
  <c r="AJ37" i="12"/>
  <c r="AI37" i="12"/>
  <c r="AG37" i="12"/>
  <c r="AH37" i="12"/>
  <c r="AF38" i="12"/>
  <c r="AD1024" i="10"/>
  <c r="AE1024" i="10" s="1"/>
  <c r="AC1025" i="10"/>
  <c r="AD1025" i="10" s="1"/>
  <c r="AE1025" i="10" s="1"/>
  <c r="AB1026" i="10"/>
  <c r="AF1026" i="10" s="1"/>
  <c r="D40" i="14"/>
  <c r="F42" i="14"/>
  <c r="V1027" i="10"/>
  <c r="U1027" i="10" s="1"/>
  <c r="X1027" i="10" s="1"/>
  <c r="Y1027" i="10" s="1"/>
  <c r="Z1027" i="10" s="1"/>
  <c r="W1028" i="10"/>
  <c r="T1027" i="10"/>
  <c r="AO36" i="12"/>
  <c r="AL36" i="12" s="1"/>
  <c r="AM37" i="12"/>
  <c r="AQ36" i="12"/>
  <c r="AP36" i="12"/>
  <c r="AN36" i="12"/>
  <c r="E149" i="17" l="1"/>
  <c r="AH38" i="12"/>
  <c r="AG38" i="12"/>
  <c r="AJ38" i="12"/>
  <c r="AI38" i="12"/>
  <c r="AF39" i="12"/>
  <c r="AC1026" i="10"/>
  <c r="AD1026" i="10" s="1"/>
  <c r="V1028" i="10"/>
  <c r="U1028" i="10" s="1"/>
  <c r="X1028" i="10" s="1"/>
  <c r="Y1028" i="10" s="1"/>
  <c r="Z1028" i="10" s="1"/>
  <c r="W1029" i="10"/>
  <c r="T1028" i="10"/>
  <c r="F43" i="14"/>
  <c r="D41" i="14"/>
  <c r="AO37" i="12"/>
  <c r="AL37" i="12" s="1"/>
  <c r="AM38" i="12"/>
  <c r="AN37" i="12"/>
  <c r="AP37" i="12"/>
  <c r="AQ37" i="12"/>
  <c r="AB1027" i="10"/>
  <c r="AF1027" i="10" s="1"/>
  <c r="E150" i="17" l="1"/>
  <c r="AF40" i="12"/>
  <c r="AG39" i="12"/>
  <c r="AH39" i="12"/>
  <c r="AI39" i="12"/>
  <c r="AJ39" i="12"/>
  <c r="AC1027" i="10"/>
  <c r="AE1026" i="10"/>
  <c r="AO38" i="12"/>
  <c r="AL38" i="12" s="1"/>
  <c r="AN38" i="12"/>
  <c r="AP38" i="12"/>
  <c r="AM39" i="12"/>
  <c r="AQ38" i="12"/>
  <c r="V1029" i="10"/>
  <c r="U1029" i="10" s="1"/>
  <c r="X1029" i="10" s="1"/>
  <c r="Y1029" i="10" s="1"/>
  <c r="Z1029" i="10" s="1"/>
  <c r="W1030" i="10"/>
  <c r="T1029" i="10"/>
  <c r="AB1028" i="10"/>
  <c r="AC1028" i="10" s="1"/>
  <c r="D42" i="14"/>
  <c r="F44" i="14"/>
  <c r="E151" i="17" l="1"/>
  <c r="AG40" i="12"/>
  <c r="AI40" i="12"/>
  <c r="AH40" i="12"/>
  <c r="AJ40" i="12"/>
  <c r="AF41" i="12"/>
  <c r="AD1027" i="10"/>
  <c r="AE1027" i="10" s="1"/>
  <c r="AF1028" i="10"/>
  <c r="AO39" i="12"/>
  <c r="AL39" i="12" s="1"/>
  <c r="AM40" i="12"/>
  <c r="AP39" i="12"/>
  <c r="AQ39" i="12"/>
  <c r="AN39" i="12"/>
  <c r="F45" i="14"/>
  <c r="D43" i="14"/>
  <c r="AD1028" i="10"/>
  <c r="AE1028" i="10" s="1"/>
  <c r="W1031" i="10"/>
  <c r="V1030" i="10"/>
  <c r="U1030" i="10" s="1"/>
  <c r="X1030" i="10" s="1"/>
  <c r="Y1030" i="10" s="1"/>
  <c r="Z1030" i="10" s="1"/>
  <c r="T1030" i="10"/>
  <c r="AB1029" i="10"/>
  <c r="AC1029" i="10" s="1"/>
  <c r="AF1029" i="10"/>
  <c r="E152" i="17" l="1"/>
  <c r="AI41" i="12"/>
  <c r="AG41" i="12"/>
  <c r="AH41" i="12"/>
  <c r="AJ41" i="12"/>
  <c r="AF42" i="12"/>
  <c r="AD1029" i="10"/>
  <c r="AE1029" i="10" s="1"/>
  <c r="AB1030" i="10"/>
  <c r="AC1030" i="10" s="1"/>
  <c r="V1031" i="10"/>
  <c r="U1031" i="10" s="1"/>
  <c r="X1031" i="10" s="1"/>
  <c r="Y1031" i="10" s="1"/>
  <c r="Z1031" i="10" s="1"/>
  <c r="W1032" i="10"/>
  <c r="T1031" i="10"/>
  <c r="D44" i="14"/>
  <c r="F46" i="14"/>
  <c r="AO40" i="12"/>
  <c r="AL40" i="12" s="1"/>
  <c r="AM41" i="12"/>
  <c r="AQ40" i="12"/>
  <c r="AP40" i="12"/>
  <c r="AN40" i="12"/>
  <c r="E153" i="17" l="1"/>
  <c r="AJ42" i="12"/>
  <c r="AH42" i="12"/>
  <c r="AI42" i="12"/>
  <c r="AG42" i="12"/>
  <c r="AF43" i="12"/>
  <c r="AF1030" i="10"/>
  <c r="AD1030" i="10"/>
  <c r="AE1030" i="10" s="1"/>
  <c r="AB1031" i="10"/>
  <c r="AF1031" i="10" s="1"/>
  <c r="F47" i="14"/>
  <c r="D45" i="14"/>
  <c r="V1032" i="10"/>
  <c r="U1032" i="10" s="1"/>
  <c r="X1032" i="10" s="1"/>
  <c r="Y1032" i="10" s="1"/>
  <c r="Z1032" i="10" s="1"/>
  <c r="W1033" i="10"/>
  <c r="T1032" i="10"/>
  <c r="AO41" i="12"/>
  <c r="AL41" i="12" s="1"/>
  <c r="AM42" i="12"/>
  <c r="AN41" i="12"/>
  <c r="AQ41" i="12"/>
  <c r="AP41" i="12"/>
  <c r="AC1031" i="10" l="1"/>
  <c r="AD1031" i="10" s="1"/>
  <c r="AE1031" i="10" s="1"/>
  <c r="E154" i="17"/>
  <c r="AG43" i="12"/>
  <c r="AJ43" i="12"/>
  <c r="AH43" i="12"/>
  <c r="AI43" i="12"/>
  <c r="AF44" i="12"/>
  <c r="AO42" i="12"/>
  <c r="AL42" i="12" s="1"/>
  <c r="AN42" i="12"/>
  <c r="AP42" i="12"/>
  <c r="AM43" i="12"/>
  <c r="AQ42" i="12"/>
  <c r="AC1032" i="10"/>
  <c r="AB1032" i="10"/>
  <c r="AE1032" i="10"/>
  <c r="AF1032" i="10"/>
  <c r="AD1032" i="10"/>
  <c r="D46" i="14"/>
  <c r="F48" i="14"/>
  <c r="V1033" i="10"/>
  <c r="U1033" i="10" s="1"/>
  <c r="X1033" i="10" s="1"/>
  <c r="Y1033" i="10" s="1"/>
  <c r="Z1033" i="10" s="1"/>
  <c r="W1034" i="10"/>
  <c r="T1033" i="10"/>
  <c r="E155" i="17" l="1"/>
  <c r="AH44" i="12"/>
  <c r="AJ44" i="12"/>
  <c r="AI44" i="12"/>
  <c r="AG44" i="12"/>
  <c r="AF45" i="12"/>
  <c r="F49" i="14"/>
  <c r="AO43" i="12"/>
  <c r="AL43" i="12" s="1"/>
  <c r="AM44" i="12"/>
  <c r="AP43" i="12"/>
  <c r="AQ43" i="12"/>
  <c r="AN43" i="12"/>
  <c r="W1035" i="10"/>
  <c r="V1034" i="10"/>
  <c r="U1034" i="10" s="1"/>
  <c r="X1034" i="10" s="1"/>
  <c r="Y1034" i="10" s="1"/>
  <c r="Z1034" i="10" s="1"/>
  <c r="T1034" i="10"/>
  <c r="AC1033" i="10"/>
  <c r="AE1033" i="10" s="1"/>
  <c r="AB1033" i="10"/>
  <c r="AF1033" i="10"/>
  <c r="AD1033" i="10"/>
  <c r="D47" i="14"/>
  <c r="E156" i="17" l="1"/>
  <c r="AF46" i="12"/>
  <c r="AG45" i="12"/>
  <c r="AJ45" i="12"/>
  <c r="AH45" i="12"/>
  <c r="AI45" i="12"/>
  <c r="AB1034" i="10"/>
  <c r="AF1034" i="10" s="1"/>
  <c r="AC1034" i="10"/>
  <c r="D48" i="14"/>
  <c r="V1035" i="10"/>
  <c r="U1035" i="10" s="1"/>
  <c r="X1035" i="10" s="1"/>
  <c r="Y1035" i="10" s="1"/>
  <c r="Z1035" i="10" s="1"/>
  <c r="W1036" i="10"/>
  <c r="T1035" i="10"/>
  <c r="AO44" i="12"/>
  <c r="AL44" i="12" s="1"/>
  <c r="AM45" i="12"/>
  <c r="AQ44" i="12"/>
  <c r="AP44" i="12"/>
  <c r="AN44" i="12"/>
  <c r="F50" i="14"/>
  <c r="AD1034" i="10" l="1"/>
  <c r="AE1034" i="10" s="1"/>
  <c r="E157" i="17"/>
  <c r="AG46" i="12"/>
  <c r="AI46" i="12"/>
  <c r="AH46" i="12"/>
  <c r="AJ46" i="12"/>
  <c r="AF47" i="12"/>
  <c r="D49" i="14"/>
  <c r="V1036" i="10"/>
  <c r="U1036" i="10" s="1"/>
  <c r="X1036" i="10" s="1"/>
  <c r="Y1036" i="10" s="1"/>
  <c r="Z1036" i="10" s="1"/>
  <c r="W1037" i="10"/>
  <c r="T1036" i="10"/>
  <c r="F51" i="14"/>
  <c r="AO45" i="12"/>
  <c r="AL45" i="12" s="1"/>
  <c r="AM46" i="12"/>
  <c r="AN45" i="12"/>
  <c r="AP45" i="12"/>
  <c r="AQ45" i="12"/>
  <c r="AC1035" i="10"/>
  <c r="AB1035" i="10"/>
  <c r="AD1035" i="10"/>
  <c r="AE1035" i="10"/>
  <c r="AF1035" i="10"/>
  <c r="E158" i="17" l="1"/>
  <c r="E159" i="17" s="1"/>
  <c r="E160" i="17" s="1"/>
  <c r="E161" i="17" s="1"/>
  <c r="E162" i="17" s="1"/>
  <c r="E163" i="17" s="1"/>
  <c r="AI47" i="12"/>
  <c r="AJ47" i="12"/>
  <c r="AG47" i="12"/>
  <c r="AH47" i="12"/>
  <c r="AF48" i="12"/>
  <c r="AF49" i="12" s="1"/>
  <c r="AC1036" i="10"/>
  <c r="AD1036" i="10" s="1"/>
  <c r="AF1036" i="10"/>
  <c r="AB1036" i="10"/>
  <c r="F52" i="14"/>
  <c r="D50" i="14"/>
  <c r="AO46" i="12"/>
  <c r="AL46" i="12" s="1"/>
  <c r="AN46" i="12"/>
  <c r="AP46" i="12"/>
  <c r="AM47" i="12"/>
  <c r="AQ46" i="12"/>
  <c r="V1037" i="10"/>
  <c r="U1037" i="10" s="1"/>
  <c r="X1037" i="10" s="1"/>
  <c r="Y1037" i="10" s="1"/>
  <c r="Z1037" i="10" s="1"/>
  <c r="W1038" i="10"/>
  <c r="T1037" i="10"/>
  <c r="M17" i="17" l="1"/>
  <c r="C13" i="17"/>
  <c r="C14" i="17"/>
  <c r="C16" i="17"/>
  <c r="C12" i="17"/>
  <c r="C18" i="17"/>
  <c r="C20" i="17"/>
  <c r="C17" i="17"/>
  <c r="C19" i="17"/>
  <c r="C21" i="17"/>
  <c r="C23" i="17"/>
  <c r="H12" i="17"/>
  <c r="H13" i="17"/>
  <c r="C22" i="17"/>
  <c r="H14" i="17"/>
  <c r="H16" i="17"/>
  <c r="C15" i="17"/>
  <c r="H15" i="17"/>
  <c r="M14" i="17"/>
  <c r="M12" i="17"/>
  <c r="H19" i="17"/>
  <c r="H21" i="17"/>
  <c r="H20" i="17"/>
  <c r="M13" i="17"/>
  <c r="H17" i="17"/>
  <c r="M18" i="17"/>
  <c r="H23" i="17"/>
  <c r="M16" i="17"/>
  <c r="M23" i="17"/>
  <c r="H22" i="17"/>
  <c r="H18" i="17"/>
  <c r="M15" i="17"/>
  <c r="M22" i="17"/>
  <c r="M21" i="17"/>
  <c r="M19" i="17"/>
  <c r="M20" i="17"/>
  <c r="AJ49" i="12"/>
  <c r="AG49" i="12"/>
  <c r="AI49" i="12"/>
  <c r="AH49" i="12"/>
  <c r="AF50" i="12"/>
  <c r="AG48" i="12"/>
  <c r="AJ48" i="12"/>
  <c r="AI48" i="12"/>
  <c r="AH48" i="12"/>
  <c r="AE1036" i="10"/>
  <c r="W1039" i="10"/>
  <c r="V1038" i="10"/>
  <c r="U1038" i="10" s="1"/>
  <c r="X1038" i="10" s="1"/>
  <c r="Y1038" i="10" s="1"/>
  <c r="Z1038" i="10" s="1"/>
  <c r="T1038" i="10"/>
  <c r="AO47" i="12"/>
  <c r="AL47" i="12" s="1"/>
  <c r="AM48" i="12"/>
  <c r="AP47" i="12"/>
  <c r="AQ47" i="12"/>
  <c r="AN47" i="12"/>
  <c r="D51" i="14"/>
  <c r="AB1037" i="10"/>
  <c r="AC1037" i="10" s="1"/>
  <c r="F53" i="14"/>
  <c r="AH50" i="12" l="1"/>
  <c r="AI50" i="12"/>
  <c r="AG50" i="12"/>
  <c r="AJ50" i="12"/>
  <c r="AF51" i="12"/>
  <c r="AF1037" i="10"/>
  <c r="AD1037" i="10"/>
  <c r="AE1037" i="10" s="1"/>
  <c r="F54" i="14"/>
  <c r="D52" i="14"/>
  <c r="AO48" i="12"/>
  <c r="AL48" i="12" s="1"/>
  <c r="AM49" i="12"/>
  <c r="AQ48" i="12"/>
  <c r="AN48" i="12"/>
  <c r="AP48" i="12"/>
  <c r="V1039" i="10"/>
  <c r="U1039" i="10" s="1"/>
  <c r="X1039" i="10" s="1"/>
  <c r="Y1039" i="10" s="1"/>
  <c r="Z1039" i="10" s="1"/>
  <c r="W1040" i="10"/>
  <c r="T1039" i="10"/>
  <c r="AB1038" i="10"/>
  <c r="AF1038" i="10" s="1"/>
  <c r="AH51" i="12" l="1"/>
  <c r="AJ51" i="12"/>
  <c r="AG51" i="12"/>
  <c r="AI51" i="12"/>
  <c r="AF52" i="12"/>
  <c r="AC1038" i="10"/>
  <c r="AD1038" i="10" s="1"/>
  <c r="AE1038" i="10" s="1"/>
  <c r="V1040" i="10"/>
  <c r="U1040" i="10" s="1"/>
  <c r="X1040" i="10" s="1"/>
  <c r="Y1040" i="10" s="1"/>
  <c r="Z1040" i="10" s="1"/>
  <c r="W1041" i="10"/>
  <c r="T1040" i="10"/>
  <c r="AB1039" i="10"/>
  <c r="AF1039" i="10" s="1"/>
  <c r="AO49" i="12"/>
  <c r="AL49" i="12" s="1"/>
  <c r="AM50" i="12"/>
  <c r="AN49" i="12"/>
  <c r="AQ49" i="12"/>
  <c r="AP49" i="12"/>
  <c r="D53" i="14"/>
  <c r="F55" i="14"/>
  <c r="AJ52" i="12" l="1"/>
  <c r="AH52" i="12"/>
  <c r="AI52" i="12"/>
  <c r="AG52" i="12"/>
  <c r="AF53" i="12"/>
  <c r="AC1039" i="10"/>
  <c r="AD1039" i="10" s="1"/>
  <c r="AE1039" i="10" s="1"/>
  <c r="AB1040" i="10"/>
  <c r="AC1040" i="10" s="1"/>
  <c r="F56" i="14"/>
  <c r="D54" i="14"/>
  <c r="AO50" i="12"/>
  <c r="AL50" i="12" s="1"/>
  <c r="AN50" i="12"/>
  <c r="AP50" i="12"/>
  <c r="AM51" i="12"/>
  <c r="AQ50" i="12"/>
  <c r="V1041" i="10"/>
  <c r="U1041" i="10" s="1"/>
  <c r="X1041" i="10" s="1"/>
  <c r="Y1041" i="10" s="1"/>
  <c r="Z1041" i="10" s="1"/>
  <c r="W1042" i="10"/>
  <c r="T1041" i="10"/>
  <c r="AH53" i="12" l="1"/>
  <c r="AJ53" i="12"/>
  <c r="AI53" i="12"/>
  <c r="AG53" i="12"/>
  <c r="AF54" i="12"/>
  <c r="AF1040" i="10"/>
  <c r="AD1040" i="10"/>
  <c r="AE1040" i="10" s="1"/>
  <c r="AB1041" i="10"/>
  <c r="AF1041" i="10" s="1"/>
  <c r="D55" i="14"/>
  <c r="F57" i="14"/>
  <c r="W1043" i="10"/>
  <c r="V1042" i="10"/>
  <c r="U1042" i="10" s="1"/>
  <c r="X1042" i="10" s="1"/>
  <c r="Y1042" i="10" s="1"/>
  <c r="Z1042" i="10" s="1"/>
  <c r="T1042" i="10"/>
  <c r="AO51" i="12"/>
  <c r="AL51" i="12" s="1"/>
  <c r="AM52" i="12"/>
  <c r="AP51" i="12"/>
  <c r="AQ51" i="12"/>
  <c r="AN51" i="12"/>
  <c r="AJ54" i="12" l="1"/>
  <c r="AH54" i="12"/>
  <c r="AI54" i="12"/>
  <c r="AG54" i="12"/>
  <c r="AF55" i="12"/>
  <c r="AC1041" i="10"/>
  <c r="AO52" i="12"/>
  <c r="AL52" i="12" s="1"/>
  <c r="AM53" i="12"/>
  <c r="AQ52" i="12"/>
  <c r="AP52" i="12"/>
  <c r="AN52" i="12"/>
  <c r="AB1042" i="10"/>
  <c r="AF1042" i="10" s="1"/>
  <c r="F58" i="14"/>
  <c r="D56" i="14"/>
  <c r="V1043" i="10"/>
  <c r="U1043" i="10" s="1"/>
  <c r="X1043" i="10" s="1"/>
  <c r="Y1043" i="10" s="1"/>
  <c r="Z1043" i="10" s="1"/>
  <c r="W1044" i="10"/>
  <c r="T1043" i="10"/>
  <c r="AH55" i="12" l="1"/>
  <c r="AG55" i="12"/>
  <c r="AJ55" i="12"/>
  <c r="AI55" i="12"/>
  <c r="AF56" i="12"/>
  <c r="AD1041" i="10"/>
  <c r="AE1041" i="10" s="1"/>
  <c r="AC1042" i="10"/>
  <c r="AD1042" i="10" s="1"/>
  <c r="AE1042" i="10" s="1"/>
  <c r="AF1043" i="10"/>
  <c r="AB1043" i="10"/>
  <c r="AC1043" i="10" s="1"/>
  <c r="D57" i="14"/>
  <c r="F59" i="14"/>
  <c r="V1044" i="10"/>
  <c r="U1044" i="10" s="1"/>
  <c r="X1044" i="10" s="1"/>
  <c r="Y1044" i="10" s="1"/>
  <c r="Z1044" i="10" s="1"/>
  <c r="W1045" i="10"/>
  <c r="T1044" i="10"/>
  <c r="AO53" i="12"/>
  <c r="AL53" i="12" s="1"/>
  <c r="AM54" i="12"/>
  <c r="AN53" i="12"/>
  <c r="AP53" i="12"/>
  <c r="AQ53" i="12"/>
  <c r="AI56" i="12" l="1"/>
  <c r="AJ56" i="12"/>
  <c r="AH56" i="12"/>
  <c r="AG56" i="12"/>
  <c r="AF57" i="12"/>
  <c r="AD1043" i="10"/>
  <c r="AE1043" i="10" s="1"/>
  <c r="AO54" i="12"/>
  <c r="AL54" i="12" s="1"/>
  <c r="AN54" i="12"/>
  <c r="AP54" i="12"/>
  <c r="AM55" i="12"/>
  <c r="AQ54" i="12"/>
  <c r="AB1044" i="10"/>
  <c r="AC1044" i="10" s="1"/>
  <c r="V1045" i="10"/>
  <c r="U1045" i="10" s="1"/>
  <c r="X1045" i="10" s="1"/>
  <c r="Y1045" i="10" s="1"/>
  <c r="Z1045" i="10" s="1"/>
  <c r="W1046" i="10"/>
  <c r="T1045" i="10"/>
  <c r="F60" i="14"/>
  <c r="D58" i="14"/>
  <c r="AI57" i="12" l="1"/>
  <c r="AH57" i="12"/>
  <c r="AJ57" i="12"/>
  <c r="AG57" i="12"/>
  <c r="AF58" i="12"/>
  <c r="AF1044" i="10"/>
  <c r="AD1044" i="10"/>
  <c r="AE1044" i="10" s="1"/>
  <c r="AO55" i="12"/>
  <c r="AL55" i="12" s="1"/>
  <c r="AM56" i="12"/>
  <c r="AP55" i="12"/>
  <c r="AQ55" i="12"/>
  <c r="AN55" i="12"/>
  <c r="W1047" i="10"/>
  <c r="V1046" i="10"/>
  <c r="U1046" i="10" s="1"/>
  <c r="X1046" i="10" s="1"/>
  <c r="Y1046" i="10" s="1"/>
  <c r="Z1046" i="10" s="1"/>
  <c r="T1046" i="10"/>
  <c r="D59" i="14"/>
  <c r="F61" i="14"/>
  <c r="AB1045" i="10"/>
  <c r="AC1045" i="10" s="1"/>
  <c r="AD1045" i="10" l="1"/>
  <c r="AE1045" i="10" s="1"/>
  <c r="AF1045" i="10"/>
  <c r="AF59" i="12"/>
  <c r="AI58" i="12"/>
  <c r="AH58" i="12"/>
  <c r="AG58" i="12"/>
  <c r="AJ58" i="12"/>
  <c r="AC1046" i="10"/>
  <c r="AE1046" i="10"/>
  <c r="AF1046" i="10"/>
  <c r="AB1046" i="10"/>
  <c r="AD1046" i="10"/>
  <c r="F62" i="14"/>
  <c r="D60" i="14"/>
  <c r="V1047" i="10"/>
  <c r="U1047" i="10" s="1"/>
  <c r="X1047" i="10" s="1"/>
  <c r="Y1047" i="10" s="1"/>
  <c r="Z1047" i="10" s="1"/>
  <c r="W1048" i="10"/>
  <c r="T1047" i="10"/>
  <c r="AO56" i="12"/>
  <c r="AL56" i="12" s="1"/>
  <c r="AM57" i="12"/>
  <c r="AQ56" i="12"/>
  <c r="AQ1006" i="12" s="1"/>
  <c r="AN56" i="12"/>
  <c r="AP56" i="12"/>
  <c r="AH59" i="12" l="1"/>
  <c r="AG59" i="12"/>
  <c r="AI59" i="12"/>
  <c r="AJ59" i="12"/>
  <c r="AF60" i="12"/>
  <c r="AO57" i="12"/>
  <c r="AL57" i="12" s="1"/>
  <c r="AM58" i="12"/>
  <c r="AN57" i="12"/>
  <c r="AQ57" i="12"/>
  <c r="AP57" i="12"/>
  <c r="AB1047" i="10"/>
  <c r="AC1047" i="10" s="1"/>
  <c r="V1048" i="10"/>
  <c r="U1048" i="10" s="1"/>
  <c r="X1048" i="10" s="1"/>
  <c r="Y1048" i="10" s="1"/>
  <c r="Z1048" i="10" s="1"/>
  <c r="W1049" i="10"/>
  <c r="T1048" i="10"/>
  <c r="D61" i="14"/>
  <c r="F63" i="14"/>
  <c r="AD1047" i="10" l="1"/>
  <c r="AE1047" i="10"/>
  <c r="AF1047" i="10"/>
  <c r="AJ60" i="12"/>
  <c r="AH60" i="12"/>
  <c r="AG60" i="12"/>
  <c r="AI60" i="12"/>
  <c r="AF61" i="12"/>
  <c r="AF1048" i="10"/>
  <c r="AD1048" i="10"/>
  <c r="AB1048" i="10"/>
  <c r="AC1048" i="10"/>
  <c r="AE1048" i="10" s="1"/>
  <c r="V1049" i="10"/>
  <c r="U1049" i="10" s="1"/>
  <c r="X1049" i="10" s="1"/>
  <c r="Y1049" i="10" s="1"/>
  <c r="Z1049" i="10" s="1"/>
  <c r="W1050" i="10"/>
  <c r="T1049" i="10"/>
  <c r="F64" i="14"/>
  <c r="D62" i="14"/>
  <c r="AO58" i="12"/>
  <c r="AL58" i="12" s="1"/>
  <c r="AN58" i="12"/>
  <c r="AP58" i="12"/>
  <c r="AQ58" i="12"/>
  <c r="AM59" i="12"/>
  <c r="AI61" i="12" l="1"/>
  <c r="AG61" i="12"/>
  <c r="AJ61" i="12"/>
  <c r="AH61" i="12"/>
  <c r="AF62" i="12"/>
  <c r="F65" i="14"/>
  <c r="AC1049" i="10"/>
  <c r="AB1049" i="10"/>
  <c r="AD1049" i="10"/>
  <c r="AF1049" i="10"/>
  <c r="AE1049" i="10"/>
  <c r="AO59" i="12"/>
  <c r="AL59" i="12" s="1"/>
  <c r="AM60" i="12"/>
  <c r="AP59" i="12"/>
  <c r="AQ59" i="12"/>
  <c r="AN59" i="12"/>
  <c r="W1051" i="10"/>
  <c r="V1050" i="10"/>
  <c r="U1050" i="10" s="1"/>
  <c r="X1050" i="10" s="1"/>
  <c r="Y1050" i="10" s="1"/>
  <c r="Z1050" i="10" s="1"/>
  <c r="T1050" i="10"/>
  <c r="D63" i="14"/>
  <c r="AI62" i="12" l="1"/>
  <c r="AG62" i="12"/>
  <c r="AH62" i="12"/>
  <c r="AJ62" i="12"/>
  <c r="AF63" i="12"/>
  <c r="AB1050" i="10"/>
  <c r="AC1050" i="10" s="1"/>
  <c r="D64" i="14"/>
  <c r="V1051" i="10"/>
  <c r="U1051" i="10" s="1"/>
  <c r="X1051" i="10" s="1"/>
  <c r="Y1051" i="10" s="1"/>
  <c r="Z1051" i="10" s="1"/>
  <c r="W1052" i="10"/>
  <c r="T1051" i="10"/>
  <c r="AO60" i="12"/>
  <c r="AL60" i="12" s="1"/>
  <c r="AM61" i="12"/>
  <c r="AQ60" i="12"/>
  <c r="AP60" i="12"/>
  <c r="AN60" i="12"/>
  <c r="F66" i="14"/>
  <c r="AJ63" i="12" l="1"/>
  <c r="AI63" i="12"/>
  <c r="AH63" i="12"/>
  <c r="AG63" i="12"/>
  <c r="AG1006" i="12"/>
  <c r="AL1015" i="11" s="1"/>
  <c r="AK4" i="11" s="1"/>
  <c r="AD1050" i="10"/>
  <c r="AE1050" i="10" s="1"/>
  <c r="AF1050" i="10"/>
  <c r="W1053" i="10"/>
  <c r="V1052" i="10"/>
  <c r="U1052" i="10" s="1"/>
  <c r="X1052" i="10" s="1"/>
  <c r="Y1052" i="10" s="1"/>
  <c r="Z1052" i="10" s="1"/>
  <c r="T1052" i="10"/>
  <c r="F67" i="14"/>
  <c r="AO61" i="12"/>
  <c r="AL61" i="12" s="1"/>
  <c r="AM62" i="12"/>
  <c r="AN61" i="12"/>
  <c r="AQ61" i="12"/>
  <c r="AP61" i="12"/>
  <c r="AB1051" i="10"/>
  <c r="AC1051" i="10" s="1"/>
  <c r="D65" i="14"/>
  <c r="AL4" i="11" l="1"/>
  <c r="AN4" i="11"/>
  <c r="AK5" i="11"/>
  <c r="AM4" i="11"/>
  <c r="AO4" i="11"/>
  <c r="AP4" i="11"/>
  <c r="AF1051" i="10"/>
  <c r="AD1051" i="10"/>
  <c r="AE1051" i="10" s="1"/>
  <c r="V1053" i="10"/>
  <c r="U1053" i="10" s="1"/>
  <c r="X1053" i="10" s="1"/>
  <c r="Y1053" i="10" s="1"/>
  <c r="Z1053" i="10" s="1"/>
  <c r="W1054" i="10"/>
  <c r="T1053" i="10"/>
  <c r="F68" i="14"/>
  <c r="AB1052" i="10"/>
  <c r="AC1052" i="10" s="1"/>
  <c r="D66" i="14"/>
  <c r="AO62" i="12"/>
  <c r="AL62" i="12" s="1"/>
  <c r="AN62" i="12"/>
  <c r="AP62" i="12"/>
  <c r="AM63" i="12"/>
  <c r="AQ62" i="12"/>
  <c r="AJ4" i="11" l="1"/>
  <c r="AT4" i="11"/>
  <c r="AM5" i="11"/>
  <c r="AL5" i="11"/>
  <c r="AK6" i="11"/>
  <c r="AO5" i="11"/>
  <c r="AN5" i="11"/>
  <c r="AP5" i="11"/>
  <c r="AQ4" i="11"/>
  <c r="AR4" i="11"/>
  <c r="AF1052" i="10"/>
  <c r="AD1052" i="10"/>
  <c r="AE1052" i="10" s="1"/>
  <c r="D67" i="14"/>
  <c r="AB1053" i="10"/>
  <c r="AF1053" i="10" s="1"/>
  <c r="AO63" i="12"/>
  <c r="AL63" i="12" s="1"/>
  <c r="AM64" i="12"/>
  <c r="AP63" i="12"/>
  <c r="AQ63" i="12"/>
  <c r="AN63" i="12"/>
  <c r="W1055" i="10"/>
  <c r="V1054" i="10"/>
  <c r="U1054" i="10" s="1"/>
  <c r="X1054" i="10" s="1"/>
  <c r="Y1054" i="10" s="1"/>
  <c r="Z1054" i="10" s="1"/>
  <c r="T1054" i="10"/>
  <c r="F69" i="14"/>
  <c r="AJ5" i="11" l="1"/>
  <c r="AT5" i="11"/>
  <c r="A1068" i="11"/>
  <c r="L1067" i="11" s="1"/>
  <c r="AP6" i="11"/>
  <c r="AN6" i="11"/>
  <c r="AL6" i="11"/>
  <c r="AO6" i="11"/>
  <c r="AM6" i="11"/>
  <c r="AK7" i="11"/>
  <c r="AR5" i="11"/>
  <c r="AQ5" i="11"/>
  <c r="AC1053" i="10"/>
  <c r="AB1054" i="10"/>
  <c r="AF1054" i="10" s="1"/>
  <c r="F70" i="14"/>
  <c r="V1055" i="10"/>
  <c r="U1055" i="10" s="1"/>
  <c r="X1055" i="10" s="1"/>
  <c r="Y1055" i="10" s="1"/>
  <c r="Z1055" i="10" s="1"/>
  <c r="W1056" i="10"/>
  <c r="T1055" i="10"/>
  <c r="AO64" i="12"/>
  <c r="AL64" i="12" s="1"/>
  <c r="AM65" i="12"/>
  <c r="AQ64" i="12"/>
  <c r="AP64" i="12"/>
  <c r="AN64" i="12"/>
  <c r="D68" i="14"/>
  <c r="AJ6" i="11" l="1"/>
  <c r="AN7" i="11"/>
  <c r="AK8" i="11"/>
  <c r="AO7" i="11"/>
  <c r="AP7" i="11"/>
  <c r="AM7" i="11"/>
  <c r="AL7" i="11"/>
  <c r="L1068" i="11"/>
  <c r="H1059" i="11"/>
  <c r="H1065" i="11"/>
  <c r="H1058" i="11"/>
  <c r="H1057" i="11"/>
  <c r="H1056" i="11"/>
  <c r="H1067" i="11"/>
  <c r="H1064" i="11"/>
  <c r="H1060" i="11"/>
  <c r="H1068" i="11"/>
  <c r="H1061" i="11"/>
  <c r="H1062" i="11"/>
  <c r="H1066" i="11"/>
  <c r="H1063" i="11"/>
  <c r="AR6" i="11"/>
  <c r="AQ6" i="11"/>
  <c r="AT6" i="11"/>
  <c r="AD1053" i="10"/>
  <c r="AE1053" i="10" s="1"/>
  <c r="AC1054" i="10"/>
  <c r="W1057" i="10"/>
  <c r="V1056" i="10"/>
  <c r="U1056" i="10" s="1"/>
  <c r="X1056" i="10" s="1"/>
  <c r="Y1056" i="10" s="1"/>
  <c r="Z1056" i="10" s="1"/>
  <c r="T1056" i="10"/>
  <c r="F71" i="14"/>
  <c r="D69" i="14"/>
  <c r="AO65" i="12"/>
  <c r="AL65" i="12" s="1"/>
  <c r="AM66" i="12"/>
  <c r="AN65" i="12"/>
  <c r="AQ65" i="12"/>
  <c r="AP65" i="12"/>
  <c r="AB1055" i="10"/>
  <c r="AF1055" i="10" s="1"/>
  <c r="AJ7" i="11" l="1"/>
  <c r="AT7" i="11"/>
  <c r="M1066" i="11"/>
  <c r="M1061" i="11"/>
  <c r="M1067" i="11"/>
  <c r="M1065" i="11"/>
  <c r="M1059" i="11"/>
  <c r="M1063" i="11"/>
  <c r="M1062" i="11"/>
  <c r="M1058" i="11"/>
  <c r="M1060" i="11"/>
  <c r="M1057" i="11"/>
  <c r="M1064" i="11"/>
  <c r="AO8" i="11"/>
  <c r="AN8" i="11"/>
  <c r="AP8" i="11"/>
  <c r="AK9" i="11"/>
  <c r="AM8" i="11"/>
  <c r="AL8" i="11"/>
  <c r="AQ7" i="11"/>
  <c r="AR7" i="11"/>
  <c r="AC1055" i="10"/>
  <c r="AD1055" i="10" s="1"/>
  <c r="AD1054" i="10"/>
  <c r="AE1054" i="10" s="1"/>
  <c r="D70" i="14"/>
  <c r="F72" i="14"/>
  <c r="V1057" i="10"/>
  <c r="U1057" i="10" s="1"/>
  <c r="X1057" i="10" s="1"/>
  <c r="Y1057" i="10" s="1"/>
  <c r="Z1057" i="10" s="1"/>
  <c r="W1058" i="10"/>
  <c r="T1057" i="10"/>
  <c r="AO66" i="12"/>
  <c r="AL66" i="12" s="1"/>
  <c r="AN66" i="12"/>
  <c r="AP66" i="12"/>
  <c r="AM67" i="12"/>
  <c r="AQ66" i="12"/>
  <c r="AB1056" i="10"/>
  <c r="AF1056" i="10" s="1"/>
  <c r="AJ8" i="11" l="1"/>
  <c r="AT8" i="11"/>
  <c r="AL9" i="11"/>
  <c r="AK10" i="11"/>
  <c r="AP9" i="11"/>
  <c r="AN9" i="11"/>
  <c r="AO9" i="11"/>
  <c r="AM9" i="11"/>
  <c r="AQ8" i="11"/>
  <c r="AR8" i="11"/>
  <c r="AE1055" i="10"/>
  <c r="AC1056" i="10"/>
  <c r="AO67" i="12"/>
  <c r="AL67" i="12" s="1"/>
  <c r="AM68" i="12"/>
  <c r="AP67" i="12"/>
  <c r="AQ67" i="12"/>
  <c r="AN67" i="12"/>
  <c r="AB1057" i="10"/>
  <c r="AF1057" i="10"/>
  <c r="AC1057" i="10"/>
  <c r="AE1057" i="10" s="1"/>
  <c r="AD1057" i="10"/>
  <c r="F73" i="14"/>
  <c r="D71" i="14"/>
  <c r="W1059" i="10"/>
  <c r="V1058" i="10"/>
  <c r="U1058" i="10" s="1"/>
  <c r="X1058" i="10" s="1"/>
  <c r="Y1058" i="10" s="1"/>
  <c r="Z1058" i="10" s="1"/>
  <c r="T1058" i="10"/>
  <c r="AJ9" i="11" l="1"/>
  <c r="AQ9" i="11"/>
  <c r="AR9" i="11"/>
  <c r="AM10" i="11"/>
  <c r="AO10" i="11"/>
  <c r="AN10" i="11"/>
  <c r="AL10" i="11"/>
  <c r="AK11" i="11"/>
  <c r="AP10" i="11"/>
  <c r="AT9" i="11"/>
  <c r="AD1056" i="10"/>
  <c r="AE1056" i="10" s="1"/>
  <c r="AC1058" i="10"/>
  <c r="AD1058" i="10" s="1"/>
  <c r="AE1058" i="10" s="1"/>
  <c r="AB1058" i="10"/>
  <c r="AF1058" i="10" s="1"/>
  <c r="D72" i="14"/>
  <c r="F74" i="14"/>
  <c r="V1059" i="10"/>
  <c r="U1059" i="10" s="1"/>
  <c r="X1059" i="10" s="1"/>
  <c r="Y1059" i="10" s="1"/>
  <c r="Z1059" i="10" s="1"/>
  <c r="W1060" i="10"/>
  <c r="T1059" i="10"/>
  <c r="AO68" i="12"/>
  <c r="AL68" i="12" s="1"/>
  <c r="AM69" i="12"/>
  <c r="AQ68" i="12"/>
  <c r="AP68" i="12"/>
  <c r="AN68" i="12"/>
  <c r="AJ10" i="11" l="1"/>
  <c r="AT10" i="11"/>
  <c r="AM11" i="11"/>
  <c r="AP11" i="11"/>
  <c r="AL11" i="11"/>
  <c r="AK12" i="11"/>
  <c r="AO11" i="11"/>
  <c r="AN11" i="11"/>
  <c r="AR10" i="11"/>
  <c r="AQ10" i="11"/>
  <c r="W1061" i="10"/>
  <c r="V1060" i="10"/>
  <c r="U1060" i="10" s="1"/>
  <c r="X1060" i="10" s="1"/>
  <c r="Y1060" i="10" s="1"/>
  <c r="Z1060" i="10" s="1"/>
  <c r="T1060" i="10"/>
  <c r="F75" i="14"/>
  <c r="D73" i="14"/>
  <c r="AO69" i="12"/>
  <c r="AL69" i="12" s="1"/>
  <c r="AM70" i="12"/>
  <c r="AN69" i="12"/>
  <c r="AP69" i="12"/>
  <c r="AQ69" i="12"/>
  <c r="AB1059" i="10"/>
  <c r="AC1059" i="10" s="1"/>
  <c r="AD1059" i="10" s="1"/>
  <c r="AE1059" i="10" s="1"/>
  <c r="AJ11" i="11" l="1"/>
  <c r="AF1059" i="10"/>
  <c r="AT11" i="11"/>
  <c r="AM12" i="11"/>
  <c r="AL12" i="11"/>
  <c r="AN12" i="11"/>
  <c r="AK13" i="11"/>
  <c r="AO12" i="11"/>
  <c r="AP12" i="11"/>
  <c r="AQ11" i="11"/>
  <c r="AR11" i="11"/>
  <c r="AC1060" i="10"/>
  <c r="AB1060" i="10"/>
  <c r="AE1060" i="10"/>
  <c r="AF1060" i="10"/>
  <c r="AD1060" i="10"/>
  <c r="AO70" i="12"/>
  <c r="AL70" i="12" s="1"/>
  <c r="AN70" i="12"/>
  <c r="AP70" i="12"/>
  <c r="AM71" i="12"/>
  <c r="AQ70" i="12"/>
  <c r="D74" i="14"/>
  <c r="F76" i="14"/>
  <c r="V1061" i="10"/>
  <c r="U1061" i="10" s="1"/>
  <c r="X1061" i="10" s="1"/>
  <c r="Y1061" i="10" s="1"/>
  <c r="Z1061" i="10" s="1"/>
  <c r="W1062" i="10"/>
  <c r="T1061" i="10"/>
  <c r="AJ12" i="11" l="1"/>
  <c r="AT12" i="11"/>
  <c r="AL13" i="11"/>
  <c r="AN13" i="11"/>
  <c r="AK14" i="11"/>
  <c r="AP13" i="11"/>
  <c r="AO13" i="11"/>
  <c r="AM13" i="11"/>
  <c r="AR12" i="11"/>
  <c r="AQ12" i="11"/>
  <c r="AB1061" i="10"/>
  <c r="AC1061" i="10" s="1"/>
  <c r="F77" i="14"/>
  <c r="D75" i="14"/>
  <c r="AO71" i="12"/>
  <c r="AL71" i="12" s="1"/>
  <c r="AM72" i="12"/>
  <c r="AP71" i="12"/>
  <c r="AQ71" i="12"/>
  <c r="AN71" i="12"/>
  <c r="W1063" i="10"/>
  <c r="V1062" i="10"/>
  <c r="U1062" i="10" s="1"/>
  <c r="X1062" i="10" s="1"/>
  <c r="Y1062" i="10" s="1"/>
  <c r="Z1062" i="10" s="1"/>
  <c r="T1062" i="10"/>
  <c r="AJ13" i="11" l="1"/>
  <c r="AD1061" i="10"/>
  <c r="AE1061" i="10" s="1"/>
  <c r="AF1061" i="10"/>
  <c r="AK15" i="11"/>
  <c r="AM14" i="11"/>
  <c r="AP14" i="11"/>
  <c r="AO14" i="11"/>
  <c r="AL14" i="11"/>
  <c r="AN14" i="11"/>
  <c r="AR13" i="11"/>
  <c r="AQ13" i="11"/>
  <c r="AT13" i="11"/>
  <c r="AB1062" i="10"/>
  <c r="AF1062" i="10" s="1"/>
  <c r="AC1062" i="10"/>
  <c r="V1063" i="10"/>
  <c r="U1063" i="10" s="1"/>
  <c r="X1063" i="10" s="1"/>
  <c r="Y1063" i="10" s="1"/>
  <c r="Z1063" i="10" s="1"/>
  <c r="W1064" i="10"/>
  <c r="T1063" i="10"/>
  <c r="AO72" i="12"/>
  <c r="AL72" i="12" s="1"/>
  <c r="AM73" i="12"/>
  <c r="AQ72" i="12"/>
  <c r="AP72" i="12"/>
  <c r="AN72" i="12"/>
  <c r="D76" i="14"/>
  <c r="F78" i="14"/>
  <c r="AJ14" i="11" l="1"/>
  <c r="AD1062" i="10"/>
  <c r="AE1062" i="10" s="1"/>
  <c r="AT14" i="11"/>
  <c r="AQ14" i="11"/>
  <c r="AR14" i="11"/>
  <c r="AO15" i="11"/>
  <c r="AP15" i="11"/>
  <c r="AM15" i="11"/>
  <c r="AN15" i="11"/>
  <c r="AK16" i="11"/>
  <c r="AL15" i="11"/>
  <c r="F79" i="14"/>
  <c r="D77" i="14"/>
  <c r="AO73" i="12"/>
  <c r="AL73" i="12" s="1"/>
  <c r="AM74" i="12"/>
  <c r="AN73" i="12"/>
  <c r="AQ73" i="12"/>
  <c r="AP73" i="12"/>
  <c r="W1065" i="10"/>
  <c r="V1064" i="10"/>
  <c r="U1064" i="10" s="1"/>
  <c r="X1064" i="10" s="1"/>
  <c r="Y1064" i="10" s="1"/>
  <c r="Z1064" i="10" s="1"/>
  <c r="T1064" i="10"/>
  <c r="AC1063" i="10"/>
  <c r="AB1063" i="10"/>
  <c r="AD1063" i="10"/>
  <c r="AE1063" i="10"/>
  <c r="AF1063" i="10"/>
  <c r="AJ15" i="11" l="1"/>
  <c r="AT15" i="11"/>
  <c r="AM16" i="11"/>
  <c r="AP16" i="11"/>
  <c r="AL16" i="11"/>
  <c r="AN16" i="11"/>
  <c r="AK17" i="11"/>
  <c r="AO16" i="11"/>
  <c r="AQ15" i="11"/>
  <c r="AR15" i="11"/>
  <c r="V1065" i="10"/>
  <c r="U1065" i="10" s="1"/>
  <c r="X1065" i="10" s="1"/>
  <c r="Y1065" i="10" s="1"/>
  <c r="Z1065" i="10" s="1"/>
  <c r="W1066" i="10"/>
  <c r="T1065" i="10"/>
  <c r="AB1064" i="10"/>
  <c r="AC1064" i="10" s="1"/>
  <c r="AO74" i="12"/>
  <c r="AL74" i="12" s="1"/>
  <c r="AN74" i="12"/>
  <c r="AP74" i="12"/>
  <c r="AM75" i="12"/>
  <c r="AQ74" i="12"/>
  <c r="D78" i="14"/>
  <c r="F80" i="14"/>
  <c r="AJ16" i="11" l="1"/>
  <c r="AT16" i="11"/>
  <c r="AM17" i="11"/>
  <c r="AO17" i="11"/>
  <c r="AK18" i="11"/>
  <c r="AN17" i="11"/>
  <c r="AL17" i="11"/>
  <c r="AP17" i="11"/>
  <c r="AQ16" i="11"/>
  <c r="AR16" i="11"/>
  <c r="AD1064" i="10"/>
  <c r="AE1064" i="10" s="1"/>
  <c r="AF1064" i="10"/>
  <c r="F81" i="14"/>
  <c r="D79" i="14"/>
  <c r="AB1065" i="10"/>
  <c r="AC1065" i="10" s="1"/>
  <c r="AO75" i="12"/>
  <c r="AL75" i="12" s="1"/>
  <c r="AM76" i="12"/>
  <c r="AP75" i="12"/>
  <c r="AQ75" i="12"/>
  <c r="AN75" i="12"/>
  <c r="W1067" i="10"/>
  <c r="V1066" i="10"/>
  <c r="U1066" i="10" s="1"/>
  <c r="X1066" i="10" s="1"/>
  <c r="Y1066" i="10" s="1"/>
  <c r="Z1066" i="10" s="1"/>
  <c r="T1066" i="10"/>
  <c r="AT17" i="11" l="1"/>
  <c r="AJ17" i="11"/>
  <c r="AM18" i="11"/>
  <c r="AO18" i="11"/>
  <c r="AL18" i="11"/>
  <c r="AN18" i="11"/>
  <c r="AK19" i="11"/>
  <c r="AP18" i="11"/>
  <c r="AR17" i="11"/>
  <c r="AQ17" i="11"/>
  <c r="AF1065" i="10"/>
  <c r="AD1065" i="10"/>
  <c r="AE1065" i="10" s="1"/>
  <c r="AB1066" i="10"/>
  <c r="AF1066" i="10" s="1"/>
  <c r="V1067" i="10"/>
  <c r="U1067" i="10" s="1"/>
  <c r="X1067" i="10" s="1"/>
  <c r="Y1067" i="10" s="1"/>
  <c r="Z1067" i="10" s="1"/>
  <c r="W1068" i="10"/>
  <c r="T1067" i="10"/>
  <c r="AO76" i="12"/>
  <c r="AL76" i="12" s="1"/>
  <c r="AM77" i="12"/>
  <c r="AQ76" i="12"/>
  <c r="AP76" i="12"/>
  <c r="AN76" i="12"/>
  <c r="D80" i="14"/>
  <c r="F82" i="14"/>
  <c r="AJ18" i="11" l="1"/>
  <c r="AT18" i="11"/>
  <c r="AO19" i="11"/>
  <c r="AM19" i="11"/>
  <c r="AP19" i="11"/>
  <c r="AK20" i="11"/>
  <c r="AN19" i="11"/>
  <c r="AL19" i="11"/>
  <c r="AJ19" i="11" s="1"/>
  <c r="AR18" i="11"/>
  <c r="AQ18" i="11"/>
  <c r="AC1066" i="10"/>
  <c r="AD1066" i="10" s="1"/>
  <c r="AE1066" i="10" s="1"/>
  <c r="AB1067" i="10"/>
  <c r="AF1067" i="10" s="1"/>
  <c r="F83" i="14"/>
  <c r="D81" i="14"/>
  <c r="AO77" i="12"/>
  <c r="AL77" i="12" s="1"/>
  <c r="AM78" i="12"/>
  <c r="AN77" i="12"/>
  <c r="AP77" i="12"/>
  <c r="AQ77" i="12"/>
  <c r="W1069" i="10"/>
  <c r="V1068" i="10"/>
  <c r="U1068" i="10" s="1"/>
  <c r="X1068" i="10" s="1"/>
  <c r="Y1068" i="10" s="1"/>
  <c r="Z1068" i="10" s="1"/>
  <c r="T1068" i="10"/>
  <c r="AT19" i="11" l="1"/>
  <c r="AL20" i="11"/>
  <c r="AK21" i="11"/>
  <c r="AO20" i="11"/>
  <c r="AN20" i="11"/>
  <c r="AP20" i="11"/>
  <c r="AM20" i="11"/>
  <c r="AR19" i="11"/>
  <c r="AQ19" i="11"/>
  <c r="AC1067" i="10"/>
  <c r="AD1067" i="10" s="1"/>
  <c r="AE1067" i="10" s="1"/>
  <c r="AB1068" i="10"/>
  <c r="AC1068" i="10" s="1"/>
  <c r="V1069" i="10"/>
  <c r="U1069" i="10" s="1"/>
  <c r="X1069" i="10" s="1"/>
  <c r="Y1069" i="10" s="1"/>
  <c r="Z1069" i="10" s="1"/>
  <c r="W1070" i="10"/>
  <c r="T1069" i="10"/>
  <c r="AO78" i="12"/>
  <c r="AL78" i="12" s="1"/>
  <c r="AN78" i="12"/>
  <c r="AP78" i="12"/>
  <c r="AM79" i="12"/>
  <c r="AQ78" i="12"/>
  <c r="D82" i="14"/>
  <c r="F84" i="14"/>
  <c r="AJ20" i="11" l="1"/>
  <c r="AR20" i="11"/>
  <c r="AQ20" i="11"/>
  <c r="AK22" i="11"/>
  <c r="AL21" i="11"/>
  <c r="AO21" i="11"/>
  <c r="AM21" i="11"/>
  <c r="AN21" i="11"/>
  <c r="AP21" i="11"/>
  <c r="AT20" i="11"/>
  <c r="AF1068" i="10"/>
  <c r="AD1068" i="10"/>
  <c r="AE1068" i="10" s="1"/>
  <c r="AB1069" i="10"/>
  <c r="AF1069" i="10" s="1"/>
  <c r="D83" i="14"/>
  <c r="W1071" i="10"/>
  <c r="V1070" i="10"/>
  <c r="U1070" i="10" s="1"/>
  <c r="X1070" i="10" s="1"/>
  <c r="Y1070" i="10" s="1"/>
  <c r="Z1070" i="10" s="1"/>
  <c r="T1070" i="10"/>
  <c r="F85" i="14"/>
  <c r="AO79" i="12"/>
  <c r="AL79" i="12" s="1"/>
  <c r="AM80" i="12"/>
  <c r="AP79" i="12"/>
  <c r="AQ79" i="12"/>
  <c r="AN79" i="12"/>
  <c r="AJ21" i="11" l="1"/>
  <c r="AM22" i="11"/>
  <c r="AO22" i="11"/>
  <c r="AK23" i="11"/>
  <c r="AN22" i="11"/>
  <c r="AL22" i="11"/>
  <c r="AP22" i="11"/>
  <c r="AQ21" i="11"/>
  <c r="AR21" i="11"/>
  <c r="AT21" i="11"/>
  <c r="AC1069" i="10"/>
  <c r="V1071" i="10"/>
  <c r="U1071" i="10" s="1"/>
  <c r="X1071" i="10" s="1"/>
  <c r="Y1071" i="10" s="1"/>
  <c r="Z1071" i="10" s="1"/>
  <c r="W1072" i="10"/>
  <c r="T1071" i="10"/>
  <c r="D84" i="14"/>
  <c r="F86" i="14"/>
  <c r="AB1070" i="10"/>
  <c r="AC1070" i="10" s="1"/>
  <c r="AO80" i="12"/>
  <c r="AL80" i="12" s="1"/>
  <c r="AM81" i="12"/>
  <c r="AQ80" i="12"/>
  <c r="AN80" i="12"/>
  <c r="AP80" i="12"/>
  <c r="AJ22" i="11" l="1"/>
  <c r="AT22" i="11"/>
  <c r="AD1070" i="10"/>
  <c r="AE1070" i="10" s="1"/>
  <c r="AL23" i="11"/>
  <c r="AM23" i="11"/>
  <c r="AO23" i="11"/>
  <c r="AP23" i="11"/>
  <c r="AK24" i="11"/>
  <c r="AN23" i="11"/>
  <c r="AQ22" i="11"/>
  <c r="AR22" i="11"/>
  <c r="AD1069" i="10"/>
  <c r="AE1069" i="10" s="1"/>
  <c r="AF1070" i="10"/>
  <c r="AO81" i="12"/>
  <c r="AL81" i="12" s="1"/>
  <c r="AM82" i="12"/>
  <c r="AN81" i="12"/>
  <c r="AQ81" i="12"/>
  <c r="AP81" i="12"/>
  <c r="F87" i="14"/>
  <c r="D85" i="14"/>
  <c r="W1073" i="10"/>
  <c r="V1072" i="10"/>
  <c r="U1072" i="10" s="1"/>
  <c r="X1072" i="10" s="1"/>
  <c r="Y1072" i="10" s="1"/>
  <c r="Z1072" i="10" s="1"/>
  <c r="T1072" i="10"/>
  <c r="AB1071" i="10"/>
  <c r="AF1071" i="10" s="1"/>
  <c r="AC1071" i="10"/>
  <c r="AJ23" i="11" l="1"/>
  <c r="AR23" i="11"/>
  <c r="AQ23" i="11"/>
  <c r="AN24" i="11"/>
  <c r="AO24" i="11"/>
  <c r="AK25" i="11"/>
  <c r="AP24" i="11"/>
  <c r="AL24" i="11"/>
  <c r="AM24" i="11"/>
  <c r="AT23" i="11"/>
  <c r="AD1071" i="10"/>
  <c r="AE1071" i="10" s="1"/>
  <c r="D86" i="14"/>
  <c r="F88" i="14"/>
  <c r="V1073" i="10"/>
  <c r="U1073" i="10" s="1"/>
  <c r="X1073" i="10" s="1"/>
  <c r="Y1073" i="10" s="1"/>
  <c r="Z1073" i="10" s="1"/>
  <c r="W1074" i="10"/>
  <c r="T1073" i="10"/>
  <c r="AB1072" i="10"/>
  <c r="AC1072" i="10" s="1"/>
  <c r="AF1072" i="10"/>
  <c r="AO82" i="12"/>
  <c r="AL82" i="12" s="1"/>
  <c r="AN82" i="12"/>
  <c r="AP82" i="12"/>
  <c r="AM83" i="12"/>
  <c r="AQ82" i="12"/>
  <c r="AJ24" i="11" l="1"/>
  <c r="AT24" i="11"/>
  <c r="AM25" i="11"/>
  <c r="AO25" i="11"/>
  <c r="AP25" i="11"/>
  <c r="AK26" i="11"/>
  <c r="AN25" i="11"/>
  <c r="AL25" i="11"/>
  <c r="AQ24" i="11"/>
  <c r="AR24" i="11"/>
  <c r="AD1072" i="10"/>
  <c r="AE1072" i="10" s="1"/>
  <c r="AB1073" i="10"/>
  <c r="AF1073" i="10" s="1"/>
  <c r="F89" i="14"/>
  <c r="D87" i="14"/>
  <c r="AO83" i="12"/>
  <c r="AL83" i="12" s="1"/>
  <c r="AM84" i="12"/>
  <c r="AP83" i="12"/>
  <c r="AQ83" i="12"/>
  <c r="AN83" i="12"/>
  <c r="W1075" i="10"/>
  <c r="V1074" i="10"/>
  <c r="U1074" i="10" s="1"/>
  <c r="X1074" i="10" s="1"/>
  <c r="Y1074" i="10" s="1"/>
  <c r="Z1074" i="10" s="1"/>
  <c r="T1074" i="10"/>
  <c r="AJ25" i="11" l="1"/>
  <c r="AC1073" i="10"/>
  <c r="AD1073" i="10" s="1"/>
  <c r="AE1073" i="10" s="1"/>
  <c r="AT25" i="11"/>
  <c r="AQ25" i="11"/>
  <c r="AR25" i="11"/>
  <c r="AP26" i="11"/>
  <c r="AM26" i="11"/>
  <c r="AN26" i="11"/>
  <c r="AK27" i="11"/>
  <c r="AO26" i="11"/>
  <c r="AL26" i="11"/>
  <c r="AD1074" i="10"/>
  <c r="AE1074" i="10"/>
  <c r="AB1074" i="10"/>
  <c r="AC1074" i="10"/>
  <c r="AF1074" i="10"/>
  <c r="V1075" i="10"/>
  <c r="U1075" i="10" s="1"/>
  <c r="X1075" i="10" s="1"/>
  <c r="Y1075" i="10" s="1"/>
  <c r="Z1075" i="10" s="1"/>
  <c r="W1076" i="10"/>
  <c r="T1075" i="10"/>
  <c r="AO84" i="12"/>
  <c r="AL84" i="12" s="1"/>
  <c r="AM85" i="12"/>
  <c r="AQ84" i="12"/>
  <c r="AP84" i="12"/>
  <c r="AN84" i="12"/>
  <c r="D88" i="14"/>
  <c r="F90" i="14"/>
  <c r="AJ26" i="11" l="1"/>
  <c r="AT26" i="11"/>
  <c r="AM27" i="11"/>
  <c r="AL27" i="11"/>
  <c r="AN27" i="11"/>
  <c r="AO27" i="11"/>
  <c r="AP27" i="11"/>
  <c r="AK28" i="11"/>
  <c r="AQ26" i="11"/>
  <c r="AR26" i="11"/>
  <c r="F91" i="14"/>
  <c r="D89" i="14"/>
  <c r="AO85" i="12"/>
  <c r="AL85" i="12" s="1"/>
  <c r="AM86" i="12"/>
  <c r="AN85" i="12"/>
  <c r="AQ85" i="12"/>
  <c r="AP85" i="12"/>
  <c r="W1077" i="10"/>
  <c r="V1076" i="10"/>
  <c r="U1076" i="10" s="1"/>
  <c r="X1076" i="10" s="1"/>
  <c r="Y1076" i="10" s="1"/>
  <c r="Z1076" i="10" s="1"/>
  <c r="T1076" i="10"/>
  <c r="AB1075" i="10"/>
  <c r="AC1075" i="10" s="1"/>
  <c r="AF1075" i="10"/>
  <c r="AJ27" i="11" l="1"/>
  <c r="AD1075" i="10"/>
  <c r="AE1075" i="10"/>
  <c r="AT27" i="11"/>
  <c r="AN28" i="11"/>
  <c r="AP28" i="11"/>
  <c r="AK29" i="11"/>
  <c r="AO28" i="11"/>
  <c r="AL28" i="11"/>
  <c r="AM28" i="11"/>
  <c r="AR27" i="11"/>
  <c r="AQ27" i="11"/>
  <c r="AB1076" i="10"/>
  <c r="AF1076" i="10" s="1"/>
  <c r="AC1076" i="10"/>
  <c r="V1077" i="10"/>
  <c r="U1077" i="10" s="1"/>
  <c r="X1077" i="10" s="1"/>
  <c r="Y1077" i="10" s="1"/>
  <c r="Z1077" i="10" s="1"/>
  <c r="W1078" i="10"/>
  <c r="T1077" i="10"/>
  <c r="AO86" i="12"/>
  <c r="AL86" i="12" s="1"/>
  <c r="AN86" i="12"/>
  <c r="AP86" i="12"/>
  <c r="AM87" i="12"/>
  <c r="AQ86" i="12"/>
  <c r="D90" i="14"/>
  <c r="F92" i="14"/>
  <c r="AJ28" i="11" l="1"/>
  <c r="AD1076" i="10"/>
  <c r="AE1076" i="10" s="1"/>
  <c r="AT28" i="11"/>
  <c r="AK30" i="11"/>
  <c r="AO29" i="11"/>
  <c r="AM29" i="11"/>
  <c r="AP29" i="11"/>
  <c r="AN29" i="11"/>
  <c r="AL29" i="11"/>
  <c r="AJ29" i="11" s="1"/>
  <c r="AR28" i="11"/>
  <c r="AQ28" i="11"/>
  <c r="F93" i="14"/>
  <c r="D91" i="14"/>
  <c r="W1079" i="10"/>
  <c r="V1078" i="10"/>
  <c r="U1078" i="10" s="1"/>
  <c r="X1078" i="10" s="1"/>
  <c r="Y1078" i="10" s="1"/>
  <c r="Z1078" i="10" s="1"/>
  <c r="T1078" i="10"/>
  <c r="AO87" i="12"/>
  <c r="AL87" i="12" s="1"/>
  <c r="AM88" i="12"/>
  <c r="AP87" i="12"/>
  <c r="AQ87" i="12"/>
  <c r="AN87" i="12"/>
  <c r="AE1077" i="10"/>
  <c r="AB1077" i="10"/>
  <c r="AC1077" i="10"/>
  <c r="AF1077" i="10"/>
  <c r="AD1077" i="10"/>
  <c r="AT29" i="11" l="1"/>
  <c r="AR29" i="11"/>
  <c r="AQ29" i="11"/>
  <c r="AK31" i="11"/>
  <c r="AL30" i="11"/>
  <c r="AN30" i="11"/>
  <c r="AO30" i="11"/>
  <c r="AM30" i="11"/>
  <c r="AP30" i="11"/>
  <c r="AO88" i="12"/>
  <c r="AL88" i="12" s="1"/>
  <c r="AM89" i="12"/>
  <c r="AQ88" i="12"/>
  <c r="AN88" i="12"/>
  <c r="AP88" i="12"/>
  <c r="V1079" i="10"/>
  <c r="U1079" i="10" s="1"/>
  <c r="X1079" i="10" s="1"/>
  <c r="Y1079" i="10" s="1"/>
  <c r="Z1079" i="10" s="1"/>
  <c r="W1080" i="10"/>
  <c r="T1079" i="10"/>
  <c r="AB1078" i="10"/>
  <c r="AC1078" i="10" s="1"/>
  <c r="D92" i="14"/>
  <c r="F94" i="14"/>
  <c r="AJ30" i="11" l="1"/>
  <c r="AT30" i="11"/>
  <c r="AR30" i="11"/>
  <c r="AQ30" i="11"/>
  <c r="AO31" i="11"/>
  <c r="AL31" i="11"/>
  <c r="AN31" i="11"/>
  <c r="AP31" i="11"/>
  <c r="AK32" i="11"/>
  <c r="AM31" i="11"/>
  <c r="AD1078" i="10"/>
  <c r="AE1078" i="10" s="1"/>
  <c r="AF1078" i="10"/>
  <c r="F95" i="14"/>
  <c r="D93" i="14"/>
  <c r="AB1079" i="10"/>
  <c r="AC1079" i="10" s="1"/>
  <c r="AO89" i="12"/>
  <c r="AL89" i="12" s="1"/>
  <c r="AM90" i="12"/>
  <c r="AN89" i="12"/>
  <c r="AQ89" i="12"/>
  <c r="AP89" i="12"/>
  <c r="W1081" i="10"/>
  <c r="V1080" i="10"/>
  <c r="U1080" i="10" s="1"/>
  <c r="X1080" i="10" s="1"/>
  <c r="Y1080" i="10" s="1"/>
  <c r="Z1080" i="10" s="1"/>
  <c r="T1080" i="10"/>
  <c r="AJ31" i="11" l="1"/>
  <c r="AR31" i="11"/>
  <c r="AQ31" i="11"/>
  <c r="AT31" i="11"/>
  <c r="AP32" i="11"/>
  <c r="AL32" i="11"/>
  <c r="AM32" i="11"/>
  <c r="AN32" i="11"/>
  <c r="AK33" i="11"/>
  <c r="AO32" i="11"/>
  <c r="AF1079" i="10"/>
  <c r="AD1079" i="10"/>
  <c r="AE1079" i="10" s="1"/>
  <c r="AB1080" i="10"/>
  <c r="AF1080" i="10" s="1"/>
  <c r="AO90" i="12"/>
  <c r="AL90" i="12" s="1"/>
  <c r="AN90" i="12"/>
  <c r="AP90" i="12"/>
  <c r="AM91" i="12"/>
  <c r="AQ90" i="12"/>
  <c r="D94" i="14"/>
  <c r="F96" i="14"/>
  <c r="V1081" i="10"/>
  <c r="U1081" i="10" s="1"/>
  <c r="X1081" i="10" s="1"/>
  <c r="Y1081" i="10" s="1"/>
  <c r="Z1081" i="10" s="1"/>
  <c r="W1082" i="10"/>
  <c r="T1081" i="10"/>
  <c r="AJ32" i="11" l="1"/>
  <c r="AR32" i="11"/>
  <c r="AQ32" i="11"/>
  <c r="AT32" i="11"/>
  <c r="AP33" i="11"/>
  <c r="AM33" i="11"/>
  <c r="AO33" i="11"/>
  <c r="AK34" i="11"/>
  <c r="AL33" i="11"/>
  <c r="AN33" i="11"/>
  <c r="AC1080" i="10"/>
  <c r="AD1080" i="10" s="1"/>
  <c r="AE1080" i="10" s="1"/>
  <c r="D95" i="14"/>
  <c r="W1083" i="10"/>
  <c r="V1082" i="10"/>
  <c r="U1082" i="10" s="1"/>
  <c r="X1082" i="10" s="1"/>
  <c r="Y1082" i="10" s="1"/>
  <c r="Z1082" i="10" s="1"/>
  <c r="T1082" i="10"/>
  <c r="F97" i="14"/>
  <c r="AO91" i="12"/>
  <c r="AL91" i="12" s="1"/>
  <c r="AM92" i="12"/>
  <c r="AP91" i="12"/>
  <c r="AQ91" i="12"/>
  <c r="AN91" i="12"/>
  <c r="AB1081" i="10"/>
  <c r="AF1081" i="10" s="1"/>
  <c r="AJ33" i="11" l="1"/>
  <c r="AT33" i="11"/>
  <c r="AL34" i="11"/>
  <c r="AJ34" i="11" s="1"/>
  <c r="AK35" i="11"/>
  <c r="AM34" i="11"/>
  <c r="AN34" i="11"/>
  <c r="AP34" i="11"/>
  <c r="AO34" i="11"/>
  <c r="AR33" i="11"/>
  <c r="AQ33" i="11"/>
  <c r="AC1081" i="10"/>
  <c r="AD1081" i="10" s="1"/>
  <c r="AE1081" i="10" s="1"/>
  <c r="V1083" i="10"/>
  <c r="U1083" i="10" s="1"/>
  <c r="X1083" i="10" s="1"/>
  <c r="Y1083" i="10" s="1"/>
  <c r="Z1083" i="10" s="1"/>
  <c r="W1084" i="10"/>
  <c r="T1083" i="10"/>
  <c r="D96" i="14"/>
  <c r="F98" i="14"/>
  <c r="AB1082" i="10"/>
  <c r="AC1082" i="10" s="1"/>
  <c r="AO92" i="12"/>
  <c r="AL92" i="12" s="1"/>
  <c r="AM93" i="12"/>
  <c r="AQ92" i="12"/>
  <c r="AP92" i="12"/>
  <c r="AN92" i="12"/>
  <c r="AM35" i="11" l="1"/>
  <c r="AP35" i="11"/>
  <c r="AN35" i="11"/>
  <c r="AO35" i="11"/>
  <c r="AL35" i="11"/>
  <c r="AK36" i="11"/>
  <c r="AQ34" i="11"/>
  <c r="AR34" i="11"/>
  <c r="AT34" i="11"/>
  <c r="AD1082" i="10"/>
  <c r="AE1082" i="10" s="1"/>
  <c r="AF1082" i="10"/>
  <c r="AO93" i="12"/>
  <c r="AL93" i="12" s="1"/>
  <c r="AM94" i="12"/>
  <c r="AN93" i="12"/>
  <c r="AQ93" i="12"/>
  <c r="AP93" i="12"/>
  <c r="F99" i="14"/>
  <c r="D97" i="14"/>
  <c r="AB1083" i="10"/>
  <c r="AC1083" i="10" s="1"/>
  <c r="W1085" i="10"/>
  <c r="V1084" i="10"/>
  <c r="U1084" i="10" s="1"/>
  <c r="X1084" i="10" s="1"/>
  <c r="Y1084" i="10" s="1"/>
  <c r="Z1084" i="10" s="1"/>
  <c r="T1084" i="10"/>
  <c r="AT35" i="11" l="1"/>
  <c r="AJ35" i="11"/>
  <c r="AP36" i="11"/>
  <c r="AO36" i="11"/>
  <c r="AM36" i="11"/>
  <c r="AN36" i="11"/>
  <c r="AK37" i="11"/>
  <c r="AL36" i="11"/>
  <c r="AJ36" i="11" s="1"/>
  <c r="AQ35" i="11"/>
  <c r="AR35" i="11"/>
  <c r="AD1083" i="10"/>
  <c r="AE1083" i="10" s="1"/>
  <c r="AF1083" i="10"/>
  <c r="V1085" i="10"/>
  <c r="U1085" i="10" s="1"/>
  <c r="X1085" i="10" s="1"/>
  <c r="Y1085" i="10" s="1"/>
  <c r="Z1085" i="10" s="1"/>
  <c r="W1086" i="10"/>
  <c r="T1085" i="10"/>
  <c r="D98" i="14"/>
  <c r="F100" i="14"/>
  <c r="AB1084" i="10"/>
  <c r="AF1084" i="10" s="1"/>
  <c r="AO94" i="12"/>
  <c r="AL94" i="12" s="1"/>
  <c r="AN94" i="12"/>
  <c r="AP94" i="12"/>
  <c r="AM95" i="12"/>
  <c r="AQ94" i="12"/>
  <c r="AR36" i="11" l="1"/>
  <c r="AQ36" i="11"/>
  <c r="AT36" i="11"/>
  <c r="AL37" i="11"/>
  <c r="AJ37" i="11" s="1"/>
  <c r="AP37" i="11"/>
  <c r="AM37" i="11"/>
  <c r="AN37" i="11"/>
  <c r="AK38" i="11"/>
  <c r="AO37" i="11"/>
  <c r="AC1084" i="10"/>
  <c r="AD1084" i="10" s="1"/>
  <c r="AE1084" i="10" s="1"/>
  <c r="D99" i="14"/>
  <c r="F101" i="14"/>
  <c r="W1087" i="10"/>
  <c r="V1086" i="10"/>
  <c r="U1086" i="10" s="1"/>
  <c r="X1086" i="10" s="1"/>
  <c r="Y1086" i="10" s="1"/>
  <c r="Z1086" i="10" s="1"/>
  <c r="T1086" i="10"/>
  <c r="AO95" i="12"/>
  <c r="AL95" i="12" s="1"/>
  <c r="AM96" i="12"/>
  <c r="AP95" i="12"/>
  <c r="AQ95" i="12"/>
  <c r="AN95" i="12"/>
  <c r="AB1085" i="10"/>
  <c r="AF1085" i="10" s="1"/>
  <c r="AC1085" i="10"/>
  <c r="AD1085" i="10" s="1"/>
  <c r="AQ37" i="11" l="1"/>
  <c r="AR37" i="11"/>
  <c r="AN38" i="11"/>
  <c r="AM38" i="11"/>
  <c r="AK39" i="11"/>
  <c r="AO38" i="11"/>
  <c r="AL38" i="11"/>
  <c r="AJ38" i="11" s="1"/>
  <c r="AP38" i="11"/>
  <c r="AT37" i="11"/>
  <c r="AE1085" i="10"/>
  <c r="AB1086" i="10"/>
  <c r="AC1086" i="10" s="1"/>
  <c r="F102" i="14"/>
  <c r="AO96" i="12"/>
  <c r="AL96" i="12" s="1"/>
  <c r="AM97" i="12"/>
  <c r="AQ96" i="12"/>
  <c r="AN96" i="12"/>
  <c r="AP96" i="12"/>
  <c r="V1087" i="10"/>
  <c r="U1087" i="10" s="1"/>
  <c r="X1087" i="10" s="1"/>
  <c r="Y1087" i="10" s="1"/>
  <c r="Z1087" i="10" s="1"/>
  <c r="W1088" i="10"/>
  <c r="T1087" i="10"/>
  <c r="D100" i="14"/>
  <c r="AT38" i="11" l="1"/>
  <c r="AO39" i="11"/>
  <c r="AK40" i="11"/>
  <c r="AL39" i="11"/>
  <c r="AJ39" i="11" s="1"/>
  <c r="AM39" i="11"/>
  <c r="AP39" i="11"/>
  <c r="AN39" i="11"/>
  <c r="AQ38" i="11"/>
  <c r="AR38" i="11"/>
  <c r="AD1086" i="10"/>
  <c r="AE1086" i="10" s="1"/>
  <c r="AF1086" i="10"/>
  <c r="D101" i="14"/>
  <c r="W1089" i="10"/>
  <c r="V1088" i="10"/>
  <c r="U1088" i="10" s="1"/>
  <c r="X1088" i="10" s="1"/>
  <c r="Y1088" i="10" s="1"/>
  <c r="Z1088" i="10" s="1"/>
  <c r="T1088" i="10"/>
  <c r="AB1087" i="10"/>
  <c r="AF1087" i="10" s="1"/>
  <c r="AO97" i="12"/>
  <c r="AL97" i="12" s="1"/>
  <c r="AM98" i="12"/>
  <c r="AN97" i="12"/>
  <c r="AQ97" i="12"/>
  <c r="AP97" i="12"/>
  <c r="F103" i="14"/>
  <c r="AC1087" i="10" l="1"/>
  <c r="AT39" i="11"/>
  <c r="AR39" i="11"/>
  <c r="AQ39" i="11"/>
  <c r="AO40" i="11"/>
  <c r="AK41" i="11"/>
  <c r="AN40" i="11"/>
  <c r="AL40" i="11"/>
  <c r="AJ40" i="11" s="1"/>
  <c r="AP40" i="11"/>
  <c r="AM40" i="11"/>
  <c r="V1089" i="10"/>
  <c r="U1089" i="10" s="1"/>
  <c r="X1089" i="10" s="1"/>
  <c r="Y1089" i="10" s="1"/>
  <c r="Z1089" i="10" s="1"/>
  <c r="W1090" i="10"/>
  <c r="T1089" i="10"/>
  <c r="D102" i="14"/>
  <c r="AB1088" i="10"/>
  <c r="AD1088" i="10"/>
  <c r="AF1088" i="10"/>
  <c r="AE1088" i="10"/>
  <c r="AC1088" i="10"/>
  <c r="F104" i="14"/>
  <c r="AO98" i="12"/>
  <c r="AL98" i="12" s="1"/>
  <c r="AN98" i="12"/>
  <c r="AP98" i="12"/>
  <c r="AM99" i="12"/>
  <c r="AQ98" i="12"/>
  <c r="AD1087" i="10" l="1"/>
  <c r="AE1087" i="10" s="1"/>
  <c r="AT40" i="11"/>
  <c r="AQ40" i="11"/>
  <c r="AR40" i="11"/>
  <c r="AN41" i="11"/>
  <c r="AM41" i="11"/>
  <c r="AK42" i="11"/>
  <c r="AP41" i="11"/>
  <c r="AO41" i="11"/>
  <c r="AL41" i="11"/>
  <c r="F105" i="14"/>
  <c r="D103" i="14"/>
  <c r="AB1089" i="10"/>
  <c r="AF1089" i="10" s="1"/>
  <c r="AO99" i="12"/>
  <c r="AL99" i="12" s="1"/>
  <c r="AM100" i="12"/>
  <c r="AP99" i="12"/>
  <c r="AQ99" i="12"/>
  <c r="AN99" i="12"/>
  <c r="W1091" i="10"/>
  <c r="V1090" i="10"/>
  <c r="U1090" i="10" s="1"/>
  <c r="X1090" i="10" s="1"/>
  <c r="Y1090" i="10" s="1"/>
  <c r="Z1090" i="10" s="1"/>
  <c r="T1090" i="10"/>
  <c r="AT41" i="11" l="1"/>
  <c r="AJ41" i="11"/>
  <c r="AC1089" i="10"/>
  <c r="AP42" i="11"/>
  <c r="AN42" i="11"/>
  <c r="AO42" i="11"/>
  <c r="AM42" i="11"/>
  <c r="AK43" i="11"/>
  <c r="AL42" i="11"/>
  <c r="AJ42" i="11" s="1"/>
  <c r="AR41" i="11"/>
  <c r="AQ41" i="11"/>
  <c r="V1091" i="10"/>
  <c r="U1091" i="10" s="1"/>
  <c r="X1091" i="10" s="1"/>
  <c r="Y1091" i="10" s="1"/>
  <c r="Z1091" i="10" s="1"/>
  <c r="W1092" i="10"/>
  <c r="T1091" i="10"/>
  <c r="D104" i="14"/>
  <c r="AB1090" i="10"/>
  <c r="AF1090" i="10" s="1"/>
  <c r="AD1090" i="10"/>
  <c r="AC1090" i="10"/>
  <c r="AE1090" i="10" s="1"/>
  <c r="AO100" i="12"/>
  <c r="AL100" i="12" s="1"/>
  <c r="AM101" i="12"/>
  <c r="AQ100" i="12"/>
  <c r="AP100" i="12"/>
  <c r="AN100" i="12"/>
  <c r="F106" i="14"/>
  <c r="AD1089" i="10" l="1"/>
  <c r="AE1089" i="10"/>
  <c r="AT42" i="11"/>
  <c r="AQ42" i="11"/>
  <c r="AR42" i="11"/>
  <c r="AK44" i="11"/>
  <c r="AM43" i="11"/>
  <c r="AL43" i="11"/>
  <c r="AJ43" i="11" s="1"/>
  <c r="AO43" i="11"/>
  <c r="AN43" i="11"/>
  <c r="AP43" i="11"/>
  <c r="D105" i="14"/>
  <c r="W1093" i="10"/>
  <c r="V1092" i="10"/>
  <c r="U1092" i="10" s="1"/>
  <c r="X1092" i="10" s="1"/>
  <c r="Y1092" i="10" s="1"/>
  <c r="Z1092" i="10" s="1"/>
  <c r="T1092" i="10"/>
  <c r="F107" i="14"/>
  <c r="AO101" i="12"/>
  <c r="AL101" i="12" s="1"/>
  <c r="AM102" i="12"/>
  <c r="AN101" i="12"/>
  <c r="AP101" i="12"/>
  <c r="AQ101" i="12"/>
  <c r="AB1091" i="10"/>
  <c r="AC1091" i="10"/>
  <c r="AD1091" i="10"/>
  <c r="AF1091" i="10"/>
  <c r="AE1091" i="10"/>
  <c r="AT43" i="11" l="1"/>
  <c r="AM44" i="11"/>
  <c r="AK45" i="11"/>
  <c r="AL44" i="11"/>
  <c r="AJ44" i="11" s="1"/>
  <c r="AN44" i="11"/>
  <c r="AO44" i="11"/>
  <c r="AP44" i="11"/>
  <c r="AQ43" i="11"/>
  <c r="AR43" i="11"/>
  <c r="F108" i="14"/>
  <c r="V1093" i="10"/>
  <c r="U1093" i="10" s="1"/>
  <c r="X1093" i="10" s="1"/>
  <c r="Y1093" i="10" s="1"/>
  <c r="Z1093" i="10" s="1"/>
  <c r="W1094" i="10"/>
  <c r="T1093" i="10"/>
  <c r="D106" i="14"/>
  <c r="AB1092" i="10"/>
  <c r="AC1092" i="10" s="1"/>
  <c r="AD1092" i="10" s="1"/>
  <c r="AO102" i="12"/>
  <c r="AL102" i="12" s="1"/>
  <c r="AN102" i="12"/>
  <c r="AP102" i="12"/>
  <c r="AM103" i="12"/>
  <c r="AQ102" i="12"/>
  <c r="AT44" i="11" l="1"/>
  <c r="AM45" i="11"/>
  <c r="AO45" i="11"/>
  <c r="AL45" i="11"/>
  <c r="AJ45" i="11" s="1"/>
  <c r="AK46" i="11"/>
  <c r="AP45" i="11"/>
  <c r="AN45" i="11"/>
  <c r="AR44" i="11"/>
  <c r="AQ44" i="11"/>
  <c r="AF1092" i="10"/>
  <c r="AE1092" i="10"/>
  <c r="AB1093" i="10"/>
  <c r="AC1093" i="10" s="1"/>
  <c r="W1095" i="10"/>
  <c r="V1094" i="10"/>
  <c r="U1094" i="10" s="1"/>
  <c r="X1094" i="10" s="1"/>
  <c r="Y1094" i="10" s="1"/>
  <c r="Z1094" i="10" s="1"/>
  <c r="T1094" i="10"/>
  <c r="AO103" i="12"/>
  <c r="AL103" i="12" s="1"/>
  <c r="AM104" i="12"/>
  <c r="AP103" i="12"/>
  <c r="AQ103" i="12"/>
  <c r="AN103" i="12"/>
  <c r="D107" i="14"/>
  <c r="F109" i="14"/>
  <c r="AT45" i="11" l="1"/>
  <c r="AL46" i="11"/>
  <c r="AJ46" i="11" s="1"/>
  <c r="AP46" i="11"/>
  <c r="AM46" i="11"/>
  <c r="AK47" i="11"/>
  <c r="AO46" i="11"/>
  <c r="AN46" i="11"/>
  <c r="AQ45" i="11"/>
  <c r="AR45" i="11"/>
  <c r="AD1093" i="10"/>
  <c r="AE1093" i="10" s="1"/>
  <c r="AF1093" i="10"/>
  <c r="AB1094" i="10"/>
  <c r="AF1094" i="10" s="1"/>
  <c r="F110" i="14"/>
  <c r="D108" i="14"/>
  <c r="AO104" i="12"/>
  <c r="AL104" i="12" s="1"/>
  <c r="AM105" i="12"/>
  <c r="AQ104" i="12"/>
  <c r="AP104" i="12"/>
  <c r="AN104" i="12"/>
  <c r="V1095" i="10"/>
  <c r="U1095" i="10" s="1"/>
  <c r="X1095" i="10" s="1"/>
  <c r="Y1095" i="10" s="1"/>
  <c r="Z1095" i="10" s="1"/>
  <c r="W1096" i="10"/>
  <c r="T1095" i="10"/>
  <c r="AN47" i="11" l="1"/>
  <c r="AL47" i="11"/>
  <c r="AJ47" i="11" s="1"/>
  <c r="AP47" i="11"/>
  <c r="AM47" i="11"/>
  <c r="AK48" i="11"/>
  <c r="AO47" i="11"/>
  <c r="AQ46" i="11"/>
  <c r="AR46" i="11"/>
  <c r="AT46" i="11"/>
  <c r="AC1094" i="10"/>
  <c r="AD1094" i="10" s="1"/>
  <c r="AE1094" i="10" s="1"/>
  <c r="AB1095" i="10"/>
  <c r="AC1095" i="10" s="1"/>
  <c r="AO105" i="12"/>
  <c r="AL105" i="12" s="1"/>
  <c r="AM106" i="12"/>
  <c r="AN105" i="12"/>
  <c r="AQ105" i="12"/>
  <c r="AP105" i="12"/>
  <c r="D109" i="14"/>
  <c r="F111" i="14"/>
  <c r="W1097" i="10"/>
  <c r="V1096" i="10"/>
  <c r="U1096" i="10" s="1"/>
  <c r="X1096" i="10" s="1"/>
  <c r="Y1096" i="10" s="1"/>
  <c r="Z1096" i="10" s="1"/>
  <c r="T1096" i="10"/>
  <c r="AT47" i="11" l="1"/>
  <c r="AQ47" i="11"/>
  <c r="AR47" i="11"/>
  <c r="AO48" i="11"/>
  <c r="AN48" i="11"/>
  <c r="AK49" i="11"/>
  <c r="AP48" i="11"/>
  <c r="AL48" i="11"/>
  <c r="AJ48" i="11" s="1"/>
  <c r="AM48" i="11"/>
  <c r="AF1095" i="10"/>
  <c r="AD1095" i="10"/>
  <c r="AE1095" i="10" s="1"/>
  <c r="AB1096" i="10"/>
  <c r="AF1096" i="10" s="1"/>
  <c r="F112" i="14"/>
  <c r="D110" i="14"/>
  <c r="AO106" i="12"/>
  <c r="AL106" i="12" s="1"/>
  <c r="AN106" i="12"/>
  <c r="AP106" i="12"/>
  <c r="AM107" i="12"/>
  <c r="AQ106" i="12"/>
  <c r="V1097" i="10"/>
  <c r="U1097" i="10" s="1"/>
  <c r="X1097" i="10" s="1"/>
  <c r="Y1097" i="10" s="1"/>
  <c r="Z1097" i="10" s="1"/>
  <c r="W1098" i="10"/>
  <c r="T1097" i="10"/>
  <c r="AT48" i="11" l="1"/>
  <c r="AM49" i="11"/>
  <c r="AL49" i="11"/>
  <c r="AJ49" i="11" s="1"/>
  <c r="AK50" i="11"/>
  <c r="AN49" i="11"/>
  <c r="AO49" i="11"/>
  <c r="AP49" i="11"/>
  <c r="AR48" i="11"/>
  <c r="AQ48" i="11"/>
  <c r="AC1096" i="10"/>
  <c r="AD1096" i="10" s="1"/>
  <c r="AE1096" i="10" s="1"/>
  <c r="AB1097" i="10"/>
  <c r="AC1097" i="10" s="1"/>
  <c r="AO107" i="12"/>
  <c r="AL107" i="12" s="1"/>
  <c r="AM108" i="12"/>
  <c r="AP107" i="12"/>
  <c r="AQ107" i="12"/>
  <c r="AN107" i="12"/>
  <c r="D111" i="14"/>
  <c r="W1099" i="10"/>
  <c r="V1098" i="10"/>
  <c r="U1098" i="10" s="1"/>
  <c r="X1098" i="10" s="1"/>
  <c r="Y1098" i="10" s="1"/>
  <c r="Z1098" i="10" s="1"/>
  <c r="T1098" i="10"/>
  <c r="F113" i="14"/>
  <c r="AT49" i="11" l="1"/>
  <c r="AP50" i="11"/>
  <c r="AL50" i="11"/>
  <c r="AJ50" i="11" s="1"/>
  <c r="AM50" i="11"/>
  <c r="AK51" i="11"/>
  <c r="AO50" i="11"/>
  <c r="AN50" i="11"/>
  <c r="AR49" i="11"/>
  <c r="AQ49" i="11"/>
  <c r="AF1097" i="10"/>
  <c r="AD1097" i="10"/>
  <c r="AE1097" i="10" s="1"/>
  <c r="AB1098" i="10"/>
  <c r="AF1098" i="10" s="1"/>
  <c r="F114" i="14"/>
  <c r="V1099" i="10"/>
  <c r="U1099" i="10" s="1"/>
  <c r="X1099" i="10" s="1"/>
  <c r="Y1099" i="10" s="1"/>
  <c r="Z1099" i="10" s="1"/>
  <c r="W1100" i="10"/>
  <c r="T1099" i="10"/>
  <c r="D112" i="14"/>
  <c r="AO108" i="12"/>
  <c r="AL108" i="12" s="1"/>
  <c r="AM109" i="12"/>
  <c r="AQ108" i="12"/>
  <c r="AP108" i="12"/>
  <c r="AN108" i="12"/>
  <c r="AT50" i="11" l="1"/>
  <c r="AQ50" i="11"/>
  <c r="AR50" i="11"/>
  <c r="AK52" i="11"/>
  <c r="AP51" i="11"/>
  <c r="AN51" i="11"/>
  <c r="AO51" i="11"/>
  <c r="AM51" i="11"/>
  <c r="AL51" i="11"/>
  <c r="AJ51" i="11" s="1"/>
  <c r="AC1098" i="10"/>
  <c r="AD1098" i="10" s="1"/>
  <c r="AE1098" i="10" s="1"/>
  <c r="D113" i="14"/>
  <c r="W1101" i="10"/>
  <c r="V1100" i="10"/>
  <c r="U1100" i="10" s="1"/>
  <c r="X1100" i="10" s="1"/>
  <c r="Y1100" i="10" s="1"/>
  <c r="Z1100" i="10" s="1"/>
  <c r="T1100" i="10"/>
  <c r="F115" i="14"/>
  <c r="AO109" i="12"/>
  <c r="AL109" i="12" s="1"/>
  <c r="AM110" i="12"/>
  <c r="AN109" i="12"/>
  <c r="AP109" i="12"/>
  <c r="AQ109" i="12"/>
  <c r="AB1099" i="10"/>
  <c r="AF1099" i="10" s="1"/>
  <c r="AT51" i="11" l="1"/>
  <c r="AQ51" i="11"/>
  <c r="AR51" i="11"/>
  <c r="AP52" i="11"/>
  <c r="AK53" i="11"/>
  <c r="AM52" i="11"/>
  <c r="AN52" i="11"/>
  <c r="AO52" i="11"/>
  <c r="AL52" i="11"/>
  <c r="AJ52" i="11" s="1"/>
  <c r="AC1099" i="10"/>
  <c r="AB1100" i="10"/>
  <c r="AF1100" i="10" s="1"/>
  <c r="AO110" i="12"/>
  <c r="AL110" i="12" s="1"/>
  <c r="AN110" i="12"/>
  <c r="AP110" i="12"/>
  <c r="AM111" i="12"/>
  <c r="AQ110" i="12"/>
  <c r="F116" i="14"/>
  <c r="V1101" i="10"/>
  <c r="U1101" i="10" s="1"/>
  <c r="X1101" i="10" s="1"/>
  <c r="Y1101" i="10" s="1"/>
  <c r="Z1101" i="10" s="1"/>
  <c r="W1102" i="10"/>
  <c r="T1101" i="10"/>
  <c r="D114" i="14"/>
  <c r="AT52" i="11" l="1"/>
  <c r="AR52" i="11"/>
  <c r="AQ52" i="11"/>
  <c r="AN53" i="11"/>
  <c r="AP53" i="11"/>
  <c r="AO53" i="11"/>
  <c r="AL53" i="11"/>
  <c r="AJ53" i="11" s="1"/>
  <c r="AM53" i="11"/>
  <c r="AK54" i="11"/>
  <c r="AC1100" i="10"/>
  <c r="AD1099" i="10"/>
  <c r="AE1099" i="10" s="1"/>
  <c r="AB1101" i="10"/>
  <c r="AF1101" i="10" s="1"/>
  <c r="F117" i="14"/>
  <c r="W1103" i="10"/>
  <c r="V1102" i="10"/>
  <c r="U1102" i="10" s="1"/>
  <c r="X1102" i="10" s="1"/>
  <c r="Y1102" i="10" s="1"/>
  <c r="Z1102" i="10" s="1"/>
  <c r="T1102" i="10"/>
  <c r="D115" i="14"/>
  <c r="AO111" i="12"/>
  <c r="AL111" i="12" s="1"/>
  <c r="AM112" i="12"/>
  <c r="AP111" i="12"/>
  <c r="AQ111" i="12"/>
  <c r="AN111" i="12"/>
  <c r="AC1101" i="10" l="1"/>
  <c r="AD1101" i="10" s="1"/>
  <c r="AR53" i="11"/>
  <c r="AQ53" i="11"/>
  <c r="AT53" i="11"/>
  <c r="AO54" i="11"/>
  <c r="AK55" i="11"/>
  <c r="AN54" i="11"/>
  <c r="AM54" i="11"/>
  <c r="AP54" i="11"/>
  <c r="AL54" i="11"/>
  <c r="AJ54" i="11" s="1"/>
  <c r="AD1100" i="10"/>
  <c r="AE1100" i="10" s="1"/>
  <c r="AO112" i="12"/>
  <c r="AL112" i="12" s="1"/>
  <c r="AM113" i="12"/>
  <c r="AQ112" i="12"/>
  <c r="AN112" i="12"/>
  <c r="AP112" i="12"/>
  <c r="V1103" i="10"/>
  <c r="U1103" i="10" s="1"/>
  <c r="X1103" i="10" s="1"/>
  <c r="Y1103" i="10" s="1"/>
  <c r="Z1103" i="10" s="1"/>
  <c r="W1104" i="10"/>
  <c r="T1103" i="10"/>
  <c r="D116" i="14"/>
  <c r="AD1102" i="10"/>
  <c r="AE1102" i="10"/>
  <c r="AC1102" i="10"/>
  <c r="AB1102" i="10"/>
  <c r="AF1102" i="10"/>
  <c r="F118" i="14"/>
  <c r="AE1101" i="10" l="1"/>
  <c r="AQ54" i="11"/>
  <c r="AR54" i="11"/>
  <c r="AT54" i="11"/>
  <c r="AL55" i="11"/>
  <c r="AJ55" i="11" s="1"/>
  <c r="AK56" i="11"/>
  <c r="AN55" i="11"/>
  <c r="AM55" i="11"/>
  <c r="AO55" i="11"/>
  <c r="AP55" i="11"/>
  <c r="AF1103" i="10"/>
  <c r="AC1103" i="10"/>
  <c r="AD1103" i="10" s="1"/>
  <c r="AE1103" i="10" s="1"/>
  <c r="AB1103" i="10"/>
  <c r="D117" i="14"/>
  <c r="W1105" i="10"/>
  <c r="V1104" i="10"/>
  <c r="U1104" i="10" s="1"/>
  <c r="X1104" i="10" s="1"/>
  <c r="Y1104" i="10" s="1"/>
  <c r="Z1104" i="10" s="1"/>
  <c r="T1104" i="10"/>
  <c r="F119" i="14"/>
  <c r="AO113" i="12"/>
  <c r="AL113" i="12" s="1"/>
  <c r="AM114" i="12"/>
  <c r="AN113" i="12"/>
  <c r="AQ113" i="12"/>
  <c r="AP113" i="12"/>
  <c r="AQ55" i="11" l="1"/>
  <c r="AR55" i="11"/>
  <c r="AM56" i="11"/>
  <c r="AP56" i="11"/>
  <c r="AK57" i="11"/>
  <c r="AO56" i="11"/>
  <c r="AL56" i="11"/>
  <c r="AN56" i="11"/>
  <c r="AT55" i="11"/>
  <c r="AO114" i="12"/>
  <c r="AL114" i="12" s="1"/>
  <c r="AN114" i="12"/>
  <c r="AP114" i="12"/>
  <c r="AM115" i="12"/>
  <c r="AQ114" i="12"/>
  <c r="F120" i="14"/>
  <c r="V1105" i="10"/>
  <c r="U1105" i="10" s="1"/>
  <c r="X1105" i="10" s="1"/>
  <c r="Y1105" i="10" s="1"/>
  <c r="Z1105" i="10" s="1"/>
  <c r="W1106" i="10"/>
  <c r="T1105" i="10"/>
  <c r="D118" i="14"/>
  <c r="AF1104" i="10"/>
  <c r="AB1104" i="10"/>
  <c r="AC1104" i="10"/>
  <c r="AD1104" i="10" s="1"/>
  <c r="AT56" i="11" l="1"/>
  <c r="AJ56" i="11"/>
  <c r="AE1104" i="10"/>
  <c r="AR56" i="11"/>
  <c r="AQ56" i="11"/>
  <c r="AM57" i="11"/>
  <c r="AO57" i="11"/>
  <c r="AL57" i="11"/>
  <c r="AJ57" i="11" s="1"/>
  <c r="AN57" i="11"/>
  <c r="AP57" i="11"/>
  <c r="AK58" i="11"/>
  <c r="AO115" i="12"/>
  <c r="AL115" i="12" s="1"/>
  <c r="AM116" i="12"/>
  <c r="AP115" i="12"/>
  <c r="AQ115" i="12"/>
  <c r="AN115" i="12"/>
  <c r="D119" i="14"/>
  <c r="AE1105" i="10"/>
  <c r="AB1105" i="10"/>
  <c r="AC1105" i="10"/>
  <c r="AF1105" i="10"/>
  <c r="AD1105" i="10"/>
  <c r="F121" i="14"/>
  <c r="W1107" i="10"/>
  <c r="V1106" i="10"/>
  <c r="U1106" i="10" s="1"/>
  <c r="X1106" i="10" s="1"/>
  <c r="Y1106" i="10" s="1"/>
  <c r="Z1106" i="10" s="1"/>
  <c r="T1106" i="10"/>
  <c r="AQ57" i="11" l="1"/>
  <c r="AR57" i="11"/>
  <c r="AT57" i="11"/>
  <c r="AP58" i="11"/>
  <c r="AK59" i="11"/>
  <c r="AN58" i="11"/>
  <c r="AL58" i="11"/>
  <c r="AJ58" i="11" s="1"/>
  <c r="AM58" i="11"/>
  <c r="AO58" i="11"/>
  <c r="AB1106" i="10"/>
  <c r="AC1106" i="10" s="1"/>
  <c r="W1108" i="10"/>
  <c r="V1107" i="10"/>
  <c r="U1107" i="10" s="1"/>
  <c r="X1107" i="10" s="1"/>
  <c r="Y1107" i="10" s="1"/>
  <c r="Z1107" i="10" s="1"/>
  <c r="T1107" i="10"/>
  <c r="F122" i="14"/>
  <c r="AO116" i="12"/>
  <c r="AL116" i="12" s="1"/>
  <c r="AM117" i="12"/>
  <c r="AQ116" i="12"/>
  <c r="AP116" i="12"/>
  <c r="AN116" i="12"/>
  <c r="D120" i="14"/>
  <c r="AT58" i="11" l="1"/>
  <c r="AK60" i="11"/>
  <c r="AO59" i="11"/>
  <c r="AM59" i="11"/>
  <c r="AN59" i="11"/>
  <c r="AP59" i="11"/>
  <c r="AL59" i="11"/>
  <c r="AJ59" i="11" s="1"/>
  <c r="AQ58" i="11"/>
  <c r="AR58" i="11"/>
  <c r="AD1106" i="10"/>
  <c r="AE1106" i="10" s="1"/>
  <c r="AF1106" i="10"/>
  <c r="D121" i="14"/>
  <c r="AB1107" i="10"/>
  <c r="AC1107" i="10" s="1"/>
  <c r="AO117" i="12"/>
  <c r="AL117" i="12" s="1"/>
  <c r="AM118" i="12"/>
  <c r="AN117" i="12"/>
  <c r="AP117" i="12"/>
  <c r="AQ117" i="12"/>
  <c r="F123" i="14"/>
  <c r="V1108" i="10"/>
  <c r="U1108" i="10" s="1"/>
  <c r="X1108" i="10" s="1"/>
  <c r="Y1108" i="10" s="1"/>
  <c r="Z1108" i="10" s="1"/>
  <c r="W1109" i="10"/>
  <c r="T1108" i="10"/>
  <c r="AT59" i="11" l="1"/>
  <c r="AR59" i="11"/>
  <c r="AQ59" i="11"/>
  <c r="AO60" i="11"/>
  <c r="AL60" i="11"/>
  <c r="AJ60" i="11" s="1"/>
  <c r="AK61" i="11"/>
  <c r="AN60" i="11"/>
  <c r="AP60" i="11"/>
  <c r="AM60" i="11"/>
  <c r="AF1107" i="10"/>
  <c r="AD1107" i="10"/>
  <c r="AE1107" i="10" s="1"/>
  <c r="W1110" i="10"/>
  <c r="V1109" i="10"/>
  <c r="U1109" i="10" s="1"/>
  <c r="X1109" i="10" s="1"/>
  <c r="Y1109" i="10" s="1"/>
  <c r="Z1109" i="10" s="1"/>
  <c r="T1109" i="10"/>
  <c r="AB1108" i="10"/>
  <c r="AC1108" i="10" s="1"/>
  <c r="AO118" i="12"/>
  <c r="AL118" i="12" s="1"/>
  <c r="AN118" i="12"/>
  <c r="AP118" i="12"/>
  <c r="AM119" i="12"/>
  <c r="AQ118" i="12"/>
  <c r="D122" i="14"/>
  <c r="F124" i="14"/>
  <c r="AP61" i="11" l="1"/>
  <c r="AK62" i="11"/>
  <c r="AM61" i="11"/>
  <c r="AO61" i="11"/>
  <c r="AN61" i="11"/>
  <c r="AL61" i="11"/>
  <c r="AJ61" i="11" s="1"/>
  <c r="AQ60" i="11"/>
  <c r="AR60" i="11"/>
  <c r="AT60" i="11"/>
  <c r="AF1108" i="10"/>
  <c r="AD1108" i="10"/>
  <c r="AE1108" i="10" s="1"/>
  <c r="F125" i="14"/>
  <c r="D123" i="14"/>
  <c r="AO119" i="12"/>
  <c r="AL119" i="12" s="1"/>
  <c r="AM120" i="12"/>
  <c r="AP119" i="12"/>
  <c r="AQ119" i="12"/>
  <c r="AN119" i="12"/>
  <c r="V1110" i="10"/>
  <c r="U1110" i="10" s="1"/>
  <c r="X1110" i="10" s="1"/>
  <c r="Y1110" i="10" s="1"/>
  <c r="Z1110" i="10" s="1"/>
  <c r="W1111" i="10"/>
  <c r="T1110" i="10"/>
  <c r="AB1109" i="10"/>
  <c r="AF1109" i="10" s="1"/>
  <c r="AT61" i="11" l="1"/>
  <c r="AQ61" i="11"/>
  <c r="AR61" i="11"/>
  <c r="AP62" i="11"/>
  <c r="AM62" i="11"/>
  <c r="AN62" i="11"/>
  <c r="AK63" i="11"/>
  <c r="AL62" i="11"/>
  <c r="AJ62" i="11" s="1"/>
  <c r="AO62" i="11"/>
  <c r="AC1109" i="10"/>
  <c r="AD1109" i="10" s="1"/>
  <c r="AE1109" i="10" s="1"/>
  <c r="AB1110" i="10"/>
  <c r="AF1110" i="10" s="1"/>
  <c r="W1112" i="10"/>
  <c r="V1111" i="10"/>
  <c r="U1111" i="10" s="1"/>
  <c r="X1111" i="10" s="1"/>
  <c r="Y1111" i="10" s="1"/>
  <c r="Z1111" i="10" s="1"/>
  <c r="T1111" i="10"/>
  <c r="AO120" i="12"/>
  <c r="AL120" i="12" s="1"/>
  <c r="AM121" i="12"/>
  <c r="AQ120" i="12"/>
  <c r="AN120" i="12"/>
  <c r="AP120" i="12"/>
  <c r="D124" i="14"/>
  <c r="F126" i="14"/>
  <c r="AT62" i="11" l="1"/>
  <c r="AO63" i="11"/>
  <c r="AM63" i="11"/>
  <c r="AK64" i="11"/>
  <c r="AP63" i="11"/>
  <c r="AL63" i="11"/>
  <c r="AJ63" i="11" s="1"/>
  <c r="AN63" i="11"/>
  <c r="AR62" i="11"/>
  <c r="AQ62" i="11"/>
  <c r="AC1110" i="10"/>
  <c r="AD1110" i="10" s="1"/>
  <c r="AE1110" i="10" s="1"/>
  <c r="F127" i="14"/>
  <c r="D125" i="14"/>
  <c r="AO121" i="12"/>
  <c r="AL121" i="12" s="1"/>
  <c r="AM122" i="12"/>
  <c r="AN121" i="12"/>
  <c r="AQ121" i="12"/>
  <c r="AP121" i="12"/>
  <c r="V1112" i="10"/>
  <c r="U1112" i="10" s="1"/>
  <c r="X1112" i="10" s="1"/>
  <c r="Y1112" i="10" s="1"/>
  <c r="Z1112" i="10" s="1"/>
  <c r="W1113" i="10"/>
  <c r="T1112" i="10"/>
  <c r="AB1111" i="10"/>
  <c r="AC1111" i="10" s="1"/>
  <c r="AM64" i="11" l="1"/>
  <c r="AL64" i="11"/>
  <c r="AK65" i="11"/>
  <c r="AP64" i="11"/>
  <c r="AN64" i="11"/>
  <c r="AO64" i="11"/>
  <c r="AQ63" i="11"/>
  <c r="AR63" i="11"/>
  <c r="AT63" i="11"/>
  <c r="AF1111" i="10"/>
  <c r="AD1111" i="10"/>
  <c r="AE1111" i="10" s="1"/>
  <c r="W1114" i="10"/>
  <c r="V1113" i="10"/>
  <c r="U1113" i="10" s="1"/>
  <c r="X1113" i="10" s="1"/>
  <c r="Y1113" i="10" s="1"/>
  <c r="Z1113" i="10" s="1"/>
  <c r="T1113" i="10"/>
  <c r="AB1112" i="10"/>
  <c r="AF1112" i="10" s="1"/>
  <c r="AO122" i="12"/>
  <c r="AL122" i="12" s="1"/>
  <c r="AN122" i="12"/>
  <c r="AP122" i="12"/>
  <c r="AQ122" i="12"/>
  <c r="AM123" i="12"/>
  <c r="D126" i="14"/>
  <c r="F128" i="14"/>
  <c r="AT64" i="11" l="1"/>
  <c r="AJ64" i="11"/>
  <c r="AN65" i="11"/>
  <c r="AP65" i="11"/>
  <c r="AM65" i="11"/>
  <c r="AK66" i="11"/>
  <c r="AO65" i="11"/>
  <c r="AL65" i="11"/>
  <c r="AQ64" i="11"/>
  <c r="AR64" i="11"/>
  <c r="AC1112" i="10"/>
  <c r="AD1112" i="10" s="1"/>
  <c r="AE1112" i="10" s="1"/>
  <c r="AB1113" i="10"/>
  <c r="AF1113" i="10" s="1"/>
  <c r="AC1113" i="10"/>
  <c r="D127" i="14"/>
  <c r="V1114" i="10"/>
  <c r="U1114" i="10" s="1"/>
  <c r="X1114" i="10" s="1"/>
  <c r="Y1114" i="10" s="1"/>
  <c r="Z1114" i="10" s="1"/>
  <c r="W1115" i="10"/>
  <c r="T1114" i="10"/>
  <c r="F129" i="14"/>
  <c r="AO123" i="12"/>
  <c r="AL123" i="12" s="1"/>
  <c r="AM124" i="12"/>
  <c r="AP123" i="12"/>
  <c r="AQ123" i="12"/>
  <c r="AN123" i="12"/>
  <c r="AT65" i="11" l="1"/>
  <c r="AJ65" i="11"/>
  <c r="AL66" i="11"/>
  <c r="AN66" i="11"/>
  <c r="AP66" i="11"/>
  <c r="AK67" i="11"/>
  <c r="AO66" i="11"/>
  <c r="AM66" i="11"/>
  <c r="AR65" i="11"/>
  <c r="AQ65" i="11"/>
  <c r="AD1113" i="10"/>
  <c r="AE1113" i="10" s="1"/>
  <c r="F130" i="14"/>
  <c r="D128" i="14"/>
  <c r="AO124" i="12"/>
  <c r="AL124" i="12" s="1"/>
  <c r="AM125" i="12"/>
  <c r="AQ124" i="12"/>
  <c r="AP124" i="12"/>
  <c r="AN124" i="12"/>
  <c r="W1116" i="10"/>
  <c r="V1115" i="10"/>
  <c r="U1115" i="10" s="1"/>
  <c r="X1115" i="10" s="1"/>
  <c r="Y1115" i="10" s="1"/>
  <c r="Z1115" i="10" s="1"/>
  <c r="T1115" i="10"/>
  <c r="AB1114" i="10"/>
  <c r="AF1114" i="10" s="1"/>
  <c r="AT66" i="11" l="1"/>
  <c r="AJ66" i="11"/>
  <c r="AM67" i="11"/>
  <c r="AK68" i="11"/>
  <c r="AN67" i="11"/>
  <c r="AP67" i="11"/>
  <c r="AO67" i="11"/>
  <c r="AL67" i="11"/>
  <c r="AR66" i="11"/>
  <c r="AQ66" i="11"/>
  <c r="AC1114" i="10"/>
  <c r="AB1115" i="10"/>
  <c r="AF1115" i="10" s="1"/>
  <c r="V1116" i="10"/>
  <c r="U1116" i="10" s="1"/>
  <c r="X1116" i="10" s="1"/>
  <c r="Y1116" i="10" s="1"/>
  <c r="Z1116" i="10" s="1"/>
  <c r="W1117" i="10"/>
  <c r="T1116" i="10"/>
  <c r="AO125" i="12"/>
  <c r="AL125" i="12" s="1"/>
  <c r="AM126" i="12"/>
  <c r="AN125" i="12"/>
  <c r="AQ125" i="12"/>
  <c r="AP125" i="12"/>
  <c r="D129" i="14"/>
  <c r="F131" i="14"/>
  <c r="AT67" i="11" l="1"/>
  <c r="AJ67" i="11"/>
  <c r="AC1115" i="10"/>
  <c r="AD1115" i="10" s="1"/>
  <c r="AE1115" i="10" s="1"/>
  <c r="AL68" i="11"/>
  <c r="AO68" i="11"/>
  <c r="AP68" i="11"/>
  <c r="AM68" i="11"/>
  <c r="AK69" i="11"/>
  <c r="AN68" i="11"/>
  <c r="AR67" i="11"/>
  <c r="AQ67" i="11"/>
  <c r="AD1114" i="10"/>
  <c r="AE1114" i="10" s="1"/>
  <c r="AO126" i="12"/>
  <c r="AL126" i="12" s="1"/>
  <c r="AN126" i="12"/>
  <c r="AP126" i="12"/>
  <c r="AM127" i="12"/>
  <c r="AQ126" i="12"/>
  <c r="W1118" i="10"/>
  <c r="V1117" i="10"/>
  <c r="U1117" i="10" s="1"/>
  <c r="X1117" i="10" s="1"/>
  <c r="Y1117" i="10" s="1"/>
  <c r="Z1117" i="10" s="1"/>
  <c r="T1117" i="10"/>
  <c r="F132" i="14"/>
  <c r="D130" i="14"/>
  <c r="AB1116" i="10"/>
  <c r="AD1116" i="10"/>
  <c r="AF1116" i="10"/>
  <c r="AC1116" i="10"/>
  <c r="AE1116" i="10"/>
  <c r="AT68" i="11" l="1"/>
  <c r="AJ68" i="11"/>
  <c r="AR68" i="11"/>
  <c r="AQ68" i="11"/>
  <c r="AL69" i="11"/>
  <c r="AP69" i="11"/>
  <c r="AN69" i="11"/>
  <c r="AK70" i="11"/>
  <c r="AO69" i="11"/>
  <c r="AM69" i="11"/>
  <c r="D131" i="14"/>
  <c r="AO127" i="12"/>
  <c r="AL127" i="12" s="1"/>
  <c r="AM128" i="12"/>
  <c r="AP127" i="12"/>
  <c r="AQ127" i="12"/>
  <c r="AN127" i="12"/>
  <c r="F133" i="14"/>
  <c r="V1118" i="10"/>
  <c r="U1118" i="10" s="1"/>
  <c r="X1118" i="10" s="1"/>
  <c r="Y1118" i="10" s="1"/>
  <c r="Z1118" i="10" s="1"/>
  <c r="W1119" i="10"/>
  <c r="T1118" i="10"/>
  <c r="AB1117" i="10"/>
  <c r="AC1117" i="10" s="1"/>
  <c r="AF1117" i="10"/>
  <c r="AT69" i="11" l="1"/>
  <c r="AJ69" i="11"/>
  <c r="AD1117" i="10"/>
  <c r="AE1117" i="10"/>
  <c r="AK71" i="11"/>
  <c r="AM70" i="11"/>
  <c r="AO70" i="11"/>
  <c r="AL70" i="11"/>
  <c r="AN70" i="11"/>
  <c r="AP70" i="11"/>
  <c r="AQ69" i="11"/>
  <c r="AR69" i="11"/>
  <c r="D132" i="14"/>
  <c r="AB1118" i="10"/>
  <c r="AD1118" i="10"/>
  <c r="AF1118" i="10"/>
  <c r="AE1118" i="10"/>
  <c r="AC1118" i="10"/>
  <c r="F134" i="14"/>
  <c r="AO128" i="12"/>
  <c r="AL128" i="12" s="1"/>
  <c r="AM129" i="12"/>
  <c r="AQ128" i="12"/>
  <c r="AP128" i="12"/>
  <c r="AN128" i="12"/>
  <c r="W1120" i="10"/>
  <c r="V1119" i="10"/>
  <c r="U1119" i="10" s="1"/>
  <c r="X1119" i="10" s="1"/>
  <c r="Y1119" i="10" s="1"/>
  <c r="Z1119" i="10" s="1"/>
  <c r="T1119" i="10"/>
  <c r="AT70" i="11" l="1"/>
  <c r="AJ70" i="11"/>
  <c r="AQ70" i="11"/>
  <c r="AR70" i="11"/>
  <c r="AL71" i="11"/>
  <c r="AM71" i="11"/>
  <c r="AO71" i="11"/>
  <c r="AN71" i="11"/>
  <c r="AP71" i="11"/>
  <c r="AK72" i="11"/>
  <c r="AB1119" i="10"/>
  <c r="AC1119" i="10"/>
  <c r="AE1119" i="10"/>
  <c r="AD1119" i="10"/>
  <c r="AF1119" i="10"/>
  <c r="V1120" i="10"/>
  <c r="U1120" i="10" s="1"/>
  <c r="X1120" i="10" s="1"/>
  <c r="Y1120" i="10" s="1"/>
  <c r="Z1120" i="10" s="1"/>
  <c r="W1121" i="10"/>
  <c r="T1120" i="10"/>
  <c r="AO129" i="12"/>
  <c r="AL129" i="12" s="1"/>
  <c r="AM130" i="12"/>
  <c r="AN129" i="12"/>
  <c r="AQ129" i="12"/>
  <c r="AP129" i="12"/>
  <c r="D133" i="14"/>
  <c r="F135" i="14"/>
  <c r="AT71" i="11" l="1"/>
  <c r="AJ71" i="11"/>
  <c r="AP72" i="11"/>
  <c r="AM72" i="11"/>
  <c r="AK73" i="11"/>
  <c r="AN72" i="11"/>
  <c r="AL72" i="11"/>
  <c r="AO72" i="11"/>
  <c r="AQ71" i="11"/>
  <c r="AR71" i="11"/>
  <c r="AB1120" i="10"/>
  <c r="AF1120" i="10" s="1"/>
  <c r="F136" i="14"/>
  <c r="D134" i="14"/>
  <c r="AO130" i="12"/>
  <c r="AL130" i="12" s="1"/>
  <c r="AN130" i="12"/>
  <c r="AP130" i="12"/>
  <c r="AM131" i="12"/>
  <c r="AQ130" i="12"/>
  <c r="W1122" i="10"/>
  <c r="V1121" i="10"/>
  <c r="U1121" i="10" s="1"/>
  <c r="X1121" i="10" s="1"/>
  <c r="Y1121" i="10" s="1"/>
  <c r="Z1121" i="10" s="1"/>
  <c r="T1121" i="10"/>
  <c r="AT72" i="11" l="1"/>
  <c r="AJ72" i="11"/>
  <c r="AM73" i="11"/>
  <c r="AP73" i="11"/>
  <c r="AK74" i="11"/>
  <c r="AO73" i="11"/>
  <c r="AN73" i="11"/>
  <c r="AL73" i="11"/>
  <c r="AQ72" i="11"/>
  <c r="AR72" i="11"/>
  <c r="AC1120" i="10"/>
  <c r="D135" i="14"/>
  <c r="F137" i="14"/>
  <c r="AO131" i="12"/>
  <c r="AL131" i="12" s="1"/>
  <c r="AM132" i="12"/>
  <c r="AP131" i="12"/>
  <c r="AQ131" i="12"/>
  <c r="AN131" i="12"/>
  <c r="V1122" i="10"/>
  <c r="U1122" i="10" s="1"/>
  <c r="X1122" i="10" s="1"/>
  <c r="Y1122" i="10" s="1"/>
  <c r="Z1122" i="10" s="1"/>
  <c r="W1123" i="10"/>
  <c r="T1122" i="10"/>
  <c r="AB1121" i="10"/>
  <c r="AF1121" i="10" s="1"/>
  <c r="AT73" i="11" l="1"/>
  <c r="AJ73" i="11"/>
  <c r="AM74" i="11"/>
  <c r="AK75" i="11"/>
  <c r="AO74" i="11"/>
  <c r="AP74" i="11"/>
  <c r="AL74" i="11"/>
  <c r="AN74" i="11"/>
  <c r="AQ73" i="11"/>
  <c r="AR73" i="11"/>
  <c r="AD1120" i="10"/>
  <c r="AE1120" i="10" s="1"/>
  <c r="AC1121" i="10"/>
  <c r="AD1121" i="10" s="1"/>
  <c r="AE1121" i="10" s="1"/>
  <c r="AB1122" i="10"/>
  <c r="AF1122" i="10" s="1"/>
  <c r="W1124" i="10"/>
  <c r="V1123" i="10"/>
  <c r="U1123" i="10" s="1"/>
  <c r="X1123" i="10" s="1"/>
  <c r="Y1123" i="10" s="1"/>
  <c r="Z1123" i="10" s="1"/>
  <c r="T1123" i="10"/>
  <c r="AO132" i="12"/>
  <c r="AL132" i="12" s="1"/>
  <c r="AM133" i="12"/>
  <c r="AQ132" i="12"/>
  <c r="AP132" i="12"/>
  <c r="AN132" i="12"/>
  <c r="F138" i="14"/>
  <c r="D136" i="14"/>
  <c r="AT74" i="11" l="1"/>
  <c r="AJ74" i="11"/>
  <c r="AM75" i="11"/>
  <c r="AN75" i="11"/>
  <c r="AO75" i="11"/>
  <c r="AP75" i="11"/>
  <c r="AK76" i="11"/>
  <c r="AL75" i="11"/>
  <c r="AR74" i="11"/>
  <c r="AQ74" i="11"/>
  <c r="AC1122" i="10"/>
  <c r="AD1122" i="10" s="1"/>
  <c r="AE1122" i="10" s="1"/>
  <c r="AB1123" i="10"/>
  <c r="AF1123" i="10" s="1"/>
  <c r="V1124" i="10"/>
  <c r="U1124" i="10" s="1"/>
  <c r="X1124" i="10" s="1"/>
  <c r="Y1124" i="10" s="1"/>
  <c r="Z1124" i="10" s="1"/>
  <c r="W1125" i="10"/>
  <c r="T1124" i="10"/>
  <c r="D137" i="14"/>
  <c r="F139" i="14"/>
  <c r="AO133" i="12"/>
  <c r="AL133" i="12" s="1"/>
  <c r="AM134" i="12"/>
  <c r="AN133" i="12"/>
  <c r="AP133" i="12"/>
  <c r="AQ133" i="12"/>
  <c r="AT75" i="11" l="1"/>
  <c r="AJ75" i="11"/>
  <c r="AP76" i="11"/>
  <c r="AN76" i="11"/>
  <c r="AK77" i="11"/>
  <c r="AM76" i="11"/>
  <c r="AO76" i="11"/>
  <c r="AL76" i="11"/>
  <c r="AR75" i="11"/>
  <c r="AQ75" i="11"/>
  <c r="AC1123" i="10"/>
  <c r="AD1123" i="10" s="1"/>
  <c r="AE1123" i="10" s="1"/>
  <c r="AB1124" i="10"/>
  <c r="AF1124" i="10" s="1"/>
  <c r="AO134" i="12"/>
  <c r="AL134" i="12" s="1"/>
  <c r="AN134" i="12"/>
  <c r="AP134" i="12"/>
  <c r="AM135" i="12"/>
  <c r="AQ134" i="12"/>
  <c r="F140" i="14"/>
  <c r="D138" i="14"/>
  <c r="W1126" i="10"/>
  <c r="V1125" i="10"/>
  <c r="U1125" i="10" s="1"/>
  <c r="X1125" i="10" s="1"/>
  <c r="Y1125" i="10" s="1"/>
  <c r="Z1125" i="10" s="1"/>
  <c r="T1125" i="10"/>
  <c r="AT76" i="11" l="1"/>
  <c r="AJ76" i="11"/>
  <c r="AR76" i="11"/>
  <c r="AQ76" i="11"/>
  <c r="AN77" i="11"/>
  <c r="AL77" i="11"/>
  <c r="AM77" i="11"/>
  <c r="AP77" i="11"/>
  <c r="AK78" i="11"/>
  <c r="AO77" i="11"/>
  <c r="AC1124" i="10"/>
  <c r="AD1124" i="10" s="1"/>
  <c r="AE1124" i="10" s="1"/>
  <c r="AB1125" i="10"/>
  <c r="AC1125" i="10" s="1"/>
  <c r="V1126" i="10"/>
  <c r="U1126" i="10" s="1"/>
  <c r="X1126" i="10" s="1"/>
  <c r="Y1126" i="10" s="1"/>
  <c r="Z1126" i="10" s="1"/>
  <c r="W1127" i="10"/>
  <c r="T1126" i="10"/>
  <c r="D139" i="14"/>
  <c r="F141" i="14"/>
  <c r="AO135" i="12"/>
  <c r="AL135" i="12" s="1"/>
  <c r="AM136" i="12"/>
  <c r="AP135" i="12"/>
  <c r="AQ135" i="12"/>
  <c r="AN135" i="12"/>
  <c r="AT77" i="11" l="1"/>
  <c r="AJ77" i="11"/>
  <c r="AL78" i="11"/>
  <c r="AK79" i="11"/>
  <c r="AN78" i="11"/>
  <c r="AM78" i="11"/>
  <c r="AO78" i="11"/>
  <c r="AP78" i="11"/>
  <c r="AR77" i="11"/>
  <c r="AQ77" i="11"/>
  <c r="AF1125" i="10"/>
  <c r="AD1125" i="10"/>
  <c r="AE1125" i="10" s="1"/>
  <c r="AO136" i="12"/>
  <c r="AL136" i="12" s="1"/>
  <c r="AM137" i="12"/>
  <c r="AQ136" i="12"/>
  <c r="AP136" i="12"/>
  <c r="AN136" i="12"/>
  <c r="AB1126" i="10"/>
  <c r="AC1126" i="10" s="1"/>
  <c r="F142" i="14"/>
  <c r="D140" i="14"/>
  <c r="W1128" i="10"/>
  <c r="V1127" i="10"/>
  <c r="U1127" i="10" s="1"/>
  <c r="X1127" i="10" s="1"/>
  <c r="Y1127" i="10" s="1"/>
  <c r="Z1127" i="10" s="1"/>
  <c r="T1127" i="10"/>
  <c r="AT78" i="11" l="1"/>
  <c r="AJ78" i="11"/>
  <c r="AQ78" i="11"/>
  <c r="AR78" i="11"/>
  <c r="AK80" i="11"/>
  <c r="AP79" i="11"/>
  <c r="AN79" i="11"/>
  <c r="AL79" i="11"/>
  <c r="AO79" i="11"/>
  <c r="AM79" i="11"/>
  <c r="AF1126" i="10"/>
  <c r="AD1126" i="10"/>
  <c r="AE1126" i="10" s="1"/>
  <c r="AB1127" i="10"/>
  <c r="AF1127" i="10" s="1"/>
  <c r="V1128" i="10"/>
  <c r="U1128" i="10" s="1"/>
  <c r="X1128" i="10" s="1"/>
  <c r="Y1128" i="10" s="1"/>
  <c r="Z1128" i="10" s="1"/>
  <c r="W1129" i="10"/>
  <c r="T1128" i="10"/>
  <c r="D141" i="14"/>
  <c r="F143" i="14"/>
  <c r="AO137" i="12"/>
  <c r="AL137" i="12" s="1"/>
  <c r="AM138" i="12"/>
  <c r="AN137" i="12"/>
  <c r="AQ137" i="12"/>
  <c r="AP137" i="12"/>
  <c r="AT79" i="11" l="1"/>
  <c r="AJ79" i="11"/>
  <c r="AN80" i="11"/>
  <c r="AM80" i="11"/>
  <c r="AO80" i="11"/>
  <c r="AL80" i="11"/>
  <c r="AP80" i="11"/>
  <c r="AK81" i="11"/>
  <c r="AR79" i="11"/>
  <c r="AQ79" i="11"/>
  <c r="AC1127" i="10"/>
  <c r="AB1128" i="10"/>
  <c r="AF1128" i="10" s="1"/>
  <c r="AC1128" i="10"/>
  <c r="AO138" i="12"/>
  <c r="AL138" i="12" s="1"/>
  <c r="AN138" i="12"/>
  <c r="AP138" i="12"/>
  <c r="AQ138" i="12"/>
  <c r="AM139" i="12"/>
  <c r="W1130" i="10"/>
  <c r="V1129" i="10"/>
  <c r="U1129" i="10" s="1"/>
  <c r="X1129" i="10" s="1"/>
  <c r="Y1129" i="10" s="1"/>
  <c r="Z1129" i="10" s="1"/>
  <c r="T1129" i="10"/>
  <c r="F144" i="14"/>
  <c r="D142" i="14"/>
  <c r="AT80" i="11" l="1"/>
  <c r="AJ80" i="11"/>
  <c r="AN81" i="11"/>
  <c r="AM81" i="11"/>
  <c r="AL81" i="11"/>
  <c r="AK82" i="11"/>
  <c r="AP81" i="11"/>
  <c r="AO81" i="11"/>
  <c r="AR80" i="11"/>
  <c r="AQ80" i="11"/>
  <c r="AD1128" i="10"/>
  <c r="AE1128" i="10" s="1"/>
  <c r="AD1127" i="10"/>
  <c r="AE1127" i="10" s="1"/>
  <c r="F145" i="14"/>
  <c r="V1130" i="10"/>
  <c r="U1130" i="10" s="1"/>
  <c r="X1130" i="10" s="1"/>
  <c r="Y1130" i="10" s="1"/>
  <c r="Z1130" i="10" s="1"/>
  <c r="W1131" i="10"/>
  <c r="T1130" i="10"/>
  <c r="AB1129" i="10"/>
  <c r="AF1129" i="10" s="1"/>
  <c r="D143" i="14"/>
  <c r="AO139" i="12"/>
  <c r="AL139" i="12" s="1"/>
  <c r="AM140" i="12"/>
  <c r="AP139" i="12"/>
  <c r="AQ139" i="12"/>
  <c r="AN139" i="12"/>
  <c r="AT81" i="11" l="1"/>
  <c r="AJ81" i="11"/>
  <c r="AP82" i="11"/>
  <c r="AM82" i="11"/>
  <c r="AO82" i="11"/>
  <c r="AN82" i="11"/>
  <c r="AL82" i="11"/>
  <c r="AK83" i="11"/>
  <c r="AR81" i="11"/>
  <c r="AQ81" i="11"/>
  <c r="AC1129" i="10"/>
  <c r="AO140" i="12"/>
  <c r="AL140" i="12" s="1"/>
  <c r="AM141" i="12"/>
  <c r="AQ140" i="12"/>
  <c r="AP140" i="12"/>
  <c r="AN140" i="12"/>
  <c r="W1132" i="10"/>
  <c r="V1131" i="10"/>
  <c r="U1131" i="10" s="1"/>
  <c r="X1131" i="10" s="1"/>
  <c r="Y1131" i="10" s="1"/>
  <c r="Z1131" i="10" s="1"/>
  <c r="T1131" i="10"/>
  <c r="D144" i="14"/>
  <c r="AB1130" i="10"/>
  <c r="AF1130" i="10" s="1"/>
  <c r="F146" i="14"/>
  <c r="AT82" i="11" l="1"/>
  <c r="AJ82" i="11"/>
  <c r="AO83" i="11"/>
  <c r="AP83" i="11"/>
  <c r="AM83" i="11"/>
  <c r="AL83" i="11"/>
  <c r="AK84" i="11"/>
  <c r="AN83" i="11"/>
  <c r="AQ82" i="11"/>
  <c r="AR82" i="11"/>
  <c r="AC1130" i="10"/>
  <c r="AD1130" i="10" s="1"/>
  <c r="AE1130" i="10" s="1"/>
  <c r="AD1129" i="10"/>
  <c r="AE1129" i="10" s="1"/>
  <c r="AB1131" i="10"/>
  <c r="AC1131" i="10" s="1"/>
  <c r="D145" i="14"/>
  <c r="V1132" i="10"/>
  <c r="U1132" i="10" s="1"/>
  <c r="X1132" i="10" s="1"/>
  <c r="Y1132" i="10" s="1"/>
  <c r="Z1132" i="10" s="1"/>
  <c r="W1133" i="10"/>
  <c r="T1132" i="10"/>
  <c r="F147" i="14"/>
  <c r="AO141" i="12"/>
  <c r="AL141" i="12" s="1"/>
  <c r="AM142" i="12"/>
  <c r="AN141" i="12"/>
  <c r="AP141" i="12"/>
  <c r="AQ141" i="12"/>
  <c r="AT83" i="11" l="1"/>
  <c r="AJ83" i="11"/>
  <c r="AD1131" i="10"/>
  <c r="AE1131" i="10" s="1"/>
  <c r="AF1131" i="10"/>
  <c r="AR83" i="11"/>
  <c r="AQ83" i="11"/>
  <c r="AL84" i="11"/>
  <c r="AM84" i="11"/>
  <c r="AP84" i="11"/>
  <c r="AO84" i="11"/>
  <c r="AN84" i="11"/>
  <c r="AK85" i="11"/>
  <c r="AO142" i="12"/>
  <c r="AL142" i="12" s="1"/>
  <c r="AN142" i="12"/>
  <c r="AP142" i="12"/>
  <c r="AM143" i="12"/>
  <c r="AQ142" i="12"/>
  <c r="F148" i="14"/>
  <c r="W1134" i="10"/>
  <c r="V1133" i="10"/>
  <c r="U1133" i="10" s="1"/>
  <c r="X1133" i="10" s="1"/>
  <c r="Y1133" i="10" s="1"/>
  <c r="Z1133" i="10" s="1"/>
  <c r="T1133" i="10"/>
  <c r="AB1132" i="10"/>
  <c r="AF1132" i="10" s="1"/>
  <c r="AC1132" i="10"/>
  <c r="D146" i="14"/>
  <c r="AT84" i="11" l="1"/>
  <c r="AJ84" i="11"/>
  <c r="AD1132" i="10"/>
  <c r="AE1132" i="10" s="1"/>
  <c r="AM85" i="11"/>
  <c r="AL85" i="11"/>
  <c r="AN85" i="11"/>
  <c r="AK86" i="11"/>
  <c r="AO85" i="11"/>
  <c r="AP85" i="11"/>
  <c r="AR84" i="11"/>
  <c r="AQ84" i="11"/>
  <c r="AE1133" i="10"/>
  <c r="AB1133" i="10"/>
  <c r="AC1133" i="10"/>
  <c r="AF1133" i="10"/>
  <c r="AD1133" i="10"/>
  <c r="AO143" i="12"/>
  <c r="AL143" i="12" s="1"/>
  <c r="AM144" i="12"/>
  <c r="AP143" i="12"/>
  <c r="AQ143" i="12"/>
  <c r="AN143" i="12"/>
  <c r="F149" i="14"/>
  <c r="D147" i="14"/>
  <c r="V1134" i="10"/>
  <c r="U1134" i="10" s="1"/>
  <c r="X1134" i="10" s="1"/>
  <c r="Y1134" i="10" s="1"/>
  <c r="Z1134" i="10" s="1"/>
  <c r="W1135" i="10"/>
  <c r="T1134" i="10"/>
  <c r="AT85" i="11" l="1"/>
  <c r="AJ85" i="11"/>
  <c r="AM86" i="11"/>
  <c r="AP86" i="11"/>
  <c r="AO86" i="11"/>
  <c r="AK87" i="11"/>
  <c r="AL86" i="11"/>
  <c r="AN86" i="11"/>
  <c r="AR85" i="11"/>
  <c r="AQ85" i="11"/>
  <c r="AB1134" i="10"/>
  <c r="AC1134" i="10" s="1"/>
  <c r="W1136" i="10"/>
  <c r="V1135" i="10"/>
  <c r="U1135" i="10" s="1"/>
  <c r="X1135" i="10" s="1"/>
  <c r="Y1135" i="10" s="1"/>
  <c r="Z1135" i="10" s="1"/>
  <c r="T1135" i="10"/>
  <c r="D148" i="14"/>
  <c r="F150" i="14"/>
  <c r="AO144" i="12"/>
  <c r="AL144" i="12" s="1"/>
  <c r="AM145" i="12"/>
  <c r="AQ144" i="12"/>
  <c r="AN144" i="12"/>
  <c r="AP144" i="12"/>
  <c r="AT86" i="11" l="1"/>
  <c r="AJ86" i="11"/>
  <c r="AL87" i="11"/>
  <c r="AN87" i="11"/>
  <c r="AP87" i="11"/>
  <c r="AK88" i="11"/>
  <c r="AM87" i="11"/>
  <c r="AO87" i="11"/>
  <c r="AR86" i="11"/>
  <c r="AQ86" i="11"/>
  <c r="AD1134" i="10"/>
  <c r="AE1134" i="10" s="1"/>
  <c r="AF1134" i="10"/>
  <c r="AO145" i="12"/>
  <c r="AL145" i="12" s="1"/>
  <c r="AM146" i="12"/>
  <c r="AN145" i="12"/>
  <c r="AQ145" i="12"/>
  <c r="AP145" i="12"/>
  <c r="V1136" i="10"/>
  <c r="U1136" i="10" s="1"/>
  <c r="X1136" i="10" s="1"/>
  <c r="Y1136" i="10" s="1"/>
  <c r="Z1136" i="10" s="1"/>
  <c r="W1137" i="10"/>
  <c r="T1136" i="10"/>
  <c r="AB1135" i="10"/>
  <c r="AC1135" i="10" s="1"/>
  <c r="AD1135" i="10" s="1"/>
  <c r="AE1135" i="10" s="1"/>
  <c r="F151" i="14"/>
  <c r="D149" i="14"/>
  <c r="AT87" i="11" l="1"/>
  <c r="AJ87" i="11"/>
  <c r="AL88" i="11"/>
  <c r="AK89" i="11"/>
  <c r="AN88" i="11"/>
  <c r="AO88" i="11"/>
  <c r="AP88" i="11"/>
  <c r="AM88" i="11"/>
  <c r="AQ87" i="11"/>
  <c r="AR87" i="11"/>
  <c r="AF1135" i="10"/>
  <c r="D150" i="14"/>
  <c r="F152" i="14"/>
  <c r="W1138" i="10"/>
  <c r="V1137" i="10"/>
  <c r="U1137" i="10" s="1"/>
  <c r="X1137" i="10" s="1"/>
  <c r="Y1137" i="10" s="1"/>
  <c r="Z1137" i="10" s="1"/>
  <c r="T1137" i="10"/>
  <c r="AB1136" i="10"/>
  <c r="AF1136" i="10" s="1"/>
  <c r="AO146" i="12"/>
  <c r="AL146" i="12" s="1"/>
  <c r="AN146" i="12"/>
  <c r="AP146" i="12"/>
  <c r="AM147" i="12"/>
  <c r="AQ146" i="12"/>
  <c r="AT88" i="11" l="1"/>
  <c r="AJ88" i="11"/>
  <c r="AQ88" i="11"/>
  <c r="AR88" i="11"/>
  <c r="AN89" i="11"/>
  <c r="AO89" i="11"/>
  <c r="AM89" i="11"/>
  <c r="AK90" i="11"/>
  <c r="AL89" i="11"/>
  <c r="AP89" i="11"/>
  <c r="AC1136" i="10"/>
  <c r="AD1136" i="10" s="1"/>
  <c r="AE1136" i="10" s="1"/>
  <c r="AB1137" i="10"/>
  <c r="AF1137" i="10" s="1"/>
  <c r="V1138" i="10"/>
  <c r="U1138" i="10" s="1"/>
  <c r="X1138" i="10" s="1"/>
  <c r="Y1138" i="10" s="1"/>
  <c r="Z1138" i="10" s="1"/>
  <c r="W1139" i="10"/>
  <c r="T1138" i="10"/>
  <c r="F153" i="14"/>
  <c r="D151" i="14"/>
  <c r="AO147" i="12"/>
  <c r="AL147" i="12" s="1"/>
  <c r="AM148" i="12"/>
  <c r="AP147" i="12"/>
  <c r="AQ147" i="12"/>
  <c r="AN147" i="12"/>
  <c r="AT89" i="11" l="1"/>
  <c r="AJ89" i="11"/>
  <c r="AM90" i="11"/>
  <c r="AL90" i="11"/>
  <c r="AK91" i="11"/>
  <c r="AO90" i="11"/>
  <c r="AN90" i="11"/>
  <c r="AP90" i="11"/>
  <c r="AR89" i="11"/>
  <c r="AQ89" i="11"/>
  <c r="AC1137" i="10"/>
  <c r="AB1138" i="10"/>
  <c r="AF1138" i="10" s="1"/>
  <c r="AO148" i="12"/>
  <c r="AL148" i="12" s="1"/>
  <c r="AM149" i="12"/>
  <c r="AQ148" i="12"/>
  <c r="AP148" i="12"/>
  <c r="AN148" i="12"/>
  <c r="W1140" i="10"/>
  <c r="V1139" i="10"/>
  <c r="U1139" i="10" s="1"/>
  <c r="X1139" i="10" s="1"/>
  <c r="Y1139" i="10" s="1"/>
  <c r="Z1139" i="10" s="1"/>
  <c r="T1139" i="10"/>
  <c r="D152" i="14"/>
  <c r="F154" i="14"/>
  <c r="AT90" i="11" l="1"/>
  <c r="AJ90" i="11"/>
  <c r="AN91" i="11"/>
  <c r="AM91" i="11"/>
  <c r="AL91" i="11"/>
  <c r="AO91" i="11"/>
  <c r="AK92" i="11"/>
  <c r="AP91" i="11"/>
  <c r="AQ90" i="11"/>
  <c r="AR90" i="11"/>
  <c r="AD1137" i="10"/>
  <c r="AE1137" i="10" s="1"/>
  <c r="AC1138" i="10"/>
  <c r="AD1138" i="10" s="1"/>
  <c r="AE1138" i="10" s="1"/>
  <c r="AF1139" i="10"/>
  <c r="AB1139" i="10"/>
  <c r="AC1139" i="10" s="1"/>
  <c r="F155" i="14"/>
  <c r="D153" i="14"/>
  <c r="V1140" i="10"/>
  <c r="U1140" i="10" s="1"/>
  <c r="X1140" i="10" s="1"/>
  <c r="Y1140" i="10" s="1"/>
  <c r="Z1140" i="10" s="1"/>
  <c r="W1141" i="10"/>
  <c r="T1140" i="10"/>
  <c r="AO149" i="12"/>
  <c r="AL149" i="12" s="1"/>
  <c r="AM150" i="12"/>
  <c r="AN149" i="12"/>
  <c r="AQ149" i="12"/>
  <c r="AP149" i="12"/>
  <c r="AT91" i="11" l="1"/>
  <c r="AJ91" i="11"/>
  <c r="AR91" i="11"/>
  <c r="AQ91" i="11"/>
  <c r="AK93" i="11"/>
  <c r="AN92" i="11"/>
  <c r="AL92" i="11"/>
  <c r="AP92" i="11"/>
  <c r="AM92" i="11"/>
  <c r="AO92" i="11"/>
  <c r="AD1139" i="10"/>
  <c r="AE1139" i="10" s="1"/>
  <c r="W1142" i="10"/>
  <c r="V1141" i="10"/>
  <c r="U1141" i="10" s="1"/>
  <c r="X1141" i="10" s="1"/>
  <c r="Y1141" i="10" s="1"/>
  <c r="Z1141" i="10" s="1"/>
  <c r="T1141" i="10"/>
  <c r="AO150" i="12"/>
  <c r="AL150" i="12" s="1"/>
  <c r="AN150" i="12"/>
  <c r="AP150" i="12"/>
  <c r="AM151" i="12"/>
  <c r="AQ150" i="12"/>
  <c r="AB1140" i="10"/>
  <c r="AF1140" i="10" s="1"/>
  <c r="D154" i="14"/>
  <c r="F156" i="14"/>
  <c r="AT92" i="11" l="1"/>
  <c r="AJ92" i="11"/>
  <c r="AQ92" i="11"/>
  <c r="AR92" i="11"/>
  <c r="AL93" i="11"/>
  <c r="AK94" i="11"/>
  <c r="AO93" i="11"/>
  <c r="AP93" i="11"/>
  <c r="AM93" i="11"/>
  <c r="AN93" i="11"/>
  <c r="AC1140" i="10"/>
  <c r="AD1140" i="10" s="1"/>
  <c r="AE1140" i="10" s="1"/>
  <c r="AB1141" i="10"/>
  <c r="AC1141" i="10" s="1"/>
  <c r="AO151" i="12"/>
  <c r="AL151" i="12" s="1"/>
  <c r="AM152" i="12"/>
  <c r="AP151" i="12"/>
  <c r="AQ151" i="12"/>
  <c r="AN151" i="12"/>
  <c r="F157" i="14"/>
  <c r="D155" i="14"/>
  <c r="V1142" i="10"/>
  <c r="U1142" i="10" s="1"/>
  <c r="X1142" i="10" s="1"/>
  <c r="Y1142" i="10" s="1"/>
  <c r="Z1142" i="10" s="1"/>
  <c r="W1143" i="10"/>
  <c r="T1142" i="10"/>
  <c r="AT93" i="11" l="1"/>
  <c r="AJ93" i="11"/>
  <c r="AR93" i="11"/>
  <c r="AQ93" i="11"/>
  <c r="AP94" i="11"/>
  <c r="AM94" i="11"/>
  <c r="AO94" i="11"/>
  <c r="AK95" i="11"/>
  <c r="AN94" i="11"/>
  <c r="AL94" i="11"/>
  <c r="AD1141" i="10"/>
  <c r="AE1141" i="10" s="1"/>
  <c r="AF1141" i="10"/>
  <c r="AB1142" i="10"/>
  <c r="AF1142" i="10" s="1"/>
  <c r="D156" i="14"/>
  <c r="F158" i="14"/>
  <c r="V1143" i="10"/>
  <c r="U1143" i="10" s="1"/>
  <c r="X1143" i="10" s="1"/>
  <c r="Y1143" i="10" s="1"/>
  <c r="Z1143" i="10" s="1"/>
  <c r="W1144" i="10"/>
  <c r="T1143" i="10"/>
  <c r="AO152" i="12"/>
  <c r="AL152" i="12" s="1"/>
  <c r="AM153" i="12"/>
  <c r="AQ152" i="12"/>
  <c r="AN152" i="12"/>
  <c r="AP152" i="12"/>
  <c r="AT94" i="11" l="1"/>
  <c r="AJ94" i="11"/>
  <c r="AL95" i="11"/>
  <c r="AN95" i="11"/>
  <c r="AM95" i="11"/>
  <c r="AO95" i="11"/>
  <c r="AK96" i="11"/>
  <c r="AP95" i="11"/>
  <c r="AQ94" i="11"/>
  <c r="AR94" i="11"/>
  <c r="AC1142" i="10"/>
  <c r="AO153" i="12"/>
  <c r="AL153" i="12" s="1"/>
  <c r="AM154" i="12"/>
  <c r="AN153" i="12"/>
  <c r="AQ153" i="12"/>
  <c r="AP153" i="12"/>
  <c r="F159" i="14"/>
  <c r="D157" i="14"/>
  <c r="W1145" i="10"/>
  <c r="V1144" i="10"/>
  <c r="U1144" i="10" s="1"/>
  <c r="X1144" i="10" s="1"/>
  <c r="Y1144" i="10" s="1"/>
  <c r="Z1144" i="10" s="1"/>
  <c r="T1144" i="10"/>
  <c r="AB1143" i="10"/>
  <c r="AF1143" i="10" s="1"/>
  <c r="AT95" i="11" l="1"/>
  <c r="AJ95" i="11"/>
  <c r="AC1143" i="10"/>
  <c r="AQ95" i="11"/>
  <c r="AR95" i="11"/>
  <c r="AM96" i="11"/>
  <c r="AO96" i="11"/>
  <c r="AP96" i="11"/>
  <c r="AN96" i="11"/>
  <c r="AK97" i="11"/>
  <c r="AL96" i="11"/>
  <c r="AD1142" i="10"/>
  <c r="AE1142" i="10" s="1"/>
  <c r="AB1144" i="10"/>
  <c r="AD1144" i="10"/>
  <c r="AF1144" i="10"/>
  <c r="AE1144" i="10"/>
  <c r="AC1144" i="10"/>
  <c r="V1145" i="10"/>
  <c r="U1145" i="10" s="1"/>
  <c r="X1145" i="10" s="1"/>
  <c r="Y1145" i="10" s="1"/>
  <c r="Z1145" i="10" s="1"/>
  <c r="W1146" i="10"/>
  <c r="T1145" i="10"/>
  <c r="D158" i="14"/>
  <c r="F160" i="14"/>
  <c r="AO154" i="12"/>
  <c r="AL154" i="12" s="1"/>
  <c r="AN154" i="12"/>
  <c r="AP154" i="12"/>
  <c r="AM155" i="12"/>
  <c r="AQ154" i="12"/>
  <c r="AT96" i="11" l="1"/>
  <c r="AJ96" i="11"/>
  <c r="AD1143" i="10"/>
  <c r="AE1143" i="10" s="1"/>
  <c r="AM97" i="11"/>
  <c r="AN97" i="11"/>
  <c r="AO97" i="11"/>
  <c r="AP97" i="11"/>
  <c r="AK98" i="11"/>
  <c r="AL97" i="11"/>
  <c r="AQ96" i="11"/>
  <c r="AR96" i="11"/>
  <c r="D159" i="14"/>
  <c r="AO155" i="12"/>
  <c r="AL155" i="12" s="1"/>
  <c r="AM156" i="12"/>
  <c r="AP155" i="12"/>
  <c r="AQ155" i="12"/>
  <c r="AN155" i="12"/>
  <c r="V1146" i="10"/>
  <c r="U1146" i="10" s="1"/>
  <c r="X1146" i="10" s="1"/>
  <c r="Y1146" i="10" s="1"/>
  <c r="Z1146" i="10" s="1"/>
  <c r="W1147" i="10"/>
  <c r="T1146" i="10"/>
  <c r="F161" i="14"/>
  <c r="AB1145" i="10"/>
  <c r="AC1145" i="10" s="1"/>
  <c r="AF1145" i="10"/>
  <c r="AT97" i="11" l="1"/>
  <c r="AJ97" i="11"/>
  <c r="AD1145" i="10"/>
  <c r="AE1145" i="10" s="1"/>
  <c r="AP98" i="11"/>
  <c r="AN98" i="11"/>
  <c r="AM98" i="11"/>
  <c r="AK99" i="11"/>
  <c r="AO98" i="11"/>
  <c r="AL98" i="11"/>
  <c r="AQ97" i="11"/>
  <c r="AR97" i="11"/>
  <c r="AB1146" i="10"/>
  <c r="AF1146" i="10" s="1"/>
  <c r="AD1146" i="10"/>
  <c r="AC1146" i="10"/>
  <c r="AE1146" i="10" s="1"/>
  <c r="AO156" i="12"/>
  <c r="AL156" i="12" s="1"/>
  <c r="AM157" i="12"/>
  <c r="AQ156" i="12"/>
  <c r="AP156" i="12"/>
  <c r="AN156" i="12"/>
  <c r="D160" i="14"/>
  <c r="F162" i="14"/>
  <c r="V1147" i="10"/>
  <c r="U1147" i="10" s="1"/>
  <c r="X1147" i="10" s="1"/>
  <c r="Y1147" i="10" s="1"/>
  <c r="Z1147" i="10" s="1"/>
  <c r="W1148" i="10"/>
  <c r="T1147" i="10"/>
  <c r="AT98" i="11" l="1"/>
  <c r="AJ98" i="11"/>
  <c r="AM99" i="11"/>
  <c r="AP99" i="11"/>
  <c r="AO99" i="11"/>
  <c r="AN99" i="11"/>
  <c r="AK100" i="11"/>
  <c r="AL99" i="11"/>
  <c r="AR98" i="11"/>
  <c r="AQ98" i="11"/>
  <c r="W1149" i="10"/>
  <c r="V1148" i="10"/>
  <c r="U1148" i="10" s="1"/>
  <c r="X1148" i="10" s="1"/>
  <c r="Y1148" i="10" s="1"/>
  <c r="Z1148" i="10" s="1"/>
  <c r="T1148" i="10"/>
  <c r="AB1147" i="10"/>
  <c r="AC1147" i="10"/>
  <c r="AD1147" i="10"/>
  <c r="AF1147" i="10"/>
  <c r="AE1147" i="10"/>
  <c r="D161" i="14"/>
  <c r="AO157" i="12"/>
  <c r="AL157" i="12" s="1"/>
  <c r="AM158" i="12"/>
  <c r="AN157" i="12"/>
  <c r="AQ157" i="12"/>
  <c r="AP157" i="12"/>
  <c r="F163" i="14"/>
  <c r="AT99" i="11" l="1"/>
  <c r="AJ99" i="11"/>
  <c r="AN100" i="11"/>
  <c r="AP100" i="11"/>
  <c r="AL100" i="11"/>
  <c r="AM100" i="11"/>
  <c r="AO100" i="11"/>
  <c r="AK101" i="11"/>
  <c r="AR99" i="11"/>
  <c r="AQ99" i="11"/>
  <c r="F164" i="14"/>
  <c r="AO158" i="12"/>
  <c r="AL158" i="12" s="1"/>
  <c r="AN158" i="12"/>
  <c r="AP158" i="12"/>
  <c r="AM159" i="12"/>
  <c r="AQ158" i="12"/>
  <c r="AF1148" i="10"/>
  <c r="AB1148" i="10"/>
  <c r="AC1148" i="10" s="1"/>
  <c r="D162" i="14"/>
  <c r="V1149" i="10"/>
  <c r="U1149" i="10" s="1"/>
  <c r="X1149" i="10" s="1"/>
  <c r="Y1149" i="10" s="1"/>
  <c r="Z1149" i="10" s="1"/>
  <c r="W1150" i="10"/>
  <c r="T1149" i="10"/>
  <c r="AT100" i="11" l="1"/>
  <c r="AJ100" i="11"/>
  <c r="AR100" i="11"/>
  <c r="AQ100" i="11"/>
  <c r="AM101" i="11"/>
  <c r="AL101" i="11"/>
  <c r="AK102" i="11"/>
  <c r="AP101" i="11"/>
  <c r="AN101" i="11"/>
  <c r="AO101" i="11"/>
  <c r="AD1148" i="10"/>
  <c r="AE1148" i="10" s="1"/>
  <c r="AO159" i="12"/>
  <c r="AL159" i="12" s="1"/>
  <c r="AM160" i="12"/>
  <c r="AP159" i="12"/>
  <c r="AQ159" i="12"/>
  <c r="AN159" i="12"/>
  <c r="F165" i="14"/>
  <c r="V1150" i="10"/>
  <c r="U1150" i="10" s="1"/>
  <c r="X1150" i="10" s="1"/>
  <c r="Y1150" i="10" s="1"/>
  <c r="Z1150" i="10" s="1"/>
  <c r="W1151" i="10"/>
  <c r="T1150" i="10"/>
  <c r="AB1149" i="10"/>
  <c r="AF1149" i="10" s="1"/>
  <c r="D163" i="14"/>
  <c r="AT101" i="11" l="1"/>
  <c r="AJ101" i="11"/>
  <c r="AR101" i="11"/>
  <c r="AQ101" i="11"/>
  <c r="AO102" i="11"/>
  <c r="AN102" i="11"/>
  <c r="AL102" i="11"/>
  <c r="AP102" i="11"/>
  <c r="AM102" i="11"/>
  <c r="AK103" i="11"/>
  <c r="AC1149" i="10"/>
  <c r="AD1149" i="10" s="1"/>
  <c r="AB1150" i="10"/>
  <c r="AF1150" i="10" s="1"/>
  <c r="D164" i="14"/>
  <c r="V1151" i="10"/>
  <c r="U1151" i="10" s="1"/>
  <c r="X1151" i="10" s="1"/>
  <c r="Y1151" i="10" s="1"/>
  <c r="Z1151" i="10" s="1"/>
  <c r="W1152" i="10"/>
  <c r="T1151" i="10"/>
  <c r="F166" i="14"/>
  <c r="AO160" i="12"/>
  <c r="AL160" i="12" s="1"/>
  <c r="AM161" i="12"/>
  <c r="AQ160" i="12"/>
  <c r="AN160" i="12"/>
  <c r="AP160" i="12"/>
  <c r="AT102" i="11" l="1"/>
  <c r="AJ102" i="11"/>
  <c r="AR102" i="11"/>
  <c r="AQ102" i="11"/>
  <c r="AK104" i="11"/>
  <c r="AP103" i="11"/>
  <c r="AO103" i="11"/>
  <c r="AM103" i="11"/>
  <c r="AL103" i="11"/>
  <c r="AN103" i="11"/>
  <c r="AE1149" i="10"/>
  <c r="AC1150" i="10"/>
  <c r="AD1150" i="10" s="1"/>
  <c r="AE1150" i="10" s="1"/>
  <c r="AO161" i="12"/>
  <c r="AL161" i="12" s="1"/>
  <c r="AM162" i="12"/>
  <c r="AN161" i="12"/>
  <c r="AQ161" i="12"/>
  <c r="AP161" i="12"/>
  <c r="W1153" i="10"/>
  <c r="V1152" i="10"/>
  <c r="U1152" i="10" s="1"/>
  <c r="X1152" i="10" s="1"/>
  <c r="Y1152" i="10" s="1"/>
  <c r="Z1152" i="10" s="1"/>
  <c r="T1152" i="10"/>
  <c r="AB1151" i="10"/>
  <c r="AC1151" i="10" s="1"/>
  <c r="F167" i="14"/>
  <c r="D165" i="14"/>
  <c r="AT103" i="11" l="1"/>
  <c r="AJ103" i="11"/>
  <c r="AK105" i="11"/>
  <c r="AN104" i="11"/>
  <c r="AL104" i="11"/>
  <c r="AO104" i="11"/>
  <c r="AP104" i="11"/>
  <c r="AM104" i="11"/>
  <c r="AQ103" i="11"/>
  <c r="AR103" i="11"/>
  <c r="AF1151" i="10"/>
  <c r="AD1151" i="10"/>
  <c r="AE1151" i="10" s="1"/>
  <c r="AB1152" i="10"/>
  <c r="AF1152" i="10" s="1"/>
  <c r="D166" i="14"/>
  <c r="V1153" i="10"/>
  <c r="U1153" i="10" s="1"/>
  <c r="X1153" i="10" s="1"/>
  <c r="Y1153" i="10" s="1"/>
  <c r="Z1153" i="10" s="1"/>
  <c r="W1154" i="10"/>
  <c r="T1153" i="10"/>
  <c r="F168" i="14"/>
  <c r="AO162" i="12"/>
  <c r="AL162" i="12" s="1"/>
  <c r="AN162" i="12"/>
  <c r="AP162" i="12"/>
  <c r="AM163" i="12"/>
  <c r="AQ162" i="12"/>
  <c r="AT104" i="11" l="1"/>
  <c r="AJ104" i="11"/>
  <c r="AR104" i="11"/>
  <c r="AQ104" i="11"/>
  <c r="AM105" i="11"/>
  <c r="AP105" i="11"/>
  <c r="AO105" i="11"/>
  <c r="AN105" i="11"/>
  <c r="AK106" i="11"/>
  <c r="AL105" i="11"/>
  <c r="AC1152" i="10"/>
  <c r="AD1152" i="10" s="1"/>
  <c r="AE1152" i="10" s="1"/>
  <c r="V1154" i="10"/>
  <c r="U1154" i="10" s="1"/>
  <c r="X1154" i="10" s="1"/>
  <c r="Y1154" i="10" s="1"/>
  <c r="Z1154" i="10" s="1"/>
  <c r="W1155" i="10"/>
  <c r="T1154" i="10"/>
  <c r="D167" i="14"/>
  <c r="AB1153" i="10"/>
  <c r="AC1153" i="10" s="1"/>
  <c r="AO163" i="12"/>
  <c r="AL163" i="12" s="1"/>
  <c r="AM164" i="12"/>
  <c r="AP163" i="12"/>
  <c r="AQ163" i="12"/>
  <c r="AN163" i="12"/>
  <c r="F169" i="14"/>
  <c r="AT105" i="11" l="1"/>
  <c r="AJ105" i="11"/>
  <c r="AP106" i="11"/>
  <c r="AL106" i="11"/>
  <c r="AK107" i="11"/>
  <c r="AN106" i="11"/>
  <c r="AO106" i="11"/>
  <c r="AM106" i="11"/>
  <c r="AQ105" i="11"/>
  <c r="AR105" i="11"/>
  <c r="AF1153" i="10"/>
  <c r="AD1153" i="10"/>
  <c r="AE1153" i="10" s="1"/>
  <c r="F170" i="14"/>
  <c r="AO164" i="12"/>
  <c r="AL164" i="12" s="1"/>
  <c r="AM165" i="12"/>
  <c r="AQ164" i="12"/>
  <c r="AP164" i="12"/>
  <c r="AN164" i="12"/>
  <c r="V1155" i="10"/>
  <c r="U1155" i="10" s="1"/>
  <c r="X1155" i="10" s="1"/>
  <c r="Y1155" i="10" s="1"/>
  <c r="Z1155" i="10" s="1"/>
  <c r="W1156" i="10"/>
  <c r="T1155" i="10"/>
  <c r="AB1154" i="10"/>
  <c r="AF1154" i="10" s="1"/>
  <c r="D168" i="14"/>
  <c r="AT106" i="11" l="1"/>
  <c r="AJ106" i="11"/>
  <c r="AQ106" i="11"/>
  <c r="AR106" i="11"/>
  <c r="AO107" i="11"/>
  <c r="AL107" i="11"/>
  <c r="AK108" i="11"/>
  <c r="AP107" i="11"/>
  <c r="AM107" i="11"/>
  <c r="AN107" i="11"/>
  <c r="AC1154" i="10"/>
  <c r="AD1154" i="10" s="1"/>
  <c r="AE1154" i="10" s="1"/>
  <c r="AB1155" i="10"/>
  <c r="AC1155" i="10" s="1"/>
  <c r="AO165" i="12"/>
  <c r="AL165" i="12" s="1"/>
  <c r="AM166" i="12"/>
  <c r="AN165" i="12"/>
  <c r="AP165" i="12"/>
  <c r="AQ165" i="12"/>
  <c r="D169" i="14"/>
  <c r="W1157" i="10"/>
  <c r="V1156" i="10"/>
  <c r="U1156" i="10" s="1"/>
  <c r="X1156" i="10" s="1"/>
  <c r="Y1156" i="10" s="1"/>
  <c r="Z1156" i="10" s="1"/>
  <c r="T1156" i="10"/>
  <c r="F171" i="14"/>
  <c r="AT107" i="11" l="1"/>
  <c r="AJ107" i="11"/>
  <c r="AR107" i="11"/>
  <c r="AQ107" i="11"/>
  <c r="AN108" i="11"/>
  <c r="AO108" i="11"/>
  <c r="AM108" i="11"/>
  <c r="AK109" i="11"/>
  <c r="AP108" i="11"/>
  <c r="AL108" i="11"/>
  <c r="AF1155" i="10"/>
  <c r="AD1155" i="10"/>
  <c r="AE1155" i="10" s="1"/>
  <c r="AB1156" i="10"/>
  <c r="AC1156" i="10" s="1"/>
  <c r="AO166" i="12"/>
  <c r="AL166" i="12" s="1"/>
  <c r="AN166" i="12"/>
  <c r="AP166" i="12"/>
  <c r="AM167" i="12"/>
  <c r="AQ166" i="12"/>
  <c r="D170" i="14"/>
  <c r="F172" i="14"/>
  <c r="V1157" i="10"/>
  <c r="U1157" i="10" s="1"/>
  <c r="X1157" i="10" s="1"/>
  <c r="Y1157" i="10" s="1"/>
  <c r="Z1157" i="10" s="1"/>
  <c r="W1158" i="10"/>
  <c r="T1157" i="10"/>
  <c r="AT108" i="11" l="1"/>
  <c r="AJ108" i="11"/>
  <c r="AO109" i="11"/>
  <c r="AK110" i="11"/>
  <c r="AN109" i="11"/>
  <c r="AL109" i="11"/>
  <c r="AP109" i="11"/>
  <c r="AM109" i="11"/>
  <c r="AQ108" i="11"/>
  <c r="AR108" i="11"/>
  <c r="AF1156" i="10"/>
  <c r="AD1156" i="10"/>
  <c r="AE1156" i="10" s="1"/>
  <c r="F173" i="14"/>
  <c r="D171" i="14"/>
  <c r="V1158" i="10"/>
  <c r="U1158" i="10" s="1"/>
  <c r="X1158" i="10" s="1"/>
  <c r="Y1158" i="10" s="1"/>
  <c r="Z1158" i="10" s="1"/>
  <c r="W1159" i="10"/>
  <c r="T1158" i="10"/>
  <c r="AB1157" i="10"/>
  <c r="AF1157" i="10"/>
  <c r="AC1157" i="10"/>
  <c r="AD1157" i="10" s="1"/>
  <c r="AE1157" i="10" s="1"/>
  <c r="AO167" i="12"/>
  <c r="AL167" i="12" s="1"/>
  <c r="AM168" i="12"/>
  <c r="AP167" i="12"/>
  <c r="AQ167" i="12"/>
  <c r="AN167" i="12"/>
  <c r="AT109" i="11" l="1"/>
  <c r="AJ109" i="11"/>
  <c r="AR109" i="11"/>
  <c r="AQ109" i="11"/>
  <c r="AK111" i="11"/>
  <c r="AP110" i="11"/>
  <c r="AO110" i="11"/>
  <c r="AM110" i="11"/>
  <c r="AL110" i="11"/>
  <c r="AN110" i="11"/>
  <c r="AO168" i="12"/>
  <c r="AL168" i="12" s="1"/>
  <c r="AM169" i="12"/>
  <c r="AQ168" i="12"/>
  <c r="AP168" i="12"/>
  <c r="AN168" i="12"/>
  <c r="V1159" i="10"/>
  <c r="U1159" i="10" s="1"/>
  <c r="X1159" i="10" s="1"/>
  <c r="Y1159" i="10" s="1"/>
  <c r="Z1159" i="10" s="1"/>
  <c r="W1160" i="10"/>
  <c r="T1159" i="10"/>
  <c r="AD1158" i="10"/>
  <c r="AE1158" i="10"/>
  <c r="AC1158" i="10"/>
  <c r="AF1158" i="10"/>
  <c r="AB1158" i="10"/>
  <c r="D172" i="14"/>
  <c r="F174" i="14"/>
  <c r="AT110" i="11" l="1"/>
  <c r="AJ110" i="11"/>
  <c r="AQ110" i="11"/>
  <c r="AR110" i="11"/>
  <c r="AM111" i="11"/>
  <c r="AP111" i="11"/>
  <c r="AL111" i="11"/>
  <c r="AN111" i="11"/>
  <c r="AO111" i="11"/>
  <c r="AK112" i="11"/>
  <c r="W1161" i="10"/>
  <c r="V1160" i="10"/>
  <c r="U1160" i="10" s="1"/>
  <c r="X1160" i="10" s="1"/>
  <c r="Y1160" i="10" s="1"/>
  <c r="Z1160" i="10" s="1"/>
  <c r="T1160" i="10"/>
  <c r="AB1159" i="10"/>
  <c r="AF1159" i="10" s="1"/>
  <c r="F175" i="14"/>
  <c r="D173" i="14"/>
  <c r="AO169" i="12"/>
  <c r="AL169" i="12" s="1"/>
  <c r="AM170" i="12"/>
  <c r="AN169" i="12"/>
  <c r="AQ169" i="12"/>
  <c r="AP169" i="12"/>
  <c r="AT111" i="11" l="1"/>
  <c r="AJ111" i="11"/>
  <c r="AC1159" i="10"/>
  <c r="AQ111" i="11"/>
  <c r="AR111" i="11"/>
  <c r="AK113" i="11"/>
  <c r="AM112" i="11"/>
  <c r="AN112" i="11"/>
  <c r="AL112" i="11"/>
  <c r="AO112" i="11"/>
  <c r="AP112" i="11"/>
  <c r="AO170" i="12"/>
  <c r="AL170" i="12" s="1"/>
  <c r="AN170" i="12"/>
  <c r="AP170" i="12"/>
  <c r="AM171" i="12"/>
  <c r="AQ170" i="12"/>
  <c r="D174" i="14"/>
  <c r="F176" i="14"/>
  <c r="V1161" i="10"/>
  <c r="U1161" i="10" s="1"/>
  <c r="X1161" i="10" s="1"/>
  <c r="Y1161" i="10" s="1"/>
  <c r="Z1161" i="10" s="1"/>
  <c r="W1162" i="10"/>
  <c r="T1161" i="10"/>
  <c r="AF1160" i="10"/>
  <c r="AB1160" i="10"/>
  <c r="AC1160" i="10"/>
  <c r="AT112" i="11" l="1"/>
  <c r="AJ112" i="11"/>
  <c r="AD1160" i="10"/>
  <c r="AE1160" i="10" s="1"/>
  <c r="AD1159" i="10"/>
  <c r="AE1159" i="10"/>
  <c r="AO113" i="11"/>
  <c r="AN113" i="11"/>
  <c r="AL113" i="11"/>
  <c r="AM113" i="11"/>
  <c r="AP113" i="11"/>
  <c r="AK114" i="11"/>
  <c r="AR112" i="11"/>
  <c r="AQ112" i="11"/>
  <c r="V1162" i="10"/>
  <c r="U1162" i="10" s="1"/>
  <c r="X1162" i="10" s="1"/>
  <c r="Y1162" i="10" s="1"/>
  <c r="Z1162" i="10" s="1"/>
  <c r="W1163" i="10"/>
  <c r="T1162" i="10"/>
  <c r="F177" i="14"/>
  <c r="AO171" i="12"/>
  <c r="AL171" i="12" s="1"/>
  <c r="AM172" i="12"/>
  <c r="AP171" i="12"/>
  <c r="AQ171" i="12"/>
  <c r="AN171" i="12"/>
  <c r="AB1161" i="10"/>
  <c r="AC1161" i="10" s="1"/>
  <c r="D175" i="14"/>
  <c r="AT113" i="11" l="1"/>
  <c r="AJ113" i="11"/>
  <c r="AQ113" i="11"/>
  <c r="AR113" i="11"/>
  <c r="AN114" i="11"/>
  <c r="AO114" i="11"/>
  <c r="AP114" i="11"/>
  <c r="AL114" i="11"/>
  <c r="AM114" i="11"/>
  <c r="AK115" i="11"/>
  <c r="AD1161" i="10"/>
  <c r="AE1161" i="10" s="1"/>
  <c r="AF1161" i="10"/>
  <c r="D176" i="14"/>
  <c r="AO172" i="12"/>
  <c r="AL172" i="12" s="1"/>
  <c r="AM173" i="12"/>
  <c r="AQ172" i="12"/>
  <c r="AP172" i="12"/>
  <c r="AN172" i="12"/>
  <c r="V1163" i="10"/>
  <c r="U1163" i="10" s="1"/>
  <c r="X1163" i="10" s="1"/>
  <c r="Y1163" i="10" s="1"/>
  <c r="Z1163" i="10" s="1"/>
  <c r="W1164" i="10"/>
  <c r="T1163" i="10"/>
  <c r="AB1162" i="10"/>
  <c r="AC1162" i="10" s="1"/>
  <c r="F178" i="14"/>
  <c r="AT114" i="11" l="1"/>
  <c r="AJ114" i="11"/>
  <c r="AR114" i="11"/>
  <c r="AQ114" i="11"/>
  <c r="AL115" i="11"/>
  <c r="AK116" i="11"/>
  <c r="AN115" i="11"/>
  <c r="AM115" i="11"/>
  <c r="AP115" i="11"/>
  <c r="AO115" i="11"/>
  <c r="AD1162" i="10"/>
  <c r="AE1162" i="10" s="1"/>
  <c r="AF1162" i="10"/>
  <c r="W1165" i="10"/>
  <c r="V1164" i="10"/>
  <c r="U1164" i="10" s="1"/>
  <c r="X1164" i="10" s="1"/>
  <c r="Y1164" i="10" s="1"/>
  <c r="Z1164" i="10" s="1"/>
  <c r="T1164" i="10"/>
  <c r="D177" i="14"/>
  <c r="F179" i="14"/>
  <c r="AB1163" i="10"/>
  <c r="AC1163" i="10" s="1"/>
  <c r="AD1163" i="10" s="1"/>
  <c r="AO173" i="12"/>
  <c r="AL173" i="12" s="1"/>
  <c r="AM174" i="12"/>
  <c r="AN173" i="12"/>
  <c r="AP173" i="12"/>
  <c r="AQ173" i="12"/>
  <c r="AT115" i="11" l="1"/>
  <c r="AJ115" i="11"/>
  <c r="AQ115" i="11"/>
  <c r="AR115" i="11"/>
  <c r="AL116" i="11"/>
  <c r="AK117" i="11"/>
  <c r="AP116" i="11"/>
  <c r="AN116" i="11"/>
  <c r="AO116" i="11"/>
  <c r="AM116" i="11"/>
  <c r="AF1163" i="10"/>
  <c r="AE1163" i="10"/>
  <c r="AO174" i="12"/>
  <c r="AL174" i="12" s="1"/>
  <c r="AN174" i="12"/>
  <c r="AP174" i="12"/>
  <c r="AM175" i="12"/>
  <c r="AQ174" i="12"/>
  <c r="AB1164" i="10"/>
  <c r="AC1164" i="10" s="1"/>
  <c r="V1165" i="10"/>
  <c r="U1165" i="10" s="1"/>
  <c r="X1165" i="10" s="1"/>
  <c r="Y1165" i="10" s="1"/>
  <c r="Z1165" i="10" s="1"/>
  <c r="W1166" i="10"/>
  <c r="T1165" i="10"/>
  <c r="F180" i="14"/>
  <c r="D178" i="14"/>
  <c r="AT116" i="11" l="1"/>
  <c r="AJ116" i="11"/>
  <c r="AR116" i="11"/>
  <c r="AQ116" i="11"/>
  <c r="AL117" i="11"/>
  <c r="AM117" i="11"/>
  <c r="AN117" i="11"/>
  <c r="AK118" i="11"/>
  <c r="AO117" i="11"/>
  <c r="AP117" i="11"/>
  <c r="AD1164" i="10"/>
  <c r="AE1164" i="10" s="1"/>
  <c r="AF1164" i="10"/>
  <c r="AB1165" i="10"/>
  <c r="AF1165" i="10" s="1"/>
  <c r="F181" i="14"/>
  <c r="AO175" i="12"/>
  <c r="AL175" i="12" s="1"/>
  <c r="AM176" i="12"/>
  <c r="AP175" i="12"/>
  <c r="AQ175" i="12"/>
  <c r="AN175" i="12"/>
  <c r="D179" i="14"/>
  <c r="V1166" i="10"/>
  <c r="U1166" i="10" s="1"/>
  <c r="X1166" i="10" s="1"/>
  <c r="Y1166" i="10" s="1"/>
  <c r="Z1166" i="10" s="1"/>
  <c r="W1167" i="10"/>
  <c r="T1166" i="10"/>
  <c r="AT117" i="11" l="1"/>
  <c r="AJ117" i="11"/>
  <c r="AN118" i="11"/>
  <c r="AP118" i="11"/>
  <c r="AM118" i="11"/>
  <c r="AK119" i="11"/>
  <c r="AO118" i="11"/>
  <c r="AL118" i="11"/>
  <c r="AQ117" i="11"/>
  <c r="AR117" i="11"/>
  <c r="AC1165" i="10"/>
  <c r="AB1166" i="10"/>
  <c r="AF1166" i="10" s="1"/>
  <c r="D180" i="14"/>
  <c r="AO176" i="12"/>
  <c r="AL176" i="12" s="1"/>
  <c r="AM177" i="12"/>
  <c r="AQ176" i="12"/>
  <c r="AN176" i="12"/>
  <c r="AP176" i="12"/>
  <c r="V1167" i="10"/>
  <c r="U1167" i="10" s="1"/>
  <c r="X1167" i="10" s="1"/>
  <c r="Y1167" i="10" s="1"/>
  <c r="Z1167" i="10" s="1"/>
  <c r="W1168" i="10"/>
  <c r="T1167" i="10"/>
  <c r="F182" i="14"/>
  <c r="AT118" i="11" l="1"/>
  <c r="AJ118" i="11"/>
  <c r="AN119" i="11"/>
  <c r="AO119" i="11"/>
  <c r="AK120" i="11"/>
  <c r="AL119" i="11"/>
  <c r="AP119" i="11"/>
  <c r="AM119" i="11"/>
  <c r="AR118" i="11"/>
  <c r="AQ118" i="11"/>
  <c r="AD1165" i="10"/>
  <c r="AE1165" i="10" s="1"/>
  <c r="AC1166" i="10"/>
  <c r="AD1166" i="10" s="1"/>
  <c r="AE1166" i="10" s="1"/>
  <c r="D181" i="14"/>
  <c r="W1169" i="10"/>
  <c r="V1168" i="10"/>
  <c r="U1168" i="10" s="1"/>
  <c r="X1168" i="10" s="1"/>
  <c r="Y1168" i="10" s="1"/>
  <c r="Z1168" i="10" s="1"/>
  <c r="T1168" i="10"/>
  <c r="AF1167" i="10"/>
  <c r="AB1167" i="10"/>
  <c r="AC1167" i="10"/>
  <c r="F183" i="14"/>
  <c r="AO177" i="12"/>
  <c r="AL177" i="12" s="1"/>
  <c r="AM178" i="12"/>
  <c r="AN177" i="12"/>
  <c r="AQ177" i="12"/>
  <c r="AP177" i="12"/>
  <c r="AT119" i="11" l="1"/>
  <c r="AJ119" i="11"/>
  <c r="AK121" i="11"/>
  <c r="AN120" i="11"/>
  <c r="AM120" i="11"/>
  <c r="AL120" i="11"/>
  <c r="AO120" i="11"/>
  <c r="AP120" i="11"/>
  <c r="AQ119" i="11"/>
  <c r="AR119" i="11"/>
  <c r="AD1167" i="10"/>
  <c r="AE1167" i="10" s="1"/>
  <c r="F184" i="14"/>
  <c r="AB1168" i="10"/>
  <c r="AC1168" i="10" s="1"/>
  <c r="AD1168" i="10" s="1"/>
  <c r="D182" i="14"/>
  <c r="AO178" i="12"/>
  <c r="AL178" i="12" s="1"/>
  <c r="AN178" i="12"/>
  <c r="AP178" i="12"/>
  <c r="AM179" i="12"/>
  <c r="AQ178" i="12"/>
  <c r="V1169" i="10"/>
  <c r="U1169" i="10" s="1"/>
  <c r="X1169" i="10" s="1"/>
  <c r="Y1169" i="10" s="1"/>
  <c r="Z1169" i="10" s="1"/>
  <c r="W1170" i="10"/>
  <c r="T1169" i="10"/>
  <c r="AT120" i="11" l="1"/>
  <c r="AJ120" i="11"/>
  <c r="AQ120" i="11"/>
  <c r="AR120" i="11"/>
  <c r="AK122" i="11"/>
  <c r="AP121" i="11"/>
  <c r="AL121" i="11"/>
  <c r="AM121" i="11"/>
  <c r="AN121" i="11"/>
  <c r="AO121" i="11"/>
  <c r="AF1168" i="10"/>
  <c r="V1170" i="10"/>
  <c r="U1170" i="10" s="1"/>
  <c r="X1170" i="10" s="1"/>
  <c r="Y1170" i="10" s="1"/>
  <c r="Z1170" i="10" s="1"/>
  <c r="W1171" i="10"/>
  <c r="T1170" i="10"/>
  <c r="AO179" i="12"/>
  <c r="AL179" i="12" s="1"/>
  <c r="AM180" i="12"/>
  <c r="AP179" i="12"/>
  <c r="AQ179" i="12"/>
  <c r="AN179" i="12"/>
  <c r="D183" i="14"/>
  <c r="AE1168" i="10"/>
  <c r="AB1169" i="10"/>
  <c r="AC1169" i="10" s="1"/>
  <c r="AF1169" i="10"/>
  <c r="F185" i="14"/>
  <c r="AT121" i="11" l="1"/>
  <c r="AJ121" i="11"/>
  <c r="AQ121" i="11"/>
  <c r="AR121" i="11"/>
  <c r="AK123" i="11"/>
  <c r="AN122" i="11"/>
  <c r="AM122" i="11"/>
  <c r="AO122" i="11"/>
  <c r="AL122" i="11"/>
  <c r="AP122" i="11"/>
  <c r="AD1169" i="10"/>
  <c r="AE1169" i="10" s="1"/>
  <c r="F186" i="14"/>
  <c r="V1171" i="10"/>
  <c r="U1171" i="10" s="1"/>
  <c r="X1171" i="10" s="1"/>
  <c r="Y1171" i="10" s="1"/>
  <c r="Z1171" i="10" s="1"/>
  <c r="W1172" i="10"/>
  <c r="T1171" i="10"/>
  <c r="D184" i="14"/>
  <c r="AO180" i="12"/>
  <c r="AL180" i="12" s="1"/>
  <c r="AM181" i="12"/>
  <c r="AQ180" i="12"/>
  <c r="AP180" i="12"/>
  <c r="AN180" i="12"/>
  <c r="AB1170" i="10"/>
  <c r="AF1170" i="10" s="1"/>
  <c r="AT122" i="11" l="1"/>
  <c r="AJ122" i="11"/>
  <c r="AN123" i="11"/>
  <c r="AK124" i="11"/>
  <c r="AP123" i="11"/>
  <c r="AO123" i="11"/>
  <c r="AL123" i="11"/>
  <c r="AM123" i="11"/>
  <c r="AR122" i="11"/>
  <c r="AQ122" i="11"/>
  <c r="AC1170" i="10"/>
  <c r="D185" i="14"/>
  <c r="W1173" i="10"/>
  <c r="V1172" i="10"/>
  <c r="U1172" i="10" s="1"/>
  <c r="X1172" i="10" s="1"/>
  <c r="Y1172" i="10" s="1"/>
  <c r="Z1172" i="10" s="1"/>
  <c r="T1172" i="10"/>
  <c r="AO181" i="12"/>
  <c r="AL181" i="12" s="1"/>
  <c r="AM182" i="12"/>
  <c r="AN181" i="12"/>
  <c r="AP181" i="12"/>
  <c r="AQ181" i="12"/>
  <c r="AB1171" i="10"/>
  <c r="AF1171" i="10" s="1"/>
  <c r="F187" i="14"/>
  <c r="AT123" i="11" l="1"/>
  <c r="AJ123" i="11"/>
  <c r="AC1171" i="10"/>
  <c r="AR123" i="11"/>
  <c r="AQ123" i="11"/>
  <c r="AN124" i="11"/>
  <c r="AO124" i="11"/>
  <c r="AP124" i="11"/>
  <c r="AL124" i="11"/>
  <c r="AK125" i="11"/>
  <c r="AM124" i="11"/>
  <c r="AD1170" i="10"/>
  <c r="AE1170" i="10" s="1"/>
  <c r="F188" i="14"/>
  <c r="AO182" i="12"/>
  <c r="AL182" i="12" s="1"/>
  <c r="AN182" i="12"/>
  <c r="AP182" i="12"/>
  <c r="AM183" i="12"/>
  <c r="AQ182" i="12"/>
  <c r="D186" i="14"/>
  <c r="V1173" i="10"/>
  <c r="U1173" i="10" s="1"/>
  <c r="X1173" i="10" s="1"/>
  <c r="Y1173" i="10" s="1"/>
  <c r="Z1173" i="10" s="1"/>
  <c r="W1174" i="10"/>
  <c r="T1173" i="10"/>
  <c r="AB1172" i="10"/>
  <c r="AD1172" i="10"/>
  <c r="AF1172" i="10"/>
  <c r="AC1172" i="10"/>
  <c r="AE1172" i="10"/>
  <c r="AT124" i="11" l="1"/>
  <c r="AJ124" i="11"/>
  <c r="AD1171" i="10"/>
  <c r="AE1171" i="10" s="1"/>
  <c r="AP125" i="11"/>
  <c r="AK126" i="11"/>
  <c r="AL125" i="11"/>
  <c r="AM125" i="11"/>
  <c r="AO125" i="11"/>
  <c r="AN125" i="11"/>
  <c r="AR124" i="11"/>
  <c r="AQ124" i="11"/>
  <c r="V1174" i="10"/>
  <c r="U1174" i="10" s="1"/>
  <c r="X1174" i="10" s="1"/>
  <c r="Y1174" i="10" s="1"/>
  <c r="Z1174" i="10" s="1"/>
  <c r="W1175" i="10"/>
  <c r="T1174" i="10"/>
  <c r="AB1173" i="10"/>
  <c r="AF1173" i="10"/>
  <c r="AC1173" i="10"/>
  <c r="AD1173" i="10" s="1"/>
  <c r="D187" i="14"/>
  <c r="F189" i="14"/>
  <c r="AO183" i="12"/>
  <c r="AL183" i="12" s="1"/>
  <c r="AM184" i="12"/>
  <c r="AP183" i="12"/>
  <c r="AQ183" i="12"/>
  <c r="AN183" i="12"/>
  <c r="AT125" i="11" l="1"/>
  <c r="AJ125" i="11"/>
  <c r="AE1173" i="10"/>
  <c r="AQ125" i="11"/>
  <c r="AR125" i="11"/>
  <c r="AL126" i="11"/>
  <c r="AM126" i="11"/>
  <c r="AO126" i="11"/>
  <c r="AK127" i="11"/>
  <c r="AN126" i="11"/>
  <c r="AP126" i="11"/>
  <c r="AO184" i="12"/>
  <c r="AL184" i="12" s="1"/>
  <c r="AM185" i="12"/>
  <c r="AQ184" i="12"/>
  <c r="AN184" i="12"/>
  <c r="AP184" i="12"/>
  <c r="F190" i="14"/>
  <c r="D188" i="14"/>
  <c r="V1175" i="10"/>
  <c r="U1175" i="10" s="1"/>
  <c r="X1175" i="10" s="1"/>
  <c r="Y1175" i="10" s="1"/>
  <c r="Z1175" i="10" s="1"/>
  <c r="W1176" i="10"/>
  <c r="T1175" i="10"/>
  <c r="AB1174" i="10"/>
  <c r="AF1174" i="10" s="1"/>
  <c r="AC1174" i="10"/>
  <c r="AD1174" i="10" s="1"/>
  <c r="AT126" i="11" l="1"/>
  <c r="AJ126" i="11"/>
  <c r="AE1174" i="10"/>
  <c r="AM127" i="11"/>
  <c r="AN127" i="11"/>
  <c r="AK128" i="11"/>
  <c r="AO127" i="11"/>
  <c r="AP127" i="11"/>
  <c r="AL127" i="11"/>
  <c r="AR126" i="11"/>
  <c r="AQ126" i="11"/>
  <c r="W1177" i="10"/>
  <c r="V1176" i="10"/>
  <c r="U1176" i="10" s="1"/>
  <c r="X1176" i="10" s="1"/>
  <c r="Y1176" i="10" s="1"/>
  <c r="Z1176" i="10" s="1"/>
  <c r="T1176" i="10"/>
  <c r="AB1175" i="10"/>
  <c r="AC1175" i="10"/>
  <c r="AE1175" i="10"/>
  <c r="AD1175" i="10"/>
  <c r="AF1175" i="10"/>
  <c r="D189" i="14"/>
  <c r="F191" i="14"/>
  <c r="AO185" i="12"/>
  <c r="AL185" i="12" s="1"/>
  <c r="AM186" i="12"/>
  <c r="AN185" i="12"/>
  <c r="AQ185" i="12"/>
  <c r="AP185" i="12"/>
  <c r="AT127" i="11" l="1"/>
  <c r="AJ127" i="11"/>
  <c r="AN128" i="11"/>
  <c r="AK129" i="11"/>
  <c r="AP128" i="11"/>
  <c r="AM128" i="11"/>
  <c r="AL128" i="11"/>
  <c r="AO128" i="11"/>
  <c r="AR127" i="11"/>
  <c r="AQ127" i="11"/>
  <c r="AO186" i="12"/>
  <c r="AL186" i="12" s="1"/>
  <c r="AN186" i="12"/>
  <c r="AP186" i="12"/>
  <c r="AQ186" i="12"/>
  <c r="AM187" i="12"/>
  <c r="V1177" i="10"/>
  <c r="U1177" i="10" s="1"/>
  <c r="X1177" i="10" s="1"/>
  <c r="Y1177" i="10" s="1"/>
  <c r="Z1177" i="10" s="1"/>
  <c r="W1178" i="10"/>
  <c r="T1177" i="10"/>
  <c r="F192" i="14"/>
  <c r="D190" i="14"/>
  <c r="AB1176" i="10"/>
  <c r="AF1176" i="10" s="1"/>
  <c r="AT128" i="11" l="1"/>
  <c r="AJ128" i="11"/>
  <c r="AR128" i="11"/>
  <c r="AQ128" i="11"/>
  <c r="AN129" i="11"/>
  <c r="AL129" i="11"/>
  <c r="AM129" i="11"/>
  <c r="AP129" i="11"/>
  <c r="AO129" i="11"/>
  <c r="AK130" i="11"/>
  <c r="AC1176" i="10"/>
  <c r="AD1176" i="10" s="1"/>
  <c r="V1178" i="10"/>
  <c r="U1178" i="10" s="1"/>
  <c r="X1178" i="10" s="1"/>
  <c r="Y1178" i="10" s="1"/>
  <c r="Z1178" i="10" s="1"/>
  <c r="W1179" i="10"/>
  <c r="T1178" i="10"/>
  <c r="AB1177" i="10"/>
  <c r="AC1177" i="10" s="1"/>
  <c r="D191" i="14"/>
  <c r="F193" i="14"/>
  <c r="AO187" i="12"/>
  <c r="AL187" i="12" s="1"/>
  <c r="AM188" i="12"/>
  <c r="AP187" i="12"/>
  <c r="AQ187" i="12"/>
  <c r="AN187" i="12"/>
  <c r="AT129" i="11" l="1"/>
  <c r="AJ129" i="11"/>
  <c r="AR129" i="11"/>
  <c r="AQ129" i="11"/>
  <c r="AK131" i="11"/>
  <c r="AO130" i="11"/>
  <c r="AN130" i="11"/>
  <c r="AM130" i="11"/>
  <c r="AL130" i="11"/>
  <c r="AP130" i="11"/>
  <c r="AE1176" i="10"/>
  <c r="AD1177" i="10"/>
  <c r="AE1177" i="10" s="1"/>
  <c r="AF1177" i="10"/>
  <c r="AO188" i="12"/>
  <c r="AL188" i="12" s="1"/>
  <c r="AM189" i="12"/>
  <c r="AQ188" i="12"/>
  <c r="AP188" i="12"/>
  <c r="AN188" i="12"/>
  <c r="D192" i="14"/>
  <c r="V1179" i="10"/>
  <c r="U1179" i="10" s="1"/>
  <c r="X1179" i="10" s="1"/>
  <c r="Y1179" i="10" s="1"/>
  <c r="Z1179" i="10" s="1"/>
  <c r="W1180" i="10"/>
  <c r="T1179" i="10"/>
  <c r="AB1178" i="10"/>
  <c r="AC1178" i="10" s="1"/>
  <c r="AD1178" i="10" s="1"/>
  <c r="F194" i="14"/>
  <c r="AT130" i="11" l="1"/>
  <c r="AJ130" i="11"/>
  <c r="AK132" i="11"/>
  <c r="AN131" i="11"/>
  <c r="AM131" i="11"/>
  <c r="AO131" i="11"/>
  <c r="AP131" i="11"/>
  <c r="AL131" i="11"/>
  <c r="AR130" i="11"/>
  <c r="AQ130" i="11"/>
  <c r="AF1178" i="10"/>
  <c r="AE1178" i="10"/>
  <c r="AB1179" i="10"/>
  <c r="AF1179" i="10" s="1"/>
  <c r="D193" i="14"/>
  <c r="W1181" i="10"/>
  <c r="V1180" i="10"/>
  <c r="U1180" i="10" s="1"/>
  <c r="X1180" i="10" s="1"/>
  <c r="Y1180" i="10" s="1"/>
  <c r="Z1180" i="10" s="1"/>
  <c r="T1180" i="10"/>
  <c r="F195" i="14"/>
  <c r="AO189" i="12"/>
  <c r="AL189" i="12" s="1"/>
  <c r="AM190" i="12"/>
  <c r="AN189" i="12"/>
  <c r="AQ189" i="12"/>
  <c r="AP189" i="12"/>
  <c r="AT131" i="11" l="1"/>
  <c r="AJ131" i="11"/>
  <c r="AR131" i="11"/>
  <c r="AQ131" i="11"/>
  <c r="AM132" i="11"/>
  <c r="AK133" i="11"/>
  <c r="AO132" i="11"/>
  <c r="AP132" i="11"/>
  <c r="AL132" i="11"/>
  <c r="AN132" i="11"/>
  <c r="AC1179" i="10"/>
  <c r="AD1179" i="10" s="1"/>
  <c r="AE1179" i="10" s="1"/>
  <c r="AO190" i="12"/>
  <c r="AL190" i="12" s="1"/>
  <c r="AN190" i="12"/>
  <c r="AP190" i="12"/>
  <c r="AM191" i="12"/>
  <c r="AQ190" i="12"/>
  <c r="V1181" i="10"/>
  <c r="U1181" i="10" s="1"/>
  <c r="X1181" i="10" s="1"/>
  <c r="Y1181" i="10" s="1"/>
  <c r="Z1181" i="10" s="1"/>
  <c r="W1182" i="10"/>
  <c r="T1181" i="10"/>
  <c r="F196" i="14"/>
  <c r="AB1180" i="10"/>
  <c r="AF1180" i="10" s="1"/>
  <c r="D194" i="14"/>
  <c r="AT132" i="11" l="1"/>
  <c r="AJ132" i="11"/>
  <c r="AR132" i="11"/>
  <c r="AQ132" i="11"/>
  <c r="AM133" i="11"/>
  <c r="AP133" i="11"/>
  <c r="AL133" i="11"/>
  <c r="AO133" i="11"/>
  <c r="AN133" i="11"/>
  <c r="AK134" i="11"/>
  <c r="AC1180" i="10"/>
  <c r="AD1180" i="10" s="1"/>
  <c r="AE1180" i="10" s="1"/>
  <c r="V1182" i="10"/>
  <c r="U1182" i="10" s="1"/>
  <c r="X1182" i="10" s="1"/>
  <c r="Y1182" i="10" s="1"/>
  <c r="Z1182" i="10" s="1"/>
  <c r="W1183" i="10"/>
  <c r="T1182" i="10"/>
  <c r="AO191" i="12"/>
  <c r="AL191" i="12" s="1"/>
  <c r="AM192" i="12"/>
  <c r="AP191" i="12"/>
  <c r="AQ191" i="12"/>
  <c r="AN191" i="12"/>
  <c r="AB1181" i="10"/>
  <c r="AC1181" i="10" s="1"/>
  <c r="AD1181" i="10" s="1"/>
  <c r="F197" i="14"/>
  <c r="D195" i="14"/>
  <c r="AT133" i="11" l="1"/>
  <c r="AJ133" i="11"/>
  <c r="AR133" i="11"/>
  <c r="AQ133" i="11"/>
  <c r="AP134" i="11"/>
  <c r="AM134" i="11"/>
  <c r="AK135" i="11"/>
  <c r="AN134" i="11"/>
  <c r="AL134" i="11"/>
  <c r="AO134" i="11"/>
  <c r="AF1181" i="10"/>
  <c r="AE1181" i="10"/>
  <c r="D196" i="14"/>
  <c r="F198" i="14"/>
  <c r="AO192" i="12"/>
  <c r="AL192" i="12" s="1"/>
  <c r="AM193" i="12"/>
  <c r="AQ192" i="12"/>
  <c r="AP192" i="12"/>
  <c r="AN192" i="12"/>
  <c r="AB1182" i="10"/>
  <c r="AF1182" i="10" s="1"/>
  <c r="V1183" i="10"/>
  <c r="U1183" i="10" s="1"/>
  <c r="X1183" i="10" s="1"/>
  <c r="Y1183" i="10" s="1"/>
  <c r="Z1183" i="10" s="1"/>
  <c r="W1184" i="10"/>
  <c r="T1183" i="10"/>
  <c r="AT134" i="11" l="1"/>
  <c r="AJ134" i="11"/>
  <c r="AL135" i="11"/>
  <c r="AN135" i="11"/>
  <c r="AO135" i="11"/>
  <c r="AK136" i="11"/>
  <c r="AP135" i="11"/>
  <c r="AM135" i="11"/>
  <c r="AR134" i="11"/>
  <c r="AQ134" i="11"/>
  <c r="AC1182" i="10"/>
  <c r="AD1182" i="10" s="1"/>
  <c r="AE1182" i="10" s="1"/>
  <c r="W1185" i="10"/>
  <c r="V1184" i="10"/>
  <c r="U1184" i="10" s="1"/>
  <c r="X1184" i="10" s="1"/>
  <c r="Y1184" i="10" s="1"/>
  <c r="Z1184" i="10" s="1"/>
  <c r="T1184" i="10"/>
  <c r="F199" i="14"/>
  <c r="D197" i="14"/>
  <c r="AB1183" i="10"/>
  <c r="AF1183" i="10" s="1"/>
  <c r="AO193" i="12"/>
  <c r="AL193" i="12" s="1"/>
  <c r="AM194" i="12"/>
  <c r="AN193" i="12"/>
  <c r="AQ193" i="12"/>
  <c r="AP193" i="12"/>
  <c r="AT135" i="11" l="1"/>
  <c r="AJ135" i="11"/>
  <c r="AN136" i="11"/>
  <c r="AP136" i="11"/>
  <c r="AO136" i="11"/>
  <c r="AK137" i="11"/>
  <c r="AL136" i="11"/>
  <c r="AM136" i="11"/>
  <c r="AR135" i="11"/>
  <c r="AQ135" i="11"/>
  <c r="AC1183" i="10"/>
  <c r="AO194" i="12"/>
  <c r="AL194" i="12" s="1"/>
  <c r="AN194" i="12"/>
  <c r="AP194" i="12"/>
  <c r="AM195" i="12"/>
  <c r="AQ194" i="12"/>
  <c r="AB1184" i="10"/>
  <c r="AF1184" i="10" s="1"/>
  <c r="D198" i="14"/>
  <c r="F200" i="14"/>
  <c r="V1185" i="10"/>
  <c r="U1185" i="10" s="1"/>
  <c r="X1185" i="10" s="1"/>
  <c r="Y1185" i="10" s="1"/>
  <c r="Z1185" i="10" s="1"/>
  <c r="W1186" i="10"/>
  <c r="T1185" i="10"/>
  <c r="AT136" i="11" l="1"/>
  <c r="AJ136" i="11"/>
  <c r="AK138" i="11"/>
  <c r="AL137" i="11"/>
  <c r="AM137" i="11"/>
  <c r="AN137" i="11"/>
  <c r="AO137" i="11"/>
  <c r="AP137" i="11"/>
  <c r="AQ136" i="11"/>
  <c r="AR136" i="11"/>
  <c r="AC1184" i="10"/>
  <c r="AD1184" i="10" s="1"/>
  <c r="AD1183" i="10"/>
  <c r="AE1183" i="10" s="1"/>
  <c r="AO195" i="12"/>
  <c r="AL195" i="12" s="1"/>
  <c r="AM196" i="12"/>
  <c r="AP195" i="12"/>
  <c r="AQ195" i="12"/>
  <c r="AN195" i="12"/>
  <c r="V1186" i="10"/>
  <c r="U1186" i="10" s="1"/>
  <c r="X1186" i="10" s="1"/>
  <c r="Y1186" i="10" s="1"/>
  <c r="Z1186" i="10" s="1"/>
  <c r="W1187" i="10"/>
  <c r="T1186" i="10"/>
  <c r="F201" i="14"/>
  <c r="D199" i="14"/>
  <c r="AB1185" i="10"/>
  <c r="AC1185" i="10" s="1"/>
  <c r="AF1185" i="10"/>
  <c r="AT137" i="11" l="1"/>
  <c r="AJ137" i="11"/>
  <c r="AD1185" i="10"/>
  <c r="AE1185" i="10" s="1"/>
  <c r="AR137" i="11"/>
  <c r="AQ137" i="11"/>
  <c r="AM138" i="11"/>
  <c r="AN138" i="11"/>
  <c r="AO138" i="11"/>
  <c r="AL138" i="11"/>
  <c r="AP138" i="11"/>
  <c r="AK139" i="11"/>
  <c r="AE1184" i="10"/>
  <c r="AD1186" i="10"/>
  <c r="AE1186" i="10"/>
  <c r="AB1186" i="10"/>
  <c r="AC1186" i="10"/>
  <c r="AF1186" i="10"/>
  <c r="D200" i="14"/>
  <c r="F202" i="14"/>
  <c r="V1187" i="10"/>
  <c r="U1187" i="10" s="1"/>
  <c r="X1187" i="10" s="1"/>
  <c r="Y1187" i="10" s="1"/>
  <c r="Z1187" i="10" s="1"/>
  <c r="W1188" i="10"/>
  <c r="T1187" i="10"/>
  <c r="AO196" i="12"/>
  <c r="AL196" i="12" s="1"/>
  <c r="AM197" i="12"/>
  <c r="AQ196" i="12"/>
  <c r="AP196" i="12"/>
  <c r="AN196" i="12"/>
  <c r="AT138" i="11" l="1"/>
  <c r="AJ138" i="11"/>
  <c r="AQ138" i="11"/>
  <c r="AR138" i="11"/>
  <c r="AK140" i="11"/>
  <c r="AN139" i="11"/>
  <c r="AP139" i="11"/>
  <c r="AO139" i="11"/>
  <c r="AM139" i="11"/>
  <c r="AL139" i="11"/>
  <c r="AO197" i="12"/>
  <c r="AL197" i="12" s="1"/>
  <c r="AM198" i="12"/>
  <c r="AN197" i="12"/>
  <c r="AP197" i="12"/>
  <c r="AQ197" i="12"/>
  <c r="F203" i="14"/>
  <c r="D201" i="14"/>
  <c r="W1189" i="10"/>
  <c r="V1188" i="10"/>
  <c r="U1188" i="10" s="1"/>
  <c r="X1188" i="10" s="1"/>
  <c r="Y1188" i="10" s="1"/>
  <c r="Z1188" i="10" s="1"/>
  <c r="T1188" i="10"/>
  <c r="AB1187" i="10"/>
  <c r="AF1187" i="10" s="1"/>
  <c r="AT139" i="11" l="1"/>
  <c r="AJ139" i="11"/>
  <c r="AC1187" i="10"/>
  <c r="AR139" i="11"/>
  <c r="AQ139" i="11"/>
  <c r="AL140" i="11"/>
  <c r="AM140" i="11"/>
  <c r="AO140" i="11"/>
  <c r="AN140" i="11"/>
  <c r="AK141" i="11"/>
  <c r="AP140" i="11"/>
  <c r="AB1188" i="10"/>
  <c r="AC1188" i="10" s="1"/>
  <c r="V1189" i="10"/>
  <c r="U1189" i="10" s="1"/>
  <c r="X1189" i="10" s="1"/>
  <c r="Y1189" i="10" s="1"/>
  <c r="Z1189" i="10" s="1"/>
  <c r="W1190" i="10"/>
  <c r="T1189" i="10"/>
  <c r="D202" i="14"/>
  <c r="F204" i="14"/>
  <c r="AO198" i="12"/>
  <c r="AL198" i="12" s="1"/>
  <c r="AN198" i="12"/>
  <c r="AP198" i="12"/>
  <c r="AM199" i="12"/>
  <c r="AQ198" i="12"/>
  <c r="AT140" i="11" l="1"/>
  <c r="AJ140" i="11"/>
  <c r="AD1188" i="10"/>
  <c r="AE1188" i="10" s="1"/>
  <c r="AF1188" i="10"/>
  <c r="AD1187" i="10"/>
  <c r="AE1187" i="10"/>
  <c r="AK142" i="11"/>
  <c r="AO141" i="11"/>
  <c r="AL141" i="11"/>
  <c r="AP141" i="11"/>
  <c r="AN141" i="11"/>
  <c r="AM141" i="11"/>
  <c r="AR140" i="11"/>
  <c r="AQ140" i="11"/>
  <c r="AO199" i="12"/>
  <c r="AL199" i="12" s="1"/>
  <c r="AM200" i="12"/>
  <c r="AP199" i="12"/>
  <c r="AQ199" i="12"/>
  <c r="AN199" i="12"/>
  <c r="F205" i="14"/>
  <c r="D203" i="14"/>
  <c r="V1190" i="10"/>
  <c r="U1190" i="10" s="1"/>
  <c r="X1190" i="10" s="1"/>
  <c r="Y1190" i="10" s="1"/>
  <c r="Z1190" i="10" s="1"/>
  <c r="W1191" i="10"/>
  <c r="T1190" i="10"/>
  <c r="AE1189" i="10"/>
  <c r="AB1189" i="10"/>
  <c r="AC1189" i="10"/>
  <c r="AF1189" i="10"/>
  <c r="AD1189" i="10"/>
  <c r="AT141" i="11" l="1"/>
  <c r="AJ141" i="11"/>
  <c r="AQ141" i="11"/>
  <c r="AR141" i="11"/>
  <c r="AM142" i="11"/>
  <c r="AK143" i="11"/>
  <c r="AN142" i="11"/>
  <c r="AO142" i="11"/>
  <c r="AP142" i="11"/>
  <c r="AL142" i="11"/>
  <c r="V1191" i="10"/>
  <c r="U1191" i="10" s="1"/>
  <c r="X1191" i="10" s="1"/>
  <c r="Y1191" i="10" s="1"/>
  <c r="Z1191" i="10" s="1"/>
  <c r="W1192" i="10"/>
  <c r="T1191" i="10"/>
  <c r="AB1190" i="10"/>
  <c r="AD1190" i="10"/>
  <c r="AE1190" i="10" s="1"/>
  <c r="AF1190" i="10"/>
  <c r="AC1190" i="10"/>
  <c r="D204" i="14"/>
  <c r="F206" i="14"/>
  <c r="AO200" i="12"/>
  <c r="AL200" i="12" s="1"/>
  <c r="AM201" i="12"/>
  <c r="AQ200" i="12"/>
  <c r="AP200" i="12"/>
  <c r="AN200" i="12"/>
  <c r="AT142" i="11" l="1"/>
  <c r="AJ142" i="11"/>
  <c r="AR142" i="11"/>
  <c r="AQ142" i="11"/>
  <c r="AM143" i="11"/>
  <c r="AN143" i="11"/>
  <c r="AP143" i="11"/>
  <c r="AO143" i="11"/>
  <c r="AK144" i="11"/>
  <c r="AL143" i="11"/>
  <c r="AO201" i="12"/>
  <c r="AL201" i="12" s="1"/>
  <c r="AM202" i="12"/>
  <c r="AN201" i="12"/>
  <c r="AQ201" i="12"/>
  <c r="AP201" i="12"/>
  <c r="V1192" i="10"/>
  <c r="U1192" i="10" s="1"/>
  <c r="X1192" i="10" s="1"/>
  <c r="Y1192" i="10" s="1"/>
  <c r="Z1192" i="10" s="1"/>
  <c r="W1193" i="10"/>
  <c r="T1192" i="10"/>
  <c r="AB1191" i="10"/>
  <c r="AF1191" i="10" s="1"/>
  <c r="F207" i="14"/>
  <c r="D205" i="14"/>
  <c r="AT143" i="11" l="1"/>
  <c r="AJ143" i="11"/>
  <c r="AM144" i="11"/>
  <c r="AP144" i="11"/>
  <c r="AL144" i="11"/>
  <c r="AN144" i="11"/>
  <c r="AO144" i="11"/>
  <c r="AK145" i="11"/>
  <c r="AQ143" i="11"/>
  <c r="AR143" i="11"/>
  <c r="AC1191" i="10"/>
  <c r="AD1191" i="10" s="1"/>
  <c r="AE1191" i="10" s="1"/>
  <c r="D206" i="14"/>
  <c r="AB1192" i="10"/>
  <c r="AF1192" i="10" s="1"/>
  <c r="V1193" i="10"/>
  <c r="U1193" i="10" s="1"/>
  <c r="X1193" i="10" s="1"/>
  <c r="Y1193" i="10" s="1"/>
  <c r="Z1193" i="10" s="1"/>
  <c r="W1194" i="10"/>
  <c r="T1193" i="10"/>
  <c r="AO202" i="12"/>
  <c r="AL202" i="12" s="1"/>
  <c r="AN202" i="12"/>
  <c r="AP202" i="12"/>
  <c r="AM203" i="12"/>
  <c r="AQ202" i="12"/>
  <c r="F208" i="14"/>
  <c r="AT144" i="11" l="1"/>
  <c r="AJ144" i="11"/>
  <c r="AP145" i="11"/>
  <c r="AM145" i="11"/>
  <c r="AK146" i="11"/>
  <c r="AO145" i="11"/>
  <c r="AL145" i="11"/>
  <c r="AN145" i="11"/>
  <c r="AR144" i="11"/>
  <c r="AQ144" i="11"/>
  <c r="AC1192" i="10"/>
  <c r="AB1193" i="10"/>
  <c r="AF1193" i="10" s="1"/>
  <c r="AO203" i="12"/>
  <c r="AL203" i="12" s="1"/>
  <c r="AM204" i="12"/>
  <c r="AP203" i="12"/>
  <c r="AQ203" i="12"/>
  <c r="AN203" i="12"/>
  <c r="F209" i="14"/>
  <c r="W1195" i="10"/>
  <c r="V1194" i="10"/>
  <c r="U1194" i="10" s="1"/>
  <c r="X1194" i="10" s="1"/>
  <c r="Y1194" i="10" s="1"/>
  <c r="Z1194" i="10" s="1"/>
  <c r="T1194" i="10"/>
  <c r="D207" i="14"/>
  <c r="AT145" i="11" l="1"/>
  <c r="AJ145" i="11"/>
  <c r="AO146" i="11"/>
  <c r="AN146" i="11"/>
  <c r="AP146" i="11"/>
  <c r="AM146" i="11"/>
  <c r="AL146" i="11"/>
  <c r="AK147" i="11"/>
  <c r="AQ145" i="11"/>
  <c r="AR145" i="11"/>
  <c r="AD1192" i="10"/>
  <c r="AE1192" i="10" s="1"/>
  <c r="AC1193" i="10"/>
  <c r="AB1194" i="10"/>
  <c r="AF1194" i="10" s="1"/>
  <c r="D208" i="14"/>
  <c r="F210" i="14"/>
  <c r="AO204" i="12"/>
  <c r="AL204" i="12" s="1"/>
  <c r="AM205" i="12"/>
  <c r="AQ204" i="12"/>
  <c r="AP204" i="12"/>
  <c r="AN204" i="12"/>
  <c r="V1195" i="10"/>
  <c r="U1195" i="10" s="1"/>
  <c r="X1195" i="10" s="1"/>
  <c r="Y1195" i="10" s="1"/>
  <c r="Z1195" i="10" s="1"/>
  <c r="W1196" i="10"/>
  <c r="T1195" i="10"/>
  <c r="AT146" i="11" l="1"/>
  <c r="AJ146" i="11"/>
  <c r="AQ146" i="11"/>
  <c r="AR146" i="11"/>
  <c r="AM147" i="11"/>
  <c r="AN147" i="11"/>
  <c r="AP147" i="11"/>
  <c r="AL147" i="11"/>
  <c r="AK148" i="11"/>
  <c r="AO147" i="11"/>
  <c r="AD1193" i="10"/>
  <c r="AE1193" i="10" s="1"/>
  <c r="AC1194" i="10"/>
  <c r="AD1194" i="10" s="1"/>
  <c r="AE1194" i="10" s="1"/>
  <c r="F211" i="14"/>
  <c r="D209" i="14"/>
  <c r="AB1195" i="10"/>
  <c r="AF1195" i="10" s="1"/>
  <c r="AO205" i="12"/>
  <c r="AL205" i="12" s="1"/>
  <c r="AM206" i="12"/>
  <c r="AN205" i="12"/>
  <c r="AP205" i="12"/>
  <c r="AQ205" i="12"/>
  <c r="V1196" i="10"/>
  <c r="U1196" i="10" s="1"/>
  <c r="X1196" i="10" s="1"/>
  <c r="Y1196" i="10" s="1"/>
  <c r="Z1196" i="10" s="1"/>
  <c r="W1197" i="10"/>
  <c r="T1196" i="10"/>
  <c r="AT147" i="11" l="1"/>
  <c r="AJ147" i="11"/>
  <c r="AN148" i="11"/>
  <c r="AO148" i="11"/>
  <c r="AP148" i="11"/>
  <c r="AL148" i="11"/>
  <c r="AM148" i="11"/>
  <c r="AK149" i="11"/>
  <c r="AQ147" i="11"/>
  <c r="AR147" i="11"/>
  <c r="AC1195" i="10"/>
  <c r="AD1195" i="10" s="1"/>
  <c r="AB1196" i="10"/>
  <c r="AF1196" i="10" s="1"/>
  <c r="AO206" i="12"/>
  <c r="AL206" i="12" s="1"/>
  <c r="AN206" i="12"/>
  <c r="AP206" i="12"/>
  <c r="AM207" i="12"/>
  <c r="AQ206" i="12"/>
  <c r="V1197" i="10"/>
  <c r="U1197" i="10" s="1"/>
  <c r="X1197" i="10" s="1"/>
  <c r="Y1197" i="10" s="1"/>
  <c r="Z1197" i="10" s="1"/>
  <c r="W1198" i="10"/>
  <c r="T1197" i="10"/>
  <c r="D210" i="14"/>
  <c r="F212" i="14"/>
  <c r="AT148" i="11" l="1"/>
  <c r="AJ148" i="11"/>
  <c r="AK150" i="11"/>
  <c r="AP149" i="11"/>
  <c r="AO149" i="11"/>
  <c r="AN149" i="11"/>
  <c r="AL149" i="11"/>
  <c r="AM149" i="11"/>
  <c r="AQ148" i="11"/>
  <c r="AR148" i="11"/>
  <c r="AE1195" i="10"/>
  <c r="AC1196" i="10"/>
  <c r="AD1196" i="10" s="1"/>
  <c r="AE1196" i="10" s="1"/>
  <c r="D211" i="14"/>
  <c r="V1198" i="10"/>
  <c r="U1198" i="10" s="1"/>
  <c r="X1198" i="10" s="1"/>
  <c r="Y1198" i="10" s="1"/>
  <c r="Z1198" i="10" s="1"/>
  <c r="W1199" i="10"/>
  <c r="T1198" i="10"/>
  <c r="F213" i="14"/>
  <c r="AB1197" i="10"/>
  <c r="AF1197" i="10" s="1"/>
  <c r="AO207" i="12"/>
  <c r="AL207" i="12" s="1"/>
  <c r="AM208" i="12"/>
  <c r="AP207" i="12"/>
  <c r="AQ207" i="12"/>
  <c r="AN207" i="12"/>
  <c r="AT149" i="11" l="1"/>
  <c r="AJ149" i="11"/>
  <c r="AR149" i="11"/>
  <c r="AQ149" i="11"/>
  <c r="AN150" i="11"/>
  <c r="AL150" i="11"/>
  <c r="AO150" i="11"/>
  <c r="AM150" i="11"/>
  <c r="AK151" i="11"/>
  <c r="AP150" i="11"/>
  <c r="AC1197" i="10"/>
  <c r="AB1198" i="10"/>
  <c r="AF1198" i="10" s="1"/>
  <c r="D212" i="14"/>
  <c r="AO208" i="12"/>
  <c r="AL208" i="12" s="1"/>
  <c r="AM209" i="12"/>
  <c r="AQ208" i="12"/>
  <c r="AN208" i="12"/>
  <c r="AP208" i="12"/>
  <c r="F214" i="14"/>
  <c r="W1200" i="10"/>
  <c r="V1199" i="10"/>
  <c r="U1199" i="10" s="1"/>
  <c r="X1199" i="10" s="1"/>
  <c r="Y1199" i="10" s="1"/>
  <c r="Z1199" i="10" s="1"/>
  <c r="T1199" i="10"/>
  <c r="AT150" i="11" l="1"/>
  <c r="AJ150" i="11"/>
  <c r="AO151" i="11"/>
  <c r="AL151" i="11"/>
  <c r="AP151" i="11"/>
  <c r="AN151" i="11"/>
  <c r="AK152" i="11"/>
  <c r="AM151" i="11"/>
  <c r="AR150" i="11"/>
  <c r="AQ150" i="11"/>
  <c r="AC1198" i="10"/>
  <c r="AD1198" i="10" s="1"/>
  <c r="AE1198" i="10" s="1"/>
  <c r="AD1197" i="10"/>
  <c r="AE1197" i="10" s="1"/>
  <c r="AB1199" i="10"/>
  <c r="AF1199" i="10" s="1"/>
  <c r="V1200" i="10"/>
  <c r="U1200" i="10" s="1"/>
  <c r="X1200" i="10" s="1"/>
  <c r="Y1200" i="10" s="1"/>
  <c r="Z1200" i="10" s="1"/>
  <c r="W1201" i="10"/>
  <c r="T1200" i="10"/>
  <c r="F215" i="14"/>
  <c r="AO209" i="12"/>
  <c r="AL209" i="12" s="1"/>
  <c r="AM210" i="12"/>
  <c r="AN209" i="12"/>
  <c r="AQ209" i="12"/>
  <c r="AP209" i="12"/>
  <c r="D213" i="14"/>
  <c r="AT151" i="11" l="1"/>
  <c r="AJ151" i="11"/>
  <c r="AC1199" i="10"/>
  <c r="AR151" i="11"/>
  <c r="AQ151" i="11"/>
  <c r="AP152" i="11"/>
  <c r="AO152" i="11"/>
  <c r="AN152" i="11"/>
  <c r="AK153" i="11"/>
  <c r="AL152" i="11"/>
  <c r="AM152" i="11"/>
  <c r="AD1200" i="10"/>
  <c r="AE1200" i="10"/>
  <c r="AB1200" i="10"/>
  <c r="AC1200" i="10"/>
  <c r="AF1200" i="10"/>
  <c r="AO210" i="12"/>
  <c r="AL210" i="12" s="1"/>
  <c r="AN210" i="12"/>
  <c r="AP210" i="12"/>
  <c r="AM211" i="12"/>
  <c r="AQ210" i="12"/>
  <c r="V1201" i="10"/>
  <c r="U1201" i="10" s="1"/>
  <c r="X1201" i="10" s="1"/>
  <c r="Y1201" i="10" s="1"/>
  <c r="Z1201" i="10" s="1"/>
  <c r="W1202" i="10"/>
  <c r="T1201" i="10"/>
  <c r="D214" i="14"/>
  <c r="F216" i="14"/>
  <c r="AT152" i="11" l="1"/>
  <c r="AJ152" i="11"/>
  <c r="AD1199" i="10"/>
  <c r="AE1199" i="10" s="1"/>
  <c r="AK154" i="11"/>
  <c r="AP153" i="11"/>
  <c r="AO153" i="11"/>
  <c r="AN153" i="11"/>
  <c r="AM153" i="11"/>
  <c r="AL153" i="11"/>
  <c r="AQ152" i="11"/>
  <c r="AR152" i="11"/>
  <c r="AB1201" i="10"/>
  <c r="AC1201" i="10" s="1"/>
  <c r="AF1201" i="10"/>
  <c r="AO211" i="12"/>
  <c r="AL211" i="12" s="1"/>
  <c r="AM212" i="12"/>
  <c r="AP211" i="12"/>
  <c r="AQ211" i="12"/>
  <c r="AN211" i="12"/>
  <c r="F217" i="14"/>
  <c r="D215" i="14"/>
  <c r="V1202" i="10"/>
  <c r="U1202" i="10" s="1"/>
  <c r="X1202" i="10" s="1"/>
  <c r="Y1202" i="10" s="1"/>
  <c r="Z1202" i="10" s="1"/>
  <c r="W1203" i="10"/>
  <c r="T1202" i="10"/>
  <c r="AT153" i="11" l="1"/>
  <c r="AJ153" i="11"/>
  <c r="AD1201" i="10"/>
  <c r="AE1201" i="10"/>
  <c r="AQ153" i="11"/>
  <c r="AR153" i="11"/>
  <c r="AN154" i="11"/>
  <c r="AK155" i="11"/>
  <c r="AL154" i="11"/>
  <c r="AP154" i="11"/>
  <c r="AO154" i="11"/>
  <c r="AM154" i="11"/>
  <c r="AB1202" i="10"/>
  <c r="AF1202" i="10" s="1"/>
  <c r="AC1202" i="10"/>
  <c r="AD1202" i="10" s="1"/>
  <c r="D216" i="14"/>
  <c r="W1204" i="10"/>
  <c r="V1203" i="10"/>
  <c r="U1203" i="10" s="1"/>
  <c r="X1203" i="10" s="1"/>
  <c r="Y1203" i="10" s="1"/>
  <c r="Z1203" i="10" s="1"/>
  <c r="T1203" i="10"/>
  <c r="AO212" i="12"/>
  <c r="AL212" i="12" s="1"/>
  <c r="AM213" i="12"/>
  <c r="AQ212" i="12"/>
  <c r="AP212" i="12"/>
  <c r="AN212" i="12"/>
  <c r="F218" i="14"/>
  <c r="AT154" i="11" l="1"/>
  <c r="AJ154" i="11"/>
  <c r="AE1202" i="10"/>
  <c r="AQ154" i="11"/>
  <c r="AR154" i="11"/>
  <c r="AL155" i="11"/>
  <c r="AM155" i="11"/>
  <c r="AO155" i="11"/>
  <c r="AN155" i="11"/>
  <c r="AP155" i="11"/>
  <c r="AK156" i="11"/>
  <c r="AF1203" i="10"/>
  <c r="AC1203" i="10"/>
  <c r="AD1203" i="10"/>
  <c r="AB1203" i="10"/>
  <c r="AE1203" i="10"/>
  <c r="F219" i="14"/>
  <c r="AO213" i="12"/>
  <c r="AL213" i="12" s="1"/>
  <c r="AM214" i="12"/>
  <c r="AN213" i="12"/>
  <c r="AQ213" i="12"/>
  <c r="AP213" i="12"/>
  <c r="V1204" i="10"/>
  <c r="U1204" i="10" s="1"/>
  <c r="X1204" i="10" s="1"/>
  <c r="Y1204" i="10" s="1"/>
  <c r="Z1204" i="10" s="1"/>
  <c r="W1205" i="10"/>
  <c r="T1204" i="10"/>
  <c r="D217" i="14"/>
  <c r="AT155" i="11" l="1"/>
  <c r="AJ155" i="11"/>
  <c r="AM156" i="11"/>
  <c r="AN156" i="11"/>
  <c r="AP156" i="11"/>
  <c r="AO156" i="11"/>
  <c r="AL156" i="11"/>
  <c r="AK157" i="11"/>
  <c r="AR155" i="11"/>
  <c r="AQ155" i="11"/>
  <c r="AB1204" i="10"/>
  <c r="AC1204" i="10" s="1"/>
  <c r="AF1204" i="10"/>
  <c r="V1205" i="10"/>
  <c r="U1205" i="10" s="1"/>
  <c r="X1205" i="10" s="1"/>
  <c r="Y1205" i="10" s="1"/>
  <c r="Z1205" i="10" s="1"/>
  <c r="W1206" i="10"/>
  <c r="T1205" i="10"/>
  <c r="AO214" i="12"/>
  <c r="AL214" i="12" s="1"/>
  <c r="AN214" i="12"/>
  <c r="AP214" i="12"/>
  <c r="AM215" i="12"/>
  <c r="AQ214" i="12"/>
  <c r="D218" i="14"/>
  <c r="F220" i="14"/>
  <c r="AT156" i="11" l="1"/>
  <c r="AJ156" i="11"/>
  <c r="AK158" i="11"/>
  <c r="AL157" i="11"/>
  <c r="AN157" i="11"/>
  <c r="AO157" i="11"/>
  <c r="AM157" i="11"/>
  <c r="AP157" i="11"/>
  <c r="AR156" i="11"/>
  <c r="AQ156" i="11"/>
  <c r="AD1204" i="10"/>
  <c r="AE1204" i="10" s="1"/>
  <c r="F221" i="14"/>
  <c r="D219" i="14"/>
  <c r="AO215" i="12"/>
  <c r="AL215" i="12" s="1"/>
  <c r="AM216" i="12"/>
  <c r="AP215" i="12"/>
  <c r="AQ215" i="12"/>
  <c r="AN215" i="12"/>
  <c r="V1206" i="10"/>
  <c r="U1206" i="10" s="1"/>
  <c r="X1206" i="10" s="1"/>
  <c r="Y1206" i="10" s="1"/>
  <c r="Z1206" i="10" s="1"/>
  <c r="W1207" i="10"/>
  <c r="T1206" i="10"/>
  <c r="AB1205" i="10"/>
  <c r="AF1205" i="10" s="1"/>
  <c r="AT157" i="11" l="1"/>
  <c r="AJ157" i="11"/>
  <c r="AQ157" i="11"/>
  <c r="AR157" i="11"/>
  <c r="AO158" i="11"/>
  <c r="AP158" i="11"/>
  <c r="AM158" i="11"/>
  <c r="AN158" i="11"/>
  <c r="AK159" i="11"/>
  <c r="AL158" i="11"/>
  <c r="AC1205" i="10"/>
  <c r="AD1205" i="10" s="1"/>
  <c r="AE1205" i="10" s="1"/>
  <c r="AB1206" i="10"/>
  <c r="AF1206" i="10" s="1"/>
  <c r="W1208" i="10"/>
  <c r="V1207" i="10"/>
  <c r="U1207" i="10" s="1"/>
  <c r="X1207" i="10" s="1"/>
  <c r="Y1207" i="10" s="1"/>
  <c r="Z1207" i="10" s="1"/>
  <c r="T1207" i="10"/>
  <c r="AO216" i="12"/>
  <c r="AL216" i="12" s="1"/>
  <c r="AM217" i="12"/>
  <c r="AQ216" i="12"/>
  <c r="AN216" i="12"/>
  <c r="AP216" i="12"/>
  <c r="D220" i="14"/>
  <c r="F222" i="14"/>
  <c r="AT158" i="11" l="1"/>
  <c r="AJ158" i="11"/>
  <c r="AP159" i="11"/>
  <c r="AN159" i="11"/>
  <c r="AK160" i="11"/>
  <c r="AO159" i="11"/>
  <c r="AM159" i="11"/>
  <c r="AL159" i="11"/>
  <c r="AQ158" i="11"/>
  <c r="AR158" i="11"/>
  <c r="AC1206" i="10"/>
  <c r="AD1206" i="10" s="1"/>
  <c r="AE1206" i="10" s="1"/>
  <c r="AO217" i="12"/>
  <c r="AL217" i="12" s="1"/>
  <c r="AM218" i="12"/>
  <c r="AN217" i="12"/>
  <c r="AQ217" i="12"/>
  <c r="AP217" i="12"/>
  <c r="V1208" i="10"/>
  <c r="U1208" i="10" s="1"/>
  <c r="X1208" i="10" s="1"/>
  <c r="Y1208" i="10" s="1"/>
  <c r="Z1208" i="10" s="1"/>
  <c r="W1209" i="10"/>
  <c r="T1208" i="10"/>
  <c r="F223" i="14"/>
  <c r="D221" i="14"/>
  <c r="AB1207" i="10"/>
  <c r="AC1207" i="10" s="1"/>
  <c r="AD1207" i="10" s="1"/>
  <c r="AE1207" i="10" s="1"/>
  <c r="AT159" i="11" l="1"/>
  <c r="AJ159" i="11"/>
  <c r="AN160" i="11"/>
  <c r="AM160" i="11"/>
  <c r="AO160" i="11"/>
  <c r="AK161" i="11"/>
  <c r="AP160" i="11"/>
  <c r="AL160" i="11"/>
  <c r="AR159" i="11"/>
  <c r="AQ159" i="11"/>
  <c r="AF1207" i="10"/>
  <c r="D222" i="14"/>
  <c r="F224" i="14"/>
  <c r="V1209" i="10"/>
  <c r="U1209" i="10" s="1"/>
  <c r="X1209" i="10" s="1"/>
  <c r="Y1209" i="10" s="1"/>
  <c r="Z1209" i="10" s="1"/>
  <c r="W1210" i="10"/>
  <c r="T1209" i="10"/>
  <c r="AB1208" i="10"/>
  <c r="AF1208" i="10" s="1"/>
  <c r="AO218" i="12"/>
  <c r="AL218" i="12" s="1"/>
  <c r="AN218" i="12"/>
  <c r="AP218" i="12"/>
  <c r="AM219" i="12"/>
  <c r="AQ218" i="12"/>
  <c r="AT160" i="11" l="1"/>
  <c r="AJ160" i="11"/>
  <c r="AN161" i="11"/>
  <c r="AL161" i="11"/>
  <c r="AM161" i="11"/>
  <c r="AP161" i="11"/>
  <c r="AO161" i="11"/>
  <c r="AK162" i="11"/>
  <c r="AQ160" i="11"/>
  <c r="AR160" i="11"/>
  <c r="AC1208" i="10"/>
  <c r="AD1208" i="10" s="1"/>
  <c r="AE1208" i="10" s="1"/>
  <c r="AB1209" i="10"/>
  <c r="AC1209" i="10" s="1"/>
  <c r="F225" i="14"/>
  <c r="AO219" i="12"/>
  <c r="AL219" i="12" s="1"/>
  <c r="AM220" i="12"/>
  <c r="AP219" i="12"/>
  <c r="AQ219" i="12"/>
  <c r="AN219" i="12"/>
  <c r="V1210" i="10"/>
  <c r="U1210" i="10" s="1"/>
  <c r="X1210" i="10" s="1"/>
  <c r="Y1210" i="10" s="1"/>
  <c r="Z1210" i="10" s="1"/>
  <c r="W1211" i="10"/>
  <c r="T1210" i="10"/>
  <c r="D223" i="14"/>
  <c r="AT161" i="11" l="1"/>
  <c r="AJ161" i="11"/>
  <c r="AL162" i="11"/>
  <c r="AN162" i="11"/>
  <c r="AP162" i="11"/>
  <c r="AK163" i="11"/>
  <c r="AM162" i="11"/>
  <c r="AO162" i="11"/>
  <c r="AQ161" i="11"/>
  <c r="AR161" i="11"/>
  <c r="AF1209" i="10"/>
  <c r="AD1209" i="10"/>
  <c r="AE1209" i="10" s="1"/>
  <c r="AB1210" i="10"/>
  <c r="AF1210" i="10" s="1"/>
  <c r="D224" i="14"/>
  <c r="F226" i="14"/>
  <c r="W1212" i="10"/>
  <c r="V1211" i="10"/>
  <c r="U1211" i="10" s="1"/>
  <c r="X1211" i="10" s="1"/>
  <c r="Y1211" i="10" s="1"/>
  <c r="Z1211" i="10" s="1"/>
  <c r="T1211" i="10"/>
  <c r="AO220" i="12"/>
  <c r="AL220" i="12" s="1"/>
  <c r="AM221" i="12"/>
  <c r="AQ220" i="12"/>
  <c r="AP220" i="12"/>
  <c r="AN220" i="12"/>
  <c r="AT162" i="11" l="1"/>
  <c r="AJ162" i="11"/>
  <c r="AL163" i="11"/>
  <c r="AO163" i="11"/>
  <c r="AN163" i="11"/>
  <c r="AK164" i="11"/>
  <c r="AP163" i="11"/>
  <c r="AM163" i="11"/>
  <c r="AQ162" i="11"/>
  <c r="AR162" i="11"/>
  <c r="AC1210" i="10"/>
  <c r="AD1210" i="10" s="1"/>
  <c r="AE1210" i="10" s="1"/>
  <c r="AO221" i="12"/>
  <c r="AL221" i="12" s="1"/>
  <c r="AM222" i="12"/>
  <c r="AN221" i="12"/>
  <c r="AQ221" i="12"/>
  <c r="AP221" i="12"/>
  <c r="V1212" i="10"/>
  <c r="U1212" i="10" s="1"/>
  <c r="X1212" i="10" s="1"/>
  <c r="Y1212" i="10" s="1"/>
  <c r="Z1212" i="10" s="1"/>
  <c r="W1213" i="10"/>
  <c r="T1212" i="10"/>
  <c r="F227" i="14"/>
  <c r="D225" i="14"/>
  <c r="AB1211" i="10"/>
  <c r="AF1211" i="10"/>
  <c r="AC1211" i="10"/>
  <c r="AT163" i="11" l="1"/>
  <c r="AJ163" i="11"/>
  <c r="AP164" i="11"/>
  <c r="AM164" i="11"/>
  <c r="AL164" i="11"/>
  <c r="AK165" i="11"/>
  <c r="AO164" i="11"/>
  <c r="AN164" i="11"/>
  <c r="AR163" i="11"/>
  <c r="AQ163" i="11"/>
  <c r="AD1211" i="10"/>
  <c r="AE1211" i="10" s="1"/>
  <c r="V1213" i="10"/>
  <c r="U1213" i="10" s="1"/>
  <c r="X1213" i="10" s="1"/>
  <c r="Y1213" i="10" s="1"/>
  <c r="Z1213" i="10" s="1"/>
  <c r="W1214" i="10"/>
  <c r="T1213" i="10"/>
  <c r="D226" i="14"/>
  <c r="F228" i="14"/>
  <c r="AB1212" i="10"/>
  <c r="AF1212" i="10" s="1"/>
  <c r="AO222" i="12"/>
  <c r="AL222" i="12" s="1"/>
  <c r="AN222" i="12"/>
  <c r="AP222" i="12"/>
  <c r="AM223" i="12"/>
  <c r="AQ222" i="12"/>
  <c r="AT164" i="11" l="1"/>
  <c r="AJ164" i="11"/>
  <c r="AO165" i="11"/>
  <c r="AK166" i="11"/>
  <c r="AP165" i="11"/>
  <c r="AL165" i="11"/>
  <c r="AN165" i="11"/>
  <c r="AM165" i="11"/>
  <c r="AQ164" i="11"/>
  <c r="AR164" i="11"/>
  <c r="AC1212" i="10"/>
  <c r="AD1212" i="10" s="1"/>
  <c r="AE1212" i="10" s="1"/>
  <c r="AB1213" i="10"/>
  <c r="AF1213" i="10" s="1"/>
  <c r="AO223" i="12"/>
  <c r="AL223" i="12" s="1"/>
  <c r="AM224" i="12"/>
  <c r="AP223" i="12"/>
  <c r="AQ223" i="12"/>
  <c r="AN223" i="12"/>
  <c r="F229" i="14"/>
  <c r="D227" i="14"/>
  <c r="V1214" i="10"/>
  <c r="U1214" i="10" s="1"/>
  <c r="X1214" i="10" s="1"/>
  <c r="Y1214" i="10" s="1"/>
  <c r="Z1214" i="10" s="1"/>
  <c r="W1215" i="10"/>
  <c r="T1214" i="10"/>
  <c r="AT165" i="11" l="1"/>
  <c r="AJ165" i="11"/>
  <c r="AC1213" i="10"/>
  <c r="AQ165" i="11"/>
  <c r="AR165" i="11"/>
  <c r="AP166" i="11"/>
  <c r="AM166" i="11"/>
  <c r="AO166" i="11"/>
  <c r="AN166" i="11"/>
  <c r="AK167" i="11"/>
  <c r="AL166" i="11"/>
  <c r="AB1214" i="10"/>
  <c r="AD1214" i="10"/>
  <c r="AF1214" i="10"/>
  <c r="AE1214" i="10"/>
  <c r="AC1214" i="10"/>
  <c r="W1216" i="10"/>
  <c r="V1215" i="10"/>
  <c r="U1215" i="10" s="1"/>
  <c r="X1215" i="10" s="1"/>
  <c r="Y1215" i="10" s="1"/>
  <c r="Z1215" i="10" s="1"/>
  <c r="T1215" i="10"/>
  <c r="AO224" i="12"/>
  <c r="AL224" i="12" s="1"/>
  <c r="AM225" i="12"/>
  <c r="AQ224" i="12"/>
  <c r="AN224" i="12"/>
  <c r="AP224" i="12"/>
  <c r="D228" i="14"/>
  <c r="F230" i="14"/>
  <c r="AT166" i="11" l="1"/>
  <c r="AJ166" i="11"/>
  <c r="AD1213" i="10"/>
  <c r="AE1213" i="10" s="1"/>
  <c r="AN167" i="11"/>
  <c r="AO167" i="11"/>
  <c r="AL167" i="11"/>
  <c r="AM167" i="11"/>
  <c r="AP167" i="11"/>
  <c r="AK168" i="11"/>
  <c r="AQ166" i="11"/>
  <c r="AR166" i="11"/>
  <c r="V1216" i="10"/>
  <c r="U1216" i="10" s="1"/>
  <c r="X1216" i="10" s="1"/>
  <c r="Y1216" i="10" s="1"/>
  <c r="Z1216" i="10" s="1"/>
  <c r="W1217" i="10"/>
  <c r="T1216" i="10"/>
  <c r="AC1215" i="10"/>
  <c r="AD1215" i="10" s="1"/>
  <c r="AE1215" i="10" s="1"/>
  <c r="AB1215" i="10"/>
  <c r="AF1215" i="10" s="1"/>
  <c r="F231" i="14"/>
  <c r="D229" i="14"/>
  <c r="AO225" i="12"/>
  <c r="AL225" i="12" s="1"/>
  <c r="AM226" i="12"/>
  <c r="AN225" i="12"/>
  <c r="AQ225" i="12"/>
  <c r="AP225" i="12"/>
  <c r="AT167" i="11" l="1"/>
  <c r="AJ167" i="11"/>
  <c r="AQ167" i="11"/>
  <c r="AR167" i="11"/>
  <c r="AM168" i="11"/>
  <c r="AN168" i="11"/>
  <c r="AL168" i="11"/>
  <c r="AO168" i="11"/>
  <c r="AK169" i="11"/>
  <c r="AP168" i="11"/>
  <c r="AO226" i="12"/>
  <c r="AL226" i="12" s="1"/>
  <c r="AN226" i="12"/>
  <c r="AP226" i="12"/>
  <c r="AM227" i="12"/>
  <c r="AQ226" i="12"/>
  <c r="D230" i="14"/>
  <c r="F232" i="14"/>
  <c r="V1217" i="10"/>
  <c r="U1217" i="10" s="1"/>
  <c r="X1217" i="10" s="1"/>
  <c r="Y1217" i="10" s="1"/>
  <c r="Z1217" i="10" s="1"/>
  <c r="W1218" i="10"/>
  <c r="T1217" i="10"/>
  <c r="AB1216" i="10"/>
  <c r="AF1216" i="10" s="1"/>
  <c r="AT168" i="11" l="1"/>
  <c r="AJ168" i="11"/>
  <c r="AC1216" i="10"/>
  <c r="AL169" i="11"/>
  <c r="AN169" i="11"/>
  <c r="AP169" i="11"/>
  <c r="AM169" i="11"/>
  <c r="AO169" i="11"/>
  <c r="AK170" i="11"/>
  <c r="AQ168" i="11"/>
  <c r="AR168" i="11"/>
  <c r="F233" i="14"/>
  <c r="D231" i="14"/>
  <c r="AO227" i="12"/>
  <c r="AL227" i="12" s="1"/>
  <c r="AM228" i="12"/>
  <c r="AP227" i="12"/>
  <c r="AQ227" i="12"/>
  <c r="AN227" i="12"/>
  <c r="V1218" i="10"/>
  <c r="U1218" i="10" s="1"/>
  <c r="X1218" i="10" s="1"/>
  <c r="Y1218" i="10" s="1"/>
  <c r="Z1218" i="10" s="1"/>
  <c r="W1219" i="10"/>
  <c r="T1218" i="10"/>
  <c r="AF1217" i="10"/>
  <c r="AE1217" i="10"/>
  <c r="AC1217" i="10"/>
  <c r="AB1217" i="10"/>
  <c r="AD1217" i="10"/>
  <c r="AT169" i="11" l="1"/>
  <c r="AJ169" i="11"/>
  <c r="AD1216" i="10"/>
  <c r="AE1216" i="10" s="1"/>
  <c r="AR169" i="11"/>
  <c r="AQ169" i="11"/>
  <c r="AO170" i="11"/>
  <c r="AM170" i="11"/>
  <c r="AP170" i="11"/>
  <c r="AN170" i="11"/>
  <c r="AK171" i="11"/>
  <c r="AL170" i="11"/>
  <c r="AB1218" i="10"/>
  <c r="AF1218" i="10" s="1"/>
  <c r="W1220" i="10"/>
  <c r="V1219" i="10"/>
  <c r="U1219" i="10" s="1"/>
  <c r="X1219" i="10" s="1"/>
  <c r="Y1219" i="10" s="1"/>
  <c r="Z1219" i="10" s="1"/>
  <c r="T1219" i="10"/>
  <c r="AO228" i="12"/>
  <c r="AL228" i="12" s="1"/>
  <c r="AM229" i="12"/>
  <c r="AQ228" i="12"/>
  <c r="AP228" i="12"/>
  <c r="AN228" i="12"/>
  <c r="D232" i="14"/>
  <c r="F234" i="14"/>
  <c r="AT170" i="11" l="1"/>
  <c r="AJ170" i="11"/>
  <c r="AM171" i="11"/>
  <c r="AP171" i="11"/>
  <c r="AN171" i="11"/>
  <c r="AK172" i="11"/>
  <c r="AL171" i="11"/>
  <c r="AO171" i="11"/>
  <c r="AQ170" i="11"/>
  <c r="AR170" i="11"/>
  <c r="AC1218" i="10"/>
  <c r="F235" i="14"/>
  <c r="AO229" i="12"/>
  <c r="AL229" i="12" s="1"/>
  <c r="AM230" i="12"/>
  <c r="AN229" i="12"/>
  <c r="AP229" i="12"/>
  <c r="AQ229" i="12"/>
  <c r="V1220" i="10"/>
  <c r="U1220" i="10" s="1"/>
  <c r="X1220" i="10" s="1"/>
  <c r="Y1220" i="10" s="1"/>
  <c r="Z1220" i="10" s="1"/>
  <c r="W1221" i="10"/>
  <c r="T1220" i="10"/>
  <c r="D233" i="14"/>
  <c r="AB1219" i="10"/>
  <c r="AC1219" i="10" s="1"/>
  <c r="AT171" i="11" l="1"/>
  <c r="AJ171" i="11"/>
  <c r="AL172" i="11"/>
  <c r="AP172" i="11"/>
  <c r="AO172" i="11"/>
  <c r="AN172" i="11"/>
  <c r="AM172" i="11"/>
  <c r="AK173" i="11"/>
  <c r="AQ171" i="11"/>
  <c r="AR171" i="11"/>
  <c r="AD1218" i="10"/>
  <c r="AE1218" i="10" s="1"/>
  <c r="AD1219" i="10"/>
  <c r="AE1219" i="10" s="1"/>
  <c r="AF1219" i="10"/>
  <c r="AB1220" i="10"/>
  <c r="AF1220" i="10" s="1"/>
  <c r="D234" i="14"/>
  <c r="AO230" i="12"/>
  <c r="AL230" i="12" s="1"/>
  <c r="AN230" i="12"/>
  <c r="AP230" i="12"/>
  <c r="AM231" i="12"/>
  <c r="AQ230" i="12"/>
  <c r="V1221" i="10"/>
  <c r="U1221" i="10" s="1"/>
  <c r="X1221" i="10" s="1"/>
  <c r="Y1221" i="10" s="1"/>
  <c r="Z1221" i="10" s="1"/>
  <c r="W1222" i="10"/>
  <c r="T1221" i="10"/>
  <c r="F236" i="14"/>
  <c r="AT172" i="11" l="1"/>
  <c r="AJ172" i="11"/>
  <c r="AM173" i="11"/>
  <c r="AO173" i="11"/>
  <c r="AK174" i="11"/>
  <c r="AN173" i="11"/>
  <c r="AP173" i="11"/>
  <c r="AL173" i="11"/>
  <c r="AR172" i="11"/>
  <c r="AQ172" i="11"/>
  <c r="AC1220" i="10"/>
  <c r="V1222" i="10"/>
  <c r="U1222" i="10" s="1"/>
  <c r="X1222" i="10" s="1"/>
  <c r="Y1222" i="10" s="1"/>
  <c r="Z1222" i="10" s="1"/>
  <c r="W1223" i="10"/>
  <c r="T1222" i="10"/>
  <c r="D235" i="14"/>
  <c r="F237" i="14"/>
  <c r="AB1221" i="10"/>
  <c r="AC1221" i="10" s="1"/>
  <c r="AD1221" i="10" s="1"/>
  <c r="AO231" i="12"/>
  <c r="AL231" i="12" s="1"/>
  <c r="AM232" i="12"/>
  <c r="AP231" i="12"/>
  <c r="AQ231" i="12"/>
  <c r="AN231" i="12"/>
  <c r="AT173" i="11" l="1"/>
  <c r="AJ173" i="11"/>
  <c r="AK175" i="11"/>
  <c r="AM174" i="11"/>
  <c r="AO174" i="11"/>
  <c r="AL174" i="11"/>
  <c r="AN174" i="11"/>
  <c r="AP174" i="11"/>
  <c r="AR173" i="11"/>
  <c r="AQ173" i="11"/>
  <c r="AD1220" i="10"/>
  <c r="AE1220" i="10" s="1"/>
  <c r="AF1221" i="10"/>
  <c r="AE1221" i="10"/>
  <c r="W1224" i="10"/>
  <c r="V1223" i="10"/>
  <c r="U1223" i="10" s="1"/>
  <c r="X1223" i="10" s="1"/>
  <c r="Y1223" i="10" s="1"/>
  <c r="Z1223" i="10" s="1"/>
  <c r="T1223" i="10"/>
  <c r="AB1222" i="10"/>
  <c r="AF1222" i="10" s="1"/>
  <c r="AO232" i="12"/>
  <c r="AL232" i="12" s="1"/>
  <c r="AM233" i="12"/>
  <c r="AQ232" i="12"/>
  <c r="AP232" i="12"/>
  <c r="AN232" i="12"/>
  <c r="F238" i="14"/>
  <c r="D236" i="14"/>
  <c r="AT174" i="11" l="1"/>
  <c r="AJ174" i="11"/>
  <c r="AR174" i="11"/>
  <c r="AQ174" i="11"/>
  <c r="AN175" i="11"/>
  <c r="AM175" i="11"/>
  <c r="AO175" i="11"/>
  <c r="AK176" i="11"/>
  <c r="AL175" i="11"/>
  <c r="AP175" i="11"/>
  <c r="AC1222" i="10"/>
  <c r="AD1222" i="10" s="1"/>
  <c r="AE1222" i="10" s="1"/>
  <c r="D237" i="14"/>
  <c r="F239" i="14"/>
  <c r="AO233" i="12"/>
  <c r="AL233" i="12" s="1"/>
  <c r="AM234" i="12"/>
  <c r="AN233" i="12"/>
  <c r="AQ233" i="12"/>
  <c r="AP233" i="12"/>
  <c r="AB1223" i="10"/>
  <c r="AF1223" i="10" s="1"/>
  <c r="V1224" i="10"/>
  <c r="U1224" i="10" s="1"/>
  <c r="X1224" i="10" s="1"/>
  <c r="Y1224" i="10" s="1"/>
  <c r="Z1224" i="10" s="1"/>
  <c r="W1225" i="10"/>
  <c r="T1224" i="10"/>
  <c r="AT175" i="11" l="1"/>
  <c r="AJ175" i="11"/>
  <c r="AK177" i="11"/>
  <c r="AM176" i="11"/>
  <c r="AP176" i="11"/>
  <c r="AO176" i="11"/>
  <c r="AN176" i="11"/>
  <c r="AL176" i="11"/>
  <c r="AR175" i="11"/>
  <c r="AQ175" i="11"/>
  <c r="AC1223" i="10"/>
  <c r="AD1223" i="10" s="1"/>
  <c r="AE1223" i="10" s="1"/>
  <c r="V1225" i="10"/>
  <c r="U1225" i="10" s="1"/>
  <c r="X1225" i="10" s="1"/>
  <c r="Y1225" i="10" s="1"/>
  <c r="Z1225" i="10" s="1"/>
  <c r="W1226" i="10"/>
  <c r="T1225" i="10"/>
  <c r="AO234" i="12"/>
  <c r="AL234" i="12" s="1"/>
  <c r="AN234" i="12"/>
  <c r="AP234" i="12"/>
  <c r="AM235" i="12"/>
  <c r="AQ234" i="12"/>
  <c r="AB1224" i="10"/>
  <c r="AF1224" i="10" s="1"/>
  <c r="F240" i="14"/>
  <c r="D238" i="14"/>
  <c r="AT176" i="11" l="1"/>
  <c r="AJ176" i="11"/>
  <c r="AR176" i="11"/>
  <c r="AQ176" i="11"/>
  <c r="AP177" i="11"/>
  <c r="AM177" i="11"/>
  <c r="AN177" i="11"/>
  <c r="AL177" i="11"/>
  <c r="AK178" i="11"/>
  <c r="AO177" i="11"/>
  <c r="AC1224" i="10"/>
  <c r="AD1224" i="10" s="1"/>
  <c r="AE1224" i="10" s="1"/>
  <c r="F241" i="14"/>
  <c r="AO235" i="12"/>
  <c r="AL235" i="12" s="1"/>
  <c r="AM236" i="12"/>
  <c r="AP235" i="12"/>
  <c r="AQ235" i="12"/>
  <c r="AN235" i="12"/>
  <c r="V1226" i="10"/>
  <c r="U1226" i="10" s="1"/>
  <c r="X1226" i="10" s="1"/>
  <c r="Y1226" i="10" s="1"/>
  <c r="Z1226" i="10" s="1"/>
  <c r="W1227" i="10"/>
  <c r="T1226" i="10"/>
  <c r="AB1225" i="10"/>
  <c r="AF1225" i="10" s="1"/>
  <c r="D239" i="14"/>
  <c r="AT177" i="11" l="1"/>
  <c r="AJ177" i="11"/>
  <c r="AM178" i="11"/>
  <c r="AK179" i="11"/>
  <c r="AL178" i="11"/>
  <c r="AN178" i="11"/>
  <c r="AO178" i="11"/>
  <c r="AP178" i="11"/>
  <c r="AQ177" i="11"/>
  <c r="AR177" i="11"/>
  <c r="AC1225" i="10"/>
  <c r="AF1226" i="10"/>
  <c r="AB1226" i="10"/>
  <c r="AC1226" i="10" s="1"/>
  <c r="W1228" i="10"/>
  <c r="V1227" i="10"/>
  <c r="U1227" i="10" s="1"/>
  <c r="X1227" i="10" s="1"/>
  <c r="Y1227" i="10" s="1"/>
  <c r="Z1227" i="10" s="1"/>
  <c r="T1227" i="10"/>
  <c r="D240" i="14"/>
  <c r="AO236" i="12"/>
  <c r="AL236" i="12" s="1"/>
  <c r="AM237" i="12"/>
  <c r="AQ236" i="12"/>
  <c r="AP236" i="12"/>
  <c r="AN236" i="12"/>
  <c r="F242" i="14"/>
  <c r="AT178" i="11" l="1"/>
  <c r="AJ178" i="11"/>
  <c r="AO179" i="11"/>
  <c r="AL179" i="11"/>
  <c r="AM179" i="11"/>
  <c r="AK180" i="11"/>
  <c r="AP179" i="11"/>
  <c r="AN179" i="11"/>
  <c r="AQ178" i="11"/>
  <c r="AR178" i="11"/>
  <c r="AD1226" i="10"/>
  <c r="AE1226" i="10" s="1"/>
  <c r="AD1225" i="10"/>
  <c r="AE1225" i="10" s="1"/>
  <c r="F243" i="14"/>
  <c r="AO237" i="12"/>
  <c r="AL237" i="12" s="1"/>
  <c r="AM238" i="12"/>
  <c r="AN237" i="12"/>
  <c r="AP237" i="12"/>
  <c r="AQ237" i="12"/>
  <c r="D241" i="14"/>
  <c r="AB1227" i="10"/>
  <c r="AF1227" i="10" s="1"/>
  <c r="V1228" i="10"/>
  <c r="U1228" i="10" s="1"/>
  <c r="X1228" i="10" s="1"/>
  <c r="Y1228" i="10" s="1"/>
  <c r="Z1228" i="10" s="1"/>
  <c r="W1229" i="10"/>
  <c r="T1228" i="10"/>
  <c r="AT179" i="11" l="1"/>
  <c r="AJ179" i="11"/>
  <c r="AC1227" i="10"/>
  <c r="AD1227" i="10" s="1"/>
  <c r="AE1227" i="10" s="1"/>
  <c r="AL180" i="11"/>
  <c r="AN180" i="11"/>
  <c r="AK181" i="11"/>
  <c r="AO180" i="11"/>
  <c r="AM180" i="11"/>
  <c r="AP180" i="11"/>
  <c r="AQ179" i="11"/>
  <c r="AR179" i="11"/>
  <c r="AD1228" i="10"/>
  <c r="AB1228" i="10"/>
  <c r="AF1228" i="10"/>
  <c r="AC1228" i="10"/>
  <c r="AE1228" i="10"/>
  <c r="V1229" i="10"/>
  <c r="U1229" i="10" s="1"/>
  <c r="X1229" i="10" s="1"/>
  <c r="Y1229" i="10" s="1"/>
  <c r="Z1229" i="10" s="1"/>
  <c r="W1230" i="10"/>
  <c r="T1229" i="10"/>
  <c r="D242" i="14"/>
  <c r="AO238" i="12"/>
  <c r="AL238" i="12" s="1"/>
  <c r="AN238" i="12"/>
  <c r="AP238" i="12"/>
  <c r="AM239" i="12"/>
  <c r="AQ238" i="12"/>
  <c r="F244" i="14"/>
  <c r="AT180" i="11" l="1"/>
  <c r="AJ180" i="11"/>
  <c r="AL181" i="11"/>
  <c r="AM181" i="11"/>
  <c r="AK182" i="11"/>
  <c r="AP181" i="11"/>
  <c r="AO181" i="11"/>
  <c r="AN181" i="11"/>
  <c r="AQ180" i="11"/>
  <c r="AR180" i="11"/>
  <c r="AO239" i="12"/>
  <c r="AL239" i="12" s="1"/>
  <c r="AM240" i="12"/>
  <c r="AP239" i="12"/>
  <c r="AQ239" i="12"/>
  <c r="AN239" i="12"/>
  <c r="D243" i="14"/>
  <c r="F245" i="14"/>
  <c r="V1230" i="10"/>
  <c r="U1230" i="10" s="1"/>
  <c r="X1230" i="10" s="1"/>
  <c r="Y1230" i="10" s="1"/>
  <c r="Z1230" i="10" s="1"/>
  <c r="W1231" i="10"/>
  <c r="T1230" i="10"/>
  <c r="AB1229" i="10"/>
  <c r="AC1229" i="10" s="1"/>
  <c r="AF1229" i="10"/>
  <c r="AT181" i="11" l="1"/>
  <c r="AJ181" i="11"/>
  <c r="AD1229" i="10"/>
  <c r="AE1229" i="10"/>
  <c r="AR181" i="11"/>
  <c r="AQ181" i="11"/>
  <c r="AK183" i="11"/>
  <c r="AM182" i="11"/>
  <c r="AN182" i="11"/>
  <c r="AO182" i="11"/>
  <c r="AP182" i="11"/>
  <c r="AL182" i="11"/>
  <c r="AB1230" i="10"/>
  <c r="AF1230" i="10" s="1"/>
  <c r="AC1230" i="10"/>
  <c r="AD1230" i="10" s="1"/>
  <c r="D244" i="14"/>
  <c r="F246" i="14"/>
  <c r="W1232" i="10"/>
  <c r="V1231" i="10"/>
  <c r="U1231" i="10" s="1"/>
  <c r="X1231" i="10" s="1"/>
  <c r="Y1231" i="10" s="1"/>
  <c r="Z1231" i="10" s="1"/>
  <c r="T1231" i="10"/>
  <c r="AO240" i="12"/>
  <c r="AL240" i="12" s="1"/>
  <c r="AM241" i="12"/>
  <c r="AQ240" i="12"/>
  <c r="AN240" i="12"/>
  <c r="AP240" i="12"/>
  <c r="AT182" i="11" l="1"/>
  <c r="AJ182" i="11"/>
  <c r="AE1230" i="10"/>
  <c r="AL183" i="11"/>
  <c r="AK184" i="11"/>
  <c r="AN183" i="11"/>
  <c r="AP183" i="11"/>
  <c r="AM183" i="11"/>
  <c r="AO183" i="11"/>
  <c r="AQ182" i="11"/>
  <c r="AR182" i="11"/>
  <c r="AO241" i="12"/>
  <c r="AL241" i="12" s="1"/>
  <c r="AM242" i="12"/>
  <c r="AN241" i="12"/>
  <c r="AQ241" i="12"/>
  <c r="AP241" i="12"/>
  <c r="V1232" i="10"/>
  <c r="U1232" i="10" s="1"/>
  <c r="X1232" i="10" s="1"/>
  <c r="Y1232" i="10" s="1"/>
  <c r="Z1232" i="10" s="1"/>
  <c r="W1233" i="10"/>
  <c r="T1232" i="10"/>
  <c r="AF1231" i="10"/>
  <c r="AC1231" i="10"/>
  <c r="AE1231" i="10"/>
  <c r="AD1231" i="10"/>
  <c r="AB1231" i="10"/>
  <c r="F247" i="14"/>
  <c r="D245" i="14"/>
  <c r="AT183" i="11" l="1"/>
  <c r="AJ183" i="11"/>
  <c r="AN184" i="11"/>
  <c r="AP184" i="11"/>
  <c r="AO184" i="11"/>
  <c r="AM184" i="11"/>
  <c r="AK185" i="11"/>
  <c r="AL184" i="11"/>
  <c r="AR183" i="11"/>
  <c r="AQ183" i="11"/>
  <c r="D246" i="14"/>
  <c r="V1233" i="10"/>
  <c r="U1233" i="10" s="1"/>
  <c r="X1233" i="10" s="1"/>
  <c r="Y1233" i="10" s="1"/>
  <c r="Z1233" i="10" s="1"/>
  <c r="W1234" i="10"/>
  <c r="T1233" i="10"/>
  <c r="AB1232" i="10"/>
  <c r="AF1232" i="10" s="1"/>
  <c r="F248" i="14"/>
  <c r="AO242" i="12"/>
  <c r="AL242" i="12" s="1"/>
  <c r="AN242" i="12"/>
  <c r="AP242" i="12"/>
  <c r="AM243" i="12"/>
  <c r="AQ242" i="12"/>
  <c r="AT184" i="11" l="1"/>
  <c r="AJ184" i="11"/>
  <c r="AR184" i="11"/>
  <c r="AQ184" i="11"/>
  <c r="AK186" i="11"/>
  <c r="AM185" i="11"/>
  <c r="AP185" i="11"/>
  <c r="AN185" i="11"/>
  <c r="AL185" i="11"/>
  <c r="AO185" i="11"/>
  <c r="AC1232" i="10"/>
  <c r="V1234" i="10"/>
  <c r="U1234" i="10" s="1"/>
  <c r="X1234" i="10" s="1"/>
  <c r="Y1234" i="10" s="1"/>
  <c r="Z1234" i="10" s="1"/>
  <c r="W1235" i="10"/>
  <c r="T1234" i="10"/>
  <c r="D247" i="14"/>
  <c r="AO243" i="12"/>
  <c r="AL243" i="12" s="1"/>
  <c r="AM244" i="12"/>
  <c r="AP243" i="12"/>
  <c r="AQ243" i="12"/>
  <c r="AN243" i="12"/>
  <c r="F249" i="14"/>
  <c r="AB1233" i="10"/>
  <c r="AF1233" i="10" s="1"/>
  <c r="AT185" i="11" l="1"/>
  <c r="AJ185" i="11"/>
  <c r="AK187" i="11"/>
  <c r="AM186" i="11"/>
  <c r="AO186" i="11"/>
  <c r="AP186" i="11"/>
  <c r="AN186" i="11"/>
  <c r="AL186" i="11"/>
  <c r="AQ185" i="11"/>
  <c r="AR185" i="11"/>
  <c r="AD1232" i="10"/>
  <c r="AE1232" i="10" s="1"/>
  <c r="AC1233" i="10"/>
  <c r="D248" i="14"/>
  <c r="W1236" i="10"/>
  <c r="V1235" i="10"/>
  <c r="U1235" i="10" s="1"/>
  <c r="X1235" i="10" s="1"/>
  <c r="Y1235" i="10" s="1"/>
  <c r="Z1235" i="10" s="1"/>
  <c r="T1235" i="10"/>
  <c r="F250" i="14"/>
  <c r="AO244" i="12"/>
  <c r="AL244" i="12" s="1"/>
  <c r="AM245" i="12"/>
  <c r="AQ244" i="12"/>
  <c r="AP244" i="12"/>
  <c r="AN244" i="12"/>
  <c r="AB1234" i="10"/>
  <c r="AC1234" i="10" s="1"/>
  <c r="AT186" i="11" l="1"/>
  <c r="AJ186" i="11"/>
  <c r="AR186" i="11"/>
  <c r="AQ186" i="11"/>
  <c r="AO187" i="11"/>
  <c r="AL187" i="11"/>
  <c r="AN187" i="11"/>
  <c r="AP187" i="11"/>
  <c r="AM187" i="11"/>
  <c r="AK188" i="11"/>
  <c r="AD1233" i="10"/>
  <c r="AE1233" i="10" s="1"/>
  <c r="AD1234" i="10"/>
  <c r="AE1234" i="10" s="1"/>
  <c r="AF1234" i="10"/>
  <c r="AO245" i="12"/>
  <c r="AL245" i="12" s="1"/>
  <c r="AM246" i="12"/>
  <c r="AN245" i="12"/>
  <c r="AP245" i="12"/>
  <c r="AQ245" i="12"/>
  <c r="AB1235" i="10"/>
  <c r="AF1235" i="10" s="1"/>
  <c r="D249" i="14"/>
  <c r="F251" i="14"/>
  <c r="V1236" i="10"/>
  <c r="U1236" i="10" s="1"/>
  <c r="X1236" i="10" s="1"/>
  <c r="Y1236" i="10" s="1"/>
  <c r="Z1236" i="10" s="1"/>
  <c r="W1237" i="10"/>
  <c r="T1236" i="10"/>
  <c r="AT187" i="11" l="1"/>
  <c r="AJ187" i="11"/>
  <c r="AQ187" i="11"/>
  <c r="AR187" i="11"/>
  <c r="AK189" i="11"/>
  <c r="AP188" i="11"/>
  <c r="AN188" i="11"/>
  <c r="AL188" i="11"/>
  <c r="AO188" i="11"/>
  <c r="AM188" i="11"/>
  <c r="AC1235" i="10"/>
  <c r="AD1235" i="10" s="1"/>
  <c r="AE1235" i="10" s="1"/>
  <c r="V1237" i="10"/>
  <c r="U1237" i="10" s="1"/>
  <c r="X1237" i="10" s="1"/>
  <c r="Y1237" i="10" s="1"/>
  <c r="Z1237" i="10" s="1"/>
  <c r="W1238" i="10"/>
  <c r="T1237" i="10"/>
  <c r="F252" i="14"/>
  <c r="D250" i="14"/>
  <c r="AB1236" i="10"/>
  <c r="AC1236" i="10" s="1"/>
  <c r="AO246" i="12"/>
  <c r="AL246" i="12" s="1"/>
  <c r="AN246" i="12"/>
  <c r="AP246" i="12"/>
  <c r="AM247" i="12"/>
  <c r="AQ246" i="12"/>
  <c r="AT188" i="11" l="1"/>
  <c r="AJ188" i="11"/>
  <c r="AK190" i="11"/>
  <c r="AP189" i="11"/>
  <c r="AN189" i="11"/>
  <c r="AM189" i="11"/>
  <c r="AL189" i="11"/>
  <c r="AO189" i="11"/>
  <c r="AQ188" i="11"/>
  <c r="AR188" i="11"/>
  <c r="AD1236" i="10"/>
  <c r="AE1236" i="10" s="1"/>
  <c r="AF1236" i="10"/>
  <c r="D251" i="14"/>
  <c r="F253" i="14"/>
  <c r="AB1237" i="10"/>
  <c r="AC1237" i="10" s="1"/>
  <c r="AO247" i="12"/>
  <c r="AL247" i="12" s="1"/>
  <c r="AM248" i="12"/>
  <c r="AP247" i="12"/>
  <c r="AQ247" i="12"/>
  <c r="AN247" i="12"/>
  <c r="V1238" i="10"/>
  <c r="U1238" i="10" s="1"/>
  <c r="X1238" i="10" s="1"/>
  <c r="Y1238" i="10" s="1"/>
  <c r="Z1238" i="10" s="1"/>
  <c r="W1239" i="10"/>
  <c r="T1238" i="10"/>
  <c r="AT189" i="11" l="1"/>
  <c r="AJ189" i="11"/>
  <c r="AR189" i="11"/>
  <c r="AQ189" i="11"/>
  <c r="AM190" i="11"/>
  <c r="AK191" i="11"/>
  <c r="AP190" i="11"/>
  <c r="AN190" i="11"/>
  <c r="AL190" i="11"/>
  <c r="AO190" i="11"/>
  <c r="AF1237" i="10"/>
  <c r="AD1237" i="10"/>
  <c r="AE1237" i="10" s="1"/>
  <c r="AB1238" i="10"/>
  <c r="AF1238" i="10" s="1"/>
  <c r="W1240" i="10"/>
  <c r="V1239" i="10"/>
  <c r="U1239" i="10" s="1"/>
  <c r="X1239" i="10" s="1"/>
  <c r="Y1239" i="10" s="1"/>
  <c r="Z1239" i="10" s="1"/>
  <c r="T1239" i="10"/>
  <c r="AO248" i="12"/>
  <c r="AL248" i="12" s="1"/>
  <c r="AM249" i="12"/>
  <c r="AQ248" i="12"/>
  <c r="AN248" i="12"/>
  <c r="AP248" i="12"/>
  <c r="F254" i="14"/>
  <c r="D252" i="14"/>
  <c r="AT190" i="11" l="1"/>
  <c r="AJ190" i="11"/>
  <c r="AR190" i="11"/>
  <c r="AQ190" i="11"/>
  <c r="AL191" i="11"/>
  <c r="AP191" i="11"/>
  <c r="AN191" i="11"/>
  <c r="AO191" i="11"/>
  <c r="AM191" i="11"/>
  <c r="AK192" i="11"/>
  <c r="AC1238" i="10"/>
  <c r="AD1238" i="10" s="1"/>
  <c r="AE1238" i="10" s="1"/>
  <c r="AB1239" i="10"/>
  <c r="AC1239" i="10" s="1"/>
  <c r="AF1239" i="10"/>
  <c r="D253" i="14"/>
  <c r="F255" i="14"/>
  <c r="AO249" i="12"/>
  <c r="AL249" i="12" s="1"/>
  <c r="AM250" i="12"/>
  <c r="AN249" i="12"/>
  <c r="AQ249" i="12"/>
  <c r="AP249" i="12"/>
  <c r="V1240" i="10"/>
  <c r="U1240" i="10" s="1"/>
  <c r="X1240" i="10" s="1"/>
  <c r="Y1240" i="10" s="1"/>
  <c r="Z1240" i="10" s="1"/>
  <c r="W1241" i="10"/>
  <c r="T1240" i="10"/>
  <c r="AT191" i="11" l="1"/>
  <c r="AJ191" i="11"/>
  <c r="AQ191" i="11"/>
  <c r="AR191" i="11"/>
  <c r="AM192" i="11"/>
  <c r="AL192" i="11"/>
  <c r="AP192" i="11"/>
  <c r="AK193" i="11"/>
  <c r="AO192" i="11"/>
  <c r="AN192" i="11"/>
  <c r="AD1239" i="10"/>
  <c r="AE1239" i="10" s="1"/>
  <c r="AB1240" i="10"/>
  <c r="AF1240" i="10" s="1"/>
  <c r="AO250" i="12"/>
  <c r="AL250" i="12" s="1"/>
  <c r="AN250" i="12"/>
  <c r="AP250" i="12"/>
  <c r="AQ250" i="12"/>
  <c r="AM251" i="12"/>
  <c r="V1241" i="10"/>
  <c r="U1241" i="10" s="1"/>
  <c r="X1241" i="10" s="1"/>
  <c r="Y1241" i="10" s="1"/>
  <c r="Z1241" i="10" s="1"/>
  <c r="W1242" i="10"/>
  <c r="T1241" i="10"/>
  <c r="F256" i="14"/>
  <c r="D254" i="14"/>
  <c r="AT192" i="11" l="1"/>
  <c r="AJ192" i="11"/>
  <c r="AR192" i="11"/>
  <c r="AQ192" i="11"/>
  <c r="AO193" i="11"/>
  <c r="AL193" i="11"/>
  <c r="AP193" i="11"/>
  <c r="AN193" i="11"/>
  <c r="AM193" i="11"/>
  <c r="AK194" i="11"/>
  <c r="AC1240" i="10"/>
  <c r="D255" i="14"/>
  <c r="V1242" i="10"/>
  <c r="U1242" i="10" s="1"/>
  <c r="X1242" i="10" s="1"/>
  <c r="Y1242" i="10" s="1"/>
  <c r="Z1242" i="10" s="1"/>
  <c r="W1243" i="10"/>
  <c r="T1242" i="10"/>
  <c r="AB1241" i="10"/>
  <c r="AF1241" i="10" s="1"/>
  <c r="AC1241" i="10"/>
  <c r="AD1241" i="10" s="1"/>
  <c r="AE1241" i="10" s="1"/>
  <c r="AO251" i="12"/>
  <c r="AL251" i="12" s="1"/>
  <c r="AM252" i="12"/>
  <c r="AP251" i="12"/>
  <c r="AQ251" i="12"/>
  <c r="AN251" i="12"/>
  <c r="F257" i="14"/>
  <c r="AT193" i="11" l="1"/>
  <c r="AJ193" i="11"/>
  <c r="AR193" i="11"/>
  <c r="AQ193" i="11"/>
  <c r="AM194" i="11"/>
  <c r="AK195" i="11"/>
  <c r="AN194" i="11"/>
  <c r="AP194" i="11"/>
  <c r="AO194" i="11"/>
  <c r="AL194" i="11"/>
  <c r="AD1240" i="10"/>
  <c r="AE1240" i="10" s="1"/>
  <c r="V1243" i="10"/>
  <c r="U1243" i="10" s="1"/>
  <c r="X1243" i="10" s="1"/>
  <c r="Y1243" i="10" s="1"/>
  <c r="Z1243" i="10" s="1"/>
  <c r="W1244" i="10"/>
  <c r="T1243" i="10"/>
  <c r="AB1242" i="10"/>
  <c r="AD1242" i="10"/>
  <c r="AF1242" i="10"/>
  <c r="AE1242" i="10"/>
  <c r="AC1242" i="10"/>
  <c r="F258" i="14"/>
  <c r="AO252" i="12"/>
  <c r="AL252" i="12" s="1"/>
  <c r="AM253" i="12"/>
  <c r="AQ252" i="12"/>
  <c r="AP252" i="12"/>
  <c r="AN252" i="12"/>
  <c r="D256" i="14"/>
  <c r="AT194" i="11" l="1"/>
  <c r="AJ194" i="11"/>
  <c r="AR194" i="11"/>
  <c r="AQ194" i="11"/>
  <c r="AM195" i="11"/>
  <c r="AL195" i="11"/>
  <c r="AK196" i="11"/>
  <c r="AO195" i="11"/>
  <c r="AN195" i="11"/>
  <c r="AP195" i="11"/>
  <c r="D257" i="14"/>
  <c r="AO253" i="12"/>
  <c r="AL253" i="12" s="1"/>
  <c r="AM254" i="12"/>
  <c r="AN253" i="12"/>
  <c r="AQ253" i="12"/>
  <c r="AP253" i="12"/>
  <c r="AF1243" i="10"/>
  <c r="AB1243" i="10"/>
  <c r="AC1243" i="10" s="1"/>
  <c r="V1244" i="10"/>
  <c r="U1244" i="10" s="1"/>
  <c r="X1244" i="10" s="1"/>
  <c r="Y1244" i="10" s="1"/>
  <c r="Z1244" i="10" s="1"/>
  <c r="W1245" i="10"/>
  <c r="T1244" i="10"/>
  <c r="F259" i="14"/>
  <c r="AT195" i="11" l="1"/>
  <c r="AJ195" i="11"/>
  <c r="AD1243" i="10"/>
  <c r="AE1243" i="10"/>
  <c r="AQ195" i="11"/>
  <c r="AR195" i="11"/>
  <c r="AN196" i="11"/>
  <c r="AK197" i="11"/>
  <c r="AP196" i="11"/>
  <c r="AL196" i="11"/>
  <c r="AM196" i="11"/>
  <c r="AO196" i="11"/>
  <c r="AF1244" i="10"/>
  <c r="AB1244" i="10"/>
  <c r="AC1244" i="10" s="1"/>
  <c r="F260" i="14"/>
  <c r="V1245" i="10"/>
  <c r="U1245" i="10" s="1"/>
  <c r="X1245" i="10" s="1"/>
  <c r="Y1245" i="10" s="1"/>
  <c r="Z1245" i="10" s="1"/>
  <c r="W1246" i="10"/>
  <c r="T1245" i="10"/>
  <c r="AO254" i="12"/>
  <c r="AL254" i="12" s="1"/>
  <c r="AN254" i="12"/>
  <c r="AP254" i="12"/>
  <c r="AM255" i="12"/>
  <c r="AQ254" i="12"/>
  <c r="D258" i="14"/>
  <c r="AT196" i="11" l="1"/>
  <c r="AJ196" i="11"/>
  <c r="AD1244" i="10"/>
  <c r="AE1244" i="10" s="1"/>
  <c r="AQ196" i="11"/>
  <c r="AR196" i="11"/>
  <c r="AP197" i="11"/>
  <c r="AM197" i="11"/>
  <c r="AN197" i="11"/>
  <c r="AL197" i="11"/>
  <c r="AO197" i="11"/>
  <c r="AK198" i="11"/>
  <c r="AF1245" i="10"/>
  <c r="AE1245" i="10"/>
  <c r="AC1245" i="10"/>
  <c r="AB1245" i="10"/>
  <c r="AD1245" i="10"/>
  <c r="AO255" i="12"/>
  <c r="AL255" i="12" s="1"/>
  <c r="AM256" i="12"/>
  <c r="AP255" i="12"/>
  <c r="AQ255" i="12"/>
  <c r="AN255" i="12"/>
  <c r="F261" i="14"/>
  <c r="V1246" i="10"/>
  <c r="U1246" i="10" s="1"/>
  <c r="X1246" i="10" s="1"/>
  <c r="Y1246" i="10" s="1"/>
  <c r="Z1246" i="10" s="1"/>
  <c r="W1247" i="10"/>
  <c r="T1246" i="10"/>
  <c r="D259" i="14"/>
  <c r="AT197" i="11" l="1"/>
  <c r="AJ197" i="11"/>
  <c r="AO198" i="11"/>
  <c r="AP198" i="11"/>
  <c r="AN198" i="11"/>
  <c r="AM198" i="11"/>
  <c r="AL198" i="11"/>
  <c r="AK199" i="11"/>
  <c r="AR197" i="11"/>
  <c r="AQ197" i="11"/>
  <c r="AB1246" i="10"/>
  <c r="AF1246" i="10" s="1"/>
  <c r="D260" i="14"/>
  <c r="W1248" i="10"/>
  <c r="V1247" i="10"/>
  <c r="U1247" i="10" s="1"/>
  <c r="X1247" i="10" s="1"/>
  <c r="Y1247" i="10" s="1"/>
  <c r="Z1247" i="10" s="1"/>
  <c r="T1247" i="10"/>
  <c r="F262" i="14"/>
  <c r="AO256" i="12"/>
  <c r="AL256" i="12" s="1"/>
  <c r="AM257" i="12"/>
  <c r="AQ256" i="12"/>
  <c r="AP256" i="12"/>
  <c r="AN256" i="12"/>
  <c r="AT198" i="11" l="1"/>
  <c r="AJ198" i="11"/>
  <c r="AQ198" i="11"/>
  <c r="AR198" i="11"/>
  <c r="AM199" i="11"/>
  <c r="AP199" i="11"/>
  <c r="AL199" i="11"/>
  <c r="AK200" i="11"/>
  <c r="AN199" i="11"/>
  <c r="AO199" i="11"/>
  <c r="AC1246" i="10"/>
  <c r="AO257" i="12"/>
  <c r="AL257" i="12" s="1"/>
  <c r="AM258" i="12"/>
  <c r="AN257" i="12"/>
  <c r="AQ257" i="12"/>
  <c r="AP257" i="12"/>
  <c r="AB1247" i="10"/>
  <c r="AC1247" i="10" s="1"/>
  <c r="F263" i="14"/>
  <c r="V1248" i="10"/>
  <c r="U1248" i="10" s="1"/>
  <c r="X1248" i="10" s="1"/>
  <c r="Y1248" i="10" s="1"/>
  <c r="Z1248" i="10" s="1"/>
  <c r="W1249" i="10"/>
  <c r="T1248" i="10"/>
  <c r="D261" i="14"/>
  <c r="AT199" i="11" l="1"/>
  <c r="AJ199" i="11"/>
  <c r="AR199" i="11"/>
  <c r="AQ199" i="11"/>
  <c r="AM200" i="11"/>
  <c r="AL200" i="11"/>
  <c r="AO200" i="11"/>
  <c r="AK201" i="11"/>
  <c r="AN200" i="11"/>
  <c r="AP200" i="11"/>
  <c r="AD1246" i="10"/>
  <c r="AE1246" i="10" s="1"/>
  <c r="AD1247" i="10"/>
  <c r="AE1247" i="10" s="1"/>
  <c r="AF1247" i="10"/>
  <c r="AB1248" i="10"/>
  <c r="AC1248" i="10" s="1"/>
  <c r="AD1248" i="10" s="1"/>
  <c r="AE1248" i="10" s="1"/>
  <c r="AO258" i="12"/>
  <c r="AL258" i="12" s="1"/>
  <c r="AN258" i="12"/>
  <c r="AP258" i="12"/>
  <c r="AM259" i="12"/>
  <c r="AQ258" i="12"/>
  <c r="D262" i="14"/>
  <c r="F264" i="14"/>
  <c r="V1249" i="10"/>
  <c r="U1249" i="10" s="1"/>
  <c r="X1249" i="10" s="1"/>
  <c r="Y1249" i="10" s="1"/>
  <c r="Z1249" i="10" s="1"/>
  <c r="W1250" i="10"/>
  <c r="T1249" i="10"/>
  <c r="AT200" i="11" l="1"/>
  <c r="AJ200" i="11"/>
  <c r="AR200" i="11"/>
  <c r="AQ200" i="11"/>
  <c r="AN201" i="11"/>
  <c r="AM201" i="11"/>
  <c r="AP201" i="11"/>
  <c r="AO201" i="11"/>
  <c r="AK202" i="11"/>
  <c r="AL201" i="11"/>
  <c r="AF1248" i="10"/>
  <c r="V1250" i="10"/>
  <c r="U1250" i="10" s="1"/>
  <c r="X1250" i="10" s="1"/>
  <c r="Y1250" i="10" s="1"/>
  <c r="Z1250" i="10" s="1"/>
  <c r="W1251" i="10"/>
  <c r="T1250" i="10"/>
  <c r="F265" i="14"/>
  <c r="D263" i="14"/>
  <c r="AO259" i="12"/>
  <c r="AL259" i="12" s="1"/>
  <c r="AM260" i="12"/>
  <c r="AP259" i="12"/>
  <c r="AQ259" i="12"/>
  <c r="AN259" i="12"/>
  <c r="AB1249" i="10"/>
  <c r="AC1249" i="10" s="1"/>
  <c r="AD1249" i="10" s="1"/>
  <c r="AT201" i="11" l="1"/>
  <c r="AJ201" i="11"/>
  <c r="AN202" i="11"/>
  <c r="AL202" i="11"/>
  <c r="AK203" i="11"/>
  <c r="AP202" i="11"/>
  <c r="AM202" i="11"/>
  <c r="AO202" i="11"/>
  <c r="AQ201" i="11"/>
  <c r="AR201" i="11"/>
  <c r="AF1249" i="10"/>
  <c r="AE1249" i="10"/>
  <c r="W1252" i="10"/>
  <c r="V1251" i="10"/>
  <c r="U1251" i="10" s="1"/>
  <c r="X1251" i="10" s="1"/>
  <c r="Y1251" i="10" s="1"/>
  <c r="Z1251" i="10" s="1"/>
  <c r="T1251" i="10"/>
  <c r="AO260" i="12"/>
  <c r="AL260" i="12" s="1"/>
  <c r="AM261" i="12"/>
  <c r="AQ260" i="12"/>
  <c r="AP260" i="12"/>
  <c r="AN260" i="12"/>
  <c r="AB1250" i="10"/>
  <c r="AC1250" i="10" s="1"/>
  <c r="D264" i="14"/>
  <c r="F266" i="14"/>
  <c r="AT202" i="11" l="1"/>
  <c r="AJ202" i="11"/>
  <c r="AN203" i="11"/>
  <c r="AM203" i="11"/>
  <c r="AL203" i="11"/>
  <c r="AK204" i="11"/>
  <c r="AO203" i="11"/>
  <c r="AP203" i="11"/>
  <c r="AQ202" i="11"/>
  <c r="AR202" i="11"/>
  <c r="AF1250" i="10"/>
  <c r="AD1250" i="10"/>
  <c r="AE1250" i="10" s="1"/>
  <c r="AO261" i="12"/>
  <c r="AL261" i="12" s="1"/>
  <c r="AM262" i="12"/>
  <c r="AN261" i="12"/>
  <c r="AP261" i="12"/>
  <c r="AQ261" i="12"/>
  <c r="AB1251" i="10"/>
  <c r="AF1251" i="10" s="1"/>
  <c r="F267" i="14"/>
  <c r="D265" i="14"/>
  <c r="V1252" i="10"/>
  <c r="U1252" i="10" s="1"/>
  <c r="X1252" i="10" s="1"/>
  <c r="Y1252" i="10" s="1"/>
  <c r="Z1252" i="10" s="1"/>
  <c r="W1253" i="10"/>
  <c r="T1252" i="10"/>
  <c r="AT203" i="11" l="1"/>
  <c r="AJ203" i="11"/>
  <c r="AP204" i="11"/>
  <c r="AL204" i="11"/>
  <c r="AK205" i="11"/>
  <c r="AM204" i="11"/>
  <c r="AO204" i="11"/>
  <c r="AN204" i="11"/>
  <c r="AR203" i="11"/>
  <c r="AQ203" i="11"/>
  <c r="AC1251" i="10"/>
  <c r="AB1252" i="10"/>
  <c r="AC1252" i="10" s="1"/>
  <c r="V1253" i="10"/>
  <c r="U1253" i="10" s="1"/>
  <c r="X1253" i="10" s="1"/>
  <c r="Y1253" i="10" s="1"/>
  <c r="Z1253" i="10" s="1"/>
  <c r="W1254" i="10"/>
  <c r="T1253" i="10"/>
  <c r="D266" i="14"/>
  <c r="F268" i="14"/>
  <c r="AO262" i="12"/>
  <c r="AL262" i="12" s="1"/>
  <c r="AN262" i="12"/>
  <c r="AP262" i="12"/>
  <c r="AM263" i="12"/>
  <c r="AQ262" i="12"/>
  <c r="AT204" i="11" l="1"/>
  <c r="AJ204" i="11"/>
  <c r="AQ204" i="11"/>
  <c r="AR204" i="11"/>
  <c r="AK206" i="11"/>
  <c r="AM205" i="11"/>
  <c r="AN205" i="11"/>
  <c r="AL205" i="11"/>
  <c r="AO205" i="11"/>
  <c r="AP205" i="11"/>
  <c r="AD1251" i="10"/>
  <c r="AE1251" i="10" s="1"/>
  <c r="AF1252" i="10"/>
  <c r="AB1253" i="10"/>
  <c r="AF1253" i="10" s="1"/>
  <c r="AD1252" i="10"/>
  <c r="AE1252" i="10" s="1"/>
  <c r="AO263" i="12"/>
  <c r="AL263" i="12" s="1"/>
  <c r="AM264" i="12"/>
  <c r="AP263" i="12"/>
  <c r="AQ263" i="12"/>
  <c r="AN263" i="12"/>
  <c r="F269" i="14"/>
  <c r="D267" i="14"/>
  <c r="V1254" i="10"/>
  <c r="U1254" i="10" s="1"/>
  <c r="X1254" i="10" s="1"/>
  <c r="Y1254" i="10" s="1"/>
  <c r="Z1254" i="10" s="1"/>
  <c r="W1255" i="10"/>
  <c r="T1254" i="10"/>
  <c r="AT205" i="11" l="1"/>
  <c r="AJ205" i="11"/>
  <c r="AK207" i="11"/>
  <c r="AL206" i="11"/>
  <c r="AO206" i="11"/>
  <c r="AP206" i="11"/>
  <c r="AN206" i="11"/>
  <c r="AM206" i="11"/>
  <c r="AR205" i="11"/>
  <c r="AQ205" i="11"/>
  <c r="AC1253" i="10"/>
  <c r="AB1254" i="10"/>
  <c r="AC1254" i="10" s="1"/>
  <c r="W1256" i="10"/>
  <c r="V1255" i="10"/>
  <c r="U1255" i="10" s="1"/>
  <c r="X1255" i="10" s="1"/>
  <c r="Y1255" i="10" s="1"/>
  <c r="Z1255" i="10" s="1"/>
  <c r="T1255" i="10"/>
  <c r="D268" i="14"/>
  <c r="F270" i="14"/>
  <c r="AO264" i="12"/>
  <c r="AL264" i="12" s="1"/>
  <c r="AM265" i="12"/>
  <c r="AQ264" i="12"/>
  <c r="AP264" i="12"/>
  <c r="AN264" i="12"/>
  <c r="AT206" i="11" l="1"/>
  <c r="AJ206" i="11"/>
  <c r="AF1254" i="10"/>
  <c r="AQ206" i="11"/>
  <c r="AR206" i="11"/>
  <c r="AM207" i="11"/>
  <c r="AP207" i="11"/>
  <c r="AL207" i="11"/>
  <c r="AK208" i="11"/>
  <c r="AN207" i="11"/>
  <c r="AO207" i="11"/>
  <c r="AD1254" i="10"/>
  <c r="AE1254" i="10" s="1"/>
  <c r="AD1253" i="10"/>
  <c r="AE1253" i="10" s="1"/>
  <c r="AO265" i="12"/>
  <c r="AL265" i="12" s="1"/>
  <c r="AM266" i="12"/>
  <c r="AN265" i="12"/>
  <c r="AQ265" i="12"/>
  <c r="AP265" i="12"/>
  <c r="V1256" i="10"/>
  <c r="U1256" i="10" s="1"/>
  <c r="X1256" i="10" s="1"/>
  <c r="Y1256" i="10" s="1"/>
  <c r="Z1256" i="10" s="1"/>
  <c r="W1257" i="10"/>
  <c r="T1256" i="10"/>
  <c r="F271" i="14"/>
  <c r="D269" i="14"/>
  <c r="AB1255" i="10"/>
  <c r="AF1255" i="10" s="1"/>
  <c r="AT207" i="11" l="1"/>
  <c r="AJ207" i="11"/>
  <c r="AC1255" i="10"/>
  <c r="AR207" i="11"/>
  <c r="AQ207" i="11"/>
  <c r="AM208" i="11"/>
  <c r="AN208" i="11"/>
  <c r="AK209" i="11"/>
  <c r="AL208" i="11"/>
  <c r="AP208" i="11"/>
  <c r="AO208" i="11"/>
  <c r="D270" i="14"/>
  <c r="F272" i="14"/>
  <c r="V1257" i="10"/>
  <c r="U1257" i="10" s="1"/>
  <c r="X1257" i="10" s="1"/>
  <c r="Y1257" i="10" s="1"/>
  <c r="Z1257" i="10" s="1"/>
  <c r="W1258" i="10"/>
  <c r="T1257" i="10"/>
  <c r="AD1256" i="10"/>
  <c r="AE1256" i="10"/>
  <c r="AF1256" i="10"/>
  <c r="AB1256" i="10"/>
  <c r="AC1256" i="10"/>
  <c r="AO266" i="12"/>
  <c r="AL266" i="12" s="1"/>
  <c r="AN266" i="12"/>
  <c r="AP266" i="12"/>
  <c r="AQ266" i="12"/>
  <c r="AM267" i="12"/>
  <c r="AT208" i="11" l="1"/>
  <c r="AJ208" i="11"/>
  <c r="AD1255" i="10"/>
  <c r="AE1255" i="10" s="1"/>
  <c r="AR208" i="11"/>
  <c r="AQ208" i="11"/>
  <c r="AP209" i="11"/>
  <c r="AN209" i="11"/>
  <c r="AM209" i="11"/>
  <c r="AO209" i="11"/>
  <c r="AL209" i="11"/>
  <c r="AK210" i="11"/>
  <c r="AB1257" i="10"/>
  <c r="AC1257" i="10" s="1"/>
  <c r="AF1257" i="10"/>
  <c r="F273" i="14"/>
  <c r="AO267" i="12"/>
  <c r="AL267" i="12" s="1"/>
  <c r="AM268" i="12"/>
  <c r="AP267" i="12"/>
  <c r="AQ267" i="12"/>
  <c r="AN267" i="12"/>
  <c r="V1258" i="10"/>
  <c r="U1258" i="10" s="1"/>
  <c r="X1258" i="10" s="1"/>
  <c r="Y1258" i="10" s="1"/>
  <c r="Z1258" i="10" s="1"/>
  <c r="W1259" i="10"/>
  <c r="T1258" i="10"/>
  <c r="D271" i="14"/>
  <c r="AT209" i="11" l="1"/>
  <c r="AJ209" i="11"/>
  <c r="AD1257" i="10"/>
  <c r="AE1257" i="10"/>
  <c r="AR209" i="11"/>
  <c r="AQ209" i="11"/>
  <c r="AO210" i="11"/>
  <c r="AP210" i="11"/>
  <c r="AL210" i="11"/>
  <c r="AN210" i="11"/>
  <c r="AK211" i="11"/>
  <c r="AM210" i="11"/>
  <c r="AB1258" i="10"/>
  <c r="AF1258" i="10" s="1"/>
  <c r="AC1258" i="10"/>
  <c r="AD1258" i="10" s="1"/>
  <c r="F274" i="14"/>
  <c r="D272" i="14"/>
  <c r="W1260" i="10"/>
  <c r="V1259" i="10"/>
  <c r="U1259" i="10" s="1"/>
  <c r="X1259" i="10" s="1"/>
  <c r="Y1259" i="10" s="1"/>
  <c r="Z1259" i="10" s="1"/>
  <c r="T1259" i="10"/>
  <c r="AO268" i="12"/>
  <c r="AL268" i="12" s="1"/>
  <c r="AM269" i="12"/>
  <c r="AQ268" i="12"/>
  <c r="AP268" i="12"/>
  <c r="AN268" i="12"/>
  <c r="AT210" i="11" l="1"/>
  <c r="AJ210" i="11"/>
  <c r="AE1258" i="10"/>
  <c r="AK212" i="11"/>
  <c r="AO211" i="11"/>
  <c r="AP211" i="11"/>
  <c r="AM211" i="11"/>
  <c r="AN211" i="11"/>
  <c r="AL211" i="11"/>
  <c r="AR210" i="11"/>
  <c r="AQ210" i="11"/>
  <c r="AO269" i="12"/>
  <c r="AL269" i="12" s="1"/>
  <c r="AM270" i="12"/>
  <c r="AN269" i="12"/>
  <c r="AP269" i="12"/>
  <c r="AQ269" i="12"/>
  <c r="V1260" i="10"/>
  <c r="U1260" i="10" s="1"/>
  <c r="X1260" i="10" s="1"/>
  <c r="Y1260" i="10" s="1"/>
  <c r="Z1260" i="10" s="1"/>
  <c r="W1261" i="10"/>
  <c r="T1260" i="10"/>
  <c r="D273" i="14"/>
  <c r="F275" i="14"/>
  <c r="AF1259" i="10"/>
  <c r="AC1259" i="10"/>
  <c r="AD1259" i="10"/>
  <c r="AB1259" i="10"/>
  <c r="AE1259" i="10"/>
  <c r="AT211" i="11" l="1"/>
  <c r="AJ211" i="11"/>
  <c r="AQ211" i="11"/>
  <c r="AR211" i="11"/>
  <c r="AO212" i="11"/>
  <c r="AK213" i="11"/>
  <c r="AL212" i="11"/>
  <c r="AM212" i="11"/>
  <c r="AN212" i="11"/>
  <c r="AP212" i="11"/>
  <c r="V1261" i="10"/>
  <c r="U1261" i="10" s="1"/>
  <c r="X1261" i="10" s="1"/>
  <c r="Y1261" i="10" s="1"/>
  <c r="Z1261" i="10" s="1"/>
  <c r="W1262" i="10"/>
  <c r="T1261" i="10"/>
  <c r="F276" i="14"/>
  <c r="D274" i="14"/>
  <c r="AB1260" i="10"/>
  <c r="AF1260" i="10" s="1"/>
  <c r="AO270" i="12"/>
  <c r="AL270" i="12" s="1"/>
  <c r="AN270" i="12"/>
  <c r="AP270" i="12"/>
  <c r="AM271" i="12"/>
  <c r="AQ270" i="12"/>
  <c r="AT212" i="11" l="1"/>
  <c r="AJ212" i="11"/>
  <c r="AQ212" i="11"/>
  <c r="AR212" i="11"/>
  <c r="AM213" i="11"/>
  <c r="AN213" i="11"/>
  <c r="AL213" i="11"/>
  <c r="AP213" i="11"/>
  <c r="AO213" i="11"/>
  <c r="AK214" i="11"/>
  <c r="AC1260" i="10"/>
  <c r="AB1261" i="10"/>
  <c r="AF1261" i="10" s="1"/>
  <c r="D275" i="14"/>
  <c r="F277" i="14"/>
  <c r="AO271" i="12"/>
  <c r="AL271" i="12" s="1"/>
  <c r="AM272" i="12"/>
  <c r="AP271" i="12"/>
  <c r="AQ271" i="12"/>
  <c r="AN271" i="12"/>
  <c r="V1262" i="10"/>
  <c r="U1262" i="10" s="1"/>
  <c r="X1262" i="10" s="1"/>
  <c r="Y1262" i="10" s="1"/>
  <c r="Z1262" i="10" s="1"/>
  <c r="W1263" i="10"/>
  <c r="T1262" i="10"/>
  <c r="AT213" i="11" l="1"/>
  <c r="AJ213" i="11"/>
  <c r="AR213" i="11"/>
  <c r="AQ213" i="11"/>
  <c r="AL214" i="11"/>
  <c r="AM214" i="11"/>
  <c r="AO214" i="11"/>
  <c r="AK215" i="11"/>
  <c r="AP214" i="11"/>
  <c r="AN214" i="11"/>
  <c r="AD1260" i="10"/>
  <c r="AE1260" i="10" s="1"/>
  <c r="AC1261" i="10"/>
  <c r="AB1262" i="10"/>
  <c r="AF1262" i="10" s="1"/>
  <c r="F278" i="14"/>
  <c r="D276" i="14"/>
  <c r="W1264" i="10"/>
  <c r="V1263" i="10"/>
  <c r="U1263" i="10" s="1"/>
  <c r="X1263" i="10" s="1"/>
  <c r="Y1263" i="10" s="1"/>
  <c r="Z1263" i="10" s="1"/>
  <c r="T1263" i="10"/>
  <c r="AO272" i="12"/>
  <c r="AL272" i="12" s="1"/>
  <c r="AM273" i="12"/>
  <c r="AQ272" i="12"/>
  <c r="AN272" i="12"/>
  <c r="AP272" i="12"/>
  <c r="AT214" i="11" l="1"/>
  <c r="AJ214" i="11"/>
  <c r="AM215" i="11"/>
  <c r="AP215" i="11"/>
  <c r="AL215" i="11"/>
  <c r="AN215" i="11"/>
  <c r="AK216" i="11"/>
  <c r="AO215" i="11"/>
  <c r="AQ214" i="11"/>
  <c r="AR214" i="11"/>
  <c r="AD1261" i="10"/>
  <c r="AE1261" i="10" s="1"/>
  <c r="AC1262" i="10"/>
  <c r="AD1262" i="10" s="1"/>
  <c r="AE1262" i="10" s="1"/>
  <c r="AO273" i="12"/>
  <c r="AL273" i="12" s="1"/>
  <c r="AM274" i="12"/>
  <c r="AN273" i="12"/>
  <c r="AQ273" i="12"/>
  <c r="AP273" i="12"/>
  <c r="V1264" i="10"/>
  <c r="U1264" i="10" s="1"/>
  <c r="X1264" i="10" s="1"/>
  <c r="Y1264" i="10" s="1"/>
  <c r="Z1264" i="10" s="1"/>
  <c r="W1265" i="10"/>
  <c r="T1264" i="10"/>
  <c r="D277" i="14"/>
  <c r="F279" i="14"/>
  <c r="AB1263" i="10"/>
  <c r="AF1263" i="10" s="1"/>
  <c r="AT215" i="11" l="1"/>
  <c r="AJ215" i="11"/>
  <c r="AL216" i="11"/>
  <c r="AP216" i="11"/>
  <c r="AO216" i="11"/>
  <c r="AM216" i="11"/>
  <c r="AK217" i="11"/>
  <c r="AN216" i="11"/>
  <c r="AQ215" i="11"/>
  <c r="AR215" i="11"/>
  <c r="AC1263" i="10"/>
  <c r="AD1263" i="10" s="1"/>
  <c r="AE1263" i="10" s="1"/>
  <c r="V1265" i="10"/>
  <c r="U1265" i="10" s="1"/>
  <c r="X1265" i="10" s="1"/>
  <c r="Y1265" i="10" s="1"/>
  <c r="Z1265" i="10" s="1"/>
  <c r="W1266" i="10"/>
  <c r="T1265" i="10"/>
  <c r="AB1264" i="10"/>
  <c r="AF1264" i="10" s="1"/>
  <c r="F280" i="14"/>
  <c r="D278" i="14"/>
  <c r="AO274" i="12"/>
  <c r="AL274" i="12" s="1"/>
  <c r="AN274" i="12"/>
  <c r="AP274" i="12"/>
  <c r="AM275" i="12"/>
  <c r="AQ274" i="12"/>
  <c r="AT216" i="11" l="1"/>
  <c r="AJ216" i="11"/>
  <c r="AR216" i="11"/>
  <c r="AQ216" i="11"/>
  <c r="AN217" i="11"/>
  <c r="AO217" i="11"/>
  <c r="AM217" i="11"/>
  <c r="AP217" i="11"/>
  <c r="AL217" i="11"/>
  <c r="AK218" i="11"/>
  <c r="AC1264" i="10"/>
  <c r="AD1264" i="10" s="1"/>
  <c r="AB1265" i="10"/>
  <c r="AC1265" i="10" s="1"/>
  <c r="D279" i="14"/>
  <c r="F281" i="14"/>
  <c r="AO275" i="12"/>
  <c r="AL275" i="12" s="1"/>
  <c r="AM276" i="12"/>
  <c r="AP275" i="12"/>
  <c r="AQ275" i="12"/>
  <c r="AN275" i="12"/>
  <c r="V1266" i="10"/>
  <c r="U1266" i="10" s="1"/>
  <c r="X1266" i="10" s="1"/>
  <c r="Y1266" i="10" s="1"/>
  <c r="Z1266" i="10" s="1"/>
  <c r="W1267" i="10"/>
  <c r="T1266" i="10"/>
  <c r="AT217" i="11" l="1"/>
  <c r="AJ217" i="11"/>
  <c r="AR217" i="11"/>
  <c r="AQ217" i="11"/>
  <c r="AN218" i="11"/>
  <c r="AO218" i="11"/>
  <c r="AL218" i="11"/>
  <c r="AM218" i="11"/>
  <c r="AK219" i="11"/>
  <c r="AP218" i="11"/>
  <c r="AF1265" i="10"/>
  <c r="AD1265" i="10"/>
  <c r="AE1265" i="10" s="1"/>
  <c r="AE1264" i="10"/>
  <c r="AB1266" i="10"/>
  <c r="AF1266" i="10" s="1"/>
  <c r="F282" i="14"/>
  <c r="D280" i="14"/>
  <c r="W1268" i="10"/>
  <c r="V1267" i="10"/>
  <c r="U1267" i="10" s="1"/>
  <c r="X1267" i="10" s="1"/>
  <c r="Y1267" i="10" s="1"/>
  <c r="Z1267" i="10" s="1"/>
  <c r="T1267" i="10"/>
  <c r="AO276" i="12"/>
  <c r="AL276" i="12" s="1"/>
  <c r="AM277" i="12"/>
  <c r="AQ276" i="12"/>
  <c r="AP276" i="12"/>
  <c r="AN276" i="12"/>
  <c r="AT218" i="11" l="1"/>
  <c r="AJ218" i="11"/>
  <c r="AP219" i="11"/>
  <c r="AK220" i="11"/>
  <c r="AM219" i="11"/>
  <c r="AL219" i="11"/>
  <c r="AN219" i="11"/>
  <c r="AO219" i="11"/>
  <c r="AQ218" i="11"/>
  <c r="AR218" i="11"/>
  <c r="AC1266" i="10"/>
  <c r="AD1266" i="10" s="1"/>
  <c r="AE1266" i="10" s="1"/>
  <c r="AO277" i="12"/>
  <c r="AL277" i="12" s="1"/>
  <c r="AM278" i="12"/>
  <c r="AN277" i="12"/>
  <c r="AQ277" i="12"/>
  <c r="AP277" i="12"/>
  <c r="V1268" i="10"/>
  <c r="U1268" i="10" s="1"/>
  <c r="X1268" i="10" s="1"/>
  <c r="Y1268" i="10" s="1"/>
  <c r="Z1268" i="10" s="1"/>
  <c r="W1269" i="10"/>
  <c r="T1268" i="10"/>
  <c r="AB1267" i="10"/>
  <c r="AC1267" i="10" s="1"/>
  <c r="D281" i="14"/>
  <c r="F283" i="14"/>
  <c r="AT219" i="11" l="1"/>
  <c r="AJ219" i="11"/>
  <c r="AQ219" i="11"/>
  <c r="AR219" i="11"/>
  <c r="AO220" i="11"/>
  <c r="AP220" i="11"/>
  <c r="AM220" i="11"/>
  <c r="AK221" i="11"/>
  <c r="AN220" i="11"/>
  <c r="AL220" i="11"/>
  <c r="AD1267" i="10"/>
  <c r="AE1267" i="10" s="1"/>
  <c r="AF1267" i="10"/>
  <c r="V1269" i="10"/>
  <c r="U1269" i="10" s="1"/>
  <c r="X1269" i="10" s="1"/>
  <c r="Y1269" i="10" s="1"/>
  <c r="Z1269" i="10" s="1"/>
  <c r="W1270" i="10"/>
  <c r="T1269" i="10"/>
  <c r="F284" i="14"/>
  <c r="D282" i="14"/>
  <c r="AB1268" i="10"/>
  <c r="AF1268" i="10"/>
  <c r="AC1268" i="10"/>
  <c r="AO278" i="12"/>
  <c r="AL278" i="12" s="1"/>
  <c r="AN278" i="12"/>
  <c r="AP278" i="12"/>
  <c r="AM279" i="12"/>
  <c r="AQ278" i="12"/>
  <c r="AT220" i="11" l="1"/>
  <c r="AJ220" i="11"/>
  <c r="AN221" i="11"/>
  <c r="AO221" i="11"/>
  <c r="AL221" i="11"/>
  <c r="AM221" i="11"/>
  <c r="AK222" i="11"/>
  <c r="AP221" i="11"/>
  <c r="AQ220" i="11"/>
  <c r="AR220" i="11"/>
  <c r="AD1268" i="10"/>
  <c r="AE1268" i="10" s="1"/>
  <c r="D283" i="14"/>
  <c r="F285" i="14"/>
  <c r="AB1269" i="10"/>
  <c r="AC1269" i="10" s="1"/>
  <c r="AD1269" i="10" s="1"/>
  <c r="AF1269" i="10"/>
  <c r="AO279" i="12"/>
  <c r="AL279" i="12" s="1"/>
  <c r="AM280" i="12"/>
  <c r="AP279" i="12"/>
  <c r="AQ279" i="12"/>
  <c r="AN279" i="12"/>
  <c r="V1270" i="10"/>
  <c r="U1270" i="10" s="1"/>
  <c r="X1270" i="10" s="1"/>
  <c r="Y1270" i="10" s="1"/>
  <c r="Z1270" i="10" s="1"/>
  <c r="W1271" i="10"/>
  <c r="T1270" i="10"/>
  <c r="AT221" i="11" l="1"/>
  <c r="AJ221" i="11"/>
  <c r="AE1269" i="10"/>
  <c r="AR221" i="11"/>
  <c r="AQ221" i="11"/>
  <c r="AO222" i="11"/>
  <c r="AL222" i="11"/>
  <c r="AN222" i="11"/>
  <c r="AM222" i="11"/>
  <c r="AK223" i="11"/>
  <c r="AP222" i="11"/>
  <c r="AB1270" i="10"/>
  <c r="AD1270" i="10"/>
  <c r="AF1270" i="10"/>
  <c r="AE1270" i="10"/>
  <c r="AC1270" i="10"/>
  <c r="W1272" i="10"/>
  <c r="V1271" i="10"/>
  <c r="U1271" i="10" s="1"/>
  <c r="X1271" i="10" s="1"/>
  <c r="Y1271" i="10" s="1"/>
  <c r="Z1271" i="10" s="1"/>
  <c r="T1271" i="10"/>
  <c r="AO280" i="12"/>
  <c r="AL280" i="12" s="1"/>
  <c r="AM281" i="12"/>
  <c r="AQ280" i="12"/>
  <c r="AN280" i="12"/>
  <c r="AP280" i="12"/>
  <c r="F286" i="14"/>
  <c r="D284" i="14"/>
  <c r="AT222" i="11" l="1"/>
  <c r="AJ222" i="11"/>
  <c r="AM223" i="11"/>
  <c r="AO223" i="11"/>
  <c r="AL223" i="11"/>
  <c r="AK224" i="11"/>
  <c r="AP223" i="11"/>
  <c r="AN223" i="11"/>
  <c r="AQ222" i="11"/>
  <c r="AR222" i="11"/>
  <c r="D285" i="14"/>
  <c r="F287" i="14"/>
  <c r="AO281" i="12"/>
  <c r="AL281" i="12" s="1"/>
  <c r="AM282" i="12"/>
  <c r="AN281" i="12"/>
  <c r="AQ281" i="12"/>
  <c r="AP281" i="12"/>
  <c r="V1272" i="10"/>
  <c r="U1272" i="10" s="1"/>
  <c r="X1272" i="10" s="1"/>
  <c r="Y1272" i="10" s="1"/>
  <c r="Z1272" i="10" s="1"/>
  <c r="W1273" i="10"/>
  <c r="T1272" i="10"/>
  <c r="AB1271" i="10"/>
  <c r="AC1271" i="10" s="1"/>
  <c r="AT223" i="11" l="1"/>
  <c r="AJ223" i="11"/>
  <c r="AD1271" i="10"/>
  <c r="AE1271" i="10" s="1"/>
  <c r="AF1271" i="10"/>
  <c r="AP224" i="11"/>
  <c r="AO224" i="11"/>
  <c r="AN224" i="11"/>
  <c r="AK225" i="11"/>
  <c r="AL224" i="11"/>
  <c r="AM224" i="11"/>
  <c r="AR223" i="11"/>
  <c r="AQ223" i="11"/>
  <c r="V1273" i="10"/>
  <c r="U1273" i="10" s="1"/>
  <c r="X1273" i="10" s="1"/>
  <c r="Y1273" i="10" s="1"/>
  <c r="Z1273" i="10" s="1"/>
  <c r="W1274" i="10"/>
  <c r="T1273" i="10"/>
  <c r="F288" i="14"/>
  <c r="D286" i="14"/>
  <c r="AB1272" i="10"/>
  <c r="AF1272" i="10" s="1"/>
  <c r="AC1272" i="10"/>
  <c r="AD1272" i="10" s="1"/>
  <c r="AE1272" i="10" s="1"/>
  <c r="AO282" i="12"/>
  <c r="AL282" i="12" s="1"/>
  <c r="AN282" i="12"/>
  <c r="AP282" i="12"/>
  <c r="AM283" i="12"/>
  <c r="AQ282" i="12"/>
  <c r="AT224" i="11" l="1"/>
  <c r="AJ224" i="11"/>
  <c r="AP225" i="11"/>
  <c r="AL225" i="11"/>
  <c r="AO225" i="11"/>
  <c r="AK226" i="11"/>
  <c r="AN225" i="11"/>
  <c r="AM225" i="11"/>
  <c r="AQ224" i="11"/>
  <c r="AR224" i="11"/>
  <c r="AF1273" i="10"/>
  <c r="AE1273" i="10"/>
  <c r="AC1273" i="10"/>
  <c r="AB1273" i="10"/>
  <c r="AD1273" i="10"/>
  <c r="F289" i="14"/>
  <c r="AO283" i="12"/>
  <c r="AL283" i="12" s="1"/>
  <c r="AM284" i="12"/>
  <c r="AP283" i="12"/>
  <c r="AQ283" i="12"/>
  <c r="AN283" i="12"/>
  <c r="D287" i="14"/>
  <c r="V1274" i="10"/>
  <c r="U1274" i="10" s="1"/>
  <c r="X1274" i="10" s="1"/>
  <c r="Y1274" i="10" s="1"/>
  <c r="Z1274" i="10" s="1"/>
  <c r="W1275" i="10"/>
  <c r="T1274" i="10"/>
  <c r="AT225" i="11" l="1"/>
  <c r="AJ225" i="11"/>
  <c r="AO226" i="11"/>
  <c r="AN226" i="11"/>
  <c r="AL226" i="11"/>
  <c r="AM226" i="11"/>
  <c r="AP226" i="11"/>
  <c r="AK227" i="11"/>
  <c r="AR225" i="11"/>
  <c r="AQ225" i="11"/>
  <c r="AB1274" i="10"/>
  <c r="AF1274" i="10" s="1"/>
  <c r="W1276" i="10"/>
  <c r="V1275" i="10"/>
  <c r="U1275" i="10" s="1"/>
  <c r="X1275" i="10" s="1"/>
  <c r="Y1275" i="10" s="1"/>
  <c r="Z1275" i="10" s="1"/>
  <c r="T1275" i="10"/>
  <c r="D288" i="14"/>
  <c r="F290" i="14"/>
  <c r="AO284" i="12"/>
  <c r="AL284" i="12" s="1"/>
  <c r="AM285" i="12"/>
  <c r="AQ284" i="12"/>
  <c r="AP284" i="12"/>
  <c r="AN284" i="12"/>
  <c r="AT226" i="11" l="1"/>
  <c r="AJ226" i="11"/>
  <c r="AQ226" i="11"/>
  <c r="AR226" i="11"/>
  <c r="AK228" i="11"/>
  <c r="AP227" i="11"/>
  <c r="AO227" i="11"/>
  <c r="AL227" i="11"/>
  <c r="AM227" i="11"/>
  <c r="AN227" i="11"/>
  <c r="AC1274" i="10"/>
  <c r="AO285" i="12"/>
  <c r="AL285" i="12" s="1"/>
  <c r="AM286" i="12"/>
  <c r="AN285" i="12"/>
  <c r="AQ285" i="12"/>
  <c r="AP285" i="12"/>
  <c r="AB1275" i="10"/>
  <c r="AF1275" i="10" s="1"/>
  <c r="V1276" i="10"/>
  <c r="U1276" i="10" s="1"/>
  <c r="X1276" i="10" s="1"/>
  <c r="Y1276" i="10" s="1"/>
  <c r="Z1276" i="10" s="1"/>
  <c r="W1277" i="10"/>
  <c r="T1276" i="10"/>
  <c r="F291" i="14"/>
  <c r="D289" i="14"/>
  <c r="AT227" i="11" l="1"/>
  <c r="AJ227" i="11"/>
  <c r="AQ227" i="11"/>
  <c r="AR227" i="11"/>
  <c r="AN228" i="11"/>
  <c r="AP228" i="11"/>
  <c r="AK229" i="11"/>
  <c r="AL228" i="11"/>
  <c r="AO228" i="11"/>
  <c r="AM228" i="11"/>
  <c r="AD1274" i="10"/>
  <c r="AE1274" i="10" s="1"/>
  <c r="AC1275" i="10"/>
  <c r="D290" i="14"/>
  <c r="F292" i="14"/>
  <c r="AB1276" i="10"/>
  <c r="AF1276" i="10" s="1"/>
  <c r="V1277" i="10"/>
  <c r="U1277" i="10" s="1"/>
  <c r="X1277" i="10" s="1"/>
  <c r="Y1277" i="10" s="1"/>
  <c r="Z1277" i="10" s="1"/>
  <c r="W1278" i="10"/>
  <c r="T1277" i="10"/>
  <c r="AO286" i="12"/>
  <c r="AL286" i="12" s="1"/>
  <c r="AN286" i="12"/>
  <c r="AP286" i="12"/>
  <c r="AM287" i="12"/>
  <c r="AQ286" i="12"/>
  <c r="AT228" i="11" l="1"/>
  <c r="AJ228" i="11"/>
  <c r="AN229" i="11"/>
  <c r="AO229" i="11"/>
  <c r="AP229" i="11"/>
  <c r="AL229" i="11"/>
  <c r="AK230" i="11"/>
  <c r="AM229" i="11"/>
  <c r="AR228" i="11"/>
  <c r="AQ228" i="11"/>
  <c r="AD1275" i="10"/>
  <c r="AE1275" i="10" s="1"/>
  <c r="AC1276" i="10"/>
  <c r="AB1277" i="10"/>
  <c r="AF1277" i="10" s="1"/>
  <c r="D291" i="14"/>
  <c r="F293" i="14"/>
  <c r="AO287" i="12"/>
  <c r="AL287" i="12" s="1"/>
  <c r="AM288" i="12"/>
  <c r="AP287" i="12"/>
  <c r="AQ287" i="12"/>
  <c r="AN287" i="12"/>
  <c r="V1278" i="10"/>
  <c r="U1278" i="10" s="1"/>
  <c r="X1278" i="10" s="1"/>
  <c r="Y1278" i="10" s="1"/>
  <c r="Z1278" i="10" s="1"/>
  <c r="W1279" i="10"/>
  <c r="T1278" i="10"/>
  <c r="AT229" i="11" l="1"/>
  <c r="AJ229" i="11"/>
  <c r="AQ229" i="11"/>
  <c r="AR229" i="11"/>
  <c r="AL230" i="11"/>
  <c r="AN230" i="11"/>
  <c r="AP230" i="11"/>
  <c r="AK231" i="11"/>
  <c r="AM230" i="11"/>
  <c r="AO230" i="11"/>
  <c r="AD1276" i="10"/>
  <c r="AE1276" i="10" s="1"/>
  <c r="AC1277" i="10"/>
  <c r="AD1277" i="10" s="1"/>
  <c r="F294" i="14"/>
  <c r="D292" i="14"/>
  <c r="W1280" i="10"/>
  <c r="V1279" i="10"/>
  <c r="U1279" i="10" s="1"/>
  <c r="X1279" i="10" s="1"/>
  <c r="Y1279" i="10" s="1"/>
  <c r="Z1279" i="10" s="1"/>
  <c r="T1279" i="10"/>
  <c r="AB1278" i="10"/>
  <c r="AF1278" i="10" s="1"/>
  <c r="AO288" i="12"/>
  <c r="AL288" i="12" s="1"/>
  <c r="AM289" i="12"/>
  <c r="AQ288" i="12"/>
  <c r="AN288" i="12"/>
  <c r="AP288" i="12"/>
  <c r="AT230" i="11" l="1"/>
  <c r="AJ230" i="11"/>
  <c r="AR230" i="11"/>
  <c r="AQ230" i="11"/>
  <c r="AL231" i="11"/>
  <c r="AM231" i="11"/>
  <c r="AK232" i="11"/>
  <c r="AO231" i="11"/>
  <c r="AN231" i="11"/>
  <c r="AP231" i="11"/>
  <c r="AE1277" i="10"/>
  <c r="AC1278" i="10"/>
  <c r="AD1278" i="10" s="1"/>
  <c r="AE1278" i="10" s="1"/>
  <c r="AO289" i="12"/>
  <c r="AL289" i="12" s="1"/>
  <c r="AM290" i="12"/>
  <c r="AN289" i="12"/>
  <c r="AQ289" i="12"/>
  <c r="AP289" i="12"/>
  <c r="AB1279" i="10"/>
  <c r="AF1279" i="10" s="1"/>
  <c r="V1280" i="10"/>
  <c r="U1280" i="10" s="1"/>
  <c r="X1280" i="10" s="1"/>
  <c r="Y1280" i="10" s="1"/>
  <c r="Z1280" i="10" s="1"/>
  <c r="W1281" i="10"/>
  <c r="T1280" i="10"/>
  <c r="D293" i="14"/>
  <c r="F295" i="14"/>
  <c r="AT231" i="11" l="1"/>
  <c r="AJ231" i="11"/>
  <c r="AL232" i="11"/>
  <c r="AN232" i="11"/>
  <c r="AP232" i="11"/>
  <c r="AK233" i="11"/>
  <c r="AO232" i="11"/>
  <c r="AM232" i="11"/>
  <c r="AQ231" i="11"/>
  <c r="AR231" i="11"/>
  <c r="AC1279" i="10"/>
  <c r="AD1279" i="10" s="1"/>
  <c r="AE1279" i="10" s="1"/>
  <c r="AB1280" i="10"/>
  <c r="AF1280" i="10" s="1"/>
  <c r="F296" i="14"/>
  <c r="D294" i="14"/>
  <c r="V1281" i="10"/>
  <c r="U1281" i="10" s="1"/>
  <c r="X1281" i="10" s="1"/>
  <c r="Y1281" i="10" s="1"/>
  <c r="Z1281" i="10" s="1"/>
  <c r="W1282" i="10"/>
  <c r="T1281" i="10"/>
  <c r="AO290" i="12"/>
  <c r="AL290" i="12" s="1"/>
  <c r="AN290" i="12"/>
  <c r="AP290" i="12"/>
  <c r="AM291" i="12"/>
  <c r="AQ290" i="12"/>
  <c r="AT232" i="11" l="1"/>
  <c r="AJ232" i="11"/>
  <c r="AL233" i="11"/>
  <c r="AN233" i="11"/>
  <c r="AK234" i="11"/>
  <c r="AO233" i="11"/>
  <c r="AM233" i="11"/>
  <c r="AP233" i="11"/>
  <c r="AQ232" i="11"/>
  <c r="AR232" i="11"/>
  <c r="AC1280" i="10"/>
  <c r="AD1280" i="10" s="1"/>
  <c r="AE1280" i="10" s="1"/>
  <c r="AB1281" i="10"/>
  <c r="AC1281" i="10" s="1"/>
  <c r="D295" i="14"/>
  <c r="F297" i="14"/>
  <c r="AO291" i="12"/>
  <c r="AL291" i="12" s="1"/>
  <c r="AM292" i="12"/>
  <c r="AP291" i="12"/>
  <c r="AQ291" i="12"/>
  <c r="AN291" i="12"/>
  <c r="V1282" i="10"/>
  <c r="U1282" i="10" s="1"/>
  <c r="X1282" i="10" s="1"/>
  <c r="Y1282" i="10" s="1"/>
  <c r="Z1282" i="10" s="1"/>
  <c r="W1283" i="10"/>
  <c r="T1282" i="10"/>
  <c r="AT233" i="11" l="1"/>
  <c r="AJ233" i="11"/>
  <c r="AP234" i="11"/>
  <c r="AO234" i="11"/>
  <c r="AL234" i="11"/>
  <c r="AK235" i="11"/>
  <c r="AN234" i="11"/>
  <c r="AM234" i="11"/>
  <c r="AR233" i="11"/>
  <c r="AQ233" i="11"/>
  <c r="AF1281" i="10"/>
  <c r="AD1281" i="10"/>
  <c r="AE1281" i="10" s="1"/>
  <c r="AB1282" i="10"/>
  <c r="AF1282" i="10" s="1"/>
  <c r="F298" i="14"/>
  <c r="D296" i="14"/>
  <c r="W1284" i="10"/>
  <c r="V1283" i="10"/>
  <c r="U1283" i="10" s="1"/>
  <c r="X1283" i="10" s="1"/>
  <c r="Y1283" i="10" s="1"/>
  <c r="Z1283" i="10" s="1"/>
  <c r="T1283" i="10"/>
  <c r="AO292" i="12"/>
  <c r="AL292" i="12" s="1"/>
  <c r="AM293" i="12"/>
  <c r="AQ292" i="12"/>
  <c r="AP292" i="12"/>
  <c r="AN292" i="12"/>
  <c r="AT234" i="11" l="1"/>
  <c r="AJ234" i="11"/>
  <c r="AP235" i="11"/>
  <c r="AM235" i="11"/>
  <c r="AO235" i="11"/>
  <c r="AK236" i="11"/>
  <c r="AN235" i="11"/>
  <c r="AL235" i="11"/>
  <c r="AQ234" i="11"/>
  <c r="AR234" i="11"/>
  <c r="AC1282" i="10"/>
  <c r="AO293" i="12"/>
  <c r="AL293" i="12" s="1"/>
  <c r="AM294" i="12"/>
  <c r="AN293" i="12"/>
  <c r="AP293" i="12"/>
  <c r="AQ293" i="12"/>
  <c r="V1284" i="10"/>
  <c r="U1284" i="10" s="1"/>
  <c r="X1284" i="10" s="1"/>
  <c r="Y1284" i="10" s="1"/>
  <c r="Z1284" i="10" s="1"/>
  <c r="W1285" i="10"/>
  <c r="T1284" i="10"/>
  <c r="AB1283" i="10"/>
  <c r="AF1283" i="10" s="1"/>
  <c r="D297" i="14"/>
  <c r="F299" i="14"/>
  <c r="AT235" i="11" l="1"/>
  <c r="AJ235" i="11"/>
  <c r="AL236" i="11"/>
  <c r="AO236" i="11"/>
  <c r="AP236" i="11"/>
  <c r="AM236" i="11"/>
  <c r="AK237" i="11"/>
  <c r="AN236" i="11"/>
  <c r="AQ235" i="11"/>
  <c r="AR235" i="11"/>
  <c r="AC1283" i="10"/>
  <c r="AD1283" i="10" s="1"/>
  <c r="AD1282" i="10"/>
  <c r="AE1282" i="10" s="1"/>
  <c r="V1285" i="10"/>
  <c r="U1285" i="10" s="1"/>
  <c r="X1285" i="10" s="1"/>
  <c r="Y1285" i="10" s="1"/>
  <c r="Z1285" i="10" s="1"/>
  <c r="W1286" i="10"/>
  <c r="T1285" i="10"/>
  <c r="F300" i="14"/>
  <c r="D298" i="14"/>
  <c r="AB1284" i="10"/>
  <c r="AF1284" i="10" s="1"/>
  <c r="AC1284" i="10"/>
  <c r="AD1284" i="10" s="1"/>
  <c r="AO294" i="12"/>
  <c r="AL294" i="12" s="1"/>
  <c r="AN294" i="12"/>
  <c r="AP294" i="12"/>
  <c r="AM295" i="12"/>
  <c r="AQ294" i="12"/>
  <c r="AT236" i="11" l="1"/>
  <c r="AJ236" i="11"/>
  <c r="AE1284" i="10"/>
  <c r="AR236" i="11"/>
  <c r="AQ236" i="11"/>
  <c r="AM237" i="11"/>
  <c r="AL237" i="11"/>
  <c r="AN237" i="11"/>
  <c r="AO237" i="11"/>
  <c r="AK238" i="11"/>
  <c r="AP237" i="11"/>
  <c r="AE1283" i="10"/>
  <c r="AB1285" i="10"/>
  <c r="AF1285" i="10" s="1"/>
  <c r="D299" i="14"/>
  <c r="F301" i="14"/>
  <c r="AO295" i="12"/>
  <c r="AL295" i="12" s="1"/>
  <c r="AM296" i="12"/>
  <c r="AP295" i="12"/>
  <c r="AQ295" i="12"/>
  <c r="AN295" i="12"/>
  <c r="V1286" i="10"/>
  <c r="U1286" i="10" s="1"/>
  <c r="X1286" i="10" s="1"/>
  <c r="Y1286" i="10" s="1"/>
  <c r="Z1286" i="10" s="1"/>
  <c r="W1287" i="10"/>
  <c r="T1286" i="10"/>
  <c r="AT237" i="11" l="1"/>
  <c r="AJ237" i="11"/>
  <c r="AC1285" i="10"/>
  <c r="AN238" i="11"/>
  <c r="AP238" i="11"/>
  <c r="AO238" i="11"/>
  <c r="AL238" i="11"/>
  <c r="AK239" i="11"/>
  <c r="AM238" i="11"/>
  <c r="AR237" i="11"/>
  <c r="AQ237" i="11"/>
  <c r="AB1286" i="10"/>
  <c r="AD1286" i="10"/>
  <c r="AF1286" i="10"/>
  <c r="AC1286" i="10"/>
  <c r="AE1286" i="10" s="1"/>
  <c r="F302" i="14"/>
  <c r="D300" i="14"/>
  <c r="W1288" i="10"/>
  <c r="V1287" i="10"/>
  <c r="U1287" i="10" s="1"/>
  <c r="X1287" i="10" s="1"/>
  <c r="Y1287" i="10" s="1"/>
  <c r="Z1287" i="10" s="1"/>
  <c r="T1287" i="10"/>
  <c r="AO296" i="12"/>
  <c r="AL296" i="12" s="1"/>
  <c r="AM297" i="12"/>
  <c r="AQ296" i="12"/>
  <c r="AP296" i="12"/>
  <c r="AN296" i="12"/>
  <c r="AT238" i="11" l="1"/>
  <c r="AJ238" i="11"/>
  <c r="AD1285" i="10"/>
  <c r="AE1285" i="10" s="1"/>
  <c r="AQ238" i="11"/>
  <c r="AR238" i="11"/>
  <c r="AO239" i="11"/>
  <c r="AN239" i="11"/>
  <c r="AM239" i="11"/>
  <c r="AK240" i="11"/>
  <c r="AL239" i="11"/>
  <c r="AP239" i="11"/>
  <c r="AO297" i="12"/>
  <c r="AL297" i="12" s="1"/>
  <c r="AM298" i="12"/>
  <c r="AN297" i="12"/>
  <c r="AQ297" i="12"/>
  <c r="AP297" i="12"/>
  <c r="AF1287" i="10"/>
  <c r="AC1287" i="10"/>
  <c r="AE1287" i="10"/>
  <c r="AD1287" i="10"/>
  <c r="AB1287" i="10"/>
  <c r="V1288" i="10"/>
  <c r="U1288" i="10" s="1"/>
  <c r="X1288" i="10" s="1"/>
  <c r="Y1288" i="10" s="1"/>
  <c r="Z1288" i="10" s="1"/>
  <c r="W1289" i="10"/>
  <c r="T1288" i="10"/>
  <c r="D301" i="14"/>
  <c r="F303" i="14"/>
  <c r="AT239" i="11" l="1"/>
  <c r="AJ239" i="11"/>
  <c r="AO240" i="11"/>
  <c r="AK241" i="11"/>
  <c r="AL240" i="11"/>
  <c r="AN240" i="11"/>
  <c r="AP240" i="11"/>
  <c r="AM240" i="11"/>
  <c r="AQ239" i="11"/>
  <c r="AR239" i="11"/>
  <c r="AB1288" i="10"/>
  <c r="AF1288" i="10" s="1"/>
  <c r="AC1288" i="10"/>
  <c r="AD1288" i="10" s="1"/>
  <c r="F304" i="14"/>
  <c r="D302" i="14"/>
  <c r="V1289" i="10"/>
  <c r="U1289" i="10" s="1"/>
  <c r="X1289" i="10" s="1"/>
  <c r="Y1289" i="10" s="1"/>
  <c r="Z1289" i="10" s="1"/>
  <c r="W1290" i="10"/>
  <c r="T1289" i="10"/>
  <c r="AO298" i="12"/>
  <c r="AL298" i="12" s="1"/>
  <c r="AN298" i="12"/>
  <c r="AP298" i="12"/>
  <c r="AM299" i="12"/>
  <c r="AQ298" i="12"/>
  <c r="AT240" i="11" l="1"/>
  <c r="AJ240" i="11"/>
  <c r="AM241" i="11"/>
  <c r="AN241" i="11"/>
  <c r="AO241" i="11"/>
  <c r="AK242" i="11"/>
  <c r="AP241" i="11"/>
  <c r="AL241" i="11"/>
  <c r="AQ240" i="11"/>
  <c r="AR240" i="11"/>
  <c r="AE1288" i="10"/>
  <c r="F305" i="14"/>
  <c r="AO299" i="12"/>
  <c r="AL299" i="12" s="1"/>
  <c r="AM300" i="12"/>
  <c r="AP299" i="12"/>
  <c r="AQ299" i="12"/>
  <c r="AN299" i="12"/>
  <c r="V1290" i="10"/>
  <c r="U1290" i="10" s="1"/>
  <c r="X1290" i="10" s="1"/>
  <c r="Y1290" i="10" s="1"/>
  <c r="Z1290" i="10" s="1"/>
  <c r="W1291" i="10"/>
  <c r="T1290" i="10"/>
  <c r="D303" i="14"/>
  <c r="AB1289" i="10"/>
  <c r="AC1289" i="10" s="1"/>
  <c r="AD1289" i="10" s="1"/>
  <c r="AT241" i="11" l="1"/>
  <c r="AJ241" i="11"/>
  <c r="AK243" i="11"/>
  <c r="AN242" i="11"/>
  <c r="AM242" i="11"/>
  <c r="AP242" i="11"/>
  <c r="AO242" i="11"/>
  <c r="AL242" i="11"/>
  <c r="AR241" i="11"/>
  <c r="AQ241" i="11"/>
  <c r="AF1289" i="10"/>
  <c r="AE1289" i="10"/>
  <c r="D304" i="14"/>
  <c r="W1292" i="10"/>
  <c r="V1291" i="10"/>
  <c r="U1291" i="10" s="1"/>
  <c r="X1291" i="10" s="1"/>
  <c r="Y1291" i="10" s="1"/>
  <c r="Z1291" i="10" s="1"/>
  <c r="T1291" i="10"/>
  <c r="AB1290" i="10"/>
  <c r="AF1290" i="10" s="1"/>
  <c r="F306" i="14"/>
  <c r="AO300" i="12"/>
  <c r="AL300" i="12" s="1"/>
  <c r="AM301" i="12"/>
  <c r="AQ300" i="12"/>
  <c r="AP300" i="12"/>
  <c r="AN300" i="12"/>
  <c r="AT242" i="11" l="1"/>
  <c r="AJ242" i="11"/>
  <c r="AQ242" i="11"/>
  <c r="AR242" i="11"/>
  <c r="AP243" i="11"/>
  <c r="AK244" i="11"/>
  <c r="AO243" i="11"/>
  <c r="AM243" i="11"/>
  <c r="AN243" i="11"/>
  <c r="AL243" i="11"/>
  <c r="AC1290" i="10"/>
  <c r="AD1290" i="10" s="1"/>
  <c r="AO301" i="12"/>
  <c r="AL301" i="12" s="1"/>
  <c r="AM302" i="12"/>
  <c r="AN301" i="12"/>
  <c r="AP301" i="12"/>
  <c r="AQ301" i="12"/>
  <c r="V1292" i="10"/>
  <c r="U1292" i="10" s="1"/>
  <c r="X1292" i="10" s="1"/>
  <c r="Y1292" i="10" s="1"/>
  <c r="Z1292" i="10" s="1"/>
  <c r="W1293" i="10"/>
  <c r="T1292" i="10"/>
  <c r="D305" i="14"/>
  <c r="AB1291" i="10"/>
  <c r="AF1291" i="10" s="1"/>
  <c r="F307" i="14"/>
  <c r="AT243" i="11" l="1"/>
  <c r="AJ243" i="11"/>
  <c r="AQ243" i="11"/>
  <c r="AR243" i="11"/>
  <c r="AP244" i="11"/>
  <c r="AL244" i="11"/>
  <c r="AK245" i="11"/>
  <c r="AM244" i="11"/>
  <c r="AN244" i="11"/>
  <c r="AO244" i="11"/>
  <c r="AE1290" i="10"/>
  <c r="AC1291" i="10"/>
  <c r="AD1291" i="10" s="1"/>
  <c r="F308" i="14"/>
  <c r="V1293" i="10"/>
  <c r="U1293" i="10" s="1"/>
  <c r="X1293" i="10" s="1"/>
  <c r="Y1293" i="10" s="1"/>
  <c r="Z1293" i="10" s="1"/>
  <c r="W1294" i="10"/>
  <c r="T1293" i="10"/>
  <c r="D306" i="14"/>
  <c r="AB1292" i="10"/>
  <c r="AC1292" i="10" s="1"/>
  <c r="AO302" i="12"/>
  <c r="AL302" i="12" s="1"/>
  <c r="AN302" i="12"/>
  <c r="AP302" i="12"/>
  <c r="AM303" i="12"/>
  <c r="AQ302" i="12"/>
  <c r="AT244" i="11" l="1"/>
  <c r="AJ244" i="11"/>
  <c r="AQ244" i="11"/>
  <c r="AR244" i="11"/>
  <c r="AL245" i="11"/>
  <c r="AK246" i="11"/>
  <c r="AN245" i="11"/>
  <c r="AO245" i="11"/>
  <c r="AP245" i="11"/>
  <c r="AM245" i="11"/>
  <c r="AE1291" i="10"/>
  <c r="AD1292" i="10"/>
  <c r="AE1292" i="10" s="1"/>
  <c r="AF1292" i="10"/>
  <c r="AB1293" i="10"/>
  <c r="AF1293" i="10"/>
  <c r="AC1293" i="10"/>
  <c r="AD1293" i="10" s="1"/>
  <c r="AO303" i="12"/>
  <c r="AL303" i="12" s="1"/>
  <c r="AM304" i="12"/>
  <c r="AP303" i="12"/>
  <c r="AQ303" i="12"/>
  <c r="AN303" i="12"/>
  <c r="D307" i="14"/>
  <c r="V1294" i="10"/>
  <c r="U1294" i="10" s="1"/>
  <c r="X1294" i="10" s="1"/>
  <c r="Y1294" i="10" s="1"/>
  <c r="Z1294" i="10" s="1"/>
  <c r="W1295" i="10"/>
  <c r="T1294" i="10"/>
  <c r="F309" i="14"/>
  <c r="AT245" i="11" l="1"/>
  <c r="AJ245" i="11"/>
  <c r="AR245" i="11"/>
  <c r="AQ245" i="11"/>
  <c r="AO246" i="11"/>
  <c r="AL246" i="11"/>
  <c r="AM246" i="11"/>
  <c r="AN246" i="11"/>
  <c r="AP246" i="11"/>
  <c r="AK247" i="11"/>
  <c r="AE1293" i="10"/>
  <c r="AB1294" i="10"/>
  <c r="AF1294" i="10" s="1"/>
  <c r="D308" i="14"/>
  <c r="W1296" i="10"/>
  <c r="V1295" i="10"/>
  <c r="U1295" i="10" s="1"/>
  <c r="X1295" i="10" s="1"/>
  <c r="Y1295" i="10" s="1"/>
  <c r="Z1295" i="10" s="1"/>
  <c r="T1295" i="10"/>
  <c r="AO304" i="12"/>
  <c r="AL304" i="12" s="1"/>
  <c r="AM305" i="12"/>
  <c r="AQ304" i="12"/>
  <c r="AN304" i="12"/>
  <c r="AP304" i="12"/>
  <c r="F310" i="14"/>
  <c r="AT246" i="11" l="1"/>
  <c r="AJ246" i="11"/>
  <c r="AR246" i="11"/>
  <c r="AQ246" i="11"/>
  <c r="AK248" i="11"/>
  <c r="AN247" i="11"/>
  <c r="AM247" i="11"/>
  <c r="AO247" i="11"/>
  <c r="AP247" i="11"/>
  <c r="AL247" i="11"/>
  <c r="AC1294" i="10"/>
  <c r="AD1294" i="10" s="1"/>
  <c r="AE1294" i="10" s="1"/>
  <c r="F311" i="14"/>
  <c r="AO305" i="12"/>
  <c r="AL305" i="12" s="1"/>
  <c r="AM306" i="12"/>
  <c r="AN305" i="12"/>
  <c r="AQ305" i="12"/>
  <c r="AP305" i="12"/>
  <c r="AB1295" i="10"/>
  <c r="AF1295" i="10"/>
  <c r="AC1295" i="10"/>
  <c r="AD1295" i="10" s="1"/>
  <c r="AE1295" i="10" s="1"/>
  <c r="V1296" i="10"/>
  <c r="U1296" i="10" s="1"/>
  <c r="X1296" i="10" s="1"/>
  <c r="Y1296" i="10" s="1"/>
  <c r="Z1296" i="10" s="1"/>
  <c r="W1297" i="10"/>
  <c r="T1296" i="10"/>
  <c r="D309" i="14"/>
  <c r="AT247" i="11" l="1"/>
  <c r="AJ247" i="11"/>
  <c r="AP248" i="11"/>
  <c r="AO248" i="11"/>
  <c r="AM248" i="11"/>
  <c r="AN248" i="11"/>
  <c r="AK249" i="11"/>
  <c r="AL248" i="11"/>
  <c r="AR247" i="11"/>
  <c r="AQ247" i="11"/>
  <c r="D310" i="14"/>
  <c r="V1297" i="10"/>
  <c r="U1297" i="10" s="1"/>
  <c r="X1297" i="10" s="1"/>
  <c r="Y1297" i="10" s="1"/>
  <c r="Z1297" i="10" s="1"/>
  <c r="W1298" i="10"/>
  <c r="T1297" i="10"/>
  <c r="F312" i="14"/>
  <c r="AB1296" i="10"/>
  <c r="AF1296" i="10" s="1"/>
  <c r="AO306" i="12"/>
  <c r="AL306" i="12" s="1"/>
  <c r="AN306" i="12"/>
  <c r="AP306" i="12"/>
  <c r="AM307" i="12"/>
  <c r="AQ306" i="12"/>
  <c r="AT248" i="11" l="1"/>
  <c r="AJ248" i="11"/>
  <c r="AR248" i="11"/>
  <c r="AQ248" i="11"/>
  <c r="AN249" i="11"/>
  <c r="AP249" i="11"/>
  <c r="AL249" i="11"/>
  <c r="AM249" i="11"/>
  <c r="AO249" i="11"/>
  <c r="AK250" i="11"/>
  <c r="AC1296" i="10"/>
  <c r="AD1296" i="10" s="1"/>
  <c r="AE1296" i="10" s="1"/>
  <c r="AB1297" i="10"/>
  <c r="AF1297" i="10" s="1"/>
  <c r="AO307" i="12"/>
  <c r="AL307" i="12" s="1"/>
  <c r="AM308" i="12"/>
  <c r="AP307" i="12"/>
  <c r="AQ307" i="12"/>
  <c r="AN307" i="12"/>
  <c r="F313" i="14"/>
  <c r="D311" i="14"/>
  <c r="V1298" i="10"/>
  <c r="U1298" i="10" s="1"/>
  <c r="X1298" i="10" s="1"/>
  <c r="Y1298" i="10" s="1"/>
  <c r="Z1298" i="10" s="1"/>
  <c r="W1299" i="10"/>
  <c r="T1298" i="10"/>
  <c r="AT249" i="11" l="1"/>
  <c r="AJ249" i="11"/>
  <c r="AC1297" i="10"/>
  <c r="AD1297" i="10" s="1"/>
  <c r="AE1297" i="10" s="1"/>
  <c r="AR249" i="11"/>
  <c r="AQ249" i="11"/>
  <c r="AM250" i="11"/>
  <c r="AL250" i="11"/>
  <c r="AK251" i="11"/>
  <c r="AP250" i="11"/>
  <c r="AO250" i="11"/>
  <c r="AN250" i="11"/>
  <c r="D312" i="14"/>
  <c r="F314" i="14"/>
  <c r="AO308" i="12"/>
  <c r="AL308" i="12" s="1"/>
  <c r="AM309" i="12"/>
  <c r="AQ308" i="12"/>
  <c r="AP308" i="12"/>
  <c r="AN308" i="12"/>
  <c r="W1300" i="10"/>
  <c r="V1299" i="10"/>
  <c r="U1299" i="10" s="1"/>
  <c r="X1299" i="10" s="1"/>
  <c r="Y1299" i="10" s="1"/>
  <c r="Z1299" i="10" s="1"/>
  <c r="T1299" i="10"/>
  <c r="AB1298" i="10"/>
  <c r="AD1298" i="10"/>
  <c r="AF1298" i="10"/>
  <c r="AE1298" i="10"/>
  <c r="AC1298" i="10"/>
  <c r="AT250" i="11" l="1"/>
  <c r="AJ250" i="11"/>
  <c r="AQ250" i="11"/>
  <c r="AR250" i="11"/>
  <c r="AP251" i="11"/>
  <c r="AL251" i="11"/>
  <c r="AM251" i="11"/>
  <c r="AN251" i="11"/>
  <c r="AO251" i="11"/>
  <c r="AK252" i="11"/>
  <c r="F315" i="14"/>
  <c r="D313" i="14"/>
  <c r="V1300" i="10"/>
  <c r="U1300" i="10" s="1"/>
  <c r="X1300" i="10" s="1"/>
  <c r="Y1300" i="10" s="1"/>
  <c r="Z1300" i="10" s="1"/>
  <c r="W1301" i="10"/>
  <c r="T1300" i="10"/>
  <c r="AO309" i="12"/>
  <c r="AL309" i="12" s="1"/>
  <c r="AM310" i="12"/>
  <c r="AN309" i="12"/>
  <c r="AP309" i="12"/>
  <c r="AQ309" i="12"/>
  <c r="AF1299" i="10"/>
  <c r="AB1299" i="10"/>
  <c r="AC1299" i="10" s="1"/>
  <c r="AT251" i="11" l="1"/>
  <c r="AJ251" i="11"/>
  <c r="AD1299" i="10"/>
  <c r="AE1299" i="10"/>
  <c r="AR251" i="11"/>
  <c r="AQ251" i="11"/>
  <c r="AN252" i="11"/>
  <c r="AO252" i="11"/>
  <c r="AP252" i="11"/>
  <c r="AK253" i="11"/>
  <c r="AL252" i="11"/>
  <c r="AM252" i="11"/>
  <c r="V1301" i="10"/>
  <c r="U1301" i="10" s="1"/>
  <c r="X1301" i="10" s="1"/>
  <c r="Y1301" i="10" s="1"/>
  <c r="Z1301" i="10" s="1"/>
  <c r="W1302" i="10"/>
  <c r="T1301" i="10"/>
  <c r="AO310" i="12"/>
  <c r="AL310" i="12" s="1"/>
  <c r="AN310" i="12"/>
  <c r="AP310" i="12"/>
  <c r="AM311" i="12"/>
  <c r="AQ310" i="12"/>
  <c r="AF1300" i="10"/>
  <c r="AB1300" i="10"/>
  <c r="AC1300" i="10"/>
  <c r="AD1300" i="10" s="1"/>
  <c r="AE1300" i="10" s="1"/>
  <c r="D314" i="14"/>
  <c r="F316" i="14"/>
  <c r="AT252" i="11" l="1"/>
  <c r="AJ252" i="11"/>
  <c r="AO253" i="11"/>
  <c r="AK254" i="11"/>
  <c r="AP253" i="11"/>
  <c r="AL253" i="11"/>
  <c r="AN253" i="11"/>
  <c r="AM253" i="11"/>
  <c r="AR252" i="11"/>
  <c r="AQ252" i="11"/>
  <c r="AF1301" i="10"/>
  <c r="AE1301" i="10"/>
  <c r="AC1301" i="10"/>
  <c r="AB1301" i="10"/>
  <c r="AD1301" i="10"/>
  <c r="AO311" i="12"/>
  <c r="AL311" i="12" s="1"/>
  <c r="AM312" i="12"/>
  <c r="AP311" i="12"/>
  <c r="AQ311" i="12"/>
  <c r="AN311" i="12"/>
  <c r="F317" i="14"/>
  <c r="D315" i="14"/>
  <c r="V1302" i="10"/>
  <c r="U1302" i="10" s="1"/>
  <c r="X1302" i="10" s="1"/>
  <c r="Y1302" i="10" s="1"/>
  <c r="Z1302" i="10" s="1"/>
  <c r="W1303" i="10"/>
  <c r="T1302" i="10"/>
  <c r="AT253" i="11" l="1"/>
  <c r="AJ253" i="11"/>
  <c r="AK255" i="11"/>
  <c r="AL254" i="11"/>
  <c r="AO254" i="11"/>
  <c r="AP254" i="11"/>
  <c r="AM254" i="11"/>
  <c r="AN254" i="11"/>
  <c r="AQ253" i="11"/>
  <c r="AR253" i="11"/>
  <c r="W1304" i="10"/>
  <c r="V1303" i="10"/>
  <c r="U1303" i="10" s="1"/>
  <c r="X1303" i="10" s="1"/>
  <c r="Y1303" i="10" s="1"/>
  <c r="Z1303" i="10" s="1"/>
  <c r="T1303" i="10"/>
  <c r="AB1302" i="10"/>
  <c r="AC1302" i="10" s="1"/>
  <c r="AO312" i="12"/>
  <c r="AL312" i="12" s="1"/>
  <c r="AM313" i="12"/>
  <c r="AQ312" i="12"/>
  <c r="AN312" i="12"/>
  <c r="AP312" i="12"/>
  <c r="D316" i="14"/>
  <c r="F318" i="14"/>
  <c r="AT254" i="11" l="1"/>
  <c r="AJ254" i="11"/>
  <c r="AQ254" i="11"/>
  <c r="AR254" i="11"/>
  <c r="AP255" i="11"/>
  <c r="AN255" i="11"/>
  <c r="AO255" i="11"/>
  <c r="AL255" i="11"/>
  <c r="AM255" i="11"/>
  <c r="AK256" i="11"/>
  <c r="AF1302" i="10"/>
  <c r="AD1302" i="10"/>
  <c r="AE1302" i="10" s="1"/>
  <c r="F319" i="14"/>
  <c r="D317" i="14"/>
  <c r="AO313" i="12"/>
  <c r="AL313" i="12" s="1"/>
  <c r="AM314" i="12"/>
  <c r="AN313" i="12"/>
  <c r="AQ313" i="12"/>
  <c r="AP313" i="12"/>
  <c r="AB1303" i="10"/>
  <c r="AC1303" i="10" s="1"/>
  <c r="V1304" i="10"/>
  <c r="U1304" i="10" s="1"/>
  <c r="X1304" i="10" s="1"/>
  <c r="Y1304" i="10" s="1"/>
  <c r="Z1304" i="10" s="1"/>
  <c r="W1305" i="10"/>
  <c r="T1304" i="10"/>
  <c r="AT255" i="11" l="1"/>
  <c r="AJ255" i="11"/>
  <c r="AR255" i="11"/>
  <c r="AQ255" i="11"/>
  <c r="AP256" i="11"/>
  <c r="AO256" i="11"/>
  <c r="AN256" i="11"/>
  <c r="AK257" i="11"/>
  <c r="AM256" i="11"/>
  <c r="AL256" i="11"/>
  <c r="AD1303" i="10"/>
  <c r="AE1303" i="10" s="1"/>
  <c r="AF1303" i="10"/>
  <c r="AB1304" i="10"/>
  <c r="AF1304" i="10" s="1"/>
  <c r="V1305" i="10"/>
  <c r="U1305" i="10" s="1"/>
  <c r="X1305" i="10" s="1"/>
  <c r="Y1305" i="10" s="1"/>
  <c r="Z1305" i="10" s="1"/>
  <c r="W1306" i="10"/>
  <c r="T1305" i="10"/>
  <c r="AO314" i="12"/>
  <c r="AL314" i="12" s="1"/>
  <c r="AN314" i="12"/>
  <c r="AP314" i="12"/>
  <c r="AQ314" i="12"/>
  <c r="AM315" i="12"/>
  <c r="D318" i="14"/>
  <c r="F320" i="14"/>
  <c r="AT256" i="11" l="1"/>
  <c r="AJ256" i="11"/>
  <c r="AQ256" i="11"/>
  <c r="AR256" i="11"/>
  <c r="AK258" i="11"/>
  <c r="AN257" i="11"/>
  <c r="AL257" i="11"/>
  <c r="AM257" i="11"/>
  <c r="AO257" i="11"/>
  <c r="AP257" i="11"/>
  <c r="AC1304" i="10"/>
  <c r="AD1304" i="10" s="1"/>
  <c r="D319" i="14"/>
  <c r="AB1305" i="10"/>
  <c r="AC1305" i="10" s="1"/>
  <c r="AD1305" i="10" s="1"/>
  <c r="AO315" i="12"/>
  <c r="AL315" i="12" s="1"/>
  <c r="AM316" i="12"/>
  <c r="AP315" i="12"/>
  <c r="AQ315" i="12"/>
  <c r="AN315" i="12"/>
  <c r="F321" i="14"/>
  <c r="V1306" i="10"/>
  <c r="U1306" i="10" s="1"/>
  <c r="X1306" i="10" s="1"/>
  <c r="Y1306" i="10" s="1"/>
  <c r="Z1306" i="10" s="1"/>
  <c r="W1307" i="10"/>
  <c r="T1306" i="10"/>
  <c r="AT257" i="11" l="1"/>
  <c r="AJ257" i="11"/>
  <c r="AN258" i="11"/>
  <c r="AM258" i="11"/>
  <c r="AP258" i="11"/>
  <c r="AL258" i="11"/>
  <c r="AK259" i="11"/>
  <c r="AO258" i="11"/>
  <c r="AR257" i="11"/>
  <c r="AQ257" i="11"/>
  <c r="AE1304" i="10"/>
  <c r="AF1305" i="10"/>
  <c r="AE1305" i="10"/>
  <c r="AB1306" i="10"/>
  <c r="AF1306" i="10" s="1"/>
  <c r="D320" i="14"/>
  <c r="F322" i="14"/>
  <c r="W1308" i="10"/>
  <c r="V1307" i="10"/>
  <c r="U1307" i="10" s="1"/>
  <c r="X1307" i="10" s="1"/>
  <c r="Y1307" i="10" s="1"/>
  <c r="Z1307" i="10" s="1"/>
  <c r="T1307" i="10"/>
  <c r="AO316" i="12"/>
  <c r="AL316" i="12" s="1"/>
  <c r="AM317" i="12"/>
  <c r="AQ316" i="12"/>
  <c r="AP316" i="12"/>
  <c r="AN316" i="12"/>
  <c r="AT258" i="11" l="1"/>
  <c r="AJ258" i="11"/>
  <c r="AR258" i="11"/>
  <c r="AQ258" i="11"/>
  <c r="AN259" i="11"/>
  <c r="AP259" i="11"/>
  <c r="AK260" i="11"/>
  <c r="AO259" i="11"/>
  <c r="AM259" i="11"/>
  <c r="AL259" i="11"/>
  <c r="AC1306" i="10"/>
  <c r="AD1306" i="10" s="1"/>
  <c r="AE1306" i="10" s="1"/>
  <c r="AO317" i="12"/>
  <c r="AL317" i="12" s="1"/>
  <c r="AM318" i="12"/>
  <c r="AN317" i="12"/>
  <c r="AQ317" i="12"/>
  <c r="AP317" i="12"/>
  <c r="AF1307" i="10"/>
  <c r="AB1307" i="10"/>
  <c r="AC1307" i="10"/>
  <c r="AD1307" i="10" s="1"/>
  <c r="AE1307" i="10" s="1"/>
  <c r="F323" i="14"/>
  <c r="D321" i="14"/>
  <c r="V1308" i="10"/>
  <c r="U1308" i="10" s="1"/>
  <c r="X1308" i="10" s="1"/>
  <c r="Y1308" i="10" s="1"/>
  <c r="Z1308" i="10" s="1"/>
  <c r="W1309" i="10"/>
  <c r="T1308" i="10"/>
  <c r="AT259" i="11" l="1"/>
  <c r="AJ259" i="11"/>
  <c r="AQ259" i="11"/>
  <c r="AR259" i="11"/>
  <c r="AK261" i="11"/>
  <c r="AL260" i="11"/>
  <c r="AN260" i="11"/>
  <c r="AP260" i="11"/>
  <c r="AM260" i="11"/>
  <c r="AO260" i="11"/>
  <c r="AB1308" i="10"/>
  <c r="AF1308" i="10" s="1"/>
  <c r="V1309" i="10"/>
  <c r="U1309" i="10" s="1"/>
  <c r="X1309" i="10" s="1"/>
  <c r="Y1309" i="10" s="1"/>
  <c r="Z1309" i="10" s="1"/>
  <c r="W1310" i="10"/>
  <c r="T1309" i="10"/>
  <c r="D322" i="14"/>
  <c r="F324" i="14"/>
  <c r="AO318" i="12"/>
  <c r="AL318" i="12" s="1"/>
  <c r="AN318" i="12"/>
  <c r="AP318" i="12"/>
  <c r="AM319" i="12"/>
  <c r="AQ318" i="12"/>
  <c r="AT260" i="11" l="1"/>
  <c r="AJ260" i="11"/>
  <c r="AQ260" i="11"/>
  <c r="AR260" i="11"/>
  <c r="AM261" i="11"/>
  <c r="AO261" i="11"/>
  <c r="AL261" i="11"/>
  <c r="AN261" i="11"/>
  <c r="AP261" i="11"/>
  <c r="AK262" i="11"/>
  <c r="AC1308" i="10"/>
  <c r="AD1308" i="10" s="1"/>
  <c r="AE1308" i="10" s="1"/>
  <c r="AB1309" i="10"/>
  <c r="AF1309" i="10"/>
  <c r="AC1309" i="10"/>
  <c r="AO319" i="12"/>
  <c r="AL319" i="12" s="1"/>
  <c r="AM320" i="12"/>
  <c r="AP319" i="12"/>
  <c r="AQ319" i="12"/>
  <c r="AN319" i="12"/>
  <c r="F325" i="14"/>
  <c r="D323" i="14"/>
  <c r="V1310" i="10"/>
  <c r="U1310" i="10" s="1"/>
  <c r="X1310" i="10" s="1"/>
  <c r="Y1310" i="10" s="1"/>
  <c r="Z1310" i="10" s="1"/>
  <c r="W1311" i="10"/>
  <c r="T1310" i="10"/>
  <c r="AT261" i="11" l="1"/>
  <c r="AJ261" i="11"/>
  <c r="AQ261" i="11"/>
  <c r="AR261" i="11"/>
  <c r="AM262" i="11"/>
  <c r="AL262" i="11"/>
  <c r="AK263" i="11"/>
  <c r="AO262" i="11"/>
  <c r="AP262" i="11"/>
  <c r="AN262" i="11"/>
  <c r="AD1309" i="10"/>
  <c r="AE1309" i="10" s="1"/>
  <c r="W1312" i="10"/>
  <c r="V1311" i="10"/>
  <c r="U1311" i="10" s="1"/>
  <c r="X1311" i="10" s="1"/>
  <c r="Y1311" i="10" s="1"/>
  <c r="Z1311" i="10" s="1"/>
  <c r="T1311" i="10"/>
  <c r="D324" i="14"/>
  <c r="F326" i="14"/>
  <c r="AO320" i="12"/>
  <c r="AL320" i="12" s="1"/>
  <c r="AM321" i="12"/>
  <c r="AQ320" i="12"/>
  <c r="AP320" i="12"/>
  <c r="AN320" i="12"/>
  <c r="AB1310" i="10"/>
  <c r="AF1310" i="10" s="1"/>
  <c r="AT262" i="11" l="1"/>
  <c r="AJ262" i="11"/>
  <c r="AQ262" i="11"/>
  <c r="AR262" i="11"/>
  <c r="AK264" i="11"/>
  <c r="AL263" i="11"/>
  <c r="AO263" i="11"/>
  <c r="AP263" i="11"/>
  <c r="AN263" i="11"/>
  <c r="AM263" i="11"/>
  <c r="AC1310" i="10"/>
  <c r="F327" i="14"/>
  <c r="D325" i="14"/>
  <c r="AO321" i="12"/>
  <c r="AL321" i="12" s="1"/>
  <c r="AM322" i="12"/>
  <c r="AN321" i="12"/>
  <c r="AQ321" i="12"/>
  <c r="AP321" i="12"/>
  <c r="AB1311" i="10"/>
  <c r="AF1311" i="10" s="1"/>
  <c r="V1312" i="10"/>
  <c r="U1312" i="10" s="1"/>
  <c r="X1312" i="10" s="1"/>
  <c r="Y1312" i="10" s="1"/>
  <c r="Z1312" i="10" s="1"/>
  <c r="W1313" i="10"/>
  <c r="T1312" i="10"/>
  <c r="AT263" i="11" l="1"/>
  <c r="AJ263" i="11"/>
  <c r="AC1311" i="10"/>
  <c r="AM264" i="11"/>
  <c r="AN264" i="11"/>
  <c r="AO264" i="11"/>
  <c r="AL264" i="11"/>
  <c r="AK265" i="11"/>
  <c r="AP264" i="11"/>
  <c r="AR263" i="11"/>
  <c r="AQ263" i="11"/>
  <c r="AD1310" i="10"/>
  <c r="AE1310" i="10" s="1"/>
  <c r="AD1312" i="10"/>
  <c r="AE1312" i="10"/>
  <c r="AB1312" i="10"/>
  <c r="AC1312" i="10"/>
  <c r="AF1312" i="10"/>
  <c r="V1313" i="10"/>
  <c r="U1313" i="10" s="1"/>
  <c r="X1313" i="10" s="1"/>
  <c r="Y1313" i="10" s="1"/>
  <c r="Z1313" i="10" s="1"/>
  <c r="W1314" i="10"/>
  <c r="T1313" i="10"/>
  <c r="AO322" i="12"/>
  <c r="AL322" i="12" s="1"/>
  <c r="AN322" i="12"/>
  <c r="AP322" i="12"/>
  <c r="AM323" i="12"/>
  <c r="AQ322" i="12"/>
  <c r="D326" i="14"/>
  <c r="F328" i="14"/>
  <c r="AT264" i="11" l="1"/>
  <c r="AJ264" i="11"/>
  <c r="AD1311" i="10"/>
  <c r="AE1311" i="10" s="1"/>
  <c r="AM265" i="11"/>
  <c r="AP265" i="11"/>
  <c r="AN265" i="11"/>
  <c r="AK266" i="11"/>
  <c r="AL265" i="11"/>
  <c r="AO265" i="11"/>
  <c r="AQ264" i="11"/>
  <c r="AR264" i="11"/>
  <c r="AB1313" i="10"/>
  <c r="AC1313" i="10" s="1"/>
  <c r="F329" i="14"/>
  <c r="D327" i="14"/>
  <c r="AO323" i="12"/>
  <c r="AL323" i="12" s="1"/>
  <c r="AM324" i="12"/>
  <c r="AP323" i="12"/>
  <c r="AQ323" i="12"/>
  <c r="AN323" i="12"/>
  <c r="V1314" i="10"/>
  <c r="U1314" i="10" s="1"/>
  <c r="X1314" i="10" s="1"/>
  <c r="Y1314" i="10" s="1"/>
  <c r="Z1314" i="10" s="1"/>
  <c r="W1315" i="10"/>
  <c r="T1314" i="10"/>
  <c r="AT265" i="11" l="1"/>
  <c r="AJ265" i="11"/>
  <c r="AF1313" i="10"/>
  <c r="AP266" i="11"/>
  <c r="AL266" i="11"/>
  <c r="AK267" i="11"/>
  <c r="AM266" i="11"/>
  <c r="AN266" i="11"/>
  <c r="AO266" i="11"/>
  <c r="AQ265" i="11"/>
  <c r="AR265" i="11"/>
  <c r="AD1313" i="10"/>
  <c r="AE1313" i="10" s="1"/>
  <c r="AB1314" i="10"/>
  <c r="AF1314" i="10" s="1"/>
  <c r="W1316" i="10"/>
  <c r="V1315" i="10"/>
  <c r="U1315" i="10" s="1"/>
  <c r="X1315" i="10" s="1"/>
  <c r="Y1315" i="10" s="1"/>
  <c r="Z1315" i="10" s="1"/>
  <c r="T1315" i="10"/>
  <c r="AO324" i="12"/>
  <c r="AL324" i="12" s="1"/>
  <c r="AM325" i="12"/>
  <c r="AQ324" i="12"/>
  <c r="AP324" i="12"/>
  <c r="AN324" i="12"/>
  <c r="D328" i="14"/>
  <c r="F330" i="14"/>
  <c r="AT266" i="11" l="1"/>
  <c r="AJ266" i="11"/>
  <c r="AR266" i="11"/>
  <c r="AQ266" i="11"/>
  <c r="AN267" i="11"/>
  <c r="AK268" i="11"/>
  <c r="AL267" i="11"/>
  <c r="AO267" i="11"/>
  <c r="AP267" i="11"/>
  <c r="AM267" i="11"/>
  <c r="AC1314" i="10"/>
  <c r="AD1314" i="10" s="1"/>
  <c r="F331" i="14"/>
  <c r="D329" i="14"/>
  <c r="AB1315" i="10"/>
  <c r="AF1315" i="10" s="1"/>
  <c r="AO325" i="12"/>
  <c r="AL325" i="12" s="1"/>
  <c r="AM326" i="12"/>
  <c r="AN325" i="12"/>
  <c r="AP325" i="12"/>
  <c r="AQ325" i="12"/>
  <c r="V1316" i="10"/>
  <c r="U1316" i="10" s="1"/>
  <c r="X1316" i="10" s="1"/>
  <c r="Y1316" i="10" s="1"/>
  <c r="Z1316" i="10" s="1"/>
  <c r="W1317" i="10"/>
  <c r="T1316" i="10"/>
  <c r="AT267" i="11" l="1"/>
  <c r="AJ267" i="11"/>
  <c r="AC1315" i="10"/>
  <c r="AR267" i="11"/>
  <c r="AQ267" i="11"/>
  <c r="AO268" i="11"/>
  <c r="AL268" i="11"/>
  <c r="AP268" i="11"/>
  <c r="AN268" i="11"/>
  <c r="AK269" i="11"/>
  <c r="AM268" i="11"/>
  <c r="AE1314" i="10"/>
  <c r="AB1316" i="10"/>
  <c r="AC1316" i="10" s="1"/>
  <c r="AF1316" i="10"/>
  <c r="AO326" i="12"/>
  <c r="AL326" i="12" s="1"/>
  <c r="AN326" i="12"/>
  <c r="AP326" i="12"/>
  <c r="AM327" i="12"/>
  <c r="AQ326" i="12"/>
  <c r="D330" i="14"/>
  <c r="F332" i="14"/>
  <c r="V1317" i="10"/>
  <c r="U1317" i="10" s="1"/>
  <c r="X1317" i="10" s="1"/>
  <c r="Y1317" i="10" s="1"/>
  <c r="Z1317" i="10" s="1"/>
  <c r="W1318" i="10"/>
  <c r="T1317" i="10"/>
  <c r="AT268" i="11" l="1"/>
  <c r="AJ268" i="11"/>
  <c r="AD1315" i="10"/>
  <c r="AE1315" i="10" s="1"/>
  <c r="AO269" i="11"/>
  <c r="AN269" i="11"/>
  <c r="AL269" i="11"/>
  <c r="AP269" i="11"/>
  <c r="AM269" i="11"/>
  <c r="AK270" i="11"/>
  <c r="AR268" i="11"/>
  <c r="AQ268" i="11"/>
  <c r="AD1316" i="10"/>
  <c r="AE1316" i="10" s="1"/>
  <c r="V1318" i="10"/>
  <c r="U1318" i="10" s="1"/>
  <c r="X1318" i="10" s="1"/>
  <c r="Y1318" i="10" s="1"/>
  <c r="Z1318" i="10" s="1"/>
  <c r="W1319" i="10"/>
  <c r="T1318" i="10"/>
  <c r="AB1317" i="10"/>
  <c r="AF1317" i="10" s="1"/>
  <c r="F333" i="14"/>
  <c r="D331" i="14"/>
  <c r="AO327" i="12"/>
  <c r="AL327" i="12" s="1"/>
  <c r="AM328" i="12"/>
  <c r="AP327" i="12"/>
  <c r="AQ327" i="12"/>
  <c r="AN327" i="12"/>
  <c r="AT269" i="11" l="1"/>
  <c r="AJ269" i="11"/>
  <c r="AP270" i="11"/>
  <c r="AL270" i="11"/>
  <c r="AO270" i="11"/>
  <c r="AN270" i="11"/>
  <c r="AK271" i="11"/>
  <c r="AM270" i="11"/>
  <c r="AQ269" i="11"/>
  <c r="AR269" i="11"/>
  <c r="AC1317" i="10"/>
  <c r="AD1317" i="10" s="1"/>
  <c r="AE1317" i="10" s="1"/>
  <c r="AO328" i="12"/>
  <c r="AL328" i="12" s="1"/>
  <c r="AM329" i="12"/>
  <c r="AQ328" i="12"/>
  <c r="AP328" i="12"/>
  <c r="AN328" i="12"/>
  <c r="D332" i="14"/>
  <c r="F334" i="14"/>
  <c r="W1320" i="10"/>
  <c r="V1319" i="10"/>
  <c r="U1319" i="10" s="1"/>
  <c r="X1319" i="10" s="1"/>
  <c r="Y1319" i="10" s="1"/>
  <c r="Z1319" i="10" s="1"/>
  <c r="T1319" i="10"/>
  <c r="AB1318" i="10"/>
  <c r="AF1318" i="10" s="1"/>
  <c r="AT270" i="11" l="1"/>
  <c r="AJ270" i="11"/>
  <c r="AR270" i="11"/>
  <c r="AQ270" i="11"/>
  <c r="AM271" i="11"/>
  <c r="AL271" i="11"/>
  <c r="AN271" i="11"/>
  <c r="AO271" i="11"/>
  <c r="AK272" i="11"/>
  <c r="AP271" i="11"/>
  <c r="AC1318" i="10"/>
  <c r="V1320" i="10"/>
  <c r="U1320" i="10" s="1"/>
  <c r="X1320" i="10" s="1"/>
  <c r="Y1320" i="10" s="1"/>
  <c r="Z1320" i="10" s="1"/>
  <c r="W1321" i="10"/>
  <c r="T1320" i="10"/>
  <c r="AB1319" i="10"/>
  <c r="AF1319" i="10" s="1"/>
  <c r="F335" i="14"/>
  <c r="D333" i="14"/>
  <c r="AO329" i="12"/>
  <c r="AL329" i="12" s="1"/>
  <c r="AM330" i="12"/>
  <c r="AN329" i="12"/>
  <c r="AQ329" i="12"/>
  <c r="AP329" i="12"/>
  <c r="AT271" i="11" l="1"/>
  <c r="AJ271" i="11"/>
  <c r="AM272" i="11"/>
  <c r="AK273" i="11"/>
  <c r="AL272" i="11"/>
  <c r="AO272" i="11"/>
  <c r="AP272" i="11"/>
  <c r="AN272" i="11"/>
  <c r="AR271" i="11"/>
  <c r="AQ271" i="11"/>
  <c r="AD1318" i="10"/>
  <c r="AE1318" i="10" s="1"/>
  <c r="AC1319" i="10"/>
  <c r="AD1319" i="10" s="1"/>
  <c r="AE1319" i="10" s="1"/>
  <c r="AO330" i="12"/>
  <c r="AL330" i="12" s="1"/>
  <c r="AN330" i="12"/>
  <c r="AP330" i="12"/>
  <c r="AM331" i="12"/>
  <c r="AQ330" i="12"/>
  <c r="D334" i="14"/>
  <c r="F336" i="14"/>
  <c r="V1321" i="10"/>
  <c r="U1321" i="10" s="1"/>
  <c r="X1321" i="10" s="1"/>
  <c r="Y1321" i="10" s="1"/>
  <c r="Z1321" i="10" s="1"/>
  <c r="W1322" i="10"/>
  <c r="T1321" i="10"/>
  <c r="AB1320" i="10"/>
  <c r="AF1320" i="10" s="1"/>
  <c r="AT272" i="11" l="1"/>
  <c r="AJ272" i="11"/>
  <c r="AO273" i="11"/>
  <c r="AM273" i="11"/>
  <c r="AP273" i="11"/>
  <c r="AK274" i="11"/>
  <c r="AL273" i="11"/>
  <c r="AN273" i="11"/>
  <c r="AQ272" i="11"/>
  <c r="AR272" i="11"/>
  <c r="AC1320" i="10"/>
  <c r="AO331" i="12"/>
  <c r="AL331" i="12" s="1"/>
  <c r="AM332" i="12"/>
  <c r="AP331" i="12"/>
  <c r="AQ331" i="12"/>
  <c r="AN331" i="12"/>
  <c r="V1322" i="10"/>
  <c r="U1322" i="10" s="1"/>
  <c r="X1322" i="10" s="1"/>
  <c r="Y1322" i="10" s="1"/>
  <c r="Z1322" i="10" s="1"/>
  <c r="W1323" i="10"/>
  <c r="T1322" i="10"/>
  <c r="D335" i="14"/>
  <c r="AB1321" i="10"/>
  <c r="AF1321" i="10" s="1"/>
  <c r="F337" i="14"/>
  <c r="AT273" i="11" l="1"/>
  <c r="AJ273" i="11"/>
  <c r="AK275" i="11"/>
  <c r="AP274" i="11"/>
  <c r="AL274" i="11"/>
  <c r="AO274" i="11"/>
  <c r="AM274" i="11"/>
  <c r="AN274" i="11"/>
  <c r="AR273" i="11"/>
  <c r="AQ273" i="11"/>
  <c r="AC1321" i="10"/>
  <c r="AD1320" i="10"/>
  <c r="AE1320" i="10" s="1"/>
  <c r="AB1322" i="10"/>
  <c r="AF1322" i="10" s="1"/>
  <c r="D336" i="14"/>
  <c r="W1324" i="10"/>
  <c r="V1323" i="10"/>
  <c r="U1323" i="10" s="1"/>
  <c r="X1323" i="10" s="1"/>
  <c r="Y1323" i="10" s="1"/>
  <c r="Z1323" i="10" s="1"/>
  <c r="T1323" i="10"/>
  <c r="F338" i="14"/>
  <c r="AO332" i="12"/>
  <c r="AL332" i="12" s="1"/>
  <c r="AM333" i="12"/>
  <c r="AQ332" i="12"/>
  <c r="AP332" i="12"/>
  <c r="AN332" i="12"/>
  <c r="AT274" i="11" l="1"/>
  <c r="AJ274" i="11"/>
  <c r="AQ274" i="11"/>
  <c r="AR274" i="11"/>
  <c r="AL275" i="11"/>
  <c r="AO275" i="11"/>
  <c r="AP275" i="11"/>
  <c r="AN275" i="11"/>
  <c r="AM275" i="11"/>
  <c r="AK276" i="11"/>
  <c r="AD1321" i="10"/>
  <c r="AE1321" i="10" s="1"/>
  <c r="AC1322" i="10"/>
  <c r="AD1322" i="10" s="1"/>
  <c r="AE1322" i="10" s="1"/>
  <c r="AO333" i="12"/>
  <c r="AL333" i="12" s="1"/>
  <c r="AM334" i="12"/>
  <c r="AN333" i="12"/>
  <c r="AP333" i="12"/>
  <c r="AQ333" i="12"/>
  <c r="AB1323" i="10"/>
  <c r="AF1323" i="10" s="1"/>
  <c r="D337" i="14"/>
  <c r="F339" i="14"/>
  <c r="V1324" i="10"/>
  <c r="U1324" i="10" s="1"/>
  <c r="X1324" i="10" s="1"/>
  <c r="Y1324" i="10" s="1"/>
  <c r="Z1324" i="10" s="1"/>
  <c r="W1325" i="10"/>
  <c r="T1324" i="10"/>
  <c r="AT275" i="11" l="1"/>
  <c r="AJ275" i="11"/>
  <c r="AQ275" i="11"/>
  <c r="AR275" i="11"/>
  <c r="AP276" i="11"/>
  <c r="AM276" i="11"/>
  <c r="AK277" i="11"/>
  <c r="AN276" i="11"/>
  <c r="AO276" i="11"/>
  <c r="AL276" i="11"/>
  <c r="AC1323" i="10"/>
  <c r="AD1323" i="10" s="1"/>
  <c r="AB1324" i="10"/>
  <c r="AC1324" i="10" s="1"/>
  <c r="F340" i="14"/>
  <c r="V1325" i="10"/>
  <c r="U1325" i="10" s="1"/>
  <c r="X1325" i="10" s="1"/>
  <c r="Y1325" i="10" s="1"/>
  <c r="Z1325" i="10" s="1"/>
  <c r="W1326" i="10"/>
  <c r="T1325" i="10"/>
  <c r="D338" i="14"/>
  <c r="AO334" i="12"/>
  <c r="AL334" i="12" s="1"/>
  <c r="AN334" i="12"/>
  <c r="AP334" i="12"/>
  <c r="AM335" i="12"/>
  <c r="AQ334" i="12"/>
  <c r="AT276" i="11" l="1"/>
  <c r="AJ276" i="11"/>
  <c r="AM277" i="11"/>
  <c r="AN277" i="11"/>
  <c r="AO277" i="11"/>
  <c r="AK278" i="11"/>
  <c r="AL277" i="11"/>
  <c r="AP277" i="11"/>
  <c r="AR276" i="11"/>
  <c r="AQ276" i="11"/>
  <c r="AF1324" i="10"/>
  <c r="AE1323" i="10"/>
  <c r="AD1324" i="10"/>
  <c r="AE1324" i="10" s="1"/>
  <c r="D339" i="14"/>
  <c r="V1326" i="10"/>
  <c r="U1326" i="10" s="1"/>
  <c r="X1326" i="10" s="1"/>
  <c r="Y1326" i="10" s="1"/>
  <c r="Z1326" i="10" s="1"/>
  <c r="W1327" i="10"/>
  <c r="T1326" i="10"/>
  <c r="AO335" i="12"/>
  <c r="AL335" i="12" s="1"/>
  <c r="AM336" i="12"/>
  <c r="AP335" i="12"/>
  <c r="AQ335" i="12"/>
  <c r="AN335" i="12"/>
  <c r="AB1325" i="10"/>
  <c r="AF1325" i="10"/>
  <c r="AC1325" i="10"/>
  <c r="AD1325" i="10" s="1"/>
  <c r="F341" i="14"/>
  <c r="AT277" i="11" l="1"/>
  <c r="AJ277" i="11"/>
  <c r="AE1325" i="10"/>
  <c r="AM278" i="11"/>
  <c r="AL278" i="11"/>
  <c r="AN278" i="11"/>
  <c r="AK279" i="11"/>
  <c r="AP278" i="11"/>
  <c r="AO278" i="11"/>
  <c r="AR277" i="11"/>
  <c r="AQ277" i="11"/>
  <c r="W1328" i="10"/>
  <c r="V1327" i="10"/>
  <c r="U1327" i="10" s="1"/>
  <c r="X1327" i="10" s="1"/>
  <c r="Y1327" i="10" s="1"/>
  <c r="Z1327" i="10" s="1"/>
  <c r="T1327" i="10"/>
  <c r="AB1326" i="10"/>
  <c r="AD1326" i="10"/>
  <c r="AF1326" i="10"/>
  <c r="AE1326" i="10"/>
  <c r="AC1326" i="10"/>
  <c r="D340" i="14"/>
  <c r="F342" i="14"/>
  <c r="AO336" i="12"/>
  <c r="AL336" i="12" s="1"/>
  <c r="AM337" i="12"/>
  <c r="AQ336" i="12"/>
  <c r="AN336" i="12"/>
  <c r="AP336" i="12"/>
  <c r="AT278" i="11" l="1"/>
  <c r="AJ278" i="11"/>
  <c r="AP279" i="11"/>
  <c r="AM279" i="11"/>
  <c r="AN279" i="11"/>
  <c r="AO279" i="11"/>
  <c r="AL279" i="11"/>
  <c r="AK280" i="11"/>
  <c r="AQ278" i="11"/>
  <c r="AR278" i="11"/>
  <c r="AO337" i="12"/>
  <c r="AL337" i="12" s="1"/>
  <c r="AM338" i="12"/>
  <c r="AN337" i="12"/>
  <c r="AQ337" i="12"/>
  <c r="AP337" i="12"/>
  <c r="D341" i="14"/>
  <c r="AB1327" i="10"/>
  <c r="AF1327" i="10" s="1"/>
  <c r="F343" i="14"/>
  <c r="V1328" i="10"/>
  <c r="U1328" i="10" s="1"/>
  <c r="X1328" i="10" s="1"/>
  <c r="Y1328" i="10" s="1"/>
  <c r="Z1328" i="10" s="1"/>
  <c r="W1329" i="10"/>
  <c r="T1328" i="10"/>
  <c r="AT279" i="11" l="1"/>
  <c r="AJ279" i="11"/>
  <c r="AC1327" i="10"/>
  <c r="AK281" i="11"/>
  <c r="AL280" i="11"/>
  <c r="AO280" i="11"/>
  <c r="AM280" i="11"/>
  <c r="AN280" i="11"/>
  <c r="AP280" i="11"/>
  <c r="AQ279" i="11"/>
  <c r="AR279" i="11"/>
  <c r="D342" i="14"/>
  <c r="F344" i="14"/>
  <c r="AB1328" i="10"/>
  <c r="AF1328" i="10" s="1"/>
  <c r="V1329" i="10"/>
  <c r="U1329" i="10" s="1"/>
  <c r="X1329" i="10" s="1"/>
  <c r="Y1329" i="10" s="1"/>
  <c r="Z1329" i="10" s="1"/>
  <c r="W1330" i="10"/>
  <c r="T1329" i="10"/>
  <c r="AO338" i="12"/>
  <c r="AL338" i="12" s="1"/>
  <c r="AN338" i="12"/>
  <c r="AP338" i="12"/>
  <c r="AM339" i="12"/>
  <c r="AQ338" i="12"/>
  <c r="AT280" i="11" l="1"/>
  <c r="AJ280" i="11"/>
  <c r="AC1328" i="10"/>
  <c r="AD1327" i="10"/>
  <c r="AE1327" i="10" s="1"/>
  <c r="AQ280" i="11"/>
  <c r="AR280" i="11"/>
  <c r="AL281" i="11"/>
  <c r="AO281" i="11"/>
  <c r="AP281" i="11"/>
  <c r="AM281" i="11"/>
  <c r="AK282" i="11"/>
  <c r="AN281" i="11"/>
  <c r="AF1329" i="10"/>
  <c r="AE1329" i="10"/>
  <c r="AC1329" i="10"/>
  <c r="AB1329" i="10"/>
  <c r="AD1329" i="10"/>
  <c r="AO339" i="12"/>
  <c r="AL339" i="12" s="1"/>
  <c r="AM340" i="12"/>
  <c r="AP339" i="12"/>
  <c r="AQ339" i="12"/>
  <c r="AN339" i="12"/>
  <c r="V1330" i="10"/>
  <c r="U1330" i="10" s="1"/>
  <c r="X1330" i="10" s="1"/>
  <c r="Y1330" i="10" s="1"/>
  <c r="Z1330" i="10" s="1"/>
  <c r="W1331" i="10"/>
  <c r="T1330" i="10"/>
  <c r="F345" i="14"/>
  <c r="D343" i="14"/>
  <c r="AT281" i="11" l="1"/>
  <c r="AJ281" i="11"/>
  <c r="AD1328" i="10"/>
  <c r="AE1328" i="10" s="1"/>
  <c r="AK283" i="11"/>
  <c r="AN282" i="11"/>
  <c r="AM282" i="11"/>
  <c r="AP282" i="11"/>
  <c r="AO282" i="11"/>
  <c r="AL282" i="11"/>
  <c r="AQ281" i="11"/>
  <c r="AR281" i="11"/>
  <c r="AB1330" i="10"/>
  <c r="AF1330" i="10" s="1"/>
  <c r="D344" i="14"/>
  <c r="F346" i="14"/>
  <c r="W1332" i="10"/>
  <c r="V1331" i="10"/>
  <c r="U1331" i="10" s="1"/>
  <c r="X1331" i="10" s="1"/>
  <c r="Y1331" i="10" s="1"/>
  <c r="Z1331" i="10" s="1"/>
  <c r="T1331" i="10"/>
  <c r="AO340" i="12"/>
  <c r="AL340" i="12" s="1"/>
  <c r="AM341" i="12"/>
  <c r="AQ340" i="12"/>
  <c r="AP340" i="12"/>
  <c r="AN340" i="12"/>
  <c r="AT282" i="11" l="1"/>
  <c r="AJ282" i="11"/>
  <c r="AR282" i="11"/>
  <c r="AQ282" i="11"/>
  <c r="AN283" i="11"/>
  <c r="AO283" i="11"/>
  <c r="AL283" i="11"/>
  <c r="AP283" i="11"/>
  <c r="AK284" i="11"/>
  <c r="AM283" i="11"/>
  <c r="AC1330" i="10"/>
  <c r="AO341" i="12"/>
  <c r="AL341" i="12" s="1"/>
  <c r="AM342" i="12"/>
  <c r="AN341" i="12"/>
  <c r="AQ341" i="12"/>
  <c r="AP341" i="12"/>
  <c r="V1332" i="10"/>
  <c r="U1332" i="10" s="1"/>
  <c r="X1332" i="10" s="1"/>
  <c r="Y1332" i="10" s="1"/>
  <c r="Z1332" i="10" s="1"/>
  <c r="W1333" i="10"/>
  <c r="T1332" i="10"/>
  <c r="AB1331" i="10"/>
  <c r="AC1331" i="10" s="1"/>
  <c r="F347" i="14"/>
  <c r="D345" i="14"/>
  <c r="AT283" i="11" l="1"/>
  <c r="AJ283" i="11"/>
  <c r="AM284" i="11"/>
  <c r="AP284" i="11"/>
  <c r="AO284" i="11"/>
  <c r="AL284" i="11"/>
  <c r="AK285" i="11"/>
  <c r="AN284" i="11"/>
  <c r="AQ283" i="11"/>
  <c r="AR283" i="11"/>
  <c r="AD1330" i="10"/>
  <c r="AE1330" i="10" s="1"/>
  <c r="AF1331" i="10"/>
  <c r="AD1331" i="10"/>
  <c r="AE1331" i="10" s="1"/>
  <c r="D346" i="14"/>
  <c r="F348" i="14"/>
  <c r="V1333" i="10"/>
  <c r="U1333" i="10" s="1"/>
  <c r="X1333" i="10" s="1"/>
  <c r="Y1333" i="10" s="1"/>
  <c r="Z1333" i="10" s="1"/>
  <c r="W1334" i="10"/>
  <c r="T1333" i="10"/>
  <c r="AB1332" i="10"/>
  <c r="AC1332" i="10" s="1"/>
  <c r="AD1332" i="10" s="1"/>
  <c r="AO342" i="12"/>
  <c r="AL342" i="12" s="1"/>
  <c r="AN342" i="12"/>
  <c r="AP342" i="12"/>
  <c r="AM343" i="12"/>
  <c r="AQ342" i="12"/>
  <c r="AT284" i="11" l="1"/>
  <c r="AJ284" i="11"/>
  <c r="AL285" i="11"/>
  <c r="AN285" i="11"/>
  <c r="AK286" i="11"/>
  <c r="AM285" i="11"/>
  <c r="AP285" i="11"/>
  <c r="AO285" i="11"/>
  <c r="AQ284" i="11"/>
  <c r="AR284" i="11"/>
  <c r="AF1332" i="10"/>
  <c r="AE1332" i="10"/>
  <c r="AB1333" i="10"/>
  <c r="AF1333" i="10" s="1"/>
  <c r="F349" i="14"/>
  <c r="D347" i="14"/>
  <c r="AO343" i="12"/>
  <c r="AL343" i="12" s="1"/>
  <c r="AM344" i="12"/>
  <c r="AP343" i="12"/>
  <c r="AQ343" i="12"/>
  <c r="AN343" i="12"/>
  <c r="V1334" i="10"/>
  <c r="U1334" i="10" s="1"/>
  <c r="X1334" i="10" s="1"/>
  <c r="Y1334" i="10" s="1"/>
  <c r="Z1334" i="10" s="1"/>
  <c r="W1335" i="10"/>
  <c r="T1334" i="10"/>
  <c r="AT285" i="11" l="1"/>
  <c r="AJ285" i="11"/>
  <c r="AQ285" i="11"/>
  <c r="AR285" i="11"/>
  <c r="AL286" i="11"/>
  <c r="AN286" i="11"/>
  <c r="AM286" i="11"/>
  <c r="AP286" i="11"/>
  <c r="AK287" i="11"/>
  <c r="AO286" i="11"/>
  <c r="AC1333" i="10"/>
  <c r="AD1333" i="10" s="1"/>
  <c r="AE1333" i="10" s="1"/>
  <c r="AB1334" i="10"/>
  <c r="AF1334" i="10" s="1"/>
  <c r="W1336" i="10"/>
  <c r="V1335" i="10"/>
  <c r="U1335" i="10" s="1"/>
  <c r="X1335" i="10" s="1"/>
  <c r="Y1335" i="10" s="1"/>
  <c r="Z1335" i="10" s="1"/>
  <c r="T1335" i="10"/>
  <c r="AO344" i="12"/>
  <c r="AL344" i="12" s="1"/>
  <c r="AM345" i="12"/>
  <c r="AQ344" i="12"/>
  <c r="AN344" i="12"/>
  <c r="AP344" i="12"/>
  <c r="D348" i="14"/>
  <c r="F350" i="14"/>
  <c r="AT286" i="11" l="1"/>
  <c r="AJ286" i="11"/>
  <c r="AP287" i="11"/>
  <c r="AK288" i="11"/>
  <c r="AO287" i="11"/>
  <c r="AL287" i="11"/>
  <c r="AM287" i="11"/>
  <c r="AN287" i="11"/>
  <c r="AQ286" i="11"/>
  <c r="AR286" i="11"/>
  <c r="AC1334" i="10"/>
  <c r="AD1334" i="10" s="1"/>
  <c r="AE1334" i="10" s="1"/>
  <c r="F351" i="14"/>
  <c r="D349" i="14"/>
  <c r="AB1335" i="10"/>
  <c r="AF1335" i="10" s="1"/>
  <c r="AO345" i="12"/>
  <c r="AL345" i="12" s="1"/>
  <c r="AM346" i="12"/>
  <c r="AN345" i="12"/>
  <c r="AQ345" i="12"/>
  <c r="AP345" i="12"/>
  <c r="V1336" i="10"/>
  <c r="U1336" i="10" s="1"/>
  <c r="X1336" i="10" s="1"/>
  <c r="Y1336" i="10" s="1"/>
  <c r="Z1336" i="10" s="1"/>
  <c r="W1337" i="10"/>
  <c r="T1336" i="10"/>
  <c r="AT287" i="11" l="1"/>
  <c r="AJ287" i="11"/>
  <c r="AK289" i="11"/>
  <c r="AL288" i="11"/>
  <c r="AO288" i="11"/>
  <c r="AM288" i="11"/>
  <c r="AN288" i="11"/>
  <c r="AP288" i="11"/>
  <c r="AQ287" i="11"/>
  <c r="AR287" i="11"/>
  <c r="AC1335" i="10"/>
  <c r="AB1336" i="10"/>
  <c r="AF1336" i="10" s="1"/>
  <c r="AO346" i="12"/>
  <c r="AL346" i="12" s="1"/>
  <c r="AN346" i="12"/>
  <c r="AP346" i="12"/>
  <c r="AM347" i="12"/>
  <c r="AQ346" i="12"/>
  <c r="D350" i="14"/>
  <c r="F352" i="14"/>
  <c r="V1337" i="10"/>
  <c r="U1337" i="10" s="1"/>
  <c r="X1337" i="10" s="1"/>
  <c r="Y1337" i="10" s="1"/>
  <c r="Z1337" i="10" s="1"/>
  <c r="W1338" i="10"/>
  <c r="T1337" i="10"/>
  <c r="AT288" i="11" l="1"/>
  <c r="AJ288" i="11"/>
  <c r="AQ288" i="11"/>
  <c r="AR288" i="11"/>
  <c r="AN289" i="11"/>
  <c r="AP289" i="11"/>
  <c r="AL289" i="11"/>
  <c r="AO289" i="11"/>
  <c r="AK290" i="11"/>
  <c r="AM289" i="11"/>
  <c r="AD1335" i="10"/>
  <c r="AE1335" i="10" s="1"/>
  <c r="AC1336" i="10"/>
  <c r="AD1336" i="10" s="1"/>
  <c r="AE1336" i="10" s="1"/>
  <c r="D351" i="14"/>
  <c r="AB1337" i="10"/>
  <c r="AF1337" i="10" s="1"/>
  <c r="AC1337" i="10"/>
  <c r="AD1337" i="10" s="1"/>
  <c r="AE1337" i="10" s="1"/>
  <c r="V1338" i="10"/>
  <c r="U1338" i="10" s="1"/>
  <c r="X1338" i="10" s="1"/>
  <c r="Y1338" i="10" s="1"/>
  <c r="Z1338" i="10" s="1"/>
  <c r="W1339" i="10"/>
  <c r="T1338" i="10"/>
  <c r="F353" i="14"/>
  <c r="AO347" i="12"/>
  <c r="AL347" i="12" s="1"/>
  <c r="AM348" i="12"/>
  <c r="AP347" i="12"/>
  <c r="AQ347" i="12"/>
  <c r="AN347" i="12"/>
  <c r="AT289" i="11" l="1"/>
  <c r="AJ289" i="11"/>
  <c r="AM290" i="11"/>
  <c r="AN290" i="11"/>
  <c r="AK291" i="11"/>
  <c r="AP290" i="11"/>
  <c r="AL290" i="11"/>
  <c r="AO290" i="11"/>
  <c r="AR289" i="11"/>
  <c r="AQ289" i="11"/>
  <c r="AB1338" i="10"/>
  <c r="AF1338" i="10" s="1"/>
  <c r="AO348" i="12"/>
  <c r="AL348" i="12" s="1"/>
  <c r="AM349" i="12"/>
  <c r="AQ348" i="12"/>
  <c r="AP348" i="12"/>
  <c r="AN348" i="12"/>
  <c r="D352" i="14"/>
  <c r="W1340" i="10"/>
  <c r="V1339" i="10"/>
  <c r="U1339" i="10" s="1"/>
  <c r="X1339" i="10" s="1"/>
  <c r="Y1339" i="10" s="1"/>
  <c r="Z1339" i="10" s="1"/>
  <c r="T1339" i="10"/>
  <c r="F354" i="14"/>
  <c r="AT290" i="11" l="1"/>
  <c r="AJ290" i="11"/>
  <c r="AL291" i="11"/>
  <c r="AO291" i="11"/>
  <c r="AM291" i="11"/>
  <c r="AK292" i="11"/>
  <c r="AN291" i="11"/>
  <c r="AP291" i="11"/>
  <c r="AR290" i="11"/>
  <c r="AQ290" i="11"/>
  <c r="AC1338" i="10"/>
  <c r="AD1338" i="10" s="1"/>
  <c r="AE1338" i="10" s="1"/>
  <c r="AB1339" i="10"/>
  <c r="AF1339" i="10" s="1"/>
  <c r="F355" i="14"/>
  <c r="AO349" i="12"/>
  <c r="AL349" i="12" s="1"/>
  <c r="AM350" i="12"/>
  <c r="AN349" i="12"/>
  <c r="AQ349" i="12"/>
  <c r="AP349" i="12"/>
  <c r="V1340" i="10"/>
  <c r="U1340" i="10" s="1"/>
  <c r="X1340" i="10" s="1"/>
  <c r="Y1340" i="10" s="1"/>
  <c r="Z1340" i="10" s="1"/>
  <c r="W1341" i="10"/>
  <c r="T1340" i="10"/>
  <c r="D353" i="14"/>
  <c r="AT291" i="11" l="1"/>
  <c r="AJ291" i="11"/>
  <c r="AC1339" i="10"/>
  <c r="AO292" i="11"/>
  <c r="AP292" i="11"/>
  <c r="AL292" i="11"/>
  <c r="AM292" i="11"/>
  <c r="AN292" i="11"/>
  <c r="AK293" i="11"/>
  <c r="AQ291" i="11"/>
  <c r="AR291" i="11"/>
  <c r="D354" i="14"/>
  <c r="V1341" i="10"/>
  <c r="U1341" i="10" s="1"/>
  <c r="X1341" i="10" s="1"/>
  <c r="Y1341" i="10" s="1"/>
  <c r="Z1341" i="10" s="1"/>
  <c r="W1342" i="10"/>
  <c r="T1341" i="10"/>
  <c r="AD1340" i="10"/>
  <c r="AB1340" i="10"/>
  <c r="AF1340" i="10"/>
  <c r="AC1340" i="10"/>
  <c r="AE1340" i="10"/>
  <c r="AO350" i="12"/>
  <c r="AL350" i="12" s="1"/>
  <c r="AN350" i="12"/>
  <c r="AP350" i="12"/>
  <c r="AM351" i="12"/>
  <c r="AQ350" i="12"/>
  <c r="F356" i="14"/>
  <c r="AT292" i="11" l="1"/>
  <c r="AJ292" i="11"/>
  <c r="AD1339" i="10"/>
  <c r="AE1339" i="10" s="1"/>
  <c r="AR292" i="11"/>
  <c r="AQ292" i="11"/>
  <c r="AO293" i="11"/>
  <c r="AM293" i="11"/>
  <c r="AL293" i="11"/>
  <c r="AK294" i="11"/>
  <c r="AP293" i="11"/>
  <c r="AN293" i="11"/>
  <c r="AO351" i="12"/>
  <c r="AL351" i="12" s="1"/>
  <c r="AM352" i="12"/>
  <c r="AP351" i="12"/>
  <c r="AQ351" i="12"/>
  <c r="AN351" i="12"/>
  <c r="AB1341" i="10"/>
  <c r="AF1341" i="10" s="1"/>
  <c r="D355" i="14"/>
  <c r="F357" i="14"/>
  <c r="V1342" i="10"/>
  <c r="U1342" i="10" s="1"/>
  <c r="X1342" i="10" s="1"/>
  <c r="Y1342" i="10" s="1"/>
  <c r="Z1342" i="10" s="1"/>
  <c r="W1343" i="10"/>
  <c r="T1342" i="10"/>
  <c r="AT293" i="11" l="1"/>
  <c r="AJ293" i="11"/>
  <c r="AC1341" i="10"/>
  <c r="AN294" i="11"/>
  <c r="AL294" i="11"/>
  <c r="AO294" i="11"/>
  <c r="AK295" i="11"/>
  <c r="AP294" i="11"/>
  <c r="AM294" i="11"/>
  <c r="AR293" i="11"/>
  <c r="AQ293" i="11"/>
  <c r="F358" i="14"/>
  <c r="D356" i="14"/>
  <c r="AB1342" i="10"/>
  <c r="AF1342" i="10"/>
  <c r="AC1342" i="10"/>
  <c r="AD1342" i="10" s="1"/>
  <c r="W1344" i="10"/>
  <c r="V1343" i="10"/>
  <c r="U1343" i="10" s="1"/>
  <c r="X1343" i="10" s="1"/>
  <c r="Y1343" i="10" s="1"/>
  <c r="Z1343" i="10" s="1"/>
  <c r="T1343" i="10"/>
  <c r="AO352" i="12"/>
  <c r="AL352" i="12" s="1"/>
  <c r="AM353" i="12"/>
  <c r="AQ352" i="12"/>
  <c r="AN352" i="12"/>
  <c r="AP352" i="12"/>
  <c r="AT294" i="11" l="1"/>
  <c r="AJ294" i="11"/>
  <c r="AE1342" i="10"/>
  <c r="AD1341" i="10"/>
  <c r="AE1341" i="10"/>
  <c r="AO295" i="11"/>
  <c r="AN295" i="11"/>
  <c r="AL295" i="11"/>
  <c r="AP295" i="11"/>
  <c r="AM295" i="11"/>
  <c r="AK296" i="11"/>
  <c r="AQ294" i="11"/>
  <c r="AR294" i="11"/>
  <c r="AO353" i="12"/>
  <c r="AL353" i="12" s="1"/>
  <c r="AM354" i="12"/>
  <c r="AN353" i="12"/>
  <c r="AQ353" i="12"/>
  <c r="AP353" i="12"/>
  <c r="AB1343" i="10"/>
  <c r="AC1343" i="10" s="1"/>
  <c r="AF1343" i="10"/>
  <c r="V1344" i="10"/>
  <c r="U1344" i="10" s="1"/>
  <c r="X1344" i="10" s="1"/>
  <c r="Y1344" i="10" s="1"/>
  <c r="Z1344" i="10" s="1"/>
  <c r="W1345" i="10"/>
  <c r="T1344" i="10"/>
  <c r="D357" i="14"/>
  <c r="F359" i="14"/>
  <c r="AT295" i="11" l="1"/>
  <c r="AJ295" i="11"/>
  <c r="AM296" i="11"/>
  <c r="AP296" i="11"/>
  <c r="AL296" i="11"/>
  <c r="AO296" i="11"/>
  <c r="AK297" i="11"/>
  <c r="AN296" i="11"/>
  <c r="AR295" i="11"/>
  <c r="AQ295" i="11"/>
  <c r="AD1343" i="10"/>
  <c r="AE1343" i="10" s="1"/>
  <c r="AB1344" i="10"/>
  <c r="AC1344" i="10" s="1"/>
  <c r="F360" i="14"/>
  <c r="D358" i="14"/>
  <c r="V1345" i="10"/>
  <c r="U1345" i="10" s="1"/>
  <c r="X1345" i="10" s="1"/>
  <c r="Y1345" i="10" s="1"/>
  <c r="Z1345" i="10" s="1"/>
  <c r="W1346" i="10"/>
  <c r="T1345" i="10"/>
  <c r="AO354" i="12"/>
  <c r="AL354" i="12" s="1"/>
  <c r="AN354" i="12"/>
  <c r="AP354" i="12"/>
  <c r="AM355" i="12"/>
  <c r="AQ354" i="12"/>
  <c r="AT296" i="11" l="1"/>
  <c r="AJ296" i="11"/>
  <c r="AO297" i="11"/>
  <c r="AL297" i="11"/>
  <c r="AP297" i="11"/>
  <c r="AM297" i="11"/>
  <c r="AN297" i="11"/>
  <c r="AK298" i="11"/>
  <c r="AR296" i="11"/>
  <c r="AQ296" i="11"/>
  <c r="AD1344" i="10"/>
  <c r="AE1344" i="10" s="1"/>
  <c r="AF1344" i="10"/>
  <c r="D359" i="14"/>
  <c r="F361" i="14"/>
  <c r="AO355" i="12"/>
  <c r="AL355" i="12" s="1"/>
  <c r="AM356" i="12"/>
  <c r="AP355" i="12"/>
  <c r="AQ355" i="12"/>
  <c r="AN355" i="12"/>
  <c r="V1346" i="10"/>
  <c r="U1346" i="10" s="1"/>
  <c r="X1346" i="10" s="1"/>
  <c r="Y1346" i="10" s="1"/>
  <c r="Z1346" i="10" s="1"/>
  <c r="W1347" i="10"/>
  <c r="T1346" i="10"/>
  <c r="AB1345" i="10"/>
  <c r="AC1345" i="10" s="1"/>
  <c r="AT297" i="11" l="1"/>
  <c r="AJ297" i="11"/>
  <c r="AQ297" i="11"/>
  <c r="AR297" i="11"/>
  <c r="AP298" i="11"/>
  <c r="AK299" i="11"/>
  <c r="AM298" i="11"/>
  <c r="AL298" i="11"/>
  <c r="AO298" i="11"/>
  <c r="AN298" i="11"/>
  <c r="AD1345" i="10"/>
  <c r="AE1345" i="10" s="1"/>
  <c r="AF1345" i="10"/>
  <c r="W1348" i="10"/>
  <c r="V1347" i="10"/>
  <c r="U1347" i="10" s="1"/>
  <c r="X1347" i="10" s="1"/>
  <c r="Y1347" i="10" s="1"/>
  <c r="Z1347" i="10" s="1"/>
  <c r="T1347" i="10"/>
  <c r="AB1346" i="10"/>
  <c r="AF1346" i="10" s="1"/>
  <c r="F362" i="14"/>
  <c r="D360" i="14"/>
  <c r="AO356" i="12"/>
  <c r="AL356" i="12" s="1"/>
  <c r="AM357" i="12"/>
  <c r="AQ356" i="12"/>
  <c r="AP356" i="12"/>
  <c r="AN356" i="12"/>
  <c r="AT298" i="11" l="1"/>
  <c r="AJ298" i="11"/>
  <c r="AR298" i="11"/>
  <c r="AQ298" i="11"/>
  <c r="AK300" i="11"/>
  <c r="AN299" i="11"/>
  <c r="AP299" i="11"/>
  <c r="AL299" i="11"/>
  <c r="AM299" i="11"/>
  <c r="AO299" i="11"/>
  <c r="AC1346" i="10"/>
  <c r="AD1346" i="10" s="1"/>
  <c r="AE1346" i="10" s="1"/>
  <c r="AO357" i="12"/>
  <c r="AL357" i="12" s="1"/>
  <c r="AM358" i="12"/>
  <c r="AN357" i="12"/>
  <c r="AP357" i="12"/>
  <c r="AQ357" i="12"/>
  <c r="AB1347" i="10"/>
  <c r="AF1347" i="10" s="1"/>
  <c r="D361" i="14"/>
  <c r="F363" i="14"/>
  <c r="V1348" i="10"/>
  <c r="U1348" i="10" s="1"/>
  <c r="X1348" i="10" s="1"/>
  <c r="Y1348" i="10" s="1"/>
  <c r="Z1348" i="10" s="1"/>
  <c r="W1349" i="10"/>
  <c r="T1348" i="10"/>
  <c r="AT299" i="11" l="1"/>
  <c r="AJ299" i="11"/>
  <c r="AO300" i="11"/>
  <c r="AK301" i="11"/>
  <c r="AL300" i="11"/>
  <c r="AP300" i="11"/>
  <c r="AN300" i="11"/>
  <c r="AM300" i="11"/>
  <c r="AR299" i="11"/>
  <c r="AQ299" i="11"/>
  <c r="AC1347" i="10"/>
  <c r="AB1348" i="10"/>
  <c r="AC1348" i="10" s="1"/>
  <c r="F364" i="14"/>
  <c r="D362" i="14"/>
  <c r="V1349" i="10"/>
  <c r="U1349" i="10" s="1"/>
  <c r="X1349" i="10" s="1"/>
  <c r="Y1349" i="10" s="1"/>
  <c r="Z1349" i="10" s="1"/>
  <c r="W1350" i="10"/>
  <c r="T1349" i="10"/>
  <c r="AO358" i="12"/>
  <c r="AL358" i="12" s="1"/>
  <c r="AN358" i="12"/>
  <c r="AP358" i="12"/>
  <c r="AM359" i="12"/>
  <c r="AQ358" i="12"/>
  <c r="AT300" i="11" l="1"/>
  <c r="AJ300" i="11"/>
  <c r="AK302" i="11"/>
  <c r="AM301" i="11"/>
  <c r="AO301" i="11"/>
  <c r="AL301" i="11"/>
  <c r="AN301" i="11"/>
  <c r="AP301" i="11"/>
  <c r="AR300" i="11"/>
  <c r="AQ300" i="11"/>
  <c r="AD1347" i="10"/>
  <c r="AE1347" i="10" s="1"/>
  <c r="AD1348" i="10"/>
  <c r="AE1348" i="10" s="1"/>
  <c r="AF1348" i="10"/>
  <c r="AB1349" i="10"/>
  <c r="AF1349" i="10"/>
  <c r="AC1349" i="10"/>
  <c r="AD1349" i="10" s="1"/>
  <c r="AO359" i="12"/>
  <c r="AL359" i="12" s="1"/>
  <c r="AM360" i="12"/>
  <c r="AP359" i="12"/>
  <c r="AQ359" i="12"/>
  <c r="AN359" i="12"/>
  <c r="V1350" i="10"/>
  <c r="U1350" i="10" s="1"/>
  <c r="X1350" i="10" s="1"/>
  <c r="Y1350" i="10" s="1"/>
  <c r="Z1350" i="10" s="1"/>
  <c r="W1351" i="10"/>
  <c r="T1350" i="10"/>
  <c r="D363" i="14"/>
  <c r="F365" i="14"/>
  <c r="AT301" i="11" l="1"/>
  <c r="AJ301" i="11"/>
  <c r="AQ301" i="11"/>
  <c r="AR301" i="11"/>
  <c r="AP302" i="11"/>
  <c r="AO302" i="11"/>
  <c r="AL302" i="11"/>
  <c r="AM302" i="11"/>
  <c r="AN302" i="11"/>
  <c r="AK303" i="11"/>
  <c r="AE1349" i="10"/>
  <c r="AB1350" i="10"/>
  <c r="AF1350" i="10" s="1"/>
  <c r="F366" i="14"/>
  <c r="D364" i="14"/>
  <c r="W1352" i="10"/>
  <c r="V1351" i="10"/>
  <c r="U1351" i="10" s="1"/>
  <c r="X1351" i="10" s="1"/>
  <c r="Y1351" i="10" s="1"/>
  <c r="Z1351" i="10" s="1"/>
  <c r="T1351" i="10"/>
  <c r="AO360" i="12"/>
  <c r="AL360" i="12" s="1"/>
  <c r="AM361" i="12"/>
  <c r="AQ360" i="12"/>
  <c r="AP360" i="12"/>
  <c r="AN360" i="12"/>
  <c r="AT302" i="11" l="1"/>
  <c r="AJ302" i="11"/>
  <c r="AR302" i="11"/>
  <c r="AQ302" i="11"/>
  <c r="AP303" i="11"/>
  <c r="AN303" i="11"/>
  <c r="AL303" i="11"/>
  <c r="AK304" i="11"/>
  <c r="AM303" i="11"/>
  <c r="AO303" i="11"/>
  <c r="AC1350" i="10"/>
  <c r="AD1350" i="10" s="1"/>
  <c r="AE1350" i="10" s="1"/>
  <c r="AO361" i="12"/>
  <c r="AL361" i="12" s="1"/>
  <c r="AM362" i="12"/>
  <c r="AN361" i="12"/>
  <c r="AQ361" i="12"/>
  <c r="AP361" i="12"/>
  <c r="V1352" i="10"/>
  <c r="U1352" i="10" s="1"/>
  <c r="X1352" i="10" s="1"/>
  <c r="Y1352" i="10" s="1"/>
  <c r="Z1352" i="10" s="1"/>
  <c r="W1353" i="10"/>
  <c r="T1352" i="10"/>
  <c r="D365" i="14"/>
  <c r="F367" i="14"/>
  <c r="AB1351" i="10"/>
  <c r="AF1351" i="10"/>
  <c r="AC1351" i="10"/>
  <c r="AD1351" i="10" s="1"/>
  <c r="AT303" i="11" l="1"/>
  <c r="AJ303" i="11"/>
  <c r="AR303" i="11"/>
  <c r="AQ303" i="11"/>
  <c r="AM304" i="11"/>
  <c r="AO304" i="11"/>
  <c r="AN304" i="11"/>
  <c r="AK305" i="11"/>
  <c r="AL304" i="11"/>
  <c r="AP304" i="11"/>
  <c r="AE1351" i="10"/>
  <c r="F368" i="14"/>
  <c r="D366" i="14"/>
  <c r="V1353" i="10"/>
  <c r="U1353" i="10" s="1"/>
  <c r="X1353" i="10" s="1"/>
  <c r="Y1353" i="10" s="1"/>
  <c r="Z1353" i="10" s="1"/>
  <c r="W1354" i="10"/>
  <c r="T1353" i="10"/>
  <c r="AB1352" i="10"/>
  <c r="AF1352" i="10" s="1"/>
  <c r="AO362" i="12"/>
  <c r="AL362" i="12" s="1"/>
  <c r="AN362" i="12"/>
  <c r="AP362" i="12"/>
  <c r="AM363" i="12"/>
  <c r="AQ362" i="12"/>
  <c r="AT304" i="11" l="1"/>
  <c r="AJ304" i="11"/>
  <c r="AC1352" i="10"/>
  <c r="AD1352" i="10" s="1"/>
  <c r="AQ304" i="11"/>
  <c r="AR304" i="11"/>
  <c r="AK306" i="11"/>
  <c r="AL305" i="11"/>
  <c r="AM305" i="11"/>
  <c r="AN305" i="11"/>
  <c r="AO305" i="11"/>
  <c r="AP305" i="11"/>
  <c r="AB1353" i="10"/>
  <c r="AF1353" i="10" s="1"/>
  <c r="D367" i="14"/>
  <c r="AO363" i="12"/>
  <c r="AL363" i="12" s="1"/>
  <c r="AM364" i="12"/>
  <c r="AP363" i="12"/>
  <c r="AQ363" i="12"/>
  <c r="AN363" i="12"/>
  <c r="V1354" i="10"/>
  <c r="U1354" i="10" s="1"/>
  <c r="X1354" i="10" s="1"/>
  <c r="Y1354" i="10" s="1"/>
  <c r="Z1354" i="10" s="1"/>
  <c r="W1355" i="10"/>
  <c r="T1354" i="10"/>
  <c r="F369" i="14"/>
  <c r="AT305" i="11" l="1"/>
  <c r="AJ305" i="11"/>
  <c r="AE1352" i="10"/>
  <c r="AC1353" i="10"/>
  <c r="AM306" i="11"/>
  <c r="AP306" i="11"/>
  <c r="AK307" i="11"/>
  <c r="AO306" i="11"/>
  <c r="AL306" i="11"/>
  <c r="AN306" i="11"/>
  <c r="AR305" i="11"/>
  <c r="AQ305" i="11"/>
  <c r="AB1354" i="10"/>
  <c r="AD1354" i="10"/>
  <c r="AF1354" i="10"/>
  <c r="AE1354" i="10"/>
  <c r="AC1354" i="10"/>
  <c r="D368" i="14"/>
  <c r="F370" i="14"/>
  <c r="W1356" i="10"/>
  <c r="V1355" i="10"/>
  <c r="U1355" i="10" s="1"/>
  <c r="X1355" i="10" s="1"/>
  <c r="Y1355" i="10" s="1"/>
  <c r="Z1355" i="10" s="1"/>
  <c r="T1355" i="10"/>
  <c r="AO364" i="12"/>
  <c r="AL364" i="12" s="1"/>
  <c r="AM365" i="12"/>
  <c r="AQ364" i="12"/>
  <c r="AP364" i="12"/>
  <c r="AN364" i="12"/>
  <c r="AT306" i="11" l="1"/>
  <c r="AJ306" i="11"/>
  <c r="AD1353" i="10"/>
  <c r="AE1353" i="10" s="1"/>
  <c r="AN307" i="11"/>
  <c r="AK308" i="11"/>
  <c r="AO307" i="11"/>
  <c r="AP307" i="11"/>
  <c r="AL307" i="11"/>
  <c r="AM307" i="11"/>
  <c r="AR306" i="11"/>
  <c r="AQ306" i="11"/>
  <c r="AO365" i="12"/>
  <c r="AL365" i="12" s="1"/>
  <c r="AM366" i="12"/>
  <c r="AN365" i="12"/>
  <c r="AP365" i="12"/>
  <c r="AQ365" i="12"/>
  <c r="V1356" i="10"/>
  <c r="U1356" i="10" s="1"/>
  <c r="X1356" i="10" s="1"/>
  <c r="Y1356" i="10" s="1"/>
  <c r="Z1356" i="10" s="1"/>
  <c r="W1357" i="10"/>
  <c r="T1356" i="10"/>
  <c r="D369" i="14"/>
  <c r="AF1355" i="10"/>
  <c r="AB1355" i="10"/>
  <c r="AC1355" i="10" s="1"/>
  <c r="F371" i="14"/>
  <c r="AT307" i="11" l="1"/>
  <c r="AJ307" i="11"/>
  <c r="AD1355" i="10"/>
  <c r="AE1355" i="10"/>
  <c r="AP308" i="11"/>
  <c r="AK309" i="11"/>
  <c r="AM308" i="11"/>
  <c r="AN308" i="11"/>
  <c r="AO308" i="11"/>
  <c r="AL308" i="11"/>
  <c r="AQ307" i="11"/>
  <c r="AR307" i="11"/>
  <c r="V1357" i="10"/>
  <c r="U1357" i="10" s="1"/>
  <c r="X1357" i="10" s="1"/>
  <c r="Y1357" i="10" s="1"/>
  <c r="Z1357" i="10" s="1"/>
  <c r="W1358" i="10"/>
  <c r="T1357" i="10"/>
  <c r="D370" i="14"/>
  <c r="AB1356" i="10"/>
  <c r="AC1356" i="10" s="1"/>
  <c r="F372" i="14"/>
  <c r="AO366" i="12"/>
  <c r="AL366" i="12" s="1"/>
  <c r="AN366" i="12"/>
  <c r="AP366" i="12"/>
  <c r="AM367" i="12"/>
  <c r="AQ366" i="12"/>
  <c r="AT308" i="11" l="1"/>
  <c r="AJ308" i="11"/>
  <c r="AD1356" i="10"/>
  <c r="AE1356" i="10" s="1"/>
  <c r="AF1356" i="10"/>
  <c r="AQ308" i="11"/>
  <c r="AR308" i="11"/>
  <c r="AK310" i="11"/>
  <c r="AL309" i="11"/>
  <c r="AN309" i="11"/>
  <c r="AM309" i="11"/>
  <c r="AP309" i="11"/>
  <c r="AO309" i="11"/>
  <c r="AO367" i="12"/>
  <c r="AL367" i="12" s="1"/>
  <c r="AM368" i="12"/>
  <c r="AP367" i="12"/>
  <c r="AQ367" i="12"/>
  <c r="AN367" i="12"/>
  <c r="V1358" i="10"/>
  <c r="U1358" i="10" s="1"/>
  <c r="X1358" i="10" s="1"/>
  <c r="Y1358" i="10" s="1"/>
  <c r="Z1358" i="10" s="1"/>
  <c r="W1359" i="10"/>
  <c r="T1358" i="10"/>
  <c r="F373" i="14"/>
  <c r="D371" i="14"/>
  <c r="AE1357" i="10"/>
  <c r="AB1357" i="10"/>
  <c r="AC1357" i="10"/>
  <c r="AD1357" i="10"/>
  <c r="AF1357" i="10"/>
  <c r="AT309" i="11" l="1"/>
  <c r="AJ309" i="11"/>
  <c r="AK311" i="11"/>
  <c r="AL310" i="11"/>
  <c r="AP310" i="11"/>
  <c r="AO310" i="11"/>
  <c r="AN310" i="11"/>
  <c r="AM310" i="11"/>
  <c r="AR309" i="11"/>
  <c r="AQ309" i="11"/>
  <c r="AB1358" i="10"/>
  <c r="AC1358" i="10" s="1"/>
  <c r="D372" i="14"/>
  <c r="F374" i="14"/>
  <c r="AO368" i="12"/>
  <c r="AL368" i="12" s="1"/>
  <c r="AM369" i="12"/>
  <c r="AQ368" i="12"/>
  <c r="AN368" i="12"/>
  <c r="AP368" i="12"/>
  <c r="W1360" i="10"/>
  <c r="V1359" i="10"/>
  <c r="U1359" i="10" s="1"/>
  <c r="X1359" i="10" s="1"/>
  <c r="Y1359" i="10" s="1"/>
  <c r="Z1359" i="10" s="1"/>
  <c r="T1359" i="10"/>
  <c r="AT310" i="11" l="1"/>
  <c r="AJ310" i="11"/>
  <c r="AQ310" i="11"/>
  <c r="AR310" i="11"/>
  <c r="AK312" i="11"/>
  <c r="AP311" i="11"/>
  <c r="AL311" i="11"/>
  <c r="AN311" i="11"/>
  <c r="AO311" i="11"/>
  <c r="AM311" i="11"/>
  <c r="AD1358" i="10"/>
  <c r="AE1358" i="10" s="1"/>
  <c r="AF1358" i="10"/>
  <c r="AB1359" i="10"/>
  <c r="AF1359" i="10" s="1"/>
  <c r="F375" i="14"/>
  <c r="D373" i="14"/>
  <c r="V1360" i="10"/>
  <c r="U1360" i="10" s="1"/>
  <c r="X1360" i="10" s="1"/>
  <c r="Y1360" i="10" s="1"/>
  <c r="Z1360" i="10" s="1"/>
  <c r="W1361" i="10"/>
  <c r="T1360" i="10"/>
  <c r="AO369" i="12"/>
  <c r="AL369" i="12" s="1"/>
  <c r="AM370" i="12"/>
  <c r="AN369" i="12"/>
  <c r="AQ369" i="12"/>
  <c r="AP369" i="12"/>
  <c r="AT311" i="11" l="1"/>
  <c r="AJ311" i="11"/>
  <c r="AL312" i="11"/>
  <c r="AN312" i="11"/>
  <c r="AK313" i="11"/>
  <c r="AM312" i="11"/>
  <c r="AO312" i="11"/>
  <c r="AP312" i="11"/>
  <c r="AR311" i="11"/>
  <c r="AQ311" i="11"/>
  <c r="AC1359" i="10"/>
  <c r="AD1359" i="10" s="1"/>
  <c r="AE1359" i="10" s="1"/>
  <c r="AO370" i="12"/>
  <c r="AL370" i="12" s="1"/>
  <c r="AN370" i="12"/>
  <c r="AP370" i="12"/>
  <c r="AM371" i="12"/>
  <c r="AQ370" i="12"/>
  <c r="AB1360" i="10"/>
  <c r="AC1360" i="10" s="1"/>
  <c r="D374" i="14"/>
  <c r="F376" i="14"/>
  <c r="V1361" i="10"/>
  <c r="U1361" i="10" s="1"/>
  <c r="X1361" i="10" s="1"/>
  <c r="Y1361" i="10" s="1"/>
  <c r="Z1361" i="10" s="1"/>
  <c r="W1362" i="10"/>
  <c r="T1361" i="10"/>
  <c r="AT312" i="11" l="1"/>
  <c r="AJ312" i="11"/>
  <c r="AR312" i="11"/>
  <c r="AQ312" i="11"/>
  <c r="AP313" i="11"/>
  <c r="AK314" i="11"/>
  <c r="AO313" i="11"/>
  <c r="AL313" i="11"/>
  <c r="AN313" i="11"/>
  <c r="AM313" i="11"/>
  <c r="AD1360" i="10"/>
  <c r="AE1360" i="10" s="1"/>
  <c r="AF1360" i="10"/>
  <c r="AO371" i="12"/>
  <c r="AL371" i="12" s="1"/>
  <c r="AM372" i="12"/>
  <c r="AP371" i="12"/>
  <c r="AQ371" i="12"/>
  <c r="AN371" i="12"/>
  <c r="V1362" i="10"/>
  <c r="U1362" i="10" s="1"/>
  <c r="X1362" i="10" s="1"/>
  <c r="Y1362" i="10" s="1"/>
  <c r="Z1362" i="10" s="1"/>
  <c r="W1363" i="10"/>
  <c r="T1362" i="10"/>
  <c r="F377" i="14"/>
  <c r="D375" i="14"/>
  <c r="AB1361" i="10"/>
  <c r="AC1361" i="10" s="1"/>
  <c r="AT313" i="11" l="1"/>
  <c r="AJ313" i="11"/>
  <c r="AQ313" i="11"/>
  <c r="AR313" i="11"/>
  <c r="AL314" i="11"/>
  <c r="AO314" i="11"/>
  <c r="AP314" i="11"/>
  <c r="AK315" i="11"/>
  <c r="AM314" i="11"/>
  <c r="AN314" i="11"/>
  <c r="AF1361" i="10"/>
  <c r="AD1361" i="10"/>
  <c r="AE1361" i="10" s="1"/>
  <c r="AB1362" i="10"/>
  <c r="AF1362" i="10" s="1"/>
  <c r="F378" i="14"/>
  <c r="D376" i="14"/>
  <c r="W1364" i="10"/>
  <c r="V1363" i="10"/>
  <c r="U1363" i="10" s="1"/>
  <c r="X1363" i="10" s="1"/>
  <c r="Y1363" i="10" s="1"/>
  <c r="Z1363" i="10" s="1"/>
  <c r="T1363" i="10"/>
  <c r="AO372" i="12"/>
  <c r="AL372" i="12" s="1"/>
  <c r="AM373" i="12"/>
  <c r="AQ372" i="12"/>
  <c r="AP372" i="12"/>
  <c r="AN372" i="12"/>
  <c r="AT314" i="11" l="1"/>
  <c r="AJ314" i="11"/>
  <c r="AR314" i="11"/>
  <c r="AQ314" i="11"/>
  <c r="AK316" i="11"/>
  <c r="AP315" i="11"/>
  <c r="AO315" i="11"/>
  <c r="AN315" i="11"/>
  <c r="AL315" i="11"/>
  <c r="AM315" i="11"/>
  <c r="AC1362" i="10"/>
  <c r="AD1362" i="10" s="1"/>
  <c r="AE1362" i="10" s="1"/>
  <c r="AO373" i="12"/>
  <c r="AL373" i="12" s="1"/>
  <c r="AM374" i="12"/>
  <c r="AN373" i="12"/>
  <c r="AP373" i="12"/>
  <c r="AQ373" i="12"/>
  <c r="AB1363" i="10"/>
  <c r="AC1363" i="10" s="1"/>
  <c r="D377" i="14"/>
  <c r="F379" i="14"/>
  <c r="V1364" i="10"/>
  <c r="U1364" i="10" s="1"/>
  <c r="X1364" i="10" s="1"/>
  <c r="Y1364" i="10" s="1"/>
  <c r="Z1364" i="10" s="1"/>
  <c r="W1365" i="10"/>
  <c r="T1364" i="10"/>
  <c r="AT315" i="11" l="1"/>
  <c r="AJ315" i="11"/>
  <c r="AP316" i="11"/>
  <c r="AO316" i="11"/>
  <c r="AM316" i="11"/>
  <c r="AK317" i="11"/>
  <c r="AL316" i="11"/>
  <c r="AN316" i="11"/>
  <c r="AQ315" i="11"/>
  <c r="AR315" i="11"/>
  <c r="AF1363" i="10"/>
  <c r="AD1363" i="10"/>
  <c r="AE1363" i="10" s="1"/>
  <c r="AB1364" i="10"/>
  <c r="AC1364" i="10" s="1"/>
  <c r="F380" i="14"/>
  <c r="D378" i="14"/>
  <c r="V1365" i="10"/>
  <c r="U1365" i="10" s="1"/>
  <c r="X1365" i="10" s="1"/>
  <c r="Y1365" i="10" s="1"/>
  <c r="Z1365" i="10" s="1"/>
  <c r="W1366" i="10"/>
  <c r="T1365" i="10"/>
  <c r="AO374" i="12"/>
  <c r="AL374" i="12" s="1"/>
  <c r="AN374" i="12"/>
  <c r="AP374" i="12"/>
  <c r="AM375" i="12"/>
  <c r="AQ374" i="12"/>
  <c r="AT316" i="11" l="1"/>
  <c r="AJ316" i="11"/>
  <c r="AM317" i="11"/>
  <c r="AL317" i="11"/>
  <c r="AO317" i="11"/>
  <c r="AP317" i="11"/>
  <c r="AK318" i="11"/>
  <c r="AN317" i="11"/>
  <c r="AR316" i="11"/>
  <c r="AQ316" i="11"/>
  <c r="AD1364" i="10"/>
  <c r="AE1364" i="10" s="1"/>
  <c r="AB1365" i="10"/>
  <c r="AC1365" i="10" s="1"/>
  <c r="AF1364" i="10"/>
  <c r="AO375" i="12"/>
  <c r="AL375" i="12" s="1"/>
  <c r="AM376" i="12"/>
  <c r="AP375" i="12"/>
  <c r="AQ375" i="12"/>
  <c r="AN375" i="12"/>
  <c r="V1366" i="10"/>
  <c r="U1366" i="10" s="1"/>
  <c r="X1366" i="10" s="1"/>
  <c r="Y1366" i="10" s="1"/>
  <c r="Z1366" i="10" s="1"/>
  <c r="W1367" i="10"/>
  <c r="T1366" i="10"/>
  <c r="D379" i="14"/>
  <c r="F381" i="14"/>
  <c r="AT317" i="11" l="1"/>
  <c r="AJ317" i="11"/>
  <c r="AL318" i="11"/>
  <c r="AK319" i="11"/>
  <c r="AN318" i="11"/>
  <c r="AP318" i="11"/>
  <c r="AM318" i="11"/>
  <c r="AO318" i="11"/>
  <c r="AQ317" i="11"/>
  <c r="AR317" i="11"/>
  <c r="AF1365" i="10"/>
  <c r="AD1365" i="10"/>
  <c r="AE1365" i="10" s="1"/>
  <c r="AB1366" i="10"/>
  <c r="AC1366" i="10" s="1"/>
  <c r="AD1366" i="10" s="1"/>
  <c r="AE1366" i="10" s="1"/>
  <c r="F382" i="14"/>
  <c r="D380" i="14"/>
  <c r="W1368" i="10"/>
  <c r="V1367" i="10"/>
  <c r="U1367" i="10" s="1"/>
  <c r="X1367" i="10" s="1"/>
  <c r="Y1367" i="10" s="1"/>
  <c r="Z1367" i="10" s="1"/>
  <c r="T1367" i="10"/>
  <c r="AO376" i="12"/>
  <c r="AL376" i="12" s="1"/>
  <c r="AM377" i="12"/>
  <c r="AQ376" i="12"/>
  <c r="AN376" i="12"/>
  <c r="AP376" i="12"/>
  <c r="AT318" i="11" l="1"/>
  <c r="AJ318" i="11"/>
  <c r="AO319" i="11"/>
  <c r="AP319" i="11"/>
  <c r="AL319" i="11"/>
  <c r="AM319" i="11"/>
  <c r="AN319" i="11"/>
  <c r="AK320" i="11"/>
  <c r="AQ318" i="11"/>
  <c r="AR318" i="11"/>
  <c r="AF1366" i="10"/>
  <c r="AF1367" i="10"/>
  <c r="AB1367" i="10"/>
  <c r="AC1367" i="10" s="1"/>
  <c r="AO377" i="12"/>
  <c r="AL377" i="12" s="1"/>
  <c r="AM378" i="12"/>
  <c r="AN377" i="12"/>
  <c r="AQ377" i="12"/>
  <c r="AP377" i="12"/>
  <c r="V1368" i="10"/>
  <c r="U1368" i="10" s="1"/>
  <c r="X1368" i="10" s="1"/>
  <c r="Y1368" i="10" s="1"/>
  <c r="Z1368" i="10" s="1"/>
  <c r="W1369" i="10"/>
  <c r="T1368" i="10"/>
  <c r="D381" i="14"/>
  <c r="F383" i="14"/>
  <c r="AT319" i="11" l="1"/>
  <c r="AJ319" i="11"/>
  <c r="AD1367" i="10"/>
  <c r="AE1367" i="10" s="1"/>
  <c r="AR319" i="11"/>
  <c r="AQ319" i="11"/>
  <c r="AO320" i="11"/>
  <c r="AN320" i="11"/>
  <c r="AL320" i="11"/>
  <c r="AP320" i="11"/>
  <c r="AK321" i="11"/>
  <c r="AM320" i="11"/>
  <c r="AD1368" i="10"/>
  <c r="AE1368" i="10"/>
  <c r="AF1368" i="10"/>
  <c r="AB1368" i="10"/>
  <c r="AC1368" i="10"/>
  <c r="AO378" i="12"/>
  <c r="AL378" i="12" s="1"/>
  <c r="AN378" i="12"/>
  <c r="AP378" i="12"/>
  <c r="AQ378" i="12"/>
  <c r="AM379" i="12"/>
  <c r="F384" i="14"/>
  <c r="D382" i="14"/>
  <c r="V1369" i="10"/>
  <c r="U1369" i="10" s="1"/>
  <c r="X1369" i="10" s="1"/>
  <c r="Y1369" i="10" s="1"/>
  <c r="Z1369" i="10" s="1"/>
  <c r="W1370" i="10"/>
  <c r="T1369" i="10"/>
  <c r="AT320" i="11" l="1"/>
  <c r="AJ320" i="11"/>
  <c r="AL321" i="11"/>
  <c r="AN321" i="11"/>
  <c r="AK322" i="11"/>
  <c r="AO321" i="11"/>
  <c r="AM321" i="11"/>
  <c r="AP321" i="11"/>
  <c r="AQ320" i="11"/>
  <c r="AR320" i="11"/>
  <c r="AB1369" i="10"/>
  <c r="AC1369" i="10" s="1"/>
  <c r="AF1369" i="10"/>
  <c r="D383" i="14"/>
  <c r="V1370" i="10"/>
  <c r="U1370" i="10" s="1"/>
  <c r="X1370" i="10" s="1"/>
  <c r="Y1370" i="10" s="1"/>
  <c r="Z1370" i="10" s="1"/>
  <c r="W1371" i="10"/>
  <c r="T1370" i="10"/>
  <c r="F385" i="14"/>
  <c r="AO379" i="12"/>
  <c r="AL379" i="12" s="1"/>
  <c r="AM380" i="12"/>
  <c r="AP379" i="12"/>
  <c r="AQ379" i="12"/>
  <c r="AN379" i="12"/>
  <c r="AT321" i="11" l="1"/>
  <c r="AJ321" i="11"/>
  <c r="AD1369" i="10"/>
  <c r="AE1369" i="10"/>
  <c r="AL322" i="11"/>
  <c r="AK323" i="11"/>
  <c r="AP322" i="11"/>
  <c r="AO322" i="11"/>
  <c r="AN322" i="11"/>
  <c r="AM322" i="11"/>
  <c r="AR321" i="11"/>
  <c r="AQ321" i="11"/>
  <c r="AO380" i="12"/>
  <c r="AL380" i="12" s="1"/>
  <c r="AM381" i="12"/>
  <c r="AQ380" i="12"/>
  <c r="AP380" i="12"/>
  <c r="AN380" i="12"/>
  <c r="AB1370" i="10"/>
  <c r="AD1370" i="10"/>
  <c r="AF1370" i="10"/>
  <c r="AE1370" i="10"/>
  <c r="AC1370" i="10"/>
  <c r="D384" i="14"/>
  <c r="F386" i="14"/>
  <c r="W1372" i="10"/>
  <c r="V1371" i="10"/>
  <c r="U1371" i="10" s="1"/>
  <c r="X1371" i="10" s="1"/>
  <c r="Y1371" i="10" s="1"/>
  <c r="Z1371" i="10" s="1"/>
  <c r="T1371" i="10"/>
  <c r="AT322" i="11" l="1"/>
  <c r="AJ322" i="11"/>
  <c r="AR322" i="11"/>
  <c r="AQ322" i="11"/>
  <c r="AP323" i="11"/>
  <c r="AK324" i="11"/>
  <c r="AL323" i="11"/>
  <c r="AO323" i="11"/>
  <c r="AN323" i="11"/>
  <c r="AM323" i="11"/>
  <c r="AB1371" i="10"/>
  <c r="AC1371" i="10"/>
  <c r="AF1371" i="10"/>
  <c r="AD1371" i="10"/>
  <c r="AE1371" i="10"/>
  <c r="V1372" i="10"/>
  <c r="U1372" i="10" s="1"/>
  <c r="X1372" i="10" s="1"/>
  <c r="Y1372" i="10" s="1"/>
  <c r="Z1372" i="10" s="1"/>
  <c r="W1373" i="10"/>
  <c r="T1372" i="10"/>
  <c r="D385" i="14"/>
  <c r="F387" i="14"/>
  <c r="AO381" i="12"/>
  <c r="AL381" i="12" s="1"/>
  <c r="AM382" i="12"/>
  <c r="AN381" i="12"/>
  <c r="AQ381" i="12"/>
  <c r="AP381" i="12"/>
  <c r="AT323" i="11" l="1"/>
  <c r="AJ323" i="11"/>
  <c r="AQ323" i="11"/>
  <c r="AR323" i="11"/>
  <c r="AL324" i="11"/>
  <c r="AM324" i="11"/>
  <c r="AP324" i="11"/>
  <c r="AN324" i="11"/>
  <c r="AK325" i="11"/>
  <c r="AO324" i="11"/>
  <c r="AO382" i="12"/>
  <c r="AL382" i="12" s="1"/>
  <c r="AN382" i="12"/>
  <c r="AP382" i="12"/>
  <c r="AM383" i="12"/>
  <c r="AQ382" i="12"/>
  <c r="F388" i="14"/>
  <c r="D386" i="14"/>
  <c r="V1373" i="10"/>
  <c r="U1373" i="10" s="1"/>
  <c r="X1373" i="10" s="1"/>
  <c r="Y1373" i="10" s="1"/>
  <c r="Z1373" i="10" s="1"/>
  <c r="T1373" i="10"/>
  <c r="W1374" i="10"/>
  <c r="AF1372" i="10"/>
  <c r="AD1372" i="10"/>
  <c r="AB1372" i="10"/>
  <c r="AC1372" i="10"/>
  <c r="AE1372" i="10" s="1"/>
  <c r="AT324" i="11" l="1"/>
  <c r="AJ324" i="11"/>
  <c r="AL325" i="11"/>
  <c r="AP325" i="11"/>
  <c r="AN325" i="11"/>
  <c r="AK326" i="11"/>
  <c r="AM325" i="11"/>
  <c r="AO325" i="11"/>
  <c r="AR324" i="11"/>
  <c r="AQ324" i="11"/>
  <c r="W1441" i="10"/>
  <c r="V1374" i="10"/>
  <c r="D387" i="14"/>
  <c r="F389" i="14"/>
  <c r="AB1373" i="10"/>
  <c r="AF1373" i="10" s="1"/>
  <c r="AO383" i="12"/>
  <c r="AL383" i="12" s="1"/>
  <c r="AM384" i="12"/>
  <c r="AP383" i="12"/>
  <c r="AQ383" i="12"/>
  <c r="AN383" i="12"/>
  <c r="AT325" i="11" l="1"/>
  <c r="AJ325" i="11"/>
  <c r="AN326" i="11"/>
  <c r="AP326" i="11"/>
  <c r="AM326" i="11"/>
  <c r="AO326" i="11"/>
  <c r="AL326" i="11"/>
  <c r="AK327" i="11"/>
  <c r="AR325" i="11"/>
  <c r="AQ325" i="11"/>
  <c r="AC1373" i="10"/>
  <c r="AD1373" i="10" s="1"/>
  <c r="AE1373" i="10" s="1"/>
  <c r="AO384" i="12"/>
  <c r="AL384" i="12" s="1"/>
  <c r="AM385" i="12"/>
  <c r="AQ384" i="12"/>
  <c r="AP384" i="12"/>
  <c r="AN384" i="12"/>
  <c r="F390" i="14"/>
  <c r="D388" i="14"/>
  <c r="U1374" i="10"/>
  <c r="X1374" i="10" s="1"/>
  <c r="Y1374" i="10" s="1"/>
  <c r="Z1374" i="10" s="1"/>
  <c r="T1374" i="10"/>
  <c r="AT326" i="11" l="1"/>
  <c r="AJ326" i="11"/>
  <c r="AQ326" i="11"/>
  <c r="AR326" i="11"/>
  <c r="AP327" i="11"/>
  <c r="AL327" i="11"/>
  <c r="AM327" i="11"/>
  <c r="AN327" i="11"/>
  <c r="AO327" i="11"/>
  <c r="AK328" i="11"/>
  <c r="AB1374" i="10"/>
  <c r="AF1374" i="10" s="1"/>
  <c r="AC1374" i="10"/>
  <c r="D389" i="14"/>
  <c r="F391" i="14"/>
  <c r="AO385" i="12"/>
  <c r="AL385" i="12" s="1"/>
  <c r="AM386" i="12"/>
  <c r="AN385" i="12"/>
  <c r="AQ385" i="12"/>
  <c r="AP385" i="12"/>
  <c r="AT327" i="11" l="1"/>
  <c r="AJ327" i="11"/>
  <c r="AQ327" i="11"/>
  <c r="AR327" i="11"/>
  <c r="AN328" i="11"/>
  <c r="AL328" i="11"/>
  <c r="AO328" i="11"/>
  <c r="AK329" i="11"/>
  <c r="AM328" i="11"/>
  <c r="AP328" i="11"/>
  <c r="AD1374" i="10"/>
  <c r="AD1376" i="10" s="1"/>
  <c r="E81" i="10" s="1"/>
  <c r="E89" i="10"/>
  <c r="Z1014" i="12"/>
  <c r="Z1016" i="12" s="1"/>
  <c r="Z1010" i="11" s="1"/>
  <c r="Z1013" i="12"/>
  <c r="Z1015" i="12" s="1"/>
  <c r="AO386" i="12"/>
  <c r="AL386" i="12" s="1"/>
  <c r="AN386" i="12"/>
  <c r="AP386" i="12"/>
  <c r="AM387" i="12"/>
  <c r="AQ386" i="12"/>
  <c r="F392" i="14"/>
  <c r="D390" i="14"/>
  <c r="E98" i="10"/>
  <c r="CQ98" i="10" s="1"/>
  <c r="E105" i="10"/>
  <c r="CQ105" i="10" s="1"/>
  <c r="E111" i="10"/>
  <c r="CQ111" i="10" s="1"/>
  <c r="E101" i="10"/>
  <c r="CQ101" i="10" s="1"/>
  <c r="E128" i="10"/>
  <c r="CQ128" i="10" s="1"/>
  <c r="E102" i="10"/>
  <c r="CQ102" i="10" s="1"/>
  <c r="E130" i="10"/>
  <c r="CQ130" i="10" s="1"/>
  <c r="E95" i="10"/>
  <c r="CQ95" i="10" s="1"/>
  <c r="E96" i="10"/>
  <c r="CQ96" i="10" s="1"/>
  <c r="E124" i="10"/>
  <c r="CQ124" i="10" s="1"/>
  <c r="E108" i="10"/>
  <c r="CQ108" i="10" s="1"/>
  <c r="E136" i="10"/>
  <c r="CQ136" i="10" s="1"/>
  <c r="E91" i="10"/>
  <c r="E114" i="10"/>
  <c r="CQ114" i="10" s="1"/>
  <c r="E113" i="10"/>
  <c r="CQ113" i="10" s="1"/>
  <c r="E117" i="10"/>
  <c r="CQ117" i="10" s="1"/>
  <c r="E140" i="10"/>
  <c r="CQ140" i="10" s="1"/>
  <c r="E116" i="10"/>
  <c r="CQ116" i="10" s="1"/>
  <c r="E99" i="10"/>
  <c r="CQ99" i="10" s="1"/>
  <c r="E122" i="10"/>
  <c r="CQ122" i="10" s="1"/>
  <c r="E115" i="10"/>
  <c r="CQ115" i="10" s="1"/>
  <c r="E139" i="10"/>
  <c r="CQ139" i="10" s="1"/>
  <c r="E90" i="10"/>
  <c r="E123" i="10"/>
  <c r="CQ123" i="10" s="1"/>
  <c r="E138" i="10"/>
  <c r="CQ138" i="10" s="1"/>
  <c r="E129" i="10"/>
  <c r="CQ129" i="10" s="1"/>
  <c r="E133" i="10"/>
  <c r="CQ133" i="10" s="1"/>
  <c r="E109" i="10"/>
  <c r="CQ109" i="10" s="1"/>
  <c r="E121" i="10"/>
  <c r="CQ121" i="10" s="1"/>
  <c r="E125" i="10"/>
  <c r="CQ125" i="10" s="1"/>
  <c r="E132" i="10"/>
  <c r="CQ132" i="10" s="1"/>
  <c r="E104" i="10"/>
  <c r="CQ104" i="10" s="1"/>
  <c r="E106" i="10"/>
  <c r="CQ106" i="10" s="1"/>
  <c r="E100" i="10"/>
  <c r="CQ100" i="10" s="1"/>
  <c r="E94" i="10"/>
  <c r="E92" i="10"/>
  <c r="E103" i="10"/>
  <c r="CQ103" i="10" s="1"/>
  <c r="E131" i="10"/>
  <c r="CQ131" i="10" s="1"/>
  <c r="E112" i="10"/>
  <c r="CQ112" i="10" s="1"/>
  <c r="E97" i="10"/>
  <c r="CQ97" i="10" s="1"/>
  <c r="E134" i="10"/>
  <c r="CQ134" i="10" s="1"/>
  <c r="E107" i="10"/>
  <c r="CQ107" i="10" s="1"/>
  <c r="E120" i="10"/>
  <c r="CQ120" i="10" s="1"/>
  <c r="E93" i="10"/>
  <c r="CQ93" i="10" s="1"/>
  <c r="E127" i="10"/>
  <c r="CQ127" i="10" s="1"/>
  <c r="E126" i="10"/>
  <c r="CQ126" i="10" s="1"/>
  <c r="E119" i="10"/>
  <c r="CQ119" i="10" s="1"/>
  <c r="E110" i="10"/>
  <c r="CQ110" i="10" s="1"/>
  <c r="E118" i="10"/>
  <c r="CQ118" i="10" s="1"/>
  <c r="E135" i="10"/>
  <c r="CQ135" i="10" s="1"/>
  <c r="E137" i="10"/>
  <c r="CQ137" i="10" s="1"/>
  <c r="B92" i="10" l="1"/>
  <c r="G92" i="10" s="1"/>
  <c r="CQ92" i="10"/>
  <c r="B94" i="10"/>
  <c r="G94" i="10" s="1"/>
  <c r="CQ94" i="10"/>
  <c r="CQ90" i="10"/>
  <c r="M90" i="10"/>
  <c r="M89" i="10"/>
  <c r="CQ89" i="10"/>
  <c r="CQ91" i="10"/>
  <c r="M91" i="10"/>
  <c r="AT328" i="11"/>
  <c r="AJ328" i="11"/>
  <c r="B126" i="10"/>
  <c r="G126" i="10" s="1"/>
  <c r="L126" i="10" s="1"/>
  <c r="CN1054" i="10" s="1"/>
  <c r="CO1054" i="10" s="1"/>
  <c r="C126" i="10"/>
  <c r="B127" i="10"/>
  <c r="G127" i="10" s="1"/>
  <c r="L127" i="10" s="1"/>
  <c r="CN1055" i="10" s="1"/>
  <c r="CO1055" i="10" s="1"/>
  <c r="C127" i="10"/>
  <c r="B134" i="10"/>
  <c r="G134" i="10" s="1"/>
  <c r="L134" i="10" s="1"/>
  <c r="CN1062" i="10" s="1"/>
  <c r="CO1062" i="10" s="1"/>
  <c r="C134" i="10"/>
  <c r="B103" i="10"/>
  <c r="G103" i="10" s="1"/>
  <c r="C103" i="10"/>
  <c r="B106" i="10"/>
  <c r="G106" i="10" s="1"/>
  <c r="C106" i="10"/>
  <c r="B121" i="10"/>
  <c r="G121" i="10" s="1"/>
  <c r="L121" i="10" s="1"/>
  <c r="CN1049" i="10" s="1"/>
  <c r="CO1049" i="10" s="1"/>
  <c r="C121" i="10"/>
  <c r="B138" i="10"/>
  <c r="G138" i="10" s="1"/>
  <c r="L138" i="10" s="1"/>
  <c r="CN1066" i="10" s="1"/>
  <c r="CO1066" i="10" s="1"/>
  <c r="C138" i="10"/>
  <c r="B115" i="10"/>
  <c r="G115" i="10" s="1"/>
  <c r="C115" i="10"/>
  <c r="B140" i="10"/>
  <c r="G140" i="10" s="1"/>
  <c r="L140" i="10" s="1"/>
  <c r="CN1068" i="10" s="1"/>
  <c r="CO1068" i="10" s="1"/>
  <c r="C140" i="10"/>
  <c r="B91" i="10"/>
  <c r="G91" i="10" s="1"/>
  <c r="B96" i="10"/>
  <c r="G96" i="10" s="1"/>
  <c r="B128" i="10"/>
  <c r="G128" i="10" s="1"/>
  <c r="L128" i="10" s="1"/>
  <c r="C128" i="10"/>
  <c r="B98" i="10"/>
  <c r="G98" i="10" s="1"/>
  <c r="B110" i="10"/>
  <c r="G110" i="10" s="1"/>
  <c r="C110" i="10"/>
  <c r="B109" i="10"/>
  <c r="G109" i="10" s="1"/>
  <c r="C109" i="10"/>
  <c r="B122" i="10"/>
  <c r="G122" i="10" s="1"/>
  <c r="L122" i="10" s="1"/>
  <c r="CN1050" i="10" s="1"/>
  <c r="CO1050" i="10" s="1"/>
  <c r="C122" i="10"/>
  <c r="B136" i="10"/>
  <c r="G136" i="10" s="1"/>
  <c r="L136" i="10" s="1"/>
  <c r="CN1064" i="10" s="1"/>
  <c r="CO1064" i="10" s="1"/>
  <c r="C136" i="10"/>
  <c r="B95" i="10"/>
  <c r="G95" i="10" s="1"/>
  <c r="B101" i="10"/>
  <c r="G101" i="10" s="1"/>
  <c r="B118" i="10"/>
  <c r="G118" i="10" s="1"/>
  <c r="L118" i="10" s="1"/>
  <c r="CN1046" i="10" s="1"/>
  <c r="CO1046" i="10" s="1"/>
  <c r="C118" i="10"/>
  <c r="B93" i="10"/>
  <c r="G93" i="10" s="1"/>
  <c r="B97" i="10"/>
  <c r="G97" i="10" s="1"/>
  <c r="B104" i="10"/>
  <c r="G104" i="10" s="1"/>
  <c r="C104" i="10"/>
  <c r="B123" i="10"/>
  <c r="G123" i="10" s="1"/>
  <c r="L123" i="10" s="1"/>
  <c r="CN1051" i="10" s="1"/>
  <c r="CO1051" i="10" s="1"/>
  <c r="C123" i="10"/>
  <c r="B117" i="10"/>
  <c r="G117" i="10" s="1"/>
  <c r="L117" i="10" s="1"/>
  <c r="CN1045" i="10" s="1"/>
  <c r="CO1045" i="10" s="1"/>
  <c r="C117" i="10"/>
  <c r="B137" i="10"/>
  <c r="G137" i="10" s="1"/>
  <c r="L137" i="10" s="1"/>
  <c r="C137" i="10"/>
  <c r="B119" i="10"/>
  <c r="G119" i="10" s="1"/>
  <c r="L119" i="10" s="1"/>
  <c r="CN1047" i="10" s="1"/>
  <c r="CO1047" i="10" s="1"/>
  <c r="C119" i="10"/>
  <c r="B120" i="10"/>
  <c r="G120" i="10" s="1"/>
  <c r="L120" i="10" s="1"/>
  <c r="C120" i="10"/>
  <c r="B112" i="10"/>
  <c r="G112" i="10" s="1"/>
  <c r="C112" i="10"/>
  <c r="B132" i="10"/>
  <c r="G132" i="10" s="1"/>
  <c r="L132" i="10" s="1"/>
  <c r="CN1060" i="10" s="1"/>
  <c r="CO1060" i="10" s="1"/>
  <c r="C132" i="10"/>
  <c r="B133" i="10"/>
  <c r="G133" i="10" s="1"/>
  <c r="L133" i="10" s="1"/>
  <c r="C133" i="10"/>
  <c r="B99" i="10"/>
  <c r="G99" i="10" s="1"/>
  <c r="B113" i="10"/>
  <c r="G113" i="10" s="1"/>
  <c r="C113" i="10"/>
  <c r="B108" i="10"/>
  <c r="G108" i="10" s="1"/>
  <c r="C108" i="10"/>
  <c r="B130" i="10"/>
  <c r="G130" i="10" s="1"/>
  <c r="L130" i="10" s="1"/>
  <c r="CN1058" i="10" s="1"/>
  <c r="CO1058" i="10" s="1"/>
  <c r="C130" i="10"/>
  <c r="B111" i="10"/>
  <c r="G111" i="10" s="1"/>
  <c r="C111" i="10"/>
  <c r="B89" i="10"/>
  <c r="G89" i="10" s="1"/>
  <c r="L89" i="10" s="1"/>
  <c r="C89" i="10"/>
  <c r="C96" i="10" s="1"/>
  <c r="B135" i="10"/>
  <c r="G135" i="10" s="1"/>
  <c r="L135" i="10" s="1"/>
  <c r="CN1063" i="10" s="1"/>
  <c r="CO1063" i="10" s="1"/>
  <c r="C135" i="10"/>
  <c r="B107" i="10"/>
  <c r="G107" i="10" s="1"/>
  <c r="C107" i="10"/>
  <c r="B131" i="10"/>
  <c r="G131" i="10" s="1"/>
  <c r="L131" i="10" s="1"/>
  <c r="CN1059" i="10" s="1"/>
  <c r="CO1059" i="10" s="1"/>
  <c r="C131" i="10"/>
  <c r="B100" i="10"/>
  <c r="G100" i="10" s="1"/>
  <c r="B125" i="10"/>
  <c r="G125" i="10" s="1"/>
  <c r="L125" i="10" s="1"/>
  <c r="CN1053" i="10" s="1"/>
  <c r="CO1053" i="10" s="1"/>
  <c r="C125" i="10"/>
  <c r="B129" i="10"/>
  <c r="G129" i="10" s="1"/>
  <c r="L129" i="10" s="1"/>
  <c r="CN1057" i="10" s="1"/>
  <c r="CO1057" i="10" s="1"/>
  <c r="C129" i="10"/>
  <c r="B139" i="10"/>
  <c r="G139" i="10" s="1"/>
  <c r="L139" i="10" s="1"/>
  <c r="CN1067" i="10" s="1"/>
  <c r="CO1067" i="10" s="1"/>
  <c r="C139" i="10"/>
  <c r="B116" i="10"/>
  <c r="G116" i="10" s="1"/>
  <c r="L116" i="10" s="1"/>
  <c r="CN1044" i="10" s="1"/>
  <c r="CO1044" i="10" s="1"/>
  <c r="C116" i="10"/>
  <c r="B114" i="10"/>
  <c r="G114" i="10" s="1"/>
  <c r="C114" i="10"/>
  <c r="B124" i="10"/>
  <c r="G124" i="10" s="1"/>
  <c r="L124" i="10" s="1"/>
  <c r="C124" i="10"/>
  <c r="B102" i="10"/>
  <c r="G102" i="10" s="1"/>
  <c r="C102" i="10"/>
  <c r="B105" i="10"/>
  <c r="G105" i="10" s="1"/>
  <c r="C105" i="10"/>
  <c r="E80" i="10"/>
  <c r="O80" i="10" s="1"/>
  <c r="E83" i="10"/>
  <c r="S83" i="10" s="1"/>
  <c r="E82" i="10"/>
  <c r="S82" i="10" s="1"/>
  <c r="E84" i="10"/>
  <c r="S84" i="10" s="1"/>
  <c r="B90" i="10"/>
  <c r="G90" i="10" s="1"/>
  <c r="A89" i="10"/>
  <c r="AR328" i="11"/>
  <c r="AQ328" i="11"/>
  <c r="AM329" i="11"/>
  <c r="AO329" i="11"/>
  <c r="AL329" i="11"/>
  <c r="AK330" i="11"/>
  <c r="AP329" i="11"/>
  <c r="AN329" i="11"/>
  <c r="AE1374" i="10"/>
  <c r="L83" i="10" s="1"/>
  <c r="Z1009" i="11"/>
  <c r="C1026" i="11" s="1"/>
  <c r="B27" i="11" s="1"/>
  <c r="Z1433" i="10"/>
  <c r="Z1434" i="10"/>
  <c r="F1015" i="12"/>
  <c r="K1015" i="12"/>
  <c r="N1015" i="12"/>
  <c r="G1015" i="12"/>
  <c r="J1015" i="12"/>
  <c r="M1015" i="12"/>
  <c r="Q1015" i="12"/>
  <c r="P1015" i="12"/>
  <c r="L1015" i="12"/>
  <c r="I1015" i="12"/>
  <c r="H1015" i="12"/>
  <c r="O1015" i="12"/>
  <c r="C1026" i="12"/>
  <c r="B25" i="12" s="1"/>
  <c r="A118" i="10"/>
  <c r="A127" i="10"/>
  <c r="A134" i="10"/>
  <c r="A103" i="10"/>
  <c r="A106" i="10"/>
  <c r="A121" i="10"/>
  <c r="A138" i="10"/>
  <c r="A115" i="10"/>
  <c r="A140" i="10"/>
  <c r="A91" i="10"/>
  <c r="A96" i="10"/>
  <c r="A128" i="10"/>
  <c r="A98" i="10"/>
  <c r="AO387" i="12"/>
  <c r="AL387" i="12" s="1"/>
  <c r="AM388" i="12"/>
  <c r="AP387" i="12"/>
  <c r="AQ387" i="12"/>
  <c r="AN387" i="12"/>
  <c r="A110" i="10"/>
  <c r="A93" i="10"/>
  <c r="A97" i="10"/>
  <c r="A92" i="10"/>
  <c r="A104" i="10"/>
  <c r="A109" i="10"/>
  <c r="A123" i="10"/>
  <c r="A122" i="10"/>
  <c r="A117" i="10"/>
  <c r="A136" i="10"/>
  <c r="A95" i="10"/>
  <c r="A101" i="10"/>
  <c r="D391" i="14"/>
  <c r="F393" i="14"/>
  <c r="S81" i="10"/>
  <c r="M81" i="10"/>
  <c r="A135" i="10"/>
  <c r="A137" i="10"/>
  <c r="A119" i="10"/>
  <c r="A120" i="10"/>
  <c r="A112" i="10"/>
  <c r="A94" i="10"/>
  <c r="A132" i="10"/>
  <c r="A133" i="10"/>
  <c r="A90" i="10"/>
  <c r="A99" i="10"/>
  <c r="A113" i="10"/>
  <c r="A108" i="10"/>
  <c r="A130" i="10"/>
  <c r="A111" i="10"/>
  <c r="A126" i="10"/>
  <c r="A107" i="10"/>
  <c r="A131" i="10"/>
  <c r="A100" i="10"/>
  <c r="A125" i="10"/>
  <c r="A129" i="10"/>
  <c r="A139" i="10"/>
  <c r="A116" i="10"/>
  <c r="A114" i="10"/>
  <c r="A124" i="10"/>
  <c r="A102" i="10"/>
  <c r="A105" i="10"/>
  <c r="S80" i="10" l="1"/>
  <c r="K83" i="10"/>
  <c r="AT329" i="11"/>
  <c r="AJ329" i="11"/>
  <c r="C90" i="10"/>
  <c r="C97" i="10"/>
  <c r="CN1061" i="10"/>
  <c r="CO1061" i="10" s="1"/>
  <c r="CN1065" i="10"/>
  <c r="CO1065" i="10" s="1"/>
  <c r="CN1052" i="10"/>
  <c r="CO1052" i="10" s="1"/>
  <c r="CN1048" i="10"/>
  <c r="CO1048" i="10" s="1"/>
  <c r="CN1056" i="10"/>
  <c r="CO1056" i="10" s="1"/>
  <c r="J84" i="10"/>
  <c r="M83" i="10"/>
  <c r="G83" i="10"/>
  <c r="P84" i="10"/>
  <c r="G82" i="10"/>
  <c r="K82" i="10"/>
  <c r="G80" i="10"/>
  <c r="N84" i="10"/>
  <c r="N83" i="10"/>
  <c r="I83" i="10"/>
  <c r="F82" i="10"/>
  <c r="P81" i="10"/>
  <c r="M84" i="10"/>
  <c r="J82" i="10"/>
  <c r="I80" i="10"/>
  <c r="F81" i="10"/>
  <c r="Q82" i="10"/>
  <c r="H82" i="10"/>
  <c r="K80" i="10"/>
  <c r="L80" i="10"/>
  <c r="H80" i="10"/>
  <c r="L81" i="10"/>
  <c r="I81" i="10"/>
  <c r="O81" i="10"/>
  <c r="G84" i="10"/>
  <c r="I84" i="10"/>
  <c r="L84" i="10"/>
  <c r="O83" i="10"/>
  <c r="I82" i="10"/>
  <c r="P80" i="10"/>
  <c r="M80" i="10"/>
  <c r="F80" i="10"/>
  <c r="K81" i="10"/>
  <c r="N81" i="10"/>
  <c r="H81" i="10"/>
  <c r="O84" i="10"/>
  <c r="Q84" i="10"/>
  <c r="H84" i="10"/>
  <c r="H83" i="10"/>
  <c r="P83" i="10"/>
  <c r="L82" i="10"/>
  <c r="N82" i="10"/>
  <c r="J83" i="10"/>
  <c r="F83" i="10"/>
  <c r="Q83" i="10"/>
  <c r="O82" i="10"/>
  <c r="P82" i="10"/>
  <c r="M82" i="10"/>
  <c r="Q80" i="10"/>
  <c r="N80" i="10"/>
  <c r="J80" i="10"/>
  <c r="J81" i="10"/>
  <c r="G81" i="10"/>
  <c r="Q81" i="10"/>
  <c r="K84" i="10"/>
  <c r="F84" i="10"/>
  <c r="AR329" i="11"/>
  <c r="AQ329" i="11"/>
  <c r="AK331" i="11"/>
  <c r="AO330" i="11"/>
  <c r="AP330" i="11"/>
  <c r="AM330" i="11"/>
  <c r="AL330" i="11"/>
  <c r="AN330" i="11"/>
  <c r="F1015" i="11"/>
  <c r="Q1015" i="11"/>
  <c r="O1015" i="11"/>
  <c r="H1015" i="11"/>
  <c r="P1015" i="11"/>
  <c r="J1015" i="11"/>
  <c r="M1015" i="11"/>
  <c r="G1015" i="11"/>
  <c r="K1015" i="11"/>
  <c r="I1015" i="11"/>
  <c r="L1015" i="11"/>
  <c r="N1015" i="11"/>
  <c r="I1031" i="12"/>
  <c r="I1030" i="12"/>
  <c r="M1031" i="12"/>
  <c r="M1030" i="12"/>
  <c r="K1031" i="12"/>
  <c r="K1030" i="12"/>
  <c r="C1434" i="10"/>
  <c r="B56" i="10" s="1"/>
  <c r="L1031" i="12"/>
  <c r="L1030" i="12"/>
  <c r="J1031" i="12"/>
  <c r="J1030" i="12"/>
  <c r="F1031" i="12"/>
  <c r="C1015" i="12"/>
  <c r="C1020" i="12" s="1"/>
  <c r="F1030" i="12"/>
  <c r="H1031" i="12"/>
  <c r="H1030" i="12"/>
  <c r="Q1031" i="12"/>
  <c r="Q1030" i="12"/>
  <c r="N1031" i="12"/>
  <c r="N1030" i="12"/>
  <c r="O1031" i="12"/>
  <c r="O1030" i="12"/>
  <c r="P1031" i="12"/>
  <c r="P1030" i="12"/>
  <c r="G1031" i="12"/>
  <c r="G1030" i="12"/>
  <c r="G1423" i="10"/>
  <c r="H64" i="16" s="1"/>
  <c r="Q1423" i="10"/>
  <c r="R64" i="16" s="1"/>
  <c r="L1423" i="10"/>
  <c r="M64" i="16" s="1"/>
  <c r="N1423" i="10"/>
  <c r="M1423" i="10"/>
  <c r="N64" i="16" s="1"/>
  <c r="H1423" i="10"/>
  <c r="I64" i="16" s="1"/>
  <c r="P1423" i="10"/>
  <c r="Q64" i="16" s="1"/>
  <c r="O1423" i="10"/>
  <c r="P64" i="16" s="1"/>
  <c r="J1423" i="10"/>
  <c r="I1423" i="10"/>
  <c r="J64" i="16" s="1"/>
  <c r="K1423" i="10"/>
  <c r="F1423" i="10"/>
  <c r="G64" i="16" s="1"/>
  <c r="L102" i="10"/>
  <c r="L113" i="10"/>
  <c r="CN1041" i="10" s="1"/>
  <c r="CO1041" i="10" s="1"/>
  <c r="L112" i="10"/>
  <c r="CN1040" i="10" s="1"/>
  <c r="CO1040" i="10" s="1"/>
  <c r="L105" i="10"/>
  <c r="CN1033" i="10" s="1"/>
  <c r="CO1033" i="10" s="1"/>
  <c r="L111" i="10"/>
  <c r="L94" i="10"/>
  <c r="L101" i="10"/>
  <c r="CN1029" i="10" s="1"/>
  <c r="CO1029" i="10" s="1"/>
  <c r="L97" i="10"/>
  <c r="L91" i="10"/>
  <c r="Z1381" i="10" s="1"/>
  <c r="H4069" i="14" s="1"/>
  <c r="L103" i="10"/>
  <c r="CN1031" i="10" s="1"/>
  <c r="CO1031" i="10" s="1"/>
  <c r="L114" i="10"/>
  <c r="CN1042" i="10" s="1"/>
  <c r="CO1042" i="10" s="1"/>
  <c r="L100" i="10"/>
  <c r="L99" i="10"/>
  <c r="L104" i="10"/>
  <c r="CN1032" i="10" s="1"/>
  <c r="CO1032" i="10" s="1"/>
  <c r="L92" i="10"/>
  <c r="L110" i="10"/>
  <c r="CN1038" i="10" s="1"/>
  <c r="CO1038" i="10" s="1"/>
  <c r="L109" i="10"/>
  <c r="CN1037" i="10" s="1"/>
  <c r="CO1037" i="10" s="1"/>
  <c r="L96" i="10"/>
  <c r="L106" i="10"/>
  <c r="L107" i="10"/>
  <c r="CN1035" i="10" s="1"/>
  <c r="CO1035" i="10" s="1"/>
  <c r="L108" i="10"/>
  <c r="CN1036" i="10" s="1"/>
  <c r="CO1036" i="10" s="1"/>
  <c r="L95" i="10"/>
  <c r="L93" i="10"/>
  <c r="L98" i="10"/>
  <c r="L115" i="10"/>
  <c r="CN1017" i="10"/>
  <c r="CO1017" i="10" s="1"/>
  <c r="F394" i="14"/>
  <c r="D392" i="14"/>
  <c r="AO388" i="12"/>
  <c r="AL388" i="12" s="1"/>
  <c r="AM389" i="12"/>
  <c r="AQ388" i="12"/>
  <c r="AP388" i="12"/>
  <c r="AN388" i="12"/>
  <c r="AT330" i="11" l="1"/>
  <c r="AJ330" i="11"/>
  <c r="C91" i="10"/>
  <c r="C92" i="10" s="1"/>
  <c r="C99" i="10"/>
  <c r="C98" i="10"/>
  <c r="C100" i="10"/>
  <c r="C101" i="10" s="1"/>
  <c r="N78" i="10"/>
  <c r="L78" i="10"/>
  <c r="Q78" i="10"/>
  <c r="M78" i="10"/>
  <c r="O78" i="10"/>
  <c r="P78" i="10"/>
  <c r="K78" i="10"/>
  <c r="I78" i="10"/>
  <c r="H78" i="10"/>
  <c r="J78" i="10"/>
  <c r="CN1043" i="10"/>
  <c r="CO1043" i="10" s="1"/>
  <c r="CN1039" i="10"/>
  <c r="CO1039" i="10" s="1"/>
  <c r="CN1030" i="10"/>
  <c r="CO1030" i="10" s="1"/>
  <c r="CN1034" i="10"/>
  <c r="CO1034" i="10" s="1"/>
  <c r="AB55" i="16"/>
  <c r="AE55" i="16"/>
  <c r="CN1025" i="10"/>
  <c r="CO1025" i="10" s="1"/>
  <c r="CN1022" i="10"/>
  <c r="CO1022" i="10" s="1"/>
  <c r="CN1019" i="10"/>
  <c r="CO1019" i="10" s="1"/>
  <c r="CN1026" i="10"/>
  <c r="CO1026" i="10" s="1"/>
  <c r="AF55" i="16"/>
  <c r="CN1021" i="10"/>
  <c r="CO1021" i="10" s="1"/>
  <c r="AA55" i="16"/>
  <c r="CN1024" i="10"/>
  <c r="CO1024" i="10" s="1"/>
  <c r="AD55" i="16"/>
  <c r="CN1027" i="10"/>
  <c r="CO1027" i="10" s="1"/>
  <c r="AG55" i="16"/>
  <c r="CN1023" i="10"/>
  <c r="CO1023" i="10" s="1"/>
  <c r="AC55" i="16"/>
  <c r="CN1020" i="10"/>
  <c r="CO1020" i="10" s="1"/>
  <c r="Z55" i="16"/>
  <c r="CN1028" i="10"/>
  <c r="CO1028" i="10" s="1"/>
  <c r="AH55" i="16"/>
  <c r="O64" i="16"/>
  <c r="L64" i="16"/>
  <c r="K64" i="16"/>
  <c r="F70" i="10"/>
  <c r="N45" i="10"/>
  <c r="O55" i="16" s="1"/>
  <c r="K45" i="10"/>
  <c r="J45" i="10"/>
  <c r="AM331" i="11"/>
  <c r="AN331" i="11"/>
  <c r="AK332" i="11"/>
  <c r="AP331" i="11"/>
  <c r="AO331" i="11"/>
  <c r="AL331" i="11"/>
  <c r="AQ330" i="11"/>
  <c r="AR330" i="11"/>
  <c r="N1031" i="11"/>
  <c r="N1030" i="11"/>
  <c r="F1031" i="11"/>
  <c r="F1030" i="11"/>
  <c r="P1031" i="11"/>
  <c r="P1030" i="11"/>
  <c r="I1031" i="11"/>
  <c r="I1030" i="11"/>
  <c r="M1031" i="11"/>
  <c r="M1030" i="11"/>
  <c r="O1031" i="11"/>
  <c r="O1030" i="11"/>
  <c r="L1031" i="11"/>
  <c r="L1030" i="11"/>
  <c r="G1031" i="11"/>
  <c r="G1030" i="11"/>
  <c r="H1031" i="11"/>
  <c r="H1030" i="11"/>
  <c r="K1031" i="11"/>
  <c r="K1030" i="11"/>
  <c r="J1031" i="11"/>
  <c r="J1030" i="11"/>
  <c r="Q1031" i="11"/>
  <c r="Q1030" i="11"/>
  <c r="C1015" i="11"/>
  <c r="C1020" i="11" s="1"/>
  <c r="L45" i="10"/>
  <c r="M55" i="16" s="1"/>
  <c r="J1439" i="10"/>
  <c r="J1438" i="10"/>
  <c r="M1439" i="10"/>
  <c r="M1438" i="10"/>
  <c r="G1439" i="10"/>
  <c r="G1438" i="10"/>
  <c r="I45" i="10"/>
  <c r="J55" i="16" s="1"/>
  <c r="F1439" i="10"/>
  <c r="F1438" i="10"/>
  <c r="O1439" i="10"/>
  <c r="O1438" i="10"/>
  <c r="N1439" i="10"/>
  <c r="N1438" i="10"/>
  <c r="I1439" i="10"/>
  <c r="I1438" i="10"/>
  <c r="H1439" i="10"/>
  <c r="H1438" i="10"/>
  <c r="Q1439" i="10"/>
  <c r="Q1438" i="10"/>
  <c r="Q45" i="10"/>
  <c r="R55" i="16" s="1"/>
  <c r="M45" i="10"/>
  <c r="N55" i="16" s="1"/>
  <c r="K1439" i="10"/>
  <c r="K1438" i="10"/>
  <c r="P1439" i="10"/>
  <c r="P1438" i="10"/>
  <c r="P45" i="10"/>
  <c r="Q55" i="16" s="1"/>
  <c r="L1439" i="10"/>
  <c r="L1438" i="10"/>
  <c r="Z1379" i="10"/>
  <c r="L90" i="10"/>
  <c r="F72" i="10" s="1"/>
  <c r="AO389" i="12"/>
  <c r="AL389" i="12" s="1"/>
  <c r="AM390" i="12"/>
  <c r="AN389" i="12"/>
  <c r="AP389" i="12"/>
  <c r="AQ389" i="12"/>
  <c r="Z1021" i="12"/>
  <c r="Z1018" i="12" s="1"/>
  <c r="D393" i="14"/>
  <c r="F395" i="14"/>
  <c r="AH52" i="16" l="1"/>
  <c r="AH51" i="16"/>
  <c r="AH49" i="16"/>
  <c r="AH53" i="16"/>
  <c r="AH50" i="16"/>
  <c r="AC53" i="16"/>
  <c r="AC49" i="16"/>
  <c r="AC51" i="16"/>
  <c r="AC52" i="16"/>
  <c r="AC50" i="16"/>
  <c r="AD52" i="16"/>
  <c r="AD50" i="16"/>
  <c r="AD53" i="16"/>
  <c r="AD51" i="16"/>
  <c r="AD49" i="16"/>
  <c r="AF50" i="16"/>
  <c r="AF53" i="16"/>
  <c r="AF49" i="16"/>
  <c r="AF51" i="16"/>
  <c r="AF52" i="16"/>
  <c r="AE51" i="16"/>
  <c r="AE52" i="16"/>
  <c r="AE49" i="16"/>
  <c r="AE53" i="16"/>
  <c r="AE50" i="16"/>
  <c r="Z52" i="16"/>
  <c r="Z49" i="16"/>
  <c r="Z53" i="16"/>
  <c r="Z50" i="16"/>
  <c r="Z51" i="16"/>
  <c r="AG53" i="16"/>
  <c r="AG49" i="16"/>
  <c r="AG50" i="16"/>
  <c r="AG52" i="16"/>
  <c r="AG51" i="16"/>
  <c r="AA51" i="16"/>
  <c r="AA53" i="16"/>
  <c r="AA50" i="16"/>
  <c r="AA52" i="16"/>
  <c r="AA49" i="16"/>
  <c r="AB50" i="16"/>
  <c r="AB51" i="16"/>
  <c r="AB49" i="16"/>
  <c r="AB53" i="16"/>
  <c r="AB52" i="16"/>
  <c r="M50" i="16"/>
  <c r="M53" i="16"/>
  <c r="M49" i="16"/>
  <c r="M52" i="16"/>
  <c r="M51" i="16"/>
  <c r="O52" i="16"/>
  <c r="O40" i="16" s="1"/>
  <c r="N72" i="13" s="1"/>
  <c r="O51" i="16"/>
  <c r="O39" i="16" s="1"/>
  <c r="N68" i="13" s="1"/>
  <c r="O50" i="16"/>
  <c r="O38" i="16" s="1"/>
  <c r="N64" i="13" s="1"/>
  <c r="O53" i="16"/>
  <c r="O41" i="16" s="1"/>
  <c r="N76" i="13" s="1"/>
  <c r="O49" i="16"/>
  <c r="O37" i="16" s="1"/>
  <c r="J53" i="16"/>
  <c r="J49" i="16"/>
  <c r="J52" i="16"/>
  <c r="J51" i="16"/>
  <c r="J50" i="16"/>
  <c r="R53" i="16"/>
  <c r="R49" i="16"/>
  <c r="R52" i="16"/>
  <c r="R51" i="16"/>
  <c r="R50" i="16"/>
  <c r="Q50" i="16"/>
  <c r="Q53" i="16"/>
  <c r="Q49" i="16"/>
  <c r="Q52" i="16"/>
  <c r="Q51" i="16"/>
  <c r="N53" i="16"/>
  <c r="N49" i="16"/>
  <c r="N52" i="16"/>
  <c r="N51" i="16"/>
  <c r="N50" i="16"/>
  <c r="AT331" i="11"/>
  <c r="AJ331" i="11"/>
  <c r="C93" i="10"/>
  <c r="C94" i="10" s="1"/>
  <c r="F78" i="10"/>
  <c r="G78" i="10"/>
  <c r="K6" i="10"/>
  <c r="L55" i="16"/>
  <c r="J6" i="10"/>
  <c r="K55" i="16"/>
  <c r="F45" i="10"/>
  <c r="G55" i="16" s="1"/>
  <c r="Y55" i="16"/>
  <c r="W55" i="16"/>
  <c r="Z1380" i="10"/>
  <c r="H4068" i="14" s="1"/>
  <c r="O45" i="10"/>
  <c r="X55" i="16"/>
  <c r="CN1018" i="10"/>
  <c r="J164" i="17" s="1"/>
  <c r="F25" i="17" s="1"/>
  <c r="F12" i="17"/>
  <c r="F13" i="17"/>
  <c r="F16" i="17"/>
  <c r="F14" i="17"/>
  <c r="F18" i="17"/>
  <c r="F15" i="17"/>
  <c r="F17" i="17"/>
  <c r="F19" i="17"/>
  <c r="F21" i="17"/>
  <c r="F20" i="17"/>
  <c r="K12" i="17"/>
  <c r="K14" i="17"/>
  <c r="K16" i="17"/>
  <c r="K15" i="17"/>
  <c r="F23" i="17"/>
  <c r="K13" i="17"/>
  <c r="F22" i="17"/>
  <c r="P23" i="17"/>
  <c r="P18" i="17"/>
  <c r="P21" i="17"/>
  <c r="P16" i="17"/>
  <c r="K17" i="17"/>
  <c r="K22" i="17"/>
  <c r="K18" i="17"/>
  <c r="P17" i="17"/>
  <c r="P13" i="17"/>
  <c r="P15" i="17"/>
  <c r="K23" i="17"/>
  <c r="K19" i="17"/>
  <c r="K21" i="17"/>
  <c r="P12" i="17"/>
  <c r="K20" i="17"/>
  <c r="P22" i="17"/>
  <c r="P19" i="17"/>
  <c r="P20" i="17"/>
  <c r="P14" i="17"/>
  <c r="N6" i="10"/>
  <c r="L6" i="10"/>
  <c r="AM332" i="11"/>
  <c r="AK333" i="11"/>
  <c r="AL332" i="11"/>
  <c r="AP332" i="11"/>
  <c r="AO332" i="11"/>
  <c r="AN332" i="11"/>
  <c r="AQ331" i="11"/>
  <c r="AR331" i="11"/>
  <c r="L1076" i="10"/>
  <c r="I6" i="10"/>
  <c r="M6" i="10"/>
  <c r="Q6" i="10"/>
  <c r="P6" i="10"/>
  <c r="H45" i="10"/>
  <c r="I55" i="16" s="1"/>
  <c r="G45" i="10"/>
  <c r="H55" i="16" s="1"/>
  <c r="Q1034" i="12"/>
  <c r="O1034" i="12"/>
  <c r="P1034" i="12"/>
  <c r="F396" i="14"/>
  <c r="D394" i="14"/>
  <c r="H4185" i="14"/>
  <c r="Q108" i="13"/>
  <c r="AO390" i="12"/>
  <c r="AL390" i="12" s="1"/>
  <c r="AN390" i="12"/>
  <c r="AP390" i="12"/>
  <c r="AM391" i="12"/>
  <c r="AQ390" i="12"/>
  <c r="K52" i="16" l="1"/>
  <c r="K40" i="16" s="1"/>
  <c r="J72" i="13" s="1"/>
  <c r="K51" i="16"/>
  <c r="K39" i="16" s="1"/>
  <c r="J68" i="13" s="1"/>
  <c r="K50" i="16"/>
  <c r="K38" i="16" s="1"/>
  <c r="J64" i="13" s="1"/>
  <c r="K53" i="16"/>
  <c r="K41" i="16" s="1"/>
  <c r="J76" i="13" s="1"/>
  <c r="K49" i="16"/>
  <c r="K37" i="16" s="1"/>
  <c r="J60" i="13" s="1"/>
  <c r="L51" i="16"/>
  <c r="L39" i="16" s="1"/>
  <c r="K68" i="13" s="1"/>
  <c r="L50" i="16"/>
  <c r="L38" i="16" s="1"/>
  <c r="K64" i="13" s="1"/>
  <c r="L53" i="16"/>
  <c r="L41" i="16" s="1"/>
  <c r="K76" i="13" s="1"/>
  <c r="L49" i="16"/>
  <c r="L37" i="16" s="1"/>
  <c r="K60" i="13" s="1"/>
  <c r="L52" i="16"/>
  <c r="L40" i="16" s="1"/>
  <c r="K72" i="13" s="1"/>
  <c r="G49" i="16"/>
  <c r="G37" i="16" s="1"/>
  <c r="W37" i="16" s="1"/>
  <c r="G53" i="16"/>
  <c r="G41" i="16" s="1"/>
  <c r="F76" i="13" s="1"/>
  <c r="G52" i="16"/>
  <c r="G40" i="16" s="1"/>
  <c r="F72" i="13" s="1"/>
  <c r="G51" i="16"/>
  <c r="G39" i="16" s="1"/>
  <c r="G50" i="16"/>
  <c r="G38" i="16" s="1"/>
  <c r="W38" i="16" s="1"/>
  <c r="H53" i="16"/>
  <c r="H52" i="16"/>
  <c r="H51" i="16"/>
  <c r="H50" i="16"/>
  <c r="H49" i="16"/>
  <c r="I53" i="16"/>
  <c r="I52" i="16"/>
  <c r="I51" i="16"/>
  <c r="I50" i="16"/>
  <c r="I49" i="16"/>
  <c r="W49" i="16"/>
  <c r="W53" i="16"/>
  <c r="W52" i="16"/>
  <c r="W51" i="16"/>
  <c r="W50" i="16"/>
  <c r="X53" i="16"/>
  <c r="X52" i="16"/>
  <c r="X51" i="16"/>
  <c r="X50" i="16"/>
  <c r="X49" i="16"/>
  <c r="Y53" i="16"/>
  <c r="Y52" i="16"/>
  <c r="Y51" i="16"/>
  <c r="Y50" i="16"/>
  <c r="Y49" i="16"/>
  <c r="AT332" i="11"/>
  <c r="AJ332" i="11"/>
  <c r="S78" i="10"/>
  <c r="I1076" i="14" s="1"/>
  <c r="C95" i="10"/>
  <c r="AD39" i="11"/>
  <c r="AD37" i="11"/>
  <c r="AD28" i="11"/>
  <c r="AD25" i="11"/>
  <c r="O6" i="10"/>
  <c r="P55" i="16"/>
  <c r="F6" i="10"/>
  <c r="CO1018" i="10"/>
  <c r="H4067" i="14"/>
  <c r="O27" i="17"/>
  <c r="O74" i="18" s="1"/>
  <c r="H42" i="18" s="1"/>
  <c r="M1034" i="12"/>
  <c r="L1034" i="12"/>
  <c r="N1034" i="12"/>
  <c r="N60" i="13"/>
  <c r="J1034" i="12"/>
  <c r="K1034" i="12"/>
  <c r="O47" i="16"/>
  <c r="N40" i="16"/>
  <c r="M72" i="13" s="1"/>
  <c r="N39" i="16"/>
  <c r="M68" i="13" s="1"/>
  <c r="N37" i="16"/>
  <c r="N41" i="16"/>
  <c r="M76" i="13" s="1"/>
  <c r="N38" i="16"/>
  <c r="M64" i="13" s="1"/>
  <c r="M38" i="16"/>
  <c r="L64" i="13" s="1"/>
  <c r="M39" i="16"/>
  <c r="L68" i="13" s="1"/>
  <c r="M40" i="16"/>
  <c r="L72" i="13" s="1"/>
  <c r="M37" i="16"/>
  <c r="L60" i="13" s="1"/>
  <c r="M41" i="16"/>
  <c r="L76" i="13" s="1"/>
  <c r="J39" i="16"/>
  <c r="I68" i="13" s="1"/>
  <c r="J37" i="16"/>
  <c r="J41" i="16"/>
  <c r="I76" i="13" s="1"/>
  <c r="J40" i="16"/>
  <c r="I72" i="13" s="1"/>
  <c r="J38" i="16"/>
  <c r="I64" i="13" s="1"/>
  <c r="Q38" i="16"/>
  <c r="P64" i="13" s="1"/>
  <c r="Q41" i="16"/>
  <c r="P76" i="13" s="1"/>
  <c r="Q37" i="16"/>
  <c r="Q39" i="16"/>
  <c r="P68" i="13" s="1"/>
  <c r="Q40" i="16"/>
  <c r="P72" i="13" s="1"/>
  <c r="O43" i="16"/>
  <c r="R40" i="16"/>
  <c r="Q72" i="13" s="1"/>
  <c r="R39" i="16"/>
  <c r="Q68" i="13" s="1"/>
  <c r="R37" i="16"/>
  <c r="R41" i="16"/>
  <c r="Q76" i="13" s="1"/>
  <c r="R38" i="16"/>
  <c r="Q64" i="13" s="1"/>
  <c r="I1034" i="12"/>
  <c r="AP333" i="11"/>
  <c r="AL333" i="11"/>
  <c r="AO333" i="11"/>
  <c r="AM333" i="11"/>
  <c r="AN333" i="11"/>
  <c r="AK334" i="11"/>
  <c r="AQ332" i="11"/>
  <c r="AR332" i="11"/>
  <c r="S45" i="10"/>
  <c r="T66" i="16" s="1"/>
  <c r="G6" i="10"/>
  <c r="H6" i="10"/>
  <c r="AO391" i="12"/>
  <c r="AL391" i="12" s="1"/>
  <c r="AM392" i="12"/>
  <c r="AP391" i="12"/>
  <c r="AQ391" i="12"/>
  <c r="AN391" i="12"/>
  <c r="E4175" i="14"/>
  <c r="E4179" i="14"/>
  <c r="E4171" i="14"/>
  <c r="E4172" i="14"/>
  <c r="E4176" i="14"/>
  <c r="E4180" i="14"/>
  <c r="E4174" i="14"/>
  <c r="E4178" i="14"/>
  <c r="E4173" i="14"/>
  <c r="E4177" i="14"/>
  <c r="E4181" i="14"/>
  <c r="E4182" i="14"/>
  <c r="D395" i="14"/>
  <c r="F397" i="14"/>
  <c r="P51" i="16" l="1"/>
  <c r="P39" i="16" s="1"/>
  <c r="O68" i="13" s="1"/>
  <c r="P50" i="16"/>
  <c r="P38" i="16" s="1"/>
  <c r="O64" i="13" s="1"/>
  <c r="P53" i="16"/>
  <c r="P41" i="16" s="1"/>
  <c r="O76" i="13" s="1"/>
  <c r="P49" i="16"/>
  <c r="P37" i="16" s="1"/>
  <c r="P52" i="16"/>
  <c r="AT333" i="11"/>
  <c r="AJ333" i="11"/>
  <c r="F1034" i="12"/>
  <c r="L43" i="16"/>
  <c r="L45" i="16" s="1"/>
  <c r="N43" i="16"/>
  <c r="N44" i="16" s="1"/>
  <c r="N42" i="16" s="1"/>
  <c r="Q43" i="16"/>
  <c r="P60" i="13"/>
  <c r="M43" i="16"/>
  <c r="M44" i="16" s="1"/>
  <c r="M42" i="16" s="1"/>
  <c r="R43" i="16"/>
  <c r="Q60" i="13"/>
  <c r="J43" i="16"/>
  <c r="I60" i="13"/>
  <c r="K43" i="16"/>
  <c r="K45" i="16" s="1"/>
  <c r="M60" i="13"/>
  <c r="W41" i="16"/>
  <c r="F38" i="11"/>
  <c r="F37" i="11"/>
  <c r="F1051" i="11" s="1"/>
  <c r="W40" i="16"/>
  <c r="F35" i="11"/>
  <c r="F34" i="11"/>
  <c r="F64" i="13"/>
  <c r="F60" i="13"/>
  <c r="G43" i="16"/>
  <c r="G44" i="16" s="1"/>
  <c r="G42" i="16" s="1"/>
  <c r="P40" i="16"/>
  <c r="O72" i="13" s="1"/>
  <c r="T55" i="16"/>
  <c r="G54" i="16" s="1"/>
  <c r="M47" i="16"/>
  <c r="G47" i="16"/>
  <c r="J47" i="16"/>
  <c r="K47" i="16"/>
  <c r="I38" i="16"/>
  <c r="H64" i="13" s="1"/>
  <c r="I37" i="16"/>
  <c r="I39" i="16"/>
  <c r="H68" i="13" s="1"/>
  <c r="I41" i="16"/>
  <c r="H76" i="13" s="1"/>
  <c r="I40" i="16"/>
  <c r="H72" i="13" s="1"/>
  <c r="H40" i="16"/>
  <c r="H39" i="16"/>
  <c r="H37" i="16"/>
  <c r="H38" i="16"/>
  <c r="H41" i="16"/>
  <c r="G76" i="13" s="1"/>
  <c r="Q47" i="16"/>
  <c r="L47" i="16"/>
  <c r="N47" i="16"/>
  <c r="R47" i="16"/>
  <c r="O44" i="16"/>
  <c r="O42" i="16" s="1"/>
  <c r="O45" i="16"/>
  <c r="O46" i="16"/>
  <c r="AQ333" i="11"/>
  <c r="AR333" i="11"/>
  <c r="AM334" i="11"/>
  <c r="AP334" i="11"/>
  <c r="AL334" i="11"/>
  <c r="AK335" i="11"/>
  <c r="AO334" i="11"/>
  <c r="AN334" i="11"/>
  <c r="S6" i="10"/>
  <c r="F36" i="11"/>
  <c r="W39" i="16"/>
  <c r="F68" i="13"/>
  <c r="F398" i="14"/>
  <c r="D396" i="14"/>
  <c r="G4177" i="14"/>
  <c r="G4180" i="14"/>
  <c r="G4179" i="14"/>
  <c r="G4173" i="14"/>
  <c r="G4176" i="14"/>
  <c r="G4175" i="14"/>
  <c r="B24" i="11"/>
  <c r="G4182" i="14"/>
  <c r="G4178" i="14"/>
  <c r="G4172" i="14"/>
  <c r="AO392" i="12"/>
  <c r="AL392" i="12" s="1"/>
  <c r="AM393" i="12"/>
  <c r="AQ392" i="12"/>
  <c r="AP392" i="12"/>
  <c r="AN392" i="12"/>
  <c r="G4181" i="14"/>
  <c r="G4174" i="14"/>
  <c r="G4171" i="14"/>
  <c r="B22" i="12"/>
  <c r="B21" i="12"/>
  <c r="G34" i="11" l="1"/>
  <c r="AB38" i="16"/>
  <c r="AT334" i="11"/>
  <c r="AJ334" i="11"/>
  <c r="H1034" i="12"/>
  <c r="Y40" i="16"/>
  <c r="F78" i="13"/>
  <c r="F62" i="13"/>
  <c r="F66" i="13"/>
  <c r="N46" i="16"/>
  <c r="M45" i="16"/>
  <c r="L46" i="16"/>
  <c r="L44" i="16"/>
  <c r="L42" i="16" s="1"/>
  <c r="AD40" i="16"/>
  <c r="M46" i="16"/>
  <c r="Z39" i="16"/>
  <c r="AA39" i="16"/>
  <c r="K46" i="16"/>
  <c r="AE39" i="16"/>
  <c r="AF38" i="16"/>
  <c r="K44" i="16"/>
  <c r="K42" i="16" s="1"/>
  <c r="N45" i="16"/>
  <c r="G68" i="13"/>
  <c r="S68" i="13" s="1"/>
  <c r="AF39" i="16"/>
  <c r="AD39" i="16"/>
  <c r="AG39" i="16"/>
  <c r="T39" i="16"/>
  <c r="C39" i="16" s="1"/>
  <c r="AB39" i="16"/>
  <c r="X39" i="16"/>
  <c r="S76" i="13"/>
  <c r="AA40" i="16"/>
  <c r="X40" i="16"/>
  <c r="AH40" i="16"/>
  <c r="AA38" i="16"/>
  <c r="Y39" i="16"/>
  <c r="AC39" i="16"/>
  <c r="T40" i="16"/>
  <c r="C40" i="16" s="1"/>
  <c r="G72" i="13"/>
  <c r="S72" i="13" s="1"/>
  <c r="AF40" i="16"/>
  <c r="AC40" i="16"/>
  <c r="AG40" i="16"/>
  <c r="AE40" i="16"/>
  <c r="AB40" i="16"/>
  <c r="Z40" i="16"/>
  <c r="G64" i="13"/>
  <c r="S64" i="13" s="1"/>
  <c r="Z38" i="16"/>
  <c r="AE38" i="16"/>
  <c r="Z41" i="16"/>
  <c r="AE41" i="16"/>
  <c r="AH41" i="16"/>
  <c r="AD41" i="16"/>
  <c r="AC41" i="16"/>
  <c r="AG38" i="16"/>
  <c r="X38" i="16"/>
  <c r="AH38" i="16"/>
  <c r="H60" i="13"/>
  <c r="I43" i="16"/>
  <c r="R45" i="16"/>
  <c r="R44" i="16"/>
  <c r="R42" i="16" s="1"/>
  <c r="R46" i="16"/>
  <c r="X41" i="16"/>
  <c r="Y41" i="16"/>
  <c r="AG41" i="16"/>
  <c r="T41" i="16"/>
  <c r="C41" i="16" s="1"/>
  <c r="AA41" i="16"/>
  <c r="AD38" i="16"/>
  <c r="P43" i="16"/>
  <c r="O60" i="13"/>
  <c r="AB41" i="16"/>
  <c r="AF41" i="16"/>
  <c r="Y38" i="16"/>
  <c r="F36" i="17" s="1"/>
  <c r="AC38" i="16"/>
  <c r="T38" i="16"/>
  <c r="C38" i="16" s="1"/>
  <c r="G37" i="11"/>
  <c r="J45" i="16"/>
  <c r="J44" i="16"/>
  <c r="J42" i="16" s="1"/>
  <c r="J46" i="16"/>
  <c r="AH39" i="16"/>
  <c r="Q46" i="16"/>
  <c r="Q44" i="16"/>
  <c r="Q42" i="16" s="1"/>
  <c r="Q45" i="16"/>
  <c r="F1052" i="11"/>
  <c r="G38" i="11"/>
  <c r="H38" i="11" s="1"/>
  <c r="F74" i="13"/>
  <c r="T50" i="16"/>
  <c r="C50" i="16" s="1"/>
  <c r="G35" i="11"/>
  <c r="G1049" i="11" s="1"/>
  <c r="F1049" i="11"/>
  <c r="T52" i="16"/>
  <c r="C52" i="16" s="1"/>
  <c r="F1048" i="11"/>
  <c r="G45" i="16"/>
  <c r="G46" i="16"/>
  <c r="P47" i="16"/>
  <c r="F41" i="11"/>
  <c r="F70" i="13"/>
  <c r="E1021" i="12"/>
  <c r="E1023" i="12" s="1"/>
  <c r="H1023" i="12" s="1"/>
  <c r="H22" i="12" s="1"/>
  <c r="E1017" i="12"/>
  <c r="E1027" i="12" s="1"/>
  <c r="G1027" i="12" s="1"/>
  <c r="E1018" i="12"/>
  <c r="E1026" i="12" s="1"/>
  <c r="H1026" i="12" s="1"/>
  <c r="E1020" i="12"/>
  <c r="E1024" i="12" s="1"/>
  <c r="H1024" i="12" s="1"/>
  <c r="E1019" i="12"/>
  <c r="E1025" i="12" s="1"/>
  <c r="H1025" i="12" s="1"/>
  <c r="T51" i="16"/>
  <c r="C51" i="16" s="1"/>
  <c r="T53" i="16"/>
  <c r="C53" i="16" s="1"/>
  <c r="H47" i="16"/>
  <c r="T49" i="16"/>
  <c r="C49" i="16" s="1"/>
  <c r="I47" i="16"/>
  <c r="AQ334" i="11"/>
  <c r="AR334" i="11"/>
  <c r="AM335" i="11"/>
  <c r="AN335" i="11"/>
  <c r="AP335" i="11"/>
  <c r="AO335" i="11"/>
  <c r="AK336" i="11"/>
  <c r="AL335" i="11"/>
  <c r="AH37" i="16"/>
  <c r="AG37" i="16"/>
  <c r="AE37" i="16"/>
  <c r="AD37" i="16"/>
  <c r="Y37" i="16"/>
  <c r="F35" i="17" s="1"/>
  <c r="X37" i="16"/>
  <c r="AF37" i="16"/>
  <c r="AA37" i="16"/>
  <c r="Z37" i="16"/>
  <c r="T37" i="16"/>
  <c r="AC37" i="16"/>
  <c r="AB37" i="16"/>
  <c r="G60" i="13"/>
  <c r="G1034" i="12"/>
  <c r="G36" i="11"/>
  <c r="H36" i="11" s="1"/>
  <c r="F1050" i="11"/>
  <c r="F10" i="13"/>
  <c r="W43" i="16"/>
  <c r="G1022" i="12"/>
  <c r="J1022" i="12"/>
  <c r="K1022" i="12"/>
  <c r="O1022" i="12"/>
  <c r="Q1022" i="12"/>
  <c r="F1022" i="12"/>
  <c r="H1022" i="12"/>
  <c r="M1022" i="12"/>
  <c r="N1022" i="12"/>
  <c r="L1022" i="12"/>
  <c r="I1022" i="12"/>
  <c r="P1022" i="12"/>
  <c r="AO393" i="12"/>
  <c r="AL393" i="12" s="1"/>
  <c r="AM394" i="12"/>
  <c r="AN393" i="12"/>
  <c r="AQ393" i="12"/>
  <c r="AP393" i="12"/>
  <c r="D397" i="14"/>
  <c r="F399" i="14"/>
  <c r="G74" i="13" l="1"/>
  <c r="G1051" i="11"/>
  <c r="C1074" i="14"/>
  <c r="L1551" i="14" s="1"/>
  <c r="AT335" i="11"/>
  <c r="AJ335" i="11"/>
  <c r="F37" i="17"/>
  <c r="F39" i="17"/>
  <c r="F38" i="17"/>
  <c r="U1433" i="10"/>
  <c r="C1073" i="14" s="1"/>
  <c r="G78" i="13"/>
  <c r="U41" i="16"/>
  <c r="U39" i="16"/>
  <c r="U40" i="16"/>
  <c r="H37" i="11"/>
  <c r="H1051" i="11" s="1"/>
  <c r="G1052" i="11"/>
  <c r="U38" i="16"/>
  <c r="S60" i="13"/>
  <c r="G10" i="13"/>
  <c r="P44" i="16"/>
  <c r="P42" i="16" s="1"/>
  <c r="P46" i="16"/>
  <c r="P45" i="16"/>
  <c r="AA43" i="16"/>
  <c r="H43" i="16"/>
  <c r="I46" i="16"/>
  <c r="I44" i="16"/>
  <c r="I42" i="16" s="1"/>
  <c r="I45" i="16"/>
  <c r="G66" i="13"/>
  <c r="H35" i="11"/>
  <c r="H1049" i="11" s="1"/>
  <c r="G1048" i="11"/>
  <c r="T56" i="16"/>
  <c r="S46" i="10" s="1"/>
  <c r="H34" i="11"/>
  <c r="H1048" i="11" s="1"/>
  <c r="AM336" i="11"/>
  <c r="AP336" i="11"/>
  <c r="AN336" i="11"/>
  <c r="AO336" i="11"/>
  <c r="AL336" i="11"/>
  <c r="AK337" i="11"/>
  <c r="AR335" i="11"/>
  <c r="AQ335" i="11"/>
  <c r="G62" i="13"/>
  <c r="U37" i="16"/>
  <c r="C37" i="16"/>
  <c r="O1024" i="12"/>
  <c r="O1026" i="12"/>
  <c r="O1023" i="12"/>
  <c r="O22" i="12" s="1"/>
  <c r="O1027" i="12"/>
  <c r="O1025" i="12"/>
  <c r="Q1023" i="12"/>
  <c r="Q22" i="12" s="1"/>
  <c r="Q1026" i="12"/>
  <c r="Q1025" i="12"/>
  <c r="Q1027" i="12"/>
  <c r="Q1024" i="12"/>
  <c r="L1026" i="12"/>
  <c r="L1024" i="12"/>
  <c r="L1027" i="12"/>
  <c r="L1025" i="12"/>
  <c r="L1023" i="12"/>
  <c r="L22" i="12" s="1"/>
  <c r="I1027" i="12"/>
  <c r="I1024" i="12"/>
  <c r="I1025" i="12"/>
  <c r="I1026" i="12"/>
  <c r="I1023" i="12"/>
  <c r="I22" i="12" s="1"/>
  <c r="K1025" i="12"/>
  <c r="K1027" i="12"/>
  <c r="J1025" i="12"/>
  <c r="P1024" i="12"/>
  <c r="P1025" i="12"/>
  <c r="N1027" i="12"/>
  <c r="M1023" i="12"/>
  <c r="M22" i="12" s="1"/>
  <c r="K1023" i="12"/>
  <c r="K22" i="12" s="1"/>
  <c r="J1027" i="12"/>
  <c r="Q1020" i="12"/>
  <c r="P1026" i="12"/>
  <c r="N1026" i="12"/>
  <c r="N1025" i="12"/>
  <c r="M1025" i="12"/>
  <c r="K1026" i="12"/>
  <c r="I1017" i="12"/>
  <c r="J1023" i="12"/>
  <c r="J22" i="12" s="1"/>
  <c r="Q1019" i="12"/>
  <c r="Q19" i="12" s="1"/>
  <c r="P1027" i="12"/>
  <c r="N1024" i="12"/>
  <c r="M1027" i="12"/>
  <c r="M1024" i="12"/>
  <c r="K1024" i="12"/>
  <c r="J1026" i="12"/>
  <c r="J1024" i="12"/>
  <c r="P1023" i="12"/>
  <c r="P22" i="12" s="1"/>
  <c r="N1023" i="12"/>
  <c r="N22" i="12" s="1"/>
  <c r="M1026" i="12"/>
  <c r="N1020" i="12"/>
  <c r="F1017" i="12"/>
  <c r="K1019" i="12"/>
  <c r="I1020" i="12"/>
  <c r="I1019" i="12"/>
  <c r="I1018" i="12"/>
  <c r="I1021" i="12"/>
  <c r="I21" i="12" s="1"/>
  <c r="L1020" i="12"/>
  <c r="L1021" i="12"/>
  <c r="L1017" i="12"/>
  <c r="L1019" i="12"/>
  <c r="L1018" i="12"/>
  <c r="N1021" i="12"/>
  <c r="N21" i="12" s="1"/>
  <c r="N1019" i="12"/>
  <c r="N1018" i="12"/>
  <c r="N1017" i="12"/>
  <c r="K1020" i="12"/>
  <c r="K1018" i="12"/>
  <c r="K1021" i="12"/>
  <c r="K21" i="12" s="1"/>
  <c r="K1017" i="12"/>
  <c r="J1019" i="12"/>
  <c r="J1017" i="12"/>
  <c r="J1020" i="12"/>
  <c r="J1021" i="12"/>
  <c r="J21" i="12" s="1"/>
  <c r="J1018" i="12"/>
  <c r="M1019" i="12"/>
  <c r="M1017" i="12"/>
  <c r="M1021" i="12"/>
  <c r="M21" i="12" s="1"/>
  <c r="M1018" i="12"/>
  <c r="M1020" i="12"/>
  <c r="P1018" i="12"/>
  <c r="P1019" i="12"/>
  <c r="P1017" i="12"/>
  <c r="P1021" i="12"/>
  <c r="P21" i="12" s="1"/>
  <c r="P1020" i="12"/>
  <c r="Q1017" i="12"/>
  <c r="Q1021" i="12"/>
  <c r="Q1018" i="12"/>
  <c r="O1017" i="12"/>
  <c r="O1019" i="12"/>
  <c r="O1018" i="12"/>
  <c r="O1020" i="12"/>
  <c r="O1021" i="12"/>
  <c r="O21" i="12" s="1"/>
  <c r="H24" i="12"/>
  <c r="G70" i="13"/>
  <c r="G1050" i="11"/>
  <c r="F1027" i="12"/>
  <c r="F1018" i="12"/>
  <c r="F1019" i="12"/>
  <c r="F1020" i="12"/>
  <c r="F1021" i="12"/>
  <c r="F21" i="12" s="1"/>
  <c r="G1021" i="12"/>
  <c r="G21" i="12" s="1"/>
  <c r="H1017" i="12"/>
  <c r="H1019" i="12"/>
  <c r="F1023" i="12"/>
  <c r="F22" i="12" s="1"/>
  <c r="H1021" i="12"/>
  <c r="H21" i="12" s="1"/>
  <c r="F1025" i="12"/>
  <c r="F1026" i="12"/>
  <c r="G1025" i="12"/>
  <c r="F1024" i="12"/>
  <c r="G1024" i="12"/>
  <c r="H1020" i="12"/>
  <c r="G1026" i="12"/>
  <c r="G26" i="12" s="1"/>
  <c r="H1018" i="12"/>
  <c r="G1023" i="12"/>
  <c r="G22" i="12" s="1"/>
  <c r="G1017" i="12"/>
  <c r="G1019" i="12"/>
  <c r="G1018" i="12"/>
  <c r="G1020" i="12"/>
  <c r="H23" i="12"/>
  <c r="H25" i="12"/>
  <c r="F400" i="14"/>
  <c r="D398" i="14"/>
  <c r="AO394" i="12"/>
  <c r="AL394" i="12" s="1"/>
  <c r="AN394" i="12"/>
  <c r="AP394" i="12"/>
  <c r="AQ394" i="12"/>
  <c r="AM395" i="12"/>
  <c r="H1027" i="12"/>
  <c r="H26" i="12" s="1"/>
  <c r="H70" i="13"/>
  <c r="H1050" i="11"/>
  <c r="I36" i="11"/>
  <c r="H78" i="13"/>
  <c r="H1052" i="11"/>
  <c r="I38" i="11"/>
  <c r="O42" i="17" l="1"/>
  <c r="L1508" i="14"/>
  <c r="I37" i="11"/>
  <c r="L1259" i="14"/>
  <c r="L1689" i="14"/>
  <c r="L1826" i="14"/>
  <c r="L1813" i="14"/>
  <c r="L1802" i="14"/>
  <c r="L1395" i="14"/>
  <c r="L1087" i="14"/>
  <c r="L1668" i="14"/>
  <c r="L1193" i="14"/>
  <c r="L1219" i="14"/>
  <c r="L1203" i="14"/>
  <c r="L1754" i="14"/>
  <c r="L1409" i="14"/>
  <c r="L1958" i="14"/>
  <c r="L1426" i="14"/>
  <c r="L2026" i="14"/>
  <c r="L1157" i="14"/>
  <c r="L1885" i="14"/>
  <c r="L1722" i="14"/>
  <c r="L1838" i="14"/>
  <c r="L1442" i="14"/>
  <c r="L1188" i="14"/>
  <c r="L1806" i="14"/>
  <c r="L1095" i="14"/>
  <c r="L1494" i="14"/>
  <c r="L1117" i="14"/>
  <c r="L1305" i="14"/>
  <c r="L2008" i="14"/>
  <c r="L1386" i="14"/>
  <c r="L1606" i="14"/>
  <c r="L1482" i="14"/>
  <c r="L1557" i="14"/>
  <c r="L1843" i="14"/>
  <c r="L1437" i="14"/>
  <c r="L1440" i="14"/>
  <c r="L1454" i="14"/>
  <c r="L1574" i="14"/>
  <c r="L1086" i="14"/>
  <c r="L1822" i="14"/>
  <c r="L1197" i="14"/>
  <c r="L1683" i="14"/>
  <c r="L1390" i="14"/>
  <c r="L2046" i="14"/>
  <c r="L1286" i="14"/>
  <c r="L1242" i="14"/>
  <c r="L1654" i="14"/>
  <c r="L1249" i="14"/>
  <c r="L1301" i="14"/>
  <c r="L1568" i="14"/>
  <c r="L1724" i="14"/>
  <c r="L1582" i="14"/>
  <c r="L1706" i="14"/>
  <c r="L1634" i="14"/>
  <c r="L2009" i="14"/>
  <c r="L1192" i="14"/>
  <c r="L1204" i="14"/>
  <c r="L1406" i="14"/>
  <c r="L1179" i="14"/>
  <c r="L1970" i="14"/>
  <c r="L1745" i="14"/>
  <c r="L1651" i="14"/>
  <c r="L1328" i="14"/>
  <c r="L1081" i="14"/>
  <c r="L1321" i="14"/>
  <c r="L1099" i="14"/>
  <c r="L1100" i="14"/>
  <c r="L1814" i="14"/>
  <c r="L1810" i="14"/>
  <c r="L1385" i="14"/>
  <c r="L1594" i="14"/>
  <c r="L1562" i="14"/>
  <c r="L1199" i="14"/>
  <c r="L1926" i="14"/>
  <c r="L1922" i="14"/>
  <c r="L1795" i="14"/>
  <c r="L1502" i="14"/>
  <c r="L1849" i="14"/>
  <c r="L1931" i="14"/>
  <c r="L1271" i="14"/>
  <c r="L1335" i="14"/>
  <c r="L1399" i="14"/>
  <c r="L1463" i="14"/>
  <c r="L1527" i="14"/>
  <c r="L1591" i="14"/>
  <c r="L1655" i="14"/>
  <c r="L1719" i="14"/>
  <c r="L1783" i="14"/>
  <c r="L1847" i="14"/>
  <c r="L1911" i="14"/>
  <c r="L1975" i="14"/>
  <c r="L2039" i="14"/>
  <c r="L1308" i="14"/>
  <c r="L1372" i="14"/>
  <c r="L1436" i="14"/>
  <c r="L1500" i="14"/>
  <c r="L1564" i="14"/>
  <c r="L1628" i="14"/>
  <c r="L1692" i="14"/>
  <c r="L1756" i="14"/>
  <c r="L1820" i="14"/>
  <c r="L1884" i="14"/>
  <c r="L1948" i="14"/>
  <c r="L2012" i="14"/>
  <c r="L1315" i="14"/>
  <c r="L1403" i="14"/>
  <c r="L1487" i="14"/>
  <c r="L1571" i="14"/>
  <c r="L1659" i="14"/>
  <c r="L1743" i="14"/>
  <c r="L1827" i="14"/>
  <c r="L1915" i="14"/>
  <c r="L1999" i="14"/>
  <c r="L1288" i="14"/>
  <c r="L1376" i="14"/>
  <c r="L1460" i="14"/>
  <c r="L1323" i="14"/>
  <c r="L1435" i="14"/>
  <c r="L1547" i="14"/>
  <c r="L1663" i="14"/>
  <c r="L1775" i="14"/>
  <c r="L1887" i="14"/>
  <c r="L2003" i="14"/>
  <c r="L4179" i="14"/>
  <c r="L1380" i="14"/>
  <c r="L1488" i="14"/>
  <c r="L1572" i="14"/>
  <c r="L1656" i="14"/>
  <c r="L1327" i="14"/>
  <c r="L1439" i="14"/>
  <c r="L1555" i="14"/>
  <c r="L1667" i="14"/>
  <c r="L1779" i="14"/>
  <c r="L1899" i="14"/>
  <c r="L2011" i="14"/>
  <c r="L1272" i="14"/>
  <c r="L1287" i="14"/>
  <c r="L1367" i="14"/>
  <c r="L1447" i="14"/>
  <c r="L1543" i="14"/>
  <c r="L1623" i="14"/>
  <c r="L1703" i="14"/>
  <c r="L1799" i="14"/>
  <c r="L1879" i="14"/>
  <c r="L1959" i="14"/>
  <c r="L2055" i="14"/>
  <c r="L4180" i="14"/>
  <c r="L1340" i="14"/>
  <c r="L1420" i="14"/>
  <c r="L1516" i="14"/>
  <c r="L1596" i="14"/>
  <c r="L1676" i="14"/>
  <c r="L1772" i="14"/>
  <c r="L1852" i="14"/>
  <c r="L1932" i="14"/>
  <c r="L2028" i="14"/>
  <c r="L1295" i="14"/>
  <c r="L1423" i="14"/>
  <c r="L1531" i="14"/>
  <c r="L1635" i="14"/>
  <c r="L1763" i="14"/>
  <c r="L1871" i="14"/>
  <c r="L1979" i="14"/>
  <c r="L1352" i="14"/>
  <c r="L1082" i="14"/>
  <c r="L1375" i="14"/>
  <c r="L1519" i="14"/>
  <c r="L1691" i="14"/>
  <c r="L1835" i="14"/>
  <c r="L1971" i="14"/>
  <c r="L1296" i="14"/>
  <c r="L1432" i="14"/>
  <c r="L1552" i="14"/>
  <c r="L4181" i="14"/>
  <c r="L1387" i="14"/>
  <c r="L1523" i="14"/>
  <c r="L1695" i="14"/>
  <c r="L1839" i="14"/>
  <c r="L1983" i="14"/>
  <c r="L1300" i="14"/>
  <c r="L1412" i="14"/>
  <c r="L1512" i="14"/>
  <c r="L1600" i="14"/>
  <c r="L1684" i="14"/>
  <c r="L1768" i="14"/>
  <c r="L1856" i="14"/>
  <c r="L1940" i="14"/>
  <c r="L1307" i="14"/>
  <c r="L1535" i="14"/>
  <c r="L1759" i="14"/>
  <c r="L1987" i="14"/>
  <c r="L1364" i="14"/>
  <c r="L1560" i="14"/>
  <c r="L1712" i="14"/>
  <c r="L1824" i="14"/>
  <c r="L1936" i="14"/>
  <c r="L2036" i="14"/>
  <c r="L1254" i="14"/>
  <c r="L1190" i="14"/>
  <c r="L1126" i="14"/>
  <c r="L1277" i="14"/>
  <c r="L1341" i="14"/>
  <c r="L1405" i="14"/>
  <c r="L1469" i="14"/>
  <c r="L1533" i="14"/>
  <c r="L1597" i="14"/>
  <c r="L1661" i="14"/>
  <c r="L1725" i="14"/>
  <c r="L1789" i="14"/>
  <c r="L1853" i="14"/>
  <c r="L1917" i="14"/>
  <c r="L1981" i="14"/>
  <c r="L2045" i="14"/>
  <c r="L4175" i="14"/>
  <c r="L1483" i="14"/>
  <c r="L1711" i="14"/>
  <c r="L1939" i="14"/>
  <c r="L1316" i="14"/>
  <c r="L1524" i="14"/>
  <c r="L1688" i="14"/>
  <c r="L1800" i="14"/>
  <c r="L1912" i="14"/>
  <c r="L2020" i="14"/>
  <c r="L1202" i="14"/>
  <c r="L1138" i="14"/>
  <c r="L1084" i="14"/>
  <c r="L1329" i="14"/>
  <c r="L1393" i="14"/>
  <c r="L1457" i="14"/>
  <c r="L1521" i="14"/>
  <c r="L1585" i="14"/>
  <c r="L1649" i="14"/>
  <c r="L1713" i="14"/>
  <c r="L1777" i="14"/>
  <c r="L1841" i="14"/>
  <c r="L1905" i="14"/>
  <c r="L1969" i="14"/>
  <c r="L2033" i="14"/>
  <c r="L1279" i="14"/>
  <c r="L1503" i="14"/>
  <c r="L1731" i="14"/>
  <c r="L1963" i="14"/>
  <c r="L1336" i="14"/>
  <c r="L1540" i="14"/>
  <c r="L1696" i="14"/>
  <c r="L1808" i="14"/>
  <c r="L1924" i="14"/>
  <c r="L2024" i="14"/>
  <c r="L1083" i="14"/>
  <c r="L1351" i="14"/>
  <c r="L1479" i="14"/>
  <c r="L1575" i="14"/>
  <c r="L1687" i="14"/>
  <c r="L1815" i="14"/>
  <c r="L1927" i="14"/>
  <c r="L2023" i="14"/>
  <c r="L1292" i="14"/>
  <c r="L1404" i="14"/>
  <c r="L1532" i="14"/>
  <c r="L1644" i="14"/>
  <c r="L1740" i="14"/>
  <c r="L1868" i="14"/>
  <c r="L1980" i="14"/>
  <c r="L1275" i="14"/>
  <c r="L1443" i="14"/>
  <c r="L1595" i="14"/>
  <c r="L1723" i="14"/>
  <c r="L1891" i="14"/>
  <c r="L2043" i="14"/>
  <c r="L1332" i="14"/>
  <c r="L4174" i="14"/>
  <c r="L1459" i="14"/>
  <c r="L1631" i="14"/>
  <c r="L1859" i="14"/>
  <c r="L2059" i="14"/>
  <c r="L1348" i="14"/>
  <c r="L1528" i="14"/>
  <c r="L1267" i="14"/>
  <c r="L1471" i="14"/>
  <c r="L1643" i="14"/>
  <c r="L1867" i="14"/>
  <c r="L1360" i="14"/>
  <c r="L1492" i="14"/>
  <c r="L1620" i="14"/>
  <c r="L1728" i="14"/>
  <c r="L1832" i="14"/>
  <c r="L1960" i="14"/>
  <c r="L1419" i="14"/>
  <c r="L1707" i="14"/>
  <c r="L2047" i="14"/>
  <c r="L1304" i="14"/>
  <c r="L1604" i="14"/>
  <c r="L1764" i="14"/>
  <c r="L1908" i="14"/>
  <c r="L2056" i="14"/>
  <c r="L1174" i="14"/>
  <c r="L1094" i="14"/>
  <c r="L1325" i="14"/>
  <c r="L1421" i="14"/>
  <c r="L1501" i="14"/>
  <c r="L1581" i="14"/>
  <c r="L1677" i="14"/>
  <c r="L1757" i="14"/>
  <c r="L1837" i="14"/>
  <c r="L1933" i="14"/>
  <c r="L2013" i="14"/>
  <c r="L1303" i="14"/>
  <c r="L1415" i="14"/>
  <c r="L1511" i="14"/>
  <c r="L1639" i="14"/>
  <c r="L1751" i="14"/>
  <c r="L1863" i="14"/>
  <c r="L1991" i="14"/>
  <c r="L1356" i="14"/>
  <c r="L1468" i="14"/>
  <c r="L1580" i="14"/>
  <c r="L1708" i="14"/>
  <c r="L1804" i="14"/>
  <c r="L1916" i="14"/>
  <c r="L2044" i="14"/>
  <c r="L1359" i="14"/>
  <c r="L1507" i="14"/>
  <c r="L1679" i="14"/>
  <c r="L1807" i="14"/>
  <c r="L1955" i="14"/>
  <c r="L1268" i="14"/>
  <c r="L1416" i="14"/>
  <c r="L1347" i="14"/>
  <c r="L1579" i="14"/>
  <c r="L1747" i="14"/>
  <c r="L1947" i="14"/>
  <c r="L1464" i="14"/>
  <c r="L1616" i="14"/>
  <c r="L1355" i="14"/>
  <c r="L1583" i="14"/>
  <c r="L1755" i="14"/>
  <c r="L1951" i="14"/>
  <c r="L1444" i="14"/>
  <c r="L1556" i="14"/>
  <c r="L1664" i="14"/>
  <c r="L1792" i="14"/>
  <c r="L1896" i="14"/>
  <c r="L4178" i="14"/>
  <c r="L1587" i="14"/>
  <c r="L1875" i="14"/>
  <c r="L1476" i="14"/>
  <c r="L1680" i="14"/>
  <c r="L1848" i="14"/>
  <c r="L1992" i="14"/>
  <c r="L1222" i="14"/>
  <c r="L1142" i="14"/>
  <c r="L1293" i="14"/>
  <c r="L4176" i="14"/>
  <c r="L1495" i="14"/>
  <c r="L1735" i="14"/>
  <c r="L1943" i="14"/>
  <c r="L1324" i="14"/>
  <c r="L1548" i="14"/>
  <c r="L1788" i="14"/>
  <c r="L1996" i="14"/>
  <c r="L1339" i="14"/>
  <c r="L1615" i="14"/>
  <c r="L1935" i="14"/>
  <c r="L1291" i="14"/>
  <c r="L1715" i="14"/>
  <c r="L1592" i="14"/>
  <c r="L1499" i="14"/>
  <c r="L1923" i="14"/>
  <c r="L1384" i="14"/>
  <c r="L1640" i="14"/>
  <c r="L1876" i="14"/>
  <c r="L1475" i="14"/>
  <c r="L1424" i="14"/>
  <c r="L1796" i="14"/>
  <c r="L1158" i="14"/>
  <c r="L1357" i="14"/>
  <c r="L1453" i="14"/>
  <c r="L1565" i="14"/>
  <c r="L1693" i="14"/>
  <c r="L1805" i="14"/>
  <c r="L1901" i="14"/>
  <c r="L2029" i="14"/>
  <c r="L1241" i="14"/>
  <c r="L1427" i="14"/>
  <c r="L1771" i="14"/>
  <c r="L2051" i="14"/>
  <c r="L1368" i="14"/>
  <c r="L1608" i="14"/>
  <c r="L1776" i="14"/>
  <c r="L1944" i="14"/>
  <c r="L2064" i="14"/>
  <c r="L1250" i="14"/>
  <c r="L1170" i="14"/>
  <c r="L1091" i="14"/>
  <c r="L1345" i="14"/>
  <c r="L1425" i="14"/>
  <c r="L1505" i="14"/>
  <c r="L1601" i="14"/>
  <c r="L1681" i="14"/>
  <c r="L1761" i="14"/>
  <c r="L1857" i="14"/>
  <c r="L1937" i="14"/>
  <c r="L2017" i="14"/>
  <c r="L1331" i="14"/>
  <c r="L1619" i="14"/>
  <c r="L1903" i="14"/>
  <c r="L1496" i="14"/>
  <c r="L1720" i="14"/>
  <c r="L1864" i="14"/>
  <c r="L2004" i="14"/>
  <c r="L1214" i="14"/>
  <c r="L1150" i="14"/>
  <c r="L1088" i="14"/>
  <c r="L1317" i="14"/>
  <c r="L1381" i="14"/>
  <c r="L1445" i="14"/>
  <c r="L1509" i="14"/>
  <c r="L1573" i="14"/>
  <c r="L1637" i="14"/>
  <c r="L1701" i="14"/>
  <c r="L1765" i="14"/>
  <c r="L1829" i="14"/>
  <c r="L1893" i="14"/>
  <c r="L1957" i="14"/>
  <c r="L2021" i="14"/>
  <c r="L1233" i="14"/>
  <c r="L1967" i="14"/>
  <c r="L1544" i="14"/>
  <c r="L2032" i="14"/>
  <c r="L1194" i="14"/>
  <c r="L1401" i="14"/>
  <c r="L1657" i="14"/>
  <c r="L1913" i="14"/>
  <c r="L1205" i="14"/>
  <c r="L1141" i="14"/>
  <c r="L1266" i="14"/>
  <c r="L1522" i="14"/>
  <c r="L1778" i="14"/>
  <c r="L2034" i="14"/>
  <c r="L1462" i="14"/>
  <c r="L1718" i="14"/>
  <c r="L1974" i="14"/>
  <c r="L1630" i="14"/>
  <c r="L1239" i="14"/>
  <c r="L1111" i="14"/>
  <c r="L1610" i="14"/>
  <c r="L1244" i="14"/>
  <c r="L1116" i="14"/>
  <c r="L2010" i="14"/>
  <c r="L1486" i="14"/>
  <c r="L1998" i="14"/>
  <c r="L1147" i="14"/>
  <c r="L1786" i="14"/>
  <c r="L1240" i="14"/>
  <c r="L1104" i="14"/>
  <c r="L2027" i="14"/>
  <c r="L1588" i="14"/>
  <c r="L2052" i="14"/>
  <c r="L1178" i="14"/>
  <c r="L1417" i="14"/>
  <c r="L1673" i="14"/>
  <c r="L1929" i="14"/>
  <c r="L1201" i="14"/>
  <c r="L1137" i="14"/>
  <c r="L1282" i="14"/>
  <c r="L1538" i="14"/>
  <c r="L1383" i="14"/>
  <c r="L1607" i="14"/>
  <c r="L1831" i="14"/>
  <c r="L1452" i="14"/>
  <c r="L1660" i="14"/>
  <c r="L1900" i="14"/>
  <c r="L1467" i="14"/>
  <c r="L1787" i="14"/>
  <c r="L2063" i="14"/>
  <c r="L1396" i="14"/>
  <c r="L1491" i="14"/>
  <c r="L1919" i="14"/>
  <c r="L1408" i="14"/>
  <c r="L1299" i="14"/>
  <c r="L1727" i="14"/>
  <c r="L1536" i="14"/>
  <c r="L1748" i="14"/>
  <c r="L1984" i="14"/>
  <c r="L1819" i="14"/>
  <c r="L1648" i="14"/>
  <c r="L1968" i="14"/>
  <c r="L1238" i="14"/>
  <c r="L2066" i="14"/>
  <c r="L1389" i="14"/>
  <c r="L1517" i="14"/>
  <c r="L1629" i="14"/>
  <c r="L1741" i="14"/>
  <c r="L1869" i="14"/>
  <c r="L1965" i="14"/>
  <c r="L1311" i="14"/>
  <c r="L1599" i="14"/>
  <c r="L1883" i="14"/>
  <c r="L1480" i="14"/>
  <c r="L1716" i="14"/>
  <c r="L1860" i="14"/>
  <c r="L2000" i="14"/>
  <c r="L1218" i="14"/>
  <c r="L1122" i="14"/>
  <c r="L1297" i="14"/>
  <c r="L1377" i="14"/>
  <c r="L1473" i="14"/>
  <c r="L1553" i="14"/>
  <c r="L1633" i="14"/>
  <c r="L1729" i="14"/>
  <c r="L1809" i="14"/>
  <c r="L1889" i="14"/>
  <c r="L1985" i="14"/>
  <c r="L2065" i="14"/>
  <c r="L1253" i="14"/>
  <c r="L1451" i="14"/>
  <c r="L1791" i="14"/>
  <c r="L1392" i="14"/>
  <c r="L1624" i="14"/>
  <c r="L1780" i="14"/>
  <c r="L1952" i="14"/>
  <c r="L1246" i="14"/>
  <c r="L1182" i="14"/>
  <c r="L1118" i="14"/>
  <c r="L1285" i="14"/>
  <c r="L1349" i="14"/>
  <c r="L1413" i="14"/>
  <c r="L1477" i="14"/>
  <c r="L1541" i="14"/>
  <c r="L1605" i="14"/>
  <c r="L1669" i="14"/>
  <c r="L1733" i="14"/>
  <c r="L1797" i="14"/>
  <c r="L1861" i="14"/>
  <c r="L1925" i="14"/>
  <c r="L1989" i="14"/>
  <c r="L2053" i="14"/>
  <c r="L1515" i="14"/>
  <c r="L1816" i="14"/>
  <c r="L1273" i="14"/>
  <c r="L1529" i="14"/>
  <c r="L1785" i="14"/>
  <c r="L2041" i="14"/>
  <c r="L1173" i="14"/>
  <c r="L1109" i="14"/>
  <c r="L1394" i="14"/>
  <c r="L1650" i="14"/>
  <c r="L1906" i="14"/>
  <c r="L1334" i="14"/>
  <c r="L1590" i="14"/>
  <c r="L1846" i="14"/>
  <c r="L1374" i="14"/>
  <c r="L1886" i="14"/>
  <c r="L1175" i="14"/>
  <c r="L1354" i="14"/>
  <c r="L1866" i="14"/>
  <c r="L1180" i="14"/>
  <c r="L1498" i="14"/>
  <c r="L1742" i="14"/>
  <c r="L1211" i="14"/>
  <c r="L1306" i="14"/>
  <c r="L1168" i="14"/>
  <c r="L1567" i="14"/>
  <c r="L1844" i="14"/>
  <c r="L1289" i="14"/>
  <c r="L1545" i="14"/>
  <c r="L1801" i="14"/>
  <c r="L2057" i="14"/>
  <c r="L1261" i="14"/>
  <c r="L1169" i="14"/>
  <c r="L1105" i="14"/>
  <c r="L1410" i="14"/>
  <c r="L1666" i="14"/>
  <c r="L1319" i="14"/>
  <c r="L1767" i="14"/>
  <c r="L1388" i="14"/>
  <c r="L1836" i="14"/>
  <c r="L1699" i="14"/>
  <c r="L1407" i="14"/>
  <c r="L1636" i="14"/>
  <c r="L2035" i="14"/>
  <c r="L1472" i="14"/>
  <c r="L1920" i="14"/>
  <c r="L1880" i="14"/>
  <c r="L1110" i="14"/>
  <c r="L1485" i="14"/>
  <c r="L1709" i="14"/>
  <c r="L1949" i="14"/>
  <c r="L1225" i="14"/>
  <c r="L1823" i="14"/>
  <c r="L1652" i="14"/>
  <c r="L1972" i="14"/>
  <c r="L1234" i="14"/>
  <c r="L1281" i="14"/>
  <c r="L1441" i="14"/>
  <c r="L1617" i="14"/>
  <c r="L1793" i="14"/>
  <c r="L1953" i="14"/>
  <c r="L1391" i="14"/>
  <c r="L2015" i="14"/>
  <c r="L1280" i="14"/>
  <c r="L1752" i="14"/>
  <c r="L2048" i="14"/>
  <c r="L1262" i="14"/>
  <c r="L1134" i="14"/>
  <c r="L1333" i="14"/>
  <c r="L1461" i="14"/>
  <c r="L1589" i="14"/>
  <c r="L1717" i="14"/>
  <c r="L1845" i="14"/>
  <c r="L1973" i="14"/>
  <c r="L1283" i="14"/>
  <c r="L1700" i="14"/>
  <c r="L1465" i="14"/>
  <c r="L1977" i="14"/>
  <c r="L1125" i="14"/>
  <c r="L1586" i="14"/>
  <c r="L1270" i="14"/>
  <c r="L1782" i="14"/>
  <c r="L1758" i="14"/>
  <c r="L1207" i="14"/>
  <c r="L1738" i="14"/>
  <c r="L1212" i="14"/>
  <c r="L1115" i="14"/>
  <c r="L1200" i="14"/>
  <c r="L1114" i="14"/>
  <c r="L1737" i="14"/>
  <c r="L1185" i="14"/>
  <c r="L1346" i="14"/>
  <c r="L1794" i="14"/>
  <c r="L2050" i="14"/>
  <c r="L1478" i="14"/>
  <c r="L1734" i="14"/>
  <c r="L1990" i="14"/>
  <c r="L1662" i="14"/>
  <c r="L1231" i="14"/>
  <c r="L1103" i="14"/>
  <c r="L1642" i="14"/>
  <c r="L1236" i="14"/>
  <c r="L1108" i="14"/>
  <c r="L1518" i="14"/>
  <c r="L2030" i="14"/>
  <c r="L1139" i="14"/>
  <c r="L1850" i="14"/>
  <c r="L1232" i="14"/>
  <c r="L1096" i="14"/>
  <c r="L1284" i="14"/>
  <c r="L4183" i="14"/>
  <c r="L1769" i="14"/>
  <c r="L1855" i="14"/>
  <c r="L1456" i="14"/>
  <c r="L1988" i="14"/>
  <c r="L1226" i="14"/>
  <c r="L1369" i="14"/>
  <c r="L1625" i="14"/>
  <c r="L1881" i="14"/>
  <c r="L1213" i="14"/>
  <c r="L1149" i="14"/>
  <c r="L1263" i="14"/>
  <c r="L1490" i="14"/>
  <c r="L1746" i="14"/>
  <c r="L2002" i="14"/>
  <c r="L1430" i="14"/>
  <c r="L1686" i="14"/>
  <c r="L1942" i="14"/>
  <c r="L1566" i="14"/>
  <c r="L1255" i="14"/>
  <c r="L1127" i="14"/>
  <c r="L1546" i="14"/>
  <c r="L2058" i="14"/>
  <c r="L1260" i="14"/>
  <c r="L1132" i="14"/>
  <c r="L1882" i="14"/>
  <c r="L1422" i="14"/>
  <c r="L1934" i="14"/>
  <c r="L1163" i="14"/>
  <c r="L1658" i="14"/>
  <c r="L1256" i="14"/>
  <c r="L1120" i="14"/>
  <c r="L1672" i="14"/>
  <c r="L1449" i="14"/>
  <c r="L2025" i="14"/>
  <c r="L1113" i="14"/>
  <c r="L1830" i="14"/>
  <c r="L1854" i="14"/>
  <c r="L1834" i="14"/>
  <c r="L1092" i="14"/>
  <c r="L1314" i="14"/>
  <c r="L1215" i="14"/>
  <c r="L1431" i="14"/>
  <c r="L1895" i="14"/>
  <c r="L1484" i="14"/>
  <c r="L1964" i="14"/>
  <c r="L4177" i="14"/>
  <c r="L1851" i="14"/>
  <c r="L1603" i="14"/>
  <c r="L1411" i="14"/>
  <c r="L1576" i="14"/>
  <c r="L1363" i="14"/>
  <c r="L2016" i="14"/>
  <c r="L1309" i="14"/>
  <c r="L1549" i="14"/>
  <c r="L1773" i="14"/>
  <c r="L1997" i="14"/>
  <c r="L1371" i="14"/>
  <c r="L1995" i="14"/>
  <c r="L1744" i="14"/>
  <c r="L2040" i="14"/>
  <c r="L1186" i="14"/>
  <c r="L1313" i="14"/>
  <c r="L1489" i="14"/>
  <c r="L1665" i="14"/>
  <c r="L1825" i="14"/>
  <c r="L2001" i="14"/>
  <c r="L1563" i="14"/>
  <c r="L1448" i="14"/>
  <c r="L1840" i="14"/>
  <c r="L1230" i="14"/>
  <c r="L1102" i="14"/>
  <c r="L1365" i="14"/>
  <c r="L1493" i="14"/>
  <c r="L1621" i="14"/>
  <c r="L1749" i="14"/>
  <c r="L1877" i="14"/>
  <c r="L2005" i="14"/>
  <c r="L1739" i="14"/>
  <c r="L1928" i="14"/>
  <c r="L1258" i="14"/>
  <c r="L1593" i="14"/>
  <c r="L1221" i="14"/>
  <c r="L1090" i="14"/>
  <c r="L1714" i="14"/>
  <c r="L1398" i="14"/>
  <c r="L1910" i="14"/>
  <c r="L2014" i="14"/>
  <c r="L1143" i="14"/>
  <c r="L1994" i="14"/>
  <c r="L1148" i="14"/>
  <c r="L1358" i="14"/>
  <c r="L1530" i="14"/>
  <c r="L1136" i="14"/>
  <c r="L1400" i="14"/>
  <c r="L1353" i="14"/>
  <c r="L1865" i="14"/>
  <c r="L1153" i="14"/>
  <c r="L1474" i="14"/>
  <c r="L1220" i="14"/>
  <c r="L1510" i="14"/>
  <c r="L1155" i="14"/>
  <c r="L1946" i="14"/>
  <c r="L1578" i="14"/>
  <c r="L1598" i="14"/>
  <c r="L1702" i="14"/>
  <c r="L2018" i="14"/>
  <c r="L1145" i="14"/>
  <c r="L1208" i="14"/>
  <c r="L1129" i="14"/>
  <c r="L1466" i="14"/>
  <c r="L1326" i="14"/>
  <c r="L1962" i="14"/>
  <c r="L1982" i="14"/>
  <c r="L1894" i="14"/>
  <c r="L1097" i="14"/>
  <c r="L1342" i="14"/>
  <c r="L1318" i="14"/>
  <c r="L1378" i="14"/>
  <c r="L1833" i="14"/>
  <c r="L1146" i="14"/>
  <c r="L1904" i="14"/>
  <c r="L1152" i="14"/>
  <c r="L1131" i="14"/>
  <c r="L1678" i="14"/>
  <c r="L1164" i="14"/>
  <c r="L1674" i="14"/>
  <c r="L1159" i="14"/>
  <c r="L1694" i="14"/>
  <c r="L1750" i="14"/>
  <c r="L1366" i="14"/>
  <c r="L1682" i="14"/>
  <c r="L1362" i="14"/>
  <c r="L1133" i="14"/>
  <c r="L1245" i="14"/>
  <c r="L1945" i="14"/>
  <c r="L1561" i="14"/>
  <c r="L1098" i="14"/>
  <c r="L1872" i="14"/>
  <c r="L1897" i="14"/>
  <c r="L1210" i="14"/>
  <c r="L1784" i="14"/>
  <c r="L1455" i="14"/>
  <c r="L4171" i="14"/>
  <c r="L1370" i="14"/>
  <c r="L1235" i="14"/>
  <c r="L1902" i="14"/>
  <c r="L1216" i="14"/>
  <c r="L1274" i="14"/>
  <c r="L1898" i="14"/>
  <c r="L4173" i="14"/>
  <c r="L1918" i="14"/>
  <c r="L1278" i="14"/>
  <c r="L1862" i="14"/>
  <c r="L1542" i="14"/>
  <c r="L1858" i="14"/>
  <c r="L1121" i="14"/>
  <c r="L1993" i="14"/>
  <c r="L1343" i="14"/>
  <c r="L1243" i="14"/>
  <c r="L4172" i="14"/>
  <c r="L1265" i="14"/>
  <c r="L1526" i="14"/>
  <c r="L1842" i="14"/>
  <c r="L1189" i="14"/>
  <c r="L1721" i="14"/>
  <c r="L2037" i="14"/>
  <c r="L1781" i="14"/>
  <c r="L1525" i="14"/>
  <c r="L1269" i="14"/>
  <c r="L1584" i="14"/>
  <c r="L1675" i="14"/>
  <c r="L2049" i="14"/>
  <c r="L1697" i="14"/>
  <c r="L1361" i="14"/>
  <c r="L1428" i="14"/>
  <c r="L1539" i="14"/>
  <c r="L1821" i="14"/>
  <c r="L1373" i="14"/>
  <c r="L1647" i="14"/>
  <c r="L1320" i="14"/>
  <c r="L1312" i="14"/>
  <c r="L1379" i="14"/>
  <c r="L1612" i="14"/>
  <c r="L2007" i="14"/>
  <c r="L1264" i="14"/>
  <c r="L1089" i="14"/>
  <c r="L1112" i="14"/>
  <c r="L1124" i="14"/>
  <c r="L1119" i="14"/>
  <c r="L1446" i="14"/>
  <c r="L1762" i="14"/>
  <c r="L1209" i="14"/>
  <c r="L1251" i="14"/>
  <c r="L2022" i="14"/>
  <c r="L1961" i="14"/>
  <c r="L1187" i="14"/>
  <c r="L1690" i="14"/>
  <c r="L1450" i="14"/>
  <c r="L1470" i="14"/>
  <c r="L1638" i="14"/>
  <c r="L1954" i="14"/>
  <c r="L1161" i="14"/>
  <c r="L1978" i="14"/>
  <c r="L1176" i="14"/>
  <c r="L1710" i="14"/>
  <c r="L1322" i="14"/>
  <c r="L1177" i="14"/>
  <c r="L1705" i="14"/>
  <c r="L1184" i="14"/>
  <c r="L1914" i="14"/>
  <c r="L1195" i="14"/>
  <c r="L1550" i="14"/>
  <c r="L1626" i="14"/>
  <c r="L1196" i="14"/>
  <c r="L1418" i="14"/>
  <c r="L1191" i="14"/>
  <c r="L1438" i="14"/>
  <c r="L2006" i="14"/>
  <c r="L1622" i="14"/>
  <c r="L1302" i="14"/>
  <c r="L1938" i="14"/>
  <c r="L1618" i="14"/>
  <c r="L1298" i="14"/>
  <c r="L1165" i="14"/>
  <c r="L1817" i="14"/>
  <c r="L1497" i="14"/>
  <c r="L1162" i="14"/>
  <c r="L1760" i="14"/>
  <c r="L1641" i="14"/>
  <c r="L1504" i="14"/>
  <c r="L1128" i="14"/>
  <c r="L1107" i="14"/>
  <c r="L1774" i="14"/>
  <c r="L1140" i="14"/>
  <c r="L1770" i="14"/>
  <c r="L1135" i="14"/>
  <c r="L1790" i="14"/>
  <c r="L1798" i="14"/>
  <c r="L1414" i="14"/>
  <c r="L1730" i="14"/>
  <c r="L1217" i="14"/>
  <c r="L1609" i="14"/>
  <c r="L1956" i="14"/>
  <c r="L1870" i="14"/>
  <c r="L1458" i="14"/>
  <c r="L1337" i="14"/>
  <c r="L1344" i="14"/>
  <c r="L1941" i="14"/>
  <c r="L1685" i="14"/>
  <c r="L1429" i="14"/>
  <c r="L1166" i="14"/>
  <c r="L1976" i="14"/>
  <c r="L1237" i="14"/>
  <c r="L1921" i="14"/>
  <c r="L1569" i="14"/>
  <c r="L1106" i="14"/>
  <c r="L1888" i="14"/>
  <c r="L1257" i="14"/>
  <c r="L1645" i="14"/>
  <c r="L1206" i="14"/>
  <c r="L1736" i="14"/>
  <c r="L1812" i="14"/>
  <c r="L1811" i="14"/>
  <c r="L2031" i="14"/>
  <c r="L1276" i="14"/>
  <c r="L1671" i="14"/>
  <c r="L1123" i="14"/>
  <c r="L1726" i="14"/>
  <c r="L1570" i="14"/>
  <c r="L1248" i="14"/>
  <c r="L1966" i="14"/>
  <c r="L1252" i="14"/>
  <c r="L1247" i="14"/>
  <c r="L1506" i="14"/>
  <c r="L1093" i="14"/>
  <c r="L1085" i="14"/>
  <c r="L1144" i="14"/>
  <c r="L1156" i="14"/>
  <c r="L1151" i="14"/>
  <c r="L1382" i="14"/>
  <c r="L1698" i="14"/>
  <c r="L1229" i="14"/>
  <c r="L1766" i="14"/>
  <c r="L1434" i="14"/>
  <c r="L1183" i="14"/>
  <c r="L1890" i="14"/>
  <c r="L1577" i="14"/>
  <c r="L1907" i="14"/>
  <c r="L1224" i="14"/>
  <c r="L1402" i="14"/>
  <c r="L1227" i="14"/>
  <c r="L2062" i="14"/>
  <c r="L1294" i="14"/>
  <c r="L1338" i="14"/>
  <c r="L1228" i="14"/>
  <c r="L1930" i="14"/>
  <c r="L1290" i="14"/>
  <c r="L1223" i="14"/>
  <c r="L1950" i="14"/>
  <c r="L1310" i="14"/>
  <c r="L1878" i="14"/>
  <c r="L1558" i="14"/>
  <c r="L4182" i="14"/>
  <c r="L1874" i="14"/>
  <c r="L1554" i="14"/>
  <c r="L1101" i="14"/>
  <c r="L1181" i="14"/>
  <c r="L1753" i="14"/>
  <c r="L1433" i="14"/>
  <c r="L1632" i="14"/>
  <c r="L1627" i="14"/>
  <c r="L1513" i="14"/>
  <c r="L1160" i="14"/>
  <c r="L1171" i="14"/>
  <c r="L1646" i="14"/>
  <c r="L1818" i="14"/>
  <c r="L1172" i="14"/>
  <c r="L1514" i="14"/>
  <c r="L1167" i="14"/>
  <c r="L1534" i="14"/>
  <c r="L2054" i="14"/>
  <c r="L1670" i="14"/>
  <c r="L1350" i="14"/>
  <c r="L1986" i="14"/>
  <c r="L1602" i="14"/>
  <c r="L1481" i="14"/>
  <c r="L1732" i="14"/>
  <c r="L2042" i="14"/>
  <c r="L1614" i="14"/>
  <c r="L2038" i="14"/>
  <c r="L1330" i="14"/>
  <c r="L1130" i="14"/>
  <c r="L1909" i="14"/>
  <c r="L1653" i="14"/>
  <c r="L1397" i="14"/>
  <c r="L1198" i="14"/>
  <c r="L1892" i="14"/>
  <c r="L1873" i="14"/>
  <c r="L1537" i="14"/>
  <c r="L1154" i="14"/>
  <c r="L1828" i="14"/>
  <c r="L2061" i="14"/>
  <c r="L1613" i="14"/>
  <c r="L1520" i="14"/>
  <c r="L1704" i="14"/>
  <c r="L1611" i="14"/>
  <c r="L1803" i="14"/>
  <c r="L2019" i="14"/>
  <c r="L2060" i="14"/>
  <c r="L1559" i="14"/>
  <c r="AT336" i="11"/>
  <c r="AJ336" i="11"/>
  <c r="D4125" i="14"/>
  <c r="D4133" i="14"/>
  <c r="D4141" i="14"/>
  <c r="D4149" i="14"/>
  <c r="D4157" i="14"/>
  <c r="D4165" i="14"/>
  <c r="D4126" i="14"/>
  <c r="D4142" i="14"/>
  <c r="D4158" i="14"/>
  <c r="D4124" i="14"/>
  <c r="D4156" i="14"/>
  <c r="D4152" i="14"/>
  <c r="D4128" i="14"/>
  <c r="L4167" i="14"/>
  <c r="L4159" i="14"/>
  <c r="L4151" i="14"/>
  <c r="L4128" i="14"/>
  <c r="L4140" i="14"/>
  <c r="L4118" i="14"/>
  <c r="L4102" i="14"/>
  <c r="L4086" i="14"/>
  <c r="L4070" i="14"/>
  <c r="L4166" i="14"/>
  <c r="L4158" i="14"/>
  <c r="L4150" i="14"/>
  <c r="L4131" i="14"/>
  <c r="L4109" i="14"/>
  <c r="L4093" i="14"/>
  <c r="L4077" i="14"/>
  <c r="L4139" i="14"/>
  <c r="L4137" i="14"/>
  <c r="L4143" i="14"/>
  <c r="L4088" i="14"/>
  <c r="L4141" i="14"/>
  <c r="L4095" i="14"/>
  <c r="L4134" i="14"/>
  <c r="L4116" i="14"/>
  <c r="L4084" i="14"/>
  <c r="L4115" i="14"/>
  <c r="L4083" i="14"/>
  <c r="L4154" i="14"/>
  <c r="L4117" i="14"/>
  <c r="L4085" i="14"/>
  <c r="L4104" i="14"/>
  <c r="L4111" i="14"/>
  <c r="L4135" i="14"/>
  <c r="L4068" i="14"/>
  <c r="L4122" i="14"/>
  <c r="D4119" i="14"/>
  <c r="D4127" i="14"/>
  <c r="D4135" i="14"/>
  <c r="D4143" i="14"/>
  <c r="D4151" i="14"/>
  <c r="D4159" i="14"/>
  <c r="D4167" i="14"/>
  <c r="D4130" i="14"/>
  <c r="D4146" i="14"/>
  <c r="D4162" i="14"/>
  <c r="D4132" i="14"/>
  <c r="H4132" i="14" s="1"/>
  <c r="D4164" i="14"/>
  <c r="D4168" i="14"/>
  <c r="L4165" i="14"/>
  <c r="L4157" i="14"/>
  <c r="L4149" i="14"/>
  <c r="L4146" i="14"/>
  <c r="L4138" i="14"/>
  <c r="L4114" i="14"/>
  <c r="L4098" i="14"/>
  <c r="L4082" i="14"/>
  <c r="L4121" i="14"/>
  <c r="L4164" i="14"/>
  <c r="L4156" i="14"/>
  <c r="L4148" i="14"/>
  <c r="L4123" i="14"/>
  <c r="L4105" i="14"/>
  <c r="L4089" i="14"/>
  <c r="L4073" i="14"/>
  <c r="L4125" i="14"/>
  <c r="L4124" i="14"/>
  <c r="L4112" i="14"/>
  <c r="L4080" i="14"/>
  <c r="L4130" i="14"/>
  <c r="L4087" i="14"/>
  <c r="L4108" i="14"/>
  <c r="L4076" i="14"/>
  <c r="L4107" i="14"/>
  <c r="L4075" i="14"/>
  <c r="D4121" i="14"/>
  <c r="H4121" i="14" s="1"/>
  <c r="D4129" i="14"/>
  <c r="H4129" i="14" s="1"/>
  <c r="D4137" i="14"/>
  <c r="D4145" i="14"/>
  <c r="H4145" i="14" s="1"/>
  <c r="D4153" i="14"/>
  <c r="H4153" i="14" s="1"/>
  <c r="D4161" i="14"/>
  <c r="D4169" i="14"/>
  <c r="H4169" i="14" s="1"/>
  <c r="D4134" i="14"/>
  <c r="D4150" i="14"/>
  <c r="H4150" i="14" s="1"/>
  <c r="D4166" i="14"/>
  <c r="H4166" i="14" s="1"/>
  <c r="D4140" i="14"/>
  <c r="D4120" i="14"/>
  <c r="D4144" i="14"/>
  <c r="L4163" i="14"/>
  <c r="L4155" i="14"/>
  <c r="L4067" i="14"/>
  <c r="L4144" i="14"/>
  <c r="L4136" i="14"/>
  <c r="L4110" i="14"/>
  <c r="L4094" i="14"/>
  <c r="L4078" i="14"/>
  <c r="L4170" i="14"/>
  <c r="L4162" i="14"/>
  <c r="L4147" i="14"/>
  <c r="L4101" i="14"/>
  <c r="L4069" i="14"/>
  <c r="L4072" i="14"/>
  <c r="L4079" i="14"/>
  <c r="L4100" i="14"/>
  <c r="L4099" i="14"/>
  <c r="D4147" i="14"/>
  <c r="D4138" i="14"/>
  <c r="D4136" i="14"/>
  <c r="L4153" i="14"/>
  <c r="L4132" i="14"/>
  <c r="L4168" i="14"/>
  <c r="L4113" i="14"/>
  <c r="L4145" i="14"/>
  <c r="L4103" i="14"/>
  <c r="L4126" i="14"/>
  <c r="D4123" i="14"/>
  <c r="D4155" i="14"/>
  <c r="D4154" i="14"/>
  <c r="D4160" i="14"/>
  <c r="L4129" i="14"/>
  <c r="L4106" i="14"/>
  <c r="L4160" i="14"/>
  <c r="L4097" i="14"/>
  <c r="L4071" i="14"/>
  <c r="L4091" i="14"/>
  <c r="D4131" i="14"/>
  <c r="D4163" i="14"/>
  <c r="D4170" i="14"/>
  <c r="L4169" i="14"/>
  <c r="L4090" i="14"/>
  <c r="L4152" i="14"/>
  <c r="L4081" i="14"/>
  <c r="L4096" i="14"/>
  <c r="L4127" i="14"/>
  <c r="D4139" i="14"/>
  <c r="D4122" i="14"/>
  <c r="D4148" i="14"/>
  <c r="L4161" i="14"/>
  <c r="L4142" i="14"/>
  <c r="L4074" i="14"/>
  <c r="L4133" i="14"/>
  <c r="L4120" i="14"/>
  <c r="L4119" i="14"/>
  <c r="L4092" i="14"/>
  <c r="AC43" i="16"/>
  <c r="AD43" i="16"/>
  <c r="Z43" i="16"/>
  <c r="H74" i="13"/>
  <c r="AH43" i="16"/>
  <c r="X43" i="16"/>
  <c r="AF43" i="16"/>
  <c r="G41" i="11"/>
  <c r="AE43" i="16"/>
  <c r="AG43" i="16"/>
  <c r="Y43" i="16"/>
  <c r="AB43" i="16"/>
  <c r="H10" i="13"/>
  <c r="H46" i="16"/>
  <c r="H45" i="16"/>
  <c r="H44" i="16"/>
  <c r="H42" i="16" s="1"/>
  <c r="T43" i="16"/>
  <c r="H66" i="13"/>
  <c r="I35" i="11"/>
  <c r="I1049" i="11" s="1"/>
  <c r="O24" i="12"/>
  <c r="I34" i="11"/>
  <c r="I1048" i="11" s="1"/>
  <c r="H62" i="13"/>
  <c r="AP337" i="11"/>
  <c r="AN337" i="11"/>
  <c r="AK338" i="11"/>
  <c r="AL337" i="11"/>
  <c r="AO337" i="11"/>
  <c r="AM337" i="11"/>
  <c r="AQ336" i="11"/>
  <c r="AR336" i="11"/>
  <c r="J23" i="12"/>
  <c r="Q23" i="12"/>
  <c r="P26" i="12"/>
  <c r="O23" i="12"/>
  <c r="O25" i="12"/>
  <c r="Q24" i="12"/>
  <c r="O26" i="12"/>
  <c r="Q25" i="12"/>
  <c r="Q26" i="12"/>
  <c r="L26" i="12"/>
  <c r="I26" i="12"/>
  <c r="L24" i="12"/>
  <c r="L23" i="12"/>
  <c r="I25" i="12"/>
  <c r="M24" i="12"/>
  <c r="L25" i="12"/>
  <c r="N19" i="12"/>
  <c r="J26" i="12"/>
  <c r="I24" i="12"/>
  <c r="I23" i="12"/>
  <c r="P25" i="12"/>
  <c r="I18" i="12"/>
  <c r="M26" i="12"/>
  <c r="N24" i="12"/>
  <c r="K25" i="12"/>
  <c r="N25" i="12"/>
  <c r="N26" i="12"/>
  <c r="P24" i="12"/>
  <c r="Q18" i="12"/>
  <c r="M25" i="12"/>
  <c r="Q20" i="12"/>
  <c r="K26" i="12"/>
  <c r="F17" i="12"/>
  <c r="K23" i="12"/>
  <c r="J24" i="12"/>
  <c r="P23" i="12"/>
  <c r="J25" i="12"/>
  <c r="K24" i="12"/>
  <c r="N23" i="12"/>
  <c r="M23" i="12"/>
  <c r="I17" i="12"/>
  <c r="L17" i="12"/>
  <c r="N20" i="12"/>
  <c r="K18" i="12"/>
  <c r="I19" i="12"/>
  <c r="K17" i="12"/>
  <c r="N18" i="12"/>
  <c r="N17" i="12"/>
  <c r="L20" i="12"/>
  <c r="L19" i="12"/>
  <c r="I20" i="12"/>
  <c r="L18" i="12"/>
  <c r="J17" i="12"/>
  <c r="K20" i="12"/>
  <c r="L21" i="12"/>
  <c r="K19" i="12"/>
  <c r="M18" i="12"/>
  <c r="J18" i="12"/>
  <c r="M17" i="12"/>
  <c r="M20" i="12"/>
  <c r="J19" i="12"/>
  <c r="J20" i="12"/>
  <c r="M19" i="12"/>
  <c r="P20" i="12"/>
  <c r="P18" i="12"/>
  <c r="P19" i="12"/>
  <c r="Q17" i="12"/>
  <c r="O18" i="12"/>
  <c r="P17" i="12"/>
  <c r="O17" i="12"/>
  <c r="Q21" i="12"/>
  <c r="O19" i="12"/>
  <c r="O20" i="12"/>
  <c r="F26" i="12"/>
  <c r="F18" i="12"/>
  <c r="F19" i="12"/>
  <c r="F20" i="12"/>
  <c r="G23" i="12"/>
  <c r="G20" i="12"/>
  <c r="H19" i="12"/>
  <c r="H18" i="12"/>
  <c r="G25" i="12"/>
  <c r="F25" i="12"/>
  <c r="F24" i="12"/>
  <c r="H17" i="12"/>
  <c r="G17" i="12"/>
  <c r="H20" i="12"/>
  <c r="F23" i="12"/>
  <c r="G24" i="12"/>
  <c r="G18" i="12"/>
  <c r="G19" i="12"/>
  <c r="F401" i="14"/>
  <c r="I70" i="13"/>
  <c r="I1050" i="11"/>
  <c r="J36" i="11"/>
  <c r="AO395" i="12"/>
  <c r="AL395" i="12" s="1"/>
  <c r="AM396" i="12"/>
  <c r="AP395" i="12"/>
  <c r="AQ395" i="12"/>
  <c r="AN395" i="12"/>
  <c r="I1052" i="11"/>
  <c r="I78" i="13"/>
  <c r="J38" i="11"/>
  <c r="D399" i="14"/>
  <c r="J37" i="11" l="1"/>
  <c r="J1051" i="11" s="1"/>
  <c r="I1051" i="11"/>
  <c r="I74" i="13"/>
  <c r="AT337" i="11"/>
  <c r="AJ337" i="11"/>
  <c r="H4163" i="14"/>
  <c r="G4163" i="14"/>
  <c r="E4163" i="14"/>
  <c r="H4123" i="14"/>
  <c r="E4123" i="14"/>
  <c r="G4123" i="14"/>
  <c r="H4136" i="14"/>
  <c r="G4136" i="14"/>
  <c r="E4136" i="14"/>
  <c r="H4120" i="14"/>
  <c r="E4120" i="14"/>
  <c r="G4120" i="14"/>
  <c r="H4134" i="14"/>
  <c r="E4134" i="14"/>
  <c r="G4134" i="14"/>
  <c r="E4145" i="14"/>
  <c r="G4145" i="14"/>
  <c r="H4162" i="14"/>
  <c r="E4162" i="14"/>
  <c r="G4162" i="14"/>
  <c r="H4159" i="14"/>
  <c r="E4159" i="14"/>
  <c r="G4159" i="14"/>
  <c r="H4127" i="14"/>
  <c r="E4127" i="14"/>
  <c r="G4127" i="14"/>
  <c r="H4152" i="14"/>
  <c r="E4152" i="14"/>
  <c r="G4152" i="14"/>
  <c r="H4142" i="14"/>
  <c r="E4142" i="14"/>
  <c r="G4142" i="14"/>
  <c r="H4149" i="14"/>
  <c r="E4149" i="14"/>
  <c r="G4149" i="14"/>
  <c r="H4148" i="14"/>
  <c r="G4148" i="14"/>
  <c r="E4148" i="14"/>
  <c r="H4131" i="14"/>
  <c r="G4131" i="14"/>
  <c r="E4131" i="14"/>
  <c r="H4160" i="14"/>
  <c r="E4160" i="14"/>
  <c r="G4160" i="14"/>
  <c r="H4138" i="14"/>
  <c r="G4138" i="14"/>
  <c r="E4138" i="14"/>
  <c r="E4140" i="14"/>
  <c r="G4140" i="14"/>
  <c r="G4169" i="14"/>
  <c r="E4169" i="14"/>
  <c r="H4137" i="14"/>
  <c r="G4137" i="14"/>
  <c r="E4137" i="14"/>
  <c r="H4168" i="14"/>
  <c r="G4168" i="14"/>
  <c r="E4168" i="14"/>
  <c r="H4146" i="14"/>
  <c r="G4146" i="14"/>
  <c r="E4146" i="14"/>
  <c r="H4151" i="14"/>
  <c r="G4151" i="14"/>
  <c r="E4151" i="14"/>
  <c r="H4119" i="14"/>
  <c r="G4119" i="14"/>
  <c r="E4119" i="14"/>
  <c r="H4156" i="14"/>
  <c r="E4156" i="14"/>
  <c r="G4156" i="14"/>
  <c r="H4126" i="14"/>
  <c r="G4126" i="14"/>
  <c r="E4126" i="14"/>
  <c r="H4141" i="14"/>
  <c r="G4141" i="14"/>
  <c r="E4141" i="14"/>
  <c r="H4122" i="14"/>
  <c r="E4122" i="14"/>
  <c r="G4122" i="14"/>
  <c r="H4154" i="14"/>
  <c r="E4154" i="14"/>
  <c r="G4154" i="14"/>
  <c r="H4147" i="14"/>
  <c r="G4147" i="14"/>
  <c r="E4147" i="14"/>
  <c r="E4166" i="14"/>
  <c r="G4166" i="14"/>
  <c r="H4161" i="14"/>
  <c r="E4161" i="14"/>
  <c r="G4161" i="14"/>
  <c r="E4129" i="14"/>
  <c r="G4129" i="14"/>
  <c r="H4164" i="14"/>
  <c r="G4164" i="14"/>
  <c r="E4164" i="14"/>
  <c r="H4130" i="14"/>
  <c r="E4130" i="14"/>
  <c r="G4130" i="14"/>
  <c r="H4143" i="14"/>
  <c r="E4143" i="14"/>
  <c r="G4143" i="14"/>
  <c r="H4124" i="14"/>
  <c r="G4124" i="14"/>
  <c r="E4124" i="14"/>
  <c r="H4165" i="14"/>
  <c r="E4165" i="14"/>
  <c r="G4165" i="14"/>
  <c r="H4133" i="14"/>
  <c r="E4133" i="14"/>
  <c r="G4133" i="14"/>
  <c r="H4139" i="14"/>
  <c r="E4139" i="14"/>
  <c r="G4139" i="14"/>
  <c r="H4170" i="14"/>
  <c r="G4170" i="14"/>
  <c r="E4170" i="14"/>
  <c r="H4155" i="14"/>
  <c r="E4155" i="14"/>
  <c r="G4155" i="14"/>
  <c r="H4140" i="14"/>
  <c r="G4144" i="14"/>
  <c r="E4144" i="14"/>
  <c r="G4150" i="14"/>
  <c r="E4150" i="14"/>
  <c r="G4153" i="14"/>
  <c r="E4153" i="14"/>
  <c r="G4121" i="14"/>
  <c r="E4121" i="14"/>
  <c r="E4132" i="14"/>
  <c r="G4132" i="14"/>
  <c r="H4167" i="14"/>
  <c r="G4167" i="14"/>
  <c r="E4167" i="14"/>
  <c r="H4135" i="14"/>
  <c r="G4135" i="14"/>
  <c r="E4135" i="14"/>
  <c r="H4144" i="14"/>
  <c r="H4128" i="14"/>
  <c r="E4128" i="14"/>
  <c r="G4128" i="14"/>
  <c r="H4158" i="14"/>
  <c r="G4158" i="14"/>
  <c r="E4158" i="14"/>
  <c r="H4157" i="14"/>
  <c r="G4157" i="14"/>
  <c r="E4157" i="14"/>
  <c r="H4125" i="14"/>
  <c r="G4125" i="14"/>
  <c r="E4125" i="14"/>
  <c r="H4178" i="14"/>
  <c r="H4171" i="14"/>
  <c r="H4180" i="14"/>
  <c r="T45" i="16"/>
  <c r="H41" i="11"/>
  <c r="H4174" i="14"/>
  <c r="H4179" i="14"/>
  <c r="H4177" i="14"/>
  <c r="H4176" i="14"/>
  <c r="H4181" i="14"/>
  <c r="H4175" i="14"/>
  <c r="H4182" i="14"/>
  <c r="H4173" i="14"/>
  <c r="H4172" i="14"/>
  <c r="I41" i="11"/>
  <c r="I66" i="13"/>
  <c r="J35" i="11"/>
  <c r="J66" i="13" s="1"/>
  <c r="J34" i="11"/>
  <c r="J62" i="13" s="1"/>
  <c r="I62" i="13"/>
  <c r="AO338" i="11"/>
  <c r="AK339" i="11"/>
  <c r="AP338" i="11"/>
  <c r="AL338" i="11"/>
  <c r="AM338" i="11"/>
  <c r="AN338" i="11"/>
  <c r="AR337" i="11"/>
  <c r="AQ337" i="11"/>
  <c r="J78" i="13"/>
  <c r="J1052" i="11"/>
  <c r="K38" i="11"/>
  <c r="J70" i="13"/>
  <c r="J1050" i="11"/>
  <c r="K36" i="11"/>
  <c r="AO396" i="12"/>
  <c r="AL396" i="12" s="1"/>
  <c r="AM397" i="12"/>
  <c r="AQ396" i="12"/>
  <c r="AP396" i="12"/>
  <c r="AN396" i="12"/>
  <c r="D400" i="14"/>
  <c r="F402" i="14"/>
  <c r="K37" i="11" l="1"/>
  <c r="K1051" i="11" s="1"/>
  <c r="J74" i="13"/>
  <c r="AT338" i="11"/>
  <c r="AJ338" i="11"/>
  <c r="I10" i="13"/>
  <c r="J41" i="11"/>
  <c r="J1049" i="11"/>
  <c r="K35" i="11"/>
  <c r="K66" i="13" s="1"/>
  <c r="K34" i="11"/>
  <c r="K62" i="13" s="1"/>
  <c r="J1048" i="11"/>
  <c r="AK340" i="11"/>
  <c r="AM339" i="11"/>
  <c r="AO339" i="11"/>
  <c r="AN339" i="11"/>
  <c r="AP339" i="11"/>
  <c r="AL339" i="11"/>
  <c r="AR338" i="11"/>
  <c r="AQ338" i="11"/>
  <c r="F403" i="14"/>
  <c r="D401" i="14"/>
  <c r="AO397" i="12"/>
  <c r="AL397" i="12" s="1"/>
  <c r="AM398" i="12"/>
  <c r="AN397" i="12"/>
  <c r="AP397" i="12"/>
  <c r="AQ397" i="12"/>
  <c r="K1052" i="11"/>
  <c r="K78" i="13"/>
  <c r="L38" i="11"/>
  <c r="K1050" i="11"/>
  <c r="K70" i="13"/>
  <c r="L36" i="11"/>
  <c r="K74" i="13" l="1"/>
  <c r="L37" i="11"/>
  <c r="L1051" i="11" s="1"/>
  <c r="AT339" i="11"/>
  <c r="AJ339" i="11"/>
  <c r="J10" i="13"/>
  <c r="K10" i="13"/>
  <c r="L35" i="11"/>
  <c r="L66" i="13" s="1"/>
  <c r="K1049" i="11"/>
  <c r="K1048" i="11"/>
  <c r="L34" i="11"/>
  <c r="L62" i="13" s="1"/>
  <c r="AR339" i="11"/>
  <c r="AQ339" i="11"/>
  <c r="AL340" i="11"/>
  <c r="AK341" i="11"/>
  <c r="AN340" i="11"/>
  <c r="AP340" i="11"/>
  <c r="AM340" i="11"/>
  <c r="AO340" i="11"/>
  <c r="AO398" i="12"/>
  <c r="AL398" i="12" s="1"/>
  <c r="AN398" i="12"/>
  <c r="AP398" i="12"/>
  <c r="AM399" i="12"/>
  <c r="AQ398" i="12"/>
  <c r="D402" i="14"/>
  <c r="L1050" i="11"/>
  <c r="L70" i="13"/>
  <c r="M36" i="11"/>
  <c r="L78" i="13"/>
  <c r="L1052" i="11"/>
  <c r="M38" i="11"/>
  <c r="F404" i="14"/>
  <c r="L74" i="13" l="1"/>
  <c r="M37" i="11"/>
  <c r="M1051" i="11" s="1"/>
  <c r="AT340" i="11"/>
  <c r="AJ340" i="11"/>
  <c r="K41" i="11"/>
  <c r="L10" i="13"/>
  <c r="M35" i="11"/>
  <c r="N35" i="11" s="1"/>
  <c r="L1049" i="11"/>
  <c r="M34" i="11"/>
  <c r="L1048" i="11"/>
  <c r="AQ340" i="11"/>
  <c r="AR340" i="11"/>
  <c r="AL341" i="11"/>
  <c r="AK342" i="11"/>
  <c r="AM341" i="11"/>
  <c r="AO341" i="11"/>
  <c r="AN341" i="11"/>
  <c r="AP341" i="11"/>
  <c r="M70" i="13"/>
  <c r="M1050" i="11"/>
  <c r="N36" i="11"/>
  <c r="D403" i="14"/>
  <c r="AO399" i="12"/>
  <c r="AL399" i="12" s="1"/>
  <c r="AM400" i="12"/>
  <c r="AP399" i="12"/>
  <c r="AQ399" i="12"/>
  <c r="AN399" i="12"/>
  <c r="F405" i="14"/>
  <c r="M78" i="13"/>
  <c r="M1052" i="11"/>
  <c r="N38" i="11"/>
  <c r="M74" i="13" l="1"/>
  <c r="N37" i="11"/>
  <c r="N1051" i="11" s="1"/>
  <c r="AT341" i="11"/>
  <c r="AJ341" i="11"/>
  <c r="M1049" i="11"/>
  <c r="L41" i="11"/>
  <c r="M66" i="13"/>
  <c r="M10" i="13"/>
  <c r="M1048" i="11"/>
  <c r="M62" i="13"/>
  <c r="N34" i="11"/>
  <c r="N1048" i="11" s="1"/>
  <c r="AQ341" i="11"/>
  <c r="AR341" i="11"/>
  <c r="AM342" i="11"/>
  <c r="AL342" i="11"/>
  <c r="AK343" i="11"/>
  <c r="AN342" i="11"/>
  <c r="AP342" i="11"/>
  <c r="AO342" i="11"/>
  <c r="N66" i="13"/>
  <c r="N1049" i="11"/>
  <c r="O35" i="11"/>
  <c r="AO400" i="12"/>
  <c r="AL400" i="12" s="1"/>
  <c r="AM401" i="12"/>
  <c r="AQ400" i="12"/>
  <c r="AN400" i="12"/>
  <c r="AP400" i="12"/>
  <c r="N78" i="13"/>
  <c r="N1052" i="11"/>
  <c r="O38" i="11"/>
  <c r="D404" i="14"/>
  <c r="F406" i="14"/>
  <c r="N70" i="13"/>
  <c r="N1050" i="11"/>
  <c r="O36" i="11"/>
  <c r="N74" i="13" l="1"/>
  <c r="O37" i="11"/>
  <c r="O1051" i="11" s="1"/>
  <c r="AT342" i="11"/>
  <c r="AJ342" i="11"/>
  <c r="N10" i="13"/>
  <c r="M41" i="11"/>
  <c r="O34" i="11"/>
  <c r="O62" i="13" s="1"/>
  <c r="N62" i="13"/>
  <c r="AR342" i="11"/>
  <c r="AQ342" i="11"/>
  <c r="AK344" i="11"/>
  <c r="AM343" i="11"/>
  <c r="AP343" i="11"/>
  <c r="AN343" i="11"/>
  <c r="AO343" i="11"/>
  <c r="AL343" i="11"/>
  <c r="AO401" i="12"/>
  <c r="AL401" i="12" s="1"/>
  <c r="AM402" i="12"/>
  <c r="AN401" i="12"/>
  <c r="AQ401" i="12"/>
  <c r="AP401" i="12"/>
  <c r="O66" i="13"/>
  <c r="O1049" i="11"/>
  <c r="P35" i="11"/>
  <c r="O1050" i="11"/>
  <c r="O70" i="13"/>
  <c r="P36" i="11"/>
  <c r="F407" i="14"/>
  <c r="D405" i="14"/>
  <c r="O1052" i="11"/>
  <c r="O78" i="13"/>
  <c r="P38" i="11"/>
  <c r="P37" i="11" l="1"/>
  <c r="P1051" i="11" s="1"/>
  <c r="O74" i="13"/>
  <c r="AT343" i="11"/>
  <c r="AJ343" i="11"/>
  <c r="N41" i="11"/>
  <c r="O10" i="13"/>
  <c r="P34" i="11"/>
  <c r="P62" i="13" s="1"/>
  <c r="O1048" i="11"/>
  <c r="AN344" i="11"/>
  <c r="AP344" i="11"/>
  <c r="AK345" i="11"/>
  <c r="AO344" i="11"/>
  <c r="AM344" i="11"/>
  <c r="AL344" i="11"/>
  <c r="AQ343" i="11"/>
  <c r="AR343" i="11"/>
  <c r="P78" i="13"/>
  <c r="P1052" i="11"/>
  <c r="Q38" i="11"/>
  <c r="AO402" i="12"/>
  <c r="AL402" i="12" s="1"/>
  <c r="AN402" i="12"/>
  <c r="AP402" i="12"/>
  <c r="AM403" i="12"/>
  <c r="AQ402" i="12"/>
  <c r="D406" i="14"/>
  <c r="P1050" i="11"/>
  <c r="P70" i="13"/>
  <c r="Q36" i="11"/>
  <c r="S36" i="11" s="1"/>
  <c r="P66" i="13"/>
  <c r="P1049" i="11"/>
  <c r="Q35" i="11"/>
  <c r="S35" i="11" s="1"/>
  <c r="F408" i="14"/>
  <c r="Q37" i="11" l="1"/>
  <c r="Q1051" i="11" s="1"/>
  <c r="P74" i="13"/>
  <c r="S38" i="11"/>
  <c r="F74" i="17"/>
  <c r="AT344" i="11"/>
  <c r="AJ344" i="11"/>
  <c r="Q34" i="11"/>
  <c r="F1020" i="14" s="1"/>
  <c r="P1048" i="11"/>
  <c r="O41" i="11"/>
  <c r="F1021" i="14"/>
  <c r="F1022" i="14"/>
  <c r="F1024" i="14"/>
  <c r="AP345" i="11"/>
  <c r="AN345" i="11"/>
  <c r="AM345" i="11"/>
  <c r="AK346" i="11"/>
  <c r="AO345" i="11"/>
  <c r="AL345" i="11"/>
  <c r="AR344" i="11"/>
  <c r="AQ344" i="11"/>
  <c r="N84" i="18"/>
  <c r="J84" i="18" s="1"/>
  <c r="R42" i="17"/>
  <c r="F409" i="14"/>
  <c r="Q66" i="13"/>
  <c r="Q1049" i="11"/>
  <c r="F71" i="17"/>
  <c r="D407" i="14"/>
  <c r="Q70" i="13"/>
  <c r="Q1050" i="11"/>
  <c r="F72" i="17"/>
  <c r="AO403" i="12"/>
  <c r="AL403" i="12" s="1"/>
  <c r="AM404" i="12"/>
  <c r="AP403" i="12"/>
  <c r="AQ403" i="12"/>
  <c r="AN403" i="12"/>
  <c r="Q78" i="13"/>
  <c r="Q1052" i="11"/>
  <c r="F73" i="17" l="1"/>
  <c r="Q74" i="13"/>
  <c r="S37" i="11"/>
  <c r="I1023" i="14" s="1"/>
  <c r="F1023" i="14"/>
  <c r="I1037" i="14" s="1"/>
  <c r="O84" i="18"/>
  <c r="H44" i="18" s="1"/>
  <c r="AT345" i="11"/>
  <c r="AJ345" i="11"/>
  <c r="F70" i="17"/>
  <c r="Q1048" i="11"/>
  <c r="Q62" i="13"/>
  <c r="S34" i="11"/>
  <c r="S62" i="13" s="1"/>
  <c r="U62" i="13" s="1"/>
  <c r="P41" i="11"/>
  <c r="P10" i="13"/>
  <c r="AM346" i="11"/>
  <c r="AL346" i="11"/>
  <c r="AN346" i="11"/>
  <c r="AO346" i="11"/>
  <c r="AP346" i="11"/>
  <c r="AK347" i="11"/>
  <c r="AQ345" i="11"/>
  <c r="AR345" i="11"/>
  <c r="S78" i="13"/>
  <c r="U78" i="13" s="1"/>
  <c r="I1024" i="14"/>
  <c r="S70" i="13"/>
  <c r="U70" i="13" s="1"/>
  <c r="I1022" i="14"/>
  <c r="E1020" i="14"/>
  <c r="I1034" i="14"/>
  <c r="F410" i="14"/>
  <c r="AO404" i="12"/>
  <c r="AL404" i="12" s="1"/>
  <c r="AM405" i="12"/>
  <c r="AQ404" i="12"/>
  <c r="AP404" i="12"/>
  <c r="AN404" i="12"/>
  <c r="D408" i="14"/>
  <c r="I1035" i="14"/>
  <c r="I1038" i="14"/>
  <c r="I1036" i="14"/>
  <c r="S66" i="13"/>
  <c r="U66" i="13" s="1"/>
  <c r="I1021" i="14"/>
  <c r="O77" i="17" l="1"/>
  <c r="S74" i="13"/>
  <c r="U74" i="13" s="1"/>
  <c r="N95" i="18"/>
  <c r="J95" i="18" s="1"/>
  <c r="O95" i="18" s="1"/>
  <c r="AT346" i="11"/>
  <c r="AJ346" i="11"/>
  <c r="I1020" i="14"/>
  <c r="Q41" i="11"/>
  <c r="Q10" i="13"/>
  <c r="S10" i="13" s="1"/>
  <c r="AO347" i="11"/>
  <c r="AM347" i="11"/>
  <c r="AP347" i="11"/>
  <c r="AK348" i="11"/>
  <c r="AN347" i="11"/>
  <c r="AL347" i="11"/>
  <c r="AR346" i="11"/>
  <c r="AQ346" i="11"/>
  <c r="E1021" i="14"/>
  <c r="E1022" i="14" s="1"/>
  <c r="D409" i="14"/>
  <c r="AO405" i="12"/>
  <c r="AL405" i="12" s="1"/>
  <c r="AM406" i="12"/>
  <c r="AN405" i="12"/>
  <c r="AQ405" i="12"/>
  <c r="AP405" i="12"/>
  <c r="F411" i="14"/>
  <c r="H49" i="18" l="1"/>
  <c r="J47" i="18" s="1"/>
  <c r="AT347" i="11"/>
  <c r="AJ347" i="11"/>
  <c r="S32" i="11"/>
  <c r="AP348" i="11"/>
  <c r="AM348" i="11"/>
  <c r="AN348" i="11"/>
  <c r="AL348" i="11"/>
  <c r="AO348" i="11"/>
  <c r="AK349" i="11"/>
  <c r="AQ347" i="11"/>
  <c r="AR347" i="11"/>
  <c r="F412" i="14"/>
  <c r="AO406" i="12"/>
  <c r="AL406" i="12" s="1"/>
  <c r="AN406" i="12"/>
  <c r="AP406" i="12"/>
  <c r="AM407" i="12"/>
  <c r="AQ406" i="12"/>
  <c r="D410" i="14"/>
  <c r="AT348" i="11" l="1"/>
  <c r="AJ348" i="11"/>
  <c r="AO349" i="11"/>
  <c r="AK350" i="11"/>
  <c r="AL349" i="11"/>
  <c r="AM349" i="11"/>
  <c r="AP349" i="11"/>
  <c r="AN349" i="11"/>
  <c r="AR348" i="11"/>
  <c r="AQ348" i="11"/>
  <c r="D411" i="14"/>
  <c r="AO407" i="12"/>
  <c r="AL407" i="12" s="1"/>
  <c r="AM408" i="12"/>
  <c r="AP407" i="12"/>
  <c r="AQ407" i="12"/>
  <c r="AN407" i="12"/>
  <c r="F413" i="14"/>
  <c r="AT349" i="11" l="1"/>
  <c r="AJ349" i="11"/>
  <c r="AR349" i="11"/>
  <c r="AQ349" i="11"/>
  <c r="AO350" i="11"/>
  <c r="AM350" i="11"/>
  <c r="AL350" i="11"/>
  <c r="AK351" i="11"/>
  <c r="AN350" i="11"/>
  <c r="AP350" i="11"/>
  <c r="D412" i="14"/>
  <c r="AO408" i="12"/>
  <c r="AL408" i="12" s="1"/>
  <c r="AM409" i="12"/>
  <c r="AQ408" i="12"/>
  <c r="AN408" i="12"/>
  <c r="AP408" i="12"/>
  <c r="F414" i="14"/>
  <c r="AT350" i="11" l="1"/>
  <c r="AJ350" i="11"/>
  <c r="AM351" i="11"/>
  <c r="AO351" i="11"/>
  <c r="AP351" i="11"/>
  <c r="AK352" i="11"/>
  <c r="AN351" i="11"/>
  <c r="AL351" i="11"/>
  <c r="AQ350" i="11"/>
  <c r="AR350" i="11"/>
  <c r="AO409" i="12"/>
  <c r="AL409" i="12" s="1"/>
  <c r="AM410" i="12"/>
  <c r="AN409" i="12"/>
  <c r="AQ409" i="12"/>
  <c r="AP409" i="12"/>
  <c r="F415" i="14"/>
  <c r="D413" i="14"/>
  <c r="AT351" i="11" l="1"/>
  <c r="AJ351" i="11"/>
  <c r="AN352" i="11"/>
  <c r="AK353" i="11"/>
  <c r="AL352" i="11"/>
  <c r="AO352" i="11"/>
  <c r="AP352" i="11"/>
  <c r="AM352" i="11"/>
  <c r="AR351" i="11"/>
  <c r="AQ351" i="11"/>
  <c r="E1023" i="14"/>
  <c r="D414" i="14"/>
  <c r="F416" i="14"/>
  <c r="AO410" i="12"/>
  <c r="AL410" i="12" s="1"/>
  <c r="AN410" i="12"/>
  <c r="AP410" i="12"/>
  <c r="AM411" i="12"/>
  <c r="AQ410" i="12"/>
  <c r="AT352" i="11" l="1"/>
  <c r="AJ352" i="11"/>
  <c r="AK354" i="11"/>
  <c r="AP353" i="11"/>
  <c r="AO353" i="11"/>
  <c r="AL353" i="11"/>
  <c r="AM353" i="11"/>
  <c r="AN353" i="11"/>
  <c r="AQ352" i="11"/>
  <c r="AR352" i="11"/>
  <c r="AO411" i="12"/>
  <c r="AL411" i="12" s="1"/>
  <c r="AM412" i="12"/>
  <c r="AP411" i="12"/>
  <c r="AQ411" i="12"/>
  <c r="AN411" i="12"/>
  <c r="F417" i="14"/>
  <c r="D415" i="14"/>
  <c r="AT353" i="11" l="1"/>
  <c r="AJ353" i="11"/>
  <c r="AR353" i="11"/>
  <c r="AQ353" i="11"/>
  <c r="AK355" i="11"/>
  <c r="AM354" i="11"/>
  <c r="AL354" i="11"/>
  <c r="AP354" i="11"/>
  <c r="AN354" i="11"/>
  <c r="AO354" i="11"/>
  <c r="D416" i="14"/>
  <c r="AO412" i="12"/>
  <c r="AL412" i="12" s="1"/>
  <c r="AM413" i="12"/>
  <c r="AQ412" i="12"/>
  <c r="AP412" i="12"/>
  <c r="AN412" i="12"/>
  <c r="F418" i="14"/>
  <c r="AT354" i="11" l="1"/>
  <c r="AJ354" i="11"/>
  <c r="AN355" i="11"/>
  <c r="AM355" i="11"/>
  <c r="AL355" i="11"/>
  <c r="AO355" i="11"/>
  <c r="AP355" i="11"/>
  <c r="AK356" i="11"/>
  <c r="AR354" i="11"/>
  <c r="AQ354" i="11"/>
  <c r="D417" i="14"/>
  <c r="F419" i="14"/>
  <c r="AO413" i="12"/>
  <c r="AL413" i="12" s="1"/>
  <c r="AM414" i="12"/>
  <c r="AN413" i="12"/>
  <c r="AQ413" i="12"/>
  <c r="AP413" i="12"/>
  <c r="AT355" i="11" l="1"/>
  <c r="AJ355" i="11"/>
  <c r="E1024" i="14"/>
  <c r="E1025" i="14" s="1"/>
  <c r="AL356" i="11"/>
  <c r="AK357" i="11"/>
  <c r="AO356" i="11"/>
  <c r="AN356" i="11"/>
  <c r="AM356" i="11"/>
  <c r="AP356" i="11"/>
  <c r="AR355" i="11"/>
  <c r="AQ355" i="11"/>
  <c r="AO414" i="12"/>
  <c r="AL414" i="12" s="1"/>
  <c r="AN414" i="12"/>
  <c r="AP414" i="12"/>
  <c r="AM415" i="12"/>
  <c r="AQ414" i="12"/>
  <c r="D418" i="14"/>
  <c r="F420" i="14"/>
  <c r="AT356" i="11" l="1"/>
  <c r="AJ356" i="11"/>
  <c r="AK358" i="11"/>
  <c r="AN357" i="11"/>
  <c r="AP357" i="11"/>
  <c r="AM357" i="11"/>
  <c r="AL357" i="11"/>
  <c r="AO357" i="11"/>
  <c r="AR356" i="11"/>
  <c r="AQ356" i="11"/>
  <c r="F421" i="14"/>
  <c r="D419" i="14"/>
  <c r="AO415" i="12"/>
  <c r="AL415" i="12" s="1"/>
  <c r="AM416" i="12"/>
  <c r="AP415" i="12"/>
  <c r="AQ415" i="12"/>
  <c r="AN415" i="12"/>
  <c r="AT357" i="11" l="1"/>
  <c r="AJ357" i="11"/>
  <c r="AR357" i="11"/>
  <c r="AQ357" i="11"/>
  <c r="AN358" i="11"/>
  <c r="AO358" i="11"/>
  <c r="AP358" i="11"/>
  <c r="AL358" i="11"/>
  <c r="AK359" i="11"/>
  <c r="AM358" i="11"/>
  <c r="AO416" i="12"/>
  <c r="AL416" i="12" s="1"/>
  <c r="AM417" i="12"/>
  <c r="AQ416" i="12"/>
  <c r="AN416" i="12"/>
  <c r="AP416" i="12"/>
  <c r="D420" i="14"/>
  <c r="F422" i="14"/>
  <c r="AT358" i="11" l="1"/>
  <c r="AJ358" i="11"/>
  <c r="AM359" i="11"/>
  <c r="AO359" i="11"/>
  <c r="AL359" i="11"/>
  <c r="AN359" i="11"/>
  <c r="AP359" i="11"/>
  <c r="AK360" i="11"/>
  <c r="AR358" i="11"/>
  <c r="AQ358" i="11"/>
  <c r="F423" i="14"/>
  <c r="D421" i="14"/>
  <c r="AO417" i="12"/>
  <c r="AL417" i="12" s="1"/>
  <c r="AM418" i="12"/>
  <c r="AN417" i="12"/>
  <c r="AQ417" i="12"/>
  <c r="AP417" i="12"/>
  <c r="AT359" i="11" l="1"/>
  <c r="AJ359" i="11"/>
  <c r="AM360" i="11"/>
  <c r="AK361" i="11"/>
  <c r="AP360" i="11"/>
  <c r="AO360" i="11"/>
  <c r="AL360" i="11"/>
  <c r="AN360" i="11"/>
  <c r="AQ359" i="11"/>
  <c r="AR359" i="11"/>
  <c r="AO418" i="12"/>
  <c r="AL418" i="12" s="1"/>
  <c r="AN418" i="12"/>
  <c r="AP418" i="12"/>
  <c r="AM419" i="12"/>
  <c r="AQ418" i="12"/>
  <c r="D422" i="14"/>
  <c r="F424" i="14"/>
  <c r="AT360" i="11" l="1"/>
  <c r="AJ360" i="11"/>
  <c r="AM361" i="11"/>
  <c r="AP361" i="11"/>
  <c r="AO361" i="11"/>
  <c r="AN361" i="11"/>
  <c r="AK362" i="11"/>
  <c r="AL361" i="11"/>
  <c r="AR360" i="11"/>
  <c r="AQ360" i="11"/>
  <c r="F425" i="14"/>
  <c r="D423" i="14"/>
  <c r="AO419" i="12"/>
  <c r="AL419" i="12" s="1"/>
  <c r="AM420" i="12"/>
  <c r="AP419" i="12"/>
  <c r="AQ419" i="12"/>
  <c r="AN419" i="12"/>
  <c r="AT361" i="11" l="1"/>
  <c r="AJ361" i="11"/>
  <c r="AK363" i="11"/>
  <c r="AM362" i="11"/>
  <c r="AN362" i="11"/>
  <c r="AO362" i="11"/>
  <c r="AP362" i="11"/>
  <c r="AL362" i="11"/>
  <c r="AR361" i="11"/>
  <c r="AQ361" i="11"/>
  <c r="D424" i="14"/>
  <c r="F426" i="14"/>
  <c r="AO420" i="12"/>
  <c r="AL420" i="12" s="1"/>
  <c r="AM421" i="12"/>
  <c r="AQ420" i="12"/>
  <c r="AP420" i="12"/>
  <c r="AN420" i="12"/>
  <c r="AT362" i="11" l="1"/>
  <c r="AJ362" i="11"/>
  <c r="AR362" i="11"/>
  <c r="AQ362" i="11"/>
  <c r="AN363" i="11"/>
  <c r="AL363" i="11"/>
  <c r="AK364" i="11"/>
  <c r="AM363" i="11"/>
  <c r="AP363" i="11"/>
  <c r="AO363" i="11"/>
  <c r="AO421" i="12"/>
  <c r="AL421" i="12" s="1"/>
  <c r="AM422" i="12"/>
  <c r="AN421" i="12"/>
  <c r="AP421" i="12"/>
  <c r="AQ421" i="12"/>
  <c r="F427" i="14"/>
  <c r="D425" i="14"/>
  <c r="AT363" i="11" l="1"/>
  <c r="AJ363" i="11"/>
  <c r="AQ363" i="11"/>
  <c r="AR363" i="11"/>
  <c r="AN364" i="11"/>
  <c r="AP364" i="11"/>
  <c r="AM364" i="11"/>
  <c r="AK365" i="11"/>
  <c r="AO364" i="11"/>
  <c r="AL364" i="11"/>
  <c r="D426" i="14"/>
  <c r="F428" i="14"/>
  <c r="AO422" i="12"/>
  <c r="AL422" i="12" s="1"/>
  <c r="AN422" i="12"/>
  <c r="AP422" i="12"/>
  <c r="AM423" i="12"/>
  <c r="AQ422" i="12"/>
  <c r="AT364" i="11" l="1"/>
  <c r="AJ364" i="11"/>
  <c r="AK366" i="11"/>
  <c r="AL365" i="11"/>
  <c r="AO365" i="11"/>
  <c r="AP365" i="11"/>
  <c r="AN365" i="11"/>
  <c r="AM365" i="11"/>
  <c r="AR364" i="11"/>
  <c r="AQ364" i="11"/>
  <c r="AO423" i="12"/>
  <c r="AL423" i="12" s="1"/>
  <c r="AM424" i="12"/>
  <c r="AP423" i="12"/>
  <c r="AQ423" i="12"/>
  <c r="AN423" i="12"/>
  <c r="F429" i="14"/>
  <c r="D427" i="14"/>
  <c r="AT365" i="11" l="1"/>
  <c r="AJ365" i="11"/>
  <c r="AR365" i="11"/>
  <c r="AQ365" i="11"/>
  <c r="AL366" i="11"/>
  <c r="AM366" i="11"/>
  <c r="AK367" i="11"/>
  <c r="AO366" i="11"/>
  <c r="AN366" i="11"/>
  <c r="AP366" i="11"/>
  <c r="D428" i="14"/>
  <c r="F430" i="14"/>
  <c r="AO424" i="12"/>
  <c r="AL424" i="12" s="1"/>
  <c r="AM425" i="12"/>
  <c r="AQ424" i="12"/>
  <c r="AP424" i="12"/>
  <c r="AN424" i="12"/>
  <c r="AT366" i="11" l="1"/>
  <c r="AJ366" i="11"/>
  <c r="AK368" i="11"/>
  <c r="AN367" i="11"/>
  <c r="AO367" i="11"/>
  <c r="AM367" i="11"/>
  <c r="AL367" i="11"/>
  <c r="AP367" i="11"/>
  <c r="AR366" i="11"/>
  <c r="AQ366" i="11"/>
  <c r="F431" i="14"/>
  <c r="D429" i="14"/>
  <c r="AO425" i="12"/>
  <c r="AL425" i="12" s="1"/>
  <c r="AM426" i="12"/>
  <c r="AN425" i="12"/>
  <c r="AQ425" i="12"/>
  <c r="AP425" i="12"/>
  <c r="AT367" i="11" l="1"/>
  <c r="AJ367" i="11"/>
  <c r="AQ367" i="11"/>
  <c r="AR367" i="11"/>
  <c r="AP368" i="11"/>
  <c r="AK369" i="11"/>
  <c r="AO368" i="11"/>
  <c r="AM368" i="11"/>
  <c r="AN368" i="11"/>
  <c r="AL368" i="11"/>
  <c r="AO426" i="12"/>
  <c r="AL426" i="12" s="1"/>
  <c r="AN426" i="12"/>
  <c r="AP426" i="12"/>
  <c r="AM427" i="12"/>
  <c r="AQ426" i="12"/>
  <c r="D430" i="14"/>
  <c r="F432" i="14"/>
  <c r="AT368" i="11" l="1"/>
  <c r="AJ368" i="11"/>
  <c r="AQ368" i="11"/>
  <c r="AR368" i="11"/>
  <c r="AP369" i="11"/>
  <c r="AM369" i="11"/>
  <c r="AN369" i="11"/>
  <c r="AK370" i="11"/>
  <c r="AO369" i="11"/>
  <c r="AL369" i="11"/>
  <c r="D431" i="14"/>
  <c r="F433" i="14"/>
  <c r="AO427" i="12"/>
  <c r="AL427" i="12" s="1"/>
  <c r="AM428" i="12"/>
  <c r="AP427" i="12"/>
  <c r="AQ427" i="12"/>
  <c r="AN427" i="12"/>
  <c r="AT369" i="11" l="1"/>
  <c r="AJ369" i="11"/>
  <c r="AO370" i="11"/>
  <c r="AN370" i="11"/>
  <c r="AL370" i="11"/>
  <c r="AK371" i="11"/>
  <c r="AP370" i="11"/>
  <c r="AM370" i="11"/>
  <c r="AR369" i="11"/>
  <c r="AQ369" i="11"/>
  <c r="F434" i="14"/>
  <c r="D432" i="14"/>
  <c r="AO428" i="12"/>
  <c r="AL428" i="12" s="1"/>
  <c r="AM429" i="12"/>
  <c r="AQ428" i="12"/>
  <c r="AP428" i="12"/>
  <c r="AN428" i="12"/>
  <c r="AT370" i="11" l="1"/>
  <c r="AJ370" i="11"/>
  <c r="AL371" i="11"/>
  <c r="AM371" i="11"/>
  <c r="AP371" i="11"/>
  <c r="AN371" i="11"/>
  <c r="AO371" i="11"/>
  <c r="AK372" i="11"/>
  <c r="AQ370" i="11"/>
  <c r="AR370" i="11"/>
  <c r="AO429" i="12"/>
  <c r="AL429" i="12" s="1"/>
  <c r="AM430" i="12"/>
  <c r="AN429" i="12"/>
  <c r="AP429" i="12"/>
  <c r="AQ429" i="12"/>
  <c r="D433" i="14"/>
  <c r="F435" i="14"/>
  <c r="AT371" i="11" l="1"/>
  <c r="AJ371" i="11"/>
  <c r="AK373" i="11"/>
  <c r="AM372" i="11"/>
  <c r="AL372" i="11"/>
  <c r="AN372" i="11"/>
  <c r="AP372" i="11"/>
  <c r="AO372" i="11"/>
  <c r="AR371" i="11"/>
  <c r="AQ371" i="11"/>
  <c r="F436" i="14"/>
  <c r="D434" i="14"/>
  <c r="AO430" i="12"/>
  <c r="AL430" i="12" s="1"/>
  <c r="AN430" i="12"/>
  <c r="AP430" i="12"/>
  <c r="AM431" i="12"/>
  <c r="AQ430" i="12"/>
  <c r="AT372" i="11" l="1"/>
  <c r="AJ372" i="11"/>
  <c r="AQ372" i="11"/>
  <c r="AR372" i="11"/>
  <c r="AP373" i="11"/>
  <c r="AL373" i="11"/>
  <c r="AK374" i="11"/>
  <c r="AN373" i="11"/>
  <c r="AO373" i="11"/>
  <c r="AM373" i="11"/>
  <c r="D435" i="14"/>
  <c r="F437" i="14"/>
  <c r="AO431" i="12"/>
  <c r="AL431" i="12" s="1"/>
  <c r="AM432" i="12"/>
  <c r="AP431" i="12"/>
  <c r="AQ431" i="12"/>
  <c r="AN431" i="12"/>
  <c r="AT373" i="11" l="1"/>
  <c r="AJ373" i="11"/>
  <c r="AN374" i="11"/>
  <c r="AM374" i="11"/>
  <c r="AK375" i="11"/>
  <c r="AO374" i="11"/>
  <c r="AL374" i="11"/>
  <c r="AP374" i="11"/>
  <c r="AQ373" i="11"/>
  <c r="AR373" i="11"/>
  <c r="F438" i="14"/>
  <c r="D436" i="14"/>
  <c r="AO432" i="12"/>
  <c r="AL432" i="12" s="1"/>
  <c r="AM433" i="12"/>
  <c r="AQ432" i="12"/>
  <c r="AN432" i="12"/>
  <c r="AP432" i="12"/>
  <c r="AT374" i="11" l="1"/>
  <c r="AJ374" i="11"/>
  <c r="AM375" i="11"/>
  <c r="AL375" i="11"/>
  <c r="AK376" i="11"/>
  <c r="AN375" i="11"/>
  <c r="AO375" i="11"/>
  <c r="AP375" i="11"/>
  <c r="AQ374" i="11"/>
  <c r="AR374" i="11"/>
  <c r="AO433" i="12"/>
  <c r="AL433" i="12" s="1"/>
  <c r="AM434" i="12"/>
  <c r="AN433" i="12"/>
  <c r="AQ433" i="12"/>
  <c r="AP433" i="12"/>
  <c r="D437" i="14"/>
  <c r="F439" i="14"/>
  <c r="AT375" i="11" l="1"/>
  <c r="AJ375" i="11"/>
  <c r="AO376" i="11"/>
  <c r="AK377" i="11"/>
  <c r="AN376" i="11"/>
  <c r="AP376" i="11"/>
  <c r="AL376" i="11"/>
  <c r="AM376" i="11"/>
  <c r="AQ375" i="11"/>
  <c r="AR375" i="11"/>
  <c r="F440" i="14"/>
  <c r="D438" i="14"/>
  <c r="AO434" i="12"/>
  <c r="AL434" i="12" s="1"/>
  <c r="AN434" i="12"/>
  <c r="AP434" i="12"/>
  <c r="AM435" i="12"/>
  <c r="AQ434" i="12"/>
  <c r="AT376" i="11" l="1"/>
  <c r="AJ376" i="11"/>
  <c r="AQ376" i="11"/>
  <c r="AR376" i="11"/>
  <c r="AN377" i="11"/>
  <c r="AK378" i="11"/>
  <c r="AL377" i="11"/>
  <c r="AO377" i="11"/>
  <c r="AP377" i="11"/>
  <c r="AM377" i="11"/>
  <c r="D439" i="14"/>
  <c r="F441" i="14"/>
  <c r="AO435" i="12"/>
  <c r="AL435" i="12" s="1"/>
  <c r="AM436" i="12"/>
  <c r="AP435" i="12"/>
  <c r="AQ435" i="12"/>
  <c r="AN435" i="12"/>
  <c r="AT377" i="11" l="1"/>
  <c r="AJ377" i="11"/>
  <c r="AR377" i="11"/>
  <c r="AQ377" i="11"/>
  <c r="AK379" i="11"/>
  <c r="AN378" i="11"/>
  <c r="AL378" i="11"/>
  <c r="AM378" i="11"/>
  <c r="AO378" i="11"/>
  <c r="AP378" i="11"/>
  <c r="F442" i="14"/>
  <c r="D440" i="14"/>
  <c r="AO436" i="12"/>
  <c r="AL436" i="12" s="1"/>
  <c r="AM437" i="12"/>
  <c r="AQ436" i="12"/>
  <c r="AP436" i="12"/>
  <c r="AN436" i="12"/>
  <c r="AT378" i="11" l="1"/>
  <c r="AJ378" i="11"/>
  <c r="AN379" i="11"/>
  <c r="AO379" i="11"/>
  <c r="AL379" i="11"/>
  <c r="AP379" i="11"/>
  <c r="AM379" i="11"/>
  <c r="AK380" i="11"/>
  <c r="AR378" i="11"/>
  <c r="AQ378" i="11"/>
  <c r="AO437" i="12"/>
  <c r="AL437" i="12" s="1"/>
  <c r="AM438" i="12"/>
  <c r="AN437" i="12"/>
  <c r="AP437" i="12"/>
  <c r="AQ437" i="12"/>
  <c r="D441" i="14"/>
  <c r="F443" i="14"/>
  <c r="AT379" i="11" l="1"/>
  <c r="AJ379" i="11"/>
  <c r="AN380" i="11"/>
  <c r="AK381" i="11"/>
  <c r="AL380" i="11"/>
  <c r="AP380" i="11"/>
  <c r="AO380" i="11"/>
  <c r="AM380" i="11"/>
  <c r="AR379" i="11"/>
  <c r="AQ379" i="11"/>
  <c r="F444" i="14"/>
  <c r="D442" i="14"/>
  <c r="AO438" i="12"/>
  <c r="AL438" i="12" s="1"/>
  <c r="AN438" i="12"/>
  <c r="AP438" i="12"/>
  <c r="AM439" i="12"/>
  <c r="AQ438" i="12"/>
  <c r="AT380" i="11" l="1"/>
  <c r="AJ380" i="11"/>
  <c r="AR380" i="11"/>
  <c r="AQ380" i="11"/>
  <c r="AO381" i="11"/>
  <c r="AN381" i="11"/>
  <c r="AM381" i="11"/>
  <c r="AL381" i="11"/>
  <c r="AP381" i="11"/>
  <c r="AK382" i="11"/>
  <c r="D443" i="14"/>
  <c r="F445" i="14"/>
  <c r="AO439" i="12"/>
  <c r="AL439" i="12" s="1"/>
  <c r="AM440" i="12"/>
  <c r="AP439" i="12"/>
  <c r="AQ439" i="12"/>
  <c r="AN439" i="12"/>
  <c r="AT381" i="11" l="1"/>
  <c r="AJ381" i="11"/>
  <c r="AR381" i="11"/>
  <c r="AQ381" i="11"/>
  <c r="AL382" i="11"/>
  <c r="AP382" i="11"/>
  <c r="AK383" i="11"/>
  <c r="AM382" i="11"/>
  <c r="AO382" i="11"/>
  <c r="AN382" i="11"/>
  <c r="F446" i="14"/>
  <c r="D444" i="14"/>
  <c r="AO440" i="12"/>
  <c r="AL440" i="12" s="1"/>
  <c r="AM441" i="12"/>
  <c r="AQ440" i="12"/>
  <c r="AN440" i="12"/>
  <c r="AP440" i="12"/>
  <c r="AT382" i="11" l="1"/>
  <c r="AJ382" i="11"/>
  <c r="AQ382" i="11"/>
  <c r="AR382" i="11"/>
  <c r="AK384" i="11"/>
  <c r="AL383" i="11"/>
  <c r="AO383" i="11"/>
  <c r="AN383" i="11"/>
  <c r="AM383" i="11"/>
  <c r="AP383" i="11"/>
  <c r="AO441" i="12"/>
  <c r="AL441" i="12" s="1"/>
  <c r="AM442" i="12"/>
  <c r="AN441" i="12"/>
  <c r="AQ441" i="12"/>
  <c r="AP441" i="12"/>
  <c r="D445" i="14"/>
  <c r="F447" i="14"/>
  <c r="AT383" i="11" l="1"/>
  <c r="AJ383" i="11"/>
  <c r="AQ383" i="11"/>
  <c r="AR383" i="11"/>
  <c r="AP384" i="11"/>
  <c r="AL384" i="11"/>
  <c r="AO384" i="11"/>
  <c r="AK385" i="11"/>
  <c r="AM384" i="11"/>
  <c r="AN384" i="11"/>
  <c r="F448" i="14"/>
  <c r="D446" i="14"/>
  <c r="AO442" i="12"/>
  <c r="AL442" i="12" s="1"/>
  <c r="AN442" i="12"/>
  <c r="AP442" i="12"/>
  <c r="AQ442" i="12"/>
  <c r="AM443" i="12"/>
  <c r="AT384" i="11" l="1"/>
  <c r="AJ384" i="11"/>
  <c r="AR384" i="11"/>
  <c r="AQ384" i="11"/>
  <c r="AK386" i="11"/>
  <c r="AP385" i="11"/>
  <c r="AN385" i="11"/>
  <c r="AO385" i="11"/>
  <c r="AL385" i="11"/>
  <c r="AM385" i="11"/>
  <c r="D447" i="14"/>
  <c r="AO443" i="12"/>
  <c r="AL443" i="12" s="1"/>
  <c r="AM444" i="12"/>
  <c r="AP443" i="12"/>
  <c r="AQ443" i="12"/>
  <c r="AN443" i="12"/>
  <c r="F449" i="14"/>
  <c r="AT385" i="11" l="1"/>
  <c r="AJ385" i="11"/>
  <c r="AM386" i="11"/>
  <c r="AN386" i="11"/>
  <c r="AL386" i="11"/>
  <c r="AO386" i="11"/>
  <c r="AP386" i="11"/>
  <c r="AK387" i="11"/>
  <c r="AQ385" i="11"/>
  <c r="AR385" i="11"/>
  <c r="F450" i="14"/>
  <c r="AO444" i="12"/>
  <c r="AL444" i="12" s="1"/>
  <c r="AM445" i="12"/>
  <c r="AQ444" i="12"/>
  <c r="AP444" i="12"/>
  <c r="AN444" i="12"/>
  <c r="D448" i="14"/>
  <c r="AT386" i="11" l="1"/>
  <c r="AJ386" i="11"/>
  <c r="AL387" i="11"/>
  <c r="AN387" i="11"/>
  <c r="AP387" i="11"/>
  <c r="AM387" i="11"/>
  <c r="AO387" i="11"/>
  <c r="AK388" i="11"/>
  <c r="AQ386" i="11"/>
  <c r="AR386" i="11"/>
  <c r="D449" i="14"/>
  <c r="F451" i="14"/>
  <c r="AO445" i="12"/>
  <c r="AL445" i="12" s="1"/>
  <c r="AM446" i="12"/>
  <c r="AN445" i="12"/>
  <c r="AQ445" i="12"/>
  <c r="AP445" i="12"/>
  <c r="AT387" i="11" l="1"/>
  <c r="AJ387" i="11"/>
  <c r="AR387" i="11"/>
  <c r="AQ387" i="11"/>
  <c r="AP388" i="11"/>
  <c r="AM388" i="11"/>
  <c r="AN388" i="11"/>
  <c r="AL388" i="11"/>
  <c r="AK389" i="11"/>
  <c r="AO388" i="11"/>
  <c r="AO446" i="12"/>
  <c r="AL446" i="12" s="1"/>
  <c r="AN446" i="12"/>
  <c r="AP446" i="12"/>
  <c r="AM447" i="12"/>
  <c r="AQ446" i="12"/>
  <c r="D450" i="14"/>
  <c r="F452" i="14"/>
  <c r="AT388" i="11" l="1"/>
  <c r="AJ388" i="11"/>
  <c r="AL389" i="11"/>
  <c r="AM389" i="11"/>
  <c r="AP389" i="11"/>
  <c r="AK390" i="11"/>
  <c r="AN389" i="11"/>
  <c r="AO389" i="11"/>
  <c r="AQ388" i="11"/>
  <c r="AR388" i="11"/>
  <c r="F453" i="14"/>
  <c r="D451" i="14"/>
  <c r="AO447" i="12"/>
  <c r="AL447" i="12" s="1"/>
  <c r="AM448" i="12"/>
  <c r="AP447" i="12"/>
  <c r="AQ447" i="12"/>
  <c r="AN447" i="12"/>
  <c r="AT389" i="11" l="1"/>
  <c r="AJ389" i="11"/>
  <c r="AP390" i="11"/>
  <c r="AM390" i="11"/>
  <c r="AN390" i="11"/>
  <c r="AO390" i="11"/>
  <c r="AK391" i="11"/>
  <c r="AL390" i="11"/>
  <c r="AQ389" i="11"/>
  <c r="AR389" i="11"/>
  <c r="AO448" i="12"/>
  <c r="AL448" i="12" s="1"/>
  <c r="AM449" i="12"/>
  <c r="AQ448" i="12"/>
  <c r="AP448" i="12"/>
  <c r="AN448" i="12"/>
  <c r="D452" i="14"/>
  <c r="F454" i="14"/>
  <c r="AT390" i="11" l="1"/>
  <c r="AJ390" i="11"/>
  <c r="AR390" i="11"/>
  <c r="AQ390" i="11"/>
  <c r="AL391" i="11"/>
  <c r="AK392" i="11"/>
  <c r="AN391" i="11"/>
  <c r="AM391" i="11"/>
  <c r="AP391" i="11"/>
  <c r="AO391" i="11"/>
  <c r="F455" i="14"/>
  <c r="D453" i="14"/>
  <c r="AO449" i="12"/>
  <c r="AL449" i="12" s="1"/>
  <c r="AM450" i="12"/>
  <c r="AN449" i="12"/>
  <c r="AQ449" i="12"/>
  <c r="AP449" i="12"/>
  <c r="AT391" i="11" l="1"/>
  <c r="AJ391" i="11"/>
  <c r="AQ391" i="11"/>
  <c r="AR391" i="11"/>
  <c r="AL392" i="11"/>
  <c r="AO392" i="11"/>
  <c r="AM392" i="11"/>
  <c r="AP392" i="11"/>
  <c r="AK393" i="11"/>
  <c r="AN392" i="11"/>
  <c r="AO450" i="12"/>
  <c r="AL450" i="12" s="1"/>
  <c r="AN450" i="12"/>
  <c r="AP450" i="12"/>
  <c r="AM451" i="12"/>
  <c r="AQ450" i="12"/>
  <c r="D454" i="14"/>
  <c r="F456" i="14"/>
  <c r="AT392" i="11" l="1"/>
  <c r="AJ392" i="11"/>
  <c r="AK394" i="11"/>
  <c r="AP393" i="11"/>
  <c r="AL393" i="11"/>
  <c r="AO393" i="11"/>
  <c r="AN393" i="11"/>
  <c r="AM393" i="11"/>
  <c r="AR392" i="11"/>
  <c r="AQ392" i="11"/>
  <c r="F457" i="14"/>
  <c r="D455" i="14"/>
  <c r="AO451" i="12"/>
  <c r="AL451" i="12" s="1"/>
  <c r="AM452" i="12"/>
  <c r="AP451" i="12"/>
  <c r="AQ451" i="12"/>
  <c r="AN451" i="12"/>
  <c r="AT393" i="11" l="1"/>
  <c r="AJ393" i="11"/>
  <c r="AQ393" i="11"/>
  <c r="AR393" i="11"/>
  <c r="AM394" i="11"/>
  <c r="AN394" i="11"/>
  <c r="AO394" i="11"/>
  <c r="AP394" i="11"/>
  <c r="AL394" i="11"/>
  <c r="AK395" i="11"/>
  <c r="D456" i="14"/>
  <c r="F458" i="14"/>
  <c r="AO452" i="12"/>
  <c r="AL452" i="12" s="1"/>
  <c r="AM453" i="12"/>
  <c r="AQ452" i="12"/>
  <c r="AP452" i="12"/>
  <c r="AN452" i="12"/>
  <c r="AT394" i="11" l="1"/>
  <c r="AJ394" i="11"/>
  <c r="AR394" i="11"/>
  <c r="AQ394" i="11"/>
  <c r="AO395" i="11"/>
  <c r="AL395" i="11"/>
  <c r="AP395" i="11"/>
  <c r="AM395" i="11"/>
  <c r="AK396" i="11"/>
  <c r="AN395" i="11"/>
  <c r="AO453" i="12"/>
  <c r="AL453" i="12" s="1"/>
  <c r="AM454" i="12"/>
  <c r="AN453" i="12"/>
  <c r="AP453" i="12"/>
  <c r="AQ453" i="12"/>
  <c r="F459" i="14"/>
  <c r="D457" i="14"/>
  <c r="AT395" i="11" l="1"/>
  <c r="AJ395" i="11"/>
  <c r="AK397" i="11"/>
  <c r="AP396" i="11"/>
  <c r="AN396" i="11"/>
  <c r="AL396" i="11"/>
  <c r="AO396" i="11"/>
  <c r="AM396" i="11"/>
  <c r="AR395" i="11"/>
  <c r="AQ395" i="11"/>
  <c r="D458" i="14"/>
  <c r="F460" i="14"/>
  <c r="AO454" i="12"/>
  <c r="AL454" i="12" s="1"/>
  <c r="AN454" i="12"/>
  <c r="AP454" i="12"/>
  <c r="AM455" i="12"/>
  <c r="AQ454" i="12"/>
  <c r="AT396" i="11" l="1"/>
  <c r="AJ396" i="11"/>
  <c r="AQ396" i="11"/>
  <c r="AR396" i="11"/>
  <c r="AL397" i="11"/>
  <c r="AM397" i="11"/>
  <c r="AO397" i="11"/>
  <c r="AP397" i="11"/>
  <c r="AK398" i="11"/>
  <c r="AN397" i="11"/>
  <c r="AO455" i="12"/>
  <c r="AL455" i="12" s="1"/>
  <c r="AM456" i="12"/>
  <c r="AP455" i="12"/>
  <c r="AQ455" i="12"/>
  <c r="AN455" i="12"/>
  <c r="F461" i="14"/>
  <c r="D459" i="14"/>
  <c r="AT397" i="11" l="1"/>
  <c r="AJ397" i="11"/>
  <c r="AP398" i="11"/>
  <c r="AL398" i="11"/>
  <c r="AK399" i="11"/>
  <c r="AN398" i="11"/>
  <c r="AO398" i="11"/>
  <c r="AM398" i="11"/>
  <c r="AQ397" i="11"/>
  <c r="AR397" i="11"/>
  <c r="D460" i="14"/>
  <c r="F462" i="14"/>
  <c r="AO456" i="12"/>
  <c r="AL456" i="12" s="1"/>
  <c r="AM457" i="12"/>
  <c r="AQ456" i="12"/>
  <c r="AP456" i="12"/>
  <c r="AN456" i="12"/>
  <c r="AT398" i="11" l="1"/>
  <c r="AJ398" i="11"/>
  <c r="AO399" i="11"/>
  <c r="AN399" i="11"/>
  <c r="AP399" i="11"/>
  <c r="AM399" i="11"/>
  <c r="AL399" i="11"/>
  <c r="AK400" i="11"/>
  <c r="AR398" i="11"/>
  <c r="AQ398" i="11"/>
  <c r="F463" i="14"/>
  <c r="D461" i="14"/>
  <c r="AO457" i="12"/>
  <c r="AL457" i="12" s="1"/>
  <c r="AM458" i="12"/>
  <c r="AN457" i="12"/>
  <c r="AQ457" i="12"/>
  <c r="AP457" i="12"/>
  <c r="AT399" i="11" l="1"/>
  <c r="AJ399" i="11"/>
  <c r="AR399" i="11"/>
  <c r="AQ399" i="11"/>
  <c r="AK401" i="11"/>
  <c r="AN400" i="11"/>
  <c r="AL400" i="11"/>
  <c r="AM400" i="11"/>
  <c r="AP400" i="11"/>
  <c r="AO400" i="11"/>
  <c r="AO458" i="12"/>
  <c r="AL458" i="12" s="1"/>
  <c r="AN458" i="12"/>
  <c r="AP458" i="12"/>
  <c r="AM459" i="12"/>
  <c r="AQ458" i="12"/>
  <c r="D462" i="14"/>
  <c r="F464" i="14"/>
  <c r="AT400" i="11" l="1"/>
  <c r="AJ400" i="11"/>
  <c r="AL401" i="11"/>
  <c r="AO401" i="11"/>
  <c r="AN401" i="11"/>
  <c r="AK402" i="11"/>
  <c r="AM401" i="11"/>
  <c r="AP401" i="11"/>
  <c r="AQ400" i="11"/>
  <c r="AR400" i="11"/>
  <c r="D463" i="14"/>
  <c r="F465" i="14"/>
  <c r="AO459" i="12"/>
  <c r="AL459" i="12" s="1"/>
  <c r="AM460" i="12"/>
  <c r="AP459" i="12"/>
  <c r="AQ459" i="12"/>
  <c r="AN459" i="12"/>
  <c r="AT401" i="11" l="1"/>
  <c r="AJ401" i="11"/>
  <c r="AM402" i="11"/>
  <c r="AL402" i="11"/>
  <c r="AO402" i="11"/>
  <c r="AP402" i="11"/>
  <c r="AK403" i="11"/>
  <c r="AN402" i="11"/>
  <c r="AR401" i="11"/>
  <c r="AQ401" i="11"/>
  <c r="D464" i="14"/>
  <c r="F466" i="14"/>
  <c r="AO460" i="12"/>
  <c r="AL460" i="12" s="1"/>
  <c r="AM461" i="12"/>
  <c r="AQ460" i="12"/>
  <c r="AP460" i="12"/>
  <c r="AN460" i="12"/>
  <c r="AT402" i="11" l="1"/>
  <c r="AJ402" i="11"/>
  <c r="AP403" i="11"/>
  <c r="AM403" i="11"/>
  <c r="AN403" i="11"/>
  <c r="AO403" i="11"/>
  <c r="AL403" i="11"/>
  <c r="AK404" i="11"/>
  <c r="AR402" i="11"/>
  <c r="AQ402" i="11"/>
  <c r="AO461" i="12"/>
  <c r="AL461" i="12" s="1"/>
  <c r="AM462" i="12"/>
  <c r="AN461" i="12"/>
  <c r="AP461" i="12"/>
  <c r="AQ461" i="12"/>
  <c r="F467" i="14"/>
  <c r="D465" i="14"/>
  <c r="AT403" i="11" l="1"/>
  <c r="AJ403" i="11"/>
  <c r="AL404" i="11"/>
  <c r="AM404" i="11"/>
  <c r="AK405" i="11"/>
  <c r="AO404" i="11"/>
  <c r="AN404" i="11"/>
  <c r="AP404" i="11"/>
  <c r="AR403" i="11"/>
  <c r="AQ403" i="11"/>
  <c r="D466" i="14"/>
  <c r="F468" i="14"/>
  <c r="AO462" i="12"/>
  <c r="AL462" i="12" s="1"/>
  <c r="AN462" i="12"/>
  <c r="AP462" i="12"/>
  <c r="AM463" i="12"/>
  <c r="AQ462" i="12"/>
  <c r="AT404" i="11" l="1"/>
  <c r="AJ404" i="11"/>
  <c r="AP405" i="11"/>
  <c r="AK406" i="11"/>
  <c r="AO405" i="11"/>
  <c r="AN405" i="11"/>
  <c r="AM405" i="11"/>
  <c r="AL405" i="11"/>
  <c r="AQ404" i="11"/>
  <c r="AR404" i="11"/>
  <c r="F469" i="14"/>
  <c r="AO463" i="12"/>
  <c r="AL463" i="12" s="1"/>
  <c r="AM464" i="12"/>
  <c r="AP463" i="12"/>
  <c r="AQ463" i="12"/>
  <c r="AN463" i="12"/>
  <c r="D467" i="14"/>
  <c r="AT405" i="11" l="1"/>
  <c r="AJ405" i="11"/>
  <c r="AN406" i="11"/>
  <c r="AP406" i="11"/>
  <c r="AM406" i="11"/>
  <c r="AK407" i="11"/>
  <c r="AO406" i="11"/>
  <c r="AL406" i="11"/>
  <c r="AR405" i="11"/>
  <c r="AQ405" i="11"/>
  <c r="D468" i="14"/>
  <c r="AO464" i="12"/>
  <c r="AL464" i="12" s="1"/>
  <c r="AM465" i="12"/>
  <c r="AQ464" i="12"/>
  <c r="AN464" i="12"/>
  <c r="AP464" i="12"/>
  <c r="F470" i="14"/>
  <c r="AT406" i="11" l="1"/>
  <c r="AJ406" i="11"/>
  <c r="AM407" i="11"/>
  <c r="AN407" i="11"/>
  <c r="AK408" i="11"/>
  <c r="AO407" i="11"/>
  <c r="AP407" i="11"/>
  <c r="AL407" i="11"/>
  <c r="AQ406" i="11"/>
  <c r="AR406" i="11"/>
  <c r="F471" i="14"/>
  <c r="AO465" i="12"/>
  <c r="AL465" i="12" s="1"/>
  <c r="AM466" i="12"/>
  <c r="AN465" i="12"/>
  <c r="AQ465" i="12"/>
  <c r="AP465" i="12"/>
  <c r="D469" i="14"/>
  <c r="AT407" i="11" l="1"/>
  <c r="AJ407" i="11"/>
  <c r="AO408" i="11"/>
  <c r="AM408" i="11"/>
  <c r="AL408" i="11"/>
  <c r="AK409" i="11"/>
  <c r="AN408" i="11"/>
  <c r="AP408" i="11"/>
  <c r="AR407" i="11"/>
  <c r="AQ407" i="11"/>
  <c r="D470" i="14"/>
  <c r="AO466" i="12"/>
  <c r="AL466" i="12" s="1"/>
  <c r="AN466" i="12"/>
  <c r="AP466" i="12"/>
  <c r="AM467" i="12"/>
  <c r="AQ466" i="12"/>
  <c r="F472" i="14"/>
  <c r="AT408" i="11" l="1"/>
  <c r="AJ408" i="11"/>
  <c r="AM409" i="11"/>
  <c r="AK410" i="11"/>
  <c r="AO409" i="11"/>
  <c r="AL409" i="11"/>
  <c r="AN409" i="11"/>
  <c r="AP409" i="11"/>
  <c r="AR408" i="11"/>
  <c r="AQ408" i="11"/>
  <c r="F473" i="14"/>
  <c r="D471" i="14"/>
  <c r="AO467" i="12"/>
  <c r="AL467" i="12" s="1"/>
  <c r="AM468" i="12"/>
  <c r="AP467" i="12"/>
  <c r="AQ467" i="12"/>
  <c r="AN467" i="12"/>
  <c r="AT409" i="11" l="1"/>
  <c r="AJ409" i="11"/>
  <c r="AN410" i="11"/>
  <c r="AL410" i="11"/>
  <c r="AK411" i="11"/>
  <c r="AP410" i="11"/>
  <c r="AO410" i="11"/>
  <c r="AM410" i="11"/>
  <c r="AQ409" i="11"/>
  <c r="AR409" i="11"/>
  <c r="D472" i="14"/>
  <c r="AO468" i="12"/>
  <c r="AL468" i="12" s="1"/>
  <c r="AM469" i="12"/>
  <c r="AQ468" i="12"/>
  <c r="AP468" i="12"/>
  <c r="AN468" i="12"/>
  <c r="F474" i="14"/>
  <c r="AT410" i="11" l="1"/>
  <c r="AJ410" i="11"/>
  <c r="AO411" i="11"/>
  <c r="AN411" i="11"/>
  <c r="AL411" i="11"/>
  <c r="AK412" i="11"/>
  <c r="AP411" i="11"/>
  <c r="AM411" i="11"/>
  <c r="AQ410" i="11"/>
  <c r="AR410" i="11"/>
  <c r="AO469" i="12"/>
  <c r="AL469" i="12" s="1"/>
  <c r="AM470" i="12"/>
  <c r="AN469" i="12"/>
  <c r="AQ469" i="12"/>
  <c r="AP469" i="12"/>
  <c r="F475" i="14"/>
  <c r="D473" i="14"/>
  <c r="AT411" i="11" l="1"/>
  <c r="AJ411" i="11"/>
  <c r="AM412" i="11"/>
  <c r="AN412" i="11"/>
  <c r="AP412" i="11"/>
  <c r="AK413" i="11"/>
  <c r="AL412" i="11"/>
  <c r="AO412" i="11"/>
  <c r="AQ411" i="11"/>
  <c r="AR411" i="11"/>
  <c r="D474" i="14"/>
  <c r="F476" i="14"/>
  <c r="AO470" i="12"/>
  <c r="AL470" i="12" s="1"/>
  <c r="AN470" i="12"/>
  <c r="AP470" i="12"/>
  <c r="AM471" i="12"/>
  <c r="AQ470" i="12"/>
  <c r="AT412" i="11" l="1"/>
  <c r="AJ412" i="11"/>
  <c r="AN413" i="11"/>
  <c r="AL413" i="11"/>
  <c r="AK414" i="11"/>
  <c r="AM413" i="11"/>
  <c r="AP413" i="11"/>
  <c r="AO413" i="11"/>
  <c r="AQ412" i="11"/>
  <c r="AR412" i="11"/>
  <c r="AO471" i="12"/>
  <c r="AL471" i="12" s="1"/>
  <c r="AM472" i="12"/>
  <c r="AP471" i="12"/>
  <c r="AQ471" i="12"/>
  <c r="AN471" i="12"/>
  <c r="F477" i="14"/>
  <c r="D475" i="14"/>
  <c r="AT413" i="11" l="1"/>
  <c r="AJ413" i="11"/>
  <c r="AQ413" i="11"/>
  <c r="AR413" i="11"/>
  <c r="AL414" i="11"/>
  <c r="AN414" i="11"/>
  <c r="AO414" i="11"/>
  <c r="AM414" i="11"/>
  <c r="AK415" i="11"/>
  <c r="AP414" i="11"/>
  <c r="D476" i="14"/>
  <c r="F478" i="14"/>
  <c r="AO472" i="12"/>
  <c r="AL472" i="12" s="1"/>
  <c r="AM473" i="12"/>
  <c r="AQ472" i="12"/>
  <c r="AN472" i="12"/>
  <c r="AP472" i="12"/>
  <c r="AT414" i="11" l="1"/>
  <c r="AJ414" i="11"/>
  <c r="AO415" i="11"/>
  <c r="AP415" i="11"/>
  <c r="AM415" i="11"/>
  <c r="AK416" i="11"/>
  <c r="AN415" i="11"/>
  <c r="AL415" i="11"/>
  <c r="AQ414" i="11"/>
  <c r="AR414" i="11"/>
  <c r="F479" i="14"/>
  <c r="D477" i="14"/>
  <c r="AO473" i="12"/>
  <c r="AL473" i="12" s="1"/>
  <c r="AM474" i="12"/>
  <c r="AN473" i="12"/>
  <c r="AQ473" i="12"/>
  <c r="AP473" i="12"/>
  <c r="AT415" i="11" l="1"/>
  <c r="AJ415" i="11"/>
  <c r="AN416" i="11"/>
  <c r="AK417" i="11"/>
  <c r="AM416" i="11"/>
  <c r="AP416" i="11"/>
  <c r="AO416" i="11"/>
  <c r="AL416" i="11"/>
  <c r="AQ415" i="11"/>
  <c r="AR415" i="11"/>
  <c r="AO474" i="12"/>
  <c r="AL474" i="12" s="1"/>
  <c r="AN474" i="12"/>
  <c r="AP474" i="12"/>
  <c r="AM475" i="12"/>
  <c r="AQ474" i="12"/>
  <c r="D478" i="14"/>
  <c r="F480" i="14"/>
  <c r="AT416" i="11" l="1"/>
  <c r="AJ416" i="11"/>
  <c r="AR416" i="11"/>
  <c r="AQ416" i="11"/>
  <c r="AL417" i="11"/>
  <c r="AP417" i="11"/>
  <c r="AK418" i="11"/>
  <c r="AN417" i="11"/>
  <c r="AO417" i="11"/>
  <c r="AM417" i="11"/>
  <c r="D479" i="14"/>
  <c r="F481" i="14"/>
  <c r="AO475" i="12"/>
  <c r="AL475" i="12" s="1"/>
  <c r="AM476" i="12"/>
  <c r="AP475" i="12"/>
  <c r="AQ475" i="12"/>
  <c r="AN475" i="12"/>
  <c r="AT417" i="11" l="1"/>
  <c r="AJ417" i="11"/>
  <c r="AN418" i="11"/>
  <c r="AP418" i="11"/>
  <c r="AM418" i="11"/>
  <c r="AL418" i="11"/>
  <c r="AK419" i="11"/>
  <c r="AO418" i="11"/>
  <c r="AQ417" i="11"/>
  <c r="AR417" i="11"/>
  <c r="D480" i="14"/>
  <c r="F482" i="14"/>
  <c r="AO476" i="12"/>
  <c r="AL476" i="12" s="1"/>
  <c r="AM477" i="12"/>
  <c r="AQ476" i="12"/>
  <c r="AP476" i="12"/>
  <c r="AN476" i="12"/>
  <c r="AT418" i="11" l="1"/>
  <c r="AJ418" i="11"/>
  <c r="AQ418" i="11"/>
  <c r="AR418" i="11"/>
  <c r="AK420" i="11"/>
  <c r="AN419" i="11"/>
  <c r="AM419" i="11"/>
  <c r="AP419" i="11"/>
  <c r="AL419" i="11"/>
  <c r="AO419" i="11"/>
  <c r="AO477" i="12"/>
  <c r="AL477" i="12" s="1"/>
  <c r="AM478" i="12"/>
  <c r="AN477" i="12"/>
  <c r="AQ477" i="12"/>
  <c r="AP477" i="12"/>
  <c r="F483" i="14"/>
  <c r="D481" i="14"/>
  <c r="AT419" i="11" l="1"/>
  <c r="AJ419" i="11"/>
  <c r="AP420" i="11"/>
  <c r="AO420" i="11"/>
  <c r="AL420" i="11"/>
  <c r="AN420" i="11"/>
  <c r="AM420" i="11"/>
  <c r="AK421" i="11"/>
  <c r="AQ419" i="11"/>
  <c r="AR419" i="11"/>
  <c r="D482" i="14"/>
  <c r="F484" i="14"/>
  <c r="AO478" i="12"/>
  <c r="AL478" i="12" s="1"/>
  <c r="AN478" i="12"/>
  <c r="AP478" i="12"/>
  <c r="AM479" i="12"/>
  <c r="AQ478" i="12"/>
  <c r="AT420" i="11" l="1"/>
  <c r="AJ420" i="11"/>
  <c r="AK422" i="11"/>
  <c r="AM421" i="11"/>
  <c r="AN421" i="11"/>
  <c r="AP421" i="11"/>
  <c r="AO421" i="11"/>
  <c r="AL421" i="11"/>
  <c r="AQ420" i="11"/>
  <c r="AR420" i="11"/>
  <c r="AO479" i="12"/>
  <c r="AL479" i="12" s="1"/>
  <c r="AM480" i="12"/>
  <c r="AP479" i="12"/>
  <c r="AQ479" i="12"/>
  <c r="AN479" i="12"/>
  <c r="F485" i="14"/>
  <c r="D483" i="14"/>
  <c r="AT421" i="11" l="1"/>
  <c r="AJ421" i="11"/>
  <c r="AR421" i="11"/>
  <c r="AQ421" i="11"/>
  <c r="AO422" i="11"/>
  <c r="AL422" i="11"/>
  <c r="AK423" i="11"/>
  <c r="AP422" i="11"/>
  <c r="AM422" i="11"/>
  <c r="AN422" i="11"/>
  <c r="D484" i="14"/>
  <c r="F486" i="14"/>
  <c r="AO480" i="12"/>
  <c r="AL480" i="12" s="1"/>
  <c r="AM481" i="12"/>
  <c r="AQ480" i="12"/>
  <c r="AN480" i="12"/>
  <c r="AP480" i="12"/>
  <c r="AT422" i="11" l="1"/>
  <c r="AJ422" i="11"/>
  <c r="AR422" i="11"/>
  <c r="AQ422" i="11"/>
  <c r="AK424" i="11"/>
  <c r="AL423" i="11"/>
  <c r="AP423" i="11"/>
  <c r="AO423" i="11"/>
  <c r="AM423" i="11"/>
  <c r="AN423" i="11"/>
  <c r="F487" i="14"/>
  <c r="D485" i="14"/>
  <c r="AO481" i="12"/>
  <c r="AL481" i="12" s="1"/>
  <c r="AM482" i="12"/>
  <c r="AN481" i="12"/>
  <c r="AQ481" i="12"/>
  <c r="AP481" i="12"/>
  <c r="AT423" i="11" l="1"/>
  <c r="AJ423" i="11"/>
  <c r="AP424" i="11"/>
  <c r="AM424" i="11"/>
  <c r="AL424" i="11"/>
  <c r="AN424" i="11"/>
  <c r="AO424" i="11"/>
  <c r="AK425" i="11"/>
  <c r="AQ423" i="11"/>
  <c r="AR423" i="11"/>
  <c r="AO482" i="12"/>
  <c r="AL482" i="12" s="1"/>
  <c r="AN482" i="12"/>
  <c r="AP482" i="12"/>
  <c r="AM483" i="12"/>
  <c r="AQ482" i="12"/>
  <c r="D486" i="14"/>
  <c r="F488" i="14"/>
  <c r="AT424" i="11" l="1"/>
  <c r="AJ424" i="11"/>
  <c r="AL425" i="11"/>
  <c r="AN425" i="11"/>
  <c r="AK426" i="11"/>
  <c r="AO425" i="11"/>
  <c r="AM425" i="11"/>
  <c r="AP425" i="11"/>
  <c r="AQ424" i="11"/>
  <c r="AR424" i="11"/>
  <c r="F489" i="14"/>
  <c r="D487" i="14"/>
  <c r="AO483" i="12"/>
  <c r="AL483" i="12" s="1"/>
  <c r="AM484" i="12"/>
  <c r="AP483" i="12"/>
  <c r="AQ483" i="12"/>
  <c r="AN483" i="12"/>
  <c r="AT425" i="11" l="1"/>
  <c r="AJ425" i="11"/>
  <c r="AM426" i="11"/>
  <c r="AP426" i="11"/>
  <c r="AL426" i="11"/>
  <c r="AK427" i="11"/>
  <c r="AO426" i="11"/>
  <c r="AN426" i="11"/>
  <c r="AR425" i="11"/>
  <c r="AQ425" i="11"/>
  <c r="D488" i="14"/>
  <c r="F490" i="14"/>
  <c r="AO484" i="12"/>
  <c r="AL484" i="12" s="1"/>
  <c r="AM485" i="12"/>
  <c r="AQ484" i="12"/>
  <c r="AP484" i="12"/>
  <c r="AN484" i="12"/>
  <c r="AT426" i="11" l="1"/>
  <c r="AJ426" i="11"/>
  <c r="AM427" i="11"/>
  <c r="AK428" i="11"/>
  <c r="AN427" i="11"/>
  <c r="AL427" i="11"/>
  <c r="AO427" i="11"/>
  <c r="AP427" i="11"/>
  <c r="AQ426" i="11"/>
  <c r="AR426" i="11"/>
  <c r="AO485" i="12"/>
  <c r="AL485" i="12" s="1"/>
  <c r="AM486" i="12"/>
  <c r="AN485" i="12"/>
  <c r="AP485" i="12"/>
  <c r="AQ485" i="12"/>
  <c r="F491" i="14"/>
  <c r="D489" i="14"/>
  <c r="AT427" i="11" l="1"/>
  <c r="AJ427" i="11"/>
  <c r="AO428" i="11"/>
  <c r="AM428" i="11"/>
  <c r="AK429" i="11"/>
  <c r="AP428" i="11"/>
  <c r="AL428" i="11"/>
  <c r="AN428" i="11"/>
  <c r="AR427" i="11"/>
  <c r="AQ427" i="11"/>
  <c r="D490" i="14"/>
  <c r="F492" i="14"/>
  <c r="AO486" i="12"/>
  <c r="AL486" i="12" s="1"/>
  <c r="AN486" i="12"/>
  <c r="AP486" i="12"/>
  <c r="AM487" i="12"/>
  <c r="AQ486" i="12"/>
  <c r="AT428" i="11" l="1"/>
  <c r="AJ428" i="11"/>
  <c r="AL429" i="11"/>
  <c r="AP429" i="11"/>
  <c r="AN429" i="11"/>
  <c r="AO429" i="11"/>
  <c r="AM429" i="11"/>
  <c r="AK430" i="11"/>
  <c r="AQ428" i="11"/>
  <c r="AR428" i="11"/>
  <c r="AO487" i="12"/>
  <c r="AL487" i="12" s="1"/>
  <c r="AM488" i="12"/>
  <c r="AP487" i="12"/>
  <c r="AQ487" i="12"/>
  <c r="AN487" i="12"/>
  <c r="F493" i="14"/>
  <c r="D491" i="14"/>
  <c r="AT429" i="11" l="1"/>
  <c r="AJ429" i="11"/>
  <c r="AP430" i="11"/>
  <c r="AL430" i="11"/>
  <c r="AM430" i="11"/>
  <c r="AO430" i="11"/>
  <c r="AN430" i="11"/>
  <c r="AK431" i="11"/>
  <c r="AQ429" i="11"/>
  <c r="AR429" i="11"/>
  <c r="D492" i="14"/>
  <c r="F494" i="14"/>
  <c r="AO488" i="12"/>
  <c r="AL488" i="12" s="1"/>
  <c r="AM489" i="12"/>
  <c r="AQ488" i="12"/>
  <c r="AP488" i="12"/>
  <c r="AN488" i="12"/>
  <c r="AT430" i="11" l="1"/>
  <c r="AJ430" i="11"/>
  <c r="AQ430" i="11"/>
  <c r="AR430" i="11"/>
  <c r="AN431" i="11"/>
  <c r="AM431" i="11"/>
  <c r="AP431" i="11"/>
  <c r="AO431" i="11"/>
  <c r="AL431" i="11"/>
  <c r="AK432" i="11"/>
  <c r="AO489" i="12"/>
  <c r="AL489" i="12" s="1"/>
  <c r="AM490" i="12"/>
  <c r="AN489" i="12"/>
  <c r="AQ489" i="12"/>
  <c r="AP489" i="12"/>
  <c r="F495" i="14"/>
  <c r="D493" i="14"/>
  <c r="AT431" i="11" l="1"/>
  <c r="AJ431" i="11"/>
  <c r="AP432" i="11"/>
  <c r="AL432" i="11"/>
  <c r="AO432" i="11"/>
  <c r="AN432" i="11"/>
  <c r="AK433" i="11"/>
  <c r="AM432" i="11"/>
  <c r="AQ431" i="11"/>
  <c r="AR431" i="11"/>
  <c r="D494" i="14"/>
  <c r="F496" i="14"/>
  <c r="AO490" i="12"/>
  <c r="AL490" i="12" s="1"/>
  <c r="AN490" i="12"/>
  <c r="AP490" i="12"/>
  <c r="AM491" i="12"/>
  <c r="AQ490" i="12"/>
  <c r="AT432" i="11" l="1"/>
  <c r="AJ432" i="11"/>
  <c r="AQ432" i="11"/>
  <c r="AR432" i="11"/>
  <c r="AO433" i="11"/>
  <c r="AN433" i="11"/>
  <c r="AK434" i="11"/>
  <c r="AL433" i="11"/>
  <c r="AM433" i="11"/>
  <c r="AP433" i="11"/>
  <c r="D495" i="14"/>
  <c r="AO491" i="12"/>
  <c r="AL491" i="12" s="1"/>
  <c r="AM492" i="12"/>
  <c r="AP491" i="12"/>
  <c r="AQ491" i="12"/>
  <c r="AN491" i="12"/>
  <c r="F497" i="14"/>
  <c r="AT433" i="11" l="1"/>
  <c r="AJ433" i="11"/>
  <c r="AR433" i="11"/>
  <c r="AQ433" i="11"/>
  <c r="AK435" i="11"/>
  <c r="AN434" i="11"/>
  <c r="AP434" i="11"/>
  <c r="AO434" i="11"/>
  <c r="AM434" i="11"/>
  <c r="AL434" i="11"/>
  <c r="F498" i="14"/>
  <c r="AO492" i="12"/>
  <c r="AL492" i="12" s="1"/>
  <c r="AM493" i="12"/>
  <c r="AQ492" i="12"/>
  <c r="AP492" i="12"/>
  <c r="AN492" i="12"/>
  <c r="D496" i="14"/>
  <c r="AT434" i="11" l="1"/>
  <c r="AJ434" i="11"/>
  <c r="AP435" i="11"/>
  <c r="AL435" i="11"/>
  <c r="AM435" i="11"/>
  <c r="AO435" i="11"/>
  <c r="AK436" i="11"/>
  <c r="AN435" i="11"/>
  <c r="AR434" i="11"/>
  <c r="AQ434" i="11"/>
  <c r="D497" i="14"/>
  <c r="F499" i="14"/>
  <c r="AO493" i="12"/>
  <c r="AL493" i="12" s="1"/>
  <c r="AM494" i="12"/>
  <c r="AN493" i="12"/>
  <c r="AP493" i="12"/>
  <c r="AQ493" i="12"/>
  <c r="AT435" i="11" l="1"/>
  <c r="AJ435" i="11"/>
  <c r="AR435" i="11"/>
  <c r="AQ435" i="11"/>
  <c r="AK437" i="11"/>
  <c r="AL436" i="11"/>
  <c r="AM436" i="11"/>
  <c r="AP436" i="11"/>
  <c r="AO436" i="11"/>
  <c r="AN436" i="11"/>
  <c r="AO494" i="12"/>
  <c r="AL494" i="12" s="1"/>
  <c r="AN494" i="12"/>
  <c r="AP494" i="12"/>
  <c r="AM495" i="12"/>
  <c r="AQ494" i="12"/>
  <c r="D498" i="14"/>
  <c r="F500" i="14"/>
  <c r="AT436" i="11" l="1"/>
  <c r="AJ436" i="11"/>
  <c r="AL437" i="11"/>
  <c r="AN437" i="11"/>
  <c r="AP437" i="11"/>
  <c r="AO437" i="11"/>
  <c r="AM437" i="11"/>
  <c r="AK438" i="11"/>
  <c r="AR436" i="11"/>
  <c r="AQ436" i="11"/>
  <c r="F501" i="14"/>
  <c r="D499" i="14"/>
  <c r="AO495" i="12"/>
  <c r="AL495" i="12" s="1"/>
  <c r="AM496" i="12"/>
  <c r="AP495" i="12"/>
  <c r="AQ495" i="12"/>
  <c r="AN495" i="12"/>
  <c r="AT437" i="11" l="1"/>
  <c r="AJ437" i="11"/>
  <c r="AK439" i="11"/>
  <c r="AP438" i="11"/>
  <c r="AO438" i="11"/>
  <c r="AL438" i="11"/>
  <c r="AN438" i="11"/>
  <c r="AM438" i="11"/>
  <c r="AQ437" i="11"/>
  <c r="AR437" i="11"/>
  <c r="AO496" i="12"/>
  <c r="AL496" i="12" s="1"/>
  <c r="AM497" i="12"/>
  <c r="AQ496" i="12"/>
  <c r="AN496" i="12"/>
  <c r="AP496" i="12"/>
  <c r="D500" i="14"/>
  <c r="F502" i="14"/>
  <c r="AT438" i="11" l="1"/>
  <c r="AJ438" i="11"/>
  <c r="AQ438" i="11"/>
  <c r="AR438" i="11"/>
  <c r="AL439" i="11"/>
  <c r="AK440" i="11"/>
  <c r="AP439" i="11"/>
  <c r="AM439" i="11"/>
  <c r="AN439" i="11"/>
  <c r="AO439" i="11"/>
  <c r="F503" i="14"/>
  <c r="D501" i="14"/>
  <c r="AO497" i="12"/>
  <c r="AL497" i="12" s="1"/>
  <c r="AM498" i="12"/>
  <c r="AN497" i="12"/>
  <c r="AQ497" i="12"/>
  <c r="AP497" i="12"/>
  <c r="AT439" i="11" l="1"/>
  <c r="AJ439" i="11"/>
  <c r="AQ439" i="11"/>
  <c r="AR439" i="11"/>
  <c r="AO440" i="11"/>
  <c r="AM440" i="11"/>
  <c r="AP440" i="11"/>
  <c r="AL440" i="11"/>
  <c r="AN440" i="11"/>
  <c r="AK441" i="11"/>
  <c r="AO498" i="12"/>
  <c r="AL498" i="12" s="1"/>
  <c r="AN498" i="12"/>
  <c r="AP498" i="12"/>
  <c r="AM499" i="12"/>
  <c r="AQ498" i="12"/>
  <c r="D502" i="14"/>
  <c r="F504" i="14"/>
  <c r="AT440" i="11" l="1"/>
  <c r="AJ440" i="11"/>
  <c r="AK442" i="11"/>
  <c r="AM441" i="11"/>
  <c r="AO441" i="11"/>
  <c r="AP441" i="11"/>
  <c r="AL441" i="11"/>
  <c r="AN441" i="11"/>
  <c r="AQ440" i="11"/>
  <c r="AR440" i="11"/>
  <c r="F505" i="14"/>
  <c r="D503" i="14"/>
  <c r="AO499" i="12"/>
  <c r="AL499" i="12" s="1"/>
  <c r="AM500" i="12"/>
  <c r="AP499" i="12"/>
  <c r="AQ499" i="12"/>
  <c r="AN499" i="12"/>
  <c r="AT441" i="11" l="1"/>
  <c r="AJ441" i="11"/>
  <c r="AQ441" i="11"/>
  <c r="AR441" i="11"/>
  <c r="AL442" i="11"/>
  <c r="AP442" i="11"/>
  <c r="AO442" i="11"/>
  <c r="AN442" i="11"/>
  <c r="AM442" i="11"/>
  <c r="AK443" i="11"/>
  <c r="D504" i="14"/>
  <c r="F506" i="14"/>
  <c r="AO500" i="12"/>
  <c r="AL500" i="12" s="1"/>
  <c r="AM501" i="12"/>
  <c r="AQ500" i="12"/>
  <c r="AP500" i="12"/>
  <c r="AN500" i="12"/>
  <c r="AT442" i="11" l="1"/>
  <c r="AJ442" i="11"/>
  <c r="AR442" i="11"/>
  <c r="AQ442" i="11"/>
  <c r="AK444" i="11"/>
  <c r="AO443" i="11"/>
  <c r="AP443" i="11"/>
  <c r="AM443" i="11"/>
  <c r="AN443" i="11"/>
  <c r="AL443" i="11"/>
  <c r="AO501" i="12"/>
  <c r="AL501" i="12" s="1"/>
  <c r="AM502" i="12"/>
  <c r="AN501" i="12"/>
  <c r="AQ501" i="12"/>
  <c r="AP501" i="12"/>
  <c r="F507" i="14"/>
  <c r="D505" i="14"/>
  <c r="AT443" i="11" l="1"/>
  <c r="AJ443" i="11"/>
  <c r="AO444" i="11"/>
  <c r="AM444" i="11"/>
  <c r="AP444" i="11"/>
  <c r="AL444" i="11"/>
  <c r="AN444" i="11"/>
  <c r="AK445" i="11"/>
  <c r="AR443" i="11"/>
  <c r="AQ443" i="11"/>
  <c r="D506" i="14"/>
  <c r="F508" i="14"/>
  <c r="AO502" i="12"/>
  <c r="AL502" i="12" s="1"/>
  <c r="AN502" i="12"/>
  <c r="AP502" i="12"/>
  <c r="AM503" i="12"/>
  <c r="AQ502" i="12"/>
  <c r="AT444" i="11" l="1"/>
  <c r="AJ444" i="11"/>
  <c r="AP445" i="11"/>
  <c r="AN445" i="11"/>
  <c r="AO445" i="11"/>
  <c r="AK446" i="11"/>
  <c r="AM445" i="11"/>
  <c r="AL445" i="11"/>
  <c r="AR444" i="11"/>
  <c r="AQ444" i="11"/>
  <c r="AO503" i="12"/>
  <c r="AL503" i="12" s="1"/>
  <c r="AM504" i="12"/>
  <c r="AP503" i="12"/>
  <c r="AQ503" i="12"/>
  <c r="AN503" i="12"/>
  <c r="F509" i="14"/>
  <c r="D507" i="14"/>
  <c r="AT445" i="11" l="1"/>
  <c r="AJ445" i="11"/>
  <c r="AN446" i="11"/>
  <c r="AL446" i="11"/>
  <c r="AK447" i="11"/>
  <c r="AM446" i="11"/>
  <c r="AO446" i="11"/>
  <c r="AP446" i="11"/>
  <c r="AQ445" i="11"/>
  <c r="AR445" i="11"/>
  <c r="D508" i="14"/>
  <c r="F510" i="14"/>
  <c r="AO504" i="12"/>
  <c r="AL504" i="12" s="1"/>
  <c r="AM505" i="12"/>
  <c r="AQ504" i="12"/>
  <c r="AN504" i="12"/>
  <c r="AP504" i="12"/>
  <c r="AT446" i="11" l="1"/>
  <c r="AJ446" i="11"/>
  <c r="AR446" i="11"/>
  <c r="AQ446" i="11"/>
  <c r="AO447" i="11"/>
  <c r="AK448" i="11"/>
  <c r="AP447" i="11"/>
  <c r="AL447" i="11"/>
  <c r="AN447" i="11"/>
  <c r="AM447" i="11"/>
  <c r="F511" i="14"/>
  <c r="D509" i="14"/>
  <c r="AO505" i="12"/>
  <c r="AL505" i="12" s="1"/>
  <c r="AM506" i="12"/>
  <c r="AN505" i="12"/>
  <c r="AQ505" i="12"/>
  <c r="AP505" i="12"/>
  <c r="AT447" i="11" l="1"/>
  <c r="AJ447" i="11"/>
  <c r="AQ447" i="11"/>
  <c r="AR447" i="11"/>
  <c r="AK449" i="11"/>
  <c r="AP448" i="11"/>
  <c r="AL448" i="11"/>
  <c r="AN448" i="11"/>
  <c r="AO448" i="11"/>
  <c r="AM448" i="11"/>
  <c r="AO506" i="12"/>
  <c r="AL506" i="12" s="1"/>
  <c r="AN506" i="12"/>
  <c r="AP506" i="12"/>
  <c r="AQ506" i="12"/>
  <c r="AM507" i="12"/>
  <c r="D510" i="14"/>
  <c r="F512" i="14"/>
  <c r="AT448" i="11" l="1"/>
  <c r="AJ448" i="11"/>
  <c r="AN449" i="11"/>
  <c r="AO449" i="11"/>
  <c r="AK450" i="11"/>
  <c r="AL449" i="11"/>
  <c r="AP449" i="11"/>
  <c r="AM449" i="11"/>
  <c r="AQ448" i="11"/>
  <c r="AR448" i="11"/>
  <c r="F513" i="14"/>
  <c r="D511" i="14"/>
  <c r="AO507" i="12"/>
  <c r="AL507" i="12" s="1"/>
  <c r="AM508" i="12"/>
  <c r="AP507" i="12"/>
  <c r="AQ507" i="12"/>
  <c r="AN507" i="12"/>
  <c r="AT449" i="11" l="1"/>
  <c r="AJ449" i="11"/>
  <c r="AN450" i="11"/>
  <c r="AO450" i="11"/>
  <c r="AK451" i="11"/>
  <c r="AL450" i="11"/>
  <c r="AP450" i="11"/>
  <c r="AM450" i="11"/>
  <c r="AQ449" i="11"/>
  <c r="AR449" i="11"/>
  <c r="AO508" i="12"/>
  <c r="AL508" i="12" s="1"/>
  <c r="AM509" i="12"/>
  <c r="AQ508" i="12"/>
  <c r="AP508" i="12"/>
  <c r="AN508" i="12"/>
  <c r="D512" i="14"/>
  <c r="F514" i="14"/>
  <c r="AT450" i="11" l="1"/>
  <c r="AJ450" i="11"/>
  <c r="AM451" i="11"/>
  <c r="AK452" i="11"/>
  <c r="AO451" i="11"/>
  <c r="AN451" i="11"/>
  <c r="AL451" i="11"/>
  <c r="AP451" i="11"/>
  <c r="AR450" i="11"/>
  <c r="AQ450" i="11"/>
  <c r="F515" i="14"/>
  <c r="D513" i="14"/>
  <c r="AO509" i="12"/>
  <c r="AL509" i="12" s="1"/>
  <c r="AM510" i="12"/>
  <c r="AN509" i="12"/>
  <c r="AQ509" i="12"/>
  <c r="AP509" i="12"/>
  <c r="AT451" i="11" l="1"/>
  <c r="AJ451" i="11"/>
  <c r="AM452" i="11"/>
  <c r="AL452" i="11"/>
  <c r="AO452" i="11"/>
  <c r="AN452" i="11"/>
  <c r="AK453" i="11"/>
  <c r="AP452" i="11"/>
  <c r="AQ451" i="11"/>
  <c r="AR451" i="11"/>
  <c r="AO510" i="12"/>
  <c r="AL510" i="12" s="1"/>
  <c r="AN510" i="12"/>
  <c r="AP510" i="12"/>
  <c r="AM511" i="12"/>
  <c r="AQ510" i="12"/>
  <c r="D514" i="14"/>
  <c r="F516" i="14"/>
  <c r="AT452" i="11" l="1"/>
  <c r="AJ452" i="11"/>
  <c r="AM453" i="11"/>
  <c r="AO453" i="11"/>
  <c r="AL453" i="11"/>
  <c r="AK454" i="11"/>
  <c r="AN453" i="11"/>
  <c r="AP453" i="11"/>
  <c r="AR452" i="11"/>
  <c r="AQ452" i="11"/>
  <c r="F517" i="14"/>
  <c r="D515" i="14"/>
  <c r="AO511" i="12"/>
  <c r="AL511" i="12" s="1"/>
  <c r="AM512" i="12"/>
  <c r="AP511" i="12"/>
  <c r="AQ511" i="12"/>
  <c r="AN511" i="12"/>
  <c r="AT453" i="11" l="1"/>
  <c r="AJ453" i="11"/>
  <c r="AL454" i="11"/>
  <c r="AO454" i="11"/>
  <c r="AN454" i="11"/>
  <c r="AM454" i="11"/>
  <c r="AK455" i="11"/>
  <c r="AP454" i="11"/>
  <c r="AQ453" i="11"/>
  <c r="AR453" i="11"/>
  <c r="AO512" i="12"/>
  <c r="AL512" i="12" s="1"/>
  <c r="AM513" i="12"/>
  <c r="AQ512" i="12"/>
  <c r="AN512" i="12"/>
  <c r="AP512" i="12"/>
  <c r="D516" i="14"/>
  <c r="F518" i="14"/>
  <c r="AT454" i="11" l="1"/>
  <c r="AJ454" i="11"/>
  <c r="AQ454" i="11"/>
  <c r="AR454" i="11"/>
  <c r="AL455" i="11"/>
  <c r="AM455" i="11"/>
  <c r="AP455" i="11"/>
  <c r="AO455" i="11"/>
  <c r="AK456" i="11"/>
  <c r="AN455" i="11"/>
  <c r="F519" i="14"/>
  <c r="D517" i="14"/>
  <c r="AO513" i="12"/>
  <c r="AL513" i="12" s="1"/>
  <c r="AM514" i="12"/>
  <c r="AN513" i="12"/>
  <c r="AQ513" i="12"/>
  <c r="AP513" i="12"/>
  <c r="AT455" i="11" l="1"/>
  <c r="AJ455" i="11"/>
  <c r="AM456" i="11"/>
  <c r="AK457" i="11"/>
  <c r="AL456" i="11"/>
  <c r="AP456" i="11"/>
  <c r="AO456" i="11"/>
  <c r="AN456" i="11"/>
  <c r="AQ455" i="11"/>
  <c r="AR455" i="11"/>
  <c r="AO514" i="12"/>
  <c r="AL514" i="12" s="1"/>
  <c r="AN514" i="12"/>
  <c r="AP514" i="12"/>
  <c r="AM515" i="12"/>
  <c r="AQ514" i="12"/>
  <c r="D518" i="14"/>
  <c r="F520" i="14"/>
  <c r="AT456" i="11" l="1"/>
  <c r="AJ456" i="11"/>
  <c r="AN457" i="11"/>
  <c r="AL457" i="11"/>
  <c r="AK458" i="11"/>
  <c r="AO457" i="11"/>
  <c r="AM457" i="11"/>
  <c r="AP457" i="11"/>
  <c r="AQ456" i="11"/>
  <c r="AR456" i="11"/>
  <c r="F521" i="14"/>
  <c r="D519" i="14"/>
  <c r="AO515" i="12"/>
  <c r="AL515" i="12" s="1"/>
  <c r="AM516" i="12"/>
  <c r="AP515" i="12"/>
  <c r="AQ515" i="12"/>
  <c r="AN515" i="12"/>
  <c r="AT457" i="11" l="1"/>
  <c r="AJ457" i="11"/>
  <c r="AL458" i="11"/>
  <c r="AK459" i="11"/>
  <c r="AP458" i="11"/>
  <c r="AN458" i="11"/>
  <c r="AM458" i="11"/>
  <c r="AO458" i="11"/>
  <c r="AQ457" i="11"/>
  <c r="AR457" i="11"/>
  <c r="D520" i="14"/>
  <c r="F522" i="14"/>
  <c r="AO516" i="12"/>
  <c r="AL516" i="12" s="1"/>
  <c r="AM517" i="12"/>
  <c r="AQ516" i="12"/>
  <c r="AP516" i="12"/>
  <c r="AN516" i="12"/>
  <c r="AT458" i="11" l="1"/>
  <c r="AJ458" i="11"/>
  <c r="AP459" i="11"/>
  <c r="AN459" i="11"/>
  <c r="AL459" i="11"/>
  <c r="AM459" i="11"/>
  <c r="AO459" i="11"/>
  <c r="AK460" i="11"/>
  <c r="AQ458" i="11"/>
  <c r="AR458" i="11"/>
  <c r="AO517" i="12"/>
  <c r="AL517" i="12" s="1"/>
  <c r="AM518" i="12"/>
  <c r="AN517" i="12"/>
  <c r="AP517" i="12"/>
  <c r="AQ517" i="12"/>
  <c r="F523" i="14"/>
  <c r="D521" i="14"/>
  <c r="AT459" i="11" l="1"/>
  <c r="AJ459" i="11"/>
  <c r="AR459" i="11"/>
  <c r="AQ459" i="11"/>
  <c r="AO460" i="11"/>
  <c r="AN460" i="11"/>
  <c r="AP460" i="11"/>
  <c r="AM460" i="11"/>
  <c r="AL460" i="11"/>
  <c r="AK461" i="11"/>
  <c r="D522" i="14"/>
  <c r="F524" i="14"/>
  <c r="AO518" i="12"/>
  <c r="AL518" i="12" s="1"/>
  <c r="AN518" i="12"/>
  <c r="AP518" i="12"/>
  <c r="AM519" i="12"/>
  <c r="AQ518" i="12"/>
  <c r="AT460" i="11" l="1"/>
  <c r="AJ460" i="11"/>
  <c r="AR460" i="11"/>
  <c r="AQ460" i="11"/>
  <c r="AN461" i="11"/>
  <c r="AM461" i="11"/>
  <c r="AL461" i="11"/>
  <c r="AP461" i="11"/>
  <c r="AO461" i="11"/>
  <c r="AK462" i="11"/>
  <c r="AO519" i="12"/>
  <c r="AL519" i="12" s="1"/>
  <c r="AM520" i="12"/>
  <c r="AP519" i="12"/>
  <c r="AQ519" i="12"/>
  <c r="AN519" i="12"/>
  <c r="F525" i="14"/>
  <c r="D523" i="14"/>
  <c r="AT461" i="11" l="1"/>
  <c r="AJ461" i="11"/>
  <c r="AM462" i="11"/>
  <c r="AK463" i="11"/>
  <c r="AN462" i="11"/>
  <c r="AO462" i="11"/>
  <c r="AL462" i="11"/>
  <c r="AP462" i="11"/>
  <c r="AR461" i="11"/>
  <c r="AQ461" i="11"/>
  <c r="D524" i="14"/>
  <c r="F526" i="14"/>
  <c r="AO520" i="12"/>
  <c r="AL520" i="12" s="1"/>
  <c r="AM521" i="12"/>
  <c r="AQ520" i="12"/>
  <c r="AP520" i="12"/>
  <c r="AN520" i="12"/>
  <c r="AT462" i="11" l="1"/>
  <c r="AJ462" i="11"/>
  <c r="AP463" i="11"/>
  <c r="AO463" i="11"/>
  <c r="AL463" i="11"/>
  <c r="AK464" i="11"/>
  <c r="AM463" i="11"/>
  <c r="AN463" i="11"/>
  <c r="AR462" i="11"/>
  <c r="AQ462" i="11"/>
  <c r="F527" i="14"/>
  <c r="D525" i="14"/>
  <c r="AO521" i="12"/>
  <c r="AL521" i="12" s="1"/>
  <c r="AM522" i="12"/>
  <c r="AN521" i="12"/>
  <c r="AQ521" i="12"/>
  <c r="AP521" i="12"/>
  <c r="AT463" i="11" l="1"/>
  <c r="AJ463" i="11"/>
  <c r="AN464" i="11"/>
  <c r="AK465" i="11"/>
  <c r="AM464" i="11"/>
  <c r="AP464" i="11"/>
  <c r="AL464" i="11"/>
  <c r="AO464" i="11"/>
  <c r="AR463" i="11"/>
  <c r="AQ463" i="11"/>
  <c r="AO522" i="12"/>
  <c r="AL522" i="12" s="1"/>
  <c r="AN522" i="12"/>
  <c r="AP522" i="12"/>
  <c r="AQ522" i="12"/>
  <c r="AM523" i="12"/>
  <c r="D526" i="14"/>
  <c r="F528" i="14"/>
  <c r="AT464" i="11" l="1"/>
  <c r="AJ464" i="11"/>
  <c r="AR464" i="11"/>
  <c r="AQ464" i="11"/>
  <c r="AL465" i="11"/>
  <c r="AP465" i="11"/>
  <c r="AN465" i="11"/>
  <c r="AM465" i="11"/>
  <c r="AK466" i="11"/>
  <c r="AO465" i="11"/>
  <c r="D527" i="14"/>
  <c r="F529" i="14"/>
  <c r="AO523" i="12"/>
  <c r="AL523" i="12" s="1"/>
  <c r="AM524" i="12"/>
  <c r="AP523" i="12"/>
  <c r="AQ523" i="12"/>
  <c r="AN523" i="12"/>
  <c r="AT465" i="11" l="1"/>
  <c r="AJ465" i="11"/>
  <c r="AO466" i="11"/>
  <c r="AL466" i="11"/>
  <c r="AN466" i="11"/>
  <c r="AK467" i="11"/>
  <c r="AP466" i="11"/>
  <c r="AM466" i="11"/>
  <c r="AQ465" i="11"/>
  <c r="AR465" i="11"/>
  <c r="F530" i="14"/>
  <c r="D528" i="14"/>
  <c r="AO524" i="12"/>
  <c r="AL524" i="12" s="1"/>
  <c r="AM525" i="12"/>
  <c r="AQ524" i="12"/>
  <c r="AP524" i="12"/>
  <c r="AN524" i="12"/>
  <c r="AT466" i="11" l="1"/>
  <c r="AJ466" i="11"/>
  <c r="AN467" i="11"/>
  <c r="AO467" i="11"/>
  <c r="AL467" i="11"/>
  <c r="AP467" i="11"/>
  <c r="AK468" i="11"/>
  <c r="AM467" i="11"/>
  <c r="AR466" i="11"/>
  <c r="AQ466" i="11"/>
  <c r="AO525" i="12"/>
  <c r="AL525" i="12" s="1"/>
  <c r="AM526" i="12"/>
  <c r="AN525" i="12"/>
  <c r="AP525" i="12"/>
  <c r="AQ525" i="12"/>
  <c r="D529" i="14"/>
  <c r="F531" i="14"/>
  <c r="AT467" i="11" l="1"/>
  <c r="AJ467" i="11"/>
  <c r="AR467" i="11"/>
  <c r="AQ467" i="11"/>
  <c r="AK469" i="11"/>
  <c r="AO468" i="11"/>
  <c r="AN468" i="11"/>
  <c r="AM468" i="11"/>
  <c r="AP468" i="11"/>
  <c r="AL468" i="11"/>
  <c r="F532" i="14"/>
  <c r="AO526" i="12"/>
  <c r="AL526" i="12" s="1"/>
  <c r="AN526" i="12"/>
  <c r="AP526" i="12"/>
  <c r="AM527" i="12"/>
  <c r="AQ526" i="12"/>
  <c r="D530" i="14"/>
  <c r="AT468" i="11" l="1"/>
  <c r="AJ468" i="11"/>
  <c r="AK470" i="11"/>
  <c r="AP469" i="11"/>
  <c r="AO469" i="11"/>
  <c r="AL469" i="11"/>
  <c r="AM469" i="11"/>
  <c r="AN469" i="11"/>
  <c r="AR468" i="11"/>
  <c r="AQ468" i="11"/>
  <c r="AO527" i="12"/>
  <c r="AL527" i="12" s="1"/>
  <c r="AM528" i="12"/>
  <c r="AP527" i="12"/>
  <c r="AQ527" i="12"/>
  <c r="AN527" i="12"/>
  <c r="D531" i="14"/>
  <c r="F533" i="14"/>
  <c r="AT469" i="11" l="1"/>
  <c r="AJ469" i="11"/>
  <c r="AQ469" i="11"/>
  <c r="AR469" i="11"/>
  <c r="AK471" i="11"/>
  <c r="AM470" i="11"/>
  <c r="AO470" i="11"/>
  <c r="AN470" i="11"/>
  <c r="AP470" i="11"/>
  <c r="AL470" i="11"/>
  <c r="AO528" i="12"/>
  <c r="AL528" i="12" s="1"/>
  <c r="AM529" i="12"/>
  <c r="AQ528" i="12"/>
  <c r="AN528" i="12"/>
  <c r="AP528" i="12"/>
  <c r="D532" i="14"/>
  <c r="F534" i="14"/>
  <c r="AT470" i="11" l="1"/>
  <c r="AJ470" i="11"/>
  <c r="AO471" i="11"/>
  <c r="AK472" i="11"/>
  <c r="AP471" i="11"/>
  <c r="AL471" i="11"/>
  <c r="AM471" i="11"/>
  <c r="AN471" i="11"/>
  <c r="AQ470" i="11"/>
  <c r="AR470" i="11"/>
  <c r="F535" i="14"/>
  <c r="D533" i="14"/>
  <c r="AO529" i="12"/>
  <c r="AL529" i="12" s="1"/>
  <c r="AM530" i="12"/>
  <c r="AN529" i="12"/>
  <c r="AQ529" i="12"/>
  <c r="AP529" i="12"/>
  <c r="AT471" i="11" l="1"/>
  <c r="AJ471" i="11"/>
  <c r="AN472" i="11"/>
  <c r="AO472" i="11"/>
  <c r="AP472" i="11"/>
  <c r="AL472" i="11"/>
  <c r="AK473" i="11"/>
  <c r="AM472" i="11"/>
  <c r="AQ471" i="11"/>
  <c r="AR471" i="11"/>
  <c r="D534" i="14"/>
  <c r="F536" i="14"/>
  <c r="AO530" i="12"/>
  <c r="AL530" i="12" s="1"/>
  <c r="AN530" i="12"/>
  <c r="AP530" i="12"/>
  <c r="AM531" i="12"/>
  <c r="AQ530" i="12"/>
  <c r="AT472" i="11" l="1"/>
  <c r="AJ472" i="11"/>
  <c r="AQ472" i="11"/>
  <c r="AR472" i="11"/>
  <c r="AL473" i="11"/>
  <c r="AK474" i="11"/>
  <c r="AN473" i="11"/>
  <c r="AO473" i="11"/>
  <c r="AM473" i="11"/>
  <c r="AP473" i="11"/>
  <c r="AO531" i="12"/>
  <c r="AL531" i="12" s="1"/>
  <c r="AM532" i="12"/>
  <c r="AP531" i="12"/>
  <c r="AQ531" i="12"/>
  <c r="AN531" i="12"/>
  <c r="F537" i="14"/>
  <c r="D535" i="14"/>
  <c r="AT473" i="11" l="1"/>
  <c r="AJ473" i="11"/>
  <c r="AR473" i="11"/>
  <c r="AQ473" i="11"/>
  <c r="AN474" i="11"/>
  <c r="AP474" i="11"/>
  <c r="AL474" i="11"/>
  <c r="AO474" i="11"/>
  <c r="AM474" i="11"/>
  <c r="AK475" i="11"/>
  <c r="AO532" i="12"/>
  <c r="AL532" i="12" s="1"/>
  <c r="AM533" i="12"/>
  <c r="AQ532" i="12"/>
  <c r="AP532" i="12"/>
  <c r="AN532" i="12"/>
  <c r="D536" i="14"/>
  <c r="F538" i="14"/>
  <c r="AT474" i="11" l="1"/>
  <c r="AJ474" i="11"/>
  <c r="AQ474" i="11"/>
  <c r="AR474" i="11"/>
  <c r="AO475" i="11"/>
  <c r="AP475" i="11"/>
  <c r="AN475" i="11"/>
  <c r="AM475" i="11"/>
  <c r="AK476" i="11"/>
  <c r="AL475" i="11"/>
  <c r="F539" i="14"/>
  <c r="D537" i="14"/>
  <c r="AO533" i="12"/>
  <c r="AL533" i="12" s="1"/>
  <c r="AM534" i="12"/>
  <c r="AN533" i="12"/>
  <c r="AP533" i="12"/>
  <c r="AQ533" i="12"/>
  <c r="AT475" i="11" l="1"/>
  <c r="AJ475" i="11"/>
  <c r="AP476" i="11"/>
  <c r="AM476" i="11"/>
  <c r="AN476" i="11"/>
  <c r="AO476" i="11"/>
  <c r="AK477" i="11"/>
  <c r="AL476" i="11"/>
  <c r="AQ475" i="11"/>
  <c r="AR475" i="11"/>
  <c r="AO534" i="12"/>
  <c r="AL534" i="12" s="1"/>
  <c r="AN534" i="12"/>
  <c r="AP534" i="12"/>
  <c r="AM535" i="12"/>
  <c r="AQ534" i="12"/>
  <c r="D538" i="14"/>
  <c r="F540" i="14"/>
  <c r="AT476" i="11" l="1"/>
  <c r="AJ476" i="11"/>
  <c r="AR476" i="11"/>
  <c r="AQ476" i="11"/>
  <c r="AO477" i="11"/>
  <c r="AP477" i="11"/>
  <c r="AN477" i="11"/>
  <c r="AM477" i="11"/>
  <c r="AK478" i="11"/>
  <c r="AL477" i="11"/>
  <c r="F541" i="14"/>
  <c r="D539" i="14"/>
  <c r="AO535" i="12"/>
  <c r="AL535" i="12" s="1"/>
  <c r="AM536" i="12"/>
  <c r="AP535" i="12"/>
  <c r="AQ535" i="12"/>
  <c r="AN535" i="12"/>
  <c r="AT477" i="11" l="1"/>
  <c r="AJ477" i="11"/>
  <c r="AP478" i="11"/>
  <c r="AN478" i="11"/>
  <c r="AL478" i="11"/>
  <c r="AK479" i="11"/>
  <c r="AM478" i="11"/>
  <c r="AO478" i="11"/>
  <c r="AR477" i="11"/>
  <c r="AQ477" i="11"/>
  <c r="AO536" i="12"/>
  <c r="AL536" i="12" s="1"/>
  <c r="AM537" i="12"/>
  <c r="AQ536" i="12"/>
  <c r="AN536" i="12"/>
  <c r="AP536" i="12"/>
  <c r="D540" i="14"/>
  <c r="F542" i="14"/>
  <c r="AT478" i="11" l="1"/>
  <c r="AJ478" i="11"/>
  <c r="AO479" i="11"/>
  <c r="AL479" i="11"/>
  <c r="AN479" i="11"/>
  <c r="AP479" i="11"/>
  <c r="AK480" i="11"/>
  <c r="AM479" i="11"/>
  <c r="AQ478" i="11"/>
  <c r="AR478" i="11"/>
  <c r="F543" i="14"/>
  <c r="D541" i="14"/>
  <c r="AO537" i="12"/>
  <c r="AL537" i="12" s="1"/>
  <c r="AM538" i="12"/>
  <c r="AN537" i="12"/>
  <c r="AQ537" i="12"/>
  <c r="AP537" i="12"/>
  <c r="AT479" i="11" l="1"/>
  <c r="AJ479" i="11"/>
  <c r="AR479" i="11"/>
  <c r="AQ479" i="11"/>
  <c r="AK481" i="11"/>
  <c r="AL480" i="11"/>
  <c r="AP480" i="11"/>
  <c r="AO480" i="11"/>
  <c r="AM480" i="11"/>
  <c r="AN480" i="11"/>
  <c r="AO538" i="12"/>
  <c r="AL538" i="12" s="1"/>
  <c r="AN538" i="12"/>
  <c r="AP538" i="12"/>
  <c r="AM539" i="12"/>
  <c r="AQ538" i="12"/>
  <c r="D542" i="14"/>
  <c r="F544" i="14"/>
  <c r="AT480" i="11" l="1"/>
  <c r="AJ480" i="11"/>
  <c r="AQ480" i="11"/>
  <c r="AR480" i="11"/>
  <c r="AO481" i="11"/>
  <c r="AL481" i="11"/>
  <c r="AK482" i="11"/>
  <c r="AM481" i="11"/>
  <c r="AP481" i="11"/>
  <c r="AN481" i="11"/>
  <c r="D543" i="14"/>
  <c r="F545" i="14"/>
  <c r="AO539" i="12"/>
  <c r="AL539" i="12" s="1"/>
  <c r="AM540" i="12"/>
  <c r="AP539" i="12"/>
  <c r="AQ539" i="12"/>
  <c r="AN539" i="12"/>
  <c r="AT481" i="11" l="1"/>
  <c r="AJ481" i="11"/>
  <c r="AR481" i="11"/>
  <c r="AQ481" i="11"/>
  <c r="AM482" i="11"/>
  <c r="AL482" i="11"/>
  <c r="AP482" i="11"/>
  <c r="AN482" i="11"/>
  <c r="AO482" i="11"/>
  <c r="AK483" i="11"/>
  <c r="D544" i="14"/>
  <c r="F546" i="14"/>
  <c r="AO540" i="12"/>
  <c r="AL540" i="12" s="1"/>
  <c r="AM541" i="12"/>
  <c r="AQ540" i="12"/>
  <c r="AP540" i="12"/>
  <c r="AN540" i="12"/>
  <c r="AT482" i="11" l="1"/>
  <c r="AJ482" i="11"/>
  <c r="AR482" i="11"/>
  <c r="AQ482" i="11"/>
  <c r="AL483" i="11"/>
  <c r="AO483" i="11"/>
  <c r="AM483" i="11"/>
  <c r="AK484" i="11"/>
  <c r="AP483" i="11"/>
  <c r="AN483" i="11"/>
  <c r="AO541" i="12"/>
  <c r="AL541" i="12" s="1"/>
  <c r="AM542" i="12"/>
  <c r="AN541" i="12"/>
  <c r="AQ541" i="12"/>
  <c r="AP541" i="12"/>
  <c r="F547" i="14"/>
  <c r="D545" i="14"/>
  <c r="AT483" i="11" l="1"/>
  <c r="AJ483" i="11"/>
  <c r="AO484" i="11"/>
  <c r="AN484" i="11"/>
  <c r="AP484" i="11"/>
  <c r="AL484" i="11"/>
  <c r="AK485" i="11"/>
  <c r="AM484" i="11"/>
  <c r="AR483" i="11"/>
  <c r="AQ483" i="11"/>
  <c r="D546" i="14"/>
  <c r="F548" i="14"/>
  <c r="AO542" i="12"/>
  <c r="AL542" i="12" s="1"/>
  <c r="AN542" i="12"/>
  <c r="AP542" i="12"/>
  <c r="AM543" i="12"/>
  <c r="AQ542" i="12"/>
  <c r="AT484" i="11" l="1"/>
  <c r="AJ484" i="11"/>
  <c r="AQ484" i="11"/>
  <c r="AR484" i="11"/>
  <c r="AM485" i="11"/>
  <c r="AP485" i="11"/>
  <c r="AL485" i="11"/>
  <c r="AO485" i="11"/>
  <c r="AN485" i="11"/>
  <c r="AK486" i="11"/>
  <c r="AO543" i="12"/>
  <c r="AL543" i="12" s="1"/>
  <c r="AM544" i="12"/>
  <c r="AP543" i="12"/>
  <c r="AQ543" i="12"/>
  <c r="AN543" i="12"/>
  <c r="F549" i="14"/>
  <c r="D547" i="14"/>
  <c r="AT485" i="11" l="1"/>
  <c r="AJ485" i="11"/>
  <c r="AQ485" i="11"/>
  <c r="AR485" i="11"/>
  <c r="AM486" i="11"/>
  <c r="AO486" i="11"/>
  <c r="AK487" i="11"/>
  <c r="AL486" i="11"/>
  <c r="AN486" i="11"/>
  <c r="AP486" i="11"/>
  <c r="D548" i="14"/>
  <c r="F550" i="14"/>
  <c r="AO544" i="12"/>
  <c r="AL544" i="12" s="1"/>
  <c r="AM545" i="12"/>
  <c r="AQ544" i="12"/>
  <c r="AP544" i="12"/>
  <c r="AN544" i="12"/>
  <c r="AT486" i="11" l="1"/>
  <c r="AJ486" i="11"/>
  <c r="AR486" i="11"/>
  <c r="AQ486" i="11"/>
  <c r="AL487" i="11"/>
  <c r="AN487" i="11"/>
  <c r="AM487" i="11"/>
  <c r="AP487" i="11"/>
  <c r="AO487" i="11"/>
  <c r="AK488" i="11"/>
  <c r="F551" i="14"/>
  <c r="D549" i="14"/>
  <c r="AO545" i="12"/>
  <c r="AL545" i="12" s="1"/>
  <c r="AM546" i="12"/>
  <c r="AN545" i="12"/>
  <c r="AQ545" i="12"/>
  <c r="AP545" i="12"/>
  <c r="AT487" i="11" l="1"/>
  <c r="AJ487" i="11"/>
  <c r="AQ487" i="11"/>
  <c r="AR487" i="11"/>
  <c r="AL488" i="11"/>
  <c r="AP488" i="11"/>
  <c r="AN488" i="11"/>
  <c r="AK489" i="11"/>
  <c r="AM488" i="11"/>
  <c r="AO488" i="11"/>
  <c r="AO546" i="12"/>
  <c r="AL546" i="12" s="1"/>
  <c r="AN546" i="12"/>
  <c r="AP546" i="12"/>
  <c r="AM547" i="12"/>
  <c r="AQ546" i="12"/>
  <c r="D550" i="14"/>
  <c r="F552" i="14"/>
  <c r="AT488" i="11" l="1"/>
  <c r="AJ488" i="11"/>
  <c r="AQ488" i="11"/>
  <c r="AR488" i="11"/>
  <c r="AK490" i="11"/>
  <c r="AM489" i="11"/>
  <c r="AN489" i="11"/>
  <c r="AL489" i="11"/>
  <c r="AO489" i="11"/>
  <c r="AP489" i="11"/>
  <c r="F553" i="14"/>
  <c r="D551" i="14"/>
  <c r="AO547" i="12"/>
  <c r="AL547" i="12" s="1"/>
  <c r="AM548" i="12"/>
  <c r="AP547" i="12"/>
  <c r="AQ547" i="12"/>
  <c r="AN547" i="12"/>
  <c r="AT489" i="11" l="1"/>
  <c r="AJ489" i="11"/>
  <c r="AP490" i="11"/>
  <c r="AL490" i="11"/>
  <c r="AO490" i="11"/>
  <c r="AM490" i="11"/>
  <c r="AN490" i="11"/>
  <c r="AK491" i="11"/>
  <c r="AR489" i="11"/>
  <c r="AQ489" i="11"/>
  <c r="D552" i="14"/>
  <c r="F554" i="14"/>
  <c r="AO548" i="12"/>
  <c r="AL548" i="12" s="1"/>
  <c r="AM549" i="12"/>
  <c r="AQ548" i="12"/>
  <c r="AP548" i="12"/>
  <c r="AN548" i="12"/>
  <c r="AT490" i="11" l="1"/>
  <c r="AJ490" i="11"/>
  <c r="AR490" i="11"/>
  <c r="AQ490" i="11"/>
  <c r="AN491" i="11"/>
  <c r="AM491" i="11"/>
  <c r="AP491" i="11"/>
  <c r="AK492" i="11"/>
  <c r="AO491" i="11"/>
  <c r="AL491" i="11"/>
  <c r="AO549" i="12"/>
  <c r="AL549" i="12" s="1"/>
  <c r="AM550" i="12"/>
  <c r="AN549" i="12"/>
  <c r="AP549" i="12"/>
  <c r="AQ549" i="12"/>
  <c r="F555" i="14"/>
  <c r="D553" i="14"/>
  <c r="AT491" i="11" l="1"/>
  <c r="AJ491" i="11"/>
  <c r="AP492" i="11"/>
  <c r="AK493" i="11"/>
  <c r="AM492" i="11"/>
  <c r="AO492" i="11"/>
  <c r="AN492" i="11"/>
  <c r="AL492" i="11"/>
  <c r="AQ491" i="11"/>
  <c r="AR491" i="11"/>
  <c r="D554" i="14"/>
  <c r="F556" i="14"/>
  <c r="AO550" i="12"/>
  <c r="AL550" i="12" s="1"/>
  <c r="AN550" i="12"/>
  <c r="AP550" i="12"/>
  <c r="AM551" i="12"/>
  <c r="AQ550" i="12"/>
  <c r="AT492" i="11" l="1"/>
  <c r="AJ492" i="11"/>
  <c r="AR492" i="11"/>
  <c r="AQ492" i="11"/>
  <c r="AK494" i="11"/>
  <c r="AL493" i="11"/>
  <c r="AP493" i="11"/>
  <c r="AN493" i="11"/>
  <c r="AO493" i="11"/>
  <c r="AM493" i="11"/>
  <c r="AO551" i="12"/>
  <c r="AL551" i="12" s="1"/>
  <c r="AM552" i="12"/>
  <c r="AP551" i="12"/>
  <c r="AQ551" i="12"/>
  <c r="AN551" i="12"/>
  <c r="F557" i="14"/>
  <c r="D555" i="14"/>
  <c r="AT493" i="11" l="1"/>
  <c r="AJ493" i="11"/>
  <c r="AK495" i="11"/>
  <c r="AN494" i="11"/>
  <c r="AP494" i="11"/>
  <c r="AL494" i="11"/>
  <c r="AM494" i="11"/>
  <c r="AO494" i="11"/>
  <c r="AR493" i="11"/>
  <c r="AQ493" i="11"/>
  <c r="D556" i="14"/>
  <c r="F558" i="14"/>
  <c r="AO552" i="12"/>
  <c r="AL552" i="12" s="1"/>
  <c r="AM553" i="12"/>
  <c r="AQ552" i="12"/>
  <c r="AP552" i="12"/>
  <c r="AN552" i="12"/>
  <c r="AT494" i="11" l="1"/>
  <c r="AJ494" i="11"/>
  <c r="AR494" i="11"/>
  <c r="AQ494" i="11"/>
  <c r="AN495" i="11"/>
  <c r="AP495" i="11"/>
  <c r="AO495" i="11"/>
  <c r="AK496" i="11"/>
  <c r="AL495" i="11"/>
  <c r="AM495" i="11"/>
  <c r="F559" i="14"/>
  <c r="D557" i="14"/>
  <c r="AO553" i="12"/>
  <c r="AL553" i="12" s="1"/>
  <c r="AM554" i="12"/>
  <c r="AN553" i="12"/>
  <c r="AQ553" i="12"/>
  <c r="AP553" i="12"/>
  <c r="AT495" i="11" l="1"/>
  <c r="AJ495" i="11"/>
  <c r="AK497" i="11"/>
  <c r="AO496" i="11"/>
  <c r="AP496" i="11"/>
  <c r="AN496" i="11"/>
  <c r="AM496" i="11"/>
  <c r="AL496" i="11"/>
  <c r="AR495" i="11"/>
  <c r="AQ495" i="11"/>
  <c r="AO554" i="12"/>
  <c r="AL554" i="12" s="1"/>
  <c r="AN554" i="12"/>
  <c r="AP554" i="12"/>
  <c r="AM555" i="12"/>
  <c r="AQ554" i="12"/>
  <c r="D558" i="14"/>
  <c r="F560" i="14"/>
  <c r="AT496" i="11" l="1"/>
  <c r="AJ496" i="11"/>
  <c r="AQ496" i="11"/>
  <c r="AR496" i="11"/>
  <c r="AN497" i="11"/>
  <c r="AK498" i="11"/>
  <c r="AP497" i="11"/>
  <c r="AO497" i="11"/>
  <c r="AM497" i="11"/>
  <c r="AL497" i="11"/>
  <c r="D559" i="14"/>
  <c r="F561" i="14"/>
  <c r="AO555" i="12"/>
  <c r="AL555" i="12" s="1"/>
  <c r="AM556" i="12"/>
  <c r="AP555" i="12"/>
  <c r="AQ555" i="12"/>
  <c r="AN555" i="12"/>
  <c r="AT497" i="11" l="1"/>
  <c r="AJ497" i="11"/>
  <c r="AR497" i="11"/>
  <c r="AQ497" i="11"/>
  <c r="AM498" i="11"/>
  <c r="AL498" i="11"/>
  <c r="AO498" i="11"/>
  <c r="AN498" i="11"/>
  <c r="AP498" i="11"/>
  <c r="AK499" i="11"/>
  <c r="F562" i="14"/>
  <c r="D560" i="14"/>
  <c r="AO556" i="12"/>
  <c r="AL556" i="12" s="1"/>
  <c r="AM557" i="12"/>
  <c r="AQ556" i="12"/>
  <c r="AP556" i="12"/>
  <c r="AN556" i="12"/>
  <c r="AT498" i="11" l="1"/>
  <c r="AJ498" i="11"/>
  <c r="AR498" i="11"/>
  <c r="AQ498" i="11"/>
  <c r="AL499" i="11"/>
  <c r="AP499" i="11"/>
  <c r="AO499" i="11"/>
  <c r="AN499" i="11"/>
  <c r="AM499" i="11"/>
  <c r="AK500" i="11"/>
  <c r="AO557" i="12"/>
  <c r="AL557" i="12" s="1"/>
  <c r="AM558" i="12"/>
  <c r="AN557" i="12"/>
  <c r="AP557" i="12"/>
  <c r="AQ557" i="12"/>
  <c r="D561" i="14"/>
  <c r="F563" i="14"/>
  <c r="AT499" i="11" l="1"/>
  <c r="AJ499" i="11"/>
  <c r="AQ499" i="11"/>
  <c r="AR499" i="11"/>
  <c r="AO500" i="11"/>
  <c r="AL500" i="11"/>
  <c r="AN500" i="11"/>
  <c r="AM500" i="11"/>
  <c r="AP500" i="11"/>
  <c r="AK501" i="11"/>
  <c r="F564" i="14"/>
  <c r="D562" i="14"/>
  <c r="AO558" i="12"/>
  <c r="AL558" i="12" s="1"/>
  <c r="AN558" i="12"/>
  <c r="AP558" i="12"/>
  <c r="AM559" i="12"/>
  <c r="AQ558" i="12"/>
  <c r="AT500" i="11" l="1"/>
  <c r="AJ500" i="11"/>
  <c r="AR500" i="11"/>
  <c r="AQ500" i="11"/>
  <c r="AL501" i="11"/>
  <c r="AN501" i="11"/>
  <c r="AP501" i="11"/>
  <c r="AO501" i="11"/>
  <c r="AM501" i="11"/>
  <c r="AK502" i="11"/>
  <c r="D563" i="14"/>
  <c r="F565" i="14"/>
  <c r="AO559" i="12"/>
  <c r="AL559" i="12" s="1"/>
  <c r="AM560" i="12"/>
  <c r="AP559" i="12"/>
  <c r="AQ559" i="12"/>
  <c r="AN559" i="12"/>
  <c r="AT501" i="11" l="1"/>
  <c r="AJ501" i="11"/>
  <c r="AR501" i="11"/>
  <c r="AQ501" i="11"/>
  <c r="AK503" i="11"/>
  <c r="AP502" i="11"/>
  <c r="AO502" i="11"/>
  <c r="AM502" i="11"/>
  <c r="AN502" i="11"/>
  <c r="AL502" i="11"/>
  <c r="F566" i="14"/>
  <c r="D564" i="14"/>
  <c r="AO560" i="12"/>
  <c r="AL560" i="12" s="1"/>
  <c r="AM561" i="12"/>
  <c r="AQ560" i="12"/>
  <c r="AN560" i="12"/>
  <c r="AP560" i="12"/>
  <c r="AT502" i="11" l="1"/>
  <c r="AJ502" i="11"/>
  <c r="AP503" i="11"/>
  <c r="AL503" i="11"/>
  <c r="AO503" i="11"/>
  <c r="AK504" i="11"/>
  <c r="AN503" i="11"/>
  <c r="AM503" i="11"/>
  <c r="AR502" i="11"/>
  <c r="AQ502" i="11"/>
  <c r="AO561" i="12"/>
  <c r="AL561" i="12" s="1"/>
  <c r="AM562" i="12"/>
  <c r="AN561" i="12"/>
  <c r="AQ561" i="12"/>
  <c r="AP561" i="12"/>
  <c r="D565" i="14"/>
  <c r="F567" i="14"/>
  <c r="AT503" i="11" l="1"/>
  <c r="AJ503" i="11"/>
  <c r="AP504" i="11"/>
  <c r="AN504" i="11"/>
  <c r="AM504" i="11"/>
  <c r="AO504" i="11"/>
  <c r="AL504" i="11"/>
  <c r="AK505" i="11"/>
  <c r="AQ503" i="11"/>
  <c r="AR503" i="11"/>
  <c r="F568" i="14"/>
  <c r="D566" i="14"/>
  <c r="AO562" i="12"/>
  <c r="AL562" i="12" s="1"/>
  <c r="AN562" i="12"/>
  <c r="AP562" i="12"/>
  <c r="AM563" i="12"/>
  <c r="AQ562" i="12"/>
  <c r="AT504" i="11" l="1"/>
  <c r="AJ504" i="11"/>
  <c r="AQ504" i="11"/>
  <c r="AR504" i="11"/>
  <c r="AK506" i="11"/>
  <c r="AP505" i="11"/>
  <c r="AN505" i="11"/>
  <c r="AL505" i="11"/>
  <c r="AO505" i="11"/>
  <c r="AM505" i="11"/>
  <c r="D567" i="14"/>
  <c r="F569" i="14"/>
  <c r="AO563" i="12"/>
  <c r="AL563" i="12" s="1"/>
  <c r="AM564" i="12"/>
  <c r="AP563" i="12"/>
  <c r="AQ563" i="12"/>
  <c r="AN563" i="12"/>
  <c r="AT505" i="11" l="1"/>
  <c r="AJ505" i="11"/>
  <c r="AP506" i="11"/>
  <c r="AN506" i="11"/>
  <c r="AL506" i="11"/>
  <c r="AK507" i="11"/>
  <c r="AM506" i="11"/>
  <c r="AO506" i="11"/>
  <c r="AQ505" i="11"/>
  <c r="AR505" i="11"/>
  <c r="F570" i="14"/>
  <c r="D568" i="14"/>
  <c r="AO564" i="12"/>
  <c r="AL564" i="12" s="1"/>
  <c r="AM565" i="12"/>
  <c r="AQ564" i="12"/>
  <c r="AP564" i="12"/>
  <c r="AN564" i="12"/>
  <c r="AT506" i="11" l="1"/>
  <c r="AJ506" i="11"/>
  <c r="AP507" i="11"/>
  <c r="AO507" i="11"/>
  <c r="AN507" i="11"/>
  <c r="AK508" i="11"/>
  <c r="AM507" i="11"/>
  <c r="AL507" i="11"/>
  <c r="AQ506" i="11"/>
  <c r="AR506" i="11"/>
  <c r="AO565" i="12"/>
  <c r="AL565" i="12" s="1"/>
  <c r="AM566" i="12"/>
  <c r="AN565" i="12"/>
  <c r="AQ565" i="12"/>
  <c r="AP565" i="12"/>
  <c r="D569" i="14"/>
  <c r="F571" i="14"/>
  <c r="AT507" i="11" l="1"/>
  <c r="AJ507" i="11"/>
  <c r="AN508" i="11"/>
  <c r="AL508" i="11"/>
  <c r="AK509" i="11"/>
  <c r="AM508" i="11"/>
  <c r="AO508" i="11"/>
  <c r="AP508" i="11"/>
  <c r="AR507" i="11"/>
  <c r="AQ507" i="11"/>
  <c r="F572" i="14"/>
  <c r="D570" i="14"/>
  <c r="AO566" i="12"/>
  <c r="AL566" i="12" s="1"/>
  <c r="AN566" i="12"/>
  <c r="AP566" i="12"/>
  <c r="AM567" i="12"/>
  <c r="AQ566" i="12"/>
  <c r="AT508" i="11" l="1"/>
  <c r="AJ508" i="11"/>
  <c r="AR508" i="11"/>
  <c r="AQ508" i="11"/>
  <c r="AL509" i="11"/>
  <c r="AN509" i="11"/>
  <c r="AP509" i="11"/>
  <c r="AM509" i="11"/>
  <c r="AO509" i="11"/>
  <c r="AK510" i="11"/>
  <c r="D571" i="14"/>
  <c r="F573" i="14"/>
  <c r="AO567" i="12"/>
  <c r="AL567" i="12" s="1"/>
  <c r="AM568" i="12"/>
  <c r="AP567" i="12"/>
  <c r="AQ567" i="12"/>
  <c r="AN567" i="12"/>
  <c r="AT509" i="11" l="1"/>
  <c r="AJ509" i="11"/>
  <c r="AQ509" i="11"/>
  <c r="AR509" i="11"/>
  <c r="AM510" i="11"/>
  <c r="AN510" i="11"/>
  <c r="AO510" i="11"/>
  <c r="AP510" i="11"/>
  <c r="AK511" i="11"/>
  <c r="AL510" i="11"/>
  <c r="F574" i="14"/>
  <c r="D572" i="14"/>
  <c r="AO568" i="12"/>
  <c r="AL568" i="12" s="1"/>
  <c r="AM569" i="12"/>
  <c r="AQ568" i="12"/>
  <c r="AN568" i="12"/>
  <c r="AP568" i="12"/>
  <c r="AT510" i="11" l="1"/>
  <c r="AJ510" i="11"/>
  <c r="AL511" i="11"/>
  <c r="AK512" i="11"/>
  <c r="AP511" i="11"/>
  <c r="AN511" i="11"/>
  <c r="AO511" i="11"/>
  <c r="AM511" i="11"/>
  <c r="AQ510" i="11"/>
  <c r="AR510" i="11"/>
  <c r="AO569" i="12"/>
  <c r="AL569" i="12" s="1"/>
  <c r="AM570" i="12"/>
  <c r="AN569" i="12"/>
  <c r="AQ569" i="12"/>
  <c r="AP569" i="12"/>
  <c r="D573" i="14"/>
  <c r="F575" i="14"/>
  <c r="AT511" i="11" l="1"/>
  <c r="AJ511" i="11"/>
  <c r="AK513" i="11"/>
  <c r="AN512" i="11"/>
  <c r="AP512" i="11"/>
  <c r="AO512" i="11"/>
  <c r="AM512" i="11"/>
  <c r="AL512" i="11"/>
  <c r="AQ511" i="11"/>
  <c r="AR511" i="11"/>
  <c r="F576" i="14"/>
  <c r="D574" i="14"/>
  <c r="AO570" i="12"/>
  <c r="AL570" i="12" s="1"/>
  <c r="AN570" i="12"/>
  <c r="AP570" i="12"/>
  <c r="AQ570" i="12"/>
  <c r="AM571" i="12"/>
  <c r="AT512" i="11" l="1"/>
  <c r="AJ512" i="11"/>
  <c r="AQ512" i="11"/>
  <c r="AR512" i="11"/>
  <c r="AL513" i="11"/>
  <c r="AO513" i="11"/>
  <c r="AN513" i="11"/>
  <c r="AM513" i="11"/>
  <c r="AP513" i="11"/>
  <c r="AK514" i="11"/>
  <c r="D575" i="14"/>
  <c r="AO571" i="12"/>
  <c r="AL571" i="12" s="1"/>
  <c r="AM572" i="12"/>
  <c r="AP571" i="12"/>
  <c r="AQ571" i="12"/>
  <c r="AN571" i="12"/>
  <c r="F577" i="14"/>
  <c r="AT513" i="11" l="1"/>
  <c r="AJ513" i="11"/>
  <c r="AQ513" i="11"/>
  <c r="AR513" i="11"/>
  <c r="AL514" i="11"/>
  <c r="AP514" i="11"/>
  <c r="AN514" i="11"/>
  <c r="AO514" i="11"/>
  <c r="AM514" i="11"/>
  <c r="AK515" i="11"/>
  <c r="F578" i="14"/>
  <c r="AO572" i="12"/>
  <c r="AL572" i="12" s="1"/>
  <c r="AM573" i="12"/>
  <c r="AQ572" i="12"/>
  <c r="AP572" i="12"/>
  <c r="AN572" i="12"/>
  <c r="D576" i="14"/>
  <c r="AT514" i="11" l="1"/>
  <c r="AJ514" i="11"/>
  <c r="AR514" i="11"/>
  <c r="AQ514" i="11"/>
  <c r="AM515" i="11"/>
  <c r="AK516" i="11"/>
  <c r="AN515" i="11"/>
  <c r="AP515" i="11"/>
  <c r="AL515" i="11"/>
  <c r="AO515" i="11"/>
  <c r="D577" i="14"/>
  <c r="F579" i="14"/>
  <c r="AO573" i="12"/>
  <c r="AL573" i="12" s="1"/>
  <c r="AM574" i="12"/>
  <c r="AN573" i="12"/>
  <c r="AQ573" i="12"/>
  <c r="AP573" i="12"/>
  <c r="AT515" i="11" l="1"/>
  <c r="AJ515" i="11"/>
  <c r="AR515" i="11"/>
  <c r="AQ515" i="11"/>
  <c r="AP516" i="11"/>
  <c r="AN516" i="11"/>
  <c r="AL516" i="11"/>
  <c r="AO516" i="11"/>
  <c r="AM516" i="11"/>
  <c r="AK517" i="11"/>
  <c r="AO574" i="12"/>
  <c r="AL574" i="12" s="1"/>
  <c r="AN574" i="12"/>
  <c r="AP574" i="12"/>
  <c r="AM575" i="12"/>
  <c r="AQ574" i="12"/>
  <c r="D578" i="14"/>
  <c r="F580" i="14"/>
  <c r="AT516" i="11" l="1"/>
  <c r="AJ516" i="11"/>
  <c r="AQ516" i="11"/>
  <c r="AR516" i="11"/>
  <c r="AN517" i="11"/>
  <c r="AO517" i="11"/>
  <c r="AM517" i="11"/>
  <c r="AP517" i="11"/>
  <c r="AK518" i="11"/>
  <c r="AL517" i="11"/>
  <c r="F581" i="14"/>
  <c r="D579" i="14"/>
  <c r="AO575" i="12"/>
  <c r="AL575" i="12" s="1"/>
  <c r="AM576" i="12"/>
  <c r="AP575" i="12"/>
  <c r="AQ575" i="12"/>
  <c r="AN575" i="12"/>
  <c r="AT517" i="11" l="1"/>
  <c r="AJ517" i="11"/>
  <c r="AP518" i="11"/>
  <c r="AN518" i="11"/>
  <c r="AK519" i="11"/>
  <c r="AO518" i="11"/>
  <c r="AM518" i="11"/>
  <c r="AL518" i="11"/>
  <c r="AQ517" i="11"/>
  <c r="AR517" i="11"/>
  <c r="AO576" i="12"/>
  <c r="AL576" i="12" s="1"/>
  <c r="AM577" i="12"/>
  <c r="AQ576" i="12"/>
  <c r="AN576" i="12"/>
  <c r="AP576" i="12"/>
  <c r="D580" i="14"/>
  <c r="F582" i="14"/>
  <c r="AT518" i="11" l="1"/>
  <c r="AJ518" i="11"/>
  <c r="AL519" i="11"/>
  <c r="AK520" i="11"/>
  <c r="AN519" i="11"/>
  <c r="AP519" i="11"/>
  <c r="AM519" i="11"/>
  <c r="AO519" i="11"/>
  <c r="AQ518" i="11"/>
  <c r="AR518" i="11"/>
  <c r="F583" i="14"/>
  <c r="D581" i="14"/>
  <c r="AO577" i="12"/>
  <c r="AL577" i="12" s="1"/>
  <c r="AM578" i="12"/>
  <c r="AN577" i="12"/>
  <c r="AQ577" i="12"/>
  <c r="AP577" i="12"/>
  <c r="AT519" i="11" l="1"/>
  <c r="AJ519" i="11"/>
  <c r="AK521" i="11"/>
  <c r="AM520" i="11"/>
  <c r="AN520" i="11"/>
  <c r="AO520" i="11"/>
  <c r="AP520" i="11"/>
  <c r="AL520" i="11"/>
  <c r="AR519" i="11"/>
  <c r="AQ519" i="11"/>
  <c r="AO578" i="12"/>
  <c r="AL578" i="12" s="1"/>
  <c r="AN578" i="12"/>
  <c r="AP578" i="12"/>
  <c r="AM579" i="12"/>
  <c r="AQ578" i="12"/>
  <c r="D582" i="14"/>
  <c r="F584" i="14"/>
  <c r="AT520" i="11" l="1"/>
  <c r="AJ520" i="11"/>
  <c r="AQ520" i="11"/>
  <c r="AR520" i="11"/>
  <c r="AN521" i="11"/>
  <c r="AP521" i="11"/>
  <c r="AM521" i="11"/>
  <c r="AL521" i="11"/>
  <c r="AK522" i="11"/>
  <c r="AO521" i="11"/>
  <c r="AO579" i="12"/>
  <c r="AL579" i="12" s="1"/>
  <c r="AM580" i="12"/>
  <c r="AP579" i="12"/>
  <c r="AQ579" i="12"/>
  <c r="AN579" i="12"/>
  <c r="F585" i="14"/>
  <c r="D583" i="14"/>
  <c r="AT521" i="11" l="1"/>
  <c r="AJ521" i="11"/>
  <c r="AM522" i="11"/>
  <c r="AP522" i="11"/>
  <c r="AK523" i="11"/>
  <c r="AN522" i="11"/>
  <c r="AL522" i="11"/>
  <c r="AO522" i="11"/>
  <c r="AR521" i="11"/>
  <c r="AQ521" i="11"/>
  <c r="D584" i="14"/>
  <c r="F586" i="14"/>
  <c r="AO580" i="12"/>
  <c r="AL580" i="12" s="1"/>
  <c r="AM581" i="12"/>
  <c r="AQ580" i="12"/>
  <c r="AP580" i="12"/>
  <c r="AN580" i="12"/>
  <c r="AT522" i="11" l="1"/>
  <c r="AJ522" i="11"/>
  <c r="AP523" i="11"/>
  <c r="AK524" i="11"/>
  <c r="AO523" i="11"/>
  <c r="AM523" i="11"/>
  <c r="AL523" i="11"/>
  <c r="AN523" i="11"/>
  <c r="AR522" i="11"/>
  <c r="AQ522" i="11"/>
  <c r="AO581" i="12"/>
  <c r="AL581" i="12" s="1"/>
  <c r="AM582" i="12"/>
  <c r="AN581" i="12"/>
  <c r="AP581" i="12"/>
  <c r="AQ581" i="12"/>
  <c r="F587" i="14"/>
  <c r="D585" i="14"/>
  <c r="AT523" i="11" l="1"/>
  <c r="AJ523" i="11"/>
  <c r="AR523" i="11"/>
  <c r="AQ523" i="11"/>
  <c r="AP524" i="11"/>
  <c r="AK525" i="11"/>
  <c r="AL524" i="11"/>
  <c r="AO524" i="11"/>
  <c r="AM524" i="11"/>
  <c r="AN524" i="11"/>
  <c r="D586" i="14"/>
  <c r="F588" i="14"/>
  <c r="AO582" i="12"/>
  <c r="AL582" i="12" s="1"/>
  <c r="AN582" i="12"/>
  <c r="AP582" i="12"/>
  <c r="AM583" i="12"/>
  <c r="AQ582" i="12"/>
  <c r="AT524" i="11" l="1"/>
  <c r="AJ524" i="11"/>
  <c r="AR524" i="11"/>
  <c r="AQ524" i="11"/>
  <c r="AO525" i="11"/>
  <c r="AP525" i="11"/>
  <c r="AL525" i="11"/>
  <c r="AM525" i="11"/>
  <c r="AN525" i="11"/>
  <c r="AK526" i="11"/>
  <c r="F589" i="14"/>
  <c r="D587" i="14"/>
  <c r="AO583" i="12"/>
  <c r="AL583" i="12" s="1"/>
  <c r="AM584" i="12"/>
  <c r="AP583" i="12"/>
  <c r="AQ583" i="12"/>
  <c r="AN583" i="12"/>
  <c r="AT525" i="11" l="1"/>
  <c r="AJ525" i="11"/>
  <c r="AR525" i="11"/>
  <c r="AQ525" i="11"/>
  <c r="AM526" i="11"/>
  <c r="AK527" i="11"/>
  <c r="AN526" i="11"/>
  <c r="AL526" i="11"/>
  <c r="AP526" i="11"/>
  <c r="AO526" i="11"/>
  <c r="AO584" i="12"/>
  <c r="AL584" i="12" s="1"/>
  <c r="AM585" i="12"/>
  <c r="AQ584" i="12"/>
  <c r="AP584" i="12"/>
  <c r="AN584" i="12"/>
  <c r="D588" i="14"/>
  <c r="F590" i="14"/>
  <c r="AT526" i="11" l="1"/>
  <c r="AJ526" i="11"/>
  <c r="AR526" i="11"/>
  <c r="AQ526" i="11"/>
  <c r="AP527" i="11"/>
  <c r="AL527" i="11"/>
  <c r="AO527" i="11"/>
  <c r="AN527" i="11"/>
  <c r="AM527" i="11"/>
  <c r="AK528" i="11"/>
  <c r="F591" i="14"/>
  <c r="D589" i="14"/>
  <c r="AO585" i="12"/>
  <c r="AL585" i="12" s="1"/>
  <c r="AM586" i="12"/>
  <c r="AN585" i="12"/>
  <c r="AQ585" i="12"/>
  <c r="AP585" i="12"/>
  <c r="AT527" i="11" l="1"/>
  <c r="AJ527" i="11"/>
  <c r="AQ527" i="11"/>
  <c r="AR527" i="11"/>
  <c r="AK529" i="11"/>
  <c r="AO528" i="11"/>
  <c r="AM528" i="11"/>
  <c r="AN528" i="11"/>
  <c r="AL528" i="11"/>
  <c r="AP528" i="11"/>
  <c r="AO586" i="12"/>
  <c r="AL586" i="12" s="1"/>
  <c r="AN586" i="12"/>
  <c r="AP586" i="12"/>
  <c r="AM587" i="12"/>
  <c r="AQ586" i="12"/>
  <c r="D590" i="14"/>
  <c r="F592" i="14"/>
  <c r="AT528" i="11" l="1"/>
  <c r="AJ528" i="11"/>
  <c r="AO529" i="11"/>
  <c r="AK530" i="11"/>
  <c r="AL529" i="11"/>
  <c r="AP529" i="11"/>
  <c r="AN529" i="11"/>
  <c r="AM529" i="11"/>
  <c r="AQ528" i="11"/>
  <c r="AR528" i="11"/>
  <c r="D591" i="14"/>
  <c r="F593" i="14"/>
  <c r="AO587" i="12"/>
  <c r="AL587" i="12" s="1"/>
  <c r="AM588" i="12"/>
  <c r="AP587" i="12"/>
  <c r="AQ587" i="12"/>
  <c r="AN587" i="12"/>
  <c r="AT529" i="11" l="1"/>
  <c r="AJ529" i="11"/>
  <c r="AR529" i="11"/>
  <c r="AQ529" i="11"/>
  <c r="AO530" i="11"/>
  <c r="AP530" i="11"/>
  <c r="AL530" i="11"/>
  <c r="AK531" i="11"/>
  <c r="AN530" i="11"/>
  <c r="AM530" i="11"/>
  <c r="D592" i="14"/>
  <c r="F594" i="14"/>
  <c r="AO588" i="12"/>
  <c r="AL588" i="12" s="1"/>
  <c r="AM589" i="12"/>
  <c r="AQ588" i="12"/>
  <c r="AP588" i="12"/>
  <c r="AN588" i="12"/>
  <c r="AT530" i="11" l="1"/>
  <c r="AJ530" i="11"/>
  <c r="AP531" i="11"/>
  <c r="AK532" i="11"/>
  <c r="AN531" i="11"/>
  <c r="AO531" i="11"/>
  <c r="AL531" i="11"/>
  <c r="AM531" i="11"/>
  <c r="AR530" i="11"/>
  <c r="AQ530" i="11"/>
  <c r="AO589" i="12"/>
  <c r="AL589" i="12" s="1"/>
  <c r="AM590" i="12"/>
  <c r="AN589" i="12"/>
  <c r="AP589" i="12"/>
  <c r="AQ589" i="12"/>
  <c r="F595" i="14"/>
  <c r="D593" i="14"/>
  <c r="AT531" i="11" l="1"/>
  <c r="AJ531" i="11"/>
  <c r="AQ531" i="11"/>
  <c r="AR531" i="11"/>
  <c r="AN532" i="11"/>
  <c r="AP532" i="11"/>
  <c r="AO532" i="11"/>
  <c r="AM532" i="11"/>
  <c r="AL532" i="11"/>
  <c r="AK533" i="11"/>
  <c r="D594" i="14"/>
  <c r="F596" i="14"/>
  <c r="AO590" i="12"/>
  <c r="AL590" i="12" s="1"/>
  <c r="AN590" i="12"/>
  <c r="AP590" i="12"/>
  <c r="AM591" i="12"/>
  <c r="AQ590" i="12"/>
  <c r="AT532" i="11" l="1"/>
  <c r="AJ532" i="11"/>
  <c r="AQ532" i="11"/>
  <c r="AR532" i="11"/>
  <c r="AM533" i="11"/>
  <c r="AN533" i="11"/>
  <c r="AP533" i="11"/>
  <c r="AK534" i="11"/>
  <c r="AO533" i="11"/>
  <c r="AL533" i="11"/>
  <c r="F597" i="14"/>
  <c r="AO591" i="12"/>
  <c r="AL591" i="12" s="1"/>
  <c r="AM592" i="12"/>
  <c r="AP591" i="12"/>
  <c r="AQ591" i="12"/>
  <c r="AN591" i="12"/>
  <c r="D595" i="14"/>
  <c r="AT533" i="11" l="1"/>
  <c r="AJ533" i="11"/>
  <c r="AQ533" i="11"/>
  <c r="AR533" i="11"/>
  <c r="AO534" i="11"/>
  <c r="AM534" i="11"/>
  <c r="AP534" i="11"/>
  <c r="AL534" i="11"/>
  <c r="AN534" i="11"/>
  <c r="AK535" i="11"/>
  <c r="D596" i="14"/>
  <c r="AO592" i="12"/>
  <c r="AL592" i="12" s="1"/>
  <c r="AM593" i="12"/>
  <c r="AQ592" i="12"/>
  <c r="AN592" i="12"/>
  <c r="AP592" i="12"/>
  <c r="F598" i="14"/>
  <c r="AT534" i="11" l="1"/>
  <c r="AJ534" i="11"/>
  <c r="AK536" i="11"/>
  <c r="AN535" i="11"/>
  <c r="AL535" i="11"/>
  <c r="AM535" i="11"/>
  <c r="AP535" i="11"/>
  <c r="AO535" i="11"/>
  <c r="AQ534" i="11"/>
  <c r="AR534" i="11"/>
  <c r="AO593" i="12"/>
  <c r="AL593" i="12" s="1"/>
  <c r="AM594" i="12"/>
  <c r="AN593" i="12"/>
  <c r="AQ593" i="12"/>
  <c r="AP593" i="12"/>
  <c r="F599" i="14"/>
  <c r="D597" i="14"/>
  <c r="AT535" i="11" l="1"/>
  <c r="AJ535" i="11"/>
  <c r="AR535" i="11"/>
  <c r="AQ535" i="11"/>
  <c r="AL536" i="11"/>
  <c r="AK537" i="11"/>
  <c r="AO536" i="11"/>
  <c r="AN536" i="11"/>
  <c r="AM536" i="11"/>
  <c r="AP536" i="11"/>
  <c r="D598" i="14"/>
  <c r="F600" i="14"/>
  <c r="AO594" i="12"/>
  <c r="AL594" i="12" s="1"/>
  <c r="AN594" i="12"/>
  <c r="AP594" i="12"/>
  <c r="AM595" i="12"/>
  <c r="AQ594" i="12"/>
  <c r="AT536" i="11" l="1"/>
  <c r="AJ536" i="11"/>
  <c r="AQ536" i="11"/>
  <c r="AR536" i="11"/>
  <c r="AM537" i="11"/>
  <c r="AO537" i="11"/>
  <c r="AL537" i="11"/>
  <c r="AN537" i="11"/>
  <c r="AK538" i="11"/>
  <c r="AP537" i="11"/>
  <c r="AO595" i="12"/>
  <c r="AL595" i="12" s="1"/>
  <c r="AM596" i="12"/>
  <c r="AP595" i="12"/>
  <c r="AQ595" i="12"/>
  <c r="AN595" i="12"/>
  <c r="F601" i="14"/>
  <c r="D599" i="14"/>
  <c r="AT537" i="11" l="1"/>
  <c r="AJ537" i="11"/>
  <c r="AN538" i="11"/>
  <c r="AO538" i="11"/>
  <c r="AL538" i="11"/>
  <c r="AK539" i="11"/>
  <c r="AP538" i="11"/>
  <c r="AM538" i="11"/>
  <c r="AR537" i="11"/>
  <c r="AQ537" i="11"/>
  <c r="AO596" i="12"/>
  <c r="AL596" i="12" s="1"/>
  <c r="AM597" i="12"/>
  <c r="AQ596" i="12"/>
  <c r="AP596" i="12"/>
  <c r="AN596" i="12"/>
  <c r="D600" i="14"/>
  <c r="F602" i="14"/>
  <c r="AT538" i="11" l="1"/>
  <c r="AJ538" i="11"/>
  <c r="AP539" i="11"/>
  <c r="AM539" i="11"/>
  <c r="AK540" i="11"/>
  <c r="AO539" i="11"/>
  <c r="AL539" i="11"/>
  <c r="AN539" i="11"/>
  <c r="AQ538" i="11"/>
  <c r="AR538" i="11"/>
  <c r="F603" i="14"/>
  <c r="D601" i="14"/>
  <c r="AO597" i="12"/>
  <c r="AL597" i="12" s="1"/>
  <c r="AM598" i="12"/>
  <c r="AN597" i="12"/>
  <c r="AP597" i="12"/>
  <c r="AQ597" i="12"/>
  <c r="AT539" i="11" l="1"/>
  <c r="AJ539" i="11"/>
  <c r="AO540" i="11"/>
  <c r="AP540" i="11"/>
  <c r="AL540" i="11"/>
  <c r="AM540" i="11"/>
  <c r="AK541" i="11"/>
  <c r="AN540" i="11"/>
  <c r="AR539" i="11"/>
  <c r="AQ539" i="11"/>
  <c r="AO598" i="12"/>
  <c r="AL598" i="12" s="1"/>
  <c r="AN598" i="12"/>
  <c r="AP598" i="12"/>
  <c r="AM599" i="12"/>
  <c r="AQ598" i="12"/>
  <c r="D602" i="14"/>
  <c r="F604" i="14"/>
  <c r="AT540" i="11" l="1"/>
  <c r="AJ540" i="11"/>
  <c r="AQ540" i="11"/>
  <c r="AR540" i="11"/>
  <c r="AL541" i="11"/>
  <c r="AK542" i="11"/>
  <c r="AN541" i="11"/>
  <c r="AM541" i="11"/>
  <c r="AO541" i="11"/>
  <c r="AP541" i="11"/>
  <c r="F605" i="14"/>
  <c r="D603" i="14"/>
  <c r="AO599" i="12"/>
  <c r="AL599" i="12" s="1"/>
  <c r="AM600" i="12"/>
  <c r="AP599" i="12"/>
  <c r="AQ599" i="12"/>
  <c r="AN599" i="12"/>
  <c r="AT541" i="11" l="1"/>
  <c r="AJ541" i="11"/>
  <c r="AQ541" i="11"/>
  <c r="AR541" i="11"/>
  <c r="AP542" i="11"/>
  <c r="AN542" i="11"/>
  <c r="AM542" i="11"/>
  <c r="AK543" i="11"/>
  <c r="AO542" i="11"/>
  <c r="AL542" i="11"/>
  <c r="AO600" i="12"/>
  <c r="AL600" i="12" s="1"/>
  <c r="AM601" i="12"/>
  <c r="AQ600" i="12"/>
  <c r="AN600" i="12"/>
  <c r="AP600" i="12"/>
  <c r="D604" i="14"/>
  <c r="F606" i="14"/>
  <c r="AT542" i="11" l="1"/>
  <c r="AJ542" i="11"/>
  <c r="AM543" i="11"/>
  <c r="AP543" i="11"/>
  <c r="AL543" i="11"/>
  <c r="AO543" i="11"/>
  <c r="AK544" i="11"/>
  <c r="AN543" i="11"/>
  <c r="AQ542" i="11"/>
  <c r="AR542" i="11"/>
  <c r="F607" i="14"/>
  <c r="D605" i="14"/>
  <c r="AO601" i="12"/>
  <c r="AL601" i="12" s="1"/>
  <c r="AM602" i="12"/>
  <c r="AN601" i="12"/>
  <c r="AQ601" i="12"/>
  <c r="AP601" i="12"/>
  <c r="AT543" i="11" l="1"/>
  <c r="AJ543" i="11"/>
  <c r="AP544" i="11"/>
  <c r="AO544" i="11"/>
  <c r="AK545" i="11"/>
  <c r="AL544" i="11"/>
  <c r="AN544" i="11"/>
  <c r="AM544" i="11"/>
  <c r="AQ543" i="11"/>
  <c r="AR543" i="11"/>
  <c r="AO602" i="12"/>
  <c r="AL602" i="12" s="1"/>
  <c r="AN602" i="12"/>
  <c r="AP602" i="12"/>
  <c r="AM603" i="12"/>
  <c r="AQ602" i="12"/>
  <c r="D606" i="14"/>
  <c r="F608" i="14"/>
  <c r="AT544" i="11" l="1"/>
  <c r="AJ544" i="11"/>
  <c r="AP545" i="11"/>
  <c r="AK546" i="11"/>
  <c r="AL545" i="11"/>
  <c r="AM545" i="11"/>
  <c r="AO545" i="11"/>
  <c r="AN545" i="11"/>
  <c r="AR544" i="11"/>
  <c r="AQ544" i="11"/>
  <c r="D607" i="14"/>
  <c r="F609" i="14"/>
  <c r="AO603" i="12"/>
  <c r="AL603" i="12" s="1"/>
  <c r="AM604" i="12"/>
  <c r="AP603" i="12"/>
  <c r="AQ603" i="12"/>
  <c r="AN603" i="12"/>
  <c r="AT545" i="11" l="1"/>
  <c r="AJ545" i="11"/>
  <c r="AR545" i="11"/>
  <c r="AQ545" i="11"/>
  <c r="AL546" i="11"/>
  <c r="AN546" i="11"/>
  <c r="AP546" i="11"/>
  <c r="AM546" i="11"/>
  <c r="AO546" i="11"/>
  <c r="AK547" i="11"/>
  <c r="D608" i="14"/>
  <c r="F610" i="14"/>
  <c r="AO604" i="12"/>
  <c r="AL604" i="12" s="1"/>
  <c r="AM605" i="12"/>
  <c r="AQ604" i="12"/>
  <c r="AP604" i="12"/>
  <c r="AN604" i="12"/>
  <c r="AT546" i="11" l="1"/>
  <c r="AJ546" i="11"/>
  <c r="AQ546" i="11"/>
  <c r="AR546" i="11"/>
  <c r="AP547" i="11"/>
  <c r="AK548" i="11"/>
  <c r="AM547" i="11"/>
  <c r="AO547" i="11"/>
  <c r="AN547" i="11"/>
  <c r="AL547" i="11"/>
  <c r="AO605" i="12"/>
  <c r="AL605" i="12" s="1"/>
  <c r="AM606" i="12"/>
  <c r="AN605" i="12"/>
  <c r="AQ605" i="12"/>
  <c r="AP605" i="12"/>
  <c r="F611" i="14"/>
  <c r="D609" i="14"/>
  <c r="AT547" i="11" l="1"/>
  <c r="AJ547" i="11"/>
  <c r="AR547" i="11"/>
  <c r="AQ547" i="11"/>
  <c r="AP548" i="11"/>
  <c r="AK549" i="11"/>
  <c r="AO548" i="11"/>
  <c r="AL548" i="11"/>
  <c r="AM548" i="11"/>
  <c r="AN548" i="11"/>
  <c r="D610" i="14"/>
  <c r="F612" i="14"/>
  <c r="AO606" i="12"/>
  <c r="AL606" i="12" s="1"/>
  <c r="AN606" i="12"/>
  <c r="AP606" i="12"/>
  <c r="AM607" i="12"/>
  <c r="AQ606" i="12"/>
  <c r="AT548" i="11" l="1"/>
  <c r="AJ548" i="11"/>
  <c r="AQ548" i="11"/>
  <c r="AR548" i="11"/>
  <c r="AL549" i="11"/>
  <c r="AO549" i="11"/>
  <c r="AN549" i="11"/>
  <c r="AP549" i="11"/>
  <c r="AK550" i="11"/>
  <c r="AM549" i="11"/>
  <c r="AO607" i="12"/>
  <c r="AL607" i="12" s="1"/>
  <c r="AM608" i="12"/>
  <c r="AP607" i="12"/>
  <c r="AQ607" i="12"/>
  <c r="AN607" i="12"/>
  <c r="F613" i="14"/>
  <c r="D611" i="14"/>
  <c r="AT549" i="11" l="1"/>
  <c r="AJ549" i="11"/>
  <c r="AM550" i="11"/>
  <c r="AP550" i="11"/>
  <c r="AL550" i="11"/>
  <c r="AO550" i="11"/>
  <c r="AK551" i="11"/>
  <c r="AN550" i="11"/>
  <c r="AR549" i="11"/>
  <c r="AQ549" i="11"/>
  <c r="D612" i="14"/>
  <c r="F614" i="14"/>
  <c r="AO608" i="12"/>
  <c r="AL608" i="12" s="1"/>
  <c r="AM609" i="12"/>
  <c r="AQ608" i="12"/>
  <c r="AP608" i="12"/>
  <c r="AN608" i="12"/>
  <c r="AT550" i="11" l="1"/>
  <c r="AJ550" i="11"/>
  <c r="AP551" i="11"/>
  <c r="AL551" i="11"/>
  <c r="AK552" i="11"/>
  <c r="AO551" i="11"/>
  <c r="AM551" i="11"/>
  <c r="AN551" i="11"/>
  <c r="AR550" i="11"/>
  <c r="AQ550" i="11"/>
  <c r="F615" i="14"/>
  <c r="D613" i="14"/>
  <c r="AO609" i="12"/>
  <c r="AL609" i="12" s="1"/>
  <c r="AM610" i="12"/>
  <c r="AN609" i="12"/>
  <c r="AQ609" i="12"/>
  <c r="AP609" i="12"/>
  <c r="AT551" i="11" l="1"/>
  <c r="AJ551" i="11"/>
  <c r="AM552" i="11"/>
  <c r="AP552" i="11"/>
  <c r="AN552" i="11"/>
  <c r="AO552" i="11"/>
  <c r="AK553" i="11"/>
  <c r="AL552" i="11"/>
  <c r="AQ551" i="11"/>
  <c r="AR551" i="11"/>
  <c r="AO610" i="12"/>
  <c r="AL610" i="12" s="1"/>
  <c r="AN610" i="12"/>
  <c r="AP610" i="12"/>
  <c r="AM611" i="12"/>
  <c r="AQ610" i="12"/>
  <c r="D614" i="14"/>
  <c r="F616" i="14"/>
  <c r="AT552" i="11" l="1"/>
  <c r="AJ552" i="11"/>
  <c r="AK554" i="11"/>
  <c r="AN553" i="11"/>
  <c r="AM553" i="11"/>
  <c r="AL553" i="11"/>
  <c r="AO553" i="11"/>
  <c r="AP553" i="11"/>
  <c r="AQ552" i="11"/>
  <c r="AR552" i="11"/>
  <c r="F617" i="14"/>
  <c r="D615" i="14"/>
  <c r="AO611" i="12"/>
  <c r="AL611" i="12" s="1"/>
  <c r="AM612" i="12"/>
  <c r="AP611" i="12"/>
  <c r="AQ611" i="12"/>
  <c r="AN611" i="12"/>
  <c r="AT553" i="11" l="1"/>
  <c r="AJ553" i="11"/>
  <c r="AR553" i="11"/>
  <c r="AQ553" i="11"/>
  <c r="AL554" i="11"/>
  <c r="AM554" i="11"/>
  <c r="AN554" i="11"/>
  <c r="AP554" i="11"/>
  <c r="AO554" i="11"/>
  <c r="AK555" i="11"/>
  <c r="D616" i="14"/>
  <c r="F618" i="14"/>
  <c r="AO612" i="12"/>
  <c r="AL612" i="12" s="1"/>
  <c r="AM613" i="12"/>
  <c r="AQ612" i="12"/>
  <c r="AP612" i="12"/>
  <c r="AN612" i="12"/>
  <c r="AT554" i="11" l="1"/>
  <c r="AJ554" i="11"/>
  <c r="AN555" i="11"/>
  <c r="AM555" i="11"/>
  <c r="AO555" i="11"/>
  <c r="AP555" i="11"/>
  <c r="AL555" i="11"/>
  <c r="AK556" i="11"/>
  <c r="AQ554" i="11"/>
  <c r="AR554" i="11"/>
  <c r="AO613" i="12"/>
  <c r="AL613" i="12" s="1"/>
  <c r="AM614" i="12"/>
  <c r="AN613" i="12"/>
  <c r="AP613" i="12"/>
  <c r="AQ613" i="12"/>
  <c r="F619" i="14"/>
  <c r="D617" i="14"/>
  <c r="AT555" i="11" l="1"/>
  <c r="AJ555" i="11"/>
  <c r="AL556" i="11"/>
  <c r="AN556" i="11"/>
  <c r="AP556" i="11"/>
  <c r="AO556" i="11"/>
  <c r="AM556" i="11"/>
  <c r="AK557" i="11"/>
  <c r="AR555" i="11"/>
  <c r="AQ555" i="11"/>
  <c r="D618" i="14"/>
  <c r="F620" i="14"/>
  <c r="AO614" i="12"/>
  <c r="AL614" i="12" s="1"/>
  <c r="AN614" i="12"/>
  <c r="AP614" i="12"/>
  <c r="AM615" i="12"/>
  <c r="AQ614" i="12"/>
  <c r="AT556" i="11" l="1"/>
  <c r="AJ556" i="11"/>
  <c r="AO557" i="11"/>
  <c r="AN557" i="11"/>
  <c r="AP557" i="11"/>
  <c r="AK558" i="11"/>
  <c r="AL557" i="11"/>
  <c r="AM557" i="11"/>
  <c r="AQ556" i="11"/>
  <c r="AR556" i="11"/>
  <c r="AO615" i="12"/>
  <c r="AL615" i="12" s="1"/>
  <c r="AM616" i="12"/>
  <c r="AP615" i="12"/>
  <c r="AQ615" i="12"/>
  <c r="AN615" i="12"/>
  <c r="F621" i="14"/>
  <c r="D619" i="14"/>
  <c r="AT557" i="11" l="1"/>
  <c r="AJ557" i="11"/>
  <c r="AL558" i="11"/>
  <c r="AK559" i="11"/>
  <c r="AO558" i="11"/>
  <c r="AP558" i="11"/>
  <c r="AN558" i="11"/>
  <c r="AM558" i="11"/>
  <c r="AQ557" i="11"/>
  <c r="AR557" i="11"/>
  <c r="D620" i="14"/>
  <c r="F622" i="14"/>
  <c r="AO616" i="12"/>
  <c r="AL616" i="12" s="1"/>
  <c r="AM617" i="12"/>
  <c r="AQ616" i="12"/>
  <c r="AP616" i="12"/>
  <c r="AN616" i="12"/>
  <c r="AT558" i="11" l="1"/>
  <c r="AJ558" i="11"/>
  <c r="AQ558" i="11"/>
  <c r="AR558" i="11"/>
  <c r="AO559" i="11"/>
  <c r="AP559" i="11"/>
  <c r="AK560" i="11"/>
  <c r="AL559" i="11"/>
  <c r="AN559" i="11"/>
  <c r="AM559" i="11"/>
  <c r="F623" i="14"/>
  <c r="D621" i="14"/>
  <c r="AO617" i="12"/>
  <c r="AL617" i="12" s="1"/>
  <c r="AM618" i="12"/>
  <c r="AN617" i="12"/>
  <c r="AQ617" i="12"/>
  <c r="AP617" i="12"/>
  <c r="AT559" i="11" l="1"/>
  <c r="AJ559" i="11"/>
  <c r="AL560" i="11"/>
  <c r="AK561" i="11"/>
  <c r="AM560" i="11"/>
  <c r="AN560" i="11"/>
  <c r="AO560" i="11"/>
  <c r="AP560" i="11"/>
  <c r="AQ559" i="11"/>
  <c r="AR559" i="11"/>
  <c r="AO618" i="12"/>
  <c r="AL618" i="12" s="1"/>
  <c r="AN618" i="12"/>
  <c r="AP618" i="12"/>
  <c r="AM619" i="12"/>
  <c r="AQ618" i="12"/>
  <c r="D622" i="14"/>
  <c r="F624" i="14"/>
  <c r="AT560" i="11" l="1"/>
  <c r="AJ560" i="11"/>
  <c r="AR560" i="11"/>
  <c r="AQ560" i="11"/>
  <c r="AK562" i="11"/>
  <c r="AN561" i="11"/>
  <c r="AP561" i="11"/>
  <c r="AL561" i="11"/>
  <c r="AM561" i="11"/>
  <c r="AO561" i="11"/>
  <c r="D623" i="14"/>
  <c r="F625" i="14"/>
  <c r="AO619" i="12"/>
  <c r="AL619" i="12" s="1"/>
  <c r="AM620" i="12"/>
  <c r="AP619" i="12"/>
  <c r="AQ619" i="12"/>
  <c r="AN619" i="12"/>
  <c r="AT561" i="11" l="1"/>
  <c r="AJ561" i="11"/>
  <c r="AL562" i="11"/>
  <c r="AK563" i="11"/>
  <c r="AO562" i="11"/>
  <c r="AN562" i="11"/>
  <c r="AP562" i="11"/>
  <c r="AM562" i="11"/>
  <c r="AR561" i="11"/>
  <c r="AQ561" i="11"/>
  <c r="F626" i="14"/>
  <c r="D624" i="14"/>
  <c r="AO620" i="12"/>
  <c r="AL620" i="12" s="1"/>
  <c r="AM621" i="12"/>
  <c r="AQ620" i="12"/>
  <c r="AP620" i="12"/>
  <c r="AN620" i="12"/>
  <c r="AT562" i="11" l="1"/>
  <c r="AJ562" i="11"/>
  <c r="AQ562" i="11"/>
  <c r="AR562" i="11"/>
  <c r="AN563" i="11"/>
  <c r="AP563" i="11"/>
  <c r="AM563" i="11"/>
  <c r="AO563" i="11"/>
  <c r="AL563" i="11"/>
  <c r="AK564" i="11"/>
  <c r="AO621" i="12"/>
  <c r="AL621" i="12" s="1"/>
  <c r="AM622" i="12"/>
  <c r="AN621" i="12"/>
  <c r="AP621" i="12"/>
  <c r="AQ621" i="12"/>
  <c r="D625" i="14"/>
  <c r="F627" i="14"/>
  <c r="AT563" i="11" l="1"/>
  <c r="AJ563" i="11"/>
  <c r="AR563" i="11"/>
  <c r="AQ563" i="11"/>
  <c r="AP564" i="11"/>
  <c r="AN564" i="11"/>
  <c r="AK565" i="11"/>
  <c r="AO564" i="11"/>
  <c r="AM564" i="11"/>
  <c r="AL564" i="11"/>
  <c r="F628" i="14"/>
  <c r="D626" i="14"/>
  <c r="AO622" i="12"/>
  <c r="AL622" i="12" s="1"/>
  <c r="AN622" i="12"/>
  <c r="AP622" i="12"/>
  <c r="AM623" i="12"/>
  <c r="AQ622" i="12"/>
  <c r="AT564" i="11" l="1"/>
  <c r="AJ564" i="11"/>
  <c r="AQ564" i="11"/>
  <c r="AR564" i="11"/>
  <c r="AO565" i="11"/>
  <c r="AK566" i="11"/>
  <c r="AL565" i="11"/>
  <c r="AN565" i="11"/>
  <c r="AP565" i="11"/>
  <c r="AM565" i="11"/>
  <c r="D627" i="14"/>
  <c r="F629" i="14"/>
  <c r="AO623" i="12"/>
  <c r="AL623" i="12" s="1"/>
  <c r="AM624" i="12"/>
  <c r="AP623" i="12"/>
  <c r="AQ623" i="12"/>
  <c r="AN623" i="12"/>
  <c r="AT565" i="11" l="1"/>
  <c r="AJ565" i="11"/>
  <c r="AR565" i="11"/>
  <c r="AQ565" i="11"/>
  <c r="AM566" i="11"/>
  <c r="AK567" i="11"/>
  <c r="AP566" i="11"/>
  <c r="AN566" i="11"/>
  <c r="AO566" i="11"/>
  <c r="AL566" i="11"/>
  <c r="F630" i="14"/>
  <c r="D628" i="14"/>
  <c r="AO624" i="12"/>
  <c r="AL624" i="12" s="1"/>
  <c r="AM625" i="12"/>
  <c r="AQ624" i="12"/>
  <c r="AN624" i="12"/>
  <c r="AP624" i="12"/>
  <c r="AT566" i="11" l="1"/>
  <c r="AJ566" i="11"/>
  <c r="AQ566" i="11"/>
  <c r="AR566" i="11"/>
  <c r="AK568" i="11"/>
  <c r="AL567" i="11"/>
  <c r="AN567" i="11"/>
  <c r="AO567" i="11"/>
  <c r="AP567" i="11"/>
  <c r="AM567" i="11"/>
  <c r="AO625" i="12"/>
  <c r="AL625" i="12" s="1"/>
  <c r="AM626" i="12"/>
  <c r="AN625" i="12"/>
  <c r="AQ625" i="12"/>
  <c r="AP625" i="12"/>
  <c r="D629" i="14"/>
  <c r="F631" i="14"/>
  <c r="AT567" i="11" l="1"/>
  <c r="AJ567" i="11"/>
  <c r="AK569" i="11"/>
  <c r="AN568" i="11"/>
  <c r="AL568" i="11"/>
  <c r="AM568" i="11"/>
  <c r="AP568" i="11"/>
  <c r="AO568" i="11"/>
  <c r="AR567" i="11"/>
  <c r="AQ567" i="11"/>
  <c r="F632" i="14"/>
  <c r="D630" i="14"/>
  <c r="AO626" i="12"/>
  <c r="AL626" i="12" s="1"/>
  <c r="AN626" i="12"/>
  <c r="AP626" i="12"/>
  <c r="AM627" i="12"/>
  <c r="AQ626" i="12"/>
  <c r="AT568" i="11" l="1"/>
  <c r="AJ568" i="11"/>
  <c r="AR568" i="11"/>
  <c r="AQ568" i="11"/>
  <c r="AO569" i="11"/>
  <c r="AK570" i="11"/>
  <c r="AN569" i="11"/>
  <c r="AL569" i="11"/>
  <c r="AP569" i="11"/>
  <c r="AM569" i="11"/>
  <c r="D631" i="14"/>
  <c r="F633" i="14"/>
  <c r="AO627" i="12"/>
  <c r="AL627" i="12" s="1"/>
  <c r="AM628" i="12"/>
  <c r="AP627" i="12"/>
  <c r="AQ627" i="12"/>
  <c r="AN627" i="12"/>
  <c r="AT569" i="11" l="1"/>
  <c r="AJ569" i="11"/>
  <c r="AR569" i="11"/>
  <c r="AQ569" i="11"/>
  <c r="AN570" i="11"/>
  <c r="AP570" i="11"/>
  <c r="AM570" i="11"/>
  <c r="AO570" i="11"/>
  <c r="AL570" i="11"/>
  <c r="AK571" i="11"/>
  <c r="F634" i="14"/>
  <c r="D632" i="14"/>
  <c r="AO628" i="12"/>
  <c r="AL628" i="12" s="1"/>
  <c r="AM629" i="12"/>
  <c r="AQ628" i="12"/>
  <c r="AP628" i="12"/>
  <c r="AN628" i="12"/>
  <c r="AT570" i="11" l="1"/>
  <c r="AJ570" i="11"/>
  <c r="AQ570" i="11"/>
  <c r="AR570" i="11"/>
  <c r="AM571" i="11"/>
  <c r="AO571" i="11"/>
  <c r="AL571" i="11"/>
  <c r="AN571" i="11"/>
  <c r="AK572" i="11"/>
  <c r="AP571" i="11"/>
  <c r="AO629" i="12"/>
  <c r="AL629" i="12" s="1"/>
  <c r="AM630" i="12"/>
  <c r="AN629" i="12"/>
  <c r="AQ629" i="12"/>
  <c r="AP629" i="12"/>
  <c r="D633" i="14"/>
  <c r="F635" i="14"/>
  <c r="AT571" i="11" l="1"/>
  <c r="AJ571" i="11"/>
  <c r="AL572" i="11"/>
  <c r="AK573" i="11"/>
  <c r="AN572" i="11"/>
  <c r="AO572" i="11"/>
  <c r="AP572" i="11"/>
  <c r="AM572" i="11"/>
  <c r="AQ571" i="11"/>
  <c r="AR571" i="11"/>
  <c r="F636" i="14"/>
  <c r="D634" i="14"/>
  <c r="AO630" i="12"/>
  <c r="AL630" i="12" s="1"/>
  <c r="AN630" i="12"/>
  <c r="AP630" i="12"/>
  <c r="AM631" i="12"/>
  <c r="AQ630" i="12"/>
  <c r="AT572" i="11" l="1"/>
  <c r="AJ572" i="11"/>
  <c r="AR572" i="11"/>
  <c r="AQ572" i="11"/>
  <c r="AL573" i="11"/>
  <c r="AO573" i="11"/>
  <c r="AK574" i="11"/>
  <c r="AP573" i="11"/>
  <c r="AM573" i="11"/>
  <c r="AN573" i="11"/>
  <c r="D635" i="14"/>
  <c r="F637" i="14"/>
  <c r="AO631" i="12"/>
  <c r="AL631" i="12" s="1"/>
  <c r="AM632" i="12"/>
  <c r="AP631" i="12"/>
  <c r="AQ631" i="12"/>
  <c r="AN631" i="12"/>
  <c r="AT573" i="11" l="1"/>
  <c r="AJ573" i="11"/>
  <c r="AQ573" i="11"/>
  <c r="AR573" i="11"/>
  <c r="AK575" i="11"/>
  <c r="AN574" i="11"/>
  <c r="AM574" i="11"/>
  <c r="AO574" i="11"/>
  <c r="AL574" i="11"/>
  <c r="AP574" i="11"/>
  <c r="F638" i="14"/>
  <c r="D636" i="14"/>
  <c r="AO632" i="12"/>
  <c r="AL632" i="12" s="1"/>
  <c r="AM633" i="12"/>
  <c r="AQ632" i="12"/>
  <c r="AN632" i="12"/>
  <c r="AP632" i="12"/>
  <c r="AT574" i="11" l="1"/>
  <c r="AJ574" i="11"/>
  <c r="AN575" i="11"/>
  <c r="AM575" i="11"/>
  <c r="AL575" i="11"/>
  <c r="AP575" i="11"/>
  <c r="AK576" i="11"/>
  <c r="AO575" i="11"/>
  <c r="AQ574" i="11"/>
  <c r="AR574" i="11"/>
  <c r="AO633" i="12"/>
  <c r="AL633" i="12" s="1"/>
  <c r="AM634" i="12"/>
  <c r="AN633" i="12"/>
  <c r="AQ633" i="12"/>
  <c r="AP633" i="12"/>
  <c r="D637" i="14"/>
  <c r="F639" i="14"/>
  <c r="AT575" i="11" l="1"/>
  <c r="AJ575" i="11"/>
  <c r="AQ575" i="11"/>
  <c r="AR575" i="11"/>
  <c r="AL576" i="11"/>
  <c r="AP576" i="11"/>
  <c r="AN576" i="11"/>
  <c r="AM576" i="11"/>
  <c r="AK577" i="11"/>
  <c r="AO576" i="11"/>
  <c r="F640" i="14"/>
  <c r="D638" i="14"/>
  <c r="AO634" i="12"/>
  <c r="AL634" i="12" s="1"/>
  <c r="AN634" i="12"/>
  <c r="AP634" i="12"/>
  <c r="AQ634" i="12"/>
  <c r="AM635" i="12"/>
  <c r="AT576" i="11" l="1"/>
  <c r="AJ576" i="11"/>
  <c r="AL577" i="11"/>
  <c r="AK578" i="11"/>
  <c r="AO577" i="11"/>
  <c r="AN577" i="11"/>
  <c r="AM577" i="11"/>
  <c r="AP577" i="11"/>
  <c r="AR576" i="11"/>
  <c r="AQ576" i="11"/>
  <c r="D639" i="14"/>
  <c r="AO635" i="12"/>
  <c r="AL635" i="12" s="1"/>
  <c r="AM636" i="12"/>
  <c r="AP635" i="12"/>
  <c r="AQ635" i="12"/>
  <c r="AN635" i="12"/>
  <c r="F641" i="14"/>
  <c r="AT577" i="11" l="1"/>
  <c r="AJ577" i="11"/>
  <c r="AM578" i="11"/>
  <c r="AN578" i="11"/>
  <c r="AP578" i="11"/>
  <c r="AO578" i="11"/>
  <c r="AL578" i="11"/>
  <c r="AK579" i="11"/>
  <c r="AQ577" i="11"/>
  <c r="AR577" i="11"/>
  <c r="F642" i="14"/>
  <c r="AO636" i="12"/>
  <c r="AL636" i="12" s="1"/>
  <c r="AM637" i="12"/>
  <c r="AQ636" i="12"/>
  <c r="AP636" i="12"/>
  <c r="AN636" i="12"/>
  <c r="D640" i="14"/>
  <c r="AT578" i="11" l="1"/>
  <c r="AJ578" i="11"/>
  <c r="AP579" i="11"/>
  <c r="AM579" i="11"/>
  <c r="AL579" i="11"/>
  <c r="AK580" i="11"/>
  <c r="AN579" i="11"/>
  <c r="AO579" i="11"/>
  <c r="AR578" i="11"/>
  <c r="AQ578" i="11"/>
  <c r="D641" i="14"/>
  <c r="F643" i="14"/>
  <c r="AO637" i="12"/>
  <c r="AL637" i="12" s="1"/>
  <c r="AM638" i="12"/>
  <c r="AN637" i="12"/>
  <c r="AQ637" i="12"/>
  <c r="AP637" i="12"/>
  <c r="AT579" i="11" l="1"/>
  <c r="AJ579" i="11"/>
  <c r="AL580" i="11"/>
  <c r="AP580" i="11"/>
  <c r="AK581" i="11"/>
  <c r="AM580" i="11"/>
  <c r="AO580" i="11"/>
  <c r="AN580" i="11"/>
  <c r="AQ579" i="11"/>
  <c r="AR579" i="11"/>
  <c r="AO638" i="12"/>
  <c r="AL638" i="12" s="1"/>
  <c r="AN638" i="12"/>
  <c r="AP638" i="12"/>
  <c r="AM639" i="12"/>
  <c r="AQ638" i="12"/>
  <c r="D642" i="14"/>
  <c r="F644" i="14"/>
  <c r="AT580" i="11" l="1"/>
  <c r="AJ580" i="11"/>
  <c r="AQ580" i="11"/>
  <c r="AR580" i="11"/>
  <c r="AM581" i="11"/>
  <c r="AP581" i="11"/>
  <c r="AN581" i="11"/>
  <c r="AK582" i="11"/>
  <c r="AL581" i="11"/>
  <c r="AO581" i="11"/>
  <c r="F645" i="14"/>
  <c r="D643" i="14"/>
  <c r="AO639" i="12"/>
  <c r="AL639" i="12" s="1"/>
  <c r="AM640" i="12"/>
  <c r="AP639" i="12"/>
  <c r="AQ639" i="12"/>
  <c r="AN639" i="12"/>
  <c r="AT581" i="11" l="1"/>
  <c r="AJ581" i="11"/>
  <c r="AR581" i="11"/>
  <c r="AQ581" i="11"/>
  <c r="AK583" i="11"/>
  <c r="AN582" i="11"/>
  <c r="AL582" i="11"/>
  <c r="AM582" i="11"/>
  <c r="AP582" i="11"/>
  <c r="AO582" i="11"/>
  <c r="AO640" i="12"/>
  <c r="AL640" i="12" s="1"/>
  <c r="AM641" i="12"/>
  <c r="AQ640" i="12"/>
  <c r="AN640" i="12"/>
  <c r="AP640" i="12"/>
  <c r="D644" i="14"/>
  <c r="F646" i="14"/>
  <c r="AT582" i="11" l="1"/>
  <c r="AJ582" i="11"/>
  <c r="AM583" i="11"/>
  <c r="AP583" i="11"/>
  <c r="AO583" i="11"/>
  <c r="AK584" i="11"/>
  <c r="AN583" i="11"/>
  <c r="AL583" i="11"/>
  <c r="AQ582" i="11"/>
  <c r="AR582" i="11"/>
  <c r="F647" i="14"/>
  <c r="D645" i="14"/>
  <c r="AO641" i="12"/>
  <c r="AL641" i="12" s="1"/>
  <c r="AM642" i="12"/>
  <c r="AN641" i="12"/>
  <c r="AQ641" i="12"/>
  <c r="AP641" i="12"/>
  <c r="AT583" i="11" l="1"/>
  <c r="AJ583" i="11"/>
  <c r="AM584" i="11"/>
  <c r="AP584" i="11"/>
  <c r="AL584" i="11"/>
  <c r="AN584" i="11"/>
  <c r="AO584" i="11"/>
  <c r="AK585" i="11"/>
  <c r="AQ583" i="11"/>
  <c r="AR583" i="11"/>
  <c r="AO642" i="12"/>
  <c r="AL642" i="12" s="1"/>
  <c r="AN642" i="12"/>
  <c r="AP642" i="12"/>
  <c r="AM643" i="12"/>
  <c r="AQ642" i="12"/>
  <c r="D646" i="14"/>
  <c r="F648" i="14"/>
  <c r="AT584" i="11" l="1"/>
  <c r="AJ584" i="11"/>
  <c r="AK586" i="11"/>
  <c r="AO585" i="11"/>
  <c r="AN585" i="11"/>
  <c r="AL585" i="11"/>
  <c r="AP585" i="11"/>
  <c r="AM585" i="11"/>
  <c r="AQ584" i="11"/>
  <c r="AR584" i="11"/>
  <c r="F649" i="14"/>
  <c r="D647" i="14"/>
  <c r="AO643" i="12"/>
  <c r="AL643" i="12" s="1"/>
  <c r="AM644" i="12"/>
  <c r="AP643" i="12"/>
  <c r="AQ643" i="12"/>
  <c r="AN643" i="12"/>
  <c r="AT585" i="11" l="1"/>
  <c r="AJ585" i="11"/>
  <c r="AR585" i="11"/>
  <c r="AQ585" i="11"/>
  <c r="AM586" i="11"/>
  <c r="AL586" i="11"/>
  <c r="AP586" i="11"/>
  <c r="AN586" i="11"/>
  <c r="AK587" i="11"/>
  <c r="AO586" i="11"/>
  <c r="D648" i="14"/>
  <c r="F650" i="14"/>
  <c r="AO644" i="12"/>
  <c r="AL644" i="12" s="1"/>
  <c r="AM645" i="12"/>
  <c r="AQ644" i="12"/>
  <c r="AP644" i="12"/>
  <c r="AN644" i="12"/>
  <c r="AT586" i="11" l="1"/>
  <c r="AJ586" i="11"/>
  <c r="AP587" i="11"/>
  <c r="AK588" i="11"/>
  <c r="AM587" i="11"/>
  <c r="AO587" i="11"/>
  <c r="AL587" i="11"/>
  <c r="AN587" i="11"/>
  <c r="AQ586" i="11"/>
  <c r="AR586" i="11"/>
  <c r="AO645" i="12"/>
  <c r="AL645" i="12" s="1"/>
  <c r="AM646" i="12"/>
  <c r="AN645" i="12"/>
  <c r="AP645" i="12"/>
  <c r="AQ645" i="12"/>
  <c r="F651" i="14"/>
  <c r="D649" i="14"/>
  <c r="AT587" i="11" l="1"/>
  <c r="AJ587" i="11"/>
  <c r="AR587" i="11"/>
  <c r="AQ587" i="11"/>
  <c r="AO588" i="11"/>
  <c r="AN588" i="11"/>
  <c r="AK589" i="11"/>
  <c r="AL588" i="11"/>
  <c r="AP588" i="11"/>
  <c r="AM588" i="11"/>
  <c r="D650" i="14"/>
  <c r="F652" i="14"/>
  <c r="AO646" i="12"/>
  <c r="AL646" i="12" s="1"/>
  <c r="AN646" i="12"/>
  <c r="AP646" i="12"/>
  <c r="AM647" i="12"/>
  <c r="AQ646" i="12"/>
  <c r="AT588" i="11" l="1"/>
  <c r="AJ588" i="11"/>
  <c r="AK590" i="11"/>
  <c r="AL589" i="11"/>
  <c r="AM589" i="11"/>
  <c r="AN589" i="11"/>
  <c r="AO589" i="11"/>
  <c r="AP589" i="11"/>
  <c r="AR588" i="11"/>
  <c r="AQ588" i="11"/>
  <c r="AO647" i="12"/>
  <c r="AL647" i="12" s="1"/>
  <c r="AM648" i="12"/>
  <c r="AP647" i="12"/>
  <c r="AQ647" i="12"/>
  <c r="AN647" i="12"/>
  <c r="F653" i="14"/>
  <c r="D651" i="14"/>
  <c r="AT589" i="11" l="1"/>
  <c r="AJ589" i="11"/>
  <c r="AR589" i="11"/>
  <c r="AQ589" i="11"/>
  <c r="AL590" i="11"/>
  <c r="AK591" i="11"/>
  <c r="AP590" i="11"/>
  <c r="AM590" i="11"/>
  <c r="AN590" i="11"/>
  <c r="AO590" i="11"/>
  <c r="D652" i="14"/>
  <c r="F654" i="14"/>
  <c r="AO648" i="12"/>
  <c r="AL648" i="12" s="1"/>
  <c r="AM649" i="12"/>
  <c r="AQ648" i="12"/>
  <c r="AP648" i="12"/>
  <c r="AN648" i="12"/>
  <c r="AT590" i="11" l="1"/>
  <c r="AJ590" i="11"/>
  <c r="AR590" i="11"/>
  <c r="AQ590" i="11"/>
  <c r="AK592" i="11"/>
  <c r="AL591" i="11"/>
  <c r="AP591" i="11"/>
  <c r="AO591" i="11"/>
  <c r="AM591" i="11"/>
  <c r="AN591" i="11"/>
  <c r="F655" i="14"/>
  <c r="D653" i="14"/>
  <c r="AO649" i="12"/>
  <c r="AL649" i="12" s="1"/>
  <c r="AM650" i="12"/>
  <c r="AN649" i="12"/>
  <c r="AQ649" i="12"/>
  <c r="AP649" i="12"/>
  <c r="AT591" i="11" l="1"/>
  <c r="AJ591" i="11"/>
  <c r="AP592" i="11"/>
  <c r="AM592" i="11"/>
  <c r="AL592" i="11"/>
  <c r="AK593" i="11"/>
  <c r="AN592" i="11"/>
  <c r="AO592" i="11"/>
  <c r="AR591" i="11"/>
  <c r="AQ591" i="11"/>
  <c r="AO650" i="12"/>
  <c r="AL650" i="12" s="1"/>
  <c r="AN650" i="12"/>
  <c r="AP650" i="12"/>
  <c r="AQ650" i="12"/>
  <c r="AM651" i="12"/>
  <c r="D654" i="14"/>
  <c r="F656" i="14"/>
  <c r="AT592" i="11" l="1"/>
  <c r="AJ592" i="11"/>
  <c r="AN593" i="11"/>
  <c r="AO593" i="11"/>
  <c r="AM593" i="11"/>
  <c r="AL593" i="11"/>
  <c r="AP593" i="11"/>
  <c r="AK594" i="11"/>
  <c r="AQ592" i="11"/>
  <c r="AR592" i="11"/>
  <c r="F657" i="14"/>
  <c r="D655" i="14"/>
  <c r="AO651" i="12"/>
  <c r="AL651" i="12" s="1"/>
  <c r="AM652" i="12"/>
  <c r="AP651" i="12"/>
  <c r="AQ651" i="12"/>
  <c r="AN651" i="12"/>
  <c r="AT593" i="11" l="1"/>
  <c r="AJ593" i="11"/>
  <c r="AR593" i="11"/>
  <c r="AQ593" i="11"/>
  <c r="AL594" i="11"/>
  <c r="AN594" i="11"/>
  <c r="AP594" i="11"/>
  <c r="AK595" i="11"/>
  <c r="AO594" i="11"/>
  <c r="AM594" i="11"/>
  <c r="AO652" i="12"/>
  <c r="AL652" i="12" s="1"/>
  <c r="AM653" i="12"/>
  <c r="AQ652" i="12"/>
  <c r="AP652" i="12"/>
  <c r="AN652" i="12"/>
  <c r="D656" i="14"/>
  <c r="F658" i="14"/>
  <c r="AT594" i="11" l="1"/>
  <c r="AJ594" i="11"/>
  <c r="AM595" i="11"/>
  <c r="AN595" i="11"/>
  <c r="AO595" i="11"/>
  <c r="AK596" i="11"/>
  <c r="AP595" i="11"/>
  <c r="AL595" i="11"/>
  <c r="AQ594" i="11"/>
  <c r="AR594" i="11"/>
  <c r="AO653" i="12"/>
  <c r="AL653" i="12" s="1"/>
  <c r="AM654" i="12"/>
  <c r="AN653" i="12"/>
  <c r="AP653" i="12"/>
  <c r="AQ653" i="12"/>
  <c r="F659" i="14"/>
  <c r="D657" i="14"/>
  <c r="AT595" i="11" l="1"/>
  <c r="AJ595" i="11"/>
  <c r="AL596" i="11"/>
  <c r="AK597" i="11"/>
  <c r="AM596" i="11"/>
  <c r="AP596" i="11"/>
  <c r="AN596" i="11"/>
  <c r="AO596" i="11"/>
  <c r="AR595" i="11"/>
  <c r="AQ595" i="11"/>
  <c r="D658" i="14"/>
  <c r="F660" i="14"/>
  <c r="AO654" i="12"/>
  <c r="AL654" i="12" s="1"/>
  <c r="AN654" i="12"/>
  <c r="AP654" i="12"/>
  <c r="AM655" i="12"/>
  <c r="AQ654" i="12"/>
  <c r="AT596" i="11" l="1"/>
  <c r="AJ596" i="11"/>
  <c r="AR596" i="11"/>
  <c r="AQ596" i="11"/>
  <c r="AM597" i="11"/>
  <c r="AO597" i="11"/>
  <c r="AP597" i="11"/>
  <c r="AK598" i="11"/>
  <c r="AL597" i="11"/>
  <c r="AN597" i="11"/>
  <c r="AO655" i="12"/>
  <c r="AL655" i="12" s="1"/>
  <c r="AM656" i="12"/>
  <c r="AP655" i="12"/>
  <c r="AQ655" i="12"/>
  <c r="AN655" i="12"/>
  <c r="D659" i="14"/>
  <c r="F661" i="14"/>
  <c r="AT597" i="11" l="1"/>
  <c r="AJ597" i="11"/>
  <c r="AR597" i="11"/>
  <c r="AQ597" i="11"/>
  <c r="AM598" i="11"/>
  <c r="AP598" i="11"/>
  <c r="AL598" i="11"/>
  <c r="AK599" i="11"/>
  <c r="AO598" i="11"/>
  <c r="AN598" i="11"/>
  <c r="D660" i="14"/>
  <c r="F662" i="14"/>
  <c r="AO656" i="12"/>
  <c r="AL656" i="12" s="1"/>
  <c r="AM657" i="12"/>
  <c r="AQ656" i="12"/>
  <c r="AN656" i="12"/>
  <c r="AP656" i="12"/>
  <c r="AT598" i="11" l="1"/>
  <c r="AJ598" i="11"/>
  <c r="AR598" i="11"/>
  <c r="AQ598" i="11"/>
  <c r="AK600" i="11"/>
  <c r="AP599" i="11"/>
  <c r="AO599" i="11"/>
  <c r="AL599" i="11"/>
  <c r="AM599" i="11"/>
  <c r="AN599" i="11"/>
  <c r="AO657" i="12"/>
  <c r="AL657" i="12" s="1"/>
  <c r="AM658" i="12"/>
  <c r="AN657" i="12"/>
  <c r="AQ657" i="12"/>
  <c r="AP657" i="12"/>
  <c r="F663" i="14"/>
  <c r="D661" i="14"/>
  <c r="AT599" i="11" l="1"/>
  <c r="AJ599" i="11"/>
  <c r="AR599" i="11"/>
  <c r="AQ599" i="11"/>
  <c r="AM600" i="11"/>
  <c r="AK601" i="11"/>
  <c r="AL600" i="11"/>
  <c r="AP600" i="11"/>
  <c r="AN600" i="11"/>
  <c r="AO600" i="11"/>
  <c r="D662" i="14"/>
  <c r="F664" i="14"/>
  <c r="AO658" i="12"/>
  <c r="AL658" i="12" s="1"/>
  <c r="AN658" i="12"/>
  <c r="AP658" i="12"/>
  <c r="AM659" i="12"/>
  <c r="AQ658" i="12"/>
  <c r="AT600" i="11" l="1"/>
  <c r="AJ600" i="11"/>
  <c r="AQ600" i="11"/>
  <c r="AR600" i="11"/>
  <c r="AO601" i="11"/>
  <c r="AL601" i="11"/>
  <c r="AP601" i="11"/>
  <c r="AN601" i="11"/>
  <c r="AK602" i="11"/>
  <c r="AM601" i="11"/>
  <c r="F665" i="14"/>
  <c r="D663" i="14"/>
  <c r="AO659" i="12"/>
  <c r="AL659" i="12" s="1"/>
  <c r="AM660" i="12"/>
  <c r="AP659" i="12"/>
  <c r="AQ659" i="12"/>
  <c r="AN659" i="12"/>
  <c r="AT601" i="11" l="1"/>
  <c r="AJ601" i="11"/>
  <c r="AK603" i="11"/>
  <c r="AM602" i="11"/>
  <c r="AL602" i="11"/>
  <c r="AO602" i="11"/>
  <c r="AN602" i="11"/>
  <c r="AP602" i="11"/>
  <c r="AQ601" i="11"/>
  <c r="AR601" i="11"/>
  <c r="AO660" i="12"/>
  <c r="AL660" i="12" s="1"/>
  <c r="AM661" i="12"/>
  <c r="AQ660" i="12"/>
  <c r="AP660" i="12"/>
  <c r="AN660" i="12"/>
  <c r="D664" i="14"/>
  <c r="F666" i="14"/>
  <c r="AT602" i="11" l="1"/>
  <c r="AJ602" i="11"/>
  <c r="AQ602" i="11"/>
  <c r="AR602" i="11"/>
  <c r="AM603" i="11"/>
  <c r="AL603" i="11"/>
  <c r="AO603" i="11"/>
  <c r="AN603" i="11"/>
  <c r="AK604" i="11"/>
  <c r="AP603" i="11"/>
  <c r="F667" i="14"/>
  <c r="D665" i="14"/>
  <c r="AO661" i="12"/>
  <c r="AL661" i="12" s="1"/>
  <c r="AM662" i="12"/>
  <c r="AN661" i="12"/>
  <c r="AQ661" i="12"/>
  <c r="AP661" i="12"/>
  <c r="AT603" i="11" l="1"/>
  <c r="AJ603" i="11"/>
  <c r="AP604" i="11"/>
  <c r="AK605" i="11"/>
  <c r="AN604" i="11"/>
  <c r="AM604" i="11"/>
  <c r="AO604" i="11"/>
  <c r="AL604" i="11"/>
  <c r="AR603" i="11"/>
  <c r="AQ603" i="11"/>
  <c r="AO662" i="12"/>
  <c r="AL662" i="12" s="1"/>
  <c r="AN662" i="12"/>
  <c r="AP662" i="12"/>
  <c r="AM663" i="12"/>
  <c r="AQ662" i="12"/>
  <c r="D666" i="14"/>
  <c r="F668" i="14"/>
  <c r="AT604" i="11" l="1"/>
  <c r="AJ604" i="11"/>
  <c r="AR604" i="11"/>
  <c r="AQ604" i="11"/>
  <c r="AM605" i="11"/>
  <c r="AN605" i="11"/>
  <c r="AO605" i="11"/>
  <c r="AK606" i="11"/>
  <c r="AP605" i="11"/>
  <c r="AL605" i="11"/>
  <c r="F669" i="14"/>
  <c r="D667" i="14"/>
  <c r="AO663" i="12"/>
  <c r="AL663" i="12" s="1"/>
  <c r="AM664" i="12"/>
  <c r="AP663" i="12"/>
  <c r="AQ663" i="12"/>
  <c r="AN663" i="12"/>
  <c r="AT605" i="11" l="1"/>
  <c r="AJ605" i="11"/>
  <c r="AQ605" i="11"/>
  <c r="AR605" i="11"/>
  <c r="AL606" i="11"/>
  <c r="AN606" i="11"/>
  <c r="AP606" i="11"/>
  <c r="AK607" i="11"/>
  <c r="AM606" i="11"/>
  <c r="AO606" i="11"/>
  <c r="AO664" i="12"/>
  <c r="AL664" i="12" s="1"/>
  <c r="AM665" i="12"/>
  <c r="AQ664" i="12"/>
  <c r="AN664" i="12"/>
  <c r="AP664" i="12"/>
  <c r="D668" i="14"/>
  <c r="F670" i="14"/>
  <c r="AT606" i="11" l="1"/>
  <c r="AJ606" i="11"/>
  <c r="AR606" i="11"/>
  <c r="AQ606" i="11"/>
  <c r="AO607" i="11"/>
  <c r="AN607" i="11"/>
  <c r="AK608" i="11"/>
  <c r="AP607" i="11"/>
  <c r="AL607" i="11"/>
  <c r="AM607" i="11"/>
  <c r="F671" i="14"/>
  <c r="D669" i="14"/>
  <c r="AO665" i="12"/>
  <c r="AL665" i="12" s="1"/>
  <c r="AM666" i="12"/>
  <c r="AN665" i="12"/>
  <c r="AQ665" i="12"/>
  <c r="AP665" i="12"/>
  <c r="AT607" i="11" l="1"/>
  <c r="AJ607" i="11"/>
  <c r="AP608" i="11"/>
  <c r="AN608" i="11"/>
  <c r="AO608" i="11"/>
  <c r="AL608" i="11"/>
  <c r="AK609" i="11"/>
  <c r="AM608" i="11"/>
  <c r="AQ607" i="11"/>
  <c r="AR607" i="11"/>
  <c r="AO666" i="12"/>
  <c r="AL666" i="12" s="1"/>
  <c r="AN666" i="12"/>
  <c r="AP666" i="12"/>
  <c r="AM667" i="12"/>
  <c r="AQ666" i="12"/>
  <c r="D670" i="14"/>
  <c r="F672" i="14"/>
  <c r="AT608" i="11" l="1"/>
  <c r="AJ608" i="11"/>
  <c r="AR608" i="11"/>
  <c r="AQ608" i="11"/>
  <c r="AL609" i="11"/>
  <c r="AK610" i="11"/>
  <c r="AM609" i="11"/>
  <c r="AN609" i="11"/>
  <c r="AP609" i="11"/>
  <c r="AO609" i="11"/>
  <c r="D671" i="14"/>
  <c r="F673" i="14"/>
  <c r="AO667" i="12"/>
  <c r="AL667" i="12" s="1"/>
  <c r="AM668" i="12"/>
  <c r="AP667" i="12"/>
  <c r="AQ667" i="12"/>
  <c r="AN667" i="12"/>
  <c r="AT609" i="11" l="1"/>
  <c r="AJ609" i="11"/>
  <c r="AQ609" i="11"/>
  <c r="AR609" i="11"/>
  <c r="AL610" i="11"/>
  <c r="AK611" i="11"/>
  <c r="AM610" i="11"/>
  <c r="AP610" i="11"/>
  <c r="AO610" i="11"/>
  <c r="AN610" i="11"/>
  <c r="D672" i="14"/>
  <c r="F674" i="14"/>
  <c r="AO668" i="12"/>
  <c r="AL668" i="12" s="1"/>
  <c r="AM669" i="12"/>
  <c r="AQ668" i="12"/>
  <c r="AP668" i="12"/>
  <c r="AN668" i="12"/>
  <c r="AT610" i="11" l="1"/>
  <c r="AJ610" i="11"/>
  <c r="AQ610" i="11"/>
  <c r="AR610" i="11"/>
  <c r="AL611" i="11"/>
  <c r="AN611" i="11"/>
  <c r="AK612" i="11"/>
  <c r="AP611" i="11"/>
  <c r="AO611" i="11"/>
  <c r="AM611" i="11"/>
  <c r="AO669" i="12"/>
  <c r="AL669" i="12" s="1"/>
  <c r="AM670" i="12"/>
  <c r="AN669" i="12"/>
  <c r="AQ669" i="12"/>
  <c r="AP669" i="12"/>
  <c r="F675" i="14"/>
  <c r="D673" i="14"/>
  <c r="AT611" i="11" l="1"/>
  <c r="AJ611" i="11"/>
  <c r="AL612" i="11"/>
  <c r="AO612" i="11"/>
  <c r="AP612" i="11"/>
  <c r="AK613" i="11"/>
  <c r="AN612" i="11"/>
  <c r="AM612" i="11"/>
  <c r="AQ611" i="11"/>
  <c r="AR611" i="11"/>
  <c r="D674" i="14"/>
  <c r="F676" i="14"/>
  <c r="AO670" i="12"/>
  <c r="AL670" i="12" s="1"/>
  <c r="AN670" i="12"/>
  <c r="AP670" i="12"/>
  <c r="AM671" i="12"/>
  <c r="AQ670" i="12"/>
  <c r="AT612" i="11" l="1"/>
  <c r="AJ612" i="11"/>
  <c r="AO613" i="11"/>
  <c r="AM613" i="11"/>
  <c r="AN613" i="11"/>
  <c r="AL613" i="11"/>
  <c r="AK614" i="11"/>
  <c r="AP613" i="11"/>
  <c r="AQ612" i="11"/>
  <c r="AR612" i="11"/>
  <c r="AO671" i="12"/>
  <c r="AL671" i="12" s="1"/>
  <c r="AM672" i="12"/>
  <c r="AP671" i="12"/>
  <c r="AQ671" i="12"/>
  <c r="AN671" i="12"/>
  <c r="F677" i="14"/>
  <c r="D675" i="14"/>
  <c r="AT613" i="11" l="1"/>
  <c r="AJ613" i="11"/>
  <c r="AR613" i="11"/>
  <c r="AQ613" i="11"/>
  <c r="AP614" i="11"/>
  <c r="AK615" i="11"/>
  <c r="AN614" i="11"/>
  <c r="AO614" i="11"/>
  <c r="AM614" i="11"/>
  <c r="AL614" i="11"/>
  <c r="D676" i="14"/>
  <c r="F678" i="14"/>
  <c r="AO672" i="12"/>
  <c r="AL672" i="12" s="1"/>
  <c r="AM673" i="12"/>
  <c r="AQ672" i="12"/>
  <c r="AN672" i="12"/>
  <c r="AP672" i="12"/>
  <c r="AT614" i="11" l="1"/>
  <c r="AJ614" i="11"/>
  <c r="AR614" i="11"/>
  <c r="AQ614" i="11"/>
  <c r="AK616" i="11"/>
  <c r="AN615" i="11"/>
  <c r="AL615" i="11"/>
  <c r="AO615" i="11"/>
  <c r="AP615" i="11"/>
  <c r="AM615" i="11"/>
  <c r="F679" i="14"/>
  <c r="D677" i="14"/>
  <c r="AO673" i="12"/>
  <c r="AL673" i="12" s="1"/>
  <c r="AM674" i="12"/>
  <c r="AN673" i="12"/>
  <c r="AQ673" i="12"/>
  <c r="AP673" i="12"/>
  <c r="AT615" i="11" l="1"/>
  <c r="AJ615" i="11"/>
  <c r="AN616" i="11"/>
  <c r="AL616" i="11"/>
  <c r="AP616" i="11"/>
  <c r="AK617" i="11"/>
  <c r="AO616" i="11"/>
  <c r="AM616" i="11"/>
  <c r="AQ615" i="11"/>
  <c r="AR615" i="11"/>
  <c r="AO674" i="12"/>
  <c r="AL674" i="12" s="1"/>
  <c r="AN674" i="12"/>
  <c r="AP674" i="12"/>
  <c r="AM675" i="12"/>
  <c r="AQ674" i="12"/>
  <c r="D678" i="14"/>
  <c r="F680" i="14"/>
  <c r="AT616" i="11" l="1"/>
  <c r="AJ616" i="11"/>
  <c r="AO617" i="11"/>
  <c r="AL617" i="11"/>
  <c r="AP617" i="11"/>
  <c r="AK618" i="11"/>
  <c r="AN617" i="11"/>
  <c r="AM617" i="11"/>
  <c r="AR616" i="11"/>
  <c r="AQ616" i="11"/>
  <c r="F681" i="14"/>
  <c r="D679" i="14"/>
  <c r="AO675" i="12"/>
  <c r="AL675" i="12" s="1"/>
  <c r="AM676" i="12"/>
  <c r="AP675" i="12"/>
  <c r="AQ675" i="12"/>
  <c r="AN675" i="12"/>
  <c r="AT617" i="11" l="1"/>
  <c r="AJ617" i="11"/>
  <c r="AO618" i="11"/>
  <c r="AM618" i="11"/>
  <c r="AP618" i="11"/>
  <c r="AL618" i="11"/>
  <c r="AK619" i="11"/>
  <c r="AN618" i="11"/>
  <c r="AR617" i="11"/>
  <c r="AQ617" i="11"/>
  <c r="D680" i="14"/>
  <c r="F682" i="14"/>
  <c r="AO676" i="12"/>
  <c r="AL676" i="12" s="1"/>
  <c r="AM677" i="12"/>
  <c r="AQ676" i="12"/>
  <c r="AP676" i="12"/>
  <c r="AN676" i="12"/>
  <c r="AT618" i="11" l="1"/>
  <c r="AJ618" i="11"/>
  <c r="AR618" i="11"/>
  <c r="AQ618" i="11"/>
  <c r="AM619" i="11"/>
  <c r="AN619" i="11"/>
  <c r="AP619" i="11"/>
  <c r="AO619" i="11"/>
  <c r="AK620" i="11"/>
  <c r="AL619" i="11"/>
  <c r="AO677" i="12"/>
  <c r="AL677" i="12" s="1"/>
  <c r="AM678" i="12"/>
  <c r="AN677" i="12"/>
  <c r="AP677" i="12"/>
  <c r="AQ677" i="12"/>
  <c r="F683" i="14"/>
  <c r="D681" i="14"/>
  <c r="AT619" i="11" l="1"/>
  <c r="AJ619" i="11"/>
  <c r="AN620" i="11"/>
  <c r="AP620" i="11"/>
  <c r="AL620" i="11"/>
  <c r="AK621" i="11"/>
  <c r="AM620" i="11"/>
  <c r="AO620" i="11"/>
  <c r="AQ619" i="11"/>
  <c r="AR619" i="11"/>
  <c r="D682" i="14"/>
  <c r="F684" i="14"/>
  <c r="AO678" i="12"/>
  <c r="AL678" i="12" s="1"/>
  <c r="AN678" i="12"/>
  <c r="AP678" i="12"/>
  <c r="AM679" i="12"/>
  <c r="AQ678" i="12"/>
  <c r="AT620" i="11" l="1"/>
  <c r="AJ620" i="11"/>
  <c r="AP621" i="11"/>
  <c r="AL621" i="11"/>
  <c r="AM621" i="11"/>
  <c r="AN621" i="11"/>
  <c r="AK622" i="11"/>
  <c r="AO621" i="11"/>
  <c r="AR620" i="11"/>
  <c r="AQ620" i="11"/>
  <c r="AO679" i="12"/>
  <c r="AL679" i="12" s="1"/>
  <c r="AM680" i="12"/>
  <c r="AP679" i="12"/>
  <c r="AQ679" i="12"/>
  <c r="AN679" i="12"/>
  <c r="F685" i="14"/>
  <c r="D683" i="14"/>
  <c r="AT621" i="11" l="1"/>
  <c r="AJ621" i="11"/>
  <c r="AR621" i="11"/>
  <c r="AQ621" i="11"/>
  <c r="AO622" i="11"/>
  <c r="AN622" i="11"/>
  <c r="AL622" i="11"/>
  <c r="AM622" i="11"/>
  <c r="AP622" i="11"/>
  <c r="AK623" i="11"/>
  <c r="D684" i="14"/>
  <c r="F686" i="14"/>
  <c r="AO680" i="12"/>
  <c r="AL680" i="12" s="1"/>
  <c r="AM681" i="12"/>
  <c r="AQ680" i="12"/>
  <c r="AP680" i="12"/>
  <c r="AN680" i="12"/>
  <c r="AT622" i="11" l="1"/>
  <c r="AJ622" i="11"/>
  <c r="AR622" i="11"/>
  <c r="AQ622" i="11"/>
  <c r="AO623" i="11"/>
  <c r="AP623" i="11"/>
  <c r="AM623" i="11"/>
  <c r="AL623" i="11"/>
  <c r="AK624" i="11"/>
  <c r="AN623" i="11"/>
  <c r="F687" i="14"/>
  <c r="D685" i="14"/>
  <c r="AO681" i="12"/>
  <c r="AL681" i="12" s="1"/>
  <c r="AM682" i="12"/>
  <c r="AN681" i="12"/>
  <c r="AQ681" i="12"/>
  <c r="AP681" i="12"/>
  <c r="AT623" i="11" l="1"/>
  <c r="AJ623" i="11"/>
  <c r="AN624" i="11"/>
  <c r="AO624" i="11"/>
  <c r="AP624" i="11"/>
  <c r="AL624" i="11"/>
  <c r="AK625" i="11"/>
  <c r="AM624" i="11"/>
  <c r="AR623" i="11"/>
  <c r="AQ623" i="11"/>
  <c r="AO682" i="12"/>
  <c r="AL682" i="12" s="1"/>
  <c r="AN682" i="12"/>
  <c r="AP682" i="12"/>
  <c r="AM683" i="12"/>
  <c r="AQ682" i="12"/>
  <c r="D686" i="14"/>
  <c r="F688" i="14"/>
  <c r="AT624" i="11" l="1"/>
  <c r="AJ624" i="11"/>
  <c r="AQ624" i="11"/>
  <c r="AR624" i="11"/>
  <c r="AP625" i="11"/>
  <c r="AL625" i="11"/>
  <c r="AO625" i="11"/>
  <c r="AM625" i="11"/>
  <c r="AN625" i="11"/>
  <c r="AK626" i="11"/>
  <c r="D687" i="14"/>
  <c r="F689" i="14"/>
  <c r="AO683" i="12"/>
  <c r="AL683" i="12" s="1"/>
  <c r="AM684" i="12"/>
  <c r="AP683" i="12"/>
  <c r="AQ683" i="12"/>
  <c r="AN683" i="12"/>
  <c r="AT625" i="11" l="1"/>
  <c r="AJ625" i="11"/>
  <c r="AQ625" i="11"/>
  <c r="AR625" i="11"/>
  <c r="AN626" i="11"/>
  <c r="AM626" i="11"/>
  <c r="AL626" i="11"/>
  <c r="AP626" i="11"/>
  <c r="AO626" i="11"/>
  <c r="AK627" i="11"/>
  <c r="D688" i="14"/>
  <c r="F690" i="14"/>
  <c r="AO684" i="12"/>
  <c r="AL684" i="12" s="1"/>
  <c r="AM685" i="12"/>
  <c r="AQ684" i="12"/>
  <c r="AP684" i="12"/>
  <c r="AN684" i="12"/>
  <c r="AT626" i="11" l="1"/>
  <c r="AJ626" i="11"/>
  <c r="AM627" i="11"/>
  <c r="AN627" i="11"/>
  <c r="AK628" i="11"/>
  <c r="AP627" i="11"/>
  <c r="AO627" i="11"/>
  <c r="AL627" i="11"/>
  <c r="AQ626" i="11"/>
  <c r="AR626" i="11"/>
  <c r="AO685" i="12"/>
  <c r="AL685" i="12" s="1"/>
  <c r="AM686" i="12"/>
  <c r="AN685" i="12"/>
  <c r="AP685" i="12"/>
  <c r="AQ685" i="12"/>
  <c r="F691" i="14"/>
  <c r="D689" i="14"/>
  <c r="AT627" i="11" l="1"/>
  <c r="AJ627" i="11"/>
  <c r="AK629" i="11"/>
  <c r="AN628" i="11"/>
  <c r="AL628" i="11"/>
  <c r="AP628" i="11"/>
  <c r="AO628" i="11"/>
  <c r="AM628" i="11"/>
  <c r="AQ627" i="11"/>
  <c r="AR627" i="11"/>
  <c r="D690" i="14"/>
  <c r="F692" i="14"/>
  <c r="AO686" i="12"/>
  <c r="AL686" i="12" s="1"/>
  <c r="AN686" i="12"/>
  <c r="AP686" i="12"/>
  <c r="AM687" i="12"/>
  <c r="AQ686" i="12"/>
  <c r="AT628" i="11" l="1"/>
  <c r="AJ628" i="11"/>
  <c r="AQ628" i="11"/>
  <c r="AR628" i="11"/>
  <c r="AP629" i="11"/>
  <c r="AN629" i="11"/>
  <c r="AO629" i="11"/>
  <c r="AL629" i="11"/>
  <c r="AK630" i="11"/>
  <c r="AM629" i="11"/>
  <c r="AO687" i="12"/>
  <c r="AL687" i="12" s="1"/>
  <c r="AM688" i="12"/>
  <c r="AP687" i="12"/>
  <c r="AQ687" i="12"/>
  <c r="AN687" i="12"/>
  <c r="F693" i="14"/>
  <c r="D691" i="14"/>
  <c r="AT629" i="11" l="1"/>
  <c r="AJ629" i="11"/>
  <c r="AL630" i="11"/>
  <c r="AM630" i="11"/>
  <c r="AK631" i="11"/>
  <c r="AN630" i="11"/>
  <c r="AP630" i="11"/>
  <c r="AO630" i="11"/>
  <c r="AR629" i="11"/>
  <c r="AQ629" i="11"/>
  <c r="D692" i="14"/>
  <c r="F694" i="14"/>
  <c r="AO688" i="12"/>
  <c r="AL688" i="12" s="1"/>
  <c r="AM689" i="12"/>
  <c r="AQ688" i="12"/>
  <c r="AN688" i="12"/>
  <c r="AP688" i="12"/>
  <c r="AT630" i="11" l="1"/>
  <c r="AJ630" i="11"/>
  <c r="AM631" i="11"/>
  <c r="AK632" i="11"/>
  <c r="AP631" i="11"/>
  <c r="AL631" i="11"/>
  <c r="AN631" i="11"/>
  <c r="AO631" i="11"/>
  <c r="AQ630" i="11"/>
  <c r="AR630" i="11"/>
  <c r="F695" i="14"/>
  <c r="D693" i="14"/>
  <c r="AO689" i="12"/>
  <c r="AL689" i="12" s="1"/>
  <c r="AM690" i="12"/>
  <c r="AN689" i="12"/>
  <c r="AQ689" i="12"/>
  <c r="AP689" i="12"/>
  <c r="AT631" i="11" l="1"/>
  <c r="AJ631" i="11"/>
  <c r="AK633" i="11"/>
  <c r="AO632" i="11"/>
  <c r="AM632" i="11"/>
  <c r="AL632" i="11"/>
  <c r="AN632" i="11"/>
  <c r="AP632" i="11"/>
  <c r="AQ631" i="11"/>
  <c r="AR631" i="11"/>
  <c r="AO690" i="12"/>
  <c r="AL690" i="12" s="1"/>
  <c r="AN690" i="12"/>
  <c r="AP690" i="12"/>
  <c r="AM691" i="12"/>
  <c r="AQ690" i="12"/>
  <c r="D694" i="14"/>
  <c r="F696" i="14"/>
  <c r="AT632" i="11" l="1"/>
  <c r="AJ632" i="11"/>
  <c r="AQ632" i="11"/>
  <c r="AR632" i="11"/>
  <c r="AP633" i="11"/>
  <c r="AM633" i="11"/>
  <c r="AN633" i="11"/>
  <c r="AK634" i="11"/>
  <c r="AL633" i="11"/>
  <c r="AO633" i="11"/>
  <c r="F697" i="14"/>
  <c r="D695" i="14"/>
  <c r="AO691" i="12"/>
  <c r="AL691" i="12" s="1"/>
  <c r="AM692" i="12"/>
  <c r="AP691" i="12"/>
  <c r="AQ691" i="12"/>
  <c r="AN691" i="12"/>
  <c r="AT633" i="11" l="1"/>
  <c r="AJ633" i="11"/>
  <c r="AP634" i="11"/>
  <c r="AK635" i="11"/>
  <c r="AM634" i="11"/>
  <c r="AN634" i="11"/>
  <c r="AL634" i="11"/>
  <c r="AO634" i="11"/>
  <c r="AQ633" i="11"/>
  <c r="AR633" i="11"/>
  <c r="D696" i="14"/>
  <c r="F698" i="14"/>
  <c r="AO692" i="12"/>
  <c r="AL692" i="12" s="1"/>
  <c r="AM693" i="12"/>
  <c r="AQ692" i="12"/>
  <c r="AP692" i="12"/>
  <c r="AN692" i="12"/>
  <c r="AT634" i="11" l="1"/>
  <c r="AJ634" i="11"/>
  <c r="AR634" i="11"/>
  <c r="AQ634" i="11"/>
  <c r="AN635" i="11"/>
  <c r="AO635" i="11"/>
  <c r="AP635" i="11"/>
  <c r="AL635" i="11"/>
  <c r="AM635" i="11"/>
  <c r="AK636" i="11"/>
  <c r="AO693" i="12"/>
  <c r="AL693" i="12" s="1"/>
  <c r="AM694" i="12"/>
  <c r="AN693" i="12"/>
  <c r="AP693" i="12"/>
  <c r="AQ693" i="12"/>
  <c r="F699" i="14"/>
  <c r="D697" i="14"/>
  <c r="AT635" i="11" l="1"/>
  <c r="AJ635" i="11"/>
  <c r="AR635" i="11"/>
  <c r="AQ635" i="11"/>
  <c r="AK637" i="11"/>
  <c r="AL636" i="11"/>
  <c r="AN636" i="11"/>
  <c r="AM636" i="11"/>
  <c r="AP636" i="11"/>
  <c r="AO636" i="11"/>
  <c r="D698" i="14"/>
  <c r="F700" i="14"/>
  <c r="AO694" i="12"/>
  <c r="AL694" i="12" s="1"/>
  <c r="AN694" i="12"/>
  <c r="AP694" i="12"/>
  <c r="AM695" i="12"/>
  <c r="AQ694" i="12"/>
  <c r="AT636" i="11" l="1"/>
  <c r="AJ636" i="11"/>
  <c r="AL637" i="11"/>
  <c r="AM637" i="11"/>
  <c r="AP637" i="11"/>
  <c r="AN637" i="11"/>
  <c r="AO637" i="11"/>
  <c r="AK638" i="11"/>
  <c r="AQ636" i="11"/>
  <c r="AR636" i="11"/>
  <c r="AO695" i="12"/>
  <c r="AL695" i="12" s="1"/>
  <c r="AM696" i="12"/>
  <c r="AP695" i="12"/>
  <c r="AQ695" i="12"/>
  <c r="AN695" i="12"/>
  <c r="F701" i="14"/>
  <c r="D699" i="14"/>
  <c r="AT637" i="11" l="1"/>
  <c r="AJ637" i="11"/>
  <c r="AP638" i="11"/>
  <c r="AL638" i="11"/>
  <c r="AM638" i="11"/>
  <c r="AO638" i="11"/>
  <c r="AK639" i="11"/>
  <c r="AN638" i="11"/>
  <c r="AQ637" i="11"/>
  <c r="AR637" i="11"/>
  <c r="D700" i="14"/>
  <c r="F702" i="14"/>
  <c r="AO696" i="12"/>
  <c r="AL696" i="12" s="1"/>
  <c r="AM697" i="12"/>
  <c r="AQ696" i="12"/>
  <c r="AN696" i="12"/>
  <c r="AP696" i="12"/>
  <c r="AT638" i="11" l="1"/>
  <c r="AJ638" i="11"/>
  <c r="AR638" i="11"/>
  <c r="AQ638" i="11"/>
  <c r="AK640" i="11"/>
  <c r="AO639" i="11"/>
  <c r="AP639" i="11"/>
  <c r="AN639" i="11"/>
  <c r="AM639" i="11"/>
  <c r="AL639" i="11"/>
  <c r="F703" i="14"/>
  <c r="D701" i="14"/>
  <c r="AO697" i="12"/>
  <c r="AL697" i="12" s="1"/>
  <c r="AM698" i="12"/>
  <c r="AN697" i="12"/>
  <c r="AQ697" i="12"/>
  <c r="AP697" i="12"/>
  <c r="AT639" i="11" l="1"/>
  <c r="AJ639" i="11"/>
  <c r="AM640" i="11"/>
  <c r="AP640" i="11"/>
  <c r="AK641" i="11"/>
  <c r="AL640" i="11"/>
  <c r="AO640" i="11"/>
  <c r="AN640" i="11"/>
  <c r="AQ639" i="11"/>
  <c r="AR639" i="11"/>
  <c r="AO698" i="12"/>
  <c r="AL698" i="12" s="1"/>
  <c r="AN698" i="12"/>
  <c r="AP698" i="12"/>
  <c r="AQ698" i="12"/>
  <c r="AM699" i="12"/>
  <c r="D702" i="14"/>
  <c r="F704" i="14"/>
  <c r="AT640" i="11" l="1"/>
  <c r="AJ640" i="11"/>
  <c r="AK642" i="11"/>
  <c r="AO641" i="11"/>
  <c r="AN641" i="11"/>
  <c r="AL641" i="11"/>
  <c r="AM641" i="11"/>
  <c r="AP641" i="11"/>
  <c r="AQ640" i="11"/>
  <c r="AR640" i="11"/>
  <c r="F705" i="14"/>
  <c r="D703" i="14"/>
  <c r="AO699" i="12"/>
  <c r="AL699" i="12" s="1"/>
  <c r="AM700" i="12"/>
  <c r="AP699" i="12"/>
  <c r="AQ699" i="12"/>
  <c r="AN699" i="12"/>
  <c r="AT641" i="11" l="1"/>
  <c r="AJ641" i="11"/>
  <c r="AQ641" i="11"/>
  <c r="AR641" i="11"/>
  <c r="AP642" i="11"/>
  <c r="AN642" i="11"/>
  <c r="AO642" i="11"/>
  <c r="AK643" i="11"/>
  <c r="AM642" i="11"/>
  <c r="AL642" i="11"/>
  <c r="AO700" i="12"/>
  <c r="AL700" i="12" s="1"/>
  <c r="AM701" i="12"/>
  <c r="AQ700" i="12"/>
  <c r="AP700" i="12"/>
  <c r="AN700" i="12"/>
  <c r="D704" i="14"/>
  <c r="F706" i="14"/>
  <c r="AT642" i="11" l="1"/>
  <c r="AJ642" i="11"/>
  <c r="AR642" i="11"/>
  <c r="AQ642" i="11"/>
  <c r="AL643" i="11"/>
  <c r="AP643" i="11"/>
  <c r="AO643" i="11"/>
  <c r="AN643" i="11"/>
  <c r="AM643" i="11"/>
  <c r="AK644" i="11"/>
  <c r="F707" i="14"/>
  <c r="D705" i="14"/>
  <c r="AO701" i="12"/>
  <c r="AL701" i="12" s="1"/>
  <c r="AM702" i="12"/>
  <c r="AN701" i="12"/>
  <c r="AQ701" i="12"/>
  <c r="AP701" i="12"/>
  <c r="AT643" i="11" l="1"/>
  <c r="AJ643" i="11"/>
  <c r="AR643" i="11"/>
  <c r="AQ643" i="11"/>
  <c r="AL644" i="11"/>
  <c r="AP644" i="11"/>
  <c r="AN644" i="11"/>
  <c r="AO644" i="11"/>
  <c r="AK645" i="11"/>
  <c r="AM644" i="11"/>
  <c r="AO702" i="12"/>
  <c r="AL702" i="12" s="1"/>
  <c r="AN702" i="12"/>
  <c r="AP702" i="12"/>
  <c r="AM703" i="12"/>
  <c r="AQ702" i="12"/>
  <c r="D706" i="14"/>
  <c r="F708" i="14"/>
  <c r="AT644" i="11" l="1"/>
  <c r="AJ644" i="11"/>
  <c r="AK646" i="11"/>
  <c r="AO645" i="11"/>
  <c r="AP645" i="11"/>
  <c r="AN645" i="11"/>
  <c r="AM645" i="11"/>
  <c r="AL645" i="11"/>
  <c r="AQ644" i="11"/>
  <c r="AR644" i="11"/>
  <c r="F709" i="14"/>
  <c r="D707" i="14"/>
  <c r="AO703" i="12"/>
  <c r="AL703" i="12" s="1"/>
  <c r="AM704" i="12"/>
  <c r="AP703" i="12"/>
  <c r="AQ703" i="12"/>
  <c r="AN703" i="12"/>
  <c r="AT645" i="11" l="1"/>
  <c r="AJ645" i="11"/>
  <c r="AR645" i="11"/>
  <c r="AQ645" i="11"/>
  <c r="AO646" i="11"/>
  <c r="AP646" i="11"/>
  <c r="AN646" i="11"/>
  <c r="AL646" i="11"/>
  <c r="AK647" i="11"/>
  <c r="AM646" i="11"/>
  <c r="AO704" i="12"/>
  <c r="AL704" i="12" s="1"/>
  <c r="AM705" i="12"/>
  <c r="AQ704" i="12"/>
  <c r="AP704" i="12"/>
  <c r="AN704" i="12"/>
  <c r="D708" i="14"/>
  <c r="F710" i="14"/>
  <c r="AT646" i="11" l="1"/>
  <c r="AJ646" i="11"/>
  <c r="AN647" i="11"/>
  <c r="AO647" i="11"/>
  <c r="AM647" i="11"/>
  <c r="AK648" i="11"/>
  <c r="AP647" i="11"/>
  <c r="AL647" i="11"/>
  <c r="AQ646" i="11"/>
  <c r="AR646" i="11"/>
  <c r="F711" i="14"/>
  <c r="D709" i="14"/>
  <c r="AO705" i="12"/>
  <c r="AL705" i="12" s="1"/>
  <c r="AM706" i="12"/>
  <c r="AN705" i="12"/>
  <c r="AQ705" i="12"/>
  <c r="AP705" i="12"/>
  <c r="AT647" i="11" l="1"/>
  <c r="AJ647" i="11"/>
  <c r="AL648" i="11"/>
  <c r="AO648" i="11"/>
  <c r="AP648" i="11"/>
  <c r="AK649" i="11"/>
  <c r="AN648" i="11"/>
  <c r="AM648" i="11"/>
  <c r="AQ647" i="11"/>
  <c r="AR647" i="11"/>
  <c r="AO706" i="12"/>
  <c r="AL706" i="12" s="1"/>
  <c r="AN706" i="12"/>
  <c r="AP706" i="12"/>
  <c r="AM707" i="12"/>
  <c r="AQ706" i="12"/>
  <c r="D710" i="14"/>
  <c r="F712" i="14"/>
  <c r="AT648" i="11" l="1"/>
  <c r="AJ648" i="11"/>
  <c r="AO649" i="11"/>
  <c r="AK650" i="11"/>
  <c r="AP649" i="11"/>
  <c r="AM649" i="11"/>
  <c r="AL649" i="11"/>
  <c r="AN649" i="11"/>
  <c r="AR648" i="11"/>
  <c r="AQ648" i="11"/>
  <c r="F713" i="14"/>
  <c r="D711" i="14"/>
  <c r="AO707" i="12"/>
  <c r="AL707" i="12" s="1"/>
  <c r="AM708" i="12"/>
  <c r="AP707" i="12"/>
  <c r="AQ707" i="12"/>
  <c r="AN707" i="12"/>
  <c r="AT649" i="11" l="1"/>
  <c r="AJ649" i="11"/>
  <c r="AQ649" i="11"/>
  <c r="AR649" i="11"/>
  <c r="AO650" i="11"/>
  <c r="AN650" i="11"/>
  <c r="AP650" i="11"/>
  <c r="AL650" i="11"/>
  <c r="AM650" i="11"/>
  <c r="AK651" i="11"/>
  <c r="D712" i="14"/>
  <c r="F714" i="14"/>
  <c r="AO708" i="12"/>
  <c r="AL708" i="12" s="1"/>
  <c r="AM709" i="12"/>
  <c r="AQ708" i="12"/>
  <c r="AP708" i="12"/>
  <c r="AN708" i="12"/>
  <c r="AT650" i="11" l="1"/>
  <c r="AJ650" i="11"/>
  <c r="AR650" i="11"/>
  <c r="AQ650" i="11"/>
  <c r="AP651" i="11"/>
  <c r="AO651" i="11"/>
  <c r="AN651" i="11"/>
  <c r="AM651" i="11"/>
  <c r="AK652" i="11"/>
  <c r="AL651" i="11"/>
  <c r="AO709" i="12"/>
  <c r="AL709" i="12" s="1"/>
  <c r="AM710" i="12"/>
  <c r="AN709" i="12"/>
  <c r="AP709" i="12"/>
  <c r="AQ709" i="12"/>
  <c r="F715" i="14"/>
  <c r="D713" i="14"/>
  <c r="AT651" i="11" l="1"/>
  <c r="AJ651" i="11"/>
  <c r="AP652" i="11"/>
  <c r="AK653" i="11"/>
  <c r="AO652" i="11"/>
  <c r="AL652" i="11"/>
  <c r="AN652" i="11"/>
  <c r="AM652" i="11"/>
  <c r="AQ651" i="11"/>
  <c r="AR651" i="11"/>
  <c r="D714" i="14"/>
  <c r="F716" i="14"/>
  <c r="AO710" i="12"/>
  <c r="AL710" i="12" s="1"/>
  <c r="AN710" i="12"/>
  <c r="AP710" i="12"/>
  <c r="AM711" i="12"/>
  <c r="AQ710" i="12"/>
  <c r="AT652" i="11" l="1"/>
  <c r="AJ652" i="11"/>
  <c r="AQ652" i="11"/>
  <c r="AR652" i="11"/>
  <c r="AM653" i="11"/>
  <c r="AK654" i="11"/>
  <c r="AO653" i="11"/>
  <c r="AN653" i="11"/>
  <c r="AL653" i="11"/>
  <c r="AP653" i="11"/>
  <c r="AO711" i="12"/>
  <c r="AL711" i="12" s="1"/>
  <c r="AM712" i="12"/>
  <c r="AP711" i="12"/>
  <c r="AQ711" i="12"/>
  <c r="AN711" i="12"/>
  <c r="F717" i="14"/>
  <c r="D715" i="14"/>
  <c r="AT653" i="11" l="1"/>
  <c r="AJ653" i="11"/>
  <c r="AR653" i="11"/>
  <c r="AQ653" i="11"/>
  <c r="AL654" i="11"/>
  <c r="AM654" i="11"/>
  <c r="AN654" i="11"/>
  <c r="AK655" i="11"/>
  <c r="AP654" i="11"/>
  <c r="AO654" i="11"/>
  <c r="D716" i="14"/>
  <c r="F718" i="14"/>
  <c r="AO712" i="12"/>
  <c r="AL712" i="12" s="1"/>
  <c r="AM713" i="12"/>
  <c r="AQ712" i="12"/>
  <c r="AP712" i="12"/>
  <c r="AN712" i="12"/>
  <c r="AT654" i="11" l="1"/>
  <c r="AJ654" i="11"/>
  <c r="AN655" i="11"/>
  <c r="AL655" i="11"/>
  <c r="AM655" i="11"/>
  <c r="AO655" i="11"/>
  <c r="AP655" i="11"/>
  <c r="AK656" i="11"/>
  <c r="AR654" i="11"/>
  <c r="AQ654" i="11"/>
  <c r="F719" i="14"/>
  <c r="D717" i="14"/>
  <c r="AO713" i="12"/>
  <c r="AL713" i="12" s="1"/>
  <c r="AM714" i="12"/>
  <c r="AN713" i="12"/>
  <c r="AQ713" i="12"/>
  <c r="AP713" i="12"/>
  <c r="AT655" i="11" l="1"/>
  <c r="AJ655" i="11"/>
  <c r="AQ655" i="11"/>
  <c r="AR655" i="11"/>
  <c r="AL656" i="11"/>
  <c r="AM656" i="11"/>
  <c r="AP656" i="11"/>
  <c r="AN656" i="11"/>
  <c r="AK657" i="11"/>
  <c r="AO656" i="11"/>
  <c r="AO714" i="12"/>
  <c r="AL714" i="12" s="1"/>
  <c r="AN714" i="12"/>
  <c r="AP714" i="12"/>
  <c r="AM715" i="12"/>
  <c r="AQ714" i="12"/>
  <c r="D718" i="14"/>
  <c r="F720" i="14"/>
  <c r="AT656" i="11" l="1"/>
  <c r="AJ656" i="11"/>
  <c r="AK658" i="11"/>
  <c r="AO657" i="11"/>
  <c r="AM657" i="11"/>
  <c r="AP657" i="11"/>
  <c r="AN657" i="11"/>
  <c r="AL657" i="11"/>
  <c r="AQ656" i="11"/>
  <c r="AR656" i="11"/>
  <c r="D719" i="14"/>
  <c r="F721" i="14"/>
  <c r="AO715" i="12"/>
  <c r="AL715" i="12" s="1"/>
  <c r="AM716" i="12"/>
  <c r="AP715" i="12"/>
  <c r="AQ715" i="12"/>
  <c r="AN715" i="12"/>
  <c r="AT657" i="11" l="1"/>
  <c r="AJ657" i="11"/>
  <c r="AR657" i="11"/>
  <c r="AQ657" i="11"/>
  <c r="AM658" i="11"/>
  <c r="AL658" i="11"/>
  <c r="AN658" i="11"/>
  <c r="AP658" i="11"/>
  <c r="AK659" i="11"/>
  <c r="AO658" i="11"/>
  <c r="F722" i="14"/>
  <c r="D720" i="14"/>
  <c r="AO716" i="12"/>
  <c r="AL716" i="12" s="1"/>
  <c r="AM717" i="12"/>
  <c r="AQ716" i="12"/>
  <c r="AP716" i="12"/>
  <c r="AN716" i="12"/>
  <c r="AT658" i="11" l="1"/>
  <c r="AJ658" i="11"/>
  <c r="AO659" i="11"/>
  <c r="AM659" i="11"/>
  <c r="AP659" i="11"/>
  <c r="AK660" i="11"/>
  <c r="AN659" i="11"/>
  <c r="AL659" i="11"/>
  <c r="AR658" i="11"/>
  <c r="AQ658" i="11"/>
  <c r="AO717" i="12"/>
  <c r="AL717" i="12" s="1"/>
  <c r="AM718" i="12"/>
  <c r="AN717" i="12"/>
  <c r="AP717" i="12"/>
  <c r="AQ717" i="12"/>
  <c r="D721" i="14"/>
  <c r="F723" i="14"/>
  <c r="AT659" i="11" l="1"/>
  <c r="AJ659" i="11"/>
  <c r="AK661" i="11"/>
  <c r="AL660" i="11"/>
  <c r="AO660" i="11"/>
  <c r="AM660" i="11"/>
  <c r="AN660" i="11"/>
  <c r="AP660" i="11"/>
  <c r="AR659" i="11"/>
  <c r="AQ659" i="11"/>
  <c r="F724" i="14"/>
  <c r="D722" i="14"/>
  <c r="AO718" i="12"/>
  <c r="AL718" i="12" s="1"/>
  <c r="AN718" i="12"/>
  <c r="AP718" i="12"/>
  <c r="AM719" i="12"/>
  <c r="AQ718" i="12"/>
  <c r="AT660" i="11" l="1"/>
  <c r="AJ660" i="11"/>
  <c r="AR660" i="11"/>
  <c r="AQ660" i="11"/>
  <c r="AK662" i="11"/>
  <c r="AM661" i="11"/>
  <c r="AL661" i="11"/>
  <c r="AP661" i="11"/>
  <c r="AN661" i="11"/>
  <c r="AO661" i="11"/>
  <c r="D723" i="14"/>
  <c r="F725" i="14"/>
  <c r="AO719" i="12"/>
  <c r="AL719" i="12" s="1"/>
  <c r="AM720" i="12"/>
  <c r="AP719" i="12"/>
  <c r="AQ719" i="12"/>
  <c r="AN719" i="12"/>
  <c r="AT661" i="11" l="1"/>
  <c r="AJ661" i="11"/>
  <c r="AL662" i="11"/>
  <c r="AM662" i="11"/>
  <c r="AN662" i="11"/>
  <c r="AP662" i="11"/>
  <c r="AK663" i="11"/>
  <c r="AO662" i="11"/>
  <c r="AQ661" i="11"/>
  <c r="AR661" i="11"/>
  <c r="F726" i="14"/>
  <c r="D724" i="14"/>
  <c r="AO720" i="12"/>
  <c r="AL720" i="12" s="1"/>
  <c r="AM721" i="12"/>
  <c r="AQ720" i="12"/>
  <c r="AN720" i="12"/>
  <c r="AP720" i="12"/>
  <c r="AT662" i="11" l="1"/>
  <c r="AJ662" i="11"/>
  <c r="AQ662" i="11"/>
  <c r="AR662" i="11"/>
  <c r="AL663" i="11"/>
  <c r="AK664" i="11"/>
  <c r="AM663" i="11"/>
  <c r="AN663" i="11"/>
  <c r="AP663" i="11"/>
  <c r="AO663" i="11"/>
  <c r="AO721" i="12"/>
  <c r="AL721" i="12" s="1"/>
  <c r="AM722" i="12"/>
  <c r="AN721" i="12"/>
  <c r="AQ721" i="12"/>
  <c r="AP721" i="12"/>
  <c r="D725" i="14"/>
  <c r="F727" i="14"/>
  <c r="AT663" i="11" l="1"/>
  <c r="AJ663" i="11"/>
  <c r="AQ663" i="11"/>
  <c r="AR663" i="11"/>
  <c r="AL664" i="11"/>
  <c r="AN664" i="11"/>
  <c r="AP664" i="11"/>
  <c r="AM664" i="11"/>
  <c r="AO664" i="11"/>
  <c r="AK665" i="11"/>
  <c r="F728" i="14"/>
  <c r="D726" i="14"/>
  <c r="AO722" i="12"/>
  <c r="AL722" i="12" s="1"/>
  <c r="AN722" i="12"/>
  <c r="AP722" i="12"/>
  <c r="AM723" i="12"/>
  <c r="AQ722" i="12"/>
  <c r="AT664" i="11" l="1"/>
  <c r="AJ664" i="11"/>
  <c r="AR664" i="11"/>
  <c r="AQ664" i="11"/>
  <c r="AM665" i="11"/>
  <c r="AP665" i="11"/>
  <c r="AL665" i="11"/>
  <c r="AK666" i="11"/>
  <c r="AO665" i="11"/>
  <c r="AN665" i="11"/>
  <c r="D727" i="14"/>
  <c r="F729" i="14"/>
  <c r="AO723" i="12"/>
  <c r="AL723" i="12" s="1"/>
  <c r="AM724" i="12"/>
  <c r="AP723" i="12"/>
  <c r="AQ723" i="12"/>
  <c r="AN723" i="12"/>
  <c r="AT665" i="11" l="1"/>
  <c r="AJ665" i="11"/>
  <c r="AR665" i="11"/>
  <c r="AQ665" i="11"/>
  <c r="AM666" i="11"/>
  <c r="AL666" i="11"/>
  <c r="AP666" i="11"/>
  <c r="AO666" i="11"/>
  <c r="AK667" i="11"/>
  <c r="AN666" i="11"/>
  <c r="F730" i="14"/>
  <c r="D728" i="14"/>
  <c r="AO724" i="12"/>
  <c r="AL724" i="12" s="1"/>
  <c r="AM725" i="12"/>
  <c r="AQ724" i="12"/>
  <c r="AP724" i="12"/>
  <c r="AN724" i="12"/>
  <c r="AT666" i="11" l="1"/>
  <c r="AJ666" i="11"/>
  <c r="AM667" i="11"/>
  <c r="AL667" i="11"/>
  <c r="AP667" i="11"/>
  <c r="AO667" i="11"/>
  <c r="AK668" i="11"/>
  <c r="AN667" i="11"/>
  <c r="AR666" i="11"/>
  <c r="AQ666" i="11"/>
  <c r="AO725" i="12"/>
  <c r="AL725" i="12" s="1"/>
  <c r="AM726" i="12"/>
  <c r="AN725" i="12"/>
  <c r="AQ725" i="12"/>
  <c r="AP725" i="12"/>
  <c r="D729" i="14"/>
  <c r="F731" i="14"/>
  <c r="AT667" i="11" l="1"/>
  <c r="AJ667" i="11"/>
  <c r="AO668" i="11"/>
  <c r="AK669" i="11"/>
  <c r="AL668" i="11"/>
  <c r="AP668" i="11"/>
  <c r="AM668" i="11"/>
  <c r="AN668" i="11"/>
  <c r="AQ667" i="11"/>
  <c r="AR667" i="11"/>
  <c r="F732" i="14"/>
  <c r="D730" i="14"/>
  <c r="AO726" i="12"/>
  <c r="AL726" i="12" s="1"/>
  <c r="AN726" i="12"/>
  <c r="AP726" i="12"/>
  <c r="AM727" i="12"/>
  <c r="AQ726" i="12"/>
  <c r="AT668" i="11" l="1"/>
  <c r="AJ668" i="11"/>
  <c r="AN669" i="11"/>
  <c r="AK670" i="11"/>
  <c r="AL669" i="11"/>
  <c r="AM669" i="11"/>
  <c r="AO669" i="11"/>
  <c r="AP669" i="11"/>
  <c r="AQ668" i="11"/>
  <c r="AR668" i="11"/>
  <c r="D731" i="14"/>
  <c r="F733" i="14"/>
  <c r="AO727" i="12"/>
  <c r="AL727" i="12" s="1"/>
  <c r="AM728" i="12"/>
  <c r="AP727" i="12"/>
  <c r="AQ727" i="12"/>
  <c r="AN727" i="12"/>
  <c r="AT669" i="11" l="1"/>
  <c r="AJ669" i="11"/>
  <c r="AR669" i="11"/>
  <c r="AQ669" i="11"/>
  <c r="AP670" i="11"/>
  <c r="AK671" i="11"/>
  <c r="AN670" i="11"/>
  <c r="AL670" i="11"/>
  <c r="AO670" i="11"/>
  <c r="AM670" i="11"/>
  <c r="F734" i="14"/>
  <c r="D732" i="14"/>
  <c r="AO728" i="12"/>
  <c r="AL728" i="12" s="1"/>
  <c r="AM729" i="12"/>
  <c r="AQ728" i="12"/>
  <c r="AN728" i="12"/>
  <c r="AP728" i="12"/>
  <c r="AT670" i="11" l="1"/>
  <c r="AJ670" i="11"/>
  <c r="AR670" i="11"/>
  <c r="AQ670" i="11"/>
  <c r="AM671" i="11"/>
  <c r="AP671" i="11"/>
  <c r="AO671" i="11"/>
  <c r="AL671" i="11"/>
  <c r="AN671" i="11"/>
  <c r="AK672" i="11"/>
  <c r="AO729" i="12"/>
  <c r="AL729" i="12" s="1"/>
  <c r="AM730" i="12"/>
  <c r="AN729" i="12"/>
  <c r="AQ729" i="12"/>
  <c r="AP729" i="12"/>
  <c r="D733" i="14"/>
  <c r="F735" i="14"/>
  <c r="AT671" i="11" l="1"/>
  <c r="AJ671" i="11"/>
  <c r="AQ671" i="11"/>
  <c r="AR671" i="11"/>
  <c r="AK673" i="11"/>
  <c r="AM672" i="11"/>
  <c r="AP672" i="11"/>
  <c r="AN672" i="11"/>
  <c r="AO672" i="11"/>
  <c r="AL672" i="11"/>
  <c r="F736" i="14"/>
  <c r="D734" i="14"/>
  <c r="AO730" i="12"/>
  <c r="AL730" i="12" s="1"/>
  <c r="AN730" i="12"/>
  <c r="AP730" i="12"/>
  <c r="AM731" i="12"/>
  <c r="AQ730" i="12"/>
  <c r="AT672" i="11" l="1"/>
  <c r="AJ672" i="11"/>
  <c r="AL673" i="11"/>
  <c r="AN673" i="11"/>
  <c r="AM673" i="11"/>
  <c r="AP673" i="11"/>
  <c r="AK674" i="11"/>
  <c r="AO673" i="11"/>
  <c r="AR672" i="11"/>
  <c r="AQ672" i="11"/>
  <c r="D735" i="14"/>
  <c r="F737" i="14"/>
  <c r="AO731" i="12"/>
  <c r="AL731" i="12" s="1"/>
  <c r="AM732" i="12"/>
  <c r="AP731" i="12"/>
  <c r="AQ731" i="12"/>
  <c r="AN731" i="12"/>
  <c r="AT673" i="11" l="1"/>
  <c r="AJ673" i="11"/>
  <c r="AQ673" i="11"/>
  <c r="AR673" i="11"/>
  <c r="AN674" i="11"/>
  <c r="AO674" i="11"/>
  <c r="AK675" i="11"/>
  <c r="AP674" i="11"/>
  <c r="AL674" i="11"/>
  <c r="AM674" i="11"/>
  <c r="F738" i="14"/>
  <c r="D736" i="14"/>
  <c r="AO732" i="12"/>
  <c r="AL732" i="12" s="1"/>
  <c r="AM733" i="12"/>
  <c r="AQ732" i="12"/>
  <c r="AP732" i="12"/>
  <c r="AN732" i="12"/>
  <c r="AT674" i="11" l="1"/>
  <c r="AJ674" i="11"/>
  <c r="AK676" i="11"/>
  <c r="AM675" i="11"/>
  <c r="AL675" i="11"/>
  <c r="AN675" i="11"/>
  <c r="AO675" i="11"/>
  <c r="AP675" i="11"/>
  <c r="AR674" i="11"/>
  <c r="AQ674" i="11"/>
  <c r="AO733" i="12"/>
  <c r="AL733" i="12" s="1"/>
  <c r="AM734" i="12"/>
  <c r="AN733" i="12"/>
  <c r="AQ733" i="12"/>
  <c r="AP733" i="12"/>
  <c r="D737" i="14"/>
  <c r="F739" i="14"/>
  <c r="AT675" i="11" l="1"/>
  <c r="AJ675" i="11"/>
  <c r="AQ675" i="11"/>
  <c r="AR675" i="11"/>
  <c r="AO676" i="11"/>
  <c r="AP676" i="11"/>
  <c r="AL676" i="11"/>
  <c r="AM676" i="11"/>
  <c r="AN676" i="11"/>
  <c r="AK677" i="11"/>
  <c r="F740" i="14"/>
  <c r="D738" i="14"/>
  <c r="AO734" i="12"/>
  <c r="AL734" i="12" s="1"/>
  <c r="AN734" i="12"/>
  <c r="AP734" i="12"/>
  <c r="AM735" i="12"/>
  <c r="AQ734" i="12"/>
  <c r="AT676" i="11" l="1"/>
  <c r="AJ676" i="11"/>
  <c r="AR676" i="11"/>
  <c r="AQ676" i="11"/>
  <c r="AL677" i="11"/>
  <c r="AM677" i="11"/>
  <c r="AP677" i="11"/>
  <c r="AO677" i="11"/>
  <c r="AN677" i="11"/>
  <c r="AK678" i="11"/>
  <c r="D739" i="14"/>
  <c r="F741" i="14"/>
  <c r="AO735" i="12"/>
  <c r="AL735" i="12" s="1"/>
  <c r="AM736" i="12"/>
  <c r="AP735" i="12"/>
  <c r="AQ735" i="12"/>
  <c r="AN735" i="12"/>
  <c r="AT677" i="11" l="1"/>
  <c r="AJ677" i="11"/>
  <c r="AK679" i="11"/>
  <c r="AN678" i="11"/>
  <c r="AO678" i="11"/>
  <c r="AP678" i="11"/>
  <c r="AL678" i="11"/>
  <c r="AM678" i="11"/>
  <c r="AR677" i="11"/>
  <c r="AQ677" i="11"/>
  <c r="F742" i="14"/>
  <c r="D740" i="14"/>
  <c r="AO736" i="12"/>
  <c r="AL736" i="12" s="1"/>
  <c r="AM737" i="12"/>
  <c r="AQ736" i="12"/>
  <c r="AN736" i="12"/>
  <c r="AP736" i="12"/>
  <c r="AT678" i="11" l="1"/>
  <c r="AJ678" i="11"/>
  <c r="AQ678" i="11"/>
  <c r="AR678" i="11"/>
  <c r="AN679" i="11"/>
  <c r="AP679" i="11"/>
  <c r="AM679" i="11"/>
  <c r="AK680" i="11"/>
  <c r="AO679" i="11"/>
  <c r="AL679" i="11"/>
  <c r="AO737" i="12"/>
  <c r="AL737" i="12" s="1"/>
  <c r="AM738" i="12"/>
  <c r="AN737" i="12"/>
  <c r="AQ737" i="12"/>
  <c r="AP737" i="12"/>
  <c r="D741" i="14"/>
  <c r="F743" i="14"/>
  <c r="AT679" i="11" l="1"/>
  <c r="AJ679" i="11"/>
  <c r="AN680" i="11"/>
  <c r="AO680" i="11"/>
  <c r="AP680" i="11"/>
  <c r="AL680" i="11"/>
  <c r="AK681" i="11"/>
  <c r="AM680" i="11"/>
  <c r="AQ679" i="11"/>
  <c r="AR679" i="11"/>
  <c r="F744" i="14"/>
  <c r="D742" i="14"/>
  <c r="AO738" i="12"/>
  <c r="AL738" i="12" s="1"/>
  <c r="AN738" i="12"/>
  <c r="AP738" i="12"/>
  <c r="AM739" i="12"/>
  <c r="AQ738" i="12"/>
  <c r="AT680" i="11" l="1"/>
  <c r="AJ680" i="11"/>
  <c r="AR680" i="11"/>
  <c r="AQ680" i="11"/>
  <c r="AL681" i="11"/>
  <c r="AM681" i="11"/>
  <c r="AN681" i="11"/>
  <c r="AO681" i="11"/>
  <c r="AP681" i="11"/>
  <c r="AK682" i="11"/>
  <c r="D743" i="14"/>
  <c r="F745" i="14"/>
  <c r="AO739" i="12"/>
  <c r="AL739" i="12" s="1"/>
  <c r="AM740" i="12"/>
  <c r="AP739" i="12"/>
  <c r="AQ739" i="12"/>
  <c r="AN739" i="12"/>
  <c r="AT681" i="11" l="1"/>
  <c r="AJ681" i="11"/>
  <c r="AL682" i="11"/>
  <c r="AK683" i="11"/>
  <c r="AN682" i="11"/>
  <c r="AM682" i="11"/>
  <c r="AP682" i="11"/>
  <c r="AO682" i="11"/>
  <c r="AR681" i="11"/>
  <c r="AQ681" i="11"/>
  <c r="F746" i="14"/>
  <c r="D744" i="14"/>
  <c r="AO740" i="12"/>
  <c r="AL740" i="12" s="1"/>
  <c r="AM741" i="12"/>
  <c r="AQ740" i="12"/>
  <c r="AP740" i="12"/>
  <c r="AN740" i="12"/>
  <c r="AT682" i="11" l="1"/>
  <c r="AJ682" i="11"/>
  <c r="AQ682" i="11"/>
  <c r="AR682" i="11"/>
  <c r="AK684" i="11"/>
  <c r="AM683" i="11"/>
  <c r="AN683" i="11"/>
  <c r="AP683" i="11"/>
  <c r="AO683" i="11"/>
  <c r="AL683" i="11"/>
  <c r="AO741" i="12"/>
  <c r="AL741" i="12" s="1"/>
  <c r="AM742" i="12"/>
  <c r="AN741" i="12"/>
  <c r="AP741" i="12"/>
  <c r="AQ741" i="12"/>
  <c r="D745" i="14"/>
  <c r="F747" i="14"/>
  <c r="AT683" i="11" l="1"/>
  <c r="AJ683" i="11"/>
  <c r="AN684" i="11"/>
  <c r="AO684" i="11"/>
  <c r="AL684" i="11"/>
  <c r="AP684" i="11"/>
  <c r="AM684" i="11"/>
  <c r="AK685" i="11"/>
  <c r="AR683" i="11"/>
  <c r="AQ683" i="11"/>
  <c r="F748" i="14"/>
  <c r="D746" i="14"/>
  <c r="AO742" i="12"/>
  <c r="AL742" i="12" s="1"/>
  <c r="AN742" i="12"/>
  <c r="AP742" i="12"/>
  <c r="AM743" i="12"/>
  <c r="AQ742" i="12"/>
  <c r="AT684" i="11" l="1"/>
  <c r="AJ684" i="11"/>
  <c r="AN685" i="11"/>
  <c r="AM685" i="11"/>
  <c r="AO685" i="11"/>
  <c r="AK686" i="11"/>
  <c r="AP685" i="11"/>
  <c r="AL685" i="11"/>
  <c r="AR684" i="11"/>
  <c r="AQ684" i="11"/>
  <c r="D747" i="14"/>
  <c r="F749" i="14"/>
  <c r="AO743" i="12"/>
  <c r="AL743" i="12" s="1"/>
  <c r="AM744" i="12"/>
  <c r="AP743" i="12"/>
  <c r="AQ743" i="12"/>
  <c r="AN743" i="12"/>
  <c r="AT685" i="11" l="1"/>
  <c r="AJ685" i="11"/>
  <c r="AO686" i="11"/>
  <c r="AK687" i="11"/>
  <c r="AM686" i="11"/>
  <c r="AP686" i="11"/>
  <c r="AL686" i="11"/>
  <c r="AN686" i="11"/>
  <c r="AQ685" i="11"/>
  <c r="AR685" i="11"/>
  <c r="F750" i="14"/>
  <c r="D748" i="14"/>
  <c r="AO744" i="12"/>
  <c r="AL744" i="12" s="1"/>
  <c r="AM745" i="12"/>
  <c r="AQ744" i="12"/>
  <c r="AP744" i="12"/>
  <c r="AN744" i="12"/>
  <c r="AT686" i="11" l="1"/>
  <c r="AJ686" i="11"/>
  <c r="AQ686" i="11"/>
  <c r="AR686" i="11"/>
  <c r="AL687" i="11"/>
  <c r="AK688" i="11"/>
  <c r="AP687" i="11"/>
  <c r="AN687" i="11"/>
  <c r="AO687" i="11"/>
  <c r="AM687" i="11"/>
  <c r="AO745" i="12"/>
  <c r="AL745" i="12" s="1"/>
  <c r="AM746" i="12"/>
  <c r="AN745" i="12"/>
  <c r="AQ745" i="12"/>
  <c r="AP745" i="12"/>
  <c r="D749" i="14"/>
  <c r="F751" i="14"/>
  <c r="AT687" i="11" l="1"/>
  <c r="AJ687" i="11"/>
  <c r="AQ687" i="11"/>
  <c r="AR687" i="11"/>
  <c r="AP688" i="11"/>
  <c r="AL688" i="11"/>
  <c r="AO688" i="11"/>
  <c r="AN688" i="11"/>
  <c r="AM688" i="11"/>
  <c r="AK689" i="11"/>
  <c r="F752" i="14"/>
  <c r="D750" i="14"/>
  <c r="AO746" i="12"/>
  <c r="AL746" i="12" s="1"/>
  <c r="AN746" i="12"/>
  <c r="AP746" i="12"/>
  <c r="AM747" i="12"/>
  <c r="AQ746" i="12"/>
  <c r="AT688" i="11" l="1"/>
  <c r="AJ688" i="11"/>
  <c r="AR688" i="11"/>
  <c r="AQ688" i="11"/>
  <c r="AM689" i="11"/>
  <c r="AL689" i="11"/>
  <c r="AO689" i="11"/>
  <c r="AP689" i="11"/>
  <c r="AK690" i="11"/>
  <c r="AN689" i="11"/>
  <c r="D751" i="14"/>
  <c r="F753" i="14"/>
  <c r="AO747" i="12"/>
  <c r="AL747" i="12" s="1"/>
  <c r="AM748" i="12"/>
  <c r="AP747" i="12"/>
  <c r="AQ747" i="12"/>
  <c r="AN747" i="12"/>
  <c r="AT689" i="11" l="1"/>
  <c r="AJ689" i="11"/>
  <c r="AN690" i="11"/>
  <c r="AO690" i="11"/>
  <c r="AM690" i="11"/>
  <c r="AP690" i="11"/>
  <c r="AL690" i="11"/>
  <c r="AK691" i="11"/>
  <c r="AR689" i="11"/>
  <c r="AQ689" i="11"/>
  <c r="F754" i="14"/>
  <c r="D752" i="14"/>
  <c r="AO748" i="12"/>
  <c r="AL748" i="12" s="1"/>
  <c r="AM749" i="12"/>
  <c r="AQ748" i="12"/>
  <c r="AP748" i="12"/>
  <c r="AN748" i="12"/>
  <c r="AT690" i="11" l="1"/>
  <c r="AJ690" i="11"/>
  <c r="AQ690" i="11"/>
  <c r="AR690" i="11"/>
  <c r="AM691" i="11"/>
  <c r="AL691" i="11"/>
  <c r="AK692" i="11"/>
  <c r="AO691" i="11"/>
  <c r="AN691" i="11"/>
  <c r="AP691" i="11"/>
  <c r="AO749" i="12"/>
  <c r="AL749" i="12" s="1"/>
  <c r="AM750" i="12"/>
  <c r="AN749" i="12"/>
  <c r="AP749" i="12"/>
  <c r="AQ749" i="12"/>
  <c r="D753" i="14"/>
  <c r="F755" i="14"/>
  <c r="AT691" i="11" l="1"/>
  <c r="AJ691" i="11"/>
  <c r="AQ691" i="11"/>
  <c r="AR691" i="11"/>
  <c r="AP692" i="11"/>
  <c r="AL692" i="11"/>
  <c r="AN692" i="11"/>
  <c r="AK693" i="11"/>
  <c r="AM692" i="11"/>
  <c r="AO692" i="11"/>
  <c r="F756" i="14"/>
  <c r="D754" i="14"/>
  <c r="AO750" i="12"/>
  <c r="AL750" i="12" s="1"/>
  <c r="AN750" i="12"/>
  <c r="AP750" i="12"/>
  <c r="AM751" i="12"/>
  <c r="AQ750" i="12"/>
  <c r="AT692" i="11" l="1"/>
  <c r="AJ692" i="11"/>
  <c r="AQ692" i="11"/>
  <c r="AR692" i="11"/>
  <c r="AK694" i="11"/>
  <c r="AL693" i="11"/>
  <c r="AP693" i="11"/>
  <c r="AM693" i="11"/>
  <c r="AN693" i="11"/>
  <c r="AO693" i="11"/>
  <c r="D755" i="14"/>
  <c r="F757" i="14"/>
  <c r="AO751" i="12"/>
  <c r="AL751" i="12" s="1"/>
  <c r="AM752" i="12"/>
  <c r="AP751" i="12"/>
  <c r="AQ751" i="12"/>
  <c r="AN751" i="12"/>
  <c r="AT693" i="11" l="1"/>
  <c r="AJ693" i="11"/>
  <c r="AK695" i="11"/>
  <c r="AM694" i="11"/>
  <c r="AN694" i="11"/>
  <c r="AO694" i="11"/>
  <c r="AP694" i="11"/>
  <c r="AL694" i="11"/>
  <c r="AQ693" i="11"/>
  <c r="AR693" i="11"/>
  <c r="F758" i="14"/>
  <c r="D756" i="14"/>
  <c r="AO752" i="12"/>
  <c r="AL752" i="12" s="1"/>
  <c r="AM753" i="12"/>
  <c r="AQ752" i="12"/>
  <c r="AN752" i="12"/>
  <c r="AP752" i="12"/>
  <c r="AT694" i="11" l="1"/>
  <c r="AJ694" i="11"/>
  <c r="AQ694" i="11"/>
  <c r="AR694" i="11"/>
  <c r="AO695" i="11"/>
  <c r="AL695" i="11"/>
  <c r="AN695" i="11"/>
  <c r="AP695" i="11"/>
  <c r="AK696" i="11"/>
  <c r="AM695" i="11"/>
  <c r="AO753" i="12"/>
  <c r="AL753" i="12" s="1"/>
  <c r="AM754" i="12"/>
  <c r="AN753" i="12"/>
  <c r="AQ753" i="12"/>
  <c r="AP753" i="12"/>
  <c r="D757" i="14"/>
  <c r="F759" i="14"/>
  <c r="AT695" i="11" l="1"/>
  <c r="AJ695" i="11"/>
  <c r="AK697" i="11"/>
  <c r="AO696" i="11"/>
  <c r="AN696" i="11"/>
  <c r="AP696" i="11"/>
  <c r="AM696" i="11"/>
  <c r="AL696" i="11"/>
  <c r="AQ695" i="11"/>
  <c r="AR695" i="11"/>
  <c r="F760" i="14"/>
  <c r="D758" i="14"/>
  <c r="AO754" i="12"/>
  <c r="AL754" i="12" s="1"/>
  <c r="AN754" i="12"/>
  <c r="AP754" i="12"/>
  <c r="AM755" i="12"/>
  <c r="AQ754" i="12"/>
  <c r="AT696" i="11" l="1"/>
  <c r="AJ696" i="11"/>
  <c r="AQ696" i="11"/>
  <c r="AR696" i="11"/>
  <c r="AK698" i="11"/>
  <c r="AL697" i="11"/>
  <c r="AP697" i="11"/>
  <c r="AM697" i="11"/>
  <c r="AN697" i="11"/>
  <c r="AO697" i="11"/>
  <c r="D759" i="14"/>
  <c r="F761" i="14"/>
  <c r="AO755" i="12"/>
  <c r="AL755" i="12" s="1"/>
  <c r="AM756" i="12"/>
  <c r="AP755" i="12"/>
  <c r="AQ755" i="12"/>
  <c r="AN755" i="12"/>
  <c r="AT697" i="11" l="1"/>
  <c r="AJ697" i="11"/>
  <c r="AP698" i="11"/>
  <c r="AN698" i="11"/>
  <c r="AM698" i="11"/>
  <c r="AK699" i="11"/>
  <c r="AO698" i="11"/>
  <c r="AL698" i="11"/>
  <c r="AQ697" i="11"/>
  <c r="AR697" i="11"/>
  <c r="F762" i="14"/>
  <c r="D760" i="14"/>
  <c r="AO756" i="12"/>
  <c r="AL756" i="12" s="1"/>
  <c r="AM757" i="12"/>
  <c r="AQ756" i="12"/>
  <c r="AP756" i="12"/>
  <c r="AN756" i="12"/>
  <c r="AT698" i="11" l="1"/>
  <c r="AJ698" i="11"/>
  <c r="AL699" i="11"/>
  <c r="AN699" i="11"/>
  <c r="AO699" i="11"/>
  <c r="AP699" i="11"/>
  <c r="AM699" i="11"/>
  <c r="AK700" i="11"/>
  <c r="AQ698" i="11"/>
  <c r="AR698" i="11"/>
  <c r="AO757" i="12"/>
  <c r="AL757" i="12" s="1"/>
  <c r="AM758" i="12"/>
  <c r="AN757" i="12"/>
  <c r="AP757" i="12"/>
  <c r="AQ757" i="12"/>
  <c r="D761" i="14"/>
  <c r="F763" i="14"/>
  <c r="AT699" i="11" l="1"/>
  <c r="AJ699" i="11"/>
  <c r="AN700" i="11"/>
  <c r="AO700" i="11"/>
  <c r="AL700" i="11"/>
  <c r="AP700" i="11"/>
  <c r="AK701" i="11"/>
  <c r="AM700" i="11"/>
  <c r="AR699" i="11"/>
  <c r="AQ699" i="11"/>
  <c r="F764" i="14"/>
  <c r="D762" i="14"/>
  <c r="AO758" i="12"/>
  <c r="AL758" i="12" s="1"/>
  <c r="AN758" i="12"/>
  <c r="AP758" i="12"/>
  <c r="AM759" i="12"/>
  <c r="AQ758" i="12"/>
  <c r="AT700" i="11" l="1"/>
  <c r="AJ700" i="11"/>
  <c r="AR700" i="11"/>
  <c r="AQ700" i="11"/>
  <c r="AM701" i="11"/>
  <c r="AK702" i="11"/>
  <c r="AO701" i="11"/>
  <c r="AN701" i="11"/>
  <c r="AP701" i="11"/>
  <c r="AL701" i="11"/>
  <c r="D763" i="14"/>
  <c r="F765" i="14"/>
  <c r="AO759" i="12"/>
  <c r="AL759" i="12" s="1"/>
  <c r="AM760" i="12"/>
  <c r="AP759" i="12"/>
  <c r="AQ759" i="12"/>
  <c r="AN759" i="12"/>
  <c r="AT701" i="11" l="1"/>
  <c r="AJ701" i="11"/>
  <c r="AR701" i="11"/>
  <c r="AQ701" i="11"/>
  <c r="AN702" i="11"/>
  <c r="AO702" i="11"/>
  <c r="AL702" i="11"/>
  <c r="AP702" i="11"/>
  <c r="AK703" i="11"/>
  <c r="AM702" i="11"/>
  <c r="F766" i="14"/>
  <c r="D764" i="14"/>
  <c r="AO760" i="12"/>
  <c r="AL760" i="12" s="1"/>
  <c r="AM761" i="12"/>
  <c r="AQ760" i="12"/>
  <c r="AN760" i="12"/>
  <c r="AP760" i="12"/>
  <c r="AT702" i="11" l="1"/>
  <c r="AJ702" i="11"/>
  <c r="AK704" i="11"/>
  <c r="AO703" i="11"/>
  <c r="AM703" i="11"/>
  <c r="AN703" i="11"/>
  <c r="AP703" i="11"/>
  <c r="AL703" i="11"/>
  <c r="AQ702" i="11"/>
  <c r="AR702" i="11"/>
  <c r="AO761" i="12"/>
  <c r="AL761" i="12" s="1"/>
  <c r="AM762" i="12"/>
  <c r="AN761" i="12"/>
  <c r="AQ761" i="12"/>
  <c r="AP761" i="12"/>
  <c r="D765" i="14"/>
  <c r="F767" i="14"/>
  <c r="AT703" i="11" l="1"/>
  <c r="AJ703" i="11"/>
  <c r="AR703" i="11"/>
  <c r="AQ703" i="11"/>
  <c r="AO704" i="11"/>
  <c r="AK705" i="11"/>
  <c r="AL704" i="11"/>
  <c r="AP704" i="11"/>
  <c r="AM704" i="11"/>
  <c r="AN704" i="11"/>
  <c r="F768" i="14"/>
  <c r="D766" i="14"/>
  <c r="AO762" i="12"/>
  <c r="AL762" i="12" s="1"/>
  <c r="AN762" i="12"/>
  <c r="AP762" i="12"/>
  <c r="AQ762" i="12"/>
  <c r="AM763" i="12"/>
  <c r="AT704" i="11" l="1"/>
  <c r="AJ704" i="11"/>
  <c r="AR704" i="11"/>
  <c r="AQ704" i="11"/>
  <c r="AP705" i="11"/>
  <c r="AK706" i="11"/>
  <c r="AN705" i="11"/>
  <c r="AM705" i="11"/>
  <c r="AO705" i="11"/>
  <c r="AL705" i="11"/>
  <c r="D767" i="14"/>
  <c r="AO763" i="12"/>
  <c r="AL763" i="12" s="1"/>
  <c r="AM764" i="12"/>
  <c r="AP763" i="12"/>
  <c r="AQ763" i="12"/>
  <c r="AN763" i="12"/>
  <c r="F769" i="14"/>
  <c r="AT705" i="11" l="1"/>
  <c r="AJ705" i="11"/>
  <c r="AQ705" i="11"/>
  <c r="AR705" i="11"/>
  <c r="AL706" i="11"/>
  <c r="AM706" i="11"/>
  <c r="AN706" i="11"/>
  <c r="AK707" i="11"/>
  <c r="AO706" i="11"/>
  <c r="AP706" i="11"/>
  <c r="F770" i="14"/>
  <c r="AO764" i="12"/>
  <c r="AL764" i="12" s="1"/>
  <c r="AM765" i="12"/>
  <c r="AQ764" i="12"/>
  <c r="AP764" i="12"/>
  <c r="AN764" i="12"/>
  <c r="D768" i="14"/>
  <c r="AT706" i="11" l="1"/>
  <c r="AJ706" i="11"/>
  <c r="AO707" i="11"/>
  <c r="AP707" i="11"/>
  <c r="AM707" i="11"/>
  <c r="AK708" i="11"/>
  <c r="AL707" i="11"/>
  <c r="AN707" i="11"/>
  <c r="AQ706" i="11"/>
  <c r="AR706" i="11"/>
  <c r="D769" i="14"/>
  <c r="F771" i="14"/>
  <c r="AO765" i="12"/>
  <c r="AL765" i="12" s="1"/>
  <c r="AM766" i="12"/>
  <c r="AN765" i="12"/>
  <c r="AQ765" i="12"/>
  <c r="AP765" i="12"/>
  <c r="AT707" i="11" l="1"/>
  <c r="AJ707" i="11"/>
  <c r="AK709" i="11"/>
  <c r="AL708" i="11"/>
  <c r="AP708" i="11"/>
  <c r="AM708" i="11"/>
  <c r="AO708" i="11"/>
  <c r="AN708" i="11"/>
  <c r="AR707" i="11"/>
  <c r="AQ707" i="11"/>
  <c r="AO766" i="12"/>
  <c r="AL766" i="12" s="1"/>
  <c r="AN766" i="12"/>
  <c r="AP766" i="12"/>
  <c r="AM767" i="12"/>
  <c r="AQ766" i="12"/>
  <c r="D770" i="14"/>
  <c r="F772" i="14"/>
  <c r="AT708" i="11" l="1"/>
  <c r="AJ708" i="11"/>
  <c r="AQ708" i="11"/>
  <c r="AR708" i="11"/>
  <c r="AO709" i="11"/>
  <c r="AN709" i="11"/>
  <c r="AK710" i="11"/>
  <c r="AL709" i="11"/>
  <c r="AP709" i="11"/>
  <c r="AM709" i="11"/>
  <c r="F773" i="14"/>
  <c r="D771" i="14"/>
  <c r="AO767" i="12"/>
  <c r="AL767" i="12" s="1"/>
  <c r="AM768" i="12"/>
  <c r="AP767" i="12"/>
  <c r="AQ767" i="12"/>
  <c r="AN767" i="12"/>
  <c r="AT709" i="11" l="1"/>
  <c r="AJ709" i="11"/>
  <c r="AO710" i="11"/>
  <c r="AK711" i="11"/>
  <c r="AN710" i="11"/>
  <c r="AP710" i="11"/>
  <c r="AM710" i="11"/>
  <c r="AL710" i="11"/>
  <c r="AQ709" i="11"/>
  <c r="AR709" i="11"/>
  <c r="AO768" i="12"/>
  <c r="AL768" i="12" s="1"/>
  <c r="AM769" i="12"/>
  <c r="AQ768" i="12"/>
  <c r="AP768" i="12"/>
  <c r="AN768" i="12"/>
  <c r="D772" i="14"/>
  <c r="F774" i="14"/>
  <c r="AT710" i="11" l="1"/>
  <c r="AJ710" i="11"/>
  <c r="AN711" i="11"/>
  <c r="AO711" i="11"/>
  <c r="AP711" i="11"/>
  <c r="AM711" i="11"/>
  <c r="AK712" i="11"/>
  <c r="AL711" i="11"/>
  <c r="AR710" i="11"/>
  <c r="AQ710" i="11"/>
  <c r="F775" i="14"/>
  <c r="D773" i="14"/>
  <c r="AO769" i="12"/>
  <c r="AL769" i="12" s="1"/>
  <c r="AM770" i="12"/>
  <c r="AN769" i="12"/>
  <c r="AQ769" i="12"/>
  <c r="AP769" i="12"/>
  <c r="AT711" i="11" l="1"/>
  <c r="AJ711" i="11"/>
  <c r="AQ711" i="11"/>
  <c r="AR711" i="11"/>
  <c r="AO712" i="11"/>
  <c r="AN712" i="11"/>
  <c r="AM712" i="11"/>
  <c r="AL712" i="11"/>
  <c r="AK713" i="11"/>
  <c r="AP712" i="11"/>
  <c r="AO770" i="12"/>
  <c r="AL770" i="12" s="1"/>
  <c r="AN770" i="12"/>
  <c r="AP770" i="12"/>
  <c r="AM771" i="12"/>
  <c r="AQ770" i="12"/>
  <c r="D774" i="14"/>
  <c r="F776" i="14"/>
  <c r="AT712" i="11" l="1"/>
  <c r="AJ712" i="11"/>
  <c r="AN713" i="11"/>
  <c r="AP713" i="11"/>
  <c r="AO713" i="11"/>
  <c r="AK714" i="11"/>
  <c r="AM713" i="11"/>
  <c r="AL713" i="11"/>
  <c r="AQ712" i="11"/>
  <c r="AR712" i="11"/>
  <c r="F777" i="14"/>
  <c r="D775" i="14"/>
  <c r="AO771" i="12"/>
  <c r="AL771" i="12" s="1"/>
  <c r="AM772" i="12"/>
  <c r="AP771" i="12"/>
  <c r="AQ771" i="12"/>
  <c r="AN771" i="12"/>
  <c r="AT713" i="11" l="1"/>
  <c r="AJ713" i="11"/>
  <c r="AO714" i="11"/>
  <c r="AN714" i="11"/>
  <c r="AM714" i="11"/>
  <c r="AP714" i="11"/>
  <c r="AL714" i="11"/>
  <c r="AK715" i="11"/>
  <c r="AQ713" i="11"/>
  <c r="AR713" i="11"/>
  <c r="AO772" i="12"/>
  <c r="AL772" i="12" s="1"/>
  <c r="AM773" i="12"/>
  <c r="AQ772" i="12"/>
  <c r="AP772" i="12"/>
  <c r="AN772" i="12"/>
  <c r="D776" i="14"/>
  <c r="F778" i="14"/>
  <c r="AT714" i="11" l="1"/>
  <c r="AJ714" i="11"/>
  <c r="AQ714" i="11"/>
  <c r="AR714" i="11"/>
  <c r="AK716" i="11"/>
  <c r="AL715" i="11"/>
  <c r="AO715" i="11"/>
  <c r="AM715" i="11"/>
  <c r="AP715" i="11"/>
  <c r="AN715" i="11"/>
  <c r="F779" i="14"/>
  <c r="D777" i="14"/>
  <c r="AO773" i="12"/>
  <c r="AL773" i="12" s="1"/>
  <c r="AM774" i="12"/>
  <c r="AN773" i="12"/>
  <c r="AP773" i="12"/>
  <c r="AQ773" i="12"/>
  <c r="AT715" i="11" l="1"/>
  <c r="AJ715" i="11"/>
  <c r="AP716" i="11"/>
  <c r="AN716" i="11"/>
  <c r="AK717" i="11"/>
  <c r="AL716" i="11"/>
  <c r="AO716" i="11"/>
  <c r="AM716" i="11"/>
  <c r="AQ715" i="11"/>
  <c r="AR715" i="11"/>
  <c r="AO774" i="12"/>
  <c r="AL774" i="12" s="1"/>
  <c r="AN774" i="12"/>
  <c r="AP774" i="12"/>
  <c r="AM775" i="12"/>
  <c r="AQ774" i="12"/>
  <c r="D778" i="14"/>
  <c r="F780" i="14"/>
  <c r="AT716" i="11" l="1"/>
  <c r="AJ716" i="11"/>
  <c r="AP717" i="11"/>
  <c r="AO717" i="11"/>
  <c r="AK718" i="11"/>
  <c r="AM717" i="11"/>
  <c r="AN717" i="11"/>
  <c r="AL717" i="11"/>
  <c r="AR716" i="11"/>
  <c r="AQ716" i="11"/>
  <c r="AO775" i="12"/>
  <c r="AL775" i="12" s="1"/>
  <c r="AM776" i="12"/>
  <c r="AP775" i="12"/>
  <c r="AQ775" i="12"/>
  <c r="AN775" i="12"/>
  <c r="F781" i="14"/>
  <c r="D779" i="14"/>
  <c r="AT717" i="11" l="1"/>
  <c r="AJ717" i="11"/>
  <c r="AQ717" i="11"/>
  <c r="AR717" i="11"/>
  <c r="AO718" i="11"/>
  <c r="AM718" i="11"/>
  <c r="AN718" i="11"/>
  <c r="AK719" i="11"/>
  <c r="AL718" i="11"/>
  <c r="AP718" i="11"/>
  <c r="D780" i="14"/>
  <c r="F782" i="14"/>
  <c r="AO776" i="12"/>
  <c r="AL776" i="12" s="1"/>
  <c r="AM777" i="12"/>
  <c r="AQ776" i="12"/>
  <c r="AP776" i="12"/>
  <c r="AN776" i="12"/>
  <c r="AT718" i="11" l="1"/>
  <c r="AJ718" i="11"/>
  <c r="AK720" i="11"/>
  <c r="AO719" i="11"/>
  <c r="AL719" i="11"/>
  <c r="AN719" i="11"/>
  <c r="AP719" i="11"/>
  <c r="AM719" i="11"/>
  <c r="AR718" i="11"/>
  <c r="AQ718" i="11"/>
  <c r="F783" i="14"/>
  <c r="D781" i="14"/>
  <c r="AO777" i="12"/>
  <c r="AL777" i="12" s="1"/>
  <c r="AM778" i="12"/>
  <c r="AN777" i="12"/>
  <c r="AQ777" i="12"/>
  <c r="AP777" i="12"/>
  <c r="AT719" i="11" l="1"/>
  <c r="AJ719" i="11"/>
  <c r="AQ719" i="11"/>
  <c r="AR719" i="11"/>
  <c r="AO720" i="11"/>
  <c r="AK721" i="11"/>
  <c r="AL720" i="11"/>
  <c r="AN720" i="11"/>
  <c r="AM720" i="11"/>
  <c r="AP720" i="11"/>
  <c r="AO778" i="12"/>
  <c r="AL778" i="12" s="1"/>
  <c r="AN778" i="12"/>
  <c r="AP778" i="12"/>
  <c r="AQ778" i="12"/>
  <c r="AM779" i="12"/>
  <c r="D782" i="14"/>
  <c r="F784" i="14"/>
  <c r="AT720" i="11" l="1"/>
  <c r="AJ720" i="11"/>
  <c r="AQ720" i="11"/>
  <c r="AR720" i="11"/>
  <c r="AO721" i="11"/>
  <c r="AK722" i="11"/>
  <c r="AN721" i="11"/>
  <c r="AL721" i="11"/>
  <c r="AM721" i="11"/>
  <c r="AP721" i="11"/>
  <c r="F785" i="14"/>
  <c r="D783" i="14"/>
  <c r="AO779" i="12"/>
  <c r="AL779" i="12" s="1"/>
  <c r="AM780" i="12"/>
  <c r="AP779" i="12"/>
  <c r="AQ779" i="12"/>
  <c r="AN779" i="12"/>
  <c r="AT721" i="11" l="1"/>
  <c r="AJ721" i="11"/>
  <c r="AQ721" i="11"/>
  <c r="AR721" i="11"/>
  <c r="AK723" i="11"/>
  <c r="AO722" i="11"/>
  <c r="AN722" i="11"/>
  <c r="AM722" i="11"/>
  <c r="AL722" i="11"/>
  <c r="AP722" i="11"/>
  <c r="AO780" i="12"/>
  <c r="AL780" i="12" s="1"/>
  <c r="AM781" i="12"/>
  <c r="AQ780" i="12"/>
  <c r="AP780" i="12"/>
  <c r="AN780" i="12"/>
  <c r="D784" i="14"/>
  <c r="F786" i="14"/>
  <c r="AT722" i="11" l="1"/>
  <c r="AJ722" i="11"/>
  <c r="AP723" i="11"/>
  <c r="AN723" i="11"/>
  <c r="AL723" i="11"/>
  <c r="AK724" i="11"/>
  <c r="AO723" i="11"/>
  <c r="AM723" i="11"/>
  <c r="AQ722" i="11"/>
  <c r="AR722" i="11"/>
  <c r="F787" i="14"/>
  <c r="D785" i="14"/>
  <c r="AO781" i="12"/>
  <c r="AL781" i="12" s="1"/>
  <c r="AM782" i="12"/>
  <c r="AN781" i="12"/>
  <c r="AP781" i="12"/>
  <c r="AQ781" i="12"/>
  <c r="AT723" i="11" l="1"/>
  <c r="AJ723" i="11"/>
  <c r="AO724" i="11"/>
  <c r="AM724" i="11"/>
  <c r="AN724" i="11"/>
  <c r="AP724" i="11"/>
  <c r="AK725" i="11"/>
  <c r="AL724" i="11"/>
  <c r="AR723" i="11"/>
  <c r="AQ723" i="11"/>
  <c r="AO782" i="12"/>
  <c r="AL782" i="12" s="1"/>
  <c r="AN782" i="12"/>
  <c r="AP782" i="12"/>
  <c r="AM783" i="12"/>
  <c r="AQ782" i="12"/>
  <c r="D786" i="14"/>
  <c r="F788" i="14"/>
  <c r="AT724" i="11" l="1"/>
  <c r="AJ724" i="11"/>
  <c r="AQ724" i="11"/>
  <c r="AR724" i="11"/>
  <c r="AN725" i="11"/>
  <c r="AL725" i="11"/>
  <c r="AM725" i="11"/>
  <c r="AP725" i="11"/>
  <c r="AO725" i="11"/>
  <c r="AK726" i="11"/>
  <c r="D787" i="14"/>
  <c r="F789" i="14"/>
  <c r="AO783" i="12"/>
  <c r="AL783" i="12" s="1"/>
  <c r="AM784" i="12"/>
  <c r="AP783" i="12"/>
  <c r="AQ783" i="12"/>
  <c r="AN783" i="12"/>
  <c r="AT725" i="11" l="1"/>
  <c r="AJ725" i="11"/>
  <c r="AR725" i="11"/>
  <c r="AQ725" i="11"/>
  <c r="AP726" i="11"/>
  <c r="AK727" i="11"/>
  <c r="AO726" i="11"/>
  <c r="AM726" i="11"/>
  <c r="AN726" i="11"/>
  <c r="AL726" i="11"/>
  <c r="F790" i="14"/>
  <c r="D788" i="14"/>
  <c r="AO784" i="12"/>
  <c r="AL784" i="12" s="1"/>
  <c r="AM785" i="12"/>
  <c r="AQ784" i="12"/>
  <c r="AN784" i="12"/>
  <c r="AP784" i="12"/>
  <c r="AT726" i="11" l="1"/>
  <c r="AJ726" i="11"/>
  <c r="AR726" i="11"/>
  <c r="AQ726" i="11"/>
  <c r="AP727" i="11"/>
  <c r="AM727" i="11"/>
  <c r="AL727" i="11"/>
  <c r="AK728" i="11"/>
  <c r="AO727" i="11"/>
  <c r="AN727" i="11"/>
  <c r="D789" i="14"/>
  <c r="F791" i="14"/>
  <c r="AO785" i="12"/>
  <c r="AL785" i="12" s="1"/>
  <c r="AM786" i="12"/>
  <c r="AN785" i="12"/>
  <c r="AQ785" i="12"/>
  <c r="AP785" i="12"/>
  <c r="AT727" i="11" l="1"/>
  <c r="AJ727" i="11"/>
  <c r="AN728" i="11"/>
  <c r="AL728" i="11"/>
  <c r="AM728" i="11"/>
  <c r="AK729" i="11"/>
  <c r="AP728" i="11"/>
  <c r="AO728" i="11"/>
  <c r="AQ727" i="11"/>
  <c r="AR727" i="11"/>
  <c r="F792" i="14"/>
  <c r="D790" i="14"/>
  <c r="AO786" i="12"/>
  <c r="AL786" i="12" s="1"/>
  <c r="AN786" i="12"/>
  <c r="AP786" i="12"/>
  <c r="AM787" i="12"/>
  <c r="AQ786" i="12"/>
  <c r="AT728" i="11" l="1"/>
  <c r="AJ728" i="11"/>
  <c r="AK730" i="11"/>
  <c r="AL729" i="11"/>
  <c r="AO729" i="11"/>
  <c r="AN729" i="11"/>
  <c r="AM729" i="11"/>
  <c r="AP729" i="11"/>
  <c r="AQ728" i="11"/>
  <c r="AR728" i="11"/>
  <c r="AO787" i="12"/>
  <c r="AL787" i="12" s="1"/>
  <c r="AM788" i="12"/>
  <c r="AP787" i="12"/>
  <c r="AQ787" i="12"/>
  <c r="AN787" i="12"/>
  <c r="D791" i="14"/>
  <c r="F793" i="14"/>
  <c r="AT729" i="11" l="1"/>
  <c r="AJ729" i="11"/>
  <c r="AQ729" i="11"/>
  <c r="AR729" i="11"/>
  <c r="AP730" i="11"/>
  <c r="AO730" i="11"/>
  <c r="AM730" i="11"/>
  <c r="AK731" i="11"/>
  <c r="AL730" i="11"/>
  <c r="AN730" i="11"/>
  <c r="F794" i="14"/>
  <c r="D792" i="14"/>
  <c r="AO788" i="12"/>
  <c r="AL788" i="12" s="1"/>
  <c r="AM789" i="12"/>
  <c r="AQ788" i="12"/>
  <c r="AP788" i="12"/>
  <c r="AN788" i="12"/>
  <c r="AT730" i="11" l="1"/>
  <c r="AJ730" i="11"/>
  <c r="AL731" i="11"/>
  <c r="AN731" i="11"/>
  <c r="AK732" i="11"/>
  <c r="AM731" i="11"/>
  <c r="AO731" i="11"/>
  <c r="AP731" i="11"/>
  <c r="AQ730" i="11"/>
  <c r="AR730" i="11"/>
  <c r="AO789" i="12"/>
  <c r="AL789" i="12" s="1"/>
  <c r="AM790" i="12"/>
  <c r="AN789" i="12"/>
  <c r="AQ789" i="12"/>
  <c r="AP789" i="12"/>
  <c r="D793" i="14"/>
  <c r="F795" i="14"/>
  <c r="AT731" i="11" l="1"/>
  <c r="AJ731" i="11"/>
  <c r="AR731" i="11"/>
  <c r="AQ731" i="11"/>
  <c r="AL732" i="11"/>
  <c r="AO732" i="11"/>
  <c r="AP732" i="11"/>
  <c r="AM732" i="11"/>
  <c r="AN732" i="11"/>
  <c r="AK733" i="11"/>
  <c r="F796" i="14"/>
  <c r="D794" i="14"/>
  <c r="AO790" i="12"/>
  <c r="AL790" i="12" s="1"/>
  <c r="AN790" i="12"/>
  <c r="AP790" i="12"/>
  <c r="AM791" i="12"/>
  <c r="AQ790" i="12"/>
  <c r="AT732" i="11" l="1"/>
  <c r="AJ732" i="11"/>
  <c r="AR732" i="11"/>
  <c r="AQ732" i="11"/>
  <c r="AK734" i="11"/>
  <c r="AP733" i="11"/>
  <c r="AN733" i="11"/>
  <c r="AL733" i="11"/>
  <c r="AM733" i="11"/>
  <c r="AO733" i="11"/>
  <c r="D795" i="14"/>
  <c r="F797" i="14"/>
  <c r="AO791" i="12"/>
  <c r="AL791" i="12" s="1"/>
  <c r="AM792" i="12"/>
  <c r="AP791" i="12"/>
  <c r="AQ791" i="12"/>
  <c r="AN791" i="12"/>
  <c r="AT733" i="11" l="1"/>
  <c r="AJ733" i="11"/>
  <c r="AL734" i="11"/>
  <c r="AK735" i="11"/>
  <c r="AP734" i="11"/>
  <c r="AM734" i="11"/>
  <c r="AO734" i="11"/>
  <c r="AN734" i="11"/>
  <c r="AQ733" i="11"/>
  <c r="AR733" i="11"/>
  <c r="F798" i="14"/>
  <c r="D796" i="14"/>
  <c r="AO792" i="12"/>
  <c r="AL792" i="12" s="1"/>
  <c r="AM793" i="12"/>
  <c r="AQ792" i="12"/>
  <c r="AN792" i="12"/>
  <c r="AP792" i="12"/>
  <c r="AT734" i="11" l="1"/>
  <c r="AJ734" i="11"/>
  <c r="AQ734" i="11"/>
  <c r="AR734" i="11"/>
  <c r="AK736" i="11"/>
  <c r="AN735" i="11"/>
  <c r="AL735" i="11"/>
  <c r="AO735" i="11"/>
  <c r="AM735" i="11"/>
  <c r="AP735" i="11"/>
  <c r="AO793" i="12"/>
  <c r="AL793" i="12" s="1"/>
  <c r="AM794" i="12"/>
  <c r="AN793" i="12"/>
  <c r="AQ793" i="12"/>
  <c r="AP793" i="12"/>
  <c r="D797" i="14"/>
  <c r="F799" i="14"/>
  <c r="AT735" i="11" l="1"/>
  <c r="AJ735" i="11"/>
  <c r="AR735" i="11"/>
  <c r="AQ735" i="11"/>
  <c r="AK737" i="11"/>
  <c r="AN736" i="11"/>
  <c r="AM736" i="11"/>
  <c r="AP736" i="11"/>
  <c r="AL736" i="11"/>
  <c r="AO736" i="11"/>
  <c r="F800" i="14"/>
  <c r="D798" i="14"/>
  <c r="AO794" i="12"/>
  <c r="AL794" i="12" s="1"/>
  <c r="AN794" i="12"/>
  <c r="AP794" i="12"/>
  <c r="AM795" i="12"/>
  <c r="AQ794" i="12"/>
  <c r="AT736" i="11" l="1"/>
  <c r="AJ736" i="11"/>
  <c r="AL737" i="11"/>
  <c r="AO737" i="11"/>
  <c r="AP737" i="11"/>
  <c r="AM737" i="11"/>
  <c r="AN737" i="11"/>
  <c r="AK738" i="11"/>
  <c r="AQ736" i="11"/>
  <c r="AR736" i="11"/>
  <c r="D799" i="14"/>
  <c r="F801" i="14"/>
  <c r="AO795" i="12"/>
  <c r="AL795" i="12" s="1"/>
  <c r="AM796" i="12"/>
  <c r="AP795" i="12"/>
  <c r="AQ795" i="12"/>
  <c r="AN795" i="12"/>
  <c r="AT737" i="11" l="1"/>
  <c r="AJ737" i="11"/>
  <c r="AQ737" i="11"/>
  <c r="AR737" i="11"/>
  <c r="AL738" i="11"/>
  <c r="AN738" i="11"/>
  <c r="AM738" i="11"/>
  <c r="AO738" i="11"/>
  <c r="AK739" i="11"/>
  <c r="AP738" i="11"/>
  <c r="F802" i="14"/>
  <c r="D800" i="14"/>
  <c r="AO796" i="12"/>
  <c r="AL796" i="12" s="1"/>
  <c r="AM797" i="12"/>
  <c r="AQ796" i="12"/>
  <c r="AP796" i="12"/>
  <c r="AN796" i="12"/>
  <c r="AT738" i="11" l="1"/>
  <c r="AJ738" i="11"/>
  <c r="AP739" i="11"/>
  <c r="AM739" i="11"/>
  <c r="AK740" i="11"/>
  <c r="AO739" i="11"/>
  <c r="AN739" i="11"/>
  <c r="AL739" i="11"/>
  <c r="AR738" i="11"/>
  <c r="AQ738" i="11"/>
  <c r="AO797" i="12"/>
  <c r="AL797" i="12" s="1"/>
  <c r="AM798" i="12"/>
  <c r="AN797" i="12"/>
  <c r="AQ797" i="12"/>
  <c r="AP797" i="12"/>
  <c r="D801" i="14"/>
  <c r="F803" i="14"/>
  <c r="AT739" i="11" l="1"/>
  <c r="AJ739" i="11"/>
  <c r="AN740" i="11"/>
  <c r="AL740" i="11"/>
  <c r="AO740" i="11"/>
  <c r="AP740" i="11"/>
  <c r="AK741" i="11"/>
  <c r="AM740" i="11"/>
  <c r="AR739" i="11"/>
  <c r="AQ739" i="11"/>
  <c r="F804" i="14"/>
  <c r="D802" i="14"/>
  <c r="AO798" i="12"/>
  <c r="AL798" i="12" s="1"/>
  <c r="AN798" i="12"/>
  <c r="AP798" i="12"/>
  <c r="AM799" i="12"/>
  <c r="AQ798" i="12"/>
  <c r="AT740" i="11" l="1"/>
  <c r="AJ740" i="11"/>
  <c r="AQ740" i="11"/>
  <c r="AR740" i="11"/>
  <c r="AO741" i="11"/>
  <c r="AM741" i="11"/>
  <c r="AP741" i="11"/>
  <c r="AL741" i="11"/>
  <c r="AN741" i="11"/>
  <c r="AK742" i="11"/>
  <c r="D803" i="14"/>
  <c r="F805" i="14"/>
  <c r="AO799" i="12"/>
  <c r="AL799" i="12" s="1"/>
  <c r="AM800" i="12"/>
  <c r="AP799" i="12"/>
  <c r="AQ799" i="12"/>
  <c r="AN799" i="12"/>
  <c r="AT741" i="11" l="1"/>
  <c r="AJ741" i="11"/>
  <c r="AL742" i="11"/>
  <c r="AM742" i="11"/>
  <c r="AO742" i="11"/>
  <c r="AK743" i="11"/>
  <c r="AP742" i="11"/>
  <c r="AN742" i="11"/>
  <c r="AR741" i="11"/>
  <c r="AQ741" i="11"/>
  <c r="F806" i="14"/>
  <c r="D804" i="14"/>
  <c r="AO800" i="12"/>
  <c r="AL800" i="12" s="1"/>
  <c r="AM801" i="12"/>
  <c r="AQ800" i="12"/>
  <c r="AN800" i="12"/>
  <c r="AP800" i="12"/>
  <c r="AT742" i="11" l="1"/>
  <c r="AJ742" i="11"/>
  <c r="AM743" i="11"/>
  <c r="AL743" i="11"/>
  <c r="AK744" i="11"/>
  <c r="AP743" i="11"/>
  <c r="AN743" i="11"/>
  <c r="AO743" i="11"/>
  <c r="AR742" i="11"/>
  <c r="AQ742" i="11"/>
  <c r="AO801" i="12"/>
  <c r="AL801" i="12" s="1"/>
  <c r="AM802" i="12"/>
  <c r="AN801" i="12"/>
  <c r="AQ801" i="12"/>
  <c r="AP801" i="12"/>
  <c r="D805" i="14"/>
  <c r="F807" i="14"/>
  <c r="AT743" i="11" l="1"/>
  <c r="AJ743" i="11"/>
  <c r="AK745" i="11"/>
  <c r="AP744" i="11"/>
  <c r="AN744" i="11"/>
  <c r="AO744" i="11"/>
  <c r="AL744" i="11"/>
  <c r="AM744" i="11"/>
  <c r="AQ743" i="11"/>
  <c r="AR743" i="11"/>
  <c r="F808" i="14"/>
  <c r="D806" i="14"/>
  <c r="AO802" i="12"/>
  <c r="AL802" i="12" s="1"/>
  <c r="AN802" i="12"/>
  <c r="AP802" i="12"/>
  <c r="AM803" i="12"/>
  <c r="AQ802" i="12"/>
  <c r="AT744" i="11" l="1"/>
  <c r="AJ744" i="11"/>
  <c r="AQ744" i="11"/>
  <c r="AR744" i="11"/>
  <c r="AO745" i="11"/>
  <c r="AK746" i="11"/>
  <c r="AL745" i="11"/>
  <c r="AM745" i="11"/>
  <c r="AP745" i="11"/>
  <c r="AN745" i="11"/>
  <c r="D807" i="14"/>
  <c r="F809" i="14"/>
  <c r="AO803" i="12"/>
  <c r="AL803" i="12" s="1"/>
  <c r="AM804" i="12"/>
  <c r="AP803" i="12"/>
  <c r="AQ803" i="12"/>
  <c r="AN803" i="12"/>
  <c r="AT745" i="11" l="1"/>
  <c r="AJ745" i="11"/>
  <c r="AR745" i="11"/>
  <c r="AQ745" i="11"/>
  <c r="AL746" i="11"/>
  <c r="AK747" i="11"/>
  <c r="AM746" i="11"/>
  <c r="AN746" i="11"/>
  <c r="AO746" i="11"/>
  <c r="AP746" i="11"/>
  <c r="F810" i="14"/>
  <c r="D808" i="14"/>
  <c r="AO804" i="12"/>
  <c r="AL804" i="12" s="1"/>
  <c r="AM805" i="12"/>
  <c r="AQ804" i="12"/>
  <c r="AP804" i="12"/>
  <c r="AN804" i="12"/>
  <c r="AT746" i="11" l="1"/>
  <c r="AJ746" i="11"/>
  <c r="AQ746" i="11"/>
  <c r="AR746" i="11"/>
  <c r="AM747" i="11"/>
  <c r="AN747" i="11"/>
  <c r="AP747" i="11"/>
  <c r="AK748" i="11"/>
  <c r="AO747" i="11"/>
  <c r="AL747" i="11"/>
  <c r="AO805" i="12"/>
  <c r="AL805" i="12" s="1"/>
  <c r="AM806" i="12"/>
  <c r="AN805" i="12"/>
  <c r="AP805" i="12"/>
  <c r="AQ805" i="12"/>
  <c r="D809" i="14"/>
  <c r="F811" i="14"/>
  <c r="AT747" i="11" l="1"/>
  <c r="AJ747" i="11"/>
  <c r="AQ747" i="11"/>
  <c r="AR747" i="11"/>
  <c r="AP748" i="11"/>
  <c r="AO748" i="11"/>
  <c r="AK749" i="11"/>
  <c r="AL748" i="11"/>
  <c r="AM748" i="11"/>
  <c r="AN748" i="11"/>
  <c r="F812" i="14"/>
  <c r="D810" i="14"/>
  <c r="AO806" i="12"/>
  <c r="AL806" i="12" s="1"/>
  <c r="AN806" i="12"/>
  <c r="AP806" i="12"/>
  <c r="AM807" i="12"/>
  <c r="AQ806" i="12"/>
  <c r="AT748" i="11" l="1"/>
  <c r="AJ748" i="11"/>
  <c r="AQ748" i="11"/>
  <c r="AR748" i="11"/>
  <c r="AM749" i="11"/>
  <c r="AN749" i="11"/>
  <c r="AL749" i="11"/>
  <c r="AP749" i="11"/>
  <c r="AK750" i="11"/>
  <c r="AO749" i="11"/>
  <c r="D811" i="14"/>
  <c r="F813" i="14"/>
  <c r="AO807" i="12"/>
  <c r="AL807" i="12" s="1"/>
  <c r="AM808" i="12"/>
  <c r="AP807" i="12"/>
  <c r="AQ807" i="12"/>
  <c r="AN807" i="12"/>
  <c r="AT749" i="11" l="1"/>
  <c r="AJ749" i="11"/>
  <c r="AL750" i="11"/>
  <c r="AM750" i="11"/>
  <c r="AP750" i="11"/>
  <c r="AK751" i="11"/>
  <c r="AO750" i="11"/>
  <c r="AN750" i="11"/>
  <c r="AQ749" i="11"/>
  <c r="AR749" i="11"/>
  <c r="F814" i="14"/>
  <c r="D812" i="14"/>
  <c r="AO808" i="12"/>
  <c r="AL808" i="12" s="1"/>
  <c r="AM809" i="12"/>
  <c r="AQ808" i="12"/>
  <c r="AP808" i="12"/>
  <c r="AN808" i="12"/>
  <c r="AT750" i="11" l="1"/>
  <c r="AJ750" i="11"/>
  <c r="AN751" i="11"/>
  <c r="AK752" i="11"/>
  <c r="AM751" i="11"/>
  <c r="AO751" i="11"/>
  <c r="AP751" i="11"/>
  <c r="AL751" i="11"/>
  <c r="AR750" i="11"/>
  <c r="AQ750" i="11"/>
  <c r="AO809" i="12"/>
  <c r="AL809" i="12" s="1"/>
  <c r="AM810" i="12"/>
  <c r="AN809" i="12"/>
  <c r="AQ809" i="12"/>
  <c r="AP809" i="12"/>
  <c r="D813" i="14"/>
  <c r="F815" i="14"/>
  <c r="AT751" i="11" l="1"/>
  <c r="AJ751" i="11"/>
  <c r="AQ751" i="11"/>
  <c r="AR751" i="11"/>
  <c r="AM752" i="11"/>
  <c r="AO752" i="11"/>
  <c r="AK753" i="11"/>
  <c r="AL752" i="11"/>
  <c r="AP752" i="11"/>
  <c r="AN752" i="11"/>
  <c r="F816" i="14"/>
  <c r="D814" i="14"/>
  <c r="AO810" i="12"/>
  <c r="AL810" i="12" s="1"/>
  <c r="AN810" i="12"/>
  <c r="AP810" i="12"/>
  <c r="AM811" i="12"/>
  <c r="AQ810" i="12"/>
  <c r="AT752" i="11" l="1"/>
  <c r="AJ752" i="11"/>
  <c r="AQ752" i="11"/>
  <c r="AR752" i="11"/>
  <c r="AK754" i="11"/>
  <c r="AN753" i="11"/>
  <c r="AP753" i="11"/>
  <c r="AO753" i="11"/>
  <c r="AM753" i="11"/>
  <c r="AL753" i="11"/>
  <c r="D815" i="14"/>
  <c r="F817" i="14"/>
  <c r="AO811" i="12"/>
  <c r="AL811" i="12" s="1"/>
  <c r="AM812" i="12"/>
  <c r="AP811" i="12"/>
  <c r="AQ811" i="12"/>
  <c r="AN811" i="12"/>
  <c r="AT753" i="11" l="1"/>
  <c r="AJ753" i="11"/>
  <c r="AN754" i="11"/>
  <c r="AK755" i="11"/>
  <c r="AM754" i="11"/>
  <c r="AP754" i="11"/>
  <c r="AL754" i="11"/>
  <c r="AO754" i="11"/>
  <c r="AQ753" i="11"/>
  <c r="AR753" i="11"/>
  <c r="F818" i="14"/>
  <c r="D816" i="14"/>
  <c r="AO812" i="12"/>
  <c r="AL812" i="12" s="1"/>
  <c r="AM813" i="12"/>
  <c r="AQ812" i="12"/>
  <c r="AP812" i="12"/>
  <c r="AN812" i="12"/>
  <c r="AT754" i="11" l="1"/>
  <c r="AJ754" i="11"/>
  <c r="AQ754" i="11"/>
  <c r="AR754" i="11"/>
  <c r="AM755" i="11"/>
  <c r="AO755" i="11"/>
  <c r="AN755" i="11"/>
  <c r="AP755" i="11"/>
  <c r="AL755" i="11"/>
  <c r="AK756" i="11"/>
  <c r="AO813" i="12"/>
  <c r="AL813" i="12" s="1"/>
  <c r="AM814" i="12"/>
  <c r="AN813" i="12"/>
  <c r="AP813" i="12"/>
  <c r="AQ813" i="12"/>
  <c r="D817" i="14"/>
  <c r="F819" i="14"/>
  <c r="AT755" i="11" l="1"/>
  <c r="AJ755" i="11"/>
  <c r="AR755" i="11"/>
  <c r="AQ755" i="11"/>
  <c r="AO756" i="11"/>
  <c r="AP756" i="11"/>
  <c r="AN756" i="11"/>
  <c r="AM756" i="11"/>
  <c r="AL756" i="11"/>
  <c r="AK757" i="11"/>
  <c r="F820" i="14"/>
  <c r="D818" i="14"/>
  <c r="AO814" i="12"/>
  <c r="AL814" i="12" s="1"/>
  <c r="AN814" i="12"/>
  <c r="AP814" i="12"/>
  <c r="AM815" i="12"/>
  <c r="AQ814" i="12"/>
  <c r="AT756" i="11" l="1"/>
  <c r="AJ756" i="11"/>
  <c r="AR756" i="11"/>
  <c r="AQ756" i="11"/>
  <c r="AM757" i="11"/>
  <c r="AP757" i="11"/>
  <c r="AO757" i="11"/>
  <c r="AK758" i="11"/>
  <c r="AN757" i="11"/>
  <c r="AL757" i="11"/>
  <c r="D819" i="14"/>
  <c r="F821" i="14"/>
  <c r="AO815" i="12"/>
  <c r="AL815" i="12" s="1"/>
  <c r="AM816" i="12"/>
  <c r="AP815" i="12"/>
  <c r="AQ815" i="12"/>
  <c r="AN815" i="12"/>
  <c r="AT757" i="11" l="1"/>
  <c r="AJ757" i="11"/>
  <c r="AR757" i="11"/>
  <c r="AQ757" i="11"/>
  <c r="AO758" i="11"/>
  <c r="AM758" i="11"/>
  <c r="AP758" i="11"/>
  <c r="AL758" i="11"/>
  <c r="AK759" i="11"/>
  <c r="AN758" i="11"/>
  <c r="F822" i="14"/>
  <c r="D820" i="14"/>
  <c r="AO816" i="12"/>
  <c r="AL816" i="12" s="1"/>
  <c r="AM817" i="12"/>
  <c r="AQ816" i="12"/>
  <c r="AN816" i="12"/>
  <c r="AP816" i="12"/>
  <c r="AT758" i="11" l="1"/>
  <c r="AJ758" i="11"/>
  <c r="AM759" i="11"/>
  <c r="AL759" i="11"/>
  <c r="AN759" i="11"/>
  <c r="AO759" i="11"/>
  <c r="AP759" i="11"/>
  <c r="AK760" i="11"/>
  <c r="AR758" i="11"/>
  <c r="AQ758" i="11"/>
  <c r="AO817" i="12"/>
  <c r="AL817" i="12" s="1"/>
  <c r="AM818" i="12"/>
  <c r="AN817" i="12"/>
  <c r="AQ817" i="12"/>
  <c r="AP817" i="12"/>
  <c r="D821" i="14"/>
  <c r="F823" i="14"/>
  <c r="AT759" i="11" l="1"/>
  <c r="AJ759" i="11"/>
  <c r="AP760" i="11"/>
  <c r="AO760" i="11"/>
  <c r="AM760" i="11"/>
  <c r="AL760" i="11"/>
  <c r="AN760" i="11"/>
  <c r="AK761" i="11"/>
  <c r="AQ759" i="11"/>
  <c r="AR759" i="11"/>
  <c r="F824" i="14"/>
  <c r="D822" i="14"/>
  <c r="AO818" i="12"/>
  <c r="AL818" i="12" s="1"/>
  <c r="AN818" i="12"/>
  <c r="AP818" i="12"/>
  <c r="AM819" i="12"/>
  <c r="AQ818" i="12"/>
  <c r="AT760" i="11" l="1"/>
  <c r="AJ760" i="11"/>
  <c r="AQ760" i="11"/>
  <c r="AR760" i="11"/>
  <c r="AN761" i="11"/>
  <c r="AP761" i="11"/>
  <c r="AL761" i="11"/>
  <c r="AK762" i="11"/>
  <c r="AO761" i="11"/>
  <c r="AM761" i="11"/>
  <c r="D823" i="14"/>
  <c r="F825" i="14"/>
  <c r="AO819" i="12"/>
  <c r="AL819" i="12" s="1"/>
  <c r="AM820" i="12"/>
  <c r="AP819" i="12"/>
  <c r="AQ819" i="12"/>
  <c r="AN819" i="12"/>
  <c r="AT761" i="11" l="1"/>
  <c r="AJ761" i="11"/>
  <c r="AK763" i="11"/>
  <c r="AL762" i="11"/>
  <c r="AM762" i="11"/>
  <c r="AN762" i="11"/>
  <c r="AP762" i="11"/>
  <c r="AO762" i="11"/>
  <c r="AR761" i="11"/>
  <c r="AQ761" i="11"/>
  <c r="F826" i="14"/>
  <c r="D824" i="14"/>
  <c r="AO820" i="12"/>
  <c r="AL820" i="12" s="1"/>
  <c r="AM821" i="12"/>
  <c r="AQ820" i="12"/>
  <c r="AP820" i="12"/>
  <c r="AN820" i="12"/>
  <c r="AT762" i="11" l="1"/>
  <c r="AJ762" i="11"/>
  <c r="AQ762" i="11"/>
  <c r="AR762" i="11"/>
  <c r="AO763" i="11"/>
  <c r="AL763" i="11"/>
  <c r="AM763" i="11"/>
  <c r="AP763" i="11"/>
  <c r="AN763" i="11"/>
  <c r="AK764" i="11"/>
  <c r="AO821" i="12"/>
  <c r="AL821" i="12" s="1"/>
  <c r="AM822" i="12"/>
  <c r="AN821" i="12"/>
  <c r="AP821" i="12"/>
  <c r="AQ821" i="12"/>
  <c r="D825" i="14"/>
  <c r="F827" i="14"/>
  <c r="AT763" i="11" l="1"/>
  <c r="AJ763" i="11"/>
  <c r="AR763" i="11"/>
  <c r="AQ763" i="11"/>
  <c r="AK765" i="11"/>
  <c r="AL764" i="11"/>
  <c r="AM764" i="11"/>
  <c r="AP764" i="11"/>
  <c r="AO764" i="11"/>
  <c r="AN764" i="11"/>
  <c r="F828" i="14"/>
  <c r="D826" i="14"/>
  <c r="AO822" i="12"/>
  <c r="AL822" i="12" s="1"/>
  <c r="AN822" i="12"/>
  <c r="AP822" i="12"/>
  <c r="AM823" i="12"/>
  <c r="AQ822" i="12"/>
  <c r="AT764" i="11" l="1"/>
  <c r="AJ764" i="11"/>
  <c r="AL765" i="11"/>
  <c r="AO765" i="11"/>
  <c r="AK766" i="11"/>
  <c r="AN765" i="11"/>
  <c r="AM765" i="11"/>
  <c r="AP765" i="11"/>
  <c r="AQ764" i="11"/>
  <c r="AR764" i="11"/>
  <c r="D827" i="14"/>
  <c r="F829" i="14"/>
  <c r="AO823" i="12"/>
  <c r="AL823" i="12" s="1"/>
  <c r="AM824" i="12"/>
  <c r="AP823" i="12"/>
  <c r="AQ823" i="12"/>
  <c r="AN823" i="12"/>
  <c r="AT765" i="11" l="1"/>
  <c r="AJ765" i="11"/>
  <c r="AN766" i="11"/>
  <c r="AK767" i="11"/>
  <c r="AM766" i="11"/>
  <c r="AO766" i="11"/>
  <c r="AP766" i="11"/>
  <c r="AL766" i="11"/>
  <c r="AR765" i="11"/>
  <c r="AQ765" i="11"/>
  <c r="F830" i="14"/>
  <c r="D828" i="14"/>
  <c r="AO824" i="12"/>
  <c r="AL824" i="12" s="1"/>
  <c r="AM825" i="12"/>
  <c r="AQ824" i="12"/>
  <c r="AN824" i="12"/>
  <c r="AP824" i="12"/>
  <c r="AT766" i="11" l="1"/>
  <c r="AJ766" i="11"/>
  <c r="AQ766" i="11"/>
  <c r="AR766" i="11"/>
  <c r="AK768" i="11"/>
  <c r="AN767" i="11"/>
  <c r="AM767" i="11"/>
  <c r="AO767" i="11"/>
  <c r="AL767" i="11"/>
  <c r="AP767" i="11"/>
  <c r="AO825" i="12"/>
  <c r="AL825" i="12" s="1"/>
  <c r="AM826" i="12"/>
  <c r="AN825" i="12"/>
  <c r="AQ825" i="12"/>
  <c r="AP825" i="12"/>
  <c r="D829" i="14"/>
  <c r="F831" i="14"/>
  <c r="AT767" i="11" l="1"/>
  <c r="AJ767" i="11"/>
  <c r="AO768" i="11"/>
  <c r="AL768" i="11"/>
  <c r="AM768" i="11"/>
  <c r="AP768" i="11"/>
  <c r="AK769" i="11"/>
  <c r="AN768" i="11"/>
  <c r="AQ767" i="11"/>
  <c r="AR767" i="11"/>
  <c r="F832" i="14"/>
  <c r="D830" i="14"/>
  <c r="AO826" i="12"/>
  <c r="AL826" i="12" s="1"/>
  <c r="AN826" i="12"/>
  <c r="AP826" i="12"/>
  <c r="AQ826" i="12"/>
  <c r="AM827" i="12"/>
  <c r="AT768" i="11" l="1"/>
  <c r="AJ768" i="11"/>
  <c r="AR768" i="11"/>
  <c r="AQ768" i="11"/>
  <c r="AP769" i="11"/>
  <c r="AO769" i="11"/>
  <c r="AL769" i="11"/>
  <c r="AN769" i="11"/>
  <c r="AM769" i="11"/>
  <c r="AK770" i="11"/>
  <c r="D831" i="14"/>
  <c r="AO827" i="12"/>
  <c r="AL827" i="12" s="1"/>
  <c r="AM828" i="12"/>
  <c r="AP827" i="12"/>
  <c r="AQ827" i="12"/>
  <c r="AN827" i="12"/>
  <c r="F833" i="14"/>
  <c r="AT769" i="11" l="1"/>
  <c r="AJ769" i="11"/>
  <c r="AQ769" i="11"/>
  <c r="AR769" i="11"/>
  <c r="AP770" i="11"/>
  <c r="AN770" i="11"/>
  <c r="AO770" i="11"/>
  <c r="AK771" i="11"/>
  <c r="AM770" i="11"/>
  <c r="AL770" i="11"/>
  <c r="F834" i="14"/>
  <c r="AO828" i="12"/>
  <c r="AL828" i="12" s="1"/>
  <c r="AM829" i="12"/>
  <c r="AQ828" i="12"/>
  <c r="AP828" i="12"/>
  <c r="AN828" i="12"/>
  <c r="D832" i="14"/>
  <c r="AT770" i="11" l="1"/>
  <c r="AJ770" i="11"/>
  <c r="AR770" i="11"/>
  <c r="AQ770" i="11"/>
  <c r="AL771" i="11"/>
  <c r="AK772" i="11"/>
  <c r="AN771" i="11"/>
  <c r="AP771" i="11"/>
  <c r="AO771" i="11"/>
  <c r="AM771" i="11"/>
  <c r="D833" i="14"/>
  <c r="F835" i="14"/>
  <c r="AO829" i="12"/>
  <c r="AL829" i="12" s="1"/>
  <c r="AM830" i="12"/>
  <c r="AN829" i="12"/>
  <c r="AQ829" i="12"/>
  <c r="AP829" i="12"/>
  <c r="AT771" i="11" l="1"/>
  <c r="AJ771" i="11"/>
  <c r="AR771" i="11"/>
  <c r="AQ771" i="11"/>
  <c r="AL772" i="11"/>
  <c r="AN772" i="11"/>
  <c r="AP772" i="11"/>
  <c r="AO772" i="11"/>
  <c r="AM772" i="11"/>
  <c r="AK773" i="11"/>
  <c r="AO830" i="12"/>
  <c r="AL830" i="12" s="1"/>
  <c r="AN830" i="12"/>
  <c r="AP830" i="12"/>
  <c r="AM831" i="12"/>
  <c r="AQ830" i="12"/>
  <c r="D834" i="14"/>
  <c r="F836" i="14"/>
  <c r="AT772" i="11" l="1"/>
  <c r="AJ772" i="11"/>
  <c r="AR772" i="11"/>
  <c r="AQ772" i="11"/>
  <c r="AM773" i="11"/>
  <c r="AL773" i="11"/>
  <c r="AP773" i="11"/>
  <c r="AK774" i="11"/>
  <c r="AO773" i="11"/>
  <c r="AN773" i="11"/>
  <c r="F837" i="14"/>
  <c r="D835" i="14"/>
  <c r="AO831" i="12"/>
  <c r="AL831" i="12" s="1"/>
  <c r="AM832" i="12"/>
  <c r="AP831" i="12"/>
  <c r="AQ831" i="12"/>
  <c r="AN831" i="12"/>
  <c r="AT773" i="11" l="1"/>
  <c r="AJ773" i="11"/>
  <c r="AQ773" i="11"/>
  <c r="AR773" i="11"/>
  <c r="AN774" i="11"/>
  <c r="AP774" i="11"/>
  <c r="AO774" i="11"/>
  <c r="AL774" i="11"/>
  <c r="AK775" i="11"/>
  <c r="AM774" i="11"/>
  <c r="AO832" i="12"/>
  <c r="AL832" i="12" s="1"/>
  <c r="AM833" i="12"/>
  <c r="AQ832" i="12"/>
  <c r="AP832" i="12"/>
  <c r="AN832" i="12"/>
  <c r="D836" i="14"/>
  <c r="F838" i="14"/>
  <c r="AT774" i="11" l="1"/>
  <c r="AJ774" i="11"/>
  <c r="AM775" i="11"/>
  <c r="AK776" i="11"/>
  <c r="AN775" i="11"/>
  <c r="AO775" i="11"/>
  <c r="AL775" i="11"/>
  <c r="AP775" i="11"/>
  <c r="AQ774" i="11"/>
  <c r="AR774" i="11"/>
  <c r="AO833" i="12"/>
  <c r="AL833" i="12" s="1"/>
  <c r="AM834" i="12"/>
  <c r="AN833" i="12"/>
  <c r="AQ833" i="12"/>
  <c r="AP833" i="12"/>
  <c r="F839" i="14"/>
  <c r="D837" i="14"/>
  <c r="AT775" i="11" l="1"/>
  <c r="AJ775" i="11"/>
  <c r="AM776" i="11"/>
  <c r="AL776" i="11"/>
  <c r="AK777" i="11"/>
  <c r="AP776" i="11"/>
  <c r="AO776" i="11"/>
  <c r="AN776" i="11"/>
  <c r="AR775" i="11"/>
  <c r="AQ775" i="11"/>
  <c r="F840" i="14"/>
  <c r="D838" i="14"/>
  <c r="AO834" i="12"/>
  <c r="AL834" i="12" s="1"/>
  <c r="AN834" i="12"/>
  <c r="AP834" i="12"/>
  <c r="AM835" i="12"/>
  <c r="AQ834" i="12"/>
  <c r="AT776" i="11" l="1"/>
  <c r="AJ776" i="11"/>
  <c r="AP777" i="11"/>
  <c r="AM777" i="11"/>
  <c r="AL777" i="11"/>
  <c r="AO777" i="11"/>
  <c r="AN777" i="11"/>
  <c r="AK778" i="11"/>
  <c r="AQ776" i="11"/>
  <c r="AR776" i="11"/>
  <c r="AO835" i="12"/>
  <c r="AL835" i="12" s="1"/>
  <c r="AM836" i="12"/>
  <c r="AP835" i="12"/>
  <c r="AQ835" i="12"/>
  <c r="AN835" i="12"/>
  <c r="D839" i="14"/>
  <c r="F841" i="14"/>
  <c r="AT777" i="11" l="1"/>
  <c r="AJ777" i="11"/>
  <c r="AL778" i="11"/>
  <c r="AN778" i="11"/>
  <c r="AP778" i="11"/>
  <c r="AO778" i="11"/>
  <c r="AK779" i="11"/>
  <c r="AM778" i="11"/>
  <c r="AQ777" i="11"/>
  <c r="AR777" i="11"/>
  <c r="F842" i="14"/>
  <c r="D840" i="14"/>
  <c r="AO836" i="12"/>
  <c r="AL836" i="12" s="1"/>
  <c r="AM837" i="12"/>
  <c r="AQ836" i="12"/>
  <c r="AP836" i="12"/>
  <c r="AN836" i="12"/>
  <c r="AT778" i="11" l="1"/>
  <c r="AJ778" i="11"/>
  <c r="AR778" i="11"/>
  <c r="AQ778" i="11"/>
  <c r="AP779" i="11"/>
  <c r="AO779" i="11"/>
  <c r="AM779" i="11"/>
  <c r="AL779" i="11"/>
  <c r="AN779" i="11"/>
  <c r="AK780" i="11"/>
  <c r="D841" i="14"/>
  <c r="F843" i="14"/>
  <c r="AO837" i="12"/>
  <c r="AL837" i="12" s="1"/>
  <c r="AM838" i="12"/>
  <c r="AN837" i="12"/>
  <c r="AP837" i="12"/>
  <c r="AQ837" i="12"/>
  <c r="AT779" i="11" l="1"/>
  <c r="AJ779" i="11"/>
  <c r="AR779" i="11"/>
  <c r="AQ779" i="11"/>
  <c r="AM780" i="11"/>
  <c r="AN780" i="11"/>
  <c r="AP780" i="11"/>
  <c r="AO780" i="11"/>
  <c r="AL780" i="11"/>
  <c r="AK781" i="11"/>
  <c r="F844" i="14"/>
  <c r="D842" i="14"/>
  <c r="AO838" i="12"/>
  <c r="AL838" i="12" s="1"/>
  <c r="AN838" i="12"/>
  <c r="AP838" i="12"/>
  <c r="AM839" i="12"/>
  <c r="AQ838" i="12"/>
  <c r="AT780" i="11" l="1"/>
  <c r="AJ780" i="11"/>
  <c r="AQ780" i="11"/>
  <c r="AR780" i="11"/>
  <c r="AO781" i="11"/>
  <c r="AP781" i="11"/>
  <c r="AL781" i="11"/>
  <c r="AK782" i="11"/>
  <c r="AN781" i="11"/>
  <c r="AM781" i="11"/>
  <c r="D843" i="14"/>
  <c r="F845" i="14"/>
  <c r="AO839" i="12"/>
  <c r="AL839" i="12" s="1"/>
  <c r="AM840" i="12"/>
  <c r="AP839" i="12"/>
  <c r="AQ839" i="12"/>
  <c r="AN839" i="12"/>
  <c r="AT781" i="11" l="1"/>
  <c r="AJ781" i="11"/>
  <c r="AK783" i="11"/>
  <c r="AM782" i="11"/>
  <c r="AP782" i="11"/>
  <c r="AN782" i="11"/>
  <c r="AO782" i="11"/>
  <c r="AL782" i="11"/>
  <c r="AR781" i="11"/>
  <c r="AQ781" i="11"/>
  <c r="F846" i="14"/>
  <c r="D844" i="14"/>
  <c r="AO840" i="12"/>
  <c r="AL840" i="12" s="1"/>
  <c r="AM841" i="12"/>
  <c r="AQ840" i="12"/>
  <c r="AP840" i="12"/>
  <c r="AN840" i="12"/>
  <c r="AT782" i="11" l="1"/>
  <c r="AJ782" i="11"/>
  <c r="AQ782" i="11"/>
  <c r="AR782" i="11"/>
  <c r="AN783" i="11"/>
  <c r="AM783" i="11"/>
  <c r="AK784" i="11"/>
  <c r="AP783" i="11"/>
  <c r="AL783" i="11"/>
  <c r="AO783" i="11"/>
  <c r="D845" i="14"/>
  <c r="F847" i="14"/>
  <c r="AO841" i="12"/>
  <c r="AL841" i="12" s="1"/>
  <c r="AM842" i="12"/>
  <c r="AN841" i="12"/>
  <c r="AQ841" i="12"/>
  <c r="AP841" i="12"/>
  <c r="AT783" i="11" l="1"/>
  <c r="AJ783" i="11"/>
  <c r="AL784" i="11"/>
  <c r="AK785" i="11"/>
  <c r="AP784" i="11"/>
  <c r="AO784" i="11"/>
  <c r="AM784" i="11"/>
  <c r="AN784" i="11"/>
  <c r="AQ783" i="11"/>
  <c r="AR783" i="11"/>
  <c r="F848" i="14"/>
  <c r="D846" i="14"/>
  <c r="AO842" i="12"/>
  <c r="AL842" i="12" s="1"/>
  <c r="AN842" i="12"/>
  <c r="AP842" i="12"/>
  <c r="AQ842" i="12"/>
  <c r="AM843" i="12"/>
  <c r="AT784" i="11" l="1"/>
  <c r="AJ784" i="11"/>
  <c r="AN785" i="11"/>
  <c r="AO785" i="11"/>
  <c r="AM785" i="11"/>
  <c r="AL785" i="11"/>
  <c r="AP785" i="11"/>
  <c r="AK786" i="11"/>
  <c r="AQ784" i="11"/>
  <c r="AR784" i="11"/>
  <c r="D847" i="14"/>
  <c r="AO843" i="12"/>
  <c r="AL843" i="12" s="1"/>
  <c r="AM844" i="12"/>
  <c r="AP843" i="12"/>
  <c r="AQ843" i="12"/>
  <c r="AN843" i="12"/>
  <c r="F849" i="14"/>
  <c r="AT785" i="11" l="1"/>
  <c r="AJ785" i="11"/>
  <c r="AQ785" i="11"/>
  <c r="AR785" i="11"/>
  <c r="AK787" i="11"/>
  <c r="AM786" i="11"/>
  <c r="AN786" i="11"/>
  <c r="AO786" i="11"/>
  <c r="AP786" i="11"/>
  <c r="AL786" i="11"/>
  <c r="F850" i="14"/>
  <c r="AO844" i="12"/>
  <c r="AL844" i="12" s="1"/>
  <c r="AM845" i="12"/>
  <c r="AQ844" i="12"/>
  <c r="AP844" i="12"/>
  <c r="AN844" i="12"/>
  <c r="D848" i="14"/>
  <c r="AT786" i="11" l="1"/>
  <c r="AJ786" i="11"/>
  <c r="AO787" i="11"/>
  <c r="AK788" i="11"/>
  <c r="AP787" i="11"/>
  <c r="AN787" i="11"/>
  <c r="AM787" i="11"/>
  <c r="AL787" i="11"/>
  <c r="AR786" i="11"/>
  <c r="AQ786" i="11"/>
  <c r="D849" i="14"/>
  <c r="AO845" i="12"/>
  <c r="AL845" i="12" s="1"/>
  <c r="AM846" i="12"/>
  <c r="AN845" i="12"/>
  <c r="AP845" i="12"/>
  <c r="AQ845" i="12"/>
  <c r="F851" i="14"/>
  <c r="AT787" i="11" l="1"/>
  <c r="AJ787" i="11"/>
  <c r="AP788" i="11"/>
  <c r="AK789" i="11"/>
  <c r="AN788" i="11"/>
  <c r="AL788" i="11"/>
  <c r="AO788" i="11"/>
  <c r="AM788" i="11"/>
  <c r="AR787" i="11"/>
  <c r="AQ787" i="11"/>
  <c r="AO846" i="12"/>
  <c r="AL846" i="12" s="1"/>
  <c r="AN846" i="12"/>
  <c r="AP846" i="12"/>
  <c r="AM847" i="12"/>
  <c r="AQ846" i="12"/>
  <c r="D850" i="14"/>
  <c r="F852" i="14"/>
  <c r="AT788" i="11" l="1"/>
  <c r="AJ788" i="11"/>
  <c r="AQ788" i="11"/>
  <c r="AR788" i="11"/>
  <c r="AN789" i="11"/>
  <c r="AL789" i="11"/>
  <c r="AM789" i="11"/>
  <c r="AO789" i="11"/>
  <c r="AK790" i="11"/>
  <c r="AP789" i="11"/>
  <c r="F853" i="14"/>
  <c r="AO847" i="12"/>
  <c r="AL847" i="12" s="1"/>
  <c r="AM848" i="12"/>
  <c r="AP847" i="12"/>
  <c r="AQ847" i="12"/>
  <c r="AN847" i="12"/>
  <c r="D851" i="14"/>
  <c r="AT789" i="11" l="1"/>
  <c r="AJ789" i="11"/>
  <c r="AP790" i="11"/>
  <c r="AM790" i="11"/>
  <c r="AN790" i="11"/>
  <c r="AK791" i="11"/>
  <c r="AL790" i="11"/>
  <c r="AO790" i="11"/>
  <c r="AR789" i="11"/>
  <c r="AQ789" i="11"/>
  <c r="AO848" i="12"/>
  <c r="AL848" i="12" s="1"/>
  <c r="AM849" i="12"/>
  <c r="AQ848" i="12"/>
  <c r="AN848" i="12"/>
  <c r="AP848" i="12"/>
  <c r="D852" i="14"/>
  <c r="F854" i="14"/>
  <c r="AT790" i="11" l="1"/>
  <c r="AJ790" i="11"/>
  <c r="AN791" i="11"/>
  <c r="AL791" i="11"/>
  <c r="AO791" i="11"/>
  <c r="AK792" i="11"/>
  <c r="AM791" i="11"/>
  <c r="AP791" i="11"/>
  <c r="AR790" i="11"/>
  <c r="AQ790" i="11"/>
  <c r="AO849" i="12"/>
  <c r="AL849" i="12" s="1"/>
  <c r="AM850" i="12"/>
  <c r="AN849" i="12"/>
  <c r="AQ849" i="12"/>
  <c r="AP849" i="12"/>
  <c r="F855" i="14"/>
  <c r="D853" i="14"/>
  <c r="AT791" i="11" l="1"/>
  <c r="AJ791" i="11"/>
  <c r="AL792" i="11"/>
  <c r="AK793" i="11"/>
  <c r="AN792" i="11"/>
  <c r="AO792" i="11"/>
  <c r="AM792" i="11"/>
  <c r="AP792" i="11"/>
  <c r="AQ791" i="11"/>
  <c r="AR791" i="11"/>
  <c r="D854" i="14"/>
  <c r="F856" i="14"/>
  <c r="AO850" i="12"/>
  <c r="AL850" i="12" s="1"/>
  <c r="AN850" i="12"/>
  <c r="AP850" i="12"/>
  <c r="AM851" i="12"/>
  <c r="AQ850" i="12"/>
  <c r="AT792" i="11" l="1"/>
  <c r="AJ792" i="11"/>
  <c r="AL793" i="11"/>
  <c r="AO793" i="11"/>
  <c r="AM793" i="11"/>
  <c r="AN793" i="11"/>
  <c r="AP793" i="11"/>
  <c r="AK794" i="11"/>
  <c r="AR792" i="11"/>
  <c r="AQ792" i="11"/>
  <c r="F857" i="14"/>
  <c r="D855" i="14"/>
  <c r="AO851" i="12"/>
  <c r="AL851" i="12" s="1"/>
  <c r="AM852" i="12"/>
  <c r="AP851" i="12"/>
  <c r="AQ851" i="12"/>
  <c r="AN851" i="12"/>
  <c r="AT793" i="11" l="1"/>
  <c r="AJ793" i="11"/>
  <c r="AR793" i="11"/>
  <c r="AQ793" i="11"/>
  <c r="AL794" i="11"/>
  <c r="AM794" i="11"/>
  <c r="AO794" i="11"/>
  <c r="AK795" i="11"/>
  <c r="AN794" i="11"/>
  <c r="AP794" i="11"/>
  <c r="AO852" i="12"/>
  <c r="AL852" i="12" s="1"/>
  <c r="AM853" i="12"/>
  <c r="AQ852" i="12"/>
  <c r="AP852" i="12"/>
  <c r="AN852" i="12"/>
  <c r="D856" i="14"/>
  <c r="F858" i="14"/>
  <c r="AT794" i="11" l="1"/>
  <c r="AJ794" i="11"/>
  <c r="AK796" i="11"/>
  <c r="AO795" i="11"/>
  <c r="AM795" i="11"/>
  <c r="AN795" i="11"/>
  <c r="AL795" i="11"/>
  <c r="AP795" i="11"/>
  <c r="AR794" i="11"/>
  <c r="AQ794" i="11"/>
  <c r="F859" i="14"/>
  <c r="D857" i="14"/>
  <c r="AO853" i="12"/>
  <c r="AL853" i="12" s="1"/>
  <c r="AM854" i="12"/>
  <c r="AN853" i="12"/>
  <c r="AQ853" i="12"/>
  <c r="AP853" i="12"/>
  <c r="AT795" i="11" l="1"/>
  <c r="AJ795" i="11"/>
  <c r="AR795" i="11"/>
  <c r="AQ795" i="11"/>
  <c r="AM796" i="11"/>
  <c r="AN796" i="11"/>
  <c r="AO796" i="11"/>
  <c r="AK797" i="11"/>
  <c r="AP796" i="11"/>
  <c r="AL796" i="11"/>
  <c r="AO854" i="12"/>
  <c r="AL854" i="12" s="1"/>
  <c r="AN854" i="12"/>
  <c r="AP854" i="12"/>
  <c r="AM855" i="12"/>
  <c r="AQ854" i="12"/>
  <c r="D858" i="14"/>
  <c r="F860" i="14"/>
  <c r="AT796" i="11" l="1"/>
  <c r="AJ796" i="11"/>
  <c r="AR796" i="11"/>
  <c r="AQ796" i="11"/>
  <c r="AO797" i="11"/>
  <c r="AM797" i="11"/>
  <c r="AP797" i="11"/>
  <c r="AN797" i="11"/>
  <c r="AK798" i="11"/>
  <c r="AL797" i="11"/>
  <c r="AO855" i="12"/>
  <c r="AL855" i="12" s="1"/>
  <c r="AM856" i="12"/>
  <c r="AP855" i="12"/>
  <c r="AQ855" i="12"/>
  <c r="AN855" i="12"/>
  <c r="F861" i="14"/>
  <c r="D859" i="14"/>
  <c r="AT797" i="11" l="1"/>
  <c r="AJ797" i="11"/>
  <c r="AP798" i="11"/>
  <c r="AM798" i="11"/>
  <c r="AL798" i="11"/>
  <c r="AO798" i="11"/>
  <c r="AN798" i="11"/>
  <c r="AK799" i="11"/>
  <c r="AQ797" i="11"/>
  <c r="AR797" i="11"/>
  <c r="D860" i="14"/>
  <c r="F862" i="14"/>
  <c r="AO856" i="12"/>
  <c r="AL856" i="12" s="1"/>
  <c r="AM857" i="12"/>
  <c r="AQ856" i="12"/>
  <c r="AN856" i="12"/>
  <c r="AP856" i="12"/>
  <c r="AT798" i="11" l="1"/>
  <c r="AJ798" i="11"/>
  <c r="AN799" i="11"/>
  <c r="AM799" i="11"/>
  <c r="AL799" i="11"/>
  <c r="AO799" i="11"/>
  <c r="AK800" i="11"/>
  <c r="AP799" i="11"/>
  <c r="AR798" i="11"/>
  <c r="AQ798" i="11"/>
  <c r="AO857" i="12"/>
  <c r="AL857" i="12" s="1"/>
  <c r="AM858" i="12"/>
  <c r="AN857" i="12"/>
  <c r="AQ857" i="12"/>
  <c r="AP857" i="12"/>
  <c r="F863" i="14"/>
  <c r="D861" i="14"/>
  <c r="AT799" i="11" l="1"/>
  <c r="AJ799" i="11"/>
  <c r="AQ799" i="11"/>
  <c r="AR799" i="11"/>
  <c r="AN800" i="11"/>
  <c r="AK801" i="11"/>
  <c r="AP800" i="11"/>
  <c r="AO800" i="11"/>
  <c r="AM800" i="11"/>
  <c r="AL800" i="11"/>
  <c r="D862" i="14"/>
  <c r="F864" i="14"/>
  <c r="AO858" i="12"/>
  <c r="AL858" i="12" s="1"/>
  <c r="AN858" i="12"/>
  <c r="AP858" i="12"/>
  <c r="AM859" i="12"/>
  <c r="AQ858" i="12"/>
  <c r="AT800" i="11" l="1"/>
  <c r="AJ800" i="11"/>
  <c r="AR800" i="11"/>
  <c r="AQ800" i="11"/>
  <c r="AK802" i="11"/>
  <c r="AM801" i="11"/>
  <c r="AP801" i="11"/>
  <c r="AL801" i="11"/>
  <c r="AN801" i="11"/>
  <c r="AO801" i="11"/>
  <c r="F865" i="14"/>
  <c r="AO859" i="12"/>
  <c r="AL859" i="12" s="1"/>
  <c r="AM860" i="12"/>
  <c r="AP859" i="12"/>
  <c r="AQ859" i="12"/>
  <c r="AN859" i="12"/>
  <c r="D863" i="14"/>
  <c r="AT801" i="11" l="1"/>
  <c r="AJ801" i="11"/>
  <c r="AN802" i="11"/>
  <c r="AO802" i="11"/>
  <c r="AP802" i="11"/>
  <c r="AK803" i="11"/>
  <c r="AL802" i="11"/>
  <c r="AM802" i="11"/>
  <c r="AR801" i="11"/>
  <c r="AQ801" i="11"/>
  <c r="D864" i="14"/>
  <c r="AO860" i="12"/>
  <c r="AL860" i="12" s="1"/>
  <c r="AM861" i="12"/>
  <c r="AQ860" i="12"/>
  <c r="AP860" i="12"/>
  <c r="AN860" i="12"/>
  <c r="F866" i="14"/>
  <c r="AT802" i="11" l="1"/>
  <c r="AJ802" i="11"/>
  <c r="AM803" i="11"/>
  <c r="AN803" i="11"/>
  <c r="AK804" i="11"/>
  <c r="AO803" i="11"/>
  <c r="AP803" i="11"/>
  <c r="AL803" i="11"/>
  <c r="AR802" i="11"/>
  <c r="AQ802" i="11"/>
  <c r="D865" i="14"/>
  <c r="F867" i="14"/>
  <c r="AO861" i="12"/>
  <c r="AL861" i="12" s="1"/>
  <c r="AM862" i="12"/>
  <c r="AN861" i="12"/>
  <c r="AQ861" i="12"/>
  <c r="AP861" i="12"/>
  <c r="AT803" i="11" l="1"/>
  <c r="AJ803" i="11"/>
  <c r="AL804" i="11"/>
  <c r="AP804" i="11"/>
  <c r="AO804" i="11"/>
  <c r="AM804" i="11"/>
  <c r="AN804" i="11"/>
  <c r="AK805" i="11"/>
  <c r="AR803" i="11"/>
  <c r="AQ803" i="11"/>
  <c r="AO862" i="12"/>
  <c r="AL862" i="12" s="1"/>
  <c r="AN862" i="12"/>
  <c r="AP862" i="12"/>
  <c r="AM863" i="12"/>
  <c r="AQ862" i="12"/>
  <c r="F868" i="14"/>
  <c r="D866" i="14"/>
  <c r="AT804" i="11" l="1"/>
  <c r="AJ804" i="11"/>
  <c r="AR804" i="11"/>
  <c r="AQ804" i="11"/>
  <c r="AM805" i="11"/>
  <c r="AP805" i="11"/>
  <c r="AN805" i="11"/>
  <c r="AL805" i="11"/>
  <c r="AO805" i="11"/>
  <c r="AK806" i="11"/>
  <c r="D867" i="14"/>
  <c r="F869" i="14"/>
  <c r="AO863" i="12"/>
  <c r="AL863" i="12" s="1"/>
  <c r="AM864" i="12"/>
  <c r="AP863" i="12"/>
  <c r="AQ863" i="12"/>
  <c r="AN863" i="12"/>
  <c r="AT805" i="11" l="1"/>
  <c r="AJ805" i="11"/>
  <c r="AQ805" i="11"/>
  <c r="AR805" i="11"/>
  <c r="AL806" i="11"/>
  <c r="AP806" i="11"/>
  <c r="AN806" i="11"/>
  <c r="AO806" i="11"/>
  <c r="AM806" i="11"/>
  <c r="AK807" i="11"/>
  <c r="F870" i="14"/>
  <c r="D868" i="14"/>
  <c r="AO864" i="12"/>
  <c r="AL864" i="12" s="1"/>
  <c r="AM865" i="12"/>
  <c r="AQ864" i="12"/>
  <c r="AN864" i="12"/>
  <c r="AP864" i="12"/>
  <c r="AT806" i="11" l="1"/>
  <c r="AJ806" i="11"/>
  <c r="AR806" i="11"/>
  <c r="AQ806" i="11"/>
  <c r="AN807" i="11"/>
  <c r="AM807" i="11"/>
  <c r="AL807" i="11"/>
  <c r="AP807" i="11"/>
  <c r="AK808" i="11"/>
  <c r="AO807" i="11"/>
  <c r="AO865" i="12"/>
  <c r="AL865" i="12" s="1"/>
  <c r="AM866" i="12"/>
  <c r="AN865" i="12"/>
  <c r="AQ865" i="12"/>
  <c r="AP865" i="12"/>
  <c r="D869" i="14"/>
  <c r="F871" i="14"/>
  <c r="AT807" i="11" l="1"/>
  <c r="AJ807" i="11"/>
  <c r="AN808" i="11"/>
  <c r="AP808" i="11"/>
  <c r="AO808" i="11"/>
  <c r="AM808" i="11"/>
  <c r="AL808" i="11"/>
  <c r="AK809" i="11"/>
  <c r="AQ807" i="11"/>
  <c r="AR807" i="11"/>
  <c r="D870" i="14"/>
  <c r="F872" i="14"/>
  <c r="AO866" i="12"/>
  <c r="AL866" i="12" s="1"/>
  <c r="AN866" i="12"/>
  <c r="AP866" i="12"/>
  <c r="AM867" i="12"/>
  <c r="AQ866" i="12"/>
  <c r="AT808" i="11" l="1"/>
  <c r="AJ808" i="11"/>
  <c r="AR808" i="11"/>
  <c r="AQ808" i="11"/>
  <c r="AP809" i="11"/>
  <c r="AO809" i="11"/>
  <c r="AL809" i="11"/>
  <c r="AM809" i="11"/>
  <c r="AK810" i="11"/>
  <c r="AN809" i="11"/>
  <c r="F873" i="14"/>
  <c r="D871" i="14"/>
  <c r="AO867" i="12"/>
  <c r="AL867" i="12" s="1"/>
  <c r="AM868" i="12"/>
  <c r="AP867" i="12"/>
  <c r="AQ867" i="12"/>
  <c r="AN867" i="12"/>
  <c r="AT809" i="11" l="1"/>
  <c r="AJ809" i="11"/>
  <c r="AM810" i="11"/>
  <c r="AL810" i="11"/>
  <c r="AK811" i="11"/>
  <c r="AN810" i="11"/>
  <c r="AP810" i="11"/>
  <c r="AO810" i="11"/>
  <c r="AQ809" i="11"/>
  <c r="AR809" i="11"/>
  <c r="AO868" i="12"/>
  <c r="AL868" i="12" s="1"/>
  <c r="AM869" i="12"/>
  <c r="AQ868" i="12"/>
  <c r="AP868" i="12"/>
  <c r="AN868" i="12"/>
  <c r="D872" i="14"/>
  <c r="F874" i="14"/>
  <c r="AT810" i="11" l="1"/>
  <c r="AJ810" i="11"/>
  <c r="AM811" i="11"/>
  <c r="AP811" i="11"/>
  <c r="AO811" i="11"/>
  <c r="AN811" i="11"/>
  <c r="AL811" i="11"/>
  <c r="AK812" i="11"/>
  <c r="AQ810" i="11"/>
  <c r="AR810" i="11"/>
  <c r="F875" i="14"/>
  <c r="D873" i="14"/>
  <c r="AO869" i="12"/>
  <c r="AL869" i="12" s="1"/>
  <c r="AM870" i="12"/>
  <c r="AN869" i="12"/>
  <c r="AP869" i="12"/>
  <c r="AQ869" i="12"/>
  <c r="AT811" i="11" l="1"/>
  <c r="AJ811" i="11"/>
  <c r="AM812" i="11"/>
  <c r="AN812" i="11"/>
  <c r="AK813" i="11"/>
  <c r="AP812" i="11"/>
  <c r="AL812" i="11"/>
  <c r="AO812" i="11"/>
  <c r="AR811" i="11"/>
  <c r="AQ811" i="11"/>
  <c r="AO870" i="12"/>
  <c r="AL870" i="12" s="1"/>
  <c r="AN870" i="12"/>
  <c r="AP870" i="12"/>
  <c r="AM871" i="12"/>
  <c r="AQ870" i="12"/>
  <c r="D874" i="14"/>
  <c r="F876" i="14"/>
  <c r="AT812" i="11" l="1"/>
  <c r="AJ812" i="11"/>
  <c r="AL813" i="11"/>
  <c r="AM813" i="11"/>
  <c r="AP813" i="11"/>
  <c r="AK814" i="11"/>
  <c r="AN813" i="11"/>
  <c r="AO813" i="11"/>
  <c r="AR812" i="11"/>
  <c r="AQ812" i="11"/>
  <c r="F877" i="14"/>
  <c r="D875" i="14"/>
  <c r="AO871" i="12"/>
  <c r="AL871" i="12" s="1"/>
  <c r="AM872" i="12"/>
  <c r="AP871" i="12"/>
  <c r="AQ871" i="12"/>
  <c r="AN871" i="12"/>
  <c r="AT813" i="11" l="1"/>
  <c r="AJ813" i="11"/>
  <c r="AL814" i="11"/>
  <c r="AK815" i="11"/>
  <c r="AM814" i="11"/>
  <c r="AP814" i="11"/>
  <c r="AO814" i="11"/>
  <c r="AN814" i="11"/>
  <c r="AQ813" i="11"/>
  <c r="AR813" i="11"/>
  <c r="D876" i="14"/>
  <c r="AO872" i="12"/>
  <c r="AL872" i="12" s="1"/>
  <c r="AM873" i="12"/>
  <c r="AQ872" i="12"/>
  <c r="AP872" i="12"/>
  <c r="AN872" i="12"/>
  <c r="F878" i="14"/>
  <c r="AT814" i="11" l="1"/>
  <c r="AJ814" i="11"/>
  <c r="AR814" i="11"/>
  <c r="AQ814" i="11"/>
  <c r="AL815" i="11"/>
  <c r="AP815" i="11"/>
  <c r="AM815" i="11"/>
  <c r="AK816" i="11"/>
  <c r="AN815" i="11"/>
  <c r="AO815" i="11"/>
  <c r="D877" i="14"/>
  <c r="F879" i="14"/>
  <c r="AO873" i="12"/>
  <c r="AL873" i="12" s="1"/>
  <c r="AM874" i="12"/>
  <c r="AN873" i="12"/>
  <c r="AQ873" i="12"/>
  <c r="AP873" i="12"/>
  <c r="AT815" i="11" l="1"/>
  <c r="AJ815" i="11"/>
  <c r="AL816" i="11"/>
  <c r="AO816" i="11"/>
  <c r="AP816" i="11"/>
  <c r="AM816" i="11"/>
  <c r="AN816" i="11"/>
  <c r="AK817" i="11"/>
  <c r="AQ815" i="11"/>
  <c r="AR815" i="11"/>
  <c r="AO874" i="12"/>
  <c r="AL874" i="12" s="1"/>
  <c r="AN874" i="12"/>
  <c r="AP874" i="12"/>
  <c r="AM875" i="12"/>
  <c r="AQ874" i="12"/>
  <c r="D878" i="14"/>
  <c r="F880" i="14"/>
  <c r="AT816" i="11" l="1"/>
  <c r="AJ816" i="11"/>
  <c r="AQ816" i="11"/>
  <c r="AR816" i="11"/>
  <c r="AM817" i="11"/>
  <c r="AP817" i="11"/>
  <c r="AL817" i="11"/>
  <c r="AO817" i="11"/>
  <c r="AK818" i="11"/>
  <c r="AN817" i="11"/>
  <c r="D879" i="14"/>
  <c r="AO875" i="12"/>
  <c r="AL875" i="12" s="1"/>
  <c r="AM876" i="12"/>
  <c r="AP875" i="12"/>
  <c r="AQ875" i="12"/>
  <c r="AN875" i="12"/>
  <c r="F881" i="14"/>
  <c r="AT817" i="11" l="1"/>
  <c r="AJ817" i="11"/>
  <c r="AL818" i="11"/>
  <c r="AM818" i="11"/>
  <c r="AP818" i="11"/>
  <c r="AK819" i="11"/>
  <c r="AN818" i="11"/>
  <c r="AO818" i="11"/>
  <c r="AQ817" i="11"/>
  <c r="AR817" i="11"/>
  <c r="F882" i="14"/>
  <c r="AO876" i="12"/>
  <c r="AL876" i="12" s="1"/>
  <c r="AM877" i="12"/>
  <c r="AQ876" i="12"/>
  <c r="AP876" i="12"/>
  <c r="AN876" i="12"/>
  <c r="D880" i="14"/>
  <c r="AT818" i="11" l="1"/>
  <c r="AJ818" i="11"/>
  <c r="AM819" i="11"/>
  <c r="AL819" i="11"/>
  <c r="AO819" i="11"/>
  <c r="AP819" i="11"/>
  <c r="AN819" i="11"/>
  <c r="AK820" i="11"/>
  <c r="AQ818" i="11"/>
  <c r="AR818" i="11"/>
  <c r="AO877" i="12"/>
  <c r="AL877" i="12" s="1"/>
  <c r="AM878" i="12"/>
  <c r="AN877" i="12"/>
  <c r="AP877" i="12"/>
  <c r="AQ877" i="12"/>
  <c r="D881" i="14"/>
  <c r="F883" i="14"/>
  <c r="AT819" i="11" l="1"/>
  <c r="AJ819" i="11"/>
  <c r="AK821" i="11"/>
  <c r="AL820" i="11"/>
  <c r="AN820" i="11"/>
  <c r="AP820" i="11"/>
  <c r="AO820" i="11"/>
  <c r="AM820" i="11"/>
  <c r="AR819" i="11"/>
  <c r="AQ819" i="11"/>
  <c r="F884" i="14"/>
  <c r="AO878" i="12"/>
  <c r="AL878" i="12" s="1"/>
  <c r="AN878" i="12"/>
  <c r="AP878" i="12"/>
  <c r="AM879" i="12"/>
  <c r="AQ878" i="12"/>
  <c r="D882" i="14"/>
  <c r="AT820" i="11" l="1"/>
  <c r="AJ820" i="11"/>
  <c r="AR820" i="11"/>
  <c r="AQ820" i="11"/>
  <c r="AM821" i="11"/>
  <c r="AO821" i="11"/>
  <c r="AL821" i="11"/>
  <c r="AP821" i="11"/>
  <c r="AN821" i="11"/>
  <c r="AK822" i="11"/>
  <c r="AO879" i="12"/>
  <c r="AL879" i="12" s="1"/>
  <c r="AM880" i="12"/>
  <c r="AP879" i="12"/>
  <c r="AQ879" i="12"/>
  <c r="AN879" i="12"/>
  <c r="F885" i="14"/>
  <c r="D883" i="14"/>
  <c r="AT821" i="11" l="1"/>
  <c r="AJ821" i="11"/>
  <c r="AR821" i="11"/>
  <c r="AQ821" i="11"/>
  <c r="AP822" i="11"/>
  <c r="AM822" i="11"/>
  <c r="AN822" i="11"/>
  <c r="AK823" i="11"/>
  <c r="AO822" i="11"/>
  <c r="AL822" i="11"/>
  <c r="D884" i="14"/>
  <c r="F886" i="14"/>
  <c r="AO880" i="12"/>
  <c r="AL880" i="12" s="1"/>
  <c r="AM881" i="12"/>
  <c r="AQ880" i="12"/>
  <c r="AN880" i="12"/>
  <c r="AP880" i="12"/>
  <c r="AT822" i="11" l="1"/>
  <c r="AJ822" i="11"/>
  <c r="AN823" i="11"/>
  <c r="AK824" i="11"/>
  <c r="AO823" i="11"/>
  <c r="AP823" i="11"/>
  <c r="AL823" i="11"/>
  <c r="AM823" i="11"/>
  <c r="AR822" i="11"/>
  <c r="AQ822" i="11"/>
  <c r="F887" i="14"/>
  <c r="D885" i="14"/>
  <c r="AO881" i="12"/>
  <c r="AL881" i="12" s="1"/>
  <c r="AM882" i="12"/>
  <c r="AN881" i="12"/>
  <c r="AQ881" i="12"/>
  <c r="AP881" i="12"/>
  <c r="AT823" i="11" l="1"/>
  <c r="AJ823" i="11"/>
  <c r="AQ823" i="11"/>
  <c r="AR823" i="11"/>
  <c r="AN824" i="11"/>
  <c r="AL824" i="11"/>
  <c r="AO824" i="11"/>
  <c r="AM824" i="11"/>
  <c r="AP824" i="11"/>
  <c r="AK825" i="11"/>
  <c r="AO882" i="12"/>
  <c r="AL882" i="12" s="1"/>
  <c r="AN882" i="12"/>
  <c r="AP882" i="12"/>
  <c r="AM883" i="12"/>
  <c r="AQ882" i="12"/>
  <c r="D886" i="14"/>
  <c r="F888" i="14"/>
  <c r="AT824" i="11" l="1"/>
  <c r="AJ824" i="11"/>
  <c r="AQ824" i="11"/>
  <c r="AR824" i="11"/>
  <c r="AP825" i="11"/>
  <c r="AM825" i="11"/>
  <c r="AK826" i="11"/>
  <c r="AL825" i="11"/>
  <c r="AO825" i="11"/>
  <c r="AN825" i="11"/>
  <c r="AO883" i="12"/>
  <c r="AL883" i="12" s="1"/>
  <c r="AM884" i="12"/>
  <c r="AP883" i="12"/>
  <c r="AQ883" i="12"/>
  <c r="AN883" i="12"/>
  <c r="F889" i="14"/>
  <c r="D887" i="14"/>
  <c r="AT825" i="11" l="1"/>
  <c r="AJ825" i="11"/>
  <c r="AO826" i="11"/>
  <c r="AK827" i="11"/>
  <c r="AN826" i="11"/>
  <c r="AP826" i="11"/>
  <c r="AL826" i="11"/>
  <c r="AM826" i="11"/>
  <c r="AR825" i="11"/>
  <c r="AQ825" i="11"/>
  <c r="D888" i="14"/>
  <c r="F890" i="14"/>
  <c r="AO884" i="12"/>
  <c r="AL884" i="12" s="1"/>
  <c r="AM885" i="12"/>
  <c r="AQ884" i="12"/>
  <c r="AP884" i="12"/>
  <c r="AN884" i="12"/>
  <c r="AT826" i="11" l="1"/>
  <c r="AJ826" i="11"/>
  <c r="AQ826" i="11"/>
  <c r="AR826" i="11"/>
  <c r="AM827" i="11"/>
  <c r="AL827" i="11"/>
  <c r="AO827" i="11"/>
  <c r="AK828" i="11"/>
  <c r="AN827" i="11"/>
  <c r="AP827" i="11"/>
  <c r="AO885" i="12"/>
  <c r="AL885" i="12" s="1"/>
  <c r="AM886" i="12"/>
  <c r="AN885" i="12"/>
  <c r="AP885" i="12"/>
  <c r="AQ885" i="12"/>
  <c r="F891" i="14"/>
  <c r="D889" i="14"/>
  <c r="AT827" i="11" l="1"/>
  <c r="AJ827" i="11"/>
  <c r="AQ827" i="11"/>
  <c r="AR827" i="11"/>
  <c r="AM828" i="11"/>
  <c r="AO828" i="11"/>
  <c r="AK829" i="11"/>
  <c r="AP828" i="11"/>
  <c r="AL828" i="11"/>
  <c r="AN828" i="11"/>
  <c r="F892" i="14"/>
  <c r="D890" i="14"/>
  <c r="AO886" i="12"/>
  <c r="AL886" i="12" s="1"/>
  <c r="AN886" i="12"/>
  <c r="AP886" i="12"/>
  <c r="AM887" i="12"/>
  <c r="AQ886" i="12"/>
  <c r="AT828" i="11" l="1"/>
  <c r="AJ828" i="11"/>
  <c r="AQ828" i="11"/>
  <c r="AR828" i="11"/>
  <c r="AN829" i="11"/>
  <c r="AO829" i="11"/>
  <c r="AM829" i="11"/>
  <c r="AK830" i="11"/>
  <c r="AL829" i="11"/>
  <c r="AP829" i="11"/>
  <c r="D891" i="14"/>
  <c r="F893" i="14"/>
  <c r="AO887" i="12"/>
  <c r="AL887" i="12" s="1"/>
  <c r="AM888" i="12"/>
  <c r="AP887" i="12"/>
  <c r="AQ887" i="12"/>
  <c r="AN887" i="12"/>
  <c r="AT829" i="11" l="1"/>
  <c r="AJ829" i="11"/>
  <c r="AO830" i="11"/>
  <c r="AP830" i="11"/>
  <c r="AL830" i="11"/>
  <c r="AN830" i="11"/>
  <c r="AK831" i="11"/>
  <c r="AM830" i="11"/>
  <c r="AR829" i="11"/>
  <c r="AQ829" i="11"/>
  <c r="F894" i="14"/>
  <c r="D892" i="14"/>
  <c r="AO888" i="12"/>
  <c r="AL888" i="12" s="1"/>
  <c r="AM889" i="12"/>
  <c r="AQ888" i="12"/>
  <c r="AN888" i="12"/>
  <c r="AP888" i="12"/>
  <c r="AT830" i="11" l="1"/>
  <c r="AJ830" i="11"/>
  <c r="AQ830" i="11"/>
  <c r="AR830" i="11"/>
  <c r="AL831" i="11"/>
  <c r="AK832" i="11"/>
  <c r="AM831" i="11"/>
  <c r="AN831" i="11"/>
  <c r="AP831" i="11"/>
  <c r="AO831" i="11"/>
  <c r="D893" i="14"/>
  <c r="F895" i="14"/>
  <c r="AO889" i="12"/>
  <c r="AL889" i="12" s="1"/>
  <c r="AM890" i="12"/>
  <c r="AN889" i="12"/>
  <c r="AQ889" i="12"/>
  <c r="AP889" i="12"/>
  <c r="AT831" i="11" l="1"/>
  <c r="AJ831" i="11"/>
  <c r="AR831" i="11"/>
  <c r="AQ831" i="11"/>
  <c r="AL832" i="11"/>
  <c r="AM832" i="11"/>
  <c r="AP832" i="11"/>
  <c r="AO832" i="11"/>
  <c r="AN832" i="11"/>
  <c r="AK833" i="11"/>
  <c r="F896" i="14"/>
  <c r="D894" i="14"/>
  <c r="AO890" i="12"/>
  <c r="AL890" i="12" s="1"/>
  <c r="AN890" i="12"/>
  <c r="AP890" i="12"/>
  <c r="AQ890" i="12"/>
  <c r="AM891" i="12"/>
  <c r="AT832" i="11" l="1"/>
  <c r="AJ832" i="11"/>
  <c r="AL833" i="11"/>
  <c r="AK834" i="11"/>
  <c r="AN833" i="11"/>
  <c r="AO833" i="11"/>
  <c r="AP833" i="11"/>
  <c r="AM833" i="11"/>
  <c r="AQ832" i="11"/>
  <c r="AR832" i="11"/>
  <c r="D895" i="14"/>
  <c r="AO891" i="12"/>
  <c r="AL891" i="12" s="1"/>
  <c r="AM892" i="12"/>
  <c r="AP891" i="12"/>
  <c r="AQ891" i="12"/>
  <c r="AN891" i="12"/>
  <c r="F897" i="14"/>
  <c r="AT833" i="11" l="1"/>
  <c r="AJ833" i="11"/>
  <c r="AK835" i="11"/>
  <c r="AP834" i="11"/>
  <c r="AM834" i="11"/>
  <c r="AL834" i="11"/>
  <c r="AO834" i="11"/>
  <c r="AN834" i="11"/>
  <c r="AR833" i="11"/>
  <c r="AQ833" i="11"/>
  <c r="F898" i="14"/>
  <c r="AO892" i="12"/>
  <c r="AL892" i="12" s="1"/>
  <c r="AM893" i="12"/>
  <c r="AQ892" i="12"/>
  <c r="AP892" i="12"/>
  <c r="AN892" i="12"/>
  <c r="D896" i="14"/>
  <c r="AT834" i="11" l="1"/>
  <c r="AJ834" i="11"/>
  <c r="AQ834" i="11"/>
  <c r="AR834" i="11"/>
  <c r="AL835" i="11"/>
  <c r="AN835" i="11"/>
  <c r="AM835" i="11"/>
  <c r="AK836" i="11"/>
  <c r="AO835" i="11"/>
  <c r="AP835" i="11"/>
  <c r="AO893" i="12"/>
  <c r="AL893" i="12" s="1"/>
  <c r="AM894" i="12"/>
  <c r="AN893" i="12"/>
  <c r="AQ893" i="12"/>
  <c r="AP893" i="12"/>
  <c r="D897" i="14"/>
  <c r="F899" i="14"/>
  <c r="AT835" i="11" l="1"/>
  <c r="AJ835" i="11"/>
  <c r="AO836" i="11"/>
  <c r="AN836" i="11"/>
  <c r="AL836" i="11"/>
  <c r="AP836" i="11"/>
  <c r="AK837" i="11"/>
  <c r="AM836" i="11"/>
  <c r="AQ835" i="11"/>
  <c r="AR835" i="11"/>
  <c r="F900" i="14"/>
  <c r="AO894" i="12"/>
  <c r="AL894" i="12" s="1"/>
  <c r="AN894" i="12"/>
  <c r="AP894" i="12"/>
  <c r="AM895" i="12"/>
  <c r="AQ894" i="12"/>
  <c r="D898" i="14"/>
  <c r="AT836" i="11" l="1"/>
  <c r="AJ836" i="11"/>
  <c r="AQ836" i="11"/>
  <c r="AR836" i="11"/>
  <c r="AL837" i="11"/>
  <c r="AN837" i="11"/>
  <c r="AO837" i="11"/>
  <c r="AP837" i="11"/>
  <c r="AK838" i="11"/>
  <c r="AM837" i="11"/>
  <c r="AO895" i="12"/>
  <c r="AL895" i="12" s="1"/>
  <c r="AM896" i="12"/>
  <c r="AP895" i="12"/>
  <c r="AQ895" i="12"/>
  <c r="AN895" i="12"/>
  <c r="F901" i="14"/>
  <c r="D899" i="14"/>
  <c r="AT837" i="11" l="1"/>
  <c r="AJ837" i="11"/>
  <c r="AL838" i="11"/>
  <c r="AM838" i="11"/>
  <c r="AP838" i="11"/>
  <c r="AO838" i="11"/>
  <c r="AN838" i="11"/>
  <c r="AK839" i="11"/>
  <c r="AQ837" i="11"/>
  <c r="AR837" i="11"/>
  <c r="D900" i="14"/>
  <c r="F902" i="14"/>
  <c r="AO896" i="12"/>
  <c r="AL896" i="12" s="1"/>
  <c r="AM897" i="12"/>
  <c r="AQ896" i="12"/>
  <c r="AP896" i="12"/>
  <c r="AN896" i="12"/>
  <c r="AT838" i="11" l="1"/>
  <c r="AJ838" i="11"/>
  <c r="AM839" i="11"/>
  <c r="AK840" i="11"/>
  <c r="AL839" i="11"/>
  <c r="AP839" i="11"/>
  <c r="AN839" i="11"/>
  <c r="AO839" i="11"/>
  <c r="AQ838" i="11"/>
  <c r="AR838" i="11"/>
  <c r="F903" i="14"/>
  <c r="D901" i="14"/>
  <c r="AO897" i="12"/>
  <c r="AL897" i="12" s="1"/>
  <c r="AM898" i="12"/>
  <c r="AN897" i="12"/>
  <c r="AQ897" i="12"/>
  <c r="AP897" i="12"/>
  <c r="AT839" i="11" l="1"/>
  <c r="AJ839" i="11"/>
  <c r="AK841" i="11"/>
  <c r="AN840" i="11"/>
  <c r="AO840" i="11"/>
  <c r="AL840" i="11"/>
  <c r="AP840" i="11"/>
  <c r="AM840" i="11"/>
  <c r="AR839" i="11"/>
  <c r="AQ839" i="11"/>
  <c r="AO898" i="12"/>
  <c r="AL898" i="12" s="1"/>
  <c r="AN898" i="12"/>
  <c r="AP898" i="12"/>
  <c r="AM899" i="12"/>
  <c r="AQ898" i="12"/>
  <c r="D902" i="14"/>
  <c r="F904" i="14"/>
  <c r="AT840" i="11" l="1"/>
  <c r="AJ840" i="11"/>
  <c r="AR840" i="11"/>
  <c r="AQ840" i="11"/>
  <c r="AM841" i="11"/>
  <c r="AN841" i="11"/>
  <c r="AK842" i="11"/>
  <c r="AL841" i="11"/>
  <c r="AP841" i="11"/>
  <c r="AO841" i="11"/>
  <c r="AO899" i="12"/>
  <c r="AL899" i="12" s="1"/>
  <c r="AM900" i="12"/>
  <c r="AP899" i="12"/>
  <c r="AQ899" i="12"/>
  <c r="AN899" i="12"/>
  <c r="F905" i="14"/>
  <c r="D903" i="14"/>
  <c r="AT841" i="11" l="1"/>
  <c r="AJ841" i="11"/>
  <c r="AR841" i="11"/>
  <c r="AQ841" i="11"/>
  <c r="AP842" i="11"/>
  <c r="AK843" i="11"/>
  <c r="AN842" i="11"/>
  <c r="AO842" i="11"/>
  <c r="AL842" i="11"/>
  <c r="AM842" i="11"/>
  <c r="D904" i="14"/>
  <c r="F906" i="14"/>
  <c r="AO900" i="12"/>
  <c r="AL900" i="12" s="1"/>
  <c r="AM901" i="12"/>
  <c r="AQ900" i="12"/>
  <c r="AP900" i="12"/>
  <c r="AN900" i="12"/>
  <c r="AT842" i="11" l="1"/>
  <c r="AJ842" i="11"/>
  <c r="AR842" i="11"/>
  <c r="AQ842" i="11"/>
  <c r="AO843" i="11"/>
  <c r="AP843" i="11"/>
  <c r="AK844" i="11"/>
  <c r="AN843" i="11"/>
  <c r="AL843" i="11"/>
  <c r="AM843" i="11"/>
  <c r="AO901" i="12"/>
  <c r="AL901" i="12" s="1"/>
  <c r="AM902" i="12"/>
  <c r="AN901" i="12"/>
  <c r="AP901" i="12"/>
  <c r="AQ901" i="12"/>
  <c r="F907" i="14"/>
  <c r="D905" i="14"/>
  <c r="AT843" i="11" l="1"/>
  <c r="AJ843" i="11"/>
  <c r="AP844" i="11"/>
  <c r="AK845" i="11"/>
  <c r="AN844" i="11"/>
  <c r="AO844" i="11"/>
  <c r="AL844" i="11"/>
  <c r="AM844" i="11"/>
  <c r="AR843" i="11"/>
  <c r="AQ843" i="11"/>
  <c r="D906" i="14"/>
  <c r="F908" i="14"/>
  <c r="AO902" i="12"/>
  <c r="AL902" i="12" s="1"/>
  <c r="AN902" i="12"/>
  <c r="AP902" i="12"/>
  <c r="AM903" i="12"/>
  <c r="AQ902" i="12"/>
  <c r="AT844" i="11" l="1"/>
  <c r="AJ844" i="11"/>
  <c r="AQ844" i="11"/>
  <c r="AR844" i="11"/>
  <c r="AP845" i="11"/>
  <c r="AN845" i="11"/>
  <c r="AM845" i="11"/>
  <c r="AO845" i="11"/>
  <c r="AL845" i="11"/>
  <c r="AK846" i="11"/>
  <c r="F909" i="14"/>
  <c r="D907" i="14"/>
  <c r="AO903" i="12"/>
  <c r="AL903" i="12" s="1"/>
  <c r="AM904" i="12"/>
  <c r="AP903" i="12"/>
  <c r="AQ903" i="12"/>
  <c r="AN903" i="12"/>
  <c r="AT845" i="11" l="1"/>
  <c r="AJ845" i="11"/>
  <c r="AR845" i="11"/>
  <c r="AQ845" i="11"/>
  <c r="AP846" i="11"/>
  <c r="AN846" i="11"/>
  <c r="AO846" i="11"/>
  <c r="AL846" i="11"/>
  <c r="AM846" i="11"/>
  <c r="AK847" i="11"/>
  <c r="AO904" i="12"/>
  <c r="AL904" i="12" s="1"/>
  <c r="AM905" i="12"/>
  <c r="AQ904" i="12"/>
  <c r="AP904" i="12"/>
  <c r="AN904" i="12"/>
  <c r="D908" i="14"/>
  <c r="F910" i="14"/>
  <c r="AT846" i="11" l="1"/>
  <c r="AJ846" i="11"/>
  <c r="AR846" i="11"/>
  <c r="AQ846" i="11"/>
  <c r="AM847" i="11"/>
  <c r="AK848" i="11"/>
  <c r="AO847" i="11"/>
  <c r="AN847" i="11"/>
  <c r="AL847" i="11"/>
  <c r="AP847" i="11"/>
  <c r="F911" i="14"/>
  <c r="D909" i="14"/>
  <c r="AO905" i="12"/>
  <c r="AL905" i="12" s="1"/>
  <c r="AM906" i="12"/>
  <c r="AN905" i="12"/>
  <c r="AQ905" i="12"/>
  <c r="AP905" i="12"/>
  <c r="AT847" i="11" l="1"/>
  <c r="AJ847" i="11"/>
  <c r="AR847" i="11"/>
  <c r="AQ847" i="11"/>
  <c r="AM848" i="11"/>
  <c r="AP848" i="11"/>
  <c r="AL848" i="11"/>
  <c r="AN848" i="11"/>
  <c r="AO848" i="11"/>
  <c r="AK849" i="11"/>
  <c r="AO906" i="12"/>
  <c r="AL906" i="12" s="1"/>
  <c r="AN906" i="12"/>
  <c r="AP906" i="12"/>
  <c r="AM907" i="12"/>
  <c r="AQ906" i="12"/>
  <c r="D910" i="14"/>
  <c r="F912" i="14"/>
  <c r="AT848" i="11" l="1"/>
  <c r="AJ848" i="11"/>
  <c r="AR848" i="11"/>
  <c r="AQ848" i="11"/>
  <c r="AO849" i="11"/>
  <c r="AM849" i="11"/>
  <c r="AN849" i="11"/>
  <c r="AK850" i="11"/>
  <c r="AP849" i="11"/>
  <c r="AL849" i="11"/>
  <c r="F913" i="14"/>
  <c r="D911" i="14"/>
  <c r="AO907" i="12"/>
  <c r="AL907" i="12" s="1"/>
  <c r="AM908" i="12"/>
  <c r="AP907" i="12"/>
  <c r="AQ907" i="12"/>
  <c r="AN907" i="12"/>
  <c r="AT849" i="11" l="1"/>
  <c r="AJ849" i="11"/>
  <c r="AN850" i="11"/>
  <c r="AP850" i="11"/>
  <c r="AM850" i="11"/>
  <c r="AO850" i="11"/>
  <c r="AL850" i="11"/>
  <c r="AK851" i="11"/>
  <c r="AQ849" i="11"/>
  <c r="AR849" i="11"/>
  <c r="AO908" i="12"/>
  <c r="AL908" i="12" s="1"/>
  <c r="AM909" i="12"/>
  <c r="AQ908" i="12"/>
  <c r="AP908" i="12"/>
  <c r="AN908" i="12"/>
  <c r="D912" i="14"/>
  <c r="F914" i="14"/>
  <c r="AT850" i="11" l="1"/>
  <c r="AJ850" i="11"/>
  <c r="AQ850" i="11"/>
  <c r="AR850" i="11"/>
  <c r="AP851" i="11"/>
  <c r="AO851" i="11"/>
  <c r="AN851" i="11"/>
  <c r="AM851" i="11"/>
  <c r="AK852" i="11"/>
  <c r="AL851" i="11"/>
  <c r="F915" i="14"/>
  <c r="D913" i="14"/>
  <c r="AO909" i="12"/>
  <c r="AL909" i="12" s="1"/>
  <c r="AM910" i="12"/>
  <c r="AN909" i="12"/>
  <c r="AP909" i="12"/>
  <c r="AQ909" i="12"/>
  <c r="AT851" i="11" l="1"/>
  <c r="AJ851" i="11"/>
  <c r="AM852" i="11"/>
  <c r="AN852" i="11"/>
  <c r="AL852" i="11"/>
  <c r="AP852" i="11"/>
  <c r="AO852" i="11"/>
  <c r="AK853" i="11"/>
  <c r="AQ851" i="11"/>
  <c r="AR851" i="11"/>
  <c r="AO910" i="12"/>
  <c r="AL910" i="12" s="1"/>
  <c r="AN910" i="12"/>
  <c r="AP910" i="12"/>
  <c r="AM911" i="12"/>
  <c r="AQ910" i="12"/>
  <c r="D914" i="14"/>
  <c r="F916" i="14"/>
  <c r="AT852" i="11" l="1"/>
  <c r="AJ852" i="11"/>
  <c r="AN853" i="11"/>
  <c r="AP853" i="11"/>
  <c r="AL853" i="11"/>
  <c r="AK854" i="11"/>
  <c r="AM853" i="11"/>
  <c r="AO853" i="11"/>
  <c r="AR852" i="11"/>
  <c r="AQ852" i="11"/>
  <c r="D915" i="14"/>
  <c r="F917" i="14"/>
  <c r="AO911" i="12"/>
  <c r="AL911" i="12" s="1"/>
  <c r="AM912" i="12"/>
  <c r="AP911" i="12"/>
  <c r="AQ911" i="12"/>
  <c r="AN911" i="12"/>
  <c r="AT853" i="11" l="1"/>
  <c r="AJ853" i="11"/>
  <c r="AL854" i="11"/>
  <c r="AK855" i="11"/>
  <c r="AO854" i="11"/>
  <c r="AM854" i="11"/>
  <c r="AN854" i="11"/>
  <c r="AP854" i="11"/>
  <c r="AQ853" i="11"/>
  <c r="AR853" i="11"/>
  <c r="F918" i="14"/>
  <c r="D916" i="14"/>
  <c r="AO912" i="12"/>
  <c r="AL912" i="12" s="1"/>
  <c r="AM913" i="12"/>
  <c r="AQ912" i="12"/>
  <c r="AN912" i="12"/>
  <c r="AP912" i="12"/>
  <c r="AT854" i="11" l="1"/>
  <c r="AJ854" i="11"/>
  <c r="AQ854" i="11"/>
  <c r="AR854" i="11"/>
  <c r="AP855" i="11"/>
  <c r="AL855" i="11"/>
  <c r="AO855" i="11"/>
  <c r="AN855" i="11"/>
  <c r="AK856" i="11"/>
  <c r="AM855" i="11"/>
  <c r="D917" i="14"/>
  <c r="F919" i="14"/>
  <c r="AO913" i="12"/>
  <c r="AL913" i="12" s="1"/>
  <c r="AM914" i="12"/>
  <c r="AN913" i="12"/>
  <c r="AQ913" i="12"/>
  <c r="AP913" i="12"/>
  <c r="AT855" i="11" l="1"/>
  <c r="AJ855" i="11"/>
  <c r="AM856" i="11"/>
  <c r="AN856" i="11"/>
  <c r="AL856" i="11"/>
  <c r="AO856" i="11"/>
  <c r="AP856" i="11"/>
  <c r="AK857" i="11"/>
  <c r="AQ855" i="11"/>
  <c r="AR855" i="11"/>
  <c r="F920" i="14"/>
  <c r="D918" i="14"/>
  <c r="AO914" i="12"/>
  <c r="AL914" i="12" s="1"/>
  <c r="AN914" i="12"/>
  <c r="AP914" i="12"/>
  <c r="AM915" i="12"/>
  <c r="AQ914" i="12"/>
  <c r="AT856" i="11" l="1"/>
  <c r="AJ856" i="11"/>
  <c r="AL857" i="11"/>
  <c r="AK858" i="11"/>
  <c r="AM857" i="11"/>
  <c r="AO857" i="11"/>
  <c r="AN857" i="11"/>
  <c r="AP857" i="11"/>
  <c r="AR856" i="11"/>
  <c r="AQ856" i="11"/>
  <c r="AO915" i="12"/>
  <c r="AL915" i="12" s="1"/>
  <c r="AM916" i="12"/>
  <c r="AP915" i="12"/>
  <c r="AQ915" i="12"/>
  <c r="AN915" i="12"/>
  <c r="D919" i="14"/>
  <c r="F921" i="14"/>
  <c r="AT857" i="11" l="1"/>
  <c r="AJ857" i="11"/>
  <c r="AQ857" i="11"/>
  <c r="AR857" i="11"/>
  <c r="AM858" i="11"/>
  <c r="AP858" i="11"/>
  <c r="AK859" i="11"/>
  <c r="AL858" i="11"/>
  <c r="AN858" i="11"/>
  <c r="AO858" i="11"/>
  <c r="F922" i="14"/>
  <c r="D920" i="14"/>
  <c r="AO916" i="12"/>
  <c r="AL916" i="12" s="1"/>
  <c r="AM917" i="12"/>
  <c r="AQ916" i="12"/>
  <c r="AP916" i="12"/>
  <c r="AN916" i="12"/>
  <c r="AT858" i="11" l="1"/>
  <c r="AJ858" i="11"/>
  <c r="AQ858" i="11"/>
  <c r="AR858" i="11"/>
  <c r="AK860" i="11"/>
  <c r="AO859" i="11"/>
  <c r="AP859" i="11"/>
  <c r="AL859" i="11"/>
  <c r="AM859" i="11"/>
  <c r="AN859" i="11"/>
  <c r="AO917" i="12"/>
  <c r="AL917" i="12" s="1"/>
  <c r="AM918" i="12"/>
  <c r="AN917" i="12"/>
  <c r="AQ917" i="12"/>
  <c r="AP917" i="12"/>
  <c r="D921" i="14"/>
  <c r="F923" i="14"/>
  <c r="AT859" i="11" l="1"/>
  <c r="AJ859" i="11"/>
  <c r="AQ859" i="11"/>
  <c r="AR859" i="11"/>
  <c r="AP860" i="11"/>
  <c r="AK861" i="11"/>
  <c r="AM860" i="11"/>
  <c r="AN860" i="11"/>
  <c r="AL860" i="11"/>
  <c r="AO860" i="11"/>
  <c r="F924" i="14"/>
  <c r="D922" i="14"/>
  <c r="AO918" i="12"/>
  <c r="AL918" i="12" s="1"/>
  <c r="AN918" i="12"/>
  <c r="AP918" i="12"/>
  <c r="AM919" i="12"/>
  <c r="AQ918" i="12"/>
  <c r="AT860" i="11" l="1"/>
  <c r="AJ860" i="11"/>
  <c r="AR860" i="11"/>
  <c r="AQ860" i="11"/>
  <c r="AO861" i="11"/>
  <c r="AK862" i="11"/>
  <c r="AN861" i="11"/>
  <c r="AM861" i="11"/>
  <c r="AL861" i="11"/>
  <c r="AP861" i="11"/>
  <c r="D923" i="14"/>
  <c r="F925" i="14"/>
  <c r="AO919" i="12"/>
  <c r="AL919" i="12" s="1"/>
  <c r="AM920" i="12"/>
  <c r="AP919" i="12"/>
  <c r="AQ919" i="12"/>
  <c r="AN919" i="12"/>
  <c r="AT861" i="11" l="1"/>
  <c r="AJ861" i="11"/>
  <c r="AQ861" i="11"/>
  <c r="AR861" i="11"/>
  <c r="AN862" i="11"/>
  <c r="AO862" i="11"/>
  <c r="AK863" i="11"/>
  <c r="AL862" i="11"/>
  <c r="AP862" i="11"/>
  <c r="AM862" i="11"/>
  <c r="F926" i="14"/>
  <c r="D924" i="14"/>
  <c r="AO920" i="12"/>
  <c r="AL920" i="12" s="1"/>
  <c r="AM921" i="12"/>
  <c r="AQ920" i="12"/>
  <c r="AN920" i="12"/>
  <c r="AP920" i="12"/>
  <c r="AT862" i="11" l="1"/>
  <c r="AJ862" i="11"/>
  <c r="AK864" i="11"/>
  <c r="AO863" i="11"/>
  <c r="AM863" i="11"/>
  <c r="AN863" i="11"/>
  <c r="AP863" i="11"/>
  <c r="AL863" i="11"/>
  <c r="AQ862" i="11"/>
  <c r="AR862" i="11"/>
  <c r="AO921" i="12"/>
  <c r="AL921" i="12" s="1"/>
  <c r="AM922" i="12"/>
  <c r="AN921" i="12"/>
  <c r="AQ921" i="12"/>
  <c r="AP921" i="12"/>
  <c r="D925" i="14"/>
  <c r="F927" i="14"/>
  <c r="AT863" i="11" l="1"/>
  <c r="AJ863" i="11"/>
  <c r="AQ863" i="11"/>
  <c r="AR863" i="11"/>
  <c r="AN864" i="11"/>
  <c r="AK865" i="11"/>
  <c r="AL864" i="11"/>
  <c r="AP864" i="11"/>
  <c r="AO864" i="11"/>
  <c r="AM864" i="11"/>
  <c r="F928" i="14"/>
  <c r="D926" i="14"/>
  <c r="AO922" i="12"/>
  <c r="AL922" i="12" s="1"/>
  <c r="AN922" i="12"/>
  <c r="AP922" i="12"/>
  <c r="AM923" i="12"/>
  <c r="AQ922" i="12"/>
  <c r="AT864" i="11" l="1"/>
  <c r="AJ864" i="11"/>
  <c r="AR864" i="11"/>
  <c r="AQ864" i="11"/>
  <c r="AO865" i="11"/>
  <c r="AP865" i="11"/>
  <c r="AL865" i="11"/>
  <c r="AK866" i="11"/>
  <c r="AM865" i="11"/>
  <c r="AN865" i="11"/>
  <c r="D927" i="14"/>
  <c r="F929" i="14"/>
  <c r="AO923" i="12"/>
  <c r="AL923" i="12" s="1"/>
  <c r="AM924" i="12"/>
  <c r="AP923" i="12"/>
  <c r="AQ923" i="12"/>
  <c r="AN923" i="12"/>
  <c r="AT865" i="11" l="1"/>
  <c r="AJ865" i="11"/>
  <c r="AR865" i="11"/>
  <c r="AQ865" i="11"/>
  <c r="AN866" i="11"/>
  <c r="AL866" i="11"/>
  <c r="AO866" i="11"/>
  <c r="AP866" i="11"/>
  <c r="AM866" i="11"/>
  <c r="AK867" i="11"/>
  <c r="F930" i="14"/>
  <c r="D928" i="14"/>
  <c r="AO924" i="12"/>
  <c r="AL924" i="12" s="1"/>
  <c r="AM925" i="12"/>
  <c r="AQ924" i="12"/>
  <c r="AP924" i="12"/>
  <c r="AN924" i="12"/>
  <c r="AT866" i="11" l="1"/>
  <c r="AJ866" i="11"/>
  <c r="AQ866" i="11"/>
  <c r="AR866" i="11"/>
  <c r="AL867" i="11"/>
  <c r="AN867" i="11"/>
  <c r="AP867" i="11"/>
  <c r="AM867" i="11"/>
  <c r="AO867" i="11"/>
  <c r="AK868" i="11"/>
  <c r="AO925" i="12"/>
  <c r="AL925" i="12" s="1"/>
  <c r="AM926" i="12"/>
  <c r="AN925" i="12"/>
  <c r="AQ925" i="12"/>
  <c r="AP925" i="12"/>
  <c r="D929" i="14"/>
  <c r="F931" i="14"/>
  <c r="AT867" i="11" l="1"/>
  <c r="AJ867" i="11"/>
  <c r="AR867" i="11"/>
  <c r="AQ867" i="11"/>
  <c r="AN868" i="11"/>
  <c r="AP868" i="11"/>
  <c r="AO868" i="11"/>
  <c r="AM868" i="11"/>
  <c r="AL868" i="11"/>
  <c r="AK869" i="11"/>
  <c r="F932" i="14"/>
  <c r="D930" i="14"/>
  <c r="AO926" i="12"/>
  <c r="AL926" i="12" s="1"/>
  <c r="AN926" i="12"/>
  <c r="AP926" i="12"/>
  <c r="AM927" i="12"/>
  <c r="AQ926" i="12"/>
  <c r="AT868" i="11" l="1"/>
  <c r="AJ868" i="11"/>
  <c r="AQ868" i="11"/>
  <c r="AR868" i="11"/>
  <c r="AO869" i="11"/>
  <c r="AP869" i="11"/>
  <c r="AL869" i="11"/>
  <c r="AK870" i="11"/>
  <c r="AN869" i="11"/>
  <c r="AM869" i="11"/>
  <c r="D931" i="14"/>
  <c r="F933" i="14"/>
  <c r="AO927" i="12"/>
  <c r="AL927" i="12" s="1"/>
  <c r="AM928" i="12"/>
  <c r="AP927" i="12"/>
  <c r="AQ927" i="12"/>
  <c r="AN927" i="12"/>
  <c r="AT869" i="11" l="1"/>
  <c r="AJ869" i="11"/>
  <c r="AL870" i="11"/>
  <c r="AP870" i="11"/>
  <c r="AK871" i="11"/>
  <c r="AO870" i="11"/>
  <c r="AN870" i="11"/>
  <c r="AM870" i="11"/>
  <c r="AQ869" i="11"/>
  <c r="AR869" i="11"/>
  <c r="F934" i="14"/>
  <c r="D932" i="14"/>
  <c r="AO928" i="12"/>
  <c r="AL928" i="12" s="1"/>
  <c r="AM929" i="12"/>
  <c r="AQ928" i="12"/>
  <c r="AN928" i="12"/>
  <c r="AP928" i="12"/>
  <c r="AT870" i="11" l="1"/>
  <c r="AJ870" i="11"/>
  <c r="AO871" i="11"/>
  <c r="AK872" i="11"/>
  <c r="AN871" i="11"/>
  <c r="AL871" i="11"/>
  <c r="AM871" i="11"/>
  <c r="AP871" i="11"/>
  <c r="AR870" i="11"/>
  <c r="AQ870" i="11"/>
  <c r="AO929" i="12"/>
  <c r="AL929" i="12" s="1"/>
  <c r="AM930" i="12"/>
  <c r="AN929" i="12"/>
  <c r="AQ929" i="12"/>
  <c r="AP929" i="12"/>
  <c r="D933" i="14"/>
  <c r="F935" i="14"/>
  <c r="AT871" i="11" l="1"/>
  <c r="AJ871" i="11"/>
  <c r="AL872" i="11"/>
  <c r="AM872" i="11"/>
  <c r="AN872" i="11"/>
  <c r="AK873" i="11"/>
  <c r="AO872" i="11"/>
  <c r="AP872" i="11"/>
  <c r="AR871" i="11"/>
  <c r="AQ871" i="11"/>
  <c r="F936" i="14"/>
  <c r="D934" i="14"/>
  <c r="AO930" i="12"/>
  <c r="AL930" i="12" s="1"/>
  <c r="AN930" i="12"/>
  <c r="AP930" i="12"/>
  <c r="AM931" i="12"/>
  <c r="AQ930" i="12"/>
  <c r="AT872" i="11" l="1"/>
  <c r="AJ872" i="11"/>
  <c r="AK874" i="11"/>
  <c r="AO873" i="11"/>
  <c r="AL873" i="11"/>
  <c r="AP873" i="11"/>
  <c r="AN873" i="11"/>
  <c r="AM873" i="11"/>
  <c r="AR872" i="11"/>
  <c r="AQ872" i="11"/>
  <c r="D935" i="14"/>
  <c r="F937" i="14"/>
  <c r="AO931" i="12"/>
  <c r="AL931" i="12" s="1"/>
  <c r="AM932" i="12"/>
  <c r="AP931" i="12"/>
  <c r="AQ931" i="12"/>
  <c r="AN931" i="12"/>
  <c r="AT873" i="11" l="1"/>
  <c r="AJ873" i="11"/>
  <c r="AR873" i="11"/>
  <c r="AQ873" i="11"/>
  <c r="AM874" i="11"/>
  <c r="AP874" i="11"/>
  <c r="AN874" i="11"/>
  <c r="AO874" i="11"/>
  <c r="AL874" i="11"/>
  <c r="AK875" i="11"/>
  <c r="F938" i="14"/>
  <c r="D936" i="14"/>
  <c r="AO932" i="12"/>
  <c r="AL932" i="12" s="1"/>
  <c r="AM933" i="12"/>
  <c r="AQ932" i="12"/>
  <c r="AP932" i="12"/>
  <c r="AN932" i="12"/>
  <c r="AT874" i="11" l="1"/>
  <c r="AJ874" i="11"/>
  <c r="AQ874" i="11"/>
  <c r="AR874" i="11"/>
  <c r="AP875" i="11"/>
  <c r="AO875" i="11"/>
  <c r="AN875" i="11"/>
  <c r="AM875" i="11"/>
  <c r="AK876" i="11"/>
  <c r="AL875" i="11"/>
  <c r="AO933" i="12"/>
  <c r="AL933" i="12" s="1"/>
  <c r="AM934" i="12"/>
  <c r="AN933" i="12"/>
  <c r="AP933" i="12"/>
  <c r="AQ933" i="12"/>
  <c r="D937" i="14"/>
  <c r="F939" i="14"/>
  <c r="AT875" i="11" l="1"/>
  <c r="AJ875" i="11"/>
  <c r="AM876" i="11"/>
  <c r="AL876" i="11"/>
  <c r="AK877" i="11"/>
  <c r="AN876" i="11"/>
  <c r="AP876" i="11"/>
  <c r="AO876" i="11"/>
  <c r="AQ875" i="11"/>
  <c r="AR875" i="11"/>
  <c r="F940" i="14"/>
  <c r="D938" i="14"/>
  <c r="AO934" i="12"/>
  <c r="AL934" i="12" s="1"/>
  <c r="AN934" i="12"/>
  <c r="AP934" i="12"/>
  <c r="AM935" i="12"/>
  <c r="AQ934" i="12"/>
  <c r="AT876" i="11" l="1"/>
  <c r="AJ876" i="11"/>
  <c r="AO877" i="11"/>
  <c r="AM877" i="11"/>
  <c r="AP877" i="11"/>
  <c r="AK878" i="11"/>
  <c r="AN877" i="11"/>
  <c r="AL877" i="11"/>
  <c r="AQ876" i="11"/>
  <c r="AR876" i="11"/>
  <c r="D939" i="14"/>
  <c r="F941" i="14"/>
  <c r="AO935" i="12"/>
  <c r="AL935" i="12" s="1"/>
  <c r="AM936" i="12"/>
  <c r="AP935" i="12"/>
  <c r="AQ935" i="12"/>
  <c r="AN935" i="12"/>
  <c r="AT877" i="11" l="1"/>
  <c r="AJ877" i="11"/>
  <c r="AN878" i="11"/>
  <c r="AM878" i="11"/>
  <c r="AP878" i="11"/>
  <c r="AL878" i="11"/>
  <c r="AO878" i="11"/>
  <c r="AK879" i="11"/>
  <c r="AQ877" i="11"/>
  <c r="AR877" i="11"/>
  <c r="F942" i="14"/>
  <c r="D940" i="14"/>
  <c r="AO936" i="12"/>
  <c r="AL936" i="12" s="1"/>
  <c r="AM937" i="12"/>
  <c r="AQ936" i="12"/>
  <c r="AP936" i="12"/>
  <c r="AN936" i="12"/>
  <c r="AT878" i="11" l="1"/>
  <c r="AJ878" i="11"/>
  <c r="AL879" i="11"/>
  <c r="AP879" i="11"/>
  <c r="AK880" i="11"/>
  <c r="AN879" i="11"/>
  <c r="AM879" i="11"/>
  <c r="AO879" i="11"/>
  <c r="AQ878" i="11"/>
  <c r="AR878" i="11"/>
  <c r="AO937" i="12"/>
  <c r="AL937" i="12" s="1"/>
  <c r="AM938" i="12"/>
  <c r="AN937" i="12"/>
  <c r="AQ937" i="12"/>
  <c r="AP937" i="12"/>
  <c r="D941" i="14"/>
  <c r="F943" i="14"/>
  <c r="AT879" i="11" l="1"/>
  <c r="AJ879" i="11"/>
  <c r="AP880" i="11"/>
  <c r="AO880" i="11"/>
  <c r="AN880" i="11"/>
  <c r="AL880" i="11"/>
  <c r="AM880" i="11"/>
  <c r="AK881" i="11"/>
  <c r="AQ879" i="11"/>
  <c r="AR879" i="11"/>
  <c r="F944" i="14"/>
  <c r="D942" i="14"/>
  <c r="AO938" i="12"/>
  <c r="AL938" i="12" s="1"/>
  <c r="AN938" i="12"/>
  <c r="AP938" i="12"/>
  <c r="AM939" i="12"/>
  <c r="AQ938" i="12"/>
  <c r="AT880" i="11" l="1"/>
  <c r="AJ880" i="11"/>
  <c r="AN881" i="11"/>
  <c r="AM881" i="11"/>
  <c r="AL881" i="11"/>
  <c r="AK882" i="11"/>
  <c r="AO881" i="11"/>
  <c r="AP881" i="11"/>
  <c r="AQ880" i="11"/>
  <c r="AR880" i="11"/>
  <c r="D943" i="14"/>
  <c r="F945" i="14"/>
  <c r="AO939" i="12"/>
  <c r="AL939" i="12" s="1"/>
  <c r="AM940" i="12"/>
  <c r="AP939" i="12"/>
  <c r="AQ939" i="12"/>
  <c r="AN939" i="12"/>
  <c r="AT881" i="11" l="1"/>
  <c r="AJ881" i="11"/>
  <c r="AO882" i="11"/>
  <c r="AP882" i="11"/>
  <c r="AL882" i="11"/>
  <c r="AK883" i="11"/>
  <c r="AN882" i="11"/>
  <c r="AM882" i="11"/>
  <c r="AQ881" i="11"/>
  <c r="AR881" i="11"/>
  <c r="F946" i="14"/>
  <c r="D944" i="14"/>
  <c r="AO940" i="12"/>
  <c r="AL940" i="12" s="1"/>
  <c r="AM941" i="12"/>
  <c r="AQ940" i="12"/>
  <c r="AP940" i="12"/>
  <c r="AN940" i="12"/>
  <c r="AT882" i="11" l="1"/>
  <c r="AJ882" i="11"/>
  <c r="AL883" i="11"/>
  <c r="AP883" i="11"/>
  <c r="AM883" i="11"/>
  <c r="AN883" i="11"/>
  <c r="AO883" i="11"/>
  <c r="AK884" i="11"/>
  <c r="AQ882" i="11"/>
  <c r="AR882" i="11"/>
  <c r="AO941" i="12"/>
  <c r="AL941" i="12" s="1"/>
  <c r="AM942" i="12"/>
  <c r="AN941" i="12"/>
  <c r="AP941" i="12"/>
  <c r="AQ941" i="12"/>
  <c r="D945" i="14"/>
  <c r="F947" i="14"/>
  <c r="AT883" i="11" l="1"/>
  <c r="AJ883" i="11"/>
  <c r="AQ883" i="11"/>
  <c r="AR883" i="11"/>
  <c r="AM884" i="11"/>
  <c r="AL884" i="11"/>
  <c r="AP884" i="11"/>
  <c r="AO884" i="11"/>
  <c r="AN884" i="11"/>
  <c r="AK885" i="11"/>
  <c r="F948" i="14"/>
  <c r="D946" i="14"/>
  <c r="AO942" i="12"/>
  <c r="AL942" i="12" s="1"/>
  <c r="AN942" i="12"/>
  <c r="AP942" i="12"/>
  <c r="AM943" i="12"/>
  <c r="AQ942" i="12"/>
  <c r="AT884" i="11" l="1"/>
  <c r="AJ884" i="11"/>
  <c r="AQ884" i="11"/>
  <c r="AR884" i="11"/>
  <c r="AN885" i="11"/>
  <c r="AO885" i="11"/>
  <c r="AM885" i="11"/>
  <c r="AP885" i="11"/>
  <c r="AK886" i="11"/>
  <c r="AL885" i="11"/>
  <c r="D947" i="14"/>
  <c r="F949" i="14"/>
  <c r="AO943" i="12"/>
  <c r="AL943" i="12" s="1"/>
  <c r="AM944" i="12"/>
  <c r="AP943" i="12"/>
  <c r="AQ943" i="12"/>
  <c r="AN943" i="12"/>
  <c r="AT885" i="11" l="1"/>
  <c r="AJ885" i="11"/>
  <c r="AL886" i="11"/>
  <c r="AK887" i="11"/>
  <c r="AO886" i="11"/>
  <c r="AM886" i="11"/>
  <c r="AN886" i="11"/>
  <c r="AP886" i="11"/>
  <c r="AR885" i="11"/>
  <c r="AQ885" i="11"/>
  <c r="F950" i="14"/>
  <c r="D948" i="14"/>
  <c r="AO944" i="12"/>
  <c r="AL944" i="12" s="1"/>
  <c r="AM945" i="12"/>
  <c r="AQ944" i="12"/>
  <c r="AN944" i="12"/>
  <c r="AP944" i="12"/>
  <c r="AT886" i="11" l="1"/>
  <c r="AJ886" i="11"/>
  <c r="AR886" i="11"/>
  <c r="AQ886" i="11"/>
  <c r="AO887" i="11"/>
  <c r="AK888" i="11"/>
  <c r="AN887" i="11"/>
  <c r="AP887" i="11"/>
  <c r="AM887" i="11"/>
  <c r="AL887" i="11"/>
  <c r="AO945" i="12"/>
  <c r="AL945" i="12" s="1"/>
  <c r="AM946" i="12"/>
  <c r="AN945" i="12"/>
  <c r="AQ945" i="12"/>
  <c r="AP945" i="12"/>
  <c r="D949" i="14"/>
  <c r="F951" i="14"/>
  <c r="AT887" i="11" l="1"/>
  <c r="AJ887" i="11"/>
  <c r="AQ887" i="11"/>
  <c r="AR887" i="11"/>
  <c r="AL888" i="11"/>
  <c r="AO888" i="11"/>
  <c r="AM888" i="11"/>
  <c r="AN888" i="11"/>
  <c r="AP888" i="11"/>
  <c r="AK889" i="11"/>
  <c r="F952" i="14"/>
  <c r="D950" i="14"/>
  <c r="AO946" i="12"/>
  <c r="AL946" i="12" s="1"/>
  <c r="AN946" i="12"/>
  <c r="AP946" i="12"/>
  <c r="AM947" i="12"/>
  <c r="AQ946" i="12"/>
  <c r="AT888" i="11" l="1"/>
  <c r="AJ888" i="11"/>
  <c r="AQ888" i="11"/>
  <c r="AR888" i="11"/>
  <c r="AK890" i="11"/>
  <c r="AO889" i="11"/>
  <c r="AM889" i="11"/>
  <c r="AP889" i="11"/>
  <c r="AL889" i="11"/>
  <c r="AN889" i="11"/>
  <c r="D951" i="14"/>
  <c r="F953" i="14"/>
  <c r="AO947" i="12"/>
  <c r="AL947" i="12" s="1"/>
  <c r="AM948" i="12"/>
  <c r="AP947" i="12"/>
  <c r="AQ947" i="12"/>
  <c r="AN947" i="12"/>
  <c r="AT889" i="11" l="1"/>
  <c r="AJ889" i="11"/>
  <c r="AO890" i="11"/>
  <c r="AM890" i="11"/>
  <c r="AN890" i="11"/>
  <c r="AP890" i="11"/>
  <c r="AK891" i="11"/>
  <c r="AL890" i="11"/>
  <c r="AQ889" i="11"/>
  <c r="AR889" i="11"/>
  <c r="F954" i="14"/>
  <c r="D952" i="14"/>
  <c r="AO948" i="12"/>
  <c r="AL948" i="12" s="1"/>
  <c r="AM949" i="12"/>
  <c r="AQ948" i="12"/>
  <c r="AP948" i="12"/>
  <c r="AN948" i="12"/>
  <c r="AT890" i="11" l="1"/>
  <c r="AJ890" i="11"/>
  <c r="AQ890" i="11"/>
  <c r="AR890" i="11"/>
  <c r="AN891" i="11"/>
  <c r="AM891" i="11"/>
  <c r="AP891" i="11"/>
  <c r="AK892" i="11"/>
  <c r="AO891" i="11"/>
  <c r="AL891" i="11"/>
  <c r="AO949" i="12"/>
  <c r="AL949" i="12" s="1"/>
  <c r="AM950" i="12"/>
  <c r="AN949" i="12"/>
  <c r="AP949" i="12"/>
  <c r="AQ949" i="12"/>
  <c r="D953" i="14"/>
  <c r="F955" i="14"/>
  <c r="AT891" i="11" l="1"/>
  <c r="AJ891" i="11"/>
  <c r="AL892" i="11"/>
  <c r="AK893" i="11"/>
  <c r="AP892" i="11"/>
  <c r="AO892" i="11"/>
  <c r="AM892" i="11"/>
  <c r="AN892" i="11"/>
  <c r="AQ891" i="11"/>
  <c r="AR891" i="11"/>
  <c r="F956" i="14"/>
  <c r="D954" i="14"/>
  <c r="AO950" i="12"/>
  <c r="AL950" i="12" s="1"/>
  <c r="AN950" i="12"/>
  <c r="AP950" i="12"/>
  <c r="AM951" i="12"/>
  <c r="AQ950" i="12"/>
  <c r="AT892" i="11" l="1"/>
  <c r="AJ892" i="11"/>
  <c r="AL893" i="11"/>
  <c r="AO893" i="11"/>
  <c r="AP893" i="11"/>
  <c r="AM893" i="11"/>
  <c r="AK894" i="11"/>
  <c r="AN893" i="11"/>
  <c r="AQ892" i="11"/>
  <c r="AR892" i="11"/>
  <c r="D955" i="14"/>
  <c r="F957" i="14"/>
  <c r="AO951" i="12"/>
  <c r="AL951" i="12" s="1"/>
  <c r="AM952" i="12"/>
  <c r="AP951" i="12"/>
  <c r="AQ951" i="12"/>
  <c r="AN951" i="12"/>
  <c r="AT893" i="11" l="1"/>
  <c r="AJ893" i="11"/>
  <c r="AQ893" i="11"/>
  <c r="AR893" i="11"/>
  <c r="AK895" i="11"/>
  <c r="AO894" i="11"/>
  <c r="AM894" i="11"/>
  <c r="AP894" i="11"/>
  <c r="AN894" i="11"/>
  <c r="AL894" i="11"/>
  <c r="F958" i="14"/>
  <c r="D956" i="14"/>
  <c r="AO952" i="12"/>
  <c r="AL952" i="12" s="1"/>
  <c r="AM953" i="12"/>
  <c r="AQ952" i="12"/>
  <c r="AN952" i="12"/>
  <c r="AP952" i="12"/>
  <c r="AT894" i="11" l="1"/>
  <c r="AJ894" i="11"/>
  <c r="AL895" i="11"/>
  <c r="AM895" i="11"/>
  <c r="AN895" i="11"/>
  <c r="AO895" i="11"/>
  <c r="AP895" i="11"/>
  <c r="AK896" i="11"/>
  <c r="AR894" i="11"/>
  <c r="AQ894" i="11"/>
  <c r="AO953" i="12"/>
  <c r="AL953" i="12" s="1"/>
  <c r="AM954" i="12"/>
  <c r="AN953" i="12"/>
  <c r="AQ953" i="12"/>
  <c r="AP953" i="12"/>
  <c r="D957" i="14"/>
  <c r="F959" i="14"/>
  <c r="AT895" i="11" l="1"/>
  <c r="AJ895" i="11"/>
  <c r="AM896" i="11"/>
  <c r="AK897" i="11"/>
  <c r="AN896" i="11"/>
  <c r="AL896" i="11"/>
  <c r="AP896" i="11"/>
  <c r="AO896" i="11"/>
  <c r="AR895" i="11"/>
  <c r="AQ895" i="11"/>
  <c r="F960" i="14"/>
  <c r="D958" i="14"/>
  <c r="AO954" i="12"/>
  <c r="AL954" i="12" s="1"/>
  <c r="AN954" i="12"/>
  <c r="AP954" i="12"/>
  <c r="AQ954" i="12"/>
  <c r="AM955" i="12"/>
  <c r="AT896" i="11" l="1"/>
  <c r="AJ896" i="11"/>
  <c r="AO897" i="11"/>
  <c r="AM897" i="11"/>
  <c r="AK898" i="11"/>
  <c r="AL897" i="11"/>
  <c r="AP897" i="11"/>
  <c r="AN897" i="11"/>
  <c r="AQ896" i="11"/>
  <c r="AR896" i="11"/>
  <c r="D959" i="14"/>
  <c r="AO955" i="12"/>
  <c r="AL955" i="12" s="1"/>
  <c r="AM956" i="12"/>
  <c r="AP955" i="12"/>
  <c r="AQ955" i="12"/>
  <c r="AN955" i="12"/>
  <c r="F961" i="14"/>
  <c r="AT897" i="11" l="1"/>
  <c r="AJ897" i="11"/>
  <c r="AM898" i="11"/>
  <c r="AN898" i="11"/>
  <c r="AO898" i="11"/>
  <c r="AL898" i="11"/>
  <c r="AP898" i="11"/>
  <c r="AK899" i="11"/>
  <c r="AQ897" i="11"/>
  <c r="AR897" i="11"/>
  <c r="F962" i="14"/>
  <c r="AO956" i="12"/>
  <c r="AL956" i="12" s="1"/>
  <c r="AM957" i="12"/>
  <c r="AQ956" i="12"/>
  <c r="AP956" i="12"/>
  <c r="AN956" i="12"/>
  <c r="D960" i="14"/>
  <c r="AT898" i="11" l="1"/>
  <c r="AJ898" i="11"/>
  <c r="AO899" i="11"/>
  <c r="AN899" i="11"/>
  <c r="AP899" i="11"/>
  <c r="AM899" i="11"/>
  <c r="AK900" i="11"/>
  <c r="AL899" i="11"/>
  <c r="AQ898" i="11"/>
  <c r="AR898" i="11"/>
  <c r="D961" i="14"/>
  <c r="F963" i="14"/>
  <c r="AO957" i="12"/>
  <c r="AL957" i="12" s="1"/>
  <c r="AM958" i="12"/>
  <c r="AN957" i="12"/>
  <c r="AQ957" i="12"/>
  <c r="AP957" i="12"/>
  <c r="AT899" i="11" l="1"/>
  <c r="AJ899" i="11"/>
  <c r="AR899" i="11"/>
  <c r="AQ899" i="11"/>
  <c r="AN900" i="11"/>
  <c r="AK901" i="11"/>
  <c r="AO900" i="11"/>
  <c r="AM900" i="11"/>
  <c r="AP900" i="11"/>
  <c r="AL900" i="11"/>
  <c r="AO958" i="12"/>
  <c r="AL958" i="12" s="1"/>
  <c r="AN958" i="12"/>
  <c r="AP958" i="12"/>
  <c r="AM959" i="12"/>
  <c r="AQ958" i="12"/>
  <c r="D962" i="14"/>
  <c r="F964" i="14"/>
  <c r="AT900" i="11" l="1"/>
  <c r="AJ900" i="11"/>
  <c r="AQ900" i="11"/>
  <c r="AR900" i="11"/>
  <c r="AM901" i="11"/>
  <c r="AO901" i="11"/>
  <c r="AP901" i="11"/>
  <c r="AL901" i="11"/>
  <c r="AK902" i="11"/>
  <c r="AN901" i="11"/>
  <c r="F965" i="14"/>
  <c r="D963" i="14"/>
  <c r="AO959" i="12"/>
  <c r="AL959" i="12" s="1"/>
  <c r="AM960" i="12"/>
  <c r="AP959" i="12"/>
  <c r="AQ959" i="12"/>
  <c r="AN959" i="12"/>
  <c r="AT901" i="11" l="1"/>
  <c r="AJ901" i="11"/>
  <c r="AL902" i="11"/>
  <c r="AM902" i="11"/>
  <c r="AN902" i="11"/>
  <c r="AK903" i="11"/>
  <c r="AO902" i="11"/>
  <c r="AP902" i="11"/>
  <c r="AR901" i="11"/>
  <c r="AQ901" i="11"/>
  <c r="AO960" i="12"/>
  <c r="AL960" i="12" s="1"/>
  <c r="AM961" i="12"/>
  <c r="AQ960" i="12"/>
  <c r="AN960" i="12"/>
  <c r="AP960" i="12"/>
  <c r="D964" i="14"/>
  <c r="F966" i="14"/>
  <c r="AT902" i="11" l="1"/>
  <c r="AJ902" i="11"/>
  <c r="AN903" i="11"/>
  <c r="AM903" i="11"/>
  <c r="AK904" i="11"/>
  <c r="AO903" i="11"/>
  <c r="AP903" i="11"/>
  <c r="AL903" i="11"/>
  <c r="AQ902" i="11"/>
  <c r="AR902" i="11"/>
  <c r="AO961" i="12"/>
  <c r="AL961" i="12" s="1"/>
  <c r="AM962" i="12"/>
  <c r="AN961" i="12"/>
  <c r="AQ961" i="12"/>
  <c r="AP961" i="12"/>
  <c r="F967" i="14"/>
  <c r="D965" i="14"/>
  <c r="AT903" i="11" l="1"/>
  <c r="AJ903" i="11"/>
  <c r="AK905" i="11"/>
  <c r="AP904" i="11"/>
  <c r="AO904" i="11"/>
  <c r="AL904" i="11"/>
  <c r="AN904" i="11"/>
  <c r="AM904" i="11"/>
  <c r="AR903" i="11"/>
  <c r="AQ903" i="11"/>
  <c r="D966" i="14"/>
  <c r="F968" i="14"/>
  <c r="AO962" i="12"/>
  <c r="AL962" i="12" s="1"/>
  <c r="AN962" i="12"/>
  <c r="AP962" i="12"/>
  <c r="AM963" i="12"/>
  <c r="AQ962" i="12"/>
  <c r="AT904" i="11" l="1"/>
  <c r="AJ904" i="11"/>
  <c r="AQ904" i="11"/>
  <c r="AR904" i="11"/>
  <c r="AP905" i="11"/>
  <c r="AL905" i="11"/>
  <c r="AM905" i="11"/>
  <c r="AN905" i="11"/>
  <c r="AO905" i="11"/>
  <c r="AK906" i="11"/>
  <c r="F969" i="14"/>
  <c r="D967" i="14"/>
  <c r="AO963" i="12"/>
  <c r="AL963" i="12" s="1"/>
  <c r="AM964" i="12"/>
  <c r="AP963" i="12"/>
  <c r="AQ963" i="12"/>
  <c r="AN963" i="12"/>
  <c r="AT905" i="11" l="1"/>
  <c r="AJ905" i="11"/>
  <c r="AQ905" i="11"/>
  <c r="AR905" i="11"/>
  <c r="AK907" i="11"/>
  <c r="AP906" i="11"/>
  <c r="AL906" i="11"/>
  <c r="AM906" i="11"/>
  <c r="AO906" i="11"/>
  <c r="AN906" i="11"/>
  <c r="AO964" i="12"/>
  <c r="AL964" i="12" s="1"/>
  <c r="AM965" i="12"/>
  <c r="AQ964" i="12"/>
  <c r="AP964" i="12"/>
  <c r="AN964" i="12"/>
  <c r="D968" i="14"/>
  <c r="F970" i="14"/>
  <c r="AT906" i="11" l="1"/>
  <c r="AJ906" i="11"/>
  <c r="AN907" i="11"/>
  <c r="AK908" i="11"/>
  <c r="AL907" i="11"/>
  <c r="AM907" i="11"/>
  <c r="AO907" i="11"/>
  <c r="AP907" i="11"/>
  <c r="AQ906" i="11"/>
  <c r="AR906" i="11"/>
  <c r="F971" i="14"/>
  <c r="D969" i="14"/>
  <c r="AO965" i="12"/>
  <c r="AL965" i="12" s="1"/>
  <c r="AM966" i="12"/>
  <c r="AN965" i="12"/>
  <c r="AP965" i="12"/>
  <c r="AQ965" i="12"/>
  <c r="AT907" i="11" l="1"/>
  <c r="AJ907" i="11"/>
  <c r="AQ907" i="11"/>
  <c r="AR907" i="11"/>
  <c r="AO908" i="11"/>
  <c r="AK909" i="11"/>
  <c r="AM908" i="11"/>
  <c r="AN908" i="11"/>
  <c r="AP908" i="11"/>
  <c r="AL908" i="11"/>
  <c r="AO966" i="12"/>
  <c r="AL966" i="12" s="1"/>
  <c r="AN966" i="12"/>
  <c r="AP966" i="12"/>
  <c r="AM967" i="12"/>
  <c r="AQ966" i="12"/>
  <c r="D970" i="14"/>
  <c r="F972" i="14"/>
  <c r="AT908" i="11" l="1"/>
  <c r="AJ908" i="11"/>
  <c r="AR908" i="11"/>
  <c r="AQ908" i="11"/>
  <c r="AL909" i="11"/>
  <c r="AP909" i="11"/>
  <c r="AO909" i="11"/>
  <c r="AN909" i="11"/>
  <c r="AM909" i="11"/>
  <c r="AK910" i="11"/>
  <c r="D971" i="14"/>
  <c r="F973" i="14"/>
  <c r="AO967" i="12"/>
  <c r="AL967" i="12" s="1"/>
  <c r="AM968" i="12"/>
  <c r="AP967" i="12"/>
  <c r="AQ967" i="12"/>
  <c r="AN967" i="12"/>
  <c r="AT909" i="11" l="1"/>
  <c r="AJ909" i="11"/>
  <c r="AQ909" i="11"/>
  <c r="AR909" i="11"/>
  <c r="AN910" i="11"/>
  <c r="AP910" i="11"/>
  <c r="AO910" i="11"/>
  <c r="AK911" i="11"/>
  <c r="AL910" i="11"/>
  <c r="AM910" i="11"/>
  <c r="F974" i="14"/>
  <c r="D972" i="14"/>
  <c r="AO968" i="12"/>
  <c r="AL968" i="12" s="1"/>
  <c r="AM969" i="12"/>
  <c r="AQ968" i="12"/>
  <c r="AP968" i="12"/>
  <c r="AN968" i="12"/>
  <c r="AT910" i="11" l="1"/>
  <c r="AJ910" i="11"/>
  <c r="AN911" i="11"/>
  <c r="AP911" i="11"/>
  <c r="AO911" i="11"/>
  <c r="AK912" i="11"/>
  <c r="AM911" i="11"/>
  <c r="AL911" i="11"/>
  <c r="AQ910" i="11"/>
  <c r="AR910" i="11"/>
  <c r="AO969" i="12"/>
  <c r="AL969" i="12" s="1"/>
  <c r="AM970" i="12"/>
  <c r="AN969" i="12"/>
  <c r="AQ969" i="12"/>
  <c r="AP969" i="12"/>
  <c r="D973" i="14"/>
  <c r="F975" i="14"/>
  <c r="AT911" i="11" l="1"/>
  <c r="AJ911" i="11"/>
  <c r="AM912" i="11"/>
  <c r="AL912" i="11"/>
  <c r="AK913" i="11"/>
  <c r="AN912" i="11"/>
  <c r="AO912" i="11"/>
  <c r="AP912" i="11"/>
  <c r="AQ911" i="11"/>
  <c r="AR911" i="11"/>
  <c r="F976" i="14"/>
  <c r="D974" i="14"/>
  <c r="AO970" i="12"/>
  <c r="AL970" i="12" s="1"/>
  <c r="AN970" i="12"/>
  <c r="AP970" i="12"/>
  <c r="AQ970" i="12"/>
  <c r="AM971" i="12"/>
  <c r="AT912" i="11" l="1"/>
  <c r="AJ912" i="11"/>
  <c r="AM913" i="11"/>
  <c r="AN913" i="11"/>
  <c r="AP913" i="11"/>
  <c r="AK914" i="11"/>
  <c r="AO913" i="11"/>
  <c r="AL913" i="11"/>
  <c r="AQ912" i="11"/>
  <c r="AR912" i="11"/>
  <c r="D975" i="14"/>
  <c r="F977" i="14"/>
  <c r="AO971" i="12"/>
  <c r="AL971" i="12" s="1"/>
  <c r="AM972" i="12"/>
  <c r="AP971" i="12"/>
  <c r="AQ971" i="12"/>
  <c r="AN971" i="12"/>
  <c r="AT913" i="11" l="1"/>
  <c r="AJ913" i="11"/>
  <c r="AP914" i="11"/>
  <c r="AM914" i="11"/>
  <c r="AL914" i="11"/>
  <c r="AN914" i="11"/>
  <c r="AO914" i="11"/>
  <c r="AK915" i="11"/>
  <c r="AQ913" i="11"/>
  <c r="AR913" i="11"/>
  <c r="F978" i="14"/>
  <c r="D976" i="14"/>
  <c r="AO972" i="12"/>
  <c r="AL972" i="12" s="1"/>
  <c r="AM973" i="12"/>
  <c r="AQ972" i="12"/>
  <c r="AP972" i="12"/>
  <c r="AN972" i="12"/>
  <c r="AT914" i="11" l="1"/>
  <c r="AJ914" i="11"/>
  <c r="AO915" i="11"/>
  <c r="AM915" i="11"/>
  <c r="AK916" i="11"/>
  <c r="AL915" i="11"/>
  <c r="AN915" i="11"/>
  <c r="AP915" i="11"/>
  <c r="AR914" i="11"/>
  <c r="AQ914" i="11"/>
  <c r="AO973" i="12"/>
  <c r="AL973" i="12" s="1"/>
  <c r="AM974" i="12"/>
  <c r="AN973" i="12"/>
  <c r="AP973" i="12"/>
  <c r="AQ973" i="12"/>
  <c r="D977" i="14"/>
  <c r="F979" i="14"/>
  <c r="AT915" i="11" l="1"/>
  <c r="AJ915" i="11"/>
  <c r="AO916" i="11"/>
  <c r="AP916" i="11"/>
  <c r="AL916" i="11"/>
  <c r="AM916" i="11"/>
  <c r="AN916" i="11"/>
  <c r="AK917" i="11"/>
  <c r="AR915" i="11"/>
  <c r="AQ915" i="11"/>
  <c r="F980" i="14"/>
  <c r="D978" i="14"/>
  <c r="AO974" i="12"/>
  <c r="AL974" i="12" s="1"/>
  <c r="AN974" i="12"/>
  <c r="AP974" i="12"/>
  <c r="AM975" i="12"/>
  <c r="AQ974" i="12"/>
  <c r="AT916" i="11" l="1"/>
  <c r="AJ916" i="11"/>
  <c r="AR916" i="11"/>
  <c r="AQ916" i="11"/>
  <c r="AO917" i="11"/>
  <c r="AN917" i="11"/>
  <c r="AK918" i="11"/>
  <c r="AP917" i="11"/>
  <c r="AM917" i="11"/>
  <c r="AL917" i="11"/>
  <c r="AO975" i="12"/>
  <c r="AL975" i="12" s="1"/>
  <c r="AM976" i="12"/>
  <c r="AP975" i="12"/>
  <c r="AQ975" i="12"/>
  <c r="AN975" i="12"/>
  <c r="D979" i="14"/>
  <c r="F981" i="14"/>
  <c r="AT917" i="11" l="1"/>
  <c r="AJ917" i="11"/>
  <c r="AQ917" i="11"/>
  <c r="AR917" i="11"/>
  <c r="AL918" i="11"/>
  <c r="AP918" i="11"/>
  <c r="AM918" i="11"/>
  <c r="AN918" i="11"/>
  <c r="AK919" i="11"/>
  <c r="AO918" i="11"/>
  <c r="F982" i="14"/>
  <c r="D980" i="14"/>
  <c r="AO976" i="12"/>
  <c r="AL976" i="12" s="1"/>
  <c r="AM977" i="12"/>
  <c r="AQ976" i="12"/>
  <c r="AN976" i="12"/>
  <c r="AP976" i="12"/>
  <c r="AT918" i="11" l="1"/>
  <c r="AJ918" i="11"/>
  <c r="AK920" i="11"/>
  <c r="AO919" i="11"/>
  <c r="AM919" i="11"/>
  <c r="AP919" i="11"/>
  <c r="AL919" i="11"/>
  <c r="AN919" i="11"/>
  <c r="AR918" i="11"/>
  <c r="AQ918" i="11"/>
  <c r="AO977" i="12"/>
  <c r="AL977" i="12" s="1"/>
  <c r="AM978" i="12"/>
  <c r="AN977" i="12"/>
  <c r="AQ977" i="12"/>
  <c r="AP977" i="12"/>
  <c r="D981" i="14"/>
  <c r="F983" i="14"/>
  <c r="AT919" i="11" l="1"/>
  <c r="AJ919" i="11"/>
  <c r="AQ919" i="11"/>
  <c r="AR919" i="11"/>
  <c r="AM920" i="11"/>
  <c r="AL920" i="11"/>
  <c r="AN920" i="11"/>
  <c r="AK921" i="11"/>
  <c r="AO920" i="11"/>
  <c r="AP920" i="11"/>
  <c r="F984" i="14"/>
  <c r="D982" i="14"/>
  <c r="AO978" i="12"/>
  <c r="AL978" i="12" s="1"/>
  <c r="AN978" i="12"/>
  <c r="AP978" i="12"/>
  <c r="AM979" i="12"/>
  <c r="AQ978" i="12"/>
  <c r="AT920" i="11" l="1"/>
  <c r="AJ920" i="11"/>
  <c r="AR920" i="11"/>
  <c r="AQ920" i="11"/>
  <c r="AO921" i="11"/>
  <c r="AP921" i="11"/>
  <c r="AN921" i="11"/>
  <c r="AK922" i="11"/>
  <c r="AM921" i="11"/>
  <c r="AL921" i="11"/>
  <c r="AO979" i="12"/>
  <c r="AL979" i="12" s="1"/>
  <c r="AM980" i="12"/>
  <c r="AP979" i="12"/>
  <c r="AQ979" i="12"/>
  <c r="AN979" i="12"/>
  <c r="D983" i="14"/>
  <c r="F985" i="14"/>
  <c r="AT921" i="11" l="1"/>
  <c r="AJ921" i="11"/>
  <c r="AR921" i="11"/>
  <c r="AQ921" i="11"/>
  <c r="AL922" i="11"/>
  <c r="AK923" i="11"/>
  <c r="AM922" i="11"/>
  <c r="AO922" i="11"/>
  <c r="AP922" i="11"/>
  <c r="AN922" i="11"/>
  <c r="D984" i="14"/>
  <c r="AO980" i="12"/>
  <c r="AL980" i="12" s="1"/>
  <c r="AM981" i="12"/>
  <c r="AQ980" i="12"/>
  <c r="AP980" i="12"/>
  <c r="AN980" i="12"/>
  <c r="F986" i="14"/>
  <c r="AT922" i="11" l="1"/>
  <c r="AJ922" i="11"/>
  <c r="AQ922" i="11"/>
  <c r="AR922" i="11"/>
  <c r="AO923" i="11"/>
  <c r="AL923" i="11"/>
  <c r="AM923" i="11"/>
  <c r="AK924" i="11"/>
  <c r="AN923" i="11"/>
  <c r="AP923" i="11"/>
  <c r="F987" i="14"/>
  <c r="AO981" i="12"/>
  <c r="AL981" i="12" s="1"/>
  <c r="AM982" i="12"/>
  <c r="AN981" i="12"/>
  <c r="AP981" i="12"/>
  <c r="AQ981" i="12"/>
  <c r="D985" i="14"/>
  <c r="AT923" i="11" l="1"/>
  <c r="AJ923" i="11"/>
  <c r="AL924" i="11"/>
  <c r="AM924" i="11"/>
  <c r="AN924" i="11"/>
  <c r="AP924" i="11"/>
  <c r="AK925" i="11"/>
  <c r="AO924" i="11"/>
  <c r="AQ923" i="11"/>
  <c r="AR923" i="11"/>
  <c r="D986" i="14"/>
  <c r="F988" i="14"/>
  <c r="AO982" i="12"/>
  <c r="AL982" i="12" s="1"/>
  <c r="AN982" i="12"/>
  <c r="AP982" i="12"/>
  <c r="AM983" i="12"/>
  <c r="AQ982" i="12"/>
  <c r="AT924" i="11" l="1"/>
  <c r="AJ924" i="11"/>
  <c r="AR924" i="11"/>
  <c r="AQ924" i="11"/>
  <c r="AP925" i="11"/>
  <c r="AN925" i="11"/>
  <c r="AL925" i="11"/>
  <c r="AO925" i="11"/>
  <c r="AK926" i="11"/>
  <c r="AM925" i="11"/>
  <c r="F989" i="14"/>
  <c r="D987" i="14"/>
  <c r="AO983" i="12"/>
  <c r="AL983" i="12" s="1"/>
  <c r="AM984" i="12"/>
  <c r="AP983" i="12"/>
  <c r="AQ983" i="12"/>
  <c r="AN983" i="12"/>
  <c r="AT925" i="11" l="1"/>
  <c r="AJ925" i="11"/>
  <c r="AO926" i="11"/>
  <c r="AM926" i="11"/>
  <c r="AP926" i="11"/>
  <c r="AK927" i="11"/>
  <c r="AN926" i="11"/>
  <c r="AL926" i="11"/>
  <c r="AQ925" i="11"/>
  <c r="AR925" i="11"/>
  <c r="AO984" i="12"/>
  <c r="AL984" i="12" s="1"/>
  <c r="AM985" i="12"/>
  <c r="AQ984" i="12"/>
  <c r="AN984" i="12"/>
  <c r="AP984" i="12"/>
  <c r="D988" i="14"/>
  <c r="F990" i="14"/>
  <c r="AT926" i="11" l="1"/>
  <c r="AJ926" i="11"/>
  <c r="AM927" i="11"/>
  <c r="AK928" i="11"/>
  <c r="AO927" i="11"/>
  <c r="AN927" i="11"/>
  <c r="AL927" i="11"/>
  <c r="AP927" i="11"/>
  <c r="AQ926" i="11"/>
  <c r="AR926" i="11"/>
  <c r="F991" i="14"/>
  <c r="D989" i="14"/>
  <c r="AO985" i="12"/>
  <c r="AL985" i="12" s="1"/>
  <c r="AM986" i="12"/>
  <c r="AN985" i="12"/>
  <c r="AQ985" i="12"/>
  <c r="AP985" i="12"/>
  <c r="AT927" i="11" l="1"/>
  <c r="AJ927" i="11"/>
  <c r="AM928" i="11"/>
  <c r="AN928" i="11"/>
  <c r="AO928" i="11"/>
  <c r="AL928" i="11"/>
  <c r="AK929" i="11"/>
  <c r="AP928" i="11"/>
  <c r="AQ927" i="11"/>
  <c r="AR927" i="11"/>
  <c r="AO986" i="12"/>
  <c r="AL986" i="12" s="1"/>
  <c r="AN986" i="12"/>
  <c r="AP986" i="12"/>
  <c r="AM987" i="12"/>
  <c r="AQ986" i="12"/>
  <c r="D990" i="14"/>
  <c r="F992" i="14"/>
  <c r="AT928" i="11" l="1"/>
  <c r="AJ928" i="11"/>
  <c r="AM929" i="11"/>
  <c r="AL929" i="11"/>
  <c r="AK930" i="11"/>
  <c r="AP929" i="11"/>
  <c r="AN929" i="11"/>
  <c r="AO929" i="11"/>
  <c r="AQ928" i="11"/>
  <c r="AR928" i="11"/>
  <c r="AO987" i="12"/>
  <c r="AL987" i="12" s="1"/>
  <c r="AM988" i="12"/>
  <c r="AP987" i="12"/>
  <c r="AQ987" i="12"/>
  <c r="AN987" i="12"/>
  <c r="D991" i="14"/>
  <c r="F993" i="14"/>
  <c r="AT929" i="11" l="1"/>
  <c r="AJ929" i="11"/>
  <c r="AK931" i="11"/>
  <c r="AL930" i="11"/>
  <c r="AN930" i="11"/>
  <c r="AP930" i="11"/>
  <c r="AO930" i="11"/>
  <c r="AM930" i="11"/>
  <c r="AR929" i="11"/>
  <c r="AQ929" i="11"/>
  <c r="D992" i="14"/>
  <c r="F994" i="14"/>
  <c r="AO988" i="12"/>
  <c r="AL988" i="12" s="1"/>
  <c r="AM989" i="12"/>
  <c r="AQ988" i="12"/>
  <c r="AP988" i="12"/>
  <c r="AN988" i="12"/>
  <c r="AT930" i="11" l="1"/>
  <c r="AJ930" i="11"/>
  <c r="AR930" i="11"/>
  <c r="AQ930" i="11"/>
  <c r="AL931" i="11"/>
  <c r="AK932" i="11"/>
  <c r="AO931" i="11"/>
  <c r="AM931" i="11"/>
  <c r="AN931" i="11"/>
  <c r="AP931" i="11"/>
  <c r="AO989" i="12"/>
  <c r="AL989" i="12" s="1"/>
  <c r="AM990" i="12"/>
  <c r="AN989" i="12"/>
  <c r="AQ989" i="12"/>
  <c r="AP989" i="12"/>
  <c r="F995" i="14"/>
  <c r="D993" i="14"/>
  <c r="AT931" i="11" l="1"/>
  <c r="AJ931" i="11"/>
  <c r="AQ931" i="11"/>
  <c r="AR931" i="11"/>
  <c r="AL932" i="11"/>
  <c r="AO932" i="11"/>
  <c r="AP932" i="11"/>
  <c r="AM932" i="11"/>
  <c r="AN932" i="11"/>
  <c r="AK933" i="11"/>
  <c r="D994" i="14"/>
  <c r="F996" i="14"/>
  <c r="AO990" i="12"/>
  <c r="AL990" i="12" s="1"/>
  <c r="AN990" i="12"/>
  <c r="AP990" i="12"/>
  <c r="AM991" i="12"/>
  <c r="AQ990" i="12"/>
  <c r="AT932" i="11" l="1"/>
  <c r="AJ932" i="11"/>
  <c r="AR932" i="11"/>
  <c r="AQ932" i="11"/>
  <c r="AL933" i="11"/>
  <c r="AP933" i="11"/>
  <c r="AO933" i="11"/>
  <c r="AK934" i="11"/>
  <c r="AM933" i="11"/>
  <c r="AN933" i="11"/>
  <c r="F997" i="14"/>
  <c r="D995" i="14"/>
  <c r="AO991" i="12"/>
  <c r="AL991" i="12" s="1"/>
  <c r="AM992" i="12"/>
  <c r="AP991" i="12"/>
  <c r="AQ991" i="12"/>
  <c r="AN991" i="12"/>
  <c r="AT933" i="11" l="1"/>
  <c r="AJ933" i="11"/>
  <c r="AQ933" i="11"/>
  <c r="AR933" i="11"/>
  <c r="AL934" i="11"/>
  <c r="AK935" i="11"/>
  <c r="AN934" i="11"/>
  <c r="AM934" i="11"/>
  <c r="AP934" i="11"/>
  <c r="AO934" i="11"/>
  <c r="AO992" i="12"/>
  <c r="AL992" i="12" s="1"/>
  <c r="AM993" i="12"/>
  <c r="AQ992" i="12"/>
  <c r="AP992" i="12"/>
  <c r="AN992" i="12"/>
  <c r="D996" i="14"/>
  <c r="F998" i="14"/>
  <c r="AT934" i="11" l="1"/>
  <c r="AJ934" i="11"/>
  <c r="AQ934" i="11"/>
  <c r="AR934" i="11"/>
  <c r="AP935" i="11"/>
  <c r="AO935" i="11"/>
  <c r="AL935" i="11"/>
  <c r="AM935" i="11"/>
  <c r="AK936" i="11"/>
  <c r="AN935" i="11"/>
  <c r="F999" i="14"/>
  <c r="D997" i="14"/>
  <c r="AO993" i="12"/>
  <c r="AL993" i="12" s="1"/>
  <c r="AM994" i="12"/>
  <c r="AN993" i="12"/>
  <c r="AQ993" i="12"/>
  <c r="AP993" i="12"/>
  <c r="AT935" i="11" l="1"/>
  <c r="AJ935" i="11"/>
  <c r="AO936" i="11"/>
  <c r="AK937" i="11"/>
  <c r="AN936" i="11"/>
  <c r="AL936" i="11"/>
  <c r="AM936" i="11"/>
  <c r="AP936" i="11"/>
  <c r="AR935" i="11"/>
  <c r="AQ935" i="11"/>
  <c r="AO994" i="12"/>
  <c r="AL994" i="12" s="1"/>
  <c r="AN994" i="12"/>
  <c r="AP994" i="12"/>
  <c r="AM995" i="12"/>
  <c r="AQ994" i="12"/>
  <c r="D998" i="14"/>
  <c r="F1000" i="14"/>
  <c r="AT936" i="11" l="1"/>
  <c r="AJ936" i="11"/>
  <c r="AN937" i="11"/>
  <c r="AO937" i="11"/>
  <c r="AL937" i="11"/>
  <c r="AP937" i="11"/>
  <c r="AM937" i="11"/>
  <c r="AK938" i="11"/>
  <c r="AQ936" i="11"/>
  <c r="AR936" i="11"/>
  <c r="F1001" i="14"/>
  <c r="D999" i="14"/>
  <c r="AO995" i="12"/>
  <c r="AL995" i="12" s="1"/>
  <c r="AM996" i="12"/>
  <c r="AP995" i="12"/>
  <c r="AQ995" i="12"/>
  <c r="AN995" i="12"/>
  <c r="AT937" i="11" l="1"/>
  <c r="AJ937" i="11"/>
  <c r="AN938" i="11"/>
  <c r="AK939" i="11"/>
  <c r="AL938" i="11"/>
  <c r="AO938" i="11"/>
  <c r="AP938" i="11"/>
  <c r="AM938" i="11"/>
  <c r="AR937" i="11"/>
  <c r="AQ937" i="11"/>
  <c r="AO996" i="12"/>
  <c r="AL996" i="12" s="1"/>
  <c r="AM997" i="12"/>
  <c r="AQ996" i="12"/>
  <c r="AP996" i="12"/>
  <c r="AN996" i="12"/>
  <c r="D1000" i="14"/>
  <c r="F1002" i="14"/>
  <c r="AT938" i="11" l="1"/>
  <c r="AJ938" i="11"/>
  <c r="AQ938" i="11"/>
  <c r="AR938" i="11"/>
  <c r="AP939" i="11"/>
  <c r="AL939" i="11"/>
  <c r="AO939" i="11"/>
  <c r="AM939" i="11"/>
  <c r="AN939" i="11"/>
  <c r="AK940" i="11"/>
  <c r="AO997" i="12"/>
  <c r="AL997" i="12" s="1"/>
  <c r="AM998" i="12"/>
  <c r="AN997" i="12"/>
  <c r="AP997" i="12"/>
  <c r="AQ997" i="12"/>
  <c r="F1003" i="14"/>
  <c r="D1001" i="14"/>
  <c r="AT939" i="11" l="1"/>
  <c r="AJ939" i="11"/>
  <c r="AR939" i="11"/>
  <c r="AQ939" i="11"/>
  <c r="AL940" i="11"/>
  <c r="AK941" i="11"/>
  <c r="AP940" i="11"/>
  <c r="AN940" i="11"/>
  <c r="AO940" i="11"/>
  <c r="AM940" i="11"/>
  <c r="F1004" i="14"/>
  <c r="F1005" i="14" s="1"/>
  <c r="D1002" i="14"/>
  <c r="AO998" i="12"/>
  <c r="AL998" i="12" s="1"/>
  <c r="AN998" i="12"/>
  <c r="AP998" i="12"/>
  <c r="AM999" i="12"/>
  <c r="AQ998" i="12"/>
  <c r="AT940" i="11" l="1"/>
  <c r="AJ940" i="11"/>
  <c r="AQ940" i="11"/>
  <c r="AR940" i="11"/>
  <c r="AM941" i="11"/>
  <c r="AP941" i="11"/>
  <c r="AN941" i="11"/>
  <c r="AO941" i="11"/>
  <c r="AK942" i="11"/>
  <c r="AL941" i="11"/>
  <c r="D1003" i="14"/>
  <c r="AO999" i="12"/>
  <c r="AL999" i="12" s="1"/>
  <c r="AM1000" i="12"/>
  <c r="AP999" i="12"/>
  <c r="AQ999" i="12"/>
  <c r="AN999" i="12"/>
  <c r="AT941" i="11" l="1"/>
  <c r="AJ941" i="11"/>
  <c r="AL942" i="11"/>
  <c r="AK943" i="11"/>
  <c r="AO942" i="11"/>
  <c r="AM942" i="11"/>
  <c r="AP942" i="11"/>
  <c r="AN942" i="11"/>
  <c r="AQ941" i="11"/>
  <c r="AR941" i="11"/>
  <c r="D1004" i="14"/>
  <c r="D1005" i="14" s="1"/>
  <c r="AO1000" i="12"/>
  <c r="AL1000" i="12" s="1"/>
  <c r="AM1001" i="12"/>
  <c r="AQ1000" i="12"/>
  <c r="AP1000" i="12"/>
  <c r="AN1000" i="12"/>
  <c r="AT942" i="11" l="1"/>
  <c r="AJ942" i="11"/>
  <c r="AR942" i="11"/>
  <c r="AQ942" i="11"/>
  <c r="AN943" i="11"/>
  <c r="AM943" i="11"/>
  <c r="AO943" i="11"/>
  <c r="AP943" i="11"/>
  <c r="AK944" i="11"/>
  <c r="AL943" i="11"/>
  <c r="AO1001" i="12"/>
  <c r="AL1001" i="12" s="1"/>
  <c r="AM1002" i="12"/>
  <c r="AN1001" i="12"/>
  <c r="AQ1001" i="12"/>
  <c r="AP1001" i="12"/>
  <c r="AT943" i="11" l="1"/>
  <c r="AJ943" i="11"/>
  <c r="AP944" i="11"/>
  <c r="AM944" i="11"/>
  <c r="AO944" i="11"/>
  <c r="AN944" i="11"/>
  <c r="AK945" i="11"/>
  <c r="AL944" i="11"/>
  <c r="AQ943" i="11"/>
  <c r="AR943" i="11"/>
  <c r="AO1002" i="12"/>
  <c r="AL1002" i="12" s="1"/>
  <c r="AN1002" i="12"/>
  <c r="AP1002" i="12"/>
  <c r="AQ1002" i="12"/>
  <c r="AT944" i="11" l="1"/>
  <c r="AJ944" i="11"/>
  <c r="AR944" i="11"/>
  <c r="AQ944" i="11"/>
  <c r="AN945" i="11"/>
  <c r="AM945" i="11"/>
  <c r="AL945" i="11"/>
  <c r="AK946" i="11"/>
  <c r="AP945" i="11"/>
  <c r="AO945" i="11"/>
  <c r="AT945" i="11" l="1"/>
  <c r="AJ945" i="11"/>
  <c r="AN946" i="11"/>
  <c r="AL946" i="11"/>
  <c r="AK947" i="11"/>
  <c r="AM946" i="11"/>
  <c r="AP946" i="11"/>
  <c r="AO946" i="11"/>
  <c r="AQ945" i="11"/>
  <c r="AR945" i="11"/>
  <c r="AT946" i="11" l="1"/>
  <c r="AJ946" i="11"/>
  <c r="AR946" i="11"/>
  <c r="AQ946" i="11"/>
  <c r="AO947" i="11"/>
  <c r="AM947" i="11"/>
  <c r="AK948" i="11"/>
  <c r="AP947" i="11"/>
  <c r="AL947" i="11"/>
  <c r="AN947" i="11"/>
  <c r="AT947" i="11" l="1"/>
  <c r="AJ947" i="11"/>
  <c r="AL948" i="11"/>
  <c r="AM948" i="11"/>
  <c r="AN948" i="11"/>
  <c r="AK949" i="11"/>
  <c r="AP948" i="11"/>
  <c r="AO948" i="11"/>
  <c r="AR947" i="11"/>
  <c r="AQ947" i="11"/>
  <c r="AT948" i="11" l="1"/>
  <c r="AJ948" i="11"/>
  <c r="AP949" i="11"/>
  <c r="AO949" i="11"/>
  <c r="AN949" i="11"/>
  <c r="AM949" i="11"/>
  <c r="AL949" i="11"/>
  <c r="AK950" i="11"/>
  <c r="AR948" i="11"/>
  <c r="AQ948" i="11"/>
  <c r="AT949" i="11" l="1"/>
  <c r="AJ949" i="11"/>
  <c r="AQ949" i="11"/>
  <c r="AR949" i="11"/>
  <c r="AP950" i="11"/>
  <c r="AK951" i="11"/>
  <c r="AM950" i="11"/>
  <c r="AL950" i="11"/>
  <c r="AO950" i="11"/>
  <c r="AN950" i="11"/>
  <c r="AT950" i="11" l="1"/>
  <c r="AJ950" i="11"/>
  <c r="AQ950" i="11"/>
  <c r="AR950" i="11"/>
  <c r="AM951" i="11"/>
  <c r="AN951" i="11"/>
  <c r="AO951" i="11"/>
  <c r="AL951" i="11"/>
  <c r="AP951" i="11"/>
  <c r="AK952" i="11"/>
  <c r="AT951" i="11" l="1"/>
  <c r="AJ951" i="11"/>
  <c r="AR951" i="11"/>
  <c r="AQ951" i="11"/>
  <c r="AO952" i="11"/>
  <c r="AN952" i="11"/>
  <c r="AM952" i="11"/>
  <c r="AK953" i="11"/>
  <c r="AP952" i="11"/>
  <c r="AL952" i="11"/>
  <c r="AT952" i="11" l="1"/>
  <c r="AJ952" i="11"/>
  <c r="AM953" i="11"/>
  <c r="AP953" i="11"/>
  <c r="AK954" i="11"/>
  <c r="AO953" i="11"/>
  <c r="AN953" i="11"/>
  <c r="AL953" i="11"/>
  <c r="AR952" i="11"/>
  <c r="AQ952" i="11"/>
  <c r="AT953" i="11" l="1"/>
  <c r="AJ953" i="11"/>
  <c r="AP954" i="11"/>
  <c r="AN954" i="11"/>
  <c r="AO954" i="11"/>
  <c r="AK955" i="11"/>
  <c r="AM954" i="11"/>
  <c r="AL954" i="11"/>
  <c r="AQ953" i="11"/>
  <c r="AR953" i="11"/>
  <c r="AT954" i="11" l="1"/>
  <c r="AJ954" i="11"/>
  <c r="AN955" i="11"/>
  <c r="AL955" i="11"/>
  <c r="AM955" i="11"/>
  <c r="AK956" i="11"/>
  <c r="AO955" i="11"/>
  <c r="AP955" i="11"/>
  <c r="AQ954" i="11"/>
  <c r="AR954" i="11"/>
  <c r="AT955" i="11" l="1"/>
  <c r="AJ955" i="11"/>
  <c r="AL956" i="11"/>
  <c r="AP956" i="11"/>
  <c r="AN956" i="11"/>
  <c r="AK957" i="11"/>
  <c r="AO956" i="11"/>
  <c r="AM956" i="11"/>
  <c r="AQ955" i="11"/>
  <c r="AR955" i="11"/>
  <c r="AT956" i="11" l="1"/>
  <c r="AJ956" i="11"/>
  <c r="AO957" i="11"/>
  <c r="AK958" i="11"/>
  <c r="AL957" i="11"/>
  <c r="AP957" i="11"/>
  <c r="AN957" i="11"/>
  <c r="AM957" i="11"/>
  <c r="AR956" i="11"/>
  <c r="AQ956" i="11"/>
  <c r="AT957" i="11" l="1"/>
  <c r="AJ957" i="11"/>
  <c r="AM958" i="11"/>
  <c r="AK959" i="11"/>
  <c r="AP958" i="11"/>
  <c r="AO958" i="11"/>
  <c r="AL958" i="11"/>
  <c r="AN958" i="11"/>
  <c r="AR957" i="11"/>
  <c r="AQ957" i="11"/>
  <c r="AT958" i="11" l="1"/>
  <c r="AJ958" i="11"/>
  <c r="AK960" i="11"/>
  <c r="AM959" i="11"/>
  <c r="AP959" i="11"/>
  <c r="AN959" i="11"/>
  <c r="AO959" i="11"/>
  <c r="AL959" i="11"/>
  <c r="AQ958" i="11"/>
  <c r="AR958" i="11"/>
  <c r="AT959" i="11" l="1"/>
  <c r="AJ959" i="11"/>
  <c r="AR959" i="11"/>
  <c r="AQ959" i="11"/>
  <c r="AM960" i="11"/>
  <c r="AN960" i="11"/>
  <c r="AL960" i="11"/>
  <c r="AO960" i="11"/>
  <c r="AK961" i="11"/>
  <c r="AP960" i="11"/>
  <c r="AT960" i="11" l="1"/>
  <c r="AJ960" i="11"/>
  <c r="AP961" i="11"/>
  <c r="AL961" i="11"/>
  <c r="AN961" i="11"/>
  <c r="AK962" i="11"/>
  <c r="AM961" i="11"/>
  <c r="AO961" i="11"/>
  <c r="AR960" i="11"/>
  <c r="AQ960" i="11"/>
  <c r="AT961" i="11" l="1"/>
  <c r="AJ961" i="11"/>
  <c r="AL962" i="11"/>
  <c r="AP962" i="11"/>
  <c r="AM962" i="11"/>
  <c r="AK963" i="11"/>
  <c r="AO962" i="11"/>
  <c r="AN962" i="11"/>
  <c r="AQ961" i="11"/>
  <c r="AR961" i="11"/>
  <c r="AT962" i="11" l="1"/>
  <c r="AJ962" i="11"/>
  <c r="AO963" i="11"/>
  <c r="AK964" i="11"/>
  <c r="AL963" i="11"/>
  <c r="AP963" i="11"/>
  <c r="AM963" i="11"/>
  <c r="AN963" i="11"/>
  <c r="AQ962" i="11"/>
  <c r="AR962" i="11"/>
  <c r="AT963" i="11" l="1"/>
  <c r="AJ963" i="11"/>
  <c r="AP964" i="11"/>
  <c r="AO964" i="11"/>
  <c r="AL964" i="11"/>
  <c r="AM964" i="11"/>
  <c r="AK965" i="11"/>
  <c r="AN964" i="11"/>
  <c r="AR963" i="11"/>
  <c r="AQ963" i="11"/>
  <c r="AT964" i="11" l="1"/>
  <c r="AJ964" i="11"/>
  <c r="AQ964" i="11"/>
  <c r="AR964" i="11"/>
  <c r="AN965" i="11"/>
  <c r="AP965" i="11"/>
  <c r="AM965" i="11"/>
  <c r="AO965" i="11"/>
  <c r="AL965" i="11"/>
  <c r="AK966" i="11"/>
  <c r="AT965" i="11" l="1"/>
  <c r="AJ965" i="11"/>
  <c r="AQ965" i="11"/>
  <c r="AR965" i="11"/>
  <c r="AP966" i="11"/>
  <c r="AN966" i="11"/>
  <c r="AL966" i="11"/>
  <c r="AK967" i="11"/>
  <c r="AM966" i="11"/>
  <c r="AO966" i="11"/>
  <c r="AT966" i="11" l="1"/>
  <c r="AJ966" i="11"/>
  <c r="AQ966" i="11"/>
  <c r="AR966" i="11"/>
  <c r="AO967" i="11"/>
  <c r="AL967" i="11"/>
  <c r="AM967" i="11"/>
  <c r="AP967" i="11"/>
  <c r="AN967" i="11"/>
  <c r="AK968" i="11"/>
  <c r="AT967" i="11" l="1"/>
  <c r="AJ967" i="11"/>
  <c r="AQ967" i="11"/>
  <c r="AR967" i="11"/>
  <c r="AN968" i="11"/>
  <c r="AP968" i="11"/>
  <c r="AL968" i="11"/>
  <c r="AO968" i="11"/>
  <c r="AM968" i="11"/>
  <c r="AK969" i="11"/>
  <c r="AT968" i="11" l="1"/>
  <c r="AJ968" i="11"/>
  <c r="AQ968" i="11"/>
  <c r="AR968" i="11"/>
  <c r="AL969" i="11"/>
  <c r="AP969" i="11"/>
  <c r="AK970" i="11"/>
  <c r="AM969" i="11"/>
  <c r="AO969" i="11"/>
  <c r="AN969" i="11"/>
  <c r="AT969" i="11" l="1"/>
  <c r="AJ969" i="11"/>
  <c r="AQ969" i="11"/>
  <c r="AR969" i="11"/>
  <c r="AO970" i="11"/>
  <c r="AM970" i="11"/>
  <c r="AP970" i="11"/>
  <c r="AN970" i="11"/>
  <c r="AK971" i="11"/>
  <c r="AL970" i="11"/>
  <c r="AT970" i="11" l="1"/>
  <c r="AJ970" i="11"/>
  <c r="AN971" i="11"/>
  <c r="AL971" i="11"/>
  <c r="AO971" i="11"/>
  <c r="AP971" i="11"/>
  <c r="AK972" i="11"/>
  <c r="AM971" i="11"/>
  <c r="AR970" i="11"/>
  <c r="AQ970" i="11"/>
  <c r="AT971" i="11" l="1"/>
  <c r="AJ971" i="11"/>
  <c r="AQ971" i="11"/>
  <c r="AR971" i="11"/>
  <c r="AN972" i="11"/>
  <c r="AK973" i="11"/>
  <c r="AL972" i="11"/>
  <c r="AP972" i="11"/>
  <c r="AM972" i="11"/>
  <c r="AO972" i="11"/>
  <c r="AT972" i="11" l="1"/>
  <c r="AJ972" i="11"/>
  <c r="AQ972" i="11"/>
  <c r="AR972" i="11"/>
  <c r="AN973" i="11"/>
  <c r="AP973" i="11"/>
  <c r="AO973" i="11"/>
  <c r="AK974" i="11"/>
  <c r="AL973" i="11"/>
  <c r="AM973" i="11"/>
  <c r="AT973" i="11" l="1"/>
  <c r="AJ973" i="11"/>
  <c r="AM974" i="11"/>
  <c r="AO974" i="11"/>
  <c r="AN974" i="11"/>
  <c r="AP974" i="11"/>
  <c r="AL974" i="11"/>
  <c r="AK975" i="11"/>
  <c r="AQ973" i="11"/>
  <c r="AR973" i="11"/>
  <c r="AT974" i="11" l="1"/>
  <c r="AJ974" i="11"/>
  <c r="AK976" i="11"/>
  <c r="AP975" i="11"/>
  <c r="AO975" i="11"/>
  <c r="AM975" i="11"/>
  <c r="AN975" i="11"/>
  <c r="AL975" i="11"/>
  <c r="AQ974" i="11"/>
  <c r="AR974" i="11"/>
  <c r="AT975" i="11" l="1"/>
  <c r="AJ975" i="11"/>
  <c r="AQ975" i="11"/>
  <c r="AR975" i="11"/>
  <c r="AP976" i="11"/>
  <c r="AN976" i="11"/>
  <c r="AK977" i="11"/>
  <c r="AO976" i="11"/>
  <c r="AL976" i="11"/>
  <c r="AM976" i="11"/>
  <c r="AT976" i="11" l="1"/>
  <c r="AJ976" i="11"/>
  <c r="AN977" i="11"/>
  <c r="AM977" i="11"/>
  <c r="AO977" i="11"/>
  <c r="AL977" i="11"/>
  <c r="AK978" i="11"/>
  <c r="AP977" i="11"/>
  <c r="AR976" i="11"/>
  <c r="AQ976" i="11"/>
  <c r="AT977" i="11" l="1"/>
  <c r="AJ977" i="11"/>
  <c r="AR977" i="11"/>
  <c r="AQ977" i="11"/>
  <c r="AL978" i="11"/>
  <c r="AK979" i="11"/>
  <c r="AM978" i="11"/>
  <c r="AO978" i="11"/>
  <c r="AP978" i="11"/>
  <c r="AN978" i="11"/>
  <c r="AT978" i="11" l="1"/>
  <c r="AJ978" i="11"/>
  <c r="AR978" i="11"/>
  <c r="AQ978" i="11"/>
  <c r="AK980" i="11"/>
  <c r="AN979" i="11"/>
  <c r="AM979" i="11"/>
  <c r="AL979" i="11"/>
  <c r="AP979" i="11"/>
  <c r="AO979" i="11"/>
  <c r="AT979" i="11" l="1"/>
  <c r="AJ979" i="11"/>
  <c r="AK981" i="11"/>
  <c r="AL980" i="11"/>
  <c r="AO980" i="11"/>
  <c r="AN980" i="11"/>
  <c r="AM980" i="11"/>
  <c r="AP980" i="11"/>
  <c r="AR979" i="11"/>
  <c r="AQ979" i="11"/>
  <c r="AT980" i="11" l="1"/>
  <c r="AJ980" i="11"/>
  <c r="AR980" i="11"/>
  <c r="AQ980" i="11"/>
  <c r="AP981" i="11"/>
  <c r="AK982" i="11"/>
  <c r="AM981" i="11"/>
  <c r="AO981" i="11"/>
  <c r="AN981" i="11"/>
  <c r="AL981" i="11"/>
  <c r="AT981" i="11" l="1"/>
  <c r="AJ981" i="11"/>
  <c r="AQ981" i="11"/>
  <c r="AR981" i="11"/>
  <c r="AL982" i="11"/>
  <c r="AM982" i="11"/>
  <c r="AN982" i="11"/>
  <c r="AK983" i="11"/>
  <c r="AO982" i="11"/>
  <c r="AP982" i="11"/>
  <c r="AT982" i="11" l="1"/>
  <c r="AJ982" i="11"/>
  <c r="AM983" i="11"/>
  <c r="AP983" i="11"/>
  <c r="AL983" i="11"/>
  <c r="AO983" i="11"/>
  <c r="AK984" i="11"/>
  <c r="AN983" i="11"/>
  <c r="AQ982" i="11"/>
  <c r="AR982" i="11"/>
  <c r="AT983" i="11" l="1"/>
  <c r="AJ983" i="11"/>
  <c r="AO984" i="11"/>
  <c r="AL984" i="11"/>
  <c r="AN984" i="11"/>
  <c r="AM984" i="11"/>
  <c r="AP984" i="11"/>
  <c r="AK985" i="11"/>
  <c r="AR983" i="11"/>
  <c r="AQ983" i="11"/>
  <c r="AT984" i="11" l="1"/>
  <c r="AJ984" i="11"/>
  <c r="AQ984" i="11"/>
  <c r="AR984" i="11"/>
  <c r="AP985" i="11"/>
  <c r="AO985" i="11"/>
  <c r="AL985" i="11"/>
  <c r="AK986" i="11"/>
  <c r="AM985" i="11"/>
  <c r="AN985" i="11"/>
  <c r="AT985" i="11" l="1"/>
  <c r="AJ985" i="11"/>
  <c r="AQ985" i="11"/>
  <c r="AR985" i="11"/>
  <c r="AM986" i="11"/>
  <c r="AN986" i="11"/>
  <c r="AK987" i="11"/>
  <c r="AL986" i="11"/>
  <c r="AP986" i="11"/>
  <c r="AO986" i="11"/>
  <c r="AT986" i="11" l="1"/>
  <c r="AJ986" i="11"/>
  <c r="AR986" i="11"/>
  <c r="AQ986" i="11"/>
  <c r="AL987" i="11"/>
  <c r="AK988" i="11"/>
  <c r="AM987" i="11"/>
  <c r="AP987" i="11"/>
  <c r="AO987" i="11"/>
  <c r="AN987" i="11"/>
  <c r="AT987" i="11" l="1"/>
  <c r="AJ987" i="11"/>
  <c r="AR987" i="11"/>
  <c r="AQ987" i="11"/>
  <c r="AL988" i="11"/>
  <c r="AK989" i="11"/>
  <c r="AN988" i="11"/>
  <c r="AM988" i="11"/>
  <c r="AP988" i="11"/>
  <c r="AO988" i="11"/>
  <c r="AT988" i="11" l="1"/>
  <c r="AJ988" i="11"/>
  <c r="AR988" i="11"/>
  <c r="AQ988" i="11"/>
  <c r="AL989" i="11"/>
  <c r="AO989" i="11"/>
  <c r="AP989" i="11"/>
  <c r="AK990" i="11"/>
  <c r="AN989" i="11"/>
  <c r="AM989" i="11"/>
  <c r="AT989" i="11" l="1"/>
  <c r="AJ989" i="11"/>
  <c r="AL990" i="11"/>
  <c r="AO990" i="11"/>
  <c r="AP990" i="11"/>
  <c r="AK991" i="11"/>
  <c r="AN990" i="11"/>
  <c r="AM990" i="11"/>
  <c r="AR989" i="11"/>
  <c r="AQ989" i="11"/>
  <c r="AT990" i="11" l="1"/>
  <c r="AJ990" i="11"/>
  <c r="AN991" i="11"/>
  <c r="AM991" i="11"/>
  <c r="AO991" i="11"/>
  <c r="AK992" i="11"/>
  <c r="AL991" i="11"/>
  <c r="AP991" i="11"/>
  <c r="AQ990" i="11"/>
  <c r="AR990" i="11"/>
  <c r="AT991" i="11" l="1"/>
  <c r="AJ991" i="11"/>
  <c r="AL992" i="11"/>
  <c r="AO992" i="11"/>
  <c r="AP992" i="11"/>
  <c r="AM992" i="11"/>
  <c r="AK993" i="11"/>
  <c r="AN992" i="11"/>
  <c r="AQ991" i="11"/>
  <c r="AR991" i="11"/>
  <c r="AT992" i="11" l="1"/>
  <c r="AJ992" i="11"/>
  <c r="AQ992" i="11"/>
  <c r="AR992" i="11"/>
  <c r="AM993" i="11"/>
  <c r="AP993" i="11"/>
  <c r="AK994" i="11"/>
  <c r="AO993" i="11"/>
  <c r="AN993" i="11"/>
  <c r="AL993" i="11"/>
  <c r="AT993" i="11" l="1"/>
  <c r="AJ993" i="11"/>
  <c r="AR993" i="11"/>
  <c r="AQ993" i="11"/>
  <c r="AK995" i="11"/>
  <c r="AO994" i="11"/>
  <c r="AM994" i="11"/>
  <c r="AN994" i="11"/>
  <c r="AL994" i="11"/>
  <c r="AP994" i="11"/>
  <c r="AT994" i="11" l="1"/>
  <c r="AJ994" i="11"/>
  <c r="AK996" i="11"/>
  <c r="AN995" i="11"/>
  <c r="AL995" i="11"/>
  <c r="AO995" i="11"/>
  <c r="AP995" i="11"/>
  <c r="AM995" i="11"/>
  <c r="AQ994" i="11"/>
  <c r="AR994" i="11"/>
  <c r="AT995" i="11" l="1"/>
  <c r="AJ995" i="11"/>
  <c r="AQ995" i="11"/>
  <c r="AR995" i="11"/>
  <c r="AN996" i="11"/>
  <c r="AP996" i="11"/>
  <c r="AO996" i="11"/>
  <c r="AL996" i="11"/>
  <c r="AM996" i="11"/>
  <c r="AK997" i="11"/>
  <c r="AT996" i="11" l="1"/>
  <c r="AJ996" i="11"/>
  <c r="AQ996" i="11"/>
  <c r="AR996" i="11"/>
  <c r="AM997" i="11"/>
  <c r="AP997" i="11"/>
  <c r="AL997" i="11"/>
  <c r="AN997" i="11"/>
  <c r="AO997" i="11"/>
  <c r="AK998" i="11"/>
  <c r="AT997" i="11" l="1"/>
  <c r="AJ997" i="11"/>
  <c r="AQ997" i="11"/>
  <c r="AR997" i="11"/>
  <c r="AO998" i="11"/>
  <c r="AN998" i="11"/>
  <c r="AK999" i="11"/>
  <c r="AL998" i="11"/>
  <c r="AP998" i="11"/>
  <c r="AM998" i="11"/>
  <c r="AT998" i="11" l="1"/>
  <c r="AJ998" i="11"/>
  <c r="AM999" i="11"/>
  <c r="AK1000" i="11"/>
  <c r="AN999" i="11"/>
  <c r="AO999" i="11"/>
  <c r="AP999" i="11"/>
  <c r="AL999" i="11"/>
  <c r="AQ998" i="11"/>
  <c r="AR998" i="11"/>
  <c r="AT999" i="11" l="1"/>
  <c r="AJ999" i="11"/>
  <c r="AK1001" i="11"/>
  <c r="AN1000" i="11"/>
  <c r="AP1000" i="11"/>
  <c r="AM1000" i="11"/>
  <c r="AL1000" i="11"/>
  <c r="AO1000" i="11"/>
  <c r="AQ999" i="11"/>
  <c r="AR999" i="11"/>
  <c r="AT1000" i="11" l="1"/>
  <c r="AJ1000" i="11"/>
  <c r="AQ1000" i="11"/>
  <c r="AR1000" i="11"/>
  <c r="AP1001" i="11"/>
  <c r="AL1001" i="11"/>
  <c r="AO1001" i="11"/>
  <c r="AN1001" i="11"/>
  <c r="AM1001" i="11"/>
  <c r="AK1002" i="11"/>
  <c r="AK1003" i="11" s="1"/>
  <c r="AT1001" i="11" l="1"/>
  <c r="AJ1001" i="11"/>
  <c r="AQ1001" i="11"/>
  <c r="AR1001" i="11"/>
  <c r="AN1002" i="11"/>
  <c r="AL1002" i="11"/>
  <c r="AJ1002" i="11" s="1"/>
  <c r="AP1002" i="11"/>
  <c r="AO1002" i="11"/>
  <c r="AM1002" i="11"/>
  <c r="AT1002" i="11" l="1"/>
  <c r="AQ1002" i="11"/>
  <c r="AR1002" i="11"/>
  <c r="AM1003" i="12" l="1"/>
  <c r="AO1003" i="12" l="1"/>
  <c r="AP1003" i="12"/>
  <c r="AQ1003" i="12"/>
  <c r="AN1003" i="12"/>
  <c r="AL1003" i="12" l="1"/>
  <c r="AL1009" i="12" s="1"/>
  <c r="C1077" i="14"/>
  <c r="G2256" i="14" l="1"/>
  <c r="G2253" i="14"/>
  <c r="G2287" i="14"/>
  <c r="G2951" i="14"/>
  <c r="G3044" i="14"/>
  <c r="G3025" i="14"/>
  <c r="G2988" i="14"/>
  <c r="G2745" i="14"/>
  <c r="G2687" i="14"/>
  <c r="G3006" i="14"/>
  <c r="G2886" i="14"/>
  <c r="G3050" i="14"/>
  <c r="G2401" i="14"/>
  <c r="G2503" i="14"/>
  <c r="G2686" i="14"/>
  <c r="G2736" i="14"/>
  <c r="G2398" i="14"/>
  <c r="G2657" i="14"/>
  <c r="G2961" i="14"/>
  <c r="G2660" i="14"/>
  <c r="G2071" i="14"/>
  <c r="G2126" i="14"/>
  <c r="G2626" i="14"/>
  <c r="G3039" i="14"/>
  <c r="G2996" i="14"/>
  <c r="G2430" i="14"/>
  <c r="G2847" i="14"/>
  <c r="G2712" i="14"/>
  <c r="G2738" i="14"/>
  <c r="G2724" i="14"/>
  <c r="G2673" i="14"/>
  <c r="G2232" i="14"/>
  <c r="G2577" i="14"/>
  <c r="G2649" i="14"/>
  <c r="G2591" i="14"/>
  <c r="G2522" i="14"/>
  <c r="G2889" i="14"/>
  <c r="G2575" i="14"/>
  <c r="G3017" i="14"/>
  <c r="G2905" i="14"/>
  <c r="G2206" i="14"/>
  <c r="G2343" i="14"/>
  <c r="G2476" i="14"/>
  <c r="G2540" i="14"/>
  <c r="G2158" i="14"/>
  <c r="G3014" i="14"/>
  <c r="G2241" i="14"/>
  <c r="G2977" i="14"/>
  <c r="G2079" i="14"/>
  <c r="G2458" i="14"/>
  <c r="G2671" i="14"/>
  <c r="G2695" i="14"/>
  <c r="G2185" i="14"/>
  <c r="G3047" i="14"/>
  <c r="G2551" i="14"/>
  <c r="G2384" i="14"/>
  <c r="G2123" i="14"/>
  <c r="G2561" i="14"/>
  <c r="G2146" i="14"/>
  <c r="G2866" i="14"/>
  <c r="G2448" i="14"/>
  <c r="G2492" i="14"/>
  <c r="G2994" i="14"/>
  <c r="G2191" i="14"/>
  <c r="G2217" i="14"/>
  <c r="G2297" i="14"/>
  <c r="G2799" i="14"/>
  <c r="G2251" i="14"/>
  <c r="G2519" i="14"/>
  <c r="G2801" i="14"/>
  <c r="G2942" i="14"/>
  <c r="G2513" i="14"/>
  <c r="G2936" i="14"/>
  <c r="G2777" i="14"/>
  <c r="G2087" i="14"/>
  <c r="G2394" i="14"/>
  <c r="G2585" i="14"/>
  <c r="G2758" i="14"/>
  <c r="G3010" i="14"/>
  <c r="G2719" i="14"/>
  <c r="G2873" i="14"/>
  <c r="G2337" i="14"/>
  <c r="G2192" i="14"/>
  <c r="G2727" i="14"/>
  <c r="G3041" i="14"/>
  <c r="G2194" i="14"/>
  <c r="G2209" i="14"/>
  <c r="G2276" i="14"/>
  <c r="G3046" i="14"/>
  <c r="G2928" i="14"/>
  <c r="G2730" i="14"/>
  <c r="G2623" i="14"/>
  <c r="G2681" i="14"/>
  <c r="G2609" i="14"/>
  <c r="G2313" i="14"/>
  <c r="G2615" i="14"/>
  <c r="G2470" i="14"/>
  <c r="G2320" i="14"/>
  <c r="G2584" i="14"/>
  <c r="G2091" i="14"/>
  <c r="G2107" i="14"/>
  <c r="G2793" i="14"/>
  <c r="G2322" i="14"/>
  <c r="G2852" i="14"/>
  <c r="G2200" i="14"/>
  <c r="G2367" i="14"/>
  <c r="G2425" i="14"/>
  <c r="G2353" i="14"/>
  <c r="G2229" i="14"/>
  <c r="G2359" i="14"/>
  <c r="G2833" i="14"/>
  <c r="G2529" i="14"/>
  <c r="G2639" i="14"/>
  <c r="G2985" i="14"/>
  <c r="G2558" i="14"/>
  <c r="G2607" i="14"/>
  <c r="G2953" i="14"/>
  <c r="G2465" i="14"/>
  <c r="G2604" i="14"/>
  <c r="G2612" i="14"/>
  <c r="G2599" i="14"/>
  <c r="G2808" i="14"/>
  <c r="G2255" i="14"/>
  <c r="G2919" i="14"/>
  <c r="G2806" i="14"/>
  <c r="G2127" i="14"/>
  <c r="G2729" i="14"/>
  <c r="G2878" i="14"/>
  <c r="G2602" i="14"/>
  <c r="G2703" i="14"/>
  <c r="G2809" i="14"/>
  <c r="G2850" i="14"/>
  <c r="G2534" i="14"/>
  <c r="G2817" i="14"/>
  <c r="G3060" i="14"/>
  <c r="G2081" i="14"/>
  <c r="G3009" i="14"/>
  <c r="G2258" i="14"/>
  <c r="G3015" i="14"/>
  <c r="G2303" i="14"/>
  <c r="G2361" i="14"/>
  <c r="G2289" i="14"/>
  <c r="G2778" i="14"/>
  <c r="G2484" i="14"/>
  <c r="G2420" i="14"/>
  <c r="G2409" i="14"/>
  <c r="G2136" i="14"/>
  <c r="G2260" i="14"/>
  <c r="G2898" i="14"/>
  <c r="G2273" i="14"/>
  <c r="G2383" i="14"/>
  <c r="G2311" i="14"/>
  <c r="G2495" i="14"/>
  <c r="G2553" i="14"/>
  <c r="G2481" i="14"/>
  <c r="G2975" i="14"/>
  <c r="G2487" i="14"/>
  <c r="G2177" i="14"/>
  <c r="G2415" i="14"/>
  <c r="G2190" i="14"/>
  <c r="G2767" i="14"/>
  <c r="G2648" i="14"/>
  <c r="G2616" i="14"/>
  <c r="G3024" i="14"/>
  <c r="G2665" i="14"/>
  <c r="G2967" i="14"/>
  <c r="G2620" i="14"/>
  <c r="G2860" i="14"/>
  <c r="G2111" i="14"/>
  <c r="G3064" i="14"/>
  <c r="G3049" i="14"/>
  <c r="G2814" i="14"/>
  <c r="G2832" i="14"/>
  <c r="G2114" i="14"/>
  <c r="G2668" i="14"/>
  <c r="G2439" i="14"/>
  <c r="G2881" i="14"/>
  <c r="G2991" i="14"/>
  <c r="G2983" i="14"/>
  <c r="G2456" i="14"/>
  <c r="G2759" i="14"/>
  <c r="G2872" i="14"/>
  <c r="G2219" i="14"/>
  <c r="G2249" i="14"/>
  <c r="G2352" i="14"/>
  <c r="G2815" i="14"/>
  <c r="G2916" i="14"/>
  <c r="G2175" i="14"/>
  <c r="G2416" i="14"/>
  <c r="G2220" i="14"/>
  <c r="G2346" i="14"/>
  <c r="G2074" i="14"/>
  <c r="G2271" i="14"/>
  <c r="G2329" i="14"/>
  <c r="G2392" i="14"/>
  <c r="G2130" i="14"/>
  <c r="G2913" i="14"/>
  <c r="G3023" i="14"/>
  <c r="G2714" i="14"/>
  <c r="G2145" i="14"/>
  <c r="G2098" i="14"/>
  <c r="G2711" i="14"/>
  <c r="G2110" i="14"/>
  <c r="G2761" i="14"/>
  <c r="G3063" i="14"/>
  <c r="G2296" i="14"/>
  <c r="G2502" i="14"/>
  <c r="G2910" i="14"/>
  <c r="G2622" i="14"/>
  <c r="G3033" i="14"/>
  <c r="G2305" i="14"/>
  <c r="G2424" i="14"/>
  <c r="G2804" i="14"/>
  <c r="G2706" i="14"/>
  <c r="G2788" i="14"/>
  <c r="G2610" i="14"/>
  <c r="G2124" i="14"/>
  <c r="G2578" i="14"/>
  <c r="G2143" i="14"/>
  <c r="G2876" i="14"/>
  <c r="G2356" i="14"/>
  <c r="G2567" i="14"/>
  <c r="G2497" i="14"/>
  <c r="G2535" i="14"/>
  <c r="G2364" i="14"/>
  <c r="G2139" i="14"/>
  <c r="G2239" i="14"/>
  <c r="G2511" i="14"/>
  <c r="G2918" i="14"/>
  <c r="G2800" i="14"/>
  <c r="G2474" i="14"/>
  <c r="G2689" i="14"/>
  <c r="G2264" i="14"/>
  <c r="G2537" i="14"/>
  <c r="G2370" i="14"/>
  <c r="G2802" i="14"/>
  <c r="G2690" i="14"/>
  <c r="G2414" i="14"/>
  <c r="G2762" i="14"/>
  <c r="G2805" i="14"/>
  <c r="G2784" i="14"/>
  <c r="G2980" i="14"/>
  <c r="G2625" i="14"/>
  <c r="G2684" i="14"/>
  <c r="G2978" i="14"/>
  <c r="G2132" i="14"/>
  <c r="G2377" i="14"/>
  <c r="G2178" i="14"/>
  <c r="G2959" i="14"/>
  <c r="G3056" i="14"/>
  <c r="G2986" i="14"/>
  <c r="G2527" i="14"/>
  <c r="G2748" i="14"/>
  <c r="G2402" i="14"/>
  <c r="G3031" i="14"/>
  <c r="G2754" i="14"/>
  <c r="G2559" i="14"/>
  <c r="G2617" i="14"/>
  <c r="G2545" i="14"/>
  <c r="G2911" i="14"/>
  <c r="G2969" i="14"/>
  <c r="G2159" i="14"/>
  <c r="G2842" i="14"/>
  <c r="G2593" i="14"/>
  <c r="G2168" i="14"/>
  <c r="G2904" i="14"/>
  <c r="G2654" i="14"/>
  <c r="G2768" i="14"/>
  <c r="G2737" i="14"/>
  <c r="G2104" i="14"/>
  <c r="G2705" i="14"/>
  <c r="G2327" i="14"/>
  <c r="G2655" i="14"/>
  <c r="G2713" i="14"/>
  <c r="G2226" i="14"/>
  <c r="G2094" i="14"/>
  <c r="G2354" i="14"/>
  <c r="G2840" i="14"/>
  <c r="G2552" i="14"/>
  <c r="G2960" i="14"/>
  <c r="G2302" i="14"/>
  <c r="G2543" i="14"/>
  <c r="G2471" i="14"/>
  <c r="G2785" i="14"/>
  <c r="G2823" i="14"/>
  <c r="G2732" i="14"/>
  <c r="G2993" i="14"/>
  <c r="G2328" i="14"/>
  <c r="G2196" i="14"/>
  <c r="G2927" i="14"/>
  <c r="G2776" i="14"/>
  <c r="G2526" i="14"/>
  <c r="G2082" i="14"/>
  <c r="G2744" i="14"/>
  <c r="G2223" i="14"/>
  <c r="G2586" i="14"/>
  <c r="G3058" i="14"/>
  <c r="G2638" i="14"/>
  <c r="G2966" i="14"/>
  <c r="G2557" i="14"/>
  <c r="G2520" i="14"/>
  <c r="G2171" i="14"/>
  <c r="G2650" i="14"/>
  <c r="G2441" i="14"/>
  <c r="G2839" i="14"/>
  <c r="G2174" i="14"/>
  <c r="G2407" i="14"/>
  <c r="G3034" i="14"/>
  <c r="G3038" i="14"/>
  <c r="G2750" i="14"/>
  <c r="G2450" i="14"/>
  <c r="G2279" i="14"/>
  <c r="G2274" i="14"/>
  <c r="G2831" i="14"/>
  <c r="G2235" i="14"/>
  <c r="G2897" i="14"/>
  <c r="G2601" i="14"/>
  <c r="G2903" i="14"/>
  <c r="G2950" i="14"/>
  <c r="G2340" i="14"/>
  <c r="G2292" i="14"/>
  <c r="G2431" i="14"/>
  <c r="G2556" i="14"/>
  <c r="G2417" i="14"/>
  <c r="G2783" i="14"/>
  <c r="G2295" i="14"/>
  <c r="G2769" i="14"/>
  <c r="G2751" i="14"/>
  <c r="G2640" i="14"/>
  <c r="G2512" i="14"/>
  <c r="G2488" i="14"/>
  <c r="G2896" i="14"/>
  <c r="G2608" i="14"/>
  <c r="G2482" i="14"/>
  <c r="G2676" i="14"/>
  <c r="G2825" i="14"/>
  <c r="G2242" i="14"/>
  <c r="G2189" i="14"/>
  <c r="G2375" i="14"/>
  <c r="G2237" i="14"/>
  <c r="G2203" i="14"/>
  <c r="G2282" i="14"/>
  <c r="G3007" i="14"/>
  <c r="G3065" i="14"/>
  <c r="G2160" i="14"/>
  <c r="G2153" i="14"/>
  <c r="G2662" i="14"/>
  <c r="G2544" i="14"/>
  <c r="G2165" i="14"/>
  <c r="G2399" i="14"/>
  <c r="G2300" i="14"/>
  <c r="G2410" i="14"/>
  <c r="G2391" i="14"/>
  <c r="G2865" i="14"/>
  <c r="G2569" i="14"/>
  <c r="G2871" i="14"/>
  <c r="G2822" i="14"/>
  <c r="G2166" i="14"/>
  <c r="G2116" i="14"/>
  <c r="G2995" i="14"/>
  <c r="G3062" i="14"/>
  <c r="G2621" i="14"/>
  <c r="G2938" i="14"/>
  <c r="G2284" i="14"/>
  <c r="G2532" i="14"/>
  <c r="G2428" i="14"/>
  <c r="G2498" i="14"/>
  <c r="G2694" i="14"/>
  <c r="G2857" i="14"/>
  <c r="G2149" i="14"/>
  <c r="G2945" i="14"/>
  <c r="G3055" i="14"/>
  <c r="G2796" i="14"/>
  <c r="G2228" i="14"/>
  <c r="G2351" i="14"/>
  <c r="G2278" i="14"/>
  <c r="G2721" i="14"/>
  <c r="G3052" i="14"/>
  <c r="G2100" i="14"/>
  <c r="G3004" i="14"/>
  <c r="G2666" i="14"/>
  <c r="G2423" i="14"/>
  <c r="G2992" i="14"/>
  <c r="G2974" i="14"/>
  <c r="G2868" i="14"/>
  <c r="G2631" i="14"/>
  <c r="G2078" i="14"/>
  <c r="G2489" i="14"/>
  <c r="G2366" i="14"/>
  <c r="G2360" i="14"/>
  <c r="G2841" i="14"/>
  <c r="G2480" i="14"/>
  <c r="G2530" i="14"/>
  <c r="G2128" i="14"/>
  <c r="G2252" i="14"/>
  <c r="G2121" i="14"/>
  <c r="G2207" i="14"/>
  <c r="G2740" i="14"/>
  <c r="G2970" i="14"/>
  <c r="G2641" i="14"/>
  <c r="G2345" i="14"/>
  <c r="G2647" i="14"/>
  <c r="G2238" i="14"/>
  <c r="G2576" i="14"/>
  <c r="G2447" i="14"/>
  <c r="G2921" i="14"/>
  <c r="G2433" i="14"/>
  <c r="G2924" i="14"/>
  <c r="G2348" i="14"/>
  <c r="G2895" i="14"/>
  <c r="G2468" i="14"/>
  <c r="G2697" i="14"/>
  <c r="G2999" i="14"/>
  <c r="G2319" i="14"/>
  <c r="G2538" i="14"/>
  <c r="G2855" i="14"/>
  <c r="G2142" i="14"/>
  <c r="G2457" i="14"/>
  <c r="G2385" i="14"/>
  <c r="G2879" i="14"/>
  <c r="G2937" i="14"/>
  <c r="G2864" i="14"/>
  <c r="G2846" i="14"/>
  <c r="G2630" i="14"/>
  <c r="G2412" i="14"/>
  <c r="G2931" i="14"/>
  <c r="G2716" i="14"/>
  <c r="G2709" i="14"/>
  <c r="G3059" i="14"/>
  <c r="G2934" i="14"/>
  <c r="G2756" i="14"/>
  <c r="G2912" i="14"/>
  <c r="G2326" i="14"/>
  <c r="G2749" i="14"/>
  <c r="G2365" i="14"/>
  <c r="G2198" i="14"/>
  <c r="G2387" i="14"/>
  <c r="G3066" i="14"/>
  <c r="G2434" i="14"/>
  <c r="G2973" i="14"/>
  <c r="G2301" i="14"/>
  <c r="G2618" i="14"/>
  <c r="G2696" i="14"/>
  <c r="G2097" i="14"/>
  <c r="G3054" i="14"/>
  <c r="G2550" i="14"/>
  <c r="G2880" i="14"/>
  <c r="G2517" i="14"/>
  <c r="G2408" i="14"/>
  <c r="G2199" i="14"/>
  <c r="G2869" i="14"/>
  <c r="G2475" i="14"/>
  <c r="G2867" i="14"/>
  <c r="G2677" i="14"/>
  <c r="G2411" i="14"/>
  <c r="G2710" i="14"/>
  <c r="G3048" i="14"/>
  <c r="G2836" i="14"/>
  <c r="G2263" i="14"/>
  <c r="G2115" i="14"/>
  <c r="G3029" i="14"/>
  <c r="G2763" i="14"/>
  <c r="G2542" i="14"/>
  <c r="G2965" i="14"/>
  <c r="G2406" i="14"/>
  <c r="G2288" i="14"/>
  <c r="G2863" i="14"/>
  <c r="G2155" i="14"/>
  <c r="G2782" i="14"/>
  <c r="G2494" i="14"/>
  <c r="G2633" i="14"/>
  <c r="G2935" i="14"/>
  <c r="G2596" i="14"/>
  <c r="G2663" i="14"/>
  <c r="G2270" i="14"/>
  <c r="G2210" i="14"/>
  <c r="G3000" i="14"/>
  <c r="G3001" i="14"/>
  <c r="G2095" i="14"/>
  <c r="G2164" i="14"/>
  <c r="G2173" i="14"/>
  <c r="G2940" i="14"/>
  <c r="G2156" i="14"/>
  <c r="G2906" i="14"/>
  <c r="G3042" i="14"/>
  <c r="G2932" i="14"/>
  <c r="G2085" i="14"/>
  <c r="G2369" i="14"/>
  <c r="G2187" i="14"/>
  <c r="G2266" i="14"/>
  <c r="G2794" i="14"/>
  <c r="G2150" i="14"/>
  <c r="G2827" i="14"/>
  <c r="G2987" i="14"/>
  <c r="G2461" i="14"/>
  <c r="G2700" i="14"/>
  <c r="G2772" i="14"/>
  <c r="G2920" i="14"/>
  <c r="G2946" i="14"/>
  <c r="G2664" i="14"/>
  <c r="G2129" i="14"/>
  <c r="G3061" i="14"/>
  <c r="G2182" i="14"/>
  <c r="G2272" i="14"/>
  <c r="G2930" i="14"/>
  <c r="G2453" i="14"/>
  <c r="G2845" i="14"/>
  <c r="G2259" i="14"/>
  <c r="G2536" i="14"/>
  <c r="G2997" i="14"/>
  <c r="G2603" i="14"/>
  <c r="G2269" i="14"/>
  <c r="G2892" i="14"/>
  <c r="G2077" i="14"/>
  <c r="G3005" i="14"/>
  <c r="G2611" i="14"/>
  <c r="G2202" i="14"/>
  <c r="G2941" i="14"/>
  <c r="G2547" i="14"/>
  <c r="G2236" i="14"/>
  <c r="G3036" i="14"/>
  <c r="G2786" i="14"/>
  <c r="G2188" i="14"/>
  <c r="G2791" i="14"/>
  <c r="G2463" i="14"/>
  <c r="G2812" i="14"/>
  <c r="G2109" i="14"/>
  <c r="G2281" i="14"/>
  <c r="G2583" i="14"/>
  <c r="G3057" i="14"/>
  <c r="G2254" i="14"/>
  <c r="G2735" i="14"/>
  <c r="G2089" i="14"/>
  <c r="G2113" i="14"/>
  <c r="G2922" i="14"/>
  <c r="G2125" i="14"/>
  <c r="G2929" i="14"/>
  <c r="G2505" i="14"/>
  <c r="G2807" i="14"/>
  <c r="G2566" i="14"/>
  <c r="G2473" i="14"/>
  <c r="G2775" i="14"/>
  <c r="G2438" i="14"/>
  <c r="G2334" i="14"/>
  <c r="G2743" i="14"/>
  <c r="G2310" i="14"/>
  <c r="G2718" i="14"/>
  <c r="G2982" i="14"/>
  <c r="G2162" i="14"/>
  <c r="G2679" i="14"/>
  <c r="G2704" i="14"/>
  <c r="G2479" i="14"/>
  <c r="G2790" i="14"/>
  <c r="G2849" i="14"/>
  <c r="G2092" i="14"/>
  <c r="G2757" i="14"/>
  <c r="G2653" i="14"/>
  <c r="G2707" i="14"/>
  <c r="G2386" i="14"/>
  <c r="G2516" i="14"/>
  <c r="G2507" i="14"/>
  <c r="G2389" i="14"/>
  <c r="G2824" i="14"/>
  <c r="G3040" i="14"/>
  <c r="G2294" i="14"/>
  <c r="G2894" i="14"/>
  <c r="G3037" i="14"/>
  <c r="G2204" i="14"/>
  <c r="G2141" i="14"/>
  <c r="G2245" i="14"/>
  <c r="G2454" i="14"/>
  <c r="G2792" i="14"/>
  <c r="G3022" i="14"/>
  <c r="G2102" i="14"/>
  <c r="G2803" i="14"/>
  <c r="G2131" i="14"/>
  <c r="G2613" i="14"/>
  <c r="G2421" i="14"/>
  <c r="G2874" i="14"/>
  <c r="G2956" i="14"/>
  <c r="G2436" i="14"/>
  <c r="G2312" i="14"/>
  <c r="G2838" i="14"/>
  <c r="G2753" i="14"/>
  <c r="G2101" i="14"/>
  <c r="G3032" i="14"/>
  <c r="G2374" i="14"/>
  <c r="G2521" i="14"/>
  <c r="G2449" i="14"/>
  <c r="G2222" i="14"/>
  <c r="G2404" i="14"/>
  <c r="G2858" i="14"/>
  <c r="G2548" i="14"/>
  <c r="G2335" i="14"/>
  <c r="G2393" i="14"/>
  <c r="G2321" i="14"/>
  <c r="G2943" i="14"/>
  <c r="G2455" i="14"/>
  <c r="G2590" i="14"/>
  <c r="G2854" i="14"/>
  <c r="G2462" i="14"/>
  <c r="G2726" i="14"/>
  <c r="G2598" i="14"/>
  <c r="G2330" i="14"/>
  <c r="G2342" i="14"/>
  <c r="G2882" i="14"/>
  <c r="G2968" i="14"/>
  <c r="G2680" i="14"/>
  <c r="G2672" i="14"/>
  <c r="G2887" i="14"/>
  <c r="G2539" i="14"/>
  <c r="G2380" i="14"/>
  <c r="G2771" i="14"/>
  <c r="G3019" i="14"/>
  <c r="G2972" i="14"/>
  <c r="G2923" i="14"/>
  <c r="G2316" i="14"/>
  <c r="G2628" i="14"/>
  <c r="G2418" i="14"/>
  <c r="G2523" i="14"/>
  <c r="G2554" i="14"/>
  <c r="G2834" i="14"/>
  <c r="G2908" i="14"/>
  <c r="G2395" i="14"/>
  <c r="G2766" i="14"/>
  <c r="G2715" i="14"/>
  <c r="G2883" i="14"/>
  <c r="G2373" i="14"/>
  <c r="G2072" i="14"/>
  <c r="G2683" i="14"/>
  <c r="G2499" i="14"/>
  <c r="G2213" i="14"/>
  <c r="G2926" i="14"/>
  <c r="G2118" i="14"/>
  <c r="G2952" i="14"/>
  <c r="G2670" i="14"/>
  <c r="G2781" i="14"/>
  <c r="G2515" i="14"/>
  <c r="G2137" i="14"/>
  <c r="G2306" i="14"/>
  <c r="G2397" i="14"/>
  <c r="G2682" i="14"/>
  <c r="G2466" i="14"/>
  <c r="G2347" i="14"/>
  <c r="G2739" i="14"/>
  <c r="G2549" i="14"/>
  <c r="G2283" i="14"/>
  <c r="G2324" i="14"/>
  <c r="G2195" i="14"/>
  <c r="G2286" i="14"/>
  <c r="G2773" i="14"/>
  <c r="G2582" i="14"/>
  <c r="G3027" i="14"/>
  <c r="G2368" i="14"/>
  <c r="G2382" i="14"/>
  <c r="G2909" i="14"/>
  <c r="G2643" i="14"/>
  <c r="G2325" i="14"/>
  <c r="G2112" i="14"/>
  <c r="G2157" i="14"/>
  <c r="G2333" i="14"/>
  <c r="G2528" i="14"/>
  <c r="G2243" i="14"/>
  <c r="G2948" i="14"/>
  <c r="G2135" i="14"/>
  <c r="G2442" i="14"/>
  <c r="G2524" i="14"/>
  <c r="G2426" i="14"/>
  <c r="G3028" i="14"/>
  <c r="G2215" i="14"/>
  <c r="G2506" i="14"/>
  <c r="H2743" i="14"/>
  <c r="G2358" i="14"/>
  <c r="G2208" i="14"/>
  <c r="G2644" i="14"/>
  <c r="G2810" i="14"/>
  <c r="G3043" i="14"/>
  <c r="G2979" i="14"/>
  <c r="G2197" i="14"/>
  <c r="G2531" i="14"/>
  <c r="G2555" i="14"/>
  <c r="G2075" i="14"/>
  <c r="G2093" i="14"/>
  <c r="G2820" i="14"/>
  <c r="G2579" i="14"/>
  <c r="G2698" i="14"/>
  <c r="G2692" i="14"/>
  <c r="G2108" i="14"/>
  <c r="G2268" i="14"/>
  <c r="G2152" i="14"/>
  <c r="G2246" i="14"/>
  <c r="G2752" i="14"/>
  <c r="G2645" i="14"/>
  <c r="G2379" i="14"/>
  <c r="G2899" i="14"/>
  <c r="G2581" i="14"/>
  <c r="G2674" i="14"/>
  <c r="G2636" i="14"/>
  <c r="G2225" i="14"/>
  <c r="G2144" i="14"/>
  <c r="G2835" i="14"/>
  <c r="G2400" i="14"/>
  <c r="G2422" i="14"/>
  <c r="G2859" i="14"/>
  <c r="G2525" i="14"/>
  <c r="G2440" i="14"/>
  <c r="G2357" i="14"/>
  <c r="G2594" i="14"/>
  <c r="G2355" i="14"/>
  <c r="G2891" i="14"/>
  <c r="G2685" i="14"/>
  <c r="G2291" i="14"/>
  <c r="G2485" i="14"/>
  <c r="G2877" i="14"/>
  <c r="G2483" i="14"/>
  <c r="G2293" i="14"/>
  <c r="G2813" i="14"/>
  <c r="G2419" i="14"/>
  <c r="G2798" i="14"/>
  <c r="G2186" i="14"/>
  <c r="G2837" i="14"/>
  <c r="H3060" i="14"/>
  <c r="G2464" i="14"/>
  <c r="G2119" i="14"/>
  <c r="G2658" i="14"/>
  <c r="G2573" i="14"/>
  <c r="G2844" i="14"/>
  <c r="G2285" i="14"/>
  <c r="G2086" i="14"/>
  <c r="G2893" i="14"/>
  <c r="G2248" i="14"/>
  <c r="G2742" i="14"/>
  <c r="G2572" i="14"/>
  <c r="G2212" i="14"/>
  <c r="G2179" i="14"/>
  <c r="G2580" i="14"/>
  <c r="G2678" i="14"/>
  <c r="G3051" i="14"/>
  <c r="G2589" i="14"/>
  <c r="G2323" i="14"/>
  <c r="G2731" i="14"/>
  <c r="G2250" i="14"/>
  <c r="G2933" i="14"/>
  <c r="G2667" i="14"/>
  <c r="G2741" i="14"/>
  <c r="G2230" i="14"/>
  <c r="G2280" i="14"/>
  <c r="G2510" i="14"/>
  <c r="G2675" i="14"/>
  <c r="G2500" i="14"/>
  <c r="G2914" i="14"/>
  <c r="G3018" i="14"/>
  <c r="G2624" i="14"/>
  <c r="G3012" i="14"/>
  <c r="G2656" i="14"/>
  <c r="G2138" i="14"/>
  <c r="G2717" i="14"/>
  <c r="G2451" i="14"/>
  <c r="G2133" i="14"/>
  <c r="G2780" i="14"/>
  <c r="G2795" i="14"/>
  <c r="G2122" i="14"/>
  <c r="G2546" i="14"/>
  <c r="G2514" i="14"/>
  <c r="G2954" i="14"/>
  <c r="G2240" i="14"/>
  <c r="G2265" i="14"/>
  <c r="G2460" i="14"/>
  <c r="G2362" i="14"/>
  <c r="G2444" i="14"/>
  <c r="G2257" i="14"/>
  <c r="G2568" i="14"/>
  <c r="G2493" i="14"/>
  <c r="G2901" i="14"/>
  <c r="G2635" i="14"/>
  <c r="G2429" i="14"/>
  <c r="G2244" i="14"/>
  <c r="G2963" i="14"/>
  <c r="G2214" i="14"/>
  <c r="G2069" i="14"/>
  <c r="G2826" i="14"/>
  <c r="G2396" i="14"/>
  <c r="G2341" i="14"/>
  <c r="H2868" i="14"/>
  <c r="H2879" i="14"/>
  <c r="H3052" i="14"/>
  <c r="H2505" i="14"/>
  <c r="H2298" i="14"/>
  <c r="H2984" i="14"/>
  <c r="H3065" i="14"/>
  <c r="H2866" i="14"/>
  <c r="H2817" i="14"/>
  <c r="H2141" i="14"/>
  <c r="H2097" i="14"/>
  <c r="H2935" i="14"/>
  <c r="H2892" i="14"/>
  <c r="H2108" i="14"/>
  <c r="H2706" i="14"/>
  <c r="H2377" i="14"/>
  <c r="H3012" i="14"/>
  <c r="H2602" i="14"/>
  <c r="H2991" i="14"/>
  <c r="H2655" i="14"/>
  <c r="H2746" i="14"/>
  <c r="G2378" i="14"/>
  <c r="G2247" i="14"/>
  <c r="G2691" i="14"/>
  <c r="G2390" i="14"/>
  <c r="G2770" i="14"/>
  <c r="G2096" i="14"/>
  <c r="G2073" i="14"/>
  <c r="G2381" i="14"/>
  <c r="G2363" i="14"/>
  <c r="G2169" i="14"/>
  <c r="G2176" i="14"/>
  <c r="G2067" i="14"/>
  <c r="G2652" i="14"/>
  <c r="G2907" i="14"/>
  <c r="G2720" i="14"/>
  <c r="G2722" i="14"/>
  <c r="G2446" i="14"/>
  <c r="G2318" i="14"/>
  <c r="G2634" i="14"/>
  <c r="G2163" i="14"/>
  <c r="G2990" i="14"/>
  <c r="G2957" i="14"/>
  <c r="G3003" i="14"/>
  <c r="G3030" i="14"/>
  <c r="G2231" i="14"/>
  <c r="G2106" i="14"/>
  <c r="G2828" i="14"/>
  <c r="G2747" i="14"/>
  <c r="G2120" i="14"/>
  <c r="G2760" i="14"/>
  <c r="G3020" i="14"/>
  <c r="G2403" i="14"/>
  <c r="G2890" i="14"/>
  <c r="G2587" i="14"/>
  <c r="G2606" i="14"/>
  <c r="G2491" i="14"/>
  <c r="G2227" i="14"/>
  <c r="G2443" i="14"/>
  <c r="G2818" i="14"/>
  <c r="G2154" i="14"/>
  <c r="G2964" i="14"/>
  <c r="G2843" i="14"/>
  <c r="G2595" i="14"/>
  <c r="H2580" i="14"/>
  <c r="H2777" i="14"/>
  <c r="H2716" i="14"/>
  <c r="H2257" i="14"/>
  <c r="H2996" i="14"/>
  <c r="H2767" i="14"/>
  <c r="H2279" i="14"/>
  <c r="G3035" i="14"/>
  <c r="G2167" i="14"/>
  <c r="G2574" i="14"/>
  <c r="G2733" i="14"/>
  <c r="G2764" i="14"/>
  <c r="G2290" i="14"/>
  <c r="G2693" i="14"/>
  <c r="G2084" i="14"/>
  <c r="G2344" i="14"/>
  <c r="G2298" i="14"/>
  <c r="G2821" i="14"/>
  <c r="G3008" i="14"/>
  <c r="G2588" i="14"/>
  <c r="G2708" i="14"/>
  <c r="G2477" i="14"/>
  <c r="G3045" i="14"/>
  <c r="G2765" i="14"/>
  <c r="G2944" i="14"/>
  <c r="G2193" i="14"/>
  <c r="G2076" i="14"/>
  <c r="G2570" i="14"/>
  <c r="G2915" i="14"/>
  <c r="G2619" i="14"/>
  <c r="G2277" i="14"/>
  <c r="G2851" i="14"/>
  <c r="G2541" i="14"/>
  <c r="G2971" i="14"/>
  <c r="G2819" i="14"/>
  <c r="G2829" i="14"/>
  <c r="G2949" i="14"/>
  <c r="G2413" i="14"/>
  <c r="G2533" i="14"/>
  <c r="G3016" i="14"/>
  <c r="G3011" i="14"/>
  <c r="G2184" i="14"/>
  <c r="G2467" i="14"/>
  <c r="G2140" i="14"/>
  <c r="G2571" i="14"/>
  <c r="G2339" i="14"/>
  <c r="G2205" i="14"/>
  <c r="G2172" i="14"/>
  <c r="G2755" i="14"/>
  <c r="G2459" i="14"/>
  <c r="G2702" i="14"/>
  <c r="G2201" i="14"/>
  <c r="G2161" i="14"/>
  <c r="G2437" i="14"/>
  <c r="G2627" i="14"/>
  <c r="H3002" i="14"/>
  <c r="H2914" i="14"/>
  <c r="H2174" i="14"/>
  <c r="H2665" i="14"/>
  <c r="H2176" i="14"/>
  <c r="H2855" i="14"/>
  <c r="H2873" i="14"/>
  <c r="H2860" i="14"/>
  <c r="H2122" i="14"/>
  <c r="H2570" i="14"/>
  <c r="H2273" i="14"/>
  <c r="H2916" i="14"/>
  <c r="H2612" i="14"/>
  <c r="H2351" i="14"/>
  <c r="G2563" i="14"/>
  <c r="G2947" i="14"/>
  <c r="G2981" i="14"/>
  <c r="G2211" i="14"/>
  <c r="G2372" i="14"/>
  <c r="G2472" i="14"/>
  <c r="G2962" i="14"/>
  <c r="G2642" i="14"/>
  <c r="G2331" i="14"/>
  <c r="G3002" i="14"/>
  <c r="G2234" i="14"/>
  <c r="G2496" i="14"/>
  <c r="G2661" i="14"/>
  <c r="G2998" i="14"/>
  <c r="G2314" i="14"/>
  <c r="G2925" i="14"/>
  <c r="G2308" i="14"/>
  <c r="G2592" i="14"/>
  <c r="G2183" i="14"/>
  <c r="G2309" i="14"/>
  <c r="G2797" i="14"/>
  <c r="G2405" i="14"/>
  <c r="G2984" i="14"/>
  <c r="G2669" i="14"/>
  <c r="G2427" i="14"/>
  <c r="G2565" i="14"/>
  <c r="G2478" i="14"/>
  <c r="G2955" i="14"/>
  <c r="G2885" i="14"/>
  <c r="G2600" i="14"/>
  <c r="G2848" i="14"/>
  <c r="G2958" i="14"/>
  <c r="G2218" i="14"/>
  <c r="G2830" i="14"/>
  <c r="G2147" i="14"/>
  <c r="G2562" i="14"/>
  <c r="G2900" i="14"/>
  <c r="G2699" i="14"/>
  <c r="G2728" i="14"/>
  <c r="G2490" i="14"/>
  <c r="G2445" i="14"/>
  <c r="G2508" i="14"/>
  <c r="G2856" i="14"/>
  <c r="G2221" i="14"/>
  <c r="G2103" i="14"/>
  <c r="G2307" i="14"/>
  <c r="G2317" i="14"/>
  <c r="G2875" i="14"/>
  <c r="G2261" i="14"/>
  <c r="G2070" i="14"/>
  <c r="H2692" i="14"/>
  <c r="H2481" i="14"/>
  <c r="H2884" i="14"/>
  <c r="H2696" i="14"/>
  <c r="H2587" i="14"/>
  <c r="H2594" i="14"/>
  <c r="H2578" i="14"/>
  <c r="H2658" i="14"/>
  <c r="H2714" i="14"/>
  <c r="H3023" i="14"/>
  <c r="H2780" i="14"/>
  <c r="H2303" i="14"/>
  <c r="H2362" i="14"/>
  <c r="H2644" i="14"/>
  <c r="H2109" i="14"/>
  <c r="H3034" i="14"/>
  <c r="H2876" i="14"/>
  <c r="H2617" i="14"/>
  <c r="H2094" i="14"/>
  <c r="H2764" i="14"/>
  <c r="H2311" i="14"/>
  <c r="H2305" i="14"/>
  <c r="H2345" i="14"/>
  <c r="H3025" i="14"/>
  <c r="H2300" i="14"/>
  <c r="H2988" i="14"/>
  <c r="H2361" i="14"/>
  <c r="H2225" i="14"/>
  <c r="G2651" i="14"/>
  <c r="G2779" i="14"/>
  <c r="G2304" i="14"/>
  <c r="G2870" i="14"/>
  <c r="G2332" i="14"/>
  <c r="G2605" i="14"/>
  <c r="G2388" i="14"/>
  <c r="G2452" i="14"/>
  <c r="G2746" i="14"/>
  <c r="G2180" i="14"/>
  <c r="G2884" i="14"/>
  <c r="G2888" i="14"/>
  <c r="G2614" i="14"/>
  <c r="G3021" i="14"/>
  <c r="G2787" i="14"/>
  <c r="G2989" i="14"/>
  <c r="G2105" i="14"/>
  <c r="G2518" i="14"/>
  <c r="G2336" i="14"/>
  <c r="G2646" i="14"/>
  <c r="G2637" i="14"/>
  <c r="G2432" i="14"/>
  <c r="G2560" i="14"/>
  <c r="G2862" i="14"/>
  <c r="G2939" i="14"/>
  <c r="G2723" i="14"/>
  <c r="G2299" i="14"/>
  <c r="G2564" i="14"/>
  <c r="H2375" i="14"/>
  <c r="H2489" i="14"/>
  <c r="H2948" i="14"/>
  <c r="H2769" i="14"/>
  <c r="H2649" i="14"/>
  <c r="H2071" i="14"/>
  <c r="H2825" i="14"/>
  <c r="H2081" i="14"/>
  <c r="H2559" i="14"/>
  <c r="H2287" i="14"/>
  <c r="H2439" i="14"/>
  <c r="H2426" i="14"/>
  <c r="H2268" i="14"/>
  <c r="H2538" i="14"/>
  <c r="H2994" i="14"/>
  <c r="H2189" i="14"/>
  <c r="H2103" i="14"/>
  <c r="H2442" i="14"/>
  <c r="H2722" i="14"/>
  <c r="H2423" i="14"/>
  <c r="G2632" i="14"/>
  <c r="G2117" i="14"/>
  <c r="G2469" i="14"/>
  <c r="G2902" i="14"/>
  <c r="G2816" i="14"/>
  <c r="G2338" i="14"/>
  <c r="G2216" i="14"/>
  <c r="G2099" i="14"/>
  <c r="G2262" i="14"/>
  <c r="G2224" i="14"/>
  <c r="G2504" i="14"/>
  <c r="G2688" i="14"/>
  <c r="G2371" i="14"/>
  <c r="G2148" i="14"/>
  <c r="G3013" i="14"/>
  <c r="G2376" i="14"/>
  <c r="G2350" i="14"/>
  <c r="G2811" i="14"/>
  <c r="G2597" i="14"/>
  <c r="G2659" i="14"/>
  <c r="G2315" i="14"/>
  <c r="G2486" i="14"/>
  <c r="G2701" i="14"/>
  <c r="G2917" i="14"/>
  <c r="G2151" i="14"/>
  <c r="G2629" i="14"/>
  <c r="G2134" i="14"/>
  <c r="G2789" i="14"/>
  <c r="G2509" i="14"/>
  <c r="G2501" i="14"/>
  <c r="G2275" i="14"/>
  <c r="G3053" i="14"/>
  <c r="G2088" i="14"/>
  <c r="G2233" i="14"/>
  <c r="G2734" i="14"/>
  <c r="G2774" i="14"/>
  <c r="H2959" i="14"/>
  <c r="G2725" i="14"/>
  <c r="G2976" i="14"/>
  <c r="G3026" i="14"/>
  <c r="G2083" i="14"/>
  <c r="G2853" i="14"/>
  <c r="G2090" i="14"/>
  <c r="G2267" i="14"/>
  <c r="H2237" i="14"/>
  <c r="H2093" i="14"/>
  <c r="H2290" i="14"/>
  <c r="H2208" i="14"/>
  <c r="H2072" i="14"/>
  <c r="H2708" i="14"/>
  <c r="H2650" i="14"/>
  <c r="H2657" i="14"/>
  <c r="H2922" i="14"/>
  <c r="H2620" i="14"/>
  <c r="H3063" i="14"/>
  <c r="H2930" i="14"/>
  <c r="H2337" i="14"/>
  <c r="H2409" i="14"/>
  <c r="H2343" i="14"/>
  <c r="H2980" i="14"/>
  <c r="H2506" i="14"/>
  <c r="H3026" i="14"/>
  <c r="H3044" i="14"/>
  <c r="H3058" i="14"/>
  <c r="H2088" i="14"/>
  <c r="H2737" i="14"/>
  <c r="H2906" i="14"/>
  <c r="H2978" i="14"/>
  <c r="H2985" i="14"/>
  <c r="H2919" i="14"/>
  <c r="H2433" i="14"/>
  <c r="H2127" i="14"/>
  <c r="H3066" i="14"/>
  <c r="H2834" i="14"/>
  <c r="H2284" i="14"/>
  <c r="H3041" i="14"/>
  <c r="H3004" i="14"/>
  <c r="H2833" i="14"/>
  <c r="H2583" i="14"/>
  <c r="H2753" i="14"/>
  <c r="H2370" i="14"/>
  <c r="H2330" i="14"/>
  <c r="H2335" i="14"/>
  <c r="H2951" i="14"/>
  <c r="H2316" i="14"/>
  <c r="H2826" i="14"/>
  <c r="H2927" i="14"/>
  <c r="H2444" i="14"/>
  <c r="H2167" i="14"/>
  <c r="H2850" i="14"/>
  <c r="H2184" i="14"/>
  <c r="H3042" i="14"/>
  <c r="H2831" i="14"/>
  <c r="H2500" i="14"/>
  <c r="H2407" i="14"/>
  <c r="H2435" i="14"/>
  <c r="H2366" i="14"/>
  <c r="H2909" i="14"/>
  <c r="H2963" i="14"/>
  <c r="H2782" i="14"/>
  <c r="H2771" i="14"/>
  <c r="H2781" i="14"/>
  <c r="H2323" i="14"/>
  <c r="H2216" i="14"/>
  <c r="H2572" i="14"/>
  <c r="H2482" i="14"/>
  <c r="H2227" i="14"/>
  <c r="H2418" i="14"/>
  <c r="H2404" i="14"/>
  <c r="H2956" i="14"/>
  <c r="H2193" i="14"/>
  <c r="H2548" i="14"/>
  <c r="H2770" i="14"/>
  <c r="H2903" i="14"/>
  <c r="H2762" i="14"/>
  <c r="H2690" i="14"/>
  <c r="H2975" i="14"/>
  <c r="H2673" i="14"/>
  <c r="H2983" i="14"/>
  <c r="H2490" i="14"/>
  <c r="H2078" i="14"/>
  <c r="H2842" i="14"/>
  <c r="H2772" i="14"/>
  <c r="H2810" i="14"/>
  <c r="H2740" i="14"/>
  <c r="H2206" i="14"/>
  <c r="H2585" i="14"/>
  <c r="H2836" i="14"/>
  <c r="H2719" i="14"/>
  <c r="H2191" i="14"/>
  <c r="H2386" i="14"/>
  <c r="H2372" i="14"/>
  <c r="H2378" i="14"/>
  <c r="H2852" i="14"/>
  <c r="H2993" i="14"/>
  <c r="H2131" i="14"/>
  <c r="H2254" i="14"/>
  <c r="H2228" i="14"/>
  <c r="H2157" i="14"/>
  <c r="H2738" i="14"/>
  <c r="H2796" i="14"/>
  <c r="H2799" i="14"/>
  <c r="H2858" i="14"/>
  <c r="H2593" i="14"/>
  <c r="H2908" i="14"/>
  <c r="H2458" i="14"/>
  <c r="H2106" i="14"/>
  <c r="H3010" i="14"/>
  <c r="H2610" i="14"/>
  <c r="H2668" i="14"/>
  <c r="H2671" i="14"/>
  <c r="H2537" i="14"/>
  <c r="H2823" i="14"/>
  <c r="H2760" i="14"/>
  <c r="H2878" i="14"/>
  <c r="H2438" i="14"/>
  <c r="H2790" i="14"/>
  <c r="H2622" i="14"/>
  <c r="H2950" i="14"/>
  <c r="H2448" i="14"/>
  <c r="H2160" i="14"/>
  <c r="H2529" i="14"/>
  <c r="H2353" i="14"/>
  <c r="H2732" i="14"/>
  <c r="H2401" i="14"/>
  <c r="H2679" i="14"/>
  <c r="H3001" i="14"/>
  <c r="H2468" i="14"/>
  <c r="H2100" i="14"/>
  <c r="H2937" i="14"/>
  <c r="H2410" i="14"/>
  <c r="H2828" i="14"/>
  <c r="H2188" i="14"/>
  <c r="H2642" i="14"/>
  <c r="H2703" i="14"/>
  <c r="H2441" i="14"/>
  <c r="H2124" i="14"/>
  <c r="H2977" i="14"/>
  <c r="H2222" i="14"/>
  <c r="H2778" i="14"/>
  <c r="H2234" i="14"/>
  <c r="H2946" i="14"/>
  <c r="H2425" i="14"/>
  <c r="H2676" i="14"/>
  <c r="H2786" i="14"/>
  <c r="H2905" i="14"/>
  <c r="H2199" i="14"/>
  <c r="H2148" i="14"/>
  <c r="H2897" i="14"/>
  <c r="H2202" i="14"/>
  <c r="H2962" i="14"/>
  <c r="H3020" i="14"/>
  <c r="H2524" i="14"/>
  <c r="H2248" i="14"/>
  <c r="H2599" i="14"/>
  <c r="H2190" i="14"/>
  <c r="H2090" i="14"/>
  <c r="H2463" i="14"/>
  <c r="H2945" i="14"/>
  <c r="H2596" i="14"/>
  <c r="H2471" i="14"/>
  <c r="H2251" i="14"/>
  <c r="H2465" i="14"/>
  <c r="H2152" i="14"/>
  <c r="H2265" i="14"/>
  <c r="H2824" i="14"/>
  <c r="H2747" i="14"/>
  <c r="H2918" i="14"/>
  <c r="H2399" i="14"/>
  <c r="H2219" i="14"/>
  <c r="H2540" i="14"/>
  <c r="H2564" i="14"/>
  <c r="H2110" i="14"/>
  <c r="H2241" i="14"/>
  <c r="H2164" i="14"/>
  <c r="H2775" i="14"/>
  <c r="H2263" i="14"/>
  <c r="H2882" i="14"/>
  <c r="H2874" i="14"/>
  <c r="H2999" i="14"/>
  <c r="H2281" i="14"/>
  <c r="H2561" i="14"/>
  <c r="H3028" i="14"/>
  <c r="H2724" i="14"/>
  <c r="H2530" i="14"/>
  <c r="H2943" i="14"/>
  <c r="H2428" i="14"/>
  <c r="H2292" i="14"/>
  <c r="H2402" i="14"/>
  <c r="H2145" i="14"/>
  <c r="H2857" i="14"/>
  <c r="H2209" i="14"/>
  <c r="H2144" i="14"/>
  <c r="H2338" i="14"/>
  <c r="H2812" i="14"/>
  <c r="H2367" i="14"/>
  <c r="H2849" i="14"/>
  <c r="H2695" i="14"/>
  <c r="H2761" i="14"/>
  <c r="H2689" i="14"/>
  <c r="H2682" i="14"/>
  <c r="H2385" i="14"/>
  <c r="H2487" i="14"/>
  <c r="H2415" i="14"/>
  <c r="H2450" i="14"/>
  <c r="H2508" i="14"/>
  <c r="H2511" i="14"/>
  <c r="H2112" i="14"/>
  <c r="H2186" i="14"/>
  <c r="H2863" i="14"/>
  <c r="H2163" i="14"/>
  <c r="H2626" i="14"/>
  <c r="H2221" i="14"/>
  <c r="H2238" i="14"/>
  <c r="H2346" i="14"/>
  <c r="H2967" i="14"/>
  <c r="H2396" i="14"/>
  <c r="H2154" i="14"/>
  <c r="H2431" i="14"/>
  <c r="H2498" i="14"/>
  <c r="H2911" i="14"/>
  <c r="H2104" i="14"/>
  <c r="H2344" i="14"/>
  <c r="H2232" i="14"/>
  <c r="H2204" i="14"/>
  <c r="H2535" i="14"/>
  <c r="H2383" i="14"/>
  <c r="H2356" i="14"/>
  <c r="H2514" i="14"/>
  <c r="H2697" i="14"/>
  <c r="H2681" i="14"/>
  <c r="H2700" i="14"/>
  <c r="H2521" i="14"/>
  <c r="H2142" i="14"/>
  <c r="H2783" i="14"/>
  <c r="H2158" i="14"/>
  <c r="H2417" i="14"/>
  <c r="H2447" i="14"/>
  <c r="H2924" i="14"/>
  <c r="H2474" i="14"/>
  <c r="H2567" i="14"/>
  <c r="H2155" i="14"/>
  <c r="H2289" i="14"/>
  <c r="H2319" i="14"/>
  <c r="H2871" i="14"/>
  <c r="H2212" i="14"/>
  <c r="H3017" i="14"/>
  <c r="H2900" i="14"/>
  <c r="H2641" i="14"/>
  <c r="H2205" i="14"/>
  <c r="H2889" i="14"/>
  <c r="H2791" i="14"/>
  <c r="H3050" i="14"/>
  <c r="H2759" i="14"/>
  <c r="H3018" i="14"/>
  <c r="H2129" i="14"/>
  <c r="H2266" i="14"/>
  <c r="H2324" i="14"/>
  <c r="H2434" i="14"/>
  <c r="H2652" i="14"/>
  <c r="H2954" i="14"/>
  <c r="H2274" i="14"/>
  <c r="H2393" i="14"/>
  <c r="H2687" i="14"/>
  <c r="H2354" i="14"/>
  <c r="H2412" i="14"/>
  <c r="H2340" i="14"/>
  <c r="H2969" i="14"/>
  <c r="H2436" i="14"/>
  <c r="H2802" i="14"/>
  <c r="H2314" i="14"/>
  <c r="H2788" i="14"/>
  <c r="H2516" i="14"/>
  <c r="H2745" i="14"/>
  <c r="H3039" i="14"/>
  <c r="H2113" i="14"/>
  <c r="H2252" i="14"/>
  <c r="H2895" i="14"/>
  <c r="G2170" i="14"/>
  <c r="G2080" i="14"/>
  <c r="G2861" i="14"/>
  <c r="G2181" i="14"/>
  <c r="G2435" i="14"/>
  <c r="G2349" i="14"/>
  <c r="H2276" i="14"/>
  <c r="H2348" i="14"/>
  <c r="H2321" i="14"/>
  <c r="H2809" i="14"/>
  <c r="H2818" i="14"/>
  <c r="H2751" i="14"/>
  <c r="H2457" i="14"/>
  <c r="H2729" i="14"/>
  <c r="H2663" i="14"/>
  <c r="H2074" i="14"/>
  <c r="H2961" i="14"/>
  <c r="H3055" i="14"/>
  <c r="H2313" i="14"/>
  <c r="H3057" i="14"/>
  <c r="H2231" i="14"/>
  <c r="H2253" i="14"/>
  <c r="H2839" i="14"/>
  <c r="H2095" i="14"/>
  <c r="H2084" i="14"/>
  <c r="H2170" i="14"/>
  <c r="H2913" i="14"/>
  <c r="H2388" i="14"/>
  <c r="H2698" i="14"/>
  <c r="H2820" i="14"/>
  <c r="H2865" i="14"/>
  <c r="H2359" i="14"/>
  <c r="H2554" i="14"/>
  <c r="H3047" i="14"/>
  <c r="H2177" i="14"/>
  <c r="H2236" i="14"/>
  <c r="H2754" i="14"/>
  <c r="H2921" i="14"/>
  <c r="H2271" i="14"/>
  <c r="H2785" i="14"/>
  <c r="H2748" i="14"/>
  <c r="H2730" i="14"/>
  <c r="H2938" i="14"/>
  <c r="H2420" i="14"/>
  <c r="H2556" i="14"/>
  <c r="H2391" i="14"/>
  <c r="H2633" i="14"/>
  <c r="H2519" i="14"/>
  <c r="H2815" i="14"/>
  <c r="H3049" i="14"/>
  <c r="H2460" i="14"/>
  <c r="H2476" i="14"/>
  <c r="H2099" i="14"/>
  <c r="H2779" i="14"/>
  <c r="H2215" i="14"/>
  <c r="H3006" i="14"/>
  <c r="H2557" i="14"/>
  <c r="H2352" i="14"/>
  <c r="H2395" i="14"/>
  <c r="H2365" i="14"/>
  <c r="H2947" i="14"/>
  <c r="H3064" i="14"/>
  <c r="H2739" i="14"/>
  <c r="H2086" i="14"/>
  <c r="H2331" i="14"/>
  <c r="H2249" i="14"/>
  <c r="H2941" i="14"/>
  <c r="H2504" i="14"/>
  <c r="H2200" i="14"/>
  <c r="H2928" i="14"/>
  <c r="H2643" i="14"/>
  <c r="H2864" i="14"/>
  <c r="H2981" i="14"/>
  <c r="H2229" i="14"/>
  <c r="H2597" i="14"/>
  <c r="H2512" i="14"/>
  <c r="H2079" i="14"/>
  <c r="H2301" i="14"/>
  <c r="H2179" i="14"/>
  <c r="H2437" i="14"/>
  <c r="H2600" i="14"/>
  <c r="H2387" i="14"/>
  <c r="H2589" i="14"/>
  <c r="H2608" i="14"/>
  <c r="H2484" i="14"/>
  <c r="H2841" i="14"/>
  <c r="H2705" i="14"/>
  <c r="H2735" i="14"/>
  <c r="H2473" i="14"/>
  <c r="H2844" i="14"/>
  <c r="H2881" i="14"/>
  <c r="H2327" i="14"/>
  <c r="H3033" i="14"/>
  <c r="H2711" i="14"/>
  <c r="H2551" i="14"/>
  <c r="H2929" i="14"/>
  <c r="H2138" i="14"/>
  <c r="H2631" i="14"/>
  <c r="H2890" i="14"/>
  <c r="H2625" i="14"/>
  <c r="H2727" i="14"/>
  <c r="H2793" i="14"/>
  <c r="H2721" i="14"/>
  <c r="H3036" i="14"/>
  <c r="H2586" i="14"/>
  <c r="H2801" i="14"/>
  <c r="H2250" i="14"/>
  <c r="H2120" i="14"/>
  <c r="H2569" i="14"/>
  <c r="H2497" i="14"/>
  <c r="H2618" i="14"/>
  <c r="H2932" i="14"/>
  <c r="H2295" i="14"/>
  <c r="H2628" i="14"/>
  <c r="H2332" i="14"/>
  <c r="H2634" i="14"/>
  <c r="H2369" i="14"/>
  <c r="H2940" i="14"/>
  <c r="H2495" i="14"/>
  <c r="H2172" i="14"/>
  <c r="H2553" i="14"/>
  <c r="H2847" i="14"/>
  <c r="H2709" i="14"/>
  <c r="H3051" i="14"/>
  <c r="H2949" i="14"/>
  <c r="H2384" i="14"/>
  <c r="H2342" i="14"/>
  <c r="H2333" i="14"/>
  <c r="H2070" i="14"/>
  <c r="H2262" i="14"/>
  <c r="H2408" i="14"/>
  <c r="H2971" i="14"/>
  <c r="H2461" i="14"/>
  <c r="H2269" i="14"/>
  <c r="H2288" i="14"/>
  <c r="H2619" i="14"/>
  <c r="H3048" i="14"/>
  <c r="H2555" i="14"/>
  <c r="H2707" i="14"/>
  <c r="H2715" i="14"/>
  <c r="H2601" i="14"/>
  <c r="H3015" i="14"/>
  <c r="H2080" i="14"/>
  <c r="H2455" i="14"/>
  <c r="H2674" i="14"/>
  <c r="H2660" i="14"/>
  <c r="H2666" i="14"/>
  <c r="H2218" i="14"/>
  <c r="H2466" i="14"/>
  <c r="H2577" i="14"/>
  <c r="H2545" i="14"/>
  <c r="H2647" i="14"/>
  <c r="H2575" i="14"/>
  <c r="H2513" i="14"/>
  <c r="H2615" i="14"/>
  <c r="H2543" i="14"/>
  <c r="H2609" i="14"/>
  <c r="H2636" i="14"/>
  <c r="H2639" i="14"/>
  <c r="H2449" i="14"/>
  <c r="H2195" i="14"/>
  <c r="H2479" i="14"/>
  <c r="H2898" i="14"/>
  <c r="H3031" i="14"/>
  <c r="H2588" i="14"/>
  <c r="H2126" i="14"/>
  <c r="H2684" i="14"/>
  <c r="H2986" i="14"/>
  <c r="H2306" i="14"/>
  <c r="H2297" i="14"/>
  <c r="H2591" i="14"/>
  <c r="H2240" i="14"/>
  <c r="H2282" i="14"/>
  <c r="H2756" i="14"/>
  <c r="H2503" i="14"/>
  <c r="H2123" i="14"/>
  <c r="H2329" i="14"/>
  <c r="H2623" i="14"/>
  <c r="H2970" i="14"/>
  <c r="H2125" i="14"/>
  <c r="H2452" i="14"/>
  <c r="H2562" i="14"/>
  <c r="H2187" i="14"/>
  <c r="H2804" i="14"/>
  <c r="H2502" i="14"/>
  <c r="H2888" i="14"/>
  <c r="H2931" i="14"/>
  <c r="H2076" i="14"/>
  <c r="H2139" i="14"/>
  <c r="H2119" i="14"/>
  <c r="H2341" i="14"/>
  <c r="H2293" i="14"/>
  <c r="H3043" i="14"/>
  <c r="H2294" i="14"/>
  <c r="H2955" i="14"/>
  <c r="H2997" i="14"/>
  <c r="H2752" i="14"/>
  <c r="H2787" i="14"/>
  <c r="H2632" i="14"/>
  <c r="H2211" i="14"/>
  <c r="H2429" i="14"/>
  <c r="H2704" i="14"/>
  <c r="H2757" i="14"/>
  <c r="H2165" i="14"/>
  <c r="H2207" i="14"/>
  <c r="H2725" i="14"/>
  <c r="H2470" i="14"/>
  <c r="H3059" i="14"/>
  <c r="H2877" i="14"/>
  <c r="H2312" i="14"/>
  <c r="H2662" i="14"/>
  <c r="H3037" i="14"/>
  <c r="H2309" i="14"/>
  <c r="H2083" i="14"/>
  <c r="H2598" i="14"/>
  <c r="H2247" i="14"/>
  <c r="H2116" i="14"/>
  <c r="H3016" i="14"/>
  <c r="H2661" i="14"/>
  <c r="H2267" i="14"/>
  <c r="H2803" i="14"/>
  <c r="H3005" i="14"/>
  <c r="H2920" i="14"/>
  <c r="H2654" i="14"/>
  <c r="H2427" i="14"/>
  <c r="H2194" i="14"/>
  <c r="H2821" i="14"/>
  <c r="H2629" i="14"/>
  <c r="H2973" i="14"/>
  <c r="H2992" i="14"/>
  <c r="H2245" i="14"/>
  <c r="H2259" i="14"/>
  <c r="H2794" i="14"/>
  <c r="H2067" i="14"/>
  <c r="H2972" i="14"/>
  <c r="H2522" i="14"/>
  <c r="H2322" i="14"/>
  <c r="H2380" i="14"/>
  <c r="H2308" i="14"/>
  <c r="H2364" i="14"/>
  <c r="H2077" i="14"/>
  <c r="H2953" i="14"/>
  <c r="H2713" i="14"/>
  <c r="H3007" i="14"/>
  <c r="H2091" i="14"/>
  <c r="H2604" i="14"/>
  <c r="H2607" i="14"/>
  <c r="H2723" i="14"/>
  <c r="H2904" i="14"/>
  <c r="H2891" i="14"/>
  <c r="H2571" i="14"/>
  <c r="H2440" i="14"/>
  <c r="H2758" i="14"/>
  <c r="H2875" i="14"/>
  <c r="H2185" i="14"/>
  <c r="H2792" i="14"/>
  <c r="H2299" i="14"/>
  <c r="H2750" i="14"/>
  <c r="H2523" i="14"/>
  <c r="H2814" i="14"/>
  <c r="H2134" i="14"/>
  <c r="H2469" i="14"/>
  <c r="H2896" i="14"/>
  <c r="H3038" i="14"/>
  <c r="H2242" i="14"/>
  <c r="H2198" i="14"/>
  <c r="H2843" i="14"/>
  <c r="H3035" i="14"/>
  <c r="H2672" i="14"/>
  <c r="H2942" i="14"/>
  <c r="H2480" i="14"/>
  <c r="H3014" i="14"/>
  <c r="H2258" i="14"/>
  <c r="H2558" i="14"/>
  <c r="H3027" i="14"/>
  <c r="H2693" i="14"/>
  <c r="H2856" i="14"/>
  <c r="H2501" i="14"/>
  <c r="H2640" i="14"/>
  <c r="H2576" i="14"/>
  <c r="H2363" i="14"/>
  <c r="H2664" i="14"/>
  <c r="H2398" i="14"/>
  <c r="H2726" i="14"/>
  <c r="H2280" i="14"/>
  <c r="H2800" i="14"/>
  <c r="H2534" i="14"/>
  <c r="H2492" i="14"/>
  <c r="H2527" i="14"/>
  <c r="H3009" i="14"/>
  <c r="H2161" i="14"/>
  <c r="H2173" i="14"/>
  <c r="H2223" i="14"/>
  <c r="H2807" i="14"/>
  <c r="H2255" i="14"/>
  <c r="H2135" i="14"/>
  <c r="H2887" i="14"/>
  <c r="H2394" i="14"/>
  <c r="H2964" i="14"/>
  <c r="H2546" i="14"/>
  <c r="H2532" i="14"/>
  <c r="H2749" i="14"/>
  <c r="H3032" i="14"/>
  <c r="H2082" i="14"/>
  <c r="H2256" i="14"/>
  <c r="H2235" i="14"/>
  <c r="H2421" i="14"/>
  <c r="H2443" i="14"/>
  <c r="H2445" i="14"/>
  <c r="H2336" i="14"/>
  <c r="H2381" i="14"/>
  <c r="D2692" i="14"/>
  <c r="E2692" i="14" s="1"/>
  <c r="D2622" i="14"/>
  <c r="E2622" i="14" s="1"/>
  <c r="D2820" i="14"/>
  <c r="E2820" i="14" s="1"/>
  <c r="H2233" i="14"/>
  <c r="H2624" i="14"/>
  <c r="H2210" i="14"/>
  <c r="H2667" i="14"/>
  <c r="H2133" i="14"/>
  <c r="H2328" i="14"/>
  <c r="H2592" i="14"/>
  <c r="H2166" i="14"/>
  <c r="H2350" i="14"/>
  <c r="H2638" i="14"/>
  <c r="H2776" i="14"/>
  <c r="H2075" i="14"/>
  <c r="H2998" i="14"/>
  <c r="H3040" i="14"/>
  <c r="H2680" i="14"/>
  <c r="H2392" i="14"/>
  <c r="H2939" i="14"/>
  <c r="H2302" i="14"/>
  <c r="H2768" i="14"/>
  <c r="H2910" i="14"/>
  <c r="H2683" i="14"/>
  <c r="H2491" i="14"/>
  <c r="H2526" i="14"/>
  <c r="H2320" i="14"/>
  <c r="H2728" i="14"/>
  <c r="H2373" i="14"/>
  <c r="H2121" i="14"/>
  <c r="H2416" i="14"/>
  <c r="H2525" i="14"/>
  <c r="H2150" i="14"/>
  <c r="H2544" i="14"/>
  <c r="H2278" i="14"/>
  <c r="H2101" i="14"/>
  <c r="H2132" i="14"/>
  <c r="H2494" i="14"/>
  <c r="H2430" i="14"/>
  <c r="H2114" i="14"/>
  <c r="H2171" i="14"/>
  <c r="H2291" i="14"/>
  <c r="H2811" i="14"/>
  <c r="H2885" i="14"/>
  <c r="H2907" i="14"/>
  <c r="H2717" i="14"/>
  <c r="H2451" i="14"/>
  <c r="H2736" i="14"/>
  <c r="H3056" i="14"/>
  <c r="H2845" i="14"/>
  <c r="H2579" i="14"/>
  <c r="H2220" i="14"/>
  <c r="H2653" i="14"/>
  <c r="H2406" i="14"/>
  <c r="G2068" i="14"/>
  <c r="D2151" i="14"/>
  <c r="E2151" i="14" s="1"/>
  <c r="D2585" i="14"/>
  <c r="E2585" i="14" s="1"/>
  <c r="H2838" i="14"/>
  <c r="H2611" i="14"/>
  <c r="H2347" i="14"/>
  <c r="H2214" i="14"/>
  <c r="H2902" i="14"/>
  <c r="H2861" i="14"/>
  <c r="H2968" i="14"/>
  <c r="H2541" i="14"/>
  <c r="H2763" i="14"/>
  <c r="H2180" i="14"/>
  <c r="H2606" i="14"/>
  <c r="H2797" i="14"/>
  <c r="H2096" i="14"/>
  <c r="H2912" i="14"/>
  <c r="H2456" i="14"/>
  <c r="H2550" i="14"/>
  <c r="H2936" i="14"/>
  <c r="H2859" i="14"/>
  <c r="H2989" i="14"/>
  <c r="H2175" i="14"/>
  <c r="H2621" i="14"/>
  <c r="H2568" i="14"/>
  <c r="H2694" i="14"/>
  <c r="H2374" i="14"/>
  <c r="H2310" i="14"/>
  <c r="H2899" i="14"/>
  <c r="H2565" i="14"/>
  <c r="H3046" i="14"/>
  <c r="H2835" i="14"/>
  <c r="H2087" i="14"/>
  <c r="H2397" i="14"/>
  <c r="H2789" i="14"/>
  <c r="H2952" i="14"/>
  <c r="H2686" i="14"/>
  <c r="H2917" i="14"/>
  <c r="H2853" i="14"/>
  <c r="H2459" i="14"/>
  <c r="H2130" i="14"/>
  <c r="H2533" i="14"/>
  <c r="H2886" i="14"/>
  <c r="H2675" i="14"/>
  <c r="H2822" i="14"/>
  <c r="H3003" i="14"/>
  <c r="H2181" i="14"/>
  <c r="H2832" i="14"/>
  <c r="H2493" i="14"/>
  <c r="H2854" i="14"/>
  <c r="H2515" i="14"/>
  <c r="H2117" i="14"/>
  <c r="H2982" i="14"/>
  <c r="H2536" i="14"/>
  <c r="H2270" i="14"/>
  <c r="H2472" i="14"/>
  <c r="H2178" i="14"/>
  <c r="H3045" i="14"/>
  <c r="H2651" i="14"/>
  <c r="H2140" i="14"/>
  <c r="D2398" i="14"/>
  <c r="E2398" i="14" s="1"/>
  <c r="D2569" i="14"/>
  <c r="E2569" i="14" s="1"/>
  <c r="H2901" i="14"/>
  <c r="H2645" i="14"/>
  <c r="H2149" i="14"/>
  <c r="H2677" i="14"/>
  <c r="H2105" i="14"/>
  <c r="H2260" i="14"/>
  <c r="H2805" i="14"/>
  <c r="H2976" i="14"/>
  <c r="H2656" i="14"/>
  <c r="H2102" i="14"/>
  <c r="D2657" i="14"/>
  <c r="E2657" i="14" s="1"/>
  <c r="H2182" i="14"/>
  <c r="H2688" i="14"/>
  <c r="H2424" i="14"/>
  <c r="H3000" i="14"/>
  <c r="D2567" i="14"/>
  <c r="E2567" i="14" s="1"/>
  <c r="D2505" i="14"/>
  <c r="E2505" i="14" s="1"/>
  <c r="D2977" i="14"/>
  <c r="E2977" i="14" s="1"/>
  <c r="D2577" i="14"/>
  <c r="E2577" i="14" s="1"/>
  <c r="D2201" i="14"/>
  <c r="E2201" i="14" s="1"/>
  <c r="D2116" i="14"/>
  <c r="E2116" i="14" s="1"/>
  <c r="D2351" i="14"/>
  <c r="E2351" i="14" s="1"/>
  <c r="D2260" i="14"/>
  <c r="E2260" i="14" s="1"/>
  <c r="D2655" i="14"/>
  <c r="E2655" i="14" s="1"/>
  <c r="D2409" i="14"/>
  <c r="E2409" i="14" s="1"/>
  <c r="D2903" i="14"/>
  <c r="E2903" i="14" s="1"/>
  <c r="D2681" i="14"/>
  <c r="E2681" i="14" s="1"/>
  <c r="H2819" i="14"/>
  <c r="H2880" i="14"/>
  <c r="H2710" i="14"/>
  <c r="H2893" i="14"/>
  <c r="H2944" i="14"/>
  <c r="H2816" i="14"/>
  <c r="H2413" i="14"/>
  <c r="H2528" i="14"/>
  <c r="H3022" i="14"/>
  <c r="H2073" i="14"/>
  <c r="H2432" i="14"/>
  <c r="H2143" i="14"/>
  <c r="H2582" i="14"/>
  <c r="H2403" i="14"/>
  <c r="H2741" i="14"/>
  <c r="H2957" i="14"/>
  <c r="H2169" i="14"/>
  <c r="H2646" i="14"/>
  <c r="H2549" i="14"/>
  <c r="H2872" i="14"/>
  <c r="H2934" i="14"/>
  <c r="H2390" i="14"/>
  <c r="H2224" i="14"/>
  <c r="H2358" i="14"/>
  <c r="H2446" i="14"/>
  <c r="H2098" i="14"/>
  <c r="H2317" i="14"/>
  <c r="H2784" i="14"/>
  <c r="H2995" i="14"/>
  <c r="H2574" i="14"/>
  <c r="H2360" i="14"/>
  <c r="H2422" i="14"/>
  <c r="H2453" i="14"/>
  <c r="H2573" i="14"/>
  <c r="H2285" i="14"/>
  <c r="H2115" i="14"/>
  <c r="H2584" i="14"/>
  <c r="H2507" i="14"/>
  <c r="H2277" i="14"/>
  <c r="H2630" i="14"/>
  <c r="H2419" i="14"/>
  <c r="H3013" i="14"/>
  <c r="H2405" i="14"/>
  <c r="H2192" i="14"/>
  <c r="H2547" i="14"/>
  <c r="H2376" i="14"/>
  <c r="D2345" i="14"/>
  <c r="E2345" i="14" s="1"/>
  <c r="D2698" i="14"/>
  <c r="E2698" i="14" s="1"/>
  <c r="D2191" i="14"/>
  <c r="E2191" i="14" s="1"/>
  <c r="D2772" i="14"/>
  <c r="E2772" i="14" s="1"/>
  <c r="D2801" i="14"/>
  <c r="E2801" i="14" s="1"/>
  <c r="D2530" i="14"/>
  <c r="E2530" i="14" s="1"/>
  <c r="D2404" i="14"/>
  <c r="E2404" i="14" s="1"/>
  <c r="D2082" i="14"/>
  <c r="E2082" i="14" s="1"/>
  <c r="D2886" i="14"/>
  <c r="E2886" i="14" s="1"/>
  <c r="D2897" i="14"/>
  <c r="E2897" i="14" s="1"/>
  <c r="D2122" i="14"/>
  <c r="E2122" i="14" s="1"/>
  <c r="D2930" i="14"/>
  <c r="E2930" i="14" s="1"/>
  <c r="D2644" i="14"/>
  <c r="E2644" i="14" s="1"/>
  <c r="H2092" i="14"/>
  <c r="H2509" i="14"/>
  <c r="H2153" i="14"/>
  <c r="H2488" i="14"/>
  <c r="H2307" i="14"/>
  <c r="H2691" i="14"/>
  <c r="H2894" i="14"/>
  <c r="H2379" i="14"/>
  <c r="H2486" i="14"/>
  <c r="H2867" i="14"/>
  <c r="H2275" i="14"/>
  <c r="H2382" i="14"/>
  <c r="H3053" i="14"/>
  <c r="H2283" i="14"/>
  <c r="H3029" i="14"/>
  <c r="H2712" i="14"/>
  <c r="H2371" i="14"/>
  <c r="H2958" i="14"/>
  <c r="H2774" i="14"/>
  <c r="H2203" i="14"/>
  <c r="H2979" i="14"/>
  <c r="H2701" i="14"/>
  <c r="H2339" i="14"/>
  <c r="H2162" i="14"/>
  <c r="H2965" i="14"/>
  <c r="H2590" i="14"/>
  <c r="H2089" i="14"/>
  <c r="H2349" i="14"/>
  <c r="H2837" i="14"/>
  <c r="H3019" i="14"/>
  <c r="H2613" i="14"/>
  <c r="H2659" i="14"/>
  <c r="H2467" i="14"/>
  <c r="H2605" i="14"/>
  <c r="H2581" i="14"/>
  <c r="H3011" i="14"/>
  <c r="H2925" i="14"/>
  <c r="H2085" i="14"/>
  <c r="H2869" i="14"/>
  <c r="H2107" i="14"/>
  <c r="H2196" i="14"/>
  <c r="H2464" i="14"/>
  <c r="H2159" i="14"/>
  <c r="H2325" i="14"/>
  <c r="H2755" i="14"/>
  <c r="H2400" i="14"/>
  <c r="H2595" i="14"/>
  <c r="H3024" i="14"/>
  <c r="H2685" i="14"/>
  <c r="H2960" i="14"/>
  <c r="H2566" i="14"/>
  <c r="H2813" i="14"/>
  <c r="H2201" i="14"/>
  <c r="D2889" i="14"/>
  <c r="E2889" i="14" s="1"/>
  <c r="D2959" i="14"/>
  <c r="E2959" i="14" s="1"/>
  <c r="D2110" i="14"/>
  <c r="E2110" i="14" s="1"/>
  <c r="D2703" i="14"/>
  <c r="E2703" i="14" s="1"/>
  <c r="D2749" i="14"/>
  <c r="E2749" i="14" s="1"/>
  <c r="D2386" i="14"/>
  <c r="E2386" i="14" s="1"/>
  <c r="D2115" i="14"/>
  <c r="E2115" i="14" s="1"/>
  <c r="D2132" i="14"/>
  <c r="E2132" i="14" s="1"/>
  <c r="D2649" i="14"/>
  <c r="E2649" i="14" s="1"/>
  <c r="D2559" i="14"/>
  <c r="E2559" i="14" s="1"/>
  <c r="D2113" i="14"/>
  <c r="E2113" i="14" s="1"/>
  <c r="D2407" i="14"/>
  <c r="E2407" i="14" s="1"/>
  <c r="D2207" i="14"/>
  <c r="E2207" i="14" s="1"/>
  <c r="D2265" i="14"/>
  <c r="E2265" i="14" s="1"/>
  <c r="D2118" i="14"/>
  <c r="E2118" i="14" s="1"/>
  <c r="D2950" i="14"/>
  <c r="E2950" i="14" s="1"/>
  <c r="D2969" i="14"/>
  <c r="E2969" i="14" s="1"/>
  <c r="D2232" i="14"/>
  <c r="E2232" i="14" s="1"/>
  <c r="D2226" i="14"/>
  <c r="E2226" i="14" s="1"/>
  <c r="D2679" i="14"/>
  <c r="E2679" i="14" s="1"/>
  <c r="D2462" i="14"/>
  <c r="E2462" i="14" s="1"/>
  <c r="D2290" i="14"/>
  <c r="E2290" i="14" s="1"/>
  <c r="D2174" i="14"/>
  <c r="E2174" i="14" s="1"/>
  <c r="D2537" i="14"/>
  <c r="E2537" i="14" s="1"/>
  <c r="D2623" i="14"/>
  <c r="E2623" i="14" s="1"/>
  <c r="D2473" i="14"/>
  <c r="E2473" i="14" s="1"/>
  <c r="D3057" i="14"/>
  <c r="E3057" i="14" s="1"/>
  <c r="D2600" i="14"/>
  <c r="E2600" i="14" s="1"/>
  <c r="D3007" i="14"/>
  <c r="E3007" i="14" s="1"/>
  <c r="D2753" i="14"/>
  <c r="E2753" i="14" s="1"/>
  <c r="D2568" i="14"/>
  <c r="E2568" i="14" s="1"/>
  <c r="D2243" i="14"/>
  <c r="E2243" i="14" s="1"/>
  <c r="H2168" i="14"/>
  <c r="H2286" i="14"/>
  <c r="H2987" i="14"/>
  <c r="H3008" i="14"/>
  <c r="H2966" i="14"/>
  <c r="H2616" i="14"/>
  <c r="H2773" i="14"/>
  <c r="H2731" i="14"/>
  <c r="H2147" i="14"/>
  <c r="H2926" i="14"/>
  <c r="H2230" i="14"/>
  <c r="H2368" i="14"/>
  <c r="H2848" i="14"/>
  <c r="H2118" i="14"/>
  <c r="H2552" i="14"/>
  <c r="H2485" i="14"/>
  <c r="H2840" i="14"/>
  <c r="H2264" i="14"/>
  <c r="H2499" i="14"/>
  <c r="H2933" i="14"/>
  <c r="H2151" i="14"/>
  <c r="H2915" i="14"/>
  <c r="H2808" i="14"/>
  <c r="H2635" i="14"/>
  <c r="H2243" i="14"/>
  <c r="H2990" i="14"/>
  <c r="H2742" i="14"/>
  <c r="H2830" i="14"/>
  <c r="H2733" i="14"/>
  <c r="H2411" i="14"/>
  <c r="H2862" i="14"/>
  <c r="H2614" i="14"/>
  <c r="H2136" i="14"/>
  <c r="H2766" i="14"/>
  <c r="H3030" i="14"/>
  <c r="H2718" i="14"/>
  <c r="H2648" i="14"/>
  <c r="D2310" i="14"/>
  <c r="E2310" i="14" s="1"/>
  <c r="D2497" i="14"/>
  <c r="E2497" i="14" s="1"/>
  <c r="D2214" i="14"/>
  <c r="E2214" i="14" s="1"/>
  <c r="D2127" i="14"/>
  <c r="E2127" i="14" s="1"/>
  <c r="D2456" i="14"/>
  <c r="E2456" i="14" s="1"/>
  <c r="D3041" i="14"/>
  <c r="E3041" i="14" s="1"/>
  <c r="D2088" i="14"/>
  <c r="E2088" i="14" s="1"/>
  <c r="D2433" i="14"/>
  <c r="E2433" i="14" s="1"/>
  <c r="D2913" i="14"/>
  <c r="E2913" i="14" s="1"/>
  <c r="D2185" i="14"/>
  <c r="E2185" i="14" s="1"/>
  <c r="D3014" i="14"/>
  <c r="E3014" i="14" s="1"/>
  <c r="D2487" i="14"/>
  <c r="E2487" i="14" s="1"/>
  <c r="D2280" i="14"/>
  <c r="E2280" i="14" s="1"/>
  <c r="D2218" i="14"/>
  <c r="E2218" i="14" s="1"/>
  <c r="D2162" i="14"/>
  <c r="E2162" i="14" s="1"/>
  <c r="D3023" i="14"/>
  <c r="E3023" i="14" s="1"/>
  <c r="D3033" i="14"/>
  <c r="E3033" i="14" s="1"/>
  <c r="H2454" i="14"/>
  <c r="H2765" i="14"/>
  <c r="H2183" i="14"/>
  <c r="H2326" i="14"/>
  <c r="H3021" i="14"/>
  <c r="H2563" i="14"/>
  <c r="H3054" i="14"/>
  <c r="H2389" i="14"/>
  <c r="H2496" i="14"/>
  <c r="H2627" i="14"/>
  <c r="H2272" i="14"/>
  <c r="H2702" i="14"/>
  <c r="H2531" i="14"/>
  <c r="H2357" i="14"/>
  <c r="H2883" i="14"/>
  <c r="H2520" i="14"/>
  <c r="H2244" i="14"/>
  <c r="H2539" i="14"/>
  <c r="H2239" i="14"/>
  <c r="H2246" i="14"/>
  <c r="H3061" i="14"/>
  <c r="H2827" i="14"/>
  <c r="H2304" i="14"/>
  <c r="H2734" i="14"/>
  <c r="H2851" i="14"/>
  <c r="H2296" i="14"/>
  <c r="H2217" i="14"/>
  <c r="H2462" i="14"/>
  <c r="H2669" i="14"/>
  <c r="H2111" i="14"/>
  <c r="H2829" i="14"/>
  <c r="H2334" i="14"/>
  <c r="H2156" i="14"/>
  <c r="H3062" i="14"/>
  <c r="H2518" i="14"/>
  <c r="D2141" i="14"/>
  <c r="E2141" i="14" s="1"/>
  <c r="D2737" i="14"/>
  <c r="E2737" i="14" s="1"/>
  <c r="D2982" i="14"/>
  <c r="E2982" i="14" s="1"/>
  <c r="D2881" i="14"/>
  <c r="E2881" i="14" s="1"/>
  <c r="D2383" i="14"/>
  <c r="E2383" i="14" s="1"/>
  <c r="D2548" i="14"/>
  <c r="E2548" i="14" s="1"/>
  <c r="D2369" i="14"/>
  <c r="E2369" i="14" s="1"/>
  <c r="D2418" i="14"/>
  <c r="E2418" i="14" s="1"/>
  <c r="D2281" i="14"/>
  <c r="E2281" i="14" s="1"/>
  <c r="D2503" i="14"/>
  <c r="E2503" i="14" s="1"/>
  <c r="D2936" i="14"/>
  <c r="E2936" i="14" s="1"/>
  <c r="D2184" i="14"/>
  <c r="E2184" i="14" s="1"/>
  <c r="D2199" i="14"/>
  <c r="E2199" i="14" s="1"/>
  <c r="D2551" i="14"/>
  <c r="E2551" i="14" s="1"/>
  <c r="D2519" i="14"/>
  <c r="E2519" i="14" s="1"/>
  <c r="D2591" i="14"/>
  <c r="E2591" i="14" s="1"/>
  <c r="D2687" i="14"/>
  <c r="E2687" i="14" s="1"/>
  <c r="D2527" i="14"/>
  <c r="E2527" i="14" s="1"/>
  <c r="D2292" i="14"/>
  <c r="E2292" i="14" s="1"/>
  <c r="D2575" i="14"/>
  <c r="E2575" i="14" s="1"/>
  <c r="D2671" i="14"/>
  <c r="E2671" i="14" s="1"/>
  <c r="D2788" i="14"/>
  <c r="E2788" i="14" s="1"/>
  <c r="H2744" i="14"/>
  <c r="H2146" i="14"/>
  <c r="H2798" i="14"/>
  <c r="H2414" i="14"/>
  <c r="H2542" i="14"/>
  <c r="H2475" i="14"/>
  <c r="H2603" i="14"/>
  <c r="H2923" i="14"/>
  <c r="H2261" i="14"/>
  <c r="H2069" i="14"/>
  <c r="H2226" i="14"/>
  <c r="H2795" i="14"/>
  <c r="H2483" i="14"/>
  <c r="H2670" i="14"/>
  <c r="H2477" i="14"/>
  <c r="H2806" i="14"/>
  <c r="H2560" i="14"/>
  <c r="H2974" i="14"/>
  <c r="H2678" i="14"/>
  <c r="H2846" i="14"/>
  <c r="H2720" i="14"/>
  <c r="H2197" i="14"/>
  <c r="H2637" i="14"/>
  <c r="H2699" i="14"/>
  <c r="H2213" i="14"/>
  <c r="H2355" i="14"/>
  <c r="H2870" i="14"/>
  <c r="H2510" i="14"/>
  <c r="H2478" i="14"/>
  <c r="H2318" i="14"/>
  <c r="H2128" i="14"/>
  <c r="H2137" i="14"/>
  <c r="H2315" i="14"/>
  <c r="H2517" i="14"/>
  <c r="D2695" i="14"/>
  <c r="E2695" i="14" s="1"/>
  <c r="D2794" i="14"/>
  <c r="E2794" i="14" s="1"/>
  <c r="D2295" i="14"/>
  <c r="E2295" i="14" s="1"/>
  <c r="D2321" i="14"/>
  <c r="E2321" i="14" s="1"/>
  <c r="D2137" i="14"/>
  <c r="E2137" i="14" s="1"/>
  <c r="D2470" i="14"/>
  <c r="E2470" i="14" s="1"/>
  <c r="D2697" i="14"/>
  <c r="E2697" i="14" s="1"/>
  <c r="D2393" i="14"/>
  <c r="E2393" i="14" s="1"/>
  <c r="D2807" i="14"/>
  <c r="E2807" i="14" s="1"/>
  <c r="D2374" i="14"/>
  <c r="E2374" i="14" s="1"/>
  <c r="D2842" i="14"/>
  <c r="E2842" i="14" s="1"/>
  <c r="D2777" i="14"/>
  <c r="E2777" i="14" s="1"/>
  <c r="D2743" i="14"/>
  <c r="E2743" i="14" s="1"/>
  <c r="D3012" i="14"/>
  <c r="E3012" i="14" s="1"/>
  <c r="D2830" i="14"/>
  <c r="E2830" i="14" s="1"/>
  <c r="D2771" i="14"/>
  <c r="E2771" i="14" s="1"/>
  <c r="D2457" i="14"/>
  <c r="E2457" i="14" s="1"/>
  <c r="D2850" i="14"/>
  <c r="E2850" i="14" s="1"/>
  <c r="D3009" i="14"/>
  <c r="E3009" i="14" s="1"/>
  <c r="D2914" i="14"/>
  <c r="E2914" i="14" s="1"/>
  <c r="D2502" i="14"/>
  <c r="E2502" i="14" s="1"/>
  <c r="D2169" i="14"/>
  <c r="E2169" i="14" s="1"/>
  <c r="D2430" i="14"/>
  <c r="E2430" i="14" s="1"/>
  <c r="D2170" i="14"/>
  <c r="E2170" i="14" s="1"/>
  <c r="D2312" i="14"/>
  <c r="E2312" i="14" s="1"/>
  <c r="D2609" i="14"/>
  <c r="E2609" i="14" s="1"/>
  <c r="D2808" i="14"/>
  <c r="E2808" i="14" s="1"/>
  <c r="D2415" i="14"/>
  <c r="E2415" i="14" s="1"/>
  <c r="D2849" i="14"/>
  <c r="E2849" i="14" s="1"/>
  <c r="D2785" i="14"/>
  <c r="E2785" i="14" s="1"/>
  <c r="D2120" i="14"/>
  <c r="E2120" i="14" s="1"/>
  <c r="D2196" i="14"/>
  <c r="E2196" i="14" s="1"/>
  <c r="D2721" i="14"/>
  <c r="E2721" i="14" s="1"/>
  <c r="D2760" i="14"/>
  <c r="E2760" i="14" s="1"/>
  <c r="D2074" i="14"/>
  <c r="E2074" i="14" s="1"/>
  <c r="D2463" i="14"/>
  <c r="E2463" i="14" s="1"/>
  <c r="D2441" i="14"/>
  <c r="E2441" i="14" s="1"/>
  <c r="D2911" i="14"/>
  <c r="E2911" i="14" s="1"/>
  <c r="D2504" i="14"/>
  <c r="E2504" i="14" s="1"/>
  <c r="D2580" i="14"/>
  <c r="E2580" i="14" s="1"/>
  <c r="D2943" i="14"/>
  <c r="E2943" i="14" s="1"/>
  <c r="D2264" i="14"/>
  <c r="E2264" i="14" s="1"/>
  <c r="D2868" i="14"/>
  <c r="E2868" i="14" s="1"/>
  <c r="D2566" i="14"/>
  <c r="E2566" i="14" s="1"/>
  <c r="D2097" i="14"/>
  <c r="E2097" i="14" s="1"/>
  <c r="D2590" i="14"/>
  <c r="E2590" i="14" s="1"/>
  <c r="D2468" i="14"/>
  <c r="E2468" i="14" s="1"/>
  <c r="D2324" i="14"/>
  <c r="E2324" i="14" s="1"/>
  <c r="D2482" i="14"/>
  <c r="E2482" i="14" s="1"/>
  <c r="D2711" i="14"/>
  <c r="E2711" i="14" s="1"/>
  <c r="D3049" i="14"/>
  <c r="E3049" i="14" s="1"/>
  <c r="D3017" i="14"/>
  <c r="E3017" i="14" s="1"/>
  <c r="D2985" i="14"/>
  <c r="E2985" i="14" s="1"/>
  <c r="D2072" i="14"/>
  <c r="E2072" i="14" s="1"/>
  <c r="D2676" i="14"/>
  <c r="E2676" i="14" s="1"/>
  <c r="D2182" i="14"/>
  <c r="E2182" i="14" s="1"/>
  <c r="D2356" i="14"/>
  <c r="E2356" i="14" s="1"/>
  <c r="D2712" i="14"/>
  <c r="E2712" i="14" s="1"/>
  <c r="D2278" i="14"/>
  <c r="E2278" i="14" s="1"/>
  <c r="D2307" i="14"/>
  <c r="E2307" i="14" s="1"/>
  <c r="D2417" i="14"/>
  <c r="E2417" i="14" s="1"/>
  <c r="D2727" i="14"/>
  <c r="E2727" i="14" s="1"/>
  <c r="D2168" i="14"/>
  <c r="E2168" i="14" s="1"/>
  <c r="D2270" i="14"/>
  <c r="E2270" i="14" s="1"/>
  <c r="D2479" i="14"/>
  <c r="E2479" i="14" s="1"/>
  <c r="D2561" i="14"/>
  <c r="E2561" i="14" s="1"/>
  <c r="D2816" i="14"/>
  <c r="E2816" i="14" s="1"/>
  <c r="D2544" i="14"/>
  <c r="E2544" i="14" s="1"/>
  <c r="D2259" i="14"/>
  <c r="E2259" i="14" s="1"/>
  <c r="D2269" i="14"/>
  <c r="E2269" i="14" s="1"/>
  <c r="D2235" i="14"/>
  <c r="E2235" i="14" s="1"/>
  <c r="D2529" i="14"/>
  <c r="E2529" i="14" s="1"/>
  <c r="D2633" i="14"/>
  <c r="E2633" i="14" s="1"/>
  <c r="D2858" i="14"/>
  <c r="E2858" i="14" s="1"/>
  <c r="D2952" i="14"/>
  <c r="E2952" i="14" s="1"/>
  <c r="D2175" i="14"/>
  <c r="E2175" i="14" s="1"/>
  <c r="D2244" i="14"/>
  <c r="E2244" i="14" s="1"/>
  <c r="D2145" i="14"/>
  <c r="E2145" i="14" s="1"/>
  <c r="D2593" i="14"/>
  <c r="E2593" i="14" s="1"/>
  <c r="D2104" i="14"/>
  <c r="E2104" i="14" s="1"/>
  <c r="D3064" i="14"/>
  <c r="E3064" i="14" s="1"/>
  <c r="D2895" i="14"/>
  <c r="E2895" i="14" s="1"/>
  <c r="D2239" i="14"/>
  <c r="E2239" i="14" s="1"/>
  <c r="D2750" i="14"/>
  <c r="E2750" i="14" s="1"/>
  <c r="D2425" i="14"/>
  <c r="E2425" i="14" s="1"/>
  <c r="D2330" i="14"/>
  <c r="E2330" i="14" s="1"/>
  <c r="D2735" i="14"/>
  <c r="E2735" i="14" s="1"/>
  <c r="D2745" i="14"/>
  <c r="E2745" i="14" s="1"/>
  <c r="D2799" i="14"/>
  <c r="E2799" i="14" s="1"/>
  <c r="D2809" i="14"/>
  <c r="E2809" i="14" s="1"/>
  <c r="D2674" i="14"/>
  <c r="E2674" i="14" s="1"/>
  <c r="D2836" i="14"/>
  <c r="E2836" i="14" s="1"/>
  <c r="D2814" i="14"/>
  <c r="E2814" i="14" s="1"/>
  <c r="D2758" i="14"/>
  <c r="E2758" i="14" s="1"/>
  <c r="D2455" i="14"/>
  <c r="E2455" i="14" s="1"/>
  <c r="D2991" i="14"/>
  <c r="E2991" i="14" s="1"/>
  <c r="D3001" i="14"/>
  <c r="E3001" i="14" s="1"/>
  <c r="D3015" i="14"/>
  <c r="E3015" i="14" s="1"/>
  <c r="D2378" i="14"/>
  <c r="E2378" i="14" s="1"/>
  <c r="D2839" i="14"/>
  <c r="E2839" i="14" s="1"/>
  <c r="D2248" i="14"/>
  <c r="E2248" i="14" s="1"/>
  <c r="D2945" i="14"/>
  <c r="E2945" i="14" s="1"/>
  <c r="D2873" i="14"/>
  <c r="E2873" i="14" s="1"/>
  <c r="D2887" i="14"/>
  <c r="E2887" i="14" s="1"/>
  <c r="D2884" i="14"/>
  <c r="E2884" i="14" s="1"/>
  <c r="D3000" i="14"/>
  <c r="E3000" i="14" s="1"/>
  <c r="D2786" i="14"/>
  <c r="E2786" i="14" s="1"/>
  <c r="D2255" i="14"/>
  <c r="E2255" i="14" s="1"/>
  <c r="D2337" i="14"/>
  <c r="E2337" i="14" s="1"/>
  <c r="D3063" i="14"/>
  <c r="E3063" i="14" s="1"/>
  <c r="D2305" i="14"/>
  <c r="E2305" i="14" s="1"/>
  <c r="D3031" i="14"/>
  <c r="E3031" i="14" s="1"/>
  <c r="D2922" i="14"/>
  <c r="E2922" i="14" s="1"/>
  <c r="D2273" i="14"/>
  <c r="E2273" i="14" s="1"/>
  <c r="D2999" i="14"/>
  <c r="E2999" i="14" s="1"/>
  <c r="D2921" i="14"/>
  <c r="E2921" i="14" s="1"/>
  <c r="D3039" i="14"/>
  <c r="E3039" i="14" s="1"/>
  <c r="D2935" i="14"/>
  <c r="E2935" i="14" s="1"/>
  <c r="D2689" i="14"/>
  <c r="E2689" i="14" s="1"/>
  <c r="D2696" i="14"/>
  <c r="E2696" i="14" s="1"/>
  <c r="D2916" i="14"/>
  <c r="E2916" i="14" s="1"/>
  <c r="D2662" i="14"/>
  <c r="E2662" i="14" s="1"/>
  <c r="D2658" i="14"/>
  <c r="E2658" i="14" s="1"/>
  <c r="D2403" i="14"/>
  <c r="E2403" i="14" s="1"/>
  <c r="D2769" i="14"/>
  <c r="E2769" i="14" s="1"/>
  <c r="D3006" i="14"/>
  <c r="E3006" i="14" s="1"/>
  <c r="D2489" i="14"/>
  <c r="E2489" i="14" s="1"/>
  <c r="D2454" i="14"/>
  <c r="E2454" i="14" s="1"/>
  <c r="D2429" i="14"/>
  <c r="E2429" i="14" s="1"/>
  <c r="D2421" i="14"/>
  <c r="E2421" i="14" s="1"/>
  <c r="D2545" i="14"/>
  <c r="E2545" i="14" s="1"/>
  <c r="D2391" i="14"/>
  <c r="E2391" i="14" s="1"/>
  <c r="D2511" i="14"/>
  <c r="E2511" i="14" s="1"/>
  <c r="D2948" i="14"/>
  <c r="E2948" i="14" s="1"/>
  <c r="D2919" i="14"/>
  <c r="E2919" i="14" s="1"/>
  <c r="D2817" i="14"/>
  <c r="E2817" i="14" s="1"/>
  <c r="D2980" i="14"/>
  <c r="E2980" i="14" s="1"/>
  <c r="D2186" i="14"/>
  <c r="E2186" i="14" s="1"/>
  <c r="D2100" i="14"/>
  <c r="E2100" i="14" s="1"/>
  <c r="D2724" i="14"/>
  <c r="E2724" i="14" s="1"/>
  <c r="D2554" i="14"/>
  <c r="E2554" i="14" s="1"/>
  <c r="D2465" i="14"/>
  <c r="E2465" i="14" s="1"/>
  <c r="D2863" i="14"/>
  <c r="E2863" i="14" s="1"/>
  <c r="D2714" i="14"/>
  <c r="E2714" i="14" s="1"/>
  <c r="D2810" i="14"/>
  <c r="E2810" i="14" s="1"/>
  <c r="D2856" i="14"/>
  <c r="E2856" i="14" s="1"/>
  <c r="D2342" i="14"/>
  <c r="E2342" i="14" s="1"/>
  <c r="D2223" i="14"/>
  <c r="E2223" i="14" s="1"/>
  <c r="D2233" i="14"/>
  <c r="E2233" i="14" s="1"/>
  <c r="D2086" i="14"/>
  <c r="E2086" i="14" s="1"/>
  <c r="D2287" i="14"/>
  <c r="E2287" i="14" s="1"/>
  <c r="D2209" i="14"/>
  <c r="E2209" i="14" s="1"/>
  <c r="D2607" i="14"/>
  <c r="E2607" i="14" s="1"/>
  <c r="D2617" i="14"/>
  <c r="E2617" i="14" s="1"/>
  <c r="D2888" i="14"/>
  <c r="E2888" i="14" s="1"/>
  <c r="D3058" i="14"/>
  <c r="E3058" i="14" s="1"/>
  <c r="D2399" i="14"/>
  <c r="E2399" i="14" s="1"/>
  <c r="D3060" i="14"/>
  <c r="E3060" i="14" s="1"/>
  <c r="D2193" i="14"/>
  <c r="E2193" i="14" s="1"/>
  <c r="D2974" i="14"/>
  <c r="E2974" i="14" s="1"/>
  <c r="D2179" i="14"/>
  <c r="E2179" i="14" s="1"/>
  <c r="D2313" i="14"/>
  <c r="E2313" i="14" s="1"/>
  <c r="D2431" i="14"/>
  <c r="E2431" i="14" s="1"/>
  <c r="D2792" i="14"/>
  <c r="E2792" i="14" s="1"/>
  <c r="D2494" i="14"/>
  <c r="E2494" i="14" s="1"/>
  <c r="D2726" i="14"/>
  <c r="E2726" i="14" s="1"/>
  <c r="D2361" i="14"/>
  <c r="E2361" i="14" s="1"/>
  <c r="D2831" i="14"/>
  <c r="E2831" i="14" s="1"/>
  <c r="D2841" i="14"/>
  <c r="E2841" i="14" s="1"/>
  <c r="D2983" i="14"/>
  <c r="E2983" i="14" s="1"/>
  <c r="D2564" i="14"/>
  <c r="E2564" i="14" s="1"/>
  <c r="D2680" i="14"/>
  <c r="E2680" i="14" s="1"/>
  <c r="D2500" i="14"/>
  <c r="E2500" i="14" s="1"/>
  <c r="D2616" i="14"/>
  <c r="E2616" i="14" s="1"/>
  <c r="D2436" i="14"/>
  <c r="E2436" i="14" s="1"/>
  <c r="D2552" i="14"/>
  <c r="E2552" i="14" s="1"/>
  <c r="D3038" i="14"/>
  <c r="E3038" i="14" s="1"/>
  <c r="D2338" i="14"/>
  <c r="E2338" i="14" s="1"/>
  <c r="D2583" i="14"/>
  <c r="E2583" i="14" s="1"/>
  <c r="D2630" i="14"/>
  <c r="E2630" i="14" s="1"/>
  <c r="D2423" i="14"/>
  <c r="E2423" i="14" s="1"/>
  <c r="D2970" i="14"/>
  <c r="E2970" i="14" s="1"/>
  <c r="D2177" i="14"/>
  <c r="E2177" i="14" s="1"/>
  <c r="D2105" i="14"/>
  <c r="E2105" i="14" s="1"/>
  <c r="D2119" i="14"/>
  <c r="E2119" i="14" s="1"/>
  <c r="D2466" i="14"/>
  <c r="E2466" i="14" s="1"/>
  <c r="D2215" i="14"/>
  <c r="E2215" i="14" s="1"/>
  <c r="D2354" i="14"/>
  <c r="E2354" i="14" s="1"/>
  <c r="D2257" i="14"/>
  <c r="E2257" i="14" s="1"/>
  <c r="D2331" i="14"/>
  <c r="E2331" i="14" s="1"/>
  <c r="D2643" i="14"/>
  <c r="E2643" i="14" s="1"/>
  <c r="D2619" i="14"/>
  <c r="E2619" i="14" s="1"/>
  <c r="D2513" i="14"/>
  <c r="E2513" i="14" s="1"/>
  <c r="D2654" i="14"/>
  <c r="E2654" i="14" s="1"/>
  <c r="D2263" i="14"/>
  <c r="E2263" i="14" s="1"/>
  <c r="D2553" i="14"/>
  <c r="E2553" i="14" s="1"/>
  <c r="D2664" i="14"/>
  <c r="E2664" i="14" s="1"/>
  <c r="D2767" i="14"/>
  <c r="E2767" i="14" s="1"/>
  <c r="D2713" i="14"/>
  <c r="E2713" i="14" s="1"/>
  <c r="D2639" i="14"/>
  <c r="E2639" i="14" s="1"/>
  <c r="D2359" i="14"/>
  <c r="E2359" i="14" s="1"/>
  <c r="D2793" i="14"/>
  <c r="E2793" i="14" s="1"/>
  <c r="D2854" i="14"/>
  <c r="E2854" i="14" s="1"/>
  <c r="D2938" i="14"/>
  <c r="E2938" i="14" s="1"/>
  <c r="D2083" i="14"/>
  <c r="E2083" i="14" s="1"/>
  <c r="D2089" i="14"/>
  <c r="E2089" i="14" s="1"/>
  <c r="D2103" i="14"/>
  <c r="E2103" i="14" s="1"/>
  <c r="D2815" i="14"/>
  <c r="E2815" i="14" s="1"/>
  <c r="D2612" i="14"/>
  <c r="E2612" i="14" s="1"/>
  <c r="D2484" i="14"/>
  <c r="E2484" i="14" s="1"/>
  <c r="D2238" i="14"/>
  <c r="E2238" i="14" s="1"/>
  <c r="D2297" i="14"/>
  <c r="E2297" i="14" s="1"/>
  <c r="D2631" i="14"/>
  <c r="E2631" i="14" s="1"/>
  <c r="D2964" i="14"/>
  <c r="E2964" i="14" s="1"/>
  <c r="D2558" i="14"/>
  <c r="E2558" i="14" s="1"/>
  <c r="D2440" i="14"/>
  <c r="E2440" i="14" s="1"/>
  <c r="D2660" i="14"/>
  <c r="E2660" i="14" s="1"/>
  <c r="D2516" i="14"/>
  <c r="E2516" i="14" s="1"/>
  <c r="D2246" i="14"/>
  <c r="E2246" i="14" s="1"/>
  <c r="D2686" i="14"/>
  <c r="E2686" i="14" s="1"/>
  <c r="D2327" i="14"/>
  <c r="E2327" i="14" s="1"/>
  <c r="D2665" i="14"/>
  <c r="E2665" i="14" s="1"/>
  <c r="D2783" i="14"/>
  <c r="E2783" i="14" s="1"/>
  <c r="D2200" i="14"/>
  <c r="E2200" i="14" s="1"/>
  <c r="D2804" i="14"/>
  <c r="E2804" i="14" s="1"/>
  <c r="D2438" i="14"/>
  <c r="E2438" i="14" s="1"/>
  <c r="D2426" i="14"/>
  <c r="E2426" i="14" s="1"/>
  <c r="D2375" i="14"/>
  <c r="E2375" i="14" s="1"/>
  <c r="D2202" i="14"/>
  <c r="E2202" i="14" s="1"/>
  <c r="D2673" i="14"/>
  <c r="E2673" i="14" s="1"/>
  <c r="D2282" i="14"/>
  <c r="E2282" i="14" s="1"/>
  <c r="D2303" i="14"/>
  <c r="E2303" i="14" s="1"/>
  <c r="D3025" i="14"/>
  <c r="E3025" i="14" s="1"/>
  <c r="D2536" i="14"/>
  <c r="E2536" i="14" s="1"/>
  <c r="D2993" i="14"/>
  <c r="E2993" i="14" s="1"/>
  <c r="D2472" i="14"/>
  <c r="E2472" i="14" s="1"/>
  <c r="D2961" i="14"/>
  <c r="E2961" i="14" s="1"/>
  <c r="D2408" i="14"/>
  <c r="E2408" i="14" s="1"/>
  <c r="D2628" i="14"/>
  <c r="E2628" i="14" s="1"/>
  <c r="D2744" i="14"/>
  <c r="E2744" i="14" s="1"/>
  <c r="D2308" i="14"/>
  <c r="E2308" i="14" s="1"/>
  <c r="D2424" i="14"/>
  <c r="E2424" i="14" s="1"/>
  <c r="D2782" i="14"/>
  <c r="E2782" i="14" s="1"/>
  <c r="D2095" i="14"/>
  <c r="E2095" i="14" s="1"/>
  <c r="D2648" i="14"/>
  <c r="E2648" i="14" s="1"/>
  <c r="D2840" i="14"/>
  <c r="E2840" i="14" s="1"/>
  <c r="D2084" i="14"/>
  <c r="E2084" i="14" s="1"/>
  <c r="D2584" i="14"/>
  <c r="E2584" i="14" s="1"/>
  <c r="D2159" i="14"/>
  <c r="E2159" i="14" s="1"/>
  <c r="D2899" i="14"/>
  <c r="E2899" i="14" s="1"/>
  <c r="D2667" i="14"/>
  <c r="E2667" i="14" s="1"/>
  <c r="D2309" i="14"/>
  <c r="E2309" i="14" s="1"/>
  <c r="D2587" i="14"/>
  <c r="E2587" i="14" s="1"/>
  <c r="D2370" i="14"/>
  <c r="E2370" i="14" s="1"/>
  <c r="D2909" i="14"/>
  <c r="E2909" i="14" s="1"/>
  <c r="D2906" i="14"/>
  <c r="E2906" i="14" s="1"/>
  <c r="D2966" i="14"/>
  <c r="E2966" i="14" s="1"/>
  <c r="D2109" i="14"/>
  <c r="E2109" i="14" s="1"/>
  <c r="D2154" i="14"/>
  <c r="E2154" i="14" s="1"/>
  <c r="D2878" i="14"/>
  <c r="E2878" i="14" s="1"/>
  <c r="D2376" i="14"/>
  <c r="E2376" i="14" s="1"/>
  <c r="D2937" i="14"/>
  <c r="E2937" i="14" s="1"/>
  <c r="D3016" i="14"/>
  <c r="E3016" i="14" s="1"/>
  <c r="D2790" i="14"/>
  <c r="E2790" i="14" s="1"/>
  <c r="D2079" i="14"/>
  <c r="E2079" i="14" s="1"/>
  <c r="D2855" i="14"/>
  <c r="E2855" i="14" s="1"/>
  <c r="D2900" i="14"/>
  <c r="E2900" i="14" s="1"/>
  <c r="D2942" i="14"/>
  <c r="E2942" i="14" s="1"/>
  <c r="D2857" i="14"/>
  <c r="E2857" i="14" s="1"/>
  <c r="D2520" i="14"/>
  <c r="E2520" i="14" s="1"/>
  <c r="D3047" i="14"/>
  <c r="E3047" i="14" s="1"/>
  <c r="D2142" i="14"/>
  <c r="E2142" i="14" s="1"/>
  <c r="D2729" i="14"/>
  <c r="E2729" i="14" s="1"/>
  <c r="D3042" i="14"/>
  <c r="E3042" i="14" s="1"/>
  <c r="D2410" i="14"/>
  <c r="E2410" i="14" s="1"/>
  <c r="D2905" i="14"/>
  <c r="E2905" i="14" s="1"/>
  <c r="D2121" i="14"/>
  <c r="E2121" i="14" s="1"/>
  <c r="D2135" i="14"/>
  <c r="E2135" i="14" s="1"/>
  <c r="D2601" i="14"/>
  <c r="E2601" i="14" s="1"/>
  <c r="D2719" i="14"/>
  <c r="E2719" i="14" s="1"/>
  <c r="D2328" i="14"/>
  <c r="E2328" i="14" s="1"/>
  <c r="D2932" i="14"/>
  <c r="E2932" i="14" s="1"/>
  <c r="D2694" i="14"/>
  <c r="E2694" i="14" s="1"/>
  <c r="D2311" i="14"/>
  <c r="E2311" i="14" s="1"/>
  <c r="D2978" i="14"/>
  <c r="E2978" i="14" s="1"/>
  <c r="D2279" i="14"/>
  <c r="E2279" i="14" s="1"/>
  <c r="D2866" i="14"/>
  <c r="E2866" i="14" s="1"/>
  <c r="D2722" i="14"/>
  <c r="E2722" i="14" s="1"/>
  <c r="D2247" i="14"/>
  <c r="E2247" i="14" s="1"/>
  <c r="D2610" i="14"/>
  <c r="E2610" i="14" s="1"/>
  <c r="D2343" i="14"/>
  <c r="E2343" i="14" s="1"/>
  <c r="D2210" i="14"/>
  <c r="E2210" i="14" s="1"/>
  <c r="D2183" i="14"/>
  <c r="E2183" i="14" s="1"/>
  <c r="D2098" i="14"/>
  <c r="E2098" i="14" s="1"/>
  <c r="D2353" i="14"/>
  <c r="E2353" i="14" s="1"/>
  <c r="D2663" i="14"/>
  <c r="E2663" i="14" s="1"/>
  <c r="D2180" i="14"/>
  <c r="E2180" i="14" s="1"/>
  <c r="D2296" i="14"/>
  <c r="E2296" i="14" s="1"/>
  <c r="D2526" i="14"/>
  <c r="E2526" i="14" s="1"/>
  <c r="D2372" i="14"/>
  <c r="E2372" i="14" s="1"/>
  <c r="D2488" i="14"/>
  <c r="E2488" i="14" s="1"/>
  <c r="D2910" i="14"/>
  <c r="E2910" i="14" s="1"/>
  <c r="D2081" i="14"/>
  <c r="E2081" i="14" s="1"/>
  <c r="D2535" i="14"/>
  <c r="E2535" i="14" s="1"/>
  <c r="D2346" i="14"/>
  <c r="E2346" i="14" s="1"/>
  <c r="D2705" i="14"/>
  <c r="E2705" i="14" s="1"/>
  <c r="D2730" i="14"/>
  <c r="E2730" i="14" s="1"/>
  <c r="D2335" i="14"/>
  <c r="E2335" i="14" s="1"/>
  <c r="D2164" i="14"/>
  <c r="E2164" i="14" s="1"/>
  <c r="D2902" i="14"/>
  <c r="E2902" i="14" s="1"/>
  <c r="D3022" i="14"/>
  <c r="E3022" i="14" s="1"/>
  <c r="D2234" i="14"/>
  <c r="E2234" i="14" s="1"/>
  <c r="D2160" i="14"/>
  <c r="E2160" i="14" s="1"/>
  <c r="D2394" i="14"/>
  <c r="E2394" i="14" s="1"/>
  <c r="D2939" i="14"/>
  <c r="E2939" i="14" s="1"/>
  <c r="D2632" i="14"/>
  <c r="E2632" i="14" s="1"/>
  <c r="D2136" i="14"/>
  <c r="E2136" i="14" s="1"/>
  <c r="D2927" i="14"/>
  <c r="E2927" i="14" s="1"/>
  <c r="D2442" i="14"/>
  <c r="E2442" i="14" s="1"/>
  <c r="D2823" i="14"/>
  <c r="E2823" i="14" s="1"/>
  <c r="D2298" i="14"/>
  <c r="E2298" i="14" s="1"/>
  <c r="D2385" i="14"/>
  <c r="E2385" i="14" s="1"/>
  <c r="D2360" i="14"/>
  <c r="E2360" i="14" s="1"/>
  <c r="D2458" i="14"/>
  <c r="E2458" i="14" s="1"/>
  <c r="D2073" i="14"/>
  <c r="E2073" i="14" s="1"/>
  <c r="D2420" i="14"/>
  <c r="E2420" i="14" s="1"/>
  <c r="D2521" i="14"/>
  <c r="E2521" i="14" s="1"/>
  <c r="D2738" i="14"/>
  <c r="E2738" i="14" s="1"/>
  <c r="D2847" i="14"/>
  <c r="E2847" i="14" s="1"/>
  <c r="D2543" i="14"/>
  <c r="E2543" i="14" s="1"/>
  <c r="D2625" i="14"/>
  <c r="E2625" i="14" s="1"/>
  <c r="D2439" i="14"/>
  <c r="E2439" i="14" s="1"/>
  <c r="D2594" i="14"/>
  <c r="E2594" i="14" s="1"/>
  <c r="D2615" i="14"/>
  <c r="E2615" i="14" s="1"/>
  <c r="D3032" i="14"/>
  <c r="E3032" i="14" s="1"/>
  <c r="D2206" i="14"/>
  <c r="E2206" i="14" s="1"/>
  <c r="D2276" i="14"/>
  <c r="E2276" i="14" s="1"/>
  <c r="D2968" i="14"/>
  <c r="E2968" i="14" s="1"/>
  <c r="D2078" i="14"/>
  <c r="E2078" i="14" s="1"/>
  <c r="D2212" i="14"/>
  <c r="E2212" i="14" s="1"/>
  <c r="D2904" i="14"/>
  <c r="E2904" i="14" s="1"/>
  <c r="D2148" i="14"/>
  <c r="E2148" i="14" s="1"/>
  <c r="D2334" i="14"/>
  <c r="E2334" i="14" s="1"/>
  <c r="D2340" i="14"/>
  <c r="E2340" i="14" s="1"/>
  <c r="D2776" i="14"/>
  <c r="E2776" i="14" s="1"/>
  <c r="D2406" i="14"/>
  <c r="E2406" i="14" s="1"/>
  <c r="D2146" i="14"/>
  <c r="E2146" i="14" s="1"/>
  <c r="D2339" i="14"/>
  <c r="E2339" i="14" s="1"/>
  <c r="D2833" i="14"/>
  <c r="E2833" i="14" s="1"/>
  <c r="D2152" i="14"/>
  <c r="E2152" i="14" s="1"/>
  <c r="D2929" i="14"/>
  <c r="E2929" i="14" s="1"/>
  <c r="D2344" i="14"/>
  <c r="E2344" i="14" s="1"/>
  <c r="D3048" i="14"/>
  <c r="E3048" i="14" s="1"/>
  <c r="D2225" i="14"/>
  <c r="E2225" i="14" s="1"/>
  <c r="D2211" i="14"/>
  <c r="E2211" i="14" s="1"/>
  <c r="D2546" i="14"/>
  <c r="E2546" i="14" s="1"/>
  <c r="D2217" i="14"/>
  <c r="E2217" i="14" s="1"/>
  <c r="D2302" i="14"/>
  <c r="E2302" i="14" s="1"/>
  <c r="D2231" i="14"/>
  <c r="E2231" i="14" s="1"/>
  <c r="D2825" i="14"/>
  <c r="E2825" i="14" s="1"/>
  <c r="D2891" i="14"/>
  <c r="E2891" i="14" s="1"/>
  <c r="D2333" i="14"/>
  <c r="E2333" i="14" s="1"/>
  <c r="D2092" i="14"/>
  <c r="E2092" i="14" s="1"/>
  <c r="D2642" i="14"/>
  <c r="E2642" i="14" s="1"/>
  <c r="D2387" i="14"/>
  <c r="E2387" i="14" s="1"/>
  <c r="D2139" i="14"/>
  <c r="E2139" i="14" s="1"/>
  <c r="D2250" i="14"/>
  <c r="E2250" i="14" s="1"/>
  <c r="D2986" i="14"/>
  <c r="E2986" i="14" s="1"/>
  <c r="D2908" i="14"/>
  <c r="E2908" i="14" s="1"/>
  <c r="D3053" i="14"/>
  <c r="E3053" i="14" s="1"/>
  <c r="D2957" i="14"/>
  <c r="E2957" i="14" s="1"/>
  <c r="D2763" i="14"/>
  <c r="E2763" i="14" s="1"/>
  <c r="D2576" i="14"/>
  <c r="E2576" i="14" s="1"/>
  <c r="D2780" i="14"/>
  <c r="E2780" i="14" s="1"/>
  <c r="D2523" i="14"/>
  <c r="E2523" i="14" s="1"/>
  <c r="D2570" i="14"/>
  <c r="E2570" i="14" s="1"/>
  <c r="D2882" i="14"/>
  <c r="E2882" i="14" s="1"/>
  <c r="D2732" i="14"/>
  <c r="E2732" i="14" s="1"/>
  <c r="D2076" i="14"/>
  <c r="E2076" i="14" s="1"/>
  <c r="D2220" i="14"/>
  <c r="E2220" i="14" s="1"/>
  <c r="D2294" i="14"/>
  <c r="E2294" i="14" s="1"/>
  <c r="D2288" i="14"/>
  <c r="E2288" i="14" s="1"/>
  <c r="D2299" i="14"/>
  <c r="E2299" i="14" s="1"/>
  <c r="D2958" i="14"/>
  <c r="E2958" i="14" s="1"/>
  <c r="D2702" i="14"/>
  <c r="E2702" i="14" s="1"/>
  <c r="D3037" i="14"/>
  <c r="E3037" i="14" s="1"/>
  <c r="D2348" i="14"/>
  <c r="E2348" i="14" s="1"/>
  <c r="D2746" i="14"/>
  <c r="E2746" i="14" s="1"/>
  <c r="D2811" i="14"/>
  <c r="E2811" i="14" s="1"/>
  <c r="D3003" i="14"/>
  <c r="E3003" i="14" s="1"/>
  <c r="D2400" i="14"/>
  <c r="E2400" i="14" s="1"/>
  <c r="D2163" i="14"/>
  <c r="E2163" i="14" s="1"/>
  <c r="D3029" i="14"/>
  <c r="E3029" i="14" s="1"/>
  <c r="D2557" i="14"/>
  <c r="E2557" i="14" s="1"/>
  <c r="D2984" i="14"/>
  <c r="E2984" i="14" s="1"/>
  <c r="D3055" i="14"/>
  <c r="E3055" i="14" s="1"/>
  <c r="D2708" i="14"/>
  <c r="E2708" i="14" s="1"/>
  <c r="D2647" i="14"/>
  <c r="E2647" i="14" s="1"/>
  <c r="D2890" i="14"/>
  <c r="E2890" i="14" s="1"/>
  <c r="D2471" i="14"/>
  <c r="E2471" i="14" s="1"/>
  <c r="D2147" i="14"/>
  <c r="E2147" i="14" s="1"/>
  <c r="D3046" i="14"/>
  <c r="E3046" i="14" s="1"/>
  <c r="D2143" i="14"/>
  <c r="E2143" i="14" s="1"/>
  <c r="D2481" i="14"/>
  <c r="E2481" i="14" s="1"/>
  <c r="D2791" i="14"/>
  <c r="E2791" i="14" s="1"/>
  <c r="D3028" i="14"/>
  <c r="E3028" i="14" s="1"/>
  <c r="D2534" i="14"/>
  <c r="E2534" i="14" s="1"/>
  <c r="D2402" i="14"/>
  <c r="E2402" i="14" s="1"/>
  <c r="D2371" i="14"/>
  <c r="E2371" i="14" s="1"/>
  <c r="D2865" i="14"/>
  <c r="E2865" i="14" s="1"/>
  <c r="D2216" i="14"/>
  <c r="E2216" i="14" s="1"/>
  <c r="D2953" i="14"/>
  <c r="E2953" i="14" s="1"/>
  <c r="D2967" i="14"/>
  <c r="E2967" i="14" s="1"/>
  <c r="D2802" i="14"/>
  <c r="E2802" i="14" s="1"/>
  <c r="D2249" i="14"/>
  <c r="E2249" i="14" s="1"/>
  <c r="D2367" i="14"/>
  <c r="E2367" i="14" s="1"/>
  <c r="D2920" i="14"/>
  <c r="E2920" i="14" s="1"/>
  <c r="D2087" i="14"/>
  <c r="E2087" i="14" s="1"/>
  <c r="D2129" i="14"/>
  <c r="E2129" i="14" s="1"/>
  <c r="D2718" i="14"/>
  <c r="E2718" i="14" s="1"/>
  <c r="D2532" i="14"/>
  <c r="E2532" i="14" s="1"/>
  <c r="D2388" i="14"/>
  <c r="E2388" i="14" s="1"/>
  <c r="D2498" i="14"/>
  <c r="E2498" i="14" s="1"/>
  <c r="D2987" i="14"/>
  <c r="E2987" i="14" s="1"/>
  <c r="D2829" i="14"/>
  <c r="E2829" i="14" s="1"/>
  <c r="D2261" i="14"/>
  <c r="E2261" i="14" s="1"/>
  <c r="D2739" i="14"/>
  <c r="E2739" i="14" s="1"/>
  <c r="D2924" i="14"/>
  <c r="E2924" i="14" s="1"/>
  <c r="D2672" i="14"/>
  <c r="E2672" i="14" s="1"/>
  <c r="D2515" i="14"/>
  <c r="E2515" i="14" s="1"/>
  <c r="D2992" i="14"/>
  <c r="E2992" i="14" s="1"/>
  <c r="D2114" i="14"/>
  <c r="E2114" i="14" s="1"/>
  <c r="D2224" i="14"/>
  <c r="E2224" i="14" s="1"/>
  <c r="D2096" i="14"/>
  <c r="E2096" i="14" s="1"/>
  <c r="D2972" i="14"/>
  <c r="E2972" i="14" s="1"/>
  <c r="D2685" i="14"/>
  <c r="E2685" i="14" s="1"/>
  <c r="D2099" i="14"/>
  <c r="E2099" i="14" s="1"/>
  <c r="D2460" i="14"/>
  <c r="E2460" i="14" s="1"/>
  <c r="D2710" i="14"/>
  <c r="E2710" i="14" s="1"/>
  <c r="D2483" i="14"/>
  <c r="E2483" i="14" s="1"/>
  <c r="D3052" i="14"/>
  <c r="E3052" i="14" s="1"/>
  <c r="D3005" i="14"/>
  <c r="E3005" i="14" s="1"/>
  <c r="D2678" i="14"/>
  <c r="E2678" i="14" s="1"/>
  <c r="D2171" i="14"/>
  <c r="E2171" i="14" s="1"/>
  <c r="D2447" i="14"/>
  <c r="E2447" i="14" s="1"/>
  <c r="D2852" i="14"/>
  <c r="E2852" i="14" s="1"/>
  <c r="D2153" i="14"/>
  <c r="E2153" i="14" s="1"/>
  <c r="D2167" i="14"/>
  <c r="E2167" i="14" s="1"/>
  <c r="D2751" i="14"/>
  <c r="E2751" i="14" s="1"/>
  <c r="D2740" i="14"/>
  <c r="E2740" i="14" s="1"/>
  <c r="D2161" i="14"/>
  <c r="E2161" i="14" s="1"/>
  <c r="D2846" i="14"/>
  <c r="E2846" i="14" s="1"/>
  <c r="D2596" i="14"/>
  <c r="E2596" i="14" s="1"/>
  <c r="D2452" i="14"/>
  <c r="E2452" i="14" s="1"/>
  <c r="D2918" i="14"/>
  <c r="E2918" i="14" s="1"/>
  <c r="D2111" i="14"/>
  <c r="E2111" i="14" s="1"/>
  <c r="D2449" i="14"/>
  <c r="E2449" i="14" s="1"/>
  <c r="D2759" i="14"/>
  <c r="E2759" i="14" s="1"/>
  <c r="D2824" i="14"/>
  <c r="E2824" i="14" s="1"/>
  <c r="D3044" i="14"/>
  <c r="E3044" i="14" s="1"/>
  <c r="D2586" i="14"/>
  <c r="E2586" i="14" s="1"/>
  <c r="D2377" i="14"/>
  <c r="E2377" i="14" s="1"/>
  <c r="D2495" i="14"/>
  <c r="E2495" i="14" s="1"/>
  <c r="D2228" i="14"/>
  <c r="E2228" i="14" s="1"/>
  <c r="D2975" i="14"/>
  <c r="E2975" i="14" s="1"/>
  <c r="D2871" i="14"/>
  <c r="E2871" i="14" s="1"/>
  <c r="D2954" i="14"/>
  <c r="E2954" i="14" s="1"/>
  <c r="D2241" i="14"/>
  <c r="E2241" i="14" s="1"/>
  <c r="D2205" i="14"/>
  <c r="E2205" i="14" s="1"/>
  <c r="D2736" i="14"/>
  <c r="E2736" i="14" s="1"/>
  <c r="D2742" i="14"/>
  <c r="E2742" i="14" s="1"/>
  <c r="D2620" i="14"/>
  <c r="E2620" i="14" s="1"/>
  <c r="D2396" i="14"/>
  <c r="E2396" i="14" s="1"/>
  <c r="D2571" i="14"/>
  <c r="E2571" i="14" s="1"/>
  <c r="D2514" i="14"/>
  <c r="E2514" i="14" s="1"/>
  <c r="D2578" i="14"/>
  <c r="E2578" i="14" s="1"/>
  <c r="D2172" i="14"/>
  <c r="E2172" i="14" s="1"/>
  <c r="D2979" i="14"/>
  <c r="E2979" i="14" s="1"/>
  <c r="D2539" i="14"/>
  <c r="E2539" i="14" s="1"/>
  <c r="D2638" i="14"/>
  <c r="E2638" i="14" s="1"/>
  <c r="D2445" i="14"/>
  <c r="E2445" i="14" s="1"/>
  <c r="D2893" i="14"/>
  <c r="E2893" i="14" s="1"/>
  <c r="D2874" i="14"/>
  <c r="E2874" i="14" s="1"/>
  <c r="D2434" i="14"/>
  <c r="E2434" i="14" s="1"/>
  <c r="D2352" i="14"/>
  <c r="E2352" i="14" s="1"/>
  <c r="D2715" i="14"/>
  <c r="E2715" i="14" s="1"/>
  <c r="D2781" i="14"/>
  <c r="E2781" i="14" s="1"/>
  <c r="D2197" i="14"/>
  <c r="E2197" i="14" s="1"/>
  <c r="D2582" i="14"/>
  <c r="E2582" i="14" s="1"/>
  <c r="D2306" i="14"/>
  <c r="E2306" i="14" s="1"/>
  <c r="D2683" i="14"/>
  <c r="E2683" i="14" s="1"/>
  <c r="D2542" i="14"/>
  <c r="E2542" i="14" s="1"/>
  <c r="D2581" i="14"/>
  <c r="E2581" i="14" s="1"/>
  <c r="D2976" i="14"/>
  <c r="E2976" i="14" s="1"/>
  <c r="D2773" i="14"/>
  <c r="E2773" i="14" s="1"/>
  <c r="D2592" i="14"/>
  <c r="E2592" i="14" s="1"/>
  <c r="D2709" i="14"/>
  <c r="E2709" i="14" s="1"/>
  <c r="D2843" i="14"/>
  <c r="E2843" i="14" s="1"/>
  <c r="D2389" i="14"/>
  <c r="E2389" i="14" s="1"/>
  <c r="D2651" i="14"/>
  <c r="E2651" i="14" s="1"/>
  <c r="D2325" i="14"/>
  <c r="E2325" i="14" s="1"/>
  <c r="D2706" i="14"/>
  <c r="E2706" i="14" s="1"/>
  <c r="D2867" i="14"/>
  <c r="E2867" i="14" s="1"/>
  <c r="D2525" i="14"/>
  <c r="E2525" i="14" s="1"/>
  <c r="D2267" i="14"/>
  <c r="E2267" i="14" s="1"/>
  <c r="D2326" i="14"/>
  <c r="E2326" i="14" s="1"/>
  <c r="D2962" i="14"/>
  <c r="E2962" i="14" s="1"/>
  <c r="D2446" i="14"/>
  <c r="E2446" i="14" s="1"/>
  <c r="D2165" i="14"/>
  <c r="E2165" i="14" s="1"/>
  <c r="D2450" i="14"/>
  <c r="E2450" i="14" s="1"/>
  <c r="D2190" i="14"/>
  <c r="E2190" i="14" s="1"/>
  <c r="D2877" i="14"/>
  <c r="E2877" i="14" s="1"/>
  <c r="D3027" i="14"/>
  <c r="E3027" i="14" s="1"/>
  <c r="D2813" i="14"/>
  <c r="E2813" i="14" s="1"/>
  <c r="D2427" i="14"/>
  <c r="E2427" i="14" s="1"/>
  <c r="D2901" i="14"/>
  <c r="E2901" i="14" s="1"/>
  <c r="D2837" i="14"/>
  <c r="E2837" i="14" s="1"/>
  <c r="D2464" i="14"/>
  <c r="E2464" i="14" s="1"/>
  <c r="D2476" i="14"/>
  <c r="E2476" i="14" s="1"/>
  <c r="D2080" i="14"/>
  <c r="E2080" i="14" s="1"/>
  <c r="D2845" i="14"/>
  <c r="E2845" i="14" s="1"/>
  <c r="D2272" i="14"/>
  <c r="E2272" i="14" s="1"/>
  <c r="D2796" i="14"/>
  <c r="E2796" i="14" s="1"/>
  <c r="D2144" i="14"/>
  <c r="E2144" i="14" s="1"/>
  <c r="D2602" i="14"/>
  <c r="E2602" i="14" s="1"/>
  <c r="D2611" i="14"/>
  <c r="E2611" i="14" s="1"/>
  <c r="D2474" i="14"/>
  <c r="E2474" i="14" s="1"/>
  <c r="D2805" i="14"/>
  <c r="E2805" i="14" s="1"/>
  <c r="D2547" i="14"/>
  <c r="E2547" i="14" s="1"/>
  <c r="D2506" i="14"/>
  <c r="E2506" i="14" s="1"/>
  <c r="D2668" i="14"/>
  <c r="E2668" i="14" s="1"/>
  <c r="D2800" i="14"/>
  <c r="E2800" i="14" s="1"/>
  <c r="D2284" i="14"/>
  <c r="E2284" i="14" s="1"/>
  <c r="D2416" i="14"/>
  <c r="E2416" i="14" s="1"/>
  <c r="D2684" i="14"/>
  <c r="E2684" i="14" s="1"/>
  <c r="D2277" i="14"/>
  <c r="E2277" i="14" s="1"/>
  <c r="D2885" i="14"/>
  <c r="E2885" i="14" s="1"/>
  <c r="D3010" i="14"/>
  <c r="E3010" i="14" s="1"/>
  <c r="D2603" i="14"/>
  <c r="E2603" i="14" s="1"/>
  <c r="D2194" i="14"/>
  <c r="E2194" i="14" s="1"/>
  <c r="D2838" i="14"/>
  <c r="E2838" i="14" s="1"/>
  <c r="D2589" i="14"/>
  <c r="E2589" i="14" s="1"/>
  <c r="D2397" i="14"/>
  <c r="E2397" i="14" s="1"/>
  <c r="D2747" i="14"/>
  <c r="E2747" i="14" s="1"/>
  <c r="D2291" i="14"/>
  <c r="E2291" i="14" s="1"/>
  <c r="D2645" i="14"/>
  <c r="E2645" i="14" s="1"/>
  <c r="D2173" i="14"/>
  <c r="E2173" i="14" s="1"/>
  <c r="D2666" i="14"/>
  <c r="E2666" i="14" s="1"/>
  <c r="D2988" i="14"/>
  <c r="E2988" i="14" s="1"/>
  <c r="D2301" i="14"/>
  <c r="E2301" i="14" s="1"/>
  <c r="D2208" i="14"/>
  <c r="E2208" i="14" s="1"/>
  <c r="D2550" i="14"/>
  <c r="E2550" i="14" s="1"/>
  <c r="D2459" i="14"/>
  <c r="E2459" i="14" s="1"/>
  <c r="D3040" i="14"/>
  <c r="E3040" i="14" s="1"/>
  <c r="D3061" i="14"/>
  <c r="E3061" i="14" s="1"/>
  <c r="D2912" i="14"/>
  <c r="E2912" i="14" s="1"/>
  <c r="D2156" i="14"/>
  <c r="E2156" i="14" s="1"/>
  <c r="D2363" i="14"/>
  <c r="E2363" i="14" s="1"/>
  <c r="D2412" i="14"/>
  <c r="E2412" i="14" s="1"/>
  <c r="D2491" i="14"/>
  <c r="E2491" i="14" s="1"/>
  <c r="D2166" i="14"/>
  <c r="E2166" i="14" s="1"/>
  <c r="D2493" i="14"/>
  <c r="E2493" i="14" s="1"/>
  <c r="D2107" i="14"/>
  <c r="E2107" i="14" s="1"/>
  <c r="D2848" i="14"/>
  <c r="E2848" i="14" s="1"/>
  <c r="D2266" i="14"/>
  <c r="E2266" i="14" s="1"/>
  <c r="D3062" i="14"/>
  <c r="E3062" i="14" s="1"/>
  <c r="D2779" i="14"/>
  <c r="E2779" i="14" s="1"/>
  <c r="D2806" i="14"/>
  <c r="E2806" i="14" s="1"/>
  <c r="D2075" i="14"/>
  <c r="E2075" i="14" s="1"/>
  <c r="D2875" i="14"/>
  <c r="E2875" i="14" s="1"/>
  <c r="D2677" i="14"/>
  <c r="E2677" i="14" s="1"/>
  <c r="D2670" i="14"/>
  <c r="E2670" i="14" s="1"/>
  <c r="D2203" i="14"/>
  <c r="E2203" i="14" s="1"/>
  <c r="D2528" i="14"/>
  <c r="E2528" i="14" s="1"/>
  <c r="D2227" i="14"/>
  <c r="E2227" i="14" s="1"/>
  <c r="D2826" i="14"/>
  <c r="E2826" i="14" s="1"/>
  <c r="D2716" i="14"/>
  <c r="E2716" i="14" s="1"/>
  <c r="D2965" i="14"/>
  <c r="E2965" i="14" s="1"/>
  <c r="D2761" i="14"/>
  <c r="E2761" i="14" s="1"/>
  <c r="D2879" i="14"/>
  <c r="E2879" i="14" s="1"/>
  <c r="D2392" i="14"/>
  <c r="E2392" i="14" s="1"/>
  <c r="D2996" i="14"/>
  <c r="E2996" i="14" s="1"/>
  <c r="D2822" i="14"/>
  <c r="E2822" i="14" s="1"/>
  <c r="D2289" i="14"/>
  <c r="E2289" i="14" s="1"/>
  <c r="D2599" i="14"/>
  <c r="E2599" i="14" s="1"/>
  <c r="D3065" i="14"/>
  <c r="E3065" i="14" s="1"/>
  <c r="D2951" i="14"/>
  <c r="E2951" i="14" s="1"/>
  <c r="D2756" i="14"/>
  <c r="E2756" i="14" s="1"/>
  <c r="D2872" i="14"/>
  <c r="E2872" i="14" s="1"/>
  <c r="D2274" i="14"/>
  <c r="E2274" i="14" s="1"/>
  <c r="D2319" i="14"/>
  <c r="E2319" i="14" s="1"/>
  <c r="D2401" i="14"/>
  <c r="E2401" i="14" s="1"/>
  <c r="D3013" i="14"/>
  <c r="E3013" i="14" s="1"/>
  <c r="D2880" i="14"/>
  <c r="E2880" i="14" s="1"/>
  <c r="D2789" i="14"/>
  <c r="E2789" i="14" s="1"/>
  <c r="D2252" i="14"/>
  <c r="E2252" i="14" s="1"/>
  <c r="D2149" i="14"/>
  <c r="E2149" i="14" s="1"/>
  <c r="D2562" i="14"/>
  <c r="E2562" i="14" s="1"/>
  <c r="D2362" i="14"/>
  <c r="E2362" i="14" s="1"/>
  <c r="D2069" i="14"/>
  <c r="E2069" i="14" s="1"/>
  <c r="D2355" i="14"/>
  <c r="E2355" i="14" s="1"/>
  <c r="D2237" i="14"/>
  <c r="E2237" i="14" s="1"/>
  <c r="D2604" i="14"/>
  <c r="E2604" i="14" s="1"/>
  <c r="D2204" i="14"/>
  <c r="E2204" i="14" s="1"/>
  <c r="D3035" i="14"/>
  <c r="E3035" i="14" s="1"/>
  <c r="D2131" i="14"/>
  <c r="E2131" i="14" s="1"/>
  <c r="D2864" i="14"/>
  <c r="E2864" i="14" s="1"/>
  <c r="D2717" i="14"/>
  <c r="E2717" i="14" s="1"/>
  <c r="D2618" i="14"/>
  <c r="E2618" i="14" s="1"/>
  <c r="D2524" i="14"/>
  <c r="E2524" i="14" s="1"/>
  <c r="D2803" i="14"/>
  <c r="E2803" i="14" s="1"/>
  <c r="D2422" i="14"/>
  <c r="E2422" i="14" s="1"/>
  <c r="D2844" i="14"/>
  <c r="E2844" i="14" s="1"/>
  <c r="D2934" i="14"/>
  <c r="E2934" i="14" s="1"/>
  <c r="D2293" i="14"/>
  <c r="E2293" i="14" s="1"/>
  <c r="D3066" i="14"/>
  <c r="E3066" i="14" s="1"/>
  <c r="D2332" i="14"/>
  <c r="E2332" i="14" s="1"/>
  <c r="D2971" i="14"/>
  <c r="E2971" i="14" s="1"/>
  <c r="D2517" i="14"/>
  <c r="E2517" i="14" s="1"/>
  <c r="D2453" i="14"/>
  <c r="E2453" i="14" s="1"/>
  <c r="D2778" i="14"/>
  <c r="E2778" i="14" s="1"/>
  <c r="D2926" i="14"/>
  <c r="E2926" i="14" s="1"/>
  <c r="D2419" i="14"/>
  <c r="E2419" i="14" s="1"/>
  <c r="D2928" i="14"/>
  <c r="E2928" i="14" s="1"/>
  <c r="D2070" i="14"/>
  <c r="E2070" i="14" s="1"/>
  <c r="D2077" i="14"/>
  <c r="E2077" i="14" s="1"/>
  <c r="D2941" i="14"/>
  <c r="E2941" i="14" s="1"/>
  <c r="D2555" i="14"/>
  <c r="E2555" i="14" s="1"/>
  <c r="D2621" i="14"/>
  <c r="E2621" i="14" s="1"/>
  <c r="D2588" i="14"/>
  <c r="E2588" i="14" s="1"/>
  <c r="D2994" i="14"/>
  <c r="E2994" i="14" s="1"/>
  <c r="D2682" i="14"/>
  <c r="E2682" i="14" s="1"/>
  <c r="D2775" i="14"/>
  <c r="E2775" i="14" s="1"/>
  <c r="D2150" i="14"/>
  <c r="E2150" i="14" s="1"/>
  <c r="D2275" i="14"/>
  <c r="E2275" i="14" s="1"/>
  <c r="D2641" i="14"/>
  <c r="E2641" i="14" s="1"/>
  <c r="D2634" i="14"/>
  <c r="E2634" i="14" s="1"/>
  <c r="D2271" i="14"/>
  <c r="E2271" i="14" s="1"/>
  <c r="D2728" i="14"/>
  <c r="E2728" i="14" s="1"/>
  <c r="D2366" i="14"/>
  <c r="E2366" i="14" s="1"/>
  <c r="D2598" i="14"/>
  <c r="E2598" i="14" s="1"/>
  <c r="D2329" i="14"/>
  <c r="E2329" i="14" s="1"/>
  <c r="D2128" i="14"/>
  <c r="E2128" i="14" s="1"/>
  <c r="D2336" i="14"/>
  <c r="E2336" i="14" s="1"/>
  <c r="D2130" i="14"/>
  <c r="E2130" i="14" s="1"/>
  <c r="D2158" i="14"/>
  <c r="E2158" i="14" s="1"/>
  <c r="D2549" i="14"/>
  <c r="E2549" i="14" s="1"/>
  <c r="D2675" i="14"/>
  <c r="E2675" i="14" s="1"/>
  <c r="D2933" i="14"/>
  <c r="E2933" i="14" s="1"/>
  <c r="D2818" i="14"/>
  <c r="E2818" i="14" s="1"/>
  <c r="D3059" i="14"/>
  <c r="E3059" i="14" s="1"/>
  <c r="D2461" i="14"/>
  <c r="E2461" i="14" s="1"/>
  <c r="D2395" i="14"/>
  <c r="E2395" i="14" s="1"/>
  <c r="D2133" i="14"/>
  <c r="E2133" i="14" s="1"/>
  <c r="D2507" i="14"/>
  <c r="E2507" i="14" s="1"/>
  <c r="D2835" i="14"/>
  <c r="E2835" i="14" s="1"/>
  <c r="D2883" i="14"/>
  <c r="E2883" i="14" s="1"/>
  <c r="D2812" i="14"/>
  <c r="E2812" i="14" s="1"/>
  <c r="D2373" i="14"/>
  <c r="E2373" i="14" s="1"/>
  <c r="D2862" i="14"/>
  <c r="E2862" i="14" s="1"/>
  <c r="D2579" i="14"/>
  <c r="E2579" i="14" s="1"/>
  <c r="D2411" i="14"/>
  <c r="E2411" i="14" s="1"/>
  <c r="D2256" i="14"/>
  <c r="E2256" i="14" s="1"/>
  <c r="D2134" i="14"/>
  <c r="E2134" i="14" s="1"/>
  <c r="D2253" i="14"/>
  <c r="E2253" i="14" s="1"/>
  <c r="D2646" i="14"/>
  <c r="E2646" i="14" s="1"/>
  <c r="D2176" i="14"/>
  <c r="E2176" i="14" s="1"/>
  <c r="D3011" i="14"/>
  <c r="E3011" i="14" s="1"/>
  <c r="D3008" i="14"/>
  <c r="E3008" i="14" s="1"/>
  <c r="D2368" i="14"/>
  <c r="E2368" i="14" s="1"/>
  <c r="D2188" i="14"/>
  <c r="E2188" i="14" s="1"/>
  <c r="D2613" i="14"/>
  <c r="E2613" i="14" s="1"/>
  <c r="D2492" i="14"/>
  <c r="E2492" i="14" s="1"/>
  <c r="D2350" i="14"/>
  <c r="E2350" i="14" s="1"/>
  <c r="D2989" i="14"/>
  <c r="E2989" i="14" s="1"/>
  <c r="D2379" i="14"/>
  <c r="E2379" i="14" s="1"/>
  <c r="D2499" i="14"/>
  <c r="E2499" i="14" s="1"/>
  <c r="D2213" i="14"/>
  <c r="E2213" i="14" s="1"/>
  <c r="D2955" i="14"/>
  <c r="E2955" i="14" s="1"/>
  <c r="D2556" i="14"/>
  <c r="E2556" i="14" s="1"/>
  <c r="D2510" i="14"/>
  <c r="E2510" i="14" s="1"/>
  <c r="D2067" i="14"/>
  <c r="E2067" i="14" s="1"/>
  <c r="D2112" i="14"/>
  <c r="E2112" i="14" s="1"/>
  <c r="D2819" i="14"/>
  <c r="E2819" i="14" s="1"/>
  <c r="D2242" i="14"/>
  <c r="E2242" i="14" s="1"/>
  <c r="D2123" i="14"/>
  <c r="E2123" i="14" s="1"/>
  <c r="D2821" i="14"/>
  <c r="E2821" i="14" s="1"/>
  <c r="D2869" i="14"/>
  <c r="E2869" i="14" s="1"/>
  <c r="D2629" i="14"/>
  <c r="E2629" i="14" s="1"/>
  <c r="D2764" i="14"/>
  <c r="E2764" i="14" s="1"/>
  <c r="D2509" i="14"/>
  <c r="E2509" i="14" s="1"/>
  <c r="D2126" i="14"/>
  <c r="E2126" i="14" s="1"/>
  <c r="D2925" i="14"/>
  <c r="E2925" i="14" s="1"/>
  <c r="D2765" i="14"/>
  <c r="E2765" i="14" s="1"/>
  <c r="D2189" i="14"/>
  <c r="E2189" i="14" s="1"/>
  <c r="D2614" i="14"/>
  <c r="E2614" i="14" s="1"/>
  <c r="D3050" i="14"/>
  <c r="E3050" i="14" s="1"/>
  <c r="D2102" i="14"/>
  <c r="E2102" i="14" s="1"/>
  <c r="D2490" i="14"/>
  <c r="E2490" i="14" s="1"/>
  <c r="D2572" i="14"/>
  <c r="E2572" i="14" s="1"/>
  <c r="D2960" i="14"/>
  <c r="E2960" i="14" s="1"/>
  <c r="D2533" i="14"/>
  <c r="E2533" i="14" s="1"/>
  <c r="D2755" i="14"/>
  <c r="E2755" i="14" s="1"/>
  <c r="D2690" i="14"/>
  <c r="E2690" i="14" s="1"/>
  <c r="D2240" i="14"/>
  <c r="E2240" i="14" s="1"/>
  <c r="D2876" i="14"/>
  <c r="E2876" i="14" s="1"/>
  <c r="D2467" i="14"/>
  <c r="E2467" i="14" s="1"/>
  <c r="D2444" i="14"/>
  <c r="E2444" i="14" s="1"/>
  <c r="D2315" i="14"/>
  <c r="E2315" i="14" s="1"/>
  <c r="D2832" i="14"/>
  <c r="E2832" i="14" s="1"/>
  <c r="D2106" i="14"/>
  <c r="E2106" i="14" s="1"/>
  <c r="D2496" i="14"/>
  <c r="E2496" i="14" s="1"/>
  <c r="D2956" i="14"/>
  <c r="E2956" i="14" s="1"/>
  <c r="D2480" i="14"/>
  <c r="E2480" i="14" s="1"/>
  <c r="D2653" i="14"/>
  <c r="E2653" i="14" s="1"/>
  <c r="D2574" i="14"/>
  <c r="E2574" i="14" s="1"/>
  <c r="D2626" i="14"/>
  <c r="E2626" i="14" s="1"/>
  <c r="D3036" i="14"/>
  <c r="E3036" i="14" s="1"/>
  <c r="D2608" i="14"/>
  <c r="E2608" i="14" s="1"/>
  <c r="D2318" i="14"/>
  <c r="E2318" i="14" s="1"/>
  <c r="D2784" i="14"/>
  <c r="E2784" i="14" s="1"/>
  <c r="D2268" i="14"/>
  <c r="E2268" i="14" s="1"/>
  <c r="D2656" i="14"/>
  <c r="E2656" i="14" s="1"/>
  <c r="D2898" i="14"/>
  <c r="E2898" i="14" s="1"/>
  <c r="D2414" i="14"/>
  <c r="E2414" i="14" s="1"/>
  <c r="D3056" i="14"/>
  <c r="E3056" i="14" s="1"/>
  <c r="D2540" i="14"/>
  <c r="E2540" i="14" s="1"/>
  <c r="D2720" i="14"/>
  <c r="E2720" i="14" s="1"/>
  <c r="D2907" i="14"/>
  <c r="E2907" i="14" s="1"/>
  <c r="D2973" i="14"/>
  <c r="E2973" i="14" s="1"/>
  <c r="D2365" i="14"/>
  <c r="E2365" i="14" s="1"/>
  <c r="D3054" i="14"/>
  <c r="E3054" i="14" s="1"/>
  <c r="D2198" i="14"/>
  <c r="E2198" i="14" s="1"/>
  <c r="D2860" i="14"/>
  <c r="E2860" i="14" s="1"/>
  <c r="D2390" i="14"/>
  <c r="E2390" i="14" s="1"/>
  <c r="D2770" i="14"/>
  <c r="E2770" i="14" s="1"/>
  <c r="D2834" i="14"/>
  <c r="E2834" i="14" s="1"/>
  <c r="D2531" i="14"/>
  <c r="E2531" i="14" s="1"/>
  <c r="D2341" i="14"/>
  <c r="E2341" i="14" s="1"/>
  <c r="D2236" i="14"/>
  <c r="E2236" i="14" s="1"/>
  <c r="D2940" i="14"/>
  <c r="E2940" i="14" s="1"/>
  <c r="D2752" i="14"/>
  <c r="E2752" i="14" s="1"/>
  <c r="D2597" i="14"/>
  <c r="E2597" i="14" s="1"/>
  <c r="D2701" i="14"/>
  <c r="E2701" i="14" s="1"/>
  <c r="D2917" i="14"/>
  <c r="E2917" i="14" s="1"/>
  <c r="D3030" i="14"/>
  <c r="E3030" i="14" s="1"/>
  <c r="D2947" i="14"/>
  <c r="E2947" i="14" s="1"/>
  <c r="D2508" i="14"/>
  <c r="E2508" i="14" s="1"/>
  <c r="D2731" i="14"/>
  <c r="E2731" i="14" s="1"/>
  <c r="D2085" i="14"/>
  <c r="E2085" i="14" s="1"/>
  <c r="D2652" i="14"/>
  <c r="E2652" i="14" s="1"/>
  <c r="D2797" i="14"/>
  <c r="E2797" i="14" s="1"/>
  <c r="D2125" i="14"/>
  <c r="E2125" i="14" s="1"/>
  <c r="D2322" i="14"/>
  <c r="E2322" i="14" s="1"/>
  <c r="D3024" i="14"/>
  <c r="E3024" i="14" s="1"/>
  <c r="D2512" i="14"/>
  <c r="E2512" i="14" s="1"/>
  <c r="D2635" i="14"/>
  <c r="E2635" i="14" s="1"/>
  <c r="D2317" i="14"/>
  <c r="E2317" i="14" s="1"/>
  <c r="D2798" i="14"/>
  <c r="E2798" i="14" s="1"/>
  <c r="D2347" i="14"/>
  <c r="E2347" i="14" s="1"/>
  <c r="D2157" i="14"/>
  <c r="E2157" i="14" s="1"/>
  <c r="D2475" i="14"/>
  <c r="E2475" i="14" s="1"/>
  <c r="D2285" i="14"/>
  <c r="E2285" i="14" s="1"/>
  <c r="D2606" i="14"/>
  <c r="E2606" i="14" s="1"/>
  <c r="D2435" i="14"/>
  <c r="E2435" i="14" s="1"/>
  <c r="D2627" i="14"/>
  <c r="E2627" i="14" s="1"/>
  <c r="D2357" i="14"/>
  <c r="E2357" i="14" s="1"/>
  <c r="D2364" i="14"/>
  <c r="E2364" i="14" s="1"/>
  <c r="D2155" i="14"/>
  <c r="E2155" i="14" s="1"/>
  <c r="D2762" i="14"/>
  <c r="E2762" i="14" s="1"/>
  <c r="D3020" i="14"/>
  <c r="E3020" i="14" s="1"/>
  <c r="D2286" i="14"/>
  <c r="E2286" i="14" s="1"/>
  <c r="D2688" i="14"/>
  <c r="E2688" i="14" s="1"/>
  <c r="D2870" i="14"/>
  <c r="E2870" i="14" s="1"/>
  <c r="D2944" i="14"/>
  <c r="E2944" i="14" s="1"/>
  <c r="D2192" i="14"/>
  <c r="E2192" i="14" s="1"/>
  <c r="D2071" i="14"/>
  <c r="E2071" i="14" s="1"/>
  <c r="D2349" i="14"/>
  <c r="E2349" i="14" s="1"/>
  <c r="D2443" i="14"/>
  <c r="E2443" i="14" s="1"/>
  <c r="D2522" i="14"/>
  <c r="E2522" i="14" s="1"/>
  <c r="H2068" i="14"/>
  <c r="D2178" i="14"/>
  <c r="E2178" i="14" s="1"/>
  <c r="D2787" i="14"/>
  <c r="E2787" i="14" s="1"/>
  <c r="D2650" i="14"/>
  <c r="E2650" i="14" s="1"/>
  <c r="D3018" i="14"/>
  <c r="E3018" i="14" s="1"/>
  <c r="D2221" i="14"/>
  <c r="E2221" i="14" s="1"/>
  <c r="D2187" i="14"/>
  <c r="E2187" i="14" s="1"/>
  <c r="D2733" i="14"/>
  <c r="E2733" i="14" s="1"/>
  <c r="D2699" i="14"/>
  <c r="E2699" i="14" s="1"/>
  <c r="D2432" i="14"/>
  <c r="E2432" i="14" s="1"/>
  <c r="D2693" i="14"/>
  <c r="E2693" i="14" s="1"/>
  <c r="D2700" i="14"/>
  <c r="E2700" i="14" s="1"/>
  <c r="D2795" i="14"/>
  <c r="E2795" i="14" s="1"/>
  <c r="D2251" i="14"/>
  <c r="E2251" i="14" s="1"/>
  <c r="D2381" i="14"/>
  <c r="E2381" i="14" s="1"/>
  <c r="D2090" i="14"/>
  <c r="E2090" i="14" s="1"/>
  <c r="D2091" i="14"/>
  <c r="E2091" i="14" s="1"/>
  <c r="D2741" i="14"/>
  <c r="E2741" i="14" s="1"/>
  <c r="D2501" i="14"/>
  <c r="E2501" i="14" s="1"/>
  <c r="D2283" i="14"/>
  <c r="E2283" i="14" s="1"/>
  <c r="D2258" i="14"/>
  <c r="E2258" i="14" s="1"/>
  <c r="D2754" i="14"/>
  <c r="E2754" i="14" s="1"/>
  <c r="D2477" i="14"/>
  <c r="E2477" i="14" s="1"/>
  <c r="D2915" i="14"/>
  <c r="E2915" i="14" s="1"/>
  <c r="D2314" i="14"/>
  <c r="E2314" i="14" s="1"/>
  <c r="D2997" i="14"/>
  <c r="E2997" i="14" s="1"/>
  <c r="D3026" i="14"/>
  <c r="E3026" i="14" s="1"/>
  <c r="D2230" i="14"/>
  <c r="E2230" i="14" s="1"/>
  <c r="D2117" i="14"/>
  <c r="E2117" i="14" s="1"/>
  <c r="D2923" i="14"/>
  <c r="E2923" i="14" s="1"/>
  <c r="D2669" i="14"/>
  <c r="E2669" i="14" s="1"/>
  <c r="D2734" i="14"/>
  <c r="E2734" i="14" s="1"/>
  <c r="D2101" i="14"/>
  <c r="E2101" i="14" s="1"/>
  <c r="D2219" i="14"/>
  <c r="E2219" i="14" s="1"/>
  <c r="D2827" i="14"/>
  <c r="E2827" i="14" s="1"/>
  <c r="D2316" i="14"/>
  <c r="E2316" i="14" s="1"/>
  <c r="D2413" i="14"/>
  <c r="E2413" i="14" s="1"/>
  <c r="D2245" i="14"/>
  <c r="E2245" i="14" s="1"/>
  <c r="D2624" i="14"/>
  <c r="E2624" i="14" s="1"/>
  <c r="D3019" i="14"/>
  <c r="E3019" i="14" s="1"/>
  <c r="D2707" i="14"/>
  <c r="E2707" i="14" s="1"/>
  <c r="D2560" i="14"/>
  <c r="E2560" i="14" s="1"/>
  <c r="D2774" i="14"/>
  <c r="E2774" i="14" s="1"/>
  <c r="D2990" i="14"/>
  <c r="E2990" i="14" s="1"/>
  <c r="D2304" i="14"/>
  <c r="E2304" i="14" s="1"/>
  <c r="D2451" i="14"/>
  <c r="E2451" i="14" s="1"/>
  <c r="D2486" i="14"/>
  <c r="E2486" i="14" s="1"/>
  <c r="D2254" i="14"/>
  <c r="E2254" i="14" s="1"/>
  <c r="D2262" i="14"/>
  <c r="E2262" i="14" s="1"/>
  <c r="D2437" i="14"/>
  <c r="E2437" i="14" s="1"/>
  <c r="D2851" i="14"/>
  <c r="E2851" i="14" s="1"/>
  <c r="D2691" i="14"/>
  <c r="E2691" i="14" s="1"/>
  <c r="D2195" i="14"/>
  <c r="E2195" i="14" s="1"/>
  <c r="D2995" i="14"/>
  <c r="E2995" i="14" s="1"/>
  <c r="D2931" i="14"/>
  <c r="E2931" i="14" s="1"/>
  <c r="D2300" i="14"/>
  <c r="E2300" i="14" s="1"/>
  <c r="D2861" i="14"/>
  <c r="E2861" i="14" s="1"/>
  <c r="D2659" i="14"/>
  <c r="E2659" i="14" s="1"/>
  <c r="D2094" i="14"/>
  <c r="E2094" i="14" s="1"/>
  <c r="C1071" i="14"/>
  <c r="D2068" i="14"/>
  <c r="E2068" i="14" s="1"/>
  <c r="D3043" i="14"/>
  <c r="E3043" i="14" s="1"/>
  <c r="D2766" i="14"/>
  <c r="E2766" i="14" s="1"/>
  <c r="D2853" i="14"/>
  <c r="E2853" i="14" s="1"/>
  <c r="D2448" i="14"/>
  <c r="E2448" i="14" s="1"/>
  <c r="D2380" i="14"/>
  <c r="E2380" i="14" s="1"/>
  <c r="D2725" i="14"/>
  <c r="E2725" i="14" s="1"/>
  <c r="D2093" i="14"/>
  <c r="E2093" i="14" s="1"/>
  <c r="D2469" i="14"/>
  <c r="E2469" i="14" s="1"/>
  <c r="D2605" i="14"/>
  <c r="E2605" i="14" s="1"/>
  <c r="D2124" i="14"/>
  <c r="E2124" i="14" s="1"/>
  <c r="D2981" i="14"/>
  <c r="E2981" i="14" s="1"/>
  <c r="D2704" i="14"/>
  <c r="E2704" i="14" s="1"/>
  <c r="D2892" i="14"/>
  <c r="E2892" i="14" s="1"/>
  <c r="D2358" i="14"/>
  <c r="E2358" i="14" s="1"/>
  <c r="D2828" i="14"/>
  <c r="E2828" i="14" s="1"/>
  <c r="D2320" i="14"/>
  <c r="E2320" i="14" s="1"/>
  <c r="D3021" i="14"/>
  <c r="E3021" i="14" s="1"/>
  <c r="D2896" i="14"/>
  <c r="E2896" i="14" s="1"/>
  <c r="D3004" i="14"/>
  <c r="E3004" i="14" s="1"/>
  <c r="D2518" i="14"/>
  <c r="E2518" i="14" s="1"/>
  <c r="D2636" i="14"/>
  <c r="E2636" i="14" s="1"/>
  <c r="D2640" i="14"/>
  <c r="E2640" i="14" s="1"/>
  <c r="D2478" i="14"/>
  <c r="E2478" i="14" s="1"/>
  <c r="D2323" i="14"/>
  <c r="E2323" i="14" s="1"/>
  <c r="D2428" i="14"/>
  <c r="E2428" i="14" s="1"/>
  <c r="D2637" i="14"/>
  <c r="E2637" i="14" s="1"/>
  <c r="D2108" i="14"/>
  <c r="E2108" i="14" s="1"/>
  <c r="D2181" i="14"/>
  <c r="E2181" i="14" s="1"/>
  <c r="D2140" i="14"/>
  <c r="E2140" i="14" s="1"/>
  <c r="D2998" i="14"/>
  <c r="E2998" i="14" s="1"/>
  <c r="D2661" i="14"/>
  <c r="E2661" i="14" s="1"/>
  <c r="D2768" i="14"/>
  <c r="E2768" i="14" s="1"/>
  <c r="D2222" i="14"/>
  <c r="E2222" i="14" s="1"/>
  <c r="D2748" i="14"/>
  <c r="E2748" i="14" s="1"/>
  <c r="D3045" i="14"/>
  <c r="E3045" i="14" s="1"/>
  <c r="D2757" i="14"/>
  <c r="E2757" i="14" s="1"/>
  <c r="D3051" i="14"/>
  <c r="E3051" i="14" s="1"/>
  <c r="D2405" i="14"/>
  <c r="E2405" i="14" s="1"/>
  <c r="D2573" i="14"/>
  <c r="E2573" i="14" s="1"/>
  <c r="D2229" i="14"/>
  <c r="E2229" i="14" s="1"/>
  <c r="D2859" i="14"/>
  <c r="E2859" i="14" s="1"/>
  <c r="D2565" i="14"/>
  <c r="E2565" i="14" s="1"/>
  <c r="D2541" i="14"/>
  <c r="E2541" i="14" s="1"/>
  <c r="D2538" i="14"/>
  <c r="E2538" i="14" s="1"/>
  <c r="D2963" i="14"/>
  <c r="E2963" i="14" s="1"/>
  <c r="D3034" i="14"/>
  <c r="E3034" i="14" s="1"/>
  <c r="D2138" i="14"/>
  <c r="E2138" i="14" s="1"/>
  <c r="D2949" i="14"/>
  <c r="E2949" i="14" s="1"/>
  <c r="D2485" i="14"/>
  <c r="E2485" i="14" s="1"/>
  <c r="D2384" i="14"/>
  <c r="E2384" i="14" s="1"/>
  <c r="D2946" i="14"/>
  <c r="E2946" i="14" s="1"/>
  <c r="D2723" i="14"/>
  <c r="E2723" i="14" s="1"/>
  <c r="D2894" i="14"/>
  <c r="E2894" i="14" s="1"/>
  <c r="D2563" i="14"/>
  <c r="E2563" i="14" s="1"/>
  <c r="D3002" i="14"/>
  <c r="E3002" i="14" s="1"/>
  <c r="D2595" i="14"/>
  <c r="E2595" i="14" s="1"/>
  <c r="D2382" i="14"/>
  <c r="E2382" i="14" s="1"/>
  <c r="AD11" i="11" l="1"/>
  <c r="F44" i="11" l="1"/>
  <c r="F9" i="13" l="1"/>
  <c r="F5" i="13" l="1"/>
  <c r="F88" i="13" l="1"/>
  <c r="F14" i="13" l="1"/>
  <c r="F38" i="13"/>
  <c r="F101" i="13"/>
  <c r="F100" i="13"/>
  <c r="I9" i="13"/>
  <c r="I5" i="13" s="1"/>
  <c r="I88" i="13" s="1"/>
  <c r="C1423" i="10"/>
  <c r="C1428" i="10" s="1"/>
  <c r="G44" i="11"/>
  <c r="H44" i="11" l="1"/>
  <c r="T67" i="16"/>
  <c r="T47" i="16" s="1"/>
  <c r="H9" i="13"/>
  <c r="H5" i="13" s="1"/>
  <c r="H88" i="13" s="1"/>
  <c r="M9" i="13"/>
  <c r="M5" i="13" s="1"/>
  <c r="M88" i="13" s="1"/>
  <c r="I14" i="13"/>
  <c r="I101" i="13"/>
  <c r="I38" i="13"/>
  <c r="I100" i="13"/>
  <c r="Q9" i="13"/>
  <c r="Q5" i="13" s="1"/>
  <c r="Q88" i="13" s="1"/>
  <c r="N9" i="13"/>
  <c r="N5" i="13" s="1"/>
  <c r="N88" i="13" s="1"/>
  <c r="P9" i="13"/>
  <c r="P5" i="13" s="1"/>
  <c r="P88" i="13" s="1"/>
  <c r="O9" i="13"/>
  <c r="O5" i="13" s="1"/>
  <c r="O88" i="13" s="1"/>
  <c r="B53" i="10" l="1"/>
  <c r="G9" i="13"/>
  <c r="G5" i="13" s="1"/>
  <c r="I44" i="11"/>
  <c r="J44" i="11" s="1"/>
  <c r="K44" i="11" s="1"/>
  <c r="L44" i="11" s="1"/>
  <c r="M44" i="11" s="1"/>
  <c r="N44" i="11" s="1"/>
  <c r="O44" i="11" s="1"/>
  <c r="P44" i="11" s="1"/>
  <c r="Q44" i="11" s="1"/>
  <c r="S44" i="11" s="1"/>
  <c r="G45" i="13" s="1"/>
  <c r="H101" i="13"/>
  <c r="H14" i="13"/>
  <c r="H38" i="13"/>
  <c r="H100" i="13"/>
  <c r="J9" i="13"/>
  <c r="J5" i="13" s="1"/>
  <c r="J88" i="13" s="1"/>
  <c r="L9" i="13"/>
  <c r="L5" i="13" s="1"/>
  <c r="L88" i="13" s="1"/>
  <c r="Q100" i="13"/>
  <c r="Q14" i="13"/>
  <c r="Q38" i="13"/>
  <c r="Q101" i="13"/>
  <c r="M14" i="13"/>
  <c r="M101" i="13"/>
  <c r="M100" i="13"/>
  <c r="M38" i="13"/>
  <c r="O38" i="13"/>
  <c r="O100" i="13"/>
  <c r="O14" i="13"/>
  <c r="O101" i="13"/>
  <c r="K9" i="13"/>
  <c r="K5" i="13" s="1"/>
  <c r="K88" i="13" s="1"/>
  <c r="P101" i="13"/>
  <c r="P14" i="13"/>
  <c r="P38" i="13"/>
  <c r="P100" i="13"/>
  <c r="N14" i="13"/>
  <c r="N101" i="13"/>
  <c r="N100" i="13"/>
  <c r="N38" i="13"/>
  <c r="F1076" i="14" l="1"/>
  <c r="T44" i="16"/>
  <c r="S9" i="13"/>
  <c r="L101" i="13"/>
  <c r="L100" i="13"/>
  <c r="L38" i="13"/>
  <c r="L14" i="13"/>
  <c r="BC9" i="11"/>
  <c r="BC4" i="11"/>
  <c r="AI4" i="11" s="1"/>
  <c r="AC4" i="11" s="1"/>
  <c r="BC5" i="11"/>
  <c r="BC7" i="11"/>
  <c r="BC148" i="11"/>
  <c r="AI148" i="11" s="1"/>
  <c r="AC148" i="11" s="1"/>
  <c r="BC857" i="11"/>
  <c r="AI857" i="11" s="1"/>
  <c r="AC857" i="11" s="1"/>
  <c r="BC6" i="11"/>
  <c r="BC580" i="11"/>
  <c r="AI580" i="11" s="1"/>
  <c r="AC580" i="11" s="1"/>
  <c r="BC8" i="11"/>
  <c r="BC10" i="11"/>
  <c r="BC724" i="11"/>
  <c r="AI724" i="11" s="1"/>
  <c r="AC724" i="11" s="1"/>
  <c r="BC64" i="11"/>
  <c r="AI64" i="11" s="1"/>
  <c r="AC64" i="11" s="1"/>
  <c r="BC525" i="11"/>
  <c r="AI525" i="11" s="1"/>
  <c r="AC525" i="11" s="1"/>
  <c r="BC89" i="11"/>
  <c r="AI89" i="11" s="1"/>
  <c r="AC89" i="11" s="1"/>
  <c r="BC269" i="11"/>
  <c r="AI269" i="11" s="1"/>
  <c r="AC269" i="11" s="1"/>
  <c r="BC584" i="11"/>
  <c r="AI584" i="11" s="1"/>
  <c r="AC584" i="11" s="1"/>
  <c r="BC472" i="11"/>
  <c r="AI472" i="11" s="1"/>
  <c r="AC472" i="11" s="1"/>
  <c r="BC340" i="11"/>
  <c r="AI340" i="11" s="1"/>
  <c r="AC340" i="11" s="1"/>
  <c r="BC372" i="11"/>
  <c r="AI372" i="11" s="1"/>
  <c r="AC372" i="11" s="1"/>
  <c r="BC912" i="11"/>
  <c r="AI912" i="11" s="1"/>
  <c r="AC912" i="11" s="1"/>
  <c r="BC640" i="11"/>
  <c r="AI640" i="11" s="1"/>
  <c r="AC640" i="11" s="1"/>
  <c r="BC200" i="11"/>
  <c r="AI200" i="11" s="1"/>
  <c r="AC200" i="11" s="1"/>
  <c r="BC596" i="11"/>
  <c r="AI596" i="11" s="1"/>
  <c r="AC596" i="11" s="1"/>
  <c r="BC932" i="11"/>
  <c r="AI932" i="11" s="1"/>
  <c r="AC932" i="11" s="1"/>
  <c r="BC609" i="11"/>
  <c r="AI609" i="11" s="1"/>
  <c r="AC609" i="11" s="1"/>
  <c r="BC120" i="11"/>
  <c r="AI120" i="11" s="1"/>
  <c r="AC120" i="11" s="1"/>
  <c r="BC728" i="11"/>
  <c r="AI728" i="11" s="1"/>
  <c r="AC728" i="11" s="1"/>
  <c r="BC276" i="11"/>
  <c r="AI276" i="11" s="1"/>
  <c r="AC276" i="11" s="1"/>
  <c r="BC692" i="11"/>
  <c r="AI692" i="11" s="1"/>
  <c r="AC692" i="11" s="1"/>
  <c r="BC672" i="11"/>
  <c r="AI672" i="11" s="1"/>
  <c r="AC672" i="11" s="1"/>
  <c r="BC212" i="11"/>
  <c r="AI212" i="11" s="1"/>
  <c r="AC212" i="11" s="1"/>
  <c r="BC24" i="11"/>
  <c r="AI24" i="11" s="1"/>
  <c r="AC24" i="11" s="1"/>
  <c r="BC620" i="11"/>
  <c r="AI620" i="11" s="1"/>
  <c r="AC620" i="11" s="1"/>
  <c r="BC456" i="11"/>
  <c r="AI456" i="11" s="1"/>
  <c r="AC456" i="11" s="1"/>
  <c r="BC308" i="11"/>
  <c r="AI308" i="11" s="1"/>
  <c r="AC308" i="11" s="1"/>
  <c r="BC365" i="11"/>
  <c r="AI365" i="11" s="1"/>
  <c r="AC365" i="11" s="1"/>
  <c r="BC84" i="11"/>
  <c r="AI84" i="11" s="1"/>
  <c r="AC84" i="11" s="1"/>
  <c r="BC864" i="11"/>
  <c r="AI864" i="11" s="1"/>
  <c r="AC864" i="11" s="1"/>
  <c r="BC621" i="11"/>
  <c r="AI621" i="11" s="1"/>
  <c r="AC621" i="11" s="1"/>
  <c r="BC705" i="11"/>
  <c r="AI705" i="11" s="1"/>
  <c r="AC705" i="11" s="1"/>
  <c r="BC865" i="11"/>
  <c r="AI865" i="11" s="1"/>
  <c r="AC865" i="11" s="1"/>
  <c r="BC996" i="11"/>
  <c r="AI996" i="11" s="1"/>
  <c r="AC996" i="11" s="1"/>
  <c r="BC961" i="11"/>
  <c r="AI961" i="11" s="1"/>
  <c r="AC961" i="11" s="1"/>
  <c r="BC13" i="11"/>
  <c r="AI13" i="11" s="1"/>
  <c r="AC13" i="11" s="1"/>
  <c r="BC512" i="11"/>
  <c r="AI512" i="11" s="1"/>
  <c r="AC512" i="11" s="1"/>
  <c r="BC500" i="11"/>
  <c r="AI500" i="11" s="1"/>
  <c r="AC500" i="11" s="1"/>
  <c r="BC328" i="11"/>
  <c r="AI328" i="11" s="1"/>
  <c r="AC328" i="11" s="1"/>
  <c r="BC493" i="11"/>
  <c r="AI493" i="11" s="1"/>
  <c r="AC493" i="11" s="1"/>
  <c r="BC216" i="11"/>
  <c r="AI216" i="11" s="1"/>
  <c r="AC216" i="11" s="1"/>
  <c r="BC88" i="11"/>
  <c r="AI88" i="11" s="1"/>
  <c r="AC88" i="11" s="1"/>
  <c r="BC20" i="11"/>
  <c r="AI20" i="11" s="1"/>
  <c r="AC20" i="11" s="1"/>
  <c r="BC408" i="11"/>
  <c r="AI408" i="11" s="1"/>
  <c r="AC408" i="11" s="1"/>
  <c r="BC364" i="11"/>
  <c r="AI364" i="11" s="1"/>
  <c r="AC364" i="11" s="1"/>
  <c r="BC168" i="11"/>
  <c r="AI168" i="11" s="1"/>
  <c r="AC168" i="11" s="1"/>
  <c r="BC532" i="11"/>
  <c r="AI532" i="11" s="1"/>
  <c r="AC532" i="11" s="1"/>
  <c r="BC416" i="11"/>
  <c r="AI416" i="11" s="1"/>
  <c r="AC416" i="11" s="1"/>
  <c r="BC349" i="11"/>
  <c r="AI349" i="11" s="1"/>
  <c r="AC349" i="11" s="1"/>
  <c r="BC628" i="11"/>
  <c r="AI628" i="11" s="1"/>
  <c r="AC628" i="11" s="1"/>
  <c r="BC957" i="11"/>
  <c r="AI957" i="11" s="1"/>
  <c r="AC957" i="11" s="1"/>
  <c r="BC901" i="11"/>
  <c r="AI901" i="11" s="1"/>
  <c r="AC901" i="11" s="1"/>
  <c r="BC180" i="11"/>
  <c r="AI180" i="11" s="1"/>
  <c r="AC180" i="11" s="1"/>
  <c r="BC237" i="11"/>
  <c r="AI237" i="11" s="1"/>
  <c r="AC237" i="11" s="1"/>
  <c r="BC272" i="11"/>
  <c r="AI272" i="11" s="1"/>
  <c r="AC272" i="11" s="1"/>
  <c r="BC424" i="11"/>
  <c r="AI424" i="11" s="1"/>
  <c r="AC424" i="11" s="1"/>
  <c r="BC597" i="11"/>
  <c r="AI597" i="11" s="1"/>
  <c r="AC597" i="11" s="1"/>
  <c r="BC756" i="11"/>
  <c r="AI756" i="11" s="1"/>
  <c r="AC756" i="11" s="1"/>
  <c r="BC960" i="11"/>
  <c r="AI960" i="11" s="1"/>
  <c r="AC960" i="11" s="1"/>
  <c r="BC749" i="11"/>
  <c r="AI749" i="11" s="1"/>
  <c r="AC749" i="11" s="1"/>
  <c r="BC653" i="11"/>
  <c r="AI653" i="11" s="1"/>
  <c r="AC653" i="11" s="1"/>
  <c r="BC1000" i="11"/>
  <c r="AI1000" i="11" s="1"/>
  <c r="AC1000" i="11" s="1"/>
  <c r="BC909" i="11"/>
  <c r="AI909" i="11" s="1"/>
  <c r="AC909" i="11" s="1"/>
  <c r="BC549" i="11"/>
  <c r="AI549" i="11" s="1"/>
  <c r="AC549" i="11" s="1"/>
  <c r="BC18" i="11"/>
  <c r="AI18" i="11" s="1"/>
  <c r="AC18" i="11" s="1"/>
  <c r="BC689" i="11"/>
  <c r="AI689" i="11" s="1"/>
  <c r="AC689" i="11" s="1"/>
  <c r="BC561" i="11"/>
  <c r="AI561" i="11" s="1"/>
  <c r="AC561" i="11" s="1"/>
  <c r="BC128" i="11"/>
  <c r="AI128" i="11" s="1"/>
  <c r="AC128" i="11" s="1"/>
  <c r="BC788" i="11"/>
  <c r="AI788" i="11" s="1"/>
  <c r="AC788" i="11" s="1"/>
  <c r="BC37" i="11"/>
  <c r="AI37" i="11" s="1"/>
  <c r="AC37" i="11" s="1"/>
  <c r="BC409" i="11"/>
  <c r="AI409" i="11" s="1"/>
  <c r="AC409" i="11" s="1"/>
  <c r="BC52" i="11"/>
  <c r="AI52" i="11" s="1"/>
  <c r="AC52" i="11" s="1"/>
  <c r="BC988" i="11"/>
  <c r="AI988" i="11" s="1"/>
  <c r="AC988" i="11" s="1"/>
  <c r="BC433" i="11"/>
  <c r="AI433" i="11" s="1"/>
  <c r="AC433" i="11" s="1"/>
  <c r="BC993" i="11"/>
  <c r="AI993" i="11" s="1"/>
  <c r="AC993" i="11" s="1"/>
  <c r="BC196" i="11"/>
  <c r="AI196" i="11" s="1"/>
  <c r="AC196" i="11" s="1"/>
  <c r="BC401" i="11"/>
  <c r="AI401" i="11" s="1"/>
  <c r="AC401" i="11" s="1"/>
  <c r="BC136" i="11"/>
  <c r="AI136" i="11" s="1"/>
  <c r="AC136" i="11" s="1"/>
  <c r="BC544" i="11"/>
  <c r="AI544" i="11" s="1"/>
  <c r="AC544" i="11" s="1"/>
  <c r="BC713" i="11"/>
  <c r="AI713" i="11" s="1"/>
  <c r="AC713" i="11" s="1"/>
  <c r="BC509" i="11"/>
  <c r="AI509" i="11" s="1"/>
  <c r="AC509" i="11" s="1"/>
  <c r="BC101" i="11"/>
  <c r="AI101" i="11" s="1"/>
  <c r="AC101" i="11" s="1"/>
  <c r="BC600" i="11"/>
  <c r="AI600" i="11" s="1"/>
  <c r="AC600" i="11" s="1"/>
  <c r="BC357" i="11"/>
  <c r="AI357" i="11" s="1"/>
  <c r="AC357" i="11" s="1"/>
  <c r="BC244" i="11"/>
  <c r="AI244" i="11" s="1"/>
  <c r="AC244" i="11" s="1"/>
  <c r="BC404" i="11"/>
  <c r="AI404" i="11" s="1"/>
  <c r="AC404" i="11" s="1"/>
  <c r="BC516" i="11"/>
  <c r="AI516" i="11" s="1"/>
  <c r="AC516" i="11" s="1"/>
  <c r="BC665" i="11"/>
  <c r="AI665" i="11" s="1"/>
  <c r="AC665" i="11" s="1"/>
  <c r="BC296" i="11"/>
  <c r="AI296" i="11" s="1"/>
  <c r="AC296" i="11" s="1"/>
  <c r="BC28" i="11"/>
  <c r="AI28" i="11" s="1"/>
  <c r="AC28" i="11" s="1"/>
  <c r="BC976" i="11"/>
  <c r="AI976" i="11" s="1"/>
  <c r="AC976" i="11" s="1"/>
  <c r="BC80" i="11"/>
  <c r="AI80" i="11" s="1"/>
  <c r="AC80" i="11" s="1"/>
  <c r="BC172" i="11"/>
  <c r="AI172" i="11" s="1"/>
  <c r="AC172" i="11" s="1"/>
  <c r="BC304" i="11"/>
  <c r="AI304" i="11" s="1"/>
  <c r="AC304" i="11" s="1"/>
  <c r="BC160" i="11"/>
  <c r="AI160" i="11" s="1"/>
  <c r="AC160" i="11" s="1"/>
  <c r="BC833" i="11"/>
  <c r="AI833" i="11" s="1"/>
  <c r="AC833" i="11" s="1"/>
  <c r="BC177" i="11"/>
  <c r="AI177" i="11" s="1"/>
  <c r="AC177" i="11" s="1"/>
  <c r="BC393" i="11"/>
  <c r="AI393" i="11" s="1"/>
  <c r="AC393" i="11" s="1"/>
  <c r="BC484" i="11"/>
  <c r="AI484" i="11" s="1"/>
  <c r="AC484" i="11" s="1"/>
  <c r="BC345" i="11"/>
  <c r="AI345" i="11" s="1"/>
  <c r="AC345" i="11" s="1"/>
  <c r="BC300" i="11"/>
  <c r="AI300" i="11" s="1"/>
  <c r="AC300" i="11" s="1"/>
  <c r="BC624" i="11"/>
  <c r="AI624" i="11" s="1"/>
  <c r="AC624" i="11" s="1"/>
  <c r="BC552" i="11"/>
  <c r="AI552" i="11" s="1"/>
  <c r="AC552" i="11" s="1"/>
  <c r="BC332" i="11"/>
  <c r="AI332" i="11" s="1"/>
  <c r="AC332" i="11" s="1"/>
  <c r="BC617" i="11"/>
  <c r="AI617" i="11" s="1"/>
  <c r="AC617" i="11" s="1"/>
  <c r="BC541" i="11"/>
  <c r="AI541" i="11" s="1"/>
  <c r="AC541" i="11" s="1"/>
  <c r="BC636" i="11"/>
  <c r="AI636" i="11" s="1"/>
  <c r="AC636" i="11" s="1"/>
  <c r="BC68" i="11"/>
  <c r="AI68" i="11" s="1"/>
  <c r="AC68" i="11" s="1"/>
  <c r="BC877" i="11"/>
  <c r="AI877" i="11" s="1"/>
  <c r="AC877" i="11" s="1"/>
  <c r="BC808" i="11"/>
  <c r="AI808" i="11" s="1"/>
  <c r="AC808" i="11" s="1"/>
  <c r="BC152" i="11"/>
  <c r="AI152" i="11" s="1"/>
  <c r="AC152" i="11" s="1"/>
  <c r="BC112" i="11"/>
  <c r="AI112" i="11" s="1"/>
  <c r="AC112" i="11" s="1"/>
  <c r="BC392" i="11"/>
  <c r="AI392" i="11" s="1"/>
  <c r="AC392" i="11" s="1"/>
  <c r="BC175" i="11"/>
  <c r="AI175" i="11" s="1"/>
  <c r="AC175" i="11" s="1"/>
  <c r="BC841" i="11"/>
  <c r="AI841" i="11" s="1"/>
  <c r="AC841" i="11" s="1"/>
  <c r="BC836" i="11"/>
  <c r="AI836" i="11" s="1"/>
  <c r="AC836" i="11" s="1"/>
  <c r="BC29" i="11"/>
  <c r="AI29" i="11" s="1"/>
  <c r="AC29" i="11" s="1"/>
  <c r="BC192" i="11"/>
  <c r="AI192" i="11" s="1"/>
  <c r="AC192" i="11" s="1"/>
  <c r="BC240" i="11"/>
  <c r="AI240" i="11" s="1"/>
  <c r="AC240" i="11" s="1"/>
  <c r="BC348" i="11"/>
  <c r="AI348" i="11" s="1"/>
  <c r="AC348" i="11" s="1"/>
  <c r="BC913" i="11"/>
  <c r="AI913" i="11" s="1"/>
  <c r="AC913" i="11" s="1"/>
  <c r="BC536" i="11"/>
  <c r="AI536" i="11" s="1"/>
  <c r="AC536" i="11" s="1"/>
  <c r="BC612" i="11"/>
  <c r="AI612" i="11" s="1"/>
  <c r="AC612" i="11" s="1"/>
  <c r="BC832" i="11"/>
  <c r="AI832" i="11" s="1"/>
  <c r="AC832" i="11" s="1"/>
  <c r="BC449" i="11"/>
  <c r="AI449" i="11" s="1"/>
  <c r="AC449" i="11" s="1"/>
  <c r="BC777" i="11"/>
  <c r="AI777" i="11" s="1"/>
  <c r="AC777" i="11" s="1"/>
  <c r="BC940" i="11"/>
  <c r="AI940" i="11" s="1"/>
  <c r="AC940" i="11" s="1"/>
  <c r="BC589" i="11"/>
  <c r="AI589" i="11" s="1"/>
  <c r="AC589" i="11" s="1"/>
  <c r="BC293" i="11"/>
  <c r="AI293" i="11" s="1"/>
  <c r="AC293" i="11" s="1"/>
  <c r="BC221" i="11"/>
  <c r="AI221" i="11" s="1"/>
  <c r="AC221" i="11" s="1"/>
  <c r="BC92" i="11"/>
  <c r="AI92" i="11" s="1"/>
  <c r="AC92" i="11" s="1"/>
  <c r="BC921" i="11"/>
  <c r="AI921" i="11" s="1"/>
  <c r="AC921" i="11" s="1"/>
  <c r="BC700" i="11"/>
  <c r="AI700" i="11" s="1"/>
  <c r="AC700" i="11" s="1"/>
  <c r="BC801" i="11"/>
  <c r="AI801" i="11" s="1"/>
  <c r="AC801" i="11" s="1"/>
  <c r="BC65" i="11"/>
  <c r="AI65" i="11" s="1"/>
  <c r="AC65" i="11" s="1"/>
  <c r="BC56" i="11"/>
  <c r="AI56" i="11" s="1"/>
  <c r="AC56" i="11" s="1"/>
  <c r="BC373" i="11"/>
  <c r="AI373" i="11" s="1"/>
  <c r="AC373" i="11" s="1"/>
  <c r="BC737" i="11"/>
  <c r="AI737" i="11" s="1"/>
  <c r="AC737" i="11" s="1"/>
  <c r="BC137" i="11"/>
  <c r="AI137" i="11" s="1"/>
  <c r="AC137" i="11" s="1"/>
  <c r="BC784" i="11"/>
  <c r="AI784" i="11" s="1"/>
  <c r="AC784" i="11" s="1"/>
  <c r="BC753" i="11"/>
  <c r="AI753" i="11" s="1"/>
  <c r="AC753" i="11" s="1"/>
  <c r="BC453" i="11"/>
  <c r="AI453" i="11" s="1"/>
  <c r="AC453" i="11" s="1"/>
  <c r="BC381" i="11"/>
  <c r="AI381" i="11" s="1"/>
  <c r="AC381" i="11" s="1"/>
  <c r="BC132" i="11"/>
  <c r="AI132" i="11" s="1"/>
  <c r="AC132" i="11" s="1"/>
  <c r="BC972" i="11"/>
  <c r="AI972" i="11" s="1"/>
  <c r="AC972" i="11" s="1"/>
  <c r="BC185" i="11"/>
  <c r="AI185" i="11" s="1"/>
  <c r="AC185" i="11" s="1"/>
  <c r="BC193" i="11"/>
  <c r="AI193" i="11" s="1"/>
  <c r="AC193" i="11" s="1"/>
  <c r="BC968" i="11"/>
  <c r="AI968" i="11" s="1"/>
  <c r="AC968" i="11" s="1"/>
  <c r="BC924" i="11"/>
  <c r="AI924" i="11" s="1"/>
  <c r="AC924" i="11" s="1"/>
  <c r="BC436" i="11"/>
  <c r="AI436" i="11" s="1"/>
  <c r="AC436" i="11" s="1"/>
  <c r="BC468" i="11"/>
  <c r="AI468" i="11" s="1"/>
  <c r="AC468" i="11" s="1"/>
  <c r="BC945" i="11"/>
  <c r="AI945" i="11" s="1"/>
  <c r="AC945" i="11" s="1"/>
  <c r="BC141" i="11"/>
  <c r="AI141" i="11" s="1"/>
  <c r="AC141" i="11" s="1"/>
  <c r="BC397" i="11"/>
  <c r="AI397" i="11" s="1"/>
  <c r="AC397" i="11" s="1"/>
  <c r="BC156" i="11"/>
  <c r="AI156" i="11" s="1"/>
  <c r="AC156" i="11" s="1"/>
  <c r="BC261" i="11"/>
  <c r="AI261" i="11" s="1"/>
  <c r="AC261" i="11" s="1"/>
  <c r="BC504" i="11"/>
  <c r="AI504" i="11" s="1"/>
  <c r="AC504" i="11" s="1"/>
  <c r="BC236" i="11"/>
  <c r="AI236" i="11" s="1"/>
  <c r="AC236" i="11" s="1"/>
  <c r="BC925" i="11"/>
  <c r="AI925" i="11" s="1"/>
  <c r="AC925" i="11" s="1"/>
  <c r="BC412" i="11"/>
  <c r="AI412" i="11" s="1"/>
  <c r="AC412" i="11" s="1"/>
  <c r="BC948" i="11"/>
  <c r="AI948" i="11" s="1"/>
  <c r="AC948" i="11" s="1"/>
  <c r="BC356" i="11"/>
  <c r="AI356" i="11" s="1"/>
  <c r="AC356" i="11" s="1"/>
  <c r="BC53" i="11"/>
  <c r="AI53" i="11" s="1"/>
  <c r="AC53" i="11" s="1"/>
  <c r="BC604" i="11"/>
  <c r="AI604" i="11" s="1"/>
  <c r="AC604" i="11" s="1"/>
  <c r="BC805" i="11"/>
  <c r="AI805" i="11" s="1"/>
  <c r="AC805" i="11" s="1"/>
  <c r="BC452" i="11"/>
  <c r="AI452" i="11" s="1"/>
  <c r="AC452" i="11" s="1"/>
  <c r="BC388" i="11"/>
  <c r="AI388" i="11" s="1"/>
  <c r="AC388" i="11" s="1"/>
  <c r="BC644" i="11"/>
  <c r="AI644" i="11" s="1"/>
  <c r="AC644" i="11" s="1"/>
  <c r="BC492" i="11"/>
  <c r="AI492" i="11" s="1"/>
  <c r="AC492" i="11" s="1"/>
  <c r="BC613" i="11"/>
  <c r="AI613" i="11" s="1"/>
  <c r="AC613" i="11" s="1"/>
  <c r="BC476" i="11"/>
  <c r="AI476" i="11" s="1"/>
  <c r="AC476" i="11" s="1"/>
  <c r="BC288" i="11"/>
  <c r="AI288" i="11" s="1"/>
  <c r="AC288" i="11" s="1"/>
  <c r="BC368" i="11"/>
  <c r="AI368" i="11" s="1"/>
  <c r="AC368" i="11" s="1"/>
  <c r="BC669" i="11"/>
  <c r="AI669" i="11" s="1"/>
  <c r="AC669" i="11" s="1"/>
  <c r="BC496" i="11"/>
  <c r="AI496" i="11" s="1"/>
  <c r="AC496" i="11" s="1"/>
  <c r="BC892" i="11"/>
  <c r="AI892" i="11" s="1"/>
  <c r="AC892" i="11" s="1"/>
  <c r="BC928" i="11"/>
  <c r="AI928" i="11" s="1"/>
  <c r="AC928" i="11" s="1"/>
  <c r="BC570" i="11"/>
  <c r="AI570" i="11" s="1"/>
  <c r="AC570" i="11" s="1"/>
  <c r="M45" i="13"/>
  <c r="BC524" i="11"/>
  <c r="AI524" i="11" s="1"/>
  <c r="AC524" i="11" s="1"/>
  <c r="BC949" i="11"/>
  <c r="AI949" i="11" s="1"/>
  <c r="AC949" i="11" s="1"/>
  <c r="BC861" i="11"/>
  <c r="AI861" i="11" s="1"/>
  <c r="AC861" i="11" s="1"/>
  <c r="BC109" i="11"/>
  <c r="AI109" i="11" s="1"/>
  <c r="AC109" i="11" s="1"/>
  <c r="BC781" i="11"/>
  <c r="AI781" i="11" s="1"/>
  <c r="AC781" i="11" s="1"/>
  <c r="BC336" i="11"/>
  <c r="AI336" i="11" s="1"/>
  <c r="AC336" i="11" s="1"/>
  <c r="BC752" i="11"/>
  <c r="AI752" i="11" s="1"/>
  <c r="AC752" i="11" s="1"/>
  <c r="BC224" i="11"/>
  <c r="AI224" i="11" s="1"/>
  <c r="AC224" i="11" s="1"/>
  <c r="BC573" i="11"/>
  <c r="AI573" i="11" s="1"/>
  <c r="AC573" i="11" s="1"/>
  <c r="BC725" i="11"/>
  <c r="AI725" i="11" s="1"/>
  <c r="AC725" i="11" s="1"/>
  <c r="BC161" i="11"/>
  <c r="AI161" i="11" s="1"/>
  <c r="AC161" i="11" s="1"/>
  <c r="BC324" i="11"/>
  <c r="AI324" i="11" s="1"/>
  <c r="AC324" i="11" s="1"/>
  <c r="BC77" i="11"/>
  <c r="AI77" i="11" s="1"/>
  <c r="AC77" i="11" s="1"/>
  <c r="BC813" i="11"/>
  <c r="AI813" i="11" s="1"/>
  <c r="AC813" i="11" s="1"/>
  <c r="BC772" i="11"/>
  <c r="AI772" i="11" s="1"/>
  <c r="AC772" i="11" s="1"/>
  <c r="BC249" i="11"/>
  <c r="AI249" i="11" s="1"/>
  <c r="AC249" i="11" s="1"/>
  <c r="BC481" i="11"/>
  <c r="AI481" i="11" s="1"/>
  <c r="AC481" i="11" s="1"/>
  <c r="BC344" i="11"/>
  <c r="AI344" i="11" s="1"/>
  <c r="AC344" i="11" s="1"/>
  <c r="BC673" i="11"/>
  <c r="AI673" i="11" s="1"/>
  <c r="AC673" i="11" s="1"/>
  <c r="BC557" i="11"/>
  <c r="AI557" i="11" s="1"/>
  <c r="AC557" i="11" s="1"/>
  <c r="BC228" i="11"/>
  <c r="AI228" i="11" s="1"/>
  <c r="AC228" i="11" s="1"/>
  <c r="BC448" i="11"/>
  <c r="AI448" i="11" s="1"/>
  <c r="AC448" i="11" s="1"/>
  <c r="BC581" i="11"/>
  <c r="AI581" i="11" s="1"/>
  <c r="AC581" i="11" s="1"/>
  <c r="BC44" i="11"/>
  <c r="AI44" i="11" s="1"/>
  <c r="AC44" i="11" s="1"/>
  <c r="BC764" i="11"/>
  <c r="AI764" i="11" s="1"/>
  <c r="AC764" i="11" s="1"/>
  <c r="BC828" i="11"/>
  <c r="AI828" i="11" s="1"/>
  <c r="AC828" i="11" s="1"/>
  <c r="BC816" i="11"/>
  <c r="AI816" i="11" s="1"/>
  <c r="AC816" i="11" s="1"/>
  <c r="BC796" i="11"/>
  <c r="AI796" i="11" s="1"/>
  <c r="AC796" i="11" s="1"/>
  <c r="BC708" i="11"/>
  <c r="AI708" i="11" s="1"/>
  <c r="AC708" i="11" s="1"/>
  <c r="BC848" i="11"/>
  <c r="AI848" i="11" s="1"/>
  <c r="AC848" i="11" s="1"/>
  <c r="BC534" i="11"/>
  <c r="AI534" i="11" s="1"/>
  <c r="AC534" i="11" s="1"/>
  <c r="BC184" i="11"/>
  <c r="AI184" i="11" s="1"/>
  <c r="AC184" i="11" s="1"/>
  <c r="BC637" i="11"/>
  <c r="AI637" i="11" s="1"/>
  <c r="AC637" i="11" s="1"/>
  <c r="BC317" i="11"/>
  <c r="AI317" i="11" s="1"/>
  <c r="AC317" i="11" s="1"/>
  <c r="BC587" i="11"/>
  <c r="AI587" i="11" s="1"/>
  <c r="AC587" i="11" s="1"/>
  <c r="BC556" i="11"/>
  <c r="AI556" i="11" s="1"/>
  <c r="AC556" i="11" s="1"/>
  <c r="BC684" i="11"/>
  <c r="AI684" i="11" s="1"/>
  <c r="AC684" i="11" s="1"/>
  <c r="BC761" i="11"/>
  <c r="AI761" i="11" s="1"/>
  <c r="AC761" i="11" s="1"/>
  <c r="BC309" i="11"/>
  <c r="AI309" i="11" s="1"/>
  <c r="AC309" i="11" s="1"/>
  <c r="BC824" i="11"/>
  <c r="AI824" i="11" s="1"/>
  <c r="AC824" i="11" s="1"/>
  <c r="BC57" i="11"/>
  <c r="AI57" i="11" s="1"/>
  <c r="AC57" i="11" s="1"/>
  <c r="BC441" i="11"/>
  <c r="AI441" i="11" s="1"/>
  <c r="AC441" i="11" s="1"/>
  <c r="BC800" i="11"/>
  <c r="AI800" i="11" s="1"/>
  <c r="AC800" i="11" s="1"/>
  <c r="BC785" i="11"/>
  <c r="AI785" i="11" s="1"/>
  <c r="AC785" i="11" s="1"/>
  <c r="BC701" i="11"/>
  <c r="AI701" i="11" s="1"/>
  <c r="AC701" i="11" s="1"/>
  <c r="BC256" i="11"/>
  <c r="AI256" i="11" s="1"/>
  <c r="AC256" i="11" s="1"/>
  <c r="BC360" i="11"/>
  <c r="AI360" i="11" s="1"/>
  <c r="AC360" i="11" s="1"/>
  <c r="BC521" i="11"/>
  <c r="AI521" i="11" s="1"/>
  <c r="AC521" i="11" s="1"/>
  <c r="BC576" i="11"/>
  <c r="AI576" i="11" s="1"/>
  <c r="AC576" i="11" s="1"/>
  <c r="BC265" i="11"/>
  <c r="AI265" i="11" s="1"/>
  <c r="AC265" i="11" s="1"/>
  <c r="BC376" i="11"/>
  <c r="AI376" i="11" s="1"/>
  <c r="AC376" i="11" s="1"/>
  <c r="BC528" i="11"/>
  <c r="AI528" i="11" s="1"/>
  <c r="AC528" i="11" s="1"/>
  <c r="BC680" i="11"/>
  <c r="AI680" i="11" s="1"/>
  <c r="AC680" i="11" s="1"/>
  <c r="BC208" i="11"/>
  <c r="AI208" i="11" s="1"/>
  <c r="AC208" i="11" s="1"/>
  <c r="BC507" i="11"/>
  <c r="AI507" i="11" s="1"/>
  <c r="AC507" i="11" s="1"/>
  <c r="BC1001" i="11"/>
  <c r="AI1001" i="11" s="1"/>
  <c r="AC1001" i="11" s="1"/>
  <c r="BC941" i="11"/>
  <c r="AI941" i="11" s="1"/>
  <c r="AC941" i="11" s="1"/>
  <c r="BC508" i="11"/>
  <c r="AI508" i="11" s="1"/>
  <c r="AC508" i="11" s="1"/>
  <c r="BC280" i="11"/>
  <c r="AI280" i="11" s="1"/>
  <c r="AC280" i="11" s="1"/>
  <c r="BC797" i="11"/>
  <c r="AI797" i="11" s="1"/>
  <c r="AC797" i="11" s="1"/>
  <c r="BC817" i="11"/>
  <c r="AI817" i="11" s="1"/>
  <c r="AC817" i="11" s="1"/>
  <c r="BC774" i="11"/>
  <c r="AI774" i="11" s="1"/>
  <c r="AC774" i="11" s="1"/>
  <c r="BC896" i="11"/>
  <c r="AI896" i="11" s="1"/>
  <c r="AC896" i="11" s="1"/>
  <c r="BC526" i="11"/>
  <c r="AI526" i="11" s="1"/>
  <c r="AC526" i="11" s="1"/>
  <c r="BC884" i="11"/>
  <c r="AI884" i="11" s="1"/>
  <c r="AC884" i="11" s="1"/>
  <c r="BC232" i="11"/>
  <c r="AI232" i="11" s="1"/>
  <c r="AC232" i="11" s="1"/>
  <c r="BC40" i="11"/>
  <c r="AI40" i="11" s="1"/>
  <c r="AC40" i="11" s="1"/>
  <c r="BC305" i="11"/>
  <c r="AI305" i="11" s="1"/>
  <c r="AC305" i="11" s="1"/>
  <c r="BC632" i="11"/>
  <c r="AI632" i="11" s="1"/>
  <c r="AC632" i="11" s="1"/>
  <c r="BC656" i="11"/>
  <c r="AI656" i="11" s="1"/>
  <c r="AC656" i="11" s="1"/>
  <c r="BC284" i="11"/>
  <c r="AI284" i="11" s="1"/>
  <c r="AC284" i="11" s="1"/>
  <c r="BC980" i="11"/>
  <c r="AI980" i="11" s="1"/>
  <c r="AC980" i="11" s="1"/>
  <c r="BC936" i="11"/>
  <c r="AI936" i="11" s="1"/>
  <c r="AC936" i="11" s="1"/>
  <c r="BC164" i="11"/>
  <c r="AI164" i="11" s="1"/>
  <c r="AC164" i="11" s="1"/>
  <c r="BC73" i="11"/>
  <c r="AI73" i="11" s="1"/>
  <c r="AC73" i="11" s="1"/>
  <c r="BC704" i="11"/>
  <c r="AI704" i="11" s="1"/>
  <c r="AC704" i="11" s="1"/>
  <c r="BC736" i="11"/>
  <c r="AI736" i="11" s="1"/>
  <c r="AC736" i="11" s="1"/>
  <c r="BC720" i="11"/>
  <c r="AI720" i="11" s="1"/>
  <c r="AC720" i="11" s="1"/>
  <c r="BC956" i="11"/>
  <c r="AI956" i="11" s="1"/>
  <c r="AC956" i="11" s="1"/>
  <c r="BC696" i="11"/>
  <c r="AI696" i="11" s="1"/>
  <c r="AC696" i="11" s="1"/>
  <c r="BC933" i="11"/>
  <c r="AI933" i="11" s="1"/>
  <c r="AC933" i="11" s="1"/>
  <c r="BC503" i="11"/>
  <c r="AI503" i="11" s="1"/>
  <c r="AC503" i="11" s="1"/>
  <c r="BC213" i="11"/>
  <c r="AI213" i="11" s="1"/>
  <c r="AC213" i="11" s="1"/>
  <c r="BC992" i="11"/>
  <c r="AI992" i="11" s="1"/>
  <c r="AC992" i="11" s="1"/>
  <c r="BC428" i="11"/>
  <c r="AI428" i="11" s="1"/>
  <c r="AC428" i="11" s="1"/>
  <c r="BC554" i="11"/>
  <c r="AI554" i="11" s="1"/>
  <c r="AC554" i="11" s="1"/>
  <c r="BC564" i="11"/>
  <c r="AI564" i="11" s="1"/>
  <c r="AC564" i="11" s="1"/>
  <c r="BC776" i="11"/>
  <c r="AI776" i="11" s="1"/>
  <c r="AC776" i="11" s="1"/>
  <c r="BC567" i="11"/>
  <c r="AI567" i="11" s="1"/>
  <c r="AC567" i="11" s="1"/>
  <c r="BC49" i="11"/>
  <c r="AI49" i="11" s="1"/>
  <c r="AC49" i="11" s="1"/>
  <c r="BC45" i="11"/>
  <c r="AI45" i="11" s="1"/>
  <c r="AC45" i="11" s="1"/>
  <c r="BC517" i="11"/>
  <c r="AI517" i="11" s="1"/>
  <c r="AC517" i="11" s="1"/>
  <c r="BC444" i="11"/>
  <c r="AI444" i="11" s="1"/>
  <c r="AC444" i="11" s="1"/>
  <c r="BC943" i="11"/>
  <c r="AI943" i="11" s="1"/>
  <c r="AC943" i="11" s="1"/>
  <c r="BC144" i="11"/>
  <c r="AI144" i="11" s="1"/>
  <c r="AC144" i="11" s="1"/>
  <c r="BC473" i="11"/>
  <c r="AI473" i="11" s="1"/>
  <c r="AC473" i="11" s="1"/>
  <c r="BC645" i="11"/>
  <c r="AI645" i="11" s="1"/>
  <c r="AC645" i="11" s="1"/>
  <c r="BC505" i="11"/>
  <c r="AI505" i="11" s="1"/>
  <c r="AC505" i="11" s="1"/>
  <c r="BC703" i="11"/>
  <c r="AI703" i="11" s="1"/>
  <c r="AC703" i="11" s="1"/>
  <c r="BC747" i="11"/>
  <c r="AI747" i="11" s="1"/>
  <c r="AC747" i="11" s="1"/>
  <c r="BC579" i="11"/>
  <c r="AI579" i="11" s="1"/>
  <c r="AC579" i="11" s="1"/>
  <c r="BC260" i="11"/>
  <c r="AI260" i="11" s="1"/>
  <c r="AC260" i="11" s="1"/>
  <c r="BC900" i="11"/>
  <c r="AI900" i="11" s="1"/>
  <c r="AC900" i="11" s="1"/>
  <c r="BC863" i="11"/>
  <c r="AI863" i="11" s="1"/>
  <c r="AC863" i="11" s="1"/>
  <c r="BC291" i="11"/>
  <c r="AI291" i="11" s="1"/>
  <c r="AC291" i="11" s="1"/>
  <c r="BC559" i="11"/>
  <c r="AI559" i="11" s="1"/>
  <c r="AC559" i="11" s="1"/>
  <c r="BC916" i="11"/>
  <c r="AI916" i="11" s="1"/>
  <c r="AC916" i="11" s="1"/>
  <c r="BC380" i="11"/>
  <c r="AI380" i="11" s="1"/>
  <c r="AC380" i="11" s="1"/>
  <c r="BC297" i="11"/>
  <c r="AI297" i="11" s="1"/>
  <c r="AC297" i="11" s="1"/>
  <c r="BC176" i="11"/>
  <c r="AI176" i="11" s="1"/>
  <c r="AC176" i="11" s="1"/>
  <c r="BC588" i="11"/>
  <c r="AI588" i="11" s="1"/>
  <c r="AC588" i="11" s="1"/>
  <c r="BC907" i="11"/>
  <c r="AI907" i="11" s="1"/>
  <c r="AC907" i="11" s="1"/>
  <c r="BC563" i="11"/>
  <c r="AI563" i="11" s="1"/>
  <c r="AC563" i="11" s="1"/>
  <c r="BC410" i="11"/>
  <c r="AI410" i="11" s="1"/>
  <c r="AC410" i="11" s="1"/>
  <c r="BC341" i="11"/>
  <c r="AI341" i="11" s="1"/>
  <c r="AC341" i="11" s="1"/>
  <c r="BC361" i="11"/>
  <c r="AI361" i="11" s="1"/>
  <c r="AC361" i="11" s="1"/>
  <c r="BC651" i="11"/>
  <c r="AI651" i="11" s="1"/>
  <c r="AC651" i="11" s="1"/>
  <c r="BC659" i="11"/>
  <c r="AI659" i="11" s="1"/>
  <c r="AC659" i="11" s="1"/>
  <c r="BC313" i="11"/>
  <c r="AI313" i="11" s="1"/>
  <c r="AC313" i="11" s="1"/>
  <c r="BC577" i="11"/>
  <c r="AI577" i="11" s="1"/>
  <c r="AC577" i="11" s="1"/>
  <c r="BC661" i="11"/>
  <c r="AI661" i="11" s="1"/>
  <c r="AC661" i="11" s="1"/>
  <c r="BC235" i="11"/>
  <c r="AI235" i="11" s="1"/>
  <c r="AC235" i="11" s="1"/>
  <c r="BC888" i="11"/>
  <c r="AI888" i="11" s="1"/>
  <c r="AC888" i="11" s="1"/>
  <c r="BC572" i="11"/>
  <c r="AI572" i="11" s="1"/>
  <c r="AC572" i="11" s="1"/>
  <c r="BC716" i="11"/>
  <c r="AI716" i="11" s="1"/>
  <c r="AC716" i="11" s="1"/>
  <c r="BC72" i="11"/>
  <c r="AI72" i="11" s="1"/>
  <c r="AC72" i="11" s="1"/>
  <c r="BC627" i="11"/>
  <c r="AI627" i="11" s="1"/>
  <c r="AC627" i="11" s="1"/>
  <c r="BC688" i="11"/>
  <c r="AI688" i="11" s="1"/>
  <c r="AC688" i="11" s="1"/>
  <c r="BC285" i="11"/>
  <c r="AI285" i="11" s="1"/>
  <c r="AC285" i="11" s="1"/>
  <c r="BC464" i="11"/>
  <c r="AI464" i="11" s="1"/>
  <c r="AC464" i="11" s="1"/>
  <c r="BC108" i="11"/>
  <c r="AI108" i="11" s="1"/>
  <c r="AC108" i="11" s="1"/>
  <c r="BC643" i="11"/>
  <c r="AI643" i="11" s="1"/>
  <c r="AC643" i="11" s="1"/>
  <c r="BC197" i="11"/>
  <c r="AI197" i="11" s="1"/>
  <c r="AC197" i="11" s="1"/>
  <c r="BC461" i="11"/>
  <c r="AI461" i="11" s="1"/>
  <c r="AC461" i="11" s="1"/>
  <c r="BC153" i="11"/>
  <c r="AI153" i="11" s="1"/>
  <c r="AC153" i="11" s="1"/>
  <c r="BC485" i="11"/>
  <c r="AI485" i="11" s="1"/>
  <c r="AC485" i="11" s="1"/>
  <c r="BC325" i="11"/>
  <c r="AI325" i="11" s="1"/>
  <c r="AC325" i="11" s="1"/>
  <c r="BC337" i="11"/>
  <c r="AI337" i="11" s="1"/>
  <c r="AC337" i="11" s="1"/>
  <c r="BC352" i="11"/>
  <c r="AI352" i="11" s="1"/>
  <c r="AC352" i="11" s="1"/>
  <c r="BC789" i="11"/>
  <c r="AI789" i="11" s="1"/>
  <c r="AC789" i="11" s="1"/>
  <c r="BC248" i="11"/>
  <c r="AI248" i="11" s="1"/>
  <c r="AC248" i="11" s="1"/>
  <c r="BC729" i="11"/>
  <c r="AI729" i="11" s="1"/>
  <c r="AC729" i="11" s="1"/>
  <c r="BC51" i="11"/>
  <c r="AI51" i="11" s="1"/>
  <c r="AC51" i="11" s="1"/>
  <c r="BC533" i="11"/>
  <c r="AI533" i="11" s="1"/>
  <c r="AC533" i="11" s="1"/>
  <c r="BC652" i="11"/>
  <c r="AI652" i="11" s="1"/>
  <c r="AC652" i="11" s="1"/>
  <c r="BC856" i="11"/>
  <c r="AI856" i="11" s="1"/>
  <c r="AC856" i="11" s="1"/>
  <c r="BC389" i="11"/>
  <c r="AI389" i="11" s="1"/>
  <c r="AC389" i="11" s="1"/>
  <c r="BC483" i="11"/>
  <c r="AI483" i="11" s="1"/>
  <c r="AC483" i="11" s="1"/>
  <c r="BC350" i="11"/>
  <c r="AI350" i="11" s="1"/>
  <c r="AC350" i="11" s="1"/>
  <c r="BC946" i="11"/>
  <c r="AI946" i="11" s="1"/>
  <c r="AC946" i="11" s="1"/>
  <c r="BC289" i="11"/>
  <c r="AI289" i="11" s="1"/>
  <c r="AC289" i="11" s="1"/>
  <c r="BC301" i="11"/>
  <c r="AI301" i="11" s="1"/>
  <c r="AC301" i="11" s="1"/>
  <c r="BC540" i="11"/>
  <c r="AI540" i="11" s="1"/>
  <c r="AC540" i="11" s="1"/>
  <c r="BC97" i="11"/>
  <c r="AI97" i="11" s="1"/>
  <c r="AC97" i="11" s="1"/>
  <c r="BC33" i="11"/>
  <c r="AI33" i="11" s="1"/>
  <c r="AC33" i="11" s="1"/>
  <c r="BC384" i="11"/>
  <c r="AI384" i="11" s="1"/>
  <c r="AC384" i="11" s="1"/>
  <c r="BC264" i="11"/>
  <c r="AI264" i="11" s="1"/>
  <c r="AC264" i="11" s="1"/>
  <c r="BC920" i="11"/>
  <c r="AI920" i="11" s="1"/>
  <c r="AC920" i="11" s="1"/>
  <c r="BC403" i="11"/>
  <c r="AI403" i="11" s="1"/>
  <c r="AC403" i="11" s="1"/>
  <c r="BC844" i="11"/>
  <c r="AI844" i="11" s="1"/>
  <c r="AC844" i="11" s="1"/>
  <c r="BC732" i="11"/>
  <c r="AI732" i="11" s="1"/>
  <c r="AC732" i="11" s="1"/>
  <c r="BC480" i="11"/>
  <c r="AI480" i="11" s="1"/>
  <c r="AC480" i="11" s="1"/>
  <c r="BC312" i="11"/>
  <c r="AI312" i="11" s="1"/>
  <c r="AC312" i="11" s="1"/>
  <c r="BC569" i="11"/>
  <c r="AI569" i="11" s="1"/>
  <c r="AC569" i="11" s="1"/>
  <c r="BC48" i="11"/>
  <c r="AI48" i="11" s="1"/>
  <c r="AC48" i="11" s="1"/>
  <c r="BC121" i="11"/>
  <c r="AI121" i="11" s="1"/>
  <c r="AC121" i="11" s="1"/>
  <c r="BC954" i="11"/>
  <c r="AI954" i="11" s="1"/>
  <c r="AC954" i="11" s="1"/>
  <c r="BC851" i="11"/>
  <c r="AI851" i="11" s="1"/>
  <c r="AC851" i="11" s="1"/>
  <c r="BC868" i="11"/>
  <c r="AI868" i="11" s="1"/>
  <c r="AC868" i="11" s="1"/>
  <c r="BC385" i="11"/>
  <c r="AI385" i="11" s="1"/>
  <c r="AC385" i="11" s="1"/>
  <c r="BC649" i="11"/>
  <c r="AI649" i="11" s="1"/>
  <c r="AC649" i="11" s="1"/>
  <c r="BC719" i="11"/>
  <c r="AI719" i="11" s="1"/>
  <c r="AC719" i="11" s="1"/>
  <c r="BC43" i="11"/>
  <c r="AI43" i="11" s="1"/>
  <c r="AC43" i="11" s="1"/>
  <c r="BC252" i="11"/>
  <c r="AI252" i="11" s="1"/>
  <c r="AC252" i="11" s="1"/>
  <c r="BC489" i="11"/>
  <c r="AI489" i="11" s="1"/>
  <c r="AC489" i="11" s="1"/>
  <c r="BC321" i="11"/>
  <c r="AI321" i="11" s="1"/>
  <c r="AC321" i="11" s="1"/>
  <c r="BC718" i="11"/>
  <c r="AI718" i="11" s="1"/>
  <c r="AC718" i="11" s="1"/>
  <c r="BC290" i="11"/>
  <c r="AI290" i="11" s="1"/>
  <c r="AC290" i="11" s="1"/>
  <c r="BC39" i="11"/>
  <c r="AI39" i="11" s="1"/>
  <c r="AC39" i="11" s="1"/>
  <c r="BC601" i="11"/>
  <c r="AI601" i="11" s="1"/>
  <c r="AC601" i="11" s="1"/>
  <c r="BC437" i="11"/>
  <c r="AI437" i="11" s="1"/>
  <c r="AC437" i="11" s="1"/>
  <c r="BC699" i="11"/>
  <c r="AI699" i="11" s="1"/>
  <c r="AC699" i="11" s="1"/>
  <c r="BC748" i="11"/>
  <c r="AI748" i="11" s="1"/>
  <c r="AC748" i="11" s="1"/>
  <c r="BC118" i="11"/>
  <c r="AI118" i="11" s="1"/>
  <c r="AC118" i="11" s="1"/>
  <c r="BC566" i="11"/>
  <c r="AI566" i="11" s="1"/>
  <c r="AC566" i="11" s="1"/>
  <c r="BC842" i="11"/>
  <c r="AI842" i="11" s="1"/>
  <c r="AC842" i="11" s="1"/>
  <c r="BC760" i="11"/>
  <c r="AI760" i="11" s="1"/>
  <c r="AC760" i="11" s="1"/>
  <c r="BC876" i="11"/>
  <c r="AI876" i="11" s="1"/>
  <c r="AC876" i="11" s="1"/>
  <c r="BC314" i="11"/>
  <c r="AI314" i="11" s="1"/>
  <c r="AC314" i="11" s="1"/>
  <c r="BC904" i="11"/>
  <c r="AI904" i="11" s="1"/>
  <c r="AC904" i="11" s="1"/>
  <c r="BC59" i="11"/>
  <c r="AI59" i="11" s="1"/>
  <c r="AC59" i="11" s="1"/>
  <c r="BC825" i="11"/>
  <c r="AI825" i="11" s="1"/>
  <c r="AC825" i="11" s="1"/>
  <c r="BC929" i="11"/>
  <c r="AI929" i="11" s="1"/>
  <c r="AC929" i="11" s="1"/>
  <c r="BC879" i="11"/>
  <c r="AI879" i="11" s="1"/>
  <c r="AC879" i="11" s="1"/>
  <c r="BC217" i="11"/>
  <c r="AI217" i="11" s="1"/>
  <c r="AC217" i="11" s="1"/>
  <c r="BC447" i="11"/>
  <c r="AI447" i="11" s="1"/>
  <c r="AC447" i="11" s="1"/>
  <c r="BC602" i="11"/>
  <c r="AI602" i="11" s="1"/>
  <c r="AC602" i="11" s="1"/>
  <c r="BC220" i="11"/>
  <c r="AI220" i="11" s="1"/>
  <c r="AC220" i="11" s="1"/>
  <c r="BC62" i="11"/>
  <c r="AI62" i="11" s="1"/>
  <c r="AC62" i="11" s="1"/>
  <c r="BC880" i="11"/>
  <c r="AI880" i="11" s="1"/>
  <c r="AC880" i="11" s="1"/>
  <c r="BC113" i="11"/>
  <c r="AI113" i="11" s="1"/>
  <c r="AC113" i="11" s="1"/>
  <c r="BC585" i="11"/>
  <c r="AI585" i="11" s="1"/>
  <c r="AC585" i="11" s="1"/>
  <c r="BC71" i="11"/>
  <c r="AI71" i="11" s="1"/>
  <c r="AC71" i="11" s="1"/>
  <c r="BC979" i="11"/>
  <c r="AI979" i="11" s="1"/>
  <c r="AC979" i="11" s="1"/>
  <c r="BC67" i="11"/>
  <c r="AI67" i="11" s="1"/>
  <c r="AC67" i="11" s="1"/>
  <c r="BC38" i="11"/>
  <c r="AI38" i="11" s="1"/>
  <c r="AC38" i="11" s="1"/>
  <c r="BC727" i="11"/>
  <c r="AI727" i="11" s="1"/>
  <c r="AC727" i="11" s="1"/>
  <c r="BC145" i="11"/>
  <c r="AI145" i="11" s="1"/>
  <c r="AC145" i="11" s="1"/>
  <c r="BC987" i="11"/>
  <c r="AI987" i="11" s="1"/>
  <c r="AC987" i="11" s="1"/>
  <c r="BC438" i="11"/>
  <c r="AI438" i="11" s="1"/>
  <c r="AC438" i="11" s="1"/>
  <c r="BC530" i="11"/>
  <c r="AI530" i="11" s="1"/>
  <c r="AC530" i="11" s="1"/>
  <c r="BC854" i="11"/>
  <c r="AI854" i="11" s="1"/>
  <c r="AC854" i="11" s="1"/>
  <c r="BC243" i="11"/>
  <c r="AI243" i="11" s="1"/>
  <c r="AC243" i="11" s="1"/>
  <c r="BC726" i="11"/>
  <c r="AI726" i="11" s="1"/>
  <c r="AC726" i="11" s="1"/>
  <c r="BC898" i="11"/>
  <c r="AI898" i="11" s="1"/>
  <c r="AC898" i="11" s="1"/>
  <c r="BC762" i="11"/>
  <c r="AI762" i="11" s="1"/>
  <c r="AC762" i="11" s="1"/>
  <c r="BC413" i="11"/>
  <c r="AI413" i="11" s="1"/>
  <c r="AC413" i="11" s="1"/>
  <c r="BC682" i="11"/>
  <c r="AI682" i="11" s="1"/>
  <c r="AC682" i="11" s="1"/>
  <c r="BC990" i="11"/>
  <c r="AI990" i="11" s="1"/>
  <c r="AC990" i="11" s="1"/>
  <c r="BC358" i="11"/>
  <c r="AI358" i="11" s="1"/>
  <c r="AC358" i="11" s="1"/>
  <c r="BC25" i="11"/>
  <c r="AI25" i="11" s="1"/>
  <c r="AC25" i="11" s="1"/>
  <c r="BC593" i="11"/>
  <c r="AI593" i="11" s="1"/>
  <c r="AC593" i="11" s="1"/>
  <c r="BC660" i="11"/>
  <c r="AI660" i="11" s="1"/>
  <c r="AC660" i="11" s="1"/>
  <c r="BC134" i="11"/>
  <c r="AI134" i="11" s="1"/>
  <c r="AC134" i="11" s="1"/>
  <c r="BC782" i="11"/>
  <c r="AI782" i="11" s="1"/>
  <c r="AC782" i="11" s="1"/>
  <c r="BC520" i="11"/>
  <c r="AI520" i="11" s="1"/>
  <c r="AC520" i="11" s="1"/>
  <c r="BC54" i="11"/>
  <c r="AI54" i="11" s="1"/>
  <c r="AC54" i="11" s="1"/>
  <c r="BC926" i="11"/>
  <c r="AI926" i="11" s="1"/>
  <c r="AC926" i="11" s="1"/>
  <c r="BC255" i="11"/>
  <c r="AI255" i="11" s="1"/>
  <c r="AC255" i="11" s="1"/>
  <c r="BC733" i="11"/>
  <c r="AI733" i="11" s="1"/>
  <c r="AC733" i="11" s="1"/>
  <c r="BC432" i="11"/>
  <c r="AI432" i="11" s="1"/>
  <c r="AC432" i="11" s="1"/>
  <c r="BC16" i="11"/>
  <c r="AI16" i="11" s="1"/>
  <c r="AC16" i="11" s="1"/>
  <c r="BC85" i="11"/>
  <c r="AI85" i="11" s="1"/>
  <c r="AC85" i="11" s="1"/>
  <c r="BC840" i="11"/>
  <c r="AI840" i="11" s="1"/>
  <c r="AC840" i="11" s="1"/>
  <c r="BC139" i="11"/>
  <c r="AI139" i="11" s="1"/>
  <c r="AC139" i="11" s="1"/>
  <c r="BC211" i="11"/>
  <c r="AI211" i="11" s="1"/>
  <c r="AC211" i="11" s="1"/>
  <c r="BC1002" i="11"/>
  <c r="BC17" i="11"/>
  <c r="AI17" i="11" s="1"/>
  <c r="AC17" i="11" s="1"/>
  <c r="BC458" i="11"/>
  <c r="AI458" i="11" s="1"/>
  <c r="AC458" i="11" s="1"/>
  <c r="BC32" i="11"/>
  <c r="AI32" i="11" s="1"/>
  <c r="AC32" i="11" s="1"/>
  <c r="BC19" i="11"/>
  <c r="AI19" i="11" s="1"/>
  <c r="AC19" i="11" s="1"/>
  <c r="BC553" i="11"/>
  <c r="AI553" i="11" s="1"/>
  <c r="AC553" i="11" s="1"/>
  <c r="BC770" i="11"/>
  <c r="AI770" i="11" s="1"/>
  <c r="AC770" i="11" s="1"/>
  <c r="BC793" i="11"/>
  <c r="AI793" i="11" s="1"/>
  <c r="AC793" i="11" s="1"/>
  <c r="BC539" i="11"/>
  <c r="AI539" i="11" s="1"/>
  <c r="AC539" i="11" s="1"/>
  <c r="BC989" i="11"/>
  <c r="AI989" i="11" s="1"/>
  <c r="AC989" i="11" s="1"/>
  <c r="BC830" i="11"/>
  <c r="AI830" i="11" s="1"/>
  <c r="AC830" i="11" s="1"/>
  <c r="BC511" i="11"/>
  <c r="AI511" i="11" s="1"/>
  <c r="AC511" i="11" s="1"/>
  <c r="BC745" i="11"/>
  <c r="AI745" i="11" s="1"/>
  <c r="AC745" i="11" s="1"/>
  <c r="BC919" i="11"/>
  <c r="AI919" i="11" s="1"/>
  <c r="AC919" i="11" s="1"/>
  <c r="BC259" i="11"/>
  <c r="AI259" i="11" s="1"/>
  <c r="AC259" i="11" s="1"/>
  <c r="BC599" i="11"/>
  <c r="AI599" i="11" s="1"/>
  <c r="AC599" i="11" s="1"/>
  <c r="BC623" i="11"/>
  <c r="AI623" i="11" s="1"/>
  <c r="AC623" i="11" s="1"/>
  <c r="BC952" i="11"/>
  <c r="AI952" i="11" s="1"/>
  <c r="AC952" i="11" s="1"/>
  <c r="BC61" i="11"/>
  <c r="AI61" i="11" s="1"/>
  <c r="AC61" i="11" s="1"/>
  <c r="BC367" i="11"/>
  <c r="AI367" i="11" s="1"/>
  <c r="AC367" i="11" s="1"/>
  <c r="BC687" i="11"/>
  <c r="AI687" i="11" s="1"/>
  <c r="AC687" i="11" s="1"/>
  <c r="BC997" i="11"/>
  <c r="AI997" i="11" s="1"/>
  <c r="AC997" i="11" s="1"/>
  <c r="BC792" i="11"/>
  <c r="AI792" i="11" s="1"/>
  <c r="AC792" i="11" s="1"/>
  <c r="BC712" i="11"/>
  <c r="AI712" i="11" s="1"/>
  <c r="AC712" i="11" s="1"/>
  <c r="BC908" i="11"/>
  <c r="AI908" i="11" s="1"/>
  <c r="AC908" i="11" s="1"/>
  <c r="BC190" i="11"/>
  <c r="AI190" i="11" s="1"/>
  <c r="AC190" i="11" s="1"/>
  <c r="BC529" i="11"/>
  <c r="AI529" i="11" s="1"/>
  <c r="AC529" i="11" s="1"/>
  <c r="BC590" i="11"/>
  <c r="AI590" i="11" s="1"/>
  <c r="AC590" i="11" s="1"/>
  <c r="BC286" i="11"/>
  <c r="AI286" i="11" s="1"/>
  <c r="AC286" i="11" s="1"/>
  <c r="BC598" i="11"/>
  <c r="AI598" i="11" s="1"/>
  <c r="AC598" i="11" s="1"/>
  <c r="BC430" i="11"/>
  <c r="AI430" i="11" s="1"/>
  <c r="AC430" i="11" s="1"/>
  <c r="BC315" i="11"/>
  <c r="AI315" i="11" s="1"/>
  <c r="AC315" i="11" s="1"/>
  <c r="BC872" i="11"/>
  <c r="AI872" i="11" s="1"/>
  <c r="AC872" i="11" s="1"/>
  <c r="BC759" i="11"/>
  <c r="AI759" i="11" s="1"/>
  <c r="AC759" i="11" s="1"/>
  <c r="BC855" i="11"/>
  <c r="AI855" i="11" s="1"/>
  <c r="AC855" i="11" s="1"/>
  <c r="BC547" i="11"/>
  <c r="AI547" i="11" s="1"/>
  <c r="AC547" i="11" s="1"/>
  <c r="BC715" i="11"/>
  <c r="AI715" i="11" s="1"/>
  <c r="AC715" i="11" s="1"/>
  <c r="BC675" i="11"/>
  <c r="AI675" i="11" s="1"/>
  <c r="AC675" i="11" s="1"/>
  <c r="BC320" i="11"/>
  <c r="AI320" i="11" s="1"/>
  <c r="AC320" i="11" s="1"/>
  <c r="BC991" i="11"/>
  <c r="AI991" i="11" s="1"/>
  <c r="AC991" i="11" s="1"/>
  <c r="BC984" i="11"/>
  <c r="AI984" i="11" s="1"/>
  <c r="AC984" i="11" s="1"/>
  <c r="BC771" i="11"/>
  <c r="AI771" i="11" s="1"/>
  <c r="AC771" i="11" s="1"/>
  <c r="BC351" i="11"/>
  <c r="AI351" i="11" s="1"/>
  <c r="AC351" i="11" s="1"/>
  <c r="BC115" i="11"/>
  <c r="AI115" i="11" s="1"/>
  <c r="AC115" i="11" s="1"/>
  <c r="BC538" i="11"/>
  <c r="AI538" i="11" s="1"/>
  <c r="AC538" i="11" s="1"/>
  <c r="BC460" i="11"/>
  <c r="AI460" i="11" s="1"/>
  <c r="AC460" i="11" s="1"/>
  <c r="BC60" i="11"/>
  <c r="AI60" i="11" s="1"/>
  <c r="AC60" i="11" s="1"/>
  <c r="BC513" i="11"/>
  <c r="AI513" i="11" s="1"/>
  <c r="AC513" i="11" s="1"/>
  <c r="BC257" i="11"/>
  <c r="AI257" i="11" s="1"/>
  <c r="AC257" i="11" s="1"/>
  <c r="BC709" i="11"/>
  <c r="AI709" i="11" s="1"/>
  <c r="AC709" i="11" s="1"/>
  <c r="BC775" i="11"/>
  <c r="AI775" i="11" s="1"/>
  <c r="AC775" i="11" s="1"/>
  <c r="BC140" i="11"/>
  <c r="AI140" i="11" s="1"/>
  <c r="AC140" i="11" s="1"/>
  <c r="BC420" i="11"/>
  <c r="AI420" i="11" s="1"/>
  <c r="AC420" i="11" s="1"/>
  <c r="BC639" i="11"/>
  <c r="AI639" i="11" s="1"/>
  <c r="AC639" i="11" s="1"/>
  <c r="BC377" i="11"/>
  <c r="AI377" i="11" s="1"/>
  <c r="AC377" i="11" s="1"/>
  <c r="BC763" i="11"/>
  <c r="AI763" i="11" s="1"/>
  <c r="AC763" i="11" s="1"/>
  <c r="BC423" i="11"/>
  <c r="AI423" i="11" s="1"/>
  <c r="AC423" i="11" s="1"/>
  <c r="BC629" i="11"/>
  <c r="AI629" i="11" s="1"/>
  <c r="AC629" i="11" s="1"/>
  <c r="BC74" i="11"/>
  <c r="AI74" i="11" s="1"/>
  <c r="AC74" i="11" s="1"/>
  <c r="BC647" i="11"/>
  <c r="AI647" i="11" s="1"/>
  <c r="AC647" i="11" s="1"/>
  <c r="BC96" i="11"/>
  <c r="AI96" i="11" s="1"/>
  <c r="AC96" i="11" s="1"/>
  <c r="BC394" i="11"/>
  <c r="AI394" i="11" s="1"/>
  <c r="AC394" i="11" s="1"/>
  <c r="BC169" i="11"/>
  <c r="AI169" i="11" s="1"/>
  <c r="AC169" i="11" s="1"/>
  <c r="BC939" i="11"/>
  <c r="AI939" i="11" s="1"/>
  <c r="AC939" i="11" s="1"/>
  <c r="BC222" i="11"/>
  <c r="AI222" i="11" s="1"/>
  <c r="AC222" i="11" s="1"/>
  <c r="BC820" i="11"/>
  <c r="AI820" i="11" s="1"/>
  <c r="AC820" i="11" s="1"/>
  <c r="BC767" i="11"/>
  <c r="AI767" i="11" s="1"/>
  <c r="AC767" i="11" s="1"/>
  <c r="BC594" i="11"/>
  <c r="AI594" i="11" s="1"/>
  <c r="AC594" i="11" s="1"/>
  <c r="BC31" i="11"/>
  <c r="AI31" i="11" s="1"/>
  <c r="AC31" i="11" s="1"/>
  <c r="BC614" i="11"/>
  <c r="AI614" i="11" s="1"/>
  <c r="AC614" i="11" s="1"/>
  <c r="BC378" i="11"/>
  <c r="AI378" i="11" s="1"/>
  <c r="AC378" i="11" s="1"/>
  <c r="BC895" i="11"/>
  <c r="AI895" i="11" s="1"/>
  <c r="AC895" i="11" s="1"/>
  <c r="BC829" i="11"/>
  <c r="AI829" i="11" s="1"/>
  <c r="AC829" i="11" s="1"/>
  <c r="BC826" i="11"/>
  <c r="AI826" i="11" s="1"/>
  <c r="AC826" i="11" s="1"/>
  <c r="BC241" i="11"/>
  <c r="AI241" i="11" s="1"/>
  <c r="AC241" i="11" s="1"/>
  <c r="BC681" i="11"/>
  <c r="AI681" i="11" s="1"/>
  <c r="AC681" i="11" s="1"/>
  <c r="BC469" i="11"/>
  <c r="AI469" i="11" s="1"/>
  <c r="AC469" i="11" s="1"/>
  <c r="BC843" i="11"/>
  <c r="AI843" i="11" s="1"/>
  <c r="AC843" i="11" s="1"/>
  <c r="BC239" i="11"/>
  <c r="AI239" i="11" s="1"/>
  <c r="AC239" i="11" s="1"/>
  <c r="BC750" i="11"/>
  <c r="AI750" i="11" s="1"/>
  <c r="AC750" i="11" s="1"/>
  <c r="BC783" i="11"/>
  <c r="AI783" i="11" s="1"/>
  <c r="AC783" i="11" s="1"/>
  <c r="BC87" i="11"/>
  <c r="AI87" i="11" s="1"/>
  <c r="AC87" i="11" s="1"/>
  <c r="BC889" i="11"/>
  <c r="AI889" i="11" s="1"/>
  <c r="AC889" i="11" s="1"/>
  <c r="BC418" i="11"/>
  <c r="AI418" i="11" s="1"/>
  <c r="AC418" i="11" s="1"/>
  <c r="BC26" i="11"/>
  <c r="AI26" i="11" s="1"/>
  <c r="AC26" i="11" s="1"/>
  <c r="BC890" i="11"/>
  <c r="AI890" i="11" s="1"/>
  <c r="AC890" i="11" s="1"/>
  <c r="BC158" i="11"/>
  <c r="AI158" i="11" s="1"/>
  <c r="AC158" i="11" s="1"/>
  <c r="BC811" i="11"/>
  <c r="AI811" i="11" s="1"/>
  <c r="AC811" i="11" s="1"/>
  <c r="BC274" i="11"/>
  <c r="AI274" i="11" s="1"/>
  <c r="AC274" i="11" s="1"/>
  <c r="BC592" i="11"/>
  <c r="AI592" i="11" s="1"/>
  <c r="AC592" i="11" s="1"/>
  <c r="BC519" i="11"/>
  <c r="AI519" i="11" s="1"/>
  <c r="AC519" i="11" s="1"/>
  <c r="BC207" i="11"/>
  <c r="AI207" i="11" s="1"/>
  <c r="AC207" i="11" s="1"/>
  <c r="BC605" i="11"/>
  <c r="AI605" i="11" s="1"/>
  <c r="AC605" i="11" s="1"/>
  <c r="BC885" i="11"/>
  <c r="AI885" i="11" s="1"/>
  <c r="AC885" i="11" s="1"/>
  <c r="BC964" i="11"/>
  <c r="AI964" i="11" s="1"/>
  <c r="AC964" i="11" s="1"/>
  <c r="BC975" i="11"/>
  <c r="AI975" i="11" s="1"/>
  <c r="AC975" i="11" s="1"/>
  <c r="BC114" i="11"/>
  <c r="AI114" i="11" s="1"/>
  <c r="AC114" i="11" s="1"/>
  <c r="BC267" i="11"/>
  <c r="AI267" i="11" s="1"/>
  <c r="AC267" i="11" s="1"/>
  <c r="BC650" i="11"/>
  <c r="AI650" i="11" s="1"/>
  <c r="AC650" i="11" s="1"/>
  <c r="BC93" i="11"/>
  <c r="AI93" i="11" s="1"/>
  <c r="AC93" i="11" s="1"/>
  <c r="BC662" i="11"/>
  <c r="AI662" i="11" s="1"/>
  <c r="AC662" i="11" s="1"/>
  <c r="BC417" i="11"/>
  <c r="AI417" i="11" s="1"/>
  <c r="AC417" i="11" s="1"/>
  <c r="BC942" i="11"/>
  <c r="AI942" i="11" s="1"/>
  <c r="AC942" i="11" s="1"/>
  <c r="BC363" i="11"/>
  <c r="AI363" i="11" s="1"/>
  <c r="AC363" i="11" s="1"/>
  <c r="BC894" i="11"/>
  <c r="AI894" i="11" s="1"/>
  <c r="AC894" i="11" s="1"/>
  <c r="BC978" i="11"/>
  <c r="AI978" i="11" s="1"/>
  <c r="AC978" i="11" s="1"/>
  <c r="BC959" i="11"/>
  <c r="AI959" i="11" s="1"/>
  <c r="AC959" i="11" s="1"/>
  <c r="BC359" i="11"/>
  <c r="AI359" i="11" s="1"/>
  <c r="AC359" i="11" s="1"/>
  <c r="BC531" i="11"/>
  <c r="AI531" i="11" s="1"/>
  <c r="AC531" i="11" s="1"/>
  <c r="BC126" i="11"/>
  <c r="AI126" i="11" s="1"/>
  <c r="AC126" i="11" s="1"/>
  <c r="BC230" i="11"/>
  <c r="AI230" i="11" s="1"/>
  <c r="AC230" i="11" s="1"/>
  <c r="BC173" i="11"/>
  <c r="AI173" i="11" s="1"/>
  <c r="AC173" i="11" s="1"/>
  <c r="BC335" i="11"/>
  <c r="AI335" i="11" s="1"/>
  <c r="AC335" i="11" s="1"/>
  <c r="BC721" i="11"/>
  <c r="AI721" i="11" s="1"/>
  <c r="AC721" i="11" s="1"/>
  <c r="BC182" i="11"/>
  <c r="AI182" i="11" s="1"/>
  <c r="AC182" i="11" s="1"/>
  <c r="BC754" i="11"/>
  <c r="AI754" i="11" s="1"/>
  <c r="AC754" i="11" s="1"/>
  <c r="BC386" i="11"/>
  <c r="AI386" i="11" s="1"/>
  <c r="AC386" i="11" s="1"/>
  <c r="BC104" i="11"/>
  <c r="AI104" i="11" s="1"/>
  <c r="AC104" i="11" s="1"/>
  <c r="BC174" i="11"/>
  <c r="AI174" i="11" s="1"/>
  <c r="AC174" i="11" s="1"/>
  <c r="BC625" i="11"/>
  <c r="AI625" i="11" s="1"/>
  <c r="AC625" i="11" s="1"/>
  <c r="BC730" i="11"/>
  <c r="AI730" i="11" s="1"/>
  <c r="AC730" i="11" s="1"/>
  <c r="BC751" i="11"/>
  <c r="AI751" i="11" s="1"/>
  <c r="AC751" i="11" s="1"/>
  <c r="BC578" i="11"/>
  <c r="AI578" i="11" s="1"/>
  <c r="AC578" i="11" s="1"/>
  <c r="BC15" i="11"/>
  <c r="AI15" i="11" s="1"/>
  <c r="AC15" i="11" s="1"/>
  <c r="BC903" i="11"/>
  <c r="AI903" i="11" s="1"/>
  <c r="AC903" i="11" s="1"/>
  <c r="BC648" i="11"/>
  <c r="AI648" i="11" s="1"/>
  <c r="AC648" i="11" s="1"/>
  <c r="BC769" i="11"/>
  <c r="AI769" i="11" s="1"/>
  <c r="AC769" i="11" s="1"/>
  <c r="BC527" i="11"/>
  <c r="AI527" i="11" s="1"/>
  <c r="AC527" i="11" s="1"/>
  <c r="BC245" i="11"/>
  <c r="AI245" i="11" s="1"/>
  <c r="AC245" i="11" s="1"/>
  <c r="BC407" i="11"/>
  <c r="AI407" i="11" s="1"/>
  <c r="AC407" i="11" s="1"/>
  <c r="BC205" i="11"/>
  <c r="AI205" i="11" s="1"/>
  <c r="AC205" i="11" s="1"/>
  <c r="BC187" i="11"/>
  <c r="AI187" i="11" s="1"/>
  <c r="AC187" i="11" s="1"/>
  <c r="BC355" i="11"/>
  <c r="AI355" i="11" s="1"/>
  <c r="AC355" i="11" s="1"/>
  <c r="BC586" i="11"/>
  <c r="AI586" i="11" s="1"/>
  <c r="AC586" i="11" s="1"/>
  <c r="BC839" i="11"/>
  <c r="AI839" i="11" s="1"/>
  <c r="AC839" i="11" s="1"/>
  <c r="BC995" i="11"/>
  <c r="AI995" i="11" s="1"/>
  <c r="AC995" i="11" s="1"/>
  <c r="BC711" i="11"/>
  <c r="AI711" i="11" s="1"/>
  <c r="AC711" i="11" s="1"/>
  <c r="BC387" i="11"/>
  <c r="AI387" i="11" s="1"/>
  <c r="AC387" i="11" s="1"/>
  <c r="BC910" i="11"/>
  <c r="AI910" i="11" s="1"/>
  <c r="AC910" i="11" s="1"/>
  <c r="BC630" i="11"/>
  <c r="AI630" i="11" s="1"/>
  <c r="AC630" i="11" s="1"/>
  <c r="BC973" i="11"/>
  <c r="AI973" i="11" s="1"/>
  <c r="AC973" i="11" s="1"/>
  <c r="BC757" i="11"/>
  <c r="AI757" i="11" s="1"/>
  <c r="AC757" i="11" s="1"/>
  <c r="BC227" i="11"/>
  <c r="AI227" i="11" s="1"/>
  <c r="AC227" i="11" s="1"/>
  <c r="BC994" i="11"/>
  <c r="AI994" i="11" s="1"/>
  <c r="AC994" i="11" s="1"/>
  <c r="BC439" i="11"/>
  <c r="AI439" i="11" s="1"/>
  <c r="AC439" i="11" s="1"/>
  <c r="BC859" i="11"/>
  <c r="AI859" i="11" s="1"/>
  <c r="AC859" i="11" s="1"/>
  <c r="BC275" i="11"/>
  <c r="AI275" i="11" s="1"/>
  <c r="AC275" i="11" s="1"/>
  <c r="BC427" i="11"/>
  <c r="AI427" i="11" s="1"/>
  <c r="AC427" i="11" s="1"/>
  <c r="BC962" i="11"/>
  <c r="AI962" i="11" s="1"/>
  <c r="AC962" i="11" s="1"/>
  <c r="BC251" i="11"/>
  <c r="AI251" i="11" s="1"/>
  <c r="AC251" i="11" s="1"/>
  <c r="BC346" i="11"/>
  <c r="AI346" i="11" s="1"/>
  <c r="AC346" i="11" s="1"/>
  <c r="BC565" i="11"/>
  <c r="AI565" i="11" s="1"/>
  <c r="AC565" i="11" s="1"/>
  <c r="BC474" i="11"/>
  <c r="AI474" i="11" s="1"/>
  <c r="AC474" i="11" s="1"/>
  <c r="BC610" i="11"/>
  <c r="AI610" i="11" s="1"/>
  <c r="AC610" i="11" s="1"/>
  <c r="BC273" i="11"/>
  <c r="AI273" i="11" s="1"/>
  <c r="AC273" i="11" s="1"/>
  <c r="BC646" i="11"/>
  <c r="AI646" i="11" s="1"/>
  <c r="AC646" i="11" s="1"/>
  <c r="BC319" i="11"/>
  <c r="AI319" i="11" s="1"/>
  <c r="AC319" i="11" s="1"/>
  <c r="BC878" i="11"/>
  <c r="AI878" i="11" s="1"/>
  <c r="AC878" i="11" s="1"/>
  <c r="BC758" i="11"/>
  <c r="AI758" i="11" s="1"/>
  <c r="AC758" i="11" s="1"/>
  <c r="BC710" i="11"/>
  <c r="AI710" i="11" s="1"/>
  <c r="AC710" i="11" s="1"/>
  <c r="BC707" i="11"/>
  <c r="AI707" i="11" s="1"/>
  <c r="AC707" i="11" s="1"/>
  <c r="BC22" i="11"/>
  <c r="AI22" i="11" s="1"/>
  <c r="AC22" i="11" s="1"/>
  <c r="BC149" i="11"/>
  <c r="AI149" i="11" s="1"/>
  <c r="AC149" i="11" s="1"/>
  <c r="BC809" i="11"/>
  <c r="AI809" i="11" s="1"/>
  <c r="AC809" i="11" s="1"/>
  <c r="BC983" i="11"/>
  <c r="AI983" i="11" s="1"/>
  <c r="AC983" i="11" s="1"/>
  <c r="BC722" i="11"/>
  <c r="AI722" i="11" s="1"/>
  <c r="AC722" i="11" s="1"/>
  <c r="BC281" i="11"/>
  <c r="AI281" i="11" s="1"/>
  <c r="AC281" i="11" s="1"/>
  <c r="BC693" i="11"/>
  <c r="AI693" i="11" s="1"/>
  <c r="AC693" i="11" s="1"/>
  <c r="BC498" i="11"/>
  <c r="AI498" i="11" s="1"/>
  <c r="AC498" i="11" s="1"/>
  <c r="BC935" i="11"/>
  <c r="AI935" i="11" s="1"/>
  <c r="AC935" i="11" s="1"/>
  <c r="BC90" i="11"/>
  <c r="AI90" i="11" s="1"/>
  <c r="AC90" i="11" s="1"/>
  <c r="BC135" i="11"/>
  <c r="AI135" i="11" s="1"/>
  <c r="AC135" i="11" s="1"/>
  <c r="BC795" i="11"/>
  <c r="AI795" i="11" s="1"/>
  <c r="AC795" i="11" s="1"/>
  <c r="BC124" i="11"/>
  <c r="AI124" i="11" s="1"/>
  <c r="AC124" i="11" s="1"/>
  <c r="BC883" i="11"/>
  <c r="AI883" i="11" s="1"/>
  <c r="AC883" i="11" s="1"/>
  <c r="BC399" i="11"/>
  <c r="AI399" i="11" s="1"/>
  <c r="AC399" i="11" s="1"/>
  <c r="BC178" i="11"/>
  <c r="AI178" i="11" s="1"/>
  <c r="AC178" i="11" s="1"/>
  <c r="BC494" i="11"/>
  <c r="AI494" i="11" s="1"/>
  <c r="AC494" i="11" s="1"/>
  <c r="BC487" i="11"/>
  <c r="AI487" i="11" s="1"/>
  <c r="AC487" i="11" s="1"/>
  <c r="BC743" i="11"/>
  <c r="AI743" i="11" s="1"/>
  <c r="AC743" i="11" s="1"/>
  <c r="BC869" i="11"/>
  <c r="AI869" i="11" s="1"/>
  <c r="AC869" i="11" s="1"/>
  <c r="BC258" i="11"/>
  <c r="AI258" i="11" s="1"/>
  <c r="AC258" i="11" s="1"/>
  <c r="BC663" i="11"/>
  <c r="AI663" i="11" s="1"/>
  <c r="AC663" i="11" s="1"/>
  <c r="BC270" i="11"/>
  <c r="AI270" i="11" s="1"/>
  <c r="AC270" i="11" s="1"/>
  <c r="BC443" i="11"/>
  <c r="AI443" i="11" s="1"/>
  <c r="AC443" i="11" s="1"/>
  <c r="BC882" i="11"/>
  <c r="AI882" i="11" s="1"/>
  <c r="AC882" i="11" s="1"/>
  <c r="BC347" i="11"/>
  <c r="AI347" i="11" s="1"/>
  <c r="AC347" i="11" s="1"/>
  <c r="BC595" i="11"/>
  <c r="AI595" i="11" s="1"/>
  <c r="AC595" i="11" s="1"/>
  <c r="BC21" i="11"/>
  <c r="AI21" i="11" s="1"/>
  <c r="AC21" i="11" s="1"/>
  <c r="BC664" i="11"/>
  <c r="AI664" i="11" s="1"/>
  <c r="AC664" i="11" s="1"/>
  <c r="BC157" i="11"/>
  <c r="AI157" i="11" s="1"/>
  <c r="AC157" i="11" s="1"/>
  <c r="BC744" i="11"/>
  <c r="AI744" i="11" s="1"/>
  <c r="AC744" i="11" s="1"/>
  <c r="BC395" i="11"/>
  <c r="AI395" i="11" s="1"/>
  <c r="AC395" i="11" s="1"/>
  <c r="BC400" i="11"/>
  <c r="AI400" i="11" s="1"/>
  <c r="AC400" i="11" s="1"/>
  <c r="BC667" i="11"/>
  <c r="AI667" i="11" s="1"/>
  <c r="AC667" i="11" s="1"/>
  <c r="BC490" i="11"/>
  <c r="AI490" i="11" s="1"/>
  <c r="AC490" i="11" s="1"/>
  <c r="BC798" i="11"/>
  <c r="AI798" i="11" s="1"/>
  <c r="AC798" i="11" s="1"/>
  <c r="BC46" i="11"/>
  <c r="AI46" i="11" s="1"/>
  <c r="AC46" i="11" s="1"/>
  <c r="BC69" i="11"/>
  <c r="AI69" i="11" s="1"/>
  <c r="AC69" i="11" s="1"/>
  <c r="BC706" i="11"/>
  <c r="AI706" i="11" s="1"/>
  <c r="AC706" i="11" s="1"/>
  <c r="BC934" i="11"/>
  <c r="AI934" i="11" s="1"/>
  <c r="AC934" i="11" s="1"/>
  <c r="BC353" i="11"/>
  <c r="AI353" i="11" s="1"/>
  <c r="AC353" i="11" s="1"/>
  <c r="BC106" i="11"/>
  <c r="AI106" i="11" s="1"/>
  <c r="AC106" i="11" s="1"/>
  <c r="BC167" i="11"/>
  <c r="AI167" i="11" s="1"/>
  <c r="AC167" i="11" s="1"/>
  <c r="BC947" i="11"/>
  <c r="AI947" i="11" s="1"/>
  <c r="AC947" i="11" s="1"/>
  <c r="BC838" i="11"/>
  <c r="AI838" i="11" s="1"/>
  <c r="AC838" i="11" s="1"/>
  <c r="BC905" i="11"/>
  <c r="AI905" i="11" s="1"/>
  <c r="AC905" i="11" s="1"/>
  <c r="BC454" i="11"/>
  <c r="AI454" i="11" s="1"/>
  <c r="AC454" i="11" s="1"/>
  <c r="BC794" i="11"/>
  <c r="AI794" i="11" s="1"/>
  <c r="AC794" i="11" s="1"/>
  <c r="BC203" i="11"/>
  <c r="AI203" i="11" s="1"/>
  <c r="AC203" i="11" s="1"/>
  <c r="BC930" i="11"/>
  <c r="AI930" i="11" s="1"/>
  <c r="AC930" i="11" s="1"/>
  <c r="BC12" i="11"/>
  <c r="AI12" i="11" s="1"/>
  <c r="AC12" i="11" s="1"/>
  <c r="BC535" i="11"/>
  <c r="AI535" i="11" s="1"/>
  <c r="AC535" i="11" s="1"/>
  <c r="BC402" i="11"/>
  <c r="AI402" i="11" s="1"/>
  <c r="AC402" i="11" s="1"/>
  <c r="BC171" i="11"/>
  <c r="AI171" i="11" s="1"/>
  <c r="AC171" i="11" s="1"/>
  <c r="BC515" i="11"/>
  <c r="AI515" i="11" s="1"/>
  <c r="AC515" i="11" s="1"/>
  <c r="BC130" i="11"/>
  <c r="AI130" i="11" s="1"/>
  <c r="AC130" i="11" s="1"/>
  <c r="BC322" i="11"/>
  <c r="AI322" i="11" s="1"/>
  <c r="AC322" i="11" s="1"/>
  <c r="BC242" i="11"/>
  <c r="AI242" i="11" s="1"/>
  <c r="AC242" i="11" s="1"/>
  <c r="BC731" i="11"/>
  <c r="AI731" i="11" s="1"/>
  <c r="AC731" i="11" s="1"/>
  <c r="BC944" i="11"/>
  <c r="AI944" i="11" s="1"/>
  <c r="AC944" i="11" s="1"/>
  <c r="BC294" i="11"/>
  <c r="AI294" i="11" s="1"/>
  <c r="AC294" i="11" s="1"/>
  <c r="BC250" i="11"/>
  <c r="AI250" i="11" s="1"/>
  <c r="AC250" i="11" s="1"/>
  <c r="BC543" i="11"/>
  <c r="AI543" i="11" s="1"/>
  <c r="AC543" i="11" s="1"/>
  <c r="BC486" i="11"/>
  <c r="AI486" i="11" s="1"/>
  <c r="AC486" i="11" s="1"/>
  <c r="BC191" i="11"/>
  <c r="AI191" i="11" s="1"/>
  <c r="AC191" i="11" s="1"/>
  <c r="BC618" i="11"/>
  <c r="AI618" i="11" s="1"/>
  <c r="AC618" i="11" s="1"/>
  <c r="BC560" i="11"/>
  <c r="AI560" i="11" s="1"/>
  <c r="AC560" i="11" s="1"/>
  <c r="BC127" i="11"/>
  <c r="AI127" i="11" s="1"/>
  <c r="AC127" i="11" s="1"/>
  <c r="BC206" i="11"/>
  <c r="AI206" i="11" s="1"/>
  <c r="AC206" i="11" s="1"/>
  <c r="BC931" i="11"/>
  <c r="AI931" i="11" s="1"/>
  <c r="AC931" i="11" s="1"/>
  <c r="BC405" i="11"/>
  <c r="AI405" i="11" s="1"/>
  <c r="AC405" i="11" s="1"/>
  <c r="BC306" i="11"/>
  <c r="AI306" i="11" s="1"/>
  <c r="AC306" i="11" s="1"/>
  <c r="BC318" i="11"/>
  <c r="AI318" i="11" s="1"/>
  <c r="AC318" i="11" s="1"/>
  <c r="BC379" i="11"/>
  <c r="AI379" i="11" s="1"/>
  <c r="AC379" i="11" s="1"/>
  <c r="BC702" i="11"/>
  <c r="AI702" i="11" s="1"/>
  <c r="AC702" i="11" s="1"/>
  <c r="BC923" i="11"/>
  <c r="AI923" i="11" s="1"/>
  <c r="AC923" i="11" s="1"/>
  <c r="BC287" i="11"/>
  <c r="AI287" i="11" s="1"/>
  <c r="AC287" i="11" s="1"/>
  <c r="BC981" i="11"/>
  <c r="AI981" i="11" s="1"/>
  <c r="AC981" i="11" s="1"/>
  <c r="BC189" i="11"/>
  <c r="AI189" i="11" s="1"/>
  <c r="AC189" i="11" s="1"/>
  <c r="BC86" i="11"/>
  <c r="AI86" i="11" s="1"/>
  <c r="AC86" i="11" s="1"/>
  <c r="BC27" i="11"/>
  <c r="AI27" i="11" s="1"/>
  <c r="AC27" i="11" s="1"/>
  <c r="BC435" i="11"/>
  <c r="AI435" i="11" s="1"/>
  <c r="AC435" i="11" s="1"/>
  <c r="BC116" i="11"/>
  <c r="AI116" i="11" s="1"/>
  <c r="AC116" i="11" s="1"/>
  <c r="BC278" i="11"/>
  <c r="AI278" i="11" s="1"/>
  <c r="AC278" i="11" s="1"/>
  <c r="BC804" i="11"/>
  <c r="AI804" i="11" s="1"/>
  <c r="AC804" i="11" s="1"/>
  <c r="BC382" i="11"/>
  <c r="AI382" i="11" s="1"/>
  <c r="AC382" i="11" s="1"/>
  <c r="BC391" i="11"/>
  <c r="AI391" i="11" s="1"/>
  <c r="AC391" i="11" s="1"/>
  <c r="BC253" i="11"/>
  <c r="AI253" i="11" s="1"/>
  <c r="AC253" i="11" s="1"/>
  <c r="BC616" i="11"/>
  <c r="AI616" i="11" s="1"/>
  <c r="AC616" i="11" s="1"/>
  <c r="BC298" i="11"/>
  <c r="AI298" i="11" s="1"/>
  <c r="AC298" i="11" s="1"/>
  <c r="BC150" i="11"/>
  <c r="AI150" i="11" s="1"/>
  <c r="AC150" i="11" s="1"/>
  <c r="BC142" i="11"/>
  <c r="AI142" i="11" s="1"/>
  <c r="AC142" i="11" s="1"/>
  <c r="BC181" i="11"/>
  <c r="AI181" i="11" s="1"/>
  <c r="AC181" i="11" s="1"/>
  <c r="BC982" i="11"/>
  <c r="AI982" i="11" s="1"/>
  <c r="AC982" i="11" s="1"/>
  <c r="BC98" i="11"/>
  <c r="AI98" i="11" s="1"/>
  <c r="AC98" i="11" s="1"/>
  <c r="BC133" i="11"/>
  <c r="AI133" i="11" s="1"/>
  <c r="AC133" i="11" s="1"/>
  <c r="BC778" i="11"/>
  <c r="AI778" i="11" s="1"/>
  <c r="AC778" i="11" s="1"/>
  <c r="BC233" i="11"/>
  <c r="AI233" i="11" s="1"/>
  <c r="AC233" i="11" s="1"/>
  <c r="BC263" i="11"/>
  <c r="AI263" i="11" s="1"/>
  <c r="AC263" i="11" s="1"/>
  <c r="BC591" i="11"/>
  <c r="AI591" i="11" s="1"/>
  <c r="AC591" i="11" s="1"/>
  <c r="BC791" i="11"/>
  <c r="AI791" i="11" s="1"/>
  <c r="AC791" i="11" s="1"/>
  <c r="BC166" i="11"/>
  <c r="AI166" i="11" s="1"/>
  <c r="AC166" i="11" s="1"/>
  <c r="BC83" i="11"/>
  <c r="AI83" i="11" s="1"/>
  <c r="AC83" i="11" s="1"/>
  <c r="BC429" i="11"/>
  <c r="AI429" i="11" s="1"/>
  <c r="AC429" i="11" s="1"/>
  <c r="BC329" i="11"/>
  <c r="AI329" i="11" s="1"/>
  <c r="AC329" i="11" s="1"/>
  <c r="BC875" i="11"/>
  <c r="AI875" i="11" s="1"/>
  <c r="AC875" i="11" s="1"/>
  <c r="BC369" i="11"/>
  <c r="AI369" i="11" s="1"/>
  <c r="AC369" i="11" s="1"/>
  <c r="BC229" i="11"/>
  <c r="AI229" i="11" s="1"/>
  <c r="AC229" i="11" s="1"/>
  <c r="BC201" i="11"/>
  <c r="AI201" i="11" s="1"/>
  <c r="AC201" i="11" s="1"/>
  <c r="BC575" i="11"/>
  <c r="AI575" i="11" s="1"/>
  <c r="AC575" i="11" s="1"/>
  <c r="BC231" i="11"/>
  <c r="AI231" i="11" s="1"/>
  <c r="AC231" i="11" s="1"/>
  <c r="BC893" i="11"/>
  <c r="AI893" i="11" s="1"/>
  <c r="AC893" i="11" s="1"/>
  <c r="BC162" i="11"/>
  <c r="AI162" i="11" s="1"/>
  <c r="AC162" i="11" s="1"/>
  <c r="BC548" i="11"/>
  <c r="AI548" i="11" s="1"/>
  <c r="AC548" i="11" s="1"/>
  <c r="BC655" i="11"/>
  <c r="AI655" i="11" s="1"/>
  <c r="AC655" i="11" s="1"/>
  <c r="BC475" i="11"/>
  <c r="AI475" i="11" s="1"/>
  <c r="AC475" i="11" s="1"/>
  <c r="BC129" i="11"/>
  <c r="AI129" i="11" s="1"/>
  <c r="AC129" i="11" s="1"/>
  <c r="BC154" i="11"/>
  <c r="AI154" i="11" s="1"/>
  <c r="AC154" i="11" s="1"/>
  <c r="BC219" i="11"/>
  <c r="AI219" i="11" s="1"/>
  <c r="AC219" i="11" s="1"/>
  <c r="BC951" i="11"/>
  <c r="AI951" i="11" s="1"/>
  <c r="AC951" i="11" s="1"/>
  <c r="BC922" i="11"/>
  <c r="AI922" i="11" s="1"/>
  <c r="AC922" i="11" s="1"/>
  <c r="BC768" i="11"/>
  <c r="AI768" i="11" s="1"/>
  <c r="AC768" i="11" s="1"/>
  <c r="BC81" i="11"/>
  <c r="AI81" i="11" s="1"/>
  <c r="AC81" i="11" s="1"/>
  <c r="BC292" i="11"/>
  <c r="AI292" i="11" s="1"/>
  <c r="AC292" i="11" s="1"/>
  <c r="BC331" i="11"/>
  <c r="AI331" i="11" s="1"/>
  <c r="AC331" i="11" s="1"/>
  <c r="BC674" i="11"/>
  <c r="AI674" i="11" s="1"/>
  <c r="AC674" i="11" s="1"/>
  <c r="BC467" i="11"/>
  <c r="AI467" i="11" s="1"/>
  <c r="AC467" i="11" s="1"/>
  <c r="BC198" i="11"/>
  <c r="AI198" i="11" s="1"/>
  <c r="AC198" i="11" s="1"/>
  <c r="BC131" i="11"/>
  <c r="AI131" i="11" s="1"/>
  <c r="AC131" i="11" s="1"/>
  <c r="BC955" i="11"/>
  <c r="AI955" i="11" s="1"/>
  <c r="AC955" i="11" s="1"/>
  <c r="BC282" i="11"/>
  <c r="AI282" i="11" s="1"/>
  <c r="AC282" i="11" s="1"/>
  <c r="BC35" i="11"/>
  <c r="AI35" i="11" s="1"/>
  <c r="AC35" i="11" s="1"/>
  <c r="BC155" i="11"/>
  <c r="AI155" i="11" s="1"/>
  <c r="AC155" i="11" s="1"/>
  <c r="BC55" i="11"/>
  <c r="AI55" i="11" s="1"/>
  <c r="AC55" i="11" s="1"/>
  <c r="BC506" i="11"/>
  <c r="AI506" i="11" s="1"/>
  <c r="AC506" i="11" s="1"/>
  <c r="BC138" i="11"/>
  <c r="AI138" i="11" s="1"/>
  <c r="AC138" i="11" s="1"/>
  <c r="BC362" i="11"/>
  <c r="AI362" i="11" s="1"/>
  <c r="AC362" i="11" s="1"/>
  <c r="BC183" i="11"/>
  <c r="AI183" i="11" s="1"/>
  <c r="AC183" i="11" s="1"/>
  <c r="BC502" i="11"/>
  <c r="AI502" i="11" s="1"/>
  <c r="AC502" i="11" s="1"/>
  <c r="BC695" i="11"/>
  <c r="AI695" i="11" s="1"/>
  <c r="AC695" i="11" s="1"/>
  <c r="BC835" i="11"/>
  <c r="AI835" i="11" s="1"/>
  <c r="AC835" i="11" s="1"/>
  <c r="BC75" i="11"/>
  <c r="AI75" i="11" s="1"/>
  <c r="AC75" i="11" s="1"/>
  <c r="BC277" i="11"/>
  <c r="AI277" i="11" s="1"/>
  <c r="AC277" i="11" s="1"/>
  <c r="BC247" i="11"/>
  <c r="AI247" i="11" s="1"/>
  <c r="AC247" i="11" s="1"/>
  <c r="BC810" i="11"/>
  <c r="AI810" i="11" s="1"/>
  <c r="AC810" i="11" s="1"/>
  <c r="BC143" i="11"/>
  <c r="AI143" i="11" s="1"/>
  <c r="AC143" i="11" s="1"/>
  <c r="BC850" i="11"/>
  <c r="AI850" i="11" s="1"/>
  <c r="AC850" i="11" s="1"/>
  <c r="BC218" i="11"/>
  <c r="AI218" i="11" s="1"/>
  <c r="AC218" i="11" s="1"/>
  <c r="BC34" i="11"/>
  <c r="AI34" i="11" s="1"/>
  <c r="AC34" i="11" s="1"/>
  <c r="BC780" i="11"/>
  <c r="AI780" i="11" s="1"/>
  <c r="AC780" i="11" s="1"/>
  <c r="BC683" i="11"/>
  <c r="AI683" i="11" s="1"/>
  <c r="AC683" i="11" s="1"/>
  <c r="BC510" i="11"/>
  <c r="AI510" i="11" s="1"/>
  <c r="AC510" i="11" s="1"/>
  <c r="BC717" i="11"/>
  <c r="AI717" i="11" s="1"/>
  <c r="AC717" i="11" s="1"/>
  <c r="BC803" i="11"/>
  <c r="AI803" i="11" s="1"/>
  <c r="AC803" i="11" s="1"/>
  <c r="BC671" i="11"/>
  <c r="AI671" i="11" s="1"/>
  <c r="AC671" i="11" s="1"/>
  <c r="BC852" i="11"/>
  <c r="AI852" i="11" s="1"/>
  <c r="AC852" i="11" s="1"/>
  <c r="BC370" i="11"/>
  <c r="AI370" i="11" s="1"/>
  <c r="AC370" i="11" s="1"/>
  <c r="BC421" i="11"/>
  <c r="AI421" i="11" s="1"/>
  <c r="AC421" i="11" s="1"/>
  <c r="BC262" i="11"/>
  <c r="AI262" i="11" s="1"/>
  <c r="AC262" i="11" s="1"/>
  <c r="BC765" i="11"/>
  <c r="AI765" i="11" s="1"/>
  <c r="AC765" i="11" s="1"/>
  <c r="BC867" i="11"/>
  <c r="AI867" i="11" s="1"/>
  <c r="AC867" i="11" s="1"/>
  <c r="BC215" i="11"/>
  <c r="AI215" i="11" s="1"/>
  <c r="AC215" i="11" s="1"/>
  <c r="BC431" i="11"/>
  <c r="AI431" i="11" s="1"/>
  <c r="AC431" i="11" s="1"/>
  <c r="BC862" i="11"/>
  <c r="AI862" i="11" s="1"/>
  <c r="AC862" i="11" s="1"/>
  <c r="BC582" i="11"/>
  <c r="AI582" i="11" s="1"/>
  <c r="AC582" i="11" s="1"/>
  <c r="BC611" i="11"/>
  <c r="AI611" i="11" s="1"/>
  <c r="AC611" i="11" s="1"/>
  <c r="BC234" i="11"/>
  <c r="AI234" i="11" s="1"/>
  <c r="AC234" i="11" s="1"/>
  <c r="BC787" i="11"/>
  <c r="AI787" i="11" s="1"/>
  <c r="AC787" i="11" s="1"/>
  <c r="BC914" i="11"/>
  <c r="AI914" i="11" s="1"/>
  <c r="AC914" i="11" s="1"/>
  <c r="BC165" i="11"/>
  <c r="AI165" i="11" s="1"/>
  <c r="AC165" i="11" s="1"/>
  <c r="BC374" i="11"/>
  <c r="AI374" i="11" s="1"/>
  <c r="AC374" i="11" s="1"/>
  <c r="BC30" i="11"/>
  <c r="AI30" i="11" s="1"/>
  <c r="AC30" i="11" s="1"/>
  <c r="BC606" i="11"/>
  <c r="AI606" i="11" s="1"/>
  <c r="AC606" i="11" s="1"/>
  <c r="BC491" i="11"/>
  <c r="AI491" i="11" s="1"/>
  <c r="AC491" i="11" s="1"/>
  <c r="B52" i="10"/>
  <c r="BC479" i="11"/>
  <c r="AI479" i="11" s="1"/>
  <c r="AC479" i="11" s="1"/>
  <c r="BC837" i="11"/>
  <c r="AI837" i="11" s="1"/>
  <c r="AC837" i="11" s="1"/>
  <c r="BC887" i="11"/>
  <c r="AI887" i="11" s="1"/>
  <c r="AC887" i="11" s="1"/>
  <c r="BC299" i="11"/>
  <c r="AI299" i="11" s="1"/>
  <c r="AC299" i="11" s="1"/>
  <c r="BC99" i="11"/>
  <c r="AI99" i="11" s="1"/>
  <c r="AC99" i="11" s="1"/>
  <c r="BC666" i="11"/>
  <c r="AI666" i="11" s="1"/>
  <c r="AC666" i="11" s="1"/>
  <c r="BC246" i="11"/>
  <c r="AI246" i="11" s="1"/>
  <c r="AC246" i="11" s="1"/>
  <c r="BC478" i="11"/>
  <c r="AI478" i="11" s="1"/>
  <c r="AC478" i="11" s="1"/>
  <c r="BC873" i="11"/>
  <c r="AI873" i="11" s="1"/>
  <c r="AC873" i="11" s="1"/>
  <c r="BC823" i="11"/>
  <c r="AI823" i="11" s="1"/>
  <c r="AC823" i="11" s="1"/>
  <c r="BC899" i="11"/>
  <c r="AI899" i="11" s="1"/>
  <c r="AC899" i="11" s="1"/>
  <c r="BC734" i="11"/>
  <c r="AI734" i="11" s="1"/>
  <c r="AC734" i="11" s="1"/>
  <c r="BC619" i="11"/>
  <c r="AI619" i="11" s="1"/>
  <c r="AC619" i="11" s="1"/>
  <c r="BC422" i="11"/>
  <c r="AI422" i="11" s="1"/>
  <c r="AC422" i="11" s="1"/>
  <c r="BC78" i="11"/>
  <c r="AI78" i="11" s="1"/>
  <c r="AC78" i="11" s="1"/>
  <c r="BC125" i="11"/>
  <c r="AI125" i="11" s="1"/>
  <c r="AC125" i="11" s="1"/>
  <c r="BC163" i="11"/>
  <c r="AI163" i="11" s="1"/>
  <c r="AC163" i="11" s="1"/>
  <c r="BC739" i="11"/>
  <c r="AI739" i="11" s="1"/>
  <c r="AC739" i="11" s="1"/>
  <c r="BC735" i="11"/>
  <c r="AI735" i="11" s="1"/>
  <c r="AC735" i="11" s="1"/>
  <c r="BC414" i="11"/>
  <c r="AI414" i="11" s="1"/>
  <c r="AC414" i="11" s="1"/>
  <c r="BC95" i="11"/>
  <c r="AI95" i="11" s="1"/>
  <c r="AC95" i="11" s="1"/>
  <c r="BC779" i="11"/>
  <c r="AI779" i="11" s="1"/>
  <c r="AC779" i="11" s="1"/>
  <c r="BC537" i="11"/>
  <c r="AI537" i="11" s="1"/>
  <c r="AC537" i="11" s="1"/>
  <c r="BC14" i="11"/>
  <c r="AI14" i="11" s="1"/>
  <c r="AC14" i="11" s="1"/>
  <c r="BC214" i="11"/>
  <c r="AI214" i="11" s="1"/>
  <c r="AC214" i="11" s="1"/>
  <c r="BC886" i="11"/>
  <c r="AI886" i="11" s="1"/>
  <c r="AC886" i="11" s="1"/>
  <c r="BC451" i="11"/>
  <c r="AI451" i="11" s="1"/>
  <c r="AC451" i="11" s="1"/>
  <c r="BC607" i="11"/>
  <c r="AI607" i="11" s="1"/>
  <c r="AC607" i="11" s="1"/>
  <c r="BC419" i="11"/>
  <c r="AI419" i="11" s="1"/>
  <c r="AC419" i="11" s="1"/>
  <c r="BC542" i="11"/>
  <c r="AI542" i="11" s="1"/>
  <c r="AC542" i="11" s="1"/>
  <c r="BC690" i="11"/>
  <c r="AI690" i="11" s="1"/>
  <c r="AC690" i="11" s="1"/>
  <c r="BC279" i="11"/>
  <c r="AI279" i="11" s="1"/>
  <c r="AC279" i="11" s="1"/>
  <c r="BC47" i="11"/>
  <c r="AI47" i="11" s="1"/>
  <c r="AC47" i="11" s="1"/>
  <c r="BC819" i="11"/>
  <c r="AI819" i="11" s="1"/>
  <c r="AC819" i="11" s="1"/>
  <c r="BC94" i="11"/>
  <c r="AI94" i="11" s="1"/>
  <c r="AC94" i="11" s="1"/>
  <c r="BC902" i="11"/>
  <c r="AI902" i="11" s="1"/>
  <c r="AC902" i="11" s="1"/>
  <c r="BC501" i="11"/>
  <c r="AI501" i="11" s="1"/>
  <c r="AC501" i="11" s="1"/>
  <c r="BC457" i="11"/>
  <c r="AI457" i="11" s="1"/>
  <c r="AC457" i="11" s="1"/>
  <c r="BC694" i="11"/>
  <c r="AI694" i="11" s="1"/>
  <c r="AC694" i="11" s="1"/>
  <c r="BC685" i="11"/>
  <c r="AI685" i="11" s="1"/>
  <c r="AC685" i="11" s="1"/>
  <c r="BC371" i="11"/>
  <c r="AI371" i="11" s="1"/>
  <c r="AC371" i="11" s="1"/>
  <c r="BC638" i="11"/>
  <c r="AI638" i="11" s="1"/>
  <c r="AC638" i="11" s="1"/>
  <c r="BC906" i="11"/>
  <c r="AI906" i="11" s="1"/>
  <c r="AC906" i="11" s="1"/>
  <c r="BC23" i="11"/>
  <c r="AI23" i="11" s="1"/>
  <c r="AC23" i="11" s="1"/>
  <c r="BC870" i="11"/>
  <c r="AI870" i="11" s="1"/>
  <c r="AC870" i="11" s="1"/>
  <c r="BC723" i="11"/>
  <c r="AI723" i="11" s="1"/>
  <c r="AC723" i="11" s="1"/>
  <c r="BC179" i="11"/>
  <c r="AI179" i="11" s="1"/>
  <c r="AC179" i="11" s="1"/>
  <c r="BC338" i="11"/>
  <c r="AI338" i="11" s="1"/>
  <c r="AC338" i="11" s="1"/>
  <c r="BC210" i="11"/>
  <c r="AI210" i="11" s="1"/>
  <c r="AC210" i="11" s="1"/>
  <c r="BC633" i="11"/>
  <c r="AI633" i="11" s="1"/>
  <c r="AC633" i="11" s="1"/>
  <c r="BC107" i="11"/>
  <c r="AI107" i="11" s="1"/>
  <c r="AC107" i="11" s="1"/>
  <c r="BC860" i="11"/>
  <c r="AI860" i="11" s="1"/>
  <c r="AC860" i="11" s="1"/>
  <c r="BC103" i="11"/>
  <c r="AI103" i="11" s="1"/>
  <c r="AC103" i="11" s="1"/>
  <c r="BC442" i="11"/>
  <c r="AI442" i="11" s="1"/>
  <c r="AC442" i="11" s="1"/>
  <c r="BC677" i="11"/>
  <c r="AI677" i="11" s="1"/>
  <c r="AC677" i="11" s="1"/>
  <c r="BC495" i="11"/>
  <c r="AI495" i="11" s="1"/>
  <c r="AC495" i="11" s="1"/>
  <c r="BC845" i="11"/>
  <c r="AI845" i="11" s="1"/>
  <c r="AC845" i="11" s="1"/>
  <c r="BC390" i="11"/>
  <c r="AI390" i="11" s="1"/>
  <c r="AC390" i="11" s="1"/>
  <c r="BC514" i="11"/>
  <c r="AI514" i="11" s="1"/>
  <c r="AC514" i="11" s="1"/>
  <c r="BC111" i="11"/>
  <c r="AI111" i="11" s="1"/>
  <c r="AC111" i="11" s="1"/>
  <c r="BC11" i="11"/>
  <c r="AI11" i="11" s="1"/>
  <c r="AC11" i="11" s="1"/>
  <c r="BC574" i="11"/>
  <c r="AI574" i="11" s="1"/>
  <c r="AC574" i="11" s="1"/>
  <c r="BC799" i="11"/>
  <c r="AI799" i="11" s="1"/>
  <c r="AC799" i="11" s="1"/>
  <c r="BC658" i="11"/>
  <c r="AI658" i="11" s="1"/>
  <c r="AC658" i="11" s="1"/>
  <c r="BC927" i="11"/>
  <c r="AI927" i="11" s="1"/>
  <c r="AC927" i="11" s="1"/>
  <c r="BC558" i="11"/>
  <c r="AI558" i="11" s="1"/>
  <c r="AC558" i="11" s="1"/>
  <c r="BC740" i="11"/>
  <c r="AI740" i="11" s="1"/>
  <c r="AC740" i="11" s="1"/>
  <c r="BC937" i="11"/>
  <c r="AI937" i="11" s="1"/>
  <c r="AC937" i="11" s="1"/>
  <c r="BC814" i="11"/>
  <c r="AI814" i="11" s="1"/>
  <c r="AC814" i="11" s="1"/>
  <c r="BC679" i="11"/>
  <c r="AI679" i="11" s="1"/>
  <c r="AC679" i="11" s="1"/>
  <c r="BC91" i="11"/>
  <c r="AI91" i="11" s="1"/>
  <c r="AC91" i="11" s="1"/>
  <c r="BC482" i="11"/>
  <c r="AI482" i="11" s="1"/>
  <c r="AC482" i="11" s="1"/>
  <c r="BC209" i="11"/>
  <c r="AI209" i="11" s="1"/>
  <c r="AC209" i="11" s="1"/>
  <c r="BC642" i="11"/>
  <c r="AI642" i="11" s="1"/>
  <c r="AC642" i="11" s="1"/>
  <c r="BC766" i="11"/>
  <c r="AI766" i="11" s="1"/>
  <c r="AC766" i="11" s="1"/>
  <c r="BC455" i="11"/>
  <c r="AI455" i="11" s="1"/>
  <c r="AC455" i="11" s="1"/>
  <c r="BC917" i="11"/>
  <c r="AI917" i="11" s="1"/>
  <c r="AC917" i="11" s="1"/>
  <c r="BC953" i="11"/>
  <c r="AI953" i="11" s="1"/>
  <c r="AC953" i="11" s="1"/>
  <c r="BC676" i="11"/>
  <c r="AI676" i="11" s="1"/>
  <c r="AC676" i="11" s="1"/>
  <c r="BC398" i="11"/>
  <c r="AI398" i="11" s="1"/>
  <c r="AC398" i="11" s="1"/>
  <c r="BC608" i="11"/>
  <c r="AI608" i="11" s="1"/>
  <c r="AC608" i="11" s="1"/>
  <c r="BC41" i="11"/>
  <c r="AI41" i="11" s="1"/>
  <c r="AC41" i="11" s="1"/>
  <c r="BC965" i="11"/>
  <c r="AI965" i="11" s="1"/>
  <c r="AC965" i="11" s="1"/>
  <c r="BC822" i="11"/>
  <c r="AI822" i="11" s="1"/>
  <c r="AC822" i="11" s="1"/>
  <c r="BC603" i="11"/>
  <c r="AI603" i="11" s="1"/>
  <c r="AC603" i="11" s="1"/>
  <c r="BC42" i="11"/>
  <c r="AI42" i="11" s="1"/>
  <c r="AC42" i="11" s="1"/>
  <c r="BC966" i="11"/>
  <c r="AI966" i="11" s="1"/>
  <c r="AC966" i="11" s="1"/>
  <c r="BC871" i="11"/>
  <c r="AI871" i="11" s="1"/>
  <c r="AC871" i="11" s="1"/>
  <c r="BC330" i="11"/>
  <c r="AI330" i="11" s="1"/>
  <c r="AC330" i="11" s="1"/>
  <c r="BC194" i="11"/>
  <c r="AI194" i="11" s="1"/>
  <c r="AC194" i="11" s="1"/>
  <c r="BC615" i="11"/>
  <c r="AI615" i="11" s="1"/>
  <c r="AC615" i="11" s="1"/>
  <c r="BC426" i="11"/>
  <c r="AI426" i="11" s="1"/>
  <c r="AC426" i="11" s="1"/>
  <c r="BC874" i="11"/>
  <c r="AI874" i="11" s="1"/>
  <c r="AC874" i="11" s="1"/>
  <c r="BC311" i="11"/>
  <c r="AI311" i="11" s="1"/>
  <c r="AC311" i="11" s="1"/>
  <c r="BC815" i="11"/>
  <c r="AI815" i="11" s="1"/>
  <c r="AC815" i="11" s="1"/>
  <c r="BC698" i="11"/>
  <c r="AI698" i="11" s="1"/>
  <c r="AC698" i="11" s="1"/>
  <c r="BC434" i="11"/>
  <c r="AI434" i="11" s="1"/>
  <c r="AC434" i="11" s="1"/>
  <c r="BC773" i="11"/>
  <c r="AI773" i="11" s="1"/>
  <c r="AC773" i="11" s="1"/>
  <c r="BC583" i="11"/>
  <c r="AI583" i="11" s="1"/>
  <c r="AC583" i="11" s="1"/>
  <c r="BC462" i="11"/>
  <c r="AI462" i="11" s="1"/>
  <c r="AC462" i="11" s="1"/>
  <c r="BC626" i="11"/>
  <c r="AI626" i="11" s="1"/>
  <c r="AC626" i="11" s="1"/>
  <c r="BC406" i="11"/>
  <c r="AI406" i="11" s="1"/>
  <c r="AC406" i="11" s="1"/>
  <c r="BC477" i="11"/>
  <c r="AI477" i="11" s="1"/>
  <c r="AC477" i="11" s="1"/>
  <c r="BC339" i="11"/>
  <c r="AI339" i="11" s="1"/>
  <c r="AC339" i="11" s="1"/>
  <c r="BC897" i="11"/>
  <c r="AI897" i="11" s="1"/>
  <c r="AC897" i="11" s="1"/>
  <c r="BC271" i="11"/>
  <c r="AI271" i="11" s="1"/>
  <c r="AC271" i="11" s="1"/>
  <c r="BC465" i="11"/>
  <c r="AI465" i="11" s="1"/>
  <c r="AC465" i="11" s="1"/>
  <c r="BC343" i="11"/>
  <c r="AI343" i="11" s="1"/>
  <c r="AC343" i="11" s="1"/>
  <c r="BC411" i="11"/>
  <c r="AI411" i="11" s="1"/>
  <c r="AC411" i="11" s="1"/>
  <c r="BC333" i="11"/>
  <c r="AI333" i="11" s="1"/>
  <c r="AC333" i="11" s="1"/>
  <c r="BC170" i="11"/>
  <c r="AI170" i="11" s="1"/>
  <c r="AC170" i="11" s="1"/>
  <c r="BC802" i="11"/>
  <c r="AI802" i="11" s="1"/>
  <c r="AC802" i="11" s="1"/>
  <c r="BC742" i="11"/>
  <c r="AI742" i="11" s="1"/>
  <c r="AC742" i="11" s="1"/>
  <c r="BC354" i="11"/>
  <c r="AI354" i="11" s="1"/>
  <c r="AC354" i="11" s="1"/>
  <c r="BC790" i="11"/>
  <c r="AI790" i="11" s="1"/>
  <c r="AC790" i="11" s="1"/>
  <c r="BC266" i="11"/>
  <c r="AI266" i="11" s="1"/>
  <c r="AC266" i="11" s="1"/>
  <c r="BC334" i="11"/>
  <c r="AI334" i="11" s="1"/>
  <c r="AC334" i="11" s="1"/>
  <c r="BC974" i="11"/>
  <c r="AI974" i="11" s="1"/>
  <c r="AC974" i="11" s="1"/>
  <c r="BC366" i="11"/>
  <c r="AI366" i="11" s="1"/>
  <c r="AC366" i="11" s="1"/>
  <c r="BC551" i="11"/>
  <c r="AI551" i="11" s="1"/>
  <c r="AC551" i="11" s="1"/>
  <c r="BC36" i="11"/>
  <c r="AI36" i="11" s="1"/>
  <c r="AC36" i="11" s="1"/>
  <c r="BC63" i="11"/>
  <c r="AI63" i="11" s="1"/>
  <c r="AC63" i="11" s="1"/>
  <c r="BC283" i="11"/>
  <c r="AI283" i="11" s="1"/>
  <c r="AC283" i="11" s="1"/>
  <c r="BC950" i="11"/>
  <c r="AI950" i="11" s="1"/>
  <c r="AC950" i="11" s="1"/>
  <c r="BC66" i="11"/>
  <c r="AI66" i="11" s="1"/>
  <c r="AC66" i="11" s="1"/>
  <c r="BC697" i="11"/>
  <c r="AI697" i="11" s="1"/>
  <c r="AC697" i="11" s="1"/>
  <c r="BC151" i="11"/>
  <c r="AI151" i="11" s="1"/>
  <c r="AC151" i="11" s="1"/>
  <c r="BC323" i="11"/>
  <c r="AI323" i="11" s="1"/>
  <c r="AC323" i="11" s="1"/>
  <c r="BC834" i="11"/>
  <c r="AI834" i="11" s="1"/>
  <c r="AC834" i="11" s="1"/>
  <c r="BC123" i="11"/>
  <c r="AI123" i="11" s="1"/>
  <c r="AC123" i="11" s="1"/>
  <c r="BC657" i="11"/>
  <c r="AI657" i="11" s="1"/>
  <c r="AC657" i="11" s="1"/>
  <c r="BC846" i="11"/>
  <c r="AI846" i="11" s="1"/>
  <c r="AC846" i="11" s="1"/>
  <c r="BC303" i="11"/>
  <c r="AI303" i="11" s="1"/>
  <c r="AC303" i="11" s="1"/>
  <c r="BC550" i="11"/>
  <c r="AI550" i="11" s="1"/>
  <c r="AC550" i="11" s="1"/>
  <c r="BC807" i="11"/>
  <c r="AI807" i="11" s="1"/>
  <c r="AC807" i="11" s="1"/>
  <c r="BC568" i="11"/>
  <c r="AI568" i="11" s="1"/>
  <c r="AC568" i="11" s="1"/>
  <c r="BC691" i="11"/>
  <c r="AI691" i="11" s="1"/>
  <c r="AC691" i="11" s="1"/>
  <c r="BC186" i="11"/>
  <c r="AI186" i="11" s="1"/>
  <c r="AC186" i="11" s="1"/>
  <c r="BC195" i="11"/>
  <c r="AI195" i="11" s="1"/>
  <c r="AC195" i="11" s="1"/>
  <c r="BC100" i="11"/>
  <c r="AI100" i="11" s="1"/>
  <c r="AC100" i="11" s="1"/>
  <c r="BC146" i="11"/>
  <c r="AI146" i="11" s="1"/>
  <c r="AC146" i="11" s="1"/>
  <c r="BC159" i="11"/>
  <c r="AI159" i="11" s="1"/>
  <c r="AC159" i="11" s="1"/>
  <c r="BC268" i="11"/>
  <c r="AI268" i="11" s="1"/>
  <c r="AC268" i="11" s="1"/>
  <c r="BC396" i="11"/>
  <c r="AI396" i="11" s="1"/>
  <c r="AC396" i="11" s="1"/>
  <c r="BC117" i="11"/>
  <c r="AI117" i="11" s="1"/>
  <c r="AC117" i="11" s="1"/>
  <c r="BC316" i="11"/>
  <c r="AI316" i="11" s="1"/>
  <c r="AC316" i="11" s="1"/>
  <c r="BC440" i="11"/>
  <c r="AI440" i="11" s="1"/>
  <c r="AC440" i="11" s="1"/>
  <c r="BC831" i="11"/>
  <c r="AI831" i="11" s="1"/>
  <c r="AC831" i="11" s="1"/>
  <c r="BC79" i="11"/>
  <c r="AI79" i="11" s="1"/>
  <c r="AC79" i="11" s="1"/>
  <c r="BC119" i="11"/>
  <c r="AI119" i="11" s="1"/>
  <c r="AC119" i="11" s="1"/>
  <c r="BC806" i="11"/>
  <c r="AI806" i="11" s="1"/>
  <c r="AC806" i="11" s="1"/>
  <c r="BC223" i="11"/>
  <c r="AI223" i="11" s="1"/>
  <c r="AC223" i="11" s="1"/>
  <c r="BC518" i="11"/>
  <c r="AI518" i="11" s="1"/>
  <c r="AC518" i="11" s="1"/>
  <c r="BC849" i="11"/>
  <c r="AI849" i="11" s="1"/>
  <c r="AC849" i="11" s="1"/>
  <c r="BC847" i="11"/>
  <c r="AI847" i="11" s="1"/>
  <c r="AC847" i="11" s="1"/>
  <c r="BC471" i="11"/>
  <c r="AI471" i="11" s="1"/>
  <c r="AC471" i="11" s="1"/>
  <c r="BC488" i="11"/>
  <c r="AI488" i="11" s="1"/>
  <c r="AC488" i="11" s="1"/>
  <c r="BC985" i="11"/>
  <c r="AI985" i="11" s="1"/>
  <c r="AC985" i="11" s="1"/>
  <c r="BC670" i="11"/>
  <c r="AI670" i="11" s="1"/>
  <c r="AC670" i="11" s="1"/>
  <c r="BC425" i="11"/>
  <c r="AI425" i="11" s="1"/>
  <c r="AC425" i="11" s="1"/>
  <c r="BC102" i="11"/>
  <c r="AI102" i="11" s="1"/>
  <c r="AC102" i="11" s="1"/>
  <c r="BC969" i="11"/>
  <c r="AI969" i="11" s="1"/>
  <c r="AC969" i="11" s="1"/>
  <c r="BC827" i="11"/>
  <c r="AI827" i="11" s="1"/>
  <c r="AC827" i="11" s="1"/>
  <c r="BC654" i="11"/>
  <c r="AI654" i="11" s="1"/>
  <c r="AC654" i="11" s="1"/>
  <c r="BC523" i="11"/>
  <c r="AI523" i="11" s="1"/>
  <c r="AC523" i="11" s="1"/>
  <c r="BC522" i="11"/>
  <c r="AI522" i="11" s="1"/>
  <c r="AC522" i="11" s="1"/>
  <c r="BC786" i="11"/>
  <c r="AI786" i="11" s="1"/>
  <c r="AC786" i="11" s="1"/>
  <c r="BC631" i="11"/>
  <c r="AI631" i="11" s="1"/>
  <c r="AC631" i="11" s="1"/>
  <c r="BC383" i="11"/>
  <c r="AI383" i="11" s="1"/>
  <c r="AC383" i="11" s="1"/>
  <c r="BC326" i="11"/>
  <c r="AI326" i="11" s="1"/>
  <c r="AC326" i="11" s="1"/>
  <c r="BC70" i="11"/>
  <c r="AI70" i="11" s="1"/>
  <c r="AC70" i="11" s="1"/>
  <c r="BC853" i="11"/>
  <c r="AI853" i="11" s="1"/>
  <c r="AC853" i="11" s="1"/>
  <c r="BC254" i="11"/>
  <c r="AI254" i="11" s="1"/>
  <c r="AC254" i="11" s="1"/>
  <c r="BC302" i="11"/>
  <c r="AI302" i="11" s="1"/>
  <c r="AC302" i="11" s="1"/>
  <c r="BC1003" i="11"/>
  <c r="BC963" i="11"/>
  <c r="AI963" i="11" s="1"/>
  <c r="AC963" i="11" s="1"/>
  <c r="BC463" i="11"/>
  <c r="AI463" i="11" s="1"/>
  <c r="AC463" i="11" s="1"/>
  <c r="BC714" i="11"/>
  <c r="AI714" i="11" s="1"/>
  <c r="AC714" i="11" s="1"/>
  <c r="BC327" i="11"/>
  <c r="AI327" i="11" s="1"/>
  <c r="AC327" i="11" s="1"/>
  <c r="BC986" i="11"/>
  <c r="AI986" i="11" s="1"/>
  <c r="AC986" i="11" s="1"/>
  <c r="BC446" i="11"/>
  <c r="AI446" i="11" s="1"/>
  <c r="AC446" i="11" s="1"/>
  <c r="BC202" i="11"/>
  <c r="AI202" i="11" s="1"/>
  <c r="AC202" i="11" s="1"/>
  <c r="BC147" i="11"/>
  <c r="AI147" i="11" s="1"/>
  <c r="AC147" i="11" s="1"/>
  <c r="BC82" i="11"/>
  <c r="AI82" i="11" s="1"/>
  <c r="AC82" i="11" s="1"/>
  <c r="BC225" i="11"/>
  <c r="AI225" i="11" s="1"/>
  <c r="AC225" i="11" s="1"/>
  <c r="BC881" i="11"/>
  <c r="AI881" i="11" s="1"/>
  <c r="AC881" i="11" s="1"/>
  <c r="BC738" i="11"/>
  <c r="AI738" i="11" s="1"/>
  <c r="AC738" i="11" s="1"/>
  <c r="BC746" i="11"/>
  <c r="AI746" i="11" s="1"/>
  <c r="AC746" i="11" s="1"/>
  <c r="BC741" i="11"/>
  <c r="AI741" i="11" s="1"/>
  <c r="AC741" i="11" s="1"/>
  <c r="BC641" i="11"/>
  <c r="AI641" i="11" s="1"/>
  <c r="AC641" i="11" s="1"/>
  <c r="BC226" i="11"/>
  <c r="AI226" i="11" s="1"/>
  <c r="AC226" i="11" s="1"/>
  <c r="BC967" i="11"/>
  <c r="AI967" i="11" s="1"/>
  <c r="AC967" i="11" s="1"/>
  <c r="BC821" i="11"/>
  <c r="AI821" i="11" s="1"/>
  <c r="AC821" i="11" s="1"/>
  <c r="BC571" i="11"/>
  <c r="AI571" i="11" s="1"/>
  <c r="AC571" i="11" s="1"/>
  <c r="BC199" i="11"/>
  <c r="AI199" i="11" s="1"/>
  <c r="AC199" i="11" s="1"/>
  <c r="BC499" i="11"/>
  <c r="AI499" i="11" s="1"/>
  <c r="AC499" i="11" s="1"/>
  <c r="BC188" i="11"/>
  <c r="AI188" i="11" s="1"/>
  <c r="AC188" i="11" s="1"/>
  <c r="BC918" i="11"/>
  <c r="AI918" i="11" s="1"/>
  <c r="AC918" i="11" s="1"/>
  <c r="BC445" i="11"/>
  <c r="AI445" i="11" s="1"/>
  <c r="AC445" i="11" s="1"/>
  <c r="BC497" i="11"/>
  <c r="AI497" i="11" s="1"/>
  <c r="AC497" i="11" s="1"/>
  <c r="BC76" i="11"/>
  <c r="AI76" i="11" s="1"/>
  <c r="AC76" i="11" s="1"/>
  <c r="BC668" i="11"/>
  <c r="AI668" i="11" s="1"/>
  <c r="AC668" i="11" s="1"/>
  <c r="BC110" i="11"/>
  <c r="AI110" i="11" s="1"/>
  <c r="AC110" i="11" s="1"/>
  <c r="BC938" i="11"/>
  <c r="AI938" i="11" s="1"/>
  <c r="AC938" i="11" s="1"/>
  <c r="BC466" i="11"/>
  <c r="AI466" i="11" s="1"/>
  <c r="AC466" i="11" s="1"/>
  <c r="BC307" i="11"/>
  <c r="AI307" i="11" s="1"/>
  <c r="AC307" i="11" s="1"/>
  <c r="BC998" i="11"/>
  <c r="AI998" i="11" s="1"/>
  <c r="AC998" i="11" s="1"/>
  <c r="BC622" i="11"/>
  <c r="AI622" i="11" s="1"/>
  <c r="AC622" i="11" s="1"/>
  <c r="BC470" i="11"/>
  <c r="AI470" i="11" s="1"/>
  <c r="AC470" i="11" s="1"/>
  <c r="BC562" i="11"/>
  <c r="AI562" i="11" s="1"/>
  <c r="AC562" i="11" s="1"/>
  <c r="BC858" i="11"/>
  <c r="AI858" i="11" s="1"/>
  <c r="AC858" i="11" s="1"/>
  <c r="BC545" i="11"/>
  <c r="AI545" i="11" s="1"/>
  <c r="AC545" i="11" s="1"/>
  <c r="BC970" i="11"/>
  <c r="AI970" i="11" s="1"/>
  <c r="AC970" i="11" s="1"/>
  <c r="BC915" i="11"/>
  <c r="AI915" i="11" s="1"/>
  <c r="AC915" i="11" s="1"/>
  <c r="BC866" i="11"/>
  <c r="AI866" i="11" s="1"/>
  <c r="AC866" i="11" s="1"/>
  <c r="BC450" i="11"/>
  <c r="AI450" i="11" s="1"/>
  <c r="AC450" i="11" s="1"/>
  <c r="BC122" i="11"/>
  <c r="AI122" i="11" s="1"/>
  <c r="AC122" i="11" s="1"/>
  <c r="BC415" i="11"/>
  <c r="AI415" i="11" s="1"/>
  <c r="AC415" i="11" s="1"/>
  <c r="BC58" i="11"/>
  <c r="AI58" i="11" s="1"/>
  <c r="AC58" i="11" s="1"/>
  <c r="BC686" i="11"/>
  <c r="AI686" i="11" s="1"/>
  <c r="AC686" i="11" s="1"/>
  <c r="BC635" i="11"/>
  <c r="AI635" i="11" s="1"/>
  <c r="AC635" i="11" s="1"/>
  <c r="BC105" i="11"/>
  <c r="AI105" i="11" s="1"/>
  <c r="AC105" i="11" s="1"/>
  <c r="BC310" i="11"/>
  <c r="AI310" i="11" s="1"/>
  <c r="AC310" i="11" s="1"/>
  <c r="BC999" i="11"/>
  <c r="AI999" i="11" s="1"/>
  <c r="AC999" i="11" s="1"/>
  <c r="BC459" i="11"/>
  <c r="AI459" i="11" s="1"/>
  <c r="AC459" i="11" s="1"/>
  <c r="BC546" i="11"/>
  <c r="AI546" i="11" s="1"/>
  <c r="AC546" i="11" s="1"/>
  <c r="BC911" i="11"/>
  <c r="AI911" i="11" s="1"/>
  <c r="AC911" i="11" s="1"/>
  <c r="BC958" i="11"/>
  <c r="AI958" i="11" s="1"/>
  <c r="AC958" i="11" s="1"/>
  <c r="BC204" i="11"/>
  <c r="AI204" i="11" s="1"/>
  <c r="AC204" i="11" s="1"/>
  <c r="BC238" i="11"/>
  <c r="AI238" i="11" s="1"/>
  <c r="AC238" i="11" s="1"/>
  <c r="BC891" i="11"/>
  <c r="AI891" i="11" s="1"/>
  <c r="AC891" i="11" s="1"/>
  <c r="BC342" i="11"/>
  <c r="AI342" i="11" s="1"/>
  <c r="AC342" i="11" s="1"/>
  <c r="BC818" i="11"/>
  <c r="AI818" i="11" s="1"/>
  <c r="AC818" i="11" s="1"/>
  <c r="BC755" i="11"/>
  <c r="AI755" i="11" s="1"/>
  <c r="AC755" i="11" s="1"/>
  <c r="BC678" i="11"/>
  <c r="AI678" i="11" s="1"/>
  <c r="AC678" i="11" s="1"/>
  <c r="BC295" i="11"/>
  <c r="AI295" i="11" s="1"/>
  <c r="AC295" i="11" s="1"/>
  <c r="BC634" i="11"/>
  <c r="AI634" i="11" s="1"/>
  <c r="AC634" i="11" s="1"/>
  <c r="BC977" i="11"/>
  <c r="AI977" i="11" s="1"/>
  <c r="AC977" i="11" s="1"/>
  <c r="BC971" i="11"/>
  <c r="AI971" i="11" s="1"/>
  <c r="AC971" i="11" s="1"/>
  <c r="BC50" i="11"/>
  <c r="AI50" i="11" s="1"/>
  <c r="AC50" i="11" s="1"/>
  <c r="BC375" i="11"/>
  <c r="AI375" i="11" s="1"/>
  <c r="AC375" i="11" s="1"/>
  <c r="BC812" i="11"/>
  <c r="AI812" i="11" s="1"/>
  <c r="AC812" i="11" s="1"/>
  <c r="BC555" i="11"/>
  <c r="AI555" i="11" s="1"/>
  <c r="AC555" i="11" s="1"/>
  <c r="I45" i="13"/>
  <c r="J100" i="13"/>
  <c r="J14" i="13"/>
  <c r="J38" i="13"/>
  <c r="J101" i="13"/>
  <c r="K101" i="13"/>
  <c r="K14" i="13"/>
  <c r="K100" i="13"/>
  <c r="K38" i="13"/>
  <c r="S5" i="13"/>
  <c r="G88" i="13"/>
  <c r="AI1002" i="11" l="1"/>
  <c r="AC1002" i="11" s="1"/>
  <c r="AI1003" i="11"/>
  <c r="AC1003" i="11" s="1"/>
  <c r="AC1015" i="11" s="1"/>
  <c r="E1429" i="10"/>
  <c r="K1429" i="10" s="1"/>
  <c r="K52" i="10" s="1"/>
  <c r="E1425" i="10"/>
  <c r="E1435" i="10" s="1"/>
  <c r="E1428" i="10"/>
  <c r="E1432" i="10" s="1"/>
  <c r="F1432" i="10" s="1"/>
  <c r="E1427" i="10"/>
  <c r="E1433" i="10" s="1"/>
  <c r="F1433" i="10" s="1"/>
  <c r="E1426" i="10"/>
  <c r="E1434" i="10" s="1"/>
  <c r="F1434" i="10" s="1"/>
  <c r="I4" i="14"/>
  <c r="S13" i="13"/>
  <c r="F1430" i="10"/>
  <c r="M1430" i="10"/>
  <c r="I1430" i="10"/>
  <c r="N1430" i="10"/>
  <c r="P1430" i="10"/>
  <c r="H1430" i="10"/>
  <c r="G1430" i="10"/>
  <c r="Q1430" i="10"/>
  <c r="O1430" i="10"/>
  <c r="J1430" i="10"/>
  <c r="K1430" i="10"/>
  <c r="L1430" i="10"/>
  <c r="M47" i="13"/>
  <c r="M51" i="13"/>
  <c r="G38" i="13"/>
  <c r="G14" i="13"/>
  <c r="G100" i="13"/>
  <c r="C90" i="13" s="1"/>
  <c r="G101" i="13"/>
  <c r="C111" i="13" s="1"/>
  <c r="L1426" i="10" l="1"/>
  <c r="K1426" i="10"/>
  <c r="E1431" i="10"/>
  <c r="F1431" i="10" s="1"/>
  <c r="F53" i="10" s="1"/>
  <c r="L1428" i="10"/>
  <c r="K1428" i="10"/>
  <c r="K51" i="10" s="1"/>
  <c r="K1425" i="10"/>
  <c r="L1425" i="10"/>
  <c r="L1429" i="10"/>
  <c r="L52" i="10" s="1"/>
  <c r="K1427" i="10"/>
  <c r="I1425" i="10"/>
  <c r="I1429" i="10"/>
  <c r="I52" i="10" s="1"/>
  <c r="I1428" i="10"/>
  <c r="I1426" i="10"/>
  <c r="I1427" i="10"/>
  <c r="L1427" i="10"/>
  <c r="M1429" i="10"/>
  <c r="M52" i="10" s="1"/>
  <c r="M1428" i="10"/>
  <c r="M1425" i="10"/>
  <c r="M1427" i="10"/>
  <c r="M1426" i="10"/>
  <c r="N1428" i="10"/>
  <c r="N1425" i="10"/>
  <c r="J1427" i="10"/>
  <c r="J1428" i="10"/>
  <c r="J1425" i="10"/>
  <c r="J1426" i="10"/>
  <c r="J1429" i="10"/>
  <c r="J52" i="10" s="1"/>
  <c r="N1427" i="10"/>
  <c r="N1429" i="10"/>
  <c r="N52" i="10" s="1"/>
  <c r="N1426" i="10"/>
  <c r="Q1428" i="10"/>
  <c r="O1427" i="10"/>
  <c r="P1429" i="10"/>
  <c r="P52" i="10" s="1"/>
  <c r="P1425" i="10"/>
  <c r="Q1425" i="10"/>
  <c r="P1428" i="10"/>
  <c r="O1429" i="10"/>
  <c r="O52" i="10" s="1"/>
  <c r="Q1427" i="10"/>
  <c r="P1426" i="10"/>
  <c r="Q1426" i="10"/>
  <c r="O1426" i="10"/>
  <c r="O1425" i="10"/>
  <c r="P1427" i="10"/>
  <c r="Q1429" i="10"/>
  <c r="Q52" i="10" s="1"/>
  <c r="O1428" i="10"/>
  <c r="O51" i="10" s="1"/>
  <c r="H1428" i="10"/>
  <c r="Q1432" i="10"/>
  <c r="H1426" i="10"/>
  <c r="H1427" i="10"/>
  <c r="M1433" i="10"/>
  <c r="Q1434" i="10"/>
  <c r="H1429" i="10"/>
  <c r="H52" i="10" s="1"/>
  <c r="H1425" i="10"/>
  <c r="M1435" i="10"/>
  <c r="Q1433" i="10"/>
  <c r="Q1435" i="10"/>
  <c r="P1433" i="10"/>
  <c r="P1435" i="10"/>
  <c r="M1434" i="10"/>
  <c r="O1434" i="10"/>
  <c r="P1434" i="10"/>
  <c r="O1435" i="10"/>
  <c r="O1433" i="10"/>
  <c r="P1432" i="10"/>
  <c r="M1432" i="10"/>
  <c r="O1432" i="10"/>
  <c r="N1432" i="10"/>
  <c r="N1433" i="10"/>
  <c r="N1435" i="10"/>
  <c r="N1434" i="10"/>
  <c r="K1433" i="10"/>
  <c r="K1434" i="10"/>
  <c r="J1432" i="10"/>
  <c r="J1434" i="10"/>
  <c r="I1432" i="10"/>
  <c r="J1435" i="10"/>
  <c r="J1433" i="10"/>
  <c r="L1435" i="10"/>
  <c r="I1433" i="10"/>
  <c r="L1432" i="10"/>
  <c r="L1434" i="10"/>
  <c r="L1433" i="10"/>
  <c r="I1434" i="10"/>
  <c r="K1432" i="10"/>
  <c r="K1435" i="10"/>
  <c r="I1435" i="10"/>
  <c r="I1431" i="10"/>
  <c r="I53" i="10" s="1"/>
  <c r="F1427" i="10"/>
  <c r="F1428" i="10"/>
  <c r="F1425" i="10"/>
  <c r="F1429" i="10"/>
  <c r="F52" i="10" s="1"/>
  <c r="F1426" i="10"/>
  <c r="G1428" i="10"/>
  <c r="G1425" i="10"/>
  <c r="G1429" i="10"/>
  <c r="G52" i="10" s="1"/>
  <c r="G1427" i="10"/>
  <c r="G1426" i="10"/>
  <c r="H1435" i="10"/>
  <c r="H1432" i="10"/>
  <c r="H1433" i="10"/>
  <c r="H1434" i="10"/>
  <c r="G1432" i="10"/>
  <c r="G1435" i="10"/>
  <c r="G1434" i="10"/>
  <c r="G1433" i="10"/>
  <c r="F56" i="10"/>
  <c r="F55" i="10"/>
  <c r="F1435" i="10"/>
  <c r="F57" i="10" s="1"/>
  <c r="E107" i="13"/>
  <c r="E104" i="13"/>
  <c r="E108" i="13"/>
  <c r="E109" i="13"/>
  <c r="E102" i="13"/>
  <c r="E106" i="13"/>
  <c r="E110" i="13"/>
  <c r="E103" i="13"/>
  <c r="E101" i="13"/>
  <c r="E105" i="13"/>
  <c r="E93" i="13"/>
  <c r="E99" i="13"/>
  <c r="E98" i="13"/>
  <c r="E94" i="13"/>
  <c r="E95" i="13"/>
  <c r="E91" i="13"/>
  <c r="E97" i="13"/>
  <c r="E92" i="13"/>
  <c r="E100" i="13"/>
  <c r="E96" i="13"/>
  <c r="F49" i="10" l="1"/>
  <c r="J1431" i="10"/>
  <c r="J53" i="10" s="1"/>
  <c r="K57" i="10"/>
  <c r="K48" i="10"/>
  <c r="L50" i="10"/>
  <c r="K1431" i="10"/>
  <c r="K53" i="10" s="1"/>
  <c r="L1431" i="10"/>
  <c r="L53" i="10" s="1"/>
  <c r="I57" i="10"/>
  <c r="P1431" i="10"/>
  <c r="P53" i="10" s="1"/>
  <c r="G1431" i="10"/>
  <c r="G53" i="10" s="1"/>
  <c r="O1431" i="10"/>
  <c r="O53" i="10" s="1"/>
  <c r="Q1431" i="10"/>
  <c r="Q53" i="10" s="1"/>
  <c r="M1431" i="10"/>
  <c r="M53" i="10" s="1"/>
  <c r="F54" i="10"/>
  <c r="H1431" i="10"/>
  <c r="H53" i="10" s="1"/>
  <c r="N1431" i="10"/>
  <c r="N53" i="10" s="1"/>
  <c r="L48" i="10"/>
  <c r="K50" i="10"/>
  <c r="I49" i="10"/>
  <c r="I48" i="10"/>
  <c r="I51" i="10"/>
  <c r="K49" i="10"/>
  <c r="L51" i="10"/>
  <c r="L49" i="10"/>
  <c r="M49" i="10"/>
  <c r="I50" i="10"/>
  <c r="AO1003" i="11"/>
  <c r="AO1006" i="11" s="1"/>
  <c r="AN1003" i="11"/>
  <c r="AM1003" i="11"/>
  <c r="AP1003" i="11"/>
  <c r="AL1003" i="11"/>
  <c r="AJ1003" i="11" s="1"/>
  <c r="M48" i="10"/>
  <c r="M51" i="10"/>
  <c r="M50" i="10"/>
  <c r="N48" i="10"/>
  <c r="J55" i="10"/>
  <c r="J48" i="10"/>
  <c r="J50" i="10"/>
  <c r="J49" i="10"/>
  <c r="O50" i="10"/>
  <c r="N49" i="10"/>
  <c r="N50" i="10"/>
  <c r="P50" i="10"/>
  <c r="J51" i="10"/>
  <c r="Q48" i="10"/>
  <c r="P57" i="10"/>
  <c r="F50" i="10"/>
  <c r="L57" i="10"/>
  <c r="N51" i="10"/>
  <c r="H51" i="10"/>
  <c r="P51" i="10"/>
  <c r="Q51" i="10"/>
  <c r="O48" i="10"/>
  <c r="P49" i="10"/>
  <c r="H48" i="10"/>
  <c r="Q50" i="10"/>
  <c r="P48" i="10"/>
  <c r="J57" i="10"/>
  <c r="Q57" i="10"/>
  <c r="Q55" i="10"/>
  <c r="O49" i="10"/>
  <c r="N57" i="10"/>
  <c r="O57" i="10"/>
  <c r="H49" i="10"/>
  <c r="Q49" i="10"/>
  <c r="H50" i="10"/>
  <c r="M57" i="10"/>
  <c r="P56" i="10"/>
  <c r="M56" i="10"/>
  <c r="F48" i="10"/>
  <c r="I56" i="10"/>
  <c r="L56" i="10"/>
  <c r="N56" i="10"/>
  <c r="Q56" i="10"/>
  <c r="M55" i="10"/>
  <c r="O55" i="10"/>
  <c r="O56" i="10"/>
  <c r="I55" i="10"/>
  <c r="K56" i="10"/>
  <c r="N55" i="10"/>
  <c r="P55" i="10"/>
  <c r="J56" i="10"/>
  <c r="L55" i="10"/>
  <c r="I54" i="10"/>
  <c r="K55" i="10"/>
  <c r="F51" i="10"/>
  <c r="G49" i="10"/>
  <c r="G48" i="10"/>
  <c r="G50" i="10"/>
  <c r="G51" i="10"/>
  <c r="H57" i="10"/>
  <c r="H55" i="10"/>
  <c r="H56" i="10"/>
  <c r="G56" i="10"/>
  <c r="G55" i="10"/>
  <c r="G57" i="10"/>
  <c r="J54" i="10" l="1"/>
  <c r="AT1003" i="11"/>
  <c r="F15" i="11" s="1"/>
  <c r="F1047" i="11" s="1"/>
  <c r="AJ1015" i="11"/>
  <c r="N54" i="10"/>
  <c r="K54" i="10"/>
  <c r="L54" i="10"/>
  <c r="P54" i="10"/>
  <c r="G54" i="10"/>
  <c r="H54" i="10"/>
  <c r="O54" i="10"/>
  <c r="M54" i="10"/>
  <c r="Q54" i="10"/>
  <c r="F9" i="11"/>
  <c r="G9" i="11" s="1"/>
  <c r="H9" i="11" s="1"/>
  <c r="I9" i="11" s="1"/>
  <c r="J9" i="11" s="1"/>
  <c r="K9" i="11" s="1"/>
  <c r="F11" i="11"/>
  <c r="F1043" i="11" s="1"/>
  <c r="F14" i="11"/>
  <c r="F1046" i="11" s="1"/>
  <c r="F10" i="11"/>
  <c r="F1042" i="11" s="1"/>
  <c r="F12" i="11"/>
  <c r="F1044" i="11" s="1"/>
  <c r="F13" i="11"/>
  <c r="F1045" i="11" s="1"/>
  <c r="AQ1003" i="11"/>
  <c r="AD38" i="11" s="1"/>
  <c r="AR1003" i="11"/>
  <c r="AD22" i="11" l="1"/>
  <c r="AD31" i="11"/>
  <c r="AF50" i="11"/>
  <c r="AF49" i="11"/>
  <c r="AF11" i="11"/>
  <c r="AF22" i="11"/>
  <c r="C1078" i="14"/>
  <c r="H3233" i="14" s="1"/>
  <c r="G11" i="11"/>
  <c r="G1043" i="11" s="1"/>
  <c r="G15" i="11"/>
  <c r="K1041" i="11"/>
  <c r="L9" i="11"/>
  <c r="I1041" i="11"/>
  <c r="F11" i="13"/>
  <c r="F1041" i="11"/>
  <c r="F6" i="11"/>
  <c r="J1041" i="11"/>
  <c r="G1041" i="11"/>
  <c r="G10" i="11"/>
  <c r="G13" i="11"/>
  <c r="H1041" i="11"/>
  <c r="G12" i="11"/>
  <c r="G14" i="11"/>
  <c r="L3622" i="14" l="1"/>
  <c r="H3152" i="14"/>
  <c r="L3810" i="14"/>
  <c r="L3179" i="14"/>
  <c r="H3160" i="14"/>
  <c r="H3103" i="14"/>
  <c r="L3191" i="14"/>
  <c r="G3266" i="14"/>
  <c r="L4061" i="14"/>
  <c r="G3242" i="14"/>
  <c r="L3197" i="14"/>
  <c r="G3920" i="14"/>
  <c r="G3334" i="14"/>
  <c r="L3994" i="14"/>
  <c r="L3838" i="14"/>
  <c r="L4022" i="14"/>
  <c r="G3088" i="14"/>
  <c r="L3834" i="14"/>
  <c r="G3700" i="14"/>
  <c r="H3244" i="14"/>
  <c r="G3219" i="14"/>
  <c r="G3243" i="14"/>
  <c r="H3182" i="14"/>
  <c r="G3748" i="14"/>
  <c r="G3184" i="14"/>
  <c r="L3906" i="14"/>
  <c r="G4034" i="14"/>
  <c r="G3854" i="14"/>
  <c r="H3139" i="14"/>
  <c r="G3956" i="14"/>
  <c r="G3257" i="14"/>
  <c r="L3164" i="14"/>
  <c r="G3480" i="14"/>
  <c r="L3398" i="14"/>
  <c r="L3140" i="14"/>
  <c r="G3934" i="14"/>
  <c r="G3706" i="14"/>
  <c r="G4056" i="14"/>
  <c r="G3278" i="14"/>
  <c r="G3760" i="14"/>
  <c r="G3452" i="14"/>
  <c r="H3124" i="14"/>
  <c r="L3830" i="14"/>
  <c r="H3253" i="14"/>
  <c r="G3554" i="14"/>
  <c r="G3988" i="14"/>
  <c r="L3770" i="14"/>
  <c r="L3243" i="14"/>
  <c r="L3725" i="14"/>
  <c r="L3470" i="14"/>
  <c r="G3704" i="14"/>
  <c r="L3286" i="14"/>
  <c r="G3122" i="14"/>
  <c r="G3151" i="14"/>
  <c r="G3302" i="14"/>
  <c r="L4046" i="14"/>
  <c r="L3143" i="14"/>
  <c r="G3816" i="14"/>
  <c r="L3450" i="14"/>
  <c r="G3204" i="14"/>
  <c r="L3802" i="14"/>
  <c r="G3926" i="14"/>
  <c r="G3316" i="14"/>
  <c r="G3574" i="14"/>
  <c r="L3586" i="14"/>
  <c r="G3666" i="14"/>
  <c r="G3742" i="14"/>
  <c r="G3244" i="14"/>
  <c r="L3244" i="14"/>
  <c r="G3251" i="14"/>
  <c r="L3594" i="14"/>
  <c r="L3861" i="14"/>
  <c r="L4021" i="14"/>
  <c r="G3842" i="14"/>
  <c r="G3540" i="14"/>
  <c r="G3772" i="14"/>
  <c r="G3084" i="14"/>
  <c r="H3254" i="14"/>
  <c r="G3394" i="14"/>
  <c r="G3822" i="14"/>
  <c r="L3224" i="14"/>
  <c r="G3828" i="14"/>
  <c r="L3650" i="14"/>
  <c r="G3261" i="14"/>
  <c r="G3728" i="14"/>
  <c r="L3104" i="14"/>
  <c r="G3107" i="14"/>
  <c r="L3282" i="14"/>
  <c r="L3101" i="14"/>
  <c r="G4038" i="14"/>
  <c r="G3954" i="14"/>
  <c r="G3462" i="14"/>
  <c r="G3976" i="14"/>
  <c r="G3998" i="14"/>
  <c r="G3322" i="14"/>
  <c r="G3696" i="14"/>
  <c r="L3209" i="14"/>
  <c r="H3232" i="14"/>
  <c r="L3877" i="14"/>
  <c r="L3120" i="14"/>
  <c r="G3800" i="14"/>
  <c r="G3175" i="14"/>
  <c r="G3132" i="14"/>
  <c r="G4012" i="14"/>
  <c r="L3986" i="14"/>
  <c r="H3202" i="14"/>
  <c r="G3264" i="14"/>
  <c r="G3584" i="14"/>
  <c r="G3398" i="14"/>
  <c r="L3658" i="14"/>
  <c r="H3092" i="14"/>
  <c r="G3265" i="14"/>
  <c r="G3155" i="14"/>
  <c r="G3866" i="14"/>
  <c r="L3814" i="14"/>
  <c r="L3502" i="14"/>
  <c r="G3476" i="14"/>
  <c r="L3211" i="14"/>
  <c r="H3146" i="14"/>
  <c r="G3894" i="14"/>
  <c r="G3384" i="14"/>
  <c r="L3574" i="14"/>
  <c r="G4036" i="14"/>
  <c r="L3196" i="14"/>
  <c r="L4002" i="14"/>
  <c r="L3726" i="14"/>
  <c r="H3258" i="14"/>
  <c r="G3860" i="14"/>
  <c r="H3181" i="14"/>
  <c r="L3298" i="14"/>
  <c r="L3227" i="14"/>
  <c r="G3482" i="14"/>
  <c r="H3201" i="14"/>
  <c r="L3215" i="14"/>
  <c r="L3103" i="14"/>
  <c r="G3296" i="14"/>
  <c r="L3165" i="14"/>
  <c r="G3958" i="14"/>
  <c r="G3448" i="14"/>
  <c r="H3134" i="14"/>
  <c r="G3114" i="14"/>
  <c r="H3845" i="14"/>
  <c r="H3753" i="14"/>
  <c r="H3697" i="14"/>
  <c r="H3733" i="14"/>
  <c r="G3194" i="14"/>
  <c r="H3335" i="14"/>
  <c r="L3172" i="14"/>
  <c r="L4050" i="14"/>
  <c r="L3290" i="14"/>
  <c r="L3253" i="14"/>
  <c r="H3217" i="14"/>
  <c r="G3450" i="14"/>
  <c r="G3414" i="14"/>
  <c r="G3682" i="14"/>
  <c r="G3878" i="14"/>
  <c r="G3159" i="14"/>
  <c r="G3163" i="14"/>
  <c r="G3372" i="14"/>
  <c r="H3194" i="14"/>
  <c r="G3604" i="14"/>
  <c r="G3368" i="14"/>
  <c r="G3630" i="14"/>
  <c r="H3084" i="14"/>
  <c r="H3114" i="14"/>
  <c r="G3952" i="14"/>
  <c r="L3866" i="14"/>
  <c r="G3120" i="14"/>
  <c r="H3095" i="14"/>
  <c r="G3738" i="14"/>
  <c r="G3990" i="14"/>
  <c r="H3148" i="14"/>
  <c r="G3171" i="14"/>
  <c r="G3374" i="14"/>
  <c r="G3612" i="14"/>
  <c r="G3662" i="14"/>
  <c r="L3167" i="14"/>
  <c r="G3156" i="14"/>
  <c r="G3678" i="14"/>
  <c r="G3346" i="14"/>
  <c r="G3614" i="14"/>
  <c r="L3111" i="14"/>
  <c r="G3880" i="14"/>
  <c r="L3638" i="14"/>
  <c r="G3166" i="14"/>
  <c r="L3354" i="14"/>
  <c r="H3249" i="14"/>
  <c r="G3478" i="14"/>
  <c r="L3902" i="14"/>
  <c r="G3902" i="14"/>
  <c r="G3494" i="14"/>
  <c r="L4006" i="14"/>
  <c r="G3336" i="14"/>
  <c r="H3775" i="14"/>
  <c r="H3739" i="14"/>
  <c r="G3710" i="14"/>
  <c r="H3683" i="14"/>
  <c r="L3418" i="14"/>
  <c r="L3429" i="14"/>
  <c r="L3416" i="14"/>
  <c r="H4039" i="14"/>
  <c r="H3565" i="14"/>
  <c r="L3829" i="14"/>
  <c r="L3155" i="14"/>
  <c r="L3405" i="14"/>
  <c r="L3674" i="14"/>
  <c r="L3517" i="14"/>
  <c r="H3196" i="14"/>
  <c r="G3536" i="14"/>
  <c r="H3238" i="14"/>
  <c r="L3785" i="14"/>
  <c r="L3813" i="14"/>
  <c r="L3857" i="14"/>
  <c r="L3997" i="14"/>
  <c r="G4062" i="14"/>
  <c r="G3792" i="14"/>
  <c r="G3525" i="14"/>
  <c r="G3083" i="14"/>
  <c r="G3684" i="14"/>
  <c r="L3853" i="14"/>
  <c r="L3753" i="14"/>
  <c r="L3894" i="14"/>
  <c r="H3245" i="14"/>
  <c r="L3965" i="14"/>
  <c r="L3865" i="14"/>
  <c r="L3893" i="14"/>
  <c r="L3220" i="14"/>
  <c r="H3405" i="14"/>
  <c r="L3977" i="14"/>
  <c r="L4005" i="14"/>
  <c r="L4049" i="14"/>
  <c r="L3124" i="14"/>
  <c r="G3220" i="14"/>
  <c r="H4027" i="14"/>
  <c r="H4041" i="14"/>
  <c r="L3533" i="14"/>
  <c r="H4063" i="14"/>
  <c r="L3433" i="14"/>
  <c r="G3228" i="14"/>
  <c r="H3252" i="14"/>
  <c r="H3969" i="14"/>
  <c r="L3389" i="14"/>
  <c r="H3991" i="14"/>
  <c r="L3289" i="14"/>
  <c r="H4061" i="14"/>
  <c r="L3317" i="14"/>
  <c r="H4011" i="14"/>
  <c r="G3364" i="14"/>
  <c r="G3968" i="14"/>
  <c r="L3518" i="14"/>
  <c r="H3118" i="14"/>
  <c r="L3976" i="14"/>
  <c r="H3545" i="14"/>
  <c r="H3535" i="14"/>
  <c r="G3771" i="14"/>
  <c r="H3445" i="14"/>
  <c r="G3764" i="14"/>
  <c r="L3614" i="14"/>
  <c r="H3100" i="14"/>
  <c r="L3445" i="14"/>
  <c r="H3136" i="14"/>
  <c r="L3252" i="14"/>
  <c r="H3097" i="14"/>
  <c r="H3246" i="14"/>
  <c r="L3342" i="14"/>
  <c r="H3407" i="14"/>
  <c r="L3214" i="14"/>
  <c r="L3438" i="14"/>
  <c r="L3115" i="14"/>
  <c r="L3102" i="14"/>
  <c r="H3068" i="14"/>
  <c r="L3174" i="14"/>
  <c r="G3420" i="14"/>
  <c r="G3068" i="14"/>
  <c r="H3105" i="14"/>
  <c r="H3195" i="14"/>
  <c r="G3213" i="14"/>
  <c r="G3152" i="14"/>
  <c r="L3794" i="14"/>
  <c r="L3837" i="14"/>
  <c r="L3765" i="14"/>
  <c r="G4018" i="14"/>
  <c r="G3872" i="14"/>
  <c r="L3161" i="14"/>
  <c r="L3621" i="14"/>
  <c r="L3805" i="14"/>
  <c r="L3338" i="14"/>
  <c r="H3707" i="14"/>
  <c r="G3722" i="14"/>
  <c r="H3721" i="14"/>
  <c r="L3150" i="14"/>
  <c r="H3743" i="14"/>
  <c r="L3248" i="14"/>
  <c r="H3813" i="14"/>
  <c r="L3694" i="14"/>
  <c r="G3086" i="14"/>
  <c r="G3104" i="14"/>
  <c r="H3847" i="14"/>
  <c r="H3917" i="14"/>
  <c r="H3777" i="14"/>
  <c r="L3206" i="14"/>
  <c r="G3094" i="14"/>
  <c r="G3391" i="14"/>
  <c r="G3712" i="14"/>
  <c r="H3395" i="14"/>
  <c r="G3455" i="14"/>
  <c r="L3305" i="14"/>
  <c r="H3067" i="14"/>
  <c r="H3178" i="14"/>
  <c r="H3797" i="14"/>
  <c r="H3645" i="14"/>
  <c r="H3761" i="14"/>
  <c r="L3506" i="14"/>
  <c r="H3573" i="14"/>
  <c r="H3689" i="14"/>
  <c r="H3537" i="14"/>
  <c r="H3781" i="14"/>
  <c r="H3098" i="14"/>
  <c r="G3825" i="14"/>
  <c r="H3745" i="14"/>
  <c r="H3593" i="14"/>
  <c r="H3837" i="14"/>
  <c r="H3685" i="14"/>
  <c r="L4038" i="14"/>
  <c r="G3583" i="14"/>
  <c r="H3649" i="14"/>
  <c r="H3893" i="14"/>
  <c r="H3741" i="14"/>
  <c r="H3857" i="14"/>
  <c r="H3248" i="14"/>
  <c r="H3226" i="14"/>
  <c r="G3856" i="14"/>
  <c r="H3413" i="14"/>
  <c r="H3529" i="14"/>
  <c r="H3377" i="14"/>
  <c r="H3621" i="14"/>
  <c r="H3457" i="14"/>
  <c r="H3305" i="14"/>
  <c r="H3549" i="14"/>
  <c r="H3397" i="14"/>
  <c r="L4054" i="14"/>
  <c r="L3349" i="14"/>
  <c r="H3605" i="14"/>
  <c r="L3777" i="14"/>
  <c r="H3555" i="14"/>
  <c r="L3917" i="14"/>
  <c r="H3569" i="14"/>
  <c r="L3817" i="14"/>
  <c r="L3128" i="14"/>
  <c r="L3180" i="14"/>
  <c r="G3953" i="14"/>
  <c r="L3601" i="14"/>
  <c r="L3106" i="14"/>
  <c r="H3273" i="14"/>
  <c r="L3901" i="14"/>
  <c r="G3862" i="14"/>
  <c r="G3852" i="14"/>
  <c r="L3247" i="14"/>
  <c r="G3112" i="14"/>
  <c r="L3998" i="14"/>
  <c r="H3575" i="14"/>
  <c r="H3747" i="14"/>
  <c r="H3595" i="14"/>
  <c r="H3123" i="14"/>
  <c r="G3234" i="14"/>
  <c r="L3513" i="14"/>
  <c r="H3675" i="14"/>
  <c r="H3523" i="14"/>
  <c r="H3711" i="14"/>
  <c r="L3250" i="14"/>
  <c r="L3686" i="14"/>
  <c r="H3789" i="14"/>
  <c r="H3579" i="14"/>
  <c r="H3767" i="14"/>
  <c r="H3615" i="14"/>
  <c r="H3787" i="14"/>
  <c r="H3142" i="14"/>
  <c r="G4046" i="14"/>
  <c r="H4019" i="14"/>
  <c r="H3671" i="14"/>
  <c r="H3843" i="14"/>
  <c r="H3691" i="14"/>
  <c r="L3930" i="14"/>
  <c r="G3538" i="14"/>
  <c r="H3515" i="14"/>
  <c r="H3363" i="14"/>
  <c r="H3551" i="14"/>
  <c r="G3606" i="14"/>
  <c r="L3858" i="14"/>
  <c r="L3309" i="14"/>
  <c r="H3291" i="14"/>
  <c r="H3479" i="14"/>
  <c r="H3327" i="14"/>
  <c r="H3499" i="14"/>
  <c r="L3378" i="14"/>
  <c r="G3248" i="14"/>
  <c r="G3848" i="14"/>
  <c r="G3653" i="14"/>
  <c r="H3873" i="14"/>
  <c r="G3262" i="14"/>
  <c r="G3259" i="14"/>
  <c r="H3895" i="14"/>
  <c r="G3145" i="14"/>
  <c r="H3180" i="14"/>
  <c r="H3965" i="14"/>
  <c r="G3173" i="14"/>
  <c r="H3208" i="14"/>
  <c r="H3915" i="14"/>
  <c r="H3301" i="14"/>
  <c r="L3514" i="14"/>
  <c r="G4024" i="14"/>
  <c r="G3932" i="14"/>
  <c r="H3937" i="14"/>
  <c r="G3940" i="14"/>
  <c r="L4057" i="14"/>
  <c r="L3202" i="14"/>
  <c r="H3140" i="14"/>
  <c r="H3162" i="14"/>
  <c r="G3508" i="14"/>
  <c r="L3737" i="14"/>
  <c r="G3546" i="14"/>
  <c r="L3216" i="14"/>
  <c r="H3361" i="14"/>
  <c r="H3383" i="14"/>
  <c r="H3453" i="14"/>
  <c r="H3403" i="14"/>
  <c r="H3125" i="14"/>
  <c r="H3129" i="14"/>
  <c r="H3799" i="14"/>
  <c r="L3138" i="14"/>
  <c r="H3869" i="14"/>
  <c r="L3110" i="14"/>
  <c r="H3819" i="14"/>
  <c r="G3130" i="14"/>
  <c r="G3192" i="14"/>
  <c r="G3548" i="14"/>
  <c r="L3350" i="14"/>
  <c r="G4050" i="14"/>
  <c r="L3273" i="14"/>
  <c r="H4053" i="14"/>
  <c r="H3319" i="14"/>
  <c r="L3301" i="14"/>
  <c r="L3169" i="14"/>
  <c r="H4003" i="14"/>
  <c r="H3389" i="14"/>
  <c r="L3934" i="14"/>
  <c r="L3125" i="14"/>
  <c r="H4017" i="14"/>
  <c r="H3339" i="14"/>
  <c r="L3485" i="14"/>
  <c r="H3154" i="14"/>
  <c r="G3686" i="14"/>
  <c r="G3586" i="14"/>
  <c r="G3867" i="14"/>
  <c r="H3240" i="14"/>
  <c r="H3931" i="14"/>
  <c r="H3317" i="14"/>
  <c r="L3358" i="14"/>
  <c r="L3259" i="14"/>
  <c r="H3945" i="14"/>
  <c r="H3267" i="14"/>
  <c r="L3341" i="14"/>
  <c r="L3129" i="14"/>
  <c r="H3967" i="14"/>
  <c r="H3281" i="14"/>
  <c r="L3077" i="14"/>
  <c r="H4037" i="14"/>
  <c r="L3714" i="14"/>
  <c r="G3724" i="14"/>
  <c r="L3264" i="14"/>
  <c r="G3158" i="14"/>
  <c r="H4001" i="14"/>
  <c r="L3417" i="14"/>
  <c r="G3274" i="14"/>
  <c r="G3594" i="14"/>
  <c r="G3888" i="14"/>
  <c r="G4042" i="14"/>
  <c r="G3658" i="14"/>
  <c r="L3946" i="14"/>
  <c r="H3081" i="14"/>
  <c r="L3117" i="14"/>
  <c r="L3818" i="14"/>
  <c r="L3769" i="14"/>
  <c r="L3199" i="14"/>
  <c r="G3269" i="14"/>
  <c r="H3069" i="14"/>
  <c r="L3251" i="14"/>
  <c r="H4021" i="14"/>
  <c r="H3287" i="14"/>
  <c r="L3071" i="14"/>
  <c r="L3233" i="14"/>
  <c r="H3971" i="14"/>
  <c r="H3357" i="14"/>
  <c r="L3678" i="14"/>
  <c r="L3189" i="14"/>
  <c r="H3985" i="14"/>
  <c r="H3307" i="14"/>
  <c r="L3421" i="14"/>
  <c r="H3090" i="14"/>
  <c r="G3430" i="14"/>
  <c r="G4020" i="14"/>
  <c r="G3458" i="14"/>
  <c r="L3314" i="14"/>
  <c r="L3229" i="14"/>
  <c r="G3191" i="14"/>
  <c r="H3541" i="14"/>
  <c r="G3556" i="14"/>
  <c r="H3491" i="14"/>
  <c r="L3789" i="14"/>
  <c r="L3754" i="14"/>
  <c r="H3505" i="14"/>
  <c r="L3689" i="14"/>
  <c r="H3193" i="14"/>
  <c r="L3382" i="14"/>
  <c r="G4058" i="14"/>
  <c r="L3210" i="14"/>
  <c r="L3222" i="14"/>
  <c r="G3946" i="14"/>
  <c r="H3419" i="14"/>
  <c r="L3645" i="14"/>
  <c r="G3238" i="14"/>
  <c r="H3433" i="14"/>
  <c r="L3545" i="14"/>
  <c r="H3455" i="14"/>
  <c r="L3573" i="14"/>
  <c r="H3525" i="14"/>
  <c r="G3634" i="14"/>
  <c r="L3634" i="14"/>
  <c r="L3176" i="14"/>
  <c r="L3425" i="14"/>
  <c r="L3565" i="14"/>
  <c r="H3489" i="14"/>
  <c r="L3657" i="14"/>
  <c r="H3409" i="14"/>
  <c r="G3230" i="14"/>
  <c r="L3090" i="14"/>
  <c r="L3121" i="14"/>
  <c r="L3593" i="14"/>
  <c r="G3799" i="14"/>
  <c r="G3206" i="14"/>
  <c r="H3509" i="14"/>
  <c r="H3459" i="14"/>
  <c r="L3498" i="14"/>
  <c r="H3473" i="14"/>
  <c r="G3930" i="14"/>
  <c r="L3490" i="14"/>
  <c r="H3643" i="14"/>
  <c r="G3466" i="14"/>
  <c r="H3657" i="14"/>
  <c r="G3250" i="14"/>
  <c r="H3679" i="14"/>
  <c r="H3183" i="14"/>
  <c r="H3749" i="14"/>
  <c r="G3207" i="14"/>
  <c r="H3585" i="14"/>
  <c r="H3607" i="14"/>
  <c r="H3677" i="14"/>
  <c r="H3627" i="14"/>
  <c r="G3402" i="14"/>
  <c r="G3342" i="14"/>
  <c r="L3598" i="14"/>
  <c r="H3379" i="14"/>
  <c r="H3511" i="14"/>
  <c r="L3685" i="14"/>
  <c r="H3581" i="14"/>
  <c r="G3716" i="14"/>
  <c r="H3531" i="14"/>
  <c r="L3869" i="14"/>
  <c r="L3088" i="14"/>
  <c r="G3280" i="14"/>
  <c r="G3781" i="14"/>
  <c r="L4025" i="14"/>
  <c r="L3477" i="14"/>
  <c r="H3637" i="14"/>
  <c r="L3841" i="14"/>
  <c r="H3587" i="14"/>
  <c r="L3981" i="14"/>
  <c r="H3601" i="14"/>
  <c r="L3881" i="14"/>
  <c r="H3171" i="14"/>
  <c r="G3099" i="14"/>
  <c r="G3456" i="14"/>
  <c r="G3119" i="14"/>
  <c r="L3334" i="14"/>
  <c r="G3750" i="14"/>
  <c r="H3189" i="14"/>
  <c r="L3386" i="14"/>
  <c r="G3896" i="14"/>
  <c r="G3868" i="14"/>
  <c r="G3312" i="14"/>
  <c r="L3116" i="14"/>
  <c r="H3163" i="14"/>
  <c r="G3928" i="14"/>
  <c r="L3570" i="14"/>
  <c r="L3184" i="14"/>
  <c r="L3236" i="14"/>
  <c r="L3642" i="14"/>
  <c r="G3382" i="14"/>
  <c r="G3996" i="14"/>
  <c r="G3568" i="14"/>
  <c r="G3231" i="14"/>
  <c r="G3143" i="14"/>
  <c r="G3260" i="14"/>
  <c r="H3088" i="14"/>
  <c r="L3228" i="14"/>
  <c r="G4014" i="14"/>
  <c r="L3918" i="14"/>
  <c r="G4004" i="14"/>
  <c r="G3442" i="14"/>
  <c r="G3124" i="14"/>
  <c r="H3209" i="14"/>
  <c r="L3446" i="14"/>
  <c r="L3261" i="14"/>
  <c r="L3274" i="14"/>
  <c r="G3784" i="14"/>
  <c r="G4030" i="14"/>
  <c r="G3146" i="14"/>
  <c r="G3320" i="14"/>
  <c r="G3224" i="14"/>
  <c r="G3580" i="14"/>
  <c r="L3478" i="14"/>
  <c r="G4000" i="14"/>
  <c r="G3820" i="14"/>
  <c r="L3151" i="14"/>
  <c r="H3071" i="14"/>
  <c r="G3736" i="14"/>
  <c r="L3826" i="14"/>
  <c r="L3152" i="14"/>
  <c r="L3204" i="14"/>
  <c r="L3706" i="14"/>
  <c r="G3446" i="14"/>
  <c r="G4028" i="14"/>
  <c r="L3136" i="14"/>
  <c r="L3494" i="14"/>
  <c r="L3163" i="14"/>
  <c r="G3284" i="14"/>
  <c r="L3482" i="14"/>
  <c r="G3992" i="14"/>
  <c r="G3326" i="14"/>
  <c r="H3143" i="14"/>
  <c r="G3408" i="14"/>
  <c r="H3147" i="14"/>
  <c r="L3962" i="14"/>
  <c r="G3702" i="14"/>
  <c r="G4008" i="14"/>
  <c r="H3981" i="14"/>
  <c r="H3184" i="14"/>
  <c r="G3882" i="14"/>
  <c r="L4010" i="14"/>
  <c r="G3126" i="14"/>
  <c r="G3588" i="14"/>
  <c r="L3401" i="14"/>
  <c r="H3611" i="14"/>
  <c r="G3338" i="14"/>
  <c r="H3625" i="14"/>
  <c r="H3219" i="14"/>
  <c r="H3647" i="14"/>
  <c r="H3717" i="14"/>
  <c r="G3670" i="14"/>
  <c r="G3578" i="14"/>
  <c r="G3117" i="14"/>
  <c r="H3831" i="14"/>
  <c r="H3093" i="14"/>
  <c r="H3901" i="14"/>
  <c r="H3121" i="14"/>
  <c r="H3851" i="14"/>
  <c r="G3512" i="14"/>
  <c r="G3676" i="14"/>
  <c r="H3763" i="14"/>
  <c r="L3218" i="14"/>
  <c r="H3829" i="14"/>
  <c r="L3190" i="14"/>
  <c r="H3779" i="14"/>
  <c r="G4010" i="14"/>
  <c r="H3793" i="14"/>
  <c r="G3085" i="14"/>
  <c r="L3366" i="14"/>
  <c r="G3483" i="14"/>
  <c r="H4047" i="14"/>
  <c r="H3323" i="14"/>
  <c r="L3453" i="14"/>
  <c r="H3122" i="14"/>
  <c r="H4023" i="14"/>
  <c r="H3337" i="14"/>
  <c r="L3353" i="14"/>
  <c r="H3359" i="14"/>
  <c r="L3381" i="14"/>
  <c r="H4043" i="14"/>
  <c r="H3429" i="14"/>
  <c r="G3812" i="14"/>
  <c r="L3159" i="14"/>
  <c r="H3175" i="14"/>
  <c r="L3263" i="14"/>
  <c r="H3393" i="14"/>
  <c r="L3465" i="14"/>
  <c r="H3415" i="14"/>
  <c r="L3493" i="14"/>
  <c r="H3485" i="14"/>
  <c r="G3332" i="14"/>
  <c r="H3435" i="14"/>
  <c r="L3677" i="14"/>
  <c r="L3306" i="14"/>
  <c r="H3096" i="14"/>
  <c r="G3970" i="14"/>
  <c r="G3210" i="14"/>
  <c r="G3576" i="14"/>
  <c r="G3830" i="14"/>
  <c r="G4016" i="14"/>
  <c r="L3566" i="14"/>
  <c r="H3130" i="14"/>
  <c r="L3942" i="14"/>
  <c r="H3116" i="14"/>
  <c r="G3898" i="14"/>
  <c r="G3758" i="14"/>
  <c r="G3187" i="14"/>
  <c r="G3492" i="14"/>
  <c r="L3249" i="14"/>
  <c r="L3822" i="14"/>
  <c r="G3118" i="14"/>
  <c r="G3168" i="14"/>
  <c r="H3169" i="14"/>
  <c r="L3070" i="14"/>
  <c r="G4026" i="14"/>
  <c r="L3954" i="14"/>
  <c r="G3794" i="14"/>
  <c r="G3358" i="14"/>
  <c r="H3151" i="14"/>
  <c r="G3424" i="14"/>
  <c r="G3176" i="14"/>
  <c r="G3532" i="14"/>
  <c r="L3978" i="14"/>
  <c r="G3718" i="14"/>
  <c r="L4018" i="14"/>
  <c r="G3904" i="14"/>
  <c r="L3454" i="14"/>
  <c r="H3102" i="14"/>
  <c r="L3718" i="14"/>
  <c r="G3440" i="14"/>
  <c r="G3103" i="14"/>
  <c r="H3091" i="14"/>
  <c r="H3230" i="14"/>
  <c r="G3734" i="14"/>
  <c r="G3610" i="14"/>
  <c r="L3474" i="14"/>
  <c r="L3200" i="14"/>
  <c r="L3750" i="14"/>
  <c r="L3099" i="14"/>
  <c r="G3348" i="14"/>
  <c r="L3610" i="14"/>
  <c r="L3406" i="14"/>
  <c r="G3620" i="14"/>
  <c r="L3223" i="14"/>
  <c r="L3886" i="14"/>
  <c r="G3134" i="14"/>
  <c r="G3272" i="14"/>
  <c r="G3200" i="14"/>
  <c r="L3207" i="14"/>
  <c r="H3197" i="14"/>
  <c r="G3470" i="14"/>
  <c r="L3662" i="14"/>
  <c r="G3876" i="14"/>
  <c r="G3314" i="14"/>
  <c r="L3095" i="14"/>
  <c r="H3174" i="14"/>
  <c r="G3198" i="14"/>
  <c r="G3528" i="14"/>
  <c r="L3554" i="14"/>
  <c r="G3534" i="14"/>
  <c r="H3158" i="14"/>
  <c r="G3081" i="14"/>
  <c r="H3719" i="14"/>
  <c r="G4022" i="14"/>
  <c r="L3613" i="14"/>
  <c r="L4029" i="14"/>
  <c r="L3929" i="14"/>
  <c r="L3957" i="14"/>
  <c r="G3376" i="14"/>
  <c r="H3198" i="14"/>
  <c r="L3522" i="14"/>
  <c r="L3195" i="14"/>
  <c r="H4057" i="14"/>
  <c r="L4033" i="14"/>
  <c r="G3106" i="14"/>
  <c r="H3673" i="14"/>
  <c r="G3150" i="14"/>
  <c r="G3232" i="14"/>
  <c r="L3510" i="14"/>
  <c r="L3097" i="14"/>
  <c r="L3257" i="14"/>
  <c r="G3294" i="14"/>
  <c r="G3516" i="14"/>
  <c r="G3310" i="14"/>
  <c r="L3582" i="14"/>
  <c r="L3974" i="14"/>
  <c r="G3906" i="14"/>
  <c r="G3178" i="14"/>
  <c r="L3394" i="14"/>
  <c r="G3091" i="14"/>
  <c r="H3132" i="14"/>
  <c r="L3738" i="14"/>
  <c r="G3806" i="14"/>
  <c r="G3664" i="14"/>
  <c r="H3242" i="14"/>
  <c r="G4052" i="14"/>
  <c r="G3172" i="14"/>
  <c r="L3270" i="14"/>
  <c r="G3730" i="14"/>
  <c r="H3087" i="14"/>
  <c r="H3218" i="14"/>
  <c r="G3438" i="14"/>
  <c r="L3646" i="14"/>
  <c r="G3938" i="14"/>
  <c r="L3842" i="14"/>
  <c r="G3138" i="14"/>
  <c r="G3116" i="14"/>
  <c r="L3414" i="14"/>
  <c r="G3924" i="14"/>
  <c r="G3362" i="14"/>
  <c r="H3120" i="14"/>
  <c r="G3087" i="14"/>
  <c r="L3092" i="14"/>
  <c r="H3222" i="14"/>
  <c r="G3602" i="14"/>
  <c r="L3410" i="14"/>
  <c r="L3208" i="14"/>
  <c r="G3416" i="14"/>
  <c r="H3128" i="14"/>
  <c r="G4002" i="14"/>
  <c r="G3226" i="14"/>
  <c r="G3640" i="14"/>
  <c r="L3778" i="14"/>
  <c r="G3740" i="14"/>
  <c r="L3246" i="14"/>
  <c r="G3918" i="14"/>
  <c r="G3936" i="14"/>
  <c r="L3970" i="14"/>
  <c r="G3788" i="14"/>
  <c r="L3183" i="14"/>
  <c r="L3966" i="14"/>
  <c r="G3154" i="14"/>
  <c r="G3352" i="14"/>
  <c r="L3862" i="14"/>
  <c r="H3237" i="14"/>
  <c r="G3646" i="14"/>
  <c r="G3916" i="14"/>
  <c r="G3354" i="14"/>
  <c r="H3112" i="14"/>
  <c r="L3108" i="14"/>
  <c r="H3214" i="14"/>
  <c r="G3218" i="14"/>
  <c r="G3608" i="14"/>
  <c r="L3758" i="14"/>
  <c r="G3102" i="14"/>
  <c r="G3136" i="14"/>
  <c r="G3994" i="14"/>
  <c r="L3666" i="14"/>
  <c r="G3624" i="14"/>
  <c r="L3746" i="14"/>
  <c r="G3732" i="14"/>
  <c r="L3239" i="14"/>
  <c r="G3144" i="14"/>
  <c r="G3500" i="14"/>
  <c r="L3914" i="14"/>
  <c r="G3654" i="14"/>
  <c r="L3730" i="14"/>
  <c r="G3840" i="14"/>
  <c r="L3390" i="14"/>
  <c r="H3086" i="14"/>
  <c r="L3590" i="14"/>
  <c r="L3231" i="14"/>
  <c r="G3810" i="14"/>
  <c r="G3422" i="14"/>
  <c r="G3618" i="14"/>
  <c r="H3247" i="14"/>
  <c r="L3153" i="14"/>
  <c r="G3870" i="14"/>
  <c r="G3668" i="14"/>
  <c r="L3213" i="14"/>
  <c r="H3164" i="14"/>
  <c r="L3920" i="14"/>
  <c r="H3835" i="14"/>
  <c r="H3849" i="14"/>
  <c r="G3197" i="14"/>
  <c r="H3871" i="14"/>
  <c r="G3097" i="14"/>
  <c r="H3941" i="14"/>
  <c r="G3340" i="14"/>
  <c r="H3905" i="14"/>
  <c r="G3078" i="14"/>
  <c r="H3927" i="14"/>
  <c r="G3209" i="14"/>
  <c r="H3997" i="14"/>
  <c r="G3237" i="14"/>
  <c r="H3947" i="14"/>
  <c r="L3486" i="14"/>
  <c r="G4060" i="14"/>
  <c r="G3656" i="14"/>
  <c r="L3192" i="14"/>
  <c r="G3950" i="14"/>
  <c r="G3366" i="14"/>
  <c r="G3426" i="14"/>
  <c r="L3203" i="14"/>
  <c r="L3402" i="14"/>
  <c r="G3328" i="14"/>
  <c r="L3100" i="14"/>
  <c r="G3236" i="14"/>
  <c r="G3884" i="14"/>
  <c r="L3087" i="14"/>
  <c r="G3544" i="14"/>
  <c r="L3265" i="14"/>
  <c r="G3962" i="14"/>
  <c r="L3346" i="14"/>
  <c r="L3618" i="14"/>
  <c r="H3261" i="14"/>
  <c r="L3072" i="14"/>
  <c r="L3171" i="14"/>
  <c r="L3466" i="14"/>
  <c r="G3392" i="14"/>
  <c r="H3131" i="14"/>
  <c r="L3890" i="14"/>
  <c r="G3404" i="14"/>
  <c r="G3195" i="14"/>
  <c r="G3223" i="14"/>
  <c r="G3834" i="14"/>
  <c r="G3502" i="14"/>
  <c r="G3123" i="14"/>
  <c r="G3304" i="14"/>
  <c r="G3216" i="14"/>
  <c r="G3572" i="14"/>
  <c r="L4058" i="14"/>
  <c r="H3170" i="14"/>
  <c r="G3984" i="14"/>
  <c r="L3534" i="14"/>
  <c r="G3590" i="14"/>
  <c r="G3131" i="14"/>
  <c r="G3520" i="14"/>
  <c r="G3183" i="14"/>
  <c r="G3095" i="14"/>
  <c r="H3159" i="14"/>
  <c r="G3814" i="14"/>
  <c r="G3650" i="14"/>
  <c r="L3762" i="14"/>
  <c r="H3126" i="14"/>
  <c r="L3910" i="14"/>
  <c r="H3108" i="14"/>
  <c r="G3388" i="14"/>
  <c r="L3245" i="14"/>
  <c r="G3698" i="14"/>
  <c r="L3112" i="14"/>
  <c r="H3156" i="14"/>
  <c r="G3436" i="14"/>
  <c r="L3786" i="14"/>
  <c r="G3526" i="14"/>
  <c r="H3094" i="14"/>
  <c r="L3654" i="14"/>
  <c r="L3123" i="14"/>
  <c r="G3324" i="14"/>
  <c r="G3826" i="14"/>
  <c r="G3486" i="14"/>
  <c r="G3115" i="14"/>
  <c r="G3488" i="14"/>
  <c r="G3208" i="14"/>
  <c r="G3564" i="14"/>
  <c r="L4042" i="14"/>
  <c r="G3782" i="14"/>
  <c r="L3132" i="14"/>
  <c r="L3578" i="14"/>
  <c r="G3318" i="14"/>
  <c r="G3964" i="14"/>
  <c r="G3504" i="14"/>
  <c r="G3167" i="14"/>
  <c r="H3155" i="14"/>
  <c r="H3262" i="14"/>
  <c r="G3798" i="14"/>
  <c r="G3642" i="14"/>
  <c r="L3698" i="14"/>
  <c r="L3168" i="14"/>
  <c r="G3972" i="14"/>
  <c r="G3410" i="14"/>
  <c r="G3092" i="14"/>
  <c r="H3177" i="14"/>
  <c r="L3318" i="14"/>
  <c r="G3072" i="14"/>
  <c r="G3263" i="14"/>
  <c r="G3720" i="14"/>
  <c r="L3938" i="14"/>
  <c r="L3160" i="14"/>
  <c r="L3212" i="14"/>
  <c r="G3090" i="14"/>
  <c r="L3710" i="14"/>
  <c r="G3582" i="14"/>
  <c r="G3974" i="14"/>
  <c r="H3250" i="14"/>
  <c r="G3660" i="14"/>
  <c r="L3458" i="14"/>
  <c r="G3680" i="14"/>
  <c r="G3211" i="14"/>
  <c r="G3838" i="14"/>
  <c r="G3922" i="14"/>
  <c r="G3550" i="14"/>
  <c r="H3213" i="14"/>
  <c r="L3766" i="14"/>
  <c r="G3253" i="14"/>
  <c r="L3426" i="14"/>
  <c r="G3464" i="14"/>
  <c r="G3182" i="14"/>
  <c r="L3127" i="14"/>
  <c r="G3282" i="14"/>
  <c r="G3844" i="14"/>
  <c r="G3245" i="14"/>
  <c r="G3196" i="14"/>
  <c r="G3514" i="14"/>
  <c r="G3542" i="14"/>
  <c r="L3148" i="14"/>
  <c r="G3836" i="14"/>
  <c r="G3832" i="14"/>
  <c r="L3322" i="14"/>
  <c r="L3069" i="14"/>
  <c r="H3144" i="14"/>
  <c r="G3386" i="14"/>
  <c r="G3948" i="14"/>
  <c r="G3286" i="14"/>
  <c r="G3774" i="14"/>
  <c r="G3249" i="14"/>
  <c r="L3990" i="14"/>
  <c r="G3708" i="14"/>
  <c r="G3900" i="14"/>
  <c r="G3960" i="14"/>
  <c r="H3221" i="14"/>
  <c r="L3798" i="14"/>
  <c r="G3212" i="14"/>
  <c r="G3186" i="14"/>
  <c r="H3185" i="14"/>
  <c r="L3187" i="14"/>
  <c r="L3105" i="14"/>
  <c r="G3522" i="14"/>
  <c r="G3558" i="14"/>
  <c r="L3096" i="14"/>
  <c r="L3278" i="14"/>
  <c r="G3235" i="14"/>
  <c r="G3444" i="14"/>
  <c r="G3135" i="14"/>
  <c r="G3472" i="14"/>
  <c r="G3454" i="14"/>
  <c r="L3546" i="14"/>
  <c r="L3131" i="14"/>
  <c r="L3232" i="14"/>
  <c r="H3127" i="14"/>
  <c r="G3770" i="14"/>
  <c r="G4054" i="14"/>
  <c r="L3430" i="14"/>
  <c r="L3310" i="14"/>
  <c r="G3199" i="14"/>
  <c r="G3256" i="14"/>
  <c r="G3692" i="14"/>
  <c r="G3744" i="14"/>
  <c r="G3966" i="14"/>
  <c r="G3096" i="14"/>
  <c r="G3648" i="14"/>
  <c r="L3722" i="14"/>
  <c r="L3144" i="14"/>
  <c r="L3156" i="14"/>
  <c r="H3135" i="14"/>
  <c r="G3276" i="14"/>
  <c r="L3790" i="14"/>
  <c r="L3067" i="14"/>
  <c r="G3560" i="14"/>
  <c r="L3926" i="14"/>
  <c r="G3202" i="14"/>
  <c r="G3622" i="14"/>
  <c r="G3912" i="14"/>
  <c r="G3108" i="14"/>
  <c r="L3149" i="14"/>
  <c r="G3510" i="14"/>
  <c r="H3333" i="14"/>
  <c r="G3927" i="14"/>
  <c r="L3107" i="14"/>
  <c r="G4048" i="14"/>
  <c r="L3921" i="14"/>
  <c r="L3849" i="14"/>
  <c r="G3632" i="14"/>
  <c r="L3993" i="14"/>
  <c r="G3496" i="14"/>
  <c r="L3625" i="14"/>
  <c r="G3428" i="14"/>
  <c r="G3270" i="14"/>
  <c r="G4040" i="14"/>
  <c r="L3530" i="14"/>
  <c r="G3308" i="14"/>
  <c r="L3139" i="14"/>
  <c r="L3958" i="14"/>
  <c r="L3240" i="14"/>
  <c r="G3076" i="14"/>
  <c r="G3570" i="14"/>
  <c r="H3190" i="14"/>
  <c r="H3099" i="14"/>
  <c r="G3140" i="14"/>
  <c r="L3147" i="14"/>
  <c r="L3558" i="14"/>
  <c r="L3085" i="14"/>
  <c r="L3374" i="14"/>
  <c r="G3824" i="14"/>
  <c r="G3638" i="14"/>
  <c r="L3898" i="14"/>
  <c r="L3084" i="14"/>
  <c r="G3344" i="14"/>
  <c r="H3111" i="14"/>
  <c r="G3808" i="14"/>
  <c r="L3602" i="14"/>
  <c r="G3986" i="14"/>
  <c r="G3484" i="14"/>
  <c r="G3128" i="14"/>
  <c r="G3098" i="14"/>
  <c r="G3746" i="14"/>
  <c r="G4006" i="14"/>
  <c r="H4066" i="14"/>
  <c r="L3846" i="14"/>
  <c r="G3552" i="14"/>
  <c r="G3147" i="14"/>
  <c r="G3598" i="14"/>
  <c r="G3858" i="14"/>
  <c r="G3356" i="14"/>
  <c r="L3091" i="14"/>
  <c r="L3782" i="14"/>
  <c r="H3110" i="14"/>
  <c r="L3538" i="14"/>
  <c r="L3302" i="14"/>
  <c r="L3630" i="14"/>
  <c r="H3210" i="14"/>
  <c r="G3600" i="14"/>
  <c r="G3694" i="14"/>
  <c r="G4064" i="14"/>
  <c r="H3173" i="14"/>
  <c r="L3606" i="14"/>
  <c r="L3266" i="14"/>
  <c r="G3162" i="14"/>
  <c r="G3874" i="14"/>
  <c r="H3241" i="14"/>
  <c r="G3474" i="14"/>
  <c r="L3982" i="14"/>
  <c r="L3175" i="14"/>
  <c r="G3796" i="14"/>
  <c r="G3752" i="14"/>
  <c r="H3104" i="14"/>
  <c r="G3908" i="14"/>
  <c r="H3229" i="14"/>
  <c r="G3298" i="14"/>
  <c r="G3406" i="14"/>
  <c r="H3257" i="14"/>
  <c r="G3400" i="14"/>
  <c r="L4014" i="14"/>
  <c r="G3864" i="14"/>
  <c r="G3239" i="14"/>
  <c r="G3164" i="14"/>
  <c r="G4044" i="14"/>
  <c r="L3188" i="14"/>
  <c r="G3288" i="14"/>
  <c r="G3982" i="14"/>
  <c r="G3756" i="14"/>
  <c r="H3150" i="14"/>
  <c r="G3910" i="14"/>
  <c r="L3219" i="14"/>
  <c r="G3490" i="14"/>
  <c r="H3107" i="14"/>
  <c r="G3203" i="14"/>
  <c r="G3412" i="14"/>
  <c r="G3644" i="14"/>
  <c r="G3790" i="14"/>
  <c r="L3135" i="14"/>
  <c r="G4032" i="14"/>
  <c r="G3160" i="14"/>
  <c r="G3778" i="14"/>
  <c r="L3462" i="14"/>
  <c r="H3225" i="14"/>
  <c r="L3950" i="14"/>
  <c r="L3186" i="14"/>
  <c r="L3086" i="14"/>
  <c r="G3850" i="14"/>
  <c r="H3663" i="14"/>
  <c r="L3774" i="14"/>
  <c r="L3198" i="14"/>
  <c r="G3626" i="14"/>
  <c r="H3179" i="14"/>
  <c r="G3327" i="14"/>
  <c r="H3115" i="14"/>
  <c r="H3089" i="14"/>
  <c r="G3217" i="14"/>
  <c r="H3417" i="14"/>
  <c r="G3246" i="14"/>
  <c r="G3139" i="14"/>
  <c r="H4055" i="14"/>
  <c r="H4033" i="14"/>
  <c r="L3119" i="14"/>
  <c r="H3999" i="14"/>
  <c r="H3977" i="14"/>
  <c r="H3963" i="14"/>
  <c r="G3995" i="14"/>
  <c r="L3734" i="14"/>
  <c r="L3801" i="14"/>
  <c r="L3845" i="14"/>
  <c r="H3633" i="14"/>
  <c r="H3425" i="14"/>
  <c r="L3665" i="14"/>
  <c r="H3471" i="14"/>
  <c r="L3501" i="14"/>
  <c r="G3639" i="14"/>
  <c r="L3693" i="14"/>
  <c r="H3693" i="14"/>
  <c r="L4036" i="14"/>
  <c r="G3153" i="14"/>
  <c r="G4029" i="14"/>
  <c r="L3294" i="14"/>
  <c r="G3393" i="14"/>
  <c r="G3533" i="14"/>
  <c r="G3453" i="14"/>
  <c r="L3361" i="14"/>
  <c r="H3347" i="14"/>
  <c r="G3301" i="14"/>
  <c r="L3885" i="14"/>
  <c r="H3975" i="14"/>
  <c r="H3297" i="14"/>
  <c r="G3929" i="14"/>
  <c r="H3938" i="14"/>
  <c r="G3503" i="14"/>
  <c r="G3931" i="14"/>
  <c r="H3481" i="14"/>
  <c r="G3383" i="14"/>
  <c r="G3579" i="14"/>
  <c r="H3641" i="14"/>
  <c r="L3626" i="14"/>
  <c r="G3741" i="14"/>
  <c r="H3167" i="14"/>
  <c r="G3941" i="14"/>
  <c r="G3165" i="14"/>
  <c r="G3652" i="14"/>
  <c r="L3285" i="14"/>
  <c r="L3605" i="14"/>
  <c r="L3529" i="14"/>
  <c r="L3325" i="14"/>
  <c r="L3905" i="14"/>
  <c r="L3557" i="14"/>
  <c r="H3076" i="14"/>
  <c r="L4045" i="14"/>
  <c r="G3460" i="14"/>
  <c r="L3078" i="14"/>
  <c r="L3945" i="14"/>
  <c r="L3741" i="14"/>
  <c r="L3742" i="14"/>
  <c r="G3214" i="14"/>
  <c r="G3592" i="14"/>
  <c r="L3682" i="14"/>
  <c r="H3591" i="14"/>
  <c r="H3661" i="14"/>
  <c r="H3713" i="14"/>
  <c r="L3166" i="14"/>
  <c r="H3735" i="14"/>
  <c r="L3068" i="14"/>
  <c r="H3805" i="14"/>
  <c r="L3238" i="14"/>
  <c r="H3755" i="14"/>
  <c r="G3914" i="14"/>
  <c r="L3089" i="14"/>
  <c r="G3747" i="14"/>
  <c r="G3725" i="14"/>
  <c r="G3463" i="14"/>
  <c r="L3577" i="14"/>
  <c r="L3776" i="14"/>
  <c r="G3177" i="14"/>
  <c r="G3323" i="14"/>
  <c r="G3222" i="14"/>
  <c r="L3589" i="14"/>
  <c r="H3984" i="14"/>
  <c r="L3668" i="14"/>
  <c r="G3461" i="14"/>
  <c r="L3385" i="14"/>
  <c r="H3343" i="14"/>
  <c r="G3963" i="14"/>
  <c r="H4015" i="14"/>
  <c r="L3409" i="14"/>
  <c r="L3397" i="14"/>
  <c r="L3182" i="14"/>
  <c r="H3279" i="14"/>
  <c r="G3399" i="14"/>
  <c r="H3818" i="14"/>
  <c r="G3923" i="14"/>
  <c r="G4045" i="14"/>
  <c r="G3903" i="14"/>
  <c r="L3094" i="14"/>
  <c r="H3827" i="14"/>
  <c r="G4063" i="14"/>
  <c r="H3475" i="14"/>
  <c r="L3142" i="14"/>
  <c r="L4001" i="14"/>
  <c r="H3200" i="14"/>
  <c r="L3130" i="14"/>
  <c r="L3145" i="14"/>
  <c r="L3262" i="14"/>
  <c r="G3370" i="14"/>
  <c r="L3217" i="14"/>
  <c r="H3235" i="14"/>
  <c r="L3562" i="14"/>
  <c r="L4026" i="14"/>
  <c r="G3766" i="14"/>
  <c r="G3839" i="14"/>
  <c r="G3129" i="14"/>
  <c r="H3165" i="14"/>
  <c r="H3957" i="14"/>
  <c r="G3157" i="14"/>
  <c r="H3192" i="14"/>
  <c r="H3907" i="14"/>
  <c r="H3293" i="14"/>
  <c r="H3236" i="14"/>
  <c r="H3921" i="14"/>
  <c r="L3293" i="14"/>
  <c r="L3177" i="14"/>
  <c r="G3688" i="14"/>
  <c r="H3449" i="14"/>
  <c r="L3074" i="14"/>
  <c r="L3629" i="14"/>
  <c r="L3313" i="14"/>
  <c r="H3264" i="14"/>
  <c r="L3109" i="14"/>
  <c r="G3447" i="14"/>
  <c r="L4053" i="14"/>
  <c r="G3939" i="14"/>
  <c r="G3925" i="14"/>
  <c r="H3725" i="14"/>
  <c r="H3885" i="14"/>
  <c r="G3773" i="14"/>
  <c r="H3101" i="14"/>
  <c r="H3823" i="14"/>
  <c r="G3101" i="14"/>
  <c r="H3959" i="14"/>
  <c r="H3979" i="14"/>
  <c r="G3148" i="14"/>
  <c r="L3542" i="14"/>
  <c r="L4060" i="14"/>
  <c r="H4059" i="14"/>
  <c r="L3597" i="14"/>
  <c r="L3497" i="14"/>
  <c r="G3674" i="14"/>
  <c r="L3922" i="14"/>
  <c r="G3137" i="14"/>
  <c r="G3125" i="14"/>
  <c r="H3451" i="14"/>
  <c r="L3709" i="14"/>
  <c r="L3434" i="14"/>
  <c r="H3465" i="14"/>
  <c r="L3609" i="14"/>
  <c r="H3487" i="14"/>
  <c r="L3637" i="14"/>
  <c r="H3557" i="14"/>
  <c r="G3762" i="14"/>
  <c r="H3119" i="14"/>
  <c r="G3360" i="14"/>
  <c r="L3681" i="14"/>
  <c r="L3821" i="14"/>
  <c r="H3521" i="14"/>
  <c r="L3721" i="14"/>
  <c r="H3543" i="14"/>
  <c r="L3749" i="14"/>
  <c r="H3613" i="14"/>
  <c r="L3793" i="14"/>
  <c r="H3563" i="14"/>
  <c r="L3933" i="14"/>
  <c r="G3566" i="14"/>
  <c r="G3755" i="14"/>
  <c r="G3901" i="14"/>
  <c r="L3473" i="14"/>
  <c r="H3897" i="14"/>
  <c r="H3411" i="14"/>
  <c r="L3904" i="14"/>
  <c r="G3113" i="14"/>
  <c r="H3153" i="14"/>
  <c r="G4041" i="14"/>
  <c r="H3655" i="14"/>
  <c r="G3895" i="14"/>
  <c r="H3815" i="14"/>
  <c r="H3251" i="14"/>
  <c r="G3543" i="14"/>
  <c r="G3743" i="14"/>
  <c r="H3311" i="14"/>
  <c r="H3447" i="14"/>
  <c r="H3619" i="14"/>
  <c r="H3295" i="14"/>
  <c r="H3467" i="14"/>
  <c r="G3227" i="14"/>
  <c r="H3074" i="14"/>
  <c r="G3697" i="14"/>
  <c r="L3825" i="14"/>
  <c r="H3547" i="14"/>
  <c r="H3561" i="14"/>
  <c r="H3583" i="14"/>
  <c r="H3653" i="14"/>
  <c r="H3205" i="14"/>
  <c r="G3518" i="14"/>
  <c r="H3277" i="14"/>
  <c r="H3617" i="14"/>
  <c r="L3913" i="14"/>
  <c r="H3203" i="14"/>
  <c r="H3639" i="14"/>
  <c r="L3941" i="14"/>
  <c r="H3709" i="14"/>
  <c r="L3985" i="14"/>
  <c r="H3659" i="14"/>
  <c r="G3530" i="14"/>
  <c r="L3254" i="14"/>
  <c r="G3886" i="14"/>
  <c r="L3854" i="14"/>
  <c r="H3507" i="14"/>
  <c r="L3989" i="14"/>
  <c r="H3215" i="14"/>
  <c r="H3765" i="14"/>
  <c r="H3243" i="14"/>
  <c r="H3715" i="14"/>
  <c r="G3754" i="14"/>
  <c r="H3729" i="14"/>
  <c r="L3134" i="14"/>
  <c r="H3553" i="14"/>
  <c r="G4027" i="14"/>
  <c r="G3513" i="14"/>
  <c r="G3451" i="14"/>
  <c r="H3367" i="14"/>
  <c r="H4045" i="14"/>
  <c r="G3363" i="14"/>
  <c r="L3653" i="14"/>
  <c r="G3909" i="14"/>
  <c r="H4029" i="14"/>
  <c r="G3190" i="14"/>
  <c r="L3526" i="14"/>
  <c r="G3292" i="14"/>
  <c r="H3891" i="14"/>
  <c r="L3154" i="14"/>
  <c r="H3861" i="14"/>
  <c r="L3126" i="14"/>
  <c r="H3811" i="14"/>
  <c r="H3825" i="14"/>
  <c r="G3149" i="14"/>
  <c r="L3878" i="14"/>
  <c r="G3380" i="14"/>
  <c r="G3611" i="14"/>
  <c r="H3867" i="14"/>
  <c r="H3881" i="14"/>
  <c r="H3072" i="14"/>
  <c r="H3903" i="14"/>
  <c r="G3161" i="14"/>
  <c r="H3973" i="14"/>
  <c r="G3468" i="14"/>
  <c r="L4030" i="14"/>
  <c r="G3170" i="14"/>
  <c r="G3672" i="14"/>
  <c r="G3180" i="14"/>
  <c r="H3265" i="14"/>
  <c r="L3670" i="14"/>
  <c r="H3899" i="14"/>
  <c r="H3285" i="14"/>
  <c r="H3220" i="14"/>
  <c r="H3913" i="14"/>
  <c r="L3277" i="14"/>
  <c r="L3193" i="14"/>
  <c r="H3935" i="14"/>
  <c r="G3225" i="14"/>
  <c r="H3260" i="14"/>
  <c r="H4005" i="14"/>
  <c r="G3240" i="14"/>
  <c r="G3596" i="14"/>
  <c r="H3186" i="14"/>
  <c r="G3671" i="14"/>
  <c r="H3841" i="14"/>
  <c r="G3181" i="14"/>
  <c r="H3216" i="14"/>
  <c r="H3863" i="14"/>
  <c r="H3157" i="14"/>
  <c r="H3933" i="14"/>
  <c r="G3109" i="14"/>
  <c r="H3883" i="14"/>
  <c r="H3269" i="14"/>
  <c r="L3079" i="14"/>
  <c r="G3768" i="14"/>
  <c r="L4034" i="14"/>
  <c r="G3804" i="14"/>
  <c r="G3967" i="14"/>
  <c r="G3193" i="14"/>
  <c r="H3228" i="14"/>
  <c r="H3989" i="14"/>
  <c r="G3221" i="14"/>
  <c r="H3256" i="14"/>
  <c r="H3939" i="14"/>
  <c r="H3325" i="14"/>
  <c r="L3422" i="14"/>
  <c r="L3075" i="14"/>
  <c r="H3953" i="14"/>
  <c r="H3275" i="14"/>
  <c r="L3357" i="14"/>
  <c r="L3113" i="14"/>
  <c r="G3944" i="14"/>
  <c r="G3892" i="14"/>
  <c r="G3330" i="14"/>
  <c r="L3137" i="14"/>
  <c r="L3157" i="14"/>
  <c r="L3185" i="14"/>
  <c r="H3995" i="14"/>
  <c r="H3381" i="14"/>
  <c r="L3870" i="14"/>
  <c r="L3141" i="14"/>
  <c r="H4009" i="14"/>
  <c r="H3331" i="14"/>
  <c r="L3469" i="14"/>
  <c r="H3138" i="14"/>
  <c r="H4031" i="14"/>
  <c r="H3345" i="14"/>
  <c r="L3369" i="14"/>
  <c r="G3350" i="14"/>
  <c r="G3980" i="14"/>
  <c r="G3418" i="14"/>
  <c r="G3100" i="14"/>
  <c r="L3258" i="14"/>
  <c r="G3111" i="14"/>
  <c r="G3069" i="14"/>
  <c r="L4041" i="14"/>
  <c r="L3230" i="14"/>
  <c r="H3703" i="14"/>
  <c r="H3231" i="14"/>
  <c r="H3773" i="14"/>
  <c r="H3259" i="14"/>
  <c r="H3723" i="14"/>
  <c r="G3786" i="14"/>
  <c r="G3215" i="14"/>
  <c r="G3127" i="14"/>
  <c r="G3252" i="14"/>
  <c r="G4037" i="14"/>
  <c r="L3733" i="14"/>
  <c r="H3701" i="14"/>
  <c r="L3969" i="14"/>
  <c r="H3651" i="14"/>
  <c r="G3498" i="14"/>
  <c r="H3665" i="14"/>
  <c r="L4009" i="14"/>
  <c r="L3260" i="14"/>
  <c r="G3615" i="14"/>
  <c r="H3289" i="14"/>
  <c r="L3340" i="14"/>
  <c r="H3631" i="14"/>
  <c r="G4055" i="14"/>
  <c r="H3669" i="14"/>
  <c r="H3517" i="14"/>
  <c r="H3365" i="14"/>
  <c r="L3133" i="14"/>
  <c r="L3874" i="14"/>
  <c r="H3168" i="14"/>
  <c r="L4066" i="14"/>
  <c r="H3349" i="14"/>
  <c r="L3205" i="14"/>
  <c r="H3299" i="14"/>
  <c r="L3093" i="14"/>
  <c r="H3313" i="14"/>
  <c r="G3290" i="14"/>
  <c r="L3882" i="14"/>
  <c r="H3355" i="14"/>
  <c r="G3110" i="14"/>
  <c r="H3369" i="14"/>
  <c r="H3391" i="14"/>
  <c r="H3461" i="14"/>
  <c r="G3378" i="14"/>
  <c r="L3850" i="14"/>
  <c r="G3846" i="14"/>
  <c r="L3442" i="14"/>
  <c r="G3776" i="14"/>
  <c r="L3326" i="14"/>
  <c r="H3387" i="14"/>
  <c r="L3581" i="14"/>
  <c r="G3174" i="14"/>
  <c r="H3401" i="14"/>
  <c r="L3481" i="14"/>
  <c r="H3423" i="14"/>
  <c r="L3509" i="14"/>
  <c r="H3493" i="14"/>
  <c r="G3506" i="14"/>
  <c r="G3188" i="14"/>
  <c r="G3067" i="14"/>
  <c r="L3702" i="14"/>
  <c r="H3329" i="14"/>
  <c r="L3337" i="14"/>
  <c r="H3351" i="14"/>
  <c r="L3365" i="14"/>
  <c r="H4035" i="14"/>
  <c r="H3421" i="14"/>
  <c r="H4049" i="14"/>
  <c r="H3371" i="14"/>
  <c r="L3549" i="14"/>
  <c r="G3142" i="14"/>
  <c r="H3234" i="14"/>
  <c r="G3942" i="14"/>
  <c r="G3714" i="14"/>
  <c r="H3263" i="14"/>
  <c r="H3227" i="14"/>
  <c r="H3477" i="14"/>
  <c r="G3300" i="14"/>
  <c r="H3427" i="14"/>
  <c r="L3661" i="14"/>
  <c r="H3075" i="14"/>
  <c r="H3441" i="14"/>
  <c r="L3561" i="14"/>
  <c r="G3802" i="14"/>
  <c r="G3390" i="14"/>
  <c r="L3345" i="14"/>
  <c r="L3333" i="14"/>
  <c r="L4062" i="14"/>
  <c r="H3483" i="14"/>
  <c r="L3773" i="14"/>
  <c r="L3690" i="14"/>
  <c r="H3497" i="14"/>
  <c r="L3673" i="14"/>
  <c r="H3519" i="14"/>
  <c r="L3701" i="14"/>
  <c r="H3589" i="14"/>
  <c r="G3890" i="14"/>
  <c r="G3726" i="14"/>
  <c r="G3179" i="14"/>
  <c r="G3616" i="14"/>
  <c r="L3330" i="14"/>
  <c r="G3628" i="14"/>
  <c r="H3141" i="14"/>
  <c r="H3925" i="14"/>
  <c r="G3093" i="14"/>
  <c r="H3875" i="14"/>
  <c r="H3172" i="14"/>
  <c r="H3889" i="14"/>
  <c r="H3080" i="14"/>
  <c r="L3241" i="14"/>
  <c r="G3432" i="14"/>
  <c r="L3362" i="14"/>
  <c r="G3636" i="14"/>
  <c r="G3355" i="14"/>
  <c r="H3929" i="14"/>
  <c r="H3919" i="14"/>
  <c r="H3803" i="14"/>
  <c r="H3817" i="14"/>
  <c r="G3133" i="14"/>
  <c r="H3161" i="14"/>
  <c r="H3839" i="14"/>
  <c r="H3109" i="14"/>
  <c r="H3909" i="14"/>
  <c r="L3235" i="14"/>
  <c r="H3223" i="14"/>
  <c r="G3371" i="14"/>
  <c r="G3549" i="14"/>
  <c r="L3897" i="14"/>
  <c r="H3431" i="14"/>
  <c r="G3899" i="14"/>
  <c r="L3809" i="14"/>
  <c r="G3325" i="14"/>
  <c r="H3887" i="14"/>
  <c r="H3923" i="14"/>
  <c r="G3524" i="14"/>
  <c r="G3413" i="14"/>
  <c r="L3521" i="14"/>
  <c r="G3973" i="14"/>
  <c r="H3353" i="14"/>
  <c r="G3965" i="14"/>
  <c r="H4025" i="14"/>
  <c r="G3613" i="14"/>
  <c r="H3879" i="14"/>
  <c r="H3539" i="14"/>
  <c r="H3949" i="14"/>
  <c r="H3695" i="14"/>
  <c r="H3809" i="14"/>
  <c r="G3937" i="14"/>
  <c r="L3328" i="14"/>
  <c r="G4043" i="14"/>
  <c r="G3761" i="14"/>
  <c r="G3589" i="14"/>
  <c r="L3973" i="14"/>
  <c r="L3641" i="14"/>
  <c r="L3953" i="14"/>
  <c r="G3581" i="14"/>
  <c r="G3921" i="14"/>
  <c r="G3749" i="14"/>
  <c r="L3617" i="14"/>
  <c r="L3961" i="14"/>
  <c r="L3757" i="14"/>
  <c r="L3925" i="14"/>
  <c r="H3495" i="14"/>
  <c r="H3833" i="14"/>
  <c r="H3667" i="14"/>
  <c r="G3562" i="14"/>
  <c r="H3801" i="14"/>
  <c r="H3791" i="14"/>
  <c r="H3771" i="14"/>
  <c r="G3978" i="14"/>
  <c r="H3785" i="14"/>
  <c r="H3145" i="14"/>
  <c r="H3807" i="14"/>
  <c r="L3122" i="14"/>
  <c r="H3877" i="14"/>
  <c r="H3206" i="14"/>
  <c r="H3900" i="14"/>
  <c r="G3951" i="14"/>
  <c r="G3949" i="14"/>
  <c r="G3911" i="14"/>
  <c r="L4013" i="14"/>
  <c r="G3871" i="14"/>
  <c r="L3889" i="14"/>
  <c r="G3597" i="14"/>
  <c r="G3268" i="14"/>
  <c r="G3493" i="14"/>
  <c r="L3449" i="14"/>
  <c r="L3413" i="14"/>
  <c r="L3984" i="14"/>
  <c r="H3224" i="14"/>
  <c r="H3309" i="14"/>
  <c r="H3204" i="14"/>
  <c r="L3468" i="14"/>
  <c r="L3452" i="14"/>
  <c r="G3291" i="14"/>
  <c r="G3089" i="14"/>
  <c r="H3865" i="14"/>
  <c r="G3229" i="14"/>
  <c r="H3855" i="14"/>
  <c r="H3149" i="14"/>
  <c r="G3423" i="14"/>
  <c r="H3137" i="14"/>
  <c r="H3859" i="14"/>
  <c r="G3985" i="14"/>
  <c r="H4051" i="14"/>
  <c r="H3437" i="14"/>
  <c r="G3397" i="14"/>
  <c r="L3073" i="14"/>
  <c r="G3141" i="14"/>
  <c r="L3098" i="14"/>
  <c r="H3928" i="14"/>
  <c r="G3233" i="14"/>
  <c r="G3421" i="14"/>
  <c r="G3419" i="14"/>
  <c r="L3297" i="14"/>
  <c r="L3173" i="14"/>
  <c r="H3993" i="14"/>
  <c r="H3315" i="14"/>
  <c r="L3437" i="14"/>
  <c r="H3106" i="14"/>
  <c r="H3983" i="14"/>
  <c r="L3281" i="14"/>
  <c r="G3551" i="14"/>
  <c r="H3303" i="14"/>
  <c r="L3269" i="14"/>
  <c r="L3201" i="14"/>
  <c r="H3987" i="14"/>
  <c r="H3373" i="14"/>
  <c r="L3806" i="14"/>
  <c r="L3221" i="14"/>
  <c r="G3575" i="14"/>
  <c r="G3429" i="14"/>
  <c r="H4007" i="14"/>
  <c r="H3321" i="14"/>
  <c r="L3321" i="14"/>
  <c r="H3562" i="14"/>
  <c r="G3441" i="14"/>
  <c r="G3277" i="14"/>
  <c r="G3943" i="14"/>
  <c r="L3880" i="14"/>
  <c r="G3527" i="14"/>
  <c r="L3596" i="14"/>
  <c r="G3631" i="14"/>
  <c r="G3335" i="14"/>
  <c r="H3783" i="14"/>
  <c r="H3853" i="14"/>
  <c r="L3537" i="14"/>
  <c r="H3501" i="14"/>
  <c r="H3283" i="14"/>
  <c r="H3439" i="14"/>
  <c r="H3635" i="14"/>
  <c r="L3633" i="14"/>
  <c r="G3333" i="14"/>
  <c r="L3461" i="14"/>
  <c r="H3212" i="14"/>
  <c r="G4005" i="14"/>
  <c r="H3188" i="14"/>
  <c r="L3225" i="14"/>
  <c r="G3485" i="14"/>
  <c r="G3201" i="14"/>
  <c r="G3487" i="14"/>
  <c r="G3189" i="14"/>
  <c r="L3234" i="14"/>
  <c r="H3821" i="14"/>
  <c r="G3258" i="14"/>
  <c r="G3711" i="14"/>
  <c r="G3427" i="14"/>
  <c r="G3567" i="14"/>
  <c r="H3982" i="14"/>
  <c r="G3559" i="14"/>
  <c r="G3411" i="14"/>
  <c r="G3531" i="14"/>
  <c r="G3735" i="14"/>
  <c r="G3803" i="14"/>
  <c r="L4065" i="14"/>
  <c r="H3211" i="14"/>
  <c r="H3699" i="14"/>
  <c r="G3690" i="14"/>
  <c r="G3793" i="14"/>
  <c r="G3935" i="14"/>
  <c r="H3687" i="14"/>
  <c r="L4037" i="14"/>
  <c r="H3199" i="14"/>
  <c r="H3757" i="14"/>
  <c r="L4017" i="14"/>
  <c r="H3166" i="14"/>
  <c r="G3415" i="14"/>
  <c r="G3959" i="14"/>
  <c r="G3813" i="14"/>
  <c r="H3239" i="14"/>
  <c r="H3705" i="14"/>
  <c r="L3292" i="14"/>
  <c r="G3105" i="14"/>
  <c r="G3795" i="14"/>
  <c r="G3913" i="14"/>
  <c r="G3945" i="14"/>
  <c r="G3565" i="14"/>
  <c r="H3950" i="14"/>
  <c r="G3695" i="14"/>
  <c r="G3521" i="14"/>
  <c r="G4051" i="14"/>
  <c r="G3661" i="14"/>
  <c r="L3980" i="14"/>
  <c r="G3889" i="14"/>
  <c r="L3170" i="14"/>
  <c r="H3599" i="14"/>
  <c r="G3877" i="14"/>
  <c r="H3759" i="14"/>
  <c r="L3909" i="14"/>
  <c r="L3373" i="14"/>
  <c r="L3541" i="14"/>
  <c r="H3469" i="14"/>
  <c r="H3385" i="14"/>
  <c r="H3375" i="14"/>
  <c r="G3517" i="14"/>
  <c r="G3515" i="14"/>
  <c r="L3489" i="14"/>
  <c r="H3577" i="14"/>
  <c r="L3833" i="14"/>
  <c r="H3567" i="14"/>
  <c r="L3797" i="14"/>
  <c r="H3463" i="14"/>
  <c r="H3533" i="14"/>
  <c r="H3681" i="14"/>
  <c r="L3432" i="14"/>
  <c r="L3672" i="14"/>
  <c r="L4016" i="14"/>
  <c r="L3729" i="14"/>
  <c r="L3932" i="14"/>
  <c r="G3775" i="14"/>
  <c r="H3527" i="14"/>
  <c r="L3717" i="14"/>
  <c r="H3597" i="14"/>
  <c r="G3780" i="14"/>
  <c r="G3767" i="14"/>
  <c r="L3912" i="14"/>
  <c r="G3621" i="14"/>
  <c r="H3513" i="14"/>
  <c r="L3705" i="14"/>
  <c r="H3503" i="14"/>
  <c r="L3669" i="14"/>
  <c r="G3645" i="14"/>
  <c r="G3643" i="14"/>
  <c r="L3745" i="14"/>
  <c r="L3839" i="14"/>
  <c r="H3690" i="14"/>
  <c r="H3850" i="14"/>
  <c r="H3642" i="14"/>
  <c r="L3336" i="14"/>
  <c r="L3603" i="14"/>
  <c r="L3242" i="14"/>
  <c r="L3457" i="14"/>
  <c r="G3785" i="14"/>
  <c r="H3255" i="14"/>
  <c r="H3864" i="14"/>
  <c r="G3627" i="14"/>
  <c r="L3412" i="14"/>
  <c r="H3738" i="14"/>
  <c r="G3435" i="14"/>
  <c r="L3456" i="14"/>
  <c r="L3076" i="14"/>
  <c r="L3724" i="14"/>
  <c r="L3569" i="14"/>
  <c r="L3348" i="14"/>
  <c r="G3373" i="14"/>
  <c r="G3641" i="14"/>
  <c r="G3297" i="14"/>
  <c r="L3441" i="14"/>
  <c r="G3863" i="14"/>
  <c r="H3650" i="14"/>
  <c r="G3717" i="14"/>
  <c r="H3070" i="14"/>
  <c r="H3443" i="14"/>
  <c r="L3370" i="14"/>
  <c r="G3709" i="14"/>
  <c r="L3194" i="14"/>
  <c r="L3525" i="14"/>
  <c r="H3603" i="14"/>
  <c r="G3306" i="14"/>
  <c r="G3357" i="14"/>
  <c r="G3703" i="14"/>
  <c r="G3557" i="14"/>
  <c r="H3623" i="14"/>
  <c r="H3961" i="14"/>
  <c r="H3951" i="14"/>
  <c r="H4065" i="14"/>
  <c r="H3594" i="14"/>
  <c r="G3701" i="14"/>
  <c r="G4017" i="14"/>
  <c r="H3399" i="14"/>
  <c r="L3118" i="14"/>
  <c r="H3727" i="14"/>
  <c r="G3837" i="14"/>
  <c r="G3254" i="14"/>
  <c r="G3835" i="14"/>
  <c r="G3295" i="14"/>
  <c r="G3075" i="14"/>
  <c r="H3731" i="14"/>
  <c r="G3818" i="14"/>
  <c r="G3997" i="14"/>
  <c r="G3319" i="14"/>
  <c r="G3857" i="14"/>
  <c r="G3999" i="14"/>
  <c r="H3751" i="14"/>
  <c r="H3792" i="14"/>
  <c r="L3335" i="14"/>
  <c r="G3861" i="14"/>
  <c r="L4024" i="14"/>
  <c r="G3991" i="14"/>
  <c r="G3477" i="14"/>
  <c r="G3469" i="14"/>
  <c r="H3854" i="14"/>
  <c r="G3285" i="14"/>
  <c r="G3074" i="14"/>
  <c r="H3822" i="14"/>
  <c r="G3535" i="14"/>
  <c r="G3361" i="14"/>
  <c r="H3946" i="14"/>
  <c r="G3713" i="14"/>
  <c r="G4066" i="14"/>
  <c r="G4003" i="14"/>
  <c r="G3659" i="14"/>
  <c r="G3657" i="14"/>
  <c r="G3071" i="14"/>
  <c r="H3640" i="14"/>
  <c r="H3085" i="14"/>
  <c r="G3519" i="14"/>
  <c r="H3187" i="14"/>
  <c r="L4032" i="14"/>
  <c r="L3873" i="14"/>
  <c r="H3769" i="14"/>
  <c r="H3113" i="14"/>
  <c r="G3396" i="14"/>
  <c r="G3869" i="14"/>
  <c r="G3729" i="14"/>
  <c r="G3359" i="14"/>
  <c r="L3181" i="14"/>
  <c r="L3937" i="14"/>
  <c r="G3434" i="14"/>
  <c r="L3649" i="14"/>
  <c r="L3788" i="14"/>
  <c r="G3705" i="14"/>
  <c r="G3675" i="14"/>
  <c r="G3647" i="14"/>
  <c r="H3911" i="14"/>
  <c r="H3571" i="14"/>
  <c r="L3949" i="14"/>
  <c r="G3665" i="14"/>
  <c r="L3996" i="14"/>
  <c r="G3807" i="14"/>
  <c r="H3559" i="14"/>
  <c r="L3781" i="14"/>
  <c r="H3629" i="14"/>
  <c r="L3761" i="14"/>
  <c r="G3287" i="14"/>
  <c r="G3831" i="14"/>
  <c r="L4040" i="14"/>
  <c r="G3685" i="14"/>
  <c r="L4044" i="14"/>
  <c r="G3169" i="14"/>
  <c r="L3356" i="14"/>
  <c r="H3638" i="14"/>
  <c r="L3316" i="14"/>
  <c r="L3647" i="14"/>
  <c r="G3329" i="14"/>
  <c r="G4025" i="14"/>
  <c r="L3080" i="14"/>
  <c r="G3957" i="14"/>
  <c r="L3392" i="14"/>
  <c r="G3279" i="14"/>
  <c r="G3299" i="14"/>
  <c r="G3459" i="14"/>
  <c r="L3713" i="14"/>
  <c r="H3800" i="14"/>
  <c r="L3114" i="14"/>
  <c r="G3779" i="14"/>
  <c r="G3947" i="14"/>
  <c r="H4002" i="14"/>
  <c r="H3548" i="14"/>
  <c r="G3395" i="14"/>
  <c r="G3733" i="14"/>
  <c r="H3952" i="14"/>
  <c r="H3608" i="14"/>
  <c r="G3723" i="14"/>
  <c r="G3721" i="14"/>
  <c r="G3353" i="14"/>
  <c r="L4052" i="14"/>
  <c r="G3687" i="14"/>
  <c r="G3855" i="14"/>
  <c r="H3544" i="14"/>
  <c r="G3491" i="14"/>
  <c r="G3317" i="14"/>
  <c r="G3315" i="14"/>
  <c r="H3758" i="14"/>
  <c r="G4015" i="14"/>
  <c r="H3271" i="14"/>
  <c r="H3609" i="14"/>
  <c r="G4023" i="14"/>
  <c r="G3707" i="14"/>
  <c r="G3679" i="14"/>
  <c r="L3146" i="14"/>
  <c r="L3158" i="14"/>
  <c r="H3795" i="14"/>
  <c r="G3739" i="14"/>
  <c r="H3176" i="14"/>
  <c r="G3595" i="14"/>
  <c r="G3587" i="14"/>
  <c r="G3727" i="14"/>
  <c r="G3847" i="14"/>
  <c r="G3699" i="14"/>
  <c r="G3845" i="14"/>
  <c r="L3256" i="14"/>
  <c r="H3737" i="14"/>
  <c r="H3346" i="14"/>
  <c r="L3320" i="14"/>
  <c r="L3296" i="14"/>
  <c r="H3746" i="14"/>
  <c r="G3849" i="14"/>
  <c r="G3303" i="14"/>
  <c r="H3682" i="14"/>
  <c r="L3697" i="14"/>
  <c r="G3309" i="14"/>
  <c r="G3987" i="14"/>
  <c r="H4042" i="14"/>
  <c r="G3467" i="14"/>
  <c r="G3797" i="14"/>
  <c r="G3385" i="14"/>
  <c r="G3915" i="14"/>
  <c r="G3805" i="14"/>
  <c r="G3751" i="14"/>
  <c r="G3407" i="14"/>
  <c r="L3800" i="14"/>
  <c r="L3796" i="14"/>
  <c r="G3563" i="14"/>
  <c r="G3731" i="14"/>
  <c r="L3388" i="14"/>
  <c r="G3555" i="14"/>
  <c r="G3381" i="14"/>
  <c r="G3379" i="14"/>
  <c r="L3708" i="14"/>
  <c r="G3715" i="14"/>
  <c r="G3541" i="14"/>
  <c r="G3539" i="14"/>
  <c r="H4056" i="14"/>
  <c r="L3992" i="14"/>
  <c r="L3936" i="14"/>
  <c r="G4001" i="14"/>
  <c r="G4061" i="14"/>
  <c r="G3763" i="14"/>
  <c r="G3875" i="14"/>
  <c r="G4059" i="14"/>
  <c r="G4031" i="14"/>
  <c r="L3255" i="14"/>
  <c r="H3955" i="14"/>
  <c r="H3341" i="14"/>
  <c r="L3550" i="14"/>
  <c r="G3247" i="14"/>
  <c r="G3511" i="14"/>
  <c r="G4049" i="14"/>
  <c r="G3365" i="14"/>
  <c r="H3943" i="14"/>
  <c r="G3241" i="14"/>
  <c r="G3255" i="14"/>
  <c r="H4013" i="14"/>
  <c r="G3205" i="14"/>
  <c r="G3389" i="14"/>
  <c r="G3387" i="14"/>
  <c r="L3083" i="14"/>
  <c r="L3237" i="14"/>
  <c r="H3304" i="14"/>
  <c r="L3360" i="14"/>
  <c r="H3912" i="14"/>
  <c r="H4032" i="14"/>
  <c r="H3918" i="14"/>
  <c r="G3349" i="14"/>
  <c r="L4028" i="14"/>
  <c r="G3669" i="14"/>
  <c r="H3672" i="14"/>
  <c r="L3896" i="14"/>
  <c r="H3970" i="14"/>
  <c r="H3694" i="14"/>
  <c r="G3811" i="14"/>
  <c r="L3532" i="14"/>
  <c r="H3207" i="14"/>
  <c r="G3917" i="14"/>
  <c r="G3603" i="14"/>
  <c r="H3560" i="14"/>
  <c r="G3737" i="14"/>
  <c r="G3879" i="14"/>
  <c r="L3585" i="14"/>
  <c r="H3618" i="14"/>
  <c r="L3712" i="14"/>
  <c r="L3368" i="14"/>
  <c r="L4064" i="14"/>
  <c r="G4065" i="14"/>
  <c r="L3352" i="14"/>
  <c r="H3598" i="14"/>
  <c r="L3688" i="14"/>
  <c r="G4057" i="14"/>
  <c r="G4053" i="14"/>
  <c r="H3554" i="14"/>
  <c r="L3584" i="14"/>
  <c r="H3722" i="14"/>
  <c r="G3833" i="14"/>
  <c r="G3975" i="14"/>
  <c r="G3829" i="14"/>
  <c r="G3073" i="14"/>
  <c r="G3827" i="14"/>
  <c r="G3351" i="14"/>
  <c r="G3769" i="14"/>
  <c r="G3765" i="14"/>
  <c r="G3757" i="14"/>
  <c r="G3753" i="14"/>
  <c r="G3873" i="14"/>
  <c r="G3933" i="14"/>
  <c r="G3547" i="14"/>
  <c r="L4048" i="14"/>
  <c r="L3553" i="14"/>
  <c r="L3271" i="14"/>
  <c r="L3476" i="14"/>
  <c r="H3798" i="14"/>
  <c r="L3684" i="14"/>
  <c r="H3382" i="14"/>
  <c r="G3505" i="14"/>
  <c r="H3922" i="14"/>
  <c r="H3296" i="14"/>
  <c r="L3648" i="14"/>
  <c r="G3865" i="14"/>
  <c r="G3681" i="14"/>
  <c r="H3906" i="14"/>
  <c r="L4012" i="14"/>
  <c r="L3952" i="14"/>
  <c r="L3900" i="14"/>
  <c r="L3272" i="14"/>
  <c r="G3307" i="14"/>
  <c r="G3475" i="14"/>
  <c r="G3449" i="14"/>
  <c r="G3439" i="14"/>
  <c r="G3293" i="14"/>
  <c r="H4024" i="14"/>
  <c r="G3971" i="14"/>
  <c r="G3969" i="14"/>
  <c r="L3916" i="14"/>
  <c r="G3405" i="14"/>
  <c r="G3745" i="14"/>
  <c r="G3887" i="14"/>
  <c r="H3734" i="14"/>
  <c r="H3790" i="14"/>
  <c r="L3884" i="14"/>
  <c r="H3117" i="14"/>
  <c r="G3605" i="14"/>
  <c r="L3329" i="14"/>
  <c r="G3577" i="14"/>
  <c r="H3992" i="14"/>
  <c r="H3786" i="14"/>
  <c r="G3897" i="14"/>
  <c r="G4039" i="14"/>
  <c r="G3893" i="14"/>
  <c r="L3162" i="14"/>
  <c r="G3891" i="14"/>
  <c r="H3778" i="14"/>
  <c r="H3768" i="14"/>
  <c r="G3885" i="14"/>
  <c r="L3178" i="14"/>
  <c r="G3883" i="14"/>
  <c r="G3343" i="14"/>
  <c r="G3881" i="14"/>
  <c r="L3082" i="14"/>
  <c r="H3886" i="14"/>
  <c r="G3080" i="14"/>
  <c r="G4047" i="14"/>
  <c r="G3905" i="14"/>
  <c r="G3367" i="14"/>
  <c r="G3907" i="14"/>
  <c r="H3626" i="14"/>
  <c r="H3558" i="14"/>
  <c r="H3570" i="14"/>
  <c r="H3658" i="14"/>
  <c r="G3919" i="14"/>
  <c r="G3777" i="14"/>
  <c r="G3267" i="14"/>
  <c r="H3728" i="14"/>
  <c r="G3607" i="14"/>
  <c r="G3375" i="14"/>
  <c r="G3403" i="14"/>
  <c r="H3978" i="14"/>
  <c r="H3630" i="14"/>
  <c r="H3810" i="14"/>
  <c r="G3283" i="14"/>
  <c r="G3431" i="14"/>
  <c r="H4034" i="14"/>
  <c r="L3393" i="14"/>
  <c r="G3979" i="14"/>
  <c r="G3271" i="14"/>
  <c r="L3540" i="14"/>
  <c r="H3874" i="14"/>
  <c r="G3121" i="14"/>
  <c r="G3819" i="14"/>
  <c r="G3623" i="14"/>
  <c r="L3404" i="14"/>
  <c r="H3902" i="14"/>
  <c r="L3968" i="14"/>
  <c r="H3191" i="14"/>
  <c r="G3961" i="14"/>
  <c r="G3673" i="14"/>
  <c r="L3972" i="14"/>
  <c r="G3311" i="14"/>
  <c r="G3341" i="14"/>
  <c r="H3736" i="14"/>
  <c r="G3347" i="14"/>
  <c r="G3495" i="14"/>
  <c r="L3620" i="14"/>
  <c r="L3872" i="14"/>
  <c r="L3652" i="14"/>
  <c r="G3345" i="14"/>
  <c r="H3624" i="14"/>
  <c r="L3484" i="14"/>
  <c r="H3282" i="14"/>
  <c r="L3868" i="14"/>
  <c r="D3991" i="14"/>
  <c r="E3991" i="14" s="1"/>
  <c r="D3735" i="14"/>
  <c r="E3735" i="14" s="1"/>
  <c r="L4015" i="14"/>
  <c r="H3882" i="14"/>
  <c r="L3488" i="14"/>
  <c r="L3372" i="14"/>
  <c r="H3986" i="14"/>
  <c r="H3772" i="14"/>
  <c r="L3347" i="14"/>
  <c r="L3332" i="14"/>
  <c r="L3664" i="14"/>
  <c r="H3752" i="14"/>
  <c r="H3700" i="14"/>
  <c r="L3640" i="14"/>
  <c r="D3739" i="14"/>
  <c r="E3739" i="14" s="1"/>
  <c r="L3536" i="14"/>
  <c r="H4030" i="14"/>
  <c r="H3856" i="14"/>
  <c r="L3736" i="14"/>
  <c r="L3505" i="14"/>
  <c r="G3689" i="14"/>
  <c r="G3321" i="14"/>
  <c r="H3914" i="14"/>
  <c r="G4021" i="14"/>
  <c r="H3896" i="14"/>
  <c r="G3331" i="14"/>
  <c r="G3841" i="14"/>
  <c r="L3840" i="14"/>
  <c r="L3852" i="14"/>
  <c r="G3789" i="14"/>
  <c r="G3275" i="14"/>
  <c r="H3133" i="14"/>
  <c r="G3677" i="14"/>
  <c r="L3280" i="14"/>
  <c r="L3268" i="14"/>
  <c r="G3993" i="14"/>
  <c r="G3821" i="14"/>
  <c r="G3989" i="14"/>
  <c r="G3817" i="14"/>
  <c r="L3544" i="14"/>
  <c r="G3981" i="14"/>
  <c r="G3809" i="14"/>
  <c r="L3888" i="14"/>
  <c r="G3977" i="14"/>
  <c r="L3520" i="14"/>
  <c r="G3801" i="14"/>
  <c r="L3377" i="14"/>
  <c r="G3599" i="14"/>
  <c r="L3772" i="14"/>
  <c r="L3752" i="14"/>
  <c r="G3553" i="14"/>
  <c r="G3719" i="14"/>
  <c r="G3573" i="14"/>
  <c r="G3571" i="14"/>
  <c r="G3437" i="14"/>
  <c r="D3919" i="14"/>
  <c r="E3919" i="14" s="1"/>
  <c r="L3887" i="14"/>
  <c r="L3612" i="14"/>
  <c r="L3500" i="14"/>
  <c r="L3464" i="14"/>
  <c r="L3704" i="14"/>
  <c r="G3417" i="14"/>
  <c r="L3384" i="14"/>
  <c r="H3360" i="14"/>
  <c r="G3337" i="14"/>
  <c r="L3312" i="14"/>
  <c r="H3744" i="14"/>
  <c r="H3742" i="14"/>
  <c r="L3632" i="14"/>
  <c r="H3866" i="14"/>
  <c r="H3586" i="14"/>
  <c r="L3628" i="14"/>
  <c r="G3523" i="14"/>
  <c r="G4033" i="14"/>
  <c r="L3226" i="14"/>
  <c r="L3288" i="14"/>
  <c r="H3566" i="14"/>
  <c r="L3988" i="14"/>
  <c r="G3853" i="14"/>
  <c r="G3339" i="14"/>
  <c r="G3185" i="14"/>
  <c r="H3726" i="14"/>
  <c r="G4013" i="14"/>
  <c r="L4008" i="14"/>
  <c r="G3983" i="14"/>
  <c r="G3667" i="14"/>
  <c r="G3619" i="14"/>
  <c r="G3787" i="14"/>
  <c r="G3759" i="14"/>
  <c r="G3955" i="14"/>
  <c r="G3479" i="14"/>
  <c r="H3904" i="14"/>
  <c r="G3313" i="14"/>
  <c r="H3960" i="14"/>
  <c r="G3651" i="14"/>
  <c r="G3649" i="14"/>
  <c r="L3964" i="14"/>
  <c r="G3791" i="14"/>
  <c r="L3960" i="14"/>
  <c r="L3908" i="14"/>
  <c r="H3530" i="14"/>
  <c r="G3617" i="14"/>
  <c r="L3948" i="14"/>
  <c r="G3783" i="14"/>
  <c r="L3944" i="14"/>
  <c r="G3637" i="14"/>
  <c r="G3635" i="14"/>
  <c r="L3864" i="14"/>
  <c r="G3609" i="14"/>
  <c r="L3860" i="14"/>
  <c r="L3928" i="14"/>
  <c r="G3629" i="14"/>
  <c r="G3443" i="14"/>
  <c r="G3445" i="14"/>
  <c r="G3591" i="14"/>
  <c r="G3425" i="14"/>
  <c r="L3496" i="14"/>
  <c r="H4014" i="14"/>
  <c r="L3516" i="14"/>
  <c r="H4016" i="14"/>
  <c r="G4009" i="14"/>
  <c r="G3471" i="14"/>
  <c r="G4011" i="14"/>
  <c r="G3815" i="14"/>
  <c r="G3843" i="14"/>
  <c r="L3276" i="14"/>
  <c r="G4019" i="14"/>
  <c r="G3823" i="14"/>
  <c r="G3851" i="14"/>
  <c r="G3683" i="14"/>
  <c r="L3284" i="14"/>
  <c r="G3859" i="14"/>
  <c r="L4000" i="14"/>
  <c r="L3304" i="14"/>
  <c r="L3528" i="14"/>
  <c r="G3273" i="14"/>
  <c r="H3862" i="14"/>
  <c r="H3496" i="14"/>
  <c r="H3988" i="14"/>
  <c r="H3910" i="14"/>
  <c r="G3497" i="14"/>
  <c r="L3427" i="14"/>
  <c r="L4051" i="14"/>
  <c r="L3656" i="14"/>
  <c r="L3676" i="14"/>
  <c r="H3740" i="14"/>
  <c r="H4052" i="14"/>
  <c r="L3344" i="14"/>
  <c r="H3784" i="14"/>
  <c r="G3377" i="14"/>
  <c r="L3831" i="14"/>
  <c r="H3976" i="14"/>
  <c r="H4010" i="14"/>
  <c r="H3942" i="14"/>
  <c r="H3834" i="14"/>
  <c r="L3583" i="14"/>
  <c r="L3832" i="14"/>
  <c r="L3848" i="14"/>
  <c r="L3859" i="14"/>
  <c r="D3083" i="14"/>
  <c r="E3083" i="14" s="1"/>
  <c r="L3759" i="14"/>
  <c r="D3681" i="14"/>
  <c r="E3681" i="14" s="1"/>
  <c r="D3847" i="14"/>
  <c r="E3847" i="14" s="1"/>
  <c r="L3631" i="14"/>
  <c r="H3298" i="14"/>
  <c r="D3167" i="14"/>
  <c r="L3987" i="14"/>
  <c r="G3082" i="14"/>
  <c r="L3448" i="14"/>
  <c r="H4046" i="14"/>
  <c r="H4026" i="14"/>
  <c r="H4006" i="14"/>
  <c r="H3830" i="14"/>
  <c r="L3460" i="14"/>
  <c r="H3774" i="14"/>
  <c r="L3836" i="14"/>
  <c r="G3585" i="14"/>
  <c r="D3067" i="14"/>
  <c r="E3067" i="14" s="1"/>
  <c r="H3634" i="14"/>
  <c r="L3795" i="14"/>
  <c r="D3531" i="14"/>
  <c r="E3531" i="14" s="1"/>
  <c r="H3616" i="14"/>
  <c r="L3380" i="14"/>
  <c r="L3376" i="14"/>
  <c r="L3680" i="14"/>
  <c r="L3692" i="14"/>
  <c r="H3760" i="14"/>
  <c r="H3920" i="14"/>
  <c r="H3372" i="14"/>
  <c r="H3386" i="14"/>
  <c r="L3300" i="14"/>
  <c r="L3636" i="14"/>
  <c r="L3308" i="14"/>
  <c r="H3474" i="14"/>
  <c r="H3318" i="14"/>
  <c r="L3876" i="14"/>
  <c r="L3548" i="14"/>
  <c r="L3892" i="14"/>
  <c r="L3524" i="14"/>
  <c r="L3324" i="14"/>
  <c r="H3576" i="14"/>
  <c r="L3660" i="14"/>
  <c r="L3616" i="14"/>
  <c r="L3732" i="14"/>
  <c r="G4035" i="14"/>
  <c r="G4007" i="14"/>
  <c r="G3663" i="14"/>
  <c r="L3644" i="14"/>
  <c r="L3624" i="14"/>
  <c r="G3489" i="14"/>
  <c r="G3655" i="14"/>
  <c r="G3509" i="14"/>
  <c r="G3507" i="14"/>
  <c r="L3608" i="14"/>
  <c r="G3481" i="14"/>
  <c r="L3604" i="14"/>
  <c r="G3501" i="14"/>
  <c r="G3499" i="14"/>
  <c r="D3536" i="14"/>
  <c r="E3536" i="14" s="1"/>
  <c r="D3425" i="14"/>
  <c r="E3425" i="14" s="1"/>
  <c r="D3591" i="14"/>
  <c r="E3591" i="14" s="1"/>
  <c r="D3355" i="14"/>
  <c r="E3355" i="14" s="1"/>
  <c r="L3592" i="14"/>
  <c r="L3576" i="14"/>
  <c r="L3327" i="14"/>
  <c r="H3706" i="14"/>
  <c r="H3990" i="14"/>
  <c r="H3814" i="14"/>
  <c r="H4022" i="14"/>
  <c r="L3844" i="14"/>
  <c r="D3867" i="14"/>
  <c r="E3867" i="14" s="1"/>
  <c r="H3838" i="14"/>
  <c r="L3364" i="14"/>
  <c r="H3842" i="14"/>
  <c r="H3832" i="14"/>
  <c r="L3428" i="14"/>
  <c r="H3974" i="14"/>
  <c r="H3924" i="14"/>
  <c r="H3612" i="14"/>
  <c r="L3420" i="14"/>
  <c r="L3400" i="14"/>
  <c r="L3396" i="14"/>
  <c r="H3572" i="14"/>
  <c r="G3369" i="14"/>
  <c r="H3860" i="14"/>
  <c r="H3368" i="14"/>
  <c r="H3602" i="14"/>
  <c r="H3934" i="14"/>
  <c r="H3770" i="14"/>
  <c r="D3371" i="14"/>
  <c r="E3371" i="14" s="1"/>
  <c r="L3463" i="14"/>
  <c r="H3926" i="14"/>
  <c r="H3762" i="14"/>
  <c r="H3930" i="14"/>
  <c r="H3750" i="14"/>
  <c r="L3383" i="14"/>
  <c r="D3499" i="14"/>
  <c r="E3499" i="14" s="1"/>
  <c r="H3574" i="14"/>
  <c r="L4004" i="14"/>
  <c r="H3578" i="14"/>
  <c r="H3568" i="14"/>
  <c r="L3959" i="14"/>
  <c r="D3699" i="14"/>
  <c r="E3699" i="14" s="1"/>
  <c r="L4003" i="14"/>
  <c r="H3676" i="14"/>
  <c r="H3698" i="14"/>
  <c r="H3688" i="14"/>
  <c r="H3686" i="14"/>
  <c r="H3754" i="14"/>
  <c r="H4060" i="14"/>
  <c r="G3545" i="14"/>
  <c r="L4056" i="14"/>
  <c r="G3693" i="14"/>
  <c r="G3691" i="14"/>
  <c r="L3783" i="14"/>
  <c r="H3520" i="14"/>
  <c r="L4020" i="14"/>
  <c r="H3582" i="14"/>
  <c r="H3584" i="14"/>
  <c r="L3775" i="14"/>
  <c r="H3540" i="14"/>
  <c r="L3731" i="14"/>
  <c r="H3590" i="14"/>
  <c r="H3592" i="14"/>
  <c r="H3936" i="14"/>
  <c r="D3627" i="14"/>
  <c r="E3627" i="14" s="1"/>
  <c r="L3391" i="14"/>
  <c r="D3923" i="14"/>
  <c r="E3923" i="14" s="1"/>
  <c r="H3782" i="14"/>
  <c r="H3962" i="14"/>
  <c r="H3614" i="14"/>
  <c r="H3794" i="14"/>
  <c r="H3958" i="14"/>
  <c r="D3219" i="14"/>
  <c r="E3219" i="14" s="1"/>
  <c r="H3622" i="14"/>
  <c r="H3802" i="14"/>
  <c r="H3966" i="14"/>
  <c r="H3968" i="14"/>
  <c r="D3187" i="14"/>
  <c r="E3187" i="14" s="1"/>
  <c r="H3632" i="14"/>
  <c r="L3436" i="14"/>
  <c r="H3806" i="14"/>
  <c r="H3808" i="14"/>
  <c r="H3418" i="14"/>
  <c r="H3404" i="14"/>
  <c r="H3654" i="14"/>
  <c r="L3808" i="14"/>
  <c r="H3442" i="14"/>
  <c r="L3492" i="14"/>
  <c r="L3081" i="14"/>
  <c r="L3512" i="14"/>
  <c r="H3646" i="14"/>
  <c r="D3475" i="14"/>
  <c r="E3475" i="14" s="1"/>
  <c r="H3702" i="14"/>
  <c r="H3878" i="14"/>
  <c r="H4054" i="14"/>
  <c r="H3898" i="14"/>
  <c r="L3455" i="14"/>
  <c r="H3344" i="14"/>
  <c r="D4037" i="14"/>
  <c r="E4037" i="14" s="1"/>
  <c r="D4031" i="14"/>
  <c r="E4031" i="14" s="1"/>
  <c r="H3766" i="14"/>
  <c r="L3747" i="14"/>
  <c r="L3703" i="14"/>
  <c r="L3716" i="14"/>
  <c r="G3537" i="14"/>
  <c r="L3720" i="14"/>
  <c r="L3740" i="14"/>
  <c r="L3728" i="14"/>
  <c r="L3527" i="14"/>
  <c r="H3414" i="14"/>
  <c r="H3392" i="14"/>
  <c r="L3756" i="14"/>
  <c r="L3408" i="14"/>
  <c r="L3875" i="14"/>
  <c r="L3424" i="14"/>
  <c r="L3816" i="14"/>
  <c r="L3480" i="14"/>
  <c r="L3696" i="14"/>
  <c r="L3700" i="14"/>
  <c r="H3954" i="14"/>
  <c r="L3447" i="14"/>
  <c r="H3998" i="14"/>
  <c r="L3812" i="14"/>
  <c r="H3464" i="14"/>
  <c r="H3482" i="14"/>
  <c r="H3468" i="14"/>
  <c r="H3846" i="14"/>
  <c r="H3678" i="14"/>
  <c r="L3580" i="14"/>
  <c r="D3291" i="14"/>
  <c r="E3291" i="14" s="1"/>
  <c r="L4011" i="14"/>
  <c r="H3710" i="14"/>
  <c r="D3987" i="14"/>
  <c r="E3987" i="14" s="1"/>
  <c r="L3588" i="14"/>
  <c r="H3894" i="14"/>
  <c r="L3343" i="14"/>
  <c r="D3649" i="14"/>
  <c r="E3649" i="14" s="1"/>
  <c r="H3280" i="14"/>
  <c r="H3288" i="14"/>
  <c r="L3979" i="14"/>
  <c r="L3655" i="14"/>
  <c r="H3490" i="14"/>
  <c r="G3070" i="14"/>
  <c r="D3775" i="14"/>
  <c r="E3775" i="14" s="1"/>
  <c r="L3744" i="14"/>
  <c r="L3748" i="14"/>
  <c r="H3432" i="14"/>
  <c r="L3519" i="14"/>
  <c r="H3410" i="14"/>
  <c r="L3475" i="14"/>
  <c r="L3760" i="14"/>
  <c r="L3764" i="14"/>
  <c r="G3561" i="14"/>
  <c r="L3768" i="14"/>
  <c r="H3662" i="14"/>
  <c r="H3600" i="14"/>
  <c r="H3944" i="14"/>
  <c r="G3529" i="14"/>
  <c r="H3776" i="14"/>
  <c r="H3932" i="14"/>
  <c r="L3491" i="14"/>
  <c r="H3732" i="14"/>
  <c r="H3824" i="14"/>
  <c r="G3409" i="14"/>
  <c r="L3472" i="14"/>
  <c r="H3286" i="14"/>
  <c r="D3227" i="14"/>
  <c r="E3227" i="14" s="1"/>
  <c r="L3824" i="14"/>
  <c r="L3828" i="14"/>
  <c r="H4018" i="14"/>
  <c r="L3575" i="14"/>
  <c r="L3504" i="14"/>
  <c r="H3680" i="14"/>
  <c r="L3560" i="14"/>
  <c r="H3994" i="14"/>
  <c r="H3290" i="14"/>
  <c r="H3276" i="14"/>
  <c r="H3526" i="14"/>
  <c r="L3552" i="14"/>
  <c r="L4039" i="14"/>
  <c r="H3314" i="14"/>
  <c r="G3079" i="14"/>
  <c r="H3083" i="14"/>
  <c r="D3827" i="14"/>
  <c r="E3827" i="14" s="1"/>
  <c r="D3163" i="14"/>
  <c r="E3163" i="14" s="1"/>
  <c r="D3611" i="14"/>
  <c r="E3611" i="14" s="1"/>
  <c r="D3979" i="14"/>
  <c r="E3979" i="14" s="1"/>
  <c r="L4007" i="14"/>
  <c r="H3420" i="14"/>
  <c r="D3822" i="14"/>
  <c r="E3822" i="14" s="1"/>
  <c r="H3610" i="14"/>
  <c r="H3606" i="14"/>
  <c r="L3847" i="14"/>
  <c r="D3075" i="14"/>
  <c r="E3075" i="14" s="1"/>
  <c r="L3819" i="14"/>
  <c r="L3820" i="14"/>
  <c r="H4000" i="14"/>
  <c r="D3579" i="14"/>
  <c r="E3579" i="14" s="1"/>
  <c r="H3956" i="14"/>
  <c r="L3539" i="14"/>
  <c r="H4008" i="14"/>
  <c r="G3593" i="14"/>
  <c r="H3840" i="14"/>
  <c r="H3996" i="14"/>
  <c r="L3619" i="14"/>
  <c r="H3796" i="14"/>
  <c r="G3601" i="14"/>
  <c r="L3508" i="14"/>
  <c r="L3856" i="14"/>
  <c r="H3714" i="14"/>
  <c r="L3440" i="14"/>
  <c r="L3444" i="14"/>
  <c r="H3826" i="14"/>
  <c r="L3903" i="14"/>
  <c r="D3851" i="14"/>
  <c r="E3851" i="14" s="1"/>
  <c r="H3870" i="14"/>
  <c r="L3556" i="14"/>
  <c r="H3336" i="14"/>
  <c r="H4058" i="14"/>
  <c r="H3354" i="14"/>
  <c r="H3340" i="14"/>
  <c r="H3718" i="14"/>
  <c r="H3550" i="14"/>
  <c r="H3378" i="14"/>
  <c r="L4035" i="14"/>
  <c r="D3201" i="14"/>
  <c r="E3201" i="14" s="1"/>
  <c r="L3815" i="14"/>
  <c r="D3315" i="14"/>
  <c r="E3315" i="14" s="1"/>
  <c r="H3278" i="14"/>
  <c r="D3419" i="14"/>
  <c r="E3419" i="14" s="1"/>
  <c r="D3755" i="14"/>
  <c r="E3755" i="14" s="1"/>
  <c r="D3347" i="14"/>
  <c r="E3347" i="14" s="1"/>
  <c r="D3393" i="14"/>
  <c r="E3393" i="14" s="1"/>
  <c r="H3434" i="14"/>
  <c r="D3191" i="14"/>
  <c r="E3191" i="14" s="1"/>
  <c r="H3356" i="14"/>
  <c r="L3735" i="14"/>
  <c r="D3377" i="14"/>
  <c r="E3377" i="14" s="1"/>
  <c r="H3370" i="14"/>
  <c r="H3480" i="14"/>
  <c r="D3283" i="14"/>
  <c r="E3283" i="14" s="1"/>
  <c r="L3967" i="14"/>
  <c r="D3859" i="14"/>
  <c r="E3859" i="14" s="1"/>
  <c r="D3931" i="14"/>
  <c r="E3931" i="14" s="1"/>
  <c r="D3635" i="14"/>
  <c r="E3635" i="14" s="1"/>
  <c r="D3251" i="14"/>
  <c r="E3251" i="14" s="1"/>
  <c r="D3961" i="14"/>
  <c r="E3961" i="14" s="1"/>
  <c r="L3883" i="14"/>
  <c r="L3943" i="14"/>
  <c r="D3073" i="14"/>
  <c r="E3073" i="14" s="1"/>
  <c r="L3907" i="14"/>
  <c r="D3719" i="14"/>
  <c r="E3719" i="14" s="1"/>
  <c r="H3388" i="14"/>
  <c r="D3549" i="14"/>
  <c r="E3549" i="14" s="1"/>
  <c r="D3623" i="14"/>
  <c r="E3623" i="14" s="1"/>
  <c r="L4055" i="14"/>
  <c r="L3367" i="14"/>
  <c r="H3400" i="14"/>
  <c r="H3552" i="14"/>
  <c r="H4062" i="14"/>
  <c r="H3078" i="14"/>
  <c r="L3319" i="14"/>
  <c r="L4031" i="14"/>
  <c r="H3890" i="14"/>
  <c r="L3572" i="14"/>
  <c r="L3568" i="14"/>
  <c r="D3667" i="14"/>
  <c r="E3667" i="14" s="1"/>
  <c r="H4050" i="14"/>
  <c r="G3281" i="14"/>
  <c r="H3696" i="14"/>
  <c r="H3604" i="14"/>
  <c r="H3804" i="14"/>
  <c r="H3648" i="14"/>
  <c r="G3401" i="14"/>
  <c r="H3816" i="14"/>
  <c r="H4048" i="14"/>
  <c r="G3289" i="14"/>
  <c r="H3704" i="14"/>
  <c r="G3457" i="14"/>
  <c r="G3433" i="14"/>
  <c r="D3411" i="14"/>
  <c r="E3411" i="14" s="1"/>
  <c r="L3947" i="14"/>
  <c r="D3587" i="14"/>
  <c r="E3587" i="14" s="1"/>
  <c r="L3975" i="14"/>
  <c r="H3670" i="14"/>
  <c r="H3674" i="14"/>
  <c r="H3664" i="14"/>
  <c r="L3895" i="14"/>
  <c r="D3443" i="14"/>
  <c r="E3443" i="14" s="1"/>
  <c r="L3939" i="14"/>
  <c r="H3644" i="14"/>
  <c r="H3666" i="14"/>
  <c r="H3656" i="14"/>
  <c r="D3950" i="14"/>
  <c r="E3950" i="14" s="1"/>
  <c r="D3767" i="14"/>
  <c r="E3767" i="14" s="1"/>
  <c r="L3623" i="14"/>
  <c r="L3303" i="14"/>
  <c r="L3855" i="14"/>
  <c r="L3503" i="14"/>
  <c r="D3763" i="14"/>
  <c r="E3763" i="14" s="1"/>
  <c r="H3484" i="14"/>
  <c r="L3891" i="14"/>
  <c r="L3559" i="14"/>
  <c r="L3779" i="14"/>
  <c r="L3911" i="14"/>
  <c r="H3452" i="14"/>
  <c r="D3379" i="14"/>
  <c r="E3379" i="14" s="1"/>
  <c r="D3421" i="14"/>
  <c r="E3421" i="14" s="1"/>
  <c r="D3367" i="14"/>
  <c r="E3367" i="14" s="1"/>
  <c r="L3927" i="14"/>
  <c r="D3863" i="14"/>
  <c r="E3863" i="14" s="1"/>
  <c r="H3390" i="14"/>
  <c r="D4011" i="14"/>
  <c r="E4011" i="14" s="1"/>
  <c r="D3519" i="14"/>
  <c r="E3519" i="14" s="1"/>
  <c r="L4027" i="14"/>
  <c r="H3334" i="14"/>
  <c r="H3332" i="14"/>
  <c r="L3600" i="14"/>
  <c r="H3077" i="14"/>
  <c r="G3473" i="14"/>
  <c r="H3888" i="14"/>
  <c r="H3668" i="14"/>
  <c r="L3363" i="14"/>
  <c r="H3868" i="14"/>
  <c r="H3712" i="14"/>
  <c r="G3465" i="14"/>
  <c r="H3880" i="14"/>
  <c r="L3283" i="14"/>
  <c r="H3828" i="14"/>
  <c r="D3843" i="14"/>
  <c r="E3843" i="14" s="1"/>
  <c r="H4028" i="14"/>
  <c r="H3872" i="14"/>
  <c r="H4040" i="14"/>
  <c r="L3564" i="14"/>
  <c r="H4038" i="14"/>
  <c r="H3424" i="14"/>
  <c r="H3446" i="14"/>
  <c r="L3591" i="14"/>
  <c r="L3792" i="14"/>
  <c r="L3804" i="14"/>
  <c r="L3784" i="14"/>
  <c r="G3569" i="14"/>
  <c r="L3780" i="14"/>
  <c r="H3534" i="14"/>
  <c r="L3924" i="14"/>
  <c r="H3858" i="14"/>
  <c r="H3848" i="14"/>
  <c r="D3114" i="14"/>
  <c r="E3114" i="14" s="1"/>
  <c r="D3744" i="14"/>
  <c r="E3744" i="14" s="1"/>
  <c r="D3213" i="14"/>
  <c r="E3213" i="14" s="1"/>
  <c r="D3711" i="14"/>
  <c r="E3711" i="14" s="1"/>
  <c r="D3275" i="14"/>
  <c r="E3275" i="14" s="1"/>
  <c r="L3495" i="14"/>
  <c r="L3715" i="14"/>
  <c r="L3955" i="14"/>
  <c r="D3955" i="14"/>
  <c r="E3955" i="14" s="1"/>
  <c r="L3727" i="14"/>
  <c r="L3375" i="14"/>
  <c r="L3279" i="14"/>
  <c r="H3470" i="14"/>
  <c r="D3295" i="14"/>
  <c r="E3295" i="14" s="1"/>
  <c r="D3467" i="14"/>
  <c r="E3467" i="14" s="1"/>
  <c r="H3308" i="14"/>
  <c r="L4019" i="14"/>
  <c r="L3687" i="14"/>
  <c r="L3983" i="14"/>
  <c r="L3651" i="14"/>
  <c r="D3207" i="14"/>
  <c r="E3207" i="14" s="1"/>
  <c r="D4061" i="14"/>
  <c r="E4061" i="14" s="1"/>
  <c r="H3428" i="14"/>
  <c r="D3293" i="14"/>
  <c r="E3293" i="14" s="1"/>
  <c r="D3111" i="14"/>
  <c r="E3111" i="14" s="1"/>
  <c r="L3799" i="14"/>
  <c r="H3272" i="14"/>
  <c r="H3454" i="14"/>
  <c r="D3263" i="14"/>
  <c r="E3263" i="14" s="1"/>
  <c r="L3899" i="14"/>
  <c r="D3483" i="14"/>
  <c r="E3483" i="14" s="1"/>
  <c r="H3270" i="14"/>
  <c r="H3268" i="14"/>
  <c r="D3301" i="14"/>
  <c r="E3301" i="14" s="1"/>
  <c r="L3479" i="14"/>
  <c r="H3916" i="14"/>
  <c r="D3555" i="14"/>
  <c r="E3555" i="14" s="1"/>
  <c r="D3663" i="14"/>
  <c r="E3663" i="14" s="1"/>
  <c r="D3907" i="14"/>
  <c r="E3907" i="14" s="1"/>
  <c r="H4036" i="14"/>
  <c r="H3692" i="14"/>
  <c r="L3411" i="14"/>
  <c r="H3892" i="14"/>
  <c r="H4064" i="14"/>
  <c r="G3305" i="14"/>
  <c r="L3956" i="14"/>
  <c r="H3488" i="14"/>
  <c r="H3510" i="14"/>
  <c r="L3719" i="14"/>
  <c r="H3542" i="14"/>
  <c r="L3940" i="14"/>
  <c r="H3546" i="14"/>
  <c r="G3633" i="14"/>
  <c r="H3536" i="14"/>
  <c r="L3639" i="14"/>
  <c r="H3500" i="14"/>
  <c r="L3683" i="14"/>
  <c r="H3514" i="14"/>
  <c r="H3538" i="14"/>
  <c r="G3625" i="14"/>
  <c r="H3528" i="14"/>
  <c r="D3286" i="14"/>
  <c r="E3286" i="14" s="1"/>
  <c r="D3848" i="14"/>
  <c r="E3848" i="14" s="1"/>
  <c r="D3373" i="14"/>
  <c r="E3373" i="14" s="1"/>
  <c r="D3127" i="14"/>
  <c r="E3127" i="14" s="1"/>
  <c r="D3521" i="14"/>
  <c r="E3521" i="14" s="1"/>
  <c r="D3157" i="14"/>
  <c r="E3157" i="14" s="1"/>
  <c r="L3487" i="14"/>
  <c r="D3229" i="14"/>
  <c r="E3229" i="14" s="1"/>
  <c r="H3352" i="14"/>
  <c r="D3507" i="14"/>
  <c r="E3507" i="14" s="1"/>
  <c r="H3460" i="14"/>
  <c r="D3485" i="14"/>
  <c r="E3485" i="14" s="1"/>
  <c r="H3312" i="14"/>
  <c r="D3713" i="14"/>
  <c r="E3713" i="14" s="1"/>
  <c r="H3422" i="14"/>
  <c r="H3636" i="14"/>
  <c r="H3322" i="14"/>
  <c r="H3324" i="14"/>
  <c r="H3492" i="14"/>
  <c r="D3165" i="14"/>
  <c r="E3165" i="14" s="1"/>
  <c r="L3671" i="14"/>
  <c r="D3351" i="14"/>
  <c r="E3351" i="14" s="1"/>
  <c r="L3867" i="14"/>
  <c r="L3755" i="14"/>
  <c r="D3155" i="14"/>
  <c r="E3155" i="14" s="1"/>
  <c r="H3284" i="14"/>
  <c r="L3607" i="14"/>
  <c r="H3980" i="14"/>
  <c r="D3451" i="14"/>
  <c r="E3451" i="14" s="1"/>
  <c r="D3407" i="14"/>
  <c r="E3407" i="14" s="1"/>
  <c r="D3131" i="14"/>
  <c r="E3131" i="14" s="1"/>
  <c r="D3395" i="14"/>
  <c r="E3395" i="14" s="1"/>
  <c r="H3972" i="14"/>
  <c r="D3323" i="14"/>
  <c r="E3323" i="14" s="1"/>
  <c r="H3628" i="14"/>
  <c r="D3759" i="14"/>
  <c r="E3759" i="14" s="1"/>
  <c r="L3435" i="14"/>
  <c r="H3748" i="14"/>
  <c r="L3459" i="14"/>
  <c r="H3402" i="14"/>
  <c r="L3439" i="14"/>
  <c r="L3611" i="14"/>
  <c r="D3877" i="14"/>
  <c r="E3877" i="14" s="1"/>
  <c r="H3508" i="14"/>
  <c r="L3699" i="14"/>
  <c r="H3522" i="14"/>
  <c r="L3679" i="14"/>
  <c r="H3512" i="14"/>
  <c r="H3502" i="14"/>
  <c r="L3767" i="14"/>
  <c r="L3811" i="14"/>
  <c r="H3580" i="14"/>
  <c r="H3730" i="14"/>
  <c r="H3720" i="14"/>
  <c r="D3816" i="14"/>
  <c r="E3816" i="14" s="1"/>
  <c r="D3321" i="14"/>
  <c r="E3321" i="14" s="1"/>
  <c r="D3533" i="14"/>
  <c r="E3533" i="14" s="1"/>
  <c r="D3993" i="14"/>
  <c r="E3993" i="14" s="1"/>
  <c r="D3105" i="14"/>
  <c r="E3105" i="14" s="1"/>
  <c r="L3419" i="14"/>
  <c r="L3843" i="14"/>
  <c r="H3396" i="14"/>
  <c r="H3348" i="14"/>
  <c r="L3695" i="14"/>
  <c r="D3479" i="14"/>
  <c r="E3479" i="14" s="1"/>
  <c r="H3292" i="14"/>
  <c r="H4020" i="14"/>
  <c r="L3763" i="14"/>
  <c r="D3585" i="14"/>
  <c r="E3585" i="14" s="1"/>
  <c r="H3358" i="14"/>
  <c r="D3299" i="14"/>
  <c r="E3299" i="14" s="1"/>
  <c r="D3495" i="14"/>
  <c r="E3495" i="14" s="1"/>
  <c r="D3571" i="14"/>
  <c r="E3571" i="14" s="1"/>
  <c r="D3675" i="14"/>
  <c r="E3675" i="14" s="1"/>
  <c r="D3107" i="14"/>
  <c r="E3107" i="14" s="1"/>
  <c r="H3266" i="14"/>
  <c r="L3879" i="14"/>
  <c r="H3456" i="14"/>
  <c r="D3731" i="14"/>
  <c r="E3731" i="14" s="1"/>
  <c r="H3326" i="14"/>
  <c r="D4059" i="14"/>
  <c r="E4059" i="14" s="1"/>
  <c r="L3995" i="14"/>
  <c r="D3841" i="14"/>
  <c r="E3841" i="14" s="1"/>
  <c r="L3627" i="14"/>
  <c r="D3795" i="14"/>
  <c r="E3795" i="14" s="1"/>
  <c r="D4009" i="14"/>
  <c r="E4009" i="14" s="1"/>
  <c r="L3871" i="14"/>
  <c r="H3788" i="14"/>
  <c r="D3267" i="14"/>
  <c r="E3267" i="14" s="1"/>
  <c r="D3151" i="14"/>
  <c r="E3151" i="14" s="1"/>
  <c r="H3908" i="14"/>
  <c r="H3564" i="14"/>
  <c r="D3819" i="14"/>
  <c r="E3819" i="14" s="1"/>
  <c r="H3764" i="14"/>
  <c r="D3331" i="14"/>
  <c r="E3331" i="14" s="1"/>
  <c r="H3964" i="14"/>
  <c r="H3073" i="14"/>
  <c r="H3812" i="14"/>
  <c r="L3587" i="14"/>
  <c r="H3466" i="14"/>
  <c r="L3567" i="14"/>
  <c r="D3959" i="14"/>
  <c r="E3959" i="14" s="1"/>
  <c r="L3483" i="14"/>
  <c r="D3749" i="14"/>
  <c r="E3749" i="14" s="1"/>
  <c r="D4063" i="14"/>
  <c r="E4063" i="14" s="1"/>
  <c r="H3444" i="14"/>
  <c r="L3571" i="14"/>
  <c r="H3458" i="14"/>
  <c r="L3551" i="14"/>
  <c r="H3448" i="14"/>
  <c r="H3438" i="14"/>
  <c r="D3989" i="14"/>
  <c r="E3989" i="14" s="1"/>
  <c r="L3791" i="14"/>
  <c r="L3787" i="14"/>
  <c r="D3914" i="14"/>
  <c r="E3914" i="14" s="1"/>
  <c r="D3210" i="14"/>
  <c r="E3210" i="14" s="1"/>
  <c r="D3855" i="14"/>
  <c r="E3855" i="14" s="1"/>
  <c r="D3205" i="14"/>
  <c r="E3205" i="14" s="1"/>
  <c r="D3669" i="14"/>
  <c r="E3669" i="14" s="1"/>
  <c r="L3323" i="14"/>
  <c r="D3477" i="14"/>
  <c r="E3477" i="14" s="1"/>
  <c r="D3101" i="14"/>
  <c r="E3101" i="14" s="1"/>
  <c r="L3467" i="14"/>
  <c r="L3835" i="14"/>
  <c r="D3223" i="14"/>
  <c r="E3223" i="14" s="1"/>
  <c r="L3291" i="14"/>
  <c r="L3379" i="14"/>
  <c r="D3115" i="14"/>
  <c r="E3115" i="14" s="1"/>
  <c r="D3805" i="14"/>
  <c r="E3805" i="14" s="1"/>
  <c r="L3599" i="14"/>
  <c r="L3267" i="14"/>
  <c r="L4023" i="14"/>
  <c r="L3399" i="14"/>
  <c r="D3243" i="14"/>
  <c r="E3243" i="14" s="1"/>
  <c r="L3751" i="14"/>
  <c r="D3651" i="14"/>
  <c r="E3651" i="14" s="1"/>
  <c r="L3615" i="14"/>
  <c r="H3300" i="14"/>
  <c r="D3981" i="14"/>
  <c r="E3981" i="14" s="1"/>
  <c r="D3365" i="14"/>
  <c r="E3365" i="14" s="1"/>
  <c r="L3543" i="14"/>
  <c r="D3203" i="14"/>
  <c r="E3203" i="14" s="1"/>
  <c r="D3123" i="14"/>
  <c r="E3123" i="14" s="1"/>
  <c r="H3079" i="14"/>
  <c r="H3478" i="14"/>
  <c r="L3351" i="14"/>
  <c r="L3999" i="14"/>
  <c r="H3852" i="14"/>
  <c r="D3779" i="14"/>
  <c r="E3779" i="14" s="1"/>
  <c r="D3619" i="14"/>
  <c r="E3619" i="14" s="1"/>
  <c r="H3486" i="14"/>
  <c r="H3844" i="14"/>
  <c r="D3715" i="14"/>
  <c r="E3715" i="14" s="1"/>
  <c r="H3498" i="14"/>
  <c r="D3963" i="14"/>
  <c r="E3963" i="14" s="1"/>
  <c r="D3659" i="14"/>
  <c r="E3659" i="14" s="1"/>
  <c r="D3195" i="14"/>
  <c r="E3195" i="14" s="1"/>
  <c r="H3620" i="14"/>
  <c r="D4043" i="14"/>
  <c r="E4043" i="14" s="1"/>
  <c r="H3274" i="14"/>
  <c r="D3723" i="14"/>
  <c r="E3723" i="14" s="1"/>
  <c r="D3703" i="14"/>
  <c r="E3703" i="14" s="1"/>
  <c r="L3355" i="14"/>
  <c r="D3621" i="14"/>
  <c r="E3621" i="14" s="1"/>
  <c r="D3807" i="14"/>
  <c r="E3807" i="14" s="1"/>
  <c r="H3380" i="14"/>
  <c r="L3443" i="14"/>
  <c r="H3394" i="14"/>
  <c r="L3423" i="14"/>
  <c r="H3384" i="14"/>
  <c r="H3374" i="14"/>
  <c r="L3511" i="14"/>
  <c r="H3436" i="14"/>
  <c r="L3555" i="14"/>
  <c r="H3450" i="14"/>
  <c r="L3919" i="14"/>
  <c r="D3539" i="14"/>
  <c r="E3539" i="14" s="1"/>
  <c r="L3915" i="14"/>
  <c r="D3459" i="14"/>
  <c r="E3459" i="14" s="1"/>
  <c r="D3270" i="14"/>
  <c r="E3270" i="14" s="1"/>
  <c r="D3486" i="14"/>
  <c r="E3486" i="14" s="1"/>
  <c r="D3502" i="14"/>
  <c r="E3502" i="14" s="1"/>
  <c r="D3141" i="14"/>
  <c r="E3141" i="14" s="1"/>
  <c r="D3949" i="14"/>
  <c r="E3949" i="14" s="1"/>
  <c r="D3175" i="14"/>
  <c r="E3175" i="14" s="1"/>
  <c r="D3853" i="14"/>
  <c r="E3853" i="14" s="1"/>
  <c r="D4021" i="14"/>
  <c r="E4021" i="14" s="1"/>
  <c r="L3707" i="14"/>
  <c r="H3416" i="14"/>
  <c r="D3677" i="14"/>
  <c r="E3677" i="14" s="1"/>
  <c r="L3471" i="14"/>
  <c r="D3679" i="14"/>
  <c r="E3679" i="14" s="1"/>
  <c r="H3876" i="14"/>
  <c r="L3287" i="14"/>
  <c r="D3603" i="14"/>
  <c r="E3603" i="14" s="1"/>
  <c r="L3667" i="14"/>
  <c r="H3364" i="14"/>
  <c r="D3237" i="14"/>
  <c r="E3237" i="14" s="1"/>
  <c r="L3415" i="14"/>
  <c r="H3524" i="14"/>
  <c r="D3391" i="14"/>
  <c r="E3391" i="14" s="1"/>
  <c r="D3813" i="14"/>
  <c r="E3813" i="14" s="1"/>
  <c r="H3476" i="14"/>
  <c r="L3991" i="14"/>
  <c r="H3302" i="14"/>
  <c r="D3887" i="14"/>
  <c r="E3887" i="14" s="1"/>
  <c r="D3947" i="14"/>
  <c r="E3947" i="14" s="1"/>
  <c r="D4053" i="14"/>
  <c r="E4053" i="14" s="1"/>
  <c r="L3499" i="14"/>
  <c r="D3787" i="14"/>
  <c r="E3787" i="14" s="1"/>
  <c r="L3851" i="14"/>
  <c r="L3523" i="14"/>
  <c r="H3948" i="14"/>
  <c r="L3923" i="14"/>
  <c r="L3299" i="14"/>
  <c r="H3684" i="14"/>
  <c r="L3331" i="14"/>
  <c r="H3338" i="14"/>
  <c r="L3311" i="14"/>
  <c r="D3447" i="14"/>
  <c r="E3447" i="14" s="1"/>
  <c r="D3493" i="14"/>
  <c r="E3493" i="14" s="1"/>
  <c r="D3551" i="14"/>
  <c r="E3551" i="14" s="1"/>
  <c r="H3316" i="14"/>
  <c r="L3315" i="14"/>
  <c r="H3330" i="14"/>
  <c r="L3295" i="14"/>
  <c r="H3320" i="14"/>
  <c r="H4012" i="14"/>
  <c r="H3310" i="14"/>
  <c r="D3903" i="14"/>
  <c r="E3903" i="14" s="1"/>
  <c r="D3741" i="14"/>
  <c r="E3741" i="14" s="1"/>
  <c r="D4047" i="14"/>
  <c r="E4047" i="14" s="1"/>
  <c r="D4007" i="14"/>
  <c r="E4007" i="14" s="1"/>
  <c r="L3535" i="14"/>
  <c r="H3440" i="14"/>
  <c r="H3430" i="14"/>
  <c r="D3494" i="14"/>
  <c r="E3494" i="14" s="1"/>
  <c r="D3628" i="14"/>
  <c r="E3628" i="14" s="1"/>
  <c r="D3712" i="14"/>
  <c r="E3712" i="14" s="1"/>
  <c r="D3401" i="14"/>
  <c r="E3401" i="14" s="1"/>
  <c r="D3271" i="14"/>
  <c r="E3271" i="14" s="1"/>
  <c r="D3661" i="14"/>
  <c r="E3661" i="14" s="1"/>
  <c r="D3613" i="14"/>
  <c r="E3613" i="14" s="1"/>
  <c r="D3235" i="14"/>
  <c r="E3235" i="14" s="1"/>
  <c r="D3249" i="14"/>
  <c r="E3249" i="14" s="1"/>
  <c r="D3415" i="14"/>
  <c r="E3415" i="14" s="1"/>
  <c r="D3325" i="14"/>
  <c r="E3325" i="14" s="1"/>
  <c r="D4045" i="14"/>
  <c r="E4045" i="14" s="1"/>
  <c r="D3831" i="14"/>
  <c r="E3831" i="14" s="1"/>
  <c r="D4025" i="14"/>
  <c r="E4025" i="14" s="1"/>
  <c r="L3863" i="14"/>
  <c r="D3339" i="14"/>
  <c r="E3339" i="14" s="1"/>
  <c r="H3516" i="14"/>
  <c r="H4044" i="14"/>
  <c r="D3457" i="14"/>
  <c r="E3457" i="14" s="1"/>
  <c r="G3077" i="14"/>
  <c r="H3472" i="14"/>
  <c r="L3935" i="14"/>
  <c r="L3931" i="14"/>
  <c r="H3328" i="14"/>
  <c r="L3711" i="14"/>
  <c r="D3883" i="14"/>
  <c r="E3883" i="14" s="1"/>
  <c r="L3743" i="14"/>
  <c r="D3631" i="14"/>
  <c r="E3631" i="14" s="1"/>
  <c r="D4027" i="14"/>
  <c r="E4027" i="14" s="1"/>
  <c r="D3925" i="14"/>
  <c r="E3925" i="14" s="1"/>
  <c r="L3371" i="14"/>
  <c r="D3307" i="14"/>
  <c r="E3307" i="14" s="1"/>
  <c r="L3395" i="14"/>
  <c r="H3884" i="14"/>
  <c r="L3547" i="14"/>
  <c r="D3535" i="14"/>
  <c r="E3535" i="14" s="1"/>
  <c r="L3963" i="14"/>
  <c r="L3635" i="14"/>
  <c r="H4004" i="14"/>
  <c r="L3971" i="14"/>
  <c r="H3660" i="14"/>
  <c r="L3951" i="14"/>
  <c r="H3780" i="14"/>
  <c r="D3099" i="14"/>
  <c r="E3099" i="14" s="1"/>
  <c r="D3803" i="14"/>
  <c r="E3803" i="14" s="1"/>
  <c r="H3836" i="14"/>
  <c r="L3663" i="14"/>
  <c r="H3504" i="14"/>
  <c r="H3494" i="14"/>
  <c r="D3520" i="14"/>
  <c r="E3520" i="14" s="1"/>
  <c r="D3896" i="14"/>
  <c r="E3896" i="14" s="1"/>
  <c r="D3124" i="14"/>
  <c r="E3124" i="14" s="1"/>
  <c r="D3560" i="14"/>
  <c r="E3560" i="14" s="1"/>
  <c r="D3629" i="14"/>
  <c r="E3629" i="14" s="1"/>
  <c r="D3750" i="14"/>
  <c r="E3750" i="14" s="1"/>
  <c r="D3982" i="14"/>
  <c r="E3982" i="14" s="1"/>
  <c r="D3129" i="14"/>
  <c r="E3129" i="14" s="1"/>
  <c r="D3695" i="14"/>
  <c r="E3695" i="14" s="1"/>
  <c r="D4049" i="14"/>
  <c r="E4049" i="14" s="1"/>
  <c r="L3275" i="14"/>
  <c r="D3751" i="14"/>
  <c r="E3751" i="14" s="1"/>
  <c r="D3599" i="14"/>
  <c r="E3599" i="14" s="1"/>
  <c r="D3915" i="14"/>
  <c r="E3915" i="14" s="1"/>
  <c r="D3463" i="14"/>
  <c r="E3463" i="14" s="1"/>
  <c r="D3697" i="14"/>
  <c r="E3697" i="14" s="1"/>
  <c r="D3615" i="14"/>
  <c r="E3615" i="14" s="1"/>
  <c r="D3319" i="14"/>
  <c r="E3319" i="14" s="1"/>
  <c r="D3423" i="14"/>
  <c r="E3423" i="14" s="1"/>
  <c r="D4013" i="14"/>
  <c r="E4013" i="14" s="1"/>
  <c r="D3927" i="14"/>
  <c r="E3927" i="14" s="1"/>
  <c r="D3727" i="14"/>
  <c r="E3727" i="14" s="1"/>
  <c r="D3633" i="14"/>
  <c r="E3633" i="14" s="1"/>
  <c r="H3412" i="14"/>
  <c r="D3329" i="14"/>
  <c r="E3329" i="14" s="1"/>
  <c r="H3408" i="14"/>
  <c r="H3756" i="14"/>
  <c r="D3575" i="14"/>
  <c r="E3575" i="14" s="1"/>
  <c r="D3905" i="14"/>
  <c r="E3905" i="14" s="1"/>
  <c r="L3691" i="14"/>
  <c r="L3359" i="14"/>
  <c r="H3532" i="14"/>
  <c r="H3342" i="14"/>
  <c r="D3335" i="14"/>
  <c r="E3335" i="14" s="1"/>
  <c r="H3294" i="14"/>
  <c r="H3652" i="14"/>
  <c r="H3462" i="14"/>
  <c r="H3306" i="14"/>
  <c r="D3523" i="14"/>
  <c r="E3523" i="14" s="1"/>
  <c r="H3506" i="14"/>
  <c r="H3350" i="14"/>
  <c r="H3708" i="14"/>
  <c r="H3556" i="14"/>
  <c r="D3563" i="14"/>
  <c r="E3563" i="14" s="1"/>
  <c r="H3724" i="14"/>
  <c r="D4019" i="14"/>
  <c r="E4019" i="14" s="1"/>
  <c r="H3716" i="14"/>
  <c r="L4063" i="14"/>
  <c r="L4059" i="14"/>
  <c r="D4035" i="14"/>
  <c r="E4035" i="14" s="1"/>
  <c r="D3137" i="14"/>
  <c r="E3137" i="14" s="1"/>
  <c r="D3643" i="14"/>
  <c r="E3643" i="14" s="1"/>
  <c r="D3995" i="14"/>
  <c r="E3995" i="14" s="1"/>
  <c r="D3835" i="14"/>
  <c r="E3835" i="14" s="1"/>
  <c r="D3082" i="14"/>
  <c r="E3082" i="14" s="1"/>
  <c r="D3126" i="14"/>
  <c r="E3126" i="14" s="1"/>
  <c r="D3817" i="14"/>
  <c r="E3817" i="14" s="1"/>
  <c r="D3345" i="14"/>
  <c r="E3345" i="14" s="1"/>
  <c r="D3360" i="14"/>
  <c r="E3360" i="14" s="1"/>
  <c r="L3595" i="14"/>
  <c r="D3370" i="14"/>
  <c r="E3370" i="14" s="1"/>
  <c r="D3206" i="14"/>
  <c r="E3206" i="14" s="1"/>
  <c r="D3433" i="14"/>
  <c r="E3433" i="14" s="1"/>
  <c r="D3806" i="14"/>
  <c r="E3806" i="14" s="1"/>
  <c r="D3943" i="14"/>
  <c r="E3943" i="14" s="1"/>
  <c r="D3087" i="14"/>
  <c r="E3087" i="14" s="1"/>
  <c r="D3683" i="14"/>
  <c r="E3683" i="14" s="1"/>
  <c r="D3569" i="14"/>
  <c r="E3569" i="14" s="1"/>
  <c r="D3745" i="14"/>
  <c r="E3745" i="14" s="1"/>
  <c r="D3797" i="14"/>
  <c r="E3797" i="14" s="1"/>
  <c r="D3399" i="14"/>
  <c r="E3399" i="14" s="1"/>
  <c r="D4005" i="14"/>
  <c r="E4005" i="14" s="1"/>
  <c r="L3579" i="14"/>
  <c r="D3951" i="14"/>
  <c r="E3951" i="14" s="1"/>
  <c r="D3581" i="14"/>
  <c r="E3581" i="14" s="1"/>
  <c r="D3973" i="14"/>
  <c r="E3973" i="14" s="1"/>
  <c r="D3935" i="14"/>
  <c r="E3935" i="14" s="1"/>
  <c r="L3507" i="14"/>
  <c r="D4066" i="14"/>
  <c r="E4066" i="14" s="1"/>
  <c r="H3406" i="14"/>
  <c r="D3079" i="14"/>
  <c r="E3079" i="14" s="1"/>
  <c r="D3879" i="14"/>
  <c r="E3879" i="14" s="1"/>
  <c r="H3398" i="14"/>
  <c r="D3557" i="14"/>
  <c r="E3557" i="14" s="1"/>
  <c r="H3518" i="14"/>
  <c r="H3362" i="14"/>
  <c r="D3891" i="14"/>
  <c r="E3891" i="14" s="1"/>
  <c r="D3109" i="14"/>
  <c r="E3109" i="14" s="1"/>
  <c r="D3707" i="14"/>
  <c r="E3707" i="14" s="1"/>
  <c r="D3547" i="14"/>
  <c r="E3547" i="14" s="1"/>
  <c r="H3820" i="14"/>
  <c r="L3407" i="14"/>
  <c r="H3376" i="14"/>
  <c r="H3366" i="14"/>
  <c r="L3431" i="14"/>
  <c r="D3404" i="14"/>
  <c r="E3404" i="14" s="1"/>
  <c r="D3890" i="14"/>
  <c r="E3890" i="14" s="1"/>
  <c r="D3252" i="14"/>
  <c r="E3252" i="14" s="1"/>
  <c r="D3904" i="14"/>
  <c r="E3904" i="14" s="1"/>
  <c r="D3790" i="14"/>
  <c r="E3790" i="14" s="1"/>
  <c r="D3680" i="14"/>
  <c r="E3680" i="14" s="1"/>
  <c r="D3625" i="14"/>
  <c r="E3625" i="14" s="1"/>
  <c r="D3670" i="14"/>
  <c r="E3670" i="14" s="1"/>
  <c r="D3386" i="14"/>
  <c r="E3386" i="14" s="1"/>
  <c r="D4023" i="14"/>
  <c r="E4023" i="14" s="1"/>
  <c r="D3766" i="14"/>
  <c r="E3766" i="14" s="1"/>
  <c r="D3117" i="14"/>
  <c r="E3117" i="14" s="1"/>
  <c r="D3691" i="14"/>
  <c r="E3691" i="14" s="1"/>
  <c r="D3245" i="14"/>
  <c r="E3245" i="14" s="1"/>
  <c r="D4030" i="14"/>
  <c r="E4030" i="14" s="1"/>
  <c r="D3958" i="14"/>
  <c r="E3958" i="14" s="1"/>
  <c r="D3901" i="14"/>
  <c r="E3901" i="14" s="1"/>
  <c r="D3311" i="14"/>
  <c r="E3311" i="14" s="1"/>
  <c r="D3147" i="14"/>
  <c r="E3147" i="14" s="1"/>
  <c r="D3589" i="14"/>
  <c r="E3589" i="14" s="1"/>
  <c r="D3567" i="14"/>
  <c r="E3567" i="14" s="1"/>
  <c r="D3179" i="14"/>
  <c r="E3179" i="14" s="1"/>
  <c r="L3643" i="14"/>
  <c r="D3559" i="14"/>
  <c r="E3559" i="14" s="1"/>
  <c r="D4039" i="14"/>
  <c r="E4039" i="14" s="1"/>
  <c r="D3359" i="14"/>
  <c r="E3359" i="14" s="1"/>
  <c r="D3503" i="14"/>
  <c r="E3503" i="14" s="1"/>
  <c r="D3349" i="14"/>
  <c r="E3349" i="14" s="1"/>
  <c r="D3873" i="14"/>
  <c r="E3873" i="14" s="1"/>
  <c r="D3597" i="14"/>
  <c r="E3597" i="14" s="1"/>
  <c r="D3077" i="14"/>
  <c r="E3077" i="14" s="1"/>
  <c r="D3149" i="14"/>
  <c r="E3149" i="14" s="1"/>
  <c r="D3199" i="14"/>
  <c r="E3199" i="14" s="1"/>
  <c r="D3429" i="14"/>
  <c r="E3429" i="14" s="1"/>
  <c r="D3277" i="14"/>
  <c r="E3277" i="14" s="1"/>
  <c r="D3387" i="14"/>
  <c r="E3387" i="14" s="1"/>
  <c r="D3911" i="14"/>
  <c r="E3911" i="14" s="1"/>
  <c r="D3733" i="14"/>
  <c r="E3733" i="14" s="1"/>
  <c r="D3939" i="14"/>
  <c r="E3939" i="14" s="1"/>
  <c r="D3909" i="14"/>
  <c r="E3909" i="14" s="1"/>
  <c r="D3687" i="14"/>
  <c r="E3687" i="14" s="1"/>
  <c r="D3685" i="14"/>
  <c r="E3685" i="14" s="1"/>
  <c r="D3139" i="14"/>
  <c r="E3139" i="14" s="1"/>
  <c r="H3426" i="14"/>
  <c r="H3596" i="14"/>
  <c r="L3823" i="14"/>
  <c r="D3945" i="14"/>
  <c r="E3945" i="14" s="1"/>
  <c r="L3739" i="14"/>
  <c r="D4017" i="14"/>
  <c r="E4017" i="14" s="1"/>
  <c r="D3997" i="14"/>
  <c r="E3997" i="14" s="1"/>
  <c r="L3827" i="14"/>
  <c r="H3588" i="14"/>
  <c r="L3807" i="14"/>
  <c r="D3091" i="14"/>
  <c r="E3091" i="14" s="1"/>
  <c r="L3803" i="14"/>
  <c r="D3875" i="14"/>
  <c r="E3875" i="14" s="1"/>
  <c r="L4047" i="14"/>
  <c r="D4051" i="14"/>
  <c r="E4051" i="14" s="1"/>
  <c r="L4043" i="14"/>
  <c r="D3971" i="14"/>
  <c r="E3971" i="14" s="1"/>
  <c r="D3595" i="14"/>
  <c r="E3595" i="14" s="1"/>
  <c r="H3940" i="14"/>
  <c r="D3211" i="14"/>
  <c r="E3211" i="14" s="1"/>
  <c r="D3239" i="14"/>
  <c r="E3239" i="14" s="1"/>
  <c r="D3279" i="14"/>
  <c r="E3279" i="14" s="1"/>
  <c r="D3357" i="14"/>
  <c r="E3357" i="14" s="1"/>
  <c r="D3135" i="14"/>
  <c r="E3135" i="14" s="1"/>
  <c r="D3285" i="14"/>
  <c r="E3285" i="14" s="1"/>
  <c r="D3233" i="14"/>
  <c r="E3233" i="14" s="1"/>
  <c r="D3375" i="14"/>
  <c r="E3375" i="14" s="1"/>
  <c r="D3405" i="14"/>
  <c r="E3405" i="14" s="1"/>
  <c r="D3231" i="14"/>
  <c r="E3231" i="14" s="1"/>
  <c r="D3333" i="14"/>
  <c r="E3333" i="14" s="1"/>
  <c r="D3255" i="14"/>
  <c r="E3255" i="14" s="1"/>
  <c r="D3505" i="14"/>
  <c r="E3505" i="14" s="1"/>
  <c r="D3431" i="14"/>
  <c r="E3431" i="14" s="1"/>
  <c r="D3781" i="14"/>
  <c r="E3781" i="14" s="1"/>
  <c r="D3427" i="14"/>
  <c r="E3427" i="14" s="1"/>
  <c r="D3119" i="14"/>
  <c r="E3119" i="14" s="1"/>
  <c r="D3363" i="14"/>
  <c r="E3363" i="14" s="1"/>
  <c r="D3403" i="14"/>
  <c r="E3403" i="14" s="1"/>
  <c r="D4065" i="14"/>
  <c r="E4065" i="14" s="1"/>
  <c r="D3215" i="14"/>
  <c r="E3215" i="14" s="1"/>
  <c r="D3259" i="14"/>
  <c r="E3259" i="14" s="1"/>
  <c r="D3439" i="14"/>
  <c r="E3439" i="14" s="1"/>
  <c r="D3747" i="14"/>
  <c r="E3747" i="14" s="1"/>
  <c r="D3525" i="14"/>
  <c r="E3525" i="14" s="1"/>
  <c r="L3307" i="14"/>
  <c r="L3531" i="14"/>
  <c r="D3397" i="14"/>
  <c r="E3397" i="14" s="1"/>
  <c r="D3845" i="14"/>
  <c r="E3845" i="14" s="1"/>
  <c r="D3583" i="14"/>
  <c r="E3583" i="14" s="1"/>
  <c r="L3403" i="14"/>
  <c r="D3269" i="14"/>
  <c r="E3269" i="14" s="1"/>
  <c r="D3791" i="14"/>
  <c r="E3791" i="14" s="1"/>
  <c r="D3527" i="14"/>
  <c r="E3527" i="14" s="1"/>
  <c r="D4003" i="14"/>
  <c r="E4003" i="14" s="1"/>
  <c r="D3261" i="14"/>
  <c r="E3261" i="14" s="1"/>
  <c r="D3085" i="14"/>
  <c r="E3085" i="14" s="1"/>
  <c r="D3709" i="14"/>
  <c r="E3709" i="14" s="1"/>
  <c r="L3339" i="14"/>
  <c r="D3657" i="14"/>
  <c r="E3657" i="14" s="1"/>
  <c r="D3640" i="14"/>
  <c r="E3640" i="14" s="1"/>
  <c r="D3216" i="14"/>
  <c r="E3216" i="14" s="1"/>
  <c r="D3402" i="14"/>
  <c r="E3402" i="14" s="1"/>
  <c r="D3830" i="14"/>
  <c r="E3830" i="14" s="1"/>
  <c r="D3902" i="14"/>
  <c r="E3902" i="14" s="1"/>
  <c r="D3780" i="14"/>
  <c r="E3780" i="14" s="1"/>
  <c r="D3885" i="14"/>
  <c r="E3885" i="14" s="1"/>
  <c r="D3590" i="14"/>
  <c r="E3590" i="14" s="1"/>
  <c r="D3511" i="14"/>
  <c r="E3511" i="14" s="1"/>
  <c r="D3305" i="14"/>
  <c r="E3305" i="14" s="1"/>
  <c r="D3984" i="14"/>
  <c r="E3984" i="14" s="1"/>
  <c r="D3986" i="14"/>
  <c r="E3986" i="14" s="1"/>
  <c r="D3708" i="14"/>
  <c r="E3708" i="14" s="1"/>
  <c r="D4032" i="14"/>
  <c r="E4032" i="14" s="1"/>
  <c r="D3648" i="14"/>
  <c r="E3648" i="14" s="1"/>
  <c r="D3512" i="14"/>
  <c r="E3512" i="14" s="1"/>
  <c r="D3242" i="14"/>
  <c r="E3242" i="14" s="1"/>
  <c r="D3338" i="14"/>
  <c r="E3338" i="14" s="1"/>
  <c r="D3638" i="14"/>
  <c r="E3638" i="14" s="1"/>
  <c r="D3164" i="14"/>
  <c r="E3164" i="14" s="1"/>
  <c r="D3088" i="14"/>
  <c r="E3088" i="14" s="1"/>
  <c r="D3100" i="14"/>
  <c r="E3100" i="14" s="1"/>
  <c r="D3509" i="14"/>
  <c r="E3509" i="14" s="1"/>
  <c r="D3132" i="14"/>
  <c r="E3132" i="14" s="1"/>
  <c r="D3881" i="14"/>
  <c r="E3881" i="14" s="1"/>
  <c r="D3913" i="14"/>
  <c r="E3913" i="14" s="1"/>
  <c r="D3350" i="14"/>
  <c r="E3350" i="14" s="1"/>
  <c r="D3688" i="14"/>
  <c r="E3688" i="14" s="1"/>
  <c r="D3641" i="14"/>
  <c r="E3641" i="14" s="1"/>
  <c r="D3497" i="14"/>
  <c r="E3497" i="14" s="1"/>
  <c r="D3717" i="14"/>
  <c r="E3717" i="14" s="1"/>
  <c r="D3072" i="14"/>
  <c r="E3072" i="14" s="1"/>
  <c r="D3177" i="14"/>
  <c r="E3177" i="14" s="1"/>
  <c r="D3500" i="14"/>
  <c r="E3500" i="14" s="1"/>
  <c r="D3472" i="14"/>
  <c r="E3472" i="14" s="1"/>
  <c r="D3645" i="14"/>
  <c r="E3645" i="14" s="1"/>
  <c r="D3572" i="14"/>
  <c r="E3572" i="14" s="1"/>
  <c r="D3258" i="14"/>
  <c r="E3258" i="14" s="1"/>
  <c r="D3821" i="14"/>
  <c r="E3821" i="14" s="1"/>
  <c r="D3372" i="14"/>
  <c r="E3372" i="14" s="1"/>
  <c r="D3705" i="14"/>
  <c r="E3705" i="14" s="1"/>
  <c r="D3655" i="14"/>
  <c r="E3655" i="14" s="1"/>
  <c r="D4041" i="14"/>
  <c r="E4041" i="14" s="1"/>
  <c r="D3983" i="14"/>
  <c r="E3983" i="14" s="1"/>
  <c r="D3413" i="14"/>
  <c r="E3413" i="14" s="1"/>
  <c r="L3387" i="14"/>
  <c r="D3771" i="14"/>
  <c r="E3771" i="14" s="1"/>
  <c r="D3543" i="14"/>
  <c r="E3543" i="14" s="1"/>
  <c r="D3541" i="14"/>
  <c r="E3541" i="14" s="1"/>
  <c r="D3811" i="14"/>
  <c r="E3811" i="14" s="1"/>
  <c r="D3095" i="14"/>
  <c r="E3095" i="14" s="1"/>
  <c r="D3093" i="14"/>
  <c r="E3093" i="14" s="1"/>
  <c r="D3435" i="14"/>
  <c r="E3435" i="14" s="1"/>
  <c r="D3957" i="14"/>
  <c r="E3957" i="14" s="1"/>
  <c r="D3517" i="14"/>
  <c r="E3517" i="14" s="1"/>
  <c r="D3917" i="14"/>
  <c r="E3917" i="14" s="1"/>
  <c r="D3383" i="14"/>
  <c r="E3383" i="14" s="1"/>
  <c r="D4055" i="14"/>
  <c r="E4055" i="14" s="1"/>
  <c r="D3469" i="14"/>
  <c r="E3469" i="14" s="1"/>
  <c r="D3869" i="14"/>
  <c r="E3869" i="14" s="1"/>
  <c r="D3607" i="14"/>
  <c r="E3607" i="14" s="1"/>
  <c r="D3639" i="14"/>
  <c r="E3639" i="14" s="1"/>
  <c r="D3197" i="14"/>
  <c r="E3197" i="14" s="1"/>
  <c r="L3659" i="14"/>
  <c r="D3937" i="14"/>
  <c r="E3937" i="14" s="1"/>
  <c r="D3773" i="14"/>
  <c r="E3773" i="14" s="1"/>
  <c r="D3825" i="14"/>
  <c r="E3825" i="14" s="1"/>
  <c r="D3895" i="14"/>
  <c r="E3895" i="14" s="1"/>
  <c r="L3451" i="14"/>
  <c r="D3653" i="14"/>
  <c r="E3653" i="14" s="1"/>
  <c r="D3871" i="14"/>
  <c r="E3871" i="14" s="1"/>
  <c r="D3725" i="14"/>
  <c r="E3725" i="14" s="1"/>
  <c r="D4015" i="14"/>
  <c r="E4015" i="14" s="1"/>
  <c r="D3975" i="14"/>
  <c r="E3975" i="14" s="1"/>
  <c r="D3777" i="14"/>
  <c r="E3777" i="14" s="1"/>
  <c r="L3563" i="14"/>
  <c r="D3605" i="14"/>
  <c r="E3605" i="14" s="1"/>
  <c r="D3455" i="14"/>
  <c r="E3455" i="14" s="1"/>
  <c r="D3453" i="14"/>
  <c r="E3453" i="14" s="1"/>
  <c r="D3471" i="14"/>
  <c r="E3471" i="14" s="1"/>
  <c r="D3178" i="14"/>
  <c r="E3178" i="14" s="1"/>
  <c r="D3928" i="14"/>
  <c r="E3928" i="14" s="1"/>
  <c r="D3518" i="14"/>
  <c r="E3518" i="14" s="1"/>
  <c r="D3530" i="14"/>
  <c r="E3530" i="14" s="1"/>
  <c r="D3785" i="14"/>
  <c r="E3785" i="14" s="1"/>
  <c r="D3142" i="14"/>
  <c r="E3142" i="14" s="1"/>
  <c r="D3097" i="14"/>
  <c r="E3097" i="14" s="1"/>
  <c r="D3826" i="14"/>
  <c r="E3826" i="14" s="1"/>
  <c r="D3158" i="14"/>
  <c r="E3158" i="14" s="1"/>
  <c r="D3756" i="14"/>
  <c r="E3756" i="14" s="1"/>
  <c r="D3385" i="14"/>
  <c r="E3385" i="14" s="1"/>
  <c r="D3241" i="14"/>
  <c r="E3241" i="14" s="1"/>
  <c r="D3461" i="14"/>
  <c r="E3461" i="14" s="1"/>
  <c r="D3598" i="14"/>
  <c r="E3598" i="14" s="1"/>
  <c r="D3757" i="14"/>
  <c r="E3757" i="14" s="1"/>
  <c r="D3874" i="14"/>
  <c r="E3874" i="14" s="1"/>
  <c r="D4062" i="14"/>
  <c r="E4062" i="14" s="1"/>
  <c r="D3652" i="14"/>
  <c r="E3652" i="14" s="1"/>
  <c r="D4054" i="14"/>
  <c r="E4054" i="14" s="1"/>
  <c r="D3565" i="14"/>
  <c r="E3565" i="14" s="1"/>
  <c r="D3194" i="14"/>
  <c r="E3194" i="14" s="1"/>
  <c r="D3449" i="14"/>
  <c r="E3449" i="14" s="1"/>
  <c r="D3143" i="14"/>
  <c r="E3143" i="14" s="1"/>
  <c r="D3815" i="14"/>
  <c r="E3815" i="14" s="1"/>
  <c r="D3426" i="14"/>
  <c r="E3426" i="14" s="1"/>
  <c r="D3573" i="14"/>
  <c r="E3573" i="14" s="1"/>
  <c r="D3737" i="14"/>
  <c r="E3737" i="14" s="1"/>
  <c r="D3078" i="14"/>
  <c r="E3078" i="14" s="1"/>
  <c r="D3125" i="14"/>
  <c r="E3125" i="14" s="1"/>
  <c r="D3289" i="14"/>
  <c r="E3289" i="14" s="1"/>
  <c r="D3488" i="14"/>
  <c r="E3488" i="14" s="1"/>
  <c r="D3701" i="14"/>
  <c r="E3701" i="14" s="1"/>
  <c r="D3671" i="14"/>
  <c r="E3671" i="14" s="1"/>
  <c r="D3861" i="14"/>
  <c r="E3861" i="14" s="1"/>
  <c r="D3287" i="14"/>
  <c r="E3287" i="14" s="1"/>
  <c r="D3761" i="14"/>
  <c r="E3761" i="14" s="1"/>
  <c r="D3071" i="14"/>
  <c r="E3071" i="14" s="1"/>
  <c r="D3743" i="14"/>
  <c r="E3743" i="14" s="1"/>
  <c r="D3313" i="14"/>
  <c r="E3313" i="14" s="1"/>
  <c r="D3489" i="14"/>
  <c r="E3489" i="14" s="1"/>
  <c r="D3647" i="14"/>
  <c r="E3647" i="14" s="1"/>
  <c r="D3265" i="14"/>
  <c r="E3265" i="14" s="1"/>
  <c r="D3441" i="14"/>
  <c r="E3441" i="14" s="1"/>
  <c r="D3103" i="14"/>
  <c r="E3103" i="14" s="1"/>
  <c r="D3341" i="14"/>
  <c r="E3341" i="14" s="1"/>
  <c r="D3247" i="14"/>
  <c r="E3247" i="14" s="1"/>
  <c r="D3169" i="14"/>
  <c r="E3169" i="14" s="1"/>
  <c r="D3899" i="14"/>
  <c r="E3899" i="14" s="1"/>
  <c r="D3221" i="14"/>
  <c r="E3221" i="14" s="1"/>
  <c r="D3069" i="14"/>
  <c r="E3069" i="14" s="1"/>
  <c r="D3121" i="14"/>
  <c r="E3121" i="14" s="1"/>
  <c r="D3515" i="14"/>
  <c r="E3515" i="14" s="1"/>
  <c r="D3173" i="14"/>
  <c r="E3173" i="14" s="1"/>
  <c r="D3566" i="14"/>
  <c r="E3566" i="14" s="1"/>
  <c r="D3400" i="14"/>
  <c r="E3400" i="14" s="1"/>
  <c r="D3606" i="14"/>
  <c r="E3606" i="14" s="1"/>
  <c r="D3166" i="14"/>
  <c r="E3166" i="14" s="1"/>
  <c r="D3094" i="14"/>
  <c r="E3094" i="14" s="1"/>
  <c r="D3740" i="14"/>
  <c r="E3740" i="14" s="1"/>
  <c r="D3378" i="14"/>
  <c r="E3378" i="14" s="1"/>
  <c r="D3690" i="14"/>
  <c r="E3690" i="14" s="1"/>
  <c r="D3872" i="14"/>
  <c r="E3872" i="14" s="1"/>
  <c r="D3696" i="14"/>
  <c r="E3696" i="14" s="1"/>
  <c r="D3112" i="14"/>
  <c r="E3112" i="14" s="1"/>
  <c r="D3956" i="14"/>
  <c r="E3956" i="14" s="1"/>
  <c r="D3864" i="14"/>
  <c r="E3864" i="14" s="1"/>
  <c r="D3634" i="14"/>
  <c r="E3634" i="14" s="1"/>
  <c r="D3578" i="14"/>
  <c r="E3578" i="14" s="1"/>
  <c r="D3412" i="14"/>
  <c r="E3412" i="14" s="1"/>
  <c r="D3436" i="14"/>
  <c r="E3436" i="14" s="1"/>
  <c r="D3501" i="14"/>
  <c r="E3501" i="14" s="1"/>
  <c r="D3689" i="14"/>
  <c r="E3689" i="14" s="1"/>
  <c r="D4016" i="14"/>
  <c r="E4016" i="14" s="1"/>
  <c r="D3934" i="14"/>
  <c r="E3934" i="14" s="1"/>
  <c r="D3786" i="14"/>
  <c r="E3786" i="14" s="1"/>
  <c r="D4004" i="14"/>
  <c r="E4004" i="14" s="1"/>
  <c r="D3593" i="14"/>
  <c r="E3593" i="14" s="1"/>
  <c r="D3888" i="14"/>
  <c r="E3888" i="14" s="1"/>
  <c r="D3171" i="14"/>
  <c r="E3171" i="14" s="1"/>
  <c r="D3838" i="14"/>
  <c r="E3838" i="14" s="1"/>
  <c r="D3317" i="14"/>
  <c r="E3317" i="14" s="1"/>
  <c r="D3481" i="14"/>
  <c r="E3481" i="14" s="1"/>
  <c r="D3068" i="14"/>
  <c r="E3068" i="14" s="1"/>
  <c r="D3760" i="14"/>
  <c r="E3760" i="14" s="1"/>
  <c r="D3445" i="14"/>
  <c r="E3445" i="14" s="1"/>
  <c r="D3159" i="14"/>
  <c r="E3159" i="14" s="1"/>
  <c r="D3310" i="14"/>
  <c r="E3310" i="14" s="1"/>
  <c r="D3921" i="14"/>
  <c r="E3921" i="14" s="1"/>
  <c r="D3988" i="14"/>
  <c r="E3988" i="14" s="1"/>
  <c r="D3836" i="14"/>
  <c r="E3836" i="14" s="1"/>
  <c r="D3473" i="14"/>
  <c r="E3473" i="14" s="1"/>
  <c r="D3764" i="14"/>
  <c r="E3764" i="14" s="1"/>
  <c r="D3972" i="14"/>
  <c r="E3972" i="14" s="1"/>
  <c r="D3553" i="14"/>
  <c r="E3553" i="14" s="1"/>
  <c r="D3967" i="14"/>
  <c r="E3967" i="14" s="1"/>
  <c r="D3361" i="14"/>
  <c r="E3361" i="14" s="1"/>
  <c r="D4029" i="14"/>
  <c r="E4029" i="14" s="1"/>
  <c r="D3941" i="14"/>
  <c r="E3941" i="14" s="1"/>
  <c r="D3929" i="14"/>
  <c r="E3929" i="14" s="1"/>
  <c r="L3723" i="14"/>
  <c r="D4001" i="14"/>
  <c r="E4001" i="14" s="1"/>
  <c r="D3837" i="14"/>
  <c r="E3837" i="14" s="1"/>
  <c r="D3889" i="14"/>
  <c r="E3889" i="14" s="1"/>
  <c r="L3675" i="14"/>
  <c r="D3953" i="14"/>
  <c r="E3953" i="14" s="1"/>
  <c r="D3933" i="14"/>
  <c r="E3933" i="14" s="1"/>
  <c r="D3789" i="14"/>
  <c r="E3789" i="14" s="1"/>
  <c r="D3823" i="14"/>
  <c r="E3823" i="14" s="1"/>
  <c r="D3783" i="14"/>
  <c r="E3783" i="14" s="1"/>
  <c r="D3617" i="14"/>
  <c r="E3617" i="14" s="1"/>
  <c r="D3799" i="14"/>
  <c r="E3799" i="14" s="1"/>
  <c r="D3726" i="14"/>
  <c r="E3726" i="14" s="1"/>
  <c r="D3424" i="14"/>
  <c r="E3424" i="14" s="1"/>
  <c r="D3632" i="14"/>
  <c r="E3632" i="14" s="1"/>
  <c r="D3172" i="14"/>
  <c r="E3172" i="14" s="1"/>
  <c r="D3730" i="14"/>
  <c r="E3730" i="14" s="1"/>
  <c r="D3584" i="14"/>
  <c r="E3584" i="14" s="1"/>
  <c r="D4058" i="14"/>
  <c r="E4058" i="14" s="1"/>
  <c r="D3264" i="14"/>
  <c r="E3264" i="14" s="1"/>
  <c r="D3808" i="14"/>
  <c r="E3808" i="14" s="1"/>
  <c r="D3220" i="14"/>
  <c r="E3220" i="14" s="1"/>
  <c r="D3886" i="14"/>
  <c r="E3886" i="14" s="1"/>
  <c r="D3408" i="14"/>
  <c r="E3408" i="14" s="1"/>
  <c r="D3430" i="14"/>
  <c r="E3430" i="14" s="1"/>
  <c r="D3800" i="14"/>
  <c r="E3800" i="14" s="1"/>
  <c r="D3788" i="14"/>
  <c r="E3788" i="14" s="1"/>
  <c r="D3876" i="14"/>
  <c r="E3876" i="14" s="1"/>
  <c r="D3369" i="14"/>
  <c r="E3369" i="14" s="1"/>
  <c r="D4018" i="14"/>
  <c r="E4018" i="14" s="1"/>
  <c r="D3462" i="14"/>
  <c r="E3462" i="14" s="1"/>
  <c r="D3754" i="14"/>
  <c r="E3754" i="14" s="1"/>
  <c r="D3924" i="14"/>
  <c r="E3924" i="14" s="1"/>
  <c r="D4034" i="14"/>
  <c r="E4034" i="14" s="1"/>
  <c r="D3810" i="14"/>
  <c r="E3810" i="14" s="1"/>
  <c r="D3337" i="14"/>
  <c r="E3337" i="14" s="1"/>
  <c r="D3374" i="14"/>
  <c r="E3374" i="14" s="1"/>
  <c r="D3491" i="14"/>
  <c r="E3491" i="14" s="1"/>
  <c r="D3460" i="14"/>
  <c r="E3460" i="14" s="1"/>
  <c r="D3437" i="14"/>
  <c r="E3437" i="14" s="1"/>
  <c r="D3196" i="14"/>
  <c r="E3196" i="14" s="1"/>
  <c r="D3637" i="14"/>
  <c r="E3637" i="14" s="1"/>
  <c r="D3801" i="14"/>
  <c r="E3801" i="14" s="1"/>
  <c r="D3624" i="14"/>
  <c r="E3624" i="14" s="1"/>
  <c r="L3515" i="14"/>
  <c r="D4057" i="14"/>
  <c r="E4057" i="14" s="1"/>
  <c r="D3254" i="14"/>
  <c r="E3254" i="14" s="1"/>
  <c r="D3168" i="14"/>
  <c r="E3168" i="14" s="1"/>
  <c r="D3089" i="14"/>
  <c r="E3089" i="14" s="1"/>
  <c r="D3665" i="14"/>
  <c r="E3665" i="14" s="1"/>
  <c r="D3860" i="14"/>
  <c r="E3860" i="14" s="1"/>
  <c r="D3592" i="14"/>
  <c r="E3592" i="14" s="1"/>
  <c r="D3217" i="14"/>
  <c r="E3217" i="14" s="1"/>
  <c r="D3176" i="14"/>
  <c r="E3176" i="14" s="1"/>
  <c r="D3996" i="14"/>
  <c r="E3996" i="14" s="1"/>
  <c r="D3844" i="14"/>
  <c r="E3844" i="14" s="1"/>
  <c r="D3839" i="14"/>
  <c r="E3839" i="14" s="1"/>
  <c r="D3297" i="14"/>
  <c r="E3297" i="14" s="1"/>
  <c r="D3376" i="14"/>
  <c r="E3376" i="14" s="1"/>
  <c r="D3992" i="14"/>
  <c r="E3992" i="14" s="1"/>
  <c r="D3280" i="14"/>
  <c r="E3280" i="14" s="1"/>
  <c r="D3130" i="14"/>
  <c r="E3130" i="14" s="1"/>
  <c r="D3440" i="14"/>
  <c r="E3440" i="14" s="1"/>
  <c r="D3496" i="14"/>
  <c r="E3496" i="14" s="1"/>
  <c r="D3152" i="14"/>
  <c r="E3152" i="14" s="1"/>
  <c r="D3185" i="14"/>
  <c r="E3185" i="14" s="1"/>
  <c r="D3456" i="14"/>
  <c r="E3456" i="14" s="1"/>
  <c r="D3274" i="14"/>
  <c r="E3274" i="14" s="1"/>
  <c r="D3522" i="14"/>
  <c r="E3522" i="14" s="1"/>
  <c r="D3212" i="14"/>
  <c r="E3212" i="14" s="1"/>
  <c r="D3944" i="14"/>
  <c r="E3944" i="14" s="1"/>
  <c r="D3716" i="14"/>
  <c r="E3716" i="14" s="1"/>
  <c r="D3554" i="14"/>
  <c r="E3554" i="14" s="1"/>
  <c r="D3102" i="14"/>
  <c r="E3102" i="14" s="1"/>
  <c r="D3506" i="14"/>
  <c r="E3506" i="14" s="1"/>
  <c r="D3296" i="14"/>
  <c r="E3296" i="14" s="1"/>
  <c r="D3084" i="14"/>
  <c r="E3084" i="14" s="1"/>
  <c r="D3994" i="14"/>
  <c r="E3994" i="14" s="1"/>
  <c r="D3110" i="14"/>
  <c r="E3110" i="14" s="1"/>
  <c r="D3081" i="14"/>
  <c r="E3081" i="14" s="1"/>
  <c r="D3257" i="14"/>
  <c r="E3257" i="14" s="1"/>
  <c r="D3870" i="14"/>
  <c r="E3870" i="14" s="1"/>
  <c r="D3092" i="14"/>
  <c r="E3092" i="14" s="1"/>
  <c r="D3120" i="14"/>
  <c r="E3120" i="14" s="1"/>
  <c r="D3180" i="14"/>
  <c r="E3180" i="14" s="1"/>
  <c r="D4014" i="14"/>
  <c r="E4014" i="14" s="1"/>
  <c r="D3513" i="14"/>
  <c r="E3513" i="14" s="1"/>
  <c r="D3574" i="14"/>
  <c r="E3574" i="14" s="1"/>
  <c r="D4040" i="14"/>
  <c r="E4040" i="14" s="1"/>
  <c r="D3618" i="14"/>
  <c r="E3618" i="14" s="1"/>
  <c r="D3596" i="14"/>
  <c r="E3596" i="14" s="1"/>
  <c r="D3970" i="14"/>
  <c r="E3970" i="14" s="1"/>
  <c r="D3772" i="14"/>
  <c r="E3772" i="14" s="1"/>
  <c r="D3161" i="14"/>
  <c r="E3161" i="14" s="1"/>
  <c r="D3474" i="14"/>
  <c r="E3474" i="14" s="1"/>
  <c r="D3765" i="14"/>
  <c r="E3765" i="14" s="1"/>
  <c r="D3829" i="14"/>
  <c r="E3829" i="14" s="1"/>
  <c r="D3128" i="14"/>
  <c r="E3128" i="14" s="1"/>
  <c r="D3381" i="14"/>
  <c r="E3381" i="14" s="1"/>
  <c r="D3545" i="14"/>
  <c r="E3545" i="14" s="1"/>
  <c r="D3969" i="14"/>
  <c r="E3969" i="14" s="1"/>
  <c r="H3082" i="14"/>
  <c r="D3090" i="14"/>
  <c r="E3090" i="14" s="1"/>
  <c r="D3916" i="14"/>
  <c r="E3916" i="14" s="1"/>
  <c r="D3273" i="14"/>
  <c r="E3273" i="14" s="1"/>
  <c r="D3774" i="14"/>
  <c r="E3774" i="14" s="1"/>
  <c r="D4020" i="14"/>
  <c r="E4020" i="14" s="1"/>
  <c r="D3568" i="14"/>
  <c r="E3568" i="14" s="1"/>
  <c r="D3537" i="14"/>
  <c r="E3537" i="14" s="1"/>
  <c r="D3999" i="14"/>
  <c r="E3999" i="14" s="1"/>
  <c r="D3454" i="14"/>
  <c r="E3454" i="14" s="1"/>
  <c r="D3796" i="14"/>
  <c r="E3796" i="14" s="1"/>
  <c r="D3849" i="14"/>
  <c r="E3849" i="14" s="1"/>
  <c r="D3897" i="14"/>
  <c r="E3897" i="14" s="1"/>
  <c r="D3893" i="14"/>
  <c r="E3893" i="14" s="1"/>
  <c r="D3778" i="14"/>
  <c r="E3778" i="14" s="1"/>
  <c r="D3753" i="14"/>
  <c r="E3753" i="14" s="1"/>
  <c r="D3793" i="14"/>
  <c r="E3793" i="14" s="1"/>
  <c r="D3977" i="14"/>
  <c r="E3977" i="14" s="1"/>
  <c r="L3771" i="14"/>
  <c r="D3985" i="14"/>
  <c r="E3985" i="14" s="1"/>
  <c r="D3965" i="14"/>
  <c r="E3965" i="14" s="1"/>
  <c r="D3326" i="14"/>
  <c r="E3326" i="14" s="1"/>
  <c r="D3452" i="14"/>
  <c r="E3452" i="14" s="1"/>
  <c r="D3080" i="14"/>
  <c r="E3080" i="14" s="1"/>
  <c r="D3240" i="14"/>
  <c r="E3240" i="14" s="1"/>
  <c r="D3228" i="14"/>
  <c r="E3228" i="14" s="1"/>
  <c r="D3650" i="14"/>
  <c r="E3650" i="14" s="1"/>
  <c r="D3692" i="14"/>
  <c r="E3692" i="14" s="1"/>
  <c r="D3444" i="14"/>
  <c r="E3444" i="14" s="1"/>
  <c r="D3814" i="14"/>
  <c r="E3814" i="14" s="1"/>
  <c r="D3698" i="14"/>
  <c r="E3698" i="14" s="1"/>
  <c r="D3392" i="14"/>
  <c r="E3392" i="14" s="1"/>
  <c r="D3880" i="14"/>
  <c r="E3880" i="14" s="1"/>
  <c r="D3682" i="14"/>
  <c r="E3682" i="14" s="1"/>
  <c r="D3776" i="14"/>
  <c r="E3776" i="14" s="1"/>
  <c r="D3602" i="14"/>
  <c r="E3602" i="14" s="1"/>
  <c r="D3268" i="14"/>
  <c r="E3268" i="14" s="1"/>
  <c r="D3356" i="14"/>
  <c r="E3356" i="14" s="1"/>
  <c r="D3782" i="14"/>
  <c r="E3782" i="14" s="1"/>
  <c r="D3470" i="14"/>
  <c r="E3470" i="14" s="1"/>
  <c r="D3250" i="14"/>
  <c r="E3250" i="14" s="1"/>
  <c r="D3382" i="14"/>
  <c r="E3382" i="14" s="1"/>
  <c r="D3922" i="14"/>
  <c r="E3922" i="14" s="1"/>
  <c r="D3122" i="14"/>
  <c r="E3122" i="14" s="1"/>
  <c r="D3952" i="14"/>
  <c r="E3952" i="14" s="1"/>
  <c r="D3865" i="14"/>
  <c r="E3865" i="14" s="1"/>
  <c r="D3113" i="14"/>
  <c r="E3113" i="14" s="1"/>
  <c r="D3332" i="14"/>
  <c r="E3332" i="14" s="1"/>
  <c r="D3866" i="14"/>
  <c r="E3866" i="14" s="1"/>
  <c r="D3300" i="14"/>
  <c r="E3300" i="14" s="1"/>
  <c r="D3342" i="14"/>
  <c r="E3342" i="14" s="1"/>
  <c r="D3862" i="14"/>
  <c r="E3862" i="14" s="1"/>
  <c r="D3857" i="14"/>
  <c r="E3857" i="14" s="1"/>
  <c r="D3673" i="14"/>
  <c r="E3673" i="14" s="1"/>
  <c r="D3700" i="14"/>
  <c r="E3700" i="14" s="1"/>
  <c r="D3532" i="14"/>
  <c r="E3532" i="14" s="1"/>
  <c r="D3290" i="14"/>
  <c r="E3290" i="14" s="1"/>
  <c r="D3542" i="14"/>
  <c r="E3542" i="14" s="1"/>
  <c r="D4033" i="14"/>
  <c r="E4033" i="14" s="1"/>
  <c r="D3706" i="14"/>
  <c r="E3706" i="14" s="1"/>
  <c r="D3908" i="14"/>
  <c r="E3908" i="14" s="1"/>
  <c r="D3546" i="14"/>
  <c r="E3546" i="14" s="1"/>
  <c r="D3964" i="14"/>
  <c r="E3964" i="14" s="1"/>
  <c r="D3344" i="14"/>
  <c r="E3344" i="14" s="1"/>
  <c r="D3729" i="14"/>
  <c r="E3729" i="14" s="1"/>
  <c r="D3892" i="14"/>
  <c r="E3892" i="14" s="1"/>
  <c r="D3281" i="14"/>
  <c r="E3281" i="14" s="1"/>
  <c r="D3809" i="14"/>
  <c r="E3809" i="14" s="1"/>
  <c r="D3487" i="14"/>
  <c r="E3487" i="14" s="1"/>
  <c r="D3190" i="14"/>
  <c r="E3190" i="14" s="1"/>
  <c r="D3534" i="14"/>
  <c r="E3534" i="14" s="1"/>
  <c r="D3353" i="14"/>
  <c r="E3353" i="14" s="1"/>
  <c r="D3932" i="14"/>
  <c r="E3932" i="14" s="1"/>
  <c r="D3409" i="14"/>
  <c r="E3409" i="14" s="1"/>
  <c r="D3334" i="14"/>
  <c r="E3334" i="14" s="1"/>
  <c r="D3225" i="14"/>
  <c r="E3225" i="14" s="1"/>
  <c r="D3926" i="14"/>
  <c r="E3926" i="14" s="1"/>
  <c r="D3940" i="14"/>
  <c r="E3940" i="14" s="1"/>
  <c r="D3309" i="14"/>
  <c r="E3309" i="14" s="1"/>
  <c r="D3183" i="14"/>
  <c r="E3183" i="14" s="1"/>
  <c r="D3854" i="14"/>
  <c r="E3854" i="14" s="1"/>
  <c r="D3868" i="14"/>
  <c r="E3868" i="14" s="1"/>
  <c r="D3246" i="14"/>
  <c r="E3246" i="14" s="1"/>
  <c r="D3193" i="14"/>
  <c r="E3193" i="14" s="1"/>
  <c r="D3189" i="14"/>
  <c r="E3189" i="14" s="1"/>
  <c r="D3327" i="14"/>
  <c r="E3327" i="14" s="1"/>
  <c r="D3389" i="14"/>
  <c r="E3389" i="14" s="1"/>
  <c r="D3343" i="14"/>
  <c r="E3343" i="14" s="1"/>
  <c r="D3303" i="14"/>
  <c r="E3303" i="14" s="1"/>
  <c r="D3736" i="14"/>
  <c r="E3736" i="14" s="1"/>
  <c r="D3552" i="14"/>
  <c r="E3552" i="14" s="1"/>
  <c r="D3136" i="14"/>
  <c r="E3136" i="14" s="1"/>
  <c r="D3540" i="14"/>
  <c r="E3540" i="14" s="1"/>
  <c r="D3156" i="14"/>
  <c r="E3156" i="14" s="1"/>
  <c r="D3396" i="14"/>
  <c r="E3396" i="14" s="1"/>
  <c r="D3742" i="14"/>
  <c r="E3742" i="14" s="1"/>
  <c r="D3564" i="14"/>
  <c r="E3564" i="14" s="1"/>
  <c r="D3612" i="14"/>
  <c r="E3612" i="14" s="1"/>
  <c r="D3784" i="14"/>
  <c r="E3784" i="14" s="1"/>
  <c r="D4056" i="14"/>
  <c r="E4056" i="14" s="1"/>
  <c r="D3516" i="14"/>
  <c r="E3516" i="14" s="1"/>
  <c r="D3394" i="14"/>
  <c r="E3394" i="14" s="1"/>
  <c r="D3330" i="14"/>
  <c r="E3330" i="14" s="1"/>
  <c r="D3802" i="14"/>
  <c r="E3802" i="14" s="1"/>
  <c r="D3138" i="14"/>
  <c r="E3138" i="14" s="1"/>
  <c r="D3962" i="14"/>
  <c r="E3962" i="14" s="1"/>
  <c r="D3528" i="14"/>
  <c r="E3528" i="14" s="1"/>
  <c r="D3608" i="14"/>
  <c r="E3608" i="14" s="1"/>
  <c r="D3284" i="14"/>
  <c r="E3284" i="14" s="1"/>
  <c r="D3582" i="14"/>
  <c r="E3582" i="14" s="1"/>
  <c r="D3074" i="14"/>
  <c r="E3074" i="14" s="1"/>
  <c r="D3398" i="14"/>
  <c r="E3398" i="14" s="1"/>
  <c r="D3420" i="14"/>
  <c r="E3420" i="14" s="1"/>
  <c r="D3104" i="14"/>
  <c r="E3104" i="14" s="1"/>
  <c r="D3188" i="14"/>
  <c r="E3188" i="14" s="1"/>
  <c r="D4050" i="14"/>
  <c r="E4050" i="14" s="1"/>
  <c r="D3768" i="14"/>
  <c r="E3768" i="14" s="1"/>
  <c r="D3170" i="14"/>
  <c r="E3170" i="14" s="1"/>
  <c r="D3604" i="14"/>
  <c r="E3604" i="14" s="1"/>
  <c r="D3134" i="14"/>
  <c r="E3134" i="14" s="1"/>
  <c r="D3182" i="14"/>
  <c r="E3182" i="14" s="1"/>
  <c r="D3642" i="14"/>
  <c r="E3642" i="14" s="1"/>
  <c r="D3833" i="14"/>
  <c r="E3833" i="14" s="1"/>
  <c r="D3218" i="14"/>
  <c r="E3218" i="14" s="1"/>
  <c r="D3882" i="14"/>
  <c r="E3882" i="14" s="1"/>
  <c r="D3266" i="14"/>
  <c r="E3266" i="14" s="1"/>
  <c r="D3438" i="14"/>
  <c r="E3438" i="14" s="1"/>
  <c r="D3465" i="14"/>
  <c r="E3465" i="14" s="1"/>
  <c r="D4028" i="14"/>
  <c r="E4028" i="14" s="1"/>
  <c r="D3804" i="14"/>
  <c r="E3804" i="14" s="1"/>
  <c r="D3998" i="14"/>
  <c r="E3998" i="14" s="1"/>
  <c r="D3208" i="14"/>
  <c r="E3208" i="14" s="1"/>
  <c r="D3968" i="14"/>
  <c r="E3968" i="14" s="1"/>
  <c r="D3086" i="14"/>
  <c r="E3086" i="14" s="1"/>
  <c r="D4012" i="14"/>
  <c r="E4012" i="14" s="1"/>
  <c r="D3646" i="14"/>
  <c r="E3646" i="14" s="1"/>
  <c r="D3146" i="14"/>
  <c r="E3146" i="14" s="1"/>
  <c r="D3644" i="14"/>
  <c r="E3644" i="14" s="1"/>
  <c r="D3878" i="14"/>
  <c r="E3878" i="14" s="1"/>
  <c r="D3758" i="14"/>
  <c r="E3758" i="14" s="1"/>
  <c r="D3184" i="14"/>
  <c r="E3184" i="14" s="1"/>
  <c r="D3966" i="14"/>
  <c r="E3966" i="14" s="1"/>
  <c r="D3894" i="14"/>
  <c r="E3894" i="14" s="1"/>
  <c r="D3728" i="14"/>
  <c r="E3728" i="14" s="1"/>
  <c r="D3204" i="14"/>
  <c r="E3204" i="14" s="1"/>
  <c r="D3340" i="14"/>
  <c r="E3340" i="14" s="1"/>
  <c r="D3153" i="14"/>
  <c r="E3153" i="14" s="1"/>
  <c r="D3324" i="14"/>
  <c r="E3324" i="14" s="1"/>
  <c r="D3798" i="14"/>
  <c r="E3798" i="14" s="1"/>
  <c r="D3812" i="14"/>
  <c r="E3812" i="14" s="1"/>
  <c r="D3664" i="14"/>
  <c r="E3664" i="14" s="1"/>
  <c r="D3720" i="14"/>
  <c r="E3720" i="14" s="1"/>
  <c r="D3244" i="14"/>
  <c r="E3244" i="14" s="1"/>
  <c r="D3133" i="14"/>
  <c r="E3133" i="14" s="1"/>
  <c r="D3846" i="14"/>
  <c r="E3846" i="14" s="1"/>
  <c r="D3654" i="14"/>
  <c r="E3654" i="14" s="1"/>
  <c r="D3990" i="14"/>
  <c r="E3990" i="14" s="1"/>
  <c r="D3918" i="14"/>
  <c r="E3918" i="14" s="1"/>
  <c r="D3724" i="14"/>
  <c r="E3724" i="14" s="1"/>
  <c r="D3570" i="14"/>
  <c r="E3570" i="14" s="1"/>
  <c r="D3752" i="14"/>
  <c r="E3752" i="14" s="1"/>
  <c r="D3684" i="14"/>
  <c r="E3684" i="14" s="1"/>
  <c r="D3636" i="14"/>
  <c r="E3636" i="14" s="1"/>
  <c r="D3116" i="14"/>
  <c r="E3116" i="14" s="1"/>
  <c r="D3550" i="14"/>
  <c r="E3550" i="14" s="1"/>
  <c r="D3468" i="14"/>
  <c r="E3468" i="14" s="1"/>
  <c r="D3422" i="14"/>
  <c r="E3422" i="14" s="1"/>
  <c r="D3510" i="14"/>
  <c r="E3510" i="14" s="1"/>
  <c r="D3358" i="14"/>
  <c r="E3358" i="14" s="1"/>
  <c r="D3272" i="14"/>
  <c r="E3272" i="14" s="1"/>
  <c r="D3732" i="14"/>
  <c r="E3732" i="14" s="1"/>
  <c r="D3150" i="14"/>
  <c r="E3150" i="14" s="1"/>
  <c r="D3978" i="14"/>
  <c r="E3978" i="14" s="1"/>
  <c r="D3660" i="14"/>
  <c r="E3660" i="14" s="1"/>
  <c r="D3418" i="14"/>
  <c r="E3418" i="14" s="1"/>
  <c r="D3484" i="14"/>
  <c r="E3484" i="14" s="1"/>
  <c r="D3162" i="14"/>
  <c r="E3162" i="14" s="1"/>
  <c r="D3960" i="14"/>
  <c r="E3960" i="14" s="1"/>
  <c r="D3558" i="14"/>
  <c r="E3558" i="14" s="1"/>
  <c r="D3912" i="14"/>
  <c r="E3912" i="14" s="1"/>
  <c r="D3622" i="14"/>
  <c r="E3622" i="14" s="1"/>
  <c r="D3694" i="14"/>
  <c r="E3694" i="14" s="1"/>
  <c r="D3362" i="14"/>
  <c r="E3362" i="14" s="1"/>
  <c r="D3446" i="14"/>
  <c r="E3446" i="14" s="1"/>
  <c r="D3526" i="14"/>
  <c r="E3526" i="14" s="1"/>
  <c r="D3234" i="14"/>
  <c r="E3234" i="14" s="1"/>
  <c r="D4008" i="14"/>
  <c r="E4008" i="14" s="1"/>
  <c r="D3260" i="14"/>
  <c r="E3260" i="14" s="1"/>
  <c r="D3434" i="14"/>
  <c r="E3434" i="14" s="1"/>
  <c r="D3856" i="14"/>
  <c r="E3856" i="14" s="1"/>
  <c r="D3414" i="14"/>
  <c r="E3414" i="14" s="1"/>
  <c r="D3253" i="14"/>
  <c r="E3253" i="14" s="1"/>
  <c r="D3514" i="14"/>
  <c r="E3514" i="14" s="1"/>
  <c r="D3930" i="14"/>
  <c r="E3930" i="14" s="1"/>
  <c r="D3820" i="14"/>
  <c r="E3820" i="14" s="1"/>
  <c r="D3209" i="14"/>
  <c r="E3209" i="14" s="1"/>
  <c r="D3322" i="14"/>
  <c r="E3322" i="14" s="1"/>
  <c r="D3282" i="14"/>
  <c r="E3282" i="14" s="1"/>
  <c r="D3318" i="14"/>
  <c r="E3318" i="14" s="1"/>
  <c r="D3630" i="14"/>
  <c r="E3630" i="14" s="1"/>
  <c r="D3668" i="14"/>
  <c r="E3668" i="14" s="1"/>
  <c r="D3906" i="14"/>
  <c r="E3906" i="14" s="1"/>
  <c r="D3936" i="14"/>
  <c r="E3936" i="14" s="1"/>
  <c r="D3181" i="14"/>
  <c r="E3181" i="14" s="1"/>
  <c r="D3232" i="14"/>
  <c r="E3232" i="14" s="1"/>
  <c r="D3718" i="14"/>
  <c r="E3718" i="14" s="1"/>
  <c r="D3580" i="14"/>
  <c r="E3580" i="14" s="1"/>
  <c r="D3458" i="14"/>
  <c r="E3458" i="14" s="1"/>
  <c r="D3298" i="14"/>
  <c r="E3298" i="14" s="1"/>
  <c r="D3076" i="14"/>
  <c r="E3076" i="14" s="1"/>
  <c r="D3384" i="14"/>
  <c r="E3384" i="14" s="1"/>
  <c r="D3974" i="14"/>
  <c r="E3974" i="14" s="1"/>
  <c r="D3620" i="14"/>
  <c r="E3620" i="14" s="1"/>
  <c r="D3256" i="14"/>
  <c r="E3256" i="14" s="1"/>
  <c r="D3352" i="14"/>
  <c r="E3352" i="14" s="1"/>
  <c r="D3544" i="14"/>
  <c r="E3544" i="14" s="1"/>
  <c r="D4044" i="14"/>
  <c r="E4044" i="14" s="1"/>
  <c r="D3609" i="14"/>
  <c r="E3609" i="14" s="1"/>
  <c r="D3693" i="14"/>
  <c r="E3693" i="14" s="1"/>
  <c r="D3529" i="14"/>
  <c r="E3529" i="14" s="1"/>
  <c r="D4046" i="14"/>
  <c r="E4046" i="14" s="1"/>
  <c r="D4060" i="14"/>
  <c r="E4060" i="14" s="1"/>
  <c r="D3577" i="14"/>
  <c r="E3577" i="14" s="1"/>
  <c r="D3656" i="14"/>
  <c r="E3656" i="14" s="1"/>
  <c r="D3316" i="14"/>
  <c r="E3316" i="14" s="1"/>
  <c r="D3721" i="14"/>
  <c r="E3721" i="14" s="1"/>
  <c r="D3769" i="14"/>
  <c r="E3769" i="14" s="1"/>
  <c r="D3714" i="14"/>
  <c r="E3714" i="14" s="1"/>
  <c r="D3482" i="14"/>
  <c r="E3482" i="14" s="1"/>
  <c r="D3666" i="14"/>
  <c r="E3666" i="14" s="1"/>
  <c r="D3416" i="14"/>
  <c r="E3416" i="14" s="1"/>
  <c r="D3354" i="14"/>
  <c r="E3354" i="14" s="1"/>
  <c r="D3538" i="14"/>
  <c r="E3538" i="14" s="1"/>
  <c r="D3328" i="14"/>
  <c r="E3328" i="14" s="1"/>
  <c r="D3098" i="14"/>
  <c r="E3098" i="14" s="1"/>
  <c r="D3616" i="14"/>
  <c r="E3616" i="14" s="1"/>
  <c r="D3428" i="14"/>
  <c r="E3428" i="14" s="1"/>
  <c r="D3884" i="14"/>
  <c r="E3884" i="14" s="1"/>
  <c r="D3524" i="14"/>
  <c r="E3524" i="14" s="1"/>
  <c r="D3406" i="14"/>
  <c r="E3406" i="14" s="1"/>
  <c r="D3672" i="14"/>
  <c r="E3672" i="14" s="1"/>
  <c r="D3734" i="14"/>
  <c r="E3734" i="14" s="1"/>
  <c r="D3448" i="14"/>
  <c r="E3448" i="14" s="1"/>
  <c r="D3174" i="14"/>
  <c r="E3174" i="14" s="1"/>
  <c r="D4000" i="14"/>
  <c r="E4000" i="14" s="1"/>
  <c r="D4038" i="14"/>
  <c r="E4038" i="14" s="1"/>
  <c r="D3306" i="14"/>
  <c r="E3306" i="14" s="1"/>
  <c r="D3676" i="14"/>
  <c r="E3676" i="14" s="1"/>
  <c r="D3824" i="14"/>
  <c r="E3824" i="14" s="1"/>
  <c r="D3508" i="14"/>
  <c r="E3508" i="14" s="1"/>
  <c r="D3442" i="14"/>
  <c r="E3442" i="14" s="1"/>
  <c r="D3746" i="14"/>
  <c r="E3746" i="14" s="1"/>
  <c r="D3466" i="14"/>
  <c r="E3466" i="14" s="1"/>
  <c r="D3388" i="14"/>
  <c r="E3388" i="14" s="1"/>
  <c r="D3492" i="14"/>
  <c r="E3492" i="14" s="1"/>
  <c r="D3200" i="14"/>
  <c r="E3200" i="14" s="1"/>
  <c r="D3476" i="14"/>
  <c r="E3476" i="14" s="1"/>
  <c r="D3948" i="14"/>
  <c r="E3948" i="14" s="1"/>
  <c r="D3364" i="14"/>
  <c r="E3364" i="14" s="1"/>
  <c r="D3308" i="14"/>
  <c r="E3308" i="14" s="1"/>
  <c r="D3852" i="14"/>
  <c r="E3852" i="14" s="1"/>
  <c r="D3262" i="14"/>
  <c r="E3262" i="14" s="1"/>
  <c r="D4026" i="14"/>
  <c r="E4026" i="14" s="1"/>
  <c r="D3314" i="14"/>
  <c r="E3314" i="14" s="1"/>
  <c r="D3148" i="14"/>
  <c r="E3148" i="14" s="1"/>
  <c r="D3704" i="14"/>
  <c r="E3704" i="14" s="1"/>
  <c r="D3070" i="14"/>
  <c r="E3070" i="14" s="1"/>
  <c r="D3842" i="14"/>
  <c r="E3842" i="14" s="1"/>
  <c r="D3108" i="14"/>
  <c r="E3108" i="14" s="1"/>
  <c r="D3840" i="14"/>
  <c r="E3840" i="14" s="1"/>
  <c r="D3610" i="14"/>
  <c r="E3610" i="14" s="1"/>
  <c r="D3368" i="14"/>
  <c r="E3368" i="14" s="1"/>
  <c r="D4002" i="14"/>
  <c r="E4002" i="14" s="1"/>
  <c r="D3900" i="14"/>
  <c r="E3900" i="14" s="1"/>
  <c r="D3748" i="14"/>
  <c r="E3748" i="14" s="1"/>
  <c r="D3828" i="14"/>
  <c r="E3828" i="14" s="1"/>
  <c r="D3464" i="14"/>
  <c r="E3464" i="14" s="1"/>
  <c r="D3938" i="14"/>
  <c r="E3938" i="14" s="1"/>
  <c r="D3498" i="14"/>
  <c r="E3498" i="14" s="1"/>
  <c r="D3366" i="14"/>
  <c r="E3366" i="14" s="1"/>
  <c r="D3626" i="14"/>
  <c r="E3626" i="14" s="1"/>
  <c r="D3192" i="14"/>
  <c r="E3192" i="14" s="1"/>
  <c r="D3294" i="14"/>
  <c r="E3294" i="14" s="1"/>
  <c r="D4048" i="14"/>
  <c r="E4048" i="14" s="1"/>
  <c r="D3248" i="14"/>
  <c r="E3248" i="14" s="1"/>
  <c r="D3432" i="14"/>
  <c r="E3432" i="14" s="1"/>
  <c r="D3450" i="14"/>
  <c r="E3450" i="14" s="1"/>
  <c r="D3600" i="14"/>
  <c r="E3600" i="14" s="1"/>
  <c r="D3312" i="14"/>
  <c r="E3312" i="14" s="1"/>
  <c r="D3304" i="14"/>
  <c r="E3304" i="14" s="1"/>
  <c r="D3380" i="14"/>
  <c r="E3380" i="14" s="1"/>
  <c r="D3198" i="14"/>
  <c r="E3198" i="14" s="1"/>
  <c r="D3202" i="14"/>
  <c r="E3202" i="14" s="1"/>
  <c r="D3230" i="14"/>
  <c r="E3230" i="14" s="1"/>
  <c r="D3238" i="14"/>
  <c r="E3238" i="14" s="1"/>
  <c r="D3722" i="14"/>
  <c r="E3722" i="14" s="1"/>
  <c r="D4042" i="14"/>
  <c r="E4042" i="14" s="1"/>
  <c r="D3678" i="14"/>
  <c r="E3678" i="14" s="1"/>
  <c r="D3770" i="14"/>
  <c r="E3770" i="14" s="1"/>
  <c r="D3818" i="14"/>
  <c r="E3818" i="14" s="1"/>
  <c r="D3762" i="14"/>
  <c r="E3762" i="14" s="1"/>
  <c r="D3910" i="14"/>
  <c r="E3910" i="14" s="1"/>
  <c r="D3556" i="14"/>
  <c r="E3556" i="14" s="1"/>
  <c r="D3662" i="14"/>
  <c r="E3662" i="14" s="1"/>
  <c r="D3686" i="14"/>
  <c r="E3686" i="14" s="1"/>
  <c r="D3224" i="14"/>
  <c r="E3224" i="14" s="1"/>
  <c r="D3980" i="14"/>
  <c r="E3980" i="14" s="1"/>
  <c r="D3410" i="14"/>
  <c r="E3410" i="14" s="1"/>
  <c r="D3276" i="14"/>
  <c r="E3276" i="14" s="1"/>
  <c r="D3292" i="14"/>
  <c r="E3292" i="14" s="1"/>
  <c r="D3348" i="14"/>
  <c r="E3348" i="14" s="1"/>
  <c r="D3976" i="14"/>
  <c r="E3976" i="14" s="1"/>
  <c r="D3186" i="14"/>
  <c r="E3186" i="14" s="1"/>
  <c r="D3576" i="14"/>
  <c r="E3576" i="14" s="1"/>
  <c r="D3920" i="14"/>
  <c r="E3920" i="14" s="1"/>
  <c r="D3214" i="14"/>
  <c r="E3214" i="14" s="1"/>
  <c r="D3738" i="14"/>
  <c r="E3738" i="14" s="1"/>
  <c r="D3154" i="14"/>
  <c r="E3154" i="14" s="1"/>
  <c r="D3562" i="14"/>
  <c r="E3562" i="14" s="1"/>
  <c r="D3594" i="14"/>
  <c r="E3594" i="14" s="1"/>
  <c r="D3674" i="14"/>
  <c r="E3674" i="14" s="1"/>
  <c r="D3118" i="14"/>
  <c r="E3118" i="14" s="1"/>
  <c r="D3145" i="14"/>
  <c r="E3145" i="14" s="1"/>
  <c r="D3710" i="14"/>
  <c r="E3710" i="14" s="1"/>
  <c r="D3834" i="14"/>
  <c r="E3834" i="14" s="1"/>
  <c r="D3850" i="14"/>
  <c r="E3850" i="14" s="1"/>
  <c r="D3794" i="14"/>
  <c r="E3794" i="14" s="1"/>
  <c r="D3942" i="14"/>
  <c r="E3942" i="14" s="1"/>
  <c r="D3588" i="14"/>
  <c r="E3588" i="14" s="1"/>
  <c r="D3702" i="14"/>
  <c r="E3702" i="14" s="1"/>
  <c r="D3160" i="14"/>
  <c r="E3160" i="14" s="1"/>
  <c r="D3586" i="14"/>
  <c r="E3586" i="14" s="1"/>
  <c r="D3614" i="14"/>
  <c r="E3614" i="14" s="1"/>
  <c r="D3096" i="14"/>
  <c r="E3096" i="14" s="1"/>
  <c r="D3548" i="14"/>
  <c r="E3548" i="14" s="1"/>
  <c r="D3226" i="14"/>
  <c r="E3226" i="14" s="1"/>
  <c r="D3490" i="14"/>
  <c r="E3490" i="14" s="1"/>
  <c r="D4024" i="14"/>
  <c r="E4024" i="14" s="1"/>
  <c r="D3144" i="14"/>
  <c r="E3144" i="14" s="1"/>
  <c r="D3336" i="14"/>
  <c r="E3336" i="14" s="1"/>
  <c r="D3390" i="14"/>
  <c r="E3390" i="14" s="1"/>
  <c r="D3504" i="14"/>
  <c r="E3504" i="14" s="1"/>
  <c r="D3236" i="14"/>
  <c r="E3236" i="14" s="1"/>
  <c r="D3278" i="14"/>
  <c r="E3278" i="14" s="1"/>
  <c r="D3302" i="14"/>
  <c r="E3302" i="14" s="1"/>
  <c r="D3832" i="14"/>
  <c r="E3832" i="14" s="1"/>
  <c r="D3346" i="14"/>
  <c r="E3346" i="14" s="1"/>
  <c r="D3288" i="14"/>
  <c r="E3288" i="14" s="1"/>
  <c r="D4010" i="14"/>
  <c r="E4010" i="14" s="1"/>
  <c r="D3792" i="14"/>
  <c r="E3792" i="14" s="1"/>
  <c r="D3954" i="14"/>
  <c r="E3954" i="14" s="1"/>
  <c r="D3106" i="14"/>
  <c r="E3106" i="14" s="1"/>
  <c r="D3320" i="14"/>
  <c r="E3320" i="14" s="1"/>
  <c r="D3898" i="14"/>
  <c r="E3898" i="14" s="1"/>
  <c r="D3946" i="14"/>
  <c r="E3946" i="14" s="1"/>
  <c r="D3858" i="14"/>
  <c r="E3858" i="14" s="1"/>
  <c r="D4006" i="14"/>
  <c r="E4006" i="14" s="1"/>
  <c r="D4052" i="14"/>
  <c r="E4052" i="14" s="1"/>
  <c r="D4064" i="14"/>
  <c r="E4064" i="14" s="1"/>
  <c r="D3561" i="14"/>
  <c r="E3561" i="14" s="1"/>
  <c r="D3601" i="14"/>
  <c r="E3601" i="14" s="1"/>
  <c r="D3480" i="14"/>
  <c r="E3480" i="14" s="1"/>
  <c r="D3417" i="14"/>
  <c r="E3417" i="14" s="1"/>
  <c r="D4022" i="14"/>
  <c r="E4022" i="14" s="1"/>
  <c r="D4036" i="14"/>
  <c r="E4036" i="14" s="1"/>
  <c r="D3140" i="14"/>
  <c r="E3140" i="14" s="1"/>
  <c r="D3222" i="14"/>
  <c r="E3222" i="14" s="1"/>
  <c r="D3478" i="14"/>
  <c r="E3478" i="14" s="1"/>
  <c r="D3658" i="14"/>
  <c r="E3658" i="14" s="1"/>
  <c r="H11" i="11"/>
  <c r="G1047" i="11"/>
  <c r="H15" i="11"/>
  <c r="G1045" i="11"/>
  <c r="H13" i="11"/>
  <c r="L1041" i="11"/>
  <c r="M9" i="11"/>
  <c r="G1042" i="11"/>
  <c r="H10" i="11"/>
  <c r="G11" i="13"/>
  <c r="G1044" i="11"/>
  <c r="H12" i="11"/>
  <c r="F1054" i="11"/>
  <c r="G1046" i="11"/>
  <c r="H14" i="11"/>
  <c r="E3167" i="14"/>
  <c r="G6" i="11"/>
  <c r="H1043" i="11" l="1"/>
  <c r="I11" i="11"/>
  <c r="H1047" i="11"/>
  <c r="I15" i="11"/>
  <c r="G1054" i="11"/>
  <c r="M1041" i="11"/>
  <c r="N9" i="11"/>
  <c r="H1046" i="11"/>
  <c r="I14" i="11"/>
  <c r="I10" i="11"/>
  <c r="H1042" i="11"/>
  <c r="H6" i="11"/>
  <c r="H11" i="13"/>
  <c r="H1045" i="11"/>
  <c r="I13" i="11"/>
  <c r="H1044" i="11"/>
  <c r="I12" i="11"/>
  <c r="I1043" i="11" l="1"/>
  <c r="J11" i="11"/>
  <c r="I1047" i="11"/>
  <c r="J15" i="11"/>
  <c r="N1041" i="11"/>
  <c r="O9" i="11"/>
  <c r="I1044" i="11"/>
  <c r="J12" i="11"/>
  <c r="I1045" i="11"/>
  <c r="J13" i="11"/>
  <c r="H1054" i="11"/>
  <c r="I1042" i="11"/>
  <c r="J10" i="11"/>
  <c r="I11" i="13"/>
  <c r="I6" i="11"/>
  <c r="J14" i="11"/>
  <c r="I1046" i="11"/>
  <c r="J1043" i="11" l="1"/>
  <c r="K11" i="11"/>
  <c r="J1047" i="11"/>
  <c r="K15" i="11"/>
  <c r="J1046" i="11"/>
  <c r="K14" i="11"/>
  <c r="I1054" i="11"/>
  <c r="J1044" i="11"/>
  <c r="K12" i="11"/>
  <c r="J1042" i="11"/>
  <c r="K10" i="11"/>
  <c r="J6" i="11"/>
  <c r="J11" i="13"/>
  <c r="J1045" i="11"/>
  <c r="K13" i="11"/>
  <c r="O1041" i="11"/>
  <c r="P9" i="11"/>
  <c r="K1043" i="11" l="1"/>
  <c r="L11" i="11"/>
  <c r="K1047" i="11"/>
  <c r="L15" i="11"/>
  <c r="K1042" i="11"/>
  <c r="L10" i="11"/>
  <c r="K11" i="13"/>
  <c r="K6" i="11"/>
  <c r="J1054" i="11"/>
  <c r="K1044" i="11"/>
  <c r="L12" i="11"/>
  <c r="P1041" i="11"/>
  <c r="Q9" i="11"/>
  <c r="K1045" i="11"/>
  <c r="L13" i="11"/>
  <c r="K1046" i="11"/>
  <c r="L14" i="11"/>
  <c r="L1043" i="11" l="1"/>
  <c r="M11" i="11"/>
  <c r="L1047" i="11"/>
  <c r="M15" i="11"/>
  <c r="L1046" i="11"/>
  <c r="M14" i="11"/>
  <c r="L1045" i="11"/>
  <c r="M13" i="11"/>
  <c r="Q1041" i="11"/>
  <c r="S9" i="11"/>
  <c r="L1042" i="11"/>
  <c r="M10" i="11"/>
  <c r="L11" i="13"/>
  <c r="L6" i="11"/>
  <c r="M12" i="11"/>
  <c r="L1044" i="11"/>
  <c r="K1054" i="11"/>
  <c r="M1043" i="11" l="1"/>
  <c r="N11" i="11"/>
  <c r="M1047" i="11"/>
  <c r="N15" i="11"/>
  <c r="M1045" i="11"/>
  <c r="N13" i="11"/>
  <c r="I1026" i="14"/>
  <c r="M1044" i="11"/>
  <c r="N12" i="11"/>
  <c r="F1026" i="14"/>
  <c r="M1046" i="11"/>
  <c r="N14" i="11"/>
  <c r="M1042" i="11"/>
  <c r="N10" i="11"/>
  <c r="M11" i="13"/>
  <c r="M6" i="11"/>
  <c r="L1054" i="11"/>
  <c r="N1043" i="11" l="1"/>
  <c r="O11" i="11"/>
  <c r="N1047" i="11"/>
  <c r="O15" i="11"/>
  <c r="N1045" i="11"/>
  <c r="O13" i="11"/>
  <c r="N1046" i="11"/>
  <c r="O14" i="11"/>
  <c r="E1026" i="14"/>
  <c r="N1042" i="11"/>
  <c r="O10" i="11"/>
  <c r="N11" i="13"/>
  <c r="N6" i="11"/>
  <c r="M1054" i="11"/>
  <c r="N1044" i="11"/>
  <c r="O12" i="11"/>
  <c r="O1043" i="11" l="1"/>
  <c r="P11" i="11"/>
  <c r="O1047" i="11"/>
  <c r="P15" i="11"/>
  <c r="O1042" i="11"/>
  <c r="P10" i="11"/>
  <c r="O6" i="11"/>
  <c r="O11" i="13"/>
  <c r="O1044" i="11"/>
  <c r="P12" i="11"/>
  <c r="N1054" i="11"/>
  <c r="O1045" i="11"/>
  <c r="P13" i="11"/>
  <c r="O1046" i="11"/>
  <c r="P14" i="11"/>
  <c r="P1043" i="11" l="1"/>
  <c r="Q11" i="11"/>
  <c r="P1047" i="11"/>
  <c r="Q15" i="11"/>
  <c r="S15" i="11" s="1"/>
  <c r="P1044" i="11"/>
  <c r="Q12" i="11"/>
  <c r="P1046" i="11"/>
  <c r="Q14" i="11"/>
  <c r="P1042" i="11"/>
  <c r="Q10" i="11"/>
  <c r="P11" i="13"/>
  <c r="P6" i="11"/>
  <c r="P1045" i="11"/>
  <c r="Q13" i="11"/>
  <c r="O1054" i="11"/>
  <c r="S11" i="11" l="1"/>
  <c r="I1028" i="14" s="1"/>
  <c r="Q1043" i="11"/>
  <c r="Q1047" i="11"/>
  <c r="I1032" i="14"/>
  <c r="S14" i="11"/>
  <c r="I1031" i="14" s="1"/>
  <c r="Q1046" i="11"/>
  <c r="S10" i="11"/>
  <c r="Q1042" i="11"/>
  <c r="Q11" i="13"/>
  <c r="S11" i="13" s="1"/>
  <c r="Q6" i="11"/>
  <c r="C1023" i="11" s="1"/>
  <c r="B23" i="11" s="1"/>
  <c r="S12" i="11"/>
  <c r="I1029" i="14" s="1"/>
  <c r="Q1044" i="11"/>
  <c r="S13" i="11"/>
  <c r="I1030" i="14" s="1"/>
  <c r="Q1045" i="11"/>
  <c r="P1054" i="11"/>
  <c r="P1022" i="11" l="1"/>
  <c r="E1017" i="11"/>
  <c r="E1027" i="11" s="1"/>
  <c r="M1027" i="11" s="1"/>
  <c r="E1021" i="11"/>
  <c r="E1023" i="11" s="1"/>
  <c r="H1023" i="11" s="1"/>
  <c r="H24" i="11" s="1"/>
  <c r="E1018" i="11"/>
  <c r="E1026" i="11" s="1"/>
  <c r="F1026" i="11" s="1"/>
  <c r="E1020" i="11"/>
  <c r="H1020" i="11" s="1"/>
  <c r="E1019" i="11"/>
  <c r="H1019" i="11" s="1"/>
  <c r="S46" i="11"/>
  <c r="Q1018" i="11"/>
  <c r="Q1020" i="11"/>
  <c r="F1028" i="14"/>
  <c r="F1030" i="14"/>
  <c r="F1031" i="14"/>
  <c r="F1032" i="14"/>
  <c r="F1029" i="14"/>
  <c r="F1027" i="14"/>
  <c r="Q1022" i="11"/>
  <c r="Q1054" i="11"/>
  <c r="I1027" i="14"/>
  <c r="G49" i="13"/>
  <c r="F1022" i="11"/>
  <c r="G1020" i="11"/>
  <c r="G1022" i="11"/>
  <c r="H1022" i="11"/>
  <c r="I1022" i="11"/>
  <c r="J1022" i="11"/>
  <c r="K1022" i="11"/>
  <c r="L1022" i="11"/>
  <c r="M1022" i="11"/>
  <c r="N1022" i="11"/>
  <c r="O1022" i="11"/>
  <c r="Q1017" i="11" l="1"/>
  <c r="P1018" i="11"/>
  <c r="Q1021" i="11"/>
  <c r="Q23" i="11" s="1"/>
  <c r="Q1019" i="11"/>
  <c r="Q20" i="11" s="1"/>
  <c r="G1017" i="11"/>
  <c r="G1021" i="11"/>
  <c r="G23" i="11" s="1"/>
  <c r="O1023" i="11"/>
  <c r="O24" i="11" s="1"/>
  <c r="F1021" i="11"/>
  <c r="F23" i="11" s="1"/>
  <c r="P1021" i="11"/>
  <c r="P23" i="11" s="1"/>
  <c r="P1019" i="11"/>
  <c r="P20" i="11" s="1"/>
  <c r="P1020" i="11"/>
  <c r="P1017" i="11"/>
  <c r="E1025" i="11"/>
  <c r="Q1025" i="11" s="1"/>
  <c r="Q1026" i="11"/>
  <c r="N1023" i="11"/>
  <c r="N24" i="11" s="1"/>
  <c r="Q1023" i="11"/>
  <c r="Q24" i="11" s="1"/>
  <c r="N1026" i="11"/>
  <c r="G1018" i="11"/>
  <c r="O1026" i="11"/>
  <c r="F1017" i="11"/>
  <c r="P1027" i="11"/>
  <c r="P1025" i="11"/>
  <c r="P1026" i="11"/>
  <c r="P1023" i="11"/>
  <c r="P24" i="11" s="1"/>
  <c r="O1027" i="11"/>
  <c r="N1027" i="11"/>
  <c r="G1019" i="11"/>
  <c r="F1019" i="11"/>
  <c r="Q1027" i="11"/>
  <c r="F1018" i="11"/>
  <c r="F1020" i="11"/>
  <c r="B1075" i="14"/>
  <c r="C1075" i="14" s="1"/>
  <c r="H4183" i="14" s="1"/>
  <c r="E1024" i="11"/>
  <c r="M1024" i="11" s="1"/>
  <c r="J1019" i="11"/>
  <c r="H1018" i="11"/>
  <c r="J1021" i="11"/>
  <c r="J23" i="11" s="1"/>
  <c r="I1019" i="11"/>
  <c r="O48" i="11"/>
  <c r="N48" i="11" s="1"/>
  <c r="J1020" i="11"/>
  <c r="J1017" i="11"/>
  <c r="I1020" i="11"/>
  <c r="L1023" i="11"/>
  <c r="L24" i="11" s="1"/>
  <c r="K1023" i="11"/>
  <c r="K24" i="11" s="1"/>
  <c r="M1023" i="11"/>
  <c r="M24" i="11" s="1"/>
  <c r="I1021" i="11"/>
  <c r="I23" i="11" s="1"/>
  <c r="J1018" i="11"/>
  <c r="I1017" i="11"/>
  <c r="H1017" i="11"/>
  <c r="K1026" i="11"/>
  <c r="L1027" i="11"/>
  <c r="M1026" i="11"/>
  <c r="I1018" i="11"/>
  <c r="K1027" i="11"/>
  <c r="L1026" i="11"/>
  <c r="H1021" i="11"/>
  <c r="H23" i="11" s="1"/>
  <c r="K1020" i="11"/>
  <c r="O1020" i="11"/>
  <c r="N1020" i="11"/>
  <c r="L1020" i="11"/>
  <c r="M1020" i="11"/>
  <c r="N1017" i="11"/>
  <c r="L1018" i="11"/>
  <c r="K1021" i="11"/>
  <c r="K23" i="11" s="1"/>
  <c r="J1023" i="11"/>
  <c r="J24" i="11" s="1"/>
  <c r="G1023" i="11"/>
  <c r="G24" i="11" s="1"/>
  <c r="M1019" i="11"/>
  <c r="N1019" i="11"/>
  <c r="G1027" i="11"/>
  <c r="G1026" i="11"/>
  <c r="F1027" i="11"/>
  <c r="F28" i="11" s="1"/>
  <c r="I1027" i="11"/>
  <c r="I1026" i="11"/>
  <c r="K1017" i="11"/>
  <c r="O1017" i="11"/>
  <c r="M1018" i="11"/>
  <c r="O1018" i="11"/>
  <c r="N1021" i="11"/>
  <c r="N23" i="11" s="1"/>
  <c r="N1018" i="11"/>
  <c r="M1021" i="11"/>
  <c r="M23" i="11" s="1"/>
  <c r="K1018" i="11"/>
  <c r="I1023" i="11"/>
  <c r="I24" i="11" s="1"/>
  <c r="Q19" i="11"/>
  <c r="L1017" i="11"/>
  <c r="J1026" i="11"/>
  <c r="O1021" i="11"/>
  <c r="O23" i="11" s="1"/>
  <c r="M1017" i="11"/>
  <c r="L1021" i="11"/>
  <c r="L23" i="11" s="1"/>
  <c r="J1027" i="11"/>
  <c r="H1027" i="11"/>
  <c r="H1026" i="11"/>
  <c r="F1023" i="11"/>
  <c r="F24" i="11" s="1"/>
  <c r="O1019" i="11"/>
  <c r="K1019" i="11"/>
  <c r="L1019" i="11"/>
  <c r="H21" i="11"/>
  <c r="I49" i="13"/>
  <c r="B47" i="13" s="1"/>
  <c r="M48" i="13"/>
  <c r="M50" i="13"/>
  <c r="Q51" i="13" s="1"/>
  <c r="E1027" i="14"/>
  <c r="Q21" i="11" l="1"/>
  <c r="P19" i="11"/>
  <c r="G22" i="11"/>
  <c r="G1025" i="11"/>
  <c r="G27" i="11" s="1"/>
  <c r="Q28" i="11"/>
  <c r="G1024" i="11"/>
  <c r="G25" i="11" s="1"/>
  <c r="J1025" i="11"/>
  <c r="J27" i="11" s="1"/>
  <c r="H1025" i="11"/>
  <c r="H27" i="11" s="1"/>
  <c r="G19" i="11"/>
  <c r="Q22" i="11"/>
  <c r="J1024" i="11"/>
  <c r="J25" i="11" s="1"/>
  <c r="H1024" i="11"/>
  <c r="H25" i="11" s="1"/>
  <c r="P21" i="11"/>
  <c r="Q27" i="11"/>
  <c r="O28" i="11"/>
  <c r="P22" i="11"/>
  <c r="K1025" i="11"/>
  <c r="K27" i="11" s="1"/>
  <c r="N1025" i="11"/>
  <c r="N27" i="11" s="1"/>
  <c r="I1025" i="11"/>
  <c r="I27" i="11" s="1"/>
  <c r="M1025" i="11"/>
  <c r="M27" i="11" s="1"/>
  <c r="L1025" i="11"/>
  <c r="L27" i="11" s="1"/>
  <c r="P28" i="11"/>
  <c r="F1025" i="11"/>
  <c r="F27" i="11" s="1"/>
  <c r="O1025" i="11"/>
  <c r="O27" i="11" s="1"/>
  <c r="N28" i="11"/>
  <c r="F19" i="11"/>
  <c r="G20" i="11"/>
  <c r="F20" i="11"/>
  <c r="F21" i="11"/>
  <c r="P27" i="11"/>
  <c r="G21" i="11"/>
  <c r="L1024" i="11"/>
  <c r="P1024" i="11"/>
  <c r="P25" i="11" s="1"/>
  <c r="Q1024" i="11"/>
  <c r="O1024" i="11"/>
  <c r="N1024" i="11"/>
  <c r="F22" i="11"/>
  <c r="F1024" i="11"/>
  <c r="I1024" i="11"/>
  <c r="K1024" i="11"/>
  <c r="K25" i="11" s="1"/>
  <c r="J20" i="11"/>
  <c r="J22" i="11"/>
  <c r="I20" i="11"/>
  <c r="I21" i="11"/>
  <c r="J21" i="11"/>
  <c r="M28" i="11"/>
  <c r="J19" i="11"/>
  <c r="L28" i="11"/>
  <c r="I22" i="11"/>
  <c r="H19" i="11"/>
  <c r="I19" i="11"/>
  <c r="M25" i="11"/>
  <c r="H22" i="11"/>
  <c r="H20" i="11"/>
  <c r="K21" i="11"/>
  <c r="K28" i="11"/>
  <c r="G28" i="11"/>
  <c r="L21" i="11"/>
  <c r="N21" i="11"/>
  <c r="M21" i="11"/>
  <c r="N19" i="11"/>
  <c r="M20" i="11"/>
  <c r="K19" i="11"/>
  <c r="L19" i="11"/>
  <c r="K22" i="11"/>
  <c r="O22" i="11"/>
  <c r="J28" i="11"/>
  <c r="O19" i="11"/>
  <c r="I28" i="11"/>
  <c r="O20" i="11"/>
  <c r="H28" i="11"/>
  <c r="O21" i="11"/>
  <c r="N20" i="11"/>
  <c r="L22" i="11"/>
  <c r="N22" i="11"/>
  <c r="M22" i="11"/>
  <c r="M19" i="11"/>
  <c r="L20" i="11"/>
  <c r="K20" i="11"/>
  <c r="G1486" i="14"/>
  <c r="D1124" i="14"/>
  <c r="G1949" i="14"/>
  <c r="H1489" i="14"/>
  <c r="G1650" i="14"/>
  <c r="D1751" i="14"/>
  <c r="G1213" i="14"/>
  <c r="H1953" i="14"/>
  <c r="D1287" i="14"/>
  <c r="G1792" i="14"/>
  <c r="D1582" i="14"/>
  <c r="H1246" i="14"/>
  <c r="D1576" i="14"/>
  <c r="H1258" i="14"/>
  <c r="D1572" i="14"/>
  <c r="H1250" i="14"/>
  <c r="G1646" i="14"/>
  <c r="D1204" i="14"/>
  <c r="H1986" i="14"/>
  <c r="D1913" i="14"/>
  <c r="H1554" i="14"/>
  <c r="D2030" i="14"/>
  <c r="H1395" i="14"/>
  <c r="G1819" i="14"/>
  <c r="D2024" i="14"/>
  <c r="H1407" i="14"/>
  <c r="G1807" i="14"/>
  <c r="D1732" i="14"/>
  <c r="H1975" i="14"/>
  <c r="G1966" i="14"/>
  <c r="D1689" i="14"/>
  <c r="H1666" i="14"/>
  <c r="G1105" i="14"/>
  <c r="G1102" i="14"/>
  <c r="H1266" i="14"/>
  <c r="H1251" i="14"/>
  <c r="G1963" i="14"/>
  <c r="H1263" i="14"/>
  <c r="G1951" i="14"/>
  <c r="D1348" i="14"/>
  <c r="G1198" i="14"/>
  <c r="D1806" i="14"/>
  <c r="H1843" i="14"/>
  <c r="D1800" i="14"/>
  <c r="H1855" i="14"/>
  <c r="G1598" i="14"/>
  <c r="H2034" i="14"/>
  <c r="D1910" i="14"/>
  <c r="H1081" i="14"/>
  <c r="H1635" i="14"/>
  <c r="G1579" i="14"/>
  <c r="D1904" i="14"/>
  <c r="G1230" i="14"/>
  <c r="D1764" i="14"/>
  <c r="H1768" i="14"/>
  <c r="G2030" i="14"/>
  <c r="D2036" i="14"/>
  <c r="H1224" i="14"/>
  <c r="H1602" i="14"/>
  <c r="G2018" i="14"/>
  <c r="G1280" i="14"/>
  <c r="G1313" i="14"/>
  <c r="H1502" i="14"/>
  <c r="G1301" i="14"/>
  <c r="H1514" i="14"/>
  <c r="G1154" i="14"/>
  <c r="D1847" i="14"/>
  <c r="G1081" i="14"/>
  <c r="H1751" i="14"/>
  <c r="G1910" i="14"/>
  <c r="H1705" i="14"/>
  <c r="D1249" i="14"/>
  <c r="H1651" i="14"/>
  <c r="H1785" i="14"/>
  <c r="D1225" i="14"/>
  <c r="H1663" i="14"/>
  <c r="G1166" i="14"/>
  <c r="G1454" i="14"/>
  <c r="H1288" i="14"/>
  <c r="G1330" i="14"/>
  <c r="D1934" i="14"/>
  <c r="H1566" i="14"/>
  <c r="H1200" i="14"/>
  <c r="G1854" i="14"/>
  <c r="G1293" i="14"/>
  <c r="D1334" i="14"/>
  <c r="D1917" i="14"/>
  <c r="D1328" i="14"/>
  <c r="D1533" i="14"/>
  <c r="G1234" i="14"/>
  <c r="G1885" i="14"/>
  <c r="G1538" i="14"/>
  <c r="D1159" i="14"/>
  <c r="H1429" i="14"/>
  <c r="H2055" i="14"/>
  <c r="D1782" i="14"/>
  <c r="H1492" i="14"/>
  <c r="D1776" i="14"/>
  <c r="H1135" i="14"/>
  <c r="D1412" i="14"/>
  <c r="G1326" i="14"/>
  <c r="D1870" i="14"/>
  <c r="H1715" i="14"/>
  <c r="D1864" i="14"/>
  <c r="H1727" i="14"/>
  <c r="G1726" i="14"/>
  <c r="D1209" i="14"/>
  <c r="H1906" i="14"/>
  <c r="D1942" i="14"/>
  <c r="H1571" i="14"/>
  <c r="G1643" i="14"/>
  <c r="D1936" i="14"/>
  <c r="D1885" i="14"/>
  <c r="H1583" i="14"/>
  <c r="G1631" i="14"/>
  <c r="D1341" i="14"/>
  <c r="G1735" i="14"/>
  <c r="H1972" i="14"/>
  <c r="G1252" i="14"/>
  <c r="H1984" i="14"/>
  <c r="G1240" i="14"/>
  <c r="D1241" i="14"/>
  <c r="H1655" i="14"/>
  <c r="G1526" i="14"/>
  <c r="H1085" i="14"/>
  <c r="H1441" i="14"/>
  <c r="H1421" i="14"/>
  <c r="D1845" i="14"/>
  <c r="G1332" i="14"/>
  <c r="H1373" i="14"/>
  <c r="D1797" i="14"/>
  <c r="G1320" i="14"/>
  <c r="H1137" i="14"/>
  <c r="D1700" i="14"/>
  <c r="H1896" i="14"/>
  <c r="G1902" i="14"/>
  <c r="D1972" i="14"/>
  <c r="H1352" i="14"/>
  <c r="H1730" i="14"/>
  <c r="G1108" i="14"/>
  <c r="G1185" i="14"/>
  <c r="H1630" i="14"/>
  <c r="G1173" i="14"/>
  <c r="H1642" i="14"/>
  <c r="D1988" i="14"/>
  <c r="H1954" i="14"/>
  <c r="H1154" i="14"/>
  <c r="G1505" i="14"/>
  <c r="H1100" i="14"/>
  <c r="G1415" i="14"/>
  <c r="D1867" i="14"/>
  <c r="D1855" i="14"/>
  <c r="D1911" i="14"/>
  <c r="G2007" i="14"/>
  <c r="D1177" i="14"/>
  <c r="G1654" i="14"/>
  <c r="G1718" i="14"/>
  <c r="H1331" i="14"/>
  <c r="D1353" i="14"/>
  <c r="D1977" i="14"/>
  <c r="H1769" i="14"/>
  <c r="D1281" i="14"/>
  <c r="H1379" i="14"/>
  <c r="H1849" i="14"/>
  <c r="D1257" i="14"/>
  <c r="H1882" i="14"/>
  <c r="D1573" i="14"/>
  <c r="H1082" i="14"/>
  <c r="D1300" i="14"/>
  <c r="H1170" i="14"/>
  <c r="G2011" i="14"/>
  <c r="G1999" i="14"/>
  <c r="D1500" i="14"/>
  <c r="G1777" i="14"/>
  <c r="G1998" i="14"/>
  <c r="D2020" i="14"/>
  <c r="G1181" i="14"/>
  <c r="H1634" i="14"/>
  <c r="G1725" i="14"/>
  <c r="H1112" i="14"/>
  <c r="D1804" i="14"/>
  <c r="D1083" i="14"/>
  <c r="G1435" i="14"/>
  <c r="G1423" i="14"/>
  <c r="H1301" i="14"/>
  <c r="H1783" i="14"/>
  <c r="G2038" i="14"/>
  <c r="H1239" i="14"/>
  <c r="H1697" i="14"/>
  <c r="D2013" i="14"/>
  <c r="G1354" i="14"/>
  <c r="D1333" i="14"/>
  <c r="G1204" i="14"/>
  <c r="G1338" i="14"/>
  <c r="D1285" i="14"/>
  <c r="G1192" i="14"/>
  <c r="G1629" i="14"/>
  <c r="G1362" i="14"/>
  <c r="G1917" i="14"/>
  <c r="D1531" i="14"/>
  <c r="G1627" i="14"/>
  <c r="D1718" i="14"/>
  <c r="H1876" i="14"/>
  <c r="D1712" i="14"/>
  <c r="D1636" i="14"/>
  <c r="D1317" i="14"/>
  <c r="H1128" i="14"/>
  <c r="G1774" i="14"/>
  <c r="D1268" i="14"/>
  <c r="D1305" i="14"/>
  <c r="H1858" i="14"/>
  <c r="H1298" i="14"/>
  <c r="H1267" i="14"/>
  <c r="G1947" i="14"/>
  <c r="H1279" i="14"/>
  <c r="G1935" i="14"/>
  <c r="H1271" i="14"/>
  <c r="G1943" i="14"/>
  <c r="D1716" i="14"/>
  <c r="D1957" i="14"/>
  <c r="H2007" i="14"/>
  <c r="G1207" i="14"/>
  <c r="H1685" i="14"/>
  <c r="H1688" i="14"/>
  <c r="D1211" i="14"/>
  <c r="H1508" i="14"/>
  <c r="G1716" i="14"/>
  <c r="G1446" i="14"/>
  <c r="D1199" i="14"/>
  <c r="H1520" i="14"/>
  <c r="G1704" i="14"/>
  <c r="H1585" i="14"/>
  <c r="D1655" i="14"/>
  <c r="H1800" i="14"/>
  <c r="H1959" i="14"/>
  <c r="H1400" i="14"/>
  <c r="H1091" i="14"/>
  <c r="D1355" i="14"/>
  <c r="H1364" i="14"/>
  <c r="G1860" i="14"/>
  <c r="H1337" i="14"/>
  <c r="D1343" i="14"/>
  <c r="H1376" i="14"/>
  <c r="G1848" i="14"/>
  <c r="G1392" i="14"/>
  <c r="G1783" i="14"/>
  <c r="G1645" i="14"/>
  <c r="D1787" i="14"/>
  <c r="D1775" i="14"/>
  <c r="H1141" i="14"/>
  <c r="H1748" i="14"/>
  <c r="G1476" i="14"/>
  <c r="H1797" i="14"/>
  <c r="G1693" i="14"/>
  <c r="G1303" i="14"/>
  <c r="D1495" i="14"/>
  <c r="G1847" i="14"/>
  <c r="G1383" i="14"/>
  <c r="D1851" i="14"/>
  <c r="D1839" i="14"/>
  <c r="G2034" i="14"/>
  <c r="D2009" i="14"/>
  <c r="G1120" i="14"/>
  <c r="D1741" i="14"/>
  <c r="G1616" i="14"/>
  <c r="G1566" i="14"/>
  <c r="H1176" i="14"/>
  <c r="D1262" i="14"/>
  <c r="G1972" i="14"/>
  <c r="D1256" i="14"/>
  <c r="G1960" i="14"/>
  <c r="G1410" i="14"/>
  <c r="H1829" i="14"/>
  <c r="H1687" i="14"/>
  <c r="D1145" i="14"/>
  <c r="D1889" i="14"/>
  <c r="H2041" i="14"/>
  <c r="H1599" i="14"/>
  <c r="G1970" i="14"/>
  <c r="H1287" i="14"/>
  <c r="D1974" i="14"/>
  <c r="H1121" i="14"/>
  <c r="H1742" i="14"/>
  <c r="D1968" i="14"/>
  <c r="H1127" i="14"/>
  <c r="H1754" i="14"/>
  <c r="D1092" i="14"/>
  <c r="G1904" i="14"/>
  <c r="D1492" i="14"/>
  <c r="H1956" i="14"/>
  <c r="D1544" i="14"/>
  <c r="D1692" i="14"/>
  <c r="D1227" i="14"/>
  <c r="G1969" i="14"/>
  <c r="G1323" i="14"/>
  <c r="D1215" i="14"/>
  <c r="H1248" i="14"/>
  <c r="G1976" i="14"/>
  <c r="G1520" i="14"/>
  <c r="G1911" i="14"/>
  <c r="G1901" i="14"/>
  <c r="D1915" i="14"/>
  <c r="D1903" i="14"/>
  <c r="G1602" i="14"/>
  <c r="H2040" i="14"/>
  <c r="H1684" i="14"/>
  <c r="G1540" i="14"/>
  <c r="H1696" i="14"/>
  <c r="G1528" i="14"/>
  <c r="D1945" i="14"/>
  <c r="G1140" i="14"/>
  <c r="D1253" i="14"/>
  <c r="H1187" i="14"/>
  <c r="H1199" i="14"/>
  <c r="H1365" i="14"/>
  <c r="G1613" i="14"/>
  <c r="D1771" i="14"/>
  <c r="G1233" i="14"/>
  <c r="D1759" i="14"/>
  <c r="G1221" i="14"/>
  <c r="H2033" i="14"/>
  <c r="D1252" i="14"/>
  <c r="G1712" i="14"/>
  <c r="H1233" i="14"/>
  <c r="D1524" i="14"/>
  <c r="D1710" i="14"/>
  <c r="H1892" i="14"/>
  <c r="D1704" i="14"/>
  <c r="H1904" i="14"/>
  <c r="G1565" i="14"/>
  <c r="G1175" i="14"/>
  <c r="D1367" i="14"/>
  <c r="G1719" i="14"/>
  <c r="G1085" i="14"/>
  <c r="D1723" i="14"/>
  <c r="D1711" i="14"/>
  <c r="G2063" i="14"/>
  <c r="D1113" i="14"/>
  <c r="G1782" i="14"/>
  <c r="D1189" i="14"/>
  <c r="H1569" i="14"/>
  <c r="H1165" i="14"/>
  <c r="G1524" i="14"/>
  <c r="D1541" i="14"/>
  <c r="D1357" i="14"/>
  <c r="G1802" i="14"/>
  <c r="D2049" i="14"/>
  <c r="G1125" i="14"/>
  <c r="G1786" i="14"/>
  <c r="D2025" i="14"/>
  <c r="G1122" i="14"/>
  <c r="H1329" i="14"/>
  <c r="G1710" i="14"/>
  <c r="H1544" i="14"/>
  <c r="G1634" i="14"/>
  <c r="D2062" i="14"/>
  <c r="H1822" i="14"/>
  <c r="H1456" i="14"/>
  <c r="H1144" i="14"/>
  <c r="D1270" i="14"/>
  <c r="G1988" i="14"/>
  <c r="D1264" i="14"/>
  <c r="H1903" i="14"/>
  <c r="G1311" i="14"/>
  <c r="H1445" i="14"/>
  <c r="H1192" i="14"/>
  <c r="G1296" i="14"/>
  <c r="D1612" i="14"/>
  <c r="D1102" i="14"/>
  <c r="G1889" i="14"/>
  <c r="D1096" i="14"/>
  <c r="G1877" i="14"/>
  <c r="H2049" i="14"/>
  <c r="D1191" i="14"/>
  <c r="G1696" i="14"/>
  <c r="D1558" i="14"/>
  <c r="H1294" i="14"/>
  <c r="D1552" i="14"/>
  <c r="D1719" i="14"/>
  <c r="G1815" i="14"/>
  <c r="H1779" i="14"/>
  <c r="G1958" i="14"/>
  <c r="H1791" i="14"/>
  <c r="D1188" i="14"/>
  <c r="D1485" i="14"/>
  <c r="G1584" i="14"/>
  <c r="H1361" i="14"/>
  <c r="D1460" i="14"/>
  <c r="G1810" i="14"/>
  <c r="G2029" i="14"/>
  <c r="D1646" i="14"/>
  <c r="H2020" i="14"/>
  <c r="D1640" i="14"/>
  <c r="H2032" i="14"/>
  <c r="H1237" i="14"/>
  <c r="G1136" i="14"/>
  <c r="D1108" i="14"/>
  <c r="G1936" i="14"/>
  <c r="G1101" i="14"/>
  <c r="D1821" i="14"/>
  <c r="D1416" i="14"/>
  <c r="G2024" i="14"/>
  <c r="D1308" i="14"/>
  <c r="G1585" i="14"/>
  <c r="G1195" i="14"/>
  <c r="H1589" i="14"/>
  <c r="H1143" i="14"/>
  <c r="H1669" i="14"/>
  <c r="D1780" i="14"/>
  <c r="H1879" i="14"/>
  <c r="G1335" i="14"/>
  <c r="H1432" i="14"/>
  <c r="G1206" i="14"/>
  <c r="D1339" i="14"/>
  <c r="H1380" i="14"/>
  <c r="G1844" i="14"/>
  <c r="H1273" i="14"/>
  <c r="D1327" i="14"/>
  <c r="H1392" i="14"/>
  <c r="G1832" i="14"/>
  <c r="H1905" i="14"/>
  <c r="D1335" i="14"/>
  <c r="H1384" i="14"/>
  <c r="G1840" i="14"/>
  <c r="H1193" i="14"/>
  <c r="G1282" i="14"/>
  <c r="G1128" i="14"/>
  <c r="D1420" i="14"/>
  <c r="H1933" i="14"/>
  <c r="G1697" i="14"/>
  <c r="H1885" i="14"/>
  <c r="G1685" i="14"/>
  <c r="H2053" i="14"/>
  <c r="G1239" i="14"/>
  <c r="D1364" i="14"/>
  <c r="H1989" i="14"/>
  <c r="G1255" i="14"/>
  <c r="D1564" i="14"/>
  <c r="G1841" i="14"/>
  <c r="G1829" i="14"/>
  <c r="G1934" i="14"/>
  <c r="D1625" i="14"/>
  <c r="H1698" i="14"/>
  <c r="G1314" i="14"/>
  <c r="G1661" i="14"/>
  <c r="G1182" i="14"/>
  <c r="G1371" i="14"/>
  <c r="G1359" i="14"/>
  <c r="D1180" i="14"/>
  <c r="G2061" i="14"/>
  <c r="G1290" i="14"/>
  <c r="D1995" i="14"/>
  <c r="G1457" i="14"/>
  <c r="G1274" i="14"/>
  <c r="D1983" i="14"/>
  <c r="H1911" i="14"/>
  <c r="H1573" i="14"/>
  <c r="D1817" i="14"/>
  <c r="H1367" i="14"/>
  <c r="D1101" i="14"/>
  <c r="G1866" i="14"/>
  <c r="D2017" i="14"/>
  <c r="G1121" i="14"/>
  <c r="G1850" i="14"/>
  <c r="D1993" i="14"/>
  <c r="G1118" i="14"/>
  <c r="H1393" i="14"/>
  <c r="D1444" i="14"/>
  <c r="G1390" i="14"/>
  <c r="D1844" i="14"/>
  <c r="H1608" i="14"/>
  <c r="H1381" i="14"/>
  <c r="H1575" i="14"/>
  <c r="D1902" i="14"/>
  <c r="H1252" i="14"/>
  <c r="H1886" i="14"/>
  <c r="D1896" i="14"/>
  <c r="H1264" i="14"/>
  <c r="H1898" i="14"/>
  <c r="D1476" i="14"/>
  <c r="D1876" i="14"/>
  <c r="G1152" i="14"/>
  <c r="H1188" i="14"/>
  <c r="D1928" i="14"/>
  <c r="H1578" i="14"/>
  <c r="H1778" i="14"/>
  <c r="D1611" i="14"/>
  <c r="G1707" i="14"/>
  <c r="D1599" i="14"/>
  <c r="G1695" i="14"/>
  <c r="D1399" i="14"/>
  <c r="G1495" i="14"/>
  <c r="D1687" i="14"/>
  <c r="G1767" i="14"/>
  <c r="H1891" i="14"/>
  <c r="G1382" i="14"/>
  <c r="G1957" i="14"/>
  <c r="G2062" i="14"/>
  <c r="D1881" i="14"/>
  <c r="H1570" i="14"/>
  <c r="G1789" i="14"/>
  <c r="G1438" i="14"/>
  <c r="D2029" i="14"/>
  <c r="G1499" i="14"/>
  <c r="D1933" i="14"/>
  <c r="G1487" i="14"/>
  <c r="D1244" i="14"/>
  <c r="H1229" i="14"/>
  <c r="D2059" i="14"/>
  <c r="G1521" i="14"/>
  <c r="H1181" i="14"/>
  <c r="D2047" i="14"/>
  <c r="G1509" i="14"/>
  <c r="D1796" i="14"/>
  <c r="H1538" i="14"/>
  <c r="H1138" i="14"/>
  <c r="G2027" i="14"/>
  <c r="G2015" i="14"/>
  <c r="D1980" i="14"/>
  <c r="H1479" i="14"/>
  <c r="D1286" i="14"/>
  <c r="D1345" i="14"/>
  <c r="H1838" i="14"/>
  <c r="D1280" i="14"/>
  <c r="D1321" i="14"/>
  <c r="G1742" i="14"/>
  <c r="D1892" i="14"/>
  <c r="H1512" i="14"/>
  <c r="H1890" i="14"/>
  <c r="G1469" i="14"/>
  <c r="H1346" i="14"/>
  <c r="D1292" i="14"/>
  <c r="G1569" i="14"/>
  <c r="G1179" i="14"/>
  <c r="G1557" i="14"/>
  <c r="G1167" i="14"/>
  <c r="H2039" i="14"/>
  <c r="D1561" i="14"/>
  <c r="H1495" i="14"/>
  <c r="H1321" i="14"/>
  <c r="D1637" i="14"/>
  <c r="D1761" i="14"/>
  <c r="H1139" i="14"/>
  <c r="D1737" i="14"/>
  <c r="H1151" i="14"/>
  <c r="G1678" i="14"/>
  <c r="H1576" i="14"/>
  <c r="G1405" i="14"/>
  <c r="D1228" i="14"/>
  <c r="H1095" i="14"/>
  <c r="G1493" i="14"/>
  <c r="H1349" i="14"/>
  <c r="G1805" i="14"/>
  <c r="D1462" i="14"/>
  <c r="D1456" i="14"/>
  <c r="H1845" i="14"/>
  <c r="G1762" i="14"/>
  <c r="H1943" i="14"/>
  <c r="D1377" i="14"/>
  <c r="G1190" i="14"/>
  <c r="H1343" i="14"/>
  <c r="H1253" i="14"/>
  <c r="H1543" i="14"/>
  <c r="D2038" i="14"/>
  <c r="H1236" i="14"/>
  <c r="H1870" i="14"/>
  <c r="D2032" i="14"/>
  <c r="H2016" i="14"/>
  <c r="G1208" i="14"/>
  <c r="D1668" i="14"/>
  <c r="G1838" i="14"/>
  <c r="D1433" i="14"/>
  <c r="H1794" i="14"/>
  <c r="D1125" i="14"/>
  <c r="H1203" i="14"/>
  <c r="H1215" i="14"/>
  <c r="H1394" i="14"/>
  <c r="H1315" i="14"/>
  <c r="G1899" i="14"/>
  <c r="D2064" i="14"/>
  <c r="G1522" i="14"/>
  <c r="D1753" i="14"/>
  <c r="H1399" i="14"/>
  <c r="G1698" i="14"/>
  <c r="D1445" i="14"/>
  <c r="G1488" i="14"/>
  <c r="G1310" i="14"/>
  <c r="H1944" i="14"/>
  <c r="D1198" i="14"/>
  <c r="D1517" i="14"/>
  <c r="G1588" i="14"/>
  <c r="D1192" i="14"/>
  <c r="D1421" i="14"/>
  <c r="G1576" i="14"/>
  <c r="G1614" i="14"/>
  <c r="D1828" i="14"/>
  <c r="H1640" i="14"/>
  <c r="H2018" i="14"/>
  <c r="G1341" i="14"/>
  <c r="H1474" i="14"/>
  <c r="D1164" i="14"/>
  <c r="G2048" i="14"/>
  <c r="G1441" i="14"/>
  <c r="H1126" i="14"/>
  <c r="G1429" i="14"/>
  <c r="H1132" i="14"/>
  <c r="H1442" i="14"/>
  <c r="D1431" i="14"/>
  <c r="G1527" i="14"/>
  <c r="H1938" i="14"/>
  <c r="D1519" i="14"/>
  <c r="G1615" i="14"/>
  <c r="D1831" i="14"/>
  <c r="G1927" i="14"/>
  <c r="H2019" i="14"/>
  <c r="H1777" i="14"/>
  <c r="H1701" i="14"/>
  <c r="D1463" i="14"/>
  <c r="H1256" i="14"/>
  <c r="G1968" i="14"/>
  <c r="G1794" i="14"/>
  <c r="H1992" i="14"/>
  <c r="G1232" i="14"/>
  <c r="D1548" i="14"/>
  <c r="G1825" i="14"/>
  <c r="G1813" i="14"/>
  <c r="G1358" i="14"/>
  <c r="G1821" i="14"/>
  <c r="H1617" i="14"/>
  <c r="G1138" i="14"/>
  <c r="D1623" i="14"/>
  <c r="H1115" i="14"/>
  <c r="G1536" i="14"/>
  <c r="D1518" i="14"/>
  <c r="H1374" i="14"/>
  <c r="D1512" i="14"/>
  <c r="H1386" i="14"/>
  <c r="G1266" i="14"/>
  <c r="H1099" i="14"/>
  <c r="G1424" i="14"/>
  <c r="D1740" i="14"/>
  <c r="D1166" i="14"/>
  <c r="G2017" i="14"/>
  <c r="D1160" i="14"/>
  <c r="G2005" i="14"/>
  <c r="H1921" i="14"/>
  <c r="D1319" i="14"/>
  <c r="G1824" i="14"/>
  <c r="D1590" i="14"/>
  <c r="H1230" i="14"/>
  <c r="D1584" i="14"/>
  <c r="H1242" i="14"/>
  <c r="H1832" i="14"/>
  <c r="D2004" i="14"/>
  <c r="H1431" i="14"/>
  <c r="G1186" i="14"/>
  <c r="G1249" i="14"/>
  <c r="G1237" i="14"/>
  <c r="G1302" i="14"/>
  <c r="G1116" i="14"/>
  <c r="D1398" i="14"/>
  <c r="D1793" i="14"/>
  <c r="H1614" i="14"/>
  <c r="D1392" i="14"/>
  <c r="G1506" i="14"/>
  <c r="G1456" i="14"/>
  <c r="H1745" i="14"/>
  <c r="D1396" i="14"/>
  <c r="G2000" i="14"/>
  <c r="H1477" i="14"/>
  <c r="G1773" i="14"/>
  <c r="D1454" i="14"/>
  <c r="D1448" i="14"/>
  <c r="G1309" i="14"/>
  <c r="H1506" i="14"/>
  <c r="H1157" i="14"/>
  <c r="D1111" i="14"/>
  <c r="G1853" i="14"/>
  <c r="G1463" i="14"/>
  <c r="D1932" i="14"/>
  <c r="D1467" i="14"/>
  <c r="G1563" i="14"/>
  <c r="D1455" i="14"/>
  <c r="G1551" i="14"/>
  <c r="B1080" i="14"/>
  <c r="H1961" i="14"/>
  <c r="H1587" i="14"/>
  <c r="D1865" i="14"/>
  <c r="G1814" i="14"/>
  <c r="D1465" i="14"/>
  <c r="D1537" i="14"/>
  <c r="H1507" i="14"/>
  <c r="D1513" i="14"/>
  <c r="H1519" i="14"/>
  <c r="H1841" i="14"/>
  <c r="D1997" i="14"/>
  <c r="H1553" i="14"/>
  <c r="H2056" i="14"/>
  <c r="D1550" i="14"/>
  <c r="H1968" i="14"/>
  <c r="H1153" i="14"/>
  <c r="H1656" i="14"/>
  <c r="D1142" i="14"/>
  <c r="G1732" i="14"/>
  <c r="D1136" i="14"/>
  <c r="D1349" i="14"/>
  <c r="H1124" i="14"/>
  <c r="H1877" i="14"/>
  <c r="H1704" i="14"/>
  <c r="H1303" i="14"/>
  <c r="D1100" i="14"/>
  <c r="G1610" i="14"/>
  <c r="G1377" i="14"/>
  <c r="G1594" i="14"/>
  <c r="G1365" i="14"/>
  <c r="G1184" i="14"/>
  <c r="D1430" i="14"/>
  <c r="D1921" i="14"/>
  <c r="H1550" i="14"/>
  <c r="D1424" i="14"/>
  <c r="D1897" i="14"/>
  <c r="H1562" i="14"/>
  <c r="H1847" i="14"/>
  <c r="G1134" i="14"/>
  <c r="G1150" i="14"/>
  <c r="D1798" i="14"/>
  <c r="H1859" i="14"/>
  <c r="G1355" i="14"/>
  <c r="D1792" i="14"/>
  <c r="H1871" i="14"/>
  <c r="G1490" i="14"/>
  <c r="D1207" i="14"/>
  <c r="G1559" i="14"/>
  <c r="H1461" i="14"/>
  <c r="D2007" i="14"/>
  <c r="D1799" i="14"/>
  <c r="G1895" i="14"/>
  <c r="H2035" i="14"/>
  <c r="H2047" i="14"/>
  <c r="H1749" i="14"/>
  <c r="D1829" i="14"/>
  <c r="G1328" i="14"/>
  <c r="H1873" i="14"/>
  <c r="D1332" i="14"/>
  <c r="G1872" i="14"/>
  <c r="G1517" i="14"/>
  <c r="D1390" i="14"/>
  <c r="D1384" i="14"/>
  <c r="G1442" i="14"/>
  <c r="H1463" i="14"/>
  <c r="H1175" i="14"/>
  <c r="D1589" i="14"/>
  <c r="H1084" i="14"/>
  <c r="G1512" i="14"/>
  <c r="G1312" i="14"/>
  <c r="G1329" i="14"/>
  <c r="H1486" i="14"/>
  <c r="G1317" i="14"/>
  <c r="H1498" i="14"/>
  <c r="D1604" i="14"/>
  <c r="D1748" i="14"/>
  <c r="H1922" i="14"/>
  <c r="H1447" i="14"/>
  <c r="H1444" i="14"/>
  <c r="D2056" i="14"/>
  <c r="H1834" i="14"/>
  <c r="D1948" i="14"/>
  <c r="H1522" i="14"/>
  <c r="D1483" i="14"/>
  <c r="G1835" i="14"/>
  <c r="D1471" i="14"/>
  <c r="G1189" i="14"/>
  <c r="H1713" i="14"/>
  <c r="D1527" i="14"/>
  <c r="G2032" i="14"/>
  <c r="G2050" i="14"/>
  <c r="H1928" i="14"/>
  <c r="G1954" i="14"/>
  <c r="H1528" i="14"/>
  <c r="G1590" i="14"/>
  <c r="D1291" i="14"/>
  <c r="H1428" i="14"/>
  <c r="G1796" i="14"/>
  <c r="G1098" i="14"/>
  <c r="H1521" i="14"/>
  <c r="D1380" i="14"/>
  <c r="G1262" i="14"/>
  <c r="D1652" i="14"/>
  <c r="H1736" i="14"/>
  <c r="G1986" i="14"/>
  <c r="H1831" i="14"/>
  <c r="D1838" i="14"/>
  <c r="H1636" i="14"/>
  <c r="H2014" i="14"/>
  <c r="D1832" i="14"/>
  <c r="H1648" i="14"/>
  <c r="H2026" i="14"/>
  <c r="H1285" i="14"/>
  <c r="G1431" i="14"/>
  <c r="H1973" i="14"/>
  <c r="D1879" i="14"/>
  <c r="G1975" i="14"/>
  <c r="D1543" i="14"/>
  <c r="G1639" i="14"/>
  <c r="D1979" i="14"/>
  <c r="D1967" i="14"/>
  <c r="H1809" i="14"/>
  <c r="G1694" i="14"/>
  <c r="D1422" i="14"/>
  <c r="G2036" i="14"/>
  <c r="D1629" i="14"/>
  <c r="H1409" i="14"/>
  <c r="H1485" i="14"/>
  <c r="D1909" i="14"/>
  <c r="G1348" i="14"/>
  <c r="H1437" i="14"/>
  <c r="G1573" i="14"/>
  <c r="G1183" i="14"/>
  <c r="D1860" i="14"/>
  <c r="H1410" i="14"/>
  <c r="G1664" i="14"/>
  <c r="G1761" i="14"/>
  <c r="H1322" i="14"/>
  <c r="G1159" i="14"/>
  <c r="D1739" i="14"/>
  <c r="D1727" i="14"/>
  <c r="G1445" i="14"/>
  <c r="H1201" i="14"/>
  <c r="D2039" i="14"/>
  <c r="H1416" i="14"/>
  <c r="G1142" i="14"/>
  <c r="H1191" i="14"/>
  <c r="D1633" i="14"/>
  <c r="H1694" i="14"/>
  <c r="D1609" i="14"/>
  <c r="H1706" i="14"/>
  <c r="G1458" i="14"/>
  <c r="G1165" i="14"/>
  <c r="H2025" i="14"/>
  <c r="D1547" i="14"/>
  <c r="H1172" i="14"/>
  <c r="G2052" i="14"/>
  <c r="D1535" i="14"/>
  <c r="H1184" i="14"/>
  <c r="G2040" i="14"/>
  <c r="H1541" i="14"/>
  <c r="D1468" i="14"/>
  <c r="G1745" i="14"/>
  <c r="G1733" i="14"/>
  <c r="D1975" i="14"/>
  <c r="D1481" i="14"/>
  <c r="D1277" i="14"/>
  <c r="H1864" i="14"/>
  <c r="D1774" i="14"/>
  <c r="H1776" i="14"/>
  <c r="D1620" i="14"/>
  <c r="D1672" i="14"/>
  <c r="D1099" i="14"/>
  <c r="D1175" i="14"/>
  <c r="D1263" i="14"/>
  <c r="G1701" i="14"/>
  <c r="G1920" i="14"/>
  <c r="H1194" i="14"/>
  <c r="D1803" i="14"/>
  <c r="D1279" i="14"/>
  <c r="G1784" i="14"/>
  <c r="H1672" i="14"/>
  <c r="H1272" i="14"/>
  <c r="G1912" i="14"/>
  <c r="D2027" i="14"/>
  <c r="D2015" i="14"/>
  <c r="G2008" i="14"/>
  <c r="H1377" i="14"/>
  <c r="D1973" i="14"/>
  <c r="D1925" i="14"/>
  <c r="D1338" i="14"/>
  <c r="D1553" i="14"/>
  <c r="H1681" i="14"/>
  <c r="D1486" i="14"/>
  <c r="H1281" i="14"/>
  <c r="H1605" i="14"/>
  <c r="G1351" i="14"/>
  <c r="G1117" i="14"/>
  <c r="G1114" i="14"/>
  <c r="D1854" i="14"/>
  <c r="D1848" i="14"/>
  <c r="G1386" i="14"/>
  <c r="D1939" i="14"/>
  <c r="G1401" i="14"/>
  <c r="H1960" i="14"/>
  <c r="H1103" i="14"/>
  <c r="D1366" i="14"/>
  <c r="D1360" i="14"/>
  <c r="H1857" i="14"/>
  <c r="D1383" i="14"/>
  <c r="G1888" i="14"/>
  <c r="D1606" i="14"/>
  <c r="H1198" i="14"/>
  <c r="D1600" i="14"/>
  <c r="H1210" i="14"/>
  <c r="G1344" i="14"/>
  <c r="H1470" i="14"/>
  <c r="H1482" i="14"/>
  <c r="H1996" i="14"/>
  <c r="G2045" i="14"/>
  <c r="G1755" i="14"/>
  <c r="D1140" i="14"/>
  <c r="G1261" i="14"/>
  <c r="D1320" i="14"/>
  <c r="D1956" i="14"/>
  <c r="G1751" i="14"/>
  <c r="H2065" i="14"/>
  <c r="G1780" i="14"/>
  <c r="H1997" i="14"/>
  <c r="H1893" i="14"/>
  <c r="H1328" i="14"/>
  <c r="D1302" i="14"/>
  <c r="D1296" i="14"/>
  <c r="H1839" i="14"/>
  <c r="H1793" i="14"/>
  <c r="D1093" i="14"/>
  <c r="D2021" i="14"/>
  <c r="G1083" i="14"/>
  <c r="G1091" i="14"/>
  <c r="H1581" i="14"/>
  <c r="G1593" i="14"/>
  <c r="H1335" i="14"/>
  <c r="H1816" i="14"/>
  <c r="G1640" i="14"/>
  <c r="G1278" i="14"/>
  <c r="D1830" i="14"/>
  <c r="D1389" i="14"/>
  <c r="H1795" i="14"/>
  <c r="G1419" i="14"/>
  <c r="D1824" i="14"/>
  <c r="D1293" i="14"/>
  <c r="H1807" i="14"/>
  <c r="G1407" i="14"/>
  <c r="G1959" i="14"/>
  <c r="D1171" i="14"/>
  <c r="H1548" i="14"/>
  <c r="D1284" i="14"/>
  <c r="D1736" i="14"/>
  <c r="G1515" i="14"/>
  <c r="G1503" i="14"/>
  <c r="D1852" i="14"/>
  <c r="H1735" i="14"/>
  <c r="D1222" i="14"/>
  <c r="D1089" i="14"/>
  <c r="H1966" i="14"/>
  <c r="D1216" i="14"/>
  <c r="H1978" i="14"/>
  <c r="D1529" i="14"/>
  <c r="H1491" i="14"/>
  <c r="H1503" i="14"/>
  <c r="D1914" i="14"/>
  <c r="D1181" i="14"/>
  <c r="H1627" i="14"/>
  <c r="G1633" i="14"/>
  <c r="H1265" i="14"/>
  <c r="G1518" i="14"/>
  <c r="G1842" i="14"/>
  <c r="H1758" i="14"/>
  <c r="G2002" i="14"/>
  <c r="D2055" i="14"/>
  <c r="D1678" i="14"/>
  <c r="H1912" i="14"/>
  <c r="D1200" i="14"/>
  <c r="G1373" i="14"/>
  <c r="D1275" i="14"/>
  <c r="G1084" i="14"/>
  <c r="D1648" i="14"/>
  <c r="D1156" i="14"/>
  <c r="D1608" i="14"/>
  <c r="G1387" i="14"/>
  <c r="G1765" i="14"/>
  <c r="D1783" i="14"/>
  <c r="D1097" i="14"/>
  <c r="H1593" i="14"/>
  <c r="D1414" i="14"/>
  <c r="D1408" i="14"/>
  <c r="G1599" i="14"/>
  <c r="H1481" i="14"/>
  <c r="D1363" i="14"/>
  <c r="H1356" i="14"/>
  <c r="G1248" i="14"/>
  <c r="D1446" i="14"/>
  <c r="D1985" i="14"/>
  <c r="H1518" i="14"/>
  <c r="D1440" i="14"/>
  <c r="D1961" i="14"/>
  <c r="H1530" i="14"/>
  <c r="G1837" i="14"/>
  <c r="G1412" i="14"/>
  <c r="G1400" i="14"/>
  <c r="D1084" i="14"/>
  <c r="G1869" i="14"/>
  <c r="G1674" i="14"/>
  <c r="D1899" i="14"/>
  <c r="G1361" i="14"/>
  <c r="G1658" i="14"/>
  <c r="D1887" i="14"/>
  <c r="G1349" i="14"/>
  <c r="H1604" i="14"/>
  <c r="H1616" i="14"/>
  <c r="D1530" i="14"/>
  <c r="G1582" i="14"/>
  <c r="D1998" i="14"/>
  <c r="G1982" i="14"/>
  <c r="D1469" i="14"/>
  <c r="D1213" i="14"/>
  <c r="G1682" i="14"/>
  <c r="H1378" i="14"/>
  <c r="G1591" i="14"/>
  <c r="G1679" i="14"/>
  <c r="H1185" i="14"/>
  <c r="G1460" i="14"/>
  <c r="D1671" i="14"/>
  <c r="H1998" i="14"/>
  <c r="H1560" i="14"/>
  <c r="D1436" i="14"/>
  <c r="H1118" i="14"/>
  <c r="G1494" i="14"/>
  <c r="D1229" i="14"/>
  <c r="G1908" i="14"/>
  <c r="G1284" i="14"/>
  <c r="H1952" i="14"/>
  <c r="G1202" i="14"/>
  <c r="H1897" i="14"/>
  <c r="H1204" i="14"/>
  <c r="H1977" i="14"/>
  <c r="H1216" i="14"/>
  <c r="H1338" i="14"/>
  <c r="H1767" i="14"/>
  <c r="H1982" i="14"/>
  <c r="H1994" i="14"/>
  <c r="H2031" i="14"/>
  <c r="E1080" i="14"/>
  <c r="D1080" i="14" s="1"/>
  <c r="G1268" i="14"/>
  <c r="D1765" i="14"/>
  <c r="H1092" i="14"/>
  <c r="D1769" i="14"/>
  <c r="H1626" i="14"/>
  <c r="G1746" i="14"/>
  <c r="D1757" i="14"/>
  <c r="G1623" i="14"/>
  <c r="D1556" i="14"/>
  <c r="H1781" i="14"/>
  <c r="G2023" i="14"/>
  <c r="H1828" i="14"/>
  <c r="H1840" i="14"/>
  <c r="D1756" i="14"/>
  <c r="H1927" i="14"/>
  <c r="D1174" i="14"/>
  <c r="G2033" i="14"/>
  <c r="H2062" i="14"/>
  <c r="D1168" i="14"/>
  <c r="G2021" i="14"/>
  <c r="G1298" i="14"/>
  <c r="D1110" i="14"/>
  <c r="D1104" i="14"/>
  <c r="D1127" i="14"/>
  <c r="G1632" i="14"/>
  <c r="D1542" i="14"/>
  <c r="H1326" i="14"/>
  <c r="D1536" i="14"/>
  <c r="H1623" i="14"/>
  <c r="D1505" i="14"/>
  <c r="H1535" i="14"/>
  <c r="H1764" i="14"/>
  <c r="G1439" i="14"/>
  <c r="G1271" i="14"/>
  <c r="G1871" i="14"/>
  <c r="G1906" i="14"/>
  <c r="D2066" i="14"/>
  <c r="G1378" i="14"/>
  <c r="G1265" i="14"/>
  <c r="H1306" i="14"/>
  <c r="H1703" i="14"/>
  <c r="D1419" i="14"/>
  <c r="G1662" i="14"/>
  <c r="H1970" i="14"/>
  <c r="D1565" i="14"/>
  <c r="G1611" i="14"/>
  <c r="D1373" i="14"/>
  <c r="D1863" i="14"/>
  <c r="H2003" i="14"/>
  <c r="H2015" i="14"/>
  <c r="D1850" i="14"/>
  <c r="D1709" i="14"/>
  <c r="H1755" i="14"/>
  <c r="D1559" i="14"/>
  <c r="D1959" i="14"/>
  <c r="H1955" i="14"/>
  <c r="H1967" i="14"/>
  <c r="G1714" i="14"/>
  <c r="G1229" i="14"/>
  <c r="D1579" i="14"/>
  <c r="H1140" i="14"/>
  <c r="D1567" i="14"/>
  <c r="H1152" i="14"/>
  <c r="G1374" i="14"/>
  <c r="D1773" i="14"/>
  <c r="D1677" i="14"/>
  <c r="D1370" i="14"/>
  <c r="D1681" i="14"/>
  <c r="G1558" i="14"/>
  <c r="D1665" i="14"/>
  <c r="D1641" i="14"/>
  <c r="H1202" i="14"/>
  <c r="H1219" i="14"/>
  <c r="G1995" i="14"/>
  <c r="H1231" i="14"/>
  <c r="G1983" i="14"/>
  <c r="D1470" i="14"/>
  <c r="D1464" i="14"/>
  <c r="D1747" i="14"/>
  <c r="G1209" i="14"/>
  <c r="G1950" i="14"/>
  <c r="D1853" i="14"/>
  <c r="H1741" i="14"/>
  <c r="H1693" i="14"/>
  <c r="D1245" i="14"/>
  <c r="D1326" i="14"/>
  <c r="H1131" i="14"/>
  <c r="G1597" i="14"/>
  <c r="G1941" i="14"/>
  <c r="D1943" i="14"/>
  <c r="D2031" i="14"/>
  <c r="H1775" i="14"/>
  <c r="D1397" i="14"/>
  <c r="H1449" i="14"/>
  <c r="D1409" i="14"/>
  <c r="D1791" i="14"/>
  <c r="G1552" i="14"/>
  <c r="G1952" i="14"/>
  <c r="H1178" i="14"/>
  <c r="H1991" i="14"/>
  <c r="H1221" i="14"/>
  <c r="D1466" i="14"/>
  <c r="D2065" i="14"/>
  <c r="D1147" i="14"/>
  <c r="G1426" i="14"/>
  <c r="G1863" i="14"/>
  <c r="H1908" i="14"/>
  <c r="G1316" i="14"/>
  <c r="H1920" i="14"/>
  <c r="G1304" i="14"/>
  <c r="H1837" i="14"/>
  <c r="G1657" i="14"/>
  <c r="D1927" i="14"/>
  <c r="H1983" i="14"/>
  <c r="D1878" i="14"/>
  <c r="D1872" i="14"/>
  <c r="H1345" i="14"/>
  <c r="D1895" i="14"/>
  <c r="D1734" i="14"/>
  <c r="D2037" i="14"/>
  <c r="H1987" i="14"/>
  <c r="G1227" i="14"/>
  <c r="D1728" i="14"/>
  <c r="D1989" i="14"/>
  <c r="H1999" i="14"/>
  <c r="G1215" i="14"/>
  <c r="H1746" i="14"/>
  <c r="G1723" i="14"/>
  <c r="G1711" i="14"/>
  <c r="H1740" i="14"/>
  <c r="G1112" i="14"/>
  <c r="H1629" i="14"/>
  <c r="G1440" i="14"/>
  <c r="H1422" i="14"/>
  <c r="H1434" i="14"/>
  <c r="D1508" i="14"/>
  <c r="D1908" i="14"/>
  <c r="H1319" i="14"/>
  <c r="D1960" i="14"/>
  <c r="D1591" i="14"/>
  <c r="H1297" i="14"/>
  <c r="D1206" i="14"/>
  <c r="D1549" i="14"/>
  <c r="H1925" i="14"/>
  <c r="G1883" i="14"/>
  <c r="D1654" i="14"/>
  <c r="G2013" i="14"/>
  <c r="D1415" i="14"/>
  <c r="D1814" i="14"/>
  <c r="D1808" i="14"/>
  <c r="H1327" i="14"/>
  <c r="H1557" i="14"/>
  <c r="H1765" i="14"/>
  <c r="H1312" i="14"/>
  <c r="G1508" i="14"/>
  <c r="G1496" i="14"/>
  <c r="D1627" i="14"/>
  <c r="D1615" i="14"/>
  <c r="D1082" i="14"/>
  <c r="G1849" i="14"/>
  <c r="G1408" i="14"/>
  <c r="H1450" i="14"/>
  <c r="D1675" i="14"/>
  <c r="D1663" i="14"/>
  <c r="G1790" i="14"/>
  <c r="D1337" i="14"/>
  <c r="H1842" i="14"/>
  <c r="D1958" i="14"/>
  <c r="H1539" i="14"/>
  <c r="G1675" i="14"/>
  <c r="D1952" i="14"/>
  <c r="H1551" i="14"/>
  <c r="G1663" i="14"/>
  <c r="G1738" i="14"/>
  <c r="G1722" i="14"/>
  <c r="H1737" i="14"/>
  <c r="D1427" i="14"/>
  <c r="H1292" i="14"/>
  <c r="G1655" i="14"/>
  <c r="D1647" i="14"/>
  <c r="G2055" i="14"/>
  <c r="H1223" i="14"/>
  <c r="D1350" i="14"/>
  <c r="D1601" i="14"/>
  <c r="H1710" i="14"/>
  <c r="D1344" i="14"/>
  <c r="D1577" i="14"/>
  <c r="H1722" i="14"/>
  <c r="H1880" i="14"/>
  <c r="G1620" i="14"/>
  <c r="G1608" i="14"/>
  <c r="D2042" i="14"/>
  <c r="H1371" i="14"/>
  <c r="H1459" i="14"/>
  <c r="D1721" i="14"/>
  <c r="H1443" i="14"/>
  <c r="H1455" i="14"/>
  <c r="G1618" i="14"/>
  <c r="D2060" i="14"/>
  <c r="G1691" i="14"/>
  <c r="H1189" i="14"/>
  <c r="H1493" i="14"/>
  <c r="D1128" i="14"/>
  <c r="D2043" i="14"/>
  <c r="H1799" i="14"/>
  <c r="D1840" i="14"/>
  <c r="H1207" i="14"/>
  <c r="G1399" i="14"/>
  <c r="D1391" i="14"/>
  <c r="G1799" i="14"/>
  <c r="G1245" i="14"/>
  <c r="D1616" i="14"/>
  <c r="D1639" i="14"/>
  <c r="D1670" i="14"/>
  <c r="D1664" i="14"/>
  <c r="G1855" i="14"/>
  <c r="D1214" i="14"/>
  <c r="D1208" i="14"/>
  <c r="D1861" i="14"/>
  <c r="G1336" i="14"/>
  <c r="G1422" i="14"/>
  <c r="H1320" i="14"/>
  <c r="G1149" i="14"/>
  <c r="D1484" i="14"/>
  <c r="H1310" i="14"/>
  <c r="G1749" i="14"/>
  <c r="G1549" i="14"/>
  <c r="D1526" i="14"/>
  <c r="D1520" i="14"/>
  <c r="H1647" i="14"/>
  <c r="G1567" i="14"/>
  <c r="G1501" i="14"/>
  <c r="H1937" i="14"/>
  <c r="D1303" i="14"/>
  <c r="G1808" i="14"/>
  <c r="D1358" i="14"/>
  <c r="D1352" i="14"/>
  <c r="H1537" i="14"/>
  <c r="D1703" i="14"/>
  <c r="D1686" i="14"/>
  <c r="D1653" i="14"/>
  <c r="G1092" i="14"/>
  <c r="D1680" i="14"/>
  <c r="D1605" i="14"/>
  <c r="H1090" i="14"/>
  <c r="G1367" i="14"/>
  <c r="G1511" i="14"/>
  <c r="H1458" i="14"/>
  <c r="D2054" i="14"/>
  <c r="H1347" i="14"/>
  <c r="G1867" i="14"/>
  <c r="D2048" i="14"/>
  <c r="H1359" i="14"/>
  <c r="G1398" i="14"/>
  <c r="H1523" i="14"/>
  <c r="H1649" i="14"/>
  <c r="G1093" i="14"/>
  <c r="H1269" i="14"/>
  <c r="D1220" i="14"/>
  <c r="D1820" i="14"/>
  <c r="G1451" i="14"/>
  <c r="H1426" i="14"/>
  <c r="D1575" i="14"/>
  <c r="G1550" i="14"/>
  <c r="G1277" i="14"/>
  <c r="H1182" i="14"/>
  <c r="G1677" i="14"/>
  <c r="H1440" i="14"/>
  <c r="H1457" i="14"/>
  <c r="H1950" i="14"/>
  <c r="G1924" i="14"/>
  <c r="D1212" i="14"/>
  <c r="G1162" i="14"/>
  <c r="G1489" i="14"/>
  <c r="G1146" i="14"/>
  <c r="G1477" i="14"/>
  <c r="H1108" i="14"/>
  <c r="G1211" i="14"/>
  <c r="G1199" i="14"/>
  <c r="H1868" i="14"/>
  <c r="G1890" i="14"/>
  <c r="G2064" i="14"/>
  <c r="D1480" i="14"/>
  <c r="G1259" i="14"/>
  <c r="G1247" i="14"/>
  <c r="D1788" i="14"/>
  <c r="H1863" i="14"/>
  <c r="D1190" i="14"/>
  <c r="G2065" i="14"/>
  <c r="H2030" i="14"/>
  <c r="D1184" i="14"/>
  <c r="G2053" i="14"/>
  <c r="H2042" i="14"/>
  <c r="H1747" i="14"/>
  <c r="H1759" i="14"/>
  <c r="D1882" i="14"/>
  <c r="H1691" i="14"/>
  <c r="D1940" i="14"/>
  <c r="H1096" i="14"/>
  <c r="H2021" i="14"/>
  <c r="H1336" i="14"/>
  <c r="H1385" i="14"/>
  <c r="D1387" i="14"/>
  <c r="H1332" i="14"/>
  <c r="G1892" i="14"/>
  <c r="H1465" i="14"/>
  <c r="D1375" i="14"/>
  <c r="H1344" i="14"/>
  <c r="G1880" i="14"/>
  <c r="D2057" i="14"/>
  <c r="D1274" i="14"/>
  <c r="D1297" i="14"/>
  <c r="H1314" i="14"/>
  <c r="H1682" i="14"/>
  <c r="G1743" i="14"/>
  <c r="G2046" i="14"/>
  <c r="G1200" i="14"/>
  <c r="G1744" i="14"/>
  <c r="D1405" i="14"/>
  <c r="H1762" i="14"/>
  <c r="H1218" i="14"/>
  <c r="G1953" i="14"/>
  <c r="G1295" i="14"/>
  <c r="G2039" i="14"/>
  <c r="H1763" i="14"/>
  <c r="G2006" i="14"/>
  <c r="H1665" i="14"/>
  <c r="G1220" i="14"/>
  <c r="H1370" i="14"/>
  <c r="D1812" i="14"/>
  <c r="H1316" i="14"/>
  <c r="D2012" i="14"/>
  <c r="G1375" i="14"/>
  <c r="D1230" i="14"/>
  <c r="D1141" i="14"/>
  <c r="G1223" i="14"/>
  <c r="H1850" i="14"/>
  <c r="D1613" i="14"/>
  <c r="G1129" i="14"/>
  <c r="G1126" i="14"/>
  <c r="D1978" i="14"/>
  <c r="H1499" i="14"/>
  <c r="D1701" i="14"/>
  <c r="G1652" i="14"/>
  <c r="G1156" i="14"/>
  <c r="G1144" i="14"/>
  <c r="G1826" i="14"/>
  <c r="G1741" i="14"/>
  <c r="G1930" i="14"/>
  <c r="D1835" i="14"/>
  <c r="G1297" i="14"/>
  <c r="G1914" i="14"/>
  <c r="D1823" i="14"/>
  <c r="G1285" i="14"/>
  <c r="H2037" i="14"/>
  <c r="H1860" i="14"/>
  <c r="H1872" i="14"/>
  <c r="D1498" i="14"/>
  <c r="H1169" i="14"/>
  <c r="D1742" i="14"/>
  <c r="G1470" i="14"/>
  <c r="D2061" i="14"/>
  <c r="G1170" i="14"/>
  <c r="D1869" i="14"/>
  <c r="G1479" i="14"/>
  <c r="G1133" i="14"/>
  <c r="G1130" i="14"/>
  <c r="D1982" i="14"/>
  <c r="D1976" i="14"/>
  <c r="G1100" i="14"/>
  <c r="D2003" i="14"/>
  <c r="G1465" i="14"/>
  <c r="H1448" i="14"/>
  <c r="D1356" i="14"/>
  <c r="G1621" i="14"/>
  <c r="D1494" i="14"/>
  <c r="D1488" i="14"/>
  <c r="H1729" i="14"/>
  <c r="H2024" i="14"/>
  <c r="H1480" i="14"/>
  <c r="D1966" i="14"/>
  <c r="H1136" i="14"/>
  <c r="H1919" i="14"/>
  <c r="H1712" i="14"/>
  <c r="D1645" i="14"/>
  <c r="G1592" i="14"/>
  <c r="H2004" i="14"/>
  <c r="H1391" i="14"/>
  <c r="H1425" i="14"/>
  <c r="D1614" i="14"/>
  <c r="G1214" i="14"/>
  <c r="D1133" i="14"/>
  <c r="H1513" i="14"/>
  <c r="G1238" i="14"/>
  <c r="G1132" i="14"/>
  <c r="D1857" i="14"/>
  <c r="H1582" i="14"/>
  <c r="D1833" i="14"/>
  <c r="H1113" i="14"/>
  <c r="H1119" i="14"/>
  <c r="D1594" i="14"/>
  <c r="H1317" i="14"/>
  <c r="G1137" i="14"/>
  <c r="G1094" i="14"/>
  <c r="G1858" i="14"/>
  <c r="H1976" i="14"/>
  <c r="H1652" i="14"/>
  <c r="G1572" i="14"/>
  <c r="G2022" i="14"/>
  <c r="H1664" i="14"/>
  <c r="G1560" i="14"/>
  <c r="D1883" i="14"/>
  <c r="D1871" i="14"/>
  <c r="D1114" i="14"/>
  <c r="G1913" i="14"/>
  <c r="G1264" i="14"/>
  <c r="G1389" i="14"/>
  <c r="G1406" i="14"/>
  <c r="D1862" i="14"/>
  <c r="D1901" i="14"/>
  <c r="H1731" i="14"/>
  <c r="G1483" i="14"/>
  <c r="D1856" i="14"/>
  <c r="D1805" i="14"/>
  <c r="H1743" i="14"/>
  <c r="G1471" i="14"/>
  <c r="G1830" i="14"/>
  <c r="G1942" i="14"/>
  <c r="D1235" i="14"/>
  <c r="H1484" i="14"/>
  <c r="D1540" i="14"/>
  <c r="H2050" i="14"/>
  <c r="D1992" i="14"/>
  <c r="H1650" i="14"/>
  <c r="G1771" i="14"/>
  <c r="G1759" i="14"/>
  <c r="D1239" i="14"/>
  <c r="H1810" i="14"/>
  <c r="D1583" i="14"/>
  <c r="D1497" i="14"/>
  <c r="D1134" i="14"/>
  <c r="H1717" i="14"/>
  <c r="D1846" i="14"/>
  <c r="H1632" i="14"/>
  <c r="D1236" i="14"/>
  <c r="D1288" i="14"/>
  <c r="H1504" i="14"/>
  <c r="G1104" i="14"/>
  <c r="H1304" i="14"/>
  <c r="G1896" i="14"/>
  <c r="G1272" i="14"/>
  <c r="D1447" i="14"/>
  <c r="H1107" i="14"/>
  <c r="D1515" i="14"/>
  <c r="G2020" i="14"/>
  <c r="D1503" i="14"/>
  <c r="G1752" i="14"/>
  <c r="G1366" i="14"/>
  <c r="D1210" i="14"/>
  <c r="H1888" i="14"/>
  <c r="H1957" i="14"/>
  <c r="H1719" i="14"/>
  <c r="G1394" i="14"/>
  <c r="G1168" i="14"/>
  <c r="G1256" i="14"/>
  <c r="H1813" i="14"/>
  <c r="G1568" i="14"/>
  <c r="G1201" i="14"/>
  <c r="H1358" i="14"/>
  <c r="H1760" i="14"/>
  <c r="G1464" i="14"/>
  <c r="D1924" i="14"/>
  <c r="H1591" i="14"/>
  <c r="H1282" i="14"/>
  <c r="G1396" i="14"/>
  <c r="G1384" i="14"/>
  <c r="H1861" i="14"/>
  <c r="G1287" i="14"/>
  <c r="G1109" i="14"/>
  <c r="G1106" i="14"/>
  <c r="D1428" i="14"/>
  <c r="D1628" i="14"/>
  <c r="G1905" i="14"/>
  <c r="G1893" i="14"/>
  <c r="G1250" i="14"/>
  <c r="H1592" i="14"/>
  <c r="G1846" i="14"/>
  <c r="D1259" i="14"/>
  <c r="H1460" i="14"/>
  <c r="G1764" i="14"/>
  <c r="G1254" i="14"/>
  <c r="D1247" i="14"/>
  <c r="H1472" i="14"/>
  <c r="G1666" i="14"/>
  <c r="D1401" i="14"/>
  <c r="D1316" i="14"/>
  <c r="D1588" i="14"/>
  <c r="D1768" i="14"/>
  <c r="G1648" i="14"/>
  <c r="H1700" i="14"/>
  <c r="D1087" i="14"/>
  <c r="H1186" i="14"/>
  <c r="G1671" i="14"/>
  <c r="H1825" i="14"/>
  <c r="G2058" i="14"/>
  <c r="G2042" i="14"/>
  <c r="H1962" i="14"/>
  <c r="D1407" i="14"/>
  <c r="D1081" i="14"/>
  <c r="D1926" i="14"/>
  <c r="H1603" i="14"/>
  <c r="D1920" i="14"/>
  <c r="H1615" i="14"/>
  <c r="D1726" i="14"/>
  <c r="D1720" i="14"/>
  <c r="G1642" i="14"/>
  <c r="D1875" i="14"/>
  <c r="G1337" i="14"/>
  <c r="G1757" i="14"/>
  <c r="D1750" i="14"/>
  <c r="D1744" i="14"/>
  <c r="H1473" i="14"/>
  <c r="D1767" i="14"/>
  <c r="D1702" i="14"/>
  <c r="D1781" i="14"/>
  <c r="H2051" i="14"/>
  <c r="G1163" i="14"/>
  <c r="D1696" i="14"/>
  <c r="D1733" i="14"/>
  <c r="H2063" i="14"/>
  <c r="G1151" i="14"/>
  <c r="G1467" i="14"/>
  <c r="G1455" i="14"/>
  <c r="H1804" i="14"/>
  <c r="G1922" i="14"/>
  <c r="H1559" i="14"/>
  <c r="H1159" i="14"/>
  <c r="H1678" i="14"/>
  <c r="H1690" i="14"/>
  <c r="D1596" i="14"/>
  <c r="D1094" i="14"/>
  <c r="G1873" i="14"/>
  <c r="D1088" i="14"/>
  <c r="G1861" i="14"/>
  <c r="D1786" i="14"/>
  <c r="H1883" i="14"/>
  <c r="D1172" i="14"/>
  <c r="D1372" i="14"/>
  <c r="G1649" i="14"/>
  <c r="G1637" i="14"/>
  <c r="H2001" i="14"/>
  <c r="G1822" i="14"/>
  <c r="G1870" i="14"/>
  <c r="D1676" i="14"/>
  <c r="G1307" i="14"/>
  <c r="D1143" i="14"/>
  <c r="G1894" i="14"/>
  <c r="D1294" i="14"/>
  <c r="H1949" i="14"/>
  <c r="H1333" i="14"/>
  <c r="H1815" i="14"/>
  <c r="H1529" i="14"/>
  <c r="H1415" i="14"/>
  <c r="H1806" i="14"/>
  <c r="G1253" i="14"/>
  <c r="G1778" i="14"/>
  <c r="D1224" i="14"/>
  <c r="H1166" i="14"/>
  <c r="D1724" i="14"/>
  <c r="D1158" i="14"/>
  <c r="G2001" i="14"/>
  <c r="D1152" i="14"/>
  <c r="G1989" i="14"/>
  <c r="G1343" i="14"/>
  <c r="G1447" i="14"/>
  <c r="D1107" i="14"/>
  <c r="H1612" i="14"/>
  <c r="D2052" i="14"/>
  <c r="G1143" i="14"/>
  <c r="D1135" i="14"/>
  <c r="G1543" i="14"/>
  <c r="D2044" i="14"/>
  <c r="H1351" i="14"/>
  <c r="D1318" i="14"/>
  <c r="D1473" i="14"/>
  <c r="H1774" i="14"/>
  <c r="D1312" i="14"/>
  <c r="D1449" i="14"/>
  <c r="H1786" i="14"/>
  <c r="G1364" i="14"/>
  <c r="G1352" i="14"/>
  <c r="D2010" i="14"/>
  <c r="H1435" i="14"/>
  <c r="H1971" i="14"/>
  <c r="H1699" i="14"/>
  <c r="H1711" i="14"/>
  <c r="G1357" i="14"/>
  <c r="D1643" i="14"/>
  <c r="H1105" i="14"/>
  <c r="D1631" i="14"/>
  <c r="H1111" i="14"/>
  <c r="G1886" i="14"/>
  <c r="D2045" i="14"/>
  <c r="D1402" i="14"/>
  <c r="D1809" i="14"/>
  <c r="G1270" i="14"/>
  <c r="H1677" i="14"/>
  <c r="H1129" i="14"/>
  <c r="H1770" i="14"/>
  <c r="G1687" i="14"/>
  <c r="H1907" i="14"/>
  <c r="G1474" i="14"/>
  <c r="G1342" i="14"/>
  <c r="G1604" i="14"/>
  <c r="D1996" i="14"/>
  <c r="G1938" i="14"/>
  <c r="G1823" i="14"/>
  <c r="D1815" i="14"/>
  <c r="H1827" i="14"/>
  <c r="G1887" i="14"/>
  <c r="D1121" i="14"/>
  <c r="H1300" i="14"/>
  <c r="G1346" i="14"/>
  <c r="H1716" i="14"/>
  <c r="H1728" i="14"/>
  <c r="H1594" i="14"/>
  <c r="G1325" i="14"/>
  <c r="G1294" i="14"/>
  <c r="H1160" i="14"/>
  <c r="H1438" i="14"/>
  <c r="G1421" i="14"/>
  <c r="D1276" i="14"/>
  <c r="H1357" i="14"/>
  <c r="G1553" i="14"/>
  <c r="H1309" i="14"/>
  <c r="G1541" i="14"/>
  <c r="G1345" i="14"/>
  <c r="G1333" i="14"/>
  <c r="D1626" i="14"/>
  <c r="D1173" i="14"/>
  <c r="G1874" i="14"/>
  <c r="D1659" i="14"/>
  <c r="H1653" i="14"/>
  <c r="H1812" i="14"/>
  <c r="H1824" i="14"/>
  <c r="H1909" i="14"/>
  <c r="G1991" i="14"/>
  <c r="H1844" i="14"/>
  <c r="G1380" i="14"/>
  <c r="H1856" i="14"/>
  <c r="G1368" i="14"/>
  <c r="D1115" i="14"/>
  <c r="D1103" i="14"/>
  <c r="G1721" i="14"/>
  <c r="D1657" i="14"/>
  <c r="H1471" i="14"/>
  <c r="D2006" i="14"/>
  <c r="D2000" i="14"/>
  <c r="H1217" i="14"/>
  <c r="G1437" i="14"/>
  <c r="G1981" i="14"/>
  <c r="D1595" i="14"/>
  <c r="H1527" i="14"/>
  <c r="G1360" i="14"/>
  <c r="G1448" i="14"/>
  <c r="H1620" i="14"/>
  <c r="H2010" i="14"/>
  <c r="G1680" i="14"/>
  <c r="G1768" i="14"/>
  <c r="G1713" i="14"/>
  <c r="G1720" i="14"/>
  <c r="H1413" i="14"/>
  <c r="D1403" i="14"/>
  <c r="H1940" i="14"/>
  <c r="D1385" i="14"/>
  <c r="H1818" i="14"/>
  <c r="D1868" i="14"/>
  <c r="D1622" i="14"/>
  <c r="H1601" i="14"/>
  <c r="D1525" i="14"/>
  <c r="H1102" i="14"/>
  <c r="D1477" i="14"/>
  <c r="D1836" i="14"/>
  <c r="D1722" i="14"/>
  <c r="G1702" i="14"/>
  <c r="H1671" i="14"/>
  <c r="H1934" i="14"/>
  <c r="H1946" i="14"/>
  <c r="D1532" i="14"/>
  <c r="G1809" i="14"/>
  <c r="G1797" i="14"/>
  <c r="D1754" i="14"/>
  <c r="H1947" i="14"/>
  <c r="H1941" i="14"/>
  <c r="D1116" i="14"/>
  <c r="G1393" i="14"/>
  <c r="G1381" i="14"/>
  <c r="H1848" i="14"/>
  <c r="D1131" i="14"/>
  <c r="H1588" i="14"/>
  <c r="G1636" i="14"/>
  <c r="G1766" i="14"/>
  <c r="D1119" i="14"/>
  <c r="H1600" i="14"/>
  <c r="G1624" i="14"/>
  <c r="G1878" i="14"/>
  <c r="D1146" i="14"/>
  <c r="G1977" i="14"/>
  <c r="G1776" i="14"/>
  <c r="D1163" i="14"/>
  <c r="D1151" i="14"/>
  <c r="G1534" i="14"/>
  <c r="D1511" i="14"/>
  <c r="G2016" i="14"/>
  <c r="D1638" i="14"/>
  <c r="D1269" i="14"/>
  <c r="H1134" i="14"/>
  <c r="D1632" i="14"/>
  <c r="D1221" i="14"/>
  <c r="H1146" i="14"/>
  <c r="G1856" i="14"/>
  <c r="H1214" i="14"/>
  <c r="H1226" i="14"/>
  <c r="H1932" i="14"/>
  <c r="D1442" i="14"/>
  <c r="D1969" i="14"/>
  <c r="G1087" i="14"/>
  <c r="D1278" i="14"/>
  <c r="D1272" i="14"/>
  <c r="D1501" i="14"/>
  <c r="G1607" i="14"/>
  <c r="H2036" i="14"/>
  <c r="G1188" i="14"/>
  <c r="H2048" i="14"/>
  <c r="G1176" i="14"/>
  <c r="H1325" i="14"/>
  <c r="G1529" i="14"/>
  <c r="H1240" i="14"/>
  <c r="G1940" i="14"/>
  <c r="G1928" i="14"/>
  <c r="H1088" i="14"/>
  <c r="D1354" i="14"/>
  <c r="D1617" i="14"/>
  <c r="D1182" i="14"/>
  <c r="D1176" i="14"/>
  <c r="D1603" i="14"/>
  <c r="H1125" i="14"/>
  <c r="G2060" i="14"/>
  <c r="H1270" i="14"/>
  <c r="G1644" i="14"/>
  <c r="G1798" i="14"/>
  <c r="H1686" i="14"/>
  <c r="G1153" i="14"/>
  <c r="G1141" i="14"/>
  <c r="D1602" i="14"/>
  <c r="D1918" i="14"/>
  <c r="D1912" i="14"/>
  <c r="G1258" i="14"/>
  <c r="D1971" i="14"/>
  <c r="G1433" i="14"/>
  <c r="H1383" i="14"/>
  <c r="H1790" i="14"/>
  <c r="H1802" i="14"/>
  <c r="G1127" i="14"/>
  <c r="H1419" i="14"/>
  <c r="G1811" i="14"/>
  <c r="G1242" i="14"/>
  <c r="D1947" i="14"/>
  <c r="D1935" i="14"/>
  <c r="D1122" i="14"/>
  <c r="G1929" i="14"/>
  <c r="H1490" i="14"/>
  <c r="G1851" i="14"/>
  <c r="G1839" i="14"/>
  <c r="H1708" i="14"/>
  <c r="D1778" i="14"/>
  <c r="H1899" i="14"/>
  <c r="G1267" i="14"/>
  <c r="G1948" i="14"/>
  <c r="H1689" i="14"/>
  <c r="H1318" i="14"/>
  <c r="G1532" i="14"/>
  <c r="H1805" i="14"/>
  <c r="H1757" i="14"/>
  <c r="H2057" i="14"/>
  <c r="D1507" i="14"/>
  <c r="H1212" i="14"/>
  <c r="D1893" i="14"/>
  <c r="G1082" i="14"/>
  <c r="H1089" i="14"/>
  <c r="D1962" i="14"/>
  <c r="D1149" i="14"/>
  <c r="H2017" i="14"/>
  <c r="D1298" i="14"/>
  <c r="D1393" i="14"/>
  <c r="H1862" i="14"/>
  <c r="G1095" i="14"/>
  <c r="G1699" i="14"/>
  <c r="G1197" i="14"/>
  <c r="G1158" i="14"/>
  <c r="H2052" i="14"/>
  <c r="D1085" i="14"/>
  <c r="D1801" i="14"/>
  <c r="G1177" i="14"/>
  <c r="H1243" i="14"/>
  <c r="H1661" i="14"/>
  <c r="G1416" i="14"/>
  <c r="D1095" i="14"/>
  <c r="D1779" i="14"/>
  <c r="H1244" i="14"/>
  <c r="H1398" i="14"/>
  <c r="D1538" i="14"/>
  <c r="D1662" i="14"/>
  <c r="G1305" i="14"/>
  <c r="G1996" i="14"/>
  <c r="G1580" i="14"/>
  <c r="D1148" i="14"/>
  <c r="G1997" i="14"/>
  <c r="G1418" i="14"/>
  <c r="D1963" i="14"/>
  <c r="G1425" i="14"/>
  <c r="G1402" i="14"/>
  <c r="D1951" i="14"/>
  <c r="G1413" i="14"/>
  <c r="H1348" i="14"/>
  <c r="H1360" i="14"/>
  <c r="D1562" i="14"/>
  <c r="D1118" i="14"/>
  <c r="D1112" i="14"/>
  <c r="D1571" i="14"/>
  <c r="H1148" i="14"/>
  <c r="D1789" i="14"/>
  <c r="G1236" i="14"/>
  <c r="G1224" i="14"/>
  <c r="D1994" i="14"/>
  <c r="H1505" i="14"/>
  <c r="D1717" i="14"/>
  <c r="D1669" i="14"/>
  <c r="D1330" i="14"/>
  <c r="D1521" i="14"/>
  <c r="H1798" i="14"/>
  <c r="G1115" i="14"/>
  <c r="H1595" i="14"/>
  <c r="G1763" i="14"/>
  <c r="H1639" i="14"/>
  <c r="H1918" i="14"/>
  <c r="H1930" i="14"/>
  <c r="G1218" i="14"/>
  <c r="H1732" i="14"/>
  <c r="H1744" i="14"/>
  <c r="D1514" i="14"/>
  <c r="D1822" i="14"/>
  <c r="D1816" i="14"/>
  <c r="G1450" i="14"/>
  <c r="D1923" i="14"/>
  <c r="G1385" i="14"/>
  <c r="G1690" i="14"/>
  <c r="G1219" i="14"/>
  <c r="G1964" i="14"/>
  <c r="H1753" i="14"/>
  <c r="H1366" i="14"/>
  <c r="D1762" i="14"/>
  <c r="H1931" i="14"/>
  <c r="D1243" i="14"/>
  <c r="D1231" i="14"/>
  <c r="G1753" i="14"/>
  <c r="H1874" i="14"/>
  <c r="G1659" i="14"/>
  <c r="G1647" i="14"/>
  <c r="H1756" i="14"/>
  <c r="G1420" i="14"/>
  <c r="H1910" i="14"/>
  <c r="G1103" i="14"/>
  <c r="D1282" i="14"/>
  <c r="D1329" i="14"/>
  <c r="H1833" i="14"/>
  <c r="H1913" i="14"/>
  <c r="H1353" i="14"/>
  <c r="D1331" i="14"/>
  <c r="H1388" i="14"/>
  <c r="H1299" i="14"/>
  <c r="H1311" i="14"/>
  <c r="D1938" i="14"/>
  <c r="D1949" i="14"/>
  <c r="H1579" i="14"/>
  <c r="G1587" i="14"/>
  <c r="G1171" i="14"/>
  <c r="G1852" i="14"/>
  <c r="H1305" i="14"/>
  <c r="D1738" i="14"/>
  <c r="G1586" i="14"/>
  <c r="H1286" i="14"/>
  <c r="H1702" i="14"/>
  <c r="H1598" i="14"/>
  <c r="H2028" i="14"/>
  <c r="G1269" i="14"/>
  <c r="G1897" i="14"/>
  <c r="G1862" i="14"/>
  <c r="G1600" i="14"/>
  <c r="D1802" i="14"/>
  <c r="G1537" i="14"/>
  <c r="D1365" i="14"/>
  <c r="G1692" i="14"/>
  <c r="G1276" i="14"/>
  <c r="G1574" i="14"/>
  <c r="D1413" i="14"/>
  <c r="H1900" i="14"/>
  <c r="G1781" i="14"/>
  <c r="H1087" i="14"/>
  <c r="H2005" i="14"/>
  <c r="H1720" i="14"/>
  <c r="D1195" i="14"/>
  <c r="H1524" i="14"/>
  <c r="G1700" i="14"/>
  <c r="G1510" i="14"/>
  <c r="D1619" i="14"/>
  <c r="H1117" i="14"/>
  <c r="H1584" i="14"/>
  <c r="D1238" i="14"/>
  <c r="D1232" i="14"/>
  <c r="H1985" i="14"/>
  <c r="D1255" i="14"/>
  <c r="G1760" i="14"/>
  <c r="D1574" i="14"/>
  <c r="H1262" i="14"/>
  <c r="D1568" i="14"/>
  <c r="H1274" i="14"/>
  <c r="H1255" i="14"/>
  <c r="H1726" i="14"/>
  <c r="H1738" i="14"/>
  <c r="H2060" i="14"/>
  <c r="G1806" i="14"/>
  <c r="G1533" i="14"/>
  <c r="G1243" i="14"/>
  <c r="G1933" i="14"/>
  <c r="D1340" i="14"/>
  <c r="H1613" i="14"/>
  <c r="G1617" i="14"/>
  <c r="H1565" i="14"/>
  <c r="G1605" i="14"/>
  <c r="D1324" i="14"/>
  <c r="G1601" i="14"/>
  <c r="G1589" i="14"/>
  <c r="D1658" i="14"/>
  <c r="D1429" i="14"/>
  <c r="H1205" i="14"/>
  <c r="G4183" i="14"/>
  <c r="H1556" i="14"/>
  <c r="H1568" i="14"/>
  <c r="H1397" i="14"/>
  <c r="D1509" i="14"/>
  <c r="H1104" i="14"/>
  <c r="H1155" i="14"/>
  <c r="G2059" i="14"/>
  <c r="H1167" i="14"/>
  <c r="G2047" i="14"/>
  <c r="D1598" i="14"/>
  <c r="D1592" i="14"/>
  <c r="G1898" i="14"/>
  <c r="D1811" i="14"/>
  <c r="G1273" i="14"/>
  <c r="D1381" i="14"/>
  <c r="H1171" i="14"/>
  <c r="H1183" i="14"/>
  <c r="D1954" i="14"/>
  <c r="H1547" i="14"/>
  <c r="D1313" i="14"/>
  <c r="G1485" i="14"/>
  <c r="D1707" i="14"/>
  <c r="G1169" i="14"/>
  <c r="D1695" i="14"/>
  <c r="G1157" i="14"/>
  <c r="D1434" i="14"/>
  <c r="D1937" i="14"/>
  <c r="H1577" i="14"/>
  <c r="H1657" i="14"/>
  <c r="H1289" i="14"/>
  <c r="D1315" i="14"/>
  <c r="H1404" i="14"/>
  <c r="H1875" i="14"/>
  <c r="H1887" i="14"/>
  <c r="D1866" i="14"/>
  <c r="D1965" i="14"/>
  <c r="H1723" i="14"/>
  <c r="D1202" i="14"/>
  <c r="H2054" i="14"/>
  <c r="H1291" i="14"/>
  <c r="G1923" i="14"/>
  <c r="H1725" i="14"/>
  <c r="G1507" i="14"/>
  <c r="G1453" i="14"/>
  <c r="G1630" i="14"/>
  <c r="D1309" i="14"/>
  <c r="D1117" i="14"/>
  <c r="D1386" i="14"/>
  <c r="D1745" i="14"/>
  <c r="D1310" i="14"/>
  <c r="D1304" i="14"/>
  <c r="D1667" i="14"/>
  <c r="G1096" i="14"/>
  <c r="H1206" i="14"/>
  <c r="G1708" i="14"/>
  <c r="G1542" i="14"/>
  <c r="H1622" i="14"/>
  <c r="D1132" i="14"/>
  <c r="G1409" i="14"/>
  <c r="G1397" i="14"/>
  <c r="D1634" i="14"/>
  <c r="D1237" i="14"/>
  <c r="D2046" i="14"/>
  <c r="D2040" i="14"/>
  <c r="H1197" i="14"/>
  <c r="D2035" i="14"/>
  <c r="G1497" i="14"/>
  <c r="G1216" i="14"/>
  <c r="H1534" i="14"/>
  <c r="H1546" i="14"/>
  <c r="H2012" i="14"/>
  <c r="G1164" i="14"/>
  <c r="H1339" i="14"/>
  <c r="G1875" i="14"/>
  <c r="H1277" i="14"/>
  <c r="D1154" i="14"/>
  <c r="G1993" i="14"/>
  <c r="G1191" i="14"/>
  <c r="H1644" i="14"/>
  <c r="D1223" i="14"/>
  <c r="D1810" i="14"/>
  <c r="H1835" i="14"/>
  <c r="G1331" i="14"/>
  <c r="G2012" i="14"/>
  <c r="H1945" i="14"/>
  <c r="H1254" i="14"/>
  <c r="G1596" i="14"/>
  <c r="G1990" i="14"/>
  <c r="H1372" i="14"/>
  <c r="H1483" i="14"/>
  <c r="G1570" i="14"/>
  <c r="D1618" i="14"/>
  <c r="H1222" i="14"/>
  <c r="H1638" i="14"/>
  <c r="D1506" i="14"/>
  <c r="H1964" i="14"/>
  <c r="G1525" i="14"/>
  <c r="H1179" i="14"/>
  <c r="G1516" i="14"/>
  <c r="H1752" i="14"/>
  <c r="D1656" i="14"/>
  <c r="D1516" i="14"/>
  <c r="G2054" i="14"/>
  <c r="G1099" i="14"/>
  <c r="D1382" i="14"/>
  <c r="D1729" i="14"/>
  <c r="H1646" i="14"/>
  <c r="D1376" i="14"/>
  <c r="D1705" i="14"/>
  <c r="H1658" i="14"/>
  <c r="H1368" i="14"/>
  <c r="G1876" i="14"/>
  <c r="G1864" i="14"/>
  <c r="D1186" i="14"/>
  <c r="G2057" i="14"/>
  <c r="G1703" i="14"/>
  <c r="D1139" i="14"/>
  <c r="H1580" i="14"/>
  <c r="D1735" i="14"/>
  <c r="D1842" i="14"/>
  <c r="D1581" i="14"/>
  <c r="H1771" i="14"/>
  <c r="G1395" i="14"/>
  <c r="H1190" i="14"/>
  <c r="G1660" i="14"/>
  <c r="G1734" i="14"/>
  <c r="D1246" i="14"/>
  <c r="D1240" i="14"/>
  <c r="G1086" i="14"/>
  <c r="D1635" i="14"/>
  <c r="H1109" i="14"/>
  <c r="G1492" i="14"/>
  <c r="G1480" i="14"/>
  <c r="D2026" i="14"/>
  <c r="G1246" i="14"/>
  <c r="D1261" i="14"/>
  <c r="D1165" i="14"/>
  <c r="D1362" i="14"/>
  <c r="D1649" i="14"/>
  <c r="H1734" i="14"/>
  <c r="G1131" i="14"/>
  <c r="H1403" i="14"/>
  <c r="G1827" i="14"/>
  <c r="H1094" i="14"/>
  <c r="H1662" i="14"/>
  <c r="H1674" i="14"/>
  <c r="H2044" i="14"/>
  <c r="H1173" i="14"/>
  <c r="H1476" i="14"/>
  <c r="H1488" i="14"/>
  <c r="D1546" i="14"/>
  <c r="D1950" i="14"/>
  <c r="D1944" i="14"/>
  <c r="G1194" i="14"/>
  <c r="D1987" i="14"/>
  <c r="G1449" i="14"/>
  <c r="G1434" i="14"/>
  <c r="G1283" i="14"/>
  <c r="G2028" i="14"/>
  <c r="H2009" i="14"/>
  <c r="H1302" i="14"/>
  <c r="D1794" i="14"/>
  <c r="H1867" i="14"/>
  <c r="D1499" i="14"/>
  <c r="D1487" i="14"/>
  <c r="G1817" i="14"/>
  <c r="H1362" i="14"/>
  <c r="G1915" i="14"/>
  <c r="G1903" i="14"/>
  <c r="H1692" i="14"/>
  <c r="G1484" i="14"/>
  <c r="H1846" i="14"/>
  <c r="G1119" i="14"/>
  <c r="D1651" i="14"/>
  <c r="D1563" i="14"/>
  <c r="D1347" i="14"/>
  <c r="G1562" i="14"/>
  <c r="H1596" i="14"/>
  <c r="H1915" i="14"/>
  <c r="D1106" i="14"/>
  <c r="G1868" i="14"/>
  <c r="H1525" i="14"/>
  <c r="D2018" i="14"/>
  <c r="D2063" i="14"/>
  <c r="G1961" i="14"/>
  <c r="G1795" i="14"/>
  <c r="G1379" i="14"/>
  <c r="H1552" i="14"/>
  <c r="G1737" i="14"/>
  <c r="H1116" i="14"/>
  <c r="H1787" i="14"/>
  <c r="D1170" i="14"/>
  <c r="H1114" i="14"/>
  <c r="H1510" i="14"/>
  <c r="D1404" i="14"/>
  <c r="H1869" i="14"/>
  <c r="G1681" i="14"/>
  <c r="H1821" i="14"/>
  <c r="G1879" i="14"/>
  <c r="G1090" i="14"/>
  <c r="D1153" i="14"/>
  <c r="D1129" i="14"/>
  <c r="H1330" i="14"/>
  <c r="H1283" i="14"/>
  <c r="G1931" i="14"/>
  <c r="H1295" i="14"/>
  <c r="G1919" i="14"/>
  <c r="D1342" i="14"/>
  <c r="D1336" i="14"/>
  <c r="D1683" i="14"/>
  <c r="G1145" i="14"/>
  <c r="D1369" i="14"/>
  <c r="H1313" i="14"/>
  <c r="D2053" i="14"/>
  <c r="G1546" i="14"/>
  <c r="G1530" i="14"/>
  <c r="G1376" i="14"/>
  <c r="D1478" i="14"/>
  <c r="H1454" i="14"/>
  <c r="D1472" i="14"/>
  <c r="H1466" i="14"/>
  <c r="H1969" i="14"/>
  <c r="H1784" i="14"/>
  <c r="G1668" i="14"/>
  <c r="G1656" i="14"/>
  <c r="H1509" i="14"/>
  <c r="H1208" i="14"/>
  <c r="H1641" i="14"/>
  <c r="D1451" i="14"/>
  <c r="H1268" i="14"/>
  <c r="G1956" i="14"/>
  <c r="H1721" i="14"/>
  <c r="D1439" i="14"/>
  <c r="H1280" i="14"/>
  <c r="G1944" i="14"/>
  <c r="H1889" i="14"/>
  <c r="D1306" i="14"/>
  <c r="D1425" i="14"/>
  <c r="H1120" i="14"/>
  <c r="G2043" i="14"/>
  <c r="G2031" i="14"/>
  <c r="H1660" i="14"/>
  <c r="D1964" i="14"/>
  <c r="D1916" i="14"/>
  <c r="H1607" i="14"/>
  <c r="D1254" i="14"/>
  <c r="D1217" i="14"/>
  <c r="H1902" i="14"/>
  <c r="D1248" i="14"/>
  <c r="D1193" i="14"/>
  <c r="H1914" i="14"/>
  <c r="H1235" i="14"/>
  <c r="H1247" i="14"/>
  <c r="D1946" i="14"/>
  <c r="H1563" i="14"/>
  <c r="D1435" i="14"/>
  <c r="D1423" i="14"/>
  <c r="G1801" i="14"/>
  <c r="G1339" i="14"/>
  <c r="G1327" i="14"/>
  <c r="H1836" i="14"/>
  <c r="D1772" i="14"/>
  <c r="G2049" i="14"/>
  <c r="G2037" i="14"/>
  <c r="D1714" i="14"/>
  <c r="D1877" i="14"/>
  <c r="H2027" i="14"/>
  <c r="G1139" i="14"/>
  <c r="G1820" i="14"/>
  <c r="H1177" i="14"/>
  <c r="H1446" i="14"/>
  <c r="G1404" i="14"/>
  <c r="H1545" i="14"/>
  <c r="D1379" i="14"/>
  <c r="H1340" i="14"/>
  <c r="H1619" i="14"/>
  <c r="H1631" i="14"/>
  <c r="D1898" i="14"/>
  <c r="H1659" i="14"/>
  <c r="D1441" i="14"/>
  <c r="D1417" i="14"/>
  <c r="D1234" i="14"/>
  <c r="D1137" i="14"/>
  <c r="H1990" i="14"/>
  <c r="H1227" i="14"/>
  <c r="G1987" i="14"/>
  <c r="H1981" i="14"/>
  <c r="G1571" i="14"/>
  <c r="G1965" i="14"/>
  <c r="D1418" i="14"/>
  <c r="D1873" i="14"/>
  <c r="D1438" i="14"/>
  <c r="D1432" i="14"/>
  <c r="D1731" i="14"/>
  <c r="G1193" i="14"/>
  <c r="H1142" i="14"/>
  <c r="G1772" i="14"/>
  <c r="G1286" i="14"/>
  <c r="H1558" i="14"/>
  <c r="D1388" i="14"/>
  <c r="G1665" i="14"/>
  <c r="G1653" i="14"/>
  <c r="D1666" i="14"/>
  <c r="D1493" i="14"/>
  <c r="H1453" i="14"/>
  <c r="G1561" i="14"/>
  <c r="G1728" i="14"/>
  <c r="H1278" i="14"/>
  <c r="H1290" i="14"/>
  <c r="H1948" i="14"/>
  <c r="G1228" i="14"/>
  <c r="H1275" i="14"/>
  <c r="G1939" i="14"/>
  <c r="H1533" i="14"/>
  <c r="G2056" i="14"/>
  <c r="H1307" i="14"/>
  <c r="H1645" i="14"/>
  <c r="G1124" i="14"/>
  <c r="D1819" i="14"/>
  <c r="G1628" i="14"/>
  <c r="G1306" i="14"/>
  <c r="H1796" i="14"/>
  <c r="H1851" i="14"/>
  <c r="D1138" i="14"/>
  <c r="H1158" i="14"/>
  <c r="G1684" i="14"/>
  <c r="H1468" i="14"/>
  <c r="G1770" i="14"/>
  <c r="G1793" i="14"/>
  <c r="D1621" i="14"/>
  <c r="G1756" i="14"/>
  <c r="D1894" i="14"/>
  <c r="H1667" i="14"/>
  <c r="G1547" i="14"/>
  <c r="D1888" i="14"/>
  <c r="H1679" i="14"/>
  <c r="G1535" i="14"/>
  <c r="H1257" i="14"/>
  <c r="H1401" i="14"/>
  <c r="H1225" i="14"/>
  <c r="D1299" i="14"/>
  <c r="H1420" i="14"/>
  <c r="D1644" i="14"/>
  <c r="G1921" i="14"/>
  <c r="G1909" i="14"/>
  <c r="D1698" i="14"/>
  <c r="D1749" i="14"/>
  <c r="H2059" i="14"/>
  <c r="H1709" i="14"/>
  <c r="G1625" i="14"/>
  <c r="G1147" i="14"/>
  <c r="G1097" i="14"/>
  <c r="H1884" i="14"/>
  <c r="G1292" i="14"/>
  <c r="H2038" i="14"/>
  <c r="H1211" i="14"/>
  <c r="G2003" i="14"/>
  <c r="H1789" i="14"/>
  <c r="D1185" i="14"/>
  <c r="D1161" i="14"/>
  <c r="D1218" i="14"/>
  <c r="D4183" i="14"/>
  <c r="D1203" i="14"/>
  <c r="H1516" i="14"/>
  <c r="H1811" i="14"/>
  <c r="H1823" i="14"/>
  <c r="D1874" i="14"/>
  <c r="H1707" i="14"/>
  <c r="G1459" i="14"/>
  <c r="H1130" i="14"/>
  <c r="G1724" i="14"/>
  <c r="G1478" i="14"/>
  <c r="D1374" i="14"/>
  <c r="D1368" i="14"/>
  <c r="D1699" i="14"/>
  <c r="G1161" i="14"/>
  <c r="H1624" i="14"/>
  <c r="G1748" i="14"/>
  <c r="G1736" i="14"/>
  <c r="D2058" i="14"/>
  <c r="G1758" i="14"/>
  <c r="D1394" i="14"/>
  <c r="D1777" i="14"/>
  <c r="H1670" i="14"/>
  <c r="G1180" i="14"/>
  <c r="H1323" i="14"/>
  <c r="G1891" i="14"/>
  <c r="G1472" i="14"/>
  <c r="H1406" i="14"/>
  <c r="H1418" i="14"/>
  <c r="H1980" i="14"/>
  <c r="H1083" i="14"/>
  <c r="H1220" i="14"/>
  <c r="H1232" i="14"/>
  <c r="D1578" i="14"/>
  <c r="H1261" i="14"/>
  <c r="D2051" i="14"/>
  <c r="G1513" i="14"/>
  <c r="G1178" i="14"/>
  <c r="G1347" i="14"/>
  <c r="H1238" i="14"/>
  <c r="H1866" i="14"/>
  <c r="H1526" i="14"/>
  <c r="H1942" i="14"/>
  <c r="G1160" i="14"/>
  <c r="D1258" i="14"/>
  <c r="G1994" i="14"/>
  <c r="G1971" i="14"/>
  <c r="G2066" i="14"/>
  <c r="D1528" i="14"/>
  <c r="H1929" i="14"/>
  <c r="G1932" i="14"/>
  <c r="H1917" i="14"/>
  <c r="G1686" i="14"/>
  <c r="D1607" i="14"/>
  <c r="D1834" i="14"/>
  <c r="H1355" i="14"/>
  <c r="H1469" i="14"/>
  <c r="G1504" i="14"/>
  <c r="D1510" i="14"/>
  <c r="H1390" i="14"/>
  <c r="D1504" i="14"/>
  <c r="D1941" i="14"/>
  <c r="H2011" i="14"/>
  <c r="D1684" i="14"/>
  <c r="H1572" i="14"/>
  <c r="D1884" i="14"/>
  <c r="H1464" i="14"/>
  <c r="G1334" i="14"/>
  <c r="D1323" i="14"/>
  <c r="H1396" i="14"/>
  <c r="G1828" i="14"/>
  <c r="H1209" i="14"/>
  <c r="D1311" i="14"/>
  <c r="H1408" i="14"/>
  <c r="G1816" i="14"/>
  <c r="H1161" i="14"/>
  <c r="D1569" i="14"/>
  <c r="D1545" i="14"/>
  <c r="D1242" i="14"/>
  <c r="D1169" i="14"/>
  <c r="H1826" i="14"/>
  <c r="G1231" i="14"/>
  <c r="D1931" i="14"/>
  <c r="D1919" i="14"/>
  <c r="G1918" i="14"/>
  <c r="D1593" i="14"/>
  <c r="H1714" i="14"/>
  <c r="D1990" i="14"/>
  <c r="D1597" i="14"/>
  <c r="H1475" i="14"/>
  <c r="G1739" i="14"/>
  <c r="D1984" i="14"/>
  <c r="H1487" i="14"/>
  <c r="G1727" i="14"/>
  <c r="H1549" i="14"/>
  <c r="H1501" i="14"/>
  <c r="H1993" i="14"/>
  <c r="D1491" i="14"/>
  <c r="H1228" i="14"/>
  <c r="D1271" i="14"/>
  <c r="G1089" i="14"/>
  <c r="G1638" i="14"/>
  <c r="G1750" i="14"/>
  <c r="D1660" i="14"/>
  <c r="D1126" i="14"/>
  <c r="G1937" i="14"/>
  <c r="D1120" i="14"/>
  <c r="G1925" i="14"/>
  <c r="D1351" i="14"/>
  <c r="D1818" i="14"/>
  <c r="D1197" i="14"/>
  <c r="H1819" i="14"/>
  <c r="H1389" i="14"/>
  <c r="G1545" i="14"/>
  <c r="H1511" i="14"/>
  <c r="H1854" i="14"/>
  <c r="D2023" i="14"/>
  <c r="D1766" i="14"/>
  <c r="H1923" i="14"/>
  <c r="G1291" i="14"/>
  <c r="D1760" i="14"/>
  <c r="H1935" i="14"/>
  <c r="G1279" i="14"/>
  <c r="H1234" i="14"/>
  <c r="G1979" i="14"/>
  <c r="G1967" i="14"/>
  <c r="H1676" i="14"/>
  <c r="H1637" i="14"/>
  <c r="H1284" i="14"/>
  <c r="H1296" i="14"/>
  <c r="D1570" i="14"/>
  <c r="D1790" i="14"/>
  <c r="D1784" i="14"/>
  <c r="G1514" i="14"/>
  <c r="D1907" i="14"/>
  <c r="G1369" i="14"/>
  <c r="H1895" i="14"/>
  <c r="H2046" i="14"/>
  <c r="H2058" i="14"/>
  <c r="G1111" i="14"/>
  <c r="G1747" i="14"/>
  <c r="G1498" i="14"/>
  <c r="D1691" i="14"/>
  <c r="D1679" i="14"/>
  <c r="D1090" i="14"/>
  <c r="G1865" i="14"/>
  <c r="H2002" i="14"/>
  <c r="G1595" i="14"/>
  <c r="G1583" i="14"/>
  <c r="H1772" i="14"/>
  <c r="D2028" i="14"/>
  <c r="D1746" i="14"/>
  <c r="H1963" i="14"/>
  <c r="G1203" i="14"/>
  <c r="G1884" i="14"/>
  <c r="H1433" i="14"/>
  <c r="H1382" i="14"/>
  <c r="G1468" i="14"/>
  <c r="G1482" i="14"/>
  <c r="G1466" i="14"/>
  <c r="H1801" i="14"/>
  <c r="D1443" i="14"/>
  <c r="H1276" i="14"/>
  <c r="D2041" i="14"/>
  <c r="H1363" i="14"/>
  <c r="H1375" i="14"/>
  <c r="D1930" i="14"/>
  <c r="D1693" i="14"/>
  <c r="D1953" i="14"/>
  <c r="D1929" i="14"/>
  <c r="D1266" i="14"/>
  <c r="D1265" i="14"/>
  <c r="H1926" i="14"/>
  <c r="H1163" i="14"/>
  <c r="G2051" i="14"/>
  <c r="G1635" i="14"/>
  <c r="D1450" i="14"/>
  <c r="D2001" i="14"/>
  <c r="D1566" i="14"/>
  <c r="D1560" i="14"/>
  <c r="G1962" i="14"/>
  <c r="D1795" i="14"/>
  <c r="G1257" i="14"/>
  <c r="H1106" i="14"/>
  <c r="G1836" i="14"/>
  <c r="H1241" i="14"/>
  <c r="H1494" i="14"/>
  <c r="D1586" i="14"/>
  <c r="G1554" i="14"/>
  <c r="D1123" i="14"/>
  <c r="G1978" i="14"/>
  <c r="H1308" i="14"/>
  <c r="H1462" i="14"/>
  <c r="H1878" i="14"/>
  <c r="H1532" i="14"/>
  <c r="D1290" i="14"/>
  <c r="H1293" i="14"/>
  <c r="D1475" i="14"/>
  <c r="H1467" i="14"/>
  <c r="G1672" i="14"/>
  <c r="H1633" i="14"/>
  <c r="D1843" i="14"/>
  <c r="G2025" i="14"/>
  <c r="G1859" i="14"/>
  <c r="H1780" i="14"/>
  <c r="G1444" i="14"/>
  <c r="H1792" i="14"/>
  <c r="G1432" i="14"/>
  <c r="D1371" i="14"/>
  <c r="D1359" i="14"/>
  <c r="G1785" i="14"/>
  <c r="H1988" i="14"/>
  <c r="H2000" i="14"/>
  <c r="D1482" i="14"/>
  <c r="D1694" i="14"/>
  <c r="D1688" i="14"/>
  <c r="G1706" i="14"/>
  <c r="D1859" i="14"/>
  <c r="G1321" i="14"/>
  <c r="G1946" i="14"/>
  <c r="G1155" i="14"/>
  <c r="G1900" i="14"/>
  <c r="H1497" i="14"/>
  <c r="H1430" i="14"/>
  <c r="D1900" i="14"/>
  <c r="D1730" i="14"/>
  <c r="D2005" i="14"/>
  <c r="H1995" i="14"/>
  <c r="H1965" i="14"/>
  <c r="G1689" i="14"/>
  <c r="G1403" i="14"/>
  <c r="G1391" i="14"/>
  <c r="H1820" i="14"/>
  <c r="G1356" i="14"/>
  <c r="H1974" i="14"/>
  <c r="H1147" i="14"/>
  <c r="H2045" i="14"/>
  <c r="D1697" i="14"/>
  <c r="D1673" i="14"/>
  <c r="D1250" i="14"/>
  <c r="D1201" i="14"/>
  <c r="G1974" i="14"/>
  <c r="G1318" i="14"/>
  <c r="G1430" i="14"/>
  <c r="D1267" i="14"/>
  <c r="H1452" i="14"/>
  <c r="D1273" i="14"/>
  <c r="H1555" i="14"/>
  <c r="H1567" i="14"/>
  <c r="D1906" i="14"/>
  <c r="H1643" i="14"/>
  <c r="G1523" i="14"/>
  <c r="H1098" i="14"/>
  <c r="G1788" i="14"/>
  <c r="G1222" i="14"/>
  <c r="D1502" i="14"/>
  <c r="D1496" i="14"/>
  <c r="D1763" i="14"/>
  <c r="G1225" i="14"/>
  <c r="H1123" i="14"/>
  <c r="G2004" i="14"/>
  <c r="G1992" i="14"/>
  <c r="D1426" i="14"/>
  <c r="D1905" i="14"/>
  <c r="H1606" i="14"/>
  <c r="G1244" i="14"/>
  <c r="H2022" i="14"/>
  <c r="H1259" i="14"/>
  <c r="G1955" i="14"/>
  <c r="H1168" i="14"/>
  <c r="H1405" i="14"/>
  <c r="D1474" i="14"/>
  <c r="D1406" i="14"/>
  <c r="D1715" i="14"/>
  <c r="D1109" i="14"/>
  <c r="H1080" i="14"/>
  <c r="H1354" i="14"/>
  <c r="G2035" i="14"/>
  <c r="G1619" i="14"/>
  <c r="D1179" i="14"/>
  <c r="D2050" i="14"/>
  <c r="D1489" i="14"/>
  <c r="H1180" i="14"/>
  <c r="H1334" i="14"/>
  <c r="H1750" i="14"/>
  <c r="D1849" i="14"/>
  <c r="H1586" i="14"/>
  <c r="D2022" i="14"/>
  <c r="H1411" i="14"/>
  <c r="G1803" i="14"/>
  <c r="D2016" i="14"/>
  <c r="H1423" i="14"/>
  <c r="G1791" i="14"/>
  <c r="D1086" i="14"/>
  <c r="D1555" i="14"/>
  <c r="H1164" i="14"/>
  <c r="D1479" i="14"/>
  <c r="D1826" i="14"/>
  <c r="D1325" i="14"/>
  <c r="H1803" i="14"/>
  <c r="D1755" i="14"/>
  <c r="D1743" i="14"/>
  <c r="D1098" i="14"/>
  <c r="G1881" i="14"/>
  <c r="G1319" i="14"/>
  <c r="D1091" i="14"/>
  <c r="H1628" i="14"/>
  <c r="G1548" i="14"/>
  <c r="H1782" i="14"/>
  <c r="G1135" i="14"/>
  <c r="H1249" i="14"/>
  <c r="D1346" i="14"/>
  <c r="D1585" i="14"/>
  <c r="G1226" i="14"/>
  <c r="G1210" i="14"/>
  <c r="H1865" i="14"/>
  <c r="D1459" i="14"/>
  <c r="H1260" i="14"/>
  <c r="G1300" i="14"/>
  <c r="G1288" i="14"/>
  <c r="D2002" i="14"/>
  <c r="D1725" i="14"/>
  <c r="H1451" i="14"/>
  <c r="G1715" i="14"/>
  <c r="G1626" i="14"/>
  <c r="G1299" i="14"/>
  <c r="G1980" i="14"/>
  <c r="H1817" i="14"/>
  <c r="D1886" i="14"/>
  <c r="D1880" i="14"/>
  <c r="G1322" i="14"/>
  <c r="D1955" i="14"/>
  <c r="G1417" i="14"/>
  <c r="G1730" i="14"/>
  <c r="H1668" i="14"/>
  <c r="H1680" i="14"/>
  <c r="D1522" i="14"/>
  <c r="H1414" i="14"/>
  <c r="G1436" i="14"/>
  <c r="H1830" i="14"/>
  <c r="G1107" i="14"/>
  <c r="H1618" i="14"/>
  <c r="G1787" i="14"/>
  <c r="G1775" i="14"/>
  <c r="H1724" i="14"/>
  <c r="D1708" i="14"/>
  <c r="G1985" i="14"/>
  <c r="G1973" i="14"/>
  <c r="D1706" i="14"/>
  <c r="D1813" i="14"/>
  <c r="H2043" i="14"/>
  <c r="D1307" i="14"/>
  <c r="D1295" i="14"/>
  <c r="G1769" i="14"/>
  <c r="G1603" i="14"/>
  <c r="G1818" i="14"/>
  <c r="G1187" i="14"/>
  <c r="D1226" i="14"/>
  <c r="H1101" i="14"/>
  <c r="D1551" i="14"/>
  <c r="G1833" i="14"/>
  <c r="G1667" i="14"/>
  <c r="G1251" i="14"/>
  <c r="H2064" i="14"/>
  <c r="G1609" i="14"/>
  <c r="H1610" i="14"/>
  <c r="G1709" i="14"/>
  <c r="D1411" i="14"/>
  <c r="H1369" i="14"/>
  <c r="G1555" i="14"/>
  <c r="G1428" i="14"/>
  <c r="H1342" i="14"/>
  <c r="D1361" i="14"/>
  <c r="H1245" i="14"/>
  <c r="H1213" i="14"/>
  <c r="H1540" i="14"/>
  <c r="H1110" i="14"/>
  <c r="D1453" i="14"/>
  <c r="G1340" i="14"/>
  <c r="D1183" i="14"/>
  <c r="H1536" i="14"/>
  <c r="G1688" i="14"/>
  <c r="G1622" i="14"/>
  <c r="D1178" i="14"/>
  <c r="G2041" i="14"/>
  <c r="G1984" i="14"/>
  <c r="H1150" i="14"/>
  <c r="H1162" i="14"/>
  <c r="H1916" i="14"/>
  <c r="H1621" i="14"/>
  <c r="G1217" i="14"/>
  <c r="G1205" i="14"/>
  <c r="D1610" i="14"/>
  <c r="H1517" i="14"/>
  <c r="G1577" i="14"/>
  <c r="H2066" i="14"/>
  <c r="H1341" i="14"/>
  <c r="G1411" i="14"/>
  <c r="H1174" i="14"/>
  <c r="D1991" i="14"/>
  <c r="H1939" i="14"/>
  <c r="H1951" i="14"/>
  <c r="D1858" i="14"/>
  <c r="D1837" i="14"/>
  <c r="H1739" i="14"/>
  <c r="D2011" i="14"/>
  <c r="D1999" i="14"/>
  <c r="D1130" i="14"/>
  <c r="G1945" i="14"/>
  <c r="G1831" i="14"/>
  <c r="D1155" i="14"/>
  <c r="H1564" i="14"/>
  <c r="G1612" i="14"/>
  <c r="G1926" i="14"/>
  <c r="H1718" i="14"/>
  <c r="G1196" i="14"/>
  <c r="G1502" i="14"/>
  <c r="D1378" i="14"/>
  <c r="D1713" i="14"/>
  <c r="H2061" i="14"/>
  <c r="H2013" i="14"/>
  <c r="D1523" i="14"/>
  <c r="H1196" i="14"/>
  <c r="H2008" i="14"/>
  <c r="G1556" i="14"/>
  <c r="G1544" i="14"/>
  <c r="D2034" i="14"/>
  <c r="H1531" i="14"/>
  <c r="G1779" i="14"/>
  <c r="G1370" i="14"/>
  <c r="G1363" i="14"/>
  <c r="G2044" i="14"/>
  <c r="D2014" i="14"/>
  <c r="D2008" i="14"/>
  <c r="H1093" i="14"/>
  <c r="D2019" i="14"/>
  <c r="G1481" i="14"/>
  <c r="H2023" i="14"/>
  <c r="H1412" i="14"/>
  <c r="H1424" i="14"/>
  <c r="D1554" i="14"/>
  <c r="H1350" i="14"/>
  <c r="G1500" i="14"/>
  <c r="H1766" i="14"/>
  <c r="G1123" i="14"/>
  <c r="H1979" i="14"/>
  <c r="H1417" i="14"/>
  <c r="G1804" i="14"/>
  <c r="G1388" i="14"/>
  <c r="D1770" i="14"/>
  <c r="G1281" i="14"/>
  <c r="G1212" i="14"/>
  <c r="H1808" i="14"/>
  <c r="G1673" i="14"/>
  <c r="G1241" i="14"/>
  <c r="G1088" i="14"/>
  <c r="G1606" i="14"/>
  <c r="H1814" i="14"/>
  <c r="D1167" i="14"/>
  <c r="G1350" i="14"/>
  <c r="G1443" i="14"/>
  <c r="G1669" i="14"/>
  <c r="D1580" i="14"/>
  <c r="G1857" i="14"/>
  <c r="G1845" i="14"/>
  <c r="D1690" i="14"/>
  <c r="D1685" i="14"/>
  <c r="D1630" i="14"/>
  <c r="D1624" i="14"/>
  <c r="G1834" i="14"/>
  <c r="D1827" i="14"/>
  <c r="G1289" i="14"/>
  <c r="G1581" i="14"/>
  <c r="H1733" i="14"/>
  <c r="D1458" i="14"/>
  <c r="D2033" i="14"/>
  <c r="H1542" i="14"/>
  <c r="G1308" i="14"/>
  <c r="H1958" i="14"/>
  <c r="H1195" i="14"/>
  <c r="G2019" i="14"/>
  <c r="G1275" i="14"/>
  <c r="G1263" i="14"/>
  <c r="H1852" i="14"/>
  <c r="D1196" i="14"/>
  <c r="G1473" i="14"/>
  <c r="G1461" i="14"/>
  <c r="D1642" i="14"/>
  <c r="D1301" i="14"/>
  <c r="H1773" i="14"/>
  <c r="G1641" i="14"/>
  <c r="H1597" i="14"/>
  <c r="G1475" i="14"/>
  <c r="H1122" i="14"/>
  <c r="H1683" i="14"/>
  <c r="H1695" i="14"/>
  <c r="D1890" i="14"/>
  <c r="H1675" i="14"/>
  <c r="D1162" i="14"/>
  <c r="G2009" i="14"/>
  <c r="D1219" i="14"/>
  <c r="H1500" i="14"/>
  <c r="G1676" i="14"/>
  <c r="G1670" i="14"/>
  <c r="H1654" i="14"/>
  <c r="G1260" i="14"/>
  <c r="G2014" i="14"/>
  <c r="D1981" i="14"/>
  <c r="D1410" i="14"/>
  <c r="D1841" i="14"/>
  <c r="D1150" i="14"/>
  <c r="D1144" i="14"/>
  <c r="D1587" i="14"/>
  <c r="H1133" i="14"/>
  <c r="H1496" i="14"/>
  <c r="G1812" i="14"/>
  <c r="G1800" i="14"/>
  <c r="H1387" i="14"/>
  <c r="G1843" i="14"/>
  <c r="H1149" i="14"/>
  <c r="G1427" i="14"/>
  <c r="D1105" i="14"/>
  <c r="G1907" i="14"/>
  <c r="G1491" i="14"/>
  <c r="G1575" i="14"/>
  <c r="D1986" i="14"/>
  <c r="D1825" i="14"/>
  <c r="D1233" i="14"/>
  <c r="D1807" i="14"/>
  <c r="G1731" i="14"/>
  <c r="G1315" i="14"/>
  <c r="H1901" i="14"/>
  <c r="G2026" i="14"/>
  <c r="D1260" i="14"/>
  <c r="D1650" i="14"/>
  <c r="G2010" i="14"/>
  <c r="D1322" i="14"/>
  <c r="D1682" i="14"/>
  <c r="G1754" i="14"/>
  <c r="H1402" i="14"/>
  <c r="H1761" i="14"/>
  <c r="D1205" i="14"/>
  <c r="D1157" i="14"/>
  <c r="D1314" i="14"/>
  <c r="D1457" i="14"/>
  <c r="H1609" i="14"/>
  <c r="D1395" i="14"/>
  <c r="H1324" i="14"/>
  <c r="G1113" i="14"/>
  <c r="G1110" i="14"/>
  <c r="D1970" i="14"/>
  <c r="D1661" i="14"/>
  <c r="H1515" i="14"/>
  <c r="G1651" i="14"/>
  <c r="G1882" i="14"/>
  <c r="G1235" i="14"/>
  <c r="G1916" i="14"/>
  <c r="H1561" i="14"/>
  <c r="D1758" i="14"/>
  <c r="D1752" i="14"/>
  <c r="G1578" i="14"/>
  <c r="D1891" i="14"/>
  <c r="G1353" i="14"/>
  <c r="H1924" i="14"/>
  <c r="H1936" i="14"/>
  <c r="D1490" i="14"/>
  <c r="H1478" i="14"/>
  <c r="G1372" i="14"/>
  <c r="H1894" i="14"/>
  <c r="H1097" i="14"/>
  <c r="G1531" i="14"/>
  <c r="G1519" i="14"/>
  <c r="H1788" i="14"/>
  <c r="D1452" i="14"/>
  <c r="G1729" i="14"/>
  <c r="G1717" i="14"/>
  <c r="D1674" i="14"/>
  <c r="D1557" i="14"/>
  <c r="H2029" i="14"/>
  <c r="G1705" i="14"/>
  <c r="H1853" i="14"/>
  <c r="G1539" i="14"/>
  <c r="H1086" i="14"/>
  <c r="D1785" i="14"/>
  <c r="H1427" i="14"/>
  <c r="H1439" i="14"/>
  <c r="D1922" i="14"/>
  <c r="D1437" i="14"/>
  <c r="H1611" i="14"/>
  <c r="D1194" i="14"/>
  <c r="G1462" i="14"/>
  <c r="H1145" i="14"/>
  <c r="G1174" i="14"/>
  <c r="D1283" i="14"/>
  <c r="H1436" i="14"/>
  <c r="G1740" i="14"/>
  <c r="G1414" i="14"/>
  <c r="H1590" i="14"/>
  <c r="G1324" i="14"/>
  <c r="H2006" i="14"/>
  <c r="D1289" i="14"/>
  <c r="H1156" i="14"/>
  <c r="G1564" i="14"/>
  <c r="G1148" i="14"/>
  <c r="G1172" i="14"/>
  <c r="D1400" i="14"/>
  <c r="H1673" i="14"/>
  <c r="G1452" i="14"/>
  <c r="D1187" i="14"/>
  <c r="D1534" i="14"/>
  <c r="H1625" i="14"/>
  <c r="H1574" i="14"/>
  <c r="D1251" i="14"/>
  <c r="D1461" i="14"/>
  <c r="D1539" i="14"/>
  <c r="H1881" i="14"/>
  <c r="G1683" i="14"/>
  <c r="E1028" i="14"/>
  <c r="E1029" i="14" s="1"/>
  <c r="E1030" i="14" s="1"/>
  <c r="E1031" i="14" s="1"/>
  <c r="L26" i="11" l="1"/>
  <c r="F26" i="11"/>
  <c r="G26" i="11"/>
  <c r="I26" i="11"/>
  <c r="J26" i="11"/>
  <c r="H26" i="11"/>
  <c r="M26" i="11"/>
  <c r="L25" i="11"/>
  <c r="Q25" i="11"/>
  <c r="Q26" i="11"/>
  <c r="N26" i="11"/>
  <c r="N25" i="11"/>
  <c r="O26" i="11"/>
  <c r="O25" i="11"/>
  <c r="P26" i="11"/>
  <c r="F25" i="11"/>
  <c r="I25" i="11"/>
  <c r="K26" i="11"/>
  <c r="E1032" i="14"/>
  <c r="E1033" i="14" s="1"/>
  <c r="E1539" i="14"/>
  <c r="E1187" i="14"/>
  <c r="E1400" i="14"/>
  <c r="E1289" i="14"/>
  <c r="E1283" i="14"/>
  <c r="E1674" i="14"/>
  <c r="E1395" i="14"/>
  <c r="E1205" i="14"/>
  <c r="E1986" i="14"/>
  <c r="E1587" i="14"/>
  <c r="E1890" i="14"/>
  <c r="E1301" i="14"/>
  <c r="E1196" i="14"/>
  <c r="E1827" i="14"/>
  <c r="E1167" i="14"/>
  <c r="E2019" i="14"/>
  <c r="E2034" i="14"/>
  <c r="E1130" i="14"/>
  <c r="E1837" i="14"/>
  <c r="E1991" i="14"/>
  <c r="E1453" i="14"/>
  <c r="E1361" i="14"/>
  <c r="E1226" i="14"/>
  <c r="E1886" i="14"/>
  <c r="E1725" i="14"/>
  <c r="E1346" i="14"/>
  <c r="E1849" i="14"/>
  <c r="E1179" i="14"/>
  <c r="E1715" i="14"/>
  <c r="E1905" i="14"/>
  <c r="E1267" i="14"/>
  <c r="E1697" i="14"/>
  <c r="E1730" i="14"/>
  <c r="E1290" i="14"/>
  <c r="E1560" i="14"/>
  <c r="E1450" i="14"/>
  <c r="E1265" i="14"/>
  <c r="E1691" i="14"/>
  <c r="E1784" i="14"/>
  <c r="E1570" i="14"/>
  <c r="E1760" i="14"/>
  <c r="E1766" i="14"/>
  <c r="E1818" i="14"/>
  <c r="E1984" i="14"/>
  <c r="E1990" i="14"/>
  <c r="E1919" i="14"/>
  <c r="E1545" i="14"/>
  <c r="E1504" i="14"/>
  <c r="E1510" i="14"/>
  <c r="E1607" i="14"/>
  <c r="E1578" i="14"/>
  <c r="E1777" i="14"/>
  <c r="E1203" i="14"/>
  <c r="E1185" i="14"/>
  <c r="E1698" i="14"/>
  <c r="E1888" i="14"/>
  <c r="E1894" i="14"/>
  <c r="E1138" i="14"/>
  <c r="E1819" i="14"/>
  <c r="E1432" i="14"/>
  <c r="E1418" i="14"/>
  <c r="E1137" i="14"/>
  <c r="E1435" i="14"/>
  <c r="E1916" i="14"/>
  <c r="E1439" i="14"/>
  <c r="E1451" i="14"/>
  <c r="E2053" i="14"/>
  <c r="E1683" i="14"/>
  <c r="E1153" i="14"/>
  <c r="E1404" i="14"/>
  <c r="E1499" i="14"/>
  <c r="E1944" i="14"/>
  <c r="E1546" i="14"/>
  <c r="E1649" i="14"/>
  <c r="E1139" i="14"/>
  <c r="E1516" i="14"/>
  <c r="E2046" i="14"/>
  <c r="E1304" i="14"/>
  <c r="E1386" i="14"/>
  <c r="E1937" i="14"/>
  <c r="E1509" i="14"/>
  <c r="E1429" i="14"/>
  <c r="E1324" i="14"/>
  <c r="E1365" i="14"/>
  <c r="E1329" i="14"/>
  <c r="E1243" i="14"/>
  <c r="E1816" i="14"/>
  <c r="E1514" i="14"/>
  <c r="E1521" i="14"/>
  <c r="E1538" i="14"/>
  <c r="E1298" i="14"/>
  <c r="E1149" i="14"/>
  <c r="E1893" i="14"/>
  <c r="E1918" i="14"/>
  <c r="E1176" i="14"/>
  <c r="E1354" i="14"/>
  <c r="E1272" i="14"/>
  <c r="E1442" i="14"/>
  <c r="E1632" i="14"/>
  <c r="E1638" i="14"/>
  <c r="E1151" i="14"/>
  <c r="E1754" i="14"/>
  <c r="E1622" i="14"/>
  <c r="E1657" i="14"/>
  <c r="E1173" i="14"/>
  <c r="E1402" i="14"/>
  <c r="E1312" i="14"/>
  <c r="E1318" i="14"/>
  <c r="E2052" i="14"/>
  <c r="E1152" i="14"/>
  <c r="E1143" i="14"/>
  <c r="E1786" i="14"/>
  <c r="E1696" i="14"/>
  <c r="E1702" i="14"/>
  <c r="E1744" i="14"/>
  <c r="E1720" i="14"/>
  <c r="E1920" i="14"/>
  <c r="E1407" i="14"/>
  <c r="E1316" i="14"/>
  <c r="E1628" i="14"/>
  <c r="E1503" i="14"/>
  <c r="E1236" i="14"/>
  <c r="E1497" i="14"/>
  <c r="E1992" i="14"/>
  <c r="E1235" i="14"/>
  <c r="E1883" i="14"/>
  <c r="E1833" i="14"/>
  <c r="E2003" i="14"/>
  <c r="E1823" i="14"/>
  <c r="E1835" i="14"/>
  <c r="E1701" i="14"/>
  <c r="E1812" i="14"/>
  <c r="E1297" i="14"/>
  <c r="E1212" i="14"/>
  <c r="E1352" i="14"/>
  <c r="E1520" i="14"/>
  <c r="E1639" i="14"/>
  <c r="E2043" i="14"/>
  <c r="E1721" i="14"/>
  <c r="E1344" i="14"/>
  <c r="E1350" i="14"/>
  <c r="E1082" i="14"/>
  <c r="E1415" i="14"/>
  <c r="E1908" i="14"/>
  <c r="E1728" i="14"/>
  <c r="E1734" i="14"/>
  <c r="E1872" i="14"/>
  <c r="E1147" i="14"/>
  <c r="E1466" i="14"/>
  <c r="E2031" i="14"/>
  <c r="E1245" i="14"/>
  <c r="E1470" i="14"/>
  <c r="E1641" i="14"/>
  <c r="E1677" i="14"/>
  <c r="E1850" i="14"/>
  <c r="E2066" i="14"/>
  <c r="E1536" i="14"/>
  <c r="E1542" i="14"/>
  <c r="E1104" i="14"/>
  <c r="E1168" i="14"/>
  <c r="E1174" i="14"/>
  <c r="E1757" i="14"/>
  <c r="E1769" i="14"/>
  <c r="D4185" i="14"/>
  <c r="E1436" i="14"/>
  <c r="E1469" i="14"/>
  <c r="E1887" i="14"/>
  <c r="E1899" i="14"/>
  <c r="E1363" i="14"/>
  <c r="E1414" i="14"/>
  <c r="E1783" i="14"/>
  <c r="E1608" i="14"/>
  <c r="E2055" i="14"/>
  <c r="E1089" i="14"/>
  <c r="E1553" i="14"/>
  <c r="E2027" i="14"/>
  <c r="E1099" i="14"/>
  <c r="E1774" i="14"/>
  <c r="E1535" i="14"/>
  <c r="E1547" i="14"/>
  <c r="E1739" i="14"/>
  <c r="E1909" i="14"/>
  <c r="E1629" i="14"/>
  <c r="E1979" i="14"/>
  <c r="E1838" i="14"/>
  <c r="E1948" i="14"/>
  <c r="E1604" i="14"/>
  <c r="E1392" i="14"/>
  <c r="E1398" i="14"/>
  <c r="E1166" i="14"/>
  <c r="E1623" i="14"/>
  <c r="E1828" i="14"/>
  <c r="E1192" i="14"/>
  <c r="E1761" i="14"/>
  <c r="E1321" i="14"/>
  <c r="E1345" i="14"/>
  <c r="E2047" i="14"/>
  <c r="E2059" i="14"/>
  <c r="E1687" i="14"/>
  <c r="E1611" i="14"/>
  <c r="E1928" i="14"/>
  <c r="E1876" i="14"/>
  <c r="E1902" i="14"/>
  <c r="E1993" i="14"/>
  <c r="E1817" i="14"/>
  <c r="E1335" i="14"/>
  <c r="E1780" i="14"/>
  <c r="E1096" i="14"/>
  <c r="E1264" i="14"/>
  <c r="E2062" i="14"/>
  <c r="E1357" i="14"/>
  <c r="E1113" i="14"/>
  <c r="E1253" i="14"/>
  <c r="E1692" i="14"/>
  <c r="E1092" i="14"/>
  <c r="E1145" i="14"/>
  <c r="E1957" i="14"/>
  <c r="E1718" i="14"/>
  <c r="E1285" i="14"/>
  <c r="E2020" i="14"/>
  <c r="E1500" i="14"/>
  <c r="E1300" i="14"/>
  <c r="E1845" i="14"/>
  <c r="E1885" i="14"/>
  <c r="E1870" i="14"/>
  <c r="E1917" i="14"/>
  <c r="E1249" i="14"/>
  <c r="E1800" i="14"/>
  <c r="E1348" i="14"/>
  <c r="E1204" i="14"/>
  <c r="E1287" i="14"/>
  <c r="E1751" i="14"/>
  <c r="E1461" i="14"/>
  <c r="E1534" i="14"/>
  <c r="E1490" i="14"/>
  <c r="E1752" i="14"/>
  <c r="E1457" i="14"/>
  <c r="E1682" i="14"/>
  <c r="E1650" i="14"/>
  <c r="E1807" i="14"/>
  <c r="E1841" i="14"/>
  <c r="E1219" i="14"/>
  <c r="E1642" i="14"/>
  <c r="E2033" i="14"/>
  <c r="E1685" i="14"/>
  <c r="E1580" i="14"/>
  <c r="E1770" i="14"/>
  <c r="E1523" i="14"/>
  <c r="E1999" i="14"/>
  <c r="E1858" i="14"/>
  <c r="E1178" i="14"/>
  <c r="E1813" i="14"/>
  <c r="E1708" i="14"/>
  <c r="E1955" i="14"/>
  <c r="E2002" i="14"/>
  <c r="E1098" i="14"/>
  <c r="E1325" i="14"/>
  <c r="E1479" i="14"/>
  <c r="E1489" i="14"/>
  <c r="E1406" i="14"/>
  <c r="E1426" i="14"/>
  <c r="E1496" i="14"/>
  <c r="E1201" i="14"/>
  <c r="E1688" i="14"/>
  <c r="E1482" i="14"/>
  <c r="E1359" i="14"/>
  <c r="E1843" i="14"/>
  <c r="E1123" i="14"/>
  <c r="E1586" i="14"/>
  <c r="E1566" i="14"/>
  <c r="E1266" i="14"/>
  <c r="E1693" i="14"/>
  <c r="E2041" i="14"/>
  <c r="E1790" i="14"/>
  <c r="E1660" i="14"/>
  <c r="E1491" i="14"/>
  <c r="E1931" i="14"/>
  <c r="E1569" i="14"/>
  <c r="E1311" i="14"/>
  <c r="E1323" i="14"/>
  <c r="E1684" i="14"/>
  <c r="E1394" i="14"/>
  <c r="E1368" i="14"/>
  <c r="E4183" i="14"/>
  <c r="E1299" i="14"/>
  <c r="E1621" i="14"/>
  <c r="E1438" i="14"/>
  <c r="E1234" i="14"/>
  <c r="E1193" i="14"/>
  <c r="E1217" i="14"/>
  <c r="E1425" i="14"/>
  <c r="E1347" i="14"/>
  <c r="E1950" i="14"/>
  <c r="E1362" i="14"/>
  <c r="E1240" i="14"/>
  <c r="E1705" i="14"/>
  <c r="E1729" i="14"/>
  <c r="E1656" i="14"/>
  <c r="E1506" i="14"/>
  <c r="E1618" i="14"/>
  <c r="E1223" i="14"/>
  <c r="E1154" i="14"/>
  <c r="E2035" i="14"/>
  <c r="E1310" i="14"/>
  <c r="E1117" i="14"/>
  <c r="E1202" i="14"/>
  <c r="E1965" i="14"/>
  <c r="E1434" i="14"/>
  <c r="E1381" i="14"/>
  <c r="E1592" i="14"/>
  <c r="E1658" i="14"/>
  <c r="E1568" i="14"/>
  <c r="E1574" i="14"/>
  <c r="E1232" i="14"/>
  <c r="E1738" i="14"/>
  <c r="E1949" i="14"/>
  <c r="E1282" i="14"/>
  <c r="E1822" i="14"/>
  <c r="E1330" i="14"/>
  <c r="E1789" i="14"/>
  <c r="E1112" i="14"/>
  <c r="E1562" i="14"/>
  <c r="E1779" i="14"/>
  <c r="E1801" i="14"/>
  <c r="E1962" i="14"/>
  <c r="E1122" i="14"/>
  <c r="E1971" i="14"/>
  <c r="E1182" i="14"/>
  <c r="E1278" i="14"/>
  <c r="E1163" i="14"/>
  <c r="E1119" i="14"/>
  <c r="E1131" i="14"/>
  <c r="E1532" i="14"/>
  <c r="E1836" i="14"/>
  <c r="E1525" i="14"/>
  <c r="E1868" i="14"/>
  <c r="E1595" i="14"/>
  <c r="E2000" i="14"/>
  <c r="E1103" i="14"/>
  <c r="E1659" i="14"/>
  <c r="E1626" i="14"/>
  <c r="E1121" i="14"/>
  <c r="E2045" i="14"/>
  <c r="E2010" i="14"/>
  <c r="E1224" i="14"/>
  <c r="E1172" i="14"/>
  <c r="E1596" i="14"/>
  <c r="E1750" i="14"/>
  <c r="E1726" i="14"/>
  <c r="E1087" i="14"/>
  <c r="E1768" i="14"/>
  <c r="E1447" i="14"/>
  <c r="E1583" i="14"/>
  <c r="E1133" i="14"/>
  <c r="E1356" i="14"/>
  <c r="E1869" i="14"/>
  <c r="E1141" i="14"/>
  <c r="E1274" i="14"/>
  <c r="E1184" i="14"/>
  <c r="E1190" i="14"/>
  <c r="E1220" i="14"/>
  <c r="E1703" i="14"/>
  <c r="E1303" i="14"/>
  <c r="E1484" i="14"/>
  <c r="E1208" i="14"/>
  <c r="E1664" i="14"/>
  <c r="E1616" i="14"/>
  <c r="E2042" i="14"/>
  <c r="E1952" i="14"/>
  <c r="E1958" i="14"/>
  <c r="E1663" i="14"/>
  <c r="E1615" i="14"/>
  <c r="E1808" i="14"/>
  <c r="E1591" i="14"/>
  <c r="E1508" i="14"/>
  <c r="E1878" i="14"/>
  <c r="E1791" i="14"/>
  <c r="E1943" i="14"/>
  <c r="E1853" i="14"/>
  <c r="E1747" i="14"/>
  <c r="E1665" i="14"/>
  <c r="E1773" i="14"/>
  <c r="E1567" i="14"/>
  <c r="E1579" i="14"/>
  <c r="E1559" i="14"/>
  <c r="E1373" i="14"/>
  <c r="E1110" i="14"/>
  <c r="E1765" i="14"/>
  <c r="E1229" i="14"/>
  <c r="E1671" i="14"/>
  <c r="E1961" i="14"/>
  <c r="E1985" i="14"/>
  <c r="E1275" i="14"/>
  <c r="E1678" i="14"/>
  <c r="E1181" i="14"/>
  <c r="E1529" i="14"/>
  <c r="E1216" i="14"/>
  <c r="E1222" i="14"/>
  <c r="E1284" i="14"/>
  <c r="E1293" i="14"/>
  <c r="E1389" i="14"/>
  <c r="E2021" i="14"/>
  <c r="E1140" i="14"/>
  <c r="E1600" i="14"/>
  <c r="E1606" i="14"/>
  <c r="E1360" i="14"/>
  <c r="E1848" i="14"/>
  <c r="E1486" i="14"/>
  <c r="E1338" i="14"/>
  <c r="E1263" i="14"/>
  <c r="E1672" i="14"/>
  <c r="E1609" i="14"/>
  <c r="E2039" i="14"/>
  <c r="E1727" i="14"/>
  <c r="E1967" i="14"/>
  <c r="E1879" i="14"/>
  <c r="E1832" i="14"/>
  <c r="E1652" i="14"/>
  <c r="E1380" i="14"/>
  <c r="E1897" i="14"/>
  <c r="E1921" i="14"/>
  <c r="E1537" i="14"/>
  <c r="E1865" i="14"/>
  <c r="E1467" i="14"/>
  <c r="E1454" i="14"/>
  <c r="E1584" i="14"/>
  <c r="E1590" i="14"/>
  <c r="E1740" i="14"/>
  <c r="E1548" i="14"/>
  <c r="E1831" i="14"/>
  <c r="E1164" i="14"/>
  <c r="E2064" i="14"/>
  <c r="E1125" i="14"/>
  <c r="E2038" i="14"/>
  <c r="E1462" i="14"/>
  <c r="E1737" i="14"/>
  <c r="E1561" i="14"/>
  <c r="E1892" i="14"/>
  <c r="E1280" i="14"/>
  <c r="E1286" i="14"/>
  <c r="E1796" i="14"/>
  <c r="E1933" i="14"/>
  <c r="E1881" i="14"/>
  <c r="E1599" i="14"/>
  <c r="E1896" i="14"/>
  <c r="E1844" i="14"/>
  <c r="E1444" i="14"/>
  <c r="E1101" i="14"/>
  <c r="E1180" i="14"/>
  <c r="E1327" i="14"/>
  <c r="E1339" i="14"/>
  <c r="E1416" i="14"/>
  <c r="E1108" i="14"/>
  <c r="E1646" i="14"/>
  <c r="E1485" i="14"/>
  <c r="E1719" i="14"/>
  <c r="E1191" i="14"/>
  <c r="E1915" i="14"/>
  <c r="E1851" i="14"/>
  <c r="E1775" i="14"/>
  <c r="E1343" i="14"/>
  <c r="E1355" i="14"/>
  <c r="E1716" i="14"/>
  <c r="E1305" i="14"/>
  <c r="E1712" i="14"/>
  <c r="E1531" i="14"/>
  <c r="E2013" i="14"/>
  <c r="E1804" i="14"/>
  <c r="E1281" i="14"/>
  <c r="E1353" i="14"/>
  <c r="E1177" i="14"/>
  <c r="E1867" i="14"/>
  <c r="E1797" i="14"/>
  <c r="E1241" i="14"/>
  <c r="E1936" i="14"/>
  <c r="E1942" i="14"/>
  <c r="E1782" i="14"/>
  <c r="E1533" i="14"/>
  <c r="E1334" i="14"/>
  <c r="E1225" i="14"/>
  <c r="E1847" i="14"/>
  <c r="E2036" i="14"/>
  <c r="E1764" i="14"/>
  <c r="E1732" i="14"/>
  <c r="E2024" i="14"/>
  <c r="E2030" i="14"/>
  <c r="E1572" i="14"/>
  <c r="E1194" i="14"/>
  <c r="E1785" i="14"/>
  <c r="E1758" i="14"/>
  <c r="E1661" i="14"/>
  <c r="E1314" i="14"/>
  <c r="E1260" i="14"/>
  <c r="E1233" i="14"/>
  <c r="E1105" i="14"/>
  <c r="E1144" i="14"/>
  <c r="E1410" i="14"/>
  <c r="E1458" i="14"/>
  <c r="E1624" i="14"/>
  <c r="E1690" i="14"/>
  <c r="E1554" i="14"/>
  <c r="E2008" i="14"/>
  <c r="E1713" i="14"/>
  <c r="E1155" i="14"/>
  <c r="E2011" i="14"/>
  <c r="E1610" i="14"/>
  <c r="E1411" i="14"/>
  <c r="E1551" i="14"/>
  <c r="E1295" i="14"/>
  <c r="E1706" i="14"/>
  <c r="E1459" i="14"/>
  <c r="E1743" i="14"/>
  <c r="E1826" i="14"/>
  <c r="E1086" i="14"/>
  <c r="E2016" i="14"/>
  <c r="E2022" i="14"/>
  <c r="E1109" i="14"/>
  <c r="E1474" i="14"/>
  <c r="E1502" i="14"/>
  <c r="E1273" i="14"/>
  <c r="E1250" i="14"/>
  <c r="E1694" i="14"/>
  <c r="E1371" i="14"/>
  <c r="E1475" i="14"/>
  <c r="E1795" i="14"/>
  <c r="E1929" i="14"/>
  <c r="E1930" i="14"/>
  <c r="E2028" i="14"/>
  <c r="E1090" i="14"/>
  <c r="E1907" i="14"/>
  <c r="E2023" i="14"/>
  <c r="E1593" i="14"/>
  <c r="E1169" i="14"/>
  <c r="E1258" i="14"/>
  <c r="E2051" i="14"/>
  <c r="E2058" i="14"/>
  <c r="E1374" i="14"/>
  <c r="E1218" i="14"/>
  <c r="E1493" i="14"/>
  <c r="E1388" i="14"/>
  <c r="E1731" i="14"/>
  <c r="E1417" i="14"/>
  <c r="E1898" i="14"/>
  <c r="E1877" i="14"/>
  <c r="E1772" i="14"/>
  <c r="E1248" i="14"/>
  <c r="E1254" i="14"/>
  <c r="E1964" i="14"/>
  <c r="E1306" i="14"/>
  <c r="E1472" i="14"/>
  <c r="E1478" i="14"/>
  <c r="E1369" i="14"/>
  <c r="E1336" i="14"/>
  <c r="E2018" i="14"/>
  <c r="E1106" i="14"/>
  <c r="E1563" i="14"/>
  <c r="E1987" i="14"/>
  <c r="E1165" i="14"/>
  <c r="E2026" i="14"/>
  <c r="E1246" i="14"/>
  <c r="E1581" i="14"/>
  <c r="E1735" i="14"/>
  <c r="E1186" i="14"/>
  <c r="E1376" i="14"/>
  <c r="E1382" i="14"/>
  <c r="E1810" i="14"/>
  <c r="E1237" i="14"/>
  <c r="E1132" i="14"/>
  <c r="E1667" i="14"/>
  <c r="E1309" i="14"/>
  <c r="E1866" i="14"/>
  <c r="E1954" i="14"/>
  <c r="E1598" i="14"/>
  <c r="E1340" i="14"/>
  <c r="E1238" i="14"/>
  <c r="E1802" i="14"/>
  <c r="E1938" i="14"/>
  <c r="E1923" i="14"/>
  <c r="E1669" i="14"/>
  <c r="E1994" i="14"/>
  <c r="E1118" i="14"/>
  <c r="E1148" i="14"/>
  <c r="E1095" i="14"/>
  <c r="E1085" i="14"/>
  <c r="E1507" i="14"/>
  <c r="E1778" i="14"/>
  <c r="E1935" i="14"/>
  <c r="E1603" i="14"/>
  <c r="E1511" i="14"/>
  <c r="E1722" i="14"/>
  <c r="E1403" i="14"/>
  <c r="E2006" i="14"/>
  <c r="E1115" i="14"/>
  <c r="E1276" i="14"/>
  <c r="E1631" i="14"/>
  <c r="E1643" i="14"/>
  <c r="E2044" i="14"/>
  <c r="E1135" i="14"/>
  <c r="E1107" i="14"/>
  <c r="E1158" i="14"/>
  <c r="E1676" i="14"/>
  <c r="E1767" i="14"/>
  <c r="E1875" i="14"/>
  <c r="E1926" i="14"/>
  <c r="E1401" i="14"/>
  <c r="E1247" i="14"/>
  <c r="E1259" i="14"/>
  <c r="E1428" i="14"/>
  <c r="E1515" i="14"/>
  <c r="E1846" i="14"/>
  <c r="E1134" i="14"/>
  <c r="E1540" i="14"/>
  <c r="E1805" i="14"/>
  <c r="E1901" i="14"/>
  <c r="E1114" i="14"/>
  <c r="E1857" i="14"/>
  <c r="E1645" i="14"/>
  <c r="E1966" i="14"/>
  <c r="E1488" i="14"/>
  <c r="E1976" i="14"/>
  <c r="E1742" i="14"/>
  <c r="E1498" i="14"/>
  <c r="E1613" i="14"/>
  <c r="E1230" i="14"/>
  <c r="E2012" i="14"/>
  <c r="E1405" i="14"/>
  <c r="E2057" i="14"/>
  <c r="E1882" i="14"/>
  <c r="E1605" i="14"/>
  <c r="E1653" i="14"/>
  <c r="E1358" i="14"/>
  <c r="E1214" i="14"/>
  <c r="E1840" i="14"/>
  <c r="E1128" i="14"/>
  <c r="E1647" i="14"/>
  <c r="E1427" i="14"/>
  <c r="E1675" i="14"/>
  <c r="E1627" i="14"/>
  <c r="E1814" i="14"/>
  <c r="E1549" i="14"/>
  <c r="E1960" i="14"/>
  <c r="E1895" i="14"/>
  <c r="E1409" i="14"/>
  <c r="E1681" i="14"/>
  <c r="E1419" i="14"/>
  <c r="E1127" i="14"/>
  <c r="E1756" i="14"/>
  <c r="E1556" i="14"/>
  <c r="E1998" i="14"/>
  <c r="E1530" i="14"/>
  <c r="E1440" i="14"/>
  <c r="E1446" i="14"/>
  <c r="E1408" i="14"/>
  <c r="E1156" i="14"/>
  <c r="E1914" i="14"/>
  <c r="E1824" i="14"/>
  <c r="E1830" i="14"/>
  <c r="E1093" i="14"/>
  <c r="E1296" i="14"/>
  <c r="E1956" i="14"/>
  <c r="E1366" i="14"/>
  <c r="E1854" i="14"/>
  <c r="E1925" i="14"/>
  <c r="E2015" i="14"/>
  <c r="E1279" i="14"/>
  <c r="E1175" i="14"/>
  <c r="E1620" i="14"/>
  <c r="E1277" i="14"/>
  <c r="E1975" i="14"/>
  <c r="E1860" i="14"/>
  <c r="E1422" i="14"/>
  <c r="E1543" i="14"/>
  <c r="E1291" i="14"/>
  <c r="E1483" i="14"/>
  <c r="E2056" i="14"/>
  <c r="E1748" i="14"/>
  <c r="E1390" i="14"/>
  <c r="E1829" i="14"/>
  <c r="E2007" i="14"/>
  <c r="E1207" i="14"/>
  <c r="E1792" i="14"/>
  <c r="E1798" i="14"/>
  <c r="E1424" i="14"/>
  <c r="E1430" i="14"/>
  <c r="E1100" i="14"/>
  <c r="E1349" i="14"/>
  <c r="E1142" i="14"/>
  <c r="E1513" i="14"/>
  <c r="E1455" i="14"/>
  <c r="E1111" i="14"/>
  <c r="E1448" i="14"/>
  <c r="E1396" i="14"/>
  <c r="E2004" i="14"/>
  <c r="E1160" i="14"/>
  <c r="E1512" i="14"/>
  <c r="E1518" i="14"/>
  <c r="E1463" i="14"/>
  <c r="E1517" i="14"/>
  <c r="E1668" i="14"/>
  <c r="E2032" i="14"/>
  <c r="E1377" i="14"/>
  <c r="E1456" i="14"/>
  <c r="E1637" i="14"/>
  <c r="E1292" i="14"/>
  <c r="E1399" i="14"/>
  <c r="E1476" i="14"/>
  <c r="E1983" i="14"/>
  <c r="E1995" i="14"/>
  <c r="E1564" i="14"/>
  <c r="E1364" i="14"/>
  <c r="E1821" i="14"/>
  <c r="E1640" i="14"/>
  <c r="E1460" i="14"/>
  <c r="E1188" i="14"/>
  <c r="E1102" i="14"/>
  <c r="E2049" i="14"/>
  <c r="E1541" i="14"/>
  <c r="E1189" i="14"/>
  <c r="E1723" i="14"/>
  <c r="E1710" i="14"/>
  <c r="E1759" i="14"/>
  <c r="E1771" i="14"/>
  <c r="E1945" i="14"/>
  <c r="E1227" i="14"/>
  <c r="E1544" i="14"/>
  <c r="E1492" i="14"/>
  <c r="E1974" i="14"/>
  <c r="E1262" i="14"/>
  <c r="E1741" i="14"/>
  <c r="E2009" i="14"/>
  <c r="E1839" i="14"/>
  <c r="E1495" i="14"/>
  <c r="E1655" i="14"/>
  <c r="E1199" i="14"/>
  <c r="E1211" i="14"/>
  <c r="E1268" i="14"/>
  <c r="E1317" i="14"/>
  <c r="E1573" i="14"/>
  <c r="E1257" i="14"/>
  <c r="E1855" i="14"/>
  <c r="E1972" i="14"/>
  <c r="E1700" i="14"/>
  <c r="E1864" i="14"/>
  <c r="E1412" i="14"/>
  <c r="E1776" i="14"/>
  <c r="E1328" i="14"/>
  <c r="E1934" i="14"/>
  <c r="E1806" i="14"/>
  <c r="E1689" i="14"/>
  <c r="E1576" i="14"/>
  <c r="E1582" i="14"/>
  <c r="E1124" i="14"/>
  <c r="E1251" i="14"/>
  <c r="E1437" i="14"/>
  <c r="E1922" i="14"/>
  <c r="E1557" i="14"/>
  <c r="E1452" i="14"/>
  <c r="E1891" i="14"/>
  <c r="E1970" i="14"/>
  <c r="E1157" i="14"/>
  <c r="E1322" i="14"/>
  <c r="E1825" i="14"/>
  <c r="E1150" i="14"/>
  <c r="E1981" i="14"/>
  <c r="E1162" i="14"/>
  <c r="E1630" i="14"/>
  <c r="E2014" i="14"/>
  <c r="E1378" i="14"/>
  <c r="E1183" i="14"/>
  <c r="E1307" i="14"/>
  <c r="E1522" i="14"/>
  <c r="E1880" i="14"/>
  <c r="E1585" i="14"/>
  <c r="E1091" i="14"/>
  <c r="E1755" i="14"/>
  <c r="E1555" i="14"/>
  <c r="E2050" i="14"/>
  <c r="E1763" i="14"/>
  <c r="E1906" i="14"/>
  <c r="E1673" i="14"/>
  <c r="E2005" i="14"/>
  <c r="E1900" i="14"/>
  <c r="E1859" i="14"/>
  <c r="E2001" i="14"/>
  <c r="E1953" i="14"/>
  <c r="E1443" i="14"/>
  <c r="E1746" i="14"/>
  <c r="E1679" i="14"/>
  <c r="E1197" i="14"/>
  <c r="E1351" i="14"/>
  <c r="E1120" i="14"/>
  <c r="E1126" i="14"/>
  <c r="E1271" i="14"/>
  <c r="E1597" i="14"/>
  <c r="E1242" i="14"/>
  <c r="E1884" i="14"/>
  <c r="E1941" i="14"/>
  <c r="E1834" i="14"/>
  <c r="E1528" i="14"/>
  <c r="E1699" i="14"/>
  <c r="E1874" i="14"/>
  <c r="E1161" i="14"/>
  <c r="E1749" i="14"/>
  <c r="E1644" i="14"/>
  <c r="E1666" i="14"/>
  <c r="E1873" i="14"/>
  <c r="E1441" i="14"/>
  <c r="E1379" i="14"/>
  <c r="E1714" i="14"/>
  <c r="E1423" i="14"/>
  <c r="E1946" i="14"/>
  <c r="E1342" i="14"/>
  <c r="E1129" i="14"/>
  <c r="E1170" i="14"/>
  <c r="E2063" i="14"/>
  <c r="E1651" i="14"/>
  <c r="E1487" i="14"/>
  <c r="E1794" i="14"/>
  <c r="E1261" i="14"/>
  <c r="E1635" i="14"/>
  <c r="E1842" i="14"/>
  <c r="E2040" i="14"/>
  <c r="E1634" i="14"/>
  <c r="E1745" i="14"/>
  <c r="E1315" i="14"/>
  <c r="E1695" i="14"/>
  <c r="E1707" i="14"/>
  <c r="E1313" i="14"/>
  <c r="E1811" i="14"/>
  <c r="E1255" i="14"/>
  <c r="E1619" i="14"/>
  <c r="E1195" i="14"/>
  <c r="E1413" i="14"/>
  <c r="E1331" i="14"/>
  <c r="E1231" i="14"/>
  <c r="E1762" i="14"/>
  <c r="E1717" i="14"/>
  <c r="E1571" i="14"/>
  <c r="E1951" i="14"/>
  <c r="E1963" i="14"/>
  <c r="E1662" i="14"/>
  <c r="E1393" i="14"/>
  <c r="E1947" i="14"/>
  <c r="E1912" i="14"/>
  <c r="E1602" i="14"/>
  <c r="E1617" i="14"/>
  <c r="E1501" i="14"/>
  <c r="E1969" i="14"/>
  <c r="E1221" i="14"/>
  <c r="E1269" i="14"/>
  <c r="E1146" i="14"/>
  <c r="E1116" i="14"/>
  <c r="E1477" i="14"/>
  <c r="E1385" i="14"/>
  <c r="E1815" i="14"/>
  <c r="E1996" i="14"/>
  <c r="E1809" i="14"/>
  <c r="E1449" i="14"/>
  <c r="E1473" i="14"/>
  <c r="E1724" i="14"/>
  <c r="E1294" i="14"/>
  <c r="E1372" i="14"/>
  <c r="E1088" i="14"/>
  <c r="E1094" i="14"/>
  <c r="E1733" i="14"/>
  <c r="E1781" i="14"/>
  <c r="E1081" i="14"/>
  <c r="E1588" i="14"/>
  <c r="E1924" i="14"/>
  <c r="E1210" i="14"/>
  <c r="E1288" i="14"/>
  <c r="E1239" i="14"/>
  <c r="E1856" i="14"/>
  <c r="E1862" i="14"/>
  <c r="E1871" i="14"/>
  <c r="E1594" i="14"/>
  <c r="E1614" i="14"/>
  <c r="E1494" i="14"/>
  <c r="E1982" i="14"/>
  <c r="E2061" i="14"/>
  <c r="E1978" i="14"/>
  <c r="E1375" i="14"/>
  <c r="E1387" i="14"/>
  <c r="E1940" i="14"/>
  <c r="E1788" i="14"/>
  <c r="E1480" i="14"/>
  <c r="E1575" i="14"/>
  <c r="E1820" i="14"/>
  <c r="E2048" i="14"/>
  <c r="E2054" i="14"/>
  <c r="E1680" i="14"/>
  <c r="E1686" i="14"/>
  <c r="E1526" i="14"/>
  <c r="E1861" i="14"/>
  <c r="E1670" i="14"/>
  <c r="E1391" i="14"/>
  <c r="E2060" i="14"/>
  <c r="E1577" i="14"/>
  <c r="E1601" i="14"/>
  <c r="E1337" i="14"/>
  <c r="E1654" i="14"/>
  <c r="E1206" i="14"/>
  <c r="E1989" i="14"/>
  <c r="E2037" i="14"/>
  <c r="E1927" i="14"/>
  <c r="E2065" i="14"/>
  <c r="E1397" i="14"/>
  <c r="E1326" i="14"/>
  <c r="E1464" i="14"/>
  <c r="E1370" i="14"/>
  <c r="E1959" i="14"/>
  <c r="E1709" i="14"/>
  <c r="E1863" i="14"/>
  <c r="E1565" i="14"/>
  <c r="E1505" i="14"/>
  <c r="E1213" i="14"/>
  <c r="E1084" i="14"/>
  <c r="E1097" i="14"/>
  <c r="E1648" i="14"/>
  <c r="E1200" i="14"/>
  <c r="E1852" i="14"/>
  <c r="E1736" i="14"/>
  <c r="E1171" i="14"/>
  <c r="E1302" i="14"/>
  <c r="E1320" i="14"/>
  <c r="E1383" i="14"/>
  <c r="E1939" i="14"/>
  <c r="E1973" i="14"/>
  <c r="E1803" i="14"/>
  <c r="E1481" i="14"/>
  <c r="E1468" i="14"/>
  <c r="E1633" i="14"/>
  <c r="E1527" i="14"/>
  <c r="E1471" i="14"/>
  <c r="E1589" i="14"/>
  <c r="E1384" i="14"/>
  <c r="E1332" i="14"/>
  <c r="E1799" i="14"/>
  <c r="E1136" i="14"/>
  <c r="E1550" i="14"/>
  <c r="E1997" i="14"/>
  <c r="E1465" i="14"/>
  <c r="E1932" i="14"/>
  <c r="E1793" i="14"/>
  <c r="E1319" i="14"/>
  <c r="E1519" i="14"/>
  <c r="E1431" i="14"/>
  <c r="E1421" i="14"/>
  <c r="E1198" i="14"/>
  <c r="E1445" i="14"/>
  <c r="E1753" i="14"/>
  <c r="E1433" i="14"/>
  <c r="E1228" i="14"/>
  <c r="E1980" i="14"/>
  <c r="E1244" i="14"/>
  <c r="E2029" i="14"/>
  <c r="E2017" i="14"/>
  <c r="E1625" i="14"/>
  <c r="E1420" i="14"/>
  <c r="E1308" i="14"/>
  <c r="E1552" i="14"/>
  <c r="E1558" i="14"/>
  <c r="E1612" i="14"/>
  <c r="E1270" i="14"/>
  <c r="E2025" i="14"/>
  <c r="E1711" i="14"/>
  <c r="E1367" i="14"/>
  <c r="E1704" i="14"/>
  <c r="E1524" i="14"/>
  <c r="E1252" i="14"/>
  <c r="E1903" i="14"/>
  <c r="E1215" i="14"/>
  <c r="E1968" i="14"/>
  <c r="E1889" i="14"/>
  <c r="E1256" i="14"/>
  <c r="E1787" i="14"/>
  <c r="E1636" i="14"/>
  <c r="E1333" i="14"/>
  <c r="E1083" i="14"/>
  <c r="E1977" i="14"/>
  <c r="E1911" i="14"/>
  <c r="E1988" i="14"/>
  <c r="E1341" i="14"/>
  <c r="E1209" i="14"/>
  <c r="E1159" i="14"/>
  <c r="E1904" i="14"/>
  <c r="E1910" i="14"/>
  <c r="E1913" i="14"/>
  <c r="E1034" i="14" l="1"/>
  <c r="E1035" i="14" s="1"/>
  <c r="F1888" i="14"/>
  <c r="F1425" i="14"/>
  <c r="F1407" i="14"/>
  <c r="F1378" i="14"/>
  <c r="F1140" i="14"/>
  <c r="F1701" i="14"/>
  <c r="F1398" i="14"/>
  <c r="F1959" i="14"/>
  <c r="F1592" i="14"/>
  <c r="F1129" i="14"/>
  <c r="F1675" i="14"/>
  <c r="F1148" i="14"/>
  <c r="F1709" i="14"/>
  <c r="F1414" i="14"/>
  <c r="F1975" i="14"/>
  <c r="F1728" i="14"/>
  <c r="F1265" i="14"/>
  <c r="F1087" i="14"/>
  <c r="F1338" i="14"/>
  <c r="F2004" i="14"/>
  <c r="F1541" i="14"/>
  <c r="F1639" i="14"/>
  <c r="F1842" i="14"/>
  <c r="F1432" i="14"/>
  <c r="F1993" i="14"/>
  <c r="F1982" i="14"/>
  <c r="F1738" i="14"/>
  <c r="F2012" i="14"/>
  <c r="F1549" i="14"/>
  <c r="F1094" i="14"/>
  <c r="F1655" i="14"/>
  <c r="F1874" i="14"/>
  <c r="F1587" i="14"/>
  <c r="F2000" i="14"/>
  <c r="F1826" i="14"/>
  <c r="F1622" i="14"/>
  <c r="F1795" i="14"/>
  <c r="F1241" i="14"/>
  <c r="F1260" i="14"/>
  <c r="F1821" i="14"/>
  <c r="F1520" i="14"/>
  <c r="F1387" i="14"/>
  <c r="F1796" i="14"/>
  <c r="F1566" i="14"/>
  <c r="F1571" i="14"/>
  <c r="F1341" i="14"/>
  <c r="F1239" i="14"/>
  <c r="F1331" i="14"/>
  <c r="F1203" i="14"/>
  <c r="F1184" i="14"/>
  <c r="F1745" i="14"/>
  <c r="F1486" i="14"/>
  <c r="F2047" i="14"/>
  <c r="F1251" i="14"/>
  <c r="F1460" i="14"/>
  <c r="F2021" i="14"/>
  <c r="F2038" i="14"/>
  <c r="F1147" i="14"/>
  <c r="F1962" i="14"/>
  <c r="F1912" i="14"/>
  <c r="F1449" i="14"/>
  <c r="F1455" i="14"/>
  <c r="F1474" i="14"/>
  <c r="F1468" i="14"/>
  <c r="F2029" i="14"/>
  <c r="F2054" i="14"/>
  <c r="F1179" i="14"/>
  <c r="F2026" i="14"/>
  <c r="F2048" i="14"/>
  <c r="F1585" i="14"/>
  <c r="F1166" i="14"/>
  <c r="F1727" i="14"/>
  <c r="F2018" i="14"/>
  <c r="F1300" i="14"/>
  <c r="F1861" i="14"/>
  <c r="F1718" i="14"/>
  <c r="F1752" i="14"/>
  <c r="F1289" i="14"/>
  <c r="F1135" i="14"/>
  <c r="F1308" i="14"/>
  <c r="F1869" i="14"/>
  <c r="F1734" i="14"/>
  <c r="F1153" i="14"/>
  <c r="F1429" i="14"/>
  <c r="F1415" i="14"/>
  <c r="F1320" i="14"/>
  <c r="F1881" i="14"/>
  <c r="F1900" i="14"/>
  <c r="F1426" i="14"/>
  <c r="F1390" i="14"/>
  <c r="F1942" i="14"/>
  <c r="F1578" i="14"/>
  <c r="F1401" i="14"/>
  <c r="F1359" i="14"/>
  <c r="F1420" i="14"/>
  <c r="F1981" i="14"/>
  <c r="F1248" i="14"/>
  <c r="F1809" i="14"/>
  <c r="F1614" i="14"/>
  <c r="F1763" i="14"/>
  <c r="F1524" i="14"/>
  <c r="F1403" i="14"/>
  <c r="F1976" i="14"/>
  <c r="F1513" i="14"/>
  <c r="F1583" i="14"/>
  <c r="F1730" i="14"/>
  <c r="F1532" i="14"/>
  <c r="F1435" i="14"/>
  <c r="F1088" i="14"/>
  <c r="F1649" i="14"/>
  <c r="F1294" i="14"/>
  <c r="F1855" i="14"/>
  <c r="F1364" i="14"/>
  <c r="F1925" i="14"/>
  <c r="F1846" i="14"/>
  <c r="F1194" i="14"/>
  <c r="F1816" i="14"/>
  <c r="F1353" i="14"/>
  <c r="F1263" i="14"/>
  <c r="F1090" i="14"/>
  <c r="F1372" i="14"/>
  <c r="F1933" i="14"/>
  <c r="F1862" i="14"/>
  <c r="F1258" i="14"/>
  <c r="F1281" i="14"/>
  <c r="F1119" i="14"/>
  <c r="F1850" i="14"/>
  <c r="F1557" i="14"/>
  <c r="F1671" i="14"/>
  <c r="F1448" i="14"/>
  <c r="F2009" i="14"/>
  <c r="F1099" i="14"/>
  <c r="F2028" i="14"/>
  <c r="F1126" i="14"/>
  <c r="F1938" i="14"/>
  <c r="F1646" i="14"/>
  <c r="F1891" i="14"/>
  <c r="F1171" i="14"/>
  <c r="F1529" i="14"/>
  <c r="F1615" i="14"/>
  <c r="F1548" i="14"/>
  <c r="F1499" i="14"/>
  <c r="F1120" i="14"/>
  <c r="F1681" i="14"/>
  <c r="F1358" i="14"/>
  <c r="F1919" i="14"/>
  <c r="F1396" i="14"/>
  <c r="F1957" i="14"/>
  <c r="F1910" i="14"/>
  <c r="F1450" i="14"/>
  <c r="F1848" i="14"/>
  <c r="F1385" i="14"/>
  <c r="F1327" i="14"/>
  <c r="F1218" i="14"/>
  <c r="F1404" i="14"/>
  <c r="F1965" i="14"/>
  <c r="F1926" i="14"/>
  <c r="F1514" i="14"/>
  <c r="F1984" i="14"/>
  <c r="F1521" i="14"/>
  <c r="F1599" i="14"/>
  <c r="F1762" i="14"/>
  <c r="F1236" i="14"/>
  <c r="F1797" i="14"/>
  <c r="F1590" i="14"/>
  <c r="F1667" i="14"/>
  <c r="F1688" i="14"/>
  <c r="F1225" i="14"/>
  <c r="F2059" i="14"/>
  <c r="F1244" i="14"/>
  <c r="F1805" i="14"/>
  <c r="F1606" i="14"/>
  <c r="F1731" i="14"/>
  <c r="F1301" i="14"/>
  <c r="F1159" i="14"/>
  <c r="F1192" i="14"/>
  <c r="F1753" i="14"/>
  <c r="F2063" i="14"/>
  <c r="F1772" i="14"/>
  <c r="F2032" i="14"/>
  <c r="F1134" i="14"/>
  <c r="F1954" i="14"/>
  <c r="F1686" i="14"/>
  <c r="F2051" i="14"/>
  <c r="F1273" i="14"/>
  <c r="F1103" i="14"/>
  <c r="F1292" i="14"/>
  <c r="F1853" i="14"/>
  <c r="F1552" i="14"/>
  <c r="F1440" i="14"/>
  <c r="F2001" i="14"/>
  <c r="F1998" i="14"/>
  <c r="F1802" i="14"/>
  <c r="F1716" i="14"/>
  <c r="F1253" i="14"/>
  <c r="F1144" i="14"/>
  <c r="F1705" i="14"/>
  <c r="F1406" i="14"/>
  <c r="F1967" i="14"/>
  <c r="F1724" i="14"/>
  <c r="F1261" i="14"/>
  <c r="F2066" i="14"/>
  <c r="F1280" i="14"/>
  <c r="F1841" i="14"/>
  <c r="F1678" i="14"/>
  <c r="F2019" i="14"/>
  <c r="F1556" i="14"/>
  <c r="F1093" i="14"/>
  <c r="F1531" i="14"/>
  <c r="F1427" i="14"/>
  <c r="F2008" i="14"/>
  <c r="F1545" i="14"/>
  <c r="F1086" i="14"/>
  <c r="F1647" i="14"/>
  <c r="F1858" i="14"/>
  <c r="F1564" i="14"/>
  <c r="F1101" i="14"/>
  <c r="F1563" i="14"/>
  <c r="F1555" i="14"/>
  <c r="F1104" i="14"/>
  <c r="F1665" i="14"/>
  <c r="F1887" i="14"/>
  <c r="F1380" i="14"/>
  <c r="F1941" i="14"/>
  <c r="F1832" i="14"/>
  <c r="F1154" i="14"/>
  <c r="F1894" i="14"/>
  <c r="F1386" i="14"/>
  <c r="F1779" i="14"/>
  <c r="F1185" i="14"/>
  <c r="F1434" i="14"/>
  <c r="F1461" i="14"/>
  <c r="F1479" i="14"/>
  <c r="F1352" i="14"/>
  <c r="F1913" i="14"/>
  <c r="F1932" i="14"/>
  <c r="F1554" i="14"/>
  <c r="F1504" i="14"/>
  <c r="F2065" i="14"/>
  <c r="F1323" i="14"/>
  <c r="F1780" i="14"/>
  <c r="F1317" i="14"/>
  <c r="F1191" i="14"/>
  <c r="F1208" i="14"/>
  <c r="F1769" i="14"/>
  <c r="F1534" i="14"/>
  <c r="F1443" i="14"/>
  <c r="F1788" i="14"/>
  <c r="F1325" i="14"/>
  <c r="F1207" i="14"/>
  <c r="F1344" i="14"/>
  <c r="F1905" i="14"/>
  <c r="F1806" i="14"/>
  <c r="F1620" i="14"/>
  <c r="F1157" i="14"/>
  <c r="F1787" i="14"/>
  <c r="F1609" i="14"/>
  <c r="F1214" i="14"/>
  <c r="F1775" i="14"/>
  <c r="F1628" i="14"/>
  <c r="F1165" i="14"/>
  <c r="F1819" i="14"/>
  <c r="F1114" i="14"/>
  <c r="F1232" i="14"/>
  <c r="F1793" i="14"/>
  <c r="F1508" i="14"/>
  <c r="F1339" i="14"/>
  <c r="F1960" i="14"/>
  <c r="F1666" i="14"/>
  <c r="F1786" i="14"/>
  <c r="F1313" i="14"/>
  <c r="F1183" i="14"/>
  <c r="F1395" i="14"/>
  <c r="F1589" i="14"/>
  <c r="F1735" i="14"/>
  <c r="F1480" i="14"/>
  <c r="F2041" i="14"/>
  <c r="F1227" i="14"/>
  <c r="F2060" i="14"/>
  <c r="F1190" i="14"/>
  <c r="F1712" i="14"/>
  <c r="F1824" i="14"/>
  <c r="F1361" i="14"/>
  <c r="F1279" i="14"/>
  <c r="F1122" i="14"/>
  <c r="F1459" i="14"/>
  <c r="F1637" i="14"/>
  <c r="F1270" i="14"/>
  <c r="F1831" i="14"/>
  <c r="F1528" i="14"/>
  <c r="F1419" i="14"/>
  <c r="F1084" i="14"/>
  <c r="F1645" i="14"/>
  <c r="F1286" i="14"/>
  <c r="F1847" i="14"/>
  <c r="F4175" i="14"/>
  <c r="F1664" i="14"/>
  <c r="F1201" i="14"/>
  <c r="F1963" i="14"/>
  <c r="F1690" i="14"/>
  <c r="F1940" i="14"/>
  <c r="F1477" i="14"/>
  <c r="F1511" i="14"/>
  <c r="F1586" i="14"/>
  <c r="F1368" i="14"/>
  <c r="F1929" i="14"/>
  <c r="F1854" i="14"/>
  <c r="F1226" i="14"/>
  <c r="F1948" i="14"/>
  <c r="F1485" i="14"/>
  <c r="F1527" i="14"/>
  <c r="F1618" i="14"/>
  <c r="F1722" i="14"/>
  <c r="F1872" i="14"/>
  <c r="F1314" i="14"/>
  <c r="F1366" i="14"/>
  <c r="F1113" i="14"/>
  <c r="F1132" i="14"/>
  <c r="F1693" i="14"/>
  <c r="F1943" i="14"/>
  <c r="F1840" i="14"/>
  <c r="F1262" i="14"/>
  <c r="F1814" i="14"/>
  <c r="F1337" i="14"/>
  <c r="F1231" i="14"/>
  <c r="F1356" i="14"/>
  <c r="F1917" i="14"/>
  <c r="F1454" i="14"/>
  <c r="F1834" i="14"/>
  <c r="F2013" i="14"/>
  <c r="F1828" i="14"/>
  <c r="F2024" i="14"/>
  <c r="F1570" i="14"/>
  <c r="F1177" i="14"/>
  <c r="F1902" i="14"/>
  <c r="F1096" i="14"/>
  <c r="F1761" i="14"/>
  <c r="F1476" i="14"/>
  <c r="F2037" i="14"/>
  <c r="F1211" i="14"/>
  <c r="F1928" i="14"/>
  <c r="F1538" i="14"/>
  <c r="F1376" i="14"/>
  <c r="F1937" i="14"/>
  <c r="F1870" i="14"/>
  <c r="F1290" i="14"/>
  <c r="F1652" i="14"/>
  <c r="F1189" i="14"/>
  <c r="F1915" i="14"/>
  <c r="F1498" i="14"/>
  <c r="F1641" i="14"/>
  <c r="F1278" i="14"/>
  <c r="F1839" i="14"/>
  <c r="F1660" i="14"/>
  <c r="F1197" i="14"/>
  <c r="F1947" i="14"/>
  <c r="F2003" i="14"/>
  <c r="F1216" i="14"/>
  <c r="F1777" i="14"/>
  <c r="F1550" i="14"/>
  <c r="F1507" i="14"/>
  <c r="F1492" i="14"/>
  <c r="F2053" i="14"/>
  <c r="F1275" i="14"/>
  <c r="F1944" i="14"/>
  <c r="F1481" i="14"/>
  <c r="F1519" i="14"/>
  <c r="F1602" i="14"/>
  <c r="F1500" i="14"/>
  <c r="F2061" i="14"/>
  <c r="F1307" i="14"/>
  <c r="F1537" i="14"/>
  <c r="F1631" i="14"/>
  <c r="F1252" i="14"/>
  <c r="F1813" i="14"/>
  <c r="F1704" i="14"/>
  <c r="F1638" i="14"/>
  <c r="F1859" i="14"/>
  <c r="F1333" i="14"/>
  <c r="F1223" i="14"/>
  <c r="F1224" i="14"/>
  <c r="F1785" i="14"/>
  <c r="F1804" i="14"/>
  <c r="F1456" i="14"/>
  <c r="F1696" i="14"/>
  <c r="F1233" i="14"/>
  <c r="F1972" i="14"/>
  <c r="F1509" i="14"/>
  <c r="F1575" i="14"/>
  <c r="F1714" i="14"/>
  <c r="F1400" i="14"/>
  <c r="F1961" i="14"/>
  <c r="F1918" i="14"/>
  <c r="F1482" i="14"/>
  <c r="F1980" i="14"/>
  <c r="F1517" i="14"/>
  <c r="F1591" i="14"/>
  <c r="F1746" i="14"/>
  <c r="F1651" i="14"/>
  <c r="F1536" i="14"/>
  <c r="F1451" i="14"/>
  <c r="F1107" i="14"/>
  <c r="F1812" i="14"/>
  <c r="F1349" i="14"/>
  <c r="F1255" i="14"/>
  <c r="F1240" i="14"/>
  <c r="F1801" i="14"/>
  <c r="F1598" i="14"/>
  <c r="F1699" i="14"/>
  <c r="F1820" i="14"/>
  <c r="F1357" i="14"/>
  <c r="F1271" i="14"/>
  <c r="F1106" i="14"/>
  <c r="F1971" i="14"/>
  <c r="F1616" i="14"/>
  <c r="F1771" i="14"/>
  <c r="F1892" i="14"/>
  <c r="F1394" i="14"/>
  <c r="F1758" i="14"/>
  <c r="F1437" i="14"/>
  <c r="F1431" i="14"/>
  <c r="F4174" i="14"/>
  <c r="F1882" i="14"/>
  <c r="F1136" i="14"/>
  <c r="F1697" i="14"/>
  <c r="F1951" i="14"/>
  <c r="F1412" i="14"/>
  <c r="F1973" i="14"/>
  <c r="F1864" i="14"/>
  <c r="F1282" i="14"/>
  <c r="F1958" i="14"/>
  <c r="F1642" i="14"/>
  <c r="F1632" i="14"/>
  <c r="F1169" i="14"/>
  <c r="F1835" i="14"/>
  <c r="F1178" i="14"/>
  <c r="F1908" i="14"/>
  <c r="F1445" i="14"/>
  <c r="F1447" i="14"/>
  <c r="F1458" i="14"/>
  <c r="F1336" i="14"/>
  <c r="F1897" i="14"/>
  <c r="F1790" i="14"/>
  <c r="F1916" i="14"/>
  <c r="F1453" i="14"/>
  <c r="F1463" i="14"/>
  <c r="F1490" i="14"/>
  <c r="F4178" i="14"/>
  <c r="F1472" i="14"/>
  <c r="F2033" i="14"/>
  <c r="F2062" i="14"/>
  <c r="F1195" i="14"/>
  <c r="F2058" i="14"/>
  <c r="F1748" i="14"/>
  <c r="F1285" i="14"/>
  <c r="F1127" i="14"/>
  <c r="F1176" i="14"/>
  <c r="F1737" i="14"/>
  <c r="F1470" i="14"/>
  <c r="F2031" i="14"/>
  <c r="F1187" i="14"/>
  <c r="F1756" i="14"/>
  <c r="F1293" i="14"/>
  <c r="F1143" i="14"/>
  <c r="F1488" i="14"/>
  <c r="F2049" i="14"/>
  <c r="F1259" i="14"/>
  <c r="F1764" i="14"/>
  <c r="F1502" i="14"/>
  <c r="F1315" i="14"/>
  <c r="F1309" i="14"/>
  <c r="F1175" i="14"/>
  <c r="F1523" i="14"/>
  <c r="F1569" i="14"/>
  <c r="F1695" i="14"/>
  <c r="F1284" i="14"/>
  <c r="F1845" i="14"/>
  <c r="F1736" i="14"/>
  <c r="F1702" i="14"/>
  <c r="F1210" i="14"/>
  <c r="F1968" i="14"/>
  <c r="F1952" i="14"/>
  <c r="F1489" i="14"/>
  <c r="F1535" i="14"/>
  <c r="F1634" i="14"/>
  <c r="F1204" i="14"/>
  <c r="F1765" i="14"/>
  <c r="F1526" i="14"/>
  <c r="F1411" i="14"/>
  <c r="F1656" i="14"/>
  <c r="F1193" i="14"/>
  <c r="F1931" i="14"/>
  <c r="F1212" i="14"/>
  <c r="F1773" i="14"/>
  <c r="F1542" i="14"/>
  <c r="F1475" i="14"/>
  <c r="F1792" i="14"/>
  <c r="F1329" i="14"/>
  <c r="F1215" i="14"/>
  <c r="F1907" i="14"/>
  <c r="F1605" i="14"/>
  <c r="F1206" i="14"/>
  <c r="F1767" i="14"/>
  <c r="F1496" i="14"/>
  <c r="F2057" i="14"/>
  <c r="F1291" i="14"/>
  <c r="F1613" i="14"/>
  <c r="F1222" i="14"/>
  <c r="F1783" i="14"/>
  <c r="F1326" i="14"/>
  <c r="F1878" i="14"/>
  <c r="F1322" i="14"/>
  <c r="F1369" i="14"/>
  <c r="F1295" i="14"/>
  <c r="F1388" i="14"/>
  <c r="F1949" i="14"/>
  <c r="F1648" i="14"/>
  <c r="F1899" i="14"/>
  <c r="F1924" i="14"/>
  <c r="F1522" i="14"/>
  <c r="F1822" i="14"/>
  <c r="F1098" i="14"/>
  <c r="F1469" i="14"/>
  <c r="F1495" i="14"/>
  <c r="F4182" i="14"/>
  <c r="F1082" i="14"/>
  <c r="F2016" i="14"/>
  <c r="F1553" i="14"/>
  <c r="F1102" i="14"/>
  <c r="F1663" i="14"/>
  <c r="F1890" i="14"/>
  <c r="F1268" i="14"/>
  <c r="F1829" i="14"/>
  <c r="F1654" i="14"/>
  <c r="F1923" i="14"/>
  <c r="F1720" i="14"/>
  <c r="F1257" i="14"/>
  <c r="F1276" i="14"/>
  <c r="F1837" i="14"/>
  <c r="F1670" i="14"/>
  <c r="F1987" i="14"/>
  <c r="F1856" i="14"/>
  <c r="F1393" i="14"/>
  <c r="F1343" i="14"/>
  <c r="F1250" i="14"/>
  <c r="F1108" i="14"/>
  <c r="F1669" i="14"/>
  <c r="F1334" i="14"/>
  <c r="F1895" i="14"/>
  <c r="F1560" i="14"/>
  <c r="F1097" i="14"/>
  <c r="F1547" i="14"/>
  <c r="F1116" i="14"/>
  <c r="F1677" i="14"/>
  <c r="F1350" i="14"/>
  <c r="F1911" i="14"/>
  <c r="F4183" i="14"/>
  <c r="F1582" i="14"/>
  <c r="F1635" i="14"/>
  <c r="F1497" i="14"/>
  <c r="F1551" i="14"/>
  <c r="F1516" i="14"/>
  <c r="F1371" i="14"/>
  <c r="F1776" i="14"/>
  <c r="F2052" i="14"/>
  <c r="F1174" i="14"/>
  <c r="F2034" i="14"/>
  <c r="F1597" i="14"/>
  <c r="F1751" i="14"/>
  <c r="F1914" i="14"/>
  <c r="F4181" i="14"/>
  <c r="F1296" i="14"/>
  <c r="F1312" i="14"/>
  <c r="F1873" i="14"/>
  <c r="F1742" i="14"/>
  <c r="F1588" i="14"/>
  <c r="F1125" i="14"/>
  <c r="F1659" i="14"/>
  <c r="F1939" i="14"/>
  <c r="F2040" i="14"/>
  <c r="F1577" i="14"/>
  <c r="F1150" i="14"/>
  <c r="F1711" i="14"/>
  <c r="F1986" i="14"/>
  <c r="F1596" i="14"/>
  <c r="F1133" i="14"/>
  <c r="F1691" i="14"/>
  <c r="F1152" i="14"/>
  <c r="F1713" i="14"/>
  <c r="F1422" i="14"/>
  <c r="F1983" i="14"/>
  <c r="F1428" i="14"/>
  <c r="F1989" i="14"/>
  <c r="F1974" i="14"/>
  <c r="F1706" i="14"/>
  <c r="F1880" i="14"/>
  <c r="F1417" i="14"/>
  <c r="F1391" i="14"/>
  <c r="F1346" i="14"/>
  <c r="F1436" i="14"/>
  <c r="F1997" i="14"/>
  <c r="F1990" i="14"/>
  <c r="F1770" i="14"/>
  <c r="F1409" i="14"/>
  <c r="F1375" i="14"/>
  <c r="F1124" i="14"/>
  <c r="F1297" i="14"/>
  <c r="F1703" i="14"/>
  <c r="F2025" i="14"/>
  <c r="F2044" i="14"/>
  <c r="F2002" i="14"/>
  <c r="F1600" i="14"/>
  <c r="F1707" i="14"/>
  <c r="F1399" i="14"/>
  <c r="F1562" i="14"/>
  <c r="F2020" i="14"/>
  <c r="F2014" i="14"/>
  <c r="F1264" i="14"/>
  <c r="F1794" i="14"/>
  <c r="F1568" i="14"/>
  <c r="F1579" i="14"/>
  <c r="F1844" i="14"/>
  <c r="F1202" i="14"/>
  <c r="F1662" i="14"/>
  <c r="F1955" i="14"/>
  <c r="F1389" i="14"/>
  <c r="F1335" i="14"/>
  <c r="F1402" i="14"/>
  <c r="F1235" i="14"/>
  <c r="F1934" i="14"/>
  <c r="F1546" i="14"/>
  <c r="F1221" i="14"/>
  <c r="F1112" i="14"/>
  <c r="F1673" i="14"/>
  <c r="F1903" i="14"/>
  <c r="F1692" i="14"/>
  <c r="F1360" i="14"/>
  <c r="F1685" i="14"/>
  <c r="F1851" i="14"/>
  <c r="F1625" i="14"/>
  <c r="F1611" i="14"/>
  <c r="F1181" i="14"/>
  <c r="F1883" i="14"/>
  <c r="F1430" i="14"/>
  <c r="F1725" i="14"/>
  <c r="F1121" i="14"/>
  <c r="F1823" i="14"/>
  <c r="F1860" i="14"/>
  <c r="F1351" i="14"/>
  <c r="F1800" i="14"/>
  <c r="F1694" i="14"/>
  <c r="F1868" i="14"/>
  <c r="F1830" i="14"/>
  <c r="F1658" i="14"/>
  <c r="F1123" i="14"/>
  <c r="F1423" i="14"/>
  <c r="F1857" i="14"/>
  <c r="F1118" i="14"/>
  <c r="F1936" i="14"/>
  <c r="F1283" i="14"/>
  <c r="F2011" i="14"/>
  <c r="F1249" i="14"/>
  <c r="F1607" i="14"/>
  <c r="F1487" i="14"/>
  <c r="F1996" i="14"/>
  <c r="F1623" i="14"/>
  <c r="F1384" i="14"/>
  <c r="F1815" i="14"/>
  <c r="F4172" i="14"/>
  <c r="F1287" i="14"/>
  <c r="F1674" i="14"/>
  <c r="F1689" i="14"/>
  <c r="F1439" i="14"/>
  <c r="F1608" i="14"/>
  <c r="F1446" i="14"/>
  <c r="F1889" i="14"/>
  <c r="F1604" i="14"/>
  <c r="F1723" i="14"/>
  <c r="F2056" i="14"/>
  <c r="F1182" i="14"/>
  <c r="F2050" i="14"/>
  <c r="F1149" i="14"/>
  <c r="F1267" i="14"/>
  <c r="F2005" i="14"/>
  <c r="F1410" i="14"/>
  <c r="F1715" i="14"/>
  <c r="F1580" i="14"/>
  <c r="F1601" i="14"/>
  <c r="F1473" i="14"/>
  <c r="F2055" i="14"/>
  <c r="F1747" i="14"/>
  <c r="F1392" i="14"/>
  <c r="F4180" i="14"/>
  <c r="F1146" i="14"/>
  <c r="F2030" i="14"/>
  <c r="F1930" i="14"/>
  <c r="F1269" i="14"/>
  <c r="F1095" i="14"/>
  <c r="F1160" i="14"/>
  <c r="F1721" i="14"/>
  <c r="F1999" i="14"/>
  <c r="F1740" i="14"/>
  <c r="F2027" i="14"/>
  <c r="F1559" i="14"/>
  <c r="F1750" i="14"/>
  <c r="F1768" i="14"/>
  <c r="F1700" i="14"/>
  <c r="F1374" i="14"/>
  <c r="F2036" i="14"/>
  <c r="F1970" i="14"/>
  <c r="F2046" i="14"/>
  <c r="F1581" i="14"/>
  <c r="F1137" i="14"/>
  <c r="F1383" i="14"/>
  <c r="F1865" i="14"/>
  <c r="F1884" i="14"/>
  <c r="F1362" i="14"/>
  <c r="F1744" i="14"/>
  <c r="F1110" i="14"/>
  <c r="F1866" i="14"/>
  <c r="F1825" i="14"/>
  <c r="F1467" i="14"/>
  <c r="F1085" i="14"/>
  <c r="F1230" i="14"/>
  <c r="F1782" i="14"/>
  <c r="F1321" i="14"/>
  <c r="F1199" i="14"/>
  <c r="F1340" i="14"/>
  <c r="F1901" i="14"/>
  <c r="F1457" i="14"/>
  <c r="F1471" i="14"/>
  <c r="F1172" i="14"/>
  <c r="F1733" i="14"/>
  <c r="F2023" i="14"/>
  <c r="F1624" i="14"/>
  <c r="F1803" i="14"/>
  <c r="F1478" i="14"/>
  <c r="F1219" i="14"/>
  <c r="F1162" i="14"/>
  <c r="F1242" i="14"/>
  <c r="F1904" i="14"/>
  <c r="F2007" i="14"/>
  <c r="F1633" i="14"/>
  <c r="F1643" i="14"/>
  <c r="F1397" i="14"/>
  <c r="F1367" i="14"/>
  <c r="F4173" i="14"/>
  <c r="F1452" i="14"/>
  <c r="F1138" i="14"/>
  <c r="F1572" i="14"/>
  <c r="F1922" i="14"/>
  <c r="F1759" i="14"/>
  <c r="F1657" i="14"/>
  <c r="F1379" i="14"/>
  <c r="F1525" i="14"/>
  <c r="F1778" i="14"/>
  <c r="F1465" i="14"/>
  <c r="F1533" i="14"/>
  <c r="F1243" i="14"/>
  <c r="F1946" i="14"/>
  <c r="F1945" i="14"/>
  <c r="F1682" i="14"/>
  <c r="F1256" i="14"/>
  <c r="F1630" i="14"/>
  <c r="F1237" i="14"/>
  <c r="F1935" i="14"/>
  <c r="F1156" i="14"/>
  <c r="F1091" i="14"/>
  <c r="F1328" i="14"/>
  <c r="F1186" i="14"/>
  <c r="F1302" i="14"/>
  <c r="F1081" i="14"/>
  <c r="F1100" i="14"/>
  <c r="F1661" i="14"/>
  <c r="F1879" i="14"/>
  <c r="F4179" i="14"/>
  <c r="F1729" i="14"/>
  <c r="F1083" i="14"/>
  <c r="F1515" i="14"/>
  <c r="F1710" i="14"/>
  <c r="F1683" i="14"/>
  <c r="F1316" i="14"/>
  <c r="F1503" i="14"/>
  <c r="F1640" i="14"/>
  <c r="F1510" i="14"/>
  <c r="F1170" i="14"/>
  <c r="F1953" i="14"/>
  <c r="F1979" i="14"/>
  <c r="F1213" i="14"/>
  <c r="F1505" i="14"/>
  <c r="F1567" i="14"/>
  <c r="F1220" i="14"/>
  <c r="F1781" i="14"/>
  <c r="F1672" i="14"/>
  <c r="F1995" i="14"/>
  <c r="F1574" i="14"/>
  <c r="F1603" i="14"/>
  <c r="F1139" i="14"/>
  <c r="F1956" i="14"/>
  <c r="F1886" i="14"/>
  <c r="F1621" i="14"/>
  <c r="F1355" i="14"/>
  <c r="F1836" i="14"/>
  <c r="F1151" i="14"/>
  <c r="F1573" i="14"/>
  <c r="F1464" i="14"/>
  <c r="F1163" i="14"/>
  <c r="F1158" i="14"/>
  <c r="F1876" i="14"/>
  <c r="F1330" i="14"/>
  <c r="F1726" i="14"/>
  <c r="F1421" i="14"/>
  <c r="F1530" i="14"/>
  <c r="F1906" i="14"/>
  <c r="F1565" i="14"/>
  <c r="F1992" i="14"/>
  <c r="F1200" i="14"/>
  <c r="F1105" i="14"/>
  <c r="F1619" i="14"/>
  <c r="F1381" i="14"/>
  <c r="F1319" i="14"/>
  <c r="F1272" i="14"/>
  <c r="F1833" i="14"/>
  <c r="F1852" i="14"/>
  <c r="F1234" i="14"/>
  <c r="F1408" i="14"/>
  <c r="F1969" i="14"/>
  <c r="F1684" i="14"/>
  <c r="F2043" i="14"/>
  <c r="F1342" i="14"/>
  <c r="F1229" i="14"/>
  <c r="F1818" i="14"/>
  <c r="F1921" i="14"/>
  <c r="F1636" i="14"/>
  <c r="F1576" i="14"/>
  <c r="F1246" i="14"/>
  <c r="F1644" i="14"/>
  <c r="F1382" i="14"/>
  <c r="F1145" i="14"/>
  <c r="F1875" i="14"/>
  <c r="F1909" i="14"/>
  <c r="F1266" i="14"/>
  <c r="F1849" i="14"/>
  <c r="F1405" i="14"/>
  <c r="F1298" i="14"/>
  <c r="F2006" i="14"/>
  <c r="F1115" i="14"/>
  <c r="F1167" i="14"/>
  <c r="F1117" i="14"/>
  <c r="F1305" i="14"/>
  <c r="F1196" i="14"/>
  <c r="F4177" i="14"/>
  <c r="F1373" i="14"/>
  <c r="F1491" i="14"/>
  <c r="F1418" i="14"/>
  <c r="F1871" i="14"/>
  <c r="F1680" i="14"/>
  <c r="F1518" i="14"/>
  <c r="F1977" i="14"/>
  <c r="F1610" i="14"/>
  <c r="F2045" i="14"/>
  <c r="F1810" i="14"/>
  <c r="F4171" i="14"/>
  <c r="F1493" i="14"/>
  <c r="F1827" i="14"/>
  <c r="F1978" i="14"/>
  <c r="F1808" i="14"/>
  <c r="F1238" i="14"/>
  <c r="F1089" i="14"/>
  <c r="F1303" i="14"/>
  <c r="F1708" i="14"/>
  <c r="F1817" i="14"/>
  <c r="F1717" i="14"/>
  <c r="F1739" i="14"/>
  <c r="F1466" i="14"/>
  <c r="F1774" i="14"/>
  <c r="F1141" i="14"/>
  <c r="F1593" i="14"/>
  <c r="F1743" i="14"/>
  <c r="F1612" i="14"/>
  <c r="F1755" i="14"/>
  <c r="F2015" i="14"/>
  <c r="F1896" i="14"/>
  <c r="F2022" i="14"/>
  <c r="F1877" i="14"/>
  <c r="F1561" i="14"/>
  <c r="F1627" i="14"/>
  <c r="F1843" i="14"/>
  <c r="F1188" i="14"/>
  <c r="F1347" i="14"/>
  <c r="F1168" i="14"/>
  <c r="F2017" i="14"/>
  <c r="F1131" i="14"/>
  <c r="F1732" i="14"/>
  <c r="F1438" i="14"/>
  <c r="F1277" i="14"/>
  <c r="F1111" i="14"/>
  <c r="F1594" i="14"/>
  <c r="F1354" i="14"/>
  <c r="F2064" i="14"/>
  <c r="F1345" i="14"/>
  <c r="F1799" i="14"/>
  <c r="F1198" i="14"/>
  <c r="F1985" i="14"/>
  <c r="F1245" i="14"/>
  <c r="F2035" i="14"/>
  <c r="F1324" i="14"/>
  <c r="F1760" i="14"/>
  <c r="F1142" i="14"/>
  <c r="F1994" i="14"/>
  <c r="F1719" i="14"/>
  <c r="F1274" i="14"/>
  <c r="F1413" i="14"/>
  <c r="F1304" i="14"/>
  <c r="F1687" i="14"/>
  <c r="F1540" i="14"/>
  <c r="F1299" i="14"/>
  <c r="F1306" i="14"/>
  <c r="F1617" i="14"/>
  <c r="F1791" i="14"/>
  <c r="F1332" i="14"/>
  <c r="F1893" i="14"/>
  <c r="F1784" i="14"/>
  <c r="F1798" i="14"/>
  <c r="F1920" i="14"/>
  <c r="F1506" i="14"/>
  <c r="F1462" i="14"/>
  <c r="F1155" i="14"/>
  <c r="F1161" i="14"/>
  <c r="F1180" i="14"/>
  <c r="F1741" i="14"/>
  <c r="F2039" i="14"/>
  <c r="F1838" i="14"/>
  <c r="F1173" i="14"/>
  <c r="F1927" i="14"/>
  <c r="F1807" i="14"/>
  <c r="F1442" i="14"/>
  <c r="F1164" i="14"/>
  <c r="F1424" i="14"/>
  <c r="F1348" i="14"/>
  <c r="F1288" i="14"/>
  <c r="F1130" i="14"/>
  <c r="F1433" i="14"/>
  <c r="F1595" i="14"/>
  <c r="F1811" i="14"/>
  <c r="F1885" i="14"/>
  <c r="F1494" i="14"/>
  <c r="F1757" i="14"/>
  <c r="F1205" i="14"/>
  <c r="F1676" i="14"/>
  <c r="F1988" i="14"/>
  <c r="F1416" i="14"/>
  <c r="F1950" i="14"/>
  <c r="F1484" i="14"/>
  <c r="F1217" i="14"/>
  <c r="F1543" i="14"/>
  <c r="F1964" i="14"/>
  <c r="F1629" i="14"/>
  <c r="F2042" i="14"/>
  <c r="F1966" i="14"/>
  <c r="F1128" i="14"/>
  <c r="F1766" i="14"/>
  <c r="F4176" i="14"/>
  <c r="F1441" i="14"/>
  <c r="F1991" i="14"/>
  <c r="F1377" i="14"/>
  <c r="F1311" i="14"/>
  <c r="F1092" i="14"/>
  <c r="F1653" i="14"/>
  <c r="F1863" i="14"/>
  <c r="F1544" i="14"/>
  <c r="F1483" i="14"/>
  <c r="F1318" i="14"/>
  <c r="F2010" i="14"/>
  <c r="F1444" i="14"/>
  <c r="F1898" i="14"/>
  <c r="F1109" i="14"/>
  <c r="F1679" i="14"/>
  <c r="F1749" i="14"/>
  <c r="F1867" i="14"/>
  <c r="F1626" i="14"/>
  <c r="F1754" i="14"/>
  <c r="F1668" i="14"/>
  <c r="F1310" i="14"/>
  <c r="F1370" i="14"/>
  <c r="F1584" i="14"/>
  <c r="F1698" i="14"/>
  <c r="F1558" i="14"/>
  <c r="F1539" i="14"/>
  <c r="F1209" i="14"/>
  <c r="F1228" i="14"/>
  <c r="F1789" i="14"/>
  <c r="F1650" i="14"/>
  <c r="F1501" i="14"/>
  <c r="F1363" i="14"/>
  <c r="F1247" i="14"/>
  <c r="F1512" i="14"/>
  <c r="F1254" i="14"/>
  <c r="F1365" i="14"/>
  <c r="J1850" i="14" l="1"/>
  <c r="B1850" i="14" s="1"/>
  <c r="J1838" i="14"/>
  <c r="B1838" i="14" s="1"/>
  <c r="J1920" i="14"/>
  <c r="B1920" i="14" s="1"/>
  <c r="J1649" i="14"/>
  <c r="B1649" i="14" s="1"/>
  <c r="J1536" i="14"/>
  <c r="B1536" i="14" s="1"/>
  <c r="J1818" i="14"/>
  <c r="B1818" i="14" s="1"/>
  <c r="J1174" i="14"/>
  <c r="B1174" i="14" s="1"/>
  <c r="J2022" i="14"/>
  <c r="B2022" i="14" s="1"/>
  <c r="J1882" i="14"/>
  <c r="B1882" i="14" s="1"/>
  <c r="J1093" i="14"/>
  <c r="B1093" i="14" s="1"/>
  <c r="J1945" i="14"/>
  <c r="B1945" i="14" s="1"/>
  <c r="J2034" i="14"/>
  <c r="B2034" i="14" s="1"/>
  <c r="J1435" i="14"/>
  <c r="B1435" i="14" s="1"/>
  <c r="J1173" i="14"/>
  <c r="B1173" i="14" s="1"/>
  <c r="J1908" i="14"/>
  <c r="B1908" i="14" s="1"/>
  <c r="J1179" i="14"/>
  <c r="B1179" i="14" s="1"/>
  <c r="J1329" i="14"/>
  <c r="B1329" i="14" s="1"/>
  <c r="J1728" i="14"/>
  <c r="B1728" i="14" s="1"/>
  <c r="J1551" i="14"/>
  <c r="B1551" i="14" s="1"/>
  <c r="J1132" i="14"/>
  <c r="B1132" i="14" s="1"/>
  <c r="J1488" i="14"/>
  <c r="B1488" i="14" s="1"/>
  <c r="J1792" i="14"/>
  <c r="B1792" i="14" s="1"/>
  <c r="J1188" i="14"/>
  <c r="B1188" i="14" s="1"/>
  <c r="J1346" i="14"/>
  <c r="B1346" i="14" s="1"/>
  <c r="J1774" i="14"/>
  <c r="B1774" i="14" s="1"/>
  <c r="J1899" i="14"/>
  <c r="B1899" i="14" s="1"/>
  <c r="J1849" i="14"/>
  <c r="B1849" i="14" s="1"/>
  <c r="J1754" i="14"/>
  <c r="B1754" i="14" s="1"/>
  <c r="J1417" i="14"/>
  <c r="B1417" i="14" s="1"/>
  <c r="J1107" i="14"/>
  <c r="B1107" i="14" s="1"/>
  <c r="J1111" i="14"/>
  <c r="B1111" i="14" s="1"/>
  <c r="J1760" i="14"/>
  <c r="B1760" i="14" s="1"/>
  <c r="J1151" i="14"/>
  <c r="B1151" i="14" s="1"/>
  <c r="J1784" i="14"/>
  <c r="B1784" i="14" s="1"/>
  <c r="J1674" i="14"/>
  <c r="B1674" i="14" s="1"/>
  <c r="J1418" i="14"/>
  <c r="B1418" i="14" s="1"/>
  <c r="J1407" i="14"/>
  <c r="B1407" i="14" s="1"/>
  <c r="J1314" i="14"/>
  <c r="B1314" i="14" s="1"/>
  <c r="J1472" i="14"/>
  <c r="B1472" i="14" s="1"/>
  <c r="J1118" i="14"/>
  <c r="B1118" i="14" s="1"/>
  <c r="J1247" i="14"/>
  <c r="B1247" i="14" s="1"/>
  <c r="J1647" i="14"/>
  <c r="B1647" i="14" s="1"/>
  <c r="J2015" i="14"/>
  <c r="B2015" i="14" s="1"/>
  <c r="J1517" i="14"/>
  <c r="B1517" i="14" s="1"/>
  <c r="J2009" i="14"/>
  <c r="B2009" i="14" s="1"/>
  <c r="J1744" i="14"/>
  <c r="B1744" i="14" s="1"/>
  <c r="J1578" i="14"/>
  <c r="B1578" i="14" s="1"/>
  <c r="J1212" i="14"/>
  <c r="B1212" i="14" s="1"/>
  <c r="J1139" i="14"/>
  <c r="B1139" i="14" s="1"/>
  <c r="J1907" i="14"/>
  <c r="B1907" i="14" s="1"/>
  <c r="J1165" i="14"/>
  <c r="B1165" i="14" s="1"/>
  <c r="J1134" i="14"/>
  <c r="B1134" i="14" s="1"/>
  <c r="J1409" i="14"/>
  <c r="B1409" i="14" s="1"/>
  <c r="J1483" i="14"/>
  <c r="B1483" i="14" s="1"/>
  <c r="J1399" i="14"/>
  <c r="B1399" i="14" s="1"/>
  <c r="J1573" i="14"/>
  <c r="B1573" i="14" s="1"/>
  <c r="J1301" i="14"/>
  <c r="B1301" i="14" s="1"/>
  <c r="J1944" i="14"/>
  <c r="B1944" i="14" s="1"/>
  <c r="J1991" i="14"/>
  <c r="B1991" i="14" s="1"/>
  <c r="J1628" i="14"/>
  <c r="B1628" i="14" s="1"/>
  <c r="J1168" i="14"/>
  <c r="B1168" i="14" s="1"/>
  <c r="J1697" i="14"/>
  <c r="B1697" i="14" s="1"/>
  <c r="J1297" i="14"/>
  <c r="B1297" i="14" s="1"/>
  <c r="J1706" i="14"/>
  <c r="B1706" i="14" s="1"/>
  <c r="J1877" i="14"/>
  <c r="B1877" i="14" s="1"/>
  <c r="J1309" i="14"/>
  <c r="B1309" i="14" s="1"/>
  <c r="J1676" i="14"/>
  <c r="B1676" i="14" s="1"/>
  <c r="J1428" i="14"/>
  <c r="B1428" i="14" s="1"/>
  <c r="J1653" i="14"/>
  <c r="B1653" i="14" s="1"/>
  <c r="J1675" i="14"/>
  <c r="B1675" i="14" s="1"/>
  <c r="J1419" i="14"/>
  <c r="B1419" i="14" s="1"/>
  <c r="J1156" i="14"/>
  <c r="B1156" i="14" s="1"/>
  <c r="J1956" i="14"/>
  <c r="B1956" i="14" s="1"/>
  <c r="J1277" i="14"/>
  <c r="B1277" i="14" s="1"/>
  <c r="J1748" i="14"/>
  <c r="B1748" i="14" s="1"/>
  <c r="J1668" i="14"/>
  <c r="B1668" i="14" s="1"/>
  <c r="J1476" i="14"/>
  <c r="B1476" i="14" s="1"/>
  <c r="J2049" i="14"/>
  <c r="B2049" i="14" s="1"/>
  <c r="J1495" i="14"/>
  <c r="B1495" i="14" s="1"/>
  <c r="J1972" i="14"/>
  <c r="B1972" i="14" s="1"/>
  <c r="J1167" i="14"/>
  <c r="B1167" i="14" s="1"/>
  <c r="J1715" i="14"/>
  <c r="B1715" i="14" s="1"/>
  <c r="J1504" i="14"/>
  <c r="B1504" i="14" s="1"/>
  <c r="J1137" i="14"/>
  <c r="B1137" i="14" s="1"/>
  <c r="J1521" i="14"/>
  <c r="B1521" i="14" s="1"/>
  <c r="J1622" i="14"/>
  <c r="B1622" i="14" s="1"/>
  <c r="J1701" i="14"/>
  <c r="B1701" i="14" s="1"/>
  <c r="J1415" i="14"/>
  <c r="B1415" i="14" s="1"/>
  <c r="J1104" i="14"/>
  <c r="B1104" i="14" s="1"/>
  <c r="J1909" i="14"/>
  <c r="B1909" i="14" s="1"/>
  <c r="J1436" i="14"/>
  <c r="B1436" i="14" s="1"/>
  <c r="J1629" i="14"/>
  <c r="B1629" i="14" s="1"/>
  <c r="J1099" i="14"/>
  <c r="B1099" i="14" s="1"/>
  <c r="J2055" i="14"/>
  <c r="B2055" i="14" s="1"/>
  <c r="J1469" i="14"/>
  <c r="B1469" i="14" s="1"/>
  <c r="J1979" i="14"/>
  <c r="B1979" i="14" s="1"/>
  <c r="J1205" i="14"/>
  <c r="B1205" i="14" s="1"/>
  <c r="J1516" i="14"/>
  <c r="B1516" i="14" s="1"/>
  <c r="J1312" i="14"/>
  <c r="B1312" i="14" s="1"/>
  <c r="J1986" i="14"/>
  <c r="B1986" i="14" s="1"/>
  <c r="J1298" i="14"/>
  <c r="B1298" i="14" s="1"/>
  <c r="J1144" i="14"/>
  <c r="B1144" i="14" s="1"/>
  <c r="J1502" i="14"/>
  <c r="B1502" i="14" s="1"/>
  <c r="J1369" i="14"/>
  <c r="B1369" i="14" s="1"/>
  <c r="J1802" i="14"/>
  <c r="B1802" i="14" s="1"/>
  <c r="J1539" i="14"/>
  <c r="B1539" i="14" s="1"/>
  <c r="J1361" i="14"/>
  <c r="B1361" i="14" s="1"/>
  <c r="J1919" i="14"/>
  <c r="B1919" i="14" s="1"/>
  <c r="J1683" i="14"/>
  <c r="B1683" i="14" s="1"/>
  <c r="J1816" i="14"/>
  <c r="B1816" i="14" s="1"/>
  <c r="J1823" i="14"/>
  <c r="B1823" i="14" s="1"/>
  <c r="J1344" i="14"/>
  <c r="B1344" i="14" s="1"/>
  <c r="J1187" i="14"/>
  <c r="B1187" i="14" s="1"/>
  <c r="J1890" i="14"/>
  <c r="B1890" i="14" s="1"/>
  <c r="J1226" i="14"/>
  <c r="B1226" i="14" s="1"/>
  <c r="J1265" i="14"/>
  <c r="B1265" i="14" s="1"/>
  <c r="J1777" i="14"/>
  <c r="B1777" i="14" s="1"/>
  <c r="J1451" i="14"/>
  <c r="B1451" i="14" s="1"/>
  <c r="J1509" i="14"/>
  <c r="B1509" i="14" s="1"/>
  <c r="J1318" i="14"/>
  <c r="B1318" i="14" s="1"/>
  <c r="J1470" i="14"/>
  <c r="B1470" i="14" s="1"/>
  <c r="J1155" i="14"/>
  <c r="B1155" i="14" s="1"/>
  <c r="J1743" i="14"/>
  <c r="B1743" i="14" s="1"/>
  <c r="J1273" i="14"/>
  <c r="B1273" i="14" s="1"/>
  <c r="J1795" i="14"/>
  <c r="B1795" i="14" s="1"/>
  <c r="J1169" i="14"/>
  <c r="B1169" i="14" s="1"/>
  <c r="J1563" i="14"/>
  <c r="B1563" i="14" s="1"/>
  <c r="J1376" i="14"/>
  <c r="B1376" i="14" s="1"/>
  <c r="J1866" i="14"/>
  <c r="B1866" i="14" s="1"/>
  <c r="J1507" i="14"/>
  <c r="B1507" i="14" s="1"/>
  <c r="J1643" i="14"/>
  <c r="B1643" i="14" s="1"/>
  <c r="J1857" i="14"/>
  <c r="B1857" i="14" s="1"/>
  <c r="J1613" i="14"/>
  <c r="B1613" i="14" s="1"/>
  <c r="J1214" i="14"/>
  <c r="B1214" i="14" s="1"/>
  <c r="J1756" i="14"/>
  <c r="B1756" i="14" s="1"/>
  <c r="J1914" i="14"/>
  <c r="B1914" i="14" s="1"/>
  <c r="J1390" i="14"/>
  <c r="B1390" i="14" s="1"/>
  <c r="J1349" i="14"/>
  <c r="B1349" i="14" s="1"/>
  <c r="J1160" i="14"/>
  <c r="B1160" i="14" s="1"/>
  <c r="J1377" i="14"/>
  <c r="B1377" i="14" s="1"/>
  <c r="J1364" i="14"/>
  <c r="B1364" i="14" s="1"/>
  <c r="J1189" i="14"/>
  <c r="B1189" i="14" s="1"/>
  <c r="J1544" i="14"/>
  <c r="B1544" i="14" s="1"/>
  <c r="J1864" i="14"/>
  <c r="B1864" i="14" s="1"/>
  <c r="J1576" i="14"/>
  <c r="B1576" i="14" s="1"/>
  <c r="J1452" i="14"/>
  <c r="B1452" i="14" s="1"/>
  <c r="J1283" i="14"/>
  <c r="B1283" i="14" s="1"/>
  <c r="J1130" i="14"/>
  <c r="B1130" i="14" s="1"/>
  <c r="J1290" i="14"/>
  <c r="B1290" i="14" s="1"/>
  <c r="J1386" i="14"/>
  <c r="B1386" i="14" s="1"/>
  <c r="J1149" i="14"/>
  <c r="B1149" i="14" s="1"/>
  <c r="J1734" i="14"/>
  <c r="B1734" i="14" s="1"/>
  <c r="J1553" i="14"/>
  <c r="B1553" i="14" s="1"/>
  <c r="J1414" i="14"/>
  <c r="B1414" i="14" s="1"/>
  <c r="J1783" i="14"/>
  <c r="B1783" i="14" s="1"/>
  <c r="J1625" i="14"/>
  <c r="B1625" i="14" s="1"/>
  <c r="J1913" i="14"/>
  <c r="B1913" i="14" s="1"/>
  <c r="J1787" i="14"/>
  <c r="B1787" i="14" s="1"/>
  <c r="J1980" i="14"/>
  <c r="B1980" i="14" s="1"/>
  <c r="J1468" i="14"/>
  <c r="B1468" i="14" s="1"/>
  <c r="J1927" i="14"/>
  <c r="B1927" i="14" s="1"/>
  <c r="J1978" i="14"/>
  <c r="B1978" i="14" s="1"/>
  <c r="J1210" i="14"/>
  <c r="B1210" i="14" s="1"/>
  <c r="J1319" i="14"/>
  <c r="B1319" i="14" s="1"/>
  <c r="J1195" i="14"/>
  <c r="B1195" i="14" s="1"/>
  <c r="J1617" i="14"/>
  <c r="B1617" i="14" s="1"/>
  <c r="J1473" i="14"/>
  <c r="B1473" i="14" s="1"/>
  <c r="J1633" i="14"/>
  <c r="B1633" i="14" s="1"/>
  <c r="J2029" i="14"/>
  <c r="B2029" i="14" s="1"/>
  <c r="J1651" i="14"/>
  <c r="B1651" i="14" s="1"/>
  <c r="J2063" i="14"/>
  <c r="B2063" i="14" s="1"/>
  <c r="J1969" i="14"/>
  <c r="B1969" i="14" s="1"/>
  <c r="J1809" i="14"/>
  <c r="B1809" i="14" s="1"/>
  <c r="J1648" i="14"/>
  <c r="B1648" i="14" s="1"/>
  <c r="J1939" i="14"/>
  <c r="B1939" i="14" s="1"/>
  <c r="J1136" i="14"/>
  <c r="B1136" i="14" s="1"/>
  <c r="J1198" i="14"/>
  <c r="B1198" i="14" s="1"/>
  <c r="J1420" i="14"/>
  <c r="B1420" i="14" s="1"/>
  <c r="J1524" i="14"/>
  <c r="B1524" i="14" s="1"/>
  <c r="J1794" i="14"/>
  <c r="B1794" i="14" s="1"/>
  <c r="J1577" i="14"/>
  <c r="B1577" i="14" s="1"/>
  <c r="J1480" i="14"/>
  <c r="B1480" i="14" s="1"/>
  <c r="J1871" i="14"/>
  <c r="B1871" i="14" s="1"/>
  <c r="J1372" i="14"/>
  <c r="B1372" i="14" s="1"/>
  <c r="J1333" i="14"/>
  <c r="B1333" i="14" s="1"/>
  <c r="J2017" i="14"/>
  <c r="B2017" i="14" s="1"/>
  <c r="J1471" i="14"/>
  <c r="B1471" i="14" s="1"/>
  <c r="J1213" i="14"/>
  <c r="B1213" i="14" s="1"/>
  <c r="J1326" i="14"/>
  <c r="B1326" i="14" s="1"/>
  <c r="J2060" i="14"/>
  <c r="B2060" i="14" s="1"/>
  <c r="J1788" i="14"/>
  <c r="B1788" i="14" s="1"/>
  <c r="J1996" i="14"/>
  <c r="B1996" i="14" s="1"/>
  <c r="J1413" i="14"/>
  <c r="B1413" i="14" s="1"/>
  <c r="J1256" i="14"/>
  <c r="B1256" i="14" s="1"/>
  <c r="J1565" i="14"/>
  <c r="B1565" i="14" s="1"/>
  <c r="J1206" i="14"/>
  <c r="B1206" i="14" s="1"/>
  <c r="J1924" i="14"/>
  <c r="B1924" i="14" s="1"/>
  <c r="J1501" i="14"/>
  <c r="B1501" i="14" s="1"/>
  <c r="J2040" i="14"/>
  <c r="B2040" i="14" s="1"/>
  <c r="J2050" i="14"/>
  <c r="B2050" i="14" s="1"/>
  <c r="J1699" i="14"/>
  <c r="B1699" i="14" s="1"/>
  <c r="J1423" i="14"/>
  <c r="B1423" i="14" s="1"/>
  <c r="J1159" i="14"/>
  <c r="B1159" i="14" s="1"/>
  <c r="J1904" i="14"/>
  <c r="B1904" i="14" s="1"/>
  <c r="J1252" i="14"/>
  <c r="B1252" i="14" s="1"/>
  <c r="J1421" i="14"/>
  <c r="B1421" i="14" s="1"/>
  <c r="J1863" i="14"/>
  <c r="B1863" i="14" s="1"/>
  <c r="J1654" i="14"/>
  <c r="B1654" i="14" s="1"/>
  <c r="J2054" i="14"/>
  <c r="B2054" i="14" s="1"/>
  <c r="J1982" i="14"/>
  <c r="B1982" i="14" s="1"/>
  <c r="J1221" i="14"/>
  <c r="B1221" i="14" s="1"/>
  <c r="J1988" i="14"/>
  <c r="B1988" i="14" s="1"/>
  <c r="J1129" i="14"/>
  <c r="B1129" i="14" s="1"/>
  <c r="J1634" i="14"/>
  <c r="B1634" i="14" s="1"/>
  <c r="J1762" i="14"/>
  <c r="B1762" i="14" s="1"/>
  <c r="J1269" i="14"/>
  <c r="B1269" i="14" s="1"/>
  <c r="J1302" i="14"/>
  <c r="B1302" i="14" s="1"/>
  <c r="J1903" i="14"/>
  <c r="B1903" i="14" s="1"/>
  <c r="J1170" i="14"/>
  <c r="B1170" i="14" s="1"/>
  <c r="J1313" i="14"/>
  <c r="B1313" i="14" s="1"/>
  <c r="J1717" i="14"/>
  <c r="B1717" i="14" s="1"/>
  <c r="J1116" i="14"/>
  <c r="B1116" i="14" s="1"/>
  <c r="J1294" i="14"/>
  <c r="B1294" i="14" s="1"/>
  <c r="J1736" i="14"/>
  <c r="B1736" i="14" s="1"/>
  <c r="J1481" i="14"/>
  <c r="B1481" i="14" s="1"/>
  <c r="J1433" i="14"/>
  <c r="B1433" i="14" s="1"/>
  <c r="J1552" i="14"/>
  <c r="B1552" i="14" s="1"/>
  <c r="J1215" i="14"/>
  <c r="B1215" i="14" s="1"/>
  <c r="J1397" i="14"/>
  <c r="B1397" i="14" s="1"/>
  <c r="J1861" i="14"/>
  <c r="B1861" i="14" s="1"/>
  <c r="J1375" i="14"/>
  <c r="B1375" i="14" s="1"/>
  <c r="J1239" i="14"/>
  <c r="B1239" i="14" s="1"/>
  <c r="J1619" i="14"/>
  <c r="B1619" i="14" s="1"/>
  <c r="J2025" i="14"/>
  <c r="B2025" i="14" s="1"/>
  <c r="J1968" i="14"/>
  <c r="B1968" i="14" s="1"/>
  <c r="J1526" i="14"/>
  <c r="B1526" i="14" s="1"/>
  <c r="J1707" i="14"/>
  <c r="B1707" i="14" s="1"/>
  <c r="J1558" i="14"/>
  <c r="B1558" i="14" s="1"/>
  <c r="J1200" i="14"/>
  <c r="B1200" i="14" s="1"/>
  <c r="J1370" i="14"/>
  <c r="B1370" i="14" s="1"/>
  <c r="J1337" i="14"/>
  <c r="B1337" i="14" s="1"/>
  <c r="J1575" i="14"/>
  <c r="B1575" i="14" s="1"/>
  <c r="J1594" i="14"/>
  <c r="B1594" i="14" s="1"/>
  <c r="J1094" i="14"/>
  <c r="B1094" i="14" s="1"/>
  <c r="J1963" i="14"/>
  <c r="B1963" i="14" s="1"/>
  <c r="J1714" i="14"/>
  <c r="B1714" i="14" s="1"/>
  <c r="J1242" i="14"/>
  <c r="B1242" i="14" s="1"/>
  <c r="J1522" i="14"/>
  <c r="B1522" i="14" s="1"/>
  <c r="J1873" i="14"/>
  <c r="B1873" i="14" s="1"/>
  <c r="J1745" i="14"/>
  <c r="B1745" i="14" s="1"/>
  <c r="J1704" i="14"/>
  <c r="B1704" i="14" s="1"/>
  <c r="J1803" i="14"/>
  <c r="B1803" i="14" s="1"/>
  <c r="J1977" i="14"/>
  <c r="B1977" i="14" s="1"/>
  <c r="J1332" i="14"/>
  <c r="B1332" i="14" s="1"/>
  <c r="J1670" i="14"/>
  <c r="B1670" i="14" s="1"/>
  <c r="J1387" i="14"/>
  <c r="B1387" i="14" s="1"/>
  <c r="J1856" i="14"/>
  <c r="B1856" i="14" s="1"/>
  <c r="J1724" i="14"/>
  <c r="B1724" i="14" s="1"/>
  <c r="J1231" i="14"/>
  <c r="B1231" i="14" s="1"/>
  <c r="J1171" i="14"/>
  <c r="B1171" i="14" s="1"/>
  <c r="J1635" i="14"/>
  <c r="B1635" i="14" s="1"/>
  <c r="J1815" i="14"/>
  <c r="B1815" i="14" s="1"/>
  <c r="J1973" i="14"/>
  <c r="B1973" i="14" s="1"/>
  <c r="J1997" i="14"/>
  <c r="B1997" i="14" s="1"/>
  <c r="J1228" i="14"/>
  <c r="B1228" i="14" s="1"/>
  <c r="J1612" i="14"/>
  <c r="B1612" i="14" s="1"/>
  <c r="J1342" i="14"/>
  <c r="B1342" i="14" s="1"/>
  <c r="J1912" i="14"/>
  <c r="B1912" i="14" s="1"/>
  <c r="J1384" i="14"/>
  <c r="B1384" i="14" s="1"/>
  <c r="J1519" i="14"/>
  <c r="B1519" i="14" s="1"/>
  <c r="J1711" i="14"/>
  <c r="B1711" i="14" s="1"/>
  <c r="J1636" i="14"/>
  <c r="B1636" i="14" s="1"/>
  <c r="J1709" i="14"/>
  <c r="B1709" i="14" s="1"/>
  <c r="J2048" i="14"/>
  <c r="B2048" i="14" s="1"/>
  <c r="J1494" i="14"/>
  <c r="B1494" i="14" s="1"/>
  <c r="J1588" i="14"/>
  <c r="B1588" i="14" s="1"/>
  <c r="J1947" i="14"/>
  <c r="B1947" i="14" s="1"/>
  <c r="J1445" i="14"/>
  <c r="B1445" i="14" s="1"/>
  <c r="J1308" i="14"/>
  <c r="B1308" i="14" s="1"/>
  <c r="J1550" i="14"/>
  <c r="B1550" i="14" s="1"/>
  <c r="J1097" i="14"/>
  <c r="B1097" i="14" s="1"/>
  <c r="J1959" i="14"/>
  <c r="B1959" i="14" s="1"/>
  <c r="J1820" i="14"/>
  <c r="B1820" i="14" s="1"/>
  <c r="J1614" i="14"/>
  <c r="B1614" i="14" s="1"/>
  <c r="J1571" i="14"/>
  <c r="B1571" i="14" s="1"/>
  <c r="J1209" i="14"/>
  <c r="B1209" i="14" s="1"/>
  <c r="J1589" i="14"/>
  <c r="B1589" i="14" s="1"/>
  <c r="J2065" i="14"/>
  <c r="B2065" i="14" s="1"/>
  <c r="J1288" i="14"/>
  <c r="B1288" i="14" s="1"/>
  <c r="J1477" i="14"/>
  <c r="B1477" i="14" s="1"/>
  <c r="J1811" i="14"/>
  <c r="B1811" i="14" s="1"/>
  <c r="J1199" i="14"/>
  <c r="B1199" i="14" s="1"/>
  <c r="J1749" i="14"/>
  <c r="B1749" i="14" s="1"/>
  <c r="J1120" i="14"/>
  <c r="B1120" i="14" s="1"/>
  <c r="J1673" i="14"/>
  <c r="B1673" i="14" s="1"/>
  <c r="J1666" i="14"/>
  <c r="B1666" i="14" s="1"/>
  <c r="J1416" i="14"/>
  <c r="B1416" i="14" s="1"/>
  <c r="J1832" i="14"/>
  <c r="B1832" i="14" s="1"/>
  <c r="J2024" i="14"/>
  <c r="B2024" i="14" s="1"/>
  <c r="J1531" i="14"/>
  <c r="B1531" i="14" s="1"/>
  <c r="J1865" i="14"/>
  <c r="B1865" i="14" s="1"/>
  <c r="J1341" i="14"/>
  <c r="B1341" i="14" s="1"/>
  <c r="J1464" i="14"/>
  <c r="B1464" i="14" s="1"/>
  <c r="J1781" i="14"/>
  <c r="B1781" i="14" s="1"/>
  <c r="J1487" i="14"/>
  <c r="B1487" i="14" s="1"/>
  <c r="J1733" i="14"/>
  <c r="B1733" i="14" s="1"/>
  <c r="J1088" i="14"/>
  <c r="B1088" i="14" s="1"/>
  <c r="J2037" i="14"/>
  <c r="B2037" i="14" s="1"/>
  <c r="J1146" i="14"/>
  <c r="B1146" i="14" s="1"/>
  <c r="J1367" i="14"/>
  <c r="B1367" i="14" s="1"/>
  <c r="J1989" i="14"/>
  <c r="B1989" i="14" s="1"/>
  <c r="J1602" i="14"/>
  <c r="B1602" i="14" s="1"/>
  <c r="J1449" i="14"/>
  <c r="B1449" i="14" s="1"/>
  <c r="J1091" i="14"/>
  <c r="B1091" i="14" s="1"/>
  <c r="J1981" i="14"/>
  <c r="B1981" i="14" s="1"/>
  <c r="J1716" i="14"/>
  <c r="B1716" i="14" s="1"/>
  <c r="J1462" i="14"/>
  <c r="B1462" i="14" s="1"/>
  <c r="J1307" i="14"/>
  <c r="B1307" i="14" s="1"/>
  <c r="J1194" i="14"/>
  <c r="B1194" i="14" s="1"/>
  <c r="J1528" i="14"/>
  <c r="B1528" i="14" s="1"/>
  <c r="J1679" i="14"/>
  <c r="B1679" i="14" s="1"/>
  <c r="J1555" i="14"/>
  <c r="B1555" i="14" s="1"/>
  <c r="J1630" i="14"/>
  <c r="B1630" i="14" s="1"/>
  <c r="J1906" i="14"/>
  <c r="B1906" i="14" s="1"/>
  <c r="J1834" i="14"/>
  <c r="B1834" i="14" s="1"/>
  <c r="J1755" i="14"/>
  <c r="B1755" i="14" s="1"/>
  <c r="J1572" i="14"/>
  <c r="B1572" i="14" s="1"/>
  <c r="J1804" i="14"/>
  <c r="B1804" i="14" s="1"/>
  <c r="J1719" i="14"/>
  <c r="B1719" i="14" s="1"/>
  <c r="J1896" i="14"/>
  <c r="B1896" i="14" s="1"/>
  <c r="J1125" i="14"/>
  <c r="B1125" i="14" s="1"/>
  <c r="J1467" i="14"/>
  <c r="B1467" i="14" s="1"/>
  <c r="J1879" i="14"/>
  <c r="B1879" i="14" s="1"/>
  <c r="J1334" i="14"/>
  <c r="B1334" i="14" s="1"/>
  <c r="J1353" i="14"/>
  <c r="B1353" i="14" s="1"/>
  <c r="J1915" i="14"/>
  <c r="B1915" i="14" s="1"/>
  <c r="J1101" i="14"/>
  <c r="B1101" i="14" s="1"/>
  <c r="J1737" i="14"/>
  <c r="B1737" i="14" s="1"/>
  <c r="J1584" i="14"/>
  <c r="B1584" i="14" s="1"/>
  <c r="J1652" i="14"/>
  <c r="B1652" i="14" s="1"/>
  <c r="J1606" i="14"/>
  <c r="B1606" i="14" s="1"/>
  <c r="J1678" i="14"/>
  <c r="B1678" i="14" s="1"/>
  <c r="J1773" i="14"/>
  <c r="B1773" i="14" s="1"/>
  <c r="J1808" i="14"/>
  <c r="B1808" i="14" s="1"/>
  <c r="J1163" i="14"/>
  <c r="B1163" i="14" s="1"/>
  <c r="J1779" i="14"/>
  <c r="B1779" i="14" s="1"/>
  <c r="J1658" i="14"/>
  <c r="B1658" i="14" s="1"/>
  <c r="J1807" i="14"/>
  <c r="B1807" i="14" s="1"/>
  <c r="J1500" i="14"/>
  <c r="B1500" i="14" s="1"/>
  <c r="J1876" i="14"/>
  <c r="B1876" i="14" s="1"/>
  <c r="J1764" i="14"/>
  <c r="B1764" i="14" s="1"/>
  <c r="J1797" i="14"/>
  <c r="B1797" i="14" s="1"/>
  <c r="J1355" i="14"/>
  <c r="B1355" i="14" s="1"/>
  <c r="J1280" i="14"/>
  <c r="B1280" i="14" s="1"/>
  <c r="J1548" i="14"/>
  <c r="B1548" i="14" s="1"/>
  <c r="J1672" i="14"/>
  <c r="B1672" i="14" s="1"/>
  <c r="J1181" i="14"/>
  <c r="B1181" i="14" s="1"/>
  <c r="J1579" i="14"/>
  <c r="B1579" i="14" s="1"/>
  <c r="J1508" i="14"/>
  <c r="B1508" i="14" s="1"/>
  <c r="J1910" i="14"/>
  <c r="B1910" i="14" s="1"/>
  <c r="J1601" i="14"/>
  <c r="B1601" i="14" s="1"/>
  <c r="J1393" i="14"/>
  <c r="B1393" i="14" s="1"/>
  <c r="J1695" i="14"/>
  <c r="B1695" i="14" s="1"/>
  <c r="J1320" i="14"/>
  <c r="B1320" i="14" s="1"/>
  <c r="J1889" i="14"/>
  <c r="B1889" i="14" s="1"/>
  <c r="J1255" i="14"/>
  <c r="B1255" i="14" s="1"/>
  <c r="J1270" i="14"/>
  <c r="B1270" i="14" s="1"/>
  <c r="J1686" i="14"/>
  <c r="B1686" i="14" s="1"/>
  <c r="J1315" i="14"/>
  <c r="B1315" i="14" s="1"/>
  <c r="J1680" i="14"/>
  <c r="B1680" i="14" s="1"/>
  <c r="J1391" i="14"/>
  <c r="B1391" i="14" s="1"/>
  <c r="J1331" i="14"/>
  <c r="B1331" i="14" s="1"/>
  <c r="J1378" i="14"/>
  <c r="B1378" i="14" s="1"/>
  <c r="J1443" i="14"/>
  <c r="B1443" i="14" s="1"/>
  <c r="J1941" i="14"/>
  <c r="B1941" i="14" s="1"/>
  <c r="J1486" i="14"/>
  <c r="B1486" i="14" s="1"/>
  <c r="J1150" i="14"/>
  <c r="B1150" i="14" s="1"/>
  <c r="J1775" i="14"/>
  <c r="B1775" i="14" s="1"/>
  <c r="J2064" i="14"/>
  <c r="B2064" i="14" s="1"/>
  <c r="J1379" i="14"/>
  <c r="B1379" i="14" s="1"/>
  <c r="J1884" i="14"/>
  <c r="B1884" i="14" s="1"/>
  <c r="J2001" i="14"/>
  <c r="B2001" i="14" s="1"/>
  <c r="J1880" i="14"/>
  <c r="B1880" i="14" s="1"/>
  <c r="J1126" i="14"/>
  <c r="B1126" i="14" s="1"/>
  <c r="J1305" i="14"/>
  <c r="B1305" i="14" s="1"/>
  <c r="J1646" i="14"/>
  <c r="B1646" i="14" s="1"/>
  <c r="J1933" i="14"/>
  <c r="B1933" i="14" s="1"/>
  <c r="J2039" i="14"/>
  <c r="B2039" i="14" s="1"/>
  <c r="J2030" i="14"/>
  <c r="B2030" i="14" s="1"/>
  <c r="J1942" i="14"/>
  <c r="B1942" i="14" s="1"/>
  <c r="J2013" i="14"/>
  <c r="B2013" i="14" s="1"/>
  <c r="J1599" i="14"/>
  <c r="B1599" i="14" s="1"/>
  <c r="J1967" i="14"/>
  <c r="B1967" i="14" s="1"/>
  <c r="J1600" i="14"/>
  <c r="B1600" i="14" s="1"/>
  <c r="J1961" i="14"/>
  <c r="B1961" i="14" s="1"/>
  <c r="J1958" i="14"/>
  <c r="B1958" i="14" s="1"/>
  <c r="J1768" i="14"/>
  <c r="B1768" i="14" s="1"/>
  <c r="J1103" i="14"/>
  <c r="B1103" i="14" s="1"/>
  <c r="J1729" i="14"/>
  <c r="B1729" i="14" s="1"/>
  <c r="J1193" i="14"/>
  <c r="B1193" i="14" s="1"/>
  <c r="J1426" i="14"/>
  <c r="B1426" i="14" s="1"/>
  <c r="J1523" i="14"/>
  <c r="B1523" i="14" s="1"/>
  <c r="J1457" i="14"/>
  <c r="B1457" i="14" s="1"/>
  <c r="J1465" i="14"/>
  <c r="B1465" i="14" s="1"/>
  <c r="J1852" i="14"/>
  <c r="B1852" i="14" s="1"/>
  <c r="J1383" i="14"/>
  <c r="B1383" i="14" s="1"/>
  <c r="J1753" i="14"/>
  <c r="B1753" i="14" s="1"/>
  <c r="J1261" i="14"/>
  <c r="B1261" i="14" s="1"/>
  <c r="J1385" i="14"/>
  <c r="B1385" i="14" s="1"/>
  <c r="J1793" i="14"/>
  <c r="B1793" i="14" s="1"/>
  <c r="J1505" i="14"/>
  <c r="B1505" i="14" s="1"/>
  <c r="J1862" i="14"/>
  <c r="B1862" i="14" s="1"/>
  <c r="J1946" i="14"/>
  <c r="B1946" i="14" s="1"/>
  <c r="J1597" i="14"/>
  <c r="B1597" i="14" s="1"/>
  <c r="J1585" i="14"/>
  <c r="B1585" i="14" s="1"/>
  <c r="J1281" i="14"/>
  <c r="B1281" i="14" s="1"/>
  <c r="J1286" i="14"/>
  <c r="B1286" i="14" s="1"/>
  <c r="J1859" i="14"/>
  <c r="B1859" i="14" s="1"/>
  <c r="J1936" i="14"/>
  <c r="B1936" i="14" s="1"/>
  <c r="J1327" i="14"/>
  <c r="B1327" i="14" s="1"/>
  <c r="J1874" i="14"/>
  <c r="B1874" i="14" s="1"/>
  <c r="J1197" i="14"/>
  <c r="B1197" i="14" s="1"/>
  <c r="J1763" i="14"/>
  <c r="B1763" i="14" s="1"/>
  <c r="J1351" i="14"/>
  <c r="B1351" i="14" s="1"/>
  <c r="J1644" i="14"/>
  <c r="B1644" i="14" s="1"/>
  <c r="J2005" i="14"/>
  <c r="B2005" i="14" s="1"/>
  <c r="J1162" i="14"/>
  <c r="B1162" i="14" s="1"/>
  <c r="J1225" i="14"/>
  <c r="B1225" i="14" s="1"/>
  <c r="J1177" i="14"/>
  <c r="B1177" i="14" s="1"/>
  <c r="J1180" i="14"/>
  <c r="B1180" i="14" s="1"/>
  <c r="J1561" i="14"/>
  <c r="B1561" i="14" s="1"/>
  <c r="J1590" i="14"/>
  <c r="B1590" i="14" s="1"/>
  <c r="J1380" i="14"/>
  <c r="B1380" i="14" s="1"/>
  <c r="J1360" i="14"/>
  <c r="B1360" i="14" s="1"/>
  <c r="J1339" i="14"/>
  <c r="B1339" i="14" s="1"/>
  <c r="J1338" i="14"/>
  <c r="B1338" i="14" s="1"/>
  <c r="J1216" i="14"/>
  <c r="B1216" i="14" s="1"/>
  <c r="J1373" i="14"/>
  <c r="B1373" i="14" s="1"/>
  <c r="J1878" i="14"/>
  <c r="B1878" i="14" s="1"/>
  <c r="J1303" i="14"/>
  <c r="B1303" i="14" s="1"/>
  <c r="J1224" i="14"/>
  <c r="B1224" i="14" s="1"/>
  <c r="J1532" i="14"/>
  <c r="B1532" i="14" s="1"/>
  <c r="J1738" i="14"/>
  <c r="B1738" i="14" s="1"/>
  <c r="J2035" i="14"/>
  <c r="B2035" i="14" s="1"/>
  <c r="J1347" i="14"/>
  <c r="B1347" i="14" s="1"/>
  <c r="J1931" i="14"/>
  <c r="B1931" i="14" s="1"/>
  <c r="J1843" i="14"/>
  <c r="B1843" i="14" s="1"/>
  <c r="J1955" i="14"/>
  <c r="B1955" i="14" s="1"/>
  <c r="J1534" i="14"/>
  <c r="B1534" i="14" s="1"/>
  <c r="J1885" i="14"/>
  <c r="B1885" i="14" s="1"/>
  <c r="J1662" i="14"/>
  <c r="B1662" i="14" s="1"/>
  <c r="J1244" i="14"/>
  <c r="B1244" i="14" s="1"/>
  <c r="J1940" i="14"/>
  <c r="B1940" i="14" s="1"/>
  <c r="J2014" i="14"/>
  <c r="B2014" i="14" s="1"/>
  <c r="J1897" i="14"/>
  <c r="B1897" i="14" s="1"/>
  <c r="J1183" i="14"/>
  <c r="B1183" i="14" s="1"/>
  <c r="J1263" i="14"/>
  <c r="B1263" i="14" s="1"/>
  <c r="J1108" i="14"/>
  <c r="B1108" i="14" s="1"/>
  <c r="J1609" i="14"/>
  <c r="B1609" i="14" s="1"/>
  <c r="J1616" i="14"/>
  <c r="B1616" i="14" s="1"/>
  <c r="J1182" i="14"/>
  <c r="B1182" i="14" s="1"/>
  <c r="J1234" i="14"/>
  <c r="B1234" i="14" s="1"/>
  <c r="J1580" i="14"/>
  <c r="B1580" i="14" s="1"/>
  <c r="J1957" i="14"/>
  <c r="B1957" i="14" s="1"/>
  <c r="J1782" i="14"/>
  <c r="B1782" i="14" s="1"/>
  <c r="J1712" i="14"/>
  <c r="B1712" i="14" s="1"/>
  <c r="J2038" i="14"/>
  <c r="B2038" i="14" s="1"/>
  <c r="J1537" i="14"/>
  <c r="B1537" i="14" s="1"/>
  <c r="J1848" i="14"/>
  <c r="B1848" i="14" s="1"/>
  <c r="J1671" i="14"/>
  <c r="B1671" i="14" s="1"/>
  <c r="J1184" i="14"/>
  <c r="B1184" i="14" s="1"/>
  <c r="J1626" i="14"/>
  <c r="B1626" i="14" s="1"/>
  <c r="J1278" i="14"/>
  <c r="B1278" i="14" s="1"/>
  <c r="J1112" i="14"/>
  <c r="B1112" i="14" s="1"/>
  <c r="J1592" i="14"/>
  <c r="B1592" i="14" s="1"/>
  <c r="J1506" i="14"/>
  <c r="B1506" i="14" s="1"/>
  <c r="J1425" i="14"/>
  <c r="B1425" i="14" s="1"/>
  <c r="J1368" i="14"/>
  <c r="B1368" i="14" s="1"/>
  <c r="J1790" i="14"/>
  <c r="B1790" i="14" s="1"/>
  <c r="J1201" i="14"/>
  <c r="B1201" i="14" s="1"/>
  <c r="J1999" i="14"/>
  <c r="B1999" i="14" s="1"/>
  <c r="J1682" i="14"/>
  <c r="B1682" i="14" s="1"/>
  <c r="J1357" i="14"/>
  <c r="B1357" i="14" s="1"/>
  <c r="J1611" i="14"/>
  <c r="B1611" i="14" s="1"/>
  <c r="J1567" i="14"/>
  <c r="B1567" i="14" s="1"/>
  <c r="J1591" i="14"/>
  <c r="B1591" i="14" s="1"/>
  <c r="J1220" i="14"/>
  <c r="B1220" i="14" s="1"/>
  <c r="J1801" i="14"/>
  <c r="B1801" i="14" s="1"/>
  <c r="J1568" i="14"/>
  <c r="B1568" i="14" s="1"/>
  <c r="J1660" i="14"/>
  <c r="B1660" i="14" s="1"/>
  <c r="J1688" i="14"/>
  <c r="B1688" i="14" s="1"/>
  <c r="J1178" i="14"/>
  <c r="B1178" i="14" s="1"/>
  <c r="J1841" i="14"/>
  <c r="B1841" i="14" s="1"/>
  <c r="J1287" i="14"/>
  <c r="B1287" i="14" s="1"/>
  <c r="J1300" i="14"/>
  <c r="B1300" i="14" s="1"/>
  <c r="J1253" i="14"/>
  <c r="B1253" i="14" s="1"/>
  <c r="J1902" i="14"/>
  <c r="B1902" i="14" s="1"/>
  <c r="J1293" i="14"/>
  <c r="B1293" i="14" s="1"/>
  <c r="J1765" i="14"/>
  <c r="B1765" i="14" s="1"/>
  <c r="J1664" i="14"/>
  <c r="B1664" i="14" s="1"/>
  <c r="J1869" i="14"/>
  <c r="B1869" i="14" s="1"/>
  <c r="J1525" i="14"/>
  <c r="B1525" i="14" s="1"/>
  <c r="J1971" i="14"/>
  <c r="B1971" i="14" s="1"/>
  <c r="J1282" i="14"/>
  <c r="B1282" i="14" s="1"/>
  <c r="J1323" i="14"/>
  <c r="B1323" i="14" s="1"/>
  <c r="J1566" i="14"/>
  <c r="B1566" i="14" s="1"/>
  <c r="J1098" i="14"/>
  <c r="B1098" i="14" s="1"/>
  <c r="J1685" i="14"/>
  <c r="B1685" i="14" s="1"/>
  <c r="J1917" i="14"/>
  <c r="B1917" i="14" s="1"/>
  <c r="J1321" i="14"/>
  <c r="B1321" i="14" s="1"/>
  <c r="J1557" i="14"/>
  <c r="B1557" i="14" s="1"/>
  <c r="J1582" i="14"/>
  <c r="B1582" i="14" s="1"/>
  <c r="J1257" i="14"/>
  <c r="B1257" i="14" s="1"/>
  <c r="J1655" i="14"/>
  <c r="B1655" i="14" s="1"/>
  <c r="J1771" i="14"/>
  <c r="B1771" i="14" s="1"/>
  <c r="J1102" i="14"/>
  <c r="B1102" i="14" s="1"/>
  <c r="J1564" i="14"/>
  <c r="B1564" i="14" s="1"/>
  <c r="J1637" i="14"/>
  <c r="B1637" i="14" s="1"/>
  <c r="J1463" i="14"/>
  <c r="B1463" i="14" s="1"/>
  <c r="J1396" i="14"/>
  <c r="B1396" i="14" s="1"/>
  <c r="J1100" i="14"/>
  <c r="B1100" i="14" s="1"/>
  <c r="J1291" i="14"/>
  <c r="B1291" i="14" s="1"/>
  <c r="J1620" i="14"/>
  <c r="B1620" i="14" s="1"/>
  <c r="J1854" i="14"/>
  <c r="B1854" i="14" s="1"/>
  <c r="J1446" i="14"/>
  <c r="B1446" i="14" s="1"/>
  <c r="J1681" i="14"/>
  <c r="B1681" i="14" s="1"/>
  <c r="J1911" i="14"/>
  <c r="B1911" i="14" s="1"/>
  <c r="J1951" i="14"/>
  <c r="B1951" i="14" s="1"/>
  <c r="J1527" i="14"/>
  <c r="B1527" i="14" s="1"/>
  <c r="J1953" i="14"/>
  <c r="B1953" i="14" s="1"/>
  <c r="J1161" i="14"/>
  <c r="B1161" i="14" s="1"/>
  <c r="J2036" i="14"/>
  <c r="B2036" i="14" s="1"/>
  <c r="J1892" i="14"/>
  <c r="B1892" i="14" s="1"/>
  <c r="J1796" i="14"/>
  <c r="B1796" i="14" s="1"/>
  <c r="J1389" i="14"/>
  <c r="B1389" i="14" s="1"/>
  <c r="J1684" i="14"/>
  <c r="B1684" i="14" s="1"/>
  <c r="J1145" i="14"/>
  <c r="B1145" i="14" s="1"/>
  <c r="J1851" i="14"/>
  <c r="B1851" i="14" s="1"/>
  <c r="J1844" i="14"/>
  <c r="B1844" i="14" s="1"/>
  <c r="J1164" i="14"/>
  <c r="B1164" i="14" s="1"/>
  <c r="J1110" i="14"/>
  <c r="B1110" i="14" s="1"/>
  <c r="J1615" i="14"/>
  <c r="B1615" i="14" s="1"/>
  <c r="J1274" i="14"/>
  <c r="B1274" i="14" s="1"/>
  <c r="J1595" i="14"/>
  <c r="B1595" i="14" s="1"/>
  <c r="J1693" i="14"/>
  <c r="B1693" i="14" s="1"/>
  <c r="J1489" i="14"/>
  <c r="B1489" i="14" s="1"/>
  <c r="J1490" i="14"/>
  <c r="B1490" i="14" s="1"/>
  <c r="J1800" i="14"/>
  <c r="B1800" i="14" s="1"/>
  <c r="J1285" i="14"/>
  <c r="B1285" i="14" s="1"/>
  <c r="J2059" i="14"/>
  <c r="B2059" i="14" s="1"/>
  <c r="J1398" i="14"/>
  <c r="B1398" i="14" s="1"/>
  <c r="J1985" i="14"/>
  <c r="B1985" i="14" s="1"/>
  <c r="J1853" i="14"/>
  <c r="B1853" i="14" s="1"/>
  <c r="J1663" i="14"/>
  <c r="B1663" i="14" s="1"/>
  <c r="J1659" i="14"/>
  <c r="B1659" i="14" s="1"/>
  <c r="J1789" i="14"/>
  <c r="B1789" i="14" s="1"/>
  <c r="J1381" i="14"/>
  <c r="B1381" i="14" s="1"/>
  <c r="J1656" i="14"/>
  <c r="B1656" i="14" s="1"/>
  <c r="J1217" i="14"/>
  <c r="B1217" i="14" s="1"/>
  <c r="J1394" i="14"/>
  <c r="B1394" i="14" s="1"/>
  <c r="J1496" i="14"/>
  <c r="B1496" i="14" s="1"/>
  <c r="J2062" i="14"/>
  <c r="B2062" i="14" s="1"/>
  <c r="J1687" i="14"/>
  <c r="B1687" i="14" s="1"/>
  <c r="J1166" i="14"/>
  <c r="B1166" i="14" s="1"/>
  <c r="J1529" i="14"/>
  <c r="B1529" i="14" s="1"/>
  <c r="J1559" i="14"/>
  <c r="B1559" i="14" s="1"/>
  <c r="J1703" i="14"/>
  <c r="B1703" i="14" s="1"/>
  <c r="J2010" i="14"/>
  <c r="B2010" i="14" s="1"/>
  <c r="J1131" i="14"/>
  <c r="B1131" i="14" s="1"/>
  <c r="J1962" i="14"/>
  <c r="B1962" i="14" s="1"/>
  <c r="J1232" i="14"/>
  <c r="B1232" i="14" s="1"/>
  <c r="J1154" i="14"/>
  <c r="B1154" i="14" s="1"/>
  <c r="J1621" i="14"/>
  <c r="B1621" i="14" s="1"/>
  <c r="J1491" i="14"/>
  <c r="B1491" i="14" s="1"/>
  <c r="J1359" i="14"/>
  <c r="B1359" i="14" s="1"/>
  <c r="J1708" i="14"/>
  <c r="B1708" i="14" s="1"/>
  <c r="J1461" i="14"/>
  <c r="B1461" i="14" s="1"/>
  <c r="J1842" i="14"/>
  <c r="B1842" i="14" s="1"/>
  <c r="J2061" i="14"/>
  <c r="B2061" i="14" s="1"/>
  <c r="J1431" i="14"/>
  <c r="B1431" i="14" s="1"/>
  <c r="J1444" i="14"/>
  <c r="B1444" i="14" s="1"/>
  <c r="J1900" i="14"/>
  <c r="B1900" i="14" s="1"/>
  <c r="J1746" i="14"/>
  <c r="B1746" i="14" s="1"/>
  <c r="J1343" i="14"/>
  <c r="B1343" i="14" s="1"/>
  <c r="J1921" i="14"/>
  <c r="B1921" i="14" s="1"/>
  <c r="J1868" i="14"/>
  <c r="B1868" i="14" s="1"/>
  <c r="J1362" i="14"/>
  <c r="B1362" i="14" s="1"/>
  <c r="J1325" i="14"/>
  <c r="B1325" i="14" s="1"/>
  <c r="J1335" i="14"/>
  <c r="B1335" i="14" s="1"/>
  <c r="J1485" i="14"/>
  <c r="B1485" i="14" s="1"/>
  <c r="J1454" i="14"/>
  <c r="B1454" i="14" s="1"/>
  <c r="J1727" i="14"/>
  <c r="B1727" i="14" s="1"/>
  <c r="J1208" i="14"/>
  <c r="B1208" i="14" s="1"/>
  <c r="J1583" i="14"/>
  <c r="B1583" i="14" s="1"/>
  <c r="J2045" i="14"/>
  <c r="B2045" i="14" s="1"/>
  <c r="J1119" i="14"/>
  <c r="B1119" i="14" s="1"/>
  <c r="J1574" i="14"/>
  <c r="B1574" i="14" s="1"/>
  <c r="J1223" i="14"/>
  <c r="B1223" i="14" s="1"/>
  <c r="J1299" i="14"/>
  <c r="B1299" i="14" s="1"/>
  <c r="J1482" i="14"/>
  <c r="B1482" i="14" s="1"/>
  <c r="J1813" i="14"/>
  <c r="B1813" i="14" s="1"/>
  <c r="J1219" i="14"/>
  <c r="B1219" i="14" s="1"/>
  <c r="J1751" i="14"/>
  <c r="B1751" i="14" s="1"/>
  <c r="J1845" i="14"/>
  <c r="B1845" i="14" s="1"/>
  <c r="J1692" i="14"/>
  <c r="B1692" i="14" s="1"/>
  <c r="J1993" i="14"/>
  <c r="B1993" i="14" s="1"/>
  <c r="J1828" i="14"/>
  <c r="B1828" i="14" s="1"/>
  <c r="J1222" i="14"/>
  <c r="B1222" i="14" s="1"/>
  <c r="J1484" i="14"/>
  <c r="B1484" i="14" s="1"/>
  <c r="J1133" i="14"/>
  <c r="B1133" i="14" s="1"/>
  <c r="J1172" i="14"/>
  <c r="B1172" i="14" s="1"/>
  <c r="J1949" i="14"/>
  <c r="B1949" i="14" s="1"/>
  <c r="J1310" i="14"/>
  <c r="B1310" i="14" s="1"/>
  <c r="J1569" i="14"/>
  <c r="B1569" i="14" s="1"/>
  <c r="J1123" i="14"/>
  <c r="B1123" i="14" s="1"/>
  <c r="J2002" i="14"/>
  <c r="B2002" i="14" s="1"/>
  <c r="J1642" i="14"/>
  <c r="B1642" i="14" s="1"/>
  <c r="J1761" i="14"/>
  <c r="B1761" i="14" s="1"/>
  <c r="J1140" i="14"/>
  <c r="B1140" i="14" s="1"/>
  <c r="J1943" i="14"/>
  <c r="B1943" i="14" s="1"/>
  <c r="J1952" i="14"/>
  <c r="B1952" i="14" s="1"/>
  <c r="J1087" i="14"/>
  <c r="B1087" i="14" s="1"/>
  <c r="J2000" i="14"/>
  <c r="B2000" i="14" s="1"/>
  <c r="J1330" i="14"/>
  <c r="B1330" i="14" s="1"/>
  <c r="J1434" i="14"/>
  <c r="B1434" i="14" s="1"/>
  <c r="J1705" i="14"/>
  <c r="B1705" i="14" s="1"/>
  <c r="J2041" i="14"/>
  <c r="B2041" i="14" s="1"/>
  <c r="J1406" i="14"/>
  <c r="B1406" i="14" s="1"/>
  <c r="J1752" i="14"/>
  <c r="B1752" i="14" s="1"/>
  <c r="J1348" i="14"/>
  <c r="B1348" i="14" s="1"/>
  <c r="J1271" i="14"/>
  <c r="B1271" i="14" s="1"/>
  <c r="J1241" i="14"/>
  <c r="B1241" i="14" s="1"/>
  <c r="J1202" i="14"/>
  <c r="B1202" i="14" s="1"/>
  <c r="J1345" i="14"/>
  <c r="B1345" i="14" s="1"/>
  <c r="J1881" i="14"/>
  <c r="B1881" i="14" s="1"/>
  <c r="J1747" i="14"/>
  <c r="B1747" i="14" s="1"/>
  <c r="J1836" i="14"/>
  <c r="B1836" i="14" s="1"/>
  <c r="J1950" i="14"/>
  <c r="B1950" i="14" s="1"/>
  <c r="J1229" i="14"/>
  <c r="B1229" i="14" s="1"/>
  <c r="J1726" i="14"/>
  <c r="B1726" i="14" s="1"/>
  <c r="J1965" i="14"/>
  <c r="B1965" i="14" s="1"/>
  <c r="J1266" i="14"/>
  <c r="B1266" i="14" s="1"/>
  <c r="J1392" i="14"/>
  <c r="B1392" i="14" s="1"/>
  <c r="J1190" i="14"/>
  <c r="B1190" i="14" s="1"/>
  <c r="J1562" i="14"/>
  <c r="B1562" i="14" s="1"/>
  <c r="J4183" i="14"/>
  <c r="B4183" i="14" s="1"/>
  <c r="J1650" i="14"/>
  <c r="B1650" i="14" s="1"/>
  <c r="J1092" i="14"/>
  <c r="B1092" i="14" s="1"/>
  <c r="J1928" i="14"/>
  <c r="B1928" i="14" s="1"/>
  <c r="J1806" i="14"/>
  <c r="B1806" i="14" s="1"/>
  <c r="J1227" i="14"/>
  <c r="B1227" i="14" s="1"/>
  <c r="J1541" i="14"/>
  <c r="B1541" i="14" s="1"/>
  <c r="J1983" i="14"/>
  <c r="B1983" i="14" s="1"/>
  <c r="J2032" i="14"/>
  <c r="B2032" i="14" s="1"/>
  <c r="J2004" i="14"/>
  <c r="B2004" i="14" s="1"/>
  <c r="J1424" i="14"/>
  <c r="B1424" i="14" s="1"/>
  <c r="J1975" i="14"/>
  <c r="B1975" i="14" s="1"/>
  <c r="J1127" i="14"/>
  <c r="B1127" i="14" s="1"/>
  <c r="J1549" i="14"/>
  <c r="B1549" i="14" s="1"/>
  <c r="J1128" i="14"/>
  <c r="B1128" i="14" s="1"/>
  <c r="J2057" i="14"/>
  <c r="B2057" i="14" s="1"/>
  <c r="J1498" i="14"/>
  <c r="B1498" i="14" s="1"/>
  <c r="J1401" i="14"/>
  <c r="B1401" i="14" s="1"/>
  <c r="J1631" i="14"/>
  <c r="B1631" i="14" s="1"/>
  <c r="J2006" i="14"/>
  <c r="B2006" i="14" s="1"/>
  <c r="J1148" i="14"/>
  <c r="B1148" i="14" s="1"/>
  <c r="J1938" i="14"/>
  <c r="B1938" i="14" s="1"/>
  <c r="J1954" i="14"/>
  <c r="B1954" i="14" s="1"/>
  <c r="J1810" i="14"/>
  <c r="B1810" i="14" s="1"/>
  <c r="J2026" i="14"/>
  <c r="B2026" i="14" s="1"/>
  <c r="J1336" i="14"/>
  <c r="B1336" i="14" s="1"/>
  <c r="J1493" i="14"/>
  <c r="B1493" i="14" s="1"/>
  <c r="J2058" i="14"/>
  <c r="B2058" i="14" s="1"/>
  <c r="J1929" i="14"/>
  <c r="B1929" i="14" s="1"/>
  <c r="J1694" i="14"/>
  <c r="B1694" i="14" s="1"/>
  <c r="J1109" i="14"/>
  <c r="B1109" i="14" s="1"/>
  <c r="J2011" i="14"/>
  <c r="B2011" i="14" s="1"/>
  <c r="J1458" i="14"/>
  <c r="B1458" i="14" s="1"/>
  <c r="J1260" i="14"/>
  <c r="B1260" i="14" s="1"/>
  <c r="J1236" i="14"/>
  <c r="B1236" i="14" s="1"/>
  <c r="J1786" i="14"/>
  <c r="B1786" i="14" s="1"/>
  <c r="J1510" i="14"/>
  <c r="B1510" i="14" s="1"/>
  <c r="J1560" i="14"/>
  <c r="B1560" i="14" s="1"/>
  <c r="J1196" i="14"/>
  <c r="B1196" i="14" s="1"/>
  <c r="J1932" i="14"/>
  <c r="B1932" i="14" s="1"/>
  <c r="J1441" i="14"/>
  <c r="B1441" i="14" s="1"/>
  <c r="J1831" i="14"/>
  <c r="B1831" i="14" s="1"/>
  <c r="J1732" i="14"/>
  <c r="B1732" i="14" s="1"/>
  <c r="J1740" i="14"/>
  <c r="B1740" i="14" s="1"/>
  <c r="J2042" i="14"/>
  <c r="B2042" i="14" s="1"/>
  <c r="J1122" i="14"/>
  <c r="B1122" i="14" s="1"/>
  <c r="J1438" i="14"/>
  <c r="B1438" i="14" s="1"/>
  <c r="J2033" i="14"/>
  <c r="B2033" i="14" s="1"/>
  <c r="J1791" i="14"/>
  <c r="B1791" i="14" s="1"/>
  <c r="J1240" i="14"/>
  <c r="B1240" i="14" s="1"/>
  <c r="J1479" i="14"/>
  <c r="B1479" i="14" s="1"/>
  <c r="J1718" i="14"/>
  <c r="B1718" i="14" s="1"/>
  <c r="J1275" i="14"/>
  <c r="B1275" i="14" s="1"/>
  <c r="J1447" i="14"/>
  <c r="B1447" i="14" s="1"/>
  <c r="J1204" i="14"/>
  <c r="B1204" i="14" s="1"/>
  <c r="J1113" i="14"/>
  <c r="B1113" i="14" s="1"/>
  <c r="J1322" i="14"/>
  <c r="B1322" i="14" s="1"/>
  <c r="J1934" i="14"/>
  <c r="B1934" i="14" s="1"/>
  <c r="J1839" i="14"/>
  <c r="B1839" i="14" s="1"/>
  <c r="J1798" i="14"/>
  <c r="B1798" i="14" s="1"/>
  <c r="J2056" i="14"/>
  <c r="B2056" i="14" s="1"/>
  <c r="J1279" i="14"/>
  <c r="B1279" i="14" s="1"/>
  <c r="J1296" i="14"/>
  <c r="B1296" i="14" s="1"/>
  <c r="J1408" i="14"/>
  <c r="B1408" i="14" s="1"/>
  <c r="J1627" i="14"/>
  <c r="B1627" i="14" s="1"/>
  <c r="J1405" i="14"/>
  <c r="B1405" i="14" s="1"/>
  <c r="J1976" i="14"/>
  <c r="B1976" i="14" s="1"/>
  <c r="J1901" i="14"/>
  <c r="B1901" i="14" s="1"/>
  <c r="J1926" i="14"/>
  <c r="B1926" i="14" s="1"/>
  <c r="J1158" i="14"/>
  <c r="B1158" i="14" s="1"/>
  <c r="J1722" i="14"/>
  <c r="B1722" i="14" s="1"/>
  <c r="J1994" i="14"/>
  <c r="B1994" i="14" s="1"/>
  <c r="J1238" i="14"/>
  <c r="B1238" i="14" s="1"/>
  <c r="J1382" i="14"/>
  <c r="B1382" i="14" s="1"/>
  <c r="J1987" i="14"/>
  <c r="B1987" i="14" s="1"/>
  <c r="J1478" i="14"/>
  <c r="B1478" i="14" s="1"/>
  <c r="J1772" i="14"/>
  <c r="B1772" i="14" s="1"/>
  <c r="J2051" i="14"/>
  <c r="B2051" i="14" s="1"/>
  <c r="J2023" i="14"/>
  <c r="B2023" i="14" s="1"/>
  <c r="J1250" i="14"/>
  <c r="B1250" i="14" s="1"/>
  <c r="J2016" i="14"/>
  <c r="B2016" i="14" s="1"/>
  <c r="J1295" i="14"/>
  <c r="B1295" i="14" s="1"/>
  <c r="J1713" i="14"/>
  <c r="B1713" i="14" s="1"/>
  <c r="J1769" i="14"/>
  <c r="B1769" i="14" s="1"/>
  <c r="J2031" i="14"/>
  <c r="B2031" i="14" s="1"/>
  <c r="J1721" i="14"/>
  <c r="B1721" i="14" s="1"/>
  <c r="J1152" i="14"/>
  <c r="B1152" i="14" s="1"/>
  <c r="J1442" i="14"/>
  <c r="B1442" i="14" s="1"/>
  <c r="J1243" i="14"/>
  <c r="B1243" i="14" s="1"/>
  <c r="J2053" i="14"/>
  <c r="B2053" i="14" s="1"/>
  <c r="J1894" i="14"/>
  <c r="B1894" i="14" s="1"/>
  <c r="J1990" i="14"/>
  <c r="B1990" i="14" s="1"/>
  <c r="J1730" i="14"/>
  <c r="B1730" i="14" s="1"/>
  <c r="J1453" i="14"/>
  <c r="B1453" i="14" s="1"/>
  <c r="J1587" i="14"/>
  <c r="B1587" i="14" s="1"/>
  <c r="J1799" i="14"/>
  <c r="B1799" i="14" s="1"/>
  <c r="J1533" i="14"/>
  <c r="B1533" i="14" s="1"/>
  <c r="J1249" i="14"/>
  <c r="B1249" i="14" s="1"/>
  <c r="J1867" i="14"/>
  <c r="B1867" i="14" s="1"/>
  <c r="J1356" i="14"/>
  <c r="B1356" i="14" s="1"/>
  <c r="J1311" i="14"/>
  <c r="B1311" i="14" s="1"/>
  <c r="J1770" i="14"/>
  <c r="B1770" i="14" s="1"/>
  <c r="J1780" i="14"/>
  <c r="B1780" i="14" s="1"/>
  <c r="J1665" i="14"/>
  <c r="B1665" i="14" s="1"/>
  <c r="J1121" i="14"/>
  <c r="B1121" i="14" s="1"/>
  <c r="J1618" i="14"/>
  <c r="B1618" i="14" s="1"/>
  <c r="J1096" i="14"/>
  <c r="B1096" i="14" s="1"/>
  <c r="J1192" i="14"/>
  <c r="B1192" i="14" s="1"/>
  <c r="J1157" i="14"/>
  <c r="B1157" i="14" s="1"/>
  <c r="J1437" i="14"/>
  <c r="B1437" i="14" s="1"/>
  <c r="J1412" i="14"/>
  <c r="B1412" i="14" s="1"/>
  <c r="J1268" i="14"/>
  <c r="B1268" i="14" s="1"/>
  <c r="J1741" i="14"/>
  <c r="B1741" i="14" s="1"/>
  <c r="J1460" i="14"/>
  <c r="B1460" i="14" s="1"/>
  <c r="J1455" i="14"/>
  <c r="B1455" i="14" s="1"/>
  <c r="J1207" i="14"/>
  <c r="B1207" i="14" s="1"/>
  <c r="J1925" i="14"/>
  <c r="B1925" i="14" s="1"/>
  <c r="J1530" i="14"/>
  <c r="B1530" i="14" s="1"/>
  <c r="J1427" i="14"/>
  <c r="B1427" i="14" s="1"/>
  <c r="J1358" i="14"/>
  <c r="B1358" i="14" s="1"/>
  <c r="J1230" i="14"/>
  <c r="B1230" i="14" s="1"/>
  <c r="J1966" i="14"/>
  <c r="B1966" i="14" s="1"/>
  <c r="J1540" i="14"/>
  <c r="B1540" i="14" s="1"/>
  <c r="J1767" i="14"/>
  <c r="B1767" i="14" s="1"/>
  <c r="J1135" i="14"/>
  <c r="B1135" i="14" s="1"/>
  <c r="J1276" i="14"/>
  <c r="B1276" i="14" s="1"/>
  <c r="J1778" i="14"/>
  <c r="B1778" i="14" s="1"/>
  <c r="J1923" i="14"/>
  <c r="B1923" i="14" s="1"/>
  <c r="J1340" i="14"/>
  <c r="B1340" i="14" s="1"/>
  <c r="J1667" i="14"/>
  <c r="B1667" i="14" s="1"/>
  <c r="J1186" i="14"/>
  <c r="B1186" i="14" s="1"/>
  <c r="J1306" i="14"/>
  <c r="B1306" i="14" s="1"/>
  <c r="J1898" i="14"/>
  <c r="B1898" i="14" s="1"/>
  <c r="J1218" i="14"/>
  <c r="B1218" i="14" s="1"/>
  <c r="J1090" i="14"/>
  <c r="B1090" i="14" s="1"/>
  <c r="J1826" i="14"/>
  <c r="B1826" i="14" s="1"/>
  <c r="J1411" i="14"/>
  <c r="B1411" i="14" s="1"/>
  <c r="J1554" i="14"/>
  <c r="B1554" i="14" s="1"/>
  <c r="J1410" i="14"/>
  <c r="B1410" i="14" s="1"/>
  <c r="J1758" i="14"/>
  <c r="B1758" i="14" s="1"/>
  <c r="J1872" i="14"/>
  <c r="B1872" i="14" s="1"/>
  <c r="J1520" i="14"/>
  <c r="B1520" i="14" s="1"/>
  <c r="J1316" i="14"/>
  <c r="B1316" i="14" s="1"/>
  <c r="J1176" i="14"/>
  <c r="B1176" i="14" s="1"/>
  <c r="J1365" i="14"/>
  <c r="B1365" i="14" s="1"/>
  <c r="J1185" i="14"/>
  <c r="B1185" i="14" s="1"/>
  <c r="J1766" i="14"/>
  <c r="B1766" i="14" s="1"/>
  <c r="J1905" i="14"/>
  <c r="B1905" i="14" s="1"/>
  <c r="J1837" i="14"/>
  <c r="B1837" i="14" s="1"/>
  <c r="J1395" i="14"/>
  <c r="B1395" i="14" s="1"/>
  <c r="J1847" i="14"/>
  <c r="B1847" i="14" s="1"/>
  <c r="J1750" i="14"/>
  <c r="B1750" i="14" s="1"/>
  <c r="J1264" i="14"/>
  <c r="B1264" i="14" s="1"/>
  <c r="J1191" i="14"/>
  <c r="B1191" i="14" s="1"/>
  <c r="J1284" i="14"/>
  <c r="B1284" i="14" s="1"/>
  <c r="J1596" i="14"/>
  <c r="B1596" i="14" s="1"/>
  <c r="J1117" i="14"/>
  <c r="B1117" i="14" s="1"/>
  <c r="J1586" i="14"/>
  <c r="B1586" i="14" s="1"/>
  <c r="J1870" i="14"/>
  <c r="B1870" i="14" s="1"/>
  <c r="J2021" i="14"/>
  <c r="B2021" i="14" s="1"/>
  <c r="J1141" i="14"/>
  <c r="B1141" i="14" s="1"/>
  <c r="J1822" i="14"/>
  <c r="B1822" i="14" s="1"/>
  <c r="J2047" i="14"/>
  <c r="B2047" i="14" s="1"/>
  <c r="J1858" i="14"/>
  <c r="B1858" i="14" s="1"/>
  <c r="J2020" i="14"/>
  <c r="B2020" i="14" s="1"/>
  <c r="J1817" i="14"/>
  <c r="B1817" i="14" s="1"/>
  <c r="J1623" i="14"/>
  <c r="B1623" i="14" s="1"/>
  <c r="J1891" i="14"/>
  <c r="B1891" i="14" s="1"/>
  <c r="J1689" i="14"/>
  <c r="B1689" i="14" s="1"/>
  <c r="J1700" i="14"/>
  <c r="B1700" i="14" s="1"/>
  <c r="J1211" i="14"/>
  <c r="B1211" i="14" s="1"/>
  <c r="J1492" i="14"/>
  <c r="B1492" i="14" s="1"/>
  <c r="J1723" i="14"/>
  <c r="B1723" i="14" s="1"/>
  <c r="J1821" i="14"/>
  <c r="B1821" i="14" s="1"/>
  <c r="J1456" i="14"/>
  <c r="B1456" i="14" s="1"/>
  <c r="J1512" i="14"/>
  <c r="B1512" i="14" s="1"/>
  <c r="J1142" i="14"/>
  <c r="B1142" i="14" s="1"/>
  <c r="J1860" i="14"/>
  <c r="B1860" i="14" s="1"/>
  <c r="J1824" i="14"/>
  <c r="B1824" i="14" s="1"/>
  <c r="J1556" i="14"/>
  <c r="B1556" i="14" s="1"/>
  <c r="J1960" i="14"/>
  <c r="B1960" i="14" s="1"/>
  <c r="J1605" i="14"/>
  <c r="B1605" i="14" s="1"/>
  <c r="J1645" i="14"/>
  <c r="B1645" i="14" s="1"/>
  <c r="J1846" i="14"/>
  <c r="B1846" i="14" s="1"/>
  <c r="J1259" i="14"/>
  <c r="B1259" i="14" s="1"/>
  <c r="J1511" i="14"/>
  <c r="B1511" i="14" s="1"/>
  <c r="J1237" i="14"/>
  <c r="B1237" i="14" s="1"/>
  <c r="J1581" i="14"/>
  <c r="B1581" i="14" s="1"/>
  <c r="J1106" i="14"/>
  <c r="B1106" i="14" s="1"/>
  <c r="J1254" i="14"/>
  <c r="B1254" i="14" s="1"/>
  <c r="J1731" i="14"/>
  <c r="B1731" i="14" s="1"/>
  <c r="J1593" i="14"/>
  <c r="B1593" i="14" s="1"/>
  <c r="J1371" i="14"/>
  <c r="B1371" i="14" s="1"/>
  <c r="J1610" i="14"/>
  <c r="B1610" i="14" s="1"/>
  <c r="J1690" i="14"/>
  <c r="B1690" i="14" s="1"/>
  <c r="J1105" i="14"/>
  <c r="B1105" i="14" s="1"/>
  <c r="J2066" i="14"/>
  <c r="B2066" i="14" s="1"/>
  <c r="J1235" i="14"/>
  <c r="B1235" i="14" s="1"/>
  <c r="J1720" i="14"/>
  <c r="B1720" i="14" s="1"/>
  <c r="J1657" i="14"/>
  <c r="B1657" i="14" s="1"/>
  <c r="J1893" i="14"/>
  <c r="B1893" i="14" s="1"/>
  <c r="J1324" i="14"/>
  <c r="B1324" i="14" s="1"/>
  <c r="J1546" i="14"/>
  <c r="B1546" i="14" s="1"/>
  <c r="J1691" i="14"/>
  <c r="B1691" i="14" s="1"/>
  <c r="J2019" i="14"/>
  <c r="B2019" i="14" s="1"/>
  <c r="J1089" i="14"/>
  <c r="B1089" i="14" s="1"/>
  <c r="J2027" i="14"/>
  <c r="B2027" i="14" s="1"/>
  <c r="J1739" i="14"/>
  <c r="B1739" i="14" s="1"/>
  <c r="J1948" i="14"/>
  <c r="B1948" i="14" s="1"/>
  <c r="J1887" i="14"/>
  <c r="B1887" i="14" s="1"/>
  <c r="J1608" i="14"/>
  <c r="B1608" i="14" s="1"/>
  <c r="J1757" i="14"/>
  <c r="B1757" i="14" s="1"/>
  <c r="J1466" i="14"/>
  <c r="B1466" i="14" s="1"/>
  <c r="J2043" i="14"/>
  <c r="B2043" i="14" s="1"/>
  <c r="J2003" i="14"/>
  <c r="B2003" i="14" s="1"/>
  <c r="J2052" i="14"/>
  <c r="B2052" i="14" s="1"/>
  <c r="J1272" i="14"/>
  <c r="B1272" i="14" s="1"/>
  <c r="J1888" i="14"/>
  <c r="B1888" i="14" s="1"/>
  <c r="J1984" i="14"/>
  <c r="B1984" i="14" s="1"/>
  <c r="J1825" i="14"/>
  <c r="B1825" i="14" s="1"/>
  <c r="J1922" i="14"/>
  <c r="B1922" i="14" s="1"/>
  <c r="J1124" i="14"/>
  <c r="B1124" i="14" s="1"/>
  <c r="J1328" i="14"/>
  <c r="B1328" i="14" s="1"/>
  <c r="J1855" i="14"/>
  <c r="B1855" i="14" s="1"/>
  <c r="J1974" i="14"/>
  <c r="B1974" i="14" s="1"/>
  <c r="J1759" i="14"/>
  <c r="B1759" i="14" s="1"/>
  <c r="J1995" i="14"/>
  <c r="B1995" i="14" s="1"/>
  <c r="J1448" i="14"/>
  <c r="B1448" i="14" s="1"/>
  <c r="J1430" i="14"/>
  <c r="B1430" i="14" s="1"/>
  <c r="J1829" i="14"/>
  <c r="B1829" i="14" s="1"/>
  <c r="J1543" i="14"/>
  <c r="B1543" i="14" s="1"/>
  <c r="J1175" i="14"/>
  <c r="B1175" i="14" s="1"/>
  <c r="J1366" i="14"/>
  <c r="B1366" i="14" s="1"/>
  <c r="J1830" i="14"/>
  <c r="B1830" i="14" s="1"/>
  <c r="J1440" i="14"/>
  <c r="B1440" i="14" s="1"/>
  <c r="J1814" i="14"/>
  <c r="B1814" i="14" s="1"/>
  <c r="J1840" i="14"/>
  <c r="B1840" i="14" s="1"/>
  <c r="J1742" i="14"/>
  <c r="B1742" i="14" s="1"/>
  <c r="J1114" i="14"/>
  <c r="B1114" i="14" s="1"/>
  <c r="J1515" i="14"/>
  <c r="B1515" i="14" s="1"/>
  <c r="J1403" i="14"/>
  <c r="B1403" i="14" s="1"/>
  <c r="J1603" i="14"/>
  <c r="B1603" i="14" s="1"/>
  <c r="J1095" i="14"/>
  <c r="B1095" i="14" s="1"/>
  <c r="J1598" i="14"/>
  <c r="B1598" i="14" s="1"/>
  <c r="J1246" i="14"/>
  <c r="B1246" i="14" s="1"/>
  <c r="J2018" i="14"/>
  <c r="B2018" i="14" s="1"/>
  <c r="J1248" i="14"/>
  <c r="B1248" i="14" s="1"/>
  <c r="J1388" i="14"/>
  <c r="B1388" i="14" s="1"/>
  <c r="J1374" i="14"/>
  <c r="B1374" i="14" s="1"/>
  <c r="J1930" i="14"/>
  <c r="B1930" i="14" s="1"/>
  <c r="J1474" i="14"/>
  <c r="B1474" i="14" s="1"/>
  <c r="J1459" i="14"/>
  <c r="B1459" i="14" s="1"/>
  <c r="J1624" i="14"/>
  <c r="B1624" i="14" s="1"/>
  <c r="J1233" i="14"/>
  <c r="B1233" i="14" s="1"/>
  <c r="J1785" i="14"/>
  <c r="B1785" i="14" s="1"/>
  <c r="J1677" i="14"/>
  <c r="B1677" i="14" s="1"/>
  <c r="J1350" i="14"/>
  <c r="B1350" i="14" s="1"/>
  <c r="J1835" i="14"/>
  <c r="B1835" i="14" s="1"/>
  <c r="J1503" i="14"/>
  <c r="B1503" i="14" s="1"/>
  <c r="J1143" i="14"/>
  <c r="B1143" i="14" s="1"/>
  <c r="J1638" i="14"/>
  <c r="B1638" i="14" s="1"/>
  <c r="J1514" i="14"/>
  <c r="B1514" i="14" s="1"/>
  <c r="J1304" i="14"/>
  <c r="B1304" i="14" s="1"/>
  <c r="J1153" i="14"/>
  <c r="B1153" i="14" s="1"/>
  <c r="J1819" i="14"/>
  <c r="B1819" i="14" s="1"/>
  <c r="J1545" i="14"/>
  <c r="B1545" i="14" s="1"/>
  <c r="J1267" i="14"/>
  <c r="B1267" i="14" s="1"/>
  <c r="J1439" i="14"/>
  <c r="B1439" i="14" s="1"/>
  <c r="J1354" i="14"/>
  <c r="B1354" i="14" s="1"/>
  <c r="J1833" i="14"/>
  <c r="B1833" i="14" s="1"/>
  <c r="J1916" i="14"/>
  <c r="B1916" i="14" s="1"/>
  <c r="J1402" i="14"/>
  <c r="B1402" i="14" s="1"/>
  <c r="J1147" i="14"/>
  <c r="B1147" i="14" s="1"/>
  <c r="J2008" i="14"/>
  <c r="B2008" i="14" s="1"/>
  <c r="J1475" i="14"/>
  <c r="B1475" i="14" s="1"/>
  <c r="J1735" i="14"/>
  <c r="B1735" i="14" s="1"/>
  <c r="J1805" i="14"/>
  <c r="B1805" i="14" s="1"/>
  <c r="J1138" i="14"/>
  <c r="B1138" i="14" s="1"/>
  <c r="J2046" i="14"/>
  <c r="B2046" i="14" s="1"/>
  <c r="J1632" i="14"/>
  <c r="B1632" i="14" s="1"/>
  <c r="J1245" i="14"/>
  <c r="B1245" i="14" s="1"/>
  <c r="J1400" i="14"/>
  <c r="B1400" i="14" s="1"/>
  <c r="J1827" i="14"/>
  <c r="B1827" i="14" s="1"/>
  <c r="J1886" i="14"/>
  <c r="B1886" i="14" s="1"/>
  <c r="J1450" i="14"/>
  <c r="B1450" i="14" s="1"/>
  <c r="J1607" i="14"/>
  <c r="B1607" i="14" s="1"/>
  <c r="J1432" i="14"/>
  <c r="B1432" i="14" s="1"/>
  <c r="J1937" i="14"/>
  <c r="B1937" i="14" s="1"/>
  <c r="J1538" i="14"/>
  <c r="B1538" i="14" s="1"/>
  <c r="J1696" i="14"/>
  <c r="B1696" i="14" s="1"/>
  <c r="J1497" i="14"/>
  <c r="B1497" i="14" s="1"/>
  <c r="J1812" i="14"/>
  <c r="B1812" i="14" s="1"/>
  <c r="J1641" i="14"/>
  <c r="B1641" i="14" s="1"/>
  <c r="J1289" i="14"/>
  <c r="B1289" i="14" s="1"/>
  <c r="J1725" i="14"/>
  <c r="B1725" i="14" s="1"/>
  <c r="J1570" i="14"/>
  <c r="B1570" i="14" s="1"/>
  <c r="J1698" i="14"/>
  <c r="B1698" i="14" s="1"/>
  <c r="J1499" i="14"/>
  <c r="B1499" i="14" s="1"/>
  <c r="J1702" i="14"/>
  <c r="B1702" i="14" s="1"/>
  <c r="J1883" i="14"/>
  <c r="B1883" i="14" s="1"/>
  <c r="J1639" i="14"/>
  <c r="B1639" i="14" s="1"/>
  <c r="J1542" i="14"/>
  <c r="B1542" i="14" s="1"/>
  <c r="J1661" i="14"/>
  <c r="B1661" i="14" s="1"/>
  <c r="J1086" i="14"/>
  <c r="B1086" i="14" s="1"/>
  <c r="J2028" i="14"/>
  <c r="B2028" i="14" s="1"/>
  <c r="J1258" i="14"/>
  <c r="B1258" i="14" s="1"/>
  <c r="J1964" i="14"/>
  <c r="B1964" i="14" s="1"/>
  <c r="J1669" i="14"/>
  <c r="B1669" i="14" s="1"/>
  <c r="J1935" i="14"/>
  <c r="B1935" i="14" s="1"/>
  <c r="J1115" i="14"/>
  <c r="B1115" i="14" s="1"/>
  <c r="J2044" i="14"/>
  <c r="B2044" i="14" s="1"/>
  <c r="J1875" i="14"/>
  <c r="B1875" i="14" s="1"/>
  <c r="J2012" i="14"/>
  <c r="B2012" i="14" s="1"/>
  <c r="J1895" i="14"/>
  <c r="B1895" i="14" s="1"/>
  <c r="J1998" i="14"/>
  <c r="B1998" i="14" s="1"/>
  <c r="J1422" i="14"/>
  <c r="B1422" i="14" s="1"/>
  <c r="J2007" i="14"/>
  <c r="B2007" i="14" s="1"/>
  <c r="J1513" i="14"/>
  <c r="B1513" i="14" s="1"/>
  <c r="J1518" i="14"/>
  <c r="B1518" i="14" s="1"/>
  <c r="J1292" i="14"/>
  <c r="B1292" i="14" s="1"/>
  <c r="J1640" i="14"/>
  <c r="B1640" i="14" s="1"/>
  <c r="J1710" i="14"/>
  <c r="B1710" i="14" s="1"/>
  <c r="J1262" i="14"/>
  <c r="B1262" i="14" s="1"/>
  <c r="J1317" i="14"/>
  <c r="B1317" i="14" s="1"/>
  <c r="J1776" i="14"/>
  <c r="B1776" i="14" s="1"/>
  <c r="J1251" i="14"/>
  <c r="B1251" i="14" s="1"/>
  <c r="J1970" i="14"/>
  <c r="B1970" i="14" s="1"/>
  <c r="J1203" i="14"/>
  <c r="B1203" i="14" s="1"/>
  <c r="J1404" i="14"/>
  <c r="B1404" i="14" s="1"/>
  <c r="J1429" i="14"/>
  <c r="B1429" i="14" s="1"/>
  <c r="J1918" i="14"/>
  <c r="B1918" i="14" s="1"/>
  <c r="J1992" i="14"/>
  <c r="B1992" i="14" s="1"/>
  <c r="J1352" i="14"/>
  <c r="B1352" i="14" s="1"/>
  <c r="J1604" i="14"/>
  <c r="B1604" i="14" s="1"/>
  <c r="J1547" i="14"/>
  <c r="B1547" i="14" s="1"/>
  <c r="J1535" i="14"/>
  <c r="B1535" i="14" s="1"/>
  <c r="J1363" i="14"/>
  <c r="B1363" i="14" s="1"/>
  <c r="J2175" i="14"/>
  <c r="B2175" i="14" s="1"/>
  <c r="J2540" i="14"/>
  <c r="B2540" i="14" s="1"/>
  <c r="J2424" i="14"/>
  <c r="B2424" i="14" s="1"/>
  <c r="J2655" i="14"/>
  <c r="B2655" i="14" s="1"/>
  <c r="J2327" i="14"/>
  <c r="B2327" i="14" s="1"/>
  <c r="J2245" i="14"/>
  <c r="B2245" i="14" s="1"/>
  <c r="J2523" i="14"/>
  <c r="B2523" i="14" s="1"/>
  <c r="J3035" i="14"/>
  <c r="B3035" i="14" s="1"/>
  <c r="J2748" i="14"/>
  <c r="B2748" i="14" s="1"/>
  <c r="J2325" i="14"/>
  <c r="B2325" i="14" s="1"/>
  <c r="J2866" i="14"/>
  <c r="B2866" i="14" s="1"/>
  <c r="J3055" i="14"/>
  <c r="B3055" i="14" s="1"/>
  <c r="J2795" i="14"/>
  <c r="B2795" i="14" s="1"/>
  <c r="J2807" i="14"/>
  <c r="B2807" i="14" s="1"/>
  <c r="J2522" i="14"/>
  <c r="B2522" i="14" s="1"/>
  <c r="J2174" i="14"/>
  <c r="B2174" i="14" s="1"/>
  <c r="J2495" i="14"/>
  <c r="B2495" i="14" s="1"/>
  <c r="J2130" i="14"/>
  <c r="B2130" i="14" s="1"/>
  <c r="J2810" i="14"/>
  <c r="B2810" i="14" s="1"/>
  <c r="J3062" i="14"/>
  <c r="B3062" i="14" s="1"/>
  <c r="J2976" i="14"/>
  <c r="B2976" i="14" s="1"/>
  <c r="J2686" i="14"/>
  <c r="B2686" i="14" s="1"/>
  <c r="J2230" i="14"/>
  <c r="B2230" i="14" s="1"/>
  <c r="J2080" i="14"/>
  <c r="B2080" i="14" s="1"/>
  <c r="J3036" i="14"/>
  <c r="B3036" i="14" s="1"/>
  <c r="J2800" i="14"/>
  <c r="B2800" i="14" s="1"/>
  <c r="J2844" i="14"/>
  <c r="B2844" i="14" s="1"/>
  <c r="J2086" i="14"/>
  <c r="B2086" i="14" s="1"/>
  <c r="J3022" i="14"/>
  <c r="B3022" i="14" s="1"/>
  <c r="J2737" i="14"/>
  <c r="B2737" i="14" s="1"/>
  <c r="J3009" i="14"/>
  <c r="B3009" i="14" s="1"/>
  <c r="J2933" i="14"/>
  <c r="B2933" i="14" s="1"/>
  <c r="J2792" i="14"/>
  <c r="B2792" i="14" s="1"/>
  <c r="J2067" i="14"/>
  <c r="B2067" i="14" s="1"/>
  <c r="J2622" i="14"/>
  <c r="B2622" i="14" s="1"/>
  <c r="J2583" i="14"/>
  <c r="B2583" i="14" s="1"/>
  <c r="J2772" i="14"/>
  <c r="B2772" i="14" s="1"/>
  <c r="J2415" i="14"/>
  <c r="B2415" i="14" s="1"/>
  <c r="J2433" i="14"/>
  <c r="B2433" i="14" s="1"/>
  <c r="J2915" i="14"/>
  <c r="B2915" i="14" s="1"/>
  <c r="J2692" i="14"/>
  <c r="B2692" i="14" s="1"/>
  <c r="J2632" i="14"/>
  <c r="B2632" i="14" s="1"/>
  <c r="J2689" i="14"/>
  <c r="B2689" i="14" s="1"/>
  <c r="J2464" i="14"/>
  <c r="B2464" i="14" s="1"/>
  <c r="J2914" i="14"/>
  <c r="B2914" i="14" s="1"/>
  <c r="J2530" i="14"/>
  <c r="B2530" i="14" s="1"/>
  <c r="J2365" i="14"/>
  <c r="B2365" i="14" s="1"/>
  <c r="J2233" i="14"/>
  <c r="B2233" i="14" s="1"/>
  <c r="J2582" i="14"/>
  <c r="B2582" i="14" s="1"/>
  <c r="J2847" i="14"/>
  <c r="B2847" i="14" s="1"/>
  <c r="J2814" i="14"/>
  <c r="B2814" i="14" s="1"/>
  <c r="J2635" i="14"/>
  <c r="B2635" i="14" s="1"/>
  <c r="J2528" i="14"/>
  <c r="B2528" i="14" s="1"/>
  <c r="J2690" i="14"/>
  <c r="B2690" i="14" s="1"/>
  <c r="J2864" i="14"/>
  <c r="B2864" i="14" s="1"/>
  <c r="J2511" i="14"/>
  <c r="B2511" i="14" s="1"/>
  <c r="J2992" i="14"/>
  <c r="B2992" i="14" s="1"/>
  <c r="J3044" i="14"/>
  <c r="B3044" i="14" s="1"/>
  <c r="J2305" i="14"/>
  <c r="B2305" i="14" s="1"/>
  <c r="J2825" i="14"/>
  <c r="B2825" i="14" s="1"/>
  <c r="J2819" i="14"/>
  <c r="B2819" i="14" s="1"/>
  <c r="J2266" i="14"/>
  <c r="B2266" i="14" s="1"/>
  <c r="J2213" i="14"/>
  <c r="B2213" i="14" s="1"/>
  <c r="J2273" i="14"/>
  <c r="B2273" i="14" s="1"/>
  <c r="J2271" i="14"/>
  <c r="B2271" i="14" s="1"/>
  <c r="J2780" i="14"/>
  <c r="B2780" i="14" s="1"/>
  <c r="J2967" i="14"/>
  <c r="B2967" i="14" s="1"/>
  <c r="J2916" i="14"/>
  <c r="B2916" i="14" s="1"/>
  <c r="J2204" i="14"/>
  <c r="B2204" i="14" s="1"/>
  <c r="J2571" i="14"/>
  <c r="B2571" i="14" s="1"/>
  <c r="J2341" i="14"/>
  <c r="B2341" i="14" s="1"/>
  <c r="J2877" i="14"/>
  <c r="B2877" i="14" s="1"/>
  <c r="J2897" i="14"/>
  <c r="B2897" i="14" s="1"/>
  <c r="J2261" i="14"/>
  <c r="B2261" i="14" s="1"/>
  <c r="J2738" i="14"/>
  <c r="B2738" i="14" s="1"/>
  <c r="J2394" i="14"/>
  <c r="B2394" i="14" s="1"/>
  <c r="J2096" i="14"/>
  <c r="B2096" i="14" s="1"/>
  <c r="J2651" i="14"/>
  <c r="B2651" i="14" s="1"/>
  <c r="J2490" i="14"/>
  <c r="B2490" i="14" s="1"/>
  <c r="J2871" i="14"/>
  <c r="B2871" i="14" s="1"/>
  <c r="J2909" i="14"/>
  <c r="B2909" i="14" s="1"/>
  <c r="J2628" i="14"/>
  <c r="B2628" i="14" s="1"/>
  <c r="J2187" i="14"/>
  <c r="B2187" i="14" s="1"/>
  <c r="J2116" i="14"/>
  <c r="B2116" i="14" s="1"/>
  <c r="J2114" i="14"/>
  <c r="B2114" i="14" s="1"/>
  <c r="J3033" i="14"/>
  <c r="B3033" i="14" s="1"/>
  <c r="J2227" i="14"/>
  <c r="B2227" i="14" s="1"/>
  <c r="J2771" i="14"/>
  <c r="B2771" i="14" s="1"/>
  <c r="J2840" i="14"/>
  <c r="B2840" i="14" s="1"/>
  <c r="J2265" i="14"/>
  <c r="B2265" i="14" s="1"/>
  <c r="J2247" i="14"/>
  <c r="B2247" i="14" s="1"/>
  <c r="J2595" i="14"/>
  <c r="B2595" i="14" s="1"/>
  <c r="J2406" i="14"/>
  <c r="B2406" i="14" s="1"/>
  <c r="J2134" i="14"/>
  <c r="B2134" i="14" s="1"/>
  <c r="J2120" i="14"/>
  <c r="B2120" i="14" s="1"/>
  <c r="J3046" i="14"/>
  <c r="B3046" i="14" s="1"/>
  <c r="J2982" i="14"/>
  <c r="B2982" i="14" s="1"/>
  <c r="J2801" i="14"/>
  <c r="B2801" i="14" s="1"/>
  <c r="J2829" i="14"/>
  <c r="B2829" i="14" s="1"/>
  <c r="J2575" i="14"/>
  <c r="B2575" i="14" s="1"/>
  <c r="J2733" i="14"/>
  <c r="B2733" i="14" s="1"/>
  <c r="J2198" i="14"/>
  <c r="B2198" i="14" s="1"/>
  <c r="J2421" i="14"/>
  <c r="B2421" i="14" s="1"/>
  <c r="J2117" i="14"/>
  <c r="B2117" i="14" s="1"/>
  <c r="J2822" i="14"/>
  <c r="B2822" i="14" s="1"/>
  <c r="J2275" i="14"/>
  <c r="B2275" i="14" s="1"/>
  <c r="J2192" i="14"/>
  <c r="B2192" i="14" s="1"/>
  <c r="J2862" i="14"/>
  <c r="B2862" i="14" s="1"/>
  <c r="J2418" i="14"/>
  <c r="B2418" i="14" s="1"/>
  <c r="J3012" i="14"/>
  <c r="B3012" i="14" s="1"/>
  <c r="J2278" i="14"/>
  <c r="B2278" i="14" s="1"/>
  <c r="J2485" i="14"/>
  <c r="B2485" i="14" s="1"/>
  <c r="J2626" i="14"/>
  <c r="B2626" i="14" s="1"/>
  <c r="J2984" i="14"/>
  <c r="B2984" i="14" s="1"/>
  <c r="J2236" i="14"/>
  <c r="B2236" i="14" s="1"/>
  <c r="J2360" i="14"/>
  <c r="B2360" i="14" s="1"/>
  <c r="J3038" i="14"/>
  <c r="B3038" i="14" s="1"/>
  <c r="J2813" i="14"/>
  <c r="B2813" i="14" s="1"/>
  <c r="J2306" i="14"/>
  <c r="B2306" i="14" s="1"/>
  <c r="J2357" i="14"/>
  <c r="B2357" i="14" s="1"/>
  <c r="J2659" i="14"/>
  <c r="B2659" i="14" s="1"/>
  <c r="J2514" i="14"/>
  <c r="B2514" i="14" s="1"/>
  <c r="J2531" i="14"/>
  <c r="B2531" i="14" s="1"/>
  <c r="J2645" i="14"/>
  <c r="B2645" i="14" s="1"/>
  <c r="J2251" i="14"/>
  <c r="B2251" i="14" s="1"/>
  <c r="J2641" i="14"/>
  <c r="B2641" i="14" s="1"/>
  <c r="J2815" i="14"/>
  <c r="B2815" i="14" s="1"/>
  <c r="J2608" i="14"/>
  <c r="B2608" i="14" s="1"/>
  <c r="J3029" i="14"/>
  <c r="B3029" i="14" s="1"/>
  <c r="J2607" i="14"/>
  <c r="B2607" i="14" s="1"/>
  <c r="J2885" i="14"/>
  <c r="B2885" i="14" s="1"/>
  <c r="J2724" i="14"/>
  <c r="B2724" i="14" s="1"/>
  <c r="J2920" i="14"/>
  <c r="B2920" i="14" s="1"/>
  <c r="J2189" i="14"/>
  <c r="B2189" i="14" s="1"/>
  <c r="J2091" i="14"/>
  <c r="B2091" i="14" s="1"/>
  <c r="J3063" i="14"/>
  <c r="B3063" i="14" s="1"/>
  <c r="J2150" i="14"/>
  <c r="B2150" i="14" s="1"/>
  <c r="J2156" i="14"/>
  <c r="B2156" i="14" s="1"/>
  <c r="J2428" i="14"/>
  <c r="B2428" i="14" s="1"/>
  <c r="J2542" i="14"/>
  <c r="B2542" i="14" s="1"/>
  <c r="J2195" i="14"/>
  <c r="B2195" i="14" s="1"/>
  <c r="J2333" i="14"/>
  <c r="B2333" i="14" s="1"/>
  <c r="J2386" i="14"/>
  <c r="B2386" i="14" s="1"/>
  <c r="J2683" i="14"/>
  <c r="B2683" i="14" s="1"/>
  <c r="J2918" i="14"/>
  <c r="B2918" i="14" s="1"/>
  <c r="J2451" i="14"/>
  <c r="B2451" i="14" s="1"/>
  <c r="J2486" i="14"/>
  <c r="B2486" i="14" s="1"/>
  <c r="J2121" i="14"/>
  <c r="B2121" i="14" s="1"/>
  <c r="J2749" i="14"/>
  <c r="B2749" i="14" s="1"/>
  <c r="J2295" i="14"/>
  <c r="B2295" i="14" s="1"/>
  <c r="J2569" i="14"/>
  <c r="B2569" i="14" s="1"/>
  <c r="J2827" i="14"/>
  <c r="B2827" i="14" s="1"/>
  <c r="J2680" i="14"/>
  <c r="B2680" i="14" s="1"/>
  <c r="J2720" i="14"/>
  <c r="B2720" i="14" s="1"/>
  <c r="J2300" i="14"/>
  <c r="B2300" i="14" s="1"/>
  <c r="J2074" i="14"/>
  <c r="B2074" i="14" s="1"/>
  <c r="J2778" i="14"/>
  <c r="B2778" i="14" s="1"/>
  <c r="J2568" i="14"/>
  <c r="B2568" i="14" s="1"/>
  <c r="J2951" i="14"/>
  <c r="B2951" i="14" s="1"/>
  <c r="J2774" i="14"/>
  <c r="B2774" i="14" s="1"/>
  <c r="J2910" i="14"/>
  <c r="B2910" i="14" s="1"/>
  <c r="J2208" i="14"/>
  <c r="B2208" i="14" s="1"/>
  <c r="J2147" i="14"/>
  <c r="B2147" i="14" s="1"/>
  <c r="J2308" i="14"/>
  <c r="B2308" i="14" s="1"/>
  <c r="J2377" i="14"/>
  <c r="B2377" i="14" s="1"/>
  <c r="J3006" i="14"/>
  <c r="B3006" i="14" s="1"/>
  <c r="J3026" i="14"/>
  <c r="B3026" i="14" s="1"/>
  <c r="J2538" i="14"/>
  <c r="B2538" i="14" s="1"/>
  <c r="J2965" i="14"/>
  <c r="B2965" i="14" s="1"/>
  <c r="J2850" i="14"/>
  <c r="B2850" i="14" s="1"/>
  <c r="J2267" i="14"/>
  <c r="B2267" i="14" s="1"/>
  <c r="J2385" i="14"/>
  <c r="B2385" i="14" s="1"/>
  <c r="J2855" i="14"/>
  <c r="B2855" i="14" s="1"/>
  <c r="J2900" i="14"/>
  <c r="B2900" i="14" s="1"/>
  <c r="J2470" i="14"/>
  <c r="B2470" i="14" s="1"/>
  <c r="J2183" i="14"/>
  <c r="B2183" i="14" s="1"/>
  <c r="J2581" i="14"/>
  <c r="B2581" i="14" s="1"/>
  <c r="J2260" i="14"/>
  <c r="B2260" i="14" s="1"/>
  <c r="J2201" i="14"/>
  <c r="B2201" i="14" s="1"/>
  <c r="J2612" i="14"/>
  <c r="B2612" i="14" s="1"/>
  <c r="J2384" i="14"/>
  <c r="B2384" i="14" s="1"/>
  <c r="J2662" i="14"/>
  <c r="B2662" i="14" s="1"/>
  <c r="J2876" i="14"/>
  <c r="B2876" i="14" s="1"/>
  <c r="J2224" i="14"/>
  <c r="B2224" i="14" s="1"/>
  <c r="J2101" i="14"/>
  <c r="B2101" i="14" s="1"/>
  <c r="J2225" i="14"/>
  <c r="B2225" i="14" s="1"/>
  <c r="J2974" i="14"/>
  <c r="B2974" i="14" s="1"/>
  <c r="J2104" i="14"/>
  <c r="B2104" i="14" s="1"/>
  <c r="J3051" i="14"/>
  <c r="B3051" i="14" s="1"/>
  <c r="J2964" i="14"/>
  <c r="B2964" i="14" s="1"/>
  <c r="J2496" i="14"/>
  <c r="B2496" i="14" s="1"/>
  <c r="J2387" i="14"/>
  <c r="B2387" i="14" s="1"/>
  <c r="J2185" i="14"/>
  <c r="B2185" i="14" s="1"/>
  <c r="J2098" i="14"/>
  <c r="B2098" i="14" s="1"/>
  <c r="J2784" i="14"/>
  <c r="B2784" i="14" s="1"/>
  <c r="J2304" i="14"/>
  <c r="B2304" i="14" s="1"/>
  <c r="J2507" i="14"/>
  <c r="B2507" i="14" s="1"/>
  <c r="J2515" i="14"/>
  <c r="B2515" i="14" s="1"/>
  <c r="J2934" i="14"/>
  <c r="B2934" i="14" s="1"/>
  <c r="J2624" i="14"/>
  <c r="B2624" i="14" s="1"/>
  <c r="J2893" i="14"/>
  <c r="B2893" i="14" s="1"/>
  <c r="J2263" i="14"/>
  <c r="B2263" i="14" s="1"/>
  <c r="J2708" i="14"/>
  <c r="B2708" i="14" s="1"/>
  <c r="J2611" i="14"/>
  <c r="B2611" i="14" s="1"/>
  <c r="J2675" i="14"/>
  <c r="B2675" i="14" s="1"/>
  <c r="J2475" i="14"/>
  <c r="B2475" i="14" s="1"/>
  <c r="J2629" i="14"/>
  <c r="B2629" i="14" s="1"/>
  <c r="J2718" i="14"/>
  <c r="B2718" i="14" s="1"/>
  <c r="J2073" i="14"/>
  <c r="B2073" i="14" s="1"/>
  <c r="J2994" i="14"/>
  <c r="B2994" i="14" s="1"/>
  <c r="J2138" i="14"/>
  <c r="B2138" i="14" s="1"/>
  <c r="J2349" i="14"/>
  <c r="B2349" i="14" s="1"/>
  <c r="J2142" i="14"/>
  <c r="B2142" i="14" s="1"/>
  <c r="J2896" i="14"/>
  <c r="B2896" i="14" s="1"/>
  <c r="J2443" i="14"/>
  <c r="B2443" i="14" s="1"/>
  <c r="J2902" i="14"/>
  <c r="B2902" i="14" s="1"/>
  <c r="J2552" i="14"/>
  <c r="B2552" i="14" s="1"/>
  <c r="J3061" i="14"/>
  <c r="B3061" i="14" s="1"/>
  <c r="J2234" i="14"/>
  <c r="B2234" i="14" s="1"/>
  <c r="J2404" i="14"/>
  <c r="B2404" i="14" s="1"/>
  <c r="J2402" i="14"/>
  <c r="B2402" i="14" s="1"/>
  <c r="J2334" i="14"/>
  <c r="B2334" i="14" s="1"/>
  <c r="J2625" i="14"/>
  <c r="B2625" i="14" s="1"/>
  <c r="J2890" i="14"/>
  <c r="B2890" i="14" s="1"/>
  <c r="J2286" i="14"/>
  <c r="B2286" i="14" s="1"/>
  <c r="J2835" i="14"/>
  <c r="B2835" i="14" s="1"/>
  <c r="J2447" i="14"/>
  <c r="B2447" i="14" s="1"/>
  <c r="J2258" i="14"/>
  <c r="B2258" i="14" s="1"/>
  <c r="J2510" i="14"/>
  <c r="B2510" i="14" s="1"/>
  <c r="J3010" i="14"/>
  <c r="B3010" i="14" s="1"/>
  <c r="J3005" i="14"/>
  <c r="B3005" i="14" s="1"/>
  <c r="J2129" i="14"/>
  <c r="B2129" i="14" s="1"/>
  <c r="J2901" i="14"/>
  <c r="B2901" i="14" s="1"/>
  <c r="J2881" i="14"/>
  <c r="B2881" i="14" s="1"/>
  <c r="J2216" i="14"/>
  <c r="B2216" i="14" s="1"/>
  <c r="J2354" i="14"/>
  <c r="B2354" i="14" s="1"/>
  <c r="J2448" i="14"/>
  <c r="B2448" i="14" s="1"/>
  <c r="J2314" i="14"/>
  <c r="B2314" i="14" s="1"/>
  <c r="J2503" i="14"/>
  <c r="B2503" i="14" s="1"/>
  <c r="J2520" i="14"/>
  <c r="B2520" i="14" s="1"/>
  <c r="J2366" i="14"/>
  <c r="B2366" i="14" s="1"/>
  <c r="J2525" i="14"/>
  <c r="B2525" i="14" s="1"/>
  <c r="J2546" i="14"/>
  <c r="B2546" i="14" s="1"/>
  <c r="J3030" i="14"/>
  <c r="B3030" i="14" s="1"/>
  <c r="J2282" i="14"/>
  <c r="B2282" i="14" s="1"/>
  <c r="J2960" i="14"/>
  <c r="B2960" i="14" s="1"/>
  <c r="J2069" i="14"/>
  <c r="B2069" i="14" s="1"/>
  <c r="J2966" i="14"/>
  <c r="B2966" i="14" s="1"/>
  <c r="J2746" i="14"/>
  <c r="B2746" i="14" s="1"/>
  <c r="J2722" i="14"/>
  <c r="B2722" i="14" s="1"/>
  <c r="J2598" i="14"/>
  <c r="B2598" i="14" s="1"/>
  <c r="J2363" i="14"/>
  <c r="B2363" i="14" s="1"/>
  <c r="J2068" i="14"/>
  <c r="B2068" i="14" s="1"/>
  <c r="J2170" i="14"/>
  <c r="B2170" i="14" s="1"/>
  <c r="J2759" i="14"/>
  <c r="B2759" i="14" s="1"/>
  <c r="J2085" i="14"/>
  <c r="B2085" i="14" s="1"/>
  <c r="J2152" i="14"/>
  <c r="B2152" i="14" s="1"/>
  <c r="J2644" i="14"/>
  <c r="B2644" i="14" s="1"/>
  <c r="J2436" i="14"/>
  <c r="B2436" i="14" s="1"/>
  <c r="J2139" i="14"/>
  <c r="B2139" i="14" s="1"/>
  <c r="J2584" i="14"/>
  <c r="B2584" i="14" s="1"/>
  <c r="J2549" i="14"/>
  <c r="B2549" i="14" s="1"/>
  <c r="J2283" i="14"/>
  <c r="B2283" i="14" s="1"/>
  <c r="J2126" i="14"/>
  <c r="B2126" i="14" s="1"/>
  <c r="J2093" i="14"/>
  <c r="B2093" i="14" s="1"/>
  <c r="J2843" i="14"/>
  <c r="B2843" i="14" s="1"/>
  <c r="J2631" i="14"/>
  <c r="B2631" i="14" s="1"/>
  <c r="J2777" i="14"/>
  <c r="B2777" i="14" s="1"/>
  <c r="J2435" i="14"/>
  <c r="B2435" i="14" s="1"/>
  <c r="J2390" i="14"/>
  <c r="B2390" i="14" s="1"/>
  <c r="J2944" i="14"/>
  <c r="B2944" i="14" s="1"/>
  <c r="J2277" i="14"/>
  <c r="B2277" i="14" s="1"/>
  <c r="J2373" i="14"/>
  <c r="B2373" i="14" s="1"/>
  <c r="J2353" i="14"/>
  <c r="B2353" i="14" s="1"/>
  <c r="J2913" i="14"/>
  <c r="B2913" i="14" s="1"/>
  <c r="J2649" i="14"/>
  <c r="B2649" i="14" s="1"/>
  <c r="J2932" i="14"/>
  <c r="B2932" i="14" s="1"/>
  <c r="J3048" i="14"/>
  <c r="B3048" i="14" s="1"/>
  <c r="J2640" i="14"/>
  <c r="B2640" i="14" s="1"/>
  <c r="J2660" i="14"/>
  <c r="B2660" i="14" s="1"/>
  <c r="J2312" i="14"/>
  <c r="B2312" i="14" s="1"/>
  <c r="J3015" i="14"/>
  <c r="B3015" i="14" s="1"/>
  <c r="J2328" i="14"/>
  <c r="B2328" i="14" s="1"/>
  <c r="J2760" i="14"/>
  <c r="B2760" i="14" s="1"/>
  <c r="J2382" i="14"/>
  <c r="B2382" i="14" s="1"/>
  <c r="J2990" i="14"/>
  <c r="B2990" i="14" s="1"/>
  <c r="J2516" i="14"/>
  <c r="B2516" i="14" s="1"/>
  <c r="J2763" i="14"/>
  <c r="B2763" i="14" s="1"/>
  <c r="J2950" i="14"/>
  <c r="B2950" i="14" s="1"/>
  <c r="J2222" i="14"/>
  <c r="B2222" i="14" s="1"/>
  <c r="J2768" i="14"/>
  <c r="B2768" i="14" s="1"/>
  <c r="J2426" i="14"/>
  <c r="B2426" i="14" s="1"/>
  <c r="J2633" i="14"/>
  <c r="B2633" i="14" s="1"/>
  <c r="J2471" i="14"/>
  <c r="B2471" i="14" s="1"/>
  <c r="J2687" i="14"/>
  <c r="B2687" i="14" s="1"/>
  <c r="J2182" i="14"/>
  <c r="B2182" i="14" s="1"/>
  <c r="J2963" i="14"/>
  <c r="B2963" i="14" s="1"/>
  <c r="J2544" i="14"/>
  <c r="B2544" i="14" s="1"/>
  <c r="J2403" i="14"/>
  <c r="B2403" i="14" s="1"/>
  <c r="J2824" i="14"/>
  <c r="B2824" i="14" s="1"/>
  <c r="J2922" i="14"/>
  <c r="B2922" i="14" s="1"/>
  <c r="J2811" i="14"/>
  <c r="B2811" i="14" s="1"/>
  <c r="J2837" i="14"/>
  <c r="B2837" i="14" s="1"/>
  <c r="J2945" i="14"/>
  <c r="B2945" i="14" s="1"/>
  <c r="J2468" i="14"/>
  <c r="B2468" i="14" s="1"/>
  <c r="J2567" i="14"/>
  <c r="B2567" i="14" s="1"/>
  <c r="J2526" i="14"/>
  <c r="B2526" i="14" s="1"/>
  <c r="J3052" i="14"/>
  <c r="B3052" i="14" s="1"/>
  <c r="J2190" i="14"/>
  <c r="B2190" i="14" s="1"/>
  <c r="J2220" i="14"/>
  <c r="B2220" i="14" s="1"/>
  <c r="J2214" i="14"/>
  <c r="B2214" i="14" s="1"/>
  <c r="J2729" i="14"/>
  <c r="B2729" i="14" s="1"/>
  <c r="J2989" i="14"/>
  <c r="B2989" i="14" s="1"/>
  <c r="J2987" i="14"/>
  <c r="B2987" i="14" s="1"/>
  <c r="J2102" i="14"/>
  <c r="B2102" i="14" s="1"/>
  <c r="J2497" i="14"/>
  <c r="B2497" i="14" s="1"/>
  <c r="J2536" i="14"/>
  <c r="B2536" i="14" s="1"/>
  <c r="J2756" i="14"/>
  <c r="B2756" i="14" s="1"/>
  <c r="J2151" i="14"/>
  <c r="B2151" i="14" s="1"/>
  <c r="J2340" i="14"/>
  <c r="B2340" i="14" s="1"/>
  <c r="J2492" i="14"/>
  <c r="B2492" i="14" s="1"/>
  <c r="J2472" i="14"/>
  <c r="B2472" i="14" s="1"/>
  <c r="J2469" i="14"/>
  <c r="B2469" i="14" s="1"/>
  <c r="J2186" i="14"/>
  <c r="B2186" i="14" s="1"/>
  <c r="J2232" i="14"/>
  <c r="B2232" i="14" s="1"/>
  <c r="J2806" i="14"/>
  <c r="B2806" i="14" s="1"/>
  <c r="J2131" i="14"/>
  <c r="B2131" i="14" s="1"/>
  <c r="J2589" i="14"/>
  <c r="B2589" i="14" s="1"/>
  <c r="J2899" i="14"/>
  <c r="B2899" i="14" s="1"/>
  <c r="J2892" i="14"/>
  <c r="B2892" i="14" s="1"/>
  <c r="J2744" i="14"/>
  <c r="B2744" i="14" s="1"/>
  <c r="J2663" i="14"/>
  <c r="B2663" i="14" s="1"/>
  <c r="J2180" i="14"/>
  <c r="B2180" i="14" s="1"/>
  <c r="J2936" i="14"/>
  <c r="B2936" i="14" s="1"/>
  <c r="J2882" i="14"/>
  <c r="B2882" i="14" s="1"/>
  <c r="J2240" i="14"/>
  <c r="B2240" i="14" s="1"/>
  <c r="J2337" i="14"/>
  <c r="B2337" i="14" s="1"/>
  <c r="J2783" i="14"/>
  <c r="B2783" i="14" s="1"/>
  <c r="J2193" i="14"/>
  <c r="B2193" i="14" s="1"/>
  <c r="J2194" i="14"/>
  <c r="B2194" i="14" s="1"/>
  <c r="J2766" i="14"/>
  <c r="B2766" i="14" s="1"/>
  <c r="J2665" i="14"/>
  <c r="B2665" i="14" s="1"/>
  <c r="J2279" i="14"/>
  <c r="B2279" i="14" s="1"/>
  <c r="J2812" i="14"/>
  <c r="B2812" i="14" s="1"/>
  <c r="J2874" i="14"/>
  <c r="B2874" i="14" s="1"/>
  <c r="J2246" i="14"/>
  <c r="B2246" i="14" s="1"/>
  <c r="J2764" i="14"/>
  <c r="B2764" i="14" s="1"/>
  <c r="J2832" i="14"/>
  <c r="B2832" i="14" s="1"/>
  <c r="J2243" i="14"/>
  <c r="B2243" i="14" s="1"/>
  <c r="J2489" i="14"/>
  <c r="B2489" i="14" s="1"/>
  <c r="J3057" i="14"/>
  <c r="B3057" i="14" s="1"/>
  <c r="J2259" i="14"/>
  <c r="B2259" i="14" s="1"/>
  <c r="J2118" i="14"/>
  <c r="B2118" i="14" s="1"/>
  <c r="J2512" i="14"/>
  <c r="B2512" i="14" s="1"/>
  <c r="J2434" i="14"/>
  <c r="B2434" i="14" s="1"/>
  <c r="J2256" i="14"/>
  <c r="B2256" i="14" s="1"/>
  <c r="J2548" i="14"/>
  <c r="B2548" i="14" s="1"/>
  <c r="J2673" i="14"/>
  <c r="B2673" i="14" s="1"/>
  <c r="J2561" i="14"/>
  <c r="B2561" i="14" s="1"/>
  <c r="J2229" i="14"/>
  <c r="B2229" i="14" s="1"/>
  <c r="J2425" i="14"/>
  <c r="B2425" i="14" s="1"/>
  <c r="J2851" i="14"/>
  <c r="B2851" i="14" s="1"/>
  <c r="J2551" i="14"/>
  <c r="B2551" i="14" s="1"/>
  <c r="J2458" i="14"/>
  <c r="B2458" i="14" s="1"/>
  <c r="J2779" i="14"/>
  <c r="B2779" i="14" s="1"/>
  <c r="J2702" i="14"/>
  <c r="B2702" i="14" s="1"/>
  <c r="J2647" i="14"/>
  <c r="B2647" i="14" s="1"/>
  <c r="J2698" i="14"/>
  <c r="B2698" i="14" s="1"/>
  <c r="J2508" i="14"/>
  <c r="B2508" i="14" s="1"/>
  <c r="J2923" i="14"/>
  <c r="B2923" i="14" s="1"/>
  <c r="J2558" i="14"/>
  <c r="B2558" i="14" s="1"/>
  <c r="J2162" i="14"/>
  <c r="B2162" i="14" s="1"/>
  <c r="J2330" i="14"/>
  <c r="B2330" i="14" s="1"/>
  <c r="J2176" i="14"/>
  <c r="B2176" i="14" s="1"/>
  <c r="J2521" i="14"/>
  <c r="B2521" i="14" s="1"/>
  <c r="J2565" i="14"/>
  <c r="B2565" i="14" s="1"/>
  <c r="J2707" i="14"/>
  <c r="B2707" i="14" s="1"/>
  <c r="J2942" i="14"/>
  <c r="B2942" i="14" s="1"/>
  <c r="J2089" i="14"/>
  <c r="B2089" i="14" s="1"/>
  <c r="J2518" i="14"/>
  <c r="B2518" i="14" s="1"/>
  <c r="J2290" i="14"/>
  <c r="B2290" i="14" s="1"/>
  <c r="J3034" i="14"/>
  <c r="B3034" i="14" s="1"/>
  <c r="J2352" i="14"/>
  <c r="B2352" i="14" s="1"/>
  <c r="J2364" i="14"/>
  <c r="B2364" i="14" s="1"/>
  <c r="J2657" i="14"/>
  <c r="B2657" i="14" s="1"/>
  <c r="J2257" i="14"/>
  <c r="B2257" i="14" s="1"/>
  <c r="J2158" i="14"/>
  <c r="B2158" i="14" s="1"/>
  <c r="J2577" i="14"/>
  <c r="B2577" i="14" s="1"/>
  <c r="J2423" i="14"/>
  <c r="B2423" i="14" s="1"/>
  <c r="J2215" i="14"/>
  <c r="B2215" i="14" s="1"/>
  <c r="J2345" i="14"/>
  <c r="B2345" i="14" s="1"/>
  <c r="J2264" i="14"/>
  <c r="B2264" i="14" s="1"/>
  <c r="J2181" i="14"/>
  <c r="B2181" i="14" s="1"/>
  <c r="J2474" i="14"/>
  <c r="B2474" i="14" s="1"/>
  <c r="J2585" i="14"/>
  <c r="B2585" i="14" s="1"/>
  <c r="J2959" i="14"/>
  <c r="B2959" i="14" s="1"/>
  <c r="J2253" i="14"/>
  <c r="B2253" i="14" s="1"/>
  <c r="J2588" i="14"/>
  <c r="B2588" i="14" s="1"/>
  <c r="J2111" i="14"/>
  <c r="B2111" i="14" s="1"/>
  <c r="J2125" i="14"/>
  <c r="B2125" i="14" s="1"/>
  <c r="J2287" i="14"/>
  <c r="B2287" i="14" s="1"/>
  <c r="J2725" i="14"/>
  <c r="B2725" i="14" s="1"/>
  <c r="J2407" i="14"/>
  <c r="B2407" i="14" s="1"/>
  <c r="J2656" i="14"/>
  <c r="B2656" i="14" s="1"/>
  <c r="J2242" i="14"/>
  <c r="B2242" i="14" s="1"/>
  <c r="J2688" i="14"/>
  <c r="B2688" i="14" s="1"/>
  <c r="J2344" i="14"/>
  <c r="B2344" i="14" s="1"/>
  <c r="J2331" i="14"/>
  <c r="B2331" i="14" s="1"/>
  <c r="J2636" i="14"/>
  <c r="B2636" i="14" s="1"/>
  <c r="J2146" i="14"/>
  <c r="B2146" i="14" s="1"/>
  <c r="J2128" i="14"/>
  <c r="B2128" i="14" s="1"/>
  <c r="J2488" i="14"/>
  <c r="B2488" i="14" s="1"/>
  <c r="J2769" i="14"/>
  <c r="B2769" i="14" s="1"/>
  <c r="J2761" i="14"/>
  <c r="B2761" i="14" s="1"/>
  <c r="J3032" i="14"/>
  <c r="B3032" i="14" s="1"/>
  <c r="J2212" i="14"/>
  <c r="B2212" i="14" s="1"/>
  <c r="J2123" i="14"/>
  <c r="B2123" i="14" s="1"/>
  <c r="J2534" i="14"/>
  <c r="B2534" i="14" s="1"/>
  <c r="J2637" i="14"/>
  <c r="B2637" i="14" s="1"/>
  <c r="J2894" i="14"/>
  <c r="B2894" i="14" s="1"/>
  <c r="J2197" i="14"/>
  <c r="B2197" i="14" s="1"/>
  <c r="J2553" i="14"/>
  <c r="B2553" i="14" s="1"/>
  <c r="J2799" i="14"/>
  <c r="B2799" i="14" s="1"/>
  <c r="J2206" i="14"/>
  <c r="B2206" i="14" s="1"/>
  <c r="J2743" i="14"/>
  <c r="B2743" i="14" s="1"/>
  <c r="J2303" i="14"/>
  <c r="B2303" i="14" s="1"/>
  <c r="J2297" i="14"/>
  <c r="B2297" i="14" s="1"/>
  <c r="J3037" i="14"/>
  <c r="B3037" i="14" s="1"/>
  <c r="J2931" i="14"/>
  <c r="B2931" i="14" s="1"/>
  <c r="J2478" i="14"/>
  <c r="B2478" i="14" s="1"/>
  <c r="J2758" i="14"/>
  <c r="B2758" i="14" s="1"/>
  <c r="J2904" i="14"/>
  <c r="B2904" i="14" s="1"/>
  <c r="J2326" i="14"/>
  <c r="B2326" i="14" s="1"/>
  <c r="J2473" i="14"/>
  <c r="B2473" i="14" s="1"/>
  <c r="J2912" i="14"/>
  <c r="B2912" i="14" s="1"/>
  <c r="J2952" i="14"/>
  <c r="B2952" i="14" s="1"/>
  <c r="J2309" i="14"/>
  <c r="B2309" i="14" s="1"/>
  <c r="J2410" i="14"/>
  <c r="B2410" i="14" s="1"/>
  <c r="J2481" i="14"/>
  <c r="B2481" i="14" s="1"/>
  <c r="J2358" i="14"/>
  <c r="B2358" i="14" s="1"/>
  <c r="J2895" i="14"/>
  <c r="B2895" i="14" s="1"/>
  <c r="J2446" i="14"/>
  <c r="B2446" i="14" s="1"/>
  <c r="J2203" i="14"/>
  <c r="B2203" i="14" s="1"/>
  <c r="J2986" i="14"/>
  <c r="B2986" i="14" s="1"/>
  <c r="J3066" i="14"/>
  <c r="B3066" i="14" s="1"/>
  <c r="J2335" i="14"/>
  <c r="B2335" i="14" s="1"/>
  <c r="J2400" i="14"/>
  <c r="B2400" i="14" s="1"/>
  <c r="J2092" i="14"/>
  <c r="B2092" i="14" s="1"/>
  <c r="J2903" i="14"/>
  <c r="B2903" i="14" s="1"/>
  <c r="J2586" i="14"/>
  <c r="B2586" i="14" s="1"/>
  <c r="J2292" i="14"/>
  <c r="B2292" i="14" s="1"/>
  <c r="J2745" i="14"/>
  <c r="B2745" i="14" s="1"/>
  <c r="J2664" i="14"/>
  <c r="B2664" i="14" s="1"/>
  <c r="J2906" i="14"/>
  <c r="B2906" i="14" s="1"/>
  <c r="J2368" i="14"/>
  <c r="B2368" i="14" s="1"/>
  <c r="J2322" i="14"/>
  <c r="B2322" i="14" s="1"/>
  <c r="J3042" i="14"/>
  <c r="B3042" i="14" s="1"/>
  <c r="J2573" i="14"/>
  <c r="B2573" i="14" s="1"/>
  <c r="J2527" i="14"/>
  <c r="B2527" i="14" s="1"/>
  <c r="J2479" i="14"/>
  <c r="B2479" i="14" s="1"/>
  <c r="J2731" i="14"/>
  <c r="B2731" i="14" s="1"/>
  <c r="J2524" i="14"/>
  <c r="B2524" i="14" s="1"/>
  <c r="J2949" i="14"/>
  <c r="B2949" i="14" s="1"/>
  <c r="J2200" i="14"/>
  <c r="B2200" i="14" s="1"/>
  <c r="J2296" i="14"/>
  <c r="B2296" i="14" s="1"/>
  <c r="J2217" i="14"/>
  <c r="B2217" i="14" s="1"/>
  <c r="J2823" i="14"/>
  <c r="B2823" i="14" s="1"/>
  <c r="J2529" i="14"/>
  <c r="B2529" i="14" s="1"/>
  <c r="J2440" i="14"/>
  <c r="B2440" i="14" s="1"/>
  <c r="J2638" i="14"/>
  <c r="B2638" i="14" s="1"/>
  <c r="J2487" i="14"/>
  <c r="B2487" i="14" s="1"/>
  <c r="J2449" i="14"/>
  <c r="B2449" i="14" s="1"/>
  <c r="J2627" i="14"/>
  <c r="B2627" i="14" s="1"/>
  <c r="J2432" i="14"/>
  <c r="B2432" i="14" s="1"/>
  <c r="J2281" i="14"/>
  <c r="B2281" i="14" s="1"/>
  <c r="J3000" i="14"/>
  <c r="B3000" i="14" s="1"/>
  <c r="J2642" i="14"/>
  <c r="B2642" i="14" s="1"/>
  <c r="J2077" i="14"/>
  <c r="B2077" i="14" s="1"/>
  <c r="J2188" i="14"/>
  <c r="B2188" i="14" s="1"/>
  <c r="J2969" i="14"/>
  <c r="B2969" i="14" s="1"/>
  <c r="J2355" i="14"/>
  <c r="B2355" i="14" s="1"/>
  <c r="J2461" i="14"/>
  <c r="B2461" i="14" s="1"/>
  <c r="J2395" i="14"/>
  <c r="B2395" i="14" s="1"/>
  <c r="J2604" i="14"/>
  <c r="B2604" i="14" s="1"/>
  <c r="J2444" i="14"/>
  <c r="B2444" i="14" s="1"/>
  <c r="J2298" i="14"/>
  <c r="B2298" i="14" s="1"/>
  <c r="J2613" i="14"/>
  <c r="B2613" i="14" s="1"/>
  <c r="J2293" i="14"/>
  <c r="B2293" i="14" s="1"/>
  <c r="J2113" i="14"/>
  <c r="B2113" i="14" s="1"/>
  <c r="J2983" i="14"/>
  <c r="B2983" i="14" s="1"/>
  <c r="J2872" i="14"/>
  <c r="B2872" i="14" s="1"/>
  <c r="J2132" i="14"/>
  <c r="B2132" i="14" s="1"/>
  <c r="J2646" i="14"/>
  <c r="B2646" i="14" s="1"/>
  <c r="J2218" i="14"/>
  <c r="B2218" i="14" s="1"/>
  <c r="J2323" i="14"/>
  <c r="B2323" i="14" s="1"/>
  <c r="J2122" i="14"/>
  <c r="B2122" i="14" s="1"/>
  <c r="J2863" i="14"/>
  <c r="B2863" i="14" s="1"/>
  <c r="J2178" i="14"/>
  <c r="B2178" i="14" s="1"/>
  <c r="J2870" i="14"/>
  <c r="B2870" i="14" s="1"/>
  <c r="J2539" i="14"/>
  <c r="B2539" i="14" s="1"/>
  <c r="J2144" i="14"/>
  <c r="B2144" i="14" s="1"/>
  <c r="J2838" i="14"/>
  <c r="B2838" i="14" s="1"/>
  <c r="J2957" i="14"/>
  <c r="B2957" i="14" s="1"/>
  <c r="J3024" i="14"/>
  <c r="B3024" i="14" s="1"/>
  <c r="J2727" i="14"/>
  <c r="B2727" i="14" s="1"/>
  <c r="J2280" i="14"/>
  <c r="B2280" i="14" s="1"/>
  <c r="J2671" i="14"/>
  <c r="B2671" i="14" s="1"/>
  <c r="J2927" i="14"/>
  <c r="B2927" i="14" s="1"/>
  <c r="J2442" i="14"/>
  <c r="B2442" i="14" s="1"/>
  <c r="J2210" i="14"/>
  <c r="B2210" i="14" s="1"/>
  <c r="J2466" i="14"/>
  <c r="B2466" i="14" s="1"/>
  <c r="J3002" i="14"/>
  <c r="B3002" i="14" s="1"/>
  <c r="J2149" i="14"/>
  <c r="B2149" i="14" s="1"/>
  <c r="J2248" i="14"/>
  <c r="B2248" i="14" s="1"/>
  <c r="J2740" i="14"/>
  <c r="B2740" i="14" s="1"/>
  <c r="J3023" i="14"/>
  <c r="B3023" i="14" s="1"/>
  <c r="J3039" i="14"/>
  <c r="B3039" i="14" s="1"/>
  <c r="J2269" i="14"/>
  <c r="B2269" i="14" s="1"/>
  <c r="J2078" i="14"/>
  <c r="B2078" i="14" s="1"/>
  <c r="J2499" i="14"/>
  <c r="B2499" i="14" s="1"/>
  <c r="J2676" i="14"/>
  <c r="B2676" i="14" s="1"/>
  <c r="J2249" i="14"/>
  <c r="B2249" i="14" s="1"/>
  <c r="J2329" i="14"/>
  <c r="B2329" i="14" s="1"/>
  <c r="J2412" i="14"/>
  <c r="B2412" i="14" s="1"/>
  <c r="J2559" i="14"/>
  <c r="B2559" i="14" s="1"/>
  <c r="J3031" i="14"/>
  <c r="B3031" i="14" s="1"/>
  <c r="J2350" i="14"/>
  <c r="B2350" i="14" s="1"/>
  <c r="J2917" i="14"/>
  <c r="B2917" i="14" s="1"/>
  <c r="J2705" i="14"/>
  <c r="B2705" i="14" s="1"/>
  <c r="J2119" i="14"/>
  <c r="B2119" i="14" s="1"/>
  <c r="J2747" i="14"/>
  <c r="B2747" i="14" s="1"/>
  <c r="J2854" i="14"/>
  <c r="B2854" i="14" s="1"/>
  <c r="J2594" i="14"/>
  <c r="B2594" i="14" s="1"/>
  <c r="J2836" i="14"/>
  <c r="B2836" i="14" s="1"/>
  <c r="J2268" i="14"/>
  <c r="B2268" i="14" s="1"/>
  <c r="J2455" i="14"/>
  <c r="B2455" i="14" s="1"/>
  <c r="J2307" i="14"/>
  <c r="B2307" i="14" s="1"/>
  <c r="J2169" i="14"/>
  <c r="B2169" i="14" s="1"/>
  <c r="J2371" i="14"/>
  <c r="B2371" i="14" s="1"/>
  <c r="J2398" i="14"/>
  <c r="B2398" i="14" s="1"/>
  <c r="J2853" i="14"/>
  <c r="B2853" i="14" s="1"/>
  <c r="J2701" i="14"/>
  <c r="B2701" i="14" s="1"/>
  <c r="J2831" i="14"/>
  <c r="B2831" i="14" s="1"/>
  <c r="J2339" i="14"/>
  <c r="B2339" i="14" s="1"/>
  <c r="J2543" i="14"/>
  <c r="B2543" i="14" s="1"/>
  <c r="J2429" i="14"/>
  <c r="B2429" i="14" s="1"/>
  <c r="J2979" i="14"/>
  <c r="B2979" i="14" s="1"/>
  <c r="J2971" i="14"/>
  <c r="B2971" i="14" s="1"/>
  <c r="J2107" i="14"/>
  <c r="B2107" i="14" s="1"/>
  <c r="J2735" i="14"/>
  <c r="B2735" i="14" s="1"/>
  <c r="J2996" i="14"/>
  <c r="B2996" i="14" s="1"/>
  <c r="J2517" i="14"/>
  <c r="B2517" i="14" s="1"/>
  <c r="J2694" i="14"/>
  <c r="B2694" i="14" s="1"/>
  <c r="J2975" i="14"/>
  <c r="B2975" i="14" s="1"/>
  <c r="J2556" i="14"/>
  <c r="B2556" i="14" s="1"/>
  <c r="J2958" i="14"/>
  <c r="B2958" i="14" s="1"/>
  <c r="J2099" i="14"/>
  <c r="B2099" i="14" s="1"/>
  <c r="J2816" i="14"/>
  <c r="B2816" i="14" s="1"/>
  <c r="J2491" i="14"/>
  <c r="B2491" i="14" s="1"/>
  <c r="J2311" i="14"/>
  <c r="B2311" i="14" s="1"/>
  <c r="J2437" i="14"/>
  <c r="B2437" i="14" s="1"/>
  <c r="J2849" i="14"/>
  <c r="B2849" i="14" s="1"/>
  <c r="J2765" i="14"/>
  <c r="B2765" i="14" s="1"/>
  <c r="J2925" i="14"/>
  <c r="B2925" i="14" s="1"/>
  <c r="J2419" i="14"/>
  <c r="B2419" i="14" s="1"/>
  <c r="J3018" i="14"/>
  <c r="B3018" i="14" s="1"/>
  <c r="J2535" i="14"/>
  <c r="B2535" i="14" s="1"/>
  <c r="J2721" i="14"/>
  <c r="B2721" i="14" s="1"/>
  <c r="J2416" i="14"/>
  <c r="B2416" i="14" s="1"/>
  <c r="J2321" i="14"/>
  <c r="B2321" i="14" s="1"/>
  <c r="J2672" i="14"/>
  <c r="B2672" i="14" s="1"/>
  <c r="J2742" i="14"/>
  <c r="B2742" i="14" s="1"/>
  <c r="J2379" i="14"/>
  <c r="B2379" i="14" s="1"/>
  <c r="J2734" i="14"/>
  <c r="B2734" i="14" s="1"/>
  <c r="J2460" i="14"/>
  <c r="B2460" i="14" s="1"/>
  <c r="J2699" i="14"/>
  <c r="B2699" i="14" s="1"/>
  <c r="J2578" i="14"/>
  <c r="B2578" i="14" s="1"/>
  <c r="J2615" i="14"/>
  <c r="B2615" i="14" s="1"/>
  <c r="J3016" i="14"/>
  <c r="B3016" i="14" s="1"/>
  <c r="J2833" i="14"/>
  <c r="B2833" i="14" s="1"/>
  <c r="J2845" i="14"/>
  <c r="B2845" i="14" s="1"/>
  <c r="J2919" i="14"/>
  <c r="B2919" i="14" s="1"/>
  <c r="J2137" i="14"/>
  <c r="B2137" i="14" s="1"/>
  <c r="J2579" i="14"/>
  <c r="B2579" i="14" s="1"/>
  <c r="J2108" i="14"/>
  <c r="B2108" i="14" s="1"/>
  <c r="J2145" i="14"/>
  <c r="B2145" i="14" s="1"/>
  <c r="J2670" i="14"/>
  <c r="B2670" i="14" s="1"/>
  <c r="J2226" i="14"/>
  <c r="B2226" i="14" s="1"/>
  <c r="J2609" i="14"/>
  <c r="B2609" i="14" s="1"/>
  <c r="J2090" i="14"/>
  <c r="B2090" i="14" s="1"/>
  <c r="J2500" i="14"/>
  <c r="B2500" i="14" s="1"/>
  <c r="J2168" i="14"/>
  <c r="B2168" i="14" s="1"/>
  <c r="J2133" i="14"/>
  <c r="B2133" i="14" s="1"/>
  <c r="J2998" i="14"/>
  <c r="B2998" i="14" s="1"/>
  <c r="J2938" i="14"/>
  <c r="B2938" i="14" s="1"/>
  <c r="J2880" i="14"/>
  <c r="B2880" i="14" s="1"/>
  <c r="J2336" i="14"/>
  <c r="B2336" i="14" s="1"/>
  <c r="J2590" i="14"/>
  <c r="B2590" i="14" s="1"/>
  <c r="J2141" i="14"/>
  <c r="B2141" i="14" s="1"/>
  <c r="J2172" i="14"/>
  <c r="B2172" i="14" s="1"/>
  <c r="J2888" i="14"/>
  <c r="B2888" i="14" s="1"/>
  <c r="J2250" i="14"/>
  <c r="B2250" i="14" s="1"/>
  <c r="J2184" i="14"/>
  <c r="B2184" i="14" s="1"/>
  <c r="J2374" i="14"/>
  <c r="B2374" i="14" s="1"/>
  <c r="J2619" i="14"/>
  <c r="B2619" i="14" s="1"/>
  <c r="J2666" i="14"/>
  <c r="B2666" i="14" s="1"/>
  <c r="J2348" i="14"/>
  <c r="B2348" i="14" s="1"/>
  <c r="J2939" i="14"/>
  <c r="B2939" i="14" s="1"/>
  <c r="J2704" i="14"/>
  <c r="B2704" i="14" s="1"/>
  <c r="J2685" i="14"/>
  <c r="B2685" i="14" s="1"/>
  <c r="J2347" i="14"/>
  <c r="B2347" i="14" s="1"/>
  <c r="J2834" i="14"/>
  <c r="B2834" i="14" s="1"/>
  <c r="J3011" i="14"/>
  <c r="B3011" i="14" s="1"/>
  <c r="J2711" i="14"/>
  <c r="B2711" i="14" s="1"/>
  <c r="J2272" i="14"/>
  <c r="B2272" i="14" s="1"/>
  <c r="J2179" i="14"/>
  <c r="B2179" i="14" s="1"/>
  <c r="J2930" i="14"/>
  <c r="B2930" i="14" s="1"/>
  <c r="J2171" i="14"/>
  <c r="B2171" i="14" s="1"/>
  <c r="J2310" i="14"/>
  <c r="B2310" i="14" s="1"/>
  <c r="J2600" i="14"/>
  <c r="B2600" i="14" s="1"/>
  <c r="J2381" i="14"/>
  <c r="B2381" i="14" s="1"/>
  <c r="J2356" i="14"/>
  <c r="B2356" i="14" s="1"/>
  <c r="J2498" i="14"/>
  <c r="B2498" i="14" s="1"/>
  <c r="J2839" i="14"/>
  <c r="B2839" i="14" s="1"/>
  <c r="J2852" i="14"/>
  <c r="B2852" i="14" s="1"/>
  <c r="J2140" i="14"/>
  <c r="B2140" i="14" s="1"/>
  <c r="J2961" i="14"/>
  <c r="B2961" i="14" s="1"/>
  <c r="J2643" i="14"/>
  <c r="B2643" i="14" s="1"/>
  <c r="J2943" i="14"/>
  <c r="B2943" i="14" s="1"/>
  <c r="J2235" i="14"/>
  <c r="B2235" i="14" s="1"/>
  <c r="J2630" i="14"/>
  <c r="B2630" i="14" s="1"/>
  <c r="J2302" i="14"/>
  <c r="B2302" i="14" s="1"/>
  <c r="J2808" i="14"/>
  <c r="B2808" i="14" s="1"/>
  <c r="J2935" i="14"/>
  <c r="B2935" i="14" s="1"/>
  <c r="J2911" i="14"/>
  <c r="B2911" i="14" s="1"/>
  <c r="J2362" i="14"/>
  <c r="B2362" i="14" s="1"/>
  <c r="J2606" i="14"/>
  <c r="B2606" i="14" s="1"/>
  <c r="J2513" i="14"/>
  <c r="B2513" i="14" s="1"/>
  <c r="J2370" i="14"/>
  <c r="B2370" i="14" s="1"/>
  <c r="J3001" i="14"/>
  <c r="B3001" i="14" s="1"/>
  <c r="J2677" i="14"/>
  <c r="B2677" i="14" s="1"/>
  <c r="J2223" i="14"/>
  <c r="B2223" i="14" s="1"/>
  <c r="J2372" i="14"/>
  <c r="B2372" i="14" s="1"/>
  <c r="J2697" i="14"/>
  <c r="B2697" i="14" s="1"/>
  <c r="J2165" i="14"/>
  <c r="B2165" i="14" s="1"/>
  <c r="J2378" i="14"/>
  <c r="B2378" i="14" s="1"/>
  <c r="J2753" i="14"/>
  <c r="B2753" i="14" s="1"/>
  <c r="J2879" i="14"/>
  <c r="B2879" i="14" s="1"/>
  <c r="J2115" i="14"/>
  <c r="B2115" i="14" s="1"/>
  <c r="J2773" i="14"/>
  <c r="B2773" i="14" s="1"/>
  <c r="J2861" i="14"/>
  <c r="B2861" i="14" s="1"/>
  <c r="J2591" i="14"/>
  <c r="B2591" i="14" s="1"/>
  <c r="J2865" i="14"/>
  <c r="B2865" i="14" s="1"/>
  <c r="J2456" i="14"/>
  <c r="B2456" i="14" s="1"/>
  <c r="J2351" i="14"/>
  <c r="B2351" i="14" s="1"/>
  <c r="J2639" i="14"/>
  <c r="B2639" i="14" s="1"/>
  <c r="J2980" i="14"/>
  <c r="B2980" i="14" s="1"/>
  <c r="J2439" i="14"/>
  <c r="B2439" i="14" s="1"/>
  <c r="J2907" i="14"/>
  <c r="B2907" i="14" s="1"/>
  <c r="J2367" i="14"/>
  <c r="B2367" i="14" s="1"/>
  <c r="J2375" i="14"/>
  <c r="B2375" i="14" s="1"/>
  <c r="J2110" i="14"/>
  <c r="B2110" i="14" s="1"/>
  <c r="J2592" i="14"/>
  <c r="B2592" i="14" s="1"/>
  <c r="J3021" i="14"/>
  <c r="B3021" i="14" s="1"/>
  <c r="J2751" i="14"/>
  <c r="B2751" i="14" s="1"/>
  <c r="J2684" i="14"/>
  <c r="B2684" i="14" s="1"/>
  <c r="J2376" i="14"/>
  <c r="B2376" i="14" s="1"/>
  <c r="J2105" i="14"/>
  <c r="B2105" i="14" s="1"/>
  <c r="J2953" i="14"/>
  <c r="B2953" i="14" s="1"/>
  <c r="J2593" i="14"/>
  <c r="B2593" i="14" s="1"/>
  <c r="J2284" i="14"/>
  <c r="B2284" i="14" s="1"/>
  <c r="J2431" i="14"/>
  <c r="B2431" i="14" s="1"/>
  <c r="J2244" i="14"/>
  <c r="B2244" i="14" s="1"/>
  <c r="J2270" i="14"/>
  <c r="B2270" i="14" s="1"/>
  <c r="J2978" i="14"/>
  <c r="B2978" i="14" s="1"/>
  <c r="J2620" i="14"/>
  <c r="B2620" i="14" s="1"/>
  <c r="J2554" i="14"/>
  <c r="B2554" i="14" s="1"/>
  <c r="J3049" i="14"/>
  <c r="B3049" i="14" s="1"/>
  <c r="J2237" i="14"/>
  <c r="B2237" i="14" s="1"/>
  <c r="J2342" i="14"/>
  <c r="B2342" i="14" s="1"/>
  <c r="J2821" i="14"/>
  <c r="B2821" i="14" s="1"/>
  <c r="J2211" i="14"/>
  <c r="B2211" i="14" s="1"/>
  <c r="J2691" i="14"/>
  <c r="B2691" i="14" s="1"/>
  <c r="J2993" i="14"/>
  <c r="B2993" i="14" s="1"/>
  <c r="J2794" i="14"/>
  <c r="B2794" i="14" s="1"/>
  <c r="J2276" i="14"/>
  <c r="B2276" i="14" s="1"/>
  <c r="J2614" i="14"/>
  <c r="B2614" i="14" s="1"/>
  <c r="J2962" i="14"/>
  <c r="B2962" i="14" s="1"/>
  <c r="J2597" i="14"/>
  <c r="B2597" i="14" s="1"/>
  <c r="J2393" i="14"/>
  <c r="B2393" i="14" s="1"/>
  <c r="J2654" i="14"/>
  <c r="B2654" i="14" s="1"/>
  <c r="J2717" i="14"/>
  <c r="B2717" i="14" s="1"/>
  <c r="J2762" i="14"/>
  <c r="B2762" i="14" s="1"/>
  <c r="J2504" i="14"/>
  <c r="B2504" i="14" s="1"/>
  <c r="J2173" i="14"/>
  <c r="B2173" i="14" s="1"/>
  <c r="J2596" i="14"/>
  <c r="B2596" i="14" s="1"/>
  <c r="J2346" i="14"/>
  <c r="B2346" i="14" s="1"/>
  <c r="J2438" i="14"/>
  <c r="B2438" i="14" s="1"/>
  <c r="J2820" i="14"/>
  <c r="B2820" i="14" s="1"/>
  <c r="J2537" i="14"/>
  <c r="B2537" i="14" s="1"/>
  <c r="J2947" i="14"/>
  <c r="B2947" i="14" s="1"/>
  <c r="J2869" i="14"/>
  <c r="B2869" i="14" s="1"/>
  <c r="J3043" i="14"/>
  <c r="B3043" i="14" s="1"/>
  <c r="J2857" i="14"/>
  <c r="B2857" i="14" s="1"/>
  <c r="J2414" i="14"/>
  <c r="B2414" i="14" s="1"/>
  <c r="J2094" i="14"/>
  <c r="B2094" i="14" s="1"/>
  <c r="J2618" i="14"/>
  <c r="B2618" i="14" s="1"/>
  <c r="J2859" i="14"/>
  <c r="B2859" i="14" s="1"/>
  <c r="J2669" i="14"/>
  <c r="B2669" i="14" s="1"/>
  <c r="J2494" i="14"/>
  <c r="B2494" i="14" s="1"/>
  <c r="J2087" i="14"/>
  <c r="B2087" i="14" s="1"/>
  <c r="J2652" i="14"/>
  <c r="B2652" i="14" s="1"/>
  <c r="J2313" i="14"/>
  <c r="B2313" i="14" s="1"/>
  <c r="J2124" i="14"/>
  <c r="B2124" i="14" s="1"/>
  <c r="J2926" i="14"/>
  <c r="B2926" i="14" s="1"/>
  <c r="J2484" i="14"/>
  <c r="B2484" i="14" s="1"/>
  <c r="J2452" i="14"/>
  <c r="B2452" i="14" s="1"/>
  <c r="J2127" i="14"/>
  <c r="B2127" i="14" s="1"/>
  <c r="J2465" i="14"/>
  <c r="B2465" i="14" s="1"/>
  <c r="J2790" i="14"/>
  <c r="B2790" i="14" s="1"/>
  <c r="J2968" i="14"/>
  <c r="B2968" i="14" s="1"/>
  <c r="J2678" i="14"/>
  <c r="B2678" i="14" s="1"/>
  <c r="J2560" i="14"/>
  <c r="B2560" i="14" s="1"/>
  <c r="J2924" i="14"/>
  <c r="B2924" i="14" s="1"/>
  <c r="J2973" i="14"/>
  <c r="B2973" i="14" s="1"/>
  <c r="J2148" i="14"/>
  <c r="B2148" i="14" s="1"/>
  <c r="J2848" i="14"/>
  <c r="B2848" i="14" s="1"/>
  <c r="J2621" i="14"/>
  <c r="B2621" i="14" s="1"/>
  <c r="J2106" i="14"/>
  <c r="B2106" i="14" s="1"/>
  <c r="J2826" i="14"/>
  <c r="B2826" i="14" s="1"/>
  <c r="J2883" i="14"/>
  <c r="B2883" i="14" s="1"/>
  <c r="J2941" i="14"/>
  <c r="B2941" i="14" s="1"/>
  <c r="J2112" i="14"/>
  <c r="B2112" i="14" s="1"/>
  <c r="J2889" i="14"/>
  <c r="B2889" i="14" s="1"/>
  <c r="J2369" i="14"/>
  <c r="B2369" i="14" s="1"/>
  <c r="J2143" i="14"/>
  <c r="B2143" i="14" s="1"/>
  <c r="J2502" i="14"/>
  <c r="B2502" i="14" s="1"/>
  <c r="J2741" i="14"/>
  <c r="B2741" i="14" s="1"/>
  <c r="J2463" i="14"/>
  <c r="B2463" i="14" s="1"/>
  <c r="J2985" i="14"/>
  <c r="B2985" i="14" s="1"/>
  <c r="J2739" i="14"/>
  <c r="B2739" i="14" s="1"/>
  <c r="J2736" i="14"/>
  <c r="B2736" i="14" s="1"/>
  <c r="J2955" i="14"/>
  <c r="B2955" i="14" s="1"/>
  <c r="J2317" i="14"/>
  <c r="B2317" i="14" s="1"/>
  <c r="J2081" i="14"/>
  <c r="B2081" i="14" s="1"/>
  <c r="J2159" i="14"/>
  <c r="B2159" i="14" s="1"/>
  <c r="J2884" i="14"/>
  <c r="B2884" i="14" s="1"/>
  <c r="J3019" i="14"/>
  <c r="B3019" i="14" s="1"/>
  <c r="J2921" i="14"/>
  <c r="B2921" i="14" s="1"/>
  <c r="J2574" i="14"/>
  <c r="B2574" i="14" s="1"/>
  <c r="J2576" i="14"/>
  <c r="B2576" i="14" s="1"/>
  <c r="J2082" i="14"/>
  <c r="B2082" i="14" s="1"/>
  <c r="J2623" i="14"/>
  <c r="B2623" i="14" s="1"/>
  <c r="J2803" i="14"/>
  <c r="B2803" i="14" s="1"/>
  <c r="J2723" i="14"/>
  <c r="B2723" i="14" s="1"/>
  <c r="J2786" i="14"/>
  <c r="B2786" i="14" s="1"/>
  <c r="J2160" i="14"/>
  <c r="B2160" i="14" s="1"/>
  <c r="J2480" i="14"/>
  <c r="B2480" i="14" s="1"/>
  <c r="J2693" i="14"/>
  <c r="B2693" i="14" s="1"/>
  <c r="J2154" i="14"/>
  <c r="B2154" i="14" s="1"/>
  <c r="J2389" i="14"/>
  <c r="B2389" i="14" s="1"/>
  <c r="J2422" i="14"/>
  <c r="B2422" i="14" s="1"/>
  <c r="J2445" i="14"/>
  <c r="B2445" i="14" s="1"/>
  <c r="J2710" i="14"/>
  <c r="B2710" i="14" s="1"/>
  <c r="J2940" i="14"/>
  <c r="B2940" i="14" s="1"/>
  <c r="J2167" i="14"/>
  <c r="B2167" i="14" s="1"/>
  <c r="J2164" i="14"/>
  <c r="B2164" i="14" s="1"/>
  <c r="J2719" i="14"/>
  <c r="B2719" i="14" s="1"/>
  <c r="J2519" i="14"/>
  <c r="B2519" i="14" s="1"/>
  <c r="J2361" i="14"/>
  <c r="B2361" i="14" s="1"/>
  <c r="J3004" i="14"/>
  <c r="B3004" i="14" s="1"/>
  <c r="J2199" i="14"/>
  <c r="B2199" i="14" s="1"/>
  <c r="J2450" i="14"/>
  <c r="B2450" i="14" s="1"/>
  <c r="J2948" i="14"/>
  <c r="B2948" i="14" s="1"/>
  <c r="J2231" i="14"/>
  <c r="B2231" i="14" s="1"/>
  <c r="J2319" i="14"/>
  <c r="B2319" i="14" s="1"/>
  <c r="J2161" i="14"/>
  <c r="B2161" i="14" s="1"/>
  <c r="J2754" i="14"/>
  <c r="B2754" i="14" s="1"/>
  <c r="J2103" i="14"/>
  <c r="B2103" i="14" s="1"/>
  <c r="J3028" i="14"/>
  <c r="B3028" i="14" s="1"/>
  <c r="J2809" i="14"/>
  <c r="B2809" i="14" s="1"/>
  <c r="J2789" i="14"/>
  <c r="B2789" i="14" s="1"/>
  <c r="J2207" i="14"/>
  <c r="B2207" i="14" s="1"/>
  <c r="J2288" i="14"/>
  <c r="B2288" i="14" s="1"/>
  <c r="J2788" i="14"/>
  <c r="B2788" i="14" s="1"/>
  <c r="J2083" i="14"/>
  <c r="B2083" i="14" s="1"/>
  <c r="J2798" i="14"/>
  <c r="B2798" i="14" s="1"/>
  <c r="J2262" i="14"/>
  <c r="B2262" i="14" s="1"/>
  <c r="J3047" i="14"/>
  <c r="B3047" i="14" s="1"/>
  <c r="J2603" i="14"/>
  <c r="B2603" i="14" s="1"/>
  <c r="J2828" i="14"/>
  <c r="B2828" i="14" s="1"/>
  <c r="J2315" i="14"/>
  <c r="B2315" i="14" s="1"/>
  <c r="J2775" i="14"/>
  <c r="B2775" i="14" s="1"/>
  <c r="J2417" i="14"/>
  <c r="B2417" i="14" s="1"/>
  <c r="J2793" i="14"/>
  <c r="B2793" i="14" s="1"/>
  <c r="J2712" i="14"/>
  <c r="B2712" i="14" s="1"/>
  <c r="J2564" i="14"/>
  <c r="B2564" i="14" s="1"/>
  <c r="J2332" i="14"/>
  <c r="B2332" i="14" s="1"/>
  <c r="J2908" i="14"/>
  <c r="B2908" i="14" s="1"/>
  <c r="J2427" i="14"/>
  <c r="B2427" i="14" s="1"/>
  <c r="J2785" i="14"/>
  <c r="B2785" i="14" s="1"/>
  <c r="J2191" i="14"/>
  <c r="B2191" i="14" s="1"/>
  <c r="J2977" i="14"/>
  <c r="B2977" i="14" s="1"/>
  <c r="J2202" i="14"/>
  <c r="B2202" i="14" s="1"/>
  <c r="J2658" i="14"/>
  <c r="B2658" i="14" s="1"/>
  <c r="J2289" i="14"/>
  <c r="B2289" i="14" s="1"/>
  <c r="J2695" i="14"/>
  <c r="B2695" i="14" s="1"/>
  <c r="J2505" i="14"/>
  <c r="B2505" i="14" s="1"/>
  <c r="J2506" i="14"/>
  <c r="B2506" i="14" s="1"/>
  <c r="J2392" i="14"/>
  <c r="B2392" i="14" s="1"/>
  <c r="J2728" i="14"/>
  <c r="B2728" i="14" s="1"/>
  <c r="J2441" i="14"/>
  <c r="B2441" i="14" s="1"/>
  <c r="J2841" i="14"/>
  <c r="B2841" i="14" s="1"/>
  <c r="J2316" i="14"/>
  <c r="B2316" i="14" s="1"/>
  <c r="J3060" i="14"/>
  <c r="B3060" i="14" s="1"/>
  <c r="J2703" i="14"/>
  <c r="B2703" i="14" s="1"/>
  <c r="J2650" i="14"/>
  <c r="B2650" i="14" s="1"/>
  <c r="J2770" i="14"/>
  <c r="B2770" i="14" s="1"/>
  <c r="J2782" i="14"/>
  <c r="B2782" i="14" s="1"/>
  <c r="J2905" i="14"/>
  <c r="B2905" i="14" s="1"/>
  <c r="J2274" i="14"/>
  <c r="B2274" i="14" s="1"/>
  <c r="J2954" i="14"/>
  <c r="B2954" i="14" s="1"/>
  <c r="J2084" i="14"/>
  <c r="B2084" i="14" s="1"/>
  <c r="J3041" i="14"/>
  <c r="B3041" i="14" s="1"/>
  <c r="J2873" i="14"/>
  <c r="B2873" i="14" s="1"/>
  <c r="J3045" i="14"/>
  <c r="B3045" i="14" s="1"/>
  <c r="J2667" i="14"/>
  <c r="B2667" i="14" s="1"/>
  <c r="J2928" i="14"/>
  <c r="B2928" i="14" s="1"/>
  <c r="J2750" i="14"/>
  <c r="B2750" i="14" s="1"/>
  <c r="J2477" i="14"/>
  <c r="B2477" i="14" s="1"/>
  <c r="J2482" i="14"/>
  <c r="B2482" i="14" s="1"/>
  <c r="J3054" i="14"/>
  <c r="B3054" i="14" s="1"/>
  <c r="J2476" i="14"/>
  <c r="B2476" i="14" s="1"/>
  <c r="J2970" i="14"/>
  <c r="B2970" i="14" s="1"/>
  <c r="J2396" i="14"/>
  <c r="B2396" i="14" s="1"/>
  <c r="J2467" i="14"/>
  <c r="B2467" i="14" s="1"/>
  <c r="J2391" i="14"/>
  <c r="B2391" i="14" s="1"/>
  <c r="J2601" i="14"/>
  <c r="B2601" i="14" s="1"/>
  <c r="J2995" i="14"/>
  <c r="B2995" i="14" s="1"/>
  <c r="J2616" i="14"/>
  <c r="B2616" i="14" s="1"/>
  <c r="J2817" i="14"/>
  <c r="B2817" i="14" s="1"/>
  <c r="J3064" i="14"/>
  <c r="B3064" i="14" s="1"/>
  <c r="J2797" i="14"/>
  <c r="B2797" i="14" s="1"/>
  <c r="J2196" i="14"/>
  <c r="B2196" i="14" s="1"/>
  <c r="J2205" i="14"/>
  <c r="B2205" i="14" s="1"/>
  <c r="J2075" i="14"/>
  <c r="B2075" i="14" s="1"/>
  <c r="J2219" i="14"/>
  <c r="B2219" i="14" s="1"/>
  <c r="J2557" i="14"/>
  <c r="B2557" i="14" s="1"/>
  <c r="J2887" i="14"/>
  <c r="B2887" i="14" s="1"/>
  <c r="J2802" i="14"/>
  <c r="B2802" i="14" s="1"/>
  <c r="J3056" i="14"/>
  <c r="B3056" i="14" s="1"/>
  <c r="J3025" i="14"/>
  <c r="B3025" i="14" s="1"/>
  <c r="J2221" i="14"/>
  <c r="B2221" i="14" s="1"/>
  <c r="J2483" i="14"/>
  <c r="B2483" i="14" s="1"/>
  <c r="J2239" i="14"/>
  <c r="B2239" i="14" s="1"/>
  <c r="J2155" i="14"/>
  <c r="B2155" i="14" s="1"/>
  <c r="J2301" i="14"/>
  <c r="B2301" i="14" s="1"/>
  <c r="J2713" i="14"/>
  <c r="B2713" i="14" s="1"/>
  <c r="J2408" i="14"/>
  <c r="B2408" i="14" s="1"/>
  <c r="J2454" i="14"/>
  <c r="B2454" i="14" s="1"/>
  <c r="J2545" i="14"/>
  <c r="B2545" i="14" s="1"/>
  <c r="J2956" i="14"/>
  <c r="B2956" i="14" s="1"/>
  <c r="J2875" i="14"/>
  <c r="B2875" i="14" s="1"/>
  <c r="J3058" i="14"/>
  <c r="B3058" i="14" s="1"/>
  <c r="J2459" i="14"/>
  <c r="B2459" i="14" s="1"/>
  <c r="J2453" i="14"/>
  <c r="B2453" i="14" s="1"/>
  <c r="J2071" i="14"/>
  <c r="B2071" i="14" s="1"/>
  <c r="J2929" i="14"/>
  <c r="B2929" i="14" s="1"/>
  <c r="J2668" i="14"/>
  <c r="B2668" i="14" s="1"/>
  <c r="J2679" i="14"/>
  <c r="B2679" i="14" s="1"/>
  <c r="J2228" i="14"/>
  <c r="B2228" i="14" s="1"/>
  <c r="J2937" i="14"/>
  <c r="B2937" i="14" s="1"/>
  <c r="J2493" i="14"/>
  <c r="B2493" i="14" s="1"/>
  <c r="J2255" i="14"/>
  <c r="B2255" i="14" s="1"/>
  <c r="J2397" i="14"/>
  <c r="B2397" i="14" s="1"/>
  <c r="J2681" i="14"/>
  <c r="B2681" i="14" s="1"/>
  <c r="J2570" i="14"/>
  <c r="B2570" i="14" s="1"/>
  <c r="J3017" i="14"/>
  <c r="B3017" i="14" s="1"/>
  <c r="J2166" i="14"/>
  <c r="B2166" i="14" s="1"/>
  <c r="J3013" i="14"/>
  <c r="B3013" i="14" s="1"/>
  <c r="J2430" i="14"/>
  <c r="B2430" i="14" s="1"/>
  <c r="J2999" i="14"/>
  <c r="B2999" i="14" s="1"/>
  <c r="J3020" i="14"/>
  <c r="B3020" i="14" s="1"/>
  <c r="J2157" i="14"/>
  <c r="B2157" i="14" s="1"/>
  <c r="J2755" i="14"/>
  <c r="B2755" i="14" s="1"/>
  <c r="J2818" i="14"/>
  <c r="B2818" i="14" s="1"/>
  <c r="J2805" i="14"/>
  <c r="B2805" i="14" s="1"/>
  <c r="J2714" i="14"/>
  <c r="B2714" i="14" s="1"/>
  <c r="J2338" i="14"/>
  <c r="B2338" i="14" s="1"/>
  <c r="J2401" i="14"/>
  <c r="B2401" i="14" s="1"/>
  <c r="J2700" i="14"/>
  <c r="B2700" i="14" s="1"/>
  <c r="J2661" i="14"/>
  <c r="B2661" i="14" s="1"/>
  <c r="J2580" i="14"/>
  <c r="B2580" i="14" s="1"/>
  <c r="J2791" i="14"/>
  <c r="B2791" i="14" s="1"/>
  <c r="J2572" i="14"/>
  <c r="B2572" i="14" s="1"/>
  <c r="J2602" i="14"/>
  <c r="B2602" i="14" s="1"/>
  <c r="J2462" i="14"/>
  <c r="B2462" i="14" s="1"/>
  <c r="J2241" i="14"/>
  <c r="B2241" i="14" s="1"/>
  <c r="J3050" i="14"/>
  <c r="B3050" i="14" s="1"/>
  <c r="J2254" i="14"/>
  <c r="B2254" i="14" s="1"/>
  <c r="J2776" i="14"/>
  <c r="B2776" i="14" s="1"/>
  <c r="J2252" i="14"/>
  <c r="B2252" i="14" s="1"/>
  <c r="J2299" i="14"/>
  <c r="B2299" i="14" s="1"/>
  <c r="J2846" i="14"/>
  <c r="B2846" i="14" s="1"/>
  <c r="J2163" i="14"/>
  <c r="B2163" i="14" s="1"/>
  <c r="J2343" i="14"/>
  <c r="B2343" i="14" s="1"/>
  <c r="J2696" i="14"/>
  <c r="B2696" i="14" s="1"/>
  <c r="J2550" i="14"/>
  <c r="B2550" i="14" s="1"/>
  <c r="J2732" i="14"/>
  <c r="B2732" i="14" s="1"/>
  <c r="J2095" i="14"/>
  <c r="B2095" i="14" s="1"/>
  <c r="J2730" i="14"/>
  <c r="B2730" i="14" s="1"/>
  <c r="J2988" i="14"/>
  <c r="B2988" i="14" s="1"/>
  <c r="J2411" i="14"/>
  <c r="B2411" i="14" s="1"/>
  <c r="J2599" i="14"/>
  <c r="B2599" i="14" s="1"/>
  <c r="J2109" i="14"/>
  <c r="B2109" i="14" s="1"/>
  <c r="J2634" i="14"/>
  <c r="B2634" i="14" s="1"/>
  <c r="J2946" i="14"/>
  <c r="B2946" i="14" s="1"/>
  <c r="J2867" i="14"/>
  <c r="B2867" i="14" s="1"/>
  <c r="J2981" i="14"/>
  <c r="B2981" i="14" s="1"/>
  <c r="J2706" i="14"/>
  <c r="B2706" i="14" s="1"/>
  <c r="J3014" i="14"/>
  <c r="B3014" i="14" s="1"/>
  <c r="J2868" i="14"/>
  <c r="B2868" i="14" s="1"/>
  <c r="J2842" i="14"/>
  <c r="B2842" i="14" s="1"/>
  <c r="J2648" i="14"/>
  <c r="B2648" i="14" s="1"/>
  <c r="J2501" i="14"/>
  <c r="B2501" i="14" s="1"/>
  <c r="J2898" i="14"/>
  <c r="B2898" i="14" s="1"/>
  <c r="J2997" i="14"/>
  <c r="B2997" i="14" s="1"/>
  <c r="J3003" i="14"/>
  <c r="B3003" i="14" s="1"/>
  <c r="J2359" i="14"/>
  <c r="B2359" i="14" s="1"/>
  <c r="J2781" i="14"/>
  <c r="B2781" i="14" s="1"/>
  <c r="J2238" i="14"/>
  <c r="B2238" i="14" s="1"/>
  <c r="J2457" i="14"/>
  <c r="B2457" i="14" s="1"/>
  <c r="J2682" i="14"/>
  <c r="B2682" i="14" s="1"/>
  <c r="J2136" i="14"/>
  <c r="B2136" i="14" s="1"/>
  <c r="J2079" i="14"/>
  <c r="B2079" i="14" s="1"/>
  <c r="J2100" i="14"/>
  <c r="B2100" i="14" s="1"/>
  <c r="J2858" i="14"/>
  <c r="B2858" i="14" s="1"/>
  <c r="J2153" i="14"/>
  <c r="B2153" i="14" s="1"/>
  <c r="J2405" i="14"/>
  <c r="B2405" i="14" s="1"/>
  <c r="J2605" i="14"/>
  <c r="B2605" i="14" s="1"/>
  <c r="J2972" i="14"/>
  <c r="B2972" i="14" s="1"/>
  <c r="J3040" i="14"/>
  <c r="B3040" i="14" s="1"/>
  <c r="J2617" i="14"/>
  <c r="B2617" i="14" s="1"/>
  <c r="J2804" i="14"/>
  <c r="B2804" i="14" s="1"/>
  <c r="J2555" i="14"/>
  <c r="B2555" i="14" s="1"/>
  <c r="J3059" i="14"/>
  <c r="B3059" i="14" s="1"/>
  <c r="J2796" i="14"/>
  <c r="B2796" i="14" s="1"/>
  <c r="J2757" i="14"/>
  <c r="B2757" i="14" s="1"/>
  <c r="J2070" i="14"/>
  <c r="B2070" i="14" s="1"/>
  <c r="J2420" i="14"/>
  <c r="B2420" i="14" s="1"/>
  <c r="J2767" i="14"/>
  <c r="B2767" i="14" s="1"/>
  <c r="J2726" i="14"/>
  <c r="B2726" i="14" s="1"/>
  <c r="J2886" i="14"/>
  <c r="B2886" i="14" s="1"/>
  <c r="J2566" i="14"/>
  <c r="B2566" i="14" s="1"/>
  <c r="J2509" i="14"/>
  <c r="B2509" i="14" s="1"/>
  <c r="J2399" i="14"/>
  <c r="B2399" i="14" s="1"/>
  <c r="J2674" i="14"/>
  <c r="B2674" i="14" s="1"/>
  <c r="J2409" i="14"/>
  <c r="B2409" i="14" s="1"/>
  <c r="J2383" i="14"/>
  <c r="B2383" i="14" s="1"/>
  <c r="J2380" i="14"/>
  <c r="B2380" i="14" s="1"/>
  <c r="J2715" i="14"/>
  <c r="B2715" i="14" s="1"/>
  <c r="J2610" i="14"/>
  <c r="B2610" i="14" s="1"/>
  <c r="J2318" i="14"/>
  <c r="B2318" i="14" s="1"/>
  <c r="J2413" i="14"/>
  <c r="B2413" i="14" s="1"/>
  <c r="J2830" i="14"/>
  <c r="B2830" i="14" s="1"/>
  <c r="J3027" i="14"/>
  <c r="B3027" i="14" s="1"/>
  <c r="J3007" i="14"/>
  <c r="B3007" i="14" s="1"/>
  <c r="J2709" i="14"/>
  <c r="B2709" i="14" s="1"/>
  <c r="J2653" i="14"/>
  <c r="B2653" i="14" s="1"/>
  <c r="J2563" i="14"/>
  <c r="B2563" i="14" s="1"/>
  <c r="J3053" i="14"/>
  <c r="B3053" i="14" s="1"/>
  <c r="J2324" i="14"/>
  <c r="B2324" i="14" s="1"/>
  <c r="J3008" i="14"/>
  <c r="B3008" i="14" s="1"/>
  <c r="J2285" i="14"/>
  <c r="B2285" i="14" s="1"/>
  <c r="J2533" i="14"/>
  <c r="B2533" i="14" s="1"/>
  <c r="J2587" i="14"/>
  <c r="B2587" i="14" s="1"/>
  <c r="J2291" i="14"/>
  <c r="B2291" i="14" s="1"/>
  <c r="J2177" i="14"/>
  <c r="B2177" i="14" s="1"/>
  <c r="J2388" i="14"/>
  <c r="B2388" i="14" s="1"/>
  <c r="J2878" i="14"/>
  <c r="B2878" i="14" s="1"/>
  <c r="J2320" i="14"/>
  <c r="B2320" i="14" s="1"/>
  <c r="J2547" i="14"/>
  <c r="B2547" i="14" s="1"/>
  <c r="J2891" i="14"/>
  <c r="B2891" i="14" s="1"/>
  <c r="J2532" i="14"/>
  <c r="B2532" i="14" s="1"/>
  <c r="J2541" i="14"/>
  <c r="B2541" i="14" s="1"/>
  <c r="J2097" i="14"/>
  <c r="B2097" i="14" s="1"/>
  <c r="J2787" i="14"/>
  <c r="B2787" i="14" s="1"/>
  <c r="J2752" i="14"/>
  <c r="B2752" i="14" s="1"/>
  <c r="J2209" i="14"/>
  <c r="B2209" i="14" s="1"/>
  <c r="J2294" i="14"/>
  <c r="B2294" i="14" s="1"/>
  <c r="J2991" i="14"/>
  <c r="B2991" i="14" s="1"/>
  <c r="J2716" i="14"/>
  <c r="B2716" i="14" s="1"/>
  <c r="J3065" i="14"/>
  <c r="B3065" i="14" s="1"/>
  <c r="J2562" i="14"/>
  <c r="B2562" i="14" s="1"/>
  <c r="J2135" i="14"/>
  <c r="B2135" i="14" s="1"/>
  <c r="J2860" i="14"/>
  <c r="B2860" i="14" s="1"/>
  <c r="J2076" i="14"/>
  <c r="B2076" i="14" s="1"/>
  <c r="J2856" i="14"/>
  <c r="B2856" i="14" s="1"/>
  <c r="J2088" i="14"/>
  <c r="B2088" i="14" s="1"/>
  <c r="J4174" i="14"/>
  <c r="B4174" i="14" s="1"/>
  <c r="J4116" i="14"/>
  <c r="B4116" i="14" s="1"/>
  <c r="J4162" i="14"/>
  <c r="B4162" i="14" s="1"/>
  <c r="J4163" i="14"/>
  <c r="B4163" i="14" s="1"/>
  <c r="J4118" i="14"/>
  <c r="B4118" i="14" s="1"/>
  <c r="J4107" i="14"/>
  <c r="B4107" i="14" s="1"/>
  <c r="J4139" i="14"/>
  <c r="B4139" i="14" s="1"/>
  <c r="J4089" i="14"/>
  <c r="B4089" i="14" s="1"/>
  <c r="J4109" i="14"/>
  <c r="B4109" i="14" s="1"/>
  <c r="J4121" i="14"/>
  <c r="B4121" i="14" s="1"/>
  <c r="J4112" i="14"/>
  <c r="B4112" i="14" s="1"/>
  <c r="J4071" i="14"/>
  <c r="B4071" i="14" s="1"/>
  <c r="J4122" i="14"/>
  <c r="B4122" i="14" s="1"/>
  <c r="J4172" i="14"/>
  <c r="B4172" i="14" s="1"/>
  <c r="J4078" i="14"/>
  <c r="B4078" i="14" s="1"/>
  <c r="J4123" i="14"/>
  <c r="B4123" i="14" s="1"/>
  <c r="J4091" i="14"/>
  <c r="B4091" i="14" s="1"/>
  <c r="J4129" i="14"/>
  <c r="B4129" i="14" s="1"/>
  <c r="J4153" i="14"/>
  <c r="B4153" i="14" s="1"/>
  <c r="J4105" i="14"/>
  <c r="B4105" i="14" s="1"/>
  <c r="J4113" i="14"/>
  <c r="B4113" i="14" s="1"/>
  <c r="J4095" i="14"/>
  <c r="B4095" i="14" s="1"/>
  <c r="J4125" i="14"/>
  <c r="B4125" i="14" s="1"/>
  <c r="J4094" i="14"/>
  <c r="B4094" i="14" s="1"/>
  <c r="J4159" i="14"/>
  <c r="B4159" i="14" s="1"/>
  <c r="J4099" i="14"/>
  <c r="B4099" i="14" s="1"/>
  <c r="J4090" i="14"/>
  <c r="B4090" i="14" s="1"/>
  <c r="J4088" i="14"/>
  <c r="B4088" i="14" s="1"/>
  <c r="J4106" i="14"/>
  <c r="B4106" i="14" s="1"/>
  <c r="J4169" i="14"/>
  <c r="B4169" i="14" s="1"/>
  <c r="J4072" i="14"/>
  <c r="B4072" i="14" s="1"/>
  <c r="J4170" i="14"/>
  <c r="B4170" i="14" s="1"/>
  <c r="J4115" i="14"/>
  <c r="B4115" i="14" s="1"/>
  <c r="J4138" i="14"/>
  <c r="B4138" i="14" s="1"/>
  <c r="J4108" i="14"/>
  <c r="B4108" i="14" s="1"/>
  <c r="J4098" i="14"/>
  <c r="B4098" i="14" s="1"/>
  <c r="J4157" i="14"/>
  <c r="B4157" i="14" s="1"/>
  <c r="J4177" i="14"/>
  <c r="B4177" i="14" s="1"/>
  <c r="J4117" i="14"/>
  <c r="B4117" i="14" s="1"/>
  <c r="J4126" i="14"/>
  <c r="B4126" i="14" s="1"/>
  <c r="J4102" i="14"/>
  <c r="B4102" i="14" s="1"/>
  <c r="J4142" i="14"/>
  <c r="B4142" i="14" s="1"/>
  <c r="J4074" i="14"/>
  <c r="B4074" i="14" s="1"/>
  <c r="J4086" i="14"/>
  <c r="B4086" i="14" s="1"/>
  <c r="J4179" i="14"/>
  <c r="B4179" i="14" s="1"/>
  <c r="J4167" i="14"/>
  <c r="B4167" i="14" s="1"/>
  <c r="J4110" i="14"/>
  <c r="B4110" i="14" s="1"/>
  <c r="J4182" i="14"/>
  <c r="B4182" i="14" s="1"/>
  <c r="J4156" i="14"/>
  <c r="B4156" i="14" s="1"/>
  <c r="J4083" i="14"/>
  <c r="B4083" i="14" s="1"/>
  <c r="J4132" i="14"/>
  <c r="B4132" i="14" s="1"/>
  <c r="J4131" i="14"/>
  <c r="B4131" i="14" s="1"/>
  <c r="J4151" i="14"/>
  <c r="B4151" i="14" s="1"/>
  <c r="J4168" i="14"/>
  <c r="B4168" i="14" s="1"/>
  <c r="J4093" i="14"/>
  <c r="B4093" i="14" s="1"/>
  <c r="J4133" i="14"/>
  <c r="B4133" i="14" s="1"/>
  <c r="J4128" i="14"/>
  <c r="B4128" i="14" s="1"/>
  <c r="J4079" i="14"/>
  <c r="B4079" i="14" s="1"/>
  <c r="J4173" i="14"/>
  <c r="B4173" i="14" s="1"/>
  <c r="J4178" i="14"/>
  <c r="B4178" i="14" s="1"/>
  <c r="J4130" i="14"/>
  <c r="B4130" i="14" s="1"/>
  <c r="J4069" i="14"/>
  <c r="B4069" i="14" s="1"/>
  <c r="J2072" i="14"/>
  <c r="B2072" i="14" s="1"/>
  <c r="J4146" i="14"/>
  <c r="B4146" i="14" s="1"/>
  <c r="J4140" i="14"/>
  <c r="B4140" i="14" s="1"/>
  <c r="J4181" i="14"/>
  <c r="B4181" i="14" s="1"/>
  <c r="J4092" i="14"/>
  <c r="B4092" i="14" s="1"/>
  <c r="J4158" i="14"/>
  <c r="B4158" i="14" s="1"/>
  <c r="J4166" i="14"/>
  <c r="B4166" i="14" s="1"/>
  <c r="J4141" i="14"/>
  <c r="B4141" i="14" s="1"/>
  <c r="J4104" i="14"/>
  <c r="B4104" i="14" s="1"/>
  <c r="J4161" i="14"/>
  <c r="B4161" i="14" s="1"/>
  <c r="J4137" i="14"/>
  <c r="B4137" i="14" s="1"/>
  <c r="J4068" i="14"/>
  <c r="B4068" i="14" s="1"/>
  <c r="J4111" i="14"/>
  <c r="B4111" i="14" s="1"/>
  <c r="J4119" i="14"/>
  <c r="B4119" i="14" s="1"/>
  <c r="J4077" i="14"/>
  <c r="B4077" i="14" s="1"/>
  <c r="J4075" i="14"/>
  <c r="B4075" i="14" s="1"/>
  <c r="J4085" i="14"/>
  <c r="B4085" i="14" s="1"/>
  <c r="J4152" i="14"/>
  <c r="B4152" i="14" s="1"/>
  <c r="J4144" i="14"/>
  <c r="B4144" i="14" s="1"/>
  <c r="J4114" i="14"/>
  <c r="B4114" i="14" s="1"/>
  <c r="J4120" i="14"/>
  <c r="B4120" i="14" s="1"/>
  <c r="J4081" i="14"/>
  <c r="B4081" i="14" s="1"/>
  <c r="J4127" i="14"/>
  <c r="B4127" i="14" s="1"/>
  <c r="J4084" i="14"/>
  <c r="B4084" i="14" s="1"/>
  <c r="J4076" i="14"/>
  <c r="B4076" i="14" s="1"/>
  <c r="J4067" i="14"/>
  <c r="B4067" i="14" s="1"/>
  <c r="J4145" i="14"/>
  <c r="B4145" i="14" s="1"/>
  <c r="J4154" i="14"/>
  <c r="B4154" i="14" s="1"/>
  <c r="J4155" i="14"/>
  <c r="B4155" i="14" s="1"/>
  <c r="J4148" i="14"/>
  <c r="B4148" i="14" s="1"/>
  <c r="J4176" i="14"/>
  <c r="B4176" i="14" s="1"/>
  <c r="J4070" i="14"/>
  <c r="B4070" i="14" s="1"/>
  <c r="J4147" i="14"/>
  <c r="B4147" i="14" s="1"/>
  <c r="J4149" i="14"/>
  <c r="B4149" i="14" s="1"/>
  <c r="J4143" i="14"/>
  <c r="B4143" i="14" s="1"/>
  <c r="J4180" i="14"/>
  <c r="B4180" i="14" s="1"/>
  <c r="J4096" i="14"/>
  <c r="B4096" i="14" s="1"/>
  <c r="J4082" i="14"/>
  <c r="B4082" i="14" s="1"/>
  <c r="J4175" i="14"/>
  <c r="B4175" i="14" s="1"/>
  <c r="J4165" i="14"/>
  <c r="B4165" i="14" s="1"/>
  <c r="J4124" i="14"/>
  <c r="B4124" i="14" s="1"/>
  <c r="J4103" i="14"/>
  <c r="B4103" i="14" s="1"/>
  <c r="J4150" i="14"/>
  <c r="B4150" i="14" s="1"/>
  <c r="J4080" i="14"/>
  <c r="B4080" i="14" s="1"/>
  <c r="J4101" i="14"/>
  <c r="B4101" i="14" s="1"/>
  <c r="J4135" i="14"/>
  <c r="B4135" i="14" s="1"/>
  <c r="J4100" i="14"/>
  <c r="B4100" i="14" s="1"/>
  <c r="J4164" i="14"/>
  <c r="B4164" i="14" s="1"/>
  <c r="J4073" i="14"/>
  <c r="B4073" i="14" s="1"/>
  <c r="J4087" i="14"/>
  <c r="B4087" i="14" s="1"/>
  <c r="J4160" i="14"/>
  <c r="B4160" i="14" s="1"/>
  <c r="J4136" i="14"/>
  <c r="B4136" i="14" s="1"/>
  <c r="J4097" i="14"/>
  <c r="B4097" i="14" s="1"/>
  <c r="J4134" i="14"/>
  <c r="B4134" i="14" s="1"/>
  <c r="J4171" i="14"/>
  <c r="B4171" i="14" s="1"/>
  <c r="J3579" i="14"/>
  <c r="B3579" i="14" s="1"/>
  <c r="J3867" i="14"/>
  <c r="B3867" i="14" s="1"/>
  <c r="J3315" i="14"/>
  <c r="B3315" i="14" s="1"/>
  <c r="J3379" i="14"/>
  <c r="B3379" i="14" s="1"/>
  <c r="J3539" i="14"/>
  <c r="B3539" i="14" s="1"/>
  <c r="J3621" i="14"/>
  <c r="B3621" i="14" s="1"/>
  <c r="J3723" i="14"/>
  <c r="B3723" i="14" s="1"/>
  <c r="J3351" i="14"/>
  <c r="B3351" i="14" s="1"/>
  <c r="J3207" i="14"/>
  <c r="B3207" i="14" s="1"/>
  <c r="J3165" i="14"/>
  <c r="B3165" i="14" s="1"/>
  <c r="J4059" i="14"/>
  <c r="B4059" i="14" s="1"/>
  <c r="J3991" i="14"/>
  <c r="B3991" i="14" s="1"/>
  <c r="J3847" i="14"/>
  <c r="B3847" i="14" s="1"/>
  <c r="J3495" i="14"/>
  <c r="B3495" i="14" s="1"/>
  <c r="J3485" i="14"/>
  <c r="B3485" i="14" s="1"/>
  <c r="J4027" i="14"/>
  <c r="B4027" i="14" s="1"/>
  <c r="J3243" i="14"/>
  <c r="B3243" i="14" s="1"/>
  <c r="J3883" i="14"/>
  <c r="B3883" i="14" s="1"/>
  <c r="J3523" i="14"/>
  <c r="B3523" i="14" s="1"/>
  <c r="J3507" i="14"/>
  <c r="B3507" i="14" s="1"/>
  <c r="J3905" i="14"/>
  <c r="B3905" i="14" s="1"/>
  <c r="J3919" i="14"/>
  <c r="B3919" i="14" s="1"/>
  <c r="J3775" i="14"/>
  <c r="B3775" i="14" s="1"/>
  <c r="J3685" i="14"/>
  <c r="B3685" i="14" s="1"/>
  <c r="J3633" i="14"/>
  <c r="B3633" i="14" s="1"/>
  <c r="J3727" i="14"/>
  <c r="B3727" i="14" s="1"/>
  <c r="J3711" i="14"/>
  <c r="B3711" i="14" s="1"/>
  <c r="J3927" i="14"/>
  <c r="B3927" i="14" s="1"/>
  <c r="J3911" i="14"/>
  <c r="B3911" i="14" s="1"/>
  <c r="J3853" i="14"/>
  <c r="B3853" i="14" s="1"/>
  <c r="J3781" i="14"/>
  <c r="B3781" i="14" s="1"/>
  <c r="J4045" i="14"/>
  <c r="B4045" i="14" s="1"/>
  <c r="J4005" i="14"/>
  <c r="B4005" i="14" s="1"/>
  <c r="J3173" i="14"/>
  <c r="B3173" i="14" s="1"/>
  <c r="J3069" i="14"/>
  <c r="B3069" i="14" s="1"/>
  <c r="J3221" i="14"/>
  <c r="B3221" i="14" s="1"/>
  <c r="J3341" i="14"/>
  <c r="B3341" i="14" s="1"/>
  <c r="J3269" i="14"/>
  <c r="B3269" i="14" s="1"/>
  <c r="J3127" i="14"/>
  <c r="B3127" i="14" s="1"/>
  <c r="J3751" i="14"/>
  <c r="B3751" i="14" s="1"/>
  <c r="J3613" i="14"/>
  <c r="B3613" i="14" s="1"/>
  <c r="J3541" i="14"/>
  <c r="B3541" i="14" s="1"/>
  <c r="J3489" i="14"/>
  <c r="B3489" i="14" s="1"/>
  <c r="J3567" i="14"/>
  <c r="B3567" i="14" s="1"/>
  <c r="J3743" i="14"/>
  <c r="B3743" i="14" s="1"/>
  <c r="J3767" i="14"/>
  <c r="B3767" i="14" s="1"/>
  <c r="J3943" i="14"/>
  <c r="B3943" i="14" s="1"/>
  <c r="J3709" i="14"/>
  <c r="B3709" i="14" s="1"/>
  <c r="J3861" i="14"/>
  <c r="B3861" i="14" s="1"/>
  <c r="J3553" i="14"/>
  <c r="B3553" i="14" s="1"/>
  <c r="J3695" i="14"/>
  <c r="B3695" i="14" s="1"/>
  <c r="J3972" i="14"/>
  <c r="B3972" i="14" s="1"/>
  <c r="J3289" i="14"/>
  <c r="B3289" i="14" s="1"/>
  <c r="J3473" i="14"/>
  <c r="B3473" i="14" s="1"/>
  <c r="J3433" i="14"/>
  <c r="B3433" i="14" s="1"/>
  <c r="J3988" i="14"/>
  <c r="B3988" i="14" s="1"/>
  <c r="J3216" i="14"/>
  <c r="B3216" i="14" s="1"/>
  <c r="J3280" i="14"/>
  <c r="B3280" i="14" s="1"/>
  <c r="J3402" i="14"/>
  <c r="B3402" i="14" s="1"/>
  <c r="J3176" i="14"/>
  <c r="B3176" i="14" s="1"/>
  <c r="J3592" i="14"/>
  <c r="B3592" i="14" s="1"/>
  <c r="J3156" i="14"/>
  <c r="B3156" i="14" s="1"/>
  <c r="J3136" i="14"/>
  <c r="B3136" i="14" s="1"/>
  <c r="J3736" i="14"/>
  <c r="B3736" i="14" s="1"/>
  <c r="J3343" i="14"/>
  <c r="B3343" i="14" s="1"/>
  <c r="J3327" i="14"/>
  <c r="B3327" i="14" s="1"/>
  <c r="J3193" i="14"/>
  <c r="B3193" i="14" s="1"/>
  <c r="J3868" i="14"/>
  <c r="B3868" i="14" s="1"/>
  <c r="J3183" i="14"/>
  <c r="B3183" i="14" s="1"/>
  <c r="J3940" i="14"/>
  <c r="B3940" i="14" s="1"/>
  <c r="J3225" i="14"/>
  <c r="B3225" i="14" s="1"/>
  <c r="J3409" i="14"/>
  <c r="B3409" i="14" s="1"/>
  <c r="J4004" i="14"/>
  <c r="B4004" i="14" s="1"/>
  <c r="J3460" i="14"/>
  <c r="B3460" i="14" s="1"/>
  <c r="J3491" i="14"/>
  <c r="B3491" i="14" s="1"/>
  <c r="J3969" i="14"/>
  <c r="B3969" i="14" s="1"/>
  <c r="J3625" i="14"/>
  <c r="B3625" i="14" s="1"/>
  <c r="J3721" i="14"/>
  <c r="B3721" i="14" s="1"/>
  <c r="J3656" i="14"/>
  <c r="B3656" i="14" s="1"/>
  <c r="J4046" i="14"/>
  <c r="B4046" i="14" s="1"/>
  <c r="J3693" i="14"/>
  <c r="B3693" i="14" s="1"/>
  <c r="J3544" i="14"/>
  <c r="B3544" i="14" s="1"/>
  <c r="J3256" i="14"/>
  <c r="B3256" i="14" s="1"/>
  <c r="J3974" i="14"/>
  <c r="B3974" i="14" s="1"/>
  <c r="J3076" i="14"/>
  <c r="B3076" i="14" s="1"/>
  <c r="J3458" i="14"/>
  <c r="B3458" i="14" s="1"/>
  <c r="J3232" i="14"/>
  <c r="B3232" i="14" s="1"/>
  <c r="J3906" i="14"/>
  <c r="B3906" i="14" s="1"/>
  <c r="J3800" i="14"/>
  <c r="B3800" i="14" s="1"/>
  <c r="J3322" i="14"/>
  <c r="B3322" i="14" s="1"/>
  <c r="J3092" i="14"/>
  <c r="B3092" i="14" s="1"/>
  <c r="J3332" i="14"/>
  <c r="B3332" i="14" s="1"/>
  <c r="J3870" i="14"/>
  <c r="B3870" i="14" s="1"/>
  <c r="J3708" i="14"/>
  <c r="B3708" i="14" s="1"/>
  <c r="J3253" i="14"/>
  <c r="B3253" i="14" s="1"/>
  <c r="J3414" i="14"/>
  <c r="B3414" i="14" s="1"/>
  <c r="J3886" i="14"/>
  <c r="B3886" i="14" s="1"/>
  <c r="J3628" i="14"/>
  <c r="B3628" i="14" s="1"/>
  <c r="J3530" i="14"/>
  <c r="B3530" i="14" s="1"/>
  <c r="J3122" i="14"/>
  <c r="B3122" i="14" s="1"/>
  <c r="J3816" i="14"/>
  <c r="B3816" i="14" s="1"/>
  <c r="J3170" i="14"/>
  <c r="B3170" i="14" s="1"/>
  <c r="J4008" i="14"/>
  <c r="B4008" i="14" s="1"/>
  <c r="J3896" i="14"/>
  <c r="B3896" i="14" s="1"/>
  <c r="J3104" i="14"/>
  <c r="B3104" i="14" s="1"/>
  <c r="J3420" i="14"/>
  <c r="B3420" i="14" s="1"/>
  <c r="J3506" i="14"/>
  <c r="B3506" i="14" s="1"/>
  <c r="J3558" i="14"/>
  <c r="B3558" i="14" s="1"/>
  <c r="J3960" i="14"/>
  <c r="B3960" i="14" s="1"/>
  <c r="J3648" i="14"/>
  <c r="B3648" i="14" s="1"/>
  <c r="J3582" i="14"/>
  <c r="B3582" i="14" s="1"/>
  <c r="J3284" i="14"/>
  <c r="B3284" i="14" s="1"/>
  <c r="J3338" i="14"/>
  <c r="B3338" i="14" s="1"/>
  <c r="J3682" i="14"/>
  <c r="B3682" i="14" s="1"/>
  <c r="J3270" i="14"/>
  <c r="B3270" i="14" s="1"/>
  <c r="J3150" i="14"/>
  <c r="B3150" i="14" s="1"/>
  <c r="J3732" i="14"/>
  <c r="B3732" i="14" s="1"/>
  <c r="J3802" i="14"/>
  <c r="B3802" i="14" s="1"/>
  <c r="J3698" i="14"/>
  <c r="B3698" i="14" s="1"/>
  <c r="J3606" i="14"/>
  <c r="B3606" i="14" s="1"/>
  <c r="J3494" i="14"/>
  <c r="B3494" i="14" s="1"/>
  <c r="J3814" i="14"/>
  <c r="B3814" i="14" s="1"/>
  <c r="J3520" i="14"/>
  <c r="B3520" i="14" s="1"/>
  <c r="J3550" i="14"/>
  <c r="B3550" i="14" s="1"/>
  <c r="J3116" i="14"/>
  <c r="B3116" i="14" s="1"/>
  <c r="J3274" i="14"/>
  <c r="B3274" i="14" s="1"/>
  <c r="J3650" i="14"/>
  <c r="B3650" i="14" s="1"/>
  <c r="J3724" i="14"/>
  <c r="B3724" i="14" s="1"/>
  <c r="J3742" i="14"/>
  <c r="B3742" i="14" s="1"/>
  <c r="J3699" i="14"/>
  <c r="B3699" i="14" s="1"/>
  <c r="J3623" i="14"/>
  <c r="B3623" i="14" s="1"/>
  <c r="J3549" i="14"/>
  <c r="B3549" i="14" s="1"/>
  <c r="J3167" i="14"/>
  <c r="B3167" i="14" s="1"/>
  <c r="J3163" i="14"/>
  <c r="B3163" i="14" s="1"/>
  <c r="J3611" i="14"/>
  <c r="B3611" i="14" s="1"/>
  <c r="J3331" i="14"/>
  <c r="B3331" i="14" s="1"/>
  <c r="J3961" i="14"/>
  <c r="B3961" i="14" s="1"/>
  <c r="J4007" i="14"/>
  <c r="B4007" i="14" s="1"/>
  <c r="J3551" i="14"/>
  <c r="B3551" i="14" s="1"/>
  <c r="J3203" i="14"/>
  <c r="B3203" i="14" s="1"/>
  <c r="J3631" i="14"/>
  <c r="B3631" i="14" s="1"/>
  <c r="J3707" i="14"/>
  <c r="B3707" i="14" s="1"/>
  <c r="J3875" i="14"/>
  <c r="B3875" i="14" s="1"/>
  <c r="J4066" i="14"/>
  <c r="B4066" i="14" s="1"/>
  <c r="J3909" i="14"/>
  <c r="B3909" i="14" s="1"/>
  <c r="J4021" i="14"/>
  <c r="B4021" i="14" s="1"/>
  <c r="J3101" i="14"/>
  <c r="B3101" i="14" s="1"/>
  <c r="J3077" i="14"/>
  <c r="B3077" i="14" s="1"/>
  <c r="J3349" i="14"/>
  <c r="B3349" i="14" s="1"/>
  <c r="J3503" i="14"/>
  <c r="B3503" i="14" s="1"/>
  <c r="J3915" i="14"/>
  <c r="B3915" i="14" s="1"/>
  <c r="J3599" i="14"/>
  <c r="B3599" i="14" s="1"/>
  <c r="J3799" i="14"/>
  <c r="B3799" i="14" s="1"/>
  <c r="J3783" i="14"/>
  <c r="B3783" i="14" s="1"/>
  <c r="J3953" i="14"/>
  <c r="B3953" i="14" s="1"/>
  <c r="J3929" i="14"/>
  <c r="B3929" i="14" s="1"/>
  <c r="J4041" i="14"/>
  <c r="B4041" i="14" s="1"/>
  <c r="J3701" i="14"/>
  <c r="B3701" i="14" s="1"/>
  <c r="J3744" i="14"/>
  <c r="B3744" i="14" s="1"/>
  <c r="J3159" i="14"/>
  <c r="B3159" i="14" s="1"/>
  <c r="J3117" i="14"/>
  <c r="B3117" i="14" s="1"/>
  <c r="J3500" i="14"/>
  <c r="B3500" i="14" s="1"/>
  <c r="J3206" i="14"/>
  <c r="B3206" i="14" s="1"/>
  <c r="J3317" i="14"/>
  <c r="B3317" i="14" s="1"/>
  <c r="J3072" i="14"/>
  <c r="B3072" i="14" s="1"/>
  <c r="J3717" i="14"/>
  <c r="B3717" i="14" s="1"/>
  <c r="J3497" i="14"/>
  <c r="B3497" i="14" s="1"/>
  <c r="J3641" i="14"/>
  <c r="B3641" i="14" s="1"/>
  <c r="J3593" i="14"/>
  <c r="B3593" i="14" s="1"/>
  <c r="J3918" i="14"/>
  <c r="B3918" i="14" s="1"/>
  <c r="J3720" i="14"/>
  <c r="B3720" i="14" s="1"/>
  <c r="J3812" i="14"/>
  <c r="B3812" i="14" s="1"/>
  <c r="J3153" i="14"/>
  <c r="B3153" i="14" s="1"/>
  <c r="J3474" i="14"/>
  <c r="B3474" i="14" s="1"/>
  <c r="J4034" i="14"/>
  <c r="B4034" i="14" s="1"/>
  <c r="J4033" i="14"/>
  <c r="B4033" i="14" s="1"/>
  <c r="J3596" i="14"/>
  <c r="B3596" i="14" s="1"/>
  <c r="J3132" i="14"/>
  <c r="B3132" i="14" s="1"/>
  <c r="J3380" i="14"/>
  <c r="B3380" i="14" s="1"/>
  <c r="J3478" i="14"/>
  <c r="B3478" i="14" s="1"/>
  <c r="J4022" i="14"/>
  <c r="B4022" i="14" s="1"/>
  <c r="J4006" i="14"/>
  <c r="B4006" i="14" s="1"/>
  <c r="J3946" i="14"/>
  <c r="B3946" i="14" s="1"/>
  <c r="J3954" i="14"/>
  <c r="B3954" i="14" s="1"/>
  <c r="J3346" i="14"/>
  <c r="B3346" i="14" s="1"/>
  <c r="J3236" i="14"/>
  <c r="B3236" i="14" s="1"/>
  <c r="J3336" i="14"/>
  <c r="B3336" i="14" s="1"/>
  <c r="J3226" i="14"/>
  <c r="B3226" i="14" s="1"/>
  <c r="J3096" i="14"/>
  <c r="B3096" i="14" s="1"/>
  <c r="J3702" i="14"/>
  <c r="B3702" i="14" s="1"/>
  <c r="J3850" i="14"/>
  <c r="B3850" i="14" s="1"/>
  <c r="J3118" i="14"/>
  <c r="B3118" i="14" s="1"/>
  <c r="J3154" i="14"/>
  <c r="B3154" i="14" s="1"/>
  <c r="J3576" i="14"/>
  <c r="B3576" i="14" s="1"/>
  <c r="J3292" i="14"/>
  <c r="B3292" i="14" s="1"/>
  <c r="J3224" i="14"/>
  <c r="B3224" i="14" s="1"/>
  <c r="J3910" i="14"/>
  <c r="B3910" i="14" s="1"/>
  <c r="J3678" i="14"/>
  <c r="B3678" i="14" s="1"/>
  <c r="J3238" i="14"/>
  <c r="B3238" i="14" s="1"/>
  <c r="J3202" i="14"/>
  <c r="B3202" i="14" s="1"/>
  <c r="J3881" i="14"/>
  <c r="B3881" i="14" s="1"/>
  <c r="J3532" i="14"/>
  <c r="B3532" i="14" s="1"/>
  <c r="J3450" i="14"/>
  <c r="B3450" i="14" s="1"/>
  <c r="J3658" i="14"/>
  <c r="B3658" i="14" s="1"/>
  <c r="J3417" i="14"/>
  <c r="B3417" i="14" s="1"/>
  <c r="J3898" i="14"/>
  <c r="B3898" i="14" s="1"/>
  <c r="J3792" i="14"/>
  <c r="B3792" i="14" s="1"/>
  <c r="J3278" i="14"/>
  <c r="B3278" i="14" s="1"/>
  <c r="J3614" i="14"/>
  <c r="B3614" i="14" s="1"/>
  <c r="J3834" i="14"/>
  <c r="B3834" i="14" s="1"/>
  <c r="J3738" i="14"/>
  <c r="B3738" i="14" s="1"/>
  <c r="J3276" i="14"/>
  <c r="B3276" i="14" s="1"/>
  <c r="J3762" i="14"/>
  <c r="B3762" i="14" s="1"/>
  <c r="J3230" i="14"/>
  <c r="B3230" i="14" s="1"/>
  <c r="J3739" i="14"/>
  <c r="B3739" i="14" s="1"/>
  <c r="J3075" i="14"/>
  <c r="B3075" i="14" s="1"/>
  <c r="J3291" i="14"/>
  <c r="B3291" i="14" s="1"/>
  <c r="J3667" i="14"/>
  <c r="B3667" i="14" s="1"/>
  <c r="J3877" i="14"/>
  <c r="B3877" i="14" s="1"/>
  <c r="J3863" i="14"/>
  <c r="B3863" i="14" s="1"/>
  <c r="J3719" i="14"/>
  <c r="B3719" i="14" s="1"/>
  <c r="J3367" i="14"/>
  <c r="B3367" i="14" s="1"/>
  <c r="J3421" i="14"/>
  <c r="B3421" i="14" s="1"/>
  <c r="J3347" i="14"/>
  <c r="B3347" i="14" s="1"/>
  <c r="J4061" i="14"/>
  <c r="B4061" i="14" s="1"/>
  <c r="J3803" i="14"/>
  <c r="B3803" i="14" s="1"/>
  <c r="J3099" i="14"/>
  <c r="B3099" i="14" s="1"/>
  <c r="J3571" i="14"/>
  <c r="B3571" i="14" s="1"/>
  <c r="J3299" i="14"/>
  <c r="B3299" i="14" s="1"/>
  <c r="J3457" i="14"/>
  <c r="B3457" i="14" s="1"/>
  <c r="J3939" i="14"/>
  <c r="B3939" i="14" s="1"/>
  <c r="J3387" i="14"/>
  <c r="B3387" i="14" s="1"/>
  <c r="J3105" i="14"/>
  <c r="B3105" i="14" s="1"/>
  <c r="J3119" i="14"/>
  <c r="B3119" i="14" s="1"/>
  <c r="J3423" i="14"/>
  <c r="B3423" i="14" s="1"/>
  <c r="J3403" i="14"/>
  <c r="B3403" i="14" s="1"/>
  <c r="J3377" i="14"/>
  <c r="B3377" i="14" s="1"/>
  <c r="J3215" i="14"/>
  <c r="B3215" i="14" s="1"/>
  <c r="J3199" i="14"/>
  <c r="B3199" i="14" s="1"/>
  <c r="J3425" i="14"/>
  <c r="B3425" i="14" s="1"/>
  <c r="J3439" i="14"/>
  <c r="B3439" i="14" s="1"/>
  <c r="J3615" i="14"/>
  <c r="B3615" i="14" s="1"/>
  <c r="J3639" i="14"/>
  <c r="B3639" i="14" s="1"/>
  <c r="J3869" i="14"/>
  <c r="B3869" i="14" s="1"/>
  <c r="J3797" i="14"/>
  <c r="B3797" i="14" s="1"/>
  <c r="J3745" i="14"/>
  <c r="B3745" i="14" s="1"/>
  <c r="J3085" i="14"/>
  <c r="B3085" i="14" s="1"/>
  <c r="J3152" i="14"/>
  <c r="B3152" i="14" s="1"/>
  <c r="J3440" i="14"/>
  <c r="B3440" i="14" s="1"/>
  <c r="J3130" i="14"/>
  <c r="B3130" i="14" s="1"/>
  <c r="J3376" i="14"/>
  <c r="B3376" i="14" s="1"/>
  <c r="J3855" i="14"/>
  <c r="B3855" i="14" s="1"/>
  <c r="J3839" i="14"/>
  <c r="B3839" i="14" s="1"/>
  <c r="J3449" i="14"/>
  <c r="B3449" i="14" s="1"/>
  <c r="J3996" i="14"/>
  <c r="B3996" i="14" s="1"/>
  <c r="J3401" i="14"/>
  <c r="B3401" i="14" s="1"/>
  <c r="J3481" i="14"/>
  <c r="B3481" i="14" s="1"/>
  <c r="J3665" i="14"/>
  <c r="B3665" i="14" s="1"/>
  <c r="J3838" i="14"/>
  <c r="B3838" i="14" s="1"/>
  <c r="J3454" i="14"/>
  <c r="B3454" i="14" s="1"/>
  <c r="J3801" i="14"/>
  <c r="B3801" i="14" s="1"/>
  <c r="J3321" i="14"/>
  <c r="B3321" i="14" s="1"/>
  <c r="J3353" i="14"/>
  <c r="B3353" i="14" s="1"/>
  <c r="J3350" i="14"/>
  <c r="B3350" i="14" s="1"/>
  <c r="J3487" i="14"/>
  <c r="B3487" i="14" s="1"/>
  <c r="J3511" i="14"/>
  <c r="B3511" i="14" s="1"/>
  <c r="J3934" i="14"/>
  <c r="B3934" i="14" s="1"/>
  <c r="J3374" i="14"/>
  <c r="B3374" i="14" s="1"/>
  <c r="J3381" i="14"/>
  <c r="B3381" i="14" s="1"/>
  <c r="J3128" i="14"/>
  <c r="B3128" i="14" s="1"/>
  <c r="J3950" i="14"/>
  <c r="B3950" i="14" s="1"/>
  <c r="J3501" i="14"/>
  <c r="B3501" i="14" s="1"/>
  <c r="J3756" i="14"/>
  <c r="B3756" i="14" s="1"/>
  <c r="J3728" i="14"/>
  <c r="B3728" i="14" s="1"/>
  <c r="J3706" i="14"/>
  <c r="B3706" i="14" s="1"/>
  <c r="J3412" i="14"/>
  <c r="B3412" i="14" s="1"/>
  <c r="J3758" i="14"/>
  <c r="B3758" i="14" s="1"/>
  <c r="J3578" i="14"/>
  <c r="B3578" i="14" s="1"/>
  <c r="J3146" i="14"/>
  <c r="B3146" i="14" s="1"/>
  <c r="J3618" i="14"/>
  <c r="B3618" i="14" s="1"/>
  <c r="J3086" i="14"/>
  <c r="B3086" i="14" s="1"/>
  <c r="J3574" i="14"/>
  <c r="B3574" i="14" s="1"/>
  <c r="J3580" i="14"/>
  <c r="B3580" i="14" s="1"/>
  <c r="J3790" i="14"/>
  <c r="B3790" i="14" s="1"/>
  <c r="J3181" i="14"/>
  <c r="B3181" i="14" s="1"/>
  <c r="J3862" i="14"/>
  <c r="B3862" i="14" s="1"/>
  <c r="J3668" i="14"/>
  <c r="B3668" i="14" s="1"/>
  <c r="J3438" i="14"/>
  <c r="B3438" i="14" s="1"/>
  <c r="J3318" i="14"/>
  <c r="B3318" i="14" s="1"/>
  <c r="J3120" i="14"/>
  <c r="B3120" i="14" s="1"/>
  <c r="J3209" i="14"/>
  <c r="B3209" i="14" s="1"/>
  <c r="J3430" i="14"/>
  <c r="B3430" i="14" s="1"/>
  <c r="J3833" i="14"/>
  <c r="B3833" i="14" s="1"/>
  <c r="J3785" i="14"/>
  <c r="B3785" i="14" s="1"/>
  <c r="J3088" i="14"/>
  <c r="B3088" i="14" s="1"/>
  <c r="J3865" i="14"/>
  <c r="B3865" i="14" s="1"/>
  <c r="J3856" i="14"/>
  <c r="B3856" i="14" s="1"/>
  <c r="J3134" i="14"/>
  <c r="B3134" i="14" s="1"/>
  <c r="J3872" i="14"/>
  <c r="B3872" i="14" s="1"/>
  <c r="J3994" i="14"/>
  <c r="B3994" i="14" s="1"/>
  <c r="J3220" i="14"/>
  <c r="B3220" i="14" s="1"/>
  <c r="J3084" i="14"/>
  <c r="B3084" i="14" s="1"/>
  <c r="J3250" i="14"/>
  <c r="B3250" i="14" s="1"/>
  <c r="J3526" i="14"/>
  <c r="B3526" i="14" s="1"/>
  <c r="J3446" i="14"/>
  <c r="B3446" i="14" s="1"/>
  <c r="J3782" i="14"/>
  <c r="B3782" i="14" s="1"/>
  <c r="J3264" i="14"/>
  <c r="B3264" i="14" s="1"/>
  <c r="J3518" i="14"/>
  <c r="B3518" i="14" s="1"/>
  <c r="J3914" i="14"/>
  <c r="B3914" i="14" s="1"/>
  <c r="J3740" i="14"/>
  <c r="B3740" i="14" s="1"/>
  <c r="J3074" i="14"/>
  <c r="B3074" i="14" s="1"/>
  <c r="J3484" i="14"/>
  <c r="B3484" i="14" s="1"/>
  <c r="J3776" i="14"/>
  <c r="B3776" i="14" s="1"/>
  <c r="J3716" i="14"/>
  <c r="B3716" i="14" s="1"/>
  <c r="J3890" i="14"/>
  <c r="B3890" i="14" s="1"/>
  <c r="J3962" i="14"/>
  <c r="B3962" i="14" s="1"/>
  <c r="J3138" i="14"/>
  <c r="B3138" i="14" s="1"/>
  <c r="J3212" i="14"/>
  <c r="B3212" i="14" s="1"/>
  <c r="J3358" i="14"/>
  <c r="B3358" i="14" s="1"/>
  <c r="J3394" i="14"/>
  <c r="B3394" i="14" s="1"/>
  <c r="J3516" i="14"/>
  <c r="B3516" i="14" s="1"/>
  <c r="J3444" i="14"/>
  <c r="B3444" i="14" s="1"/>
  <c r="J3512" i="14"/>
  <c r="B3512" i="14" s="1"/>
  <c r="J3684" i="14"/>
  <c r="B3684" i="14" s="1"/>
  <c r="J3228" i="14"/>
  <c r="B3228" i="14" s="1"/>
  <c r="J3219" i="14"/>
  <c r="B3219" i="14" s="1"/>
  <c r="J3587" i="14"/>
  <c r="B3587" i="14" s="1"/>
  <c r="J3827" i="14"/>
  <c r="B3827" i="14" s="1"/>
  <c r="J3555" i="14"/>
  <c r="B3555" i="14" s="1"/>
  <c r="J3989" i="14"/>
  <c r="B3989" i="14" s="1"/>
  <c r="J3749" i="14"/>
  <c r="B3749" i="14" s="1"/>
  <c r="J3979" i="14"/>
  <c r="B3979" i="14" s="1"/>
  <c r="J3111" i="14"/>
  <c r="B3111" i="14" s="1"/>
  <c r="J3293" i="14"/>
  <c r="B3293" i="14" s="1"/>
  <c r="J3635" i="14"/>
  <c r="B3635" i="14" s="1"/>
  <c r="J3795" i="14"/>
  <c r="B3795" i="14" s="1"/>
  <c r="J3859" i="14"/>
  <c r="B3859" i="14" s="1"/>
  <c r="J3467" i="14"/>
  <c r="B3467" i="14" s="1"/>
  <c r="J3295" i="14"/>
  <c r="B3295" i="14" s="1"/>
  <c r="J3947" i="14"/>
  <c r="B3947" i="14" s="1"/>
  <c r="J3675" i="14"/>
  <c r="B3675" i="14" s="1"/>
  <c r="J3995" i="14"/>
  <c r="B3995" i="14" s="1"/>
  <c r="J4031" i="14"/>
  <c r="B4031" i="14" s="1"/>
  <c r="J3557" i="14"/>
  <c r="B3557" i="14" s="1"/>
  <c r="J3339" i="14"/>
  <c r="B3339" i="14" s="1"/>
  <c r="J3223" i="14"/>
  <c r="B3223" i="14" s="1"/>
  <c r="J3079" i="14"/>
  <c r="B3079" i="14" s="1"/>
  <c r="J3595" i="14"/>
  <c r="B3595" i="14" s="1"/>
  <c r="J3239" i="14"/>
  <c r="B3239" i="14" s="1"/>
  <c r="J3357" i="14"/>
  <c r="B3357" i="14" s="1"/>
  <c r="J3285" i="14"/>
  <c r="B3285" i="14" s="1"/>
  <c r="J3405" i="14"/>
  <c r="B3405" i="14" s="1"/>
  <c r="J3333" i="14"/>
  <c r="B3333" i="14" s="1"/>
  <c r="J3255" i="14"/>
  <c r="B3255" i="14" s="1"/>
  <c r="J3431" i="14"/>
  <c r="B3431" i="14" s="1"/>
  <c r="J3453" i="14"/>
  <c r="B3453" i="14" s="1"/>
  <c r="J3605" i="14"/>
  <c r="B3605" i="14" s="1"/>
  <c r="J3777" i="14"/>
  <c r="B3777" i="14" s="1"/>
  <c r="J4015" i="14"/>
  <c r="B4015" i="14" s="1"/>
  <c r="J3871" i="14"/>
  <c r="B3871" i="14" s="1"/>
  <c r="J3895" i="14"/>
  <c r="B3895" i="14" s="1"/>
  <c r="J3773" i="14"/>
  <c r="B3773" i="14" s="1"/>
  <c r="J3937" i="14"/>
  <c r="B3937" i="14" s="1"/>
  <c r="J3873" i="14"/>
  <c r="B3873" i="14" s="1"/>
  <c r="J3093" i="14"/>
  <c r="B3093" i="14" s="1"/>
  <c r="J3095" i="14"/>
  <c r="B3095" i="14" s="1"/>
  <c r="J3213" i="14"/>
  <c r="B3213" i="14" s="1"/>
  <c r="J3141" i="14"/>
  <c r="B3141" i="14" s="1"/>
  <c r="J3261" i="14"/>
  <c r="B3261" i="14" s="1"/>
  <c r="J3413" i="14"/>
  <c r="B3413" i="14" s="1"/>
  <c r="J3287" i="14"/>
  <c r="B3287" i="14" s="1"/>
  <c r="J3271" i="14"/>
  <c r="B3271" i="14" s="1"/>
  <c r="J3533" i="14"/>
  <c r="B3533" i="14" s="1"/>
  <c r="J3205" i="14"/>
  <c r="B3205" i="14" s="1"/>
  <c r="J3806" i="14"/>
  <c r="B3806" i="14" s="1"/>
  <c r="J3372" i="14"/>
  <c r="B3372" i="14" s="1"/>
  <c r="J3125" i="14"/>
  <c r="B3125" i="14" s="1"/>
  <c r="J3078" i="14"/>
  <c r="B3078" i="14" s="1"/>
  <c r="J3822" i="14"/>
  <c r="B3822" i="14" s="1"/>
  <c r="J3245" i="14"/>
  <c r="B3245" i="14" s="1"/>
  <c r="J3240" i="14"/>
  <c r="B3240" i="14" s="1"/>
  <c r="J3452" i="14"/>
  <c r="B3452" i="14" s="1"/>
  <c r="J3965" i="14"/>
  <c r="B3965" i="14" s="1"/>
  <c r="J3977" i="14"/>
  <c r="B3977" i="14" s="1"/>
  <c r="J3778" i="14"/>
  <c r="B3778" i="14" s="1"/>
  <c r="J3893" i="14"/>
  <c r="B3893" i="14" s="1"/>
  <c r="J3624" i="14"/>
  <c r="B3624" i="14" s="1"/>
  <c r="J3688" i="14"/>
  <c r="B3688" i="14" s="1"/>
  <c r="J3590" i="14"/>
  <c r="B3590" i="14" s="1"/>
  <c r="J3670" i="14"/>
  <c r="B3670" i="14" s="1"/>
  <c r="J3090" i="14"/>
  <c r="B3090" i="14" s="1"/>
  <c r="J3809" i="14"/>
  <c r="B3809" i="14" s="1"/>
  <c r="J3545" i="14"/>
  <c r="B3545" i="14" s="1"/>
  <c r="J3729" i="14"/>
  <c r="B3729" i="14" s="1"/>
  <c r="J3689" i="14"/>
  <c r="B3689" i="14" s="1"/>
  <c r="J3546" i="14"/>
  <c r="B3546" i="14" s="1"/>
  <c r="J3908" i="14"/>
  <c r="B3908" i="14" s="1"/>
  <c r="J3161" i="14"/>
  <c r="B3161" i="14" s="1"/>
  <c r="J3345" i="14"/>
  <c r="B3345" i="14" s="1"/>
  <c r="J3305" i="14"/>
  <c r="B3305" i="14" s="1"/>
  <c r="J3924" i="14"/>
  <c r="B3924" i="14" s="1"/>
  <c r="J3680" i="14"/>
  <c r="B3680" i="14" s="1"/>
  <c r="J3712" i="14"/>
  <c r="B3712" i="14" s="1"/>
  <c r="J3700" i="14"/>
  <c r="B3700" i="14" s="1"/>
  <c r="J4018" i="14"/>
  <c r="B4018" i="14" s="1"/>
  <c r="J3486" i="14"/>
  <c r="B3486" i="14" s="1"/>
  <c r="J3369" i="14"/>
  <c r="B3369" i="14" s="1"/>
  <c r="J3956" i="14"/>
  <c r="B3956" i="14" s="1"/>
  <c r="J3513" i="14"/>
  <c r="B3513" i="14" s="1"/>
  <c r="J4028" i="14"/>
  <c r="B4028" i="14" s="1"/>
  <c r="J3465" i="14"/>
  <c r="B3465" i="14" s="1"/>
  <c r="J3180" i="14"/>
  <c r="B3180" i="14" s="1"/>
  <c r="J3100" i="14"/>
  <c r="B3100" i="14" s="1"/>
  <c r="J3112" i="14"/>
  <c r="B3112" i="14" s="1"/>
  <c r="J3286" i="14"/>
  <c r="B3286" i="14" s="1"/>
  <c r="J3366" i="14"/>
  <c r="B3366" i="14" s="1"/>
  <c r="J3464" i="14"/>
  <c r="B3464" i="14" s="1"/>
  <c r="J3748" i="14"/>
  <c r="B3748" i="14" s="1"/>
  <c r="J3368" i="14"/>
  <c r="B3368" i="14" s="1"/>
  <c r="J3126" i="14"/>
  <c r="B3126" i="14" s="1"/>
  <c r="J3108" i="14"/>
  <c r="B3108" i="14" s="1"/>
  <c r="J3604" i="14"/>
  <c r="B3604" i="14" s="1"/>
  <c r="J3704" i="14"/>
  <c r="B3704" i="14" s="1"/>
  <c r="J3382" i="14"/>
  <c r="B3382" i="14" s="1"/>
  <c r="J4026" i="14"/>
  <c r="B4026" i="14" s="1"/>
  <c r="J3234" i="14"/>
  <c r="B3234" i="14" s="1"/>
  <c r="J3308" i="14"/>
  <c r="B3308" i="14" s="1"/>
  <c r="J3188" i="14"/>
  <c r="B3188" i="14" s="1"/>
  <c r="J3948" i="14"/>
  <c r="B3948" i="14" s="1"/>
  <c r="J3638" i="14"/>
  <c r="B3638" i="14" s="1"/>
  <c r="J3492" i="14"/>
  <c r="B3492" i="14" s="1"/>
  <c r="J3746" i="14"/>
  <c r="B3746" i="14" s="1"/>
  <c r="J3162" i="14"/>
  <c r="B3162" i="14" s="1"/>
  <c r="J3676" i="14"/>
  <c r="B3676" i="14" s="1"/>
  <c r="J3730" i="14"/>
  <c r="B3730" i="14" s="1"/>
  <c r="J4000" i="14"/>
  <c r="B4000" i="14" s="1"/>
  <c r="J3880" i="14"/>
  <c r="B3880" i="14" s="1"/>
  <c r="J3734" i="14"/>
  <c r="B3734" i="14" s="1"/>
  <c r="J3272" i="14"/>
  <c r="B3272" i="14" s="1"/>
  <c r="J3524" i="14"/>
  <c r="B3524" i="14" s="1"/>
  <c r="J3098" i="14"/>
  <c r="B3098" i="14" s="1"/>
  <c r="J4056" i="14"/>
  <c r="B4056" i="14" s="1"/>
  <c r="J3636" i="14"/>
  <c r="B3636" i="14" s="1"/>
  <c r="J3666" i="14"/>
  <c r="B3666" i="14" s="1"/>
  <c r="J3726" i="14"/>
  <c r="B3726" i="14" s="1"/>
  <c r="J4011" i="14"/>
  <c r="B4011" i="14" s="1"/>
  <c r="J3483" i="14"/>
  <c r="B3483" i="14" s="1"/>
  <c r="J3741" i="14"/>
  <c r="B3741" i="14" s="1"/>
  <c r="J3731" i="14"/>
  <c r="B3731" i="14" s="1"/>
  <c r="J3107" i="14"/>
  <c r="B3107" i="14" s="1"/>
  <c r="J3585" i="14"/>
  <c r="B3585" i="14" s="1"/>
  <c r="J3109" i="14"/>
  <c r="B3109" i="14" s="1"/>
  <c r="J3971" i="14"/>
  <c r="B3971" i="14" s="1"/>
  <c r="J4017" i="14"/>
  <c r="B4017" i="14" s="1"/>
  <c r="J4025" i="14"/>
  <c r="B4025" i="14" s="1"/>
  <c r="J4013" i="14"/>
  <c r="B4013" i="14" s="1"/>
  <c r="J3149" i="14"/>
  <c r="B3149" i="14" s="1"/>
  <c r="J3197" i="14"/>
  <c r="B3197" i="14" s="1"/>
  <c r="J3521" i="14"/>
  <c r="B3521" i="14" s="1"/>
  <c r="J3359" i="14"/>
  <c r="B3359" i="14" s="1"/>
  <c r="J3569" i="14"/>
  <c r="B3569" i="14" s="1"/>
  <c r="J3583" i="14"/>
  <c r="B3583" i="14" s="1"/>
  <c r="J3789" i="14"/>
  <c r="B3789" i="14" s="1"/>
  <c r="J3889" i="14"/>
  <c r="B3889" i="14" s="1"/>
  <c r="J4049" i="14"/>
  <c r="B4049" i="14" s="1"/>
  <c r="J3901" i="14"/>
  <c r="B3901" i="14" s="1"/>
  <c r="J3488" i="14"/>
  <c r="B3488" i="14" s="1"/>
  <c r="J3821" i="14"/>
  <c r="B3821" i="14" s="1"/>
  <c r="J3310" i="14"/>
  <c r="B3310" i="14" s="1"/>
  <c r="J3143" i="14"/>
  <c r="B3143" i="14" s="1"/>
  <c r="J3830" i="14"/>
  <c r="B3830" i="14" s="1"/>
  <c r="J3902" i="14"/>
  <c r="B3902" i="14" s="1"/>
  <c r="J3089" i="14"/>
  <c r="B3089" i="14" s="1"/>
  <c r="J3652" i="14"/>
  <c r="B3652" i="14" s="1"/>
  <c r="J3537" i="14"/>
  <c r="B3537" i="14" s="1"/>
  <c r="J4020" i="14"/>
  <c r="B4020" i="14" s="1"/>
  <c r="J3654" i="14"/>
  <c r="B3654" i="14" s="1"/>
  <c r="J3810" i="14"/>
  <c r="B3810" i="14" s="1"/>
  <c r="J3970" i="14"/>
  <c r="B3970" i="14" s="1"/>
  <c r="J3634" i="14"/>
  <c r="B3634" i="14" s="1"/>
  <c r="J3198" i="14"/>
  <c r="B3198" i="14" s="1"/>
  <c r="J3304" i="14"/>
  <c r="B3304" i="14" s="1"/>
  <c r="J3432" i="14"/>
  <c r="B3432" i="14" s="1"/>
  <c r="J4048" i="14"/>
  <c r="B4048" i="14" s="1"/>
  <c r="J3192" i="14"/>
  <c r="B3192" i="14" s="1"/>
  <c r="J3140" i="14"/>
  <c r="B3140" i="14" s="1"/>
  <c r="J3480" i="14"/>
  <c r="B3480" i="14" s="1"/>
  <c r="J4064" i="14"/>
  <c r="B4064" i="14" s="1"/>
  <c r="J3320" i="14"/>
  <c r="B3320" i="14" s="1"/>
  <c r="J4010" i="14"/>
  <c r="B4010" i="14" s="1"/>
  <c r="J3302" i="14"/>
  <c r="B3302" i="14" s="1"/>
  <c r="J4024" i="14"/>
  <c r="B4024" i="14" s="1"/>
  <c r="J3586" i="14"/>
  <c r="B3586" i="14" s="1"/>
  <c r="J3942" i="14"/>
  <c r="B3942" i="14" s="1"/>
  <c r="J3710" i="14"/>
  <c r="B3710" i="14" s="1"/>
  <c r="J3594" i="14"/>
  <c r="B3594" i="14" s="1"/>
  <c r="J3214" i="14"/>
  <c r="B3214" i="14" s="1"/>
  <c r="J3976" i="14"/>
  <c r="B3976" i="14" s="1"/>
  <c r="J3410" i="14"/>
  <c r="B3410" i="14" s="1"/>
  <c r="J3662" i="14"/>
  <c r="B3662" i="14" s="1"/>
  <c r="J3818" i="14"/>
  <c r="B3818" i="14" s="1"/>
  <c r="J4042" i="14"/>
  <c r="B4042" i="14" s="1"/>
  <c r="J3294" i="14"/>
  <c r="B3294" i="14" s="1"/>
  <c r="J4036" i="14"/>
  <c r="B4036" i="14" s="1"/>
  <c r="J3561" i="14"/>
  <c r="B3561" i="14" s="1"/>
  <c r="J3288" i="14"/>
  <c r="B3288" i="14" s="1"/>
  <c r="J3390" i="14"/>
  <c r="B3390" i="14" s="1"/>
  <c r="J3548" i="14"/>
  <c r="B3548" i="14" s="1"/>
  <c r="J3588" i="14"/>
  <c r="B3588" i="14" s="1"/>
  <c r="J3674" i="14"/>
  <c r="B3674" i="14" s="1"/>
  <c r="J3186" i="14"/>
  <c r="B3186" i="14" s="1"/>
  <c r="J3686" i="14"/>
  <c r="B3686" i="14" s="1"/>
  <c r="J3627" i="14"/>
  <c r="B3627" i="14" s="1"/>
  <c r="J3067" i="14"/>
  <c r="B3067" i="14" s="1"/>
  <c r="J3227" i="14"/>
  <c r="B3227" i="14" s="1"/>
  <c r="J3083" i="14"/>
  <c r="B3083" i="14" s="1"/>
  <c r="J3201" i="14"/>
  <c r="B3201" i="14" s="1"/>
  <c r="J3395" i="14"/>
  <c r="B3395" i="14" s="1"/>
  <c r="J4037" i="14"/>
  <c r="B4037" i="14" s="1"/>
  <c r="J3459" i="14"/>
  <c r="B3459" i="14" s="1"/>
  <c r="J3807" i="14"/>
  <c r="B3807" i="14" s="1"/>
  <c r="J3703" i="14"/>
  <c r="B3703" i="14" s="1"/>
  <c r="J4043" i="14"/>
  <c r="B4043" i="14" s="1"/>
  <c r="J3659" i="14"/>
  <c r="B3659" i="14" s="1"/>
  <c r="J3393" i="14"/>
  <c r="B3393" i="14" s="1"/>
  <c r="J3963" i="14"/>
  <c r="B3963" i="14" s="1"/>
  <c r="J3931" i="14"/>
  <c r="B3931" i="14" s="1"/>
  <c r="J3713" i="14"/>
  <c r="B3713" i="14" s="1"/>
  <c r="J3887" i="14"/>
  <c r="B3887" i="14" s="1"/>
  <c r="J3535" i="14"/>
  <c r="B3535" i="14" s="1"/>
  <c r="J3391" i="14"/>
  <c r="B3391" i="14" s="1"/>
  <c r="J3307" i="14"/>
  <c r="B3307" i="14" s="1"/>
  <c r="J3237" i="14"/>
  <c r="B3237" i="14" s="1"/>
  <c r="J3563" i="14"/>
  <c r="B3563" i="14" s="1"/>
  <c r="J3955" i="14"/>
  <c r="B3955" i="14" s="1"/>
  <c r="J3603" i="14"/>
  <c r="B3603" i="14" s="1"/>
  <c r="J3879" i="14"/>
  <c r="B3879" i="14" s="1"/>
  <c r="J3677" i="14"/>
  <c r="B3677" i="14" s="1"/>
  <c r="J3935" i="14"/>
  <c r="B3935" i="14" s="1"/>
  <c r="J3831" i="14"/>
  <c r="B3831" i="14" s="1"/>
  <c r="J3687" i="14"/>
  <c r="B3687" i="14" s="1"/>
  <c r="J3581" i="14"/>
  <c r="B3581" i="14" s="1"/>
  <c r="J3733" i="14"/>
  <c r="B3733" i="14" s="1"/>
  <c r="J3681" i="14"/>
  <c r="B3681" i="14" s="1"/>
  <c r="J3951" i="14"/>
  <c r="B3951" i="14" s="1"/>
  <c r="J3363" i="14"/>
  <c r="B3363" i="14" s="1"/>
  <c r="J4065" i="14"/>
  <c r="B4065" i="14" s="1"/>
  <c r="J3993" i="14"/>
  <c r="B3993" i="14" s="1"/>
  <c r="J3747" i="14"/>
  <c r="B3747" i="14" s="1"/>
  <c r="J3515" i="14"/>
  <c r="B3515" i="14" s="1"/>
  <c r="J3121" i="14"/>
  <c r="B3121" i="14" s="1"/>
  <c r="J3899" i="14"/>
  <c r="B3899" i="14" s="1"/>
  <c r="J3169" i="14"/>
  <c r="B3169" i="14" s="1"/>
  <c r="J3247" i="14"/>
  <c r="B3247" i="14" s="1"/>
  <c r="J3103" i="14"/>
  <c r="B3103" i="14" s="1"/>
  <c r="J3435" i="14"/>
  <c r="B3435" i="14" s="1"/>
  <c r="J3441" i="14"/>
  <c r="B3441" i="14" s="1"/>
  <c r="J3791" i="14"/>
  <c r="B3791" i="14" s="1"/>
  <c r="J3647" i="14"/>
  <c r="B3647" i="14" s="1"/>
  <c r="J3543" i="14"/>
  <c r="B3543" i="14" s="1"/>
  <c r="J3527" i="14"/>
  <c r="B3527" i="14" s="1"/>
  <c r="J3661" i="14"/>
  <c r="B3661" i="14" s="1"/>
  <c r="J3589" i="14"/>
  <c r="B3589" i="14" s="1"/>
  <c r="J3761" i="14"/>
  <c r="B3761" i="14" s="1"/>
  <c r="J3983" i="14"/>
  <c r="B3983" i="14" s="1"/>
  <c r="J3967" i="14"/>
  <c r="B3967" i="14" s="1"/>
  <c r="J3671" i="14"/>
  <c r="B3671" i="14" s="1"/>
  <c r="J3655" i="14"/>
  <c r="B3655" i="14" s="1"/>
  <c r="J3373" i="14"/>
  <c r="B3373" i="14" s="1"/>
  <c r="J3958" i="14"/>
  <c r="B3958" i="14" s="1"/>
  <c r="J3502" i="14"/>
  <c r="B3502" i="14" s="1"/>
  <c r="J4030" i="14"/>
  <c r="B4030" i="14" s="1"/>
  <c r="J3640" i="14"/>
  <c r="B3640" i="14" s="1"/>
  <c r="J3573" i="14"/>
  <c r="B3573" i="14" s="1"/>
  <c r="J3572" i="14"/>
  <c r="B3572" i="14" s="1"/>
  <c r="J3472" i="14"/>
  <c r="B3472" i="14" s="1"/>
  <c r="J3194" i="14"/>
  <c r="B3194" i="14" s="1"/>
  <c r="J3068" i="14"/>
  <c r="B3068" i="14" s="1"/>
  <c r="J3536" i="14"/>
  <c r="B3536" i="14" s="1"/>
  <c r="J3540" i="14"/>
  <c r="B3540" i="14" s="1"/>
  <c r="J3552" i="14"/>
  <c r="B3552" i="14" s="1"/>
  <c r="J3303" i="14"/>
  <c r="B3303" i="14" s="1"/>
  <c r="J3389" i="14"/>
  <c r="B3389" i="14" s="1"/>
  <c r="J3189" i="14"/>
  <c r="B3189" i="14" s="1"/>
  <c r="J3246" i="14"/>
  <c r="B3246" i="14" s="1"/>
  <c r="J3854" i="14"/>
  <c r="B3854" i="14" s="1"/>
  <c r="J3309" i="14"/>
  <c r="B3309" i="14" s="1"/>
  <c r="J3926" i="14"/>
  <c r="B3926" i="14" s="1"/>
  <c r="J3334" i="14"/>
  <c r="B3334" i="14" s="1"/>
  <c r="J3932" i="14"/>
  <c r="B3932" i="14" s="1"/>
  <c r="J3916" i="14"/>
  <c r="B3916" i="14" s="1"/>
  <c r="J3190" i="14"/>
  <c r="B3190" i="14" s="1"/>
  <c r="J3913" i="14"/>
  <c r="B3913" i="14" s="1"/>
  <c r="J3344" i="14"/>
  <c r="B3344" i="14" s="1"/>
  <c r="J3769" i="14"/>
  <c r="B3769" i="14" s="1"/>
  <c r="J3316" i="14"/>
  <c r="B3316" i="14" s="1"/>
  <c r="J3577" i="14"/>
  <c r="B3577" i="14" s="1"/>
  <c r="J4060" i="14"/>
  <c r="B4060" i="14" s="1"/>
  <c r="J3529" i="14"/>
  <c r="B3529" i="14" s="1"/>
  <c r="J3609" i="14"/>
  <c r="B3609" i="14" s="1"/>
  <c r="J4044" i="14"/>
  <c r="B4044" i="14" s="1"/>
  <c r="J3352" i="14"/>
  <c r="B3352" i="14" s="1"/>
  <c r="J3620" i="14"/>
  <c r="B3620" i="14" s="1"/>
  <c r="J3384" i="14"/>
  <c r="B3384" i="14" s="1"/>
  <c r="J3968" i="14"/>
  <c r="B3968" i="14" s="1"/>
  <c r="J3208" i="14"/>
  <c r="B3208" i="14" s="1"/>
  <c r="J3673" i="14"/>
  <c r="B3673" i="14" s="1"/>
  <c r="J3857" i="14"/>
  <c r="B3857" i="14" s="1"/>
  <c r="J3817" i="14"/>
  <c r="B3817" i="14" s="1"/>
  <c r="J3986" i="14"/>
  <c r="B3986" i="14" s="1"/>
  <c r="J3266" i="14"/>
  <c r="B3266" i="14" s="1"/>
  <c r="J3866" i="14"/>
  <c r="B3866" i="14" s="1"/>
  <c r="J3820" i="14"/>
  <c r="B3820" i="14" s="1"/>
  <c r="J3498" i="14"/>
  <c r="B3498" i="14" s="1"/>
  <c r="J3113" i="14"/>
  <c r="B3113" i="14" s="1"/>
  <c r="J3828" i="14"/>
  <c r="B3828" i="14" s="1"/>
  <c r="J3257" i="14"/>
  <c r="B3257" i="14" s="1"/>
  <c r="J3900" i="14"/>
  <c r="B3900" i="14" s="1"/>
  <c r="J3081" i="14"/>
  <c r="B3081" i="14" s="1"/>
  <c r="J3610" i="14"/>
  <c r="B3610" i="14" s="1"/>
  <c r="J3434" i="14"/>
  <c r="B3434" i="14" s="1"/>
  <c r="J3842" i="14"/>
  <c r="B3842" i="14" s="1"/>
  <c r="J3922" i="14"/>
  <c r="B3922" i="14" s="1"/>
  <c r="J3148" i="14"/>
  <c r="B3148" i="14" s="1"/>
  <c r="J4032" i="14"/>
  <c r="B4032" i="14" s="1"/>
  <c r="J3262" i="14"/>
  <c r="B3262" i="14" s="1"/>
  <c r="J4050" i="14"/>
  <c r="B4050" i="14" s="1"/>
  <c r="J3362" i="14"/>
  <c r="B3362" i="14" s="1"/>
  <c r="J3476" i="14"/>
  <c r="B3476" i="14" s="1"/>
  <c r="J3356" i="14"/>
  <c r="B3356" i="14" s="1"/>
  <c r="J3388" i="14"/>
  <c r="B3388" i="14" s="1"/>
  <c r="J3442" i="14"/>
  <c r="B3442" i="14" s="1"/>
  <c r="J3584" i="14"/>
  <c r="B3584" i="14" s="1"/>
  <c r="J3418" i="14"/>
  <c r="B3418" i="14" s="1"/>
  <c r="J3306" i="14"/>
  <c r="B3306" i="14" s="1"/>
  <c r="J3528" i="14"/>
  <c r="B3528" i="14" s="1"/>
  <c r="J3174" i="14"/>
  <c r="B3174" i="14" s="1"/>
  <c r="J3172" i="14"/>
  <c r="B3172" i="14" s="1"/>
  <c r="J3672" i="14"/>
  <c r="B3672" i="14" s="1"/>
  <c r="J3242" i="14"/>
  <c r="B3242" i="14" s="1"/>
  <c r="J3884" i="14"/>
  <c r="B3884" i="14" s="1"/>
  <c r="J3510" i="14"/>
  <c r="B3510" i="14" s="1"/>
  <c r="J3428" i="14"/>
  <c r="B3428" i="14" s="1"/>
  <c r="J3424" i="14"/>
  <c r="B3424" i="14" s="1"/>
  <c r="J3328" i="14"/>
  <c r="B3328" i="14" s="1"/>
  <c r="J3354" i="14"/>
  <c r="B3354" i="14" s="1"/>
  <c r="J3178" i="14"/>
  <c r="B3178" i="14" s="1"/>
  <c r="J3482" i="14"/>
  <c r="B3482" i="14" s="1"/>
  <c r="J3752" i="14"/>
  <c r="B3752" i="14" s="1"/>
  <c r="J3714" i="14"/>
  <c r="B3714" i="14" s="1"/>
  <c r="J4012" i="14"/>
  <c r="B4012" i="14" s="1"/>
  <c r="J3312" i="14"/>
  <c r="B3312" i="14" s="1"/>
  <c r="J3248" i="14"/>
  <c r="B3248" i="14" s="1"/>
  <c r="J3601" i="14"/>
  <c r="B3601" i="14" s="1"/>
  <c r="J3858" i="14"/>
  <c r="B3858" i="14" s="1"/>
  <c r="J3832" i="14"/>
  <c r="B3832" i="14" s="1"/>
  <c r="J3144" i="14"/>
  <c r="B3144" i="14" s="1"/>
  <c r="J3160" i="14"/>
  <c r="B3160" i="14" s="1"/>
  <c r="J3145" i="14"/>
  <c r="B3145" i="14" s="1"/>
  <c r="J3920" i="14"/>
  <c r="B3920" i="14" s="1"/>
  <c r="J3980" i="14"/>
  <c r="B3980" i="14" s="1"/>
  <c r="J3770" i="14"/>
  <c r="B3770" i="14" s="1"/>
  <c r="J3843" i="14"/>
  <c r="B3843" i="14" s="1"/>
  <c r="J3987" i="14"/>
  <c r="B3987" i="14" s="1"/>
  <c r="J3649" i="14"/>
  <c r="B3649" i="14" s="1"/>
  <c r="J3759" i="14"/>
  <c r="B3759" i="14" s="1"/>
  <c r="J3407" i="14"/>
  <c r="B3407" i="14" s="1"/>
  <c r="J3263" i="14"/>
  <c r="B3263" i="14" s="1"/>
  <c r="J3355" i="14"/>
  <c r="B3355" i="14" s="1"/>
  <c r="J3267" i="14"/>
  <c r="B3267" i="14" s="1"/>
  <c r="J3251" i="14"/>
  <c r="B3251" i="14" s="1"/>
  <c r="J4009" i="14"/>
  <c r="B4009" i="14" s="1"/>
  <c r="J3841" i="14"/>
  <c r="B3841" i="14" s="1"/>
  <c r="J3651" i="14"/>
  <c r="B3651" i="14" s="1"/>
  <c r="J3925" i="14"/>
  <c r="B3925" i="14" s="1"/>
  <c r="J3479" i="14"/>
  <c r="B3479" i="14" s="1"/>
  <c r="J3335" i="14"/>
  <c r="B3335" i="14" s="1"/>
  <c r="J3115" i="14"/>
  <c r="B3115" i="14" s="1"/>
  <c r="J3229" i="14"/>
  <c r="B3229" i="14" s="1"/>
  <c r="J3157" i="14"/>
  <c r="B3157" i="14" s="1"/>
  <c r="J3277" i="14"/>
  <c r="B3277" i="14" s="1"/>
  <c r="J3429" i="14"/>
  <c r="B3429" i="14" s="1"/>
  <c r="J3319" i="14"/>
  <c r="B3319" i="14" s="1"/>
  <c r="J3175" i="14"/>
  <c r="B3175" i="14" s="1"/>
  <c r="J3325" i="14"/>
  <c r="B3325" i="14" s="1"/>
  <c r="J3477" i="14"/>
  <c r="B3477" i="14" s="1"/>
  <c r="J3415" i="14"/>
  <c r="B3415" i="14" s="1"/>
  <c r="J3399" i="14"/>
  <c r="B3399" i="14" s="1"/>
  <c r="J3597" i="14"/>
  <c r="B3597" i="14" s="1"/>
  <c r="J3525" i="14"/>
  <c r="B3525" i="14" s="1"/>
  <c r="J3697" i="14"/>
  <c r="B3697" i="14" s="1"/>
  <c r="J4055" i="14"/>
  <c r="B4055" i="14" s="1"/>
  <c r="J4039" i="14"/>
  <c r="B4039" i="14" s="1"/>
  <c r="J3917" i="14"/>
  <c r="B3917" i="14" s="1"/>
  <c r="J3845" i="14"/>
  <c r="B3845" i="14" s="1"/>
  <c r="J3957" i="14"/>
  <c r="B3957" i="14" s="1"/>
  <c r="J3949" i="14"/>
  <c r="B3949" i="14" s="1"/>
  <c r="J3811" i="14"/>
  <c r="B3811" i="14" s="1"/>
  <c r="J4003" i="14"/>
  <c r="B4003" i="14" s="1"/>
  <c r="J3185" i="14"/>
  <c r="B3185" i="14" s="1"/>
  <c r="J3496" i="14"/>
  <c r="B3496" i="14" s="1"/>
  <c r="J3258" i="14"/>
  <c r="B3258" i="14" s="1"/>
  <c r="J3426" i="14"/>
  <c r="B3426" i="14" s="1"/>
  <c r="J3815" i="14"/>
  <c r="B3815" i="14" s="1"/>
  <c r="J3645" i="14"/>
  <c r="B3645" i="14" s="1"/>
  <c r="J3445" i="14"/>
  <c r="B3445" i="14" s="1"/>
  <c r="J3760" i="14"/>
  <c r="B3760" i="14" s="1"/>
  <c r="J3982" i="14"/>
  <c r="B3982" i="14" s="1"/>
  <c r="J3565" i="14"/>
  <c r="B3565" i="14" s="1"/>
  <c r="J4054" i="14"/>
  <c r="B4054" i="14" s="1"/>
  <c r="J3848" i="14"/>
  <c r="B3848" i="14" s="1"/>
  <c r="J3766" i="14"/>
  <c r="B3766" i="14" s="1"/>
  <c r="J3750" i="14"/>
  <c r="B3750" i="14" s="1"/>
  <c r="J3254" i="14"/>
  <c r="B3254" i="14" s="1"/>
  <c r="J4057" i="14"/>
  <c r="B4057" i="14" s="1"/>
  <c r="J3171" i="14"/>
  <c r="B3171" i="14" s="1"/>
  <c r="J3885" i="14"/>
  <c r="B3885" i="14" s="1"/>
  <c r="J3874" i="14"/>
  <c r="B3874" i="14" s="1"/>
  <c r="J3273" i="14"/>
  <c r="B3273" i="14" s="1"/>
  <c r="J3598" i="14"/>
  <c r="B3598" i="14" s="1"/>
  <c r="J3786" i="14"/>
  <c r="B3786" i="14" s="1"/>
  <c r="J3461" i="14"/>
  <c r="B3461" i="14" s="1"/>
  <c r="J3281" i="14"/>
  <c r="B3281" i="14" s="1"/>
  <c r="J3241" i="14"/>
  <c r="B3241" i="14" s="1"/>
  <c r="J3892" i="14"/>
  <c r="B3892" i="14" s="1"/>
  <c r="J3385" i="14"/>
  <c r="B3385" i="14" s="1"/>
  <c r="J3964" i="14"/>
  <c r="B3964" i="14" s="1"/>
  <c r="J3337" i="14"/>
  <c r="B3337" i="14" s="1"/>
  <c r="J3436" i="14"/>
  <c r="B3436" i="14" s="1"/>
  <c r="J3560" i="14"/>
  <c r="B3560" i="14" s="1"/>
  <c r="J3772" i="14"/>
  <c r="B3772" i="14" s="1"/>
  <c r="J3290" i="14"/>
  <c r="B3290" i="14" s="1"/>
  <c r="J3114" i="14"/>
  <c r="B3114" i="14" s="1"/>
  <c r="J3462" i="14"/>
  <c r="B3462" i="14" s="1"/>
  <c r="J4040" i="14"/>
  <c r="B4040" i="14" s="1"/>
  <c r="J3864" i="14"/>
  <c r="B3864" i="14" s="1"/>
  <c r="J3804" i="14"/>
  <c r="B3804" i="14" s="1"/>
  <c r="J3876" i="14"/>
  <c r="B3876" i="14" s="1"/>
  <c r="J3097" i="14"/>
  <c r="B3097" i="14" s="1"/>
  <c r="J3788" i="14"/>
  <c r="B3788" i="14" s="1"/>
  <c r="J3342" i="14"/>
  <c r="B3342" i="14" s="1"/>
  <c r="J3300" i="14"/>
  <c r="B3300" i="14" s="1"/>
  <c r="J3142" i="14"/>
  <c r="B3142" i="14" s="1"/>
  <c r="J3626" i="14"/>
  <c r="B3626" i="14" s="1"/>
  <c r="J3904" i="14"/>
  <c r="B3904" i="14" s="1"/>
  <c r="J3938" i="14"/>
  <c r="B3938" i="14" s="1"/>
  <c r="J4002" i="14"/>
  <c r="B4002" i="14" s="1"/>
  <c r="J3952" i="14"/>
  <c r="B3952" i="14" s="1"/>
  <c r="J3840" i="14"/>
  <c r="B3840" i="14" s="1"/>
  <c r="J3070" i="14"/>
  <c r="B3070" i="14" s="1"/>
  <c r="J3260" i="14"/>
  <c r="B3260" i="14" s="1"/>
  <c r="J3314" i="14"/>
  <c r="B3314" i="14" s="1"/>
  <c r="J3690" i="14"/>
  <c r="B3690" i="14" s="1"/>
  <c r="J3852" i="14"/>
  <c r="B3852" i="14" s="1"/>
  <c r="J3470" i="14"/>
  <c r="B3470" i="14" s="1"/>
  <c r="J3364" i="14"/>
  <c r="B3364" i="14" s="1"/>
  <c r="J3296" i="14"/>
  <c r="B3296" i="14" s="1"/>
  <c r="J3200" i="14"/>
  <c r="B3200" i="14" s="1"/>
  <c r="J3912" i="14"/>
  <c r="B3912" i="14" s="1"/>
  <c r="J3466" i="14"/>
  <c r="B3466" i="14" s="1"/>
  <c r="J3102" i="14"/>
  <c r="B3102" i="14" s="1"/>
  <c r="J3508" i="14"/>
  <c r="B3508" i="14" s="1"/>
  <c r="J3602" i="14"/>
  <c r="B3602" i="14" s="1"/>
  <c r="J3824" i="14"/>
  <c r="B3824" i="14" s="1"/>
  <c r="J3608" i="14"/>
  <c r="B3608" i="14" s="1"/>
  <c r="J4038" i="14"/>
  <c r="B4038" i="14" s="1"/>
  <c r="J3978" i="14"/>
  <c r="B3978" i="14" s="1"/>
  <c r="J3448" i="14"/>
  <c r="B3448" i="14" s="1"/>
  <c r="J3406" i="14"/>
  <c r="B3406" i="14" s="1"/>
  <c r="J3330" i="14"/>
  <c r="B3330" i="14" s="1"/>
  <c r="J3928" i="14"/>
  <c r="B3928" i="14" s="1"/>
  <c r="J3616" i="14"/>
  <c r="B3616" i="14" s="1"/>
  <c r="J3468" i="14"/>
  <c r="B3468" i="14" s="1"/>
  <c r="J3538" i="14"/>
  <c r="B3538" i="14" s="1"/>
  <c r="J3784" i="14"/>
  <c r="B3784" i="14" s="1"/>
  <c r="J3416" i="14"/>
  <c r="B3416" i="14" s="1"/>
  <c r="J3566" i="14"/>
  <c r="B3566" i="14" s="1"/>
  <c r="J3396" i="14"/>
  <c r="B3396" i="14" s="1"/>
  <c r="J3499" i="14"/>
  <c r="B3499" i="14" s="1"/>
  <c r="J3371" i="14"/>
  <c r="B3371" i="14" s="1"/>
  <c r="J3923" i="14"/>
  <c r="B3923" i="14" s="1"/>
  <c r="J3187" i="14"/>
  <c r="B3187" i="14" s="1"/>
  <c r="J3443" i="14"/>
  <c r="B3443" i="14" s="1"/>
  <c r="J3411" i="14"/>
  <c r="B3411" i="14" s="1"/>
  <c r="J3851" i="14"/>
  <c r="B3851" i="14" s="1"/>
  <c r="J3907" i="14"/>
  <c r="B3907" i="14" s="1"/>
  <c r="J4063" i="14"/>
  <c r="B4063" i="14" s="1"/>
  <c r="J3959" i="14"/>
  <c r="B3959" i="14" s="1"/>
  <c r="J3819" i="14"/>
  <c r="B3819" i="14" s="1"/>
  <c r="J3755" i="14"/>
  <c r="B3755" i="14" s="1"/>
  <c r="J3151" i="14"/>
  <c r="B3151" i="14" s="1"/>
  <c r="J3195" i="14"/>
  <c r="B3195" i="14" s="1"/>
  <c r="J3715" i="14"/>
  <c r="B3715" i="14" s="1"/>
  <c r="J3619" i="14"/>
  <c r="B3619" i="14" s="1"/>
  <c r="J3779" i="14"/>
  <c r="B3779" i="14" s="1"/>
  <c r="J3763" i="14"/>
  <c r="B3763" i="14" s="1"/>
  <c r="J3787" i="14"/>
  <c r="B3787" i="14" s="1"/>
  <c r="J3365" i="14"/>
  <c r="B3365" i="14" s="1"/>
  <c r="J3191" i="14"/>
  <c r="B3191" i="14" s="1"/>
  <c r="J3835" i="14"/>
  <c r="B3835" i="14" s="1"/>
  <c r="J3643" i="14"/>
  <c r="B3643" i="14" s="1"/>
  <c r="J3137" i="14"/>
  <c r="B3137" i="14" s="1"/>
  <c r="J4035" i="14"/>
  <c r="B4035" i="14" s="1"/>
  <c r="J4019" i="14"/>
  <c r="B4019" i="14" s="1"/>
  <c r="J3805" i="14"/>
  <c r="B3805" i="14" s="1"/>
  <c r="J3679" i="14"/>
  <c r="B3679" i="14" s="1"/>
  <c r="J3575" i="14"/>
  <c r="B3575" i="14" s="1"/>
  <c r="J3329" i="14"/>
  <c r="B3329" i="14" s="1"/>
  <c r="J3275" i="14"/>
  <c r="B3275" i="14" s="1"/>
  <c r="J3211" i="14"/>
  <c r="B3211" i="14" s="1"/>
  <c r="J3279" i="14"/>
  <c r="B3279" i="14" s="1"/>
  <c r="J3135" i="14"/>
  <c r="B3135" i="14" s="1"/>
  <c r="J3233" i="14"/>
  <c r="B3233" i="14" s="1"/>
  <c r="J3375" i="14"/>
  <c r="B3375" i="14" s="1"/>
  <c r="J3231" i="14"/>
  <c r="B3231" i="14" s="1"/>
  <c r="J3505" i="14"/>
  <c r="B3505" i="14" s="1"/>
  <c r="J3471" i="14"/>
  <c r="B3471" i="14" s="1"/>
  <c r="J3455" i="14"/>
  <c r="B3455" i="14" s="1"/>
  <c r="J3975" i="14"/>
  <c r="B3975" i="14" s="1"/>
  <c r="J3725" i="14"/>
  <c r="B3725" i="14" s="1"/>
  <c r="J3653" i="14"/>
  <c r="B3653" i="14" s="1"/>
  <c r="J3825" i="14"/>
  <c r="B3825" i="14" s="1"/>
  <c r="J3235" i="14"/>
  <c r="B3235" i="14" s="1"/>
  <c r="J3683" i="14"/>
  <c r="B3683" i="14" s="1"/>
  <c r="J3179" i="14"/>
  <c r="B3179" i="14" s="1"/>
  <c r="J3265" i="14"/>
  <c r="B3265" i="14" s="1"/>
  <c r="J3771" i="14"/>
  <c r="B3771" i="14" s="1"/>
  <c r="J3313" i="14"/>
  <c r="B3313" i="14" s="1"/>
  <c r="J3087" i="14"/>
  <c r="B3087" i="14" s="1"/>
  <c r="J3071" i="14"/>
  <c r="B3071" i="14" s="1"/>
  <c r="J3147" i="14"/>
  <c r="B3147" i="14" s="1"/>
  <c r="J3361" i="14"/>
  <c r="B3361" i="14" s="1"/>
  <c r="J3311" i="14"/>
  <c r="B3311" i="14" s="1"/>
  <c r="J3764" i="14"/>
  <c r="B3764" i="14" s="1"/>
  <c r="J3129" i="14"/>
  <c r="B3129" i="14" s="1"/>
  <c r="J3836" i="14"/>
  <c r="B3836" i="14" s="1"/>
  <c r="J3080" i="14"/>
  <c r="B3080" i="14" s="1"/>
  <c r="J3326" i="14"/>
  <c r="B3326" i="14" s="1"/>
  <c r="J3985" i="14"/>
  <c r="B3985" i="14" s="1"/>
  <c r="J3793" i="14"/>
  <c r="B3793" i="14" s="1"/>
  <c r="J3753" i="14"/>
  <c r="B3753" i="14" s="1"/>
  <c r="J3897" i="14"/>
  <c r="B3897" i="14" s="1"/>
  <c r="J3849" i="14"/>
  <c r="B3849" i="14" s="1"/>
  <c r="J3168" i="14"/>
  <c r="B3168" i="14" s="1"/>
  <c r="J3568" i="14"/>
  <c r="B3568" i="14" s="1"/>
  <c r="J3386" i="14"/>
  <c r="B3386" i="14" s="1"/>
  <c r="J3774" i="14"/>
  <c r="B3774" i="14" s="1"/>
  <c r="J3196" i="14"/>
  <c r="B3196" i="14" s="1"/>
  <c r="J3437" i="14"/>
  <c r="B3437" i="14" s="1"/>
  <c r="J3534" i="14"/>
  <c r="B3534" i="14" s="1"/>
  <c r="J3629" i="14"/>
  <c r="B3629" i="14" s="1"/>
  <c r="J4016" i="14"/>
  <c r="B4016" i="14" s="1"/>
  <c r="J3360" i="14"/>
  <c r="B3360" i="14" s="1"/>
  <c r="J3829" i="14"/>
  <c r="B3829" i="14" s="1"/>
  <c r="J3765" i="14"/>
  <c r="B3765" i="14" s="1"/>
  <c r="J3340" i="14"/>
  <c r="B3340" i="14" s="1"/>
  <c r="J3210" i="14"/>
  <c r="B3210" i="14" s="1"/>
  <c r="J3894" i="14"/>
  <c r="B3894" i="14" s="1"/>
  <c r="J3158" i="14"/>
  <c r="B3158" i="14" s="1"/>
  <c r="J3966" i="14"/>
  <c r="B3966" i="14" s="1"/>
  <c r="J3542" i="14"/>
  <c r="B3542" i="14" s="1"/>
  <c r="J3878" i="14"/>
  <c r="B3878" i="14" s="1"/>
  <c r="J3754" i="14"/>
  <c r="B3754" i="14" s="1"/>
  <c r="J3646" i="14"/>
  <c r="B3646" i="14" s="1"/>
  <c r="J3826" i="14"/>
  <c r="B3826" i="14" s="1"/>
  <c r="J3984" i="14"/>
  <c r="B3984" i="14" s="1"/>
  <c r="J3298" i="14"/>
  <c r="B3298" i="14" s="1"/>
  <c r="J3998" i="14"/>
  <c r="B3998" i="14" s="1"/>
  <c r="J3718" i="14"/>
  <c r="B3718" i="14" s="1"/>
  <c r="J3509" i="14"/>
  <c r="B3509" i="14" s="1"/>
  <c r="J3936" i="14"/>
  <c r="B3936" i="14" s="1"/>
  <c r="J4014" i="14"/>
  <c r="B4014" i="14" s="1"/>
  <c r="J3630" i="14"/>
  <c r="B3630" i="14" s="1"/>
  <c r="J3124" i="14"/>
  <c r="B3124" i="14" s="1"/>
  <c r="J3282" i="14"/>
  <c r="B3282" i="14" s="1"/>
  <c r="J3882" i="14"/>
  <c r="B3882" i="14" s="1"/>
  <c r="J3218" i="14"/>
  <c r="B3218" i="14" s="1"/>
  <c r="J3930" i="14"/>
  <c r="B3930" i="14" s="1"/>
  <c r="J3514" i="14"/>
  <c r="B3514" i="14" s="1"/>
  <c r="J3408" i="14"/>
  <c r="B3408" i="14" s="1"/>
  <c r="J3696" i="14"/>
  <c r="B3696" i="14" s="1"/>
  <c r="J3642" i="14"/>
  <c r="B3642" i="14" s="1"/>
  <c r="J3182" i="14"/>
  <c r="B3182" i="14" s="1"/>
  <c r="J3110" i="14"/>
  <c r="B3110" i="14" s="1"/>
  <c r="J3164" i="14"/>
  <c r="B3164" i="14" s="1"/>
  <c r="J3768" i="14"/>
  <c r="B3768" i="14" s="1"/>
  <c r="J3808" i="14"/>
  <c r="B3808" i="14" s="1"/>
  <c r="J3252" i="14"/>
  <c r="B3252" i="14" s="1"/>
  <c r="J3378" i="14"/>
  <c r="B3378" i="14" s="1"/>
  <c r="J3694" i="14"/>
  <c r="B3694" i="14" s="1"/>
  <c r="J3622" i="14"/>
  <c r="B3622" i="14" s="1"/>
  <c r="J3398" i="14"/>
  <c r="B3398" i="14" s="1"/>
  <c r="J4058" i="14"/>
  <c r="B4058" i="14" s="1"/>
  <c r="J3268" i="14"/>
  <c r="B3268" i="14" s="1"/>
  <c r="J3082" i="14"/>
  <c r="B3082" i="14" s="1"/>
  <c r="J3554" i="14"/>
  <c r="B3554" i="14" s="1"/>
  <c r="J3094" i="14"/>
  <c r="B3094" i="14" s="1"/>
  <c r="J3660" i="14"/>
  <c r="B3660" i="14" s="1"/>
  <c r="J3944" i="14"/>
  <c r="B3944" i="14" s="1"/>
  <c r="J3166" i="14"/>
  <c r="B3166" i="14" s="1"/>
  <c r="J3392" i="14"/>
  <c r="B3392" i="14" s="1"/>
  <c r="J3404" i="14"/>
  <c r="B3404" i="14" s="1"/>
  <c r="J3632" i="14"/>
  <c r="B3632" i="14" s="1"/>
  <c r="J3422" i="14"/>
  <c r="B3422" i="14" s="1"/>
  <c r="J3400" i="14"/>
  <c r="B3400" i="14" s="1"/>
  <c r="J3522" i="14"/>
  <c r="B3522" i="14" s="1"/>
  <c r="J3692" i="14"/>
  <c r="B3692" i="14" s="1"/>
  <c r="J3612" i="14"/>
  <c r="B3612" i="14" s="1"/>
  <c r="J3564" i="14"/>
  <c r="B3564" i="14" s="1"/>
  <c r="J3456" i="14"/>
  <c r="B3456" i="14" s="1"/>
  <c r="J3570" i="14"/>
  <c r="B3570" i="14" s="1"/>
  <c r="J3531" i="14"/>
  <c r="B3531" i="14" s="1"/>
  <c r="J3475" i="14"/>
  <c r="B3475" i="14" s="1"/>
  <c r="J3663" i="14"/>
  <c r="B3663" i="14" s="1"/>
  <c r="J3519" i="14"/>
  <c r="B3519" i="14" s="1"/>
  <c r="J3301" i="14"/>
  <c r="B3301" i="14" s="1"/>
  <c r="J3323" i="14"/>
  <c r="B3323" i="14" s="1"/>
  <c r="J3131" i="14"/>
  <c r="B3131" i="14" s="1"/>
  <c r="J3073" i="14"/>
  <c r="B3073" i="14" s="1"/>
  <c r="J3451" i="14"/>
  <c r="B3451" i="14" s="1"/>
  <c r="J3419" i="14"/>
  <c r="B3419" i="14" s="1"/>
  <c r="J3155" i="14"/>
  <c r="B3155" i="14" s="1"/>
  <c r="J4047" i="14"/>
  <c r="B4047" i="14" s="1"/>
  <c r="J3903" i="14"/>
  <c r="B3903" i="14" s="1"/>
  <c r="J3493" i="14"/>
  <c r="B3493" i="14" s="1"/>
  <c r="J3447" i="14"/>
  <c r="B3447" i="14" s="1"/>
  <c r="J3123" i="14"/>
  <c r="B3123" i="14" s="1"/>
  <c r="J3283" i="14"/>
  <c r="B3283" i="14" s="1"/>
  <c r="J4053" i="14"/>
  <c r="B4053" i="14" s="1"/>
  <c r="J3981" i="14"/>
  <c r="B3981" i="14" s="1"/>
  <c r="J3813" i="14"/>
  <c r="B3813" i="14" s="1"/>
  <c r="J3735" i="14"/>
  <c r="B3735" i="14" s="1"/>
  <c r="J3591" i="14"/>
  <c r="B3591" i="14" s="1"/>
  <c r="J3547" i="14"/>
  <c r="B3547" i="14" s="1"/>
  <c r="J3891" i="14"/>
  <c r="B3891" i="14" s="1"/>
  <c r="J4051" i="14"/>
  <c r="B4051" i="14" s="1"/>
  <c r="J3091" i="14"/>
  <c r="B3091" i="14" s="1"/>
  <c r="J3997" i="14"/>
  <c r="B3997" i="14" s="1"/>
  <c r="J3945" i="14"/>
  <c r="B3945" i="14" s="1"/>
  <c r="J3139" i="14"/>
  <c r="B3139" i="14" s="1"/>
  <c r="J3973" i="14"/>
  <c r="B3973" i="14" s="1"/>
  <c r="J3427" i="14"/>
  <c r="B3427" i="14" s="1"/>
  <c r="J3259" i="14"/>
  <c r="B3259" i="14" s="1"/>
  <c r="J3249" i="14"/>
  <c r="B3249" i="14" s="1"/>
  <c r="J3607" i="14"/>
  <c r="B3607" i="14" s="1"/>
  <c r="J3463" i="14"/>
  <c r="B3463" i="14" s="1"/>
  <c r="J3469" i="14"/>
  <c r="B3469" i="14" s="1"/>
  <c r="J3397" i="14"/>
  <c r="B3397" i="14" s="1"/>
  <c r="J3383" i="14"/>
  <c r="B3383" i="14" s="1"/>
  <c r="J3559" i="14"/>
  <c r="B3559" i="14" s="1"/>
  <c r="J3517" i="14"/>
  <c r="B3517" i="14" s="1"/>
  <c r="J3669" i="14"/>
  <c r="B3669" i="14" s="1"/>
  <c r="J3617" i="14"/>
  <c r="B3617" i="14" s="1"/>
  <c r="J3823" i="14"/>
  <c r="B3823" i="14" s="1"/>
  <c r="J3933" i="14"/>
  <c r="B3933" i="14" s="1"/>
  <c r="J3837" i="14"/>
  <c r="B3837" i="14" s="1"/>
  <c r="J4001" i="14"/>
  <c r="B4001" i="14" s="1"/>
  <c r="J3941" i="14"/>
  <c r="B3941" i="14" s="1"/>
  <c r="J4029" i="14"/>
  <c r="B4029" i="14" s="1"/>
  <c r="J3705" i="14"/>
  <c r="B3705" i="14" s="1"/>
  <c r="J3657" i="14"/>
  <c r="B3657" i="14" s="1"/>
  <c r="J3737" i="14"/>
  <c r="B3737" i="14" s="1"/>
  <c r="J3921" i="14"/>
  <c r="B3921" i="14" s="1"/>
  <c r="J3992" i="14"/>
  <c r="B3992" i="14" s="1"/>
  <c r="J3691" i="14"/>
  <c r="B3691" i="14" s="1"/>
  <c r="J3297" i="14"/>
  <c r="B3297" i="14" s="1"/>
  <c r="J3844" i="14"/>
  <c r="B3844" i="14" s="1"/>
  <c r="J3217" i="14"/>
  <c r="B3217" i="14" s="1"/>
  <c r="J3177" i="14"/>
  <c r="B3177" i="14" s="1"/>
  <c r="J3860" i="14"/>
  <c r="B3860" i="14" s="1"/>
  <c r="J3780" i="14"/>
  <c r="B3780" i="14" s="1"/>
  <c r="J3796" i="14"/>
  <c r="B3796" i="14" s="1"/>
  <c r="J3370" i="14"/>
  <c r="B3370" i="14" s="1"/>
  <c r="J3999" i="14"/>
  <c r="B3999" i="14" s="1"/>
  <c r="J4023" i="14"/>
  <c r="B4023" i="14" s="1"/>
  <c r="J4062" i="14"/>
  <c r="B4062" i="14" s="1"/>
  <c r="J3888" i="14"/>
  <c r="B3888" i="14" s="1"/>
  <c r="J3637" i="14"/>
  <c r="B3637" i="14" s="1"/>
  <c r="J3757" i="14"/>
  <c r="B3757" i="14" s="1"/>
  <c r="J3990" i="14"/>
  <c r="B3990" i="14" s="1"/>
  <c r="J3846" i="14"/>
  <c r="B3846" i="14" s="1"/>
  <c r="J3133" i="14"/>
  <c r="B3133" i="14" s="1"/>
  <c r="J3244" i="14"/>
  <c r="B3244" i="14" s="1"/>
  <c r="J3664" i="14"/>
  <c r="B3664" i="14" s="1"/>
  <c r="J3798" i="14"/>
  <c r="B3798" i="14" s="1"/>
  <c r="J3324" i="14"/>
  <c r="B3324" i="14" s="1"/>
  <c r="J3204" i="14"/>
  <c r="B3204" i="14" s="1"/>
  <c r="J3184" i="14"/>
  <c r="B3184" i="14" s="1"/>
  <c r="J3644" i="14"/>
  <c r="B3644" i="14" s="1"/>
  <c r="J3600" i="14"/>
  <c r="B3600" i="14" s="1"/>
  <c r="J3222" i="14"/>
  <c r="B3222" i="14" s="1"/>
  <c r="J4052" i="14"/>
  <c r="B4052" i="14" s="1"/>
  <c r="J3106" i="14"/>
  <c r="B3106" i="14" s="1"/>
  <c r="J3504" i="14"/>
  <c r="B3504" i="14" s="1"/>
  <c r="J3490" i="14"/>
  <c r="B3490" i="14" s="1"/>
  <c r="J3794" i="14"/>
  <c r="B3794" i="14" s="1"/>
  <c r="J3562" i="14"/>
  <c r="B3562" i="14" s="1"/>
  <c r="J3348" i="14"/>
  <c r="B3348" i="14" s="1"/>
  <c r="J3556" i="14"/>
  <c r="B3556" i="14" s="1"/>
  <c r="J3722" i="14"/>
  <c r="B3722" i="14" s="1"/>
  <c r="J1082" i="14"/>
  <c r="B1082" i="14" s="1"/>
  <c r="J1084" i="14"/>
  <c r="B1084" i="14" s="1"/>
  <c r="J1081" i="14"/>
  <c r="B1081" i="14" s="1"/>
  <c r="J1083" i="14"/>
  <c r="B1083" i="14" s="1"/>
  <c r="J1085" i="14"/>
  <c r="B1085" i="14" s="1"/>
  <c r="E1036" i="14"/>
  <c r="E1037" i="14" s="1"/>
  <c r="G6" i="14" l="1"/>
  <c r="E6" i="14"/>
  <c r="I6" i="14"/>
  <c r="C222" i="14"/>
  <c r="C478" i="14"/>
  <c r="C734" i="14"/>
  <c r="C990" i="14"/>
  <c r="C259" i="14"/>
  <c r="C515" i="14"/>
  <c r="C771" i="14"/>
  <c r="C40" i="14"/>
  <c r="C296" i="14"/>
  <c r="C552" i="14"/>
  <c r="C808" i="14"/>
  <c r="C289" i="14"/>
  <c r="C837" i="14"/>
  <c r="C361" i="14"/>
  <c r="C605" i="14"/>
  <c r="C114" i="14"/>
  <c r="C370" i="14"/>
  <c r="C626" i="14"/>
  <c r="C882" i="14"/>
  <c r="C142" i="14"/>
  <c r="C494" i="14"/>
  <c r="C830" i="14"/>
  <c r="C19" i="14"/>
  <c r="C355" i="14"/>
  <c r="C691" i="14"/>
  <c r="C216" i="14"/>
  <c r="C568" i="14"/>
  <c r="C904" i="14"/>
  <c r="C353" i="14"/>
  <c r="C197" i="14"/>
  <c r="C41" i="14"/>
  <c r="C621" i="14"/>
  <c r="C290" i="14"/>
  <c r="C642" i="14"/>
  <c r="C978" i="14"/>
  <c r="C135" i="14"/>
  <c r="C391" i="14"/>
  <c r="C647" i="14"/>
  <c r="C903" i="14"/>
  <c r="C172" i="14"/>
  <c r="C428" i="14"/>
  <c r="C684" i="14"/>
  <c r="C940" i="14"/>
  <c r="C817" i="14"/>
  <c r="C341" i="14"/>
  <c r="C889" i="14"/>
  <c r="C141" i="14"/>
  <c r="C246" i="14"/>
  <c r="C502" i="14"/>
  <c r="C758" i="14"/>
  <c r="C27" i="14"/>
  <c r="C283" i="14"/>
  <c r="C539" i="14"/>
  <c r="C795" i="14"/>
  <c r="C64" i="14"/>
  <c r="C320" i="14"/>
  <c r="C576" i="14"/>
  <c r="C832" i="14"/>
  <c r="C385" i="14"/>
  <c r="C933" i="14"/>
  <c r="C457" i="14"/>
  <c r="C989" i="14"/>
  <c r="C138" i="14"/>
  <c r="C394" i="14"/>
  <c r="C650" i="14"/>
  <c r="C906" i="14"/>
  <c r="C175" i="14"/>
  <c r="C431" i="14"/>
  <c r="C687" i="14"/>
  <c r="C94" i="14"/>
  <c r="C350" i="14"/>
  <c r="C606" i="14"/>
  <c r="C862" i="14"/>
  <c r="C131" i="14"/>
  <c r="C387" i="14"/>
  <c r="C643" i="14"/>
  <c r="C899" i="14"/>
  <c r="C168" i="14"/>
  <c r="C424" i="14"/>
  <c r="C680" i="14"/>
  <c r="C936" i="14"/>
  <c r="C801" i="14"/>
  <c r="C325" i="14"/>
  <c r="C873" i="14"/>
  <c r="C77" i="14"/>
  <c r="C242" i="14"/>
  <c r="C498" i="14"/>
  <c r="C754" i="14"/>
  <c r="C23" i="14"/>
  <c r="C318" i="14"/>
  <c r="C654" i="14"/>
  <c r="C179" i="14"/>
  <c r="C531" i="14"/>
  <c r="C867" i="14"/>
  <c r="C56" i="14"/>
  <c r="C392" i="14"/>
  <c r="C728" i="14"/>
  <c r="C993" i="14"/>
  <c r="C901" i="14"/>
  <c r="C745" i="14"/>
  <c r="C845" i="14"/>
  <c r="C130" i="14"/>
  <c r="C466" i="14"/>
  <c r="C802" i="14"/>
  <c r="C263" i="14"/>
  <c r="C519" i="14"/>
  <c r="C775" i="14"/>
  <c r="C44" i="14"/>
  <c r="C300" i="14"/>
  <c r="C556" i="14"/>
  <c r="C812" i="14"/>
  <c r="C305" i="14"/>
  <c r="C853" i="14"/>
  <c r="C377" i="14"/>
  <c r="C669" i="14"/>
  <c r="C118" i="14"/>
  <c r="C374" i="14"/>
  <c r="C630" i="14"/>
  <c r="C886" i="14"/>
  <c r="C155" i="14"/>
  <c r="C411" i="14"/>
  <c r="C667" i="14"/>
  <c r="C923" i="14"/>
  <c r="C192" i="14"/>
  <c r="C448" i="14"/>
  <c r="C704" i="14"/>
  <c r="C960" i="14"/>
  <c r="C897" i="14"/>
  <c r="C421" i="14"/>
  <c r="C969" i="14"/>
  <c r="C461" i="14"/>
  <c r="C10" i="14"/>
  <c r="C266" i="14"/>
  <c r="C522" i="14"/>
  <c r="C778" i="14"/>
  <c r="C47" i="14"/>
  <c r="C303" i="14"/>
  <c r="C559" i="14"/>
  <c r="C158" i="14"/>
  <c r="C414" i="14"/>
  <c r="C670" i="14"/>
  <c r="C926" i="14"/>
  <c r="C195" i="14"/>
  <c r="C451" i="14"/>
  <c r="C707" i="14"/>
  <c r="C963" i="14"/>
  <c r="C232" i="14"/>
  <c r="C488" i="14"/>
  <c r="C744" i="14"/>
  <c r="C1000" i="14"/>
  <c r="C33" i="14"/>
  <c r="C581" i="14"/>
  <c r="C105" i="14"/>
  <c r="C50" i="14"/>
  <c r="C306" i="14"/>
  <c r="C562" i="14"/>
  <c r="C818" i="14"/>
  <c r="C62" i="14"/>
  <c r="C398" i="14"/>
  <c r="C750" i="14"/>
  <c r="C275" i="14"/>
  <c r="C611" i="14"/>
  <c r="C947" i="14"/>
  <c r="C136" i="14"/>
  <c r="C472" i="14"/>
  <c r="C824" i="14"/>
  <c r="C861" i="14"/>
  <c r="C210" i="14"/>
  <c r="C546" i="14"/>
  <c r="C898" i="14"/>
  <c r="C71" i="14"/>
  <c r="C327" i="14"/>
  <c r="C583" i="14"/>
  <c r="C839" i="14"/>
  <c r="C108" i="14"/>
  <c r="C364" i="14"/>
  <c r="C620" i="14"/>
  <c r="C876" i="14"/>
  <c r="C561" i="14"/>
  <c r="C85" i="14"/>
  <c r="C633" i="14"/>
  <c r="C637" i="14"/>
  <c r="C173" i="14"/>
  <c r="C182" i="14"/>
  <c r="C438" i="14"/>
  <c r="C694" i="14"/>
  <c r="C950" i="14"/>
  <c r="C219" i="14"/>
  <c r="C475" i="14"/>
  <c r="C731" i="14"/>
  <c r="C987" i="14"/>
  <c r="C256" i="14"/>
  <c r="C512" i="14"/>
  <c r="C768" i="14"/>
  <c r="C129" i="14"/>
  <c r="C677" i="14"/>
  <c r="C201" i="14"/>
  <c r="C74" i="14"/>
  <c r="C330" i="14"/>
  <c r="C586" i="14"/>
  <c r="C842" i="14"/>
  <c r="C111" i="14"/>
  <c r="C367" i="14"/>
  <c r="C623" i="14"/>
  <c r="C30" i="14"/>
  <c r="C579" i="14"/>
  <c r="C104" i="14"/>
  <c r="C178" i="14"/>
  <c r="C910" i="14"/>
  <c r="C787" i="14"/>
  <c r="C648" i="14"/>
  <c r="C517" i="14"/>
  <c r="C386" i="14"/>
  <c r="C199" i="14"/>
  <c r="C748" i="14"/>
  <c r="C822" i="14"/>
  <c r="C347" i="14"/>
  <c r="C896" i="14"/>
  <c r="C165" i="14"/>
  <c r="C493" i="14"/>
  <c r="C970" i="14"/>
  <c r="C495" i="14"/>
  <c r="C943" i="14"/>
  <c r="C212" i="14"/>
  <c r="C468" i="14"/>
  <c r="C724" i="14"/>
  <c r="C980" i="14"/>
  <c r="C977" i="14"/>
  <c r="C501" i="14"/>
  <c r="C25" i="14"/>
  <c r="C781" i="14"/>
  <c r="C110" i="14"/>
  <c r="C553" i="14"/>
  <c r="C770" i="14"/>
  <c r="C551" i="14"/>
  <c r="C76" i="14"/>
  <c r="C725" i="14"/>
  <c r="C86" i="14"/>
  <c r="C635" i="14"/>
  <c r="C224" i="14"/>
  <c r="C73" i="14"/>
  <c r="C298" i="14"/>
  <c r="C911" i="14"/>
  <c r="C564" i="14"/>
  <c r="C174" i="14"/>
  <c r="C510" i="14"/>
  <c r="C846" i="14"/>
  <c r="C35" i="14"/>
  <c r="C371" i="14"/>
  <c r="C723" i="14"/>
  <c r="C248" i="14"/>
  <c r="C584" i="14"/>
  <c r="C920" i="14"/>
  <c r="C417" i="14"/>
  <c r="C261" i="14"/>
  <c r="C169" i="14"/>
  <c r="C61" i="14"/>
  <c r="C877" i="14"/>
  <c r="C322" i="14"/>
  <c r="C658" i="14"/>
  <c r="C994" i="14"/>
  <c r="C151" i="14"/>
  <c r="C407" i="14"/>
  <c r="C663" i="14"/>
  <c r="C919" i="14"/>
  <c r="C188" i="14"/>
  <c r="C444" i="14"/>
  <c r="C700" i="14"/>
  <c r="C956" i="14"/>
  <c r="C881" i="14"/>
  <c r="C405" i="14"/>
  <c r="C953" i="14"/>
  <c r="C397" i="14"/>
  <c r="C262" i="14"/>
  <c r="C518" i="14"/>
  <c r="C774" i="14"/>
  <c r="C43" i="14"/>
  <c r="C299" i="14"/>
  <c r="C555" i="14"/>
  <c r="C811" i="14"/>
  <c r="C80" i="14"/>
  <c r="C336" i="14"/>
  <c r="C592" i="14"/>
  <c r="C848" i="14"/>
  <c r="C449" i="14"/>
  <c r="C997" i="14"/>
  <c r="C521" i="14"/>
  <c r="C189" i="14"/>
  <c r="C154" i="14"/>
  <c r="C410" i="14"/>
  <c r="C666" i="14"/>
  <c r="C922" i="14"/>
  <c r="C191" i="14"/>
  <c r="C447" i="14"/>
  <c r="C703" i="14"/>
  <c r="C959" i="14"/>
  <c r="C228" i="14"/>
  <c r="C484" i="14"/>
  <c r="C740" i="14"/>
  <c r="C996" i="14"/>
  <c r="C17" i="14"/>
  <c r="C565" i="14"/>
  <c r="C89" i="14"/>
  <c r="C270" i="14"/>
  <c r="C51" i="14"/>
  <c r="C184" i="14"/>
  <c r="C161" i="14"/>
  <c r="C935" i="14"/>
  <c r="C460" i="14"/>
  <c r="C470" i="14"/>
  <c r="C59" i="14"/>
  <c r="C608" i="14"/>
  <c r="C769" i="14"/>
  <c r="C682" i="14"/>
  <c r="C271" i="14"/>
  <c r="C692" i="14"/>
  <c r="C782" i="14"/>
  <c r="C659" i="14"/>
  <c r="C440" i="14"/>
  <c r="C162" i="14"/>
  <c r="C39" i="14"/>
  <c r="C999" i="14"/>
  <c r="C588" i="14"/>
  <c r="C945" i="14"/>
  <c r="C662" i="14"/>
  <c r="C187" i="14"/>
  <c r="C800" i="14"/>
  <c r="C477" i="14"/>
  <c r="C874" i="14"/>
  <c r="C335" i="14"/>
  <c r="C302" i="14"/>
  <c r="C638" i="14"/>
  <c r="C974" i="14"/>
  <c r="C163" i="14"/>
  <c r="C499" i="14"/>
  <c r="C851" i="14"/>
  <c r="C24" i="14"/>
  <c r="C376" i="14"/>
  <c r="C712" i="14"/>
  <c r="C929" i="14"/>
  <c r="C773" i="14"/>
  <c r="C681" i="14"/>
  <c r="C589" i="14"/>
  <c r="C98" i="14"/>
  <c r="C450" i="14"/>
  <c r="C786" i="14"/>
  <c r="C247" i="14"/>
  <c r="C503" i="14"/>
  <c r="C759" i="14"/>
  <c r="C28" i="14"/>
  <c r="C284" i="14"/>
  <c r="C540" i="14"/>
  <c r="C796" i="14"/>
  <c r="C241" i="14"/>
  <c r="C789" i="14"/>
  <c r="C313" i="14"/>
  <c r="C413" i="14"/>
  <c r="C102" i="14"/>
  <c r="C358" i="14"/>
  <c r="C614" i="14"/>
  <c r="C870" i="14"/>
  <c r="C139" i="14"/>
  <c r="C395" i="14"/>
  <c r="C651" i="14"/>
  <c r="C907" i="14"/>
  <c r="C176" i="14"/>
  <c r="C432" i="14"/>
  <c r="C688" i="14"/>
  <c r="C944" i="14"/>
  <c r="C833" i="14"/>
  <c r="C357" i="14"/>
  <c r="C905" i="14"/>
  <c r="C205" i="14"/>
  <c r="C250" i="14"/>
  <c r="C506" i="14"/>
  <c r="C762" i="14"/>
  <c r="C31" i="14"/>
  <c r="C287" i="14"/>
  <c r="C543" i="14"/>
  <c r="C799" i="14"/>
  <c r="C68" i="14"/>
  <c r="C324" i="14"/>
  <c r="C580" i="14"/>
  <c r="C836" i="14"/>
  <c r="C401" i="14"/>
  <c r="C949" i="14"/>
  <c r="C473" i="14"/>
  <c r="C878" i="14"/>
  <c r="C739" i="14"/>
  <c r="C600" i="14"/>
  <c r="C1005" i="14"/>
  <c r="C258" i="14"/>
  <c r="C103" i="14"/>
  <c r="C652" i="14"/>
  <c r="C433" i="14"/>
  <c r="C125" i="14"/>
  <c r="C726" i="14"/>
  <c r="C251" i="14"/>
  <c r="C672" i="14"/>
  <c r="C513" i="14"/>
  <c r="C445" i="14"/>
  <c r="C746" i="14"/>
  <c r="C207" i="14"/>
  <c r="C628" i="14"/>
  <c r="C885" i="14"/>
  <c r="C286" i="14"/>
  <c r="C835" i="14"/>
  <c r="C360" i="14"/>
  <c r="C617" i="14"/>
  <c r="C434" i="14"/>
  <c r="C984" i="14"/>
  <c r="C425" i="14"/>
  <c r="C722" i="14"/>
  <c r="C455" i="14"/>
  <c r="C1004" i="14"/>
  <c r="C597" i="14"/>
  <c r="C54" i="14"/>
  <c r="C603" i="14"/>
  <c r="C128" i="14"/>
  <c r="C202" i="14"/>
  <c r="C751" i="14"/>
  <c r="C20" i="14"/>
  <c r="C276" i="14"/>
  <c r="C532" i="14"/>
  <c r="C788" i="14"/>
  <c r="C209" i="14"/>
  <c r="C757" i="14"/>
  <c r="C281" i="14"/>
  <c r="C285" i="14"/>
  <c r="C366" i="14"/>
  <c r="C227" i="14"/>
  <c r="C8" i="14"/>
  <c r="C333" i="14"/>
  <c r="C807" i="14"/>
  <c r="C332" i="14"/>
  <c r="C249" i="14"/>
  <c r="C342" i="14"/>
  <c r="C891" i="14"/>
  <c r="C480" i="14"/>
  <c r="C257" i="14"/>
  <c r="C554" i="14"/>
  <c r="C143" i="14"/>
  <c r="C820" i="14"/>
  <c r="C254" i="14"/>
  <c r="C590" i="14"/>
  <c r="C942" i="14"/>
  <c r="C115" i="14"/>
  <c r="C467" i="14"/>
  <c r="C803" i="14"/>
  <c r="C328" i="14"/>
  <c r="C664" i="14"/>
  <c r="C737" i="14"/>
  <c r="C645" i="14"/>
  <c r="C489" i="14"/>
  <c r="C66" i="14"/>
  <c r="C402" i="14"/>
  <c r="C738" i="14"/>
  <c r="C215" i="14"/>
  <c r="C471" i="14"/>
  <c r="C727" i="14"/>
  <c r="C983" i="14"/>
  <c r="C252" i="14"/>
  <c r="C508" i="14"/>
  <c r="C764" i="14"/>
  <c r="C113" i="14"/>
  <c r="C661" i="14"/>
  <c r="C185" i="14"/>
  <c r="C70" i="14"/>
  <c r="C326" i="14"/>
  <c r="C582" i="14"/>
  <c r="C838" i="14"/>
  <c r="C107" i="14"/>
  <c r="C363" i="14"/>
  <c r="C619" i="14"/>
  <c r="C875" i="14"/>
  <c r="C144" i="14"/>
  <c r="C400" i="14"/>
  <c r="C656" i="14"/>
  <c r="C912" i="14"/>
  <c r="C705" i="14"/>
  <c r="C229" i="14"/>
  <c r="C777" i="14"/>
  <c r="C749" i="14"/>
  <c r="C218" i="14"/>
  <c r="C474" i="14"/>
  <c r="C730" i="14"/>
  <c r="C986" i="14"/>
  <c r="C255" i="14"/>
  <c r="C511" i="14"/>
  <c r="C767" i="14"/>
  <c r="C36" i="14"/>
  <c r="C292" i="14"/>
  <c r="C548" i="14"/>
  <c r="C804" i="14"/>
  <c r="C273" i="14"/>
  <c r="C821" i="14"/>
  <c r="C345" i="14"/>
  <c r="C541" i="14"/>
  <c r="C622" i="14"/>
  <c r="C403" i="14"/>
  <c r="C520" i="14"/>
  <c r="C389" i="14"/>
  <c r="C338" i="14"/>
  <c r="C167" i="14"/>
  <c r="C716" i="14"/>
  <c r="C689" i="14"/>
  <c r="C653" i="14"/>
  <c r="C790" i="14"/>
  <c r="C315" i="14"/>
  <c r="C928" i="14"/>
  <c r="C293" i="14"/>
  <c r="C1002" i="14"/>
  <c r="C527" i="14"/>
  <c r="C884" i="14"/>
  <c r="C995" i="14"/>
  <c r="C776" i="14"/>
  <c r="C514" i="14"/>
  <c r="C231" i="14"/>
  <c r="C908" i="14"/>
  <c r="C213" i="14"/>
  <c r="C918" i="14"/>
  <c r="C443" i="14"/>
  <c r="C32" i="14"/>
  <c r="C992" i="14"/>
  <c r="C805" i="14"/>
  <c r="C106" i="14"/>
  <c r="C719" i="14"/>
  <c r="C244" i="14"/>
  <c r="C46" i="14"/>
  <c r="C382" i="14"/>
  <c r="C718" i="14"/>
  <c r="C243" i="14"/>
  <c r="C595" i="14"/>
  <c r="C931" i="14"/>
  <c r="C120" i="14"/>
  <c r="C456" i="14"/>
  <c r="C792" i="14"/>
  <c r="C1001" i="14"/>
  <c r="C349" i="14"/>
  <c r="C194" i="14"/>
  <c r="C530" i="14"/>
  <c r="C866" i="14"/>
  <c r="C55" i="14"/>
  <c r="C311" i="14"/>
  <c r="C567" i="14"/>
  <c r="C823" i="14"/>
  <c r="C92" i="14"/>
  <c r="C348" i="14"/>
  <c r="C604" i="14"/>
  <c r="C860" i="14"/>
  <c r="C497" i="14"/>
  <c r="C21" i="14"/>
  <c r="C569" i="14"/>
  <c r="C381" i="14"/>
  <c r="C166" i="14"/>
  <c r="C422" i="14"/>
  <c r="C678" i="14"/>
  <c r="C934" i="14"/>
  <c r="C203" i="14"/>
  <c r="C459" i="14"/>
  <c r="C715" i="14"/>
  <c r="C971" i="14"/>
  <c r="C240" i="14"/>
  <c r="C496" i="14"/>
  <c r="C752" i="14"/>
  <c r="C65" i="14"/>
  <c r="C613" i="14"/>
  <c r="C137" i="14"/>
  <c r="C58" i="14"/>
  <c r="C314" i="14"/>
  <c r="C570" i="14"/>
  <c r="C826" i="14"/>
  <c r="C95" i="14"/>
  <c r="C351" i="14"/>
  <c r="C607" i="14"/>
  <c r="C863" i="14"/>
  <c r="C132" i="14"/>
  <c r="C388" i="14"/>
  <c r="C644" i="14"/>
  <c r="C900" i="14"/>
  <c r="C657" i="14"/>
  <c r="C181" i="14"/>
  <c r="C729" i="14"/>
  <c r="C557" i="14"/>
  <c r="C952" i="14"/>
  <c r="C594" i="14"/>
  <c r="C359" i="14"/>
  <c r="C844" i="14"/>
  <c r="C685" i="14"/>
  <c r="C982" i="14"/>
  <c r="C507" i="14"/>
  <c r="C864" i="14"/>
  <c r="C37" i="14"/>
  <c r="C938" i="14"/>
  <c r="C463" i="14"/>
  <c r="C948" i="14"/>
  <c r="C629" i="14"/>
  <c r="C409" i="14"/>
  <c r="C665" i="14"/>
  <c r="C921" i="14"/>
  <c r="C542" i="14"/>
  <c r="C67" i="14"/>
  <c r="C616" i="14"/>
  <c r="C545" i="14"/>
  <c r="C573" i="14"/>
  <c r="C690" i="14"/>
  <c r="C238" i="14"/>
  <c r="C99" i="14"/>
  <c r="C711" i="14"/>
  <c r="C236" i="14"/>
  <c r="C121" i="14"/>
  <c r="C310" i="14"/>
  <c r="C859" i="14"/>
  <c r="C384" i="14"/>
  <c r="C713" i="14"/>
  <c r="C458" i="14"/>
  <c r="C815" i="14"/>
  <c r="C84" i="14"/>
  <c r="C340" i="14"/>
  <c r="C596" i="14"/>
  <c r="C852" i="14"/>
  <c r="C465" i="14"/>
  <c r="C537" i="14"/>
  <c r="C253" i="14"/>
  <c r="C702" i="14"/>
  <c r="C563" i="14"/>
  <c r="C344" i="14"/>
  <c r="C865" i="14"/>
  <c r="C82" i="14"/>
  <c r="C524" i="14"/>
  <c r="C177" i="14"/>
  <c r="C598" i="14"/>
  <c r="C123" i="14"/>
  <c r="C736" i="14"/>
  <c r="C973" i="14"/>
  <c r="C810" i="14"/>
  <c r="C399" i="14"/>
  <c r="C52" i="14"/>
  <c r="C334" i="14"/>
  <c r="C686" i="14"/>
  <c r="C211" i="14"/>
  <c r="C547" i="14"/>
  <c r="C883" i="14"/>
  <c r="C72" i="14"/>
  <c r="C408" i="14"/>
  <c r="C760" i="14"/>
  <c r="C965" i="14"/>
  <c r="C809" i="14"/>
  <c r="C146" i="14"/>
  <c r="C482" i="14"/>
  <c r="C834" i="14"/>
  <c r="C7" i="14"/>
  <c r="C279" i="14"/>
  <c r="C535" i="14"/>
  <c r="C791" i="14"/>
  <c r="C60" i="14"/>
  <c r="C316" i="14"/>
  <c r="C572" i="14"/>
  <c r="C828" i="14"/>
  <c r="C369" i="14"/>
  <c r="C917" i="14"/>
  <c r="C441" i="14"/>
  <c r="C925" i="14"/>
  <c r="C134" i="14"/>
  <c r="C390" i="14"/>
  <c r="C646" i="14"/>
  <c r="C902" i="14"/>
  <c r="C171" i="14"/>
  <c r="C427" i="14"/>
  <c r="C683" i="14"/>
  <c r="C939" i="14"/>
  <c r="C208" i="14"/>
  <c r="C464" i="14"/>
  <c r="C720" i="14"/>
  <c r="C976" i="14"/>
  <c r="C961" i="14"/>
  <c r="C485" i="14"/>
  <c r="C9" i="14"/>
  <c r="C717" i="14"/>
  <c r="C26" i="14"/>
  <c r="C282" i="14"/>
  <c r="C538" i="14"/>
  <c r="C794" i="14"/>
  <c r="C63" i="14"/>
  <c r="C319" i="14"/>
  <c r="C575" i="14"/>
  <c r="C831" i="14"/>
  <c r="C100" i="14"/>
  <c r="C356" i="14"/>
  <c r="C612" i="14"/>
  <c r="C868" i="14"/>
  <c r="C529" i="14"/>
  <c r="C53" i="14"/>
  <c r="C601" i="14"/>
  <c r="C509" i="14"/>
  <c r="C45" i="14"/>
  <c r="C958" i="14"/>
  <c r="C819" i="14"/>
  <c r="C856" i="14"/>
  <c r="C233" i="14"/>
  <c r="C674" i="14"/>
  <c r="C423" i="14"/>
  <c r="C972" i="14"/>
  <c r="C469" i="14"/>
  <c r="C22" i="14"/>
  <c r="C571" i="14"/>
  <c r="C96" i="14"/>
  <c r="C170" i="14"/>
  <c r="C783" i="14"/>
  <c r="C180" i="14"/>
  <c r="C14" i="14"/>
  <c r="C937" i="14"/>
  <c r="C850" i="14"/>
  <c r="C487" i="14"/>
  <c r="C12" i="14"/>
  <c r="C150" i="14"/>
  <c r="C763" i="14"/>
  <c r="C288" i="14"/>
  <c r="C329" i="14"/>
  <c r="C362" i="14"/>
  <c r="C500" i="14"/>
  <c r="C126" i="14"/>
  <c r="C462" i="14"/>
  <c r="C814" i="14"/>
  <c r="C339" i="14"/>
  <c r="C675" i="14"/>
  <c r="C200" i="14"/>
  <c r="C536" i="14"/>
  <c r="C888" i="14"/>
  <c r="C225" i="14"/>
  <c r="C133" i="14"/>
  <c r="C365" i="14"/>
  <c r="C274" i="14"/>
  <c r="C610" i="14"/>
  <c r="C962" i="14"/>
  <c r="C119" i="14"/>
  <c r="C375" i="14"/>
  <c r="C631" i="14"/>
  <c r="C887" i="14"/>
  <c r="C156" i="14"/>
  <c r="C412" i="14"/>
  <c r="C668" i="14"/>
  <c r="C924" i="14"/>
  <c r="C753" i="14"/>
  <c r="C277" i="14"/>
  <c r="C825" i="14"/>
  <c r="C941" i="14"/>
  <c r="C230" i="14"/>
  <c r="C486" i="14"/>
  <c r="C742" i="14"/>
  <c r="C998" i="14"/>
  <c r="C11" i="14"/>
  <c r="C267" i="14"/>
  <c r="C523" i="14"/>
  <c r="C779" i="14"/>
  <c r="C48" i="14"/>
  <c r="C304" i="14"/>
  <c r="C560" i="14"/>
  <c r="C816" i="14"/>
  <c r="C321" i="14"/>
  <c r="C869" i="14"/>
  <c r="C393" i="14"/>
  <c r="C733" i="14"/>
  <c r="C122" i="14"/>
  <c r="C378" i="14"/>
  <c r="C634" i="14"/>
  <c r="C890" i="14"/>
  <c r="C159" i="14"/>
  <c r="C415" i="14"/>
  <c r="C671" i="14"/>
  <c r="C927" i="14"/>
  <c r="C196" i="14"/>
  <c r="C452" i="14"/>
  <c r="C708" i="14"/>
  <c r="C964" i="14"/>
  <c r="C913" i="14"/>
  <c r="C437" i="14"/>
  <c r="C985" i="14"/>
  <c r="C525" i="14"/>
  <c r="C190" i="14"/>
  <c r="C147" i="14"/>
  <c r="C930" i="14"/>
  <c r="C615" i="14"/>
  <c r="C140" i="14"/>
  <c r="C981" i="14"/>
  <c r="C214" i="14"/>
  <c r="C699" i="14"/>
  <c r="C160" i="14"/>
  <c r="C234" i="14"/>
  <c r="C591" i="14"/>
  <c r="C116" i="14"/>
  <c r="C153" i="14"/>
  <c r="C337" i="14"/>
  <c r="C593" i="14"/>
  <c r="C765" i="14"/>
  <c r="C849" i="14"/>
  <c r="C269" i="14"/>
  <c r="C798" i="14"/>
  <c r="C323" i="14"/>
  <c r="C872" i="14"/>
  <c r="C69" i="14"/>
  <c r="C109" i="14"/>
  <c r="C946" i="14"/>
  <c r="C574" i="14"/>
  <c r="C435" i="14"/>
  <c r="C312" i="14"/>
  <c r="C673" i="14"/>
  <c r="C34" i="14"/>
  <c r="C967" i="14"/>
  <c r="C492" i="14"/>
  <c r="C49" i="14"/>
  <c r="C566" i="14"/>
  <c r="C91" i="14"/>
  <c r="C640" i="14"/>
  <c r="C641" i="14"/>
  <c r="C957" i="14"/>
  <c r="C714" i="14"/>
  <c r="C239" i="14"/>
  <c r="C879" i="14"/>
  <c r="C148" i="14"/>
  <c r="C404" i="14"/>
  <c r="C660" i="14"/>
  <c r="C916" i="14"/>
  <c r="C721" i="14"/>
  <c r="C245" i="14"/>
  <c r="C793" i="14"/>
  <c r="C813" i="14"/>
  <c r="C915" i="14"/>
  <c r="C696" i="14"/>
  <c r="C709" i="14"/>
  <c r="C418" i="14"/>
  <c r="C295" i="14"/>
  <c r="C780" i="14"/>
  <c r="C157" i="14"/>
  <c r="C854" i="14"/>
  <c r="C379" i="14"/>
  <c r="C549" i="14"/>
  <c r="C42" i="14"/>
  <c r="C655" i="14"/>
  <c r="C308" i="14"/>
  <c r="C78" i="14"/>
  <c r="C430" i="14"/>
  <c r="C766" i="14"/>
  <c r="C291" i="14"/>
  <c r="C627" i="14"/>
  <c r="C979" i="14"/>
  <c r="C152" i="14"/>
  <c r="C504" i="14"/>
  <c r="C840" i="14"/>
  <c r="C97" i="14"/>
  <c r="C226" i="14"/>
  <c r="C578" i="14"/>
  <c r="C914" i="14"/>
  <c r="C87" i="14"/>
  <c r="C343" i="14"/>
  <c r="C599" i="14"/>
  <c r="C855" i="14"/>
  <c r="C124" i="14"/>
  <c r="C380" i="14"/>
  <c r="C636" i="14"/>
  <c r="C892" i="14"/>
  <c r="C625" i="14"/>
  <c r="C149" i="14"/>
  <c r="C697" i="14"/>
  <c r="C893" i="14"/>
  <c r="C429" i="14"/>
  <c r="C198" i="14"/>
  <c r="C454" i="14"/>
  <c r="C710" i="14"/>
  <c r="C966" i="14"/>
  <c r="C235" i="14"/>
  <c r="C491" i="14"/>
  <c r="C747" i="14"/>
  <c r="C1003" i="14"/>
  <c r="C16" i="14"/>
  <c r="C272" i="14"/>
  <c r="C528" i="14"/>
  <c r="C784" i="14"/>
  <c r="C193" i="14"/>
  <c r="C741" i="14"/>
  <c r="C265" i="14"/>
  <c r="C221" i="14"/>
  <c r="C90" i="14"/>
  <c r="C346" i="14"/>
  <c r="C602" i="14"/>
  <c r="C858" i="14"/>
  <c r="C127" i="14"/>
  <c r="C383" i="14"/>
  <c r="C639" i="14"/>
  <c r="C895" i="14"/>
  <c r="C164" i="14"/>
  <c r="C420" i="14"/>
  <c r="C676" i="14"/>
  <c r="C932" i="14"/>
  <c r="C785" i="14"/>
  <c r="C309" i="14"/>
  <c r="C857" i="14"/>
  <c r="C13" i="14"/>
  <c r="C317" i="14"/>
  <c r="C679" i="14"/>
  <c r="C204" i="14"/>
  <c r="C278" i="14"/>
  <c r="C827" i="14"/>
  <c r="C352" i="14"/>
  <c r="C841" i="14"/>
  <c r="C426" i="14"/>
  <c r="C15" i="14"/>
  <c r="C975" i="14"/>
  <c r="C436" i="14"/>
  <c r="C446" i="14"/>
  <c r="C307" i="14"/>
  <c r="C88" i="14"/>
  <c r="C93" i="14"/>
  <c r="C743" i="14"/>
  <c r="C268" i="14"/>
  <c r="C761" i="14"/>
  <c r="C406" i="14"/>
  <c r="C544" i="14"/>
  <c r="C618" i="14"/>
  <c r="C79" i="14"/>
  <c r="C756" i="14"/>
  <c r="C206" i="14"/>
  <c r="C558" i="14"/>
  <c r="C894" i="14"/>
  <c r="C83" i="14"/>
  <c r="C419" i="14"/>
  <c r="C755" i="14"/>
  <c r="C280" i="14"/>
  <c r="C632" i="14"/>
  <c r="C968" i="14"/>
  <c r="C609" i="14"/>
  <c r="C453" i="14"/>
  <c r="C297" i="14"/>
  <c r="C829" i="14"/>
  <c r="C18" i="14"/>
  <c r="C354" i="14"/>
  <c r="C706" i="14"/>
  <c r="C183" i="14"/>
  <c r="C439" i="14"/>
  <c r="C695" i="14"/>
  <c r="C951" i="14"/>
  <c r="C220" i="14"/>
  <c r="C476" i="14"/>
  <c r="C732" i="14"/>
  <c r="C988" i="14"/>
  <c r="C533" i="14"/>
  <c r="C57" i="14"/>
  <c r="C909" i="14"/>
  <c r="C38" i="14"/>
  <c r="C294" i="14"/>
  <c r="C550" i="14"/>
  <c r="C806" i="14"/>
  <c r="C75" i="14"/>
  <c r="C331" i="14"/>
  <c r="C587" i="14"/>
  <c r="C843" i="14"/>
  <c r="C112" i="14"/>
  <c r="C368" i="14"/>
  <c r="C624" i="14"/>
  <c r="C880" i="14"/>
  <c r="C577" i="14"/>
  <c r="C101" i="14"/>
  <c r="C649" i="14"/>
  <c r="C701" i="14"/>
  <c r="C237" i="14"/>
  <c r="C186" i="14"/>
  <c r="C442" i="14"/>
  <c r="C698" i="14"/>
  <c r="C954" i="14"/>
  <c r="C223" i="14"/>
  <c r="C479" i="14"/>
  <c r="C735" i="14"/>
  <c r="C991" i="14"/>
  <c r="C260" i="14"/>
  <c r="C516" i="14"/>
  <c r="C772" i="14"/>
  <c r="C145" i="14"/>
  <c r="C693" i="14"/>
  <c r="C217" i="14"/>
  <c r="C29" i="14"/>
  <c r="C526" i="14"/>
  <c r="C483" i="14"/>
  <c r="C264" i="14"/>
  <c r="C481" i="14"/>
  <c r="C871" i="14"/>
  <c r="C396" i="14"/>
  <c r="C505" i="14"/>
  <c r="C534" i="14"/>
  <c r="C955" i="14"/>
  <c r="C416" i="14"/>
  <c r="C585" i="14"/>
  <c r="C490" i="14"/>
  <c r="C847" i="14"/>
  <c r="C372" i="14"/>
  <c r="C81" i="14"/>
  <c r="C797" i="14"/>
  <c r="C117" i="14"/>
  <c r="C301" i="14"/>
  <c r="C373" i="14"/>
  <c r="E1039" i="14"/>
  <c r="E1040" i="14" s="1"/>
  <c r="G525" i="14"/>
  <c r="N525" i="14" s="1"/>
  <c r="I298" i="14"/>
  <c r="I967" i="14"/>
  <c r="G256" i="14"/>
  <c r="N256" i="14" s="1"/>
  <c r="G277" i="14"/>
  <c r="N277" i="14" s="1"/>
  <c r="G154" i="14"/>
  <c r="N154" i="14" s="1"/>
  <c r="E677" i="14"/>
  <c r="I578" i="14"/>
  <c r="I268" i="14"/>
  <c r="G569" i="14"/>
  <c r="N569" i="14" s="1"/>
  <c r="I166" i="14"/>
  <c r="E955" i="14"/>
  <c r="I971" i="14"/>
  <c r="I517" i="14"/>
  <c r="I203" i="14"/>
  <c r="I865" i="14"/>
  <c r="I630" i="14"/>
  <c r="I745" i="14"/>
  <c r="E302" i="14"/>
  <c r="E930" i="14"/>
  <c r="G141" i="14"/>
  <c r="N141" i="14" s="1"/>
  <c r="E687" i="14"/>
  <c r="G986" i="14"/>
  <c r="N986" i="14" s="1"/>
  <c r="I411" i="14"/>
  <c r="G988" i="14"/>
  <c r="N988" i="14" s="1"/>
  <c r="I519" i="14"/>
  <c r="I293" i="14"/>
  <c r="G675" i="14"/>
  <c r="N675" i="14" s="1"/>
  <c r="G329" i="14"/>
  <c r="N329" i="14" s="1"/>
  <c r="I403" i="14"/>
  <c r="I889" i="14"/>
  <c r="I941" i="14"/>
  <c r="E230" i="14"/>
  <c r="I400" i="14"/>
  <c r="I213" i="14"/>
  <c r="I736" i="14"/>
  <c r="I308" i="14"/>
  <c r="E694" i="14"/>
  <c r="G680" i="14"/>
  <c r="N680" i="14" s="1"/>
  <c r="G568" i="14"/>
  <c r="N568" i="14" s="1"/>
  <c r="E681" i="14"/>
  <c r="G510" i="14"/>
  <c r="N510" i="14" s="1"/>
  <c r="G204" i="14"/>
  <c r="N204" i="14" s="1"/>
  <c r="G587" i="14"/>
  <c r="N587" i="14" s="1"/>
  <c r="E847" i="14"/>
  <c r="G591" i="14"/>
  <c r="N591" i="14" s="1"/>
  <c r="E217" i="14"/>
  <c r="E281" i="14"/>
  <c r="I184" i="14"/>
  <c r="I463" i="14"/>
  <c r="I986" i="14"/>
  <c r="E476" i="14"/>
  <c r="I494" i="14"/>
  <c r="G92" i="14"/>
  <c r="N92" i="14" s="1"/>
  <c r="G880" i="14"/>
  <c r="N880" i="14" s="1"/>
  <c r="E897" i="14"/>
  <c r="G789" i="14"/>
  <c r="N789" i="14" s="1"/>
  <c r="G17" i="14"/>
  <c r="N17" i="14" s="1"/>
  <c r="I854" i="14"/>
  <c r="E322" i="14"/>
  <c r="E96" i="14"/>
  <c r="G850" i="14"/>
  <c r="N850" i="14" s="1"/>
  <c r="E139" i="14"/>
  <c r="G372" i="14"/>
  <c r="N372" i="14" s="1"/>
  <c r="I330" i="14"/>
  <c r="G288" i="14"/>
  <c r="N288" i="14" s="1"/>
  <c r="E163" i="14"/>
  <c r="G774" i="14"/>
  <c r="N774" i="14" s="1"/>
  <c r="E440" i="14"/>
  <c r="I719" i="14"/>
  <c r="E732" i="14"/>
  <c r="I750" i="14"/>
  <c r="E348" i="14"/>
  <c r="G552" i="14"/>
  <c r="N552" i="14" s="1"/>
  <c r="I453" i="14"/>
  <c r="E592" i="14"/>
  <c r="E529" i="14"/>
  <c r="I16" i="14"/>
  <c r="G578" i="14"/>
  <c r="N578" i="14" s="1"/>
  <c r="E352" i="14"/>
  <c r="E9" i="14"/>
  <c r="E395" i="14"/>
  <c r="G403" i="14"/>
  <c r="N403" i="14" s="1"/>
  <c r="E270" i="14"/>
  <c r="E919" i="14"/>
  <c r="G777" i="14"/>
  <c r="N777" i="14" s="1"/>
  <c r="I25" i="14"/>
  <c r="E56" i="14"/>
  <c r="I335" i="14"/>
  <c r="G858" i="14"/>
  <c r="N858" i="14" s="1"/>
  <c r="I244" i="14"/>
  <c r="I366" i="14"/>
  <c r="E752" i="14"/>
  <c r="E769" i="14"/>
  <c r="G435" i="14"/>
  <c r="N435" i="14" s="1"/>
  <c r="G275" i="14"/>
  <c r="N275" i="14" s="1"/>
  <c r="I1004" i="14"/>
  <c r="G879" i="14"/>
  <c r="N879" i="14" s="1"/>
  <c r="G693" i="14"/>
  <c r="N693" i="14" s="1"/>
  <c r="I705" i="14"/>
  <c r="E873" i="14"/>
  <c r="I470" i="14"/>
  <c r="I783" i="14"/>
  <c r="I8" i="14"/>
  <c r="I194" i="14"/>
  <c r="I528" i="14"/>
  <c r="E621" i="14"/>
  <c r="I236" i="14"/>
  <c r="G776" i="14"/>
  <c r="N776" i="14" s="1"/>
  <c r="I82" i="14"/>
  <c r="E657" i="14"/>
  <c r="G189" i="14"/>
  <c r="N189" i="14" s="1"/>
  <c r="I863" i="14"/>
  <c r="G970" i="14"/>
  <c r="N970" i="14" s="1"/>
  <c r="I379" i="14"/>
  <c r="I761" i="14"/>
  <c r="I76" i="14"/>
  <c r="G138" i="14"/>
  <c r="N138" i="14" s="1"/>
  <c r="I661" i="14"/>
  <c r="I233" i="14"/>
  <c r="I619" i="14"/>
  <c r="G387" i="14"/>
  <c r="N387" i="14" s="1"/>
  <c r="I237" i="14"/>
  <c r="G602" i="14"/>
  <c r="N602" i="14" s="1"/>
  <c r="G615" i="14"/>
  <c r="N615" i="14" s="1"/>
  <c r="I7" i="14"/>
  <c r="G98" i="14"/>
  <c r="N98" i="14" s="1"/>
  <c r="E522" i="14"/>
  <c r="E326" i="14"/>
  <c r="G477" i="14"/>
  <c r="N477" i="14" s="1"/>
  <c r="G873" i="14"/>
  <c r="N873" i="14" s="1"/>
  <c r="G913" i="14"/>
  <c r="N913" i="14" s="1"/>
  <c r="I445" i="14"/>
  <c r="I218" i="14"/>
  <c r="G734" i="14"/>
  <c r="N734" i="14" s="1"/>
  <c r="I823" i="14"/>
  <c r="G112" i="14"/>
  <c r="N112" i="14" s="1"/>
  <c r="E197" i="14"/>
  <c r="G661" i="14"/>
  <c r="N661" i="14" s="1"/>
  <c r="I359" i="14"/>
  <c r="G394" i="14"/>
  <c r="N394" i="14" s="1"/>
  <c r="E917" i="14"/>
  <c r="G361" i="14"/>
  <c r="N361" i="14" s="1"/>
  <c r="I489" i="14"/>
  <c r="I86" i="14"/>
  <c r="E875" i="14"/>
  <c r="I827" i="14"/>
  <c r="I178" i="14"/>
  <c r="E214" i="14"/>
  <c r="G871" i="14"/>
  <c r="N871" i="14" s="1"/>
  <c r="E745" i="14"/>
  <c r="G926" i="14"/>
  <c r="N926" i="14" s="1"/>
  <c r="E189" i="14"/>
  <c r="E478" i="14"/>
  <c r="I932" i="14"/>
  <c r="G529" i="14"/>
  <c r="N529" i="14" s="1"/>
  <c r="E61" i="14"/>
  <c r="G388" i="14"/>
  <c r="N388" i="14" s="1"/>
  <c r="E842" i="14"/>
  <c r="I123" i="14"/>
  <c r="G908" i="14"/>
  <c r="N908" i="14" s="1"/>
  <c r="G846" i="14"/>
  <c r="N846" i="14" s="1"/>
  <c r="G744" i="14"/>
  <c r="N744" i="14" s="1"/>
  <c r="E579" i="14"/>
  <c r="G418" i="14"/>
  <c r="N418" i="14" s="1"/>
  <c r="E192" i="14"/>
  <c r="E521" i="14"/>
  <c r="G946" i="14"/>
  <c r="N946" i="14" s="1"/>
  <c r="G235" i="14"/>
  <c r="N235" i="14" s="1"/>
  <c r="I256" i="14"/>
  <c r="G133" i="14"/>
  <c r="N133" i="14" s="1"/>
  <c r="E656" i="14"/>
  <c r="I994" i="14"/>
  <c r="E493" i="14"/>
  <c r="I204" i="14"/>
  <c r="E766" i="14"/>
  <c r="E507" i="14"/>
  <c r="G533" i="14"/>
  <c r="N533" i="14" s="1"/>
  <c r="E451" i="14"/>
  <c r="I841" i="14"/>
  <c r="G36" i="14"/>
  <c r="N36" i="14" s="1"/>
  <c r="E422" i="14"/>
  <c r="I121" i="14"/>
  <c r="I104" i="14"/>
  <c r="I319" i="14"/>
  <c r="G842" i="14"/>
  <c r="N842" i="14" s="1"/>
  <c r="I212" i="14"/>
  <c r="G414" i="14"/>
  <c r="N414" i="14" s="1"/>
  <c r="E12" i="14"/>
  <c r="G800" i="14"/>
  <c r="N800" i="14" s="1"/>
  <c r="E675" i="14"/>
  <c r="G662" i="14"/>
  <c r="N662" i="14" s="1"/>
  <c r="E108" i="14"/>
  <c r="I710" i="14"/>
  <c r="I327" i="14"/>
  <c r="I101" i="14"/>
  <c r="G483" i="14"/>
  <c r="N483" i="14" s="1"/>
  <c r="E858" i="14"/>
  <c r="G486" i="14"/>
  <c r="N486" i="14" s="1"/>
  <c r="I799" i="14"/>
  <c r="G865" i="14"/>
  <c r="N865" i="14" s="1"/>
  <c r="G717" i="14"/>
  <c r="N717" i="14" s="1"/>
  <c r="E333" i="14"/>
  <c r="G46" i="14"/>
  <c r="N46" i="14" s="1"/>
  <c r="I431" i="14"/>
  <c r="E436" i="14"/>
  <c r="I185" i="14"/>
  <c r="E111" i="14"/>
  <c r="E575" i="14"/>
  <c r="E891" i="14"/>
  <c r="E629" i="14"/>
  <c r="I31" i="14"/>
  <c r="G584" i="14"/>
  <c r="N584" i="14" s="1"/>
  <c r="I26" i="14"/>
  <c r="I138" i="14"/>
  <c r="E229" i="14"/>
  <c r="G96" i="14"/>
  <c r="N96" i="14" s="1"/>
  <c r="E162" i="14"/>
  <c r="I963" i="14"/>
  <c r="I778" i="14"/>
  <c r="G771" i="14"/>
  <c r="N771" i="14" s="1"/>
  <c r="I462" i="14"/>
  <c r="G848" i="14"/>
  <c r="N848" i="14" s="1"/>
  <c r="E776" i="14"/>
  <c r="E841" i="14"/>
  <c r="E64" i="14"/>
  <c r="E22" i="14"/>
  <c r="E528" i="14"/>
  <c r="I909" i="14"/>
  <c r="E511" i="14"/>
  <c r="E723" i="14"/>
  <c r="E863" i="14"/>
  <c r="G660" i="14"/>
  <c r="N660" i="14" s="1"/>
  <c r="E164" i="14"/>
  <c r="I141" i="14"/>
  <c r="E340" i="14"/>
  <c r="I232" i="14"/>
  <c r="G452" i="14"/>
  <c r="N452" i="14" s="1"/>
  <c r="E344" i="14"/>
  <c r="I542" i="14"/>
  <c r="E605" i="14"/>
  <c r="I28" i="14"/>
  <c r="E803" i="14"/>
  <c r="I964" i="14"/>
  <c r="E439" i="14"/>
  <c r="G54" i="14"/>
  <c r="N54" i="14" s="1"/>
  <c r="E97" i="14"/>
  <c r="I812" i="14"/>
  <c r="I894" i="14"/>
  <c r="G492" i="14"/>
  <c r="N492" i="14" s="1"/>
  <c r="I805" i="14"/>
  <c r="E49" i="14"/>
  <c r="G126" i="14"/>
  <c r="N126" i="14" s="1"/>
  <c r="I215" i="14"/>
  <c r="I96" i="14"/>
  <c r="G722" i="14"/>
  <c r="N722" i="14" s="1"/>
  <c r="E496" i="14"/>
  <c r="I354" i="14"/>
  <c r="E390" i="14"/>
  <c r="G227" i="14"/>
  <c r="N227" i="14" s="1"/>
  <c r="I157" i="14"/>
  <c r="E559" i="14"/>
  <c r="E722" i="14"/>
  <c r="I601" i="14"/>
  <c r="I415" i="14"/>
  <c r="I938" i="14"/>
  <c r="I404" i="14"/>
  <c r="I510" i="14"/>
  <c r="G108" i="14"/>
  <c r="N108" i="14" s="1"/>
  <c r="G896" i="14"/>
  <c r="N896" i="14" s="1"/>
  <c r="E849" i="14"/>
  <c r="E520" i="14"/>
  <c r="G86" i="14"/>
  <c r="N86" i="14" s="1"/>
  <c r="G807" i="14"/>
  <c r="N807" i="14" s="1"/>
  <c r="G681" i="14"/>
  <c r="N681" i="14" s="1"/>
  <c r="E585" i="14"/>
  <c r="E414" i="14"/>
  <c r="E868" i="14"/>
  <c r="G465" i="14"/>
  <c r="N465" i="14" s="1"/>
  <c r="G82" i="14"/>
  <c r="N82" i="14" s="1"/>
  <c r="E463" i="14"/>
  <c r="G863" i="14"/>
  <c r="N863" i="14" s="1"/>
  <c r="G166" i="14"/>
  <c r="N166" i="14" s="1"/>
  <c r="E929" i="14"/>
  <c r="I850" i="14"/>
  <c r="I600" i="14"/>
  <c r="G495" i="14"/>
  <c r="N495" i="14" s="1"/>
  <c r="I344" i="14"/>
  <c r="E269" i="14"/>
  <c r="I42" i="14"/>
  <c r="I667" i="14"/>
  <c r="G21" i="14"/>
  <c r="N21" i="14" s="1"/>
  <c r="I647" i="14"/>
  <c r="E421" i="14"/>
  <c r="G56" i="14"/>
  <c r="N56" i="14" s="1"/>
  <c r="G803" i="14"/>
  <c r="N803" i="14" s="1"/>
  <c r="G488" i="14"/>
  <c r="N488" i="14" s="1"/>
  <c r="I313" i="14"/>
  <c r="I699" i="14"/>
  <c r="I675" i="14"/>
  <c r="E381" i="14"/>
  <c r="E597" i="14"/>
  <c r="I609" i="14"/>
  <c r="I777" i="14"/>
  <c r="I374" i="14"/>
  <c r="E691" i="14"/>
  <c r="G75" i="14"/>
  <c r="N75" i="14" s="1"/>
  <c r="G701" i="14"/>
  <c r="N701" i="14" s="1"/>
  <c r="I269" i="14"/>
  <c r="I14" i="14"/>
  <c r="E154" i="14"/>
  <c r="G756" i="14"/>
  <c r="N756" i="14" s="1"/>
  <c r="G745" i="14"/>
  <c r="N745" i="14" s="1"/>
  <c r="G939" i="14"/>
  <c r="N939" i="14" s="1"/>
  <c r="E140" i="14"/>
  <c r="G889" i="14"/>
  <c r="N889" i="14" s="1"/>
  <c r="E131" i="14"/>
  <c r="I36" i="14"/>
  <c r="E703" i="14"/>
  <c r="E799" i="14"/>
  <c r="E672" i="14"/>
  <c r="I413" i="14"/>
  <c r="G232" i="14"/>
  <c r="N232" i="14" s="1"/>
  <c r="G63" i="14"/>
  <c r="N63" i="14" s="1"/>
  <c r="G797" i="14"/>
  <c r="N797" i="14" s="1"/>
  <c r="I137" i="14"/>
  <c r="E29" i="14"/>
  <c r="I398" i="14"/>
  <c r="G473" i="14"/>
  <c r="N473" i="14" s="1"/>
  <c r="G843" i="14"/>
  <c r="N843" i="14" s="1"/>
  <c r="I742" i="14"/>
  <c r="G48" i="14"/>
  <c r="N48" i="14" s="1"/>
  <c r="I188" i="14"/>
  <c r="I223" i="14"/>
  <c r="G558" i="14"/>
  <c r="N558" i="14" s="1"/>
  <c r="I687" i="14"/>
  <c r="E700" i="14"/>
  <c r="G489" i="14"/>
  <c r="N489" i="14" s="1"/>
  <c r="E651" i="14"/>
  <c r="G8" i="14"/>
  <c r="N8" i="14" s="1"/>
  <c r="E76" i="14"/>
  <c r="G971" i="14"/>
  <c r="N971" i="14" s="1"/>
  <c r="I55" i="14"/>
  <c r="G878" i="14"/>
  <c r="N878" i="14" s="1"/>
  <c r="I378" i="14"/>
  <c r="E670" i="14"/>
  <c r="I879" i="14"/>
  <c r="G881" i="14"/>
  <c r="N881" i="14" s="1"/>
  <c r="I653" i="14"/>
  <c r="E638" i="14"/>
  <c r="E282" i="14"/>
  <c r="G147" i="14"/>
  <c r="N147" i="14" s="1"/>
  <c r="G259" i="14"/>
  <c r="N259" i="14" s="1"/>
  <c r="E349" i="14"/>
  <c r="E718" i="14"/>
  <c r="E730" i="14"/>
  <c r="I607" i="14"/>
  <c r="I235" i="14"/>
  <c r="G459" i="14"/>
  <c r="N459" i="14" s="1"/>
  <c r="E641" i="14"/>
  <c r="E30" i="14"/>
  <c r="G251" i="14"/>
  <c r="N251" i="14" s="1"/>
  <c r="E717" i="14"/>
  <c r="I857" i="14"/>
  <c r="E426" i="14"/>
  <c r="I492" i="14"/>
  <c r="E341" i="14"/>
  <c r="G432" i="14"/>
  <c r="N432" i="14" s="1"/>
  <c r="G544" i="14"/>
  <c r="N544" i="14" s="1"/>
  <c r="G720" i="14"/>
  <c r="N720" i="14" s="1"/>
  <c r="G572" i="14"/>
  <c r="N572" i="14" s="1"/>
  <c r="E721" i="14"/>
  <c r="I982" i="14"/>
  <c r="G781" i="14"/>
  <c r="N781" i="14" s="1"/>
  <c r="I56" i="14"/>
  <c r="G941" i="14"/>
  <c r="N941" i="14" s="1"/>
  <c r="I291" i="14"/>
  <c r="E405" i="14"/>
  <c r="G383" i="14"/>
  <c r="N383" i="14" s="1"/>
  <c r="G97" i="14"/>
  <c r="N97" i="14" s="1"/>
  <c r="I193" i="14"/>
  <c r="E565" i="14"/>
  <c r="G27" i="14"/>
  <c r="N27" i="14" s="1"/>
  <c r="E413" i="14"/>
  <c r="G478" i="14"/>
  <c r="N478" i="14" s="1"/>
  <c r="I748" i="14"/>
  <c r="I509" i="14"/>
  <c r="G512" i="14"/>
  <c r="N512" i="14" s="1"/>
  <c r="E379" i="14"/>
  <c r="G688" i="14"/>
  <c r="N688" i="14" s="1"/>
  <c r="E470" i="14"/>
  <c r="E800" i="14"/>
  <c r="G582" i="14"/>
  <c r="N582" i="14" s="1"/>
  <c r="G890" i="14"/>
  <c r="N890" i="14" s="1"/>
  <c r="E758" i="14"/>
  <c r="I828" i="14"/>
  <c r="G643" i="14"/>
  <c r="N643" i="14" s="1"/>
  <c r="G136" i="14"/>
  <c r="N136" i="14" s="1"/>
  <c r="G750" i="14"/>
  <c r="N750" i="14" s="1"/>
  <c r="G535" i="14"/>
  <c r="N535" i="14" s="1"/>
  <c r="I929" i="14"/>
  <c r="E796" i="14"/>
  <c r="G823" i="14"/>
  <c r="N823" i="14" s="1"/>
  <c r="G999" i="14"/>
  <c r="N999" i="14" s="1"/>
  <c r="G861" i="14"/>
  <c r="N861" i="14" s="1"/>
  <c r="I944" i="14"/>
  <c r="E174" i="14"/>
  <c r="G13" i="14"/>
  <c r="N13" i="14" s="1"/>
  <c r="I392" i="14"/>
  <c r="G684" i="14"/>
  <c r="N684" i="14" s="1"/>
  <c r="I1001" i="14"/>
  <c r="E226" i="14"/>
  <c r="G429" i="14"/>
  <c r="N429" i="14" s="1"/>
  <c r="G989" i="14"/>
  <c r="N989" i="14" s="1"/>
  <c r="E709" i="14"/>
  <c r="G912" i="14"/>
  <c r="N912" i="14" s="1"/>
  <c r="I562" i="14"/>
  <c r="G29" i="14"/>
  <c r="N29" i="14" s="1"/>
  <c r="E286" i="14"/>
  <c r="E69" i="14"/>
  <c r="G718" i="14"/>
  <c r="N718" i="14" s="1"/>
  <c r="E515" i="14"/>
  <c r="E244" i="14"/>
  <c r="E321" i="14"/>
  <c r="I164" i="14"/>
  <c r="E688" i="14"/>
  <c r="G179" i="14"/>
  <c r="N179" i="14" s="1"/>
  <c r="G613" i="14"/>
  <c r="N613" i="14" s="1"/>
  <c r="G299" i="14"/>
  <c r="N299" i="14" s="1"/>
  <c r="E431" i="14"/>
  <c r="E350" i="14"/>
  <c r="E328" i="14"/>
  <c r="I531" i="14"/>
  <c r="E132" i="14"/>
  <c r="G233" i="14"/>
  <c r="N233" i="14" s="1"/>
  <c r="E974" i="14"/>
  <c r="E818" i="14"/>
  <c r="E764" i="14"/>
  <c r="I316" i="14"/>
  <c r="I800" i="14"/>
  <c r="E740" i="14"/>
  <c r="E738" i="14"/>
  <c r="E580" i="14"/>
  <c r="E844" i="14"/>
  <c r="E622" i="14"/>
  <c r="G358" i="14"/>
  <c r="N358" i="14" s="1"/>
  <c r="G493" i="14"/>
  <c r="N493" i="14" s="1"/>
  <c r="E558" i="14"/>
  <c r="G123" i="14"/>
  <c r="N123" i="14" s="1"/>
  <c r="G149" i="14"/>
  <c r="N149" i="14" s="1"/>
  <c r="E325" i="14"/>
  <c r="I659" i="14"/>
  <c r="E659" i="14"/>
  <c r="E383" i="14"/>
  <c r="G77" i="14"/>
  <c r="N77" i="14" s="1"/>
  <c r="I253" i="14"/>
  <c r="I365" i="14"/>
  <c r="I946" i="14"/>
  <c r="G824" i="14"/>
  <c r="N824" i="14" s="1"/>
  <c r="I238" i="14"/>
  <c r="E307" i="14"/>
  <c r="G310" i="14"/>
  <c r="N310" i="14" s="1"/>
  <c r="I598" i="14"/>
  <c r="G997" i="14"/>
  <c r="N997" i="14" s="1"/>
  <c r="I916" i="14"/>
  <c r="E498" i="14"/>
  <c r="G55" i="14"/>
  <c r="N55" i="14" s="1"/>
  <c r="I231" i="14"/>
  <c r="G343" i="14"/>
  <c r="N343" i="14" s="1"/>
  <c r="G434" i="14"/>
  <c r="N434" i="14" s="1"/>
  <c r="E599" i="14"/>
  <c r="G362" i="14"/>
  <c r="N362" i="14" s="1"/>
  <c r="G144" i="14"/>
  <c r="N144" i="14" s="1"/>
  <c r="E624" i="14"/>
  <c r="I406" i="14"/>
  <c r="G650" i="14"/>
  <c r="N650" i="14" s="1"/>
  <c r="E518" i="14"/>
  <c r="I826" i="14"/>
  <c r="I608" i="14"/>
  <c r="G764" i="14"/>
  <c r="N764" i="14" s="1"/>
  <c r="I557" i="14"/>
  <c r="E804" i="14"/>
  <c r="I113" i="14"/>
  <c r="I405" i="14"/>
  <c r="E363" i="14"/>
  <c r="I869" i="14"/>
  <c r="I979" i="14"/>
  <c r="E457" i="14"/>
  <c r="G420" i="14"/>
  <c r="N420" i="14" s="1"/>
  <c r="E312" i="14"/>
  <c r="G596" i="14"/>
  <c r="N596" i="14" s="1"/>
  <c r="I50" i="14"/>
  <c r="E334" i="14"/>
  <c r="G425" i="14"/>
  <c r="N425" i="14" s="1"/>
  <c r="G467" i="14"/>
  <c r="N467" i="14" s="1"/>
  <c r="G297" i="14"/>
  <c r="N297" i="14" s="1"/>
  <c r="G551" i="14"/>
  <c r="N551" i="14" s="1"/>
  <c r="G612" i="14"/>
  <c r="N612" i="14" s="1"/>
  <c r="E788" i="14"/>
  <c r="G900" i="14"/>
  <c r="N900" i="14" s="1"/>
  <c r="G972" i="14"/>
  <c r="N972" i="14" s="1"/>
  <c r="G50" i="14"/>
  <c r="N50" i="14" s="1"/>
  <c r="E102" i="14"/>
  <c r="I522" i="14"/>
  <c r="E566" i="14"/>
  <c r="E429" i="14"/>
  <c r="E744" i="14"/>
  <c r="G834" i="14"/>
  <c r="N834" i="14" s="1"/>
  <c r="G749" i="14"/>
  <c r="N749" i="14" s="1"/>
  <c r="E877" i="14"/>
  <c r="G163" i="14"/>
  <c r="N163" i="14" s="1"/>
  <c r="I446" i="14"/>
  <c r="I424" i="14"/>
  <c r="I558" i="14"/>
  <c r="G451" i="14"/>
  <c r="N451" i="14" s="1"/>
  <c r="I734" i="14"/>
  <c r="G475" i="14"/>
  <c r="N475" i="14" s="1"/>
  <c r="E135" i="14"/>
  <c r="E995" i="14"/>
  <c r="I73" i="14"/>
  <c r="E631" i="14"/>
  <c r="I389" i="14"/>
  <c r="E283" i="14"/>
  <c r="I530" i="14"/>
  <c r="I565" i="14"/>
  <c r="I577" i="14"/>
  <c r="G257" i="14"/>
  <c r="N257" i="14" s="1"/>
  <c r="G998" i="14"/>
  <c r="N998" i="14" s="1"/>
  <c r="I555" i="14"/>
  <c r="I660" i="14"/>
  <c r="E234" i="14"/>
  <c r="E242" i="14"/>
  <c r="G996" i="14"/>
  <c r="N996" i="14" s="1"/>
  <c r="I129" i="14"/>
  <c r="I87" i="14"/>
  <c r="I156" i="14"/>
  <c r="G263" i="14"/>
  <c r="N263" i="14" s="1"/>
  <c r="E305" i="14"/>
  <c r="E602" i="14"/>
  <c r="I343" i="14"/>
  <c r="I274" i="14"/>
  <c r="E926" i="14"/>
  <c r="G106" i="14"/>
  <c r="N106" i="14" s="1"/>
  <c r="E368" i="14"/>
  <c r="I150" i="14"/>
  <c r="E480" i="14"/>
  <c r="E262" i="14"/>
  <c r="I570" i="14"/>
  <c r="E438" i="14"/>
  <c r="I508" i="14"/>
  <c r="E293" i="14"/>
  <c r="I151" i="14"/>
  <c r="G100" i="14"/>
  <c r="N100" i="14" s="1"/>
  <c r="E495" i="14"/>
  <c r="I773" i="14"/>
  <c r="G83" i="14"/>
  <c r="N83" i="14" s="1"/>
  <c r="G285" i="14"/>
  <c r="N285" i="14" s="1"/>
  <c r="G68" i="14"/>
  <c r="N68" i="14" s="1"/>
  <c r="E685" i="14"/>
  <c r="E306" i="14"/>
  <c r="E927" i="14"/>
  <c r="G524" i="14"/>
  <c r="N524" i="14" s="1"/>
  <c r="I440" i="14"/>
  <c r="G519" i="14"/>
  <c r="N519" i="14" s="1"/>
  <c r="E610" i="14"/>
  <c r="G962" i="14"/>
  <c r="N962" i="14" s="1"/>
  <c r="I111" i="14"/>
  <c r="G384" i="14"/>
  <c r="N384" i="14" s="1"/>
  <c r="E587" i="14"/>
  <c r="I843" i="14"/>
  <c r="E297" i="14"/>
  <c r="E19" i="14"/>
  <c r="I706" i="14"/>
  <c r="I652" i="14"/>
  <c r="E573" i="14"/>
  <c r="I412" i="14"/>
  <c r="G90" i="14"/>
  <c r="N90" i="14" s="1"/>
  <c r="I425" i="14"/>
  <c r="I796" i="14"/>
  <c r="I373" i="14"/>
  <c r="I751" i="14"/>
  <c r="G295" i="14"/>
  <c r="N295" i="14" s="1"/>
  <c r="I348" i="14"/>
  <c r="E503" i="14"/>
  <c r="I534" i="14"/>
  <c r="E737" i="14"/>
  <c r="I604" i="14"/>
  <c r="G509" i="14"/>
  <c r="N509" i="14" s="1"/>
  <c r="I711" i="14"/>
  <c r="E791" i="14"/>
  <c r="E179" i="14"/>
  <c r="E627" i="14"/>
  <c r="G682" i="14"/>
  <c r="N682" i="14" s="1"/>
  <c r="I976" i="14"/>
  <c r="G570" i="14"/>
  <c r="N570" i="14" s="1"/>
  <c r="I198" i="14"/>
  <c r="G296" i="14"/>
  <c r="N296" i="14" s="1"/>
  <c r="E211" i="14"/>
  <c r="E291" i="14"/>
  <c r="G712" i="14"/>
  <c r="N712" i="14" s="1"/>
  <c r="I181" i="14"/>
  <c r="G442" i="14"/>
  <c r="N442" i="14" s="1"/>
  <c r="I469" i="14"/>
  <c r="G645" i="14"/>
  <c r="N645" i="14" s="1"/>
  <c r="G942" i="14"/>
  <c r="N942" i="14" s="1"/>
  <c r="E821" i="14"/>
  <c r="E361" i="14"/>
  <c r="I644" i="14"/>
  <c r="I444" i="14"/>
  <c r="G174" i="14"/>
  <c r="N174" i="14" s="1"/>
  <c r="I328" i="14"/>
  <c r="E23" i="14"/>
  <c r="E292" i="14"/>
  <c r="E1005" i="14"/>
  <c r="I117" i="14"/>
  <c r="G208" i="14"/>
  <c r="N208" i="14" s="1"/>
  <c r="E130" i="14"/>
  <c r="I698" i="14"/>
  <c r="I804" i="14"/>
  <c r="I294" i="14"/>
  <c r="E406" i="14"/>
  <c r="G556" i="14"/>
  <c r="N556" i="14" s="1"/>
  <c r="G630" i="14"/>
  <c r="N630" i="14" s="1"/>
  <c r="E582" i="14"/>
  <c r="E869" i="14"/>
  <c r="I758" i="14"/>
  <c r="E713" i="14"/>
  <c r="E626" i="14"/>
  <c r="I456" i="14"/>
  <c r="E315" i="14"/>
  <c r="I471" i="14"/>
  <c r="G851" i="14"/>
  <c r="N851" i="14" s="1"/>
  <c r="E914" i="14"/>
  <c r="I714" i="14"/>
  <c r="E727" i="14"/>
  <c r="G205" i="14"/>
  <c r="N205" i="14" s="1"/>
  <c r="G516" i="14"/>
  <c r="N516" i="14" s="1"/>
  <c r="G902" i="14"/>
  <c r="N902" i="14" s="1"/>
  <c r="G635" i="14"/>
  <c r="N635" i="14" s="1"/>
  <c r="I322" i="14"/>
  <c r="G168" i="14"/>
  <c r="N168" i="14" s="1"/>
  <c r="E975" i="14"/>
  <c r="G904" i="14"/>
  <c r="N904" i="14" s="1"/>
  <c r="I85" i="14"/>
  <c r="I261" i="14"/>
  <c r="I43" i="14"/>
  <c r="E288" i="14"/>
  <c r="E155" i="14"/>
  <c r="E464" i="14"/>
  <c r="E246" i="14"/>
  <c r="I402" i="14"/>
  <c r="E701" i="14"/>
  <c r="G309" i="14"/>
  <c r="N309" i="14" s="1"/>
  <c r="E845" i="14"/>
  <c r="E249" i="14"/>
  <c r="E52" i="14"/>
  <c r="E473" i="14"/>
  <c r="I340" i="14"/>
  <c r="G654" i="14"/>
  <c r="N654" i="14" s="1"/>
  <c r="I572" i="14"/>
  <c r="I100" i="14"/>
  <c r="G81" i="14"/>
  <c r="N81" i="14" s="1"/>
  <c r="I561" i="14"/>
  <c r="I752" i="14"/>
  <c r="I978" i="14"/>
  <c r="E734" i="14"/>
  <c r="G160" i="14"/>
  <c r="N160" i="14" s="1"/>
  <c r="I835" i="14"/>
  <c r="G78" i="14"/>
  <c r="N78" i="14" s="1"/>
  <c r="I483" i="14"/>
  <c r="I548" i="14"/>
  <c r="E311" i="14"/>
  <c r="G545" i="14"/>
  <c r="N545" i="14" s="1"/>
  <c r="I720" i="14"/>
  <c r="G172" i="14"/>
  <c r="N172" i="14" s="1"/>
  <c r="I168" i="14"/>
  <c r="E999" i="14"/>
  <c r="I135" i="14"/>
  <c r="G187" i="14"/>
  <c r="N187" i="14" s="1"/>
  <c r="I651" i="14"/>
  <c r="E968" i="14"/>
  <c r="E742" i="14"/>
  <c r="I624" i="14"/>
  <c r="I24" i="14"/>
  <c r="E33" i="14"/>
  <c r="I853" i="14"/>
  <c r="E596" i="14"/>
  <c r="E428" i="14"/>
  <c r="G201" i="14"/>
  <c r="N201" i="14" s="1"/>
  <c r="I721" i="14"/>
  <c r="E832" i="14"/>
  <c r="G937" i="14"/>
  <c r="N937" i="14" s="1"/>
  <c r="E892" i="14"/>
  <c r="E142" i="14"/>
  <c r="G169" i="14"/>
  <c r="N169" i="14" s="1"/>
  <c r="E1000" i="14"/>
  <c r="G199" i="14"/>
  <c r="N199" i="14" s="1"/>
  <c r="G707" i="14"/>
  <c r="N707" i="14" s="1"/>
  <c r="G954" i="14"/>
  <c r="N954" i="14" s="1"/>
  <c r="G532" i="14"/>
  <c r="N532" i="14" s="1"/>
  <c r="E396" i="14"/>
  <c r="I263" i="14"/>
  <c r="I167" i="14"/>
  <c r="E370" i="14"/>
  <c r="E450" i="14"/>
  <c r="I115" i="14"/>
  <c r="I429" i="14"/>
  <c r="G79" i="14"/>
  <c r="N79" i="14" s="1"/>
  <c r="G405" i="14"/>
  <c r="N405" i="14" s="1"/>
  <c r="G795" i="14"/>
  <c r="N795" i="14" s="1"/>
  <c r="I289" i="14"/>
  <c r="G995" i="14"/>
  <c r="N995" i="14" s="1"/>
  <c r="G828" i="14"/>
  <c r="N828" i="14" s="1"/>
  <c r="I314" i="14"/>
  <c r="I282" i="14"/>
  <c r="I622" i="14"/>
  <c r="E695" i="14"/>
  <c r="I726" i="14"/>
  <c r="G882" i="14"/>
  <c r="N882" i="14" s="1"/>
  <c r="I739" i="14"/>
  <c r="E856" i="14"/>
  <c r="E301" i="14"/>
  <c r="I109" i="14"/>
  <c r="I802" i="14"/>
  <c r="I716" i="14"/>
  <c r="G148" i="14"/>
  <c r="N148" i="14" s="1"/>
  <c r="G631" i="14"/>
  <c r="N631" i="14" s="1"/>
  <c r="E274" i="14"/>
  <c r="G71" i="14"/>
  <c r="N71" i="14" s="1"/>
  <c r="E267" i="14"/>
  <c r="E716" i="14"/>
  <c r="G93" i="14"/>
  <c r="N93" i="14" s="1"/>
  <c r="G953" i="14"/>
  <c r="N953" i="14" s="1"/>
  <c r="I789" i="14"/>
  <c r="E609" i="14"/>
  <c r="G186" i="14"/>
  <c r="N186" i="14" s="1"/>
  <c r="I968" i="14"/>
  <c r="E190" i="14"/>
  <c r="E814" i="14"/>
  <c r="I248" i="14"/>
  <c r="G12" i="14"/>
  <c r="N12" i="14" s="1"/>
  <c r="E285" i="14"/>
  <c r="G43" i="14"/>
  <c r="N43" i="14" s="1"/>
  <c r="I258" i="14"/>
  <c r="I474" i="14"/>
  <c r="E671" i="14"/>
  <c r="I961" i="14"/>
  <c r="E233" i="14"/>
  <c r="I264" i="14"/>
  <c r="I22" i="14"/>
  <c r="I781" i="14"/>
  <c r="E820" i="14"/>
  <c r="E391" i="14"/>
  <c r="E780" i="14"/>
  <c r="E488" i="14"/>
  <c r="I793" i="14"/>
  <c r="I388" i="14"/>
  <c r="E932" i="14"/>
  <c r="I767" i="14"/>
  <c r="G167" i="14"/>
  <c r="N167" i="14" s="1"/>
  <c r="G833" i="14"/>
  <c r="N833" i="14" s="1"/>
  <c r="G301" i="14"/>
  <c r="N301" i="14" s="1"/>
  <c r="G74" i="14"/>
  <c r="N74" i="14" s="1"/>
  <c r="I731" i="14"/>
  <c r="I32" i="14"/>
  <c r="I556" i="14"/>
  <c r="E437" i="14"/>
  <c r="G35" i="14"/>
  <c r="N35" i="14" s="1"/>
  <c r="E314" i="14"/>
  <c r="E837" i="14"/>
  <c r="I201" i="14"/>
  <c r="I345" i="14"/>
  <c r="E731" i="14"/>
  <c r="E833" i="14"/>
  <c r="I285" i="14"/>
  <c r="E771" i="14"/>
  <c r="G943" i="14"/>
  <c r="N943" i="14" s="1"/>
  <c r="E34" i="14"/>
  <c r="E584" i="14"/>
  <c r="I130" i="14"/>
  <c r="I11" i="14"/>
  <c r="I769" i="14"/>
  <c r="G852" i="14"/>
  <c r="N852" i="14" s="1"/>
  <c r="G449" i="14"/>
  <c r="N449" i="14" s="1"/>
  <c r="G762" i="14"/>
  <c r="N762" i="14" s="1"/>
  <c r="I161" i="14"/>
  <c r="E167" i="14"/>
  <c r="G433" i="14"/>
  <c r="N433" i="14" s="1"/>
  <c r="G536" i="14"/>
  <c r="N536" i="14" s="1"/>
  <c r="G183" i="14"/>
  <c r="N183" i="14" s="1"/>
  <c r="E755" i="14"/>
  <c r="I806" i="14"/>
  <c r="I423" i="14"/>
  <c r="G197" i="14"/>
  <c r="N197" i="14" s="1"/>
  <c r="I563" i="14"/>
  <c r="G802" i="14"/>
  <c r="N802" i="14" s="1"/>
  <c r="I91" i="14"/>
  <c r="I176" i="14"/>
  <c r="G571" i="14"/>
  <c r="N571" i="14" s="1"/>
  <c r="E338" i="14"/>
  <c r="G563" i="14"/>
  <c r="N563" i="14" s="1"/>
  <c r="E942" i="14"/>
  <c r="E958" i="14"/>
  <c r="I360" i="14"/>
  <c r="G104" i="14"/>
  <c r="N104" i="14" s="1"/>
  <c r="G610" i="14"/>
  <c r="N610" i="14" s="1"/>
  <c r="E384" i="14"/>
  <c r="I342" i="14"/>
  <c r="G363" i="14"/>
  <c r="N363" i="14" s="1"/>
  <c r="I239" i="14"/>
  <c r="I762" i="14"/>
  <c r="I920" i="14"/>
  <c r="E472" i="14"/>
  <c r="I654" i="14"/>
  <c r="G252" i="14"/>
  <c r="N252" i="14" s="1"/>
  <c r="I832" i="14"/>
  <c r="G374" i="14"/>
  <c r="N374" i="14" s="1"/>
  <c r="G951" i="14"/>
  <c r="N951" i="14" s="1"/>
  <c r="G716" i="14"/>
  <c r="N716" i="14" s="1"/>
  <c r="G622" i="14"/>
  <c r="N622" i="14" s="1"/>
  <c r="G634" i="14"/>
  <c r="N634" i="14" s="1"/>
  <c r="G647" i="14"/>
  <c r="N647" i="14" s="1"/>
  <c r="I262" i="14"/>
  <c r="I210" i="14"/>
  <c r="E117" i="14"/>
  <c r="E640" i="14"/>
  <c r="I930" i="14"/>
  <c r="E212" i="14"/>
  <c r="E598" i="14"/>
  <c r="E345" i="14"/>
  <c r="I216" i="14"/>
  <c r="I495" i="14"/>
  <c r="E508" i="14"/>
  <c r="G313" i="14"/>
  <c r="N313" i="14" s="1"/>
  <c r="E813" i="14"/>
  <c r="I910" i="14"/>
  <c r="G508" i="14"/>
  <c r="N508" i="14" s="1"/>
  <c r="I39" i="14"/>
  <c r="G308" i="14"/>
  <c r="N308" i="14" s="1"/>
  <c r="I821" i="14"/>
  <c r="I81" i="14"/>
  <c r="I972" i="14"/>
  <c r="I114" i="14"/>
  <c r="G88" i="14"/>
  <c r="N88" i="14" s="1"/>
  <c r="E643" i="14"/>
  <c r="E456" i="14"/>
  <c r="G482" i="14"/>
  <c r="N482" i="14" s="1"/>
  <c r="E256" i="14"/>
  <c r="G894" i="14"/>
  <c r="N894" i="14" s="1"/>
  <c r="I925" i="14"/>
  <c r="I214" i="14"/>
  <c r="E235" i="14"/>
  <c r="G111" i="14"/>
  <c r="N111" i="14" s="1"/>
  <c r="I634" i="14"/>
  <c r="G909" i="14"/>
  <c r="N909" i="14" s="1"/>
  <c r="E408" i="14"/>
  <c r="E121" i="14"/>
  <c r="I744" i="14"/>
  <c r="I369" i="14"/>
  <c r="G401" i="14"/>
  <c r="N401" i="14" s="1"/>
  <c r="E185" i="14"/>
  <c r="E571" i="14"/>
  <c r="G590" i="14"/>
  <c r="N590" i="14" s="1"/>
  <c r="G339" i="14"/>
  <c r="N339" i="14" s="1"/>
  <c r="G554" i="14"/>
  <c r="N554" i="14" s="1"/>
  <c r="G567" i="14"/>
  <c r="N567" i="14" s="1"/>
  <c r="I649" i="14"/>
  <c r="I246" i="14"/>
  <c r="I520" i="14"/>
  <c r="E910" i="14"/>
  <c r="E546" i="14"/>
  <c r="E490" i="14"/>
  <c r="E712" i="14"/>
  <c r="G456" i="14"/>
  <c r="N456" i="14" s="1"/>
  <c r="I200" i="14"/>
  <c r="I859" i="14"/>
  <c r="E690" i="14"/>
  <c r="I107" i="14"/>
  <c r="G817" i="14"/>
  <c r="N817" i="14" s="1"/>
  <c r="E836" i="14"/>
  <c r="E433" i="14"/>
  <c r="E15" i="14"/>
  <c r="E893" i="14"/>
  <c r="E805" i="14"/>
  <c r="G699" i="14"/>
  <c r="N699" i="14" s="1"/>
  <c r="E16" i="14"/>
  <c r="G101" i="14"/>
  <c r="N101" i="14" s="1"/>
  <c r="I663" i="14"/>
  <c r="G437" i="14"/>
  <c r="N437" i="14" s="1"/>
  <c r="E120" i="14"/>
  <c r="I94" i="14"/>
  <c r="G480" i="14"/>
  <c r="N480" i="14" s="1"/>
  <c r="I206" i="14"/>
  <c r="I592" i="14"/>
  <c r="E275" i="14"/>
  <c r="I585" i="14"/>
  <c r="E971" i="14"/>
  <c r="E846" i="14"/>
  <c r="G619" i="14"/>
  <c r="N619" i="14" s="1"/>
  <c r="G87" i="14"/>
  <c r="N87" i="14" s="1"/>
  <c r="G689" i="14"/>
  <c r="N689" i="14" s="1"/>
  <c r="E221" i="14"/>
  <c r="E991" i="14"/>
  <c r="E300" i="14"/>
  <c r="G404" i="14"/>
  <c r="N404" i="14" s="1"/>
  <c r="G868" i="14"/>
  <c r="N868" i="14" s="1"/>
  <c r="I983" i="14"/>
  <c r="G272" i="14"/>
  <c r="N272" i="14" s="1"/>
  <c r="I357" i="14"/>
  <c r="G170" i="14"/>
  <c r="N170" i="14" s="1"/>
  <c r="E693" i="14"/>
  <c r="I350" i="14"/>
  <c r="E736" i="14"/>
  <c r="G914" i="14"/>
  <c r="N914" i="14" s="1"/>
  <c r="E611" i="14"/>
  <c r="I242" i="14"/>
  <c r="E247" i="14"/>
  <c r="E757" i="14"/>
  <c r="I707" i="14"/>
  <c r="G397" i="14"/>
  <c r="N397" i="14" s="1"/>
  <c r="G677" i="14"/>
  <c r="N677" i="14" s="1"/>
  <c r="I689" i="14"/>
  <c r="G708" i="14"/>
  <c r="N708" i="14" s="1"/>
  <c r="G305" i="14"/>
  <c r="N305" i="14" s="1"/>
  <c r="G381" i="14"/>
  <c r="N381" i="14" s="1"/>
  <c r="G47" i="14"/>
  <c r="N47" i="14" s="1"/>
  <c r="E263" i="14"/>
  <c r="G348" i="14"/>
  <c r="N348" i="14" s="1"/>
  <c r="G566" i="14"/>
  <c r="N566" i="14" s="1"/>
  <c r="E60" i="14"/>
  <c r="E812" i="14"/>
  <c r="G279" i="14"/>
  <c r="N279" i="14" s="1"/>
  <c r="G53" i="14"/>
  <c r="N53" i="14" s="1"/>
  <c r="E689" i="14"/>
  <c r="E11" i="14"/>
  <c r="E535" i="14"/>
  <c r="E447" i="14"/>
  <c r="G335" i="14"/>
  <c r="N335" i="14" s="1"/>
  <c r="E797" i="14"/>
  <c r="E482" i="14"/>
  <c r="I226" i="14"/>
  <c r="I998" i="14"/>
  <c r="E530" i="14"/>
  <c r="E304" i="14"/>
  <c r="E909" i="14"/>
  <c r="E198" i="14"/>
  <c r="G283" i="14"/>
  <c r="N283" i="14" s="1"/>
  <c r="G444" i="14"/>
  <c r="N444" i="14" s="1"/>
  <c r="E79" i="14"/>
  <c r="I479" i="14"/>
  <c r="G1002" i="14"/>
  <c r="N1002" i="14" s="1"/>
  <c r="E492" i="14"/>
  <c r="I574" i="14"/>
  <c r="E172" i="14"/>
  <c r="G960" i="14"/>
  <c r="N960" i="14" s="1"/>
  <c r="E913" i="14"/>
  <c r="G89" i="14"/>
  <c r="N89" i="14" s="1"/>
  <c r="E385" i="14"/>
  <c r="G956" i="14"/>
  <c r="N956" i="14" s="1"/>
  <c r="G31" i="14"/>
  <c r="N31" i="14" s="1"/>
  <c r="E589" i="14"/>
  <c r="I174" i="14"/>
  <c r="G410" i="14"/>
  <c r="N410" i="14" s="1"/>
  <c r="I393" i="14"/>
  <c r="G105" i="14"/>
  <c r="N105" i="14" s="1"/>
  <c r="G825" i="14"/>
  <c r="N825" i="14" s="1"/>
  <c r="G135" i="14"/>
  <c r="N135" i="14" s="1"/>
  <c r="I696" i="14"/>
  <c r="I772" i="14"/>
  <c r="I255" i="14"/>
  <c r="G332" i="14"/>
  <c r="N332" i="14" s="1"/>
  <c r="G586" i="14"/>
  <c r="N586" i="14" s="1"/>
  <c r="I102" i="14"/>
  <c r="G22" i="14"/>
  <c r="N22" i="14" s="1"/>
  <c r="I278" i="14"/>
  <c r="I75" i="14"/>
  <c r="I390" i="14"/>
  <c r="I427" i="14"/>
  <c r="G481" i="14"/>
  <c r="N481" i="14" s="1"/>
  <c r="I722" i="14"/>
  <c r="E852" i="14"/>
  <c r="I708" i="14"/>
  <c r="E434" i="14"/>
  <c r="G765" i="14"/>
  <c r="N765" i="14" s="1"/>
  <c r="I145" i="14"/>
  <c r="G253" i="14"/>
  <c r="N253" i="14" s="1"/>
  <c r="I283" i="14"/>
  <c r="G365" i="14"/>
  <c r="N365" i="14" s="1"/>
  <c r="G507" i="14"/>
  <c r="N507" i="14" s="1"/>
  <c r="I455" i="14"/>
  <c r="I807" i="14"/>
  <c r="E7" i="14"/>
  <c r="I620" i="14"/>
  <c r="I225" i="14"/>
  <c r="E128" i="14"/>
  <c r="E86" i="14"/>
  <c r="I506" i="14"/>
  <c r="I888" i="14"/>
  <c r="I936" i="14"/>
  <c r="I801" i="14"/>
  <c r="I682" i="14"/>
  <c r="G695" i="14"/>
  <c r="N695" i="14" s="1"/>
  <c r="G460" i="14"/>
  <c r="N460" i="14" s="1"/>
  <c r="E808" i="14"/>
  <c r="G15" i="14"/>
  <c r="N15" i="14" s="1"/>
  <c r="I195" i="14"/>
  <c r="E377" i="14"/>
  <c r="G415" i="14"/>
  <c r="N415" i="14" s="1"/>
  <c r="G601" i="14"/>
  <c r="N601" i="14" s="1"/>
  <c r="E460" i="14"/>
  <c r="G854" i="14"/>
  <c r="N854" i="14" s="1"/>
  <c r="G636" i="14"/>
  <c r="N636" i="14" s="1"/>
  <c r="G311" i="14"/>
  <c r="N311" i="14" s="1"/>
  <c r="E216" i="14"/>
  <c r="I697" i="14"/>
  <c r="G292" i="14"/>
  <c r="N292" i="14" s="1"/>
  <c r="E678" i="14"/>
  <c r="I633" i="14"/>
  <c r="E360" i="14"/>
  <c r="I575" i="14"/>
  <c r="E588" i="14"/>
  <c r="I670" i="14"/>
  <c r="E268" i="14"/>
  <c r="E552" i="14"/>
  <c r="E931" i="14"/>
  <c r="I119" i="14"/>
  <c r="E607" i="14"/>
  <c r="E965" i="14"/>
  <c r="E369" i="14"/>
  <c r="I966" i="14"/>
  <c r="I583" i="14"/>
  <c r="E357" i="14"/>
  <c r="G739" i="14"/>
  <c r="N739" i="14" s="1"/>
  <c r="G798" i="14"/>
  <c r="N798" i="14" s="1"/>
  <c r="G146" i="14"/>
  <c r="N146" i="14" s="1"/>
  <c r="E467" i="14"/>
  <c r="E953" i="14"/>
  <c r="E294" i="14"/>
  <c r="G379" i="14"/>
  <c r="N379" i="14" s="1"/>
  <c r="I191" i="14"/>
  <c r="G714" i="14"/>
  <c r="N714" i="14" s="1"/>
  <c r="G286" i="14"/>
  <c r="N286" i="14" s="1"/>
  <c r="I672" i="14"/>
  <c r="G573" i="14"/>
  <c r="N573" i="14" s="1"/>
  <c r="E547" i="14"/>
  <c r="E183" i="14"/>
  <c r="G491" i="14"/>
  <c r="N491" i="14" s="1"/>
  <c r="I579" i="14"/>
  <c r="I333" i="14"/>
  <c r="E698" i="14"/>
  <c r="G711" i="14"/>
  <c r="N711" i="14" s="1"/>
  <c r="G729" i="14"/>
  <c r="N729" i="14" s="1"/>
  <c r="G326" i="14"/>
  <c r="N326" i="14" s="1"/>
  <c r="I466" i="14"/>
  <c r="I284" i="14"/>
  <c r="E469" i="14"/>
  <c r="I370" i="14"/>
  <c r="G220" i="14"/>
  <c r="N220" i="14" s="1"/>
  <c r="G936" i="14"/>
  <c r="N936" i="14" s="1"/>
  <c r="G595" i="14"/>
  <c r="N595" i="14" s="1"/>
  <c r="I267" i="14"/>
  <c r="I897" i="14"/>
  <c r="E980" i="14"/>
  <c r="G577" i="14"/>
  <c r="N577" i="14" s="1"/>
  <c r="E45" i="14"/>
  <c r="E330" i="14"/>
  <c r="E890" i="14"/>
  <c r="I219" i="14"/>
  <c r="E392" i="14"/>
  <c r="I300" i="14"/>
  <c r="E181" i="14"/>
  <c r="G58" i="14"/>
  <c r="N58" i="14" s="1"/>
  <c r="G581" i="14"/>
  <c r="N581" i="14" s="1"/>
  <c r="G696" i="14"/>
  <c r="N696" i="14" s="1"/>
  <c r="I89" i="14"/>
  <c r="E475" i="14"/>
  <c r="E398" i="14"/>
  <c r="E243" i="14"/>
  <c r="E906" i="14"/>
  <c r="E807" i="14"/>
  <c r="G809" i="14"/>
  <c r="N809" i="14" s="1"/>
  <c r="G119" i="14"/>
  <c r="N119" i="14" s="1"/>
  <c r="I108" i="14"/>
  <c r="I410" i="14"/>
  <c r="G304" i="14"/>
  <c r="N304" i="14" s="1"/>
  <c r="I72" i="14"/>
  <c r="E636" i="14"/>
  <c r="E563" i="14"/>
  <c r="I122" i="14"/>
  <c r="I18" i="14"/>
  <c r="I19" i="14"/>
  <c r="E10" i="14"/>
  <c r="I664" i="14"/>
  <c r="G719" i="14"/>
  <c r="N719" i="14" s="1"/>
  <c r="G979" i="14"/>
  <c r="N979" i="14" s="1"/>
  <c r="I229" i="14"/>
  <c r="E184" i="14"/>
  <c r="I341" i="14"/>
  <c r="E632" i="14"/>
  <c r="E432" i="14"/>
  <c r="I676" i="14"/>
  <c r="I851" i="14"/>
  <c r="G905" i="14"/>
  <c r="N905" i="14" s="1"/>
  <c r="I287" i="14"/>
  <c r="E116" i="14"/>
  <c r="G686" i="14"/>
  <c r="N686" i="14" s="1"/>
  <c r="G666" i="14"/>
  <c r="N666" i="14" s="1"/>
  <c r="G679" i="14"/>
  <c r="N679" i="14" s="1"/>
  <c r="G553" i="14"/>
  <c r="N553" i="14" s="1"/>
  <c r="G210" i="14"/>
  <c r="N210" i="14" s="1"/>
  <c r="E959" i="14"/>
  <c r="G422" i="14"/>
  <c r="N422" i="14" s="1"/>
  <c r="E48" i="14"/>
  <c r="G648" i="14"/>
  <c r="N648" i="14" s="1"/>
  <c r="E782" i="14"/>
  <c r="G857" i="14"/>
  <c r="N857" i="14" s="1"/>
  <c r="E986" i="14"/>
  <c r="E418" i="14"/>
  <c r="I671" i="14"/>
  <c r="E273" i="14"/>
  <c r="E193" i="14"/>
  <c r="E364" i="14"/>
  <c r="E417" i="14"/>
  <c r="G476" i="14"/>
  <c r="N476" i="14" s="1"/>
  <c r="G598" i="14"/>
  <c r="N598" i="14" s="1"/>
  <c r="G652" i="14"/>
  <c r="N652" i="14" s="1"/>
  <c r="E937" i="14"/>
  <c r="E519" i="14"/>
  <c r="G162" i="14"/>
  <c r="N162" i="14" s="1"/>
  <c r="G34" i="14"/>
  <c r="N34" i="14" s="1"/>
  <c r="G198" i="14"/>
  <c r="N198" i="14" s="1"/>
  <c r="G498" i="14"/>
  <c r="N498" i="14" s="1"/>
  <c r="G158" i="14"/>
  <c r="N158" i="14" s="1"/>
  <c r="E733" i="14"/>
  <c r="G464" i="14"/>
  <c r="N464" i="14" s="1"/>
  <c r="G640" i="14"/>
  <c r="N640" i="14" s="1"/>
  <c r="E667" i="14"/>
  <c r="E843" i="14"/>
  <c r="E872" i="14"/>
  <c r="E169" i="14"/>
  <c r="G838" i="14"/>
  <c r="N838" i="14" s="1"/>
  <c r="I158" i="14"/>
  <c r="E419" i="14"/>
  <c r="E150" i="14"/>
  <c r="I454" i="14"/>
  <c r="E296" i="14"/>
  <c r="I220" i="14"/>
  <c r="I1005" i="14"/>
  <c r="I376" i="14"/>
  <c r="G752" i="14"/>
  <c r="N752" i="14" s="1"/>
  <c r="G266" i="14"/>
  <c r="N266" i="14" s="1"/>
  <c r="E762" i="14"/>
  <c r="G766" i="14"/>
  <c r="N766" i="14" s="1"/>
  <c r="E91" i="14"/>
  <c r="E591" i="14"/>
  <c r="G779" i="14"/>
  <c r="N779" i="14" s="1"/>
  <c r="E510" i="14"/>
  <c r="I564" i="14"/>
  <c r="E13" i="14"/>
  <c r="E207" i="14"/>
  <c r="I155" i="14"/>
  <c r="I391" i="14"/>
  <c r="G307" i="14"/>
  <c r="N307" i="14" s="1"/>
  <c r="I57" i="14"/>
  <c r="E443" i="14"/>
  <c r="E125" i="14"/>
  <c r="E864" i="14"/>
  <c r="I521" i="14"/>
  <c r="E907" i="14"/>
  <c r="E99" i="14"/>
  <c r="G738" i="14"/>
  <c r="N738" i="14" s="1"/>
  <c r="G165" i="14"/>
  <c r="N165" i="14" s="1"/>
  <c r="E277" i="14"/>
  <c r="I367" i="14"/>
  <c r="I1002" i="14"/>
  <c r="I626" i="14"/>
  <c r="I260" i="14"/>
  <c r="I848" i="14"/>
  <c r="E827" i="14"/>
  <c r="I12" i="14"/>
  <c r="I709" i="14"/>
  <c r="I116" i="14"/>
  <c r="E816" i="14"/>
  <c r="E956" i="14"/>
  <c r="I371" i="14"/>
  <c r="G230" i="14"/>
  <c r="N230" i="14" s="1"/>
  <c r="I635" i="14"/>
  <c r="I883" i="14"/>
  <c r="E491" i="14"/>
  <c r="E779" i="14"/>
  <c r="E195" i="14"/>
  <c r="I45" i="14"/>
  <c r="G548" i="14"/>
  <c r="N548" i="14" s="1"/>
  <c r="I893" i="14"/>
  <c r="E516" i="14"/>
  <c r="I763" i="14"/>
  <c r="E251" i="14"/>
  <c r="E630" i="14"/>
  <c r="E924" i="14"/>
  <c r="G603" i="14"/>
  <c r="N603" i="14" s="1"/>
  <c r="I110" i="14"/>
  <c r="E66" i="14"/>
  <c r="G214" i="14"/>
  <c r="N214" i="14" s="1"/>
  <c r="G417" i="14"/>
  <c r="N417" i="14" s="1"/>
  <c r="G284" i="14"/>
  <c r="N284" i="14" s="1"/>
  <c r="E831" i="14"/>
  <c r="E509" i="14"/>
  <c r="E542" i="14"/>
  <c r="G520" i="14"/>
  <c r="N520" i="14" s="1"/>
  <c r="I844" i="14"/>
  <c r="E824" i="14"/>
  <c r="E403" i="14"/>
  <c r="G655" i="14"/>
  <c r="N655" i="14" s="1"/>
  <c r="E896" i="14"/>
  <c r="I69" i="14"/>
  <c r="I295" i="14"/>
  <c r="I307" i="14"/>
  <c r="G945" i="14"/>
  <c r="N945" i="14" s="1"/>
  <c r="G408" i="14"/>
  <c r="N408" i="14" s="1"/>
  <c r="G261" i="14"/>
  <c r="N261" i="14" s="1"/>
  <c r="E595" i="14"/>
  <c r="I836" i="14"/>
  <c r="I581" i="14"/>
  <c r="E941" i="14"/>
  <c r="G402" i="14"/>
  <c r="N402" i="14" s="1"/>
  <c r="E676" i="14"/>
  <c r="I266" i="14"/>
  <c r="E310" i="14"/>
  <c r="G627" i="14"/>
  <c r="N627" i="14" s="1"/>
  <c r="G742" i="14"/>
  <c r="N742" i="14" s="1"/>
  <c r="I839" i="14"/>
  <c r="I951" i="14"/>
  <c r="I66" i="14"/>
  <c r="E765" i="14"/>
  <c r="I211" i="14"/>
  <c r="I486" i="14"/>
  <c r="E747" i="14"/>
  <c r="E859" i="14"/>
  <c r="E950" i="14"/>
  <c r="I207" i="14"/>
  <c r="G66" i="14"/>
  <c r="N66" i="14" s="1"/>
  <c r="I433" i="14"/>
  <c r="G216" i="14"/>
  <c r="N216" i="14" s="1"/>
  <c r="E58" i="14"/>
  <c r="E318" i="14"/>
  <c r="G423" i="14"/>
  <c r="N423" i="14" s="1"/>
  <c r="I855" i="14"/>
  <c r="E101" i="14"/>
  <c r="I127" i="14"/>
  <c r="I303" i="14"/>
  <c r="I740" i="14"/>
  <c r="G469" i="14"/>
  <c r="N469" i="14" s="1"/>
  <c r="G41" i="14"/>
  <c r="N41" i="14" s="1"/>
  <c r="E427" i="14"/>
  <c r="G45" i="14"/>
  <c r="N45" i="14" s="1"/>
  <c r="E848" i="14"/>
  <c r="I584" i="14"/>
  <c r="G337" i="14"/>
  <c r="N337" i="14" s="1"/>
  <c r="E545" i="14"/>
  <c r="E801" i="14"/>
  <c r="I616" i="14"/>
  <c r="G537" i="14"/>
  <c r="N537" i="14" s="1"/>
  <c r="I513" i="14"/>
  <c r="G822" i="14"/>
  <c r="N822" i="14" s="1"/>
  <c r="E604" i="14"/>
  <c r="I142" i="14"/>
  <c r="G211" i="14"/>
  <c r="N211" i="14" s="1"/>
  <c r="I606" i="14"/>
  <c r="G184" i="14"/>
  <c r="N184" i="14" s="1"/>
  <c r="I349" i="14"/>
  <c r="I159" i="14"/>
  <c r="G250" i="14"/>
  <c r="N250" i="14" s="1"/>
  <c r="E362" i="14"/>
  <c r="G538" i="14"/>
  <c r="N538" i="14" s="1"/>
  <c r="G327" i="14"/>
  <c r="N327" i="14" s="1"/>
  <c r="I97" i="14"/>
  <c r="G985" i="14"/>
  <c r="N985" i="14" s="1"/>
  <c r="I945" i="14"/>
  <c r="G903" i="14"/>
  <c r="N903" i="14" s="1"/>
  <c r="E187" i="14"/>
  <c r="E461" i="14"/>
  <c r="E271" i="14"/>
  <c r="G783" i="14"/>
  <c r="N783" i="14" s="1"/>
  <c r="I98" i="14"/>
  <c r="I546" i="14"/>
  <c r="I596" i="14"/>
  <c r="E884" i="14"/>
  <c r="I270" i="14"/>
  <c r="E31" i="14"/>
  <c r="G758" i="14"/>
  <c r="N758" i="14" s="1"/>
  <c r="E540" i="14"/>
  <c r="E785" i="14"/>
  <c r="E652" i="14"/>
  <c r="E961" i="14"/>
  <c r="G743" i="14"/>
  <c r="N743" i="14" s="1"/>
  <c r="E637" i="14"/>
  <c r="E425" i="14"/>
  <c r="I629" i="14"/>
  <c r="I641" i="14"/>
  <c r="G321" i="14"/>
  <c r="N321" i="14" s="1"/>
  <c r="E513" i="14"/>
  <c r="G895" i="14"/>
  <c r="N895" i="14" s="1"/>
  <c r="I551" i="14"/>
  <c r="G930" i="14"/>
  <c r="N930" i="14" s="1"/>
  <c r="G389" i="14"/>
  <c r="N389" i="14" s="1"/>
  <c r="I414" i="14"/>
  <c r="E674" i="14"/>
  <c r="E353" i="14"/>
  <c r="E444" i="14"/>
  <c r="E705" i="14"/>
  <c r="G620" i="14"/>
  <c r="N620" i="14" s="1"/>
  <c r="I757" i="14"/>
  <c r="G732" i="14"/>
  <c r="N732" i="14" s="1"/>
  <c r="I933" i="14"/>
  <c r="I822" i="14"/>
  <c r="I385" i="14"/>
  <c r="G990" i="14"/>
  <c r="N990" i="14" s="1"/>
  <c r="G775" i="14"/>
  <c r="N775" i="14" s="1"/>
  <c r="I541" i="14"/>
  <c r="G333" i="14"/>
  <c r="N333" i="14" s="1"/>
  <c r="G614" i="14"/>
  <c r="N614" i="14" s="1"/>
  <c r="G594" i="14"/>
  <c r="N594" i="14" s="1"/>
  <c r="E861" i="14"/>
  <c r="G706" i="14"/>
  <c r="N706" i="14" s="1"/>
  <c r="I973" i="14"/>
  <c r="I47" i="14"/>
  <c r="E152" i="14"/>
  <c r="E962" i="14"/>
  <c r="I792" i="14"/>
  <c r="G733" i="14"/>
  <c r="N733" i="14" s="1"/>
  <c r="G137" i="14"/>
  <c r="N137" i="14" s="1"/>
  <c r="G724" i="14"/>
  <c r="N724" i="14" s="1"/>
  <c r="G273" i="14"/>
  <c r="N273" i="14" s="1"/>
  <c r="G606" i="14"/>
  <c r="N606" i="14" s="1"/>
  <c r="E699" i="14"/>
  <c r="G217" i="14"/>
  <c r="N217" i="14" s="1"/>
  <c r="I290" i="14"/>
  <c r="E903" i="14"/>
  <c r="E570" i="14"/>
  <c r="G145" i="14"/>
  <c r="N145" i="14" s="1"/>
  <c r="G484" i="14"/>
  <c r="N484" i="14" s="1"/>
  <c r="G963" i="14"/>
  <c r="N963" i="14" s="1"/>
  <c r="E923" i="14"/>
  <c r="E876" i="14"/>
  <c r="G396" i="14"/>
  <c r="N396" i="14" s="1"/>
  <c r="E336" i="14"/>
  <c r="I338" i="14"/>
  <c r="I942" i="14"/>
  <c r="E663" i="14"/>
  <c r="I426" i="14"/>
  <c r="G629" i="14"/>
  <c r="N629" i="14" s="1"/>
  <c r="E743" i="14"/>
  <c r="G625" i="14"/>
  <c r="N625" i="14" s="1"/>
  <c r="I913" i="14"/>
  <c r="I88" i="14"/>
  <c r="E616" i="14"/>
  <c r="G207" i="14"/>
  <c r="N207" i="14" s="1"/>
  <c r="I908" i="14"/>
  <c r="I310" i="14"/>
  <c r="I738" i="14"/>
  <c r="G322" i="14"/>
  <c r="N322" i="14" s="1"/>
  <c r="E537" i="14"/>
  <c r="E557" i="14"/>
  <c r="G319" i="14"/>
  <c r="N319" i="14" s="1"/>
  <c r="I764" i="14"/>
  <c r="E867" i="14"/>
  <c r="G182" i="14"/>
  <c r="N182" i="14" s="1"/>
  <c r="I587" i="14"/>
  <c r="G407" i="14"/>
  <c r="N407" i="14" s="1"/>
  <c r="E775" i="14"/>
  <c r="E978" i="14"/>
  <c r="E680" i="14"/>
  <c r="E777" i="14"/>
  <c r="G812" i="14"/>
  <c r="N812" i="14" s="1"/>
  <c r="E987" i="14"/>
  <c r="G616" i="14"/>
  <c r="N616" i="14" s="1"/>
  <c r="E990" i="14"/>
  <c r="E38" i="14"/>
  <c r="G128" i="14"/>
  <c r="N128" i="14" s="1"/>
  <c r="I240" i="14"/>
  <c r="G416" i="14"/>
  <c r="N416" i="14" s="1"/>
  <c r="I67" i="14"/>
  <c r="I419" i="14"/>
  <c r="I643" i="14"/>
  <c r="I875" i="14"/>
  <c r="I364" i="14"/>
  <c r="G438" i="14"/>
  <c r="N438" i="14" s="1"/>
  <c r="I662" i="14"/>
  <c r="I975" i="14"/>
  <c r="I143" i="14"/>
  <c r="G844" i="14"/>
  <c r="N844" i="14" s="1"/>
  <c r="G700" i="14"/>
  <c r="N700" i="14" s="1"/>
  <c r="G876" i="14"/>
  <c r="N876" i="14" s="1"/>
  <c r="E902" i="14"/>
  <c r="E946" i="14"/>
  <c r="G589" i="14"/>
  <c r="N589" i="14" s="1"/>
  <c r="G209" i="14"/>
  <c r="N209" i="14" s="1"/>
  <c r="I958" i="14"/>
  <c r="E985" i="14"/>
  <c r="G244" i="14"/>
  <c r="N244" i="14" s="1"/>
  <c r="E586" i="14"/>
  <c r="I962" i="14"/>
  <c r="G269" i="14"/>
  <c r="N269" i="14" s="1"/>
  <c r="G580" i="14"/>
  <c r="N580" i="14" s="1"/>
  <c r="E966" i="14"/>
  <c r="G555" i="14"/>
  <c r="N555" i="14" s="1"/>
  <c r="G874" i="14"/>
  <c r="N874" i="14" s="1"/>
  <c r="G940" i="14"/>
  <c r="N940" i="14" s="1"/>
  <c r="G181" i="14"/>
  <c r="N181" i="14" s="1"/>
  <c r="G224" i="14"/>
  <c r="N224" i="14" s="1"/>
  <c r="E905" i="14"/>
  <c r="I668" i="14"/>
  <c r="G515" i="14"/>
  <c r="N515" i="14" s="1"/>
  <c r="I311" i="14"/>
  <c r="I401" i="14"/>
  <c r="I487" i="14"/>
  <c r="I753" i="14"/>
  <c r="G514" i="14"/>
  <c r="N514" i="14" s="1"/>
  <c r="G866" i="14"/>
  <c r="N866" i="14" s="1"/>
  <c r="I690" i="14"/>
  <c r="I957" i="14"/>
  <c r="I837" i="14"/>
  <c r="E770" i="14"/>
  <c r="E648" i="14"/>
  <c r="I618" i="14"/>
  <c r="G400" i="14"/>
  <c r="N400" i="14" s="1"/>
  <c r="I794" i="14"/>
  <c r="E662" i="14"/>
  <c r="I906" i="14"/>
  <c r="I688" i="14"/>
  <c r="G864" i="14"/>
  <c r="N864" i="14" s="1"/>
  <c r="E935" i="14"/>
  <c r="G899" i="14"/>
  <c r="N899" i="14" s="1"/>
  <c r="E512" i="14"/>
  <c r="G382" i="14"/>
  <c r="N382" i="14" s="1"/>
  <c r="I901" i="14"/>
  <c r="G260" i="14"/>
  <c r="N260" i="14" s="1"/>
  <c r="I140" i="14"/>
  <c r="G202" i="14"/>
  <c r="N202" i="14" s="1"/>
  <c r="E231" i="14"/>
  <c r="G975" i="14"/>
  <c r="N975" i="14" s="1"/>
  <c r="G351" i="14"/>
  <c r="N351" i="14" s="1"/>
  <c r="I275" i="14"/>
  <c r="G243" i="14"/>
  <c r="N243" i="14" s="1"/>
  <c r="E567" i="14"/>
  <c r="I439" i="14"/>
  <c r="G499" i="14"/>
  <c r="N499" i="14" s="1"/>
  <c r="G618" i="14"/>
  <c r="N618" i="14" s="1"/>
  <c r="E225" i="14"/>
  <c r="E741" i="14"/>
  <c r="E666" i="14"/>
  <c r="E14" i="14"/>
  <c r="G653" i="14"/>
  <c r="N653" i="14" s="1"/>
  <c r="E106" i="14"/>
  <c r="E650" i="14"/>
  <c r="G788" i="14"/>
  <c r="N788" i="14" s="1"/>
  <c r="E186" i="14"/>
  <c r="I280" i="14"/>
  <c r="I386" i="14"/>
  <c r="E984" i="14"/>
  <c r="E613" i="14"/>
  <c r="E218" i="14"/>
  <c r="I112" i="14"/>
  <c r="E404" i="14"/>
  <c r="E178" i="14"/>
  <c r="G472" i="14"/>
  <c r="N472" i="14" s="1"/>
  <c r="E506" i="14"/>
  <c r="G877" i="14"/>
  <c r="N877" i="14" s="1"/>
  <c r="G127" i="14"/>
  <c r="N127" i="14" s="1"/>
  <c r="E606" i="14"/>
  <c r="G364" i="14"/>
  <c r="N364" i="14" s="1"/>
  <c r="E366" i="14"/>
  <c r="G40" i="14"/>
  <c r="N40" i="14" s="1"/>
  <c r="G317" i="14"/>
  <c r="N317" i="14" s="1"/>
  <c r="E113" i="14"/>
  <c r="G518" i="14"/>
  <c r="N518" i="14" s="1"/>
  <c r="E35" i="14"/>
  <c r="E351" i="14"/>
  <c r="G213" i="14"/>
  <c r="N213" i="14" s="1"/>
  <c r="G380" i="14"/>
  <c r="N380" i="14" s="1"/>
  <c r="E85" i="14"/>
  <c r="E104" i="14"/>
  <c r="E911" i="14"/>
  <c r="E811" i="14"/>
  <c r="E485" i="14"/>
  <c r="I756" i="14"/>
  <c r="E295" i="14"/>
  <c r="I395" i="14"/>
  <c r="I949" i="14"/>
  <c r="I525" i="14"/>
  <c r="I685" i="14"/>
  <c r="I450" i="14"/>
  <c r="E954" i="14"/>
  <c r="G356" i="14"/>
  <c r="N356" i="14" s="1"/>
  <c r="I477" i="14"/>
  <c r="I729" i="14"/>
  <c r="G328" i="14"/>
  <c r="N328" i="14" s="1"/>
  <c r="I83" i="14"/>
  <c r="E895" i="14"/>
  <c r="I754" i="14"/>
  <c r="G961" i="14"/>
  <c r="N961" i="14" s="1"/>
  <c r="E389" i="14"/>
  <c r="E26" i="14"/>
  <c r="G604" i="14"/>
  <c r="N604" i="14" s="1"/>
  <c r="G293" i="14"/>
  <c r="N293" i="14" s="1"/>
  <c r="E459" i="14"/>
  <c r="I886" i="14"/>
  <c r="I146" i="14"/>
  <c r="I21" i="14"/>
  <c r="E110" i="14"/>
  <c r="E878" i="14"/>
  <c r="G827" i="14"/>
  <c r="N827" i="14" s="1"/>
  <c r="E144" i="14"/>
  <c r="E95" i="14"/>
  <c r="I760" i="14"/>
  <c r="I899" i="14"/>
  <c r="I272" i="14"/>
  <c r="G95" i="14"/>
  <c r="N95" i="14" s="1"/>
  <c r="G530" i="14"/>
  <c r="N530" i="14" s="1"/>
  <c r="G506" i="14"/>
  <c r="N506" i="14" s="1"/>
  <c r="I27" i="14"/>
  <c r="G176" i="14"/>
  <c r="N176" i="14" s="1"/>
  <c r="E787" i="14"/>
  <c r="G633" i="14"/>
  <c r="N633" i="14" s="1"/>
  <c r="I230" i="14"/>
  <c r="G763" i="14"/>
  <c r="N763" i="14" s="1"/>
  <c r="E331" i="14"/>
  <c r="G929" i="14"/>
  <c r="N929" i="14" s="1"/>
  <c r="G609" i="14"/>
  <c r="N609" i="14" s="1"/>
  <c r="G461" i="14"/>
  <c r="N461" i="14" s="1"/>
  <c r="I234" i="14"/>
  <c r="I809" i="14"/>
  <c r="I903" i="14"/>
  <c r="G192" i="14"/>
  <c r="N192" i="14" s="1"/>
  <c r="E213" i="14"/>
  <c r="G175" i="14"/>
  <c r="N175" i="14" s="1"/>
  <c r="G698" i="14"/>
  <c r="N698" i="14" s="1"/>
  <c r="G664" i="14"/>
  <c r="N664" i="14" s="1"/>
  <c r="I321" i="14"/>
  <c r="I808" i="14"/>
  <c r="G667" i="14"/>
  <c r="N667" i="14" s="1"/>
  <c r="I768" i="14"/>
  <c r="I249" i="14"/>
  <c r="E635" i="14"/>
  <c r="I547" i="14"/>
  <c r="E317" i="14"/>
  <c r="E533" i="14"/>
  <c r="I545" i="14"/>
  <c r="I628" i="14"/>
  <c r="G225" i="14"/>
  <c r="N225" i="14" s="1"/>
  <c r="I493" i="14"/>
  <c r="G888" i="14"/>
  <c r="N888" i="14" s="1"/>
  <c r="I524" i="14"/>
  <c r="E399" i="14"/>
  <c r="I656" i="14"/>
  <c r="E577" i="14"/>
  <c r="I65" i="14"/>
  <c r="G668" i="14"/>
  <c r="N668" i="14" s="1"/>
  <c r="I199" i="14"/>
  <c r="G916" i="14"/>
  <c r="N916" i="14" s="1"/>
  <c r="I257" i="14"/>
  <c r="E303" i="14"/>
  <c r="E767" i="14"/>
  <c r="E83" i="14"/>
  <c r="E711" i="14"/>
  <c r="E569" i="14"/>
  <c r="E994" i="14"/>
  <c r="I732" i="14"/>
  <c r="I476" i="14"/>
  <c r="E853" i="14"/>
  <c r="E145" i="14"/>
  <c r="G918" i="14"/>
  <c r="N918" i="14" s="1"/>
  <c r="G386" i="14"/>
  <c r="N386" i="14" s="1"/>
  <c r="E160" i="14"/>
  <c r="G265" i="14"/>
  <c r="N265" i="14" s="1"/>
  <c r="I829" i="14"/>
  <c r="E118" i="14"/>
  <c r="E276" i="14"/>
  <c r="E642" i="14"/>
  <c r="E153" i="14"/>
  <c r="I120" i="14"/>
  <c r="I399" i="14"/>
  <c r="I922" i="14"/>
  <c r="I372" i="14"/>
  <c r="I430" i="14"/>
  <c r="G28" i="14"/>
  <c r="N28" i="14" s="1"/>
  <c r="I816" i="14"/>
  <c r="E918" i="14"/>
  <c r="G153" i="14"/>
  <c r="N153" i="14" s="1"/>
  <c r="E486" i="14"/>
  <c r="G557" i="14"/>
  <c r="N557" i="14" s="1"/>
  <c r="I999" i="14"/>
  <c r="I657" i="14"/>
  <c r="E80" i="14"/>
  <c r="G642" i="14"/>
  <c r="N642" i="14" s="1"/>
  <c r="E416" i="14"/>
  <c r="I34" i="14"/>
  <c r="E374" i="14"/>
  <c r="G190" i="14"/>
  <c r="N190" i="14" s="1"/>
  <c r="G248" i="14"/>
  <c r="N248" i="14" s="1"/>
  <c r="I898" i="14"/>
  <c r="G665" i="14"/>
  <c r="N665" i="14" s="1"/>
  <c r="E376" i="14"/>
  <c r="I655" i="14"/>
  <c r="E668" i="14"/>
  <c r="I686" i="14"/>
  <c r="E284" i="14"/>
  <c r="G637" i="14"/>
  <c r="N637" i="14" s="1"/>
  <c r="E544" i="14"/>
  <c r="I693" i="14"/>
  <c r="G412" i="14"/>
  <c r="N412" i="14" s="1"/>
  <c r="G694" i="14"/>
  <c r="N694" i="14" s="1"/>
  <c r="E124" i="14"/>
  <c r="I790" i="14"/>
  <c r="E258" i="14"/>
  <c r="G32" i="14"/>
  <c r="N32" i="14" s="1"/>
  <c r="G646" i="14"/>
  <c r="N646" i="14" s="1"/>
  <c r="E514" i="14"/>
  <c r="I362" i="14"/>
  <c r="I292" i="14"/>
  <c r="I771" i="14"/>
  <c r="E53" i="14"/>
  <c r="I15" i="14"/>
  <c r="I538" i="14"/>
  <c r="E525" i="14"/>
  <c r="E46" i="14"/>
  <c r="I432" i="14"/>
  <c r="G142" i="14"/>
  <c r="N142" i="14" s="1"/>
  <c r="E115" i="14"/>
  <c r="E394" i="14"/>
  <c r="E679" i="14"/>
  <c r="G559" i="14"/>
  <c r="N559" i="14" s="1"/>
  <c r="E202" i="14"/>
  <c r="G725" i="14"/>
  <c r="N725" i="14" s="1"/>
  <c r="I297" i="14"/>
  <c r="E683" i="14"/>
  <c r="I515" i="14"/>
  <c r="I301" i="14"/>
  <c r="E581" i="14"/>
  <c r="I593" i="14"/>
  <c r="I468" i="14"/>
  <c r="E925" i="14"/>
  <c r="E996" i="14"/>
  <c r="G593" i="14"/>
  <c r="N593" i="14" s="1"/>
  <c r="I125" i="14"/>
  <c r="E628" i="14"/>
  <c r="G906" i="14"/>
  <c r="N906" i="14" s="1"/>
  <c r="I251" i="14"/>
  <c r="I953" i="14"/>
  <c r="E103" i="14"/>
  <c r="I943" i="14"/>
  <c r="E945" i="14"/>
  <c r="I250" i="14"/>
  <c r="I632" i="14"/>
  <c r="G458" i="14"/>
  <c r="N458" i="14" s="1"/>
  <c r="E981" i="14"/>
  <c r="G471" i="14"/>
  <c r="N471" i="14" s="1"/>
  <c r="I553" i="14"/>
  <c r="G150" i="14"/>
  <c r="N150" i="14" s="1"/>
  <c r="E939" i="14"/>
  <c r="I891" i="14"/>
  <c r="I171" i="14"/>
  <c r="I849" i="14"/>
  <c r="I724" i="14"/>
  <c r="G849" i="14"/>
  <c r="N849" i="14" s="1"/>
  <c r="I381" i="14"/>
  <c r="I154" i="14"/>
  <c r="G222" i="14"/>
  <c r="N222" i="14" s="1"/>
  <c r="I759" i="14"/>
  <c r="I48" i="14"/>
  <c r="G219" i="14"/>
  <c r="N219" i="14" s="1"/>
  <c r="G747" i="14"/>
  <c r="N747" i="14" s="1"/>
  <c r="I380" i="14"/>
  <c r="I621" i="14"/>
  <c r="G984" i="14"/>
  <c r="N984" i="14" s="1"/>
  <c r="E74" i="14"/>
  <c r="I597" i="14"/>
  <c r="E760" i="14"/>
  <c r="I169" i="14"/>
  <c r="E555" i="14"/>
  <c r="I259" i="14"/>
  <c r="I173" i="14"/>
  <c r="G453" i="14"/>
  <c r="N453" i="14" s="1"/>
  <c r="E976" i="14"/>
  <c r="I465" i="14"/>
  <c r="I228" i="14"/>
  <c r="G755" i="14"/>
  <c r="N755" i="14" s="1"/>
  <c r="I356" i="14"/>
  <c r="I692" i="14"/>
  <c r="G72" i="14"/>
  <c r="N72" i="14" s="1"/>
  <c r="I526" i="14"/>
  <c r="G124" i="14"/>
  <c r="N124" i="14" s="1"/>
  <c r="I912" i="14"/>
  <c r="I677" i="14"/>
  <c r="E289" i="14"/>
  <c r="E908" i="14"/>
  <c r="I990" i="14"/>
  <c r="G588" i="14"/>
  <c r="N588" i="14" s="1"/>
  <c r="E979" i="14"/>
  <c r="G318" i="14"/>
  <c r="N318" i="14" s="1"/>
  <c r="E259" i="14"/>
  <c r="E887" i="14"/>
  <c r="I819" i="14"/>
  <c r="G907" i="14"/>
  <c r="N907" i="14" s="1"/>
  <c r="G228" i="14"/>
  <c r="N228" i="14" s="1"/>
  <c r="G683" i="14"/>
  <c r="N683" i="14" s="1"/>
  <c r="I803" i="14"/>
  <c r="G773" i="14"/>
  <c r="N773" i="14" s="1"/>
  <c r="I172" i="14"/>
  <c r="I774" i="14"/>
  <c r="G306" i="14"/>
  <c r="N306" i="14" s="1"/>
  <c r="G80" i="14"/>
  <c r="N80" i="14" s="1"/>
  <c r="I461" i="14"/>
  <c r="G772" i="14"/>
  <c r="N772" i="14" s="1"/>
  <c r="E358" i="14"/>
  <c r="G443" i="14"/>
  <c r="N443" i="14" s="1"/>
  <c r="E40" i="14"/>
  <c r="G255" i="14"/>
  <c r="N255" i="14" s="1"/>
  <c r="E778" i="14"/>
  <c r="G436" i="14"/>
  <c r="N436" i="14" s="1"/>
  <c r="I33" i="14"/>
  <c r="E822" i="14"/>
  <c r="E889" i="14"/>
  <c r="G18" i="14"/>
  <c r="N18" i="14" s="1"/>
  <c r="E223" i="14"/>
  <c r="G38" i="14"/>
  <c r="N38" i="14" s="1"/>
  <c r="E254" i="14"/>
  <c r="I490" i="14"/>
  <c r="G62" i="14"/>
  <c r="N62" i="14" s="1"/>
  <c r="G448" i="14"/>
  <c r="N448" i="14" s="1"/>
  <c r="G67" i="14"/>
  <c r="N67" i="14" s="1"/>
  <c r="I954" i="14"/>
  <c r="I947" i="14"/>
  <c r="I505" i="14"/>
  <c r="I681" i="14"/>
  <c r="E25" i="14"/>
  <c r="G793" i="14"/>
  <c r="N793" i="14" s="1"/>
  <c r="E704" i="14"/>
  <c r="G884" i="14"/>
  <c r="N884" i="14" s="1"/>
  <c r="I780" i="14"/>
  <c r="I737" i="14"/>
  <c r="I636" i="14"/>
  <c r="G922" i="14"/>
  <c r="N922" i="14" s="1"/>
  <c r="G897" i="14"/>
  <c r="N897" i="14" s="1"/>
  <c r="I924" i="14"/>
  <c r="G611" i="14"/>
  <c r="N611" i="14" s="1"/>
  <c r="G600" i="14"/>
  <c r="N600" i="14" s="1"/>
  <c r="E967" i="14"/>
  <c r="G915" i="14"/>
  <c r="N915" i="14" s="1"/>
  <c r="G60" i="14"/>
  <c r="N60" i="14" s="1"/>
  <c r="E865" i="14"/>
  <c r="G746" i="14"/>
  <c r="N746" i="14" s="1"/>
  <c r="G759" i="14"/>
  <c r="N759" i="14" s="1"/>
  <c r="I438" i="14"/>
  <c r="I776" i="14"/>
  <c r="E290" i="14"/>
  <c r="G710" i="14"/>
  <c r="N710" i="14" s="1"/>
  <c r="E43" i="14"/>
  <c r="G754" i="14"/>
  <c r="N754" i="14" s="1"/>
  <c r="I482" i="14"/>
  <c r="E851" i="14"/>
  <c r="I68" i="14"/>
  <c r="G974" i="14"/>
  <c r="N974" i="14" s="1"/>
  <c r="E768" i="14"/>
  <c r="E550" i="14"/>
  <c r="E944" i="14"/>
  <c r="E726" i="14"/>
  <c r="I970" i="14"/>
  <c r="E838" i="14"/>
  <c r="E928" i="14"/>
  <c r="I984" i="14"/>
  <c r="G859" i="14"/>
  <c r="N859" i="14" s="1"/>
  <c r="G925" i="14"/>
  <c r="N925" i="14" s="1"/>
  <c r="I243" i="14"/>
  <c r="I923" i="14"/>
  <c r="I160" i="14"/>
  <c r="E37" i="14"/>
  <c r="E560" i="14"/>
  <c r="I610" i="14"/>
  <c r="E68" i="14"/>
  <c r="E454" i="14"/>
  <c r="G185" i="14"/>
  <c r="N185" i="14" s="1"/>
  <c r="E136" i="14"/>
  <c r="E479" i="14"/>
  <c r="I700" i="14"/>
  <c r="I735" i="14"/>
  <c r="G748" i="14"/>
  <c r="N748" i="14" s="1"/>
  <c r="I830" i="14"/>
  <c r="G428" i="14"/>
  <c r="N428" i="14" s="1"/>
  <c r="G826" i="14"/>
  <c r="N826" i="14" s="1"/>
  <c r="G91" i="14"/>
  <c r="N91" i="14" s="1"/>
  <c r="I825" i="14"/>
  <c r="G236" i="14"/>
  <c r="N236" i="14" s="1"/>
  <c r="E715" i="14"/>
  <c r="E792" i="14"/>
  <c r="I353" i="14"/>
  <c r="E819" i="14"/>
  <c r="I870" i="14"/>
  <c r="E402" i="14"/>
  <c r="E176" i="14"/>
  <c r="G393" i="14"/>
  <c r="N393" i="14" s="1"/>
  <c r="E781" i="14"/>
  <c r="I70" i="14"/>
  <c r="G155" i="14"/>
  <c r="N155" i="14" s="1"/>
  <c r="I485" i="14"/>
  <c r="G316" i="14"/>
  <c r="N316" i="14" s="1"/>
  <c r="E536" i="14"/>
  <c r="G920" i="14"/>
  <c r="N920" i="14" s="1"/>
  <c r="I10" i="14"/>
  <c r="I533" i="14"/>
  <c r="E504" i="14"/>
  <c r="I190" i="14"/>
  <c r="G576" i="14"/>
  <c r="N576" i="14" s="1"/>
  <c r="G302" i="14"/>
  <c r="N302" i="14" s="1"/>
  <c r="G195" i="14"/>
  <c r="N195" i="14" s="1"/>
  <c r="E474" i="14"/>
  <c r="E997" i="14"/>
  <c r="G487" i="14"/>
  <c r="N487" i="14" s="1"/>
  <c r="G271" i="14"/>
  <c r="N271" i="14" s="1"/>
  <c r="G787" i="14"/>
  <c r="N787" i="14" s="1"/>
  <c r="I452" i="14"/>
  <c r="G804" i="14"/>
  <c r="N804" i="14" s="1"/>
  <c r="E94" i="14"/>
  <c r="I645" i="14"/>
  <c r="E963" i="14"/>
  <c r="E707" i="14"/>
  <c r="I377" i="14"/>
  <c r="E763" i="14"/>
  <c r="I779" i="14"/>
  <c r="E445" i="14"/>
  <c r="E661" i="14"/>
  <c r="I673" i="14"/>
  <c r="E756" i="14"/>
  <c r="G353" i="14"/>
  <c r="N353" i="14" s="1"/>
  <c r="E664" i="14"/>
  <c r="E205" i="14"/>
  <c r="E938" i="14"/>
  <c r="I539" i="14"/>
  <c r="G669" i="14"/>
  <c r="N669" i="14" s="1"/>
  <c r="I442" i="14"/>
  <c r="E141" i="14"/>
  <c r="I824" i="14"/>
  <c r="G474" i="14"/>
  <c r="N474" i="14" s="1"/>
  <c r="G368" i="14"/>
  <c r="N368" i="14" s="1"/>
  <c r="G51" i="14"/>
  <c r="N51" i="14" s="1"/>
  <c r="E615" i="14"/>
  <c r="I650" i="14"/>
  <c r="G663" i="14"/>
  <c r="N663" i="14" s="1"/>
  <c r="G342" i="14"/>
  <c r="N342" i="14" s="1"/>
  <c r="G726" i="14"/>
  <c r="N726" i="14" s="1"/>
  <c r="G831" i="14"/>
  <c r="N831" i="14" s="1"/>
  <c r="E623" i="14"/>
  <c r="E327" i="14"/>
  <c r="I658" i="14"/>
  <c r="G39" i="14"/>
  <c r="N39" i="14" s="1"/>
  <c r="E146" i="14"/>
  <c r="G70" i="14"/>
  <c r="N70" i="14" s="1"/>
  <c r="G173" i="14"/>
  <c r="N173" i="14" s="1"/>
  <c r="G294" i="14"/>
  <c r="N294" i="14" s="1"/>
  <c r="G349" i="14"/>
  <c r="N349" i="14" s="1"/>
  <c r="I475" i="14"/>
  <c r="E943" i="14"/>
  <c r="I428" i="14"/>
  <c r="I277" i="14"/>
  <c r="E59" i="14"/>
  <c r="E453" i="14"/>
  <c r="G320" i="14"/>
  <c r="N320" i="14" s="1"/>
  <c r="G565" i="14"/>
  <c r="N565" i="14" s="1"/>
  <c r="E347" i="14"/>
  <c r="G741" i="14"/>
  <c r="N741" i="14" s="1"/>
  <c r="I523" i="14"/>
  <c r="E594" i="14"/>
  <c r="G439" i="14"/>
  <c r="N439" i="14" s="1"/>
  <c r="G274" i="14"/>
  <c r="N274" i="14" s="1"/>
  <c r="G550" i="14"/>
  <c r="N550" i="14" s="1"/>
  <c r="E27" i="14"/>
  <c r="I306" i="14"/>
  <c r="I501" i="14"/>
  <c r="I746" i="14"/>
  <c r="I318" i="14"/>
  <c r="I704" i="14"/>
  <c r="G323" i="14"/>
  <c r="N323" i="14" s="1"/>
  <c r="I92" i="14"/>
  <c r="G676" i="14"/>
  <c r="N676" i="14" s="1"/>
  <c r="I766" i="14"/>
  <c r="I917" i="14"/>
  <c r="I878" i="14"/>
  <c r="E191" i="14"/>
  <c r="G194" i="14"/>
  <c r="N194" i="14" s="1"/>
  <c r="E951" i="14"/>
  <c r="I831" i="14"/>
  <c r="E272" i="14"/>
  <c r="G164" i="14"/>
  <c r="N164" i="14" s="1"/>
  <c r="E692" i="14"/>
  <c r="I78" i="14"/>
  <c r="G254" i="14"/>
  <c r="N254" i="14" s="1"/>
  <c r="I281" i="14"/>
  <c r="I457" i="14"/>
  <c r="E793" i="14"/>
  <c r="E354" i="14"/>
  <c r="E209" i="14"/>
  <c r="G385" i="14"/>
  <c r="N385" i="14" s="1"/>
  <c r="G497" i="14"/>
  <c r="N497" i="14" s="1"/>
  <c r="G673" i="14"/>
  <c r="N673" i="14" s="1"/>
  <c r="G959" i="14"/>
  <c r="N959" i="14" s="1"/>
  <c r="I540" i="14"/>
  <c r="I877" i="14"/>
  <c r="I63" i="14"/>
  <c r="I71" i="14"/>
  <c r="E36" i="14"/>
  <c r="E123" i="14"/>
  <c r="I299" i="14"/>
  <c r="I326" i="14"/>
  <c r="E502" i="14"/>
  <c r="E375" i="14"/>
  <c r="G238" i="14"/>
  <c r="N238" i="14" s="1"/>
  <c r="E112" i="14"/>
  <c r="E224" i="14"/>
  <c r="G1005" i="14"/>
  <c r="N1005" i="14" s="1"/>
  <c r="E400" i="14"/>
  <c r="E182" i="14"/>
  <c r="I252" i="14"/>
  <c r="G360" i="14"/>
  <c r="N360" i="14" s="1"/>
  <c r="G856" i="14"/>
  <c r="N856" i="14" s="1"/>
  <c r="G121" i="14"/>
  <c r="N121" i="14" s="1"/>
  <c r="I507" i="14"/>
  <c r="I189" i="14"/>
  <c r="I928" i="14"/>
  <c r="G500" i="14"/>
  <c r="N500" i="14" s="1"/>
  <c r="G886" i="14"/>
  <c r="N886" i="14" s="1"/>
  <c r="G760" i="14"/>
  <c r="N760" i="14" s="1"/>
  <c r="G794" i="14"/>
  <c r="N794" i="14" s="1"/>
  <c r="G796" i="14"/>
  <c r="N796" i="14" s="1"/>
  <c r="I186" i="14"/>
  <c r="I568" i="14"/>
  <c r="G955" i="14"/>
  <c r="N955" i="14" s="1"/>
  <c r="I552" i="14"/>
  <c r="G607" i="14"/>
  <c r="N607" i="14" s="1"/>
  <c r="E84" i="14"/>
  <c r="G61" i="14"/>
  <c r="N61" i="14" s="1"/>
  <c r="E196" i="14"/>
  <c r="E88" i="14"/>
  <c r="E372" i="14"/>
  <c r="G264" i="14"/>
  <c r="N264" i="14" s="1"/>
  <c r="G632" i="14"/>
  <c r="N632" i="14" s="1"/>
  <c r="E708" i="14"/>
  <c r="G268" i="14"/>
  <c r="N268" i="14" s="1"/>
  <c r="G522" i="14"/>
  <c r="N522" i="14" s="1"/>
  <c r="I38" i="14"/>
  <c r="E65" i="14"/>
  <c r="G300" i="14"/>
  <c r="N300" i="14" s="1"/>
  <c r="G118" i="14"/>
  <c r="N118" i="14" s="1"/>
  <c r="E412" i="14"/>
  <c r="G470" i="14"/>
  <c r="N470" i="14" s="1"/>
  <c r="I502" i="14"/>
  <c r="G808" i="14"/>
  <c r="N808" i="14" s="1"/>
  <c r="I873" i="14"/>
  <c r="E794" i="14"/>
  <c r="E455" i="14"/>
  <c r="G872" i="14"/>
  <c r="N872" i="14" s="1"/>
  <c r="G324" i="14"/>
  <c r="N324" i="14" s="1"/>
  <c r="E481" i="14"/>
  <c r="E583" i="14"/>
  <c r="I317" i="14"/>
  <c r="G605" i="14"/>
  <c r="N605" i="14" s="1"/>
  <c r="I684" i="14"/>
  <c r="E448" i="14"/>
  <c r="G821" i="14"/>
  <c r="N821" i="14" s="1"/>
  <c r="E850" i="14"/>
  <c r="G836" i="14"/>
  <c r="N836" i="14" s="1"/>
  <c r="G792" i="14"/>
  <c r="N792" i="14" s="1"/>
  <c r="I872" i="14"/>
  <c r="E934" i="14"/>
  <c r="I179" i="14"/>
  <c r="I337" i="14"/>
  <c r="G151" i="14"/>
  <c r="N151" i="14" s="1"/>
  <c r="G504" i="14"/>
  <c r="N504" i="14" s="1"/>
  <c r="G540" i="14"/>
  <c r="N540" i="14" s="1"/>
  <c r="G110" i="14"/>
  <c r="N110" i="14" s="1"/>
  <c r="G99" i="14"/>
  <c r="N99" i="14" s="1"/>
  <c r="G378" i="14"/>
  <c r="N378" i="14" s="1"/>
  <c r="G901" i="14"/>
  <c r="N901" i="14" s="1"/>
  <c r="I329" i="14"/>
  <c r="I409" i="14"/>
  <c r="G7" i="14"/>
  <c r="N7" i="14" s="1"/>
  <c r="E795" i="14"/>
  <c r="I811" i="14"/>
  <c r="E617" i="14"/>
  <c r="G651" i="14"/>
  <c r="N651" i="14" s="1"/>
  <c r="G103" i="14"/>
  <c r="N103" i="14" s="1"/>
  <c r="G769" i="14"/>
  <c r="N769" i="14" s="1"/>
  <c r="G237" i="14"/>
  <c r="N237" i="14" s="1"/>
  <c r="G10" i="14"/>
  <c r="N10" i="14" s="1"/>
  <c r="I765" i="14"/>
  <c r="E54" i="14"/>
  <c r="E578" i="14"/>
  <c r="E618" i="14"/>
  <c r="E420" i="14"/>
  <c r="I856" i="14"/>
  <c r="G117" i="14"/>
  <c r="N117" i="14" s="1"/>
  <c r="I743" i="14"/>
  <c r="E517" i="14"/>
  <c r="G440" i="14"/>
  <c r="N440" i="14" s="1"/>
  <c r="G25" i="14"/>
  <c r="N25" i="14" s="1"/>
  <c r="E411" i="14"/>
  <c r="I99" i="14"/>
  <c r="E93" i="14"/>
  <c r="E319" i="14"/>
  <c r="E658" i="14"/>
  <c r="G932" i="14"/>
  <c r="N932" i="14" s="1"/>
  <c r="I537" i="14"/>
  <c r="I989" i="14"/>
  <c r="I351" i="14"/>
  <c r="I874" i="14"/>
  <c r="I276" i="14"/>
  <c r="E532" i="14"/>
  <c r="G129" i="14"/>
  <c r="N129" i="14" s="1"/>
  <c r="I918" i="14"/>
  <c r="G870" i="14"/>
  <c r="N870" i="14" s="1"/>
  <c r="I861" i="14"/>
  <c r="E129" i="14"/>
  <c r="E828" i="14"/>
  <c r="G703" i="14"/>
  <c r="N703" i="14" s="1"/>
  <c r="I755" i="14"/>
  <c r="E435" i="14"/>
  <c r="E42" i="14"/>
  <c r="E983" i="14"/>
  <c r="G212" i="14"/>
  <c r="N212" i="14" s="1"/>
  <c r="I718" i="14"/>
  <c r="E316" i="14"/>
  <c r="G502" i="14"/>
  <c r="N502" i="14" s="1"/>
  <c r="E28" i="14"/>
  <c r="I694" i="14"/>
  <c r="G546" i="14"/>
  <c r="N546" i="14" s="1"/>
  <c r="E320" i="14"/>
  <c r="E989" i="14"/>
  <c r="E278" i="14"/>
  <c r="E299" i="14"/>
  <c r="E261" i="14"/>
  <c r="G784" i="14"/>
  <c r="N784" i="14" s="1"/>
  <c r="I9" i="14"/>
  <c r="G355" i="14"/>
  <c r="N355" i="14" s="1"/>
  <c r="E665" i="14"/>
  <c r="G875" i="14"/>
  <c r="N875" i="14" s="1"/>
  <c r="I882" i="14"/>
  <c r="I974" i="14"/>
  <c r="E572" i="14"/>
  <c r="I103" i="14"/>
  <c r="E543" i="14"/>
  <c r="E885" i="14"/>
  <c r="I209" i="14"/>
  <c r="I950" i="14"/>
  <c r="I53" i="14"/>
  <c r="E576" i="14"/>
  <c r="G674" i="14"/>
  <c r="N674" i="14" s="1"/>
  <c r="E148" i="14"/>
  <c r="E534" i="14"/>
  <c r="I217" i="14"/>
  <c r="I152" i="14"/>
  <c r="G517" i="14"/>
  <c r="N517" i="14" s="1"/>
  <c r="I529" i="14"/>
  <c r="E356" i="14"/>
  <c r="I840" i="14"/>
  <c r="E639" i="14"/>
  <c r="I136" i="14"/>
  <c r="I590" i="14"/>
  <c r="G188" i="14"/>
  <c r="N188" i="14" s="1"/>
  <c r="G976" i="14"/>
  <c r="N976" i="14" s="1"/>
  <c r="E993" i="14"/>
  <c r="G597" i="14"/>
  <c r="N597" i="14" s="1"/>
  <c r="G246" i="14"/>
  <c r="N246" i="14" s="1"/>
  <c r="G887" i="14"/>
  <c r="N887" i="14" s="1"/>
  <c r="E969" i="14"/>
  <c r="I566" i="14"/>
  <c r="G947" i="14"/>
  <c r="N947" i="14" s="1"/>
  <c r="E62" i="14"/>
  <c r="E238" i="14"/>
  <c r="E866" i="14"/>
  <c r="I77" i="14"/>
  <c r="E442" i="14"/>
  <c r="G454" i="14"/>
  <c r="N454" i="14" s="1"/>
  <c r="G541" i="14"/>
  <c r="N541" i="14" s="1"/>
  <c r="G314" i="14"/>
  <c r="N314" i="14" s="1"/>
  <c r="E696" i="14"/>
  <c r="I499" i="14"/>
  <c r="G424" i="14"/>
  <c r="N424" i="14" s="1"/>
  <c r="G911" i="14"/>
  <c r="N911" i="14" s="1"/>
  <c r="G585" i="14"/>
  <c r="N585" i="14" s="1"/>
  <c r="E365" i="14"/>
  <c r="G841" i="14"/>
  <c r="N841" i="14" s="1"/>
  <c r="I900" i="14"/>
  <c r="I791" i="14"/>
  <c r="I80" i="14"/>
  <c r="I165" i="14"/>
  <c r="I727" i="14"/>
  <c r="E501" i="14"/>
  <c r="G376" i="14"/>
  <c r="N376" i="14" s="1"/>
  <c r="G73" i="14"/>
  <c r="N73" i="14" s="1"/>
  <c r="I459" i="14"/>
  <c r="I921" i="14"/>
  <c r="G334" i="14"/>
  <c r="N334" i="14" s="1"/>
  <c r="I988" i="14"/>
  <c r="I795" i="14"/>
  <c r="I741" i="14"/>
  <c r="G753" i="14"/>
  <c r="N753" i="14" s="1"/>
  <c r="E772" i="14"/>
  <c r="G369" i="14"/>
  <c r="N369" i="14" s="1"/>
  <c r="I106" i="14"/>
  <c r="G978" i="14"/>
  <c r="N978" i="14" s="1"/>
  <c r="G885" i="14"/>
  <c r="N885" i="14" s="1"/>
  <c r="G462" i="14"/>
  <c r="N462" i="14" s="1"/>
  <c r="G490" i="14"/>
  <c r="N490" i="14" s="1"/>
  <c r="G503" i="14"/>
  <c r="N503" i="14" s="1"/>
  <c r="I182" i="14"/>
  <c r="I417" i="14"/>
  <c r="I336" i="14"/>
  <c r="I421" i="14"/>
  <c r="G19" i="14"/>
  <c r="N19" i="14" s="1"/>
  <c r="G234" i="14"/>
  <c r="N234" i="14" s="1"/>
  <c r="G757" i="14"/>
  <c r="N757" i="14" s="1"/>
  <c r="E329" i="14"/>
  <c r="I715" i="14"/>
  <c r="G786" i="14"/>
  <c r="N786" i="14" s="1"/>
  <c r="E590" i="14"/>
  <c r="G811" i="14"/>
  <c r="N811" i="14" s="1"/>
  <c r="I491" i="14"/>
  <c r="G23" i="14"/>
  <c r="N23" i="14" s="1"/>
  <c r="E625" i="14"/>
  <c r="G242" i="14"/>
  <c r="N242" i="14" s="1"/>
  <c r="G16" i="14"/>
  <c r="N16" i="14" s="1"/>
  <c r="E343" i="14"/>
  <c r="I500" i="14"/>
  <c r="G980" i="14"/>
  <c r="N980" i="14" s="1"/>
  <c r="E126" i="14"/>
  <c r="E754" i="14"/>
  <c r="E612" i="14"/>
  <c r="I571" i="14"/>
  <c r="G37" i="14"/>
  <c r="N37" i="14" s="1"/>
  <c r="I599" i="14"/>
  <c r="G373" i="14"/>
  <c r="N373" i="14" s="1"/>
  <c r="I331" i="14"/>
  <c r="E206" i="14"/>
  <c r="E855" i="14"/>
  <c r="G713" i="14"/>
  <c r="N713" i="14" s="1"/>
  <c r="G395" i="14"/>
  <c r="N395" i="14" s="1"/>
  <c r="G357" i="14"/>
  <c r="N357" i="14" s="1"/>
  <c r="E880" i="14"/>
  <c r="G287" i="14"/>
  <c r="N287" i="14" s="1"/>
  <c r="E388" i="14"/>
  <c r="E774" i="14"/>
  <c r="G790" i="14"/>
  <c r="N790" i="14" s="1"/>
  <c r="I723" i="14"/>
  <c r="G446" i="14"/>
  <c r="N446" i="14" s="1"/>
  <c r="E900" i="14"/>
  <c r="I61" i="14"/>
  <c r="G910" i="14"/>
  <c r="N910" i="14" s="1"/>
  <c r="I543" i="14"/>
  <c r="E556" i="14"/>
  <c r="I638" i="14"/>
  <c r="E236" i="14"/>
  <c r="E977" i="14"/>
  <c r="G539" i="14"/>
  <c r="N539" i="14" s="1"/>
  <c r="E342" i="14"/>
  <c r="G935" i="14"/>
  <c r="N935" i="14" s="1"/>
  <c r="E809" i="14"/>
  <c r="I934" i="14"/>
  <c r="G466" i="14"/>
  <c r="N466" i="14" s="1"/>
  <c r="G240" i="14"/>
  <c r="N240" i="14" s="1"/>
  <c r="G830" i="14"/>
  <c r="N830" i="14" s="1"/>
  <c r="G845" i="14"/>
  <c r="N845" i="14" s="1"/>
  <c r="E134" i="14"/>
  <c r="I304" i="14"/>
  <c r="E466" i="14"/>
  <c r="I554" i="14"/>
  <c r="I126" i="14"/>
  <c r="I512" i="14"/>
  <c r="G131" i="14"/>
  <c r="N131" i="14" s="1"/>
  <c r="G933" i="14"/>
  <c r="N933" i="14" s="1"/>
  <c r="I701" i="14"/>
  <c r="I422" i="14"/>
  <c r="G715" i="14"/>
  <c r="N715" i="14" s="1"/>
  <c r="E886" i="14"/>
  <c r="I728" i="14"/>
  <c r="E51" i="14"/>
  <c r="I817" i="14"/>
  <c r="G599" i="14"/>
  <c r="N599" i="14" s="1"/>
  <c r="I907" i="14"/>
  <c r="I775" i="14"/>
  <c r="G801" i="14"/>
  <c r="N801" i="14" s="1"/>
  <c r="I977" i="14"/>
  <c r="G835" i="14"/>
  <c r="N835" i="14" s="1"/>
  <c r="G816" i="14"/>
  <c r="N816" i="14" s="1"/>
  <c r="G152" i="14"/>
  <c r="N152" i="14" s="1"/>
  <c r="I84" i="14"/>
  <c r="E127" i="14"/>
  <c r="G94" i="14"/>
  <c r="N94" i="14" s="1"/>
  <c r="I787" i="14"/>
  <c r="I175" i="14"/>
  <c r="G391" i="14"/>
  <c r="N391" i="14" s="1"/>
  <c r="E339" i="14"/>
  <c r="G479" i="14"/>
  <c r="N479" i="14" s="1"/>
  <c r="G354" i="14"/>
  <c r="N354" i="14" s="1"/>
  <c r="G9" i="14"/>
  <c r="N9" i="14" s="1"/>
  <c r="I797" i="14"/>
  <c r="G107" i="14"/>
  <c r="N107" i="14" s="1"/>
  <c r="I733" i="14"/>
  <c r="I397" i="14"/>
  <c r="G398" i="14"/>
  <c r="N398" i="14" s="1"/>
  <c r="I784" i="14"/>
  <c r="I862" i="14"/>
  <c r="E355" i="14"/>
  <c r="G409" i="14"/>
  <c r="N409" i="14" s="1"/>
  <c r="E188" i="14"/>
  <c r="E245" i="14"/>
  <c r="G421" i="14"/>
  <c r="N421" i="14" s="1"/>
  <c r="I447" i="14"/>
  <c r="I49" i="14"/>
  <c r="I623" i="14"/>
  <c r="G140" i="14"/>
  <c r="N140" i="14" s="1"/>
  <c r="E857" i="14"/>
  <c r="G511" i="14"/>
  <c r="N511" i="14" s="1"/>
  <c r="G731" i="14"/>
  <c r="N731" i="14" s="1"/>
  <c r="I60" i="14"/>
  <c r="I147" i="14"/>
  <c r="I52" i="14"/>
  <c r="I183" i="14"/>
  <c r="I842" i="14"/>
  <c r="E497" i="14"/>
  <c r="G562" i="14"/>
  <c r="N562" i="14" s="1"/>
  <c r="G336" i="14"/>
  <c r="N336" i="14" s="1"/>
  <c r="I717" i="14"/>
  <c r="G670" i="14"/>
  <c r="N670" i="14" s="1"/>
  <c r="E18" i="14"/>
  <c r="E228" i="14"/>
  <c r="E614" i="14"/>
  <c r="E505" i="14"/>
  <c r="I296" i="14"/>
  <c r="I511" i="14"/>
  <c r="E524" i="14"/>
  <c r="G692" i="14"/>
  <c r="N692" i="14" s="1"/>
  <c r="G289" i="14"/>
  <c r="N289" i="14" s="1"/>
  <c r="G579" i="14"/>
  <c r="N579" i="14" s="1"/>
  <c r="G952" i="14"/>
  <c r="N952" i="14" s="1"/>
  <c r="E122" i="14"/>
  <c r="I588" i="14"/>
  <c r="E655" i="14"/>
  <c r="I896" i="14"/>
  <c r="G534" i="14"/>
  <c r="N534" i="14" s="1"/>
  <c r="E44" i="14"/>
  <c r="I646" i="14"/>
  <c r="G178" i="14"/>
  <c r="N178" i="14" s="1"/>
  <c r="G820" i="14"/>
  <c r="N820" i="14" s="1"/>
  <c r="E215" i="14"/>
  <c r="I202" i="14"/>
  <c r="I612" i="14"/>
  <c r="I62" i="14"/>
  <c r="G690" i="14"/>
  <c r="N690" i="14" s="1"/>
  <c r="E548" i="14"/>
  <c r="E1002" i="14"/>
  <c r="I443" i="14"/>
  <c r="G59" i="14"/>
  <c r="N59" i="14" s="1"/>
  <c r="G621" i="14"/>
  <c r="N621" i="14" s="1"/>
  <c r="I394" i="14"/>
  <c r="G352" i="14"/>
  <c r="N352" i="14" s="1"/>
  <c r="I227" i="14"/>
  <c r="I876" i="14"/>
  <c r="G735" i="14"/>
  <c r="N735" i="14" s="1"/>
  <c r="E728" i="14"/>
  <c r="E922" i="14"/>
  <c r="G245" i="14"/>
  <c r="N245" i="14" s="1"/>
  <c r="G122" i="14"/>
  <c r="N122" i="14" s="1"/>
  <c r="E645" i="14"/>
  <c r="I952" i="14"/>
  <c r="I153" i="14"/>
  <c r="E539" i="14"/>
  <c r="I355" i="14"/>
  <c r="G221" i="14"/>
  <c r="N221" i="14" s="1"/>
  <c r="E826" i="14"/>
  <c r="I786" i="14"/>
  <c r="I139" i="14"/>
  <c r="I833" i="14"/>
  <c r="E916" i="14"/>
  <c r="G513" i="14"/>
  <c r="N513" i="14" s="1"/>
  <c r="G84" i="14"/>
  <c r="N84" i="14" s="1"/>
  <c r="I911" i="14"/>
  <c r="G262" i="14"/>
  <c r="N262" i="14" s="1"/>
  <c r="I818" i="14"/>
  <c r="E714" i="14"/>
  <c r="G727" i="14"/>
  <c r="N727" i="14" s="1"/>
  <c r="G406" i="14"/>
  <c r="N406" i="14" s="1"/>
  <c r="I683" i="14"/>
  <c r="I980" i="14"/>
  <c r="G11" i="14"/>
  <c r="N11" i="14" s="1"/>
  <c r="I637" i="14"/>
  <c r="I13" i="14"/>
  <c r="E57" i="14"/>
  <c r="E239" i="14"/>
  <c r="E759" i="14"/>
  <c r="G523" i="14"/>
  <c r="N523" i="14" s="1"/>
  <c r="I614" i="14"/>
  <c r="I815" i="14"/>
  <c r="G705" i="14"/>
  <c r="N705" i="14" s="1"/>
  <c r="I927" i="14"/>
  <c r="E817" i="14"/>
  <c r="G993" i="14"/>
  <c r="N993" i="14" s="1"/>
  <c r="I504" i="14"/>
  <c r="E173" i="14"/>
  <c r="G860" i="14"/>
  <c r="N860" i="14" s="1"/>
  <c r="G659" i="14"/>
  <c r="N659" i="14" s="1"/>
  <c r="I503" i="14"/>
  <c r="G770" i="14"/>
  <c r="N770" i="14" s="1"/>
  <c r="I679" i="14"/>
  <c r="G42" i="14"/>
  <c r="N42" i="14" s="1"/>
  <c r="G218" i="14"/>
  <c r="N218" i="14" s="1"/>
  <c r="I74" i="14"/>
  <c r="I834" i="14"/>
  <c r="I904" i="14"/>
  <c r="I981" i="14"/>
  <c r="I810" i="14"/>
  <c r="I382" i="14"/>
  <c r="G768" i="14"/>
  <c r="N768" i="14" s="1"/>
  <c r="E387" i="14"/>
  <c r="E71" i="14"/>
  <c r="I678" i="14"/>
  <c r="I991" i="14"/>
  <c r="E210" i="14"/>
  <c r="E957" i="14"/>
  <c r="E725" i="14"/>
  <c r="I931" i="14"/>
  <c r="E222" i="14"/>
  <c r="I902" i="14"/>
  <c r="E684" i="14"/>
  <c r="I860" i="14"/>
  <c r="E972" i="14"/>
  <c r="E840" i="14"/>
  <c r="E323" i="14"/>
  <c r="G303" i="14"/>
  <c r="N303" i="14" s="1"/>
  <c r="E287" i="14"/>
  <c r="G958" i="14"/>
  <c r="N958" i="14" s="1"/>
  <c r="E834" i="14"/>
  <c r="E682" i="14"/>
  <c r="E773" i="14"/>
  <c r="I885" i="14"/>
  <c r="I914" i="14"/>
  <c r="I305" i="14"/>
  <c r="E158" i="14"/>
  <c r="E620" i="14"/>
  <c r="I881" i="14"/>
  <c r="I993" i="14"/>
  <c r="G344" i="14"/>
  <c r="N344" i="14" s="1"/>
  <c r="E166" i="14"/>
  <c r="I586" i="14"/>
  <c r="I544" i="14"/>
  <c r="E881" i="14"/>
  <c r="G839" i="14"/>
  <c r="N839" i="14" s="1"/>
  <c r="G249" i="14"/>
  <c r="N249" i="14" s="1"/>
  <c r="G116" i="14"/>
  <c r="N116" i="14" s="1"/>
  <c r="E452" i="14"/>
  <c r="G102" i="14"/>
  <c r="N102" i="14" s="1"/>
  <c r="G338" i="14"/>
  <c r="N338" i="14" s="1"/>
  <c r="I625" i="14"/>
  <c r="G450" i="14"/>
  <c r="N450" i="14" s="1"/>
  <c r="G678" i="14"/>
  <c r="N678" i="14" s="1"/>
  <c r="G626" i="14"/>
  <c r="N626" i="14" s="1"/>
  <c r="G893" i="14"/>
  <c r="N893" i="14" s="1"/>
  <c r="G969" i="14"/>
  <c r="N969" i="14" s="1"/>
  <c r="E706" i="14"/>
  <c r="I449" i="14"/>
  <c r="I858" i="14"/>
  <c r="E860" i="14"/>
  <c r="E165" i="14"/>
  <c r="G547" i="14"/>
  <c r="N547" i="14" s="1"/>
  <c r="E489" i="14"/>
  <c r="I163" i="14"/>
  <c r="G341" i="14"/>
  <c r="N341" i="14" s="1"/>
  <c r="E255" i="14"/>
  <c r="I118" i="14"/>
  <c r="G247" i="14"/>
  <c r="N247" i="14" s="1"/>
  <c r="I594" i="14"/>
  <c r="E899" i="14"/>
  <c r="I288" i="14"/>
  <c r="I418" i="14"/>
  <c r="I35" i="14"/>
  <c r="E89" i="14"/>
  <c r="E73" i="14"/>
  <c r="I441" i="14"/>
  <c r="E308" i="14"/>
  <c r="G1000" i="14"/>
  <c r="N1000" i="14" s="1"/>
  <c r="I627" i="14"/>
  <c r="G441" i="14"/>
  <c r="N441" i="14" s="1"/>
  <c r="G419" i="14"/>
  <c r="N419" i="14" s="1"/>
  <c r="I702" i="14"/>
  <c r="E252" i="14"/>
  <c r="I814" i="14"/>
  <c r="E784" i="14"/>
  <c r="I905" i="14"/>
  <c r="E802" i="14"/>
  <c r="E710" i="14"/>
  <c r="E1004" i="14"/>
  <c r="G57" i="14"/>
  <c r="N57" i="14" s="1"/>
  <c r="I582" i="14"/>
  <c r="I871" i="14"/>
  <c r="I396" i="14"/>
  <c r="I315" i="14"/>
  <c r="E603" i="14"/>
  <c r="I669" i="14"/>
  <c r="E761" i="14"/>
  <c r="E171" i="14"/>
  <c r="I128" i="14"/>
  <c r="G366" i="14"/>
  <c r="N366" i="14" s="1"/>
  <c r="E72" i="14"/>
  <c r="G672" i="14"/>
  <c r="N672" i="14" s="1"/>
  <c r="G966" i="14"/>
  <c r="N966" i="14" s="1"/>
  <c r="G521" i="14"/>
  <c r="N521" i="14" s="1"/>
  <c r="E201" i="14"/>
  <c r="G623" i="14"/>
  <c r="N623" i="14" s="1"/>
  <c r="E241" i="14"/>
  <c r="I788" i="14"/>
  <c r="I642" i="14"/>
  <c r="I995" i="14"/>
  <c r="I436" i="14"/>
  <c r="I58" i="14"/>
  <c r="G957" i="14"/>
  <c r="N957" i="14" s="1"/>
  <c r="E870" i="14"/>
  <c r="E39" i="14"/>
  <c r="G721" i="14"/>
  <c r="N721" i="14" s="1"/>
  <c r="E753" i="14"/>
  <c r="E854" i="14"/>
  <c r="G855" i="14"/>
  <c r="N855" i="14" s="1"/>
  <c r="G196" i="14"/>
  <c r="N196" i="14" s="1"/>
  <c r="G85" i="14"/>
  <c r="N85" i="14" s="1"/>
  <c r="G24" i="14"/>
  <c r="N24" i="14" s="1"/>
  <c r="I124" i="14"/>
  <c r="I196" i="14"/>
  <c r="I959" i="14"/>
  <c r="E839" i="14"/>
  <c r="E397" i="14"/>
  <c r="I573" i="14"/>
  <c r="G685" i="14"/>
  <c r="N685" i="14" s="1"/>
  <c r="G26" i="14"/>
  <c r="N26" i="14" s="1"/>
  <c r="I940" i="14"/>
  <c r="I221" i="14"/>
  <c r="G704" i="14"/>
  <c r="N704" i="14" s="1"/>
  <c r="I965" i="14"/>
  <c r="E992" i="14"/>
  <c r="G965" i="14"/>
  <c r="N965" i="14" s="1"/>
  <c r="G331" i="14"/>
  <c r="N331" i="14" s="1"/>
  <c r="G526" i="14"/>
  <c r="N526" i="14" s="1"/>
  <c r="E1001" i="14"/>
  <c r="E410" i="14"/>
  <c r="I549" i="14"/>
  <c r="I498" i="14"/>
  <c r="E260" i="14"/>
  <c r="E367" i="14"/>
  <c r="E649" i="14"/>
  <c r="G241" i="14"/>
  <c r="N241" i="14" s="1"/>
  <c r="G457" i="14"/>
  <c r="N457" i="14" s="1"/>
  <c r="G315" i="14"/>
  <c r="N315" i="14" s="1"/>
  <c r="I866" i="14"/>
  <c r="G427" i="14"/>
  <c r="N427" i="14" s="1"/>
  <c r="G973" i="14"/>
  <c r="N973" i="14" s="1"/>
  <c r="E313" i="14"/>
  <c r="I180" i="14"/>
  <c r="E232" i="14"/>
  <c r="E936" i="14"/>
  <c r="G991" i="14"/>
  <c r="N991" i="14" s="1"/>
  <c r="I695" i="14"/>
  <c r="E248" i="14"/>
  <c r="I448" i="14"/>
  <c r="I325" i="14"/>
  <c r="G223" i="14"/>
  <c r="N223" i="14" s="1"/>
  <c r="G740" i="14"/>
  <c r="N740" i="14" s="1"/>
  <c r="G49" i="14"/>
  <c r="N49" i="14" s="1"/>
  <c r="E526" i="14"/>
  <c r="G687" i="14"/>
  <c r="N687" i="14" s="1"/>
  <c r="E151" i="14"/>
  <c r="G501" i="14"/>
  <c r="N501" i="14" s="1"/>
  <c r="E17" i="14"/>
  <c r="I591" i="14"/>
  <c r="G193" i="14"/>
  <c r="N193" i="14" s="1"/>
  <c r="I703" i="14"/>
  <c r="G528" i="14"/>
  <c r="N528" i="14" s="1"/>
  <c r="G949" i="14"/>
  <c r="N949" i="14" s="1"/>
  <c r="G992" i="14"/>
  <c r="N992" i="14" s="1"/>
  <c r="G239" i="14"/>
  <c r="N239" i="14" s="1"/>
  <c r="I54" i="14"/>
  <c r="G399" i="14"/>
  <c r="N399" i="14" s="1"/>
  <c r="E998" i="14"/>
  <c r="I29" i="14"/>
  <c r="E82" i="14"/>
  <c r="G468" i="14"/>
  <c r="N468" i="14" s="1"/>
  <c r="G278" i="14"/>
  <c r="N278" i="14" s="1"/>
  <c r="I518" i="14"/>
  <c r="I813" i="14"/>
  <c r="I749" i="14"/>
  <c r="G702" i="14"/>
  <c r="N702" i="14" s="1"/>
  <c r="G728" i="14"/>
  <c r="N728" i="14" s="1"/>
  <c r="E32" i="14"/>
  <c r="E208" i="14"/>
  <c r="I320" i="14"/>
  <c r="G411" i="14"/>
  <c r="N411" i="14" s="1"/>
  <c r="E830" i="14"/>
  <c r="E751" i="14"/>
  <c r="I527" i="14"/>
  <c r="G44" i="14"/>
  <c r="N44" i="14" s="1"/>
  <c r="I639" i="14"/>
  <c r="G156" i="14"/>
  <c r="N156" i="14" s="1"/>
  <c r="G730" i="14"/>
  <c r="N730" i="14" s="1"/>
  <c r="E332" i="14"/>
  <c r="G617" i="14"/>
  <c r="N617" i="14" s="1"/>
  <c r="E47" i="14"/>
  <c r="E199" i="14"/>
  <c r="E724" i="14"/>
  <c r="G853" i="14"/>
  <c r="N853" i="14" s="1"/>
  <c r="G33" i="14"/>
  <c r="N33" i="14" s="1"/>
  <c r="G325" i="14"/>
  <c r="N325" i="14" s="1"/>
  <c r="E219" i="14"/>
  <c r="E551" i="14"/>
  <c r="E538" i="14"/>
  <c r="G736" i="14"/>
  <c r="N736" i="14" s="1"/>
  <c r="G392" i="14"/>
  <c r="N392" i="14" s="1"/>
  <c r="E940" i="14"/>
  <c r="I37" i="14"/>
  <c r="E494" i="14"/>
  <c r="E633" i="14"/>
  <c r="I144" i="14"/>
  <c r="G171" i="14"/>
  <c r="N171" i="14" s="1"/>
  <c r="G290" i="14"/>
  <c r="N290" i="14" s="1"/>
  <c r="G347" i="14"/>
  <c r="N347" i="14" s="1"/>
  <c r="E653" i="14"/>
  <c r="G814" i="14"/>
  <c r="N814" i="14" s="1"/>
  <c r="G340" i="14"/>
  <c r="N340" i="14" s="1"/>
  <c r="I680" i="14"/>
  <c r="I820" i="14"/>
  <c r="I416" i="14"/>
  <c r="E697" i="14"/>
  <c r="G431" i="14"/>
  <c r="N431" i="14" s="1"/>
  <c r="G543" i="14"/>
  <c r="N543" i="14" s="1"/>
  <c r="I105" i="14"/>
  <c r="E393" i="14"/>
  <c r="E729" i="14"/>
  <c r="I691" i="14"/>
  <c r="E879" i="14"/>
  <c r="I192" i="14"/>
  <c r="G948" i="14"/>
  <c r="N948" i="14" s="1"/>
  <c r="E227" i="14"/>
  <c r="I41" i="14"/>
  <c r="I496" i="14"/>
  <c r="E746" i="14"/>
  <c r="I602" i="14"/>
  <c r="G805" i="14"/>
  <c r="N805" i="14" s="1"/>
  <c r="G447" i="14"/>
  <c r="N447" i="14" s="1"/>
  <c r="G737" i="14"/>
  <c r="N737" i="14" s="1"/>
  <c r="E477" i="14"/>
  <c r="I996" i="14"/>
  <c r="I580" i="14"/>
  <c r="I334" i="14"/>
  <c r="I605" i="14"/>
  <c r="I347" i="14"/>
  <c r="E829" i="14"/>
  <c r="G806" i="14"/>
  <c r="N806" i="14" s="1"/>
  <c r="I133" i="14"/>
  <c r="I363" i="14"/>
  <c r="G847" i="14"/>
  <c r="N847" i="14" s="1"/>
  <c r="G542" i="14"/>
  <c r="N542" i="14" s="1"/>
  <c r="I273" i="14"/>
  <c r="I887" i="14"/>
  <c r="E554" i="14"/>
  <c r="I30" i="14"/>
  <c r="E874" i="14"/>
  <c r="G564" i="14"/>
  <c r="N564" i="14" s="1"/>
  <c r="G291" i="14"/>
  <c r="N291" i="14" s="1"/>
  <c r="E601" i="14"/>
  <c r="I960" i="14"/>
  <c r="E407" i="14"/>
  <c r="I170" i="14"/>
  <c r="G346" i="14"/>
  <c r="N346" i="14" s="1"/>
  <c r="I458" i="14"/>
  <c r="E549" i="14"/>
  <c r="E487" i="14"/>
  <c r="G455" i="14"/>
  <c r="N455" i="14" s="1"/>
  <c r="I481" i="14"/>
  <c r="G657" i="14"/>
  <c r="N657" i="14" s="1"/>
  <c r="G983" i="14"/>
  <c r="N983" i="14" s="1"/>
  <c r="G267" i="14"/>
  <c r="N267" i="14" s="1"/>
  <c r="I569" i="14"/>
  <c r="G109" i="14"/>
  <c r="N109" i="14" s="1"/>
  <c r="G810" i="14"/>
  <c r="N810" i="14" s="1"/>
  <c r="E901" i="14"/>
  <c r="I589" i="14"/>
  <c r="I514" i="14"/>
  <c r="G883" i="14"/>
  <c r="N883" i="14" s="1"/>
  <c r="I23" i="14"/>
  <c r="E92" i="14"/>
  <c r="G114" i="14"/>
  <c r="N114" i="14" s="1"/>
  <c r="E177" i="14"/>
  <c r="I279" i="14"/>
  <c r="E810" i="14"/>
  <c r="I451" i="14"/>
  <c r="G549" i="14"/>
  <c r="N549" i="14" s="1"/>
  <c r="G561" i="14"/>
  <c r="N561" i="14" s="1"/>
  <c r="G177" i="14"/>
  <c r="N177" i="14" s="1"/>
  <c r="G982" i="14"/>
  <c r="N982" i="14" s="1"/>
  <c r="I867" i="14"/>
  <c r="I187" i="14"/>
  <c r="I407" i="14"/>
  <c r="I435" i="14"/>
  <c r="I935" i="14"/>
  <c r="I847" i="14"/>
  <c r="I516" i="14"/>
  <c r="I472" i="14"/>
  <c r="G527" i="14"/>
  <c r="N527" i="14" s="1"/>
  <c r="I915" i="14"/>
  <c r="I64" i="14"/>
  <c r="E240" i="14"/>
  <c r="G226" i="14"/>
  <c r="N226" i="14" s="1"/>
  <c r="I948" i="14"/>
  <c r="E574" i="14"/>
  <c r="G628" i="14"/>
  <c r="N628" i="14" s="1"/>
  <c r="G14" i="14"/>
  <c r="N14" i="14" s="1"/>
  <c r="G276" i="14"/>
  <c r="N276" i="14" s="1"/>
  <c r="E168" i="14"/>
  <c r="I302" i="14"/>
  <c r="E280" i="14"/>
  <c r="I478" i="14"/>
  <c r="G371" i="14"/>
  <c r="N371" i="14" s="1"/>
  <c r="E739" i="14"/>
  <c r="G815" i="14"/>
  <c r="N815" i="14" s="1"/>
  <c r="E815" i="14"/>
  <c r="I375" i="14"/>
  <c r="E970" i="14"/>
  <c r="G413" i="14"/>
  <c r="N413" i="14" s="1"/>
  <c r="E634" i="14"/>
  <c r="I90" i="14"/>
  <c r="E378" i="14"/>
  <c r="I162" i="14"/>
  <c r="G159" i="14"/>
  <c r="N159" i="14" s="1"/>
  <c r="E825" i="14"/>
  <c r="E608" i="14"/>
  <c r="E921" i="14"/>
  <c r="G928" i="14"/>
  <c r="N928" i="14" s="1"/>
  <c r="E882" i="14"/>
  <c r="E107" i="14"/>
  <c r="G330" i="14"/>
  <c r="N330" i="14" s="1"/>
  <c r="G377" i="14"/>
  <c r="N377" i="14" s="1"/>
  <c r="E265" i="14"/>
  <c r="I79" i="14"/>
  <c r="G282" i="14"/>
  <c r="N282" i="14" s="1"/>
  <c r="E960" i="14"/>
  <c r="E541" i="14"/>
  <c r="G115" i="14"/>
  <c r="N115" i="14" s="1"/>
  <c r="G505" i="14"/>
  <c r="N505" i="14" s="1"/>
  <c r="G638" i="14"/>
  <c r="N638" i="14" s="1"/>
  <c r="I149" i="14"/>
  <c r="I939" i="14"/>
  <c r="G778" i="14"/>
  <c r="N778" i="14" s="1"/>
  <c r="E949" i="14"/>
  <c r="I51" i="14"/>
  <c r="G869" i="14"/>
  <c r="N869" i="14" s="1"/>
  <c r="I408" i="14"/>
  <c r="I576" i="14"/>
  <c r="E170" i="14"/>
  <c r="G917" i="14"/>
  <c r="N917" i="14" s="1"/>
  <c r="G867" i="14"/>
  <c r="N867" i="14" s="1"/>
  <c r="E562" i="14"/>
  <c r="E458" i="14"/>
  <c r="I286" i="14"/>
  <c r="E257" i="14"/>
  <c r="I324" i="14"/>
  <c r="E337" i="14"/>
  <c r="E748" i="14"/>
  <c r="G785" i="14"/>
  <c r="N785" i="14" s="1"/>
  <c r="G298" i="14"/>
  <c r="N298" i="14" s="1"/>
  <c r="I997" i="14"/>
  <c r="E449" i="14"/>
  <c r="G203" i="14"/>
  <c r="N203" i="14" s="1"/>
  <c r="I434" i="14"/>
  <c r="E647" i="14"/>
  <c r="I926" i="14"/>
  <c r="E947" i="14"/>
  <c r="G575" i="14"/>
  <c r="N575" i="14" s="1"/>
  <c r="E719" i="14"/>
  <c r="I467" i="14"/>
  <c r="E720" i="14"/>
  <c r="G837" i="14"/>
  <c r="N837" i="14" s="1"/>
  <c r="G258" i="14"/>
  <c r="N258" i="14" s="1"/>
  <c r="I352" i="14"/>
  <c r="E20" i="14"/>
  <c r="E415" i="14"/>
  <c r="E888" i="14"/>
  <c r="I132" i="14"/>
  <c r="E894" i="14"/>
  <c r="E133" i="14"/>
  <c r="G64" i="14"/>
  <c r="N64" i="14" s="1"/>
  <c r="G934" i="14"/>
  <c r="N934" i="14" s="1"/>
  <c r="G723" i="14"/>
  <c r="N723" i="14" s="1"/>
  <c r="G898" i="14"/>
  <c r="N898" i="14" s="1"/>
  <c r="E783" i="14"/>
  <c r="E137" i="14"/>
  <c r="I148" i="14"/>
  <c r="E105" i="14"/>
  <c r="E264" i="14"/>
  <c r="E161" i="14"/>
  <c r="G231" i="14"/>
  <c r="N231" i="14" s="1"/>
  <c r="E915" i="14"/>
  <c r="E484" i="14"/>
  <c r="E309" i="14"/>
  <c r="I93" i="14"/>
  <c r="E423" i="14"/>
  <c r="E531" i="14"/>
  <c r="I44" i="14"/>
  <c r="I895" i="14"/>
  <c r="E920" i="14"/>
  <c r="I868" i="14"/>
  <c r="I617" i="14"/>
  <c r="E883" i="14"/>
  <c r="I785" i="14"/>
  <c r="I725" i="14"/>
  <c r="I890" i="14"/>
  <c r="E237" i="14"/>
  <c r="G574" i="14"/>
  <c r="N574" i="14" s="1"/>
  <c r="G463" i="14"/>
  <c r="N463" i="14" s="1"/>
  <c r="E933" i="14"/>
  <c r="G799" i="14"/>
  <c r="N799" i="14" s="1"/>
  <c r="E564" i="14"/>
  <c r="I730" i="14"/>
  <c r="I59" i="14"/>
  <c r="G20" i="14"/>
  <c r="N20" i="14" s="1"/>
  <c r="I222" i="14"/>
  <c r="E644" i="14"/>
  <c r="I384" i="14"/>
  <c r="I611" i="14"/>
  <c r="G370" i="14"/>
  <c r="N370" i="14" s="1"/>
  <c r="I346" i="14"/>
  <c r="E21" i="14"/>
  <c r="I880" i="14"/>
  <c r="G832" i="14"/>
  <c r="N832" i="14" s="1"/>
  <c r="I560" i="14"/>
  <c r="G994" i="14"/>
  <c r="N994" i="14" s="1"/>
  <c r="E55" i="14"/>
  <c r="I46" i="14"/>
  <c r="E147" i="14"/>
  <c r="G977" i="14"/>
  <c r="N977" i="14" s="1"/>
  <c r="I312" i="14"/>
  <c r="E109" i="14"/>
  <c r="E669" i="14"/>
  <c r="E149" i="14"/>
  <c r="I208" i="14"/>
  <c r="I955" i="14"/>
  <c r="G375" i="14"/>
  <c r="N375" i="14" s="1"/>
  <c r="G671" i="14"/>
  <c r="N671" i="14" s="1"/>
  <c r="I247" i="14"/>
  <c r="I884" i="14"/>
  <c r="E553" i="14"/>
  <c r="G161" i="14"/>
  <c r="N161" i="14" s="1"/>
  <c r="G130" i="14"/>
  <c r="N130" i="14" s="1"/>
  <c r="G560" i="14"/>
  <c r="N560" i="14" s="1"/>
  <c r="E835" i="14"/>
  <c r="G891" i="14"/>
  <c r="N891" i="14" s="1"/>
  <c r="G1004" i="14"/>
  <c r="N1004" i="14" s="1"/>
  <c r="E78" i="14"/>
  <c r="G113" i="14"/>
  <c r="N113" i="14" s="1"/>
  <c r="I40" i="14"/>
  <c r="I956" i="14"/>
  <c r="G120" i="14"/>
  <c r="N120" i="14" s="1"/>
  <c r="I95" i="14"/>
  <c r="I383" i="14"/>
  <c r="I224" i="14"/>
  <c r="E81" i="14"/>
  <c r="I770" i="14"/>
  <c r="G862" i="14"/>
  <c r="N862" i="14" s="1"/>
  <c r="I782" i="14"/>
  <c r="E790" i="14"/>
  <c r="G751" i="14"/>
  <c r="N751" i="14" s="1"/>
  <c r="I550" i="14"/>
  <c r="E988" i="14"/>
  <c r="G200" i="14"/>
  <c r="N200" i="14" s="1"/>
  <c r="E898" i="14"/>
  <c r="I1000" i="14"/>
  <c r="G445" i="14"/>
  <c r="N445" i="14" s="1"/>
  <c r="E500" i="14"/>
  <c r="G125" i="14"/>
  <c r="N125" i="14" s="1"/>
  <c r="E798" i="14"/>
  <c r="E468" i="14"/>
  <c r="I987" i="14"/>
  <c r="G1001" i="14"/>
  <c r="N1001" i="14" s="1"/>
  <c r="E159" i="14"/>
  <c r="E904" i="14"/>
  <c r="I205" i="14"/>
  <c r="E100" i="14"/>
  <c r="E50" i="14"/>
  <c r="G624" i="14"/>
  <c r="N624" i="14" s="1"/>
  <c r="I241" i="14"/>
  <c r="G143" i="14"/>
  <c r="N143" i="14" s="1"/>
  <c r="E200" i="14"/>
  <c r="E673" i="14"/>
  <c r="I631" i="14"/>
  <c r="E346" i="14"/>
  <c r="E806" i="14"/>
  <c r="G426" i="14"/>
  <c r="N426" i="14" s="1"/>
  <c r="E373" i="14"/>
  <c r="G1003" i="14"/>
  <c r="N1003" i="14" s="1"/>
  <c r="G280" i="14"/>
  <c r="N280" i="14" s="1"/>
  <c r="G924" i="14"/>
  <c r="N924" i="14" s="1"/>
  <c r="I197" i="14"/>
  <c r="E789" i="14"/>
  <c r="I368" i="14"/>
  <c r="E660" i="14"/>
  <c r="G813" i="14"/>
  <c r="N813" i="14" s="1"/>
  <c r="E63" i="14"/>
  <c r="G52" i="14"/>
  <c r="N52" i="14" s="1"/>
  <c r="E324" i="14"/>
  <c r="I17" i="14"/>
  <c r="G69" i="14"/>
  <c r="N69" i="14" s="1"/>
  <c r="E654" i="14"/>
  <c r="E114" i="14"/>
  <c r="G496" i="14"/>
  <c r="N496" i="14" s="1"/>
  <c r="E749" i="14"/>
  <c r="G65" i="14"/>
  <c r="N65" i="14" s="1"/>
  <c r="I358" i="14"/>
  <c r="I535" i="14"/>
  <c r="G782" i="14"/>
  <c r="N782" i="14" s="1"/>
  <c r="G494" i="14"/>
  <c r="N494" i="14" s="1"/>
  <c r="G30" i="14"/>
  <c r="N30" i="14" s="1"/>
  <c r="I532" i="14"/>
  <c r="G390" i="14"/>
  <c r="N390" i="14" s="1"/>
  <c r="G892" i="14"/>
  <c r="N892" i="14" s="1"/>
  <c r="E750" i="14"/>
  <c r="G967" i="14"/>
  <c r="N967" i="14" s="1"/>
  <c r="E430" i="14"/>
  <c r="I245" i="14"/>
  <c r="I323" i="14"/>
  <c r="I1003" i="14"/>
  <c r="E41" i="14"/>
  <c r="E441" i="14"/>
  <c r="G215" i="14"/>
  <c r="N215" i="14" s="1"/>
  <c r="I131" i="14"/>
  <c r="E823" i="14"/>
  <c r="E948" i="14"/>
  <c r="I919" i="14"/>
  <c r="E1003" i="14"/>
  <c r="I536" i="14"/>
  <c r="E973" i="14"/>
  <c r="E527" i="14"/>
  <c r="E8" i="14"/>
  <c r="E194" i="14"/>
  <c r="I674" i="14"/>
  <c r="I464" i="14"/>
  <c r="G180" i="14"/>
  <c r="N180" i="14" s="1"/>
  <c r="I838" i="14"/>
  <c r="E77" i="14"/>
  <c r="I613" i="14"/>
  <c r="G968" i="14"/>
  <c r="N968" i="14" s="1"/>
  <c r="G270" i="14"/>
  <c r="N270" i="14" s="1"/>
  <c r="E143" i="14"/>
  <c r="I969" i="14"/>
  <c r="G191" i="14"/>
  <c r="N191" i="14" s="1"/>
  <c r="E462" i="14"/>
  <c r="E424" i="14"/>
  <c r="I747" i="14"/>
  <c r="I134" i="14"/>
  <c r="E156" i="14"/>
  <c r="G312" i="14"/>
  <c r="N312" i="14" s="1"/>
  <c r="G697" i="14"/>
  <c r="N697" i="14" s="1"/>
  <c r="E568" i="14"/>
  <c r="I361" i="14"/>
  <c r="I985" i="14"/>
  <c r="E871" i="14"/>
  <c r="G964" i="14"/>
  <c r="N964" i="14" s="1"/>
  <c r="E465" i="14"/>
  <c r="G132" i="14"/>
  <c r="N132" i="14" s="1"/>
  <c r="E98" i="14"/>
  <c r="I265" i="14"/>
  <c r="E138" i="14"/>
  <c r="E204" i="14"/>
  <c r="G206" i="14"/>
  <c r="N206" i="14" s="1"/>
  <c r="E380" i="14"/>
  <c r="I567" i="14"/>
  <c r="G656" i="14"/>
  <c r="N656" i="14" s="1"/>
  <c r="G944" i="14"/>
  <c r="N944" i="14" s="1"/>
  <c r="I615" i="14"/>
  <c r="I846" i="14"/>
  <c r="I603" i="14"/>
  <c r="I488" i="14"/>
  <c r="G345" i="14"/>
  <c r="N345" i="14" s="1"/>
  <c r="G950" i="14"/>
  <c r="N950" i="14" s="1"/>
  <c r="I177" i="14"/>
  <c r="G157" i="14"/>
  <c r="N157" i="14" s="1"/>
  <c r="G531" i="14"/>
  <c r="N531" i="14" s="1"/>
  <c r="I864" i="14"/>
  <c r="G709" i="14"/>
  <c r="N709" i="14" s="1"/>
  <c r="G639" i="14"/>
  <c r="N639" i="14" s="1"/>
  <c r="E561" i="14"/>
  <c r="G923" i="14"/>
  <c r="N923" i="14" s="1"/>
  <c r="G583" i="14"/>
  <c r="N583" i="14" s="1"/>
  <c r="G931" i="14"/>
  <c r="N931" i="14" s="1"/>
  <c r="E87" i="14"/>
  <c r="E386" i="14"/>
  <c r="G139" i="14"/>
  <c r="N139" i="14" s="1"/>
  <c r="G938" i="14"/>
  <c r="N938" i="14" s="1"/>
  <c r="G485" i="14"/>
  <c r="N485" i="14" s="1"/>
  <c r="I271" i="14"/>
  <c r="I559" i="14"/>
  <c r="I480" i="14"/>
  <c r="E471" i="14"/>
  <c r="I665" i="14"/>
  <c r="I713" i="14"/>
  <c r="I20" i="14"/>
  <c r="I852" i="14"/>
  <c r="G359" i="14"/>
  <c r="N359" i="14" s="1"/>
  <c r="G761" i="14"/>
  <c r="N761" i="14" s="1"/>
  <c r="E220" i="14"/>
  <c r="I339" i="14"/>
  <c r="E279" i="14"/>
  <c r="I798" i="14"/>
  <c r="E371" i="14"/>
  <c r="G644" i="14"/>
  <c r="N644" i="14" s="1"/>
  <c r="I992" i="14"/>
  <c r="I892" i="14"/>
  <c r="I254" i="14"/>
  <c r="E157" i="14"/>
  <c r="E686" i="14"/>
  <c r="G592" i="14"/>
  <c r="N592" i="14" s="1"/>
  <c r="E862" i="14"/>
  <c r="G134" i="14"/>
  <c r="N134" i="14" s="1"/>
  <c r="E382" i="14"/>
  <c r="I437" i="14"/>
  <c r="G819" i="14"/>
  <c r="N819" i="14" s="1"/>
  <c r="E702" i="14"/>
  <c r="G649" i="14"/>
  <c r="N649" i="14" s="1"/>
  <c r="I937" i="14"/>
  <c r="G350" i="14"/>
  <c r="N350" i="14" s="1"/>
  <c r="E250" i="14"/>
  <c r="I473" i="14"/>
  <c r="I460" i="14"/>
  <c r="G919" i="14"/>
  <c r="N919" i="14" s="1"/>
  <c r="E786" i="14"/>
  <c r="E24" i="14"/>
  <c r="E483" i="14"/>
  <c r="E401" i="14"/>
  <c r="G780" i="14"/>
  <c r="N780" i="14" s="1"/>
  <c r="E359" i="14"/>
  <c r="E982" i="14"/>
  <c r="G430" i="14"/>
  <c r="N430" i="14" s="1"/>
  <c r="E266" i="14"/>
  <c r="G921" i="14"/>
  <c r="N921" i="14" s="1"/>
  <c r="E180" i="14"/>
  <c r="G658" i="14"/>
  <c r="N658" i="14" s="1"/>
  <c r="E335" i="14"/>
  <c r="I420" i="14"/>
  <c r="E619" i="14"/>
  <c r="I484" i="14"/>
  <c r="E952" i="14"/>
  <c r="I387" i="14"/>
  <c r="E600" i="14"/>
  <c r="G818" i="14"/>
  <c r="N818" i="14" s="1"/>
  <c r="E446" i="14"/>
  <c r="I332" i="14"/>
  <c r="E409" i="14"/>
  <c r="G927" i="14"/>
  <c r="N927" i="14" s="1"/>
  <c r="G641" i="14"/>
  <c r="N641" i="14" s="1"/>
  <c r="E593" i="14"/>
  <c r="I595" i="14"/>
  <c r="G987" i="14"/>
  <c r="N987" i="14" s="1"/>
  <c r="G281" i="14"/>
  <c r="N281" i="14" s="1"/>
  <c r="E70" i="14"/>
  <c r="I666" i="14"/>
  <c r="I648" i="14"/>
  <c r="E75" i="14"/>
  <c r="G791" i="14"/>
  <c r="N791" i="14" s="1"/>
  <c r="E298" i="14"/>
  <c r="E203" i="14"/>
  <c r="I497" i="14"/>
  <c r="G981" i="14"/>
  <c r="N981" i="14" s="1"/>
  <c r="I845" i="14"/>
  <c r="G76" i="14"/>
  <c r="N76" i="14" s="1"/>
  <c r="E646" i="14"/>
  <c r="E253" i="14"/>
  <c r="E523" i="14"/>
  <c r="G691" i="14"/>
  <c r="N691" i="14" s="1"/>
  <c r="G608" i="14"/>
  <c r="N608" i="14" s="1"/>
  <c r="E912" i="14"/>
  <c r="E735" i="14"/>
  <c r="E175" i="14"/>
  <c r="E964" i="14"/>
  <c r="I640" i="14"/>
  <c r="G767" i="14"/>
  <c r="N767" i="14" s="1"/>
  <c r="G367" i="14"/>
  <c r="N367" i="14" s="1"/>
  <c r="I712" i="14"/>
  <c r="G840" i="14"/>
  <c r="N840" i="14" s="1"/>
  <c r="E67" i="14"/>
  <c r="G229" i="14"/>
  <c r="N229" i="14" s="1"/>
  <c r="E119" i="14"/>
  <c r="I309" i="14"/>
  <c r="E499" i="14"/>
  <c r="E90" i="14"/>
  <c r="G829" i="14"/>
  <c r="N829" i="14" s="1"/>
  <c r="C6" i="14" l="1"/>
  <c r="N6" i="14"/>
  <c r="M6" i="14"/>
  <c r="H6" i="14" s="1"/>
  <c r="L6" i="14" s="1"/>
  <c r="E1041" i="14"/>
  <c r="E1042" i="14" s="1"/>
  <c r="M90" i="14"/>
  <c r="H90" i="14" s="1"/>
  <c r="M119" i="14"/>
  <c r="H119" i="14" s="1"/>
  <c r="M964" i="14"/>
  <c r="H964" i="14" s="1"/>
  <c r="M912" i="14"/>
  <c r="H912" i="14" s="1"/>
  <c r="M619" i="14"/>
  <c r="H619" i="14" s="1"/>
  <c r="M180" i="14"/>
  <c r="H180" i="14" s="1"/>
  <c r="M483" i="14"/>
  <c r="H483" i="14" s="1"/>
  <c r="M250" i="14"/>
  <c r="H250" i="14" s="1"/>
  <c r="M702" i="14"/>
  <c r="H702" i="14" s="1"/>
  <c r="M157" i="14"/>
  <c r="H157" i="14" s="1"/>
  <c r="M371" i="14"/>
  <c r="H371" i="14" s="1"/>
  <c r="M156" i="14"/>
  <c r="H156" i="14" s="1"/>
  <c r="M462" i="14"/>
  <c r="H462" i="14" s="1"/>
  <c r="M77" i="14"/>
  <c r="H77" i="14" s="1"/>
  <c r="M8" i="14"/>
  <c r="H8" i="14" s="1"/>
  <c r="M750" i="14"/>
  <c r="H750" i="14" s="1"/>
  <c r="M654" i="14"/>
  <c r="H654" i="14" s="1"/>
  <c r="M63" i="14"/>
  <c r="H63" i="14" s="1"/>
  <c r="M789" i="14"/>
  <c r="H789" i="14" s="1"/>
  <c r="M81" i="14"/>
  <c r="H81" i="14" s="1"/>
  <c r="M669" i="14"/>
  <c r="H669" i="14" s="1"/>
  <c r="M147" i="14"/>
  <c r="H147" i="14" s="1"/>
  <c r="M55" i="14"/>
  <c r="H55" i="14" s="1"/>
  <c r="M644" i="14"/>
  <c r="H644" i="14" s="1"/>
  <c r="M237" i="14"/>
  <c r="H237" i="14" s="1"/>
  <c r="M531" i="14"/>
  <c r="H531" i="14" s="1"/>
  <c r="M783" i="14"/>
  <c r="H783" i="14" s="1"/>
  <c r="M894" i="14"/>
  <c r="H894" i="14" s="1"/>
  <c r="M415" i="14"/>
  <c r="H415" i="14" s="1"/>
  <c r="M449" i="14"/>
  <c r="H449" i="14" s="1"/>
  <c r="M960" i="14"/>
  <c r="H960" i="14" s="1"/>
  <c r="M107" i="14"/>
  <c r="H107" i="14" s="1"/>
  <c r="M608" i="14"/>
  <c r="H608" i="14" s="1"/>
  <c r="M634" i="14"/>
  <c r="H634" i="14" s="1"/>
  <c r="M177" i="14"/>
  <c r="H177" i="14" s="1"/>
  <c r="M901" i="14"/>
  <c r="H901" i="14" s="1"/>
  <c r="M407" i="14"/>
  <c r="H407" i="14" s="1"/>
  <c r="M554" i="14"/>
  <c r="H554" i="14" s="1"/>
  <c r="M829" i="14"/>
  <c r="H829" i="14" s="1"/>
  <c r="M227" i="14"/>
  <c r="H227" i="14" s="1"/>
  <c r="M393" i="14"/>
  <c r="H393" i="14" s="1"/>
  <c r="M697" i="14"/>
  <c r="H697" i="14" s="1"/>
  <c r="M751" i="14"/>
  <c r="H751" i="14" s="1"/>
  <c r="M82" i="14"/>
  <c r="H82" i="14" s="1"/>
  <c r="M998" i="14"/>
  <c r="H998" i="14" s="1"/>
  <c r="M17" i="14"/>
  <c r="H17" i="14" s="1"/>
  <c r="M936" i="14"/>
  <c r="H936" i="14" s="1"/>
  <c r="M313" i="14"/>
  <c r="H313" i="14" s="1"/>
  <c r="M367" i="14"/>
  <c r="H367" i="14" s="1"/>
  <c r="M410" i="14"/>
  <c r="H410" i="14" s="1"/>
  <c r="M870" i="14"/>
  <c r="H870" i="14" s="1"/>
  <c r="M241" i="14"/>
  <c r="H241" i="14" s="1"/>
  <c r="M603" i="14"/>
  <c r="H603" i="14" s="1"/>
  <c r="M710" i="14"/>
  <c r="H710" i="14" s="1"/>
  <c r="M784" i="14"/>
  <c r="H784" i="14" s="1"/>
  <c r="M899" i="14"/>
  <c r="H899" i="14" s="1"/>
  <c r="M860" i="14"/>
  <c r="H860" i="14" s="1"/>
  <c r="M620" i="14"/>
  <c r="H620" i="14" s="1"/>
  <c r="M287" i="14"/>
  <c r="H287" i="14" s="1"/>
  <c r="M840" i="14"/>
  <c r="H840" i="14" s="1"/>
  <c r="M387" i="14"/>
  <c r="H387" i="14" s="1"/>
  <c r="M817" i="14"/>
  <c r="H817" i="14" s="1"/>
  <c r="M539" i="14"/>
  <c r="H539" i="14" s="1"/>
  <c r="M645" i="14"/>
  <c r="H645" i="14" s="1"/>
  <c r="M215" i="14"/>
  <c r="H215" i="14" s="1"/>
  <c r="M228" i="14"/>
  <c r="H228" i="14" s="1"/>
  <c r="M857" i="14"/>
  <c r="H857" i="14" s="1"/>
  <c r="M245" i="14"/>
  <c r="H245" i="14" s="1"/>
  <c r="M355" i="14"/>
  <c r="H355" i="14" s="1"/>
  <c r="M127" i="14"/>
  <c r="H127" i="14" s="1"/>
  <c r="M886" i="14"/>
  <c r="H886" i="14" s="1"/>
  <c r="M466" i="14"/>
  <c r="H466" i="14" s="1"/>
  <c r="M134" i="14"/>
  <c r="H134" i="14" s="1"/>
  <c r="M206" i="14"/>
  <c r="H206" i="14" s="1"/>
  <c r="M126" i="14"/>
  <c r="H126" i="14" s="1"/>
  <c r="M772" i="14"/>
  <c r="H772" i="14" s="1"/>
  <c r="M62" i="14"/>
  <c r="H62" i="14" s="1"/>
  <c r="M356" i="14"/>
  <c r="H356" i="14" s="1"/>
  <c r="M885" i="14"/>
  <c r="H885" i="14" s="1"/>
  <c r="M572" i="14"/>
  <c r="H572" i="14" s="1"/>
  <c r="M261" i="14"/>
  <c r="H261" i="14" s="1"/>
  <c r="M989" i="14"/>
  <c r="H989" i="14" s="1"/>
  <c r="M316" i="14"/>
  <c r="H316" i="14" s="1"/>
  <c r="M983" i="14"/>
  <c r="H983" i="14" s="1"/>
  <c r="M532" i="14"/>
  <c r="H532" i="14" s="1"/>
  <c r="M618" i="14"/>
  <c r="H618" i="14" s="1"/>
  <c r="M54" i="14"/>
  <c r="H54" i="14" s="1"/>
  <c r="M795" i="14"/>
  <c r="H795" i="14" s="1"/>
  <c r="M934" i="14"/>
  <c r="H934" i="14" s="1"/>
  <c r="M455" i="14"/>
  <c r="H455" i="14" s="1"/>
  <c r="M196" i="14"/>
  <c r="H196" i="14" s="1"/>
  <c r="M502" i="14"/>
  <c r="H502" i="14" s="1"/>
  <c r="M793" i="14"/>
  <c r="H793" i="14" s="1"/>
  <c r="M272" i="14"/>
  <c r="H272" i="14" s="1"/>
  <c r="M951" i="14"/>
  <c r="H951" i="14" s="1"/>
  <c r="M347" i="14"/>
  <c r="H347" i="14" s="1"/>
  <c r="M59" i="14"/>
  <c r="H59" i="14" s="1"/>
  <c r="M205" i="14"/>
  <c r="H205" i="14" s="1"/>
  <c r="M661" i="14"/>
  <c r="H661" i="14" s="1"/>
  <c r="M715" i="14"/>
  <c r="H715" i="14" s="1"/>
  <c r="M454" i="14"/>
  <c r="H454" i="14" s="1"/>
  <c r="M560" i="14"/>
  <c r="H560" i="14" s="1"/>
  <c r="M838" i="14"/>
  <c r="H838" i="14" s="1"/>
  <c r="M550" i="14"/>
  <c r="H550" i="14" s="1"/>
  <c r="M851" i="14"/>
  <c r="H851" i="14" s="1"/>
  <c r="M290" i="14"/>
  <c r="H290" i="14" s="1"/>
  <c r="M967" i="14"/>
  <c r="H967" i="14" s="1"/>
  <c r="M887" i="14"/>
  <c r="H887" i="14" s="1"/>
  <c r="M760" i="14"/>
  <c r="H760" i="14" s="1"/>
  <c r="M939" i="14"/>
  <c r="H939" i="14" s="1"/>
  <c r="M981" i="14"/>
  <c r="H981" i="14" s="1"/>
  <c r="M945" i="14"/>
  <c r="H945" i="14" s="1"/>
  <c r="M103" i="14"/>
  <c r="H103" i="14" s="1"/>
  <c r="M925" i="14"/>
  <c r="H925" i="14" s="1"/>
  <c r="M683" i="14"/>
  <c r="H683" i="14" s="1"/>
  <c r="M394" i="14"/>
  <c r="H394" i="14" s="1"/>
  <c r="M376" i="14"/>
  <c r="H376" i="14" s="1"/>
  <c r="M80" i="14"/>
  <c r="H80" i="14" s="1"/>
  <c r="M276" i="14"/>
  <c r="H276" i="14" s="1"/>
  <c r="M569" i="14"/>
  <c r="H569" i="14" s="1"/>
  <c r="M767" i="14"/>
  <c r="H767" i="14" s="1"/>
  <c r="M635" i="14"/>
  <c r="H635" i="14" s="1"/>
  <c r="M331" i="14"/>
  <c r="H331" i="14" s="1"/>
  <c r="M95" i="14"/>
  <c r="H95" i="14" s="1"/>
  <c r="M459" i="14"/>
  <c r="H459" i="14" s="1"/>
  <c r="M26" i="14"/>
  <c r="H26" i="14" s="1"/>
  <c r="M295" i="14"/>
  <c r="H295" i="14" s="1"/>
  <c r="M104" i="14"/>
  <c r="H104" i="14" s="1"/>
  <c r="M351" i="14"/>
  <c r="H351" i="14" s="1"/>
  <c r="M366" i="14"/>
  <c r="H366" i="14" s="1"/>
  <c r="M613" i="14"/>
  <c r="H613" i="14" s="1"/>
  <c r="M106" i="14"/>
  <c r="H106" i="14" s="1"/>
  <c r="M666" i="14"/>
  <c r="H666" i="14" s="1"/>
  <c r="M567" i="14"/>
  <c r="H567" i="14" s="1"/>
  <c r="M648" i="14"/>
  <c r="H648" i="14" s="1"/>
  <c r="M966" i="14"/>
  <c r="H966" i="14" s="1"/>
  <c r="M985" i="14"/>
  <c r="H985" i="14" s="1"/>
  <c r="M902" i="14"/>
  <c r="H902" i="14" s="1"/>
  <c r="M990" i="14"/>
  <c r="H990" i="14" s="1"/>
  <c r="M978" i="14"/>
  <c r="H978" i="14" s="1"/>
  <c r="M537" i="14"/>
  <c r="H537" i="14" s="1"/>
  <c r="M743" i="14"/>
  <c r="H743" i="14" s="1"/>
  <c r="M876" i="14"/>
  <c r="H876" i="14" s="1"/>
  <c r="M699" i="14"/>
  <c r="H699" i="14" s="1"/>
  <c r="M861" i="14"/>
  <c r="H861" i="14" s="1"/>
  <c r="M353" i="14"/>
  <c r="H353" i="14" s="1"/>
  <c r="M425" i="14"/>
  <c r="H425" i="14" s="1"/>
  <c r="M652" i="14"/>
  <c r="H652" i="14" s="1"/>
  <c r="M31" i="14"/>
  <c r="H31" i="14" s="1"/>
  <c r="M187" i="14"/>
  <c r="H187" i="14" s="1"/>
  <c r="M801" i="14"/>
  <c r="H801" i="14" s="1"/>
  <c r="M403" i="14"/>
  <c r="H403" i="14" s="1"/>
  <c r="M542" i="14"/>
  <c r="H542" i="14" s="1"/>
  <c r="M924" i="14"/>
  <c r="H924" i="14" s="1"/>
  <c r="M277" i="14"/>
  <c r="H277" i="14" s="1"/>
  <c r="M99" i="14"/>
  <c r="H99" i="14" s="1"/>
  <c r="M125" i="14"/>
  <c r="H125" i="14" s="1"/>
  <c r="M207" i="14"/>
  <c r="H207" i="14" s="1"/>
  <c r="M762" i="14"/>
  <c r="H762" i="14" s="1"/>
  <c r="M150" i="14"/>
  <c r="H150" i="14" s="1"/>
  <c r="M872" i="14"/>
  <c r="H872" i="14" s="1"/>
  <c r="M417" i="14"/>
  <c r="H417" i="14" s="1"/>
  <c r="M782" i="14"/>
  <c r="H782" i="14" s="1"/>
  <c r="M959" i="14"/>
  <c r="H959" i="14" s="1"/>
  <c r="M116" i="14"/>
  <c r="H116" i="14" s="1"/>
  <c r="M632" i="14"/>
  <c r="H632" i="14" s="1"/>
  <c r="M10" i="14"/>
  <c r="H10" i="14" s="1"/>
  <c r="M807" i="14"/>
  <c r="H807" i="14" s="1"/>
  <c r="M475" i="14"/>
  <c r="H475" i="14" s="1"/>
  <c r="M45" i="14"/>
  <c r="H45" i="14" s="1"/>
  <c r="M698" i="14"/>
  <c r="H698" i="14" s="1"/>
  <c r="M183" i="14"/>
  <c r="H183" i="14" s="1"/>
  <c r="M547" i="14"/>
  <c r="H547" i="14" s="1"/>
  <c r="M467" i="14"/>
  <c r="H467" i="14" s="1"/>
  <c r="M607" i="14"/>
  <c r="H607" i="14" s="1"/>
  <c r="M552" i="14"/>
  <c r="H552" i="14" s="1"/>
  <c r="M588" i="14"/>
  <c r="H588" i="14" s="1"/>
  <c r="M460" i="14"/>
  <c r="H460" i="14" s="1"/>
  <c r="M86" i="14"/>
  <c r="H86" i="14" s="1"/>
  <c r="M589" i="14"/>
  <c r="H589" i="14" s="1"/>
  <c r="M909" i="14"/>
  <c r="H909" i="14" s="1"/>
  <c r="M530" i="14"/>
  <c r="H530" i="14" s="1"/>
  <c r="M797" i="14"/>
  <c r="H797" i="14" s="1"/>
  <c r="M812" i="14"/>
  <c r="H812" i="14" s="1"/>
  <c r="M120" i="14"/>
  <c r="H120" i="14" s="1"/>
  <c r="M571" i="14"/>
  <c r="H571" i="14" s="1"/>
  <c r="M408" i="14"/>
  <c r="H408" i="14" s="1"/>
  <c r="M212" i="14"/>
  <c r="H212" i="14" s="1"/>
  <c r="M584" i="14"/>
  <c r="H584" i="14" s="1"/>
  <c r="M731" i="14"/>
  <c r="H731" i="14" s="1"/>
  <c r="M837" i="14"/>
  <c r="H837" i="14" s="1"/>
  <c r="M780" i="14"/>
  <c r="H780" i="14" s="1"/>
  <c r="M190" i="14"/>
  <c r="H190" i="14" s="1"/>
  <c r="M267" i="14"/>
  <c r="H267" i="14" s="1"/>
  <c r="M695" i="14"/>
  <c r="H695" i="14" s="1"/>
  <c r="M142" i="14"/>
  <c r="H142" i="14" s="1"/>
  <c r="M832" i="14"/>
  <c r="H832" i="14" s="1"/>
  <c r="M596" i="14"/>
  <c r="H596" i="14" s="1"/>
  <c r="M52" i="14"/>
  <c r="H52" i="14" s="1"/>
  <c r="M288" i="14"/>
  <c r="H288" i="14" s="1"/>
  <c r="M713" i="14"/>
  <c r="H713" i="14" s="1"/>
  <c r="M869" i="14"/>
  <c r="H869" i="14" s="1"/>
  <c r="M406" i="14"/>
  <c r="H406" i="14" s="1"/>
  <c r="M130" i="14"/>
  <c r="H130" i="14" s="1"/>
  <c r="M179" i="14"/>
  <c r="H179" i="14" s="1"/>
  <c r="M19" i="14"/>
  <c r="H19" i="14" s="1"/>
  <c r="M306" i="14"/>
  <c r="H306" i="14" s="1"/>
  <c r="M293" i="14"/>
  <c r="H293" i="14" s="1"/>
  <c r="M480" i="14"/>
  <c r="H480" i="14" s="1"/>
  <c r="M242" i="14"/>
  <c r="H242" i="14" s="1"/>
  <c r="M877" i="14"/>
  <c r="H877" i="14" s="1"/>
  <c r="M566" i="14"/>
  <c r="H566" i="14" s="1"/>
  <c r="M363" i="14"/>
  <c r="H363" i="14" s="1"/>
  <c r="M518" i="14"/>
  <c r="H518" i="14" s="1"/>
  <c r="M659" i="14"/>
  <c r="H659" i="14" s="1"/>
  <c r="M844" i="14"/>
  <c r="H844" i="14" s="1"/>
  <c r="M740" i="14"/>
  <c r="H740" i="14" s="1"/>
  <c r="M328" i="14"/>
  <c r="H328" i="14" s="1"/>
  <c r="M688" i="14"/>
  <c r="H688" i="14" s="1"/>
  <c r="M709" i="14"/>
  <c r="H709" i="14" s="1"/>
  <c r="M226" i="14"/>
  <c r="H226" i="14" s="1"/>
  <c r="M379" i="14"/>
  <c r="H379" i="14" s="1"/>
  <c r="M413" i="14"/>
  <c r="H413" i="14" s="1"/>
  <c r="M565" i="14"/>
  <c r="H565" i="14" s="1"/>
  <c r="M405" i="14"/>
  <c r="H405" i="14" s="1"/>
  <c r="M426" i="14"/>
  <c r="H426" i="14" s="1"/>
  <c r="M717" i="14"/>
  <c r="H717" i="14" s="1"/>
  <c r="M638" i="14"/>
  <c r="H638" i="14" s="1"/>
  <c r="M29" i="14"/>
  <c r="H29" i="14" s="1"/>
  <c r="M672" i="14"/>
  <c r="H672" i="14" s="1"/>
  <c r="M154" i="14"/>
  <c r="H154" i="14" s="1"/>
  <c r="M597" i="14"/>
  <c r="H597" i="14" s="1"/>
  <c r="M463" i="14"/>
  <c r="H463" i="14" s="1"/>
  <c r="M868" i="14"/>
  <c r="H868" i="14" s="1"/>
  <c r="M849" i="14"/>
  <c r="H849" i="14" s="1"/>
  <c r="M722" i="14"/>
  <c r="H722" i="14" s="1"/>
  <c r="M390" i="14"/>
  <c r="H390" i="14" s="1"/>
  <c r="M496" i="14"/>
  <c r="H496" i="14" s="1"/>
  <c r="M49" i="14"/>
  <c r="H49" i="14" s="1"/>
  <c r="M605" i="14"/>
  <c r="H605" i="14" s="1"/>
  <c r="M841" i="14"/>
  <c r="H841" i="14" s="1"/>
  <c r="M162" i="14"/>
  <c r="H162" i="14" s="1"/>
  <c r="M891" i="14"/>
  <c r="H891" i="14" s="1"/>
  <c r="M675" i="14"/>
  <c r="H675" i="14" s="1"/>
  <c r="M451" i="14"/>
  <c r="H451" i="14" s="1"/>
  <c r="M766" i="14"/>
  <c r="H766" i="14" s="1"/>
  <c r="M521" i="14"/>
  <c r="H521" i="14" s="1"/>
  <c r="M579" i="14"/>
  <c r="H579" i="14" s="1"/>
  <c r="M478" i="14"/>
  <c r="H478" i="14" s="1"/>
  <c r="M875" i="14"/>
  <c r="H875" i="14" s="1"/>
  <c r="M917" i="14"/>
  <c r="H917" i="14" s="1"/>
  <c r="M522" i="14"/>
  <c r="H522" i="14" s="1"/>
  <c r="M56" i="14"/>
  <c r="H56" i="14" s="1"/>
  <c r="M592" i="14"/>
  <c r="H592" i="14" s="1"/>
  <c r="M732" i="14"/>
  <c r="H732" i="14" s="1"/>
  <c r="M897" i="14"/>
  <c r="H897" i="14" s="1"/>
  <c r="M476" i="14"/>
  <c r="H476" i="14" s="1"/>
  <c r="M281" i="14"/>
  <c r="H281" i="14" s="1"/>
  <c r="M694" i="14"/>
  <c r="H694" i="14" s="1"/>
  <c r="M230" i="14"/>
  <c r="H230" i="14" s="1"/>
  <c r="M175" i="14"/>
  <c r="H175" i="14" s="1"/>
  <c r="M523" i="14"/>
  <c r="H523" i="14" s="1"/>
  <c r="M203" i="14"/>
  <c r="H203" i="14" s="1"/>
  <c r="M593" i="14"/>
  <c r="H593" i="14" s="1"/>
  <c r="M409" i="14"/>
  <c r="H409" i="14" s="1"/>
  <c r="M600" i="14"/>
  <c r="H600" i="14" s="1"/>
  <c r="M952" i="14"/>
  <c r="H952" i="14" s="1"/>
  <c r="M24" i="14"/>
  <c r="H24" i="14" s="1"/>
  <c r="M862" i="14"/>
  <c r="H862" i="14" s="1"/>
  <c r="M279" i="14"/>
  <c r="H279" i="14" s="1"/>
  <c r="M471" i="14"/>
  <c r="H471" i="14" s="1"/>
  <c r="M138" i="14"/>
  <c r="H138" i="14" s="1"/>
  <c r="M98" i="14"/>
  <c r="H98" i="14" s="1"/>
  <c r="M465" i="14"/>
  <c r="H465" i="14" s="1"/>
  <c r="M527" i="14"/>
  <c r="H527" i="14" s="1"/>
  <c r="M973" i="14"/>
  <c r="H973" i="14" s="1"/>
  <c r="M430" i="14"/>
  <c r="H430" i="14" s="1"/>
  <c r="M806" i="14"/>
  <c r="H806" i="14" s="1"/>
  <c r="M673" i="14"/>
  <c r="H673" i="14" s="1"/>
  <c r="M50" i="14"/>
  <c r="H50" i="14" s="1"/>
  <c r="M904" i="14"/>
  <c r="H904" i="14" s="1"/>
  <c r="M468" i="14"/>
  <c r="H468" i="14" s="1"/>
  <c r="M898" i="14"/>
  <c r="H898" i="14" s="1"/>
  <c r="M790" i="14"/>
  <c r="H790" i="14" s="1"/>
  <c r="M78" i="14"/>
  <c r="H78" i="14" s="1"/>
  <c r="M553" i="14"/>
  <c r="H553" i="14" s="1"/>
  <c r="M883" i="14"/>
  <c r="H883" i="14" s="1"/>
  <c r="M423" i="14"/>
  <c r="H423" i="14" s="1"/>
  <c r="M105" i="14"/>
  <c r="H105" i="14" s="1"/>
  <c r="M719" i="14"/>
  <c r="H719" i="14" s="1"/>
  <c r="M647" i="14"/>
  <c r="H647" i="14" s="1"/>
  <c r="M748" i="14"/>
  <c r="H748" i="14" s="1"/>
  <c r="M170" i="14"/>
  <c r="H170" i="14" s="1"/>
  <c r="M265" i="14"/>
  <c r="H265" i="14" s="1"/>
  <c r="M882" i="14"/>
  <c r="H882" i="14" s="1"/>
  <c r="M825" i="14"/>
  <c r="H825" i="14" s="1"/>
  <c r="M815" i="14"/>
  <c r="H815" i="14" s="1"/>
  <c r="M168" i="14"/>
  <c r="H168" i="14" s="1"/>
  <c r="M879" i="14"/>
  <c r="H879" i="14" s="1"/>
  <c r="M940" i="14"/>
  <c r="H940" i="14" s="1"/>
  <c r="M538" i="14"/>
  <c r="H538" i="14" s="1"/>
  <c r="M219" i="14"/>
  <c r="H219" i="14" s="1"/>
  <c r="M199" i="14"/>
  <c r="H199" i="14" s="1"/>
  <c r="M332" i="14"/>
  <c r="H332" i="14" s="1"/>
  <c r="M830" i="14"/>
  <c r="H830" i="14" s="1"/>
  <c r="M208" i="14"/>
  <c r="H208" i="14" s="1"/>
  <c r="M526" i="14"/>
  <c r="H526" i="14" s="1"/>
  <c r="M248" i="14"/>
  <c r="H248" i="14" s="1"/>
  <c r="M649" i="14"/>
  <c r="H649" i="14" s="1"/>
  <c r="M260" i="14"/>
  <c r="H260" i="14" s="1"/>
  <c r="M1001" i="14"/>
  <c r="H1001" i="14" s="1"/>
  <c r="M992" i="14"/>
  <c r="H992" i="14" s="1"/>
  <c r="M753" i="14"/>
  <c r="H753" i="14" s="1"/>
  <c r="M72" i="14"/>
  <c r="H72" i="14" s="1"/>
  <c r="M761" i="14"/>
  <c r="H761" i="14" s="1"/>
  <c r="M802" i="14"/>
  <c r="H802" i="14" s="1"/>
  <c r="M73" i="14"/>
  <c r="H73" i="14" s="1"/>
  <c r="M255" i="14"/>
  <c r="H255" i="14" s="1"/>
  <c r="M489" i="14"/>
  <c r="H489" i="14" s="1"/>
  <c r="M452" i="14"/>
  <c r="H452" i="14" s="1"/>
  <c r="M158" i="14"/>
  <c r="H158" i="14" s="1"/>
  <c r="M834" i="14"/>
  <c r="H834" i="14" s="1"/>
  <c r="M972" i="14"/>
  <c r="H972" i="14" s="1"/>
  <c r="M684" i="14"/>
  <c r="H684" i="14" s="1"/>
  <c r="M725" i="14"/>
  <c r="H725" i="14" s="1"/>
  <c r="M826" i="14"/>
  <c r="H826" i="14" s="1"/>
  <c r="M1002" i="14"/>
  <c r="H1002" i="14" s="1"/>
  <c r="M524" i="14"/>
  <c r="H524" i="14" s="1"/>
  <c r="M505" i="14"/>
  <c r="H505" i="14" s="1"/>
  <c r="M18" i="14"/>
  <c r="H18" i="14" s="1"/>
  <c r="M809" i="14"/>
  <c r="H809" i="14" s="1"/>
  <c r="M342" i="14"/>
  <c r="H342" i="14" s="1"/>
  <c r="M236" i="14"/>
  <c r="H236" i="14" s="1"/>
  <c r="M900" i="14"/>
  <c r="H900" i="14" s="1"/>
  <c r="M388" i="14"/>
  <c r="H388" i="14" s="1"/>
  <c r="M612" i="14"/>
  <c r="H612" i="14" s="1"/>
  <c r="M501" i="14"/>
  <c r="H501" i="14" s="1"/>
  <c r="M639" i="14"/>
  <c r="H639" i="14" s="1"/>
  <c r="M148" i="14"/>
  <c r="H148" i="14" s="1"/>
  <c r="M543" i="14"/>
  <c r="H543" i="14" s="1"/>
  <c r="M665" i="14"/>
  <c r="H665" i="14" s="1"/>
  <c r="M42" i="14"/>
  <c r="H42" i="14" s="1"/>
  <c r="M828" i="14"/>
  <c r="H828" i="14" s="1"/>
  <c r="M658" i="14"/>
  <c r="H658" i="14" s="1"/>
  <c r="M411" i="14"/>
  <c r="H411" i="14" s="1"/>
  <c r="M517" i="14"/>
  <c r="H517" i="14" s="1"/>
  <c r="M578" i="14"/>
  <c r="H578" i="14" s="1"/>
  <c r="M617" i="14"/>
  <c r="H617" i="14" s="1"/>
  <c r="M850" i="14"/>
  <c r="H850" i="14" s="1"/>
  <c r="M481" i="14"/>
  <c r="H481" i="14" s="1"/>
  <c r="M794" i="14"/>
  <c r="H794" i="14" s="1"/>
  <c r="M65" i="14"/>
  <c r="H65" i="14" s="1"/>
  <c r="M224" i="14"/>
  <c r="H224" i="14" s="1"/>
  <c r="M36" i="14"/>
  <c r="H36" i="14" s="1"/>
  <c r="M191" i="14"/>
  <c r="H191" i="14" s="1"/>
  <c r="M27" i="14"/>
  <c r="H27" i="14" s="1"/>
  <c r="M594" i="14"/>
  <c r="H594" i="14" s="1"/>
  <c r="M146" i="14"/>
  <c r="H146" i="14" s="1"/>
  <c r="M327" i="14"/>
  <c r="H327" i="14" s="1"/>
  <c r="M756" i="14"/>
  <c r="H756" i="14" s="1"/>
  <c r="M445" i="14"/>
  <c r="H445" i="14" s="1"/>
  <c r="M504" i="14"/>
  <c r="H504" i="14" s="1"/>
  <c r="M176" i="14"/>
  <c r="H176" i="14" s="1"/>
  <c r="M819" i="14"/>
  <c r="H819" i="14" s="1"/>
  <c r="M479" i="14"/>
  <c r="H479" i="14" s="1"/>
  <c r="M37" i="14"/>
  <c r="H37" i="14" s="1"/>
  <c r="M768" i="14"/>
  <c r="H768" i="14" s="1"/>
  <c r="M43" i="14"/>
  <c r="H43" i="14" s="1"/>
  <c r="M865" i="14"/>
  <c r="H865" i="14" s="1"/>
  <c r="M25" i="14"/>
  <c r="H25" i="14" s="1"/>
  <c r="M889" i="14"/>
  <c r="H889" i="14" s="1"/>
  <c r="M40" i="14"/>
  <c r="H40" i="14" s="1"/>
  <c r="M259" i="14"/>
  <c r="H259" i="14" s="1"/>
  <c r="M979" i="14"/>
  <c r="H979" i="14" s="1"/>
  <c r="M908" i="14"/>
  <c r="H908" i="14" s="1"/>
  <c r="M976" i="14"/>
  <c r="H976" i="14" s="1"/>
  <c r="M555" i="14"/>
  <c r="H555" i="14" s="1"/>
  <c r="M581" i="14"/>
  <c r="H581" i="14" s="1"/>
  <c r="M202" i="14"/>
  <c r="H202" i="14" s="1"/>
  <c r="M115" i="14"/>
  <c r="H115" i="14" s="1"/>
  <c r="M46" i="14"/>
  <c r="H46" i="14" s="1"/>
  <c r="M668" i="14"/>
  <c r="H668" i="14" s="1"/>
  <c r="M374" i="14"/>
  <c r="H374" i="14" s="1"/>
  <c r="M416" i="14"/>
  <c r="H416" i="14" s="1"/>
  <c r="M486" i="14"/>
  <c r="H486" i="14" s="1"/>
  <c r="M918" i="14"/>
  <c r="H918" i="14" s="1"/>
  <c r="M153" i="14"/>
  <c r="H153" i="14" s="1"/>
  <c r="M118" i="14"/>
  <c r="H118" i="14" s="1"/>
  <c r="M160" i="14"/>
  <c r="H160" i="14" s="1"/>
  <c r="M303" i="14"/>
  <c r="H303" i="14" s="1"/>
  <c r="M399" i="14"/>
  <c r="H399" i="14" s="1"/>
  <c r="M533" i="14"/>
  <c r="H533" i="14" s="1"/>
  <c r="M144" i="14"/>
  <c r="H144" i="14" s="1"/>
  <c r="M878" i="14"/>
  <c r="H878" i="14" s="1"/>
  <c r="M389" i="14"/>
  <c r="H389" i="14" s="1"/>
  <c r="M895" i="14"/>
  <c r="H895" i="14" s="1"/>
  <c r="M954" i="14"/>
  <c r="H954" i="14" s="1"/>
  <c r="M811" i="14"/>
  <c r="H811" i="14" s="1"/>
  <c r="M85" i="14"/>
  <c r="H85" i="14" s="1"/>
  <c r="M35" i="14"/>
  <c r="H35" i="14" s="1"/>
  <c r="M113" i="14"/>
  <c r="H113" i="14" s="1"/>
  <c r="M606" i="14"/>
  <c r="H606" i="14" s="1"/>
  <c r="M178" i="14"/>
  <c r="H178" i="14" s="1"/>
  <c r="M186" i="14"/>
  <c r="H186" i="14" s="1"/>
  <c r="M741" i="14"/>
  <c r="H741" i="14" s="1"/>
  <c r="M935" i="14"/>
  <c r="H935" i="14" s="1"/>
  <c r="M770" i="14"/>
  <c r="H770" i="14" s="1"/>
  <c r="M586" i="14"/>
  <c r="H586" i="14" s="1"/>
  <c r="M946" i="14"/>
  <c r="H946" i="14" s="1"/>
  <c r="M775" i="14"/>
  <c r="H775" i="14" s="1"/>
  <c r="M923" i="14"/>
  <c r="H923" i="14" s="1"/>
  <c r="M570" i="14"/>
  <c r="H570" i="14" s="1"/>
  <c r="M962" i="14"/>
  <c r="H962" i="14" s="1"/>
  <c r="M674" i="14"/>
  <c r="H674" i="14" s="1"/>
  <c r="M513" i="14"/>
  <c r="H513" i="14" s="1"/>
  <c r="M637" i="14"/>
  <c r="H637" i="14" s="1"/>
  <c r="M785" i="14"/>
  <c r="H785" i="14" s="1"/>
  <c r="M271" i="14"/>
  <c r="H271" i="14" s="1"/>
  <c r="M427" i="14"/>
  <c r="H427" i="14" s="1"/>
  <c r="M318" i="14"/>
  <c r="H318" i="14" s="1"/>
  <c r="M950" i="14"/>
  <c r="H950" i="14" s="1"/>
  <c r="M676" i="14"/>
  <c r="H676" i="14" s="1"/>
  <c r="M896" i="14"/>
  <c r="H896" i="14" s="1"/>
  <c r="M824" i="14"/>
  <c r="H824" i="14" s="1"/>
  <c r="M630" i="14"/>
  <c r="H630" i="14" s="1"/>
  <c r="M779" i="14"/>
  <c r="H779" i="14" s="1"/>
  <c r="M956" i="14"/>
  <c r="H956" i="14" s="1"/>
  <c r="M827" i="14"/>
  <c r="H827" i="14" s="1"/>
  <c r="M907" i="14"/>
  <c r="H907" i="14" s="1"/>
  <c r="M443" i="14"/>
  <c r="H443" i="14" s="1"/>
  <c r="M13" i="14"/>
  <c r="H13" i="14" s="1"/>
  <c r="M591" i="14"/>
  <c r="H591" i="14" s="1"/>
  <c r="M296" i="14"/>
  <c r="H296" i="14" s="1"/>
  <c r="M419" i="14"/>
  <c r="H419" i="14" s="1"/>
  <c r="M843" i="14"/>
  <c r="H843" i="14" s="1"/>
  <c r="M519" i="14"/>
  <c r="H519" i="14" s="1"/>
  <c r="M364" i="14"/>
  <c r="H364" i="14" s="1"/>
  <c r="M418" i="14"/>
  <c r="H418" i="14" s="1"/>
  <c r="M906" i="14"/>
  <c r="H906" i="14" s="1"/>
  <c r="M890" i="14"/>
  <c r="H890" i="14" s="1"/>
  <c r="M953" i="14"/>
  <c r="H953" i="14" s="1"/>
  <c r="M357" i="14"/>
  <c r="H357" i="14" s="1"/>
  <c r="M678" i="14"/>
  <c r="H678" i="14" s="1"/>
  <c r="M216" i="14"/>
  <c r="H216" i="14" s="1"/>
  <c r="M434" i="14"/>
  <c r="H434" i="14" s="1"/>
  <c r="M385" i="14"/>
  <c r="H385" i="14" s="1"/>
  <c r="M172" i="14"/>
  <c r="H172" i="14" s="1"/>
  <c r="M482" i="14"/>
  <c r="H482" i="14" s="1"/>
  <c r="M263" i="14"/>
  <c r="H263" i="14" s="1"/>
  <c r="M736" i="14"/>
  <c r="H736" i="14" s="1"/>
  <c r="M693" i="14"/>
  <c r="H693" i="14" s="1"/>
  <c r="M221" i="14"/>
  <c r="H221" i="14" s="1"/>
  <c r="M846" i="14"/>
  <c r="H846" i="14" s="1"/>
  <c r="M275" i="14"/>
  <c r="H275" i="14" s="1"/>
  <c r="M16" i="14"/>
  <c r="H16" i="14" s="1"/>
  <c r="M805" i="14"/>
  <c r="H805" i="14" s="1"/>
  <c r="M490" i="14"/>
  <c r="H490" i="14" s="1"/>
  <c r="M456" i="14"/>
  <c r="H456" i="14" s="1"/>
  <c r="M508" i="14"/>
  <c r="H508" i="14" s="1"/>
  <c r="M345" i="14"/>
  <c r="H345" i="14" s="1"/>
  <c r="M942" i="14"/>
  <c r="H942" i="14" s="1"/>
  <c r="M338" i="14"/>
  <c r="H338" i="14" s="1"/>
  <c r="M755" i="14"/>
  <c r="H755" i="14" s="1"/>
  <c r="M167" i="14"/>
  <c r="H167" i="14" s="1"/>
  <c r="M34" i="14"/>
  <c r="H34" i="14" s="1"/>
  <c r="M771" i="14"/>
  <c r="H771" i="14" s="1"/>
  <c r="M314" i="14"/>
  <c r="H314" i="14" s="1"/>
  <c r="M391" i="14"/>
  <c r="H391" i="14" s="1"/>
  <c r="M671" i="14"/>
  <c r="H671" i="14" s="1"/>
  <c r="M609" i="14"/>
  <c r="H609" i="14" s="1"/>
  <c r="M450" i="14"/>
  <c r="H450" i="14" s="1"/>
  <c r="M396" i="14"/>
  <c r="H396" i="14" s="1"/>
  <c r="M311" i="14"/>
  <c r="H311" i="14" s="1"/>
  <c r="M249" i="14"/>
  <c r="H249" i="14" s="1"/>
  <c r="M246" i="14"/>
  <c r="H246" i="14" s="1"/>
  <c r="M914" i="14"/>
  <c r="H914" i="14" s="1"/>
  <c r="M315" i="14"/>
  <c r="H315" i="14" s="1"/>
  <c r="M582" i="14"/>
  <c r="H582" i="14" s="1"/>
  <c r="M292" i="14"/>
  <c r="H292" i="14" s="1"/>
  <c r="M361" i="14"/>
  <c r="H361" i="14" s="1"/>
  <c r="M291" i="14"/>
  <c r="H291" i="14" s="1"/>
  <c r="M791" i="14"/>
  <c r="H791" i="14" s="1"/>
  <c r="M737" i="14"/>
  <c r="H737" i="14" s="1"/>
  <c r="M573" i="14"/>
  <c r="H573" i="14" s="1"/>
  <c r="M685" i="14"/>
  <c r="H685" i="14" s="1"/>
  <c r="M438" i="14"/>
  <c r="H438" i="14" s="1"/>
  <c r="M926" i="14"/>
  <c r="H926" i="14" s="1"/>
  <c r="M602" i="14"/>
  <c r="H602" i="14" s="1"/>
  <c r="M234" i="14"/>
  <c r="H234" i="14" s="1"/>
  <c r="M457" i="14"/>
  <c r="H457" i="14" s="1"/>
  <c r="M804" i="14"/>
  <c r="H804" i="14" s="1"/>
  <c r="M498" i="14"/>
  <c r="H498" i="14" s="1"/>
  <c r="M764" i="14"/>
  <c r="H764" i="14" s="1"/>
  <c r="M974" i="14"/>
  <c r="H974" i="14" s="1"/>
  <c r="M350" i="14"/>
  <c r="H350" i="14" s="1"/>
  <c r="M515" i="14"/>
  <c r="H515" i="14" s="1"/>
  <c r="M69" i="14"/>
  <c r="H69" i="14" s="1"/>
  <c r="M174" i="14"/>
  <c r="H174" i="14" s="1"/>
  <c r="M796" i="14"/>
  <c r="H796" i="14" s="1"/>
  <c r="M800" i="14"/>
  <c r="H800" i="14" s="1"/>
  <c r="M341" i="14"/>
  <c r="H341" i="14" s="1"/>
  <c r="M641" i="14"/>
  <c r="H641" i="14" s="1"/>
  <c r="M730" i="14"/>
  <c r="H730" i="14" s="1"/>
  <c r="M670" i="14"/>
  <c r="H670" i="14" s="1"/>
  <c r="M651" i="14"/>
  <c r="H651" i="14" s="1"/>
  <c r="M703" i="14"/>
  <c r="H703" i="14" s="1"/>
  <c r="M381" i="14"/>
  <c r="H381" i="14" s="1"/>
  <c r="M414" i="14"/>
  <c r="H414" i="14" s="1"/>
  <c r="M559" i="14"/>
  <c r="H559" i="14" s="1"/>
  <c r="M97" i="14"/>
  <c r="H97" i="14" s="1"/>
  <c r="M340" i="14"/>
  <c r="H340" i="14" s="1"/>
  <c r="M863" i="14"/>
  <c r="H863" i="14" s="1"/>
  <c r="M528" i="14"/>
  <c r="H528" i="14" s="1"/>
  <c r="M64" i="14"/>
  <c r="H64" i="14" s="1"/>
  <c r="M629" i="14"/>
  <c r="H629" i="14" s="1"/>
  <c r="M111" i="14"/>
  <c r="H111" i="14" s="1"/>
  <c r="M656" i="14"/>
  <c r="H656" i="14" s="1"/>
  <c r="M192" i="14"/>
  <c r="H192" i="14" s="1"/>
  <c r="M61" i="14"/>
  <c r="H61" i="14" s="1"/>
  <c r="M189" i="14"/>
  <c r="H189" i="14" s="1"/>
  <c r="M745" i="14"/>
  <c r="H745" i="14" s="1"/>
  <c r="M214" i="14"/>
  <c r="H214" i="14" s="1"/>
  <c r="M657" i="14"/>
  <c r="H657" i="14" s="1"/>
  <c r="M621" i="14"/>
  <c r="H621" i="14" s="1"/>
  <c r="M873" i="14"/>
  <c r="H873" i="14" s="1"/>
  <c r="M769" i="14"/>
  <c r="H769" i="14" s="1"/>
  <c r="M395" i="14"/>
  <c r="H395" i="14" s="1"/>
  <c r="M352" i="14"/>
  <c r="H352" i="14" s="1"/>
  <c r="M163" i="14"/>
  <c r="H163" i="14" s="1"/>
  <c r="M139" i="14"/>
  <c r="H139" i="14" s="1"/>
  <c r="M96" i="14"/>
  <c r="H96" i="14" s="1"/>
  <c r="M217" i="14"/>
  <c r="H217" i="14" s="1"/>
  <c r="M681" i="14"/>
  <c r="H681" i="14" s="1"/>
  <c r="M930" i="14"/>
  <c r="H930" i="14" s="1"/>
  <c r="M499" i="14"/>
  <c r="H499" i="14" s="1"/>
  <c r="M253" i="14"/>
  <c r="H253" i="14" s="1"/>
  <c r="M75" i="14"/>
  <c r="H75" i="14" s="1"/>
  <c r="M70" i="14"/>
  <c r="H70" i="14" s="1"/>
  <c r="M266" i="14"/>
  <c r="H266" i="14" s="1"/>
  <c r="M982" i="14"/>
  <c r="H982" i="14" s="1"/>
  <c r="M386" i="14"/>
  <c r="H386" i="14" s="1"/>
  <c r="M561" i="14"/>
  <c r="H561" i="14" s="1"/>
  <c r="M568" i="14"/>
  <c r="H568" i="14" s="1"/>
  <c r="M948" i="14"/>
  <c r="H948" i="14" s="1"/>
  <c r="M41" i="14"/>
  <c r="H41" i="14" s="1"/>
  <c r="M114" i="14"/>
  <c r="H114" i="14" s="1"/>
  <c r="M100" i="14"/>
  <c r="H100" i="14" s="1"/>
  <c r="M159" i="14"/>
  <c r="H159" i="14" s="1"/>
  <c r="M500" i="14"/>
  <c r="H500" i="14" s="1"/>
  <c r="M988" i="14"/>
  <c r="H988" i="14" s="1"/>
  <c r="M835" i="14"/>
  <c r="H835" i="14" s="1"/>
  <c r="M109" i="14"/>
  <c r="H109" i="14" s="1"/>
  <c r="M920" i="14"/>
  <c r="H920" i="14" s="1"/>
  <c r="M484" i="14"/>
  <c r="H484" i="14" s="1"/>
  <c r="M161" i="14"/>
  <c r="H161" i="14" s="1"/>
  <c r="M720" i="14"/>
  <c r="H720" i="14" s="1"/>
  <c r="M257" i="14"/>
  <c r="H257" i="14" s="1"/>
  <c r="M458" i="14"/>
  <c r="H458" i="14" s="1"/>
  <c r="M541" i="14"/>
  <c r="H541" i="14" s="1"/>
  <c r="M378" i="14"/>
  <c r="H378" i="14" s="1"/>
  <c r="M92" i="14"/>
  <c r="H92" i="14" s="1"/>
  <c r="M487" i="14"/>
  <c r="H487" i="14" s="1"/>
  <c r="M601" i="14"/>
  <c r="H601" i="14" s="1"/>
  <c r="M874" i="14"/>
  <c r="H874" i="14" s="1"/>
  <c r="M746" i="14"/>
  <c r="H746" i="14" s="1"/>
  <c r="M653" i="14"/>
  <c r="H653" i="14" s="1"/>
  <c r="M633" i="14"/>
  <c r="H633" i="14" s="1"/>
  <c r="M724" i="14"/>
  <c r="H724" i="14" s="1"/>
  <c r="M47" i="14"/>
  <c r="H47" i="14" s="1"/>
  <c r="M32" i="14"/>
  <c r="H32" i="14" s="1"/>
  <c r="M151" i="14"/>
  <c r="H151" i="14" s="1"/>
  <c r="M232" i="14"/>
  <c r="H232" i="14" s="1"/>
  <c r="M397" i="14"/>
  <c r="H397" i="14" s="1"/>
  <c r="M171" i="14"/>
  <c r="H171" i="14" s="1"/>
  <c r="M252" i="14"/>
  <c r="H252" i="14" s="1"/>
  <c r="M89" i="14"/>
  <c r="H89" i="14" s="1"/>
  <c r="M706" i="14"/>
  <c r="H706" i="14" s="1"/>
  <c r="M166" i="14"/>
  <c r="H166" i="14" s="1"/>
  <c r="M773" i="14"/>
  <c r="H773" i="14" s="1"/>
  <c r="M957" i="14"/>
  <c r="H957" i="14" s="1"/>
  <c r="M71" i="14"/>
  <c r="H71" i="14" s="1"/>
  <c r="M759" i="14"/>
  <c r="H759" i="14" s="1"/>
  <c r="M239" i="14"/>
  <c r="H239" i="14" s="1"/>
  <c r="M714" i="14"/>
  <c r="H714" i="14" s="1"/>
  <c r="M922" i="14"/>
  <c r="H922" i="14" s="1"/>
  <c r="M548" i="14"/>
  <c r="H548" i="14" s="1"/>
  <c r="M122" i="14"/>
  <c r="H122" i="14" s="1"/>
  <c r="M614" i="14"/>
  <c r="H614" i="14" s="1"/>
  <c r="M497" i="14"/>
  <c r="H497" i="14" s="1"/>
  <c r="M188" i="14"/>
  <c r="H188" i="14" s="1"/>
  <c r="M365" i="14"/>
  <c r="H365" i="14" s="1"/>
  <c r="M696" i="14"/>
  <c r="H696" i="14" s="1"/>
  <c r="M866" i="14"/>
  <c r="H866" i="14" s="1"/>
  <c r="M969" i="14"/>
  <c r="H969" i="14" s="1"/>
  <c r="M299" i="14"/>
  <c r="H299" i="14" s="1"/>
  <c r="M435" i="14"/>
  <c r="H435" i="14" s="1"/>
  <c r="M319" i="14"/>
  <c r="H319" i="14" s="1"/>
  <c r="M412" i="14"/>
  <c r="H412" i="14" s="1"/>
  <c r="M708" i="14"/>
  <c r="H708" i="14" s="1"/>
  <c r="M372" i="14"/>
  <c r="H372" i="14" s="1"/>
  <c r="M84" i="14"/>
  <c r="H84" i="14" s="1"/>
  <c r="M182" i="14"/>
  <c r="H182" i="14" s="1"/>
  <c r="M209" i="14"/>
  <c r="H209" i="14" s="1"/>
  <c r="M692" i="14"/>
  <c r="H692" i="14" s="1"/>
  <c r="M943" i="14"/>
  <c r="H943" i="14" s="1"/>
  <c r="M623" i="14"/>
  <c r="H623" i="14" s="1"/>
  <c r="M615" i="14"/>
  <c r="H615" i="14" s="1"/>
  <c r="M141" i="14"/>
  <c r="H141" i="14" s="1"/>
  <c r="M938" i="14"/>
  <c r="H938" i="14" s="1"/>
  <c r="M664" i="14"/>
  <c r="H664" i="14" s="1"/>
  <c r="M707" i="14"/>
  <c r="H707" i="14" s="1"/>
  <c r="M94" i="14"/>
  <c r="H94" i="14" s="1"/>
  <c r="M997" i="14"/>
  <c r="H997" i="14" s="1"/>
  <c r="M536" i="14"/>
  <c r="H536" i="14" s="1"/>
  <c r="M781" i="14"/>
  <c r="H781" i="14" s="1"/>
  <c r="M402" i="14"/>
  <c r="H402" i="14" s="1"/>
  <c r="M136" i="14"/>
  <c r="H136" i="14" s="1"/>
  <c r="M68" i="14"/>
  <c r="H68" i="14" s="1"/>
  <c r="M928" i="14"/>
  <c r="H928" i="14" s="1"/>
  <c r="M726" i="14"/>
  <c r="H726" i="14" s="1"/>
  <c r="M74" i="14"/>
  <c r="H74" i="14" s="1"/>
  <c r="M525" i="14"/>
  <c r="H525" i="14" s="1"/>
  <c r="M53" i="14"/>
  <c r="H53" i="14" s="1"/>
  <c r="M544" i="14"/>
  <c r="H544" i="14" s="1"/>
  <c r="M642" i="14"/>
  <c r="H642" i="14" s="1"/>
  <c r="M145" i="14"/>
  <c r="H145" i="14" s="1"/>
  <c r="M994" i="14"/>
  <c r="H994" i="14" s="1"/>
  <c r="M711" i="14"/>
  <c r="H711" i="14" s="1"/>
  <c r="M577" i="14"/>
  <c r="H577" i="14" s="1"/>
  <c r="M317" i="14"/>
  <c r="H317" i="14" s="1"/>
  <c r="M213" i="14"/>
  <c r="H213" i="14" s="1"/>
  <c r="M787" i="14"/>
  <c r="H787" i="14" s="1"/>
  <c r="M110" i="14"/>
  <c r="H110" i="14" s="1"/>
  <c r="M485" i="14"/>
  <c r="H485" i="14" s="1"/>
  <c r="M911" i="14"/>
  <c r="H911" i="14" s="1"/>
  <c r="M506" i="14"/>
  <c r="H506" i="14" s="1"/>
  <c r="M404" i="14"/>
  <c r="H404" i="14" s="1"/>
  <c r="M218" i="14"/>
  <c r="H218" i="14" s="1"/>
  <c r="M984" i="14"/>
  <c r="H984" i="14" s="1"/>
  <c r="M14" i="14"/>
  <c r="H14" i="14" s="1"/>
  <c r="M662" i="14"/>
  <c r="H662" i="14" s="1"/>
  <c r="M905" i="14"/>
  <c r="H905" i="14" s="1"/>
  <c r="M777" i="14"/>
  <c r="H777" i="14" s="1"/>
  <c r="M867" i="14"/>
  <c r="H867" i="14" s="1"/>
  <c r="M336" i="14"/>
  <c r="H336" i="14" s="1"/>
  <c r="M152" i="14"/>
  <c r="H152" i="14" s="1"/>
  <c r="M705" i="14"/>
  <c r="H705" i="14" s="1"/>
  <c r="M540" i="14"/>
  <c r="H540" i="14" s="1"/>
  <c r="M884" i="14"/>
  <c r="H884" i="14" s="1"/>
  <c r="M545" i="14"/>
  <c r="H545" i="14" s="1"/>
  <c r="M101" i="14"/>
  <c r="H101" i="14" s="1"/>
  <c r="M58" i="14"/>
  <c r="H58" i="14" s="1"/>
  <c r="M859" i="14"/>
  <c r="H859" i="14" s="1"/>
  <c r="M765" i="14"/>
  <c r="H765" i="14" s="1"/>
  <c r="M310" i="14"/>
  <c r="H310" i="14" s="1"/>
  <c r="M509" i="14"/>
  <c r="H509" i="14" s="1"/>
  <c r="M251" i="14"/>
  <c r="H251" i="14" s="1"/>
  <c r="M516" i="14"/>
  <c r="H516" i="14" s="1"/>
  <c r="M195" i="14"/>
  <c r="H195" i="14" s="1"/>
  <c r="M491" i="14"/>
  <c r="H491" i="14" s="1"/>
  <c r="M816" i="14"/>
  <c r="H816" i="14" s="1"/>
  <c r="M667" i="14"/>
  <c r="H667" i="14" s="1"/>
  <c r="M733" i="14"/>
  <c r="H733" i="14" s="1"/>
  <c r="M193" i="14"/>
  <c r="H193" i="14" s="1"/>
  <c r="M986" i="14"/>
  <c r="H986" i="14" s="1"/>
  <c r="M48" i="14"/>
  <c r="H48" i="14" s="1"/>
  <c r="M184" i="14"/>
  <c r="H184" i="14" s="1"/>
  <c r="M243" i="14"/>
  <c r="H243" i="14" s="1"/>
  <c r="M392" i="14"/>
  <c r="H392" i="14" s="1"/>
  <c r="M330" i="14"/>
  <c r="H330" i="14" s="1"/>
  <c r="M980" i="14"/>
  <c r="H980" i="14" s="1"/>
  <c r="M469" i="14"/>
  <c r="H469" i="14" s="1"/>
  <c r="M294" i="14"/>
  <c r="H294" i="14" s="1"/>
  <c r="M369" i="14"/>
  <c r="H369" i="14" s="1"/>
  <c r="M268" i="14"/>
  <c r="H268" i="14" s="1"/>
  <c r="M808" i="14"/>
  <c r="H808" i="14" s="1"/>
  <c r="M128" i="14"/>
  <c r="H128" i="14" s="1"/>
  <c r="M79" i="14"/>
  <c r="H79" i="14" s="1"/>
  <c r="M447" i="14"/>
  <c r="H447" i="14" s="1"/>
  <c r="M11" i="14"/>
  <c r="H11" i="14" s="1"/>
  <c r="M757" i="14"/>
  <c r="H757" i="14" s="1"/>
  <c r="M300" i="14"/>
  <c r="H300" i="14" s="1"/>
  <c r="M971" i="14"/>
  <c r="H971" i="14" s="1"/>
  <c r="M893" i="14"/>
  <c r="H893" i="14" s="1"/>
  <c r="M433" i="14"/>
  <c r="H433" i="14" s="1"/>
  <c r="M546" i="14"/>
  <c r="H546" i="14" s="1"/>
  <c r="M910" i="14"/>
  <c r="H910" i="14" s="1"/>
  <c r="M185" i="14"/>
  <c r="H185" i="14" s="1"/>
  <c r="M235" i="14"/>
  <c r="H235" i="14" s="1"/>
  <c r="M643" i="14"/>
  <c r="H643" i="14" s="1"/>
  <c r="M813" i="14"/>
  <c r="H813" i="14" s="1"/>
  <c r="M598" i="14"/>
  <c r="H598" i="14" s="1"/>
  <c r="M640" i="14"/>
  <c r="H640" i="14" s="1"/>
  <c r="M472" i="14"/>
  <c r="H472" i="14" s="1"/>
  <c r="M384" i="14"/>
  <c r="H384" i="14" s="1"/>
  <c r="M820" i="14"/>
  <c r="H820" i="14" s="1"/>
  <c r="M233" i="14"/>
  <c r="H233" i="14" s="1"/>
  <c r="M716" i="14"/>
  <c r="H716" i="14" s="1"/>
  <c r="M274" i="14"/>
  <c r="H274" i="14" s="1"/>
  <c r="M301" i="14"/>
  <c r="H301" i="14" s="1"/>
  <c r="M370" i="14"/>
  <c r="H370" i="14" s="1"/>
  <c r="M1000" i="14"/>
  <c r="H1000" i="14" s="1"/>
  <c r="M892" i="14"/>
  <c r="H892" i="14" s="1"/>
  <c r="M33" i="14"/>
  <c r="H33" i="14" s="1"/>
  <c r="M845" i="14"/>
  <c r="H845" i="14" s="1"/>
  <c r="M464" i="14"/>
  <c r="H464" i="14" s="1"/>
  <c r="M975" i="14"/>
  <c r="H975" i="14" s="1"/>
  <c r="M23" i="14"/>
  <c r="H23" i="14" s="1"/>
  <c r="M821" i="14"/>
  <c r="H821" i="14" s="1"/>
  <c r="M297" i="14"/>
  <c r="H297" i="14" s="1"/>
  <c r="M587" i="14"/>
  <c r="H587" i="14" s="1"/>
  <c r="M610" i="14"/>
  <c r="H610" i="14" s="1"/>
  <c r="M495" i="14"/>
  <c r="H495" i="14" s="1"/>
  <c r="M368" i="14"/>
  <c r="H368" i="14" s="1"/>
  <c r="M995" i="14"/>
  <c r="H995" i="14" s="1"/>
  <c r="M744" i="14"/>
  <c r="H744" i="14" s="1"/>
  <c r="M102" i="14"/>
  <c r="H102" i="14" s="1"/>
  <c r="M307" i="14"/>
  <c r="H307" i="14" s="1"/>
  <c r="M325" i="14"/>
  <c r="H325" i="14" s="1"/>
  <c r="M558" i="14"/>
  <c r="H558" i="14" s="1"/>
  <c r="M580" i="14"/>
  <c r="H580" i="14" s="1"/>
  <c r="M132" i="14"/>
  <c r="H132" i="14" s="1"/>
  <c r="M431" i="14"/>
  <c r="H431" i="14" s="1"/>
  <c r="M321" i="14"/>
  <c r="H321" i="14" s="1"/>
  <c r="M286" i="14"/>
  <c r="H286" i="14" s="1"/>
  <c r="M758" i="14"/>
  <c r="H758" i="14" s="1"/>
  <c r="M470" i="14"/>
  <c r="H470" i="14" s="1"/>
  <c r="M721" i="14"/>
  <c r="H721" i="14" s="1"/>
  <c r="M718" i="14"/>
  <c r="H718" i="14" s="1"/>
  <c r="M131" i="14"/>
  <c r="H131" i="14" s="1"/>
  <c r="M140" i="14"/>
  <c r="H140" i="14" s="1"/>
  <c r="M691" i="14"/>
  <c r="H691" i="14" s="1"/>
  <c r="M421" i="14"/>
  <c r="H421" i="14" s="1"/>
  <c r="M803" i="14"/>
  <c r="H803" i="14" s="1"/>
  <c r="M344" i="14"/>
  <c r="H344" i="14" s="1"/>
  <c r="M723" i="14"/>
  <c r="H723" i="14" s="1"/>
  <c r="M776" i="14"/>
  <c r="H776" i="14" s="1"/>
  <c r="M229" i="14"/>
  <c r="H229" i="14" s="1"/>
  <c r="M422" i="14"/>
  <c r="H422" i="14" s="1"/>
  <c r="M493" i="14"/>
  <c r="H493" i="14" s="1"/>
  <c r="M842" i="14"/>
  <c r="H842" i="14" s="1"/>
  <c r="M197" i="14"/>
  <c r="H197" i="14" s="1"/>
  <c r="M752" i="14"/>
  <c r="H752" i="14" s="1"/>
  <c r="M919" i="14"/>
  <c r="H919" i="14" s="1"/>
  <c r="M529" i="14"/>
  <c r="H529" i="14" s="1"/>
  <c r="M348" i="14"/>
  <c r="H348" i="14" s="1"/>
  <c r="M322" i="14"/>
  <c r="H322" i="14" s="1"/>
  <c r="M687" i="14"/>
  <c r="H687" i="14" s="1"/>
  <c r="M302" i="14"/>
  <c r="H302" i="14" s="1"/>
  <c r="M677" i="14"/>
  <c r="H677" i="14" s="1"/>
  <c r="M67" i="14"/>
  <c r="H67" i="14" s="1"/>
  <c r="M735" i="14"/>
  <c r="H735" i="14" s="1"/>
  <c r="M646" i="14"/>
  <c r="H646" i="14" s="1"/>
  <c r="M298" i="14"/>
  <c r="H298" i="14" s="1"/>
  <c r="M446" i="14"/>
  <c r="H446" i="14" s="1"/>
  <c r="M335" i="14"/>
  <c r="H335" i="14" s="1"/>
  <c r="M359" i="14"/>
  <c r="H359" i="14" s="1"/>
  <c r="M401" i="14"/>
  <c r="H401" i="14" s="1"/>
  <c r="M786" i="14"/>
  <c r="H786" i="14" s="1"/>
  <c r="M382" i="14"/>
  <c r="H382" i="14" s="1"/>
  <c r="M686" i="14"/>
  <c r="H686" i="14" s="1"/>
  <c r="M220" i="14"/>
  <c r="H220" i="14" s="1"/>
  <c r="M87" i="14"/>
  <c r="H87" i="14" s="1"/>
  <c r="M380" i="14"/>
  <c r="H380" i="14" s="1"/>
  <c r="M204" i="14"/>
  <c r="H204" i="14" s="1"/>
  <c r="M871" i="14"/>
  <c r="H871" i="14" s="1"/>
  <c r="M424" i="14"/>
  <c r="H424" i="14" s="1"/>
  <c r="M143" i="14"/>
  <c r="H143" i="14" s="1"/>
  <c r="M194" i="14"/>
  <c r="H194" i="14" s="1"/>
  <c r="M1003" i="14"/>
  <c r="H1003" i="14" s="1"/>
  <c r="M823" i="14"/>
  <c r="H823" i="14" s="1"/>
  <c r="M441" i="14"/>
  <c r="H441" i="14" s="1"/>
  <c r="M749" i="14"/>
  <c r="H749" i="14" s="1"/>
  <c r="M324" i="14"/>
  <c r="H324" i="14" s="1"/>
  <c r="M660" i="14"/>
  <c r="H660" i="14" s="1"/>
  <c r="M373" i="14"/>
  <c r="H373" i="14" s="1"/>
  <c r="M346" i="14"/>
  <c r="H346" i="14" s="1"/>
  <c r="M200" i="14"/>
  <c r="H200" i="14" s="1"/>
  <c r="M798" i="14"/>
  <c r="H798" i="14" s="1"/>
  <c r="M149" i="14"/>
  <c r="H149" i="14" s="1"/>
  <c r="M21" i="14"/>
  <c r="H21" i="14" s="1"/>
  <c r="M564" i="14"/>
  <c r="H564" i="14" s="1"/>
  <c r="M933" i="14"/>
  <c r="H933" i="14" s="1"/>
  <c r="M309" i="14"/>
  <c r="H309" i="14" s="1"/>
  <c r="M915" i="14"/>
  <c r="H915" i="14" s="1"/>
  <c r="M264" i="14"/>
  <c r="H264" i="14" s="1"/>
  <c r="M137" i="14"/>
  <c r="H137" i="14" s="1"/>
  <c r="M133" i="14"/>
  <c r="H133" i="14" s="1"/>
  <c r="M888" i="14"/>
  <c r="H888" i="14" s="1"/>
  <c r="M20" i="14"/>
  <c r="H20" i="14" s="1"/>
  <c r="M947" i="14"/>
  <c r="H947" i="14" s="1"/>
  <c r="M337" i="14"/>
  <c r="H337" i="14" s="1"/>
  <c r="M562" i="14"/>
  <c r="H562" i="14" s="1"/>
  <c r="M949" i="14"/>
  <c r="H949" i="14" s="1"/>
  <c r="M921" i="14"/>
  <c r="H921" i="14" s="1"/>
  <c r="M970" i="14"/>
  <c r="H970" i="14" s="1"/>
  <c r="M739" i="14"/>
  <c r="H739" i="14" s="1"/>
  <c r="M280" i="14"/>
  <c r="H280" i="14" s="1"/>
  <c r="M574" i="14"/>
  <c r="H574" i="14" s="1"/>
  <c r="M240" i="14"/>
  <c r="H240" i="14" s="1"/>
  <c r="M810" i="14"/>
  <c r="H810" i="14" s="1"/>
  <c r="M549" i="14"/>
  <c r="H549" i="14" s="1"/>
  <c r="M477" i="14"/>
  <c r="H477" i="14" s="1"/>
  <c r="M729" i="14"/>
  <c r="H729" i="14" s="1"/>
  <c r="M494" i="14"/>
  <c r="H494" i="14" s="1"/>
  <c r="M551" i="14"/>
  <c r="H551" i="14" s="1"/>
  <c r="M839" i="14"/>
  <c r="H839" i="14" s="1"/>
  <c r="M854" i="14"/>
  <c r="H854" i="14" s="1"/>
  <c r="M39" i="14"/>
  <c r="H39" i="14" s="1"/>
  <c r="M201" i="14"/>
  <c r="H201" i="14" s="1"/>
  <c r="M1004" i="14"/>
  <c r="H1004" i="14" s="1"/>
  <c r="M308" i="14"/>
  <c r="H308" i="14" s="1"/>
  <c r="M165" i="14"/>
  <c r="H165" i="14" s="1"/>
  <c r="M881" i="14"/>
  <c r="H881" i="14" s="1"/>
  <c r="M682" i="14"/>
  <c r="H682" i="14" s="1"/>
  <c r="M323" i="14"/>
  <c r="H323" i="14" s="1"/>
  <c r="M222" i="14"/>
  <c r="H222" i="14" s="1"/>
  <c r="M210" i="14"/>
  <c r="H210" i="14" s="1"/>
  <c r="M173" i="14"/>
  <c r="H173" i="14" s="1"/>
  <c r="M57" i="14"/>
  <c r="H57" i="14" s="1"/>
  <c r="M916" i="14"/>
  <c r="H916" i="14" s="1"/>
  <c r="M728" i="14"/>
  <c r="H728" i="14" s="1"/>
  <c r="M44" i="14"/>
  <c r="H44" i="14" s="1"/>
  <c r="M655" i="14"/>
  <c r="H655" i="14" s="1"/>
  <c r="M339" i="14"/>
  <c r="H339" i="14" s="1"/>
  <c r="M51" i="14"/>
  <c r="H51" i="14" s="1"/>
  <c r="M977" i="14"/>
  <c r="H977" i="14" s="1"/>
  <c r="M556" i="14"/>
  <c r="H556" i="14" s="1"/>
  <c r="M774" i="14"/>
  <c r="H774" i="14" s="1"/>
  <c r="M880" i="14"/>
  <c r="H880" i="14" s="1"/>
  <c r="M855" i="14"/>
  <c r="H855" i="14" s="1"/>
  <c r="M754" i="14"/>
  <c r="H754" i="14" s="1"/>
  <c r="M343" i="14"/>
  <c r="H343" i="14" s="1"/>
  <c r="M625" i="14"/>
  <c r="H625" i="14" s="1"/>
  <c r="M590" i="14"/>
  <c r="H590" i="14" s="1"/>
  <c r="M329" i="14"/>
  <c r="H329" i="14" s="1"/>
  <c r="M442" i="14"/>
  <c r="H442" i="14" s="1"/>
  <c r="M238" i="14"/>
  <c r="H238" i="14" s="1"/>
  <c r="M993" i="14"/>
  <c r="H993" i="14" s="1"/>
  <c r="M534" i="14"/>
  <c r="H534" i="14" s="1"/>
  <c r="M576" i="14"/>
  <c r="H576" i="14" s="1"/>
  <c r="M278" i="14"/>
  <c r="H278" i="14" s="1"/>
  <c r="M320" i="14"/>
  <c r="H320" i="14" s="1"/>
  <c r="M28" i="14"/>
  <c r="H28" i="14" s="1"/>
  <c r="M129" i="14"/>
  <c r="H129" i="14" s="1"/>
  <c r="M93" i="14"/>
  <c r="H93" i="14" s="1"/>
  <c r="M420" i="14"/>
  <c r="H420" i="14" s="1"/>
  <c r="M448" i="14"/>
  <c r="H448" i="14" s="1"/>
  <c r="M583" i="14"/>
  <c r="H583" i="14" s="1"/>
  <c r="M88" i="14"/>
  <c r="H88" i="14" s="1"/>
  <c r="M400" i="14"/>
  <c r="H400" i="14" s="1"/>
  <c r="M112" i="14"/>
  <c r="H112" i="14" s="1"/>
  <c r="M375" i="14"/>
  <c r="H375" i="14" s="1"/>
  <c r="M123" i="14"/>
  <c r="H123" i="14" s="1"/>
  <c r="M354" i="14"/>
  <c r="H354" i="14" s="1"/>
  <c r="M453" i="14"/>
  <c r="H453" i="14" s="1"/>
  <c r="M763" i="14"/>
  <c r="H763" i="14" s="1"/>
  <c r="M963" i="14"/>
  <c r="H963" i="14" s="1"/>
  <c r="M474" i="14"/>
  <c r="H474" i="14" s="1"/>
  <c r="M792" i="14"/>
  <c r="H792" i="14" s="1"/>
  <c r="M944" i="14"/>
  <c r="H944" i="14" s="1"/>
  <c r="M704" i="14"/>
  <c r="H704" i="14" s="1"/>
  <c r="M254" i="14"/>
  <c r="H254" i="14" s="1"/>
  <c r="M223" i="14"/>
  <c r="H223" i="14" s="1"/>
  <c r="M822" i="14"/>
  <c r="H822" i="14" s="1"/>
  <c r="M778" i="14"/>
  <c r="H778" i="14" s="1"/>
  <c r="M358" i="14"/>
  <c r="H358" i="14" s="1"/>
  <c r="M289" i="14"/>
  <c r="H289" i="14" s="1"/>
  <c r="M628" i="14"/>
  <c r="H628" i="14" s="1"/>
  <c r="M996" i="14"/>
  <c r="H996" i="14" s="1"/>
  <c r="M679" i="14"/>
  <c r="H679" i="14" s="1"/>
  <c r="M514" i="14"/>
  <c r="H514" i="14" s="1"/>
  <c r="M258" i="14"/>
  <c r="H258" i="14" s="1"/>
  <c r="M124" i="14"/>
  <c r="H124" i="14" s="1"/>
  <c r="M284" i="14"/>
  <c r="H284" i="14" s="1"/>
  <c r="M853" i="14"/>
  <c r="H853" i="14" s="1"/>
  <c r="M83" i="14"/>
  <c r="H83" i="14" s="1"/>
  <c r="M650" i="14"/>
  <c r="H650" i="14" s="1"/>
  <c r="M225" i="14"/>
  <c r="H225" i="14" s="1"/>
  <c r="M231" i="14"/>
  <c r="H231" i="14" s="1"/>
  <c r="M512" i="14"/>
  <c r="H512" i="14" s="1"/>
  <c r="M38" i="14"/>
  <c r="H38" i="14" s="1"/>
  <c r="M987" i="14"/>
  <c r="H987" i="14" s="1"/>
  <c r="M680" i="14"/>
  <c r="H680" i="14" s="1"/>
  <c r="M557" i="14"/>
  <c r="H557" i="14" s="1"/>
  <c r="M616" i="14"/>
  <c r="H616" i="14" s="1"/>
  <c r="M663" i="14"/>
  <c r="H663" i="14" s="1"/>
  <c r="M903" i="14"/>
  <c r="H903" i="14" s="1"/>
  <c r="M444" i="14"/>
  <c r="H444" i="14" s="1"/>
  <c r="M961" i="14"/>
  <c r="H961" i="14" s="1"/>
  <c r="M461" i="14"/>
  <c r="H461" i="14" s="1"/>
  <c r="M362" i="14"/>
  <c r="H362" i="14" s="1"/>
  <c r="M604" i="14"/>
  <c r="H604" i="14" s="1"/>
  <c r="M848" i="14"/>
  <c r="H848" i="14" s="1"/>
  <c r="M747" i="14"/>
  <c r="H747" i="14" s="1"/>
  <c r="M941" i="14"/>
  <c r="H941" i="14" s="1"/>
  <c r="M595" i="14"/>
  <c r="H595" i="14" s="1"/>
  <c r="M831" i="14"/>
  <c r="H831" i="14" s="1"/>
  <c r="M66" i="14"/>
  <c r="H66" i="14" s="1"/>
  <c r="M864" i="14"/>
  <c r="H864" i="14" s="1"/>
  <c r="M510" i="14"/>
  <c r="H510" i="14" s="1"/>
  <c r="M91" i="14"/>
  <c r="H91" i="14" s="1"/>
  <c r="M169" i="14"/>
  <c r="H169" i="14" s="1"/>
  <c r="M937" i="14"/>
  <c r="H937" i="14" s="1"/>
  <c r="M273" i="14"/>
  <c r="H273" i="14" s="1"/>
  <c r="M432" i="14"/>
  <c r="H432" i="14" s="1"/>
  <c r="M563" i="14"/>
  <c r="H563" i="14" s="1"/>
  <c r="M636" i="14"/>
  <c r="H636" i="14" s="1"/>
  <c r="M398" i="14"/>
  <c r="H398" i="14" s="1"/>
  <c r="M181" i="14"/>
  <c r="H181" i="14" s="1"/>
  <c r="M965" i="14"/>
  <c r="H965" i="14" s="1"/>
  <c r="M931" i="14"/>
  <c r="H931" i="14" s="1"/>
  <c r="M360" i="14"/>
  <c r="H360" i="14" s="1"/>
  <c r="M377" i="14"/>
  <c r="H377" i="14" s="1"/>
  <c r="M7" i="14"/>
  <c r="H7" i="14" s="1"/>
  <c r="E1009" i="14"/>
  <c r="M852" i="14"/>
  <c r="H852" i="14" s="1"/>
  <c r="M913" i="14"/>
  <c r="H913" i="14" s="1"/>
  <c r="M492" i="14"/>
  <c r="H492" i="14" s="1"/>
  <c r="M198" i="14"/>
  <c r="H198" i="14" s="1"/>
  <c r="M304" i="14"/>
  <c r="H304" i="14" s="1"/>
  <c r="M535" i="14"/>
  <c r="H535" i="14" s="1"/>
  <c r="M689" i="14"/>
  <c r="H689" i="14" s="1"/>
  <c r="M60" i="14"/>
  <c r="H60" i="14" s="1"/>
  <c r="M247" i="14"/>
  <c r="H247" i="14" s="1"/>
  <c r="M611" i="14"/>
  <c r="H611" i="14" s="1"/>
  <c r="M991" i="14"/>
  <c r="H991" i="14" s="1"/>
  <c r="M15" i="14"/>
  <c r="M836" i="14"/>
  <c r="H836" i="14" s="1"/>
  <c r="M690" i="14"/>
  <c r="M712" i="14"/>
  <c r="H712" i="14" s="1"/>
  <c r="M121" i="14"/>
  <c r="M256" i="14"/>
  <c r="H256" i="14" s="1"/>
  <c r="M117" i="14"/>
  <c r="M958" i="14"/>
  <c r="M833" i="14"/>
  <c r="M437" i="14"/>
  <c r="M932" i="14"/>
  <c r="M488" i="14"/>
  <c r="M285" i="14"/>
  <c r="M814" i="14"/>
  <c r="M856" i="14"/>
  <c r="M428" i="14"/>
  <c r="M742" i="14"/>
  <c r="M968" i="14"/>
  <c r="M999" i="14"/>
  <c r="M734" i="14"/>
  <c r="M473" i="14"/>
  <c r="M701" i="14"/>
  <c r="M155" i="14"/>
  <c r="M727" i="14"/>
  <c r="M626" i="14"/>
  <c r="M1005" i="14"/>
  <c r="M211" i="14"/>
  <c r="M627" i="14"/>
  <c r="M503" i="14"/>
  <c r="M927" i="14"/>
  <c r="M262" i="14"/>
  <c r="M305" i="14"/>
  <c r="M283" i="14"/>
  <c r="M631" i="14"/>
  <c r="M135" i="14"/>
  <c r="M429" i="14"/>
  <c r="M788" i="14"/>
  <c r="M334" i="14"/>
  <c r="M312" i="14"/>
  <c r="M624" i="14"/>
  <c r="M599" i="14"/>
  <c r="M383" i="14"/>
  <c r="M622" i="14"/>
  <c r="M738" i="14"/>
  <c r="M818" i="14"/>
  <c r="M244" i="14"/>
  <c r="M30" i="14"/>
  <c r="M349" i="14"/>
  <c r="M282" i="14"/>
  <c r="M76" i="14"/>
  <c r="M700" i="14"/>
  <c r="M799" i="14"/>
  <c r="M269" i="14"/>
  <c r="M929" i="14"/>
  <c r="M585" i="14"/>
  <c r="M520" i="14"/>
  <c r="M439" i="14"/>
  <c r="M164" i="14"/>
  <c r="M511" i="14"/>
  <c r="M22" i="14"/>
  <c r="M575" i="14"/>
  <c r="M436" i="14"/>
  <c r="M333" i="14"/>
  <c r="M858" i="14"/>
  <c r="M108" i="14"/>
  <c r="M12" i="14"/>
  <c r="M507" i="14"/>
  <c r="M326" i="14"/>
  <c r="M270" i="14"/>
  <c r="M9" i="14"/>
  <c r="M440" i="14"/>
  <c r="M847" i="14"/>
  <c r="M955" i="14"/>
  <c r="B60" i="14" l="1"/>
  <c r="B836" i="14"/>
  <c r="B991" i="14"/>
  <c r="B535" i="14"/>
  <c r="B913" i="14"/>
  <c r="B712" i="14"/>
  <c r="B611" i="14"/>
  <c r="B198" i="14"/>
  <c r="H847" i="14"/>
  <c r="B847" i="14"/>
  <c r="H9" i="14"/>
  <c r="B9" i="14"/>
  <c r="H12" i="14"/>
  <c r="B12" i="14"/>
  <c r="H436" i="14"/>
  <c r="B436" i="14"/>
  <c r="H439" i="14"/>
  <c r="B439" i="14"/>
  <c r="H585" i="14"/>
  <c r="B585" i="14"/>
  <c r="H799" i="14"/>
  <c r="B799" i="14"/>
  <c r="H76" i="14"/>
  <c r="B76" i="14"/>
  <c r="H244" i="14"/>
  <c r="B244" i="14"/>
  <c r="H788" i="14"/>
  <c r="B788" i="14"/>
  <c r="H135" i="14"/>
  <c r="B135" i="14"/>
  <c r="H305" i="14"/>
  <c r="B305" i="14"/>
  <c r="H927" i="14"/>
  <c r="B927" i="14"/>
  <c r="H211" i="14"/>
  <c r="B211" i="14"/>
  <c r="H727" i="14"/>
  <c r="B727" i="14"/>
  <c r="H734" i="14"/>
  <c r="B734" i="14"/>
  <c r="H428" i="14"/>
  <c r="B428" i="14"/>
  <c r="H932" i="14"/>
  <c r="B932" i="14"/>
  <c r="H955" i="14"/>
  <c r="B955" i="14"/>
  <c r="H270" i="14"/>
  <c r="B270" i="14"/>
  <c r="H108" i="14"/>
  <c r="B108" i="14"/>
  <c r="H575" i="14"/>
  <c r="B575" i="14"/>
  <c r="H22" i="14"/>
  <c r="B22" i="14"/>
  <c r="H929" i="14"/>
  <c r="B929" i="14"/>
  <c r="H282" i="14"/>
  <c r="B282" i="14"/>
  <c r="H818" i="14"/>
  <c r="B818" i="14"/>
  <c r="H383" i="14"/>
  <c r="B383" i="14"/>
  <c r="H312" i="14"/>
  <c r="B312" i="14"/>
  <c r="H429" i="14"/>
  <c r="B429" i="14"/>
  <c r="H631" i="14"/>
  <c r="B631" i="14"/>
  <c r="H262" i="14"/>
  <c r="B262" i="14"/>
  <c r="H155" i="14"/>
  <c r="B155" i="14"/>
  <c r="H999" i="14"/>
  <c r="B999" i="14"/>
  <c r="H814" i="14"/>
  <c r="B814" i="14"/>
  <c r="H437" i="14"/>
  <c r="B437" i="14"/>
  <c r="H958" i="14"/>
  <c r="B958" i="14"/>
  <c r="H15" i="14"/>
  <c r="B15" i="14"/>
  <c r="H326" i="14"/>
  <c r="B326" i="14"/>
  <c r="H858" i="14"/>
  <c r="B858" i="14"/>
  <c r="H511" i="14"/>
  <c r="B511" i="14"/>
  <c r="H269" i="14"/>
  <c r="B269" i="14"/>
  <c r="H700" i="14"/>
  <c r="B700" i="14"/>
  <c r="H349" i="14"/>
  <c r="B349" i="14"/>
  <c r="H738" i="14"/>
  <c r="B738" i="14"/>
  <c r="H599" i="14"/>
  <c r="B599" i="14"/>
  <c r="H334" i="14"/>
  <c r="B334" i="14"/>
  <c r="H283" i="14"/>
  <c r="B283" i="14"/>
  <c r="H503" i="14"/>
  <c r="B503" i="14"/>
  <c r="H1005" i="14"/>
  <c r="B1005" i="14"/>
  <c r="H701" i="14"/>
  <c r="B701" i="14"/>
  <c r="H968" i="14"/>
  <c r="B968" i="14"/>
  <c r="H285" i="14"/>
  <c r="B285" i="14"/>
  <c r="H833" i="14"/>
  <c r="B833" i="14"/>
  <c r="H690" i="14"/>
  <c r="B690" i="14"/>
  <c r="H440" i="14"/>
  <c r="B440" i="14"/>
  <c r="H507" i="14"/>
  <c r="B507" i="14"/>
  <c r="H333" i="14"/>
  <c r="B333" i="14"/>
  <c r="H164" i="14"/>
  <c r="B164" i="14"/>
  <c r="H520" i="14"/>
  <c r="B520" i="14"/>
  <c r="H30" i="14"/>
  <c r="B30" i="14"/>
  <c r="H622" i="14"/>
  <c r="B622" i="14"/>
  <c r="H624" i="14"/>
  <c r="B624" i="14"/>
  <c r="H627" i="14"/>
  <c r="B627" i="14"/>
  <c r="H626" i="14"/>
  <c r="B626" i="14"/>
  <c r="H473" i="14"/>
  <c r="B473" i="14"/>
  <c r="H742" i="14"/>
  <c r="B742" i="14"/>
  <c r="H856" i="14"/>
  <c r="B856" i="14"/>
  <c r="H488" i="14"/>
  <c r="B488" i="14"/>
  <c r="H117" i="14"/>
  <c r="B117" i="14"/>
  <c r="H121" i="14"/>
  <c r="B121" i="14"/>
  <c r="E1043" i="14"/>
  <c r="B119" i="14"/>
  <c r="B256" i="14"/>
  <c r="B247" i="14"/>
  <c r="B689" i="14"/>
  <c r="B304" i="14"/>
  <c r="B492" i="14"/>
  <c r="B852" i="14"/>
  <c r="L7" i="14"/>
  <c r="L8" i="14" s="1"/>
  <c r="B7" i="14"/>
  <c r="B377" i="14"/>
  <c r="B931" i="14"/>
  <c r="B181" i="14"/>
  <c r="B636" i="14"/>
  <c r="B273" i="14"/>
  <c r="B169" i="14"/>
  <c r="B91" i="14"/>
  <c r="B66" i="14"/>
  <c r="B941" i="14"/>
  <c r="B848" i="14"/>
  <c r="B362" i="14"/>
  <c r="B461" i="14"/>
  <c r="B903" i="14"/>
  <c r="B616" i="14"/>
  <c r="B680" i="14"/>
  <c r="B38" i="14"/>
  <c r="B231" i="14"/>
  <c r="B650" i="14"/>
  <c r="B853" i="14"/>
  <c r="B284" i="14"/>
  <c r="B258" i="14"/>
  <c r="B679" i="14"/>
  <c r="B628" i="14"/>
  <c r="B289" i="14"/>
  <c r="B778" i="14"/>
  <c r="B223" i="14"/>
  <c r="B704" i="14"/>
  <c r="B792" i="14"/>
  <c r="B474" i="14"/>
  <c r="B763" i="14"/>
  <c r="B453" i="14"/>
  <c r="B123" i="14"/>
  <c r="B112" i="14"/>
  <c r="B88" i="14"/>
  <c r="B448" i="14"/>
  <c r="B93" i="14"/>
  <c r="B278" i="14"/>
  <c r="B534" i="14"/>
  <c r="B238" i="14"/>
  <c r="B329" i="14"/>
  <c r="B625" i="14"/>
  <c r="B754" i="14"/>
  <c r="B774" i="14"/>
  <c r="B556" i="14"/>
  <c r="B339" i="14"/>
  <c r="B655" i="14"/>
  <c r="B728" i="14"/>
  <c r="B173" i="14"/>
  <c r="B210" i="14"/>
  <c r="B323" i="14"/>
  <c r="B881" i="14"/>
  <c r="B308" i="14"/>
  <c r="B1004" i="14"/>
  <c r="B201" i="14"/>
  <c r="B854" i="14"/>
  <c r="B551" i="14"/>
  <c r="B494" i="14"/>
  <c r="B729" i="14"/>
  <c r="B810" i="14"/>
  <c r="B240" i="14"/>
  <c r="B280" i="14"/>
  <c r="B970" i="14"/>
  <c r="B949" i="14"/>
  <c r="B337" i="14"/>
  <c r="B20" i="14"/>
  <c r="B133" i="14"/>
  <c r="B264" i="14"/>
  <c r="B309" i="14"/>
  <c r="B564" i="14"/>
  <c r="B346" i="14"/>
  <c r="B660" i="14"/>
  <c r="B749" i="14"/>
  <c r="B823" i="14"/>
  <c r="B194" i="14"/>
  <c r="B424" i="14"/>
  <c r="B204" i="14"/>
  <c r="B686" i="14"/>
  <c r="B786" i="14"/>
  <c r="B359" i="14"/>
  <c r="B302" i="14"/>
  <c r="B322" i="14"/>
  <c r="B529" i="14"/>
  <c r="B493" i="14"/>
  <c r="B776" i="14"/>
  <c r="B723" i="14"/>
  <c r="B803" i="14"/>
  <c r="B421" i="14"/>
  <c r="B131" i="14"/>
  <c r="B718" i="14"/>
  <c r="B470" i="14"/>
  <c r="B321" i="14"/>
  <c r="B132" i="14"/>
  <c r="B558" i="14"/>
  <c r="B307" i="14"/>
  <c r="B102" i="14"/>
  <c r="B495" i="14"/>
  <c r="B587" i="14"/>
  <c r="B23" i="14"/>
  <c r="B464" i="14"/>
  <c r="B845" i="14"/>
  <c r="B892" i="14"/>
  <c r="B370" i="14"/>
  <c r="B301" i="14"/>
  <c r="B716" i="14"/>
  <c r="B820" i="14"/>
  <c r="B384" i="14"/>
  <c r="B598" i="14"/>
  <c r="B235" i="14"/>
  <c r="B910" i="14"/>
  <c r="B433" i="14"/>
  <c r="B971" i="14"/>
  <c r="B757" i="14"/>
  <c r="B447" i="14"/>
  <c r="B79" i="14"/>
  <c r="B808" i="14"/>
  <c r="B268" i="14"/>
  <c r="B294" i="14"/>
  <c r="B469" i="14"/>
  <c r="B330" i="14"/>
  <c r="B243" i="14"/>
  <c r="B184" i="14"/>
  <c r="B986" i="14"/>
  <c r="B733" i="14"/>
  <c r="B816" i="14"/>
  <c r="B195" i="14"/>
  <c r="B251" i="14"/>
  <c r="B509" i="14"/>
  <c r="B765" i="14"/>
  <c r="B58" i="14"/>
  <c r="B545" i="14"/>
  <c r="B540" i="14"/>
  <c r="B152" i="14"/>
  <c r="B867" i="14"/>
  <c r="B905" i="14"/>
  <c r="B984" i="14"/>
  <c r="B404" i="14"/>
  <c r="B911" i="14"/>
  <c r="B110" i="14"/>
  <c r="B787" i="14"/>
  <c r="B213" i="14"/>
  <c r="B577" i="14"/>
  <c r="B994" i="14"/>
  <c r="B642" i="14"/>
  <c r="B544" i="14"/>
  <c r="B525" i="14"/>
  <c r="B74" i="14"/>
  <c r="B726" i="14"/>
  <c r="B68" i="14"/>
  <c r="B402" i="14"/>
  <c r="B536" i="14"/>
  <c r="B94" i="14"/>
  <c r="B664" i="14"/>
  <c r="B141" i="14"/>
  <c r="B623" i="14"/>
  <c r="B692" i="14"/>
  <c r="B182" i="14"/>
  <c r="B372" i="14"/>
  <c r="B412" i="14"/>
  <c r="B435" i="14"/>
  <c r="B969" i="14"/>
  <c r="B866" i="14"/>
  <c r="B696" i="14"/>
  <c r="B365" i="14"/>
  <c r="B188" i="14"/>
  <c r="B614" i="14"/>
  <c r="B122" i="14"/>
  <c r="B548" i="14"/>
  <c r="B922" i="14"/>
  <c r="B239" i="14"/>
  <c r="B957" i="14"/>
  <c r="B166" i="14"/>
  <c r="B706" i="14"/>
  <c r="B397" i="14"/>
  <c r="B232" i="14"/>
  <c r="B47" i="14"/>
  <c r="B653" i="14"/>
  <c r="B746" i="14"/>
  <c r="B601" i="14"/>
  <c r="B541" i="14"/>
  <c r="B257" i="14"/>
  <c r="B161" i="14"/>
  <c r="B920" i="14"/>
  <c r="B109" i="14"/>
  <c r="B835" i="14"/>
  <c r="B500" i="14"/>
  <c r="B100" i="14"/>
  <c r="B41" i="14"/>
  <c r="B568" i="14"/>
  <c r="B386" i="14"/>
  <c r="B982" i="14"/>
  <c r="B75" i="14"/>
  <c r="B253" i="14"/>
  <c r="B499" i="14"/>
  <c r="B681" i="14"/>
  <c r="B96" i="14"/>
  <c r="B163" i="14"/>
  <c r="B395" i="14"/>
  <c r="B769" i="14"/>
  <c r="B873" i="14"/>
  <c r="B621" i="14"/>
  <c r="B214" i="14"/>
  <c r="B189" i="14"/>
  <c r="B192" i="14"/>
  <c r="B64" i="14"/>
  <c r="B863" i="14"/>
  <c r="B97" i="14"/>
  <c r="B414" i="14"/>
  <c r="B381" i="14"/>
  <c r="B703" i="14"/>
  <c r="B651" i="14"/>
  <c r="B730" i="14"/>
  <c r="B341" i="14"/>
  <c r="B800" i="14"/>
  <c r="B796" i="14"/>
  <c r="B515" i="14"/>
  <c r="B764" i="14"/>
  <c r="B804" i="14"/>
  <c r="B602" i="14"/>
  <c r="B438" i="14"/>
  <c r="B737" i="14"/>
  <c r="B291" i="14"/>
  <c r="B292" i="14"/>
  <c r="B315" i="14"/>
  <c r="B246" i="14"/>
  <c r="B249" i="14"/>
  <c r="B450" i="14"/>
  <c r="B609" i="14"/>
  <c r="B391" i="14"/>
  <c r="B771" i="14"/>
  <c r="B167" i="14"/>
  <c r="B338" i="14"/>
  <c r="B345" i="14"/>
  <c r="B456" i="14"/>
  <c r="B16" i="14"/>
  <c r="B846" i="14"/>
  <c r="B693" i="14"/>
  <c r="B385" i="14"/>
  <c r="B216" i="14"/>
  <c r="B953" i="14"/>
  <c r="B906" i="14"/>
  <c r="B364" i="14"/>
  <c r="B843" i="14"/>
  <c r="B419" i="14"/>
  <c r="B591" i="14"/>
  <c r="B443" i="14"/>
  <c r="B956" i="14"/>
  <c r="B630" i="14"/>
  <c r="B824" i="14"/>
  <c r="B676" i="14"/>
  <c r="B271" i="14"/>
  <c r="B637" i="14"/>
  <c r="B674" i="14"/>
  <c r="B570" i="14"/>
  <c r="B775" i="14"/>
  <c r="B946" i="14"/>
  <c r="B935" i="14"/>
  <c r="B606" i="14"/>
  <c r="B35" i="14"/>
  <c r="B811" i="14"/>
  <c r="B895" i="14"/>
  <c r="B144" i="14"/>
  <c r="B533" i="14"/>
  <c r="B303" i="14"/>
  <c r="B118" i="14"/>
  <c r="B918" i="14"/>
  <c r="B374" i="14"/>
  <c r="B115" i="14"/>
  <c r="B202" i="14"/>
  <c r="B555" i="14"/>
  <c r="B979" i="14"/>
  <c r="B40" i="14"/>
  <c r="B25" i="14"/>
  <c r="B43" i="14"/>
  <c r="B768" i="14"/>
  <c r="B819" i="14"/>
  <c r="B504" i="14"/>
  <c r="B445" i="14"/>
  <c r="B146" i="14"/>
  <c r="B27" i="14"/>
  <c r="B191" i="14"/>
  <c r="B224" i="14"/>
  <c r="B794" i="14"/>
  <c r="B850" i="14"/>
  <c r="B578" i="14"/>
  <c r="B411" i="14"/>
  <c r="B828" i="14"/>
  <c r="B665" i="14"/>
  <c r="B148" i="14"/>
  <c r="B612" i="14"/>
  <c r="B900" i="14"/>
  <c r="B342" i="14"/>
  <c r="B18" i="14"/>
  <c r="B524" i="14"/>
  <c r="B1002" i="14"/>
  <c r="B826" i="14"/>
  <c r="B684" i="14"/>
  <c r="B158" i="14"/>
  <c r="B452" i="14"/>
  <c r="B255" i="14"/>
  <c r="B802" i="14"/>
  <c r="B72" i="14"/>
  <c r="B1001" i="14"/>
  <c r="B649" i="14"/>
  <c r="B830" i="14"/>
  <c r="B199" i="14"/>
  <c r="B538" i="14"/>
  <c r="B879" i="14"/>
  <c r="B815" i="14"/>
  <c r="B825" i="14"/>
  <c r="B265" i="14"/>
  <c r="B170" i="14"/>
  <c r="B647" i="14"/>
  <c r="B904" i="14"/>
  <c r="B673" i="14"/>
  <c r="B527" i="14"/>
  <c r="B465" i="14"/>
  <c r="B138" i="14"/>
  <c r="B471" i="14"/>
  <c r="B24" i="14"/>
  <c r="B600" i="14"/>
  <c r="B593" i="14"/>
  <c r="B523" i="14"/>
  <c r="B694" i="14"/>
  <c r="B476" i="14"/>
  <c r="B732" i="14"/>
  <c r="B592" i="14"/>
  <c r="B522" i="14"/>
  <c r="B875" i="14"/>
  <c r="B579" i="14"/>
  <c r="B766" i="14"/>
  <c r="B675" i="14"/>
  <c r="B162" i="14"/>
  <c r="B605" i="14"/>
  <c r="B496" i="14"/>
  <c r="B722" i="14"/>
  <c r="B849" i="14"/>
  <c r="B868" i="14"/>
  <c r="B154" i="14"/>
  <c r="B29" i="14"/>
  <c r="B638" i="14"/>
  <c r="B426" i="14"/>
  <c r="B565" i="14"/>
  <c r="B379" i="14"/>
  <c r="B226" i="14"/>
  <c r="B328" i="14"/>
  <c r="B844" i="14"/>
  <c r="B363" i="14"/>
  <c r="B877" i="14"/>
  <c r="B242" i="14"/>
  <c r="B293" i="14"/>
  <c r="B306" i="14"/>
  <c r="B19" i="14"/>
  <c r="B406" i="14"/>
  <c r="B713" i="14"/>
  <c r="B52" i="14"/>
  <c r="B832" i="14"/>
  <c r="B695" i="14"/>
  <c r="B780" i="14"/>
  <c r="B731" i="14"/>
  <c r="B212" i="14"/>
  <c r="B408" i="14"/>
  <c r="B120" i="14"/>
  <c r="B812" i="14"/>
  <c r="B797" i="14"/>
  <c r="B909" i="14"/>
  <c r="B588" i="14"/>
  <c r="B607" i="14"/>
  <c r="B467" i="14"/>
  <c r="B183" i="14"/>
  <c r="B45" i="14"/>
  <c r="B807" i="14"/>
  <c r="B632" i="14"/>
  <c r="B959" i="14"/>
  <c r="B417" i="14"/>
  <c r="B150" i="14"/>
  <c r="B207" i="14"/>
  <c r="B99" i="14"/>
  <c r="B924" i="14"/>
  <c r="B403" i="14"/>
  <c r="B187" i="14"/>
  <c r="B652" i="14"/>
  <c r="B861" i="14"/>
  <c r="B699" i="14"/>
  <c r="B743" i="14"/>
  <c r="B978" i="14"/>
  <c r="B902" i="14"/>
  <c r="B567" i="14"/>
  <c r="B106" i="14"/>
  <c r="B351" i="14"/>
  <c r="B295" i="14"/>
  <c r="B26" i="14"/>
  <c r="B95" i="14"/>
  <c r="B635" i="14"/>
  <c r="B767" i="14"/>
  <c r="B276" i="14"/>
  <c r="B376" i="14"/>
  <c r="B394" i="14"/>
  <c r="B103" i="14"/>
  <c r="B981" i="14"/>
  <c r="B760" i="14"/>
  <c r="B887" i="14"/>
  <c r="B290" i="14"/>
  <c r="B550" i="14"/>
  <c r="B560" i="14"/>
  <c r="B715" i="14"/>
  <c r="B205" i="14"/>
  <c r="B59" i="14"/>
  <c r="B272" i="14"/>
  <c r="B934" i="14"/>
  <c r="B54" i="14"/>
  <c r="B316" i="14"/>
  <c r="B261" i="14"/>
  <c r="B572" i="14"/>
  <c r="B356" i="14"/>
  <c r="B772" i="14"/>
  <c r="B206" i="14"/>
  <c r="B134" i="14"/>
  <c r="B886" i="14"/>
  <c r="B355" i="14"/>
  <c r="B857" i="14"/>
  <c r="B215" i="14"/>
  <c r="B645" i="14"/>
  <c r="B387" i="14"/>
  <c r="B840" i="14"/>
  <c r="B620" i="14"/>
  <c r="B899" i="14"/>
  <c r="B603" i="14"/>
  <c r="B367" i="14"/>
  <c r="B936" i="14"/>
  <c r="B17" i="14"/>
  <c r="B82" i="14"/>
  <c r="B697" i="14"/>
  <c r="B393" i="14"/>
  <c r="B829" i="14"/>
  <c r="B407" i="14"/>
  <c r="B177" i="14"/>
  <c r="B634" i="14"/>
  <c r="B107" i="14"/>
  <c r="B894" i="14"/>
  <c r="B237" i="14"/>
  <c r="B147" i="14"/>
  <c r="B669" i="14"/>
  <c r="B789" i="14"/>
  <c r="B654" i="14"/>
  <c r="B8" i="14"/>
  <c r="B462" i="14"/>
  <c r="B157" i="14"/>
  <c r="B250" i="14"/>
  <c r="B180" i="14"/>
  <c r="B964" i="14"/>
  <c r="B360" i="14"/>
  <c r="B965" i="14"/>
  <c r="B398" i="14"/>
  <c r="B563" i="14"/>
  <c r="B432" i="14"/>
  <c r="B937" i="14"/>
  <c r="B510" i="14"/>
  <c r="B864" i="14"/>
  <c r="B831" i="14"/>
  <c r="B595" i="14"/>
  <c r="B747" i="14"/>
  <c r="B604" i="14"/>
  <c r="B961" i="14"/>
  <c r="B444" i="14"/>
  <c r="B663" i="14"/>
  <c r="B557" i="14"/>
  <c r="B987" i="14"/>
  <c r="B512" i="14"/>
  <c r="B225" i="14"/>
  <c r="B83" i="14"/>
  <c r="B124" i="14"/>
  <c r="B514" i="14"/>
  <c r="B996" i="14"/>
  <c r="B358" i="14"/>
  <c r="B822" i="14"/>
  <c r="B254" i="14"/>
  <c r="B944" i="14"/>
  <c r="B963" i="14"/>
  <c r="B354" i="14"/>
  <c r="B375" i="14"/>
  <c r="B400" i="14"/>
  <c r="B583" i="14"/>
  <c r="B420" i="14"/>
  <c r="B129" i="14"/>
  <c r="B28" i="14"/>
  <c r="B320" i="14"/>
  <c r="B576" i="14"/>
  <c r="B993" i="14"/>
  <c r="B442" i="14"/>
  <c r="B590" i="14"/>
  <c r="B343" i="14"/>
  <c r="B855" i="14"/>
  <c r="B880" i="14"/>
  <c r="B977" i="14"/>
  <c r="B51" i="14"/>
  <c r="B44" i="14"/>
  <c r="B916" i="14"/>
  <c r="B57" i="14"/>
  <c r="B222" i="14"/>
  <c r="B682" i="14"/>
  <c r="B165" i="14"/>
  <c r="B39" i="14"/>
  <c r="B839" i="14"/>
  <c r="B477" i="14"/>
  <c r="B549" i="14"/>
  <c r="B574" i="14"/>
  <c r="B739" i="14"/>
  <c r="B921" i="14"/>
  <c r="B562" i="14"/>
  <c r="B947" i="14"/>
  <c r="B888" i="14"/>
  <c r="B137" i="14"/>
  <c r="B915" i="14"/>
  <c r="B933" i="14"/>
  <c r="B21" i="14"/>
  <c r="B149" i="14"/>
  <c r="B798" i="14"/>
  <c r="B200" i="14"/>
  <c r="B373" i="14"/>
  <c r="B324" i="14"/>
  <c r="B441" i="14"/>
  <c r="B1003" i="14"/>
  <c r="B143" i="14"/>
  <c r="B871" i="14"/>
  <c r="B380" i="14"/>
  <c r="B87" i="14"/>
  <c r="B220" i="14"/>
  <c r="B382" i="14"/>
  <c r="B401" i="14"/>
  <c r="B335" i="14"/>
  <c r="B446" i="14"/>
  <c r="B298" i="14"/>
  <c r="B646" i="14"/>
  <c r="B735" i="14"/>
  <c r="B67" i="14"/>
  <c r="B677" i="14"/>
  <c r="B687" i="14"/>
  <c r="B348" i="14"/>
  <c r="B919" i="14"/>
  <c r="B752" i="14"/>
  <c r="B197" i="14"/>
  <c r="B842" i="14"/>
  <c r="B422" i="14"/>
  <c r="B229" i="14"/>
  <c r="B344" i="14"/>
  <c r="B691" i="14"/>
  <c r="B140" i="14"/>
  <c r="B721" i="14"/>
  <c r="B758" i="14"/>
  <c r="B286" i="14"/>
  <c r="B431" i="14"/>
  <c r="B580" i="14"/>
  <c r="B325" i="14"/>
  <c r="B744" i="14"/>
  <c r="B995" i="14"/>
  <c r="B368" i="14"/>
  <c r="B610" i="14"/>
  <c r="B297" i="14"/>
  <c r="B821" i="14"/>
  <c r="B975" i="14"/>
  <c r="B33" i="14"/>
  <c r="B1000" i="14"/>
  <c r="B274" i="14"/>
  <c r="B233" i="14"/>
  <c r="B472" i="14"/>
  <c r="B640" i="14"/>
  <c r="B813" i="14"/>
  <c r="B643" i="14"/>
  <c r="B185" i="14"/>
  <c r="B546" i="14"/>
  <c r="B893" i="14"/>
  <c r="B300" i="14"/>
  <c r="B11" i="14"/>
  <c r="B128" i="14"/>
  <c r="B369" i="14"/>
  <c r="B980" i="14"/>
  <c r="B392" i="14"/>
  <c r="B48" i="14"/>
  <c r="B193" i="14"/>
  <c r="B667" i="14"/>
  <c r="B491" i="14"/>
  <c r="B516" i="14"/>
  <c r="B310" i="14"/>
  <c r="B859" i="14"/>
  <c r="B101" i="14"/>
  <c r="B884" i="14"/>
  <c r="B705" i="14"/>
  <c r="B336" i="14"/>
  <c r="B777" i="14"/>
  <c r="B662" i="14"/>
  <c r="B14" i="14"/>
  <c r="B218" i="14"/>
  <c r="B506" i="14"/>
  <c r="B485" i="14"/>
  <c r="B317" i="14"/>
  <c r="B711" i="14"/>
  <c r="B145" i="14"/>
  <c r="B53" i="14"/>
  <c r="B928" i="14"/>
  <c r="B136" i="14"/>
  <c r="B781" i="14"/>
  <c r="B997" i="14"/>
  <c r="B707" i="14"/>
  <c r="B938" i="14"/>
  <c r="B615" i="14"/>
  <c r="B943" i="14"/>
  <c r="B209" i="14"/>
  <c r="B84" i="14"/>
  <c r="B708" i="14"/>
  <c r="B319" i="14"/>
  <c r="B299" i="14"/>
  <c r="B497" i="14"/>
  <c r="B714" i="14"/>
  <c r="B759" i="14"/>
  <c r="B71" i="14"/>
  <c r="B773" i="14"/>
  <c r="B89" i="14"/>
  <c r="B252" i="14"/>
  <c r="B171" i="14"/>
  <c r="B151" i="14"/>
  <c r="B32" i="14"/>
  <c r="B724" i="14"/>
  <c r="B633" i="14"/>
  <c r="B874" i="14"/>
  <c r="B487" i="14"/>
  <c r="B92" i="14"/>
  <c r="B378" i="14"/>
  <c r="B458" i="14"/>
  <c r="B720" i="14"/>
  <c r="B484" i="14"/>
  <c r="B988" i="14"/>
  <c r="B159" i="14"/>
  <c r="B114" i="14"/>
  <c r="B948" i="14"/>
  <c r="B561" i="14"/>
  <c r="B266" i="14"/>
  <c r="B70" i="14"/>
  <c r="B930" i="14"/>
  <c r="B217" i="14"/>
  <c r="B139" i="14"/>
  <c r="B352" i="14"/>
  <c r="B657" i="14"/>
  <c r="B745" i="14"/>
  <c r="B61" i="14"/>
  <c r="B656" i="14"/>
  <c r="B111" i="14"/>
  <c r="B629" i="14"/>
  <c r="B528" i="14"/>
  <c r="B340" i="14"/>
  <c r="B559" i="14"/>
  <c r="B670" i="14"/>
  <c r="B641" i="14"/>
  <c r="B174" i="14"/>
  <c r="B69" i="14"/>
  <c r="B350" i="14"/>
  <c r="B974" i="14"/>
  <c r="B498" i="14"/>
  <c r="B457" i="14"/>
  <c r="B234" i="14"/>
  <c r="B926" i="14"/>
  <c r="B685" i="14"/>
  <c r="B573" i="14"/>
  <c r="B791" i="14"/>
  <c r="B361" i="14"/>
  <c r="B582" i="14"/>
  <c r="B914" i="14"/>
  <c r="B311" i="14"/>
  <c r="B396" i="14"/>
  <c r="B671" i="14"/>
  <c r="B314" i="14"/>
  <c r="B34" i="14"/>
  <c r="B755" i="14"/>
  <c r="B942" i="14"/>
  <c r="B508" i="14"/>
  <c r="B490" i="14"/>
  <c r="B805" i="14"/>
  <c r="B275" i="14"/>
  <c r="B221" i="14"/>
  <c r="B736" i="14"/>
  <c r="B263" i="14"/>
  <c r="B482" i="14"/>
  <c r="B172" i="14"/>
  <c r="B434" i="14"/>
  <c r="B678" i="14"/>
  <c r="B357" i="14"/>
  <c r="B890" i="14"/>
  <c r="B418" i="14"/>
  <c r="B519" i="14"/>
  <c r="B296" i="14"/>
  <c r="B13" i="14"/>
  <c r="B907" i="14"/>
  <c r="B827" i="14"/>
  <c r="B779" i="14"/>
  <c r="B896" i="14"/>
  <c r="B950" i="14"/>
  <c r="B318" i="14"/>
  <c r="B427" i="14"/>
  <c r="B785" i="14"/>
  <c r="B513" i="14"/>
  <c r="B962" i="14"/>
  <c r="B923" i="14"/>
  <c r="B586" i="14"/>
  <c r="B770" i="14"/>
  <c r="B741" i="14"/>
  <c r="B186" i="14"/>
  <c r="B178" i="14"/>
  <c r="B113" i="14"/>
  <c r="B85" i="14"/>
  <c r="B954" i="14"/>
  <c r="B389" i="14"/>
  <c r="B878" i="14"/>
  <c r="B399" i="14"/>
  <c r="B160" i="14"/>
  <c r="B153" i="14"/>
  <c r="B486" i="14"/>
  <c r="B416" i="14"/>
  <c r="B668" i="14"/>
  <c r="B46" i="14"/>
  <c r="B581" i="14"/>
  <c r="B976" i="14"/>
  <c r="B908" i="14"/>
  <c r="B259" i="14"/>
  <c r="B889" i="14"/>
  <c r="B865" i="14"/>
  <c r="B37" i="14"/>
  <c r="B479" i="14"/>
  <c r="B176" i="14"/>
  <c r="B756" i="14"/>
  <c r="B327" i="14"/>
  <c r="B594" i="14"/>
  <c r="B36" i="14"/>
  <c r="B65" i="14"/>
  <c r="B481" i="14"/>
  <c r="B617" i="14"/>
  <c r="B517" i="14"/>
  <c r="B658" i="14"/>
  <c r="B42" i="14"/>
  <c r="B543" i="14"/>
  <c r="B639" i="14"/>
  <c r="B501" i="14"/>
  <c r="B388" i="14"/>
  <c r="B236" i="14"/>
  <c r="B809" i="14"/>
  <c r="B505" i="14"/>
  <c r="B725" i="14"/>
  <c r="B972" i="14"/>
  <c r="B834" i="14"/>
  <c r="B489" i="14"/>
  <c r="B73" i="14"/>
  <c r="B761" i="14"/>
  <c r="B753" i="14"/>
  <c r="B992" i="14"/>
  <c r="B260" i="14"/>
  <c r="B248" i="14"/>
  <c r="B526" i="14"/>
  <c r="B208" i="14"/>
  <c r="B332" i="14"/>
  <c r="B219" i="14"/>
  <c r="B940" i="14"/>
  <c r="B168" i="14"/>
  <c r="B882" i="14"/>
  <c r="B748" i="14"/>
  <c r="B719" i="14"/>
  <c r="B105" i="14"/>
  <c r="B423" i="14"/>
  <c r="B883" i="14"/>
  <c r="B553" i="14"/>
  <c r="B78" i="14"/>
  <c r="B790" i="14"/>
  <c r="B898" i="14"/>
  <c r="B468" i="14"/>
  <c r="B50" i="14"/>
  <c r="B806" i="14"/>
  <c r="B430" i="14"/>
  <c r="B973" i="14"/>
  <c r="B98" i="14"/>
  <c r="B279" i="14"/>
  <c r="B862" i="14"/>
  <c r="B952" i="14"/>
  <c r="B409" i="14"/>
  <c r="B203" i="14"/>
  <c r="B175" i="14"/>
  <c r="B230" i="14"/>
  <c r="B281" i="14"/>
  <c r="B897" i="14"/>
  <c r="B56" i="14"/>
  <c r="B917" i="14"/>
  <c r="B478" i="14"/>
  <c r="B521" i="14"/>
  <c r="B451" i="14"/>
  <c r="B891" i="14"/>
  <c r="B841" i="14"/>
  <c r="B49" i="14"/>
  <c r="B390" i="14"/>
  <c r="B463" i="14"/>
  <c r="B597" i="14"/>
  <c r="B672" i="14"/>
  <c r="B717" i="14"/>
  <c r="B405" i="14"/>
  <c r="B413" i="14"/>
  <c r="B709" i="14"/>
  <c r="B688" i="14"/>
  <c r="B740" i="14"/>
  <c r="B659" i="14"/>
  <c r="B518" i="14"/>
  <c r="B566" i="14"/>
  <c r="B480" i="14"/>
  <c r="B179" i="14"/>
  <c r="B130" i="14"/>
  <c r="B869" i="14"/>
  <c r="B288" i="14"/>
  <c r="B596" i="14"/>
  <c r="B142" i="14"/>
  <c r="B267" i="14"/>
  <c r="B190" i="14"/>
  <c r="B837" i="14"/>
  <c r="B584" i="14"/>
  <c r="B571" i="14"/>
  <c r="B530" i="14"/>
  <c r="B589" i="14"/>
  <c r="B86" i="14"/>
  <c r="B460" i="14"/>
  <c r="B552" i="14"/>
  <c r="B547" i="14"/>
  <c r="B698" i="14"/>
  <c r="B475" i="14"/>
  <c r="B10" i="14"/>
  <c r="B116" i="14"/>
  <c r="B782" i="14"/>
  <c r="B872" i="14"/>
  <c r="B762" i="14"/>
  <c r="B125" i="14"/>
  <c r="B277" i="14"/>
  <c r="B542" i="14"/>
  <c r="B801" i="14"/>
  <c r="B31" i="14"/>
  <c r="B425" i="14"/>
  <c r="B353" i="14"/>
  <c r="B876" i="14"/>
  <c r="B537" i="14"/>
  <c r="B990" i="14"/>
  <c r="B985" i="14"/>
  <c r="B966" i="14"/>
  <c r="B648" i="14"/>
  <c r="B666" i="14"/>
  <c r="B613" i="14"/>
  <c r="B366" i="14"/>
  <c r="B104" i="14"/>
  <c r="B459" i="14"/>
  <c r="B331" i="14"/>
  <c r="B569" i="14"/>
  <c r="B80" i="14"/>
  <c r="B683" i="14"/>
  <c r="B925" i="14"/>
  <c r="B945" i="14"/>
  <c r="B939" i="14"/>
  <c r="B967" i="14"/>
  <c r="B851" i="14"/>
  <c r="B838" i="14"/>
  <c r="B454" i="14"/>
  <c r="B661" i="14"/>
  <c r="B347" i="14"/>
  <c r="B951" i="14"/>
  <c r="B793" i="14"/>
  <c r="B502" i="14"/>
  <c r="B196" i="14"/>
  <c r="B455" i="14"/>
  <c r="B795" i="14"/>
  <c r="B618" i="14"/>
  <c r="B532" i="14"/>
  <c r="B983" i="14"/>
  <c r="B989" i="14"/>
  <c r="B885" i="14"/>
  <c r="B62" i="14"/>
  <c r="B126" i="14"/>
  <c r="B466" i="14"/>
  <c r="B127" i="14"/>
  <c r="B245" i="14"/>
  <c r="B228" i="14"/>
  <c r="B539" i="14"/>
  <c r="B817" i="14"/>
  <c r="B287" i="14"/>
  <c r="B860" i="14"/>
  <c r="B784" i="14"/>
  <c r="B710" i="14"/>
  <c r="B241" i="14"/>
  <c r="B870" i="14"/>
  <c r="B410" i="14"/>
  <c r="B313" i="14"/>
  <c r="B998" i="14"/>
  <c r="B751" i="14"/>
  <c r="B227" i="14"/>
  <c r="B554" i="14"/>
  <c r="B901" i="14"/>
  <c r="B608" i="14"/>
  <c r="B960" i="14"/>
  <c r="B449" i="14"/>
  <c r="B415" i="14"/>
  <c r="B783" i="14"/>
  <c r="B531" i="14"/>
  <c r="B644" i="14"/>
  <c r="B55" i="14"/>
  <c r="B81" i="14"/>
  <c r="B63" i="14"/>
  <c r="B750" i="14"/>
  <c r="B77" i="14"/>
  <c r="B156" i="14"/>
  <c r="B371" i="14"/>
  <c r="B702" i="14"/>
  <c r="B483" i="14"/>
  <c r="B619" i="14"/>
  <c r="B912" i="14"/>
  <c r="B90" i="14"/>
  <c r="H1008" i="14" l="1"/>
  <c r="H1009" i="14" s="1"/>
  <c r="H2" i="14"/>
  <c r="I2" i="14" s="1"/>
  <c r="L9" i="14"/>
  <c r="L10" i="14" s="1"/>
  <c r="L11" i="14" s="1"/>
  <c r="L12" i="14" s="1"/>
  <c r="L13" i="14" s="1"/>
  <c r="L14" i="14" s="1"/>
  <c r="L15" i="14" s="1"/>
  <c r="L16" i="14" s="1"/>
  <c r="L17" i="14" s="1"/>
  <c r="L18" i="14" s="1"/>
  <c r="L19" i="14" s="1"/>
  <c r="L20" i="14" s="1"/>
  <c r="L21" i="14" s="1"/>
  <c r="L22" i="14" s="1"/>
  <c r="L23" i="14" s="1"/>
  <c r="L24" i="14" s="1"/>
  <c r="L25" i="14" s="1"/>
  <c r="L26" i="14" s="1"/>
  <c r="L27" i="14" s="1"/>
  <c r="L28" i="14" s="1"/>
  <c r="L29" i="14" s="1"/>
  <c r="L30" i="14" s="1"/>
  <c r="L31" i="14" s="1"/>
  <c r="L32" i="14" s="1"/>
  <c r="L33" i="14" s="1"/>
  <c r="L34" i="14" s="1"/>
  <c r="L35" i="14" s="1"/>
  <c r="L36" i="14" s="1"/>
  <c r="L37" i="14" s="1"/>
  <c r="L38" i="14" s="1"/>
  <c r="L39" i="14" s="1"/>
  <c r="L40" i="14" s="1"/>
  <c r="L41" i="14" s="1"/>
  <c r="L42" i="14" s="1"/>
  <c r="L43" i="14" s="1"/>
  <c r="L44" i="14" s="1"/>
  <c r="L45" i="14" s="1"/>
  <c r="L46" i="14" s="1"/>
  <c r="L47" i="14" s="1"/>
  <c r="L48" i="14" s="1"/>
  <c r="L49" i="14" s="1"/>
  <c r="L50" i="14" s="1"/>
  <c r="L51" i="14" s="1"/>
  <c r="L52" i="14" s="1"/>
  <c r="L53" i="14" s="1"/>
  <c r="L54" i="14" s="1"/>
  <c r="L55" i="14" s="1"/>
  <c r="L56" i="14" s="1"/>
  <c r="L57" i="14" s="1"/>
  <c r="L58" i="14" s="1"/>
  <c r="L59" i="14" s="1"/>
  <c r="L60" i="14" s="1"/>
  <c r="L61" i="14" s="1"/>
  <c r="L62" i="14" s="1"/>
  <c r="L63" i="14" s="1"/>
  <c r="L64" i="14" s="1"/>
  <c r="L65" i="14" s="1"/>
  <c r="L66" i="14" s="1"/>
  <c r="L67" i="14" s="1"/>
  <c r="L68" i="14" s="1"/>
  <c r="L69" i="14" s="1"/>
  <c r="L70" i="14" s="1"/>
  <c r="L71" i="14" s="1"/>
  <c r="L72" i="14" s="1"/>
  <c r="L73" i="14" s="1"/>
  <c r="L74" i="14" s="1"/>
  <c r="L75" i="14" s="1"/>
  <c r="L76" i="14" s="1"/>
  <c r="L77" i="14" s="1"/>
  <c r="L78" i="14" s="1"/>
  <c r="L79" i="14" s="1"/>
  <c r="L80" i="14" s="1"/>
  <c r="L81" i="14" s="1"/>
  <c r="L82" i="14" s="1"/>
  <c r="L83" i="14" s="1"/>
  <c r="L84" i="14" s="1"/>
  <c r="L85" i="14" s="1"/>
  <c r="L86" i="14" s="1"/>
  <c r="L87" i="14" s="1"/>
  <c r="L88" i="14" s="1"/>
  <c r="L89" i="14" s="1"/>
  <c r="L90" i="14" s="1"/>
  <c r="L91" i="14" s="1"/>
  <c r="L92" i="14" s="1"/>
  <c r="L93" i="14" s="1"/>
  <c r="L94" i="14" s="1"/>
  <c r="L95" i="14" s="1"/>
  <c r="L96" i="14" s="1"/>
  <c r="L97" i="14" s="1"/>
  <c r="L98" i="14" s="1"/>
  <c r="L99" i="14" s="1"/>
  <c r="L100" i="14" s="1"/>
  <c r="L101" i="14" s="1"/>
  <c r="L102" i="14" s="1"/>
  <c r="L103" i="14" s="1"/>
  <c r="L104" i="14" s="1"/>
  <c r="L105" i="14" s="1"/>
  <c r="L106" i="14" s="1"/>
  <c r="L107" i="14" s="1"/>
  <c r="L108" i="14" s="1"/>
  <c r="L109" i="14" s="1"/>
  <c r="L110" i="14" s="1"/>
  <c r="L111" i="14" s="1"/>
  <c r="L112" i="14" s="1"/>
  <c r="L113" i="14" s="1"/>
  <c r="L114" i="14" s="1"/>
  <c r="L115" i="14" s="1"/>
  <c r="L116" i="14" s="1"/>
  <c r="L117" i="14" s="1"/>
  <c r="L118" i="14" s="1"/>
  <c r="L119" i="14" s="1"/>
  <c r="L120" i="14" s="1"/>
  <c r="L121" i="14" s="1"/>
  <c r="L122" i="14" s="1"/>
  <c r="L123" i="14" s="1"/>
  <c r="L124" i="14" s="1"/>
  <c r="L125" i="14" s="1"/>
  <c r="L126" i="14" s="1"/>
  <c r="L127" i="14" s="1"/>
  <c r="L128" i="14" s="1"/>
  <c r="L129" i="14" s="1"/>
  <c r="L130" i="14" s="1"/>
  <c r="L131" i="14" s="1"/>
  <c r="L132" i="14" s="1"/>
  <c r="L133" i="14" s="1"/>
  <c r="L134" i="14" s="1"/>
  <c r="L135" i="14" s="1"/>
  <c r="L136" i="14" s="1"/>
  <c r="L137" i="14" s="1"/>
  <c r="L138" i="14" s="1"/>
  <c r="L139" i="14" s="1"/>
  <c r="L140" i="14" s="1"/>
  <c r="L141" i="14" s="1"/>
  <c r="L142" i="14" s="1"/>
  <c r="L143" i="14" s="1"/>
  <c r="L144" i="14" s="1"/>
  <c r="L145" i="14" s="1"/>
  <c r="L146" i="14" s="1"/>
  <c r="L147" i="14" s="1"/>
  <c r="L148" i="14" s="1"/>
  <c r="L149" i="14" s="1"/>
  <c r="L150" i="14" s="1"/>
  <c r="L151" i="14" s="1"/>
  <c r="L152" i="14" s="1"/>
  <c r="L153" i="14" s="1"/>
  <c r="L154" i="14" s="1"/>
  <c r="L155" i="14" s="1"/>
  <c r="L156" i="14" s="1"/>
  <c r="L157" i="14" s="1"/>
  <c r="L158" i="14" s="1"/>
  <c r="L159" i="14" s="1"/>
  <c r="L160" i="14" s="1"/>
  <c r="L161" i="14" s="1"/>
  <c r="L162" i="14" s="1"/>
  <c r="L163" i="14" s="1"/>
  <c r="L164" i="14" s="1"/>
  <c r="L165" i="14" s="1"/>
  <c r="L166" i="14" s="1"/>
  <c r="L167" i="14" s="1"/>
  <c r="L168" i="14" s="1"/>
  <c r="L169" i="14" s="1"/>
  <c r="L170" i="14" s="1"/>
  <c r="L171" i="14" s="1"/>
  <c r="L172" i="14" s="1"/>
  <c r="L173" i="14" s="1"/>
  <c r="L174" i="14" s="1"/>
  <c r="L175" i="14" s="1"/>
  <c r="L176" i="14" s="1"/>
  <c r="L177" i="14" s="1"/>
  <c r="L178" i="14" s="1"/>
  <c r="L179" i="14" s="1"/>
  <c r="L180" i="14" s="1"/>
  <c r="L181" i="14" s="1"/>
  <c r="L182" i="14" s="1"/>
  <c r="L183" i="14" s="1"/>
  <c r="L184" i="14" s="1"/>
  <c r="L185" i="14" s="1"/>
  <c r="L186" i="14" s="1"/>
  <c r="L187" i="14" s="1"/>
  <c r="L188" i="14" s="1"/>
  <c r="L189" i="14" s="1"/>
  <c r="L190" i="14" s="1"/>
  <c r="L191" i="14" s="1"/>
  <c r="L192" i="14" s="1"/>
  <c r="L193" i="14" s="1"/>
  <c r="L194" i="14" s="1"/>
  <c r="L195" i="14" s="1"/>
  <c r="L196" i="14" s="1"/>
  <c r="L197" i="14" s="1"/>
  <c r="L198" i="14" s="1"/>
  <c r="L199" i="14" s="1"/>
  <c r="L200" i="14" s="1"/>
  <c r="L201" i="14" s="1"/>
  <c r="L202" i="14" s="1"/>
  <c r="L203" i="14" s="1"/>
  <c r="L204" i="14" s="1"/>
  <c r="L205" i="14" s="1"/>
  <c r="L206" i="14" s="1"/>
  <c r="L207" i="14" s="1"/>
  <c r="L208" i="14" s="1"/>
  <c r="L209" i="14" s="1"/>
  <c r="L210" i="14" s="1"/>
  <c r="L211" i="14" s="1"/>
  <c r="L212" i="14" s="1"/>
  <c r="L213" i="14" s="1"/>
  <c r="L214" i="14" s="1"/>
  <c r="L215" i="14" s="1"/>
  <c r="L216" i="14" s="1"/>
  <c r="L217" i="14" s="1"/>
  <c r="L218" i="14" s="1"/>
  <c r="L219" i="14" s="1"/>
  <c r="L220" i="14" s="1"/>
  <c r="L221" i="14" s="1"/>
  <c r="L222" i="14" s="1"/>
  <c r="L223" i="14" s="1"/>
  <c r="L224" i="14" s="1"/>
  <c r="L225" i="14" s="1"/>
  <c r="L226" i="14" s="1"/>
  <c r="L227" i="14" s="1"/>
  <c r="L228" i="14" s="1"/>
  <c r="L229" i="14" s="1"/>
  <c r="L230" i="14" s="1"/>
  <c r="L231" i="14" s="1"/>
  <c r="L232" i="14" s="1"/>
  <c r="L233" i="14" s="1"/>
  <c r="L234" i="14" s="1"/>
  <c r="L235" i="14" s="1"/>
  <c r="L236" i="14" s="1"/>
  <c r="L237" i="14" s="1"/>
  <c r="L238" i="14" s="1"/>
  <c r="L239" i="14" s="1"/>
  <c r="L240" i="14" s="1"/>
  <c r="L241" i="14" s="1"/>
  <c r="L242" i="14" s="1"/>
  <c r="L243" i="14" s="1"/>
  <c r="L244" i="14" s="1"/>
  <c r="L245" i="14" s="1"/>
  <c r="L246" i="14" s="1"/>
  <c r="L247" i="14" s="1"/>
  <c r="L248" i="14" s="1"/>
  <c r="L249" i="14" s="1"/>
  <c r="L250" i="14" s="1"/>
  <c r="L251" i="14" s="1"/>
  <c r="L252" i="14" s="1"/>
  <c r="L253" i="14" s="1"/>
  <c r="L254" i="14" s="1"/>
  <c r="L255" i="14" s="1"/>
  <c r="L256" i="14" s="1"/>
  <c r="L257" i="14" s="1"/>
  <c r="L258" i="14" s="1"/>
  <c r="L259" i="14" s="1"/>
  <c r="L260" i="14" s="1"/>
  <c r="L261" i="14" s="1"/>
  <c r="L262" i="14" s="1"/>
  <c r="L263" i="14" s="1"/>
  <c r="L264" i="14" s="1"/>
  <c r="L265" i="14" s="1"/>
  <c r="L266" i="14" s="1"/>
  <c r="L267" i="14" s="1"/>
  <c r="L268" i="14" s="1"/>
  <c r="L269" i="14" s="1"/>
  <c r="L270" i="14" s="1"/>
  <c r="L271" i="14" s="1"/>
  <c r="L272" i="14" s="1"/>
  <c r="L273" i="14" s="1"/>
  <c r="L274" i="14" s="1"/>
  <c r="L275" i="14" s="1"/>
  <c r="L276" i="14" s="1"/>
  <c r="L277" i="14" s="1"/>
  <c r="L278" i="14" s="1"/>
  <c r="L279" i="14" s="1"/>
  <c r="L280" i="14" s="1"/>
  <c r="L281" i="14" s="1"/>
  <c r="L282" i="14" s="1"/>
  <c r="L283" i="14" s="1"/>
  <c r="L284" i="14" s="1"/>
  <c r="L285" i="14" s="1"/>
  <c r="L286" i="14" s="1"/>
  <c r="L287" i="14" s="1"/>
  <c r="L288" i="14" s="1"/>
  <c r="L289" i="14" s="1"/>
  <c r="L290" i="14" s="1"/>
  <c r="L291" i="14" s="1"/>
  <c r="L292" i="14" s="1"/>
  <c r="L293" i="14" s="1"/>
  <c r="L294" i="14" s="1"/>
  <c r="L295" i="14" s="1"/>
  <c r="L296" i="14" s="1"/>
  <c r="L297" i="14" s="1"/>
  <c r="L298" i="14" s="1"/>
  <c r="L299" i="14" s="1"/>
  <c r="L300" i="14" s="1"/>
  <c r="L301" i="14" s="1"/>
  <c r="L302" i="14" s="1"/>
  <c r="L303" i="14" s="1"/>
  <c r="L304" i="14" s="1"/>
  <c r="L305" i="14" s="1"/>
  <c r="L306" i="14" s="1"/>
  <c r="L307" i="14" s="1"/>
  <c r="L308" i="14" s="1"/>
  <c r="L309" i="14" s="1"/>
  <c r="L310" i="14" s="1"/>
  <c r="L311" i="14" s="1"/>
  <c r="L312" i="14" s="1"/>
  <c r="L313" i="14" s="1"/>
  <c r="L314" i="14" s="1"/>
  <c r="L315" i="14" s="1"/>
  <c r="L316" i="14" s="1"/>
  <c r="L317" i="14" s="1"/>
  <c r="L318" i="14" s="1"/>
  <c r="L319" i="14" s="1"/>
  <c r="L320" i="14" s="1"/>
  <c r="L321" i="14" s="1"/>
  <c r="L322" i="14" s="1"/>
  <c r="L323" i="14" s="1"/>
  <c r="L324" i="14" s="1"/>
  <c r="L325" i="14" s="1"/>
  <c r="L326" i="14" s="1"/>
  <c r="L327" i="14" s="1"/>
  <c r="L328" i="14" s="1"/>
  <c r="L329" i="14" s="1"/>
  <c r="L330" i="14" s="1"/>
  <c r="L331" i="14" s="1"/>
  <c r="L332" i="14" s="1"/>
  <c r="L333" i="14" s="1"/>
  <c r="L334" i="14" s="1"/>
  <c r="L335" i="14" s="1"/>
  <c r="L336" i="14" s="1"/>
  <c r="L337" i="14" s="1"/>
  <c r="L338" i="14" s="1"/>
  <c r="L339" i="14" s="1"/>
  <c r="L340" i="14" s="1"/>
  <c r="L341" i="14" s="1"/>
  <c r="L342" i="14" s="1"/>
  <c r="L343" i="14" s="1"/>
  <c r="L344" i="14" s="1"/>
  <c r="L345" i="14" s="1"/>
  <c r="L346" i="14" s="1"/>
  <c r="L347" i="14" s="1"/>
  <c r="L348" i="14" s="1"/>
  <c r="L349" i="14" s="1"/>
  <c r="L350" i="14" s="1"/>
  <c r="L351" i="14" s="1"/>
  <c r="L352" i="14" s="1"/>
  <c r="L353" i="14" s="1"/>
  <c r="L354" i="14" s="1"/>
  <c r="L355" i="14" s="1"/>
  <c r="L356" i="14" s="1"/>
  <c r="L357" i="14" s="1"/>
  <c r="L358" i="14" s="1"/>
  <c r="L359" i="14" s="1"/>
  <c r="L360" i="14" s="1"/>
  <c r="L361" i="14" s="1"/>
  <c r="L362" i="14" s="1"/>
  <c r="L363" i="14" s="1"/>
  <c r="L364" i="14" s="1"/>
  <c r="L365" i="14" s="1"/>
  <c r="L366" i="14" s="1"/>
  <c r="L367" i="14" s="1"/>
  <c r="L368" i="14" s="1"/>
  <c r="L369" i="14" s="1"/>
  <c r="L370" i="14" s="1"/>
  <c r="L371" i="14" s="1"/>
  <c r="L372" i="14" s="1"/>
  <c r="L373" i="14" s="1"/>
  <c r="L374" i="14" s="1"/>
  <c r="L375" i="14" s="1"/>
  <c r="L376" i="14" s="1"/>
  <c r="L377" i="14" s="1"/>
  <c r="L378" i="14" s="1"/>
  <c r="L379" i="14" s="1"/>
  <c r="L380" i="14" s="1"/>
  <c r="L381" i="14" s="1"/>
  <c r="L382" i="14" s="1"/>
  <c r="L383" i="14" s="1"/>
  <c r="L384" i="14" s="1"/>
  <c r="L385" i="14" s="1"/>
  <c r="L386" i="14" s="1"/>
  <c r="L387" i="14" s="1"/>
  <c r="L388" i="14" s="1"/>
  <c r="L389" i="14" s="1"/>
  <c r="L390" i="14" s="1"/>
  <c r="L391" i="14" s="1"/>
  <c r="L392" i="14" s="1"/>
  <c r="L393" i="14" s="1"/>
  <c r="L394" i="14" s="1"/>
  <c r="L395" i="14" s="1"/>
  <c r="L396" i="14" s="1"/>
  <c r="L397" i="14" s="1"/>
  <c r="L398" i="14" s="1"/>
  <c r="L399" i="14" s="1"/>
  <c r="L400" i="14" s="1"/>
  <c r="L401" i="14" s="1"/>
  <c r="L402" i="14" s="1"/>
  <c r="L403" i="14" s="1"/>
  <c r="L404" i="14" s="1"/>
  <c r="L405" i="14" s="1"/>
  <c r="L406" i="14" s="1"/>
  <c r="L407" i="14" s="1"/>
  <c r="L408" i="14" s="1"/>
  <c r="L409" i="14" s="1"/>
  <c r="L410" i="14" s="1"/>
  <c r="L411" i="14" s="1"/>
  <c r="L412" i="14" s="1"/>
  <c r="L413" i="14" s="1"/>
  <c r="L414" i="14" s="1"/>
  <c r="L415" i="14" s="1"/>
  <c r="L416" i="14" s="1"/>
  <c r="L417" i="14" s="1"/>
  <c r="L418" i="14" s="1"/>
  <c r="L419" i="14" s="1"/>
  <c r="L420" i="14" s="1"/>
  <c r="L421" i="14" s="1"/>
  <c r="L422" i="14" s="1"/>
  <c r="L423" i="14" s="1"/>
  <c r="L424" i="14" s="1"/>
  <c r="L425" i="14" s="1"/>
  <c r="L426" i="14" s="1"/>
  <c r="L427" i="14" s="1"/>
  <c r="L428" i="14" s="1"/>
  <c r="L429" i="14" s="1"/>
  <c r="L430" i="14" s="1"/>
  <c r="L431" i="14" s="1"/>
  <c r="L432" i="14" s="1"/>
  <c r="L433" i="14" s="1"/>
  <c r="L434" i="14" s="1"/>
  <c r="L435" i="14" s="1"/>
  <c r="L436" i="14" s="1"/>
  <c r="L437" i="14" s="1"/>
  <c r="L438" i="14" s="1"/>
  <c r="L439" i="14" s="1"/>
  <c r="L440" i="14" s="1"/>
  <c r="L441" i="14" s="1"/>
  <c r="L442" i="14" s="1"/>
  <c r="L443" i="14" s="1"/>
  <c r="L444" i="14" s="1"/>
  <c r="L445" i="14" s="1"/>
  <c r="L446" i="14" s="1"/>
  <c r="L447" i="14" s="1"/>
  <c r="L448" i="14" s="1"/>
  <c r="L449" i="14" s="1"/>
  <c r="L450" i="14" s="1"/>
  <c r="L451" i="14" s="1"/>
  <c r="L452" i="14" s="1"/>
  <c r="L453" i="14" s="1"/>
  <c r="L454" i="14" s="1"/>
  <c r="L455" i="14" s="1"/>
  <c r="L456" i="14" s="1"/>
  <c r="L457" i="14" s="1"/>
  <c r="L458" i="14" s="1"/>
  <c r="L459" i="14" s="1"/>
  <c r="L460" i="14" s="1"/>
  <c r="L461" i="14" s="1"/>
  <c r="L462" i="14" s="1"/>
  <c r="L463" i="14" s="1"/>
  <c r="L464" i="14" s="1"/>
  <c r="L465" i="14" s="1"/>
  <c r="L466" i="14" s="1"/>
  <c r="L467" i="14" s="1"/>
  <c r="L468" i="14" s="1"/>
  <c r="L469" i="14" s="1"/>
  <c r="L470" i="14" s="1"/>
  <c r="L471" i="14" s="1"/>
  <c r="L472" i="14" s="1"/>
  <c r="L473" i="14" s="1"/>
  <c r="L474" i="14" s="1"/>
  <c r="L475" i="14" s="1"/>
  <c r="L476" i="14" s="1"/>
  <c r="L477" i="14" s="1"/>
  <c r="L478" i="14" s="1"/>
  <c r="L479" i="14" s="1"/>
  <c r="L480" i="14" s="1"/>
  <c r="L481" i="14" s="1"/>
  <c r="L482" i="14" s="1"/>
  <c r="L483" i="14" s="1"/>
  <c r="L484" i="14" s="1"/>
  <c r="L485" i="14" s="1"/>
  <c r="L486" i="14" s="1"/>
  <c r="L487" i="14" s="1"/>
  <c r="L488" i="14" s="1"/>
  <c r="L489" i="14" s="1"/>
  <c r="L490" i="14" s="1"/>
  <c r="L491" i="14" s="1"/>
  <c r="L492" i="14" s="1"/>
  <c r="L493" i="14" s="1"/>
  <c r="L494" i="14" s="1"/>
  <c r="L495" i="14" s="1"/>
  <c r="L496" i="14" s="1"/>
  <c r="L497" i="14" s="1"/>
  <c r="L498" i="14" s="1"/>
  <c r="L499" i="14" s="1"/>
  <c r="L500" i="14" s="1"/>
  <c r="L501" i="14" s="1"/>
  <c r="L502" i="14" s="1"/>
  <c r="L503" i="14" s="1"/>
  <c r="L504" i="14" s="1"/>
  <c r="L505" i="14" s="1"/>
  <c r="L506" i="14" s="1"/>
  <c r="L507" i="14" s="1"/>
  <c r="L508" i="14" s="1"/>
  <c r="L509" i="14" s="1"/>
  <c r="L510" i="14" s="1"/>
  <c r="L511" i="14" s="1"/>
  <c r="L512" i="14" s="1"/>
  <c r="L513" i="14" s="1"/>
  <c r="L514" i="14" s="1"/>
  <c r="L515" i="14" s="1"/>
  <c r="L516" i="14" s="1"/>
  <c r="L517" i="14" s="1"/>
  <c r="L518" i="14" s="1"/>
  <c r="L519" i="14" s="1"/>
  <c r="L520" i="14" s="1"/>
  <c r="L521" i="14" s="1"/>
  <c r="L522" i="14" s="1"/>
  <c r="L523" i="14" s="1"/>
  <c r="L524" i="14" s="1"/>
  <c r="L525" i="14" s="1"/>
  <c r="L526" i="14" s="1"/>
  <c r="L527" i="14" s="1"/>
  <c r="L528" i="14" s="1"/>
  <c r="L529" i="14" s="1"/>
  <c r="L530" i="14" s="1"/>
  <c r="L531" i="14" s="1"/>
  <c r="L532" i="14" s="1"/>
  <c r="L533" i="14" s="1"/>
  <c r="L534" i="14" s="1"/>
  <c r="L535" i="14" s="1"/>
  <c r="L536" i="14" s="1"/>
  <c r="L537" i="14" s="1"/>
  <c r="L538" i="14" s="1"/>
  <c r="L539" i="14" s="1"/>
  <c r="L540" i="14" s="1"/>
  <c r="L541" i="14" s="1"/>
  <c r="L542" i="14" s="1"/>
  <c r="L543" i="14" s="1"/>
  <c r="L544" i="14" s="1"/>
  <c r="L545" i="14" s="1"/>
  <c r="L546" i="14" s="1"/>
  <c r="L547" i="14" s="1"/>
  <c r="L548" i="14" s="1"/>
  <c r="L549" i="14" s="1"/>
  <c r="L550" i="14" s="1"/>
  <c r="L551" i="14" s="1"/>
  <c r="L552" i="14" s="1"/>
  <c r="L553" i="14" s="1"/>
  <c r="L554" i="14" s="1"/>
  <c r="L555" i="14" s="1"/>
  <c r="L556" i="14" s="1"/>
  <c r="L557" i="14" s="1"/>
  <c r="L558" i="14" s="1"/>
  <c r="L559" i="14" s="1"/>
  <c r="L560" i="14" s="1"/>
  <c r="L561" i="14" s="1"/>
  <c r="L562" i="14" s="1"/>
  <c r="L563" i="14" s="1"/>
  <c r="L564" i="14" s="1"/>
  <c r="L565" i="14" s="1"/>
  <c r="L566" i="14" s="1"/>
  <c r="L567" i="14" s="1"/>
  <c r="L568" i="14" s="1"/>
  <c r="L569" i="14" s="1"/>
  <c r="L570" i="14" s="1"/>
  <c r="L571" i="14" s="1"/>
  <c r="L572" i="14" s="1"/>
  <c r="L573" i="14" s="1"/>
  <c r="L574" i="14" s="1"/>
  <c r="L575" i="14" s="1"/>
  <c r="L576" i="14" s="1"/>
  <c r="L577" i="14" s="1"/>
  <c r="L578" i="14" s="1"/>
  <c r="L579" i="14" s="1"/>
  <c r="L580" i="14" s="1"/>
  <c r="L581" i="14" s="1"/>
  <c r="L582" i="14" s="1"/>
  <c r="L583" i="14" s="1"/>
  <c r="L584" i="14" s="1"/>
  <c r="L585" i="14" s="1"/>
  <c r="L586" i="14" s="1"/>
  <c r="L587" i="14" s="1"/>
  <c r="L588" i="14" s="1"/>
  <c r="L589" i="14" s="1"/>
  <c r="L590" i="14" s="1"/>
  <c r="L591" i="14" s="1"/>
  <c r="L592" i="14" s="1"/>
  <c r="L593" i="14" s="1"/>
  <c r="L594" i="14" s="1"/>
  <c r="L595" i="14" s="1"/>
  <c r="L596" i="14" s="1"/>
  <c r="L597" i="14" s="1"/>
  <c r="L598" i="14" s="1"/>
  <c r="L599" i="14" s="1"/>
  <c r="L600" i="14" s="1"/>
  <c r="L601" i="14" s="1"/>
  <c r="L602" i="14" s="1"/>
  <c r="L603" i="14" s="1"/>
  <c r="L604" i="14" s="1"/>
  <c r="L605" i="14" s="1"/>
  <c r="L606" i="14" s="1"/>
  <c r="L607" i="14" s="1"/>
  <c r="L608" i="14" s="1"/>
  <c r="L609" i="14" s="1"/>
  <c r="L610" i="14" s="1"/>
  <c r="L611" i="14" s="1"/>
  <c r="L612" i="14" s="1"/>
  <c r="L613" i="14" s="1"/>
  <c r="L614" i="14" s="1"/>
  <c r="L615" i="14" s="1"/>
  <c r="L616" i="14" s="1"/>
  <c r="L617" i="14" s="1"/>
  <c r="L618" i="14" s="1"/>
  <c r="L619" i="14" s="1"/>
  <c r="L620" i="14" s="1"/>
  <c r="L621" i="14" s="1"/>
  <c r="L622" i="14" s="1"/>
  <c r="L623" i="14" s="1"/>
  <c r="L624" i="14" s="1"/>
  <c r="L625" i="14" s="1"/>
  <c r="L626" i="14" s="1"/>
  <c r="L627" i="14" s="1"/>
  <c r="L628" i="14" s="1"/>
  <c r="L629" i="14" s="1"/>
  <c r="L630" i="14" s="1"/>
  <c r="L631" i="14" s="1"/>
  <c r="L632" i="14" s="1"/>
  <c r="L633" i="14" s="1"/>
  <c r="L634" i="14" s="1"/>
  <c r="L635" i="14" s="1"/>
  <c r="L636" i="14" s="1"/>
  <c r="L637" i="14" s="1"/>
  <c r="L638" i="14" s="1"/>
  <c r="L639" i="14" s="1"/>
  <c r="L640" i="14" s="1"/>
  <c r="L641" i="14" s="1"/>
  <c r="L642" i="14" s="1"/>
  <c r="L643" i="14" s="1"/>
  <c r="L644" i="14" s="1"/>
  <c r="L645" i="14" s="1"/>
  <c r="L646" i="14" s="1"/>
  <c r="L647" i="14" s="1"/>
  <c r="L648" i="14" s="1"/>
  <c r="L649" i="14" s="1"/>
  <c r="L650" i="14" s="1"/>
  <c r="L651" i="14" s="1"/>
  <c r="L652" i="14" s="1"/>
  <c r="L653" i="14" s="1"/>
  <c r="L654" i="14" s="1"/>
  <c r="L655" i="14" s="1"/>
  <c r="L656" i="14" s="1"/>
  <c r="L657" i="14" s="1"/>
  <c r="L658" i="14" s="1"/>
  <c r="L659" i="14" s="1"/>
  <c r="L660" i="14" s="1"/>
  <c r="L661" i="14" s="1"/>
  <c r="L662" i="14" s="1"/>
  <c r="L663" i="14" s="1"/>
  <c r="L664" i="14" s="1"/>
  <c r="L665" i="14" s="1"/>
  <c r="L666" i="14" s="1"/>
  <c r="L667" i="14" s="1"/>
  <c r="L668" i="14" s="1"/>
  <c r="L669" i="14" s="1"/>
  <c r="L670" i="14" s="1"/>
  <c r="L671" i="14" s="1"/>
  <c r="L672" i="14" s="1"/>
  <c r="L673" i="14" s="1"/>
  <c r="L674" i="14" s="1"/>
  <c r="L675" i="14" s="1"/>
  <c r="L676" i="14" s="1"/>
  <c r="L677" i="14" s="1"/>
  <c r="L678" i="14" s="1"/>
  <c r="L679" i="14" s="1"/>
  <c r="L680" i="14" s="1"/>
  <c r="L681" i="14" s="1"/>
  <c r="L682" i="14" s="1"/>
  <c r="L683" i="14" s="1"/>
  <c r="L684" i="14" s="1"/>
  <c r="L685" i="14" s="1"/>
  <c r="L686" i="14" s="1"/>
  <c r="L687" i="14" s="1"/>
  <c r="L688" i="14" s="1"/>
  <c r="L689" i="14" s="1"/>
  <c r="L690" i="14" s="1"/>
  <c r="L691" i="14" s="1"/>
  <c r="L692" i="14" s="1"/>
  <c r="L693" i="14" s="1"/>
  <c r="L694" i="14" s="1"/>
  <c r="L695" i="14" s="1"/>
  <c r="L696" i="14" s="1"/>
  <c r="L697" i="14" s="1"/>
  <c r="L698" i="14" s="1"/>
  <c r="L699" i="14" s="1"/>
  <c r="L700" i="14" s="1"/>
  <c r="L701" i="14" s="1"/>
  <c r="L702" i="14" s="1"/>
  <c r="L703" i="14" s="1"/>
  <c r="L704" i="14" s="1"/>
  <c r="L705" i="14" s="1"/>
  <c r="L706" i="14" s="1"/>
  <c r="L707" i="14" s="1"/>
  <c r="L708" i="14" s="1"/>
  <c r="L709" i="14" s="1"/>
  <c r="L710" i="14" s="1"/>
  <c r="L711" i="14" s="1"/>
  <c r="L712" i="14" s="1"/>
  <c r="L713" i="14" s="1"/>
  <c r="L714" i="14" s="1"/>
  <c r="L715" i="14" s="1"/>
  <c r="L716" i="14" s="1"/>
  <c r="L717" i="14" s="1"/>
  <c r="L718" i="14" s="1"/>
  <c r="L719" i="14" s="1"/>
  <c r="L720" i="14" s="1"/>
  <c r="L721" i="14" s="1"/>
  <c r="L722" i="14" s="1"/>
  <c r="L723" i="14" s="1"/>
  <c r="L724" i="14" s="1"/>
  <c r="L725" i="14" s="1"/>
  <c r="L726" i="14" s="1"/>
  <c r="L727" i="14" s="1"/>
  <c r="L728" i="14" s="1"/>
  <c r="L729" i="14" s="1"/>
  <c r="L730" i="14" s="1"/>
  <c r="L731" i="14" s="1"/>
  <c r="L732" i="14" s="1"/>
  <c r="L733" i="14" s="1"/>
  <c r="L734" i="14" s="1"/>
  <c r="L735" i="14" s="1"/>
  <c r="L736" i="14" s="1"/>
  <c r="L737" i="14" s="1"/>
  <c r="L738" i="14" s="1"/>
  <c r="L739" i="14" s="1"/>
  <c r="L740" i="14" s="1"/>
  <c r="L741" i="14" s="1"/>
  <c r="L742" i="14" s="1"/>
  <c r="L743" i="14" s="1"/>
  <c r="L744" i="14" s="1"/>
  <c r="L745" i="14" s="1"/>
  <c r="L746" i="14" s="1"/>
  <c r="L747" i="14" s="1"/>
  <c r="L748" i="14" s="1"/>
  <c r="L749" i="14" s="1"/>
  <c r="L750" i="14" s="1"/>
  <c r="L751" i="14" s="1"/>
  <c r="L752" i="14" s="1"/>
  <c r="L753" i="14" s="1"/>
  <c r="L754" i="14" s="1"/>
  <c r="L755" i="14" s="1"/>
  <c r="L756" i="14" s="1"/>
  <c r="L757" i="14" s="1"/>
  <c r="L758" i="14" s="1"/>
  <c r="L759" i="14" s="1"/>
  <c r="L760" i="14" s="1"/>
  <c r="L761" i="14" s="1"/>
  <c r="L762" i="14" s="1"/>
  <c r="L763" i="14" s="1"/>
  <c r="L764" i="14" s="1"/>
  <c r="L765" i="14" s="1"/>
  <c r="L766" i="14" s="1"/>
  <c r="L767" i="14" s="1"/>
  <c r="L768" i="14" s="1"/>
  <c r="L769" i="14" s="1"/>
  <c r="L770" i="14" s="1"/>
  <c r="L771" i="14" s="1"/>
  <c r="L772" i="14" s="1"/>
  <c r="L773" i="14" s="1"/>
  <c r="L774" i="14" s="1"/>
  <c r="L775" i="14" s="1"/>
  <c r="L776" i="14" s="1"/>
  <c r="L777" i="14" s="1"/>
  <c r="L778" i="14" s="1"/>
  <c r="L779" i="14" s="1"/>
  <c r="L780" i="14" s="1"/>
  <c r="L781" i="14" s="1"/>
  <c r="L782" i="14" s="1"/>
  <c r="L783" i="14" s="1"/>
  <c r="L784" i="14" s="1"/>
  <c r="L785" i="14" s="1"/>
  <c r="L786" i="14" s="1"/>
  <c r="L787" i="14" s="1"/>
  <c r="L788" i="14" s="1"/>
  <c r="L789" i="14" s="1"/>
  <c r="L790" i="14" s="1"/>
  <c r="L791" i="14" s="1"/>
  <c r="L792" i="14" s="1"/>
  <c r="L793" i="14" s="1"/>
  <c r="L794" i="14" s="1"/>
  <c r="L795" i="14" s="1"/>
  <c r="L796" i="14" s="1"/>
  <c r="L797" i="14" s="1"/>
  <c r="L798" i="14" s="1"/>
  <c r="L799" i="14" s="1"/>
  <c r="L800" i="14" s="1"/>
  <c r="L801" i="14" s="1"/>
  <c r="L802" i="14" s="1"/>
  <c r="L803" i="14" s="1"/>
  <c r="L804" i="14" s="1"/>
  <c r="L805" i="14" s="1"/>
  <c r="L806" i="14" s="1"/>
  <c r="L807" i="14" s="1"/>
  <c r="L808" i="14" s="1"/>
  <c r="L809" i="14" s="1"/>
  <c r="L810" i="14" s="1"/>
  <c r="L811" i="14" s="1"/>
  <c r="L812" i="14" s="1"/>
  <c r="L813" i="14" s="1"/>
  <c r="L814" i="14" s="1"/>
  <c r="L815" i="14" s="1"/>
  <c r="L816" i="14" s="1"/>
  <c r="L817" i="14" s="1"/>
  <c r="L818" i="14" s="1"/>
  <c r="L819" i="14" s="1"/>
  <c r="L820" i="14" s="1"/>
  <c r="L821" i="14" s="1"/>
  <c r="L822" i="14" s="1"/>
  <c r="L823" i="14" s="1"/>
  <c r="L824" i="14" s="1"/>
  <c r="L825" i="14" s="1"/>
  <c r="L826" i="14" s="1"/>
  <c r="L827" i="14" s="1"/>
  <c r="L828" i="14" s="1"/>
  <c r="L829" i="14" s="1"/>
  <c r="L830" i="14" s="1"/>
  <c r="L831" i="14" s="1"/>
  <c r="L832" i="14" s="1"/>
  <c r="L833" i="14" s="1"/>
  <c r="L834" i="14" s="1"/>
  <c r="L835" i="14" s="1"/>
  <c r="L836" i="14" s="1"/>
  <c r="L837" i="14" s="1"/>
  <c r="L838" i="14" s="1"/>
  <c r="L839" i="14" s="1"/>
  <c r="L840" i="14" s="1"/>
  <c r="L841" i="14" s="1"/>
  <c r="L842" i="14" s="1"/>
  <c r="L843" i="14" s="1"/>
  <c r="L844" i="14" s="1"/>
  <c r="L845" i="14" s="1"/>
  <c r="L846" i="14" s="1"/>
  <c r="L847" i="14" s="1"/>
  <c r="L848" i="14" s="1"/>
  <c r="L849" i="14" s="1"/>
  <c r="L850" i="14" s="1"/>
  <c r="L851" i="14" s="1"/>
  <c r="L852" i="14" s="1"/>
  <c r="L853" i="14" s="1"/>
  <c r="L854" i="14" s="1"/>
  <c r="L855" i="14" s="1"/>
  <c r="L856" i="14" s="1"/>
  <c r="L857" i="14" s="1"/>
  <c r="L858" i="14" s="1"/>
  <c r="L859" i="14" s="1"/>
  <c r="L860" i="14" s="1"/>
  <c r="L861" i="14" s="1"/>
  <c r="L862" i="14" s="1"/>
  <c r="L863" i="14" s="1"/>
  <c r="L864" i="14" s="1"/>
  <c r="L865" i="14" s="1"/>
  <c r="L866" i="14" s="1"/>
  <c r="L867" i="14" s="1"/>
  <c r="L868" i="14" s="1"/>
  <c r="L869" i="14" s="1"/>
  <c r="L870" i="14" s="1"/>
  <c r="L871" i="14" s="1"/>
  <c r="L872" i="14" s="1"/>
  <c r="L873" i="14" s="1"/>
  <c r="L874" i="14" s="1"/>
  <c r="L875" i="14" s="1"/>
  <c r="L876" i="14" s="1"/>
  <c r="L877" i="14" s="1"/>
  <c r="L878" i="14" s="1"/>
  <c r="L879" i="14" s="1"/>
  <c r="L880" i="14" s="1"/>
  <c r="L881" i="14" s="1"/>
  <c r="L882" i="14" s="1"/>
  <c r="L883" i="14" s="1"/>
  <c r="L884" i="14" s="1"/>
  <c r="L885" i="14" s="1"/>
  <c r="L886" i="14" s="1"/>
  <c r="L887" i="14" s="1"/>
  <c r="L888" i="14" s="1"/>
  <c r="L889" i="14" s="1"/>
  <c r="L890" i="14" s="1"/>
  <c r="L891" i="14" s="1"/>
  <c r="L892" i="14" s="1"/>
  <c r="L893" i="14" s="1"/>
  <c r="L894" i="14" s="1"/>
  <c r="L895" i="14" s="1"/>
  <c r="L896" i="14" s="1"/>
  <c r="L897" i="14" s="1"/>
  <c r="L898" i="14" s="1"/>
  <c r="L899" i="14" s="1"/>
  <c r="L900" i="14" s="1"/>
  <c r="L901" i="14" s="1"/>
  <c r="L902" i="14" s="1"/>
  <c r="L903" i="14" s="1"/>
  <c r="L904" i="14" s="1"/>
  <c r="L905" i="14" s="1"/>
  <c r="L906" i="14" s="1"/>
  <c r="L907" i="14" s="1"/>
  <c r="L908" i="14" s="1"/>
  <c r="L909" i="14" s="1"/>
  <c r="L910" i="14" s="1"/>
  <c r="L911" i="14" s="1"/>
  <c r="L912" i="14" s="1"/>
  <c r="L913" i="14" s="1"/>
  <c r="L914" i="14" s="1"/>
  <c r="L915" i="14" s="1"/>
  <c r="L916" i="14" s="1"/>
  <c r="L917" i="14" s="1"/>
  <c r="L918" i="14" s="1"/>
  <c r="L919" i="14" s="1"/>
  <c r="L920" i="14" s="1"/>
  <c r="L921" i="14" s="1"/>
  <c r="L922" i="14" s="1"/>
  <c r="L923" i="14" s="1"/>
  <c r="L924" i="14" s="1"/>
  <c r="L925" i="14" s="1"/>
  <c r="L926" i="14" s="1"/>
  <c r="L927" i="14" s="1"/>
  <c r="L928" i="14" s="1"/>
  <c r="L929" i="14" s="1"/>
  <c r="L930" i="14" s="1"/>
  <c r="L931" i="14" s="1"/>
  <c r="L932" i="14" s="1"/>
  <c r="L933" i="14" s="1"/>
  <c r="L934" i="14" s="1"/>
  <c r="L935" i="14" s="1"/>
  <c r="L936" i="14" s="1"/>
  <c r="L937" i="14" s="1"/>
  <c r="L938" i="14" s="1"/>
  <c r="L939" i="14" s="1"/>
  <c r="L940" i="14" s="1"/>
  <c r="L941" i="14" s="1"/>
  <c r="L942" i="14" s="1"/>
  <c r="L943" i="14" s="1"/>
  <c r="L944" i="14" s="1"/>
  <c r="L945" i="14" s="1"/>
  <c r="L946" i="14" s="1"/>
  <c r="L947" i="14" s="1"/>
  <c r="L948" i="14" s="1"/>
  <c r="L949" i="14" s="1"/>
  <c r="L950" i="14" s="1"/>
  <c r="L951" i="14" s="1"/>
  <c r="L952" i="14" s="1"/>
  <c r="L953" i="14" s="1"/>
  <c r="L954" i="14" s="1"/>
  <c r="L955" i="14" s="1"/>
  <c r="L956" i="14" s="1"/>
  <c r="L957" i="14" s="1"/>
  <c r="L958" i="14" s="1"/>
  <c r="L959" i="14" s="1"/>
  <c r="L960" i="14" s="1"/>
  <c r="L961" i="14" s="1"/>
  <c r="L962" i="14" s="1"/>
  <c r="L963" i="14" s="1"/>
  <c r="L964" i="14" s="1"/>
  <c r="L965" i="14" s="1"/>
  <c r="L966" i="14" s="1"/>
  <c r="L967" i="14" s="1"/>
  <c r="L968" i="14" s="1"/>
  <c r="L969" i="14" s="1"/>
  <c r="L970" i="14" s="1"/>
  <c r="L971" i="14" s="1"/>
  <c r="L972" i="14" s="1"/>
  <c r="L973" i="14" s="1"/>
  <c r="L974" i="14" s="1"/>
  <c r="L975" i="14" s="1"/>
  <c r="L976" i="14" s="1"/>
  <c r="L977" i="14" s="1"/>
  <c r="L978" i="14" s="1"/>
  <c r="L979" i="14" s="1"/>
  <c r="L980" i="14" s="1"/>
  <c r="L981" i="14" s="1"/>
  <c r="L982" i="14" s="1"/>
  <c r="L983" i="14" s="1"/>
  <c r="L984" i="14" s="1"/>
  <c r="L985" i="14" s="1"/>
  <c r="L986" i="14" s="1"/>
  <c r="L987" i="14" s="1"/>
  <c r="L988" i="14" s="1"/>
  <c r="L989" i="14" s="1"/>
  <c r="L990" i="14" s="1"/>
  <c r="L991" i="14" s="1"/>
  <c r="L992" i="14" s="1"/>
  <c r="L993" i="14" s="1"/>
  <c r="L994" i="14" s="1"/>
  <c r="L995" i="14" s="1"/>
  <c r="L996" i="14" s="1"/>
  <c r="L997" i="14" s="1"/>
  <c r="L998" i="14" s="1"/>
  <c r="L999" i="14" s="1"/>
  <c r="L1000" i="14" s="1"/>
  <c r="L1001" i="14" s="1"/>
  <c r="L1002" i="14" s="1"/>
  <c r="L1003" i="14" s="1"/>
  <c r="L1004" i="14" s="1"/>
  <c r="L1005" i="14" s="1"/>
  <c r="E1044" i="14"/>
  <c r="D4191" i="14"/>
  <c r="E1045" i="14" l="1"/>
  <c r="E4192" i="14"/>
  <c r="E4191" i="14"/>
  <c r="E1046" i="14" l="1"/>
  <c r="E1047" i="14" s="1"/>
  <c r="E1048" i="14" s="1"/>
  <c r="E1049" i="14" l="1"/>
  <c r="E1050" i="14" s="1"/>
  <c r="E1051" i="14" s="1"/>
  <c r="E1052" i="14" s="1"/>
  <c r="E1053" i="14" l="1"/>
  <c r="E1054" i="14" l="1"/>
  <c r="E1055" i="14" l="1"/>
  <c r="E1056" i="14" l="1"/>
  <c r="E1057" i="14" l="1"/>
  <c r="E1058" i="14" s="1"/>
  <c r="E1059" i="14" s="1"/>
  <c r="E1060" i="14" s="1"/>
  <c r="E1061" i="14" s="1"/>
  <c r="E1062" i="14" s="1"/>
  <c r="E1063" i="14" s="1"/>
  <c r="E1064" i="14" s="1"/>
  <c r="E1065" i="14" s="1"/>
  <c r="E1066" i="14" s="1"/>
  <c r="E1067" i="14" s="1"/>
  <c r="E1068" i="14" s="1"/>
  <c r="E1069" i="14" s="1"/>
  <c r="E1070" i="14" s="1"/>
  <c r="E1071" i="14" s="1"/>
  <c r="E1072" i="14" s="1"/>
  <c r="E1073" i="14" s="1"/>
  <c r="E1074" i="14" s="1"/>
  <c r="E1075" i="14" s="1"/>
  <c r="E1076" i="14" s="1"/>
  <c r="G1020" i="14" l="1"/>
  <c r="G1073" i="14"/>
  <c r="G1046" i="14"/>
  <c r="G1037" i="14"/>
  <c r="G1021" i="14"/>
  <c r="G1029" i="14"/>
  <c r="G1058" i="14"/>
  <c r="G1042" i="14"/>
  <c r="G1023" i="14"/>
  <c r="G1034" i="14"/>
  <c r="G1052" i="14"/>
  <c r="G1076" i="14"/>
  <c r="G1069" i="14"/>
  <c r="G1070" i="14"/>
  <c r="G1047" i="14"/>
  <c r="G1057" i="14"/>
  <c r="G1019" i="14"/>
  <c r="G1051" i="14"/>
  <c r="G1066" i="14"/>
  <c r="G1068" i="14"/>
  <c r="G1044" i="14"/>
  <c r="G1038" i="14"/>
  <c r="G1062" i="14"/>
  <c r="G1063" i="14"/>
  <c r="G1040" i="14"/>
  <c r="G1030" i="14"/>
  <c r="G1026" i="14"/>
  <c r="G1031" i="14"/>
  <c r="G1049" i="14"/>
  <c r="G1048" i="14"/>
  <c r="G1056" i="14"/>
  <c r="G1036" i="14"/>
  <c r="G1050" i="14"/>
  <c r="G1027" i="14"/>
  <c r="G1033" i="14"/>
  <c r="G1032" i="14"/>
  <c r="G1041" i="14"/>
  <c r="G1065" i="14"/>
  <c r="G1061" i="14"/>
  <c r="G1067" i="14"/>
  <c r="G1053" i="14"/>
  <c r="G1039" i="14"/>
  <c r="G1064" i="14"/>
  <c r="G1072" i="14"/>
  <c r="G1028" i="14"/>
  <c r="G1074" i="14"/>
  <c r="G1043" i="14"/>
  <c r="G1035" i="14"/>
  <c r="G1071" i="14"/>
  <c r="G1075" i="14"/>
  <c r="G1045" i="14"/>
  <c r="G1059" i="14"/>
  <c r="G1054" i="14"/>
  <c r="G1025" i="14"/>
  <c r="G1024" i="14"/>
  <c r="G1060" i="14"/>
  <c r="G1055" i="14"/>
  <c r="G1022" i="14"/>
</calcChain>
</file>

<file path=xl/sharedStrings.xml><?xml version="1.0" encoding="utf-8"?>
<sst xmlns="http://schemas.openxmlformats.org/spreadsheetml/2006/main" count="1134" uniqueCount="645">
  <si>
    <t>DATA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</si>
  <si>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</si>
  <si>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</si>
  <si>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</si>
  <si>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</si>
  <si>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</si>
  <si>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</si>
  <si>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</si>
  <si>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</si>
  <si>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</si>
  <si>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</si>
  <si>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</si>
  <si>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</si>
  <si>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ANNO</t>
  </si>
  <si>
    <t>Codice di integrità</t>
  </si>
  <si>
    <t>Descrizione aggiuntiva</t>
  </si>
  <si>
    <t>EURO</t>
  </si>
  <si>
    <t>differenza</t>
  </si>
  <si>
    <t>% media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</si>
  <si>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</si>
  <si>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</si>
  <si>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</si>
  <si>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</si>
  <si>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</si>
  <si>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</si>
  <si>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</si>
  <si>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</si>
  <si>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</si>
  <si>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</si>
  <si>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</si>
  <si>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</si>
  <si>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Giardino</t>
  </si>
  <si>
    <t>Attrezzatura</t>
  </si>
  <si>
    <t xml:space="preserve">Mesi conteggiati: </t>
  </si>
  <si>
    <t>CONTI AMMESSI</t>
  </si>
  <si>
    <t>selezionato con i filtri</t>
  </si>
  <si>
    <t>Somma</t>
  </si>
  <si>
    <t>Nr. Record</t>
  </si>
  <si>
    <t>Media (somma/record) =</t>
  </si>
  <si>
    <t>VOCE di BILANCIO</t>
  </si>
  <si>
    <t>REPORT</t>
  </si>
  <si>
    <t>Foglio 2:</t>
  </si>
  <si>
    <t>Foglio 3:</t>
  </si>
  <si>
    <t>Foglio 4:</t>
  </si>
  <si>
    <t>Foglio 5:</t>
  </si>
  <si>
    <t>Foglio 6:</t>
  </si>
  <si>
    <t>ISTRUZIONI:</t>
  </si>
  <si>
    <t>Riporto valori dai precedenti fogli</t>
  </si>
  <si>
    <t>.</t>
  </si>
  <si>
    <t>Assicurazione ed incendio R.C.</t>
  </si>
  <si>
    <t>Spese Bancarie</t>
  </si>
  <si>
    <t>Imposte e tasse condominiali</t>
  </si>
  <si>
    <t>Risc.to - Manutenzioni ordinarie</t>
  </si>
  <si>
    <t>Risc.to - Rip. e Manut.ni straordinarie</t>
  </si>
  <si>
    <t>Illuminazione</t>
  </si>
  <si>
    <t>Piccole manutenzioni ordinarie</t>
  </si>
  <si>
    <t>Spese Postali - Notarili - Documenti</t>
  </si>
  <si>
    <t>Consumo idrico condominiale</t>
  </si>
  <si>
    <t>Materiale di consumo</t>
  </si>
  <si>
    <t>Collaboratori</t>
  </si>
  <si>
    <t>Ascensore - Manutenzione</t>
  </si>
  <si>
    <t>Ascensore - Oneri accessori</t>
  </si>
  <si>
    <t>CASSA</t>
  </si>
  <si>
    <t>Totali</t>
  </si>
  <si>
    <t>1° piano</t>
  </si>
  <si>
    <t>2° piano</t>
  </si>
  <si>
    <t>3° piano</t>
  </si>
  <si>
    <t>4° piano</t>
  </si>
  <si>
    <t>saldo iniz.</t>
  </si>
  <si>
    <t>saldo</t>
  </si>
  <si>
    <t>Riporto saldo iniziale</t>
  </si>
  <si>
    <t>Mesi conteggiati:</t>
  </si>
  <si>
    <t xml:space="preserve">Ripartizione costi </t>
  </si>
  <si>
    <t>Nome dell' Immobile</t>
  </si>
  <si>
    <t>Codice Fiscale</t>
  </si>
  <si>
    <t>Indirizzo</t>
  </si>
  <si>
    <t>ogni</t>
  </si>
  <si>
    <t>RISERVA ACCANTONATA</t>
  </si>
  <si>
    <t>TOOL</t>
  </si>
  <si>
    <t>Credito +   /   Debito -</t>
  </si>
  <si>
    <t>COSTI del CONDOMINIO</t>
  </si>
  <si>
    <t>LIQUIDITA'</t>
  </si>
  <si>
    <t>CREDITI/DEBITI</t>
  </si>
  <si>
    <t>VERSATO DAGLI</t>
  </si>
  <si>
    <t>ENTI</t>
  </si>
  <si>
    <t>Controconto</t>
  </si>
  <si>
    <t>MAX</t>
  </si>
  <si>
    <t>Riporto + 1</t>
  </si>
  <si>
    <t>MAX RIGHE</t>
  </si>
  <si>
    <r>
      <t>Integrazioni automatiche agli ENTI come registrato nel foglio   \</t>
    </r>
    <r>
      <rPr>
        <u/>
        <sz val="8"/>
        <color indexed="23"/>
        <rFont val="Tahoma"/>
        <family val="2"/>
      </rPr>
      <t xml:space="preserve"> PATRIMONIALE </t>
    </r>
    <r>
      <rPr>
        <sz val="8"/>
        <color indexed="23"/>
        <rFont val="Tahoma"/>
        <family val="2"/>
      </rPr>
      <t>/</t>
    </r>
  </si>
  <si>
    <t xml:space="preserve"> </t>
  </si>
  <si>
    <t>SALDO</t>
  </si>
  <si>
    <t>R.A.</t>
  </si>
  <si>
    <t>TOTALE DEI</t>
  </si>
  <si>
    <t>COSTI Condominio</t>
  </si>
  <si>
    <t>SALDO FINALE DELLE</t>
  </si>
  <si>
    <t>Incremento/Decremento SALDO ENTI</t>
  </si>
  <si>
    <t>Incremento/Decremento LIQUIDITA'</t>
  </si>
  <si>
    <t>ENTI versato in +   rispetto Costi Condominio</t>
  </si>
  <si>
    <t>ENTI versato in --   rispetto Costi Condominio</t>
  </si>
  <si>
    <t>Max data ENTI</t>
  </si>
  <si>
    <t>Max data PATRIMONIALE</t>
  </si>
  <si>
    <t>Max data COSTI Condominio</t>
  </si>
  <si>
    <t>Max MESE IN SISTEMA</t>
  </si>
  <si>
    <t>Versato dagli ENTI</t>
  </si>
  <si>
    <t>Incidenza periodo su ATTIVO Condominio</t>
  </si>
  <si>
    <t>OK</t>
  </si>
  <si>
    <r>
      <t>Incidenza periodo su attivo (</t>
    </r>
    <r>
      <rPr>
        <sz val="10"/>
        <color indexed="17"/>
        <rFont val="Tahoma"/>
        <family val="2"/>
      </rPr>
      <t>+</t>
    </r>
    <r>
      <rPr>
        <sz val="10"/>
        <color indexed="63"/>
        <rFont val="Tahoma"/>
        <family val="2"/>
      </rPr>
      <t>/</t>
    </r>
    <r>
      <rPr>
        <sz val="10"/>
        <color indexed="10"/>
        <rFont val="Tahoma"/>
        <family val="2"/>
      </rPr>
      <t>-</t>
    </r>
    <r>
      <rPr>
        <sz val="10"/>
        <color indexed="63"/>
        <rFont val="Tahoma"/>
        <family val="2"/>
      </rPr>
      <t>)</t>
    </r>
  </si>
  <si>
    <t>Aumento delle disponibilità</t>
  </si>
  <si>
    <t>Decremento ATTIVO</t>
  </si>
  <si>
    <t>SALDO INIZIALE DELLE</t>
  </si>
  <si>
    <t>Bilancio</t>
  </si>
  <si>
    <t>Liquidità attiva +   /   passiva --</t>
  </si>
  <si>
    <t>Questi conti confluiscono nello Stato Patrimoniale del Condominio. Nell' ATTIVO gli importi in positivo; nel PASSIVO gli importi negativi.</t>
  </si>
  <si>
    <t>Media dei saldi</t>
  </si>
  <si>
    <t>Questi conti confluiscono nello Stato Patrimoniale del Condominio. Gli importi positivi indicano un CREDITO da parte del singolo ente (ha versato in +);  gli importi negativi un DEBITO.</t>
  </si>
  <si>
    <t xml:space="preserve">Confluisce in </t>
  </si>
  <si>
    <t>Settimana</t>
  </si>
  <si>
    <t>2 Settimane</t>
  </si>
  <si>
    <t>3 Settimane</t>
  </si>
  <si>
    <t>MESE</t>
  </si>
  <si>
    <t>BIMESTRE</t>
  </si>
  <si>
    <t>TRIMESTRE</t>
  </si>
  <si>
    <t>QUADRIMESTRE</t>
  </si>
  <si>
    <t>SEMESTRE</t>
  </si>
  <si>
    <t>AL</t>
  </si>
  <si>
    <t>INIZIO Periodo</t>
  </si>
  <si>
    <t>FINE Periodo</t>
  </si>
  <si>
    <t>PERIODI</t>
  </si>
  <si>
    <t>il 1° Lunedì:</t>
  </si>
  <si>
    <t>la 1° settimana inizia</t>
  </si>
  <si>
    <t>Inizio periodo dal</t>
  </si>
  <si>
    <t>1° del mese + vicino</t>
  </si>
  <si>
    <t>ultimo del mese + vicino</t>
  </si>
  <si>
    <t>Inizio periodo dall'</t>
  </si>
  <si>
    <t>precedente</t>
  </si>
  <si>
    <t>Credito</t>
  </si>
  <si>
    <t>Identificativo / Referente</t>
  </si>
  <si>
    <t>Scadenza</t>
  </si>
  <si>
    <t>Nr. DOC.</t>
  </si>
  <si>
    <t>Totale</t>
  </si>
  <si>
    <t>FISSO</t>
  </si>
  <si>
    <t>Adegua</t>
  </si>
  <si>
    <t>Descrizione aggiuntiva o</t>
  </si>
  <si>
    <t>descrizione adeguamento</t>
  </si>
  <si>
    <t>+ / -</t>
  </si>
  <si>
    <t>Compenso atteso nel periodo impostato</t>
  </si>
  <si>
    <t>Compenso effettivo maturato ad oggi</t>
  </si>
  <si>
    <t>ATTUALE</t>
  </si>
  <si>
    <t>Descrizione</t>
  </si>
  <si>
    <t>Addebito automatico maturato in scadenziario</t>
  </si>
  <si>
    <t>MATURATO</t>
  </si>
  <si>
    <t>AMMINISTRATORE</t>
  </si>
  <si>
    <t>QUIETANZA di pagamento</t>
  </si>
  <si>
    <t>CREDITI / DEBITI</t>
  </si>
  <si>
    <t>INIZIALI del condominio</t>
  </si>
  <si>
    <t>FINALI del condominio</t>
  </si>
  <si>
    <t>A</t>
  </si>
  <si>
    <t>B</t>
  </si>
  <si>
    <t>C</t>
  </si>
  <si>
    <t>SCHEDA ANNUALE del CONDOMINIO</t>
  </si>
  <si>
    <t>ERROR</t>
  </si>
  <si>
    <t>saldo finale</t>
  </si>
  <si>
    <t>GG/MM/AAAA</t>
  </si>
  <si>
    <t>DATE</t>
  </si>
  <si>
    <t>--------------- PATRIMONIALE: Liquidità</t>
  </si>
  <si>
    <t>--------------- PATRIMONIALE: Crediti/Debiti</t>
  </si>
  <si>
    <t>SELEZIONA UN CONTO</t>
  </si>
  <si>
    <t>DATA INCASSO</t>
  </si>
  <si>
    <t>Foglio 2: ENTI</t>
  </si>
  <si>
    <t>Queste tabelle si compilano in modo automatico in base alle registrazioni presenti nel sistema.</t>
  </si>
  <si>
    <t>Questo foglio non si può modificare direttamente. Esegui le eventuali correzioni nei fogli precedenti.</t>
  </si>
  <si>
    <t>REGISTRO PATRIMONIALE</t>
  </si>
  <si>
    <t>N O N    I N C A S S A T O</t>
  </si>
  <si>
    <t>I</t>
  </si>
  <si>
    <t>1</t>
  </si>
  <si>
    <t>3</t>
  </si>
  <si>
    <t>4</t>
  </si>
  <si>
    <t>5</t>
  </si>
  <si>
    <t>6</t>
  </si>
  <si>
    <t>Inserisci il nome del CONDOMINIO</t>
  </si>
  <si>
    <t>TITOLARE DEL SISTEMA</t>
  </si>
  <si>
    <t>TITOLARE del sistema:</t>
  </si>
  <si>
    <t>Righe disp.</t>
  </si>
  <si>
    <t>ERRORE INTEGRITA' DEL SISTEMA !!!   Chiudi senza salvare.</t>
  </si>
  <si>
    <t>Elenco degli ENTI      -      area modificabile</t>
  </si>
  <si>
    <t>IMPOSTA DEFAULT</t>
  </si>
  <si>
    <t>DEFAULT  --------&gt;</t>
  </si>
  <si>
    <t>Sig. Rossi / tel. 331 5256 857</t>
  </si>
  <si>
    <t>Note:</t>
  </si>
  <si>
    <t xml:space="preserve">Quota Costi del Condominio mese - </t>
  </si>
  <si>
    <t>!!! Imposta ripartizione costi</t>
  </si>
  <si>
    <t>TOT. COSTI</t>
  </si>
  <si>
    <t>i VERSAMENTI effettuati dai condomini</t>
  </si>
  <si>
    <t>la posizione DEBITORIA / CREDITORIA di ogni singolo ente,</t>
  </si>
  <si>
    <t>l' ESTRATTO CONTO di ogni voce utilizzata,</t>
  </si>
  <si>
    <t>la posizione DEBITORIA / CREDITORIA del CONDOMINIO nei confronti dell' AMMINISTRATORE,</t>
  </si>
  <si>
    <t>Visualizzi qui alcune somme riferite al CONDOMINIO ed ai singoli ENTI.</t>
  </si>
  <si>
    <t>Visualizzi alcuni saldi incrociati che esegue il sistema per controllare che non ci siano SBILANCI.</t>
  </si>
  <si>
    <t>ITALIA</t>
  </si>
  <si>
    <t>FRANCIA</t>
  </si>
  <si>
    <t>BELGIO</t>
  </si>
  <si>
    <t>www.marcopiccoli.it</t>
  </si>
  <si>
    <t>VAI AL REGISTRO</t>
  </si>
  <si>
    <t>Alcune verifiche automatiche incrociando i valori inseriti nel SISTEMA:</t>
  </si>
  <si>
    <t>DA / A</t>
  </si>
  <si>
    <t>CASSA   +</t>
  </si>
  <si>
    <t>Controconto del Condominio</t>
  </si>
  <si>
    <t>Testo 1</t>
  </si>
  <si>
    <t>Testo 2</t>
  </si>
  <si>
    <r>
      <t>USA IL TASTO -</t>
    </r>
    <r>
      <rPr>
        <sz val="8"/>
        <color indexed="10"/>
        <rFont val="Tahoma"/>
        <family val="2"/>
      </rPr>
      <t xml:space="preserve"> TAB</t>
    </r>
    <r>
      <rPr>
        <sz val="8"/>
        <color indexed="23"/>
        <rFont val="Tahoma"/>
        <family val="2"/>
      </rPr>
      <t xml:space="preserve"> - PER MUOVERE IL CURSORE NELLE</t>
    </r>
  </si>
  <si>
    <r>
      <t>USA IL TASTO -</t>
    </r>
    <r>
      <rPr>
        <sz val="8"/>
        <color indexed="10"/>
        <rFont val="Tahoma"/>
        <family val="2"/>
      </rPr>
      <t xml:space="preserve"> Canc</t>
    </r>
    <r>
      <rPr>
        <sz val="8"/>
        <color indexed="23"/>
        <rFont val="Tahoma"/>
        <family val="2"/>
      </rPr>
      <t xml:space="preserve"> - PER RIMUOVERE IL</t>
    </r>
  </si>
  <si>
    <t>TI SERVONO PER IL CORRETTO USO DI QUESTO FILE.</t>
  </si>
  <si>
    <t>i COSTI del Condominio</t>
  </si>
  <si>
    <t>1 addebito automatico a scadenza preimpostata (pensato per il conto AMMINISTRATORE)</t>
  </si>
  <si>
    <t>PROPRIETA'</t>
  </si>
  <si>
    <t>Anagrafica:</t>
  </si>
  <si>
    <t>Indirizzo:</t>
  </si>
  <si>
    <t>giorni</t>
  </si>
  <si>
    <t>Pagina WEB del sistema</t>
  </si>
  <si>
    <t>A.C. cell di Marco Piccoli</t>
  </si>
  <si>
    <t>Questo è un esempio di menù a tendina: clicca ---&gt;</t>
  </si>
  <si>
    <t>SISTEMA DANNEGGIATO !!! Chiudere senza salvare!</t>
  </si>
  <si>
    <t>OK ! Codice corretto.</t>
  </si>
  <si>
    <t>CODICE NON VALIDO</t>
  </si>
  <si>
    <t>Questo sistema appartiene al TITOLARE in anagrafica. Qualsiasi altro uso non è permesso.</t>
  </si>
  <si>
    <t>Il codice che hai inserito nel sistema non è stato riconosciuto.</t>
  </si>
  <si>
    <t>Le cause possono essere le seguenti:</t>
  </si>
  <si>
    <t>Questo file si considera funzionante al momento della richiesta del codice.</t>
  </si>
  <si>
    <t>Tieni costantemente una copia di sicurezza ed una MATRICE in bianco per gli anni successivi.</t>
  </si>
  <si>
    <t>Contatta A.C. cell</t>
  </si>
  <si>
    <t>I REPORT si compilano in modo automatico in base alle registrazioni</t>
  </si>
  <si>
    <t>Percentuale</t>
  </si>
  <si>
    <t>DEFAULT</t>
  </si>
  <si>
    <t>Ripartizione dei COSTI</t>
  </si>
  <si>
    <t>Opzioni possibili</t>
  </si>
  <si>
    <t>NR. ENTI</t>
  </si>
  <si>
    <t>Default:</t>
  </si>
  <si>
    <t>CONFERMATA</t>
  </si>
  <si>
    <t>USA CORRETTA</t>
  </si>
  <si>
    <t>Tabella CORRETTA</t>
  </si>
  <si>
    <t>Tabella AUTOMATICA</t>
  </si>
  <si>
    <t>Imposta SCADENZA</t>
  </si>
  <si>
    <t>Inserisci qui il tuo codice di proprietà  ---&gt;</t>
  </si>
  <si>
    <t>ENTRATE MONETARIE da ENTI</t>
  </si>
  <si>
    <t>Piano dei Conti      -      area modificabile</t>
  </si>
  <si>
    <t>Foglio 3: COSTI</t>
  </si>
  <si>
    <t>CREDITO</t>
  </si>
  <si>
    <t>IMPOSTA RIPARTIZIONE tra i condomini</t>
  </si>
  <si>
    <t xml:space="preserve">Ripartizione:  </t>
  </si>
  <si>
    <t>Tot. AMM.</t>
  </si>
  <si>
    <t>LIQUIDITA' / Riserve / Finanziamenti</t>
  </si>
  <si>
    <t xml:space="preserve">CR/DB - </t>
  </si>
  <si>
    <t>VERSATO ENTI meno COSTI =</t>
  </si>
  <si>
    <t>Breve Riepilogo ENTI</t>
  </si>
  <si>
    <t>Via del Condominio</t>
  </si>
  <si>
    <t>00000 - ROMA</t>
  </si>
  <si>
    <t>+</t>
  </si>
  <si>
    <t>REGISTRO dei COSTI</t>
  </si>
  <si>
    <t>Subtotali in base a quanto</t>
  </si>
  <si>
    <t>Rendiconto Gestionale</t>
  </si>
  <si>
    <t>FORMATO</t>
  </si>
  <si>
    <t>al mese di</t>
  </si>
  <si>
    <t>Per il periodo dal mese di</t>
  </si>
  <si>
    <t>Eventuali valori in NEGATIVO devono essere considerati RICAVI del Conto Economico del Condominio.</t>
  </si>
  <si>
    <t>Piano previsionale di spesa</t>
  </si>
  <si>
    <t>Rispetto al totale del condominio, queste sono le quote associate al singolo ENTE</t>
  </si>
  <si>
    <t>QUOTA</t>
  </si>
  <si>
    <t>QUOTE di RIPARTIZIONE</t>
  </si>
  <si>
    <t>Per DEFAULT è impostata la ripartizione:</t>
  </si>
  <si>
    <t>ACCREDITI REGISTRATI</t>
  </si>
  <si>
    <t>ENTRATE</t>
  </si>
  <si>
    <t>Saldo al mese di</t>
  </si>
  <si>
    <t>Nel periodo selezionato, il sistema rileva questi VERSAMENTI accreditati al singolo ENTE ed un SALDO di fine periodo.</t>
  </si>
  <si>
    <t>MENSILE</t>
  </si>
  <si>
    <t>BIMENSILE</t>
  </si>
  <si>
    <t>TRIMESTRALE</t>
  </si>
  <si>
    <t>QUADRIMESTRALE</t>
  </si>
  <si>
    <t>SEMESTRALE</t>
  </si>
  <si>
    <t>ANNUALE</t>
  </si>
  <si>
    <t>Ripartizione:</t>
  </si>
  <si>
    <t>Cadenza:</t>
  </si>
  <si>
    <t>RATA</t>
  </si>
  <si>
    <t>NR. RATE</t>
  </si>
  <si>
    <t>in MESI</t>
  </si>
  <si>
    <t>CIRCOLARI PUBBLICHE</t>
  </si>
  <si>
    <t>In questo foglio puoi sviluppare alcuni prospetti sulla base di quanto già registrato in precedenza. 1) il Conto Economico del condominio, 2) un Piano Previsionale di Spesa,</t>
  </si>
  <si>
    <t>3) il suo ammortamento, 4) Le quote assegnate agli enti, 5) La ripartizione dei costi, 6) gli accrediti registrati sui singoli Enti ed il loro saldo debitorio/creditorio.</t>
  </si>
  <si>
    <t>Valori impostati per</t>
  </si>
  <si>
    <t>1 MESE</t>
  </si>
  <si>
    <t>1 ANNO</t>
  </si>
  <si>
    <t>L' INTERO PERIODO</t>
  </si>
  <si>
    <t>Elabora previsione dal mese di</t>
  </si>
  <si>
    <t>Cortese Attenzione</t>
  </si>
  <si>
    <t>Oggetto:</t>
  </si>
  <si>
    <t>Elaborazione automatica del</t>
  </si>
  <si>
    <t>sistema informatico in uso.</t>
  </si>
  <si>
    <t>Data:</t>
  </si>
  <si>
    <t>VALUTA</t>
  </si>
  <si>
    <t>Periodo</t>
  </si>
  <si>
    <t>ACCREDITI registrati</t>
  </si>
  <si>
    <t>Totale dei COSTI ADDEBITATI sul Suo Conto</t>
  </si>
  <si>
    <t>MILLESIMI assegnati al Suo ENTE</t>
  </si>
  <si>
    <t>RATA RICHIESTA A COPERTURA</t>
  </si>
  <si>
    <t>Per il periodo DA</t>
  </si>
  <si>
    <t>Rileviamo</t>
  </si>
  <si>
    <t>Rileviamo inoltre</t>
  </si>
  <si>
    <t>Totale dei COSTI imputati al Condominio</t>
  </si>
  <si>
    <t>QUOTA DI RIPARTIZIONE ASSEGNATA</t>
  </si>
  <si>
    <t>Totale dei COSTI PREVISTI nel periodo</t>
  </si>
  <si>
    <t>Un importo in negativo esprime la Sua posizione</t>
  </si>
  <si>
    <t>DEBITORIA nei confronti del Condominio.</t>
  </si>
  <si>
    <t>Per il periodo DA / A</t>
  </si>
  <si>
    <t>ed in particolare il</t>
  </si>
  <si>
    <t>da liquidare con cadenza</t>
  </si>
  <si>
    <t>La informiamo sull' importo della Sua</t>
  </si>
  <si>
    <t>Numero di RATE</t>
  </si>
  <si>
    <t>Per un totale di EURO</t>
  </si>
  <si>
    <t>ACCREDITI registrati sul Suo Conto</t>
  </si>
  <si>
    <t>Nr. MESI</t>
  </si>
  <si>
    <t>Circolare I - Pagina 1 di 1</t>
  </si>
  <si>
    <t>Circolare II - Pagina 1 di 1</t>
  </si>
  <si>
    <t>Allegato:</t>
  </si>
  <si>
    <t>NR. DATE</t>
  </si>
  <si>
    <t>Vai al riepilogo</t>
  </si>
  <si>
    <r>
      <t xml:space="preserve">I costi registrati in questo foglio saranno ripartiti in modo automatico tra gli ENTI. L' impostazione di </t>
    </r>
    <r>
      <rPr>
        <sz val="8"/>
        <color indexed="10"/>
        <rFont val="Tahoma"/>
        <family val="2"/>
      </rPr>
      <t>DEFAULT</t>
    </r>
    <r>
      <rPr>
        <sz val="8"/>
        <color indexed="23"/>
        <rFont val="Tahoma"/>
        <family val="2"/>
      </rPr>
      <t xml:space="preserve"> può essere cambiata. Ora è:</t>
    </r>
  </si>
  <si>
    <r>
      <t xml:space="preserve">Modifica secondo le tue necessità il piano dei conti.  Usa il tasto - </t>
    </r>
    <r>
      <rPr>
        <sz val="8"/>
        <color indexed="10"/>
        <rFont val="Tahoma"/>
        <family val="2"/>
      </rPr>
      <t>TAB</t>
    </r>
    <r>
      <rPr>
        <sz val="8"/>
        <color indexed="23"/>
        <rFont val="Tahoma"/>
        <family val="2"/>
      </rPr>
      <t xml:space="preserve"> - per individuare le celle libere.</t>
    </r>
  </si>
  <si>
    <t>Nr. identificativo ENTE e ripartizione automatica del singolo costo</t>
  </si>
  <si>
    <t>Foglio 5: PATRIMONIALE</t>
  </si>
  <si>
    <r>
      <t xml:space="preserve">Questo foglio ti servirà principalmente per registrare IL PAGAMENTO DI UN COSTO. Ti sarà sempre </t>
    </r>
    <r>
      <rPr>
        <sz val="8"/>
        <color indexed="10"/>
        <rFont val="Tahoma"/>
        <family val="2"/>
      </rPr>
      <t>proposto un saldo a pareggio</t>
    </r>
    <r>
      <rPr>
        <sz val="8"/>
        <color indexed="23"/>
        <rFont val="Tahoma"/>
        <family val="2"/>
      </rPr>
      <t xml:space="preserve"> in base ai costi che avrai già immesso nel sistema.</t>
    </r>
  </si>
  <si>
    <r>
      <t>Modifica le descrizioni ed inserisci eventualment</t>
    </r>
    <r>
      <rPr>
        <sz val="8"/>
        <color indexed="23"/>
        <rFont val="Tahoma"/>
        <family val="2"/>
      </rPr>
      <t>e i saldi iniziali</t>
    </r>
    <r>
      <rPr>
        <sz val="8"/>
        <color indexed="23"/>
        <rFont val="Tahoma"/>
        <family val="2"/>
      </rPr>
      <t xml:space="preserve"> dei tuoi conti.  Usa il tasto - </t>
    </r>
    <r>
      <rPr>
        <sz val="8"/>
        <color indexed="10"/>
        <rFont val="Tahoma"/>
        <family val="2"/>
      </rPr>
      <t>TAB</t>
    </r>
    <r>
      <rPr>
        <sz val="8"/>
        <color indexed="23"/>
        <rFont val="Tahoma"/>
        <family val="2"/>
      </rPr>
      <t xml:space="preserve"> - per individuare le celle libere.</t>
    </r>
  </si>
  <si>
    <t>Foglio 6: REPORT</t>
  </si>
  <si>
    <t>TOTALE</t>
  </si>
  <si>
    <t>Importo a pareggio ST. PATRIM.</t>
  </si>
  <si>
    <t>Tot. ANNO</t>
  </si>
  <si>
    <r>
      <t xml:space="preserve">Il sistema è composto da </t>
    </r>
    <r>
      <rPr>
        <sz val="11"/>
        <color indexed="18"/>
        <rFont val="Tahoma"/>
        <family val="2"/>
      </rPr>
      <t>9</t>
    </r>
    <r>
      <rPr>
        <sz val="11"/>
        <color indexed="8"/>
        <rFont val="Tahoma"/>
        <family val="2"/>
      </rPr>
      <t xml:space="preserve"> fogli.</t>
    </r>
  </si>
  <si>
    <t>Per ogni registrazione è richiesto:   DATA / Nome del CONTO / Descrizione / Importo (+ Controconto quando richiesto)</t>
  </si>
  <si>
    <t>Foglio 7:</t>
  </si>
  <si>
    <t>ESTRATTO CONTO</t>
  </si>
  <si>
    <r>
      <t xml:space="preserve">le tue registrazioni + </t>
    </r>
    <r>
      <rPr>
        <u/>
        <sz val="10"/>
        <color indexed="8"/>
        <rFont val="Tahoma"/>
        <family val="2"/>
      </rPr>
      <t>le registrazioni automatiche effettuate dal sistema</t>
    </r>
    <r>
      <rPr>
        <sz val="10"/>
        <color indexed="8"/>
        <rFont val="Tahoma"/>
        <family val="2"/>
      </rPr>
      <t>.</t>
    </r>
  </si>
  <si>
    <t>info@marcopiccoli.it</t>
  </si>
  <si>
    <t>Foglio 8:</t>
  </si>
  <si>
    <t>Foglio 9:</t>
  </si>
  <si>
    <t>Molte informazioni vengono immesse nel sistema utilizzando MENU' A TENDINA (che rilevano le tue impostazioni).</t>
  </si>
  <si>
    <t>diversi REPORT e RENDICONTO di periodo</t>
  </si>
  <si>
    <t>RENDICONTO del periodo</t>
  </si>
  <si>
    <t>PREVISIONE di spesa</t>
  </si>
  <si>
    <t>Ripartizione dei COSTI tra gli ENTI</t>
  </si>
  <si>
    <t>Valori in NEGATIVO esprimono importi ACCREDITATI al singolo ENTE.</t>
  </si>
  <si>
    <t>RIPARTIZIONE del Conto Economico</t>
  </si>
  <si>
    <t>SALDO CREDITO + / DEBITO -</t>
  </si>
  <si>
    <t>Conto Economico del Condominio</t>
  </si>
  <si>
    <t>Descrizione libera 1</t>
  </si>
  <si>
    <t>Pagamento Riga 2 del Registro dei Costi</t>
  </si>
  <si>
    <t>Evidenzia 1 conto</t>
  </si>
  <si>
    <t>Saldo del conto</t>
  </si>
  <si>
    <t>tutte le ENTRATE / USCITE MONETARIE del condominio,</t>
  </si>
  <si>
    <t>01234567891</t>
  </si>
  <si>
    <t>CELLE LIBERE. TUTTE LE ALTRE SONO BLOCCATE E NON</t>
  </si>
  <si>
    <t>II</t>
  </si>
  <si>
    <t>III</t>
  </si>
  <si>
    <t>PATRIMONIALE</t>
  </si>
  <si>
    <t>Note pratiche:</t>
  </si>
  <si>
    <t>Professionista Web di cui alla legge nr. 4/2013</t>
  </si>
  <si>
    <t>QUI</t>
  </si>
  <si>
    <t>ELABORA</t>
  </si>
  <si>
    <t>Elabora</t>
  </si>
  <si>
    <t>Subtotale</t>
  </si>
  <si>
    <t>INFORMA CHIUNQUE ENTRI IN POSSESSO DI QUESTO FILE, CHE NON E'</t>
  </si>
  <si>
    <t>F.A.Q.</t>
  </si>
  <si>
    <t>Imposti l' addebito automatico del conto AMMINISTRATORE e visualizzi la SCHEDA del CONDOMINIO.</t>
  </si>
  <si>
    <t>CONDOMINIO:</t>
  </si>
  <si>
    <t>La tabella qui sotto si compila in automatico in base alle tue registrazioni.</t>
  </si>
  <si>
    <t>Questo foglio ti serve principalmente per REGISTRARE I VERSAMENTI eseguiti dai condomini a favore delle casse del CONDOMINIO.</t>
  </si>
  <si>
    <r>
      <t xml:space="preserve">Modifica l' elenco degli ENTI inserendo il NOME degli intestatari.  Usa il tasto - </t>
    </r>
    <r>
      <rPr>
        <sz val="8"/>
        <color indexed="10"/>
        <rFont val="Tahoma"/>
        <family val="2"/>
      </rPr>
      <t>TAB</t>
    </r>
    <r>
      <rPr>
        <sz val="8"/>
        <color indexed="23"/>
        <rFont val="Tahoma"/>
        <family val="2"/>
      </rPr>
      <t xml:space="preserve"> - per individuare le celle libere.</t>
    </r>
  </si>
  <si>
    <t>P.I. / C.F.</t>
  </si>
  <si>
    <t>Codice di proprietà</t>
  </si>
  <si>
    <t>Descrizioni automatiche modificabili</t>
  </si>
  <si>
    <t>Assegnazione QUOTE</t>
  </si>
  <si>
    <t>MILL.mi   I</t>
  </si>
  <si>
    <t>MILL.mi   II</t>
  </si>
  <si>
    <t>MILL.mi   III</t>
  </si>
  <si>
    <t>1 - in MILLESIMI   I</t>
  </si>
  <si>
    <t>2 - in MILLESIMI   II</t>
  </si>
  <si>
    <t>3 - in MILLESIMI   III</t>
  </si>
  <si>
    <t>4 - in PERCENTUALE</t>
  </si>
  <si>
    <t>%</t>
  </si>
  <si>
    <t>Ripartizione</t>
  </si>
  <si>
    <r>
      <t xml:space="preserve">Usa questi conti anche per registrare spese riferite ad 1 singolo ENTE, </t>
    </r>
    <r>
      <rPr>
        <u/>
        <sz val="8"/>
        <color indexed="23"/>
        <rFont val="Tahoma"/>
        <family val="2"/>
      </rPr>
      <t>NON a tutto il Condominio</t>
    </r>
    <r>
      <rPr>
        <sz val="8"/>
        <color indexed="23"/>
        <rFont val="Tahoma"/>
        <family val="2"/>
      </rPr>
      <t>. In quel caso la spesa può essere trattata come un debito della persona singola o del singolo ente.</t>
    </r>
  </si>
  <si>
    <t>Modifica RIP.NE di DEFAULT</t>
  </si>
  <si>
    <t>Tabella dei SALDI di fine mese del CREDITO / DEBITO del singolo ENTE nei confronti del Condominio.</t>
  </si>
  <si>
    <t>Pagamento Riga 3 del Registro dei Costi</t>
  </si>
  <si>
    <t>Pagamento Riga 4 del Registro dei Costi</t>
  </si>
  <si>
    <t>Pagamento Riga 5 del Registro dei Costi</t>
  </si>
  <si>
    <t>Pagamento Riga 6 del Registro dei Costi</t>
  </si>
  <si>
    <t>Utilizza i conti già aperti nel sistema per elaborare una tua LIBERA PREVISIONE di SPESA. Imposta il periodo per il quale la previsione è espressa. Inserisci manualmente gli importi previsti.</t>
  </si>
  <si>
    <t>RATE in SCADENZA</t>
  </si>
  <si>
    <t>Totale in scadenza €</t>
  </si>
  <si>
    <t>In questo foglio puoi elaborare delle singole comunicazioni per ciascun ENTE in base a quanto registrato ed elaborato nel sistema.</t>
  </si>
  <si>
    <t>Attiva una delle opzioni:</t>
  </si>
  <si>
    <t>RENDICONTO</t>
  </si>
  <si>
    <t>Imposta un valore monetario e visualizzi la ripartizione</t>
  </si>
  <si>
    <t>Il tipo di ripartizione impostato di default può subire delle eccezioni nella registrazione di alcuni singoli costi. Pertanto la riconciliazione semplice tra i valori di questo specchietto e quelli effetti-</t>
  </si>
  <si>
    <t>Ammortamento previsione di spesa</t>
  </si>
  <si>
    <t>Per lo stesso periodo, impostando una CADENZA standard ed una tipologia di ripartizione, puoi visualizzare la RATA standard necessaria alla copertura della precedente previsione di spesa.</t>
  </si>
  <si>
    <t>Coeff.</t>
  </si>
  <si>
    <t>Percentuale assegnata al Suo ENTE</t>
  </si>
  <si>
    <r>
      <t xml:space="preserve">Fondamentalmente è suddiviso in </t>
    </r>
    <r>
      <rPr>
        <sz val="11"/>
        <color indexed="23"/>
        <rFont val="Tahoma"/>
        <family val="2"/>
      </rPr>
      <t>3 AREE (</t>
    </r>
    <r>
      <rPr>
        <sz val="11"/>
        <color indexed="18"/>
        <rFont val="Tahoma"/>
        <family val="2"/>
      </rPr>
      <t>I</t>
    </r>
    <r>
      <rPr>
        <sz val="11"/>
        <color indexed="23"/>
        <rFont val="Tahoma"/>
        <family val="2"/>
      </rPr>
      <t>/</t>
    </r>
    <r>
      <rPr>
        <sz val="11"/>
        <color indexed="18"/>
        <rFont val="Tahoma"/>
        <family val="2"/>
      </rPr>
      <t>II</t>
    </r>
    <r>
      <rPr>
        <sz val="11"/>
        <color indexed="23"/>
        <rFont val="Tahoma"/>
        <family val="2"/>
      </rPr>
      <t>/</t>
    </r>
    <r>
      <rPr>
        <sz val="11"/>
        <color indexed="18"/>
        <rFont val="Tahoma"/>
        <family val="2"/>
      </rPr>
      <t>III</t>
    </r>
    <r>
      <rPr>
        <sz val="11"/>
        <color indexed="23"/>
        <rFont val="Tahoma"/>
        <family val="2"/>
      </rPr>
      <t xml:space="preserve">) </t>
    </r>
    <r>
      <rPr>
        <sz val="11"/>
        <color indexed="8"/>
        <rFont val="Tahoma"/>
        <family val="2"/>
      </rPr>
      <t>con</t>
    </r>
    <r>
      <rPr>
        <sz val="11"/>
        <color indexed="23"/>
        <rFont val="Tahoma"/>
        <family val="2"/>
      </rPr>
      <t xml:space="preserve"> 3 REGISTRI</t>
    </r>
    <r>
      <rPr>
        <sz val="11"/>
        <color indexed="8"/>
        <rFont val="Tahoma"/>
        <family val="2"/>
      </rPr>
      <t xml:space="preserve"> ed in </t>
    </r>
    <r>
      <rPr>
        <sz val="11"/>
        <color indexed="23"/>
        <rFont val="Tahoma"/>
        <family val="2"/>
      </rPr>
      <t>12 MESI</t>
    </r>
    <r>
      <rPr>
        <sz val="11"/>
        <color indexed="8"/>
        <rFont val="Tahoma"/>
        <family val="2"/>
      </rPr>
      <t>.</t>
    </r>
  </si>
  <si>
    <t>In questo foglio identifichi i proprietari (ENTI) e registri i versamenti/le entrate monetarie percepite degli ENTI.</t>
  </si>
  <si>
    <t>Imposti le TABELLE di RIPARTIZIONE associate agli ENTI. Sono 6 disponibili di cui una di DEFAULT.</t>
  </si>
  <si>
    <t>Visualizzi la posizione DEBITORIA / CREDITORIA dei singoli ENTI e dell' AMMINISTRATORE.</t>
  </si>
  <si>
    <t>Dopo aver configurato il sistema ed immesso le tue registrazioni, puoi VISUALIZZARE alcune elaborazioni nei fogli successivi.</t>
  </si>
  <si>
    <t>Per ogni conto utilizzato puoi visualizzare il suo estratto conto integrale, in ordine cronologico, con</t>
  </si>
  <si>
    <t>Visualizzi qui 6 diversi REPORT con vari filtri di ricerca ed altre impostazioni modificabili secondo necessità.</t>
  </si>
  <si>
    <t>Contattami liberamente per ulteriori precisazioni ed eventuali modifiche al sistema:</t>
  </si>
  <si>
    <t>Con 1 codice di proprietà attivi enne copie di questo sistema. Richiedi informazioni via mail in qualsiasi momento.</t>
  </si>
  <si>
    <t>Partita IVA o Codice Fiscale:</t>
  </si>
  <si>
    <t>………</t>
  </si>
  <si>
    <r>
      <t xml:space="preserve">In questa sezione inserisci gli elementi che determineranno la ripartizione dei COSTI tra gli ENTI. Il sistema può considerare  </t>
    </r>
    <r>
      <rPr>
        <sz val="11"/>
        <color indexed="18"/>
        <rFont val="Tahoma"/>
        <family val="2"/>
      </rPr>
      <t>6</t>
    </r>
    <r>
      <rPr>
        <i/>
        <sz val="11"/>
        <color indexed="23"/>
        <rFont val="Corbel"/>
        <family val="2"/>
      </rPr>
      <t xml:space="preserve">   diverse  </t>
    </r>
    <r>
      <rPr>
        <sz val="11"/>
        <color indexed="18"/>
        <rFont val="Tahoma"/>
        <family val="2"/>
      </rPr>
      <t>MODALITA'</t>
    </r>
    <r>
      <rPr>
        <i/>
        <sz val="11"/>
        <color indexed="23"/>
        <rFont val="Corbel"/>
        <family val="2"/>
      </rPr>
      <t xml:space="preserve">  di ripartizione.</t>
    </r>
  </si>
  <si>
    <t>Ci sono 2 diverse CIRCOLARI (attivabili dal campo OGGETTO) che riportano, per 1 singolo ENTE, alcuni importi di</t>
  </si>
  <si>
    <t>Link all' area download:</t>
  </si>
  <si>
    <t>Per la contabilità DOMESTICA di 1 singolo ENTE, è disponibile per tutti un sistema gratuito utilizzabile con molta semplicità.</t>
  </si>
  <si>
    <t>I REGISTRI accettano solo DATE CONGRUE con le tue impostazioni iniziali. Eventuali date in ROSSO informano di un ERRORE.</t>
  </si>
  <si>
    <t>Report 1</t>
  </si>
  <si>
    <t>Area Download .xlsx</t>
  </si>
  <si>
    <t>NO</t>
  </si>
  <si>
    <t>al primo mese disattivato</t>
  </si>
  <si>
    <t>Monfalcone - GO - Tel. 333 46 39 497</t>
  </si>
  <si>
    <t>COSTI del Condominio + Scheda AMMINISTRATORE + TABELLA RIPARTIZIONI dei costi</t>
  </si>
  <si>
    <t>NIK NAME</t>
  </si>
  <si>
    <t>Foglio 4:  ASSEGNAZIONE delle QUOTE di ripartizione dei COSTI tra gli ENTI del condominio</t>
  </si>
  <si>
    <t>Torna su</t>
  </si>
  <si>
    <r>
      <t>Una</t>
    </r>
    <r>
      <rPr>
        <i/>
        <sz val="11"/>
        <color indexed="23"/>
        <rFont val="Corbel"/>
        <family val="2"/>
      </rPr>
      <t xml:space="preserve">  di queste, </t>
    </r>
    <r>
      <rPr>
        <i/>
        <u/>
        <sz val="11"/>
        <color indexed="23"/>
        <rFont val="Corbel"/>
        <family val="2"/>
      </rPr>
      <t>scelta qui da te</t>
    </r>
    <r>
      <rPr>
        <i/>
        <sz val="11"/>
        <color indexed="23"/>
        <rFont val="Corbel"/>
        <family val="2"/>
      </rPr>
      <t xml:space="preserve">, sarà la modalità di  </t>
    </r>
    <r>
      <rPr>
        <sz val="11"/>
        <color indexed="18"/>
        <rFont val="Tahoma"/>
        <family val="2"/>
      </rPr>
      <t>DEFAULT</t>
    </r>
    <r>
      <rPr>
        <i/>
        <sz val="11"/>
        <color indexed="23"/>
        <rFont val="Corbel"/>
        <family val="2"/>
      </rPr>
      <t xml:space="preserve">. </t>
    </r>
    <r>
      <rPr>
        <i/>
        <u/>
        <sz val="11"/>
        <color indexed="23"/>
        <rFont val="Corbel"/>
        <family val="2"/>
      </rPr>
      <t>In seguito potrai effettuare eccezioni su ogni singolo costo, ripartendolo in modo diverso dal default.</t>
    </r>
  </si>
  <si>
    <t>ASSEGNA</t>
  </si>
  <si>
    <r>
      <t xml:space="preserve">Successivamente il sistema li utilizzerà per elaborare una </t>
    </r>
    <r>
      <rPr>
        <i/>
        <u/>
        <sz val="10"/>
        <color indexed="23"/>
        <rFont val="Corbel"/>
        <family val="2"/>
      </rPr>
      <t>previsione di spesa totale per un determinato periodo di tempo</t>
    </r>
    <r>
      <rPr>
        <i/>
        <sz val="10"/>
        <color indexed="23"/>
        <rFont val="Corbel"/>
        <family val="2"/>
      </rPr>
      <t>. Tale importo sarà conseguentemente utilizzato per l' ammortamento.</t>
    </r>
  </si>
  <si>
    <t>Fornitura combustibile</t>
  </si>
  <si>
    <t>VAI ALLA SCHEDA COND.</t>
  </si>
  <si>
    <t>per ANNO INTERO oppure DAL (gg/mm/aaaa)</t>
  </si>
  <si>
    <t>Questo è il sistema</t>
  </si>
  <si>
    <t>SALDO FINALE</t>
  </si>
  <si>
    <t>=</t>
  </si>
  <si>
    <t>A + [(B+C)x-1]</t>
  </si>
  <si>
    <t>PAREGGIO ST. PATRIM.</t>
  </si>
  <si>
    <t>Differenza (3A-3B)</t>
  </si>
  <si>
    <t>Somma (1B x-1) + 2B</t>
  </si>
  <si>
    <t>Controlla ad ogni sessione</t>
  </si>
  <si>
    <t>Subtotali</t>
  </si>
  <si>
    <t>Nascondi Testo</t>
  </si>
  <si>
    <t>Nascondi T1</t>
  </si>
  <si>
    <t>Nascondi T2</t>
  </si>
  <si>
    <t>Nascondi T3</t>
  </si>
  <si>
    <t>Ultimi commenti pubblicati</t>
  </si>
  <si>
    <t>Software contabilità</t>
  </si>
  <si>
    <t>Differenza (1B-1A)</t>
  </si>
  <si>
    <t>Differenza (2B-2A)</t>
  </si>
  <si>
    <t>l</t>
  </si>
  <si>
    <t>Saldo finale ENTI</t>
  </si>
  <si>
    <t>37</t>
  </si>
  <si>
    <t>Arrotondamenti di sistema  +/-  sul c.to Amministratore</t>
  </si>
  <si>
    <t>e successivamente puoi visualizzare:</t>
  </si>
  <si>
    <t>Leggi attentamente questa presentazione, osserva le "Note pratiche" e richiedi liberamente informazioni via mail.</t>
  </si>
  <si>
    <t>Richiedi via mail il TUO CODICE di PROPRIETA'</t>
  </si>
  <si>
    <t>Questo file risulta al momento completamente funzionante ed il sistema rileva tutti i suoi fogli.</t>
  </si>
  <si>
    <t>Sezione info</t>
  </si>
  <si>
    <t>About me</t>
  </si>
  <si>
    <t>Questo sistema può funzionare in enne copie rinominate a piacere. Funziona con calendario PERPETUO.</t>
  </si>
  <si>
    <t>PROPRIETA' illimitata del file</t>
  </si>
  <si>
    <t>Rimuovere le protezioni originali, far circolare una parte del sistema o qualsiasi altro utilizzo (anche parziale, anche dei</t>
  </si>
  <si>
    <t>testi, anche a titolo gratuito) diverso dalle disposizioni originarie del file, sarà considerata violazione delle norme sulle</t>
  </si>
  <si>
    <t>Con  "OK"  accetti le regole</t>
  </si>
  <si>
    <t>sull' utilizzo di questo file</t>
  </si>
  <si>
    <t>34074 Monfalcone, GO - P. IVA 01151800313</t>
  </si>
  <si>
    <t>L' inserimento del Codice di Proprietà, che viene inviato via P.E.C., estende tutti</t>
  </si>
  <si>
    <t>i diritti anche al Titolare del Sistema individuato nell' ANAGRAFICA di questo file.</t>
  </si>
  <si>
    <t>Per qualsiasi altra informazione contattami liberamente via mail.</t>
  </si>
  <si>
    <t>inseriscilo direttamente nel file che stai già usando. Il codice ti viene inviato con regolare fattura. Chiedi istruzioni via mail.</t>
  </si>
  <si>
    <t>Questo strumento è interamente originale ed è distribuito professionalmente.</t>
  </si>
  <si>
    <t>E' coperto da diritti d' autore dal momento della sua pubblicazione sul sito</t>
  </si>
  <si>
    <t>www.marcopiccoli.it.</t>
  </si>
  <si>
    <t>CAMPO LIBERO</t>
  </si>
  <si>
    <t>di Marco Piccoli - P. IVA 01151800313</t>
  </si>
  <si>
    <t>Sistema interamente originale. Non necessita di aggiornamenti.</t>
  </si>
  <si>
    <t>File disponibile SOLO PER EXCEL .xlsx</t>
  </si>
  <si>
    <t>Inserisci qui il NOME</t>
  </si>
  <si>
    <t>Richiedi il tuo codice personale</t>
  </si>
  <si>
    <t>Se desideri attivare questo sistema per l' INTERO ANNO di QUALSIASI ANNO, richiedi via mail il tuo Codice di Proprietà ed</t>
  </si>
  <si>
    <t>Bilancio Domestico 2.0</t>
  </si>
  <si>
    <t>Proprietà</t>
  </si>
  <si>
    <t>CONVALIDA</t>
  </si>
  <si>
    <t>Descrizione libera aggiuntiva</t>
  </si>
  <si>
    <t>&lt;-- Seleziona</t>
  </si>
  <si>
    <t>1° Trimestre</t>
  </si>
  <si>
    <t>2° Trimestre</t>
  </si>
  <si>
    <t>3° Trimestre</t>
  </si>
  <si>
    <t>4° Trimestre</t>
  </si>
  <si>
    <t>Totale in sistema</t>
  </si>
  <si>
    <t>Inserisci il tuo codice di proprietà nel foglio Presentazione</t>
  </si>
  <si>
    <t>PERIODI di ATTIVAZIONE</t>
  </si>
  <si>
    <t>BANCA C/C nr. 1234567</t>
  </si>
  <si>
    <t>POSTA C/C nr. 7654321</t>
  </si>
  <si>
    <t>Controconto +/-  (qui)</t>
  </si>
  <si>
    <t>BANCA C/C nr. 1234567   +</t>
  </si>
  <si>
    <t>POSTA C/C nr. 7654321   +</t>
  </si>
  <si>
    <t>DEBITO 1</t>
  </si>
  <si>
    <t>Nr. mesi ELABORATI</t>
  </si>
  <si>
    <t>MIN data ENTI</t>
  </si>
  <si>
    <t>MIN data PATRIMONIALE</t>
  </si>
  <si>
    <t>MIN data COSTI Condominio</t>
  </si>
  <si>
    <t>INTERVALLO GIORNI</t>
  </si>
  <si>
    <t>diviso 30 = Mesi conteggiati</t>
  </si>
  <si>
    <t xml:space="preserve">nei REGISTRI: </t>
  </si>
  <si>
    <t>Max data REGISTRI</t>
  </si>
  <si>
    <t>MIN data COSTI REGISTRI</t>
  </si>
  <si>
    <t>INTEGRITA'</t>
  </si>
  <si>
    <t>Integrità</t>
  </si>
  <si>
    <t>REGISTRO delle ENTRATE / ENTI</t>
  </si>
  <si>
    <t>Somma dei saldi</t>
  </si>
  <si>
    <t>Pagamento Riga 7 del Registro dei Costi</t>
  </si>
  <si>
    <t>Pagamento Riga 8 del Registro dei Costi</t>
  </si>
  <si>
    <t>COSTI DA</t>
  </si>
  <si>
    <t>PAGARE</t>
  </si>
  <si>
    <t>Registrazioni AUTOMATICHE di CONTROCONTO ricavate dal foglio  | ENTI |</t>
  </si>
  <si>
    <t>DEBITO 1   +</t>
  </si>
  <si>
    <t>RISERVA ACCANTONATA   +</t>
  </si>
  <si>
    <t>Sbilancio o arrotondamenti rilevati dal sistema  +/-</t>
  </si>
  <si>
    <t>TERRA</t>
  </si>
  <si>
    <t>NON DEF.</t>
  </si>
  <si>
    <t>ecc.</t>
  </si>
  <si>
    <t>Scala A</t>
  </si>
  <si>
    <t>Scala B</t>
  </si>
  <si>
    <t>Palazzo A</t>
  </si>
  <si>
    <t>Palazzo B</t>
  </si>
  <si>
    <t>es. PER PIANO</t>
  </si>
  <si>
    <t>| COSTI |  in ripartizione tra  | ENTI |</t>
  </si>
  <si>
    <t>7) Differenza (5-4)</t>
  </si>
  <si>
    <t>8) Somma (3A x-1) + 3B + 6</t>
  </si>
  <si>
    <t>Periodo impostato</t>
  </si>
  <si>
    <t>Foglio ENTI</t>
  </si>
  <si>
    <t>Foglio COSTI</t>
  </si>
  <si>
    <t>Foglio PATRIMONIALE</t>
  </si>
  <si>
    <r>
      <t xml:space="preserve">vamente espressi dal Sistema nel foglio </t>
    </r>
    <r>
      <rPr>
        <sz val="10"/>
        <color indexed="63"/>
        <rFont val="Tahoma"/>
        <family val="2"/>
      </rPr>
      <t xml:space="preserve"> | RIPARTIZIONI |</t>
    </r>
    <r>
      <rPr>
        <i/>
        <sz val="10"/>
        <color indexed="63"/>
        <rFont val="Corbel"/>
        <family val="2"/>
      </rPr>
      <t xml:space="preserve">  potrebbe non essere possibile. Verifica la ripartizione ANALITICA dei costi, che il sistema restituisce</t>
    </r>
  </si>
  <si>
    <t>codice fiscale condominio</t>
  </si>
  <si>
    <t>QUI x Rendiconto</t>
  </si>
  <si>
    <t>PERIODI:</t>
  </si>
  <si>
    <t>QUI x Periodo</t>
  </si>
  <si>
    <t>COSTI</t>
  </si>
  <si>
    <t>Patrimoniale</t>
  </si>
  <si>
    <t>Integrazioni automatiche al foglio  | ENTI |  quando registri nel foglio  | PATRIMONIALE |  un CR/DB diretto</t>
  </si>
  <si>
    <t>REGOLE</t>
  </si>
  <si>
    <t>REGOLE DI UTILIZZO</t>
  </si>
  <si>
    <t>CASSA   -</t>
  </si>
  <si>
    <t>Sbilancio o arrotondamenti rilevati dal sistema EURO</t>
  </si>
  <si>
    <r>
      <t xml:space="preserve">CONTENUTO DI UNA CELLA. CON </t>
    </r>
    <r>
      <rPr>
        <sz val="8"/>
        <color indexed="10"/>
        <rFont val="Tahoma"/>
        <family val="2"/>
      </rPr>
      <t>MAC</t>
    </r>
    <r>
      <rPr>
        <sz val="8"/>
        <color indexed="23"/>
        <rFont val="Tahoma"/>
        <family val="2"/>
      </rPr>
      <t xml:space="preserve"> USA</t>
    </r>
  </si>
  <si>
    <t>| doppio | tasto |   NON TAGLIARE LE CELLE.</t>
  </si>
  <si>
    <t>Versione 4.0</t>
  </si>
  <si>
    <t>Il sistema funziona solo se lasciato integro.          NON ELIMINARE ALCUN FOGLIO.</t>
  </si>
  <si>
    <t>In questo foglio identifichi l' elenco dei costi utilizzabili dal CONDOMINIO.</t>
  </si>
  <si>
    <t>In questo foglio registri le ENTRATE / USCITE monetarie del CONDOMINIO. Registri il pagamento dei COSTI</t>
  </si>
  <si>
    <t>Troverai alcuni campi compilati a puro titolo di esempio! Riscrivici sopra.</t>
  </si>
  <si>
    <t>RENDICONTO  e CIRCOLARI pubbliche</t>
  </si>
  <si>
    <t>sistema ed altri ricavati da impostazioni temporanee provenienti dal precedente foglio 8 | RENDICONTO |.</t>
  </si>
  <si>
    <r>
      <t xml:space="preserve">Questo file funziona solo se lasciato </t>
    </r>
    <r>
      <rPr>
        <b/>
        <sz val="10"/>
        <color indexed="23"/>
        <rFont val="Tahoma"/>
        <family val="2"/>
      </rPr>
      <t>integro in tutte le sue parti</t>
    </r>
    <r>
      <rPr>
        <sz val="10"/>
        <color indexed="23"/>
        <rFont val="Tahoma"/>
        <family val="2"/>
      </rPr>
      <t xml:space="preserve">. Il sistema conta </t>
    </r>
    <r>
      <rPr>
        <b/>
        <sz val="10"/>
        <color indexed="23"/>
        <rFont val="Tahoma"/>
        <family val="2"/>
      </rPr>
      <t>9 fogli</t>
    </r>
    <r>
      <rPr>
        <sz val="10"/>
        <color indexed="23"/>
        <rFont val="Tahoma"/>
        <family val="2"/>
      </rPr>
      <t xml:space="preserve"> compreso il presente. </t>
    </r>
  </si>
  <si>
    <r>
      <t xml:space="preserve">I fogli NON POSSONO ESSERE ELIMINATI altrimenti l' intero sistema </t>
    </r>
    <r>
      <rPr>
        <b/>
        <sz val="10"/>
        <color indexed="23"/>
        <rFont val="Tahoma"/>
        <family val="2"/>
      </rPr>
      <t>non funzionerà</t>
    </r>
    <r>
      <rPr>
        <sz val="10"/>
        <color indexed="23"/>
        <rFont val="Tahoma"/>
        <family val="2"/>
      </rPr>
      <t>. Se succede involontariamente NON SALVARE</t>
    </r>
  </si>
  <si>
    <t>opere d' ingegno. Il sistema originale si scarica dal sito www.marcopiccoli.it.</t>
  </si>
  <si>
    <t>Questo file è sempre disponibile al sito www.marcopiccoli.it:</t>
  </si>
  <si>
    <t>Puoi usare una copia di questo file per registrare movimenti contabili di QUALSIASI ANNO.</t>
  </si>
  <si>
    <t>Lo stesso codice attiva tutti i sistemi "Bilancio Condominiale" da 10 a 60 ENTI.</t>
  </si>
  <si>
    <t>Al momento consideralo in PROVA ILLIMITATA nel tempo e nelle funzionalità.</t>
  </si>
  <si>
    <t>E' attivo a singoli TRIMESTRI come in questo esempio:</t>
  </si>
  <si>
    <t>SBILANCIO</t>
  </si>
  <si>
    <t>Seleziona qui ---&gt;</t>
  </si>
  <si>
    <t>Attivo SEMPRE</t>
  </si>
  <si>
    <t>Nome ENTE 1</t>
  </si>
  <si>
    <t>Nome ENTE 2</t>
  </si>
  <si>
    <t>Nome ENTE 3</t>
  </si>
  <si>
    <t>Nome ENTE ultimo disponibile</t>
  </si>
  <si>
    <t>Ricevuto bonifico quota prestabilita</t>
  </si>
  <si>
    <t>Ricevuto bonifico acconto</t>
  </si>
  <si>
    <t>Inserisci liberamente una descrizione</t>
  </si>
  <si>
    <t>Inserisci come "CONTROCONTO" uno dei conti Patrimoniali</t>
  </si>
  <si>
    <t>Versato in contanti quota prestabilita GENNAIO</t>
  </si>
  <si>
    <t>Versato in contanti acconto GENNAIO</t>
  </si>
  <si>
    <t>Verifica che ci sia il segno "+" per far "entrare" gli importi nei</t>
  </si>
  <si>
    <t>fondi del Condominio, oppure il segno "-" per far uscire gli importi.</t>
  </si>
  <si>
    <t>Assicurazione</t>
  </si>
  <si>
    <t>Inserisci liberamente / sovrascrivi</t>
  </si>
  <si>
    <t>Ultimo COSTO disponibile</t>
  </si>
  <si>
    <t>Decorazioni</t>
  </si>
  <si>
    <t>Per ogni riga, il sistema calcola una ripartizione tra gli ENTI.</t>
  </si>
  <si>
    <t>C'è una ripartizione di "Default" (valida per tutte le righe) ma</t>
  </si>
  <si>
    <t>qualsiasi ripartizione tra le 6 disponibili.</t>
  </si>
  <si>
    <t>Descrizione libera 2 / modificato la ripartizione di default ---&gt;</t>
  </si>
  <si>
    <t>5 - es. PER PIANO in Millesimi</t>
  </si>
  <si>
    <t>6 - es. PER PIANO in Percentuale</t>
  </si>
  <si>
    <t>Descrizione libera 3 / modificato la ripartizione di default ---&gt;</t>
  </si>
  <si>
    <t>Descrizione libera 4 / modificato la ripartizione di default ---&gt;</t>
  </si>
  <si>
    <t>Descrizione libera 5 / modificato la ripartizione di default ---&gt;</t>
  </si>
  <si>
    <t>Ripartizione:  1 - in MILLESIMI   I</t>
  </si>
  <si>
    <t>Imposta PERIODO</t>
  </si>
  <si>
    <t>1/2024</t>
  </si>
  <si>
    <t>Testo libero (eventuali oneri straord.)</t>
  </si>
  <si>
    <t>Testo libero (eventuali sconti)</t>
  </si>
  <si>
    <t>Pagamento Riga 1 del Registro dei Costi</t>
  </si>
  <si>
    <t>Pagamento Riga 9 del Registro dei Costi</t>
  </si>
  <si>
    <t>Pagamento Riga 10 del Registro dei Costi</t>
  </si>
  <si>
    <t>Ipotesi di ENTRATA monetaria a fronte di un DEBITO</t>
  </si>
  <si>
    <t>Ipotesi di STORNO parziale di un debito</t>
  </si>
  <si>
    <t>CR/DB - Nome ENTE 3</t>
  </si>
  <si>
    <t>Pagato in anticipo spesa diretta addebitata all' ente</t>
  </si>
  <si>
    <t>CR/DB - Nome ENTE 1</t>
  </si>
  <si>
    <t>CR/DB - Nome ENTE 2</t>
  </si>
  <si>
    <t>Incassato importo da accreditare direttamente all' ente</t>
  </si>
  <si>
    <t>Pagamento Riga del Registro dei Costi / descrizione libera</t>
  </si>
  <si>
    <t>e QUI x Previsione</t>
  </si>
  <si>
    <t>e QUI</t>
  </si>
  <si>
    <t>Differenza X</t>
  </si>
  <si>
    <t>Differenza Y</t>
  </si>
  <si>
    <t>Nel periodo:</t>
  </si>
  <si>
    <t>Testo 1:    1 di 3 righe preimpostate circolare / RENDICONTO del periodo</t>
  </si>
  <si>
    <t>Testo 1:    2 di 3 righe preimpostate circolare / RENDICONTO del periodo</t>
  </si>
  <si>
    <t>Testo 1:    3 di 3 righe preimpostate circolare / RENDICONTO del periodo</t>
  </si>
  <si>
    <t>Testo 2:    1 di 3 righe preimpostate circolare / RENDICONTO del periodo</t>
  </si>
  <si>
    <t>Testo 2:    2 di 3 righe preimpostate circolare / RENDICONTO del periodo</t>
  </si>
  <si>
    <t>Testo 2:    3 di 3 righe preimpostate circolare / RENDICONTO del periodo</t>
  </si>
  <si>
    <t>Testo 1:    1 di 3 righe preimpostate circolare / PREVISIONE di spesa</t>
  </si>
  <si>
    <t>Testo 1:    3 di 3 righe preimpostate circolare / PREVISIONE di spesa</t>
  </si>
  <si>
    <t>Testo 2:    1 di 3 righe preimpostate circolare / PREVISIONE di spesa</t>
  </si>
  <si>
    <t>Testo 2:    3 di 3 righe preimpostate circolare / PREVISIONE di spesa</t>
  </si>
  <si>
    <t>all' occorrenza puoi selezionare per ogni singola riga una</t>
  </si>
  <si>
    <t>Coef. Riparto</t>
  </si>
  <si>
    <t>I coefficienti di riparto vengono ricavati dal prossimo foglio.</t>
  </si>
  <si>
    <r>
      <t xml:space="preserve">IL FILE ma chiudilo e riaprilo nuovamente. Puoi usare </t>
    </r>
    <r>
      <rPr>
        <i/>
        <sz val="10"/>
        <color indexed="23"/>
        <rFont val="Tahoma"/>
        <family val="2"/>
      </rPr>
      <t>enne</t>
    </r>
    <r>
      <rPr>
        <sz val="10"/>
        <color indexed="23"/>
        <rFont val="Tahoma"/>
        <family val="2"/>
      </rPr>
      <t xml:space="preserve"> copie del file.</t>
    </r>
  </si>
  <si>
    <t>Bilancio Condominiale 4.0.E05 FREE - per EXCEL .xlsx</t>
  </si>
  <si>
    <t>Nome ENTE 4 / sovrascrivi</t>
  </si>
  <si>
    <r>
      <t xml:space="preserve">Per 1 CONDOMINIO fino a </t>
    </r>
    <r>
      <rPr>
        <sz val="11"/>
        <color indexed="18"/>
        <rFont val="Tahoma"/>
        <family val="2"/>
      </rPr>
      <t>5 ENTI</t>
    </r>
    <r>
      <rPr>
        <sz val="11"/>
        <color indexed="23"/>
        <rFont val="Tahoma"/>
        <family val="2"/>
      </rPr>
      <t xml:space="preserve">  -  in questo file puoi registrare:</t>
    </r>
  </si>
  <si>
    <r>
      <t xml:space="preserve">Questo è il file E05 = </t>
    </r>
    <r>
      <rPr>
        <sz val="10"/>
        <color indexed="18"/>
        <rFont val="Tahoma"/>
        <family val="2"/>
      </rPr>
      <t>5 Enti (unità abitative)</t>
    </r>
    <r>
      <rPr>
        <sz val="10"/>
        <color indexed="23"/>
        <rFont val="Tahoma"/>
        <family val="2"/>
      </rPr>
      <t>. Esistono le versioni E10/E20/E30/E40/E50/E60.</t>
    </r>
  </si>
  <si>
    <r>
      <t xml:space="preserve">Questa versione del sistema accetta al massimo </t>
    </r>
    <r>
      <rPr>
        <sz val="11"/>
        <color indexed="10"/>
        <rFont val="Tahoma"/>
        <family val="2"/>
      </rPr>
      <t>1000</t>
    </r>
    <r>
      <rPr>
        <sz val="10"/>
        <color indexed="8"/>
        <rFont val="Tahoma"/>
        <family val="2"/>
      </rPr>
      <t xml:space="preserve"> righe per REGISTRO;</t>
    </r>
    <r>
      <rPr>
        <u/>
        <sz val="10"/>
        <color indexed="8"/>
        <rFont val="Tahoma"/>
        <family val="2"/>
      </rPr>
      <t xml:space="preserve"> puoi usare più di 1 file e rinominarlo liberamente.</t>
    </r>
  </si>
  <si>
    <t>(Il codice è ininfluente in questa versione .E05 FREE)</t>
  </si>
  <si>
    <r>
      <t>Per attivarlo nella totalità dell' ANNO inserisci in qualsiasi momento il tuo codice di proprietà nell' apposito spazio</t>
    </r>
    <r>
      <rPr>
        <sz val="10"/>
        <color theme="0" tint="-0.499984740745262"/>
        <rFont val="Tahoma"/>
        <family val="2"/>
      </rPr>
      <t>.</t>
    </r>
  </si>
  <si>
    <t>Questo file è liberamente utilizzabile DA TUTTI.</t>
  </si>
  <si>
    <t>POSSIBILE UTILIZZARLO SENZA PROTEZIONI ORIGINALI.</t>
  </si>
  <si>
    <t>Sistema originale, nessuna riproduzione è permessa.</t>
  </si>
  <si>
    <t>Attivo SEMPRE solo per versione .E05 FREE</t>
  </si>
  <si>
    <t>Testo 1:    2 di 3 righe preimpostate circolare / PREVISIONE di spesa</t>
  </si>
  <si>
    <t>Testo 2:    2 di 3 righe preimpostate circolare / PREVISIONE di spesa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</si>
</sst>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164" formatCode="\ @\ "/>
    <numFmt numFmtId="165" formatCode="\ 0\ "/>
    <numFmt numFmtId="166" formatCode="\ 00\ "/>
    <numFmt numFmtId="167" formatCode="\ #,##0\ "/>
    <numFmt numFmtId="168" formatCode="\ #,##0.00\ ;[Red]\ \-\ #,##0.00\ "/>
    <numFmt numFmtId="169" formatCode="\ 00.00\ &quot;%&quot;\ "/>
    <numFmt numFmtId="170" formatCode="&quot;+&quot;\ #,##0.00\ ;[Red]\ \-\ #,##0.00\ "/>
    <numFmt numFmtId="171" formatCode="&quot;+&quot;\ 00\ %"/>
    <numFmt numFmtId="172" formatCode="&quot;-&quot;\ 00\ %"/>
    <numFmt numFmtId="173" formatCode="\+\ #,##0.00\ ;\ \-\ #,##0.00\ "/>
    <numFmt numFmtId="174" formatCode="&quot;+&quot;\ #,##0.00\ ;\ \-\ #,##0.00\ "/>
    <numFmt numFmtId="175" formatCode="\ #,##0\ ;[Red]\ \-\ #,##0\ "/>
    <numFmt numFmtId="176" formatCode="\ 0.00\ &quot;%&quot;\ "/>
    <numFmt numFmtId="177" formatCode="0.0000"/>
    <numFmt numFmtId="178" formatCode="\ #,##0.00\ "/>
    <numFmt numFmtId="179" formatCode="#,##0.00;[Red]\-\ #,##0.00"/>
    <numFmt numFmtId="180" formatCode="#,##0.00;\-\ #,##0.00"/>
    <numFmt numFmtId="181" formatCode="\ #,##0.00\ ;[Red]\-#,##0.00\ "/>
    <numFmt numFmtId="182" formatCode="#,##0.00\ ;[Red]\-\ #,##0.00\ "/>
    <numFmt numFmtId="183" formatCode="dd/mm/yy"/>
    <numFmt numFmtId="184" formatCode="dd/mm/yy;@"/>
    <numFmt numFmtId="185" formatCode="&quot; ENTI &quot;00"/>
    <numFmt numFmtId="186" formatCode="\ #,##0.000\ ;[Red]\ \-\ #,##0.000\ "/>
    <numFmt numFmtId="187" formatCode="0.000"/>
    <numFmt numFmtId="188" formatCode="\ #,##0.00\ ;[Red]\-\ #,##0.00\ "/>
    <numFmt numFmtId="189" formatCode="#,##0.000\ ;[Red]\-\ #,##0.000\ "/>
    <numFmt numFmtId="190" formatCode="\ #,##0.000\ "/>
    <numFmt numFmtId="191" formatCode="\+\ #,##0.000\ ;\ \-\ #,##0.000\ "/>
    <numFmt numFmtId="192" formatCode="&quot;+&quot;\ #,##0.000\ ;[Red]\ \-\ #,##0.000\ "/>
    <numFmt numFmtId="193" formatCode="&quot;+&quot;\ #,##0\ ;[Red]\ \-\ #,##0\ "/>
    <numFmt numFmtId="194" formatCode="#,##0.00_ ;[Red]\-#,##0.00\ "/>
  </numFmts>
  <fonts count="151">
    <font>
      <sz val="10"/>
      <name val="Tahoma"/>
    </font>
    <font>
      <sz val="10"/>
      <name val="Tahoma"/>
      <family val="2"/>
    </font>
    <font>
      <sz val="8"/>
      <color indexed="23"/>
      <name val="Tahoma"/>
      <family val="2"/>
    </font>
    <font>
      <sz val="10"/>
      <color indexed="23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i/>
      <sz val="8"/>
      <color indexed="23"/>
      <name val="Arial"/>
      <family val="2"/>
    </font>
    <font>
      <b/>
      <sz val="10"/>
      <color indexed="23"/>
      <name val="Tahoma"/>
      <family val="2"/>
    </font>
    <font>
      <sz val="8"/>
      <color indexed="23"/>
      <name val="Tahoma"/>
      <family val="2"/>
    </font>
    <font>
      <sz val="10"/>
      <color indexed="23"/>
      <name val="Tahoma"/>
      <family val="2"/>
    </font>
    <font>
      <b/>
      <sz val="10"/>
      <color indexed="63"/>
      <name val="Tahoma"/>
      <family val="2"/>
    </font>
    <font>
      <b/>
      <sz val="10"/>
      <color indexed="10"/>
      <name val="Tahoma"/>
      <family val="2"/>
    </font>
    <font>
      <sz val="10"/>
      <color indexed="63"/>
      <name val="Tahoma"/>
      <family val="2"/>
    </font>
    <font>
      <b/>
      <sz val="10"/>
      <color indexed="63"/>
      <name val="Arial"/>
      <family val="2"/>
    </font>
    <font>
      <sz val="8"/>
      <color indexed="63"/>
      <name val="Tahoma"/>
      <family val="2"/>
    </font>
    <font>
      <sz val="8"/>
      <color indexed="63"/>
      <name val="Tahom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63"/>
      <name val="Tahoma"/>
      <family val="2"/>
    </font>
    <font>
      <b/>
      <i/>
      <sz val="8"/>
      <color indexed="17"/>
      <name val="Arial"/>
      <family val="2"/>
    </font>
    <font>
      <sz val="8"/>
      <color indexed="23"/>
      <name val="Arial"/>
      <family val="2"/>
    </font>
    <font>
      <b/>
      <sz val="8"/>
      <color indexed="23"/>
      <name val="Tahoma"/>
      <family val="2"/>
    </font>
    <font>
      <b/>
      <i/>
      <sz val="8"/>
      <color indexed="63"/>
      <name val="Arial"/>
      <family val="2"/>
    </font>
    <font>
      <b/>
      <sz val="8"/>
      <color indexed="63"/>
      <name val="Tahoma"/>
      <family val="2"/>
    </font>
    <font>
      <sz val="9"/>
      <color indexed="23"/>
      <name val="Tahoma"/>
      <family val="2"/>
    </font>
    <font>
      <b/>
      <sz val="11"/>
      <color indexed="23"/>
      <name val="Tahoma"/>
      <family val="2"/>
    </font>
    <font>
      <b/>
      <sz val="9"/>
      <color indexed="63"/>
      <name val="Arial"/>
      <family val="2"/>
    </font>
    <font>
      <b/>
      <sz val="10"/>
      <color indexed="10"/>
      <name val="Arial"/>
      <family val="2"/>
    </font>
    <font>
      <sz val="8"/>
      <color indexed="10"/>
      <name val="Tahoma"/>
      <family val="2"/>
    </font>
    <font>
      <sz val="10"/>
      <color indexed="10"/>
      <name val="Tahoma"/>
      <family val="2"/>
    </font>
    <font>
      <b/>
      <sz val="8"/>
      <name val="Tahoma"/>
      <family val="2"/>
    </font>
    <font>
      <sz val="8"/>
      <color indexed="10"/>
      <name val="Tahoma"/>
      <family val="2"/>
    </font>
    <font>
      <sz val="10"/>
      <color indexed="10"/>
      <name val="Tahoma"/>
      <family val="2"/>
    </font>
    <font>
      <sz val="8"/>
      <color indexed="17"/>
      <name val="Tahoma"/>
      <family val="2"/>
    </font>
    <font>
      <sz val="8"/>
      <name val="Tahoma"/>
      <family val="2"/>
    </font>
    <font>
      <sz val="8"/>
      <color indexed="18"/>
      <name val="Tahoma"/>
      <family val="2"/>
    </font>
    <font>
      <u/>
      <sz val="10"/>
      <color indexed="8"/>
      <name val="Tahoma"/>
      <family val="2"/>
    </font>
    <font>
      <sz val="8"/>
      <color indexed="18"/>
      <name val="Tahoma"/>
      <family val="2"/>
    </font>
    <font>
      <b/>
      <i/>
      <sz val="8"/>
      <color indexed="18"/>
      <name val="Arial"/>
      <family val="2"/>
    </font>
    <font>
      <sz val="8"/>
      <color indexed="8"/>
      <name val="Tahoma"/>
      <family val="2"/>
    </font>
    <font>
      <sz val="8"/>
      <color indexed="17"/>
      <name val="Tahoma"/>
      <family val="2"/>
    </font>
    <font>
      <sz val="10"/>
      <color indexed="8"/>
      <name val="Tahoma"/>
      <family val="2"/>
    </font>
    <font>
      <u/>
      <sz val="8"/>
      <color indexed="23"/>
      <name val="Tahoma"/>
      <family val="2"/>
    </font>
    <font>
      <sz val="8"/>
      <color indexed="8"/>
      <name val="Tahoma"/>
      <family val="2"/>
    </font>
    <font>
      <sz val="8"/>
      <color indexed="16"/>
      <name val="Tahoma"/>
      <family val="2"/>
    </font>
    <font>
      <sz val="10"/>
      <color indexed="23"/>
      <name val="Arial"/>
      <family val="2"/>
    </font>
    <font>
      <sz val="8"/>
      <color indexed="16"/>
      <name val="Tahoma"/>
      <family val="2"/>
    </font>
    <font>
      <sz val="8"/>
      <color indexed="8"/>
      <name val="Arial"/>
      <family val="2"/>
    </font>
    <font>
      <b/>
      <i/>
      <sz val="8"/>
      <name val="Arial"/>
      <family val="2"/>
    </font>
    <font>
      <b/>
      <i/>
      <sz val="8"/>
      <color indexed="16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sz val="10"/>
      <color indexed="17"/>
      <name val="Tahoma"/>
      <family val="2"/>
    </font>
    <font>
      <i/>
      <u/>
      <sz val="9"/>
      <color indexed="23"/>
      <name val="Verdana"/>
      <family val="2"/>
    </font>
    <font>
      <sz val="10"/>
      <color indexed="18"/>
      <name val="Tahoma"/>
      <family val="2"/>
    </font>
    <font>
      <sz val="10"/>
      <color indexed="10"/>
      <name val="Arial"/>
      <family val="2"/>
    </font>
    <font>
      <b/>
      <i/>
      <sz val="11"/>
      <name val="Arial"/>
      <family val="2"/>
    </font>
    <font>
      <b/>
      <i/>
      <sz val="8"/>
      <color indexed="8"/>
      <name val="Arial"/>
      <family val="2"/>
    </font>
    <font>
      <sz val="10"/>
      <color indexed="16"/>
      <name val="Tahoma"/>
      <family val="2"/>
    </font>
    <font>
      <b/>
      <i/>
      <sz val="8"/>
      <color indexed="9"/>
      <name val="Arial"/>
      <family val="2"/>
    </font>
    <font>
      <sz val="10"/>
      <color indexed="18"/>
      <name val="Tahoma"/>
      <family val="2"/>
    </font>
    <font>
      <b/>
      <sz val="11"/>
      <color indexed="10"/>
      <name val="Tahoma"/>
      <family val="2"/>
    </font>
    <font>
      <sz val="8"/>
      <color indexed="9"/>
      <name val="Tahoma"/>
      <family val="2"/>
    </font>
    <font>
      <sz val="10"/>
      <color indexed="16"/>
      <name val="Tahoma"/>
      <family val="2"/>
    </font>
    <font>
      <sz val="11"/>
      <name val="Tahoma"/>
      <family val="2"/>
    </font>
    <font>
      <sz val="10"/>
      <name val="Tahoma"/>
      <family val="2"/>
    </font>
    <font>
      <b/>
      <u/>
      <sz val="11"/>
      <color indexed="23"/>
      <name val="Tahoma"/>
      <family val="2"/>
    </font>
    <font>
      <u/>
      <sz val="8"/>
      <color indexed="18"/>
      <name val="Tahoma"/>
      <family val="2"/>
    </font>
    <font>
      <b/>
      <sz val="11"/>
      <color indexed="8"/>
      <name val="Tahoma"/>
      <family val="2"/>
    </font>
    <font>
      <sz val="8"/>
      <color indexed="9"/>
      <name val="Tahoma"/>
      <family val="2"/>
    </font>
    <font>
      <sz val="11"/>
      <color indexed="18"/>
      <name val="Tahoma"/>
      <family val="2"/>
    </font>
    <font>
      <sz val="11"/>
      <color indexed="16"/>
      <name val="Tahoma"/>
      <family val="2"/>
    </font>
    <font>
      <sz val="11"/>
      <color indexed="8"/>
      <name val="Tahoma"/>
      <family val="2"/>
    </font>
    <font>
      <sz val="11"/>
      <color indexed="17"/>
      <name val="Tahoma"/>
      <family val="2"/>
    </font>
    <font>
      <i/>
      <sz val="10"/>
      <color indexed="23"/>
      <name val="Corbel"/>
      <family val="2"/>
    </font>
    <font>
      <sz val="11"/>
      <color indexed="63"/>
      <name val="Tahoma"/>
      <family val="2"/>
    </font>
    <font>
      <sz val="11"/>
      <color indexed="10"/>
      <name val="Tahoma"/>
      <family val="2"/>
    </font>
    <font>
      <sz val="11"/>
      <color indexed="16"/>
      <name val="Tahoma"/>
      <family val="2"/>
    </font>
    <font>
      <i/>
      <u/>
      <sz val="11"/>
      <name val="Corbel"/>
      <family val="2"/>
    </font>
    <font>
      <sz val="11"/>
      <name val="Tahoma"/>
      <family val="2"/>
    </font>
    <font>
      <b/>
      <sz val="10"/>
      <color indexed="9"/>
      <name val="Tahoma"/>
      <family val="2"/>
    </font>
    <font>
      <i/>
      <u/>
      <sz val="10"/>
      <color indexed="23"/>
      <name val="Corbel"/>
      <family val="2"/>
    </font>
    <font>
      <sz val="11"/>
      <color indexed="23"/>
      <name val="Tahoma"/>
      <family val="2"/>
    </font>
    <font>
      <sz val="10"/>
      <color indexed="9"/>
      <name val="Tahoma"/>
      <family val="2"/>
    </font>
    <font>
      <u/>
      <sz val="10"/>
      <color indexed="23"/>
      <name val="Tahoma"/>
      <family val="2"/>
    </font>
    <font>
      <i/>
      <sz val="11"/>
      <color indexed="23"/>
      <name val="Corbel"/>
      <family val="2"/>
    </font>
    <font>
      <sz val="9"/>
      <color indexed="63"/>
      <name val="Tahoma"/>
      <family val="2"/>
    </font>
    <font>
      <sz val="12"/>
      <color indexed="10"/>
      <name val="Tahoma"/>
      <family val="2"/>
    </font>
    <font>
      <u/>
      <sz val="9"/>
      <color indexed="10"/>
      <name val="Tahoma"/>
      <family val="2"/>
    </font>
    <font>
      <i/>
      <u/>
      <sz val="11"/>
      <color indexed="63"/>
      <name val="Corbel"/>
      <family val="2"/>
    </font>
    <font>
      <i/>
      <sz val="11"/>
      <color indexed="9"/>
      <name val="Corbel"/>
      <family val="2"/>
    </font>
    <font>
      <u/>
      <sz val="11"/>
      <color indexed="63"/>
      <name val="Tahoma"/>
      <family val="2"/>
    </font>
    <font>
      <i/>
      <sz val="11"/>
      <color indexed="63"/>
      <name val="Corbel"/>
      <family val="2"/>
    </font>
    <font>
      <sz val="11"/>
      <color indexed="23"/>
      <name val="Tahoma"/>
      <family val="2"/>
    </font>
    <font>
      <sz val="11"/>
      <color indexed="10"/>
      <name val="Tahoma"/>
      <family val="2"/>
    </font>
    <font>
      <sz val="11"/>
      <color indexed="63"/>
      <name val="Tahoma"/>
      <family val="2"/>
    </font>
    <font>
      <i/>
      <u/>
      <sz val="10"/>
      <color indexed="63"/>
      <name val="Corbel"/>
      <family val="2"/>
    </font>
    <font>
      <sz val="11"/>
      <color indexed="18"/>
      <name val="Tahoma"/>
      <family val="2"/>
    </font>
    <font>
      <i/>
      <sz val="11"/>
      <name val="Corbel"/>
      <family val="2"/>
    </font>
    <font>
      <i/>
      <sz val="10"/>
      <color indexed="63"/>
      <name val="Corbel"/>
      <family val="2"/>
    </font>
    <font>
      <u/>
      <sz val="10"/>
      <color indexed="63"/>
      <name val="Tahoma"/>
      <family val="2"/>
    </font>
    <font>
      <i/>
      <sz val="10"/>
      <color indexed="9"/>
      <name val="Corbel"/>
      <family val="2"/>
    </font>
    <font>
      <i/>
      <sz val="10"/>
      <color indexed="10"/>
      <name val="Corbel"/>
      <family val="2"/>
    </font>
    <font>
      <sz val="11"/>
      <color indexed="9"/>
      <name val="Tahoma"/>
      <family val="2"/>
    </font>
    <font>
      <sz val="11"/>
      <color indexed="9"/>
      <name val="Tahoma"/>
      <family val="2"/>
    </font>
    <font>
      <i/>
      <u/>
      <sz val="11"/>
      <color indexed="23"/>
      <name val="Corbel"/>
      <family val="2"/>
    </font>
    <font>
      <i/>
      <sz val="12"/>
      <color indexed="23"/>
      <name val="Corbel"/>
      <family val="2"/>
    </font>
    <font>
      <sz val="10"/>
      <color indexed="9"/>
      <name val="Tahoma"/>
      <family val="2"/>
    </font>
    <font>
      <sz val="10"/>
      <color indexed="17"/>
      <name val="Tahoma"/>
      <family val="2"/>
    </font>
    <font>
      <sz val="10"/>
      <color indexed="52"/>
      <name val="Tahoma"/>
      <family val="2"/>
    </font>
    <font>
      <i/>
      <sz val="11"/>
      <color indexed="18"/>
      <name val="Corbel"/>
      <family val="2"/>
    </font>
    <font>
      <u/>
      <sz val="8"/>
      <color indexed="23"/>
      <name val="Tahoma"/>
      <family val="2"/>
    </font>
    <font>
      <i/>
      <u/>
      <sz val="10"/>
      <color indexed="12"/>
      <name val="Corbel"/>
      <family val="2"/>
    </font>
    <font>
      <i/>
      <sz val="10"/>
      <color indexed="8"/>
      <name val="Corbel"/>
      <family val="2"/>
    </font>
    <font>
      <sz val="10"/>
      <color indexed="9"/>
      <name val="Arial"/>
      <family val="2"/>
    </font>
    <font>
      <i/>
      <sz val="11"/>
      <color indexed="16"/>
      <name val="Corbel"/>
      <family val="2"/>
    </font>
    <font>
      <u/>
      <sz val="10"/>
      <color indexed="18"/>
      <name val="Tahoma"/>
      <family val="2"/>
    </font>
    <font>
      <sz val="10"/>
      <color indexed="63"/>
      <name val="Arial"/>
      <family val="2"/>
    </font>
    <font>
      <sz val="9"/>
      <color indexed="23"/>
      <name val="Corbel"/>
      <family val="2"/>
    </font>
    <font>
      <u/>
      <sz val="11"/>
      <color indexed="10"/>
      <name val="Tahoma"/>
      <family val="2"/>
    </font>
    <font>
      <u/>
      <sz val="10"/>
      <color indexed="10"/>
      <name val="Tahoma"/>
      <family val="2"/>
    </font>
    <font>
      <sz val="8"/>
      <color indexed="13"/>
      <name val="Tahoma"/>
      <family val="2"/>
    </font>
    <font>
      <i/>
      <u/>
      <sz val="10"/>
      <color indexed="18"/>
      <name val="Corbel"/>
      <family val="2"/>
    </font>
    <font>
      <sz val="8"/>
      <color indexed="55"/>
      <name val="Wingdings"/>
      <charset val="2"/>
    </font>
    <font>
      <i/>
      <u/>
      <sz val="11"/>
      <color indexed="18"/>
      <name val="Corbel"/>
      <family val="2"/>
    </font>
    <font>
      <sz val="10"/>
      <color theme="0"/>
      <name val="Tahoma"/>
      <family val="2"/>
    </font>
    <font>
      <sz val="8"/>
      <color theme="0" tint="-0.499984740745262"/>
      <name val="Tahoma"/>
      <family val="2"/>
    </font>
    <font>
      <sz val="8"/>
      <color theme="0"/>
      <name val="Tahoma"/>
      <family val="2"/>
    </font>
    <font>
      <sz val="10"/>
      <color theme="0" tint="-0.499984740745262"/>
      <name val="Arial"/>
      <family val="2"/>
    </font>
    <font>
      <sz val="10"/>
      <color rgb="FFFF0000"/>
      <name val="Tahoma"/>
      <family val="2"/>
    </font>
    <font>
      <sz val="10"/>
      <color theme="0" tint="-0.499984740745262"/>
      <name val="Tahoma"/>
      <family val="2"/>
    </font>
    <font>
      <sz val="8"/>
      <color rgb="FFFF0000"/>
      <name val="Tahoma"/>
      <family val="2"/>
    </font>
    <font>
      <sz val="10"/>
      <color rgb="FF008000"/>
      <name val="Tahoma"/>
      <family val="2"/>
    </font>
    <font>
      <sz val="8"/>
      <color theme="1" tint="0.249977111117893"/>
      <name val="Tahoma"/>
      <family val="2"/>
    </font>
    <font>
      <sz val="11"/>
      <color theme="8" tint="-0.499984740745262"/>
      <name val="Tahoma"/>
      <family val="2"/>
    </font>
    <font>
      <sz val="8"/>
      <color rgb="FF008000"/>
      <name val="Tahoma"/>
      <family val="2"/>
    </font>
    <font>
      <sz val="10"/>
      <color theme="1" tint="0.249977111117893"/>
      <name val="Tahoma"/>
      <family val="2"/>
    </font>
    <font>
      <sz val="8"/>
      <color rgb="FF000080"/>
      <name val="Tahoma"/>
      <family val="2"/>
    </font>
    <font>
      <sz val="8"/>
      <color theme="1" tint="0.14999847407452621"/>
      <name val="Tahoma"/>
      <family val="2"/>
    </font>
    <font>
      <u/>
      <sz val="8"/>
      <color rgb="FFFF0000"/>
      <name val="Tahoma"/>
      <family val="2"/>
    </font>
    <font>
      <u/>
      <sz val="8"/>
      <color theme="0" tint="-0.499984740745262"/>
      <name val="Tahoma"/>
      <family val="2"/>
    </font>
    <font>
      <sz val="10"/>
      <color theme="1" tint="0.14999847407452621"/>
      <name val="Tahoma"/>
      <family val="2"/>
    </font>
    <font>
      <sz val="11"/>
      <color rgb="FFFF0000"/>
      <name val="Tahoma"/>
      <family val="2"/>
    </font>
    <font>
      <i/>
      <sz val="12"/>
      <color theme="1" tint="0.499984740745262"/>
      <name val="Corbel"/>
      <family val="2"/>
    </font>
    <font>
      <i/>
      <sz val="12"/>
      <color theme="1" tint="0.14999847407452621"/>
      <name val="Corbel"/>
      <family val="2"/>
    </font>
    <font>
      <sz val="10"/>
      <color theme="1" tint="0.14996795556505021"/>
      <name val="Tahoma"/>
      <family val="2"/>
    </font>
    <font>
      <i/>
      <sz val="10"/>
      <color indexed="23"/>
      <name val="Tahoma"/>
      <family val="2"/>
    </font>
    <font>
      <u/>
      <sz val="10"/>
      <color theme="0" tint="-0.499984740745262"/>
      <name val="Tahoma"/>
      <family val="2"/>
    </font>
    <font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indexed="6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41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149">
    <border>
      <left/>
      <right/>
      <top/>
      <bottom/>
      <diagonal/>
    </border>
    <border>
      <left style="thin">
        <color indexed="23"/>
      </left>
      <right style="hair">
        <color indexed="23"/>
      </right>
      <top style="thin">
        <color indexed="23"/>
      </top>
      <bottom/>
      <diagonal/>
    </border>
    <border>
      <left style="hair">
        <color indexed="23"/>
      </left>
      <right/>
      <top style="thin">
        <color indexed="23"/>
      </top>
      <bottom/>
      <diagonal/>
    </border>
    <border>
      <left style="hair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hair">
        <color indexed="23"/>
      </right>
      <top/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thin">
        <color indexed="23"/>
      </bottom>
      <diagonal/>
    </border>
    <border>
      <left/>
      <right/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 style="hair">
        <color indexed="23"/>
      </top>
      <bottom style="thin">
        <color indexed="23"/>
      </bottom>
      <diagonal/>
    </border>
    <border>
      <left style="thin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hair">
        <color indexed="23"/>
      </right>
      <top/>
      <bottom/>
      <diagonal/>
    </border>
    <border>
      <left style="hair">
        <color indexed="23"/>
      </left>
      <right/>
      <top/>
      <bottom/>
      <diagonal/>
    </border>
    <border>
      <left style="hair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/>
      <diagonal/>
    </border>
    <border>
      <left style="hair">
        <color indexed="23"/>
      </left>
      <right style="hair">
        <color indexed="23"/>
      </right>
      <top/>
      <bottom/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/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double">
        <color indexed="23"/>
      </bottom>
      <diagonal/>
    </border>
    <border>
      <left style="hair">
        <color indexed="23"/>
      </left>
      <right style="hair">
        <color indexed="23"/>
      </right>
      <top style="double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hair">
        <color indexed="23"/>
      </top>
      <bottom/>
      <diagonal/>
    </border>
    <border>
      <left style="hair">
        <color indexed="23"/>
      </left>
      <right/>
      <top style="thin">
        <color indexed="23"/>
      </top>
      <bottom style="thin">
        <color indexed="23"/>
      </bottom>
      <diagonal/>
    </border>
    <border>
      <left style="hair">
        <color indexed="23"/>
      </left>
      <right style="thin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23"/>
      </top>
      <bottom/>
      <diagonal/>
    </border>
    <border>
      <left style="hair">
        <color indexed="23"/>
      </left>
      <right style="hair">
        <color indexed="23"/>
      </right>
      <top/>
      <bottom style="thin">
        <color indexed="23"/>
      </bottom>
      <diagonal/>
    </border>
    <border>
      <left style="hair">
        <color indexed="23"/>
      </left>
      <right/>
      <top style="hair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 style="thin">
        <color indexed="23"/>
      </top>
      <bottom style="hair">
        <color indexed="23"/>
      </bottom>
      <diagonal/>
    </border>
    <border>
      <left style="thin">
        <color indexed="18"/>
      </left>
      <right/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hair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 style="hair">
        <color indexed="2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23"/>
      </right>
      <top style="thin">
        <color indexed="23"/>
      </top>
      <bottom style="hair">
        <color indexed="23"/>
      </bottom>
      <diagonal/>
    </border>
    <border>
      <left/>
      <right style="thin">
        <color indexed="23"/>
      </right>
      <top style="hair">
        <color indexed="23"/>
      </top>
      <bottom style="hair">
        <color indexed="23"/>
      </bottom>
      <diagonal/>
    </border>
    <border>
      <left/>
      <right style="thin">
        <color indexed="23"/>
      </right>
      <top style="hair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18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hair">
        <color indexed="23"/>
      </right>
      <top/>
      <bottom style="thin">
        <color indexed="23"/>
      </bottom>
      <diagonal/>
    </border>
    <border>
      <left style="hair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hair">
        <color indexed="23"/>
      </bottom>
      <diagonal/>
    </border>
    <border>
      <left style="hair">
        <color indexed="23"/>
      </left>
      <right/>
      <top/>
      <bottom style="hair">
        <color indexed="23"/>
      </bottom>
      <diagonal/>
    </border>
    <border>
      <left style="hair">
        <color indexed="23"/>
      </left>
      <right style="thin">
        <color indexed="23"/>
      </right>
      <top style="hair">
        <color indexed="23"/>
      </top>
      <bottom/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23"/>
      </left>
      <right/>
      <top/>
      <bottom style="hair">
        <color indexed="23"/>
      </bottom>
      <diagonal/>
    </border>
    <border>
      <left/>
      <right style="thin">
        <color indexed="23"/>
      </right>
      <top/>
      <bottom style="hair">
        <color indexed="23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23"/>
      </left>
      <right style="double">
        <color indexed="23"/>
      </right>
      <top style="thin">
        <color indexed="23"/>
      </top>
      <bottom style="hair">
        <color indexed="23"/>
      </bottom>
      <diagonal/>
    </border>
    <border>
      <left style="hair">
        <color indexed="23"/>
      </left>
      <right style="double">
        <color indexed="23"/>
      </right>
      <top/>
      <bottom style="hair">
        <color indexed="23"/>
      </bottom>
      <diagonal/>
    </border>
    <border>
      <left style="hair">
        <color indexed="23"/>
      </left>
      <right style="double">
        <color indexed="23"/>
      </right>
      <top/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hair">
        <color indexed="23"/>
      </bottom>
      <diagonal/>
    </border>
    <border>
      <left style="thin">
        <color indexed="18"/>
      </left>
      <right style="thin">
        <color indexed="18"/>
      </right>
      <top style="hair">
        <color indexed="23"/>
      </top>
      <bottom style="hair">
        <color indexed="23"/>
      </bottom>
      <diagonal/>
    </border>
    <border>
      <left style="thin">
        <color indexed="18"/>
      </left>
      <right style="thin">
        <color indexed="18"/>
      </right>
      <top style="hair">
        <color indexed="23"/>
      </top>
      <bottom style="thin">
        <color indexed="18"/>
      </bottom>
      <diagonal/>
    </border>
    <border>
      <left/>
      <right style="hair">
        <color indexed="23"/>
      </right>
      <top/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 style="thin">
        <color indexed="23"/>
      </left>
      <right/>
      <top style="hair">
        <color indexed="23"/>
      </top>
      <bottom style="hair">
        <color indexed="23"/>
      </bottom>
      <diagonal/>
    </border>
    <border>
      <left style="thin">
        <color indexed="23"/>
      </left>
      <right/>
      <top style="hair">
        <color indexed="23"/>
      </top>
      <bottom style="thin">
        <color indexed="23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/>
      <top style="hair">
        <color indexed="23"/>
      </top>
      <bottom/>
      <diagonal/>
    </border>
    <border>
      <left/>
      <right style="hair">
        <color indexed="23"/>
      </right>
      <top style="hair">
        <color indexed="23"/>
      </top>
      <bottom/>
      <diagonal/>
    </border>
    <border>
      <left/>
      <right style="thin">
        <color indexed="18"/>
      </right>
      <top/>
      <bottom/>
      <diagonal/>
    </border>
    <border>
      <left/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thin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 style="hair">
        <color indexed="23"/>
      </bottom>
      <diagonal/>
    </border>
    <border>
      <left style="thin">
        <color indexed="23"/>
      </left>
      <right/>
      <top style="hair">
        <color indexed="23"/>
      </top>
      <bottom/>
      <diagonal/>
    </border>
    <border>
      <left/>
      <right style="thin">
        <color indexed="23"/>
      </right>
      <top style="hair">
        <color indexed="23"/>
      </top>
      <bottom/>
      <diagonal/>
    </border>
    <border>
      <left/>
      <right/>
      <top style="double">
        <color indexed="23"/>
      </top>
      <bottom/>
      <diagonal/>
    </border>
    <border>
      <left/>
      <right/>
      <top/>
      <bottom style="double">
        <color indexed="23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hair">
        <color theme="0" tint="-0.499984740745262"/>
      </left>
      <right style="thin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hair">
        <color indexed="23"/>
      </bottom>
      <diagonal/>
    </border>
    <border>
      <left style="thin">
        <color rgb="FFFF0000"/>
      </left>
      <right style="thin">
        <color rgb="FFFF0000"/>
      </right>
      <top style="hair">
        <color indexed="23"/>
      </top>
      <bottom style="thin">
        <color rgb="FFFF00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indexed="23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double">
        <color indexed="23"/>
      </left>
      <right style="double">
        <color indexed="23"/>
      </right>
      <top style="thin">
        <color indexed="23"/>
      </top>
      <bottom style="hair">
        <color indexed="23"/>
      </bottom>
      <diagonal/>
    </border>
    <border>
      <left style="double">
        <color indexed="23"/>
      </left>
      <right style="double">
        <color indexed="23"/>
      </right>
      <top/>
      <bottom style="hair">
        <color indexed="23"/>
      </bottom>
      <diagonal/>
    </border>
    <border>
      <left style="double">
        <color indexed="23"/>
      </left>
      <right style="double">
        <color indexed="23"/>
      </right>
      <top/>
      <bottom style="thin">
        <color indexed="23"/>
      </bottom>
      <diagonal/>
    </border>
  </borders>
  <cellStyleXfs count="7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</cellStyleXfs>
  <cellXfs count="1738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Alignment="1" applyProtection="1">
      <alignment vertical="center"/>
      <protection hidden="1"/>
    </xf>
    <xf numFmtId="0" fontId="17" fillId="0" borderId="0" xfId="4" applyProtection="1">
      <protection hidden="1"/>
    </xf>
    <xf numFmtId="0" fontId="3" fillId="2" borderId="0" xfId="0" applyFont="1" applyFill="1" applyBorder="1" applyAlignment="1" applyProtection="1">
      <alignment horizontal="right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left" vertical="center"/>
      <protection hidden="1"/>
    </xf>
    <xf numFmtId="0" fontId="12" fillId="2" borderId="0" xfId="5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1" fillId="2" borderId="0" xfId="2" applyFill="1" applyProtection="1">
      <protection hidden="1"/>
    </xf>
    <xf numFmtId="0" fontId="1" fillId="0" borderId="0" xfId="2" applyProtection="1">
      <protection hidden="1"/>
    </xf>
    <xf numFmtId="0" fontId="9" fillId="2" borderId="0" xfId="2" applyFont="1" applyFill="1" applyAlignment="1" applyProtection="1">
      <alignment horizontal="distributed"/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27" fillId="2" borderId="0" xfId="5" applyFont="1" applyFill="1" applyAlignment="1" applyProtection="1">
      <alignment vertical="center"/>
      <protection hidden="1"/>
    </xf>
    <xf numFmtId="0" fontId="12" fillId="2" borderId="0" xfId="5" applyFont="1" applyFill="1" applyAlignment="1" applyProtection="1">
      <protection hidden="1"/>
    </xf>
    <xf numFmtId="0" fontId="10" fillId="2" borderId="0" xfId="2" applyFont="1" applyFill="1" applyAlignment="1" applyProtection="1">
      <alignment vertical="center"/>
      <protection hidden="1"/>
    </xf>
    <xf numFmtId="0" fontId="7" fillId="2" borderId="0" xfId="2" applyFon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horizontal="left"/>
      <protection hidden="1"/>
    </xf>
    <xf numFmtId="164" fontId="10" fillId="2" borderId="1" xfId="0" applyNumberFormat="1" applyFont="1" applyFill="1" applyBorder="1" applyAlignment="1" applyProtection="1">
      <alignment horizontal="center" vertical="center"/>
      <protection hidden="1"/>
    </xf>
    <xf numFmtId="164" fontId="10" fillId="2" borderId="2" xfId="0" applyNumberFormat="1" applyFont="1" applyFill="1" applyBorder="1" applyAlignment="1" applyProtection="1">
      <alignment horizontal="left" vertical="center"/>
      <protection hidden="1"/>
    </xf>
    <xf numFmtId="164" fontId="12" fillId="3" borderId="3" xfId="0" applyNumberFormat="1" applyFont="1" applyFill="1" applyBorder="1" applyAlignment="1" applyProtection="1">
      <alignment horizontal="center" vertical="center"/>
      <protection hidden="1"/>
    </xf>
    <xf numFmtId="14" fontId="20" fillId="2" borderId="4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65" fontId="6" fillId="2" borderId="0" xfId="0" applyNumberFormat="1" applyFont="1" applyFill="1" applyAlignment="1" applyProtection="1">
      <alignment vertical="center"/>
      <protection hidden="1"/>
    </xf>
    <xf numFmtId="165" fontId="19" fillId="2" borderId="0" xfId="0" applyNumberFormat="1" applyFont="1" applyFill="1" applyAlignment="1" applyProtection="1">
      <alignment vertical="center"/>
      <protection hidden="1"/>
    </xf>
    <xf numFmtId="14" fontId="15" fillId="2" borderId="5" xfId="0" applyNumberFormat="1" applyFont="1" applyFill="1" applyBorder="1" applyAlignment="1" applyProtection="1">
      <alignment horizontal="center" vertical="center"/>
      <protection hidden="1"/>
    </xf>
    <xf numFmtId="164" fontId="20" fillId="2" borderId="6" xfId="0" applyNumberFormat="1" applyFont="1" applyFill="1" applyBorder="1" applyAlignment="1" applyProtection="1">
      <alignment horizontal="left" vertical="center"/>
      <protection hidden="1"/>
    </xf>
    <xf numFmtId="168" fontId="13" fillId="3" borderId="7" xfId="0" applyNumberFormat="1" applyFont="1" applyFill="1" applyBorder="1" applyAlignment="1" applyProtection="1">
      <alignment vertical="center"/>
      <protection hidden="1"/>
    </xf>
    <xf numFmtId="165" fontId="6" fillId="2" borderId="0" xfId="0" applyNumberFormat="1" applyFont="1" applyFill="1" applyBorder="1" applyAlignment="1" applyProtection="1">
      <alignment vertical="center"/>
      <protection hidden="1"/>
    </xf>
    <xf numFmtId="14" fontId="1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4" fillId="2" borderId="0" xfId="0" applyFont="1" applyFill="1" applyAlignment="1" applyProtection="1">
      <protection hidden="1"/>
    </xf>
    <xf numFmtId="0" fontId="10" fillId="2" borderId="0" xfId="0" applyFont="1" applyFill="1" applyAlignment="1" applyProtection="1">
      <alignment vertical="top"/>
      <protection hidden="1"/>
    </xf>
    <xf numFmtId="0" fontId="15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19" fillId="2" borderId="9" xfId="0" applyNumberFormat="1" applyFont="1" applyFill="1" applyBorder="1" applyAlignment="1" applyProtection="1">
      <alignment vertical="center"/>
      <protection hidden="1"/>
    </xf>
    <xf numFmtId="14" fontId="2" fillId="2" borderId="9" xfId="0" applyNumberFormat="1" applyFont="1" applyFill="1" applyBorder="1" applyAlignment="1" applyProtection="1">
      <alignment horizontal="center" vertical="center"/>
      <protection hidden="1"/>
    </xf>
    <xf numFmtId="168" fontId="8" fillId="2" borderId="9" xfId="0" applyNumberFormat="1" applyFont="1" applyFill="1" applyBorder="1" applyAlignment="1" applyProtection="1">
      <alignment vertical="center"/>
      <protection hidden="1"/>
    </xf>
    <xf numFmtId="0" fontId="8" fillId="2" borderId="9" xfId="0" applyNumberFormat="1" applyFont="1" applyFill="1" applyBorder="1" applyAlignment="1" applyProtection="1">
      <alignment vertical="center"/>
      <protection hidden="1"/>
    </xf>
    <xf numFmtId="0" fontId="2" fillId="2" borderId="9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Border="1" applyProtection="1">
      <protection hidden="1"/>
    </xf>
    <xf numFmtId="0" fontId="33" fillId="2" borderId="0" xfId="0" applyNumberFormat="1" applyFont="1" applyFill="1" applyBorder="1" applyAlignment="1" applyProtection="1">
      <alignment horizontal="right" vertical="top" indent="1"/>
      <protection hidden="1"/>
    </xf>
    <xf numFmtId="0" fontId="33" fillId="2" borderId="0" xfId="0" applyNumberFormat="1" applyFont="1" applyFill="1" applyBorder="1" applyAlignment="1" applyProtection="1">
      <alignment horizontal="left" vertical="top"/>
      <protection hidden="1"/>
    </xf>
    <xf numFmtId="0" fontId="25" fillId="2" borderId="0" xfId="0" applyFont="1" applyFill="1" applyBorder="1" applyAlignment="1" applyProtection="1">
      <alignment horizontal="center" vertical="center"/>
      <protection hidden="1"/>
    </xf>
    <xf numFmtId="168" fontId="13" fillId="2" borderId="11" xfId="0" applyNumberFormat="1" applyFont="1" applyFill="1" applyBorder="1" applyAlignment="1" applyProtection="1">
      <alignment horizontal="center" vertical="center"/>
      <protection hidden="1"/>
    </xf>
    <xf numFmtId="0" fontId="0" fillId="2" borderId="11" xfId="0" applyFill="1" applyBorder="1" applyProtection="1">
      <protection hidden="1"/>
    </xf>
    <xf numFmtId="168" fontId="13" fillId="2" borderId="12" xfId="0" applyNumberFormat="1" applyFont="1" applyFill="1" applyBorder="1" applyAlignment="1" applyProtection="1">
      <alignment horizontal="center" vertical="center"/>
      <protection hidden="1"/>
    </xf>
    <xf numFmtId="0" fontId="0" fillId="2" borderId="12" xfId="0" applyFill="1" applyBorder="1" applyProtection="1">
      <protection hidden="1"/>
    </xf>
    <xf numFmtId="0" fontId="32" fillId="2" borderId="0" xfId="0" applyFont="1" applyFill="1" applyBorder="1" applyAlignment="1" applyProtection="1">
      <alignment vertical="center" textRotation="255"/>
      <protection hidden="1"/>
    </xf>
    <xf numFmtId="0" fontId="14" fillId="2" borderId="0" xfId="0" applyNumberFormat="1" applyFont="1" applyFill="1" applyBorder="1" applyAlignment="1" applyProtection="1">
      <alignment horizontal="right" indent="1"/>
      <protection hidden="1"/>
    </xf>
    <xf numFmtId="0" fontId="14" fillId="2" borderId="0" xfId="0" applyNumberFormat="1" applyFont="1" applyFill="1" applyBorder="1" applyAlignment="1" applyProtection="1">
      <alignment horizontal="left"/>
      <protection hidden="1"/>
    </xf>
    <xf numFmtId="0" fontId="20" fillId="2" borderId="0" xfId="0" applyFont="1" applyFill="1" applyBorder="1" applyProtection="1">
      <protection hidden="1"/>
    </xf>
    <xf numFmtId="0" fontId="14" fillId="2" borderId="0" xfId="0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right" vertical="center"/>
      <protection hidden="1"/>
    </xf>
    <xf numFmtId="168" fontId="15" fillId="2" borderId="13" xfId="0" applyNumberFormat="1" applyFont="1" applyFill="1" applyBorder="1" applyAlignment="1" applyProtection="1">
      <alignment horizontal="right" vertical="center"/>
      <protection hidden="1"/>
    </xf>
    <xf numFmtId="173" fontId="2" fillId="2" borderId="14" xfId="0" applyNumberFormat="1" applyFont="1" applyFill="1" applyBorder="1" applyAlignment="1" applyProtection="1">
      <alignment horizontal="right" vertical="center"/>
      <protection hidden="1"/>
    </xf>
    <xf numFmtId="173" fontId="2" fillId="2" borderId="15" xfId="0" applyNumberFormat="1" applyFont="1" applyFill="1" applyBorder="1" applyAlignment="1" applyProtection="1">
      <alignment horizontal="right" vertical="center"/>
      <protection hidden="1"/>
    </xf>
    <xf numFmtId="173" fontId="2" fillId="2" borderId="16" xfId="0" applyNumberFormat="1" applyFont="1" applyFill="1" applyBorder="1" applyAlignment="1" applyProtection="1">
      <alignment horizontal="right" vertical="center"/>
      <protection hidden="1"/>
    </xf>
    <xf numFmtId="165" fontId="24" fillId="2" borderId="0" xfId="0" applyNumberFormat="1" applyFont="1" applyFill="1" applyAlignment="1" applyProtection="1">
      <alignment horizontal="left" vertical="center"/>
      <protection hidden="1"/>
    </xf>
    <xf numFmtId="168" fontId="15" fillId="2" borderId="17" xfId="0" applyNumberFormat="1" applyFont="1" applyFill="1" applyBorder="1" applyAlignment="1" applyProtection="1">
      <alignment horizontal="right" vertical="center"/>
      <protection hidden="1"/>
    </xf>
    <xf numFmtId="173" fontId="2" fillId="2" borderId="18" xfId="0" applyNumberFormat="1" applyFont="1" applyFill="1" applyBorder="1" applyAlignment="1" applyProtection="1">
      <alignment horizontal="right" vertical="center"/>
      <protection hidden="1"/>
    </xf>
    <xf numFmtId="173" fontId="2" fillId="2" borderId="9" xfId="0" applyNumberFormat="1" applyFont="1" applyFill="1" applyBorder="1" applyAlignment="1" applyProtection="1">
      <alignment horizontal="right" vertical="center"/>
      <protection hidden="1"/>
    </xf>
    <xf numFmtId="173" fontId="2" fillId="2" borderId="19" xfId="0" applyNumberFormat="1" applyFont="1" applyFill="1" applyBorder="1" applyAlignment="1" applyProtection="1">
      <alignment horizontal="right" vertical="center"/>
      <protection hidden="1"/>
    </xf>
    <xf numFmtId="0" fontId="2" fillId="2" borderId="20" xfId="0" applyFont="1" applyFill="1" applyBorder="1" applyAlignment="1" applyProtection="1">
      <protection hidden="1"/>
    </xf>
    <xf numFmtId="0" fontId="31" fillId="2" borderId="0" xfId="0" applyFont="1" applyFill="1" applyProtection="1">
      <protection hidden="1"/>
    </xf>
    <xf numFmtId="0" fontId="2" fillId="2" borderId="0" xfId="0" applyFont="1" applyFill="1" applyAlignment="1" applyProtection="1">
      <protection hidden="1"/>
    </xf>
    <xf numFmtId="168" fontId="15" fillId="2" borderId="21" xfId="0" applyNumberFormat="1" applyFont="1" applyFill="1" applyBorder="1" applyAlignment="1" applyProtection="1">
      <alignment horizontal="right" vertical="center"/>
      <protection hidden="1"/>
    </xf>
    <xf numFmtId="173" fontId="2" fillId="2" borderId="5" xfId="0" applyNumberFormat="1" applyFont="1" applyFill="1" applyBorder="1" applyAlignment="1" applyProtection="1">
      <alignment horizontal="right" vertical="center"/>
      <protection hidden="1"/>
    </xf>
    <xf numFmtId="173" fontId="2" fillId="2" borderId="6" xfId="0" applyNumberFormat="1" applyFont="1" applyFill="1" applyBorder="1" applyAlignment="1" applyProtection="1">
      <alignment horizontal="right" vertical="center"/>
      <protection hidden="1"/>
    </xf>
    <xf numFmtId="173" fontId="2" fillId="2" borderId="7" xfId="0" applyNumberFormat="1" applyFont="1" applyFill="1" applyBorder="1" applyAlignment="1" applyProtection="1">
      <alignment horizontal="right" vertical="center"/>
      <protection hidden="1"/>
    </xf>
    <xf numFmtId="168" fontId="15" fillId="2" borderId="22" xfId="0" applyNumberFormat="1" applyFont="1" applyFill="1" applyBorder="1" applyAlignment="1" applyProtection="1">
      <alignment horizontal="right" vertical="center"/>
      <protection hidden="1"/>
    </xf>
    <xf numFmtId="168" fontId="15" fillId="2" borderId="23" xfId="0" applyNumberFormat="1" applyFont="1" applyFill="1" applyBorder="1" applyAlignment="1" applyProtection="1">
      <alignment horizontal="right" vertical="center"/>
      <protection hidden="1"/>
    </xf>
    <xf numFmtId="168" fontId="15" fillId="2" borderId="24" xfId="0" applyNumberFormat="1" applyFont="1" applyFill="1" applyBorder="1" applyAlignment="1" applyProtection="1">
      <alignment horizontal="right" vertical="center"/>
      <protection hidden="1"/>
    </xf>
    <xf numFmtId="170" fontId="15" fillId="2" borderId="13" xfId="0" applyNumberFormat="1" applyFont="1" applyFill="1" applyBorder="1" applyAlignment="1" applyProtection="1">
      <alignment horizontal="right" vertical="center"/>
      <protection hidden="1"/>
    </xf>
    <xf numFmtId="170" fontId="15" fillId="2" borderId="17" xfId="0" applyNumberFormat="1" applyFont="1" applyFill="1" applyBorder="1" applyAlignment="1" applyProtection="1">
      <alignment horizontal="right" vertical="center"/>
      <protection hidden="1"/>
    </xf>
    <xf numFmtId="170" fontId="15" fillId="2" borderId="21" xfId="0" applyNumberFormat="1" applyFont="1" applyFill="1" applyBorder="1" applyAlignment="1" applyProtection="1">
      <alignment horizontal="right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10" fillId="2" borderId="25" xfId="0" applyNumberFormat="1" applyFont="1" applyFill="1" applyBorder="1" applyAlignment="1" applyProtection="1">
      <alignment horizontal="center" vertical="center"/>
      <protection hidden="1"/>
    </xf>
    <xf numFmtId="164" fontId="10" fillId="2" borderId="26" xfId="0" applyNumberFormat="1" applyFont="1" applyFill="1" applyBorder="1" applyAlignment="1" applyProtection="1">
      <alignment horizontal="center" vertical="center"/>
      <protection hidden="1"/>
    </xf>
    <xf numFmtId="164" fontId="10" fillId="2" borderId="27" xfId="0" applyNumberFormat="1" applyFont="1" applyFill="1" applyBorder="1" applyAlignment="1" applyProtection="1">
      <alignment horizontal="left" vertical="center"/>
      <protection hidden="1"/>
    </xf>
    <xf numFmtId="164" fontId="12" fillId="3" borderId="28" xfId="0" applyNumberFormat="1" applyFont="1" applyFill="1" applyBorder="1" applyAlignment="1" applyProtection="1">
      <alignment horizontal="center" vertical="center"/>
      <protection hidden="1"/>
    </xf>
    <xf numFmtId="14" fontId="2" fillId="2" borderId="29" xfId="0" applyNumberFormat="1" applyFont="1" applyFill="1" applyBorder="1" applyAlignment="1" applyProtection="1">
      <alignment horizontal="center" vertical="center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0" xfId="0" applyFill="1" applyBorder="1" applyAlignment="1" applyProtection="1">
      <alignment vertical="center"/>
      <protection hidden="1"/>
    </xf>
    <xf numFmtId="164" fontId="20" fillId="2" borderId="21" xfId="0" applyNumberFormat="1" applyFont="1" applyFill="1" applyBorder="1" applyAlignment="1" applyProtection="1">
      <alignment horizontal="left" vertical="center"/>
      <protection hidden="1"/>
    </xf>
    <xf numFmtId="164" fontId="20" fillId="2" borderId="0" xfId="0" applyNumberFormat="1" applyFont="1" applyFill="1" applyBorder="1" applyAlignment="1" applyProtection="1">
      <alignment horizontal="left" vertical="center"/>
      <protection hidden="1"/>
    </xf>
    <xf numFmtId="164" fontId="10" fillId="2" borderId="0" xfId="0" applyNumberFormat="1" applyFont="1" applyFill="1" applyBorder="1" applyAlignment="1" applyProtection="1">
      <alignment horizontal="right" vertical="center"/>
      <protection hidden="1"/>
    </xf>
    <xf numFmtId="168" fontId="28" fillId="3" borderId="10" xfId="0" applyNumberFormat="1" applyFont="1" applyFill="1" applyBorder="1" applyAlignment="1" applyProtection="1">
      <alignment vertical="center"/>
      <protection hidden="1"/>
    </xf>
    <xf numFmtId="14" fontId="2" fillId="2" borderId="0" xfId="0" applyNumberFormat="1" applyFont="1" applyFill="1" applyBorder="1" applyAlignment="1" applyProtection="1">
      <alignment horizontal="center" vertical="center"/>
      <protection hidden="1"/>
    </xf>
    <xf numFmtId="14" fontId="2" fillId="2" borderId="30" xfId="0" applyNumberFormat="1" applyFont="1" applyFill="1" applyBorder="1" applyAlignment="1" applyProtection="1">
      <alignment horizontal="center" vertical="center"/>
      <protection hidden="1"/>
    </xf>
    <xf numFmtId="14" fontId="2" fillId="2" borderId="31" xfId="0" applyNumberFormat="1" applyFont="1" applyFill="1" applyBorder="1" applyAlignment="1" applyProtection="1">
      <alignment horizontal="center" vertical="center"/>
      <protection hidden="1"/>
    </xf>
    <xf numFmtId="165" fontId="19" fillId="2" borderId="0" xfId="0" applyNumberFormat="1" applyFont="1" applyFill="1" applyAlignment="1" applyProtection="1">
      <alignment horizontal="center" vertical="center"/>
      <protection hidden="1"/>
    </xf>
    <xf numFmtId="14" fontId="2" fillId="2" borderId="32" xfId="0" applyNumberFormat="1" applyFont="1" applyFill="1" applyBorder="1" applyAlignment="1" applyProtection="1">
      <alignment horizontal="center" vertical="center"/>
      <protection hidden="1"/>
    </xf>
    <xf numFmtId="165" fontId="6" fillId="2" borderId="0" xfId="0" applyNumberFormat="1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vertical="top"/>
      <protection hidden="1"/>
    </xf>
    <xf numFmtId="168" fontId="4" fillId="2" borderId="9" xfId="0" applyNumberFormat="1" applyFont="1" applyFill="1" applyBorder="1" applyAlignment="1" applyProtection="1">
      <alignment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167" fontId="4" fillId="2" borderId="0" xfId="0" applyNumberFormat="1" applyFont="1" applyFill="1" applyProtection="1">
      <protection hidden="1"/>
    </xf>
    <xf numFmtId="2" fontId="14" fillId="2" borderId="0" xfId="0" applyNumberFormat="1" applyFont="1" applyFill="1" applyAlignment="1" applyProtection="1">
      <alignment horizontal="right" indent="1"/>
      <protection hidden="1"/>
    </xf>
    <xf numFmtId="0" fontId="15" fillId="2" borderId="0" xfId="0" applyFont="1" applyFill="1" applyAlignment="1" applyProtection="1">
      <alignment horizontal="right" vertical="center"/>
      <protection hidden="1"/>
    </xf>
    <xf numFmtId="177" fontId="14" fillId="2" borderId="0" xfId="0" applyNumberFormat="1" applyFont="1" applyFill="1" applyAlignment="1" applyProtection="1">
      <alignment horizontal="right" indent="1"/>
      <protection hidden="1"/>
    </xf>
    <xf numFmtId="0" fontId="19" fillId="2" borderId="0" xfId="0" applyFont="1" applyFill="1" applyAlignment="1" applyProtection="1">
      <alignment horizontal="left"/>
      <protection hidden="1"/>
    </xf>
    <xf numFmtId="0" fontId="19" fillId="2" borderId="0" xfId="0" applyFont="1" applyFill="1" applyAlignment="1" applyProtection="1">
      <alignment horizontal="left" vertical="top"/>
      <protection hidden="1"/>
    </xf>
    <xf numFmtId="168" fontId="4" fillId="2" borderId="14" xfId="0" applyNumberFormat="1" applyFont="1" applyFill="1" applyBorder="1" applyAlignment="1" applyProtection="1">
      <alignment vertical="center"/>
      <protection hidden="1"/>
    </xf>
    <xf numFmtId="168" fontId="4" fillId="2" borderId="15" xfId="0" applyNumberFormat="1" applyFont="1" applyFill="1" applyBorder="1" applyAlignment="1" applyProtection="1">
      <alignment vertical="center"/>
      <protection hidden="1"/>
    </xf>
    <xf numFmtId="168" fontId="4" fillId="2" borderId="16" xfId="0" applyNumberFormat="1" applyFont="1" applyFill="1" applyBorder="1" applyAlignment="1" applyProtection="1">
      <alignment vertical="center"/>
      <protection hidden="1"/>
    </xf>
    <xf numFmtId="168" fontId="4" fillId="2" borderId="18" xfId="0" applyNumberFormat="1" applyFont="1" applyFill="1" applyBorder="1" applyAlignment="1" applyProtection="1">
      <alignment vertical="center"/>
      <protection hidden="1"/>
    </xf>
    <xf numFmtId="168" fontId="4" fillId="2" borderId="19" xfId="0" applyNumberFormat="1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8" fillId="2" borderId="0" xfId="0" applyNumberFormat="1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top"/>
      <protection hidden="1"/>
    </xf>
    <xf numFmtId="14" fontId="39" fillId="3" borderId="9" xfId="0" applyNumberFormat="1" applyFont="1" applyFill="1" applyBorder="1" applyAlignment="1" applyProtection="1">
      <alignment horizontal="center" vertical="center"/>
      <protection hidden="1"/>
    </xf>
    <xf numFmtId="0" fontId="39" fillId="3" borderId="9" xfId="0" applyFont="1" applyFill="1" applyBorder="1" applyAlignment="1" applyProtection="1">
      <alignment horizontal="center" vertical="center"/>
      <protection hidden="1"/>
    </xf>
    <xf numFmtId="168" fontId="39" fillId="3" borderId="9" xfId="0" applyNumberFormat="1" applyFont="1" applyFill="1" applyBorder="1" applyAlignment="1" applyProtection="1">
      <alignment vertical="center"/>
      <protection hidden="1"/>
    </xf>
    <xf numFmtId="168" fontId="15" fillId="3" borderId="13" xfId="0" applyNumberFormat="1" applyFont="1" applyFill="1" applyBorder="1" applyAlignment="1" applyProtection="1">
      <alignment horizontal="right" vertical="center"/>
      <protection hidden="1"/>
    </xf>
    <xf numFmtId="168" fontId="15" fillId="3" borderId="17" xfId="0" applyNumberFormat="1" applyFont="1" applyFill="1" applyBorder="1" applyAlignment="1" applyProtection="1">
      <alignment horizontal="right" vertical="center"/>
      <protection hidden="1"/>
    </xf>
    <xf numFmtId="168" fontId="15" fillId="3" borderId="21" xfId="0" applyNumberFormat="1" applyFont="1" applyFill="1" applyBorder="1" applyAlignment="1" applyProtection="1">
      <alignment horizontal="right" vertical="center"/>
      <protection hidden="1"/>
    </xf>
    <xf numFmtId="170" fontId="15" fillId="3" borderId="13" xfId="0" applyNumberFormat="1" applyFont="1" applyFill="1" applyBorder="1" applyAlignment="1" applyProtection="1">
      <alignment horizontal="right" vertical="center"/>
      <protection hidden="1"/>
    </xf>
    <xf numFmtId="170" fontId="15" fillId="3" borderId="17" xfId="0" applyNumberFormat="1" applyFont="1" applyFill="1" applyBorder="1" applyAlignment="1" applyProtection="1">
      <alignment horizontal="right" vertical="center"/>
      <protection hidden="1"/>
    </xf>
    <xf numFmtId="170" fontId="15" fillId="3" borderId="21" xfId="0" applyNumberFormat="1" applyFont="1" applyFill="1" applyBorder="1" applyAlignment="1" applyProtection="1">
      <alignment horizontal="right" vertical="center"/>
      <protection hidden="1"/>
    </xf>
    <xf numFmtId="0" fontId="35" fillId="2" borderId="0" xfId="0" applyNumberFormat="1" applyFont="1" applyFill="1" applyBorder="1" applyAlignment="1" applyProtection="1">
      <alignment horizontal="right" indent="1"/>
      <protection hidden="1"/>
    </xf>
    <xf numFmtId="0" fontId="19" fillId="2" borderId="14" xfId="0" applyNumberFormat="1" applyFont="1" applyFill="1" applyBorder="1" applyAlignment="1" applyProtection="1">
      <alignment vertical="center"/>
      <protection hidden="1"/>
    </xf>
    <xf numFmtId="14" fontId="2" fillId="2" borderId="15" xfId="0" applyNumberFormat="1" applyFont="1" applyFill="1" applyBorder="1" applyAlignment="1" applyProtection="1">
      <alignment horizontal="center" vertical="center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168" fontId="8" fillId="2" borderId="15" xfId="0" applyNumberFormat="1" applyFont="1" applyFill="1" applyBorder="1" applyAlignment="1" applyProtection="1">
      <alignment vertical="center"/>
      <protection hidden="1"/>
    </xf>
    <xf numFmtId="0" fontId="8" fillId="2" borderId="16" xfId="0" applyNumberFormat="1" applyFont="1" applyFill="1" applyBorder="1" applyAlignment="1" applyProtection="1">
      <alignment vertical="center"/>
      <protection hidden="1"/>
    </xf>
    <xf numFmtId="0" fontId="19" fillId="2" borderId="18" xfId="0" applyNumberFormat="1" applyFont="1" applyFill="1" applyBorder="1" applyAlignment="1" applyProtection="1">
      <alignment vertical="center"/>
      <protection hidden="1"/>
    </xf>
    <xf numFmtId="0" fontId="8" fillId="2" borderId="19" xfId="0" applyNumberFormat="1" applyFont="1" applyFill="1" applyBorder="1" applyAlignment="1" applyProtection="1">
      <alignment vertical="center"/>
      <protection hidden="1"/>
    </xf>
    <xf numFmtId="0" fontId="19" fillId="2" borderId="5" xfId="0" applyNumberFormat="1" applyFont="1" applyFill="1" applyBorder="1" applyAlignment="1" applyProtection="1">
      <alignment vertical="center"/>
      <protection hidden="1"/>
    </xf>
    <xf numFmtId="165" fontId="6" fillId="2" borderId="11" xfId="0" applyNumberFormat="1" applyFont="1" applyFill="1" applyBorder="1" applyAlignment="1" applyProtection="1">
      <alignment vertical="center"/>
      <protection hidden="1"/>
    </xf>
    <xf numFmtId="14" fontId="2" fillId="2" borderId="6" xfId="0" applyNumberFormat="1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168" fontId="8" fillId="2" borderId="6" xfId="0" applyNumberFormat="1" applyFont="1" applyFill="1" applyBorder="1" applyAlignment="1" applyProtection="1">
      <alignment vertical="center"/>
      <protection hidden="1"/>
    </xf>
    <xf numFmtId="0" fontId="8" fillId="2" borderId="7" xfId="0" applyNumberFormat="1" applyFont="1" applyFill="1" applyBorder="1" applyAlignment="1" applyProtection="1">
      <alignment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19" fillId="2" borderId="34" xfId="0" applyFont="1" applyFill="1" applyBorder="1" applyAlignment="1" applyProtection="1">
      <alignment horizontal="left" vertical="center"/>
      <protection hidden="1"/>
    </xf>
    <xf numFmtId="0" fontId="0" fillId="2" borderId="35" xfId="0" applyFill="1" applyBorder="1" applyProtection="1">
      <protection hidden="1"/>
    </xf>
    <xf numFmtId="0" fontId="4" fillId="2" borderId="9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178" fontId="22" fillId="2" borderId="9" xfId="0" applyNumberFormat="1" applyFont="1" applyFill="1" applyBorder="1" applyAlignment="1" applyProtection="1">
      <alignment vertical="center"/>
      <protection hidden="1"/>
    </xf>
    <xf numFmtId="165" fontId="6" fillId="2" borderId="9" xfId="0" applyNumberFormat="1" applyFont="1" applyFill="1" applyBorder="1" applyAlignment="1" applyProtection="1">
      <alignment vertical="center"/>
      <protection hidden="1"/>
    </xf>
    <xf numFmtId="173" fontId="2" fillId="2" borderId="36" xfId="0" applyNumberFormat="1" applyFont="1" applyFill="1" applyBorder="1" applyAlignment="1" applyProtection="1">
      <alignment horizontal="right" vertical="center"/>
      <protection hidden="1"/>
    </xf>
    <xf numFmtId="173" fontId="2" fillId="2" borderId="37" xfId="0" applyNumberFormat="1" applyFont="1" applyFill="1" applyBorder="1" applyAlignment="1" applyProtection="1">
      <alignment horizontal="right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Border="1" applyAlignment="1" applyProtection="1">
      <alignment vertical="center"/>
      <protection hidden="1"/>
    </xf>
    <xf numFmtId="0" fontId="50" fillId="2" borderId="0" xfId="0" applyFont="1" applyFill="1" applyAlignment="1" applyProtection="1">
      <alignment horizontal="center" vertical="center"/>
      <protection hidden="1"/>
    </xf>
    <xf numFmtId="164" fontId="41" fillId="2" borderId="11" xfId="0" applyNumberFormat="1" applyFont="1" applyFill="1" applyBorder="1" applyAlignment="1" applyProtection="1">
      <alignment horizontal="center" vertical="center"/>
      <protection hidden="1"/>
    </xf>
    <xf numFmtId="0" fontId="30" fillId="2" borderId="13" xfId="0" applyFont="1" applyFill="1" applyBorder="1" applyAlignment="1" applyProtection="1">
      <alignment horizontal="right" vertical="center" indent="1"/>
      <protection hidden="1"/>
    </xf>
    <xf numFmtId="0" fontId="2" fillId="2" borderId="29" xfId="0" applyFont="1" applyFill="1" applyBorder="1" applyAlignment="1" applyProtection="1">
      <alignment horizontal="center" vertical="center"/>
      <protection hidden="1"/>
    </xf>
    <xf numFmtId="164" fontId="10" fillId="2" borderId="25" xfId="0" applyNumberFormat="1" applyFont="1" applyFill="1" applyBorder="1" applyAlignment="1" applyProtection="1">
      <alignment horizontal="left" vertical="center"/>
      <protection hidden="1"/>
    </xf>
    <xf numFmtId="0" fontId="2" fillId="2" borderId="38" xfId="0" applyFont="1" applyFill="1" applyBorder="1" applyAlignment="1" applyProtection="1">
      <alignment horizontal="center" vertical="center"/>
      <protection hidden="1"/>
    </xf>
    <xf numFmtId="14" fontId="2" fillId="2" borderId="4" xfId="0" applyNumberFormat="1" applyFont="1" applyFill="1" applyBorder="1" applyAlignment="1" applyProtection="1">
      <alignment horizontal="center" vertical="center"/>
      <protection hidden="1"/>
    </xf>
    <xf numFmtId="164" fontId="43" fillId="2" borderId="22" xfId="0" applyNumberFormat="1" applyFont="1" applyFill="1" applyBorder="1" applyAlignment="1" applyProtection="1">
      <alignment horizontal="center" vertical="center"/>
      <protection hidden="1"/>
    </xf>
    <xf numFmtId="164" fontId="43" fillId="2" borderId="39" xfId="0" applyNumberFormat="1" applyFont="1" applyFill="1" applyBorder="1" applyAlignment="1" applyProtection="1">
      <alignment horizontal="left" vertical="center"/>
      <protection hidden="1"/>
    </xf>
    <xf numFmtId="164" fontId="12" fillId="2" borderId="3" xfId="0" applyNumberFormat="1" applyFont="1" applyFill="1" applyBorder="1" applyAlignment="1" applyProtection="1">
      <alignment horizontal="center" vertical="center"/>
      <protection hidden="1"/>
    </xf>
    <xf numFmtId="164" fontId="12" fillId="2" borderId="28" xfId="0" applyNumberFormat="1" applyFont="1" applyFill="1" applyBorder="1" applyAlignment="1" applyProtection="1">
      <alignment horizontal="center" vertical="center"/>
      <protection hidden="1"/>
    </xf>
    <xf numFmtId="168" fontId="13" fillId="2" borderId="7" xfId="0" applyNumberFormat="1" applyFont="1" applyFill="1" applyBorder="1" applyAlignment="1" applyProtection="1">
      <alignment vertical="center"/>
      <protection hidden="1"/>
    </xf>
    <xf numFmtId="179" fontId="2" fillId="2" borderId="40" xfId="0" applyNumberFormat="1" applyFont="1" applyFill="1" applyBorder="1" applyAlignment="1" applyProtection="1">
      <alignment horizontal="center" vertical="center"/>
      <protection hidden="1"/>
    </xf>
    <xf numFmtId="164" fontId="10" fillId="2" borderId="41" xfId="0" applyNumberFormat="1" applyFont="1" applyFill="1" applyBorder="1" applyAlignment="1" applyProtection="1">
      <alignment horizontal="center" vertical="center"/>
      <protection hidden="1"/>
    </xf>
    <xf numFmtId="164" fontId="10" fillId="2" borderId="3" xfId="0" applyNumberFormat="1" applyFont="1" applyFill="1" applyBorder="1" applyAlignment="1" applyProtection="1">
      <alignment horizontal="center" vertical="center"/>
      <protection hidden="1"/>
    </xf>
    <xf numFmtId="14" fontId="2" fillId="2" borderId="5" xfId="0" applyNumberFormat="1" applyFont="1" applyFill="1" applyBorder="1" applyAlignment="1" applyProtection="1">
      <alignment horizontal="center" vertical="center"/>
      <protection hidden="1"/>
    </xf>
    <xf numFmtId="179" fontId="2" fillId="2" borderId="7" xfId="0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right" vertical="center" indent="1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164" fontId="9" fillId="2" borderId="0" xfId="0" applyNumberFormat="1" applyFont="1" applyFill="1" applyAlignment="1" applyProtection="1">
      <alignment horizontal="center" vertical="center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168" fontId="8" fillId="2" borderId="32" xfId="0" applyNumberFormat="1" applyFont="1" applyFill="1" applyBorder="1" applyAlignment="1" applyProtection="1">
      <alignment vertical="center"/>
      <protection hidden="1"/>
    </xf>
    <xf numFmtId="0" fontId="34" fillId="2" borderId="0" xfId="0" applyFont="1" applyFill="1" applyAlignment="1" applyProtection="1">
      <alignment horizontal="left"/>
      <protection hidden="1"/>
    </xf>
    <xf numFmtId="0" fontId="29" fillId="2" borderId="0" xfId="0" applyFont="1" applyFill="1" applyAlignment="1" applyProtection="1">
      <alignment horizontal="right" vertical="center"/>
      <protection hidden="1"/>
    </xf>
    <xf numFmtId="0" fontId="19" fillId="2" borderId="33" xfId="0" applyNumberFormat="1" applyFont="1" applyFill="1" applyBorder="1" applyAlignment="1" applyProtection="1">
      <alignment vertical="center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168" fontId="8" fillId="2" borderId="30" xfId="0" applyNumberFormat="1" applyFont="1" applyFill="1" applyBorder="1" applyAlignment="1" applyProtection="1">
      <alignment vertical="center"/>
      <protection hidden="1"/>
    </xf>
    <xf numFmtId="0" fontId="8" fillId="2" borderId="40" xfId="0" applyNumberFormat="1" applyFont="1" applyFill="1" applyBorder="1" applyAlignment="1" applyProtection="1">
      <alignment vertical="center"/>
      <protection hidden="1"/>
    </xf>
    <xf numFmtId="165" fontId="19" fillId="2" borderId="12" xfId="0" applyNumberFormat="1" applyFont="1" applyFill="1" applyBorder="1" applyAlignment="1" applyProtection="1">
      <alignment vertical="center"/>
      <protection hidden="1"/>
    </xf>
    <xf numFmtId="165" fontId="19" fillId="2" borderId="0" xfId="0" applyNumberFormat="1" applyFont="1" applyFill="1" applyBorder="1" applyAlignment="1" applyProtection="1">
      <alignment vertical="center"/>
      <protection hidden="1"/>
    </xf>
    <xf numFmtId="0" fontId="2" fillId="2" borderId="42" xfId="0" applyFont="1" applyFill="1" applyBorder="1" applyAlignment="1" applyProtection="1">
      <alignment horizontal="center" vertical="center"/>
      <protection hidden="1"/>
    </xf>
    <xf numFmtId="168" fontId="8" fillId="2" borderId="42" xfId="0" applyNumberFormat="1" applyFont="1" applyFill="1" applyBorder="1" applyAlignment="1" applyProtection="1">
      <alignment vertical="center"/>
      <protection hidden="1"/>
    </xf>
    <xf numFmtId="165" fontId="19" fillId="2" borderId="11" xfId="0" applyNumberFormat="1" applyFont="1" applyFill="1" applyBorder="1" applyAlignment="1" applyProtection="1">
      <alignment vertical="center"/>
      <protection hidden="1"/>
    </xf>
    <xf numFmtId="164" fontId="9" fillId="2" borderId="22" xfId="0" applyNumberFormat="1" applyFont="1" applyFill="1" applyBorder="1" applyAlignment="1" applyProtection="1">
      <alignment horizontal="center" vertical="center"/>
      <protection hidden="1"/>
    </xf>
    <xf numFmtId="164" fontId="9" fillId="2" borderId="39" xfId="0" applyNumberFormat="1" applyFont="1" applyFill="1" applyBorder="1" applyAlignment="1" applyProtection="1">
      <alignment horizontal="left" vertical="center"/>
      <protection hidden="1"/>
    </xf>
    <xf numFmtId="164" fontId="9" fillId="2" borderId="24" xfId="0" applyNumberFormat="1" applyFont="1" applyFill="1" applyBorder="1" applyAlignment="1" applyProtection="1">
      <alignment horizontal="center" vertical="center"/>
      <protection hidden="1"/>
    </xf>
    <xf numFmtId="164" fontId="8" fillId="2" borderId="22" xfId="0" applyNumberFormat="1" applyFont="1" applyFill="1" applyBorder="1" applyAlignment="1" applyProtection="1">
      <alignment horizontal="center" vertical="center"/>
      <protection hidden="1"/>
    </xf>
    <xf numFmtId="164" fontId="8" fillId="2" borderId="39" xfId="0" applyNumberFormat="1" applyFont="1" applyFill="1" applyBorder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right" vertical="center" indent="1"/>
      <protection hidden="1"/>
    </xf>
    <xf numFmtId="0" fontId="51" fillId="2" borderId="33" xfId="0" applyNumberFormat="1" applyFont="1" applyFill="1" applyBorder="1" applyAlignment="1" applyProtection="1">
      <alignment vertical="center"/>
      <protection hidden="1"/>
    </xf>
    <xf numFmtId="165" fontId="29" fillId="2" borderId="0" xfId="0" applyNumberFormat="1" applyFont="1" applyFill="1" applyAlignment="1" applyProtection="1">
      <alignment horizontal="center" vertical="center"/>
      <protection hidden="1"/>
    </xf>
    <xf numFmtId="14" fontId="2" fillId="3" borderId="15" xfId="0" applyNumberFormat="1" applyFont="1" applyFill="1" applyBorder="1" applyAlignment="1" applyProtection="1">
      <alignment horizontal="center" vertical="center"/>
      <protection hidden="1"/>
    </xf>
    <xf numFmtId="14" fontId="2" fillId="3" borderId="9" xfId="0" applyNumberFormat="1" applyFont="1" applyFill="1" applyBorder="1" applyAlignment="1" applyProtection="1">
      <alignment horizontal="center" vertical="center"/>
      <protection hidden="1"/>
    </xf>
    <xf numFmtId="14" fontId="2" fillId="3" borderId="6" xfId="0" applyNumberFormat="1" applyFont="1" applyFill="1" applyBorder="1" applyAlignment="1" applyProtection="1">
      <alignment horizontal="center" vertical="center"/>
      <protection hidden="1"/>
    </xf>
    <xf numFmtId="14" fontId="8" fillId="2" borderId="9" xfId="0" applyNumberFormat="1" applyFont="1" applyFill="1" applyBorder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right" vertical="center" indent="1"/>
      <protection hidden="1"/>
    </xf>
    <xf numFmtId="164" fontId="2" fillId="2" borderId="0" xfId="0" applyNumberFormat="1" applyFont="1" applyFill="1" applyAlignment="1" applyProtection="1">
      <alignment horizontal="center" vertical="center"/>
      <protection hidden="1"/>
    </xf>
    <xf numFmtId="164" fontId="43" fillId="2" borderId="39" xfId="0" applyNumberFormat="1" applyFont="1" applyFill="1" applyBorder="1" applyAlignment="1" applyProtection="1">
      <alignment horizontal="center" vertical="center"/>
      <protection hidden="1"/>
    </xf>
    <xf numFmtId="164" fontId="12" fillId="2" borderId="27" xfId="0" applyNumberFormat="1" applyFont="1" applyFill="1" applyBorder="1" applyAlignment="1" applyProtection="1">
      <alignment horizontal="center" vertical="center"/>
      <protection hidden="1"/>
    </xf>
    <xf numFmtId="168" fontId="13" fillId="2" borderId="43" xfId="0" applyNumberFormat="1" applyFont="1" applyFill="1" applyBorder="1" applyAlignment="1" applyProtection="1">
      <alignment vertical="center"/>
      <protection hidden="1"/>
    </xf>
    <xf numFmtId="178" fontId="22" fillId="2" borderId="34" xfId="0" applyNumberFormat="1" applyFont="1" applyFill="1" applyBorder="1" applyAlignment="1" applyProtection="1">
      <alignment vertical="center"/>
      <protection hidden="1"/>
    </xf>
    <xf numFmtId="164" fontId="43" fillId="2" borderId="24" xfId="0" applyNumberFormat="1" applyFont="1" applyFill="1" applyBorder="1" applyAlignment="1" applyProtection="1">
      <alignment horizontal="left" vertical="center"/>
      <protection hidden="1"/>
    </xf>
    <xf numFmtId="164" fontId="10" fillId="2" borderId="28" xfId="0" applyNumberFormat="1" applyFont="1" applyFill="1" applyBorder="1" applyAlignment="1" applyProtection="1">
      <alignment horizontal="left" vertical="center"/>
      <protection hidden="1"/>
    </xf>
    <xf numFmtId="164" fontId="20" fillId="2" borderId="7" xfId="0" applyNumberFormat="1" applyFont="1" applyFill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lef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0" fillId="2" borderId="27" xfId="0" applyFill="1" applyBorder="1" applyProtection="1">
      <protection hidden="1"/>
    </xf>
    <xf numFmtId="0" fontId="8" fillId="2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17" xfId="0" applyNumberFormat="1" applyFont="1" applyFill="1" applyBorder="1" applyAlignment="1" applyProtection="1">
      <alignment horizontal="center" vertical="center"/>
      <protection hidden="1"/>
    </xf>
    <xf numFmtId="0" fontId="8" fillId="2" borderId="21" xfId="0" applyNumberFormat="1" applyFont="1" applyFill="1" applyBorder="1" applyAlignment="1" applyProtection="1">
      <alignment horizontal="center" vertical="center"/>
      <protection hidden="1"/>
    </xf>
    <xf numFmtId="0" fontId="2" fillId="2" borderId="44" xfId="0" applyFont="1" applyFill="1" applyBorder="1" applyAlignment="1" applyProtection="1">
      <alignment horizontal="center" vertical="center"/>
      <protection hidden="1"/>
    </xf>
    <xf numFmtId="164" fontId="12" fillId="3" borderId="2" xfId="0" applyNumberFormat="1" applyFont="1" applyFill="1" applyBorder="1" applyAlignment="1" applyProtection="1">
      <alignment horizontal="center" vertical="center"/>
      <protection hidden="1"/>
    </xf>
    <xf numFmtId="168" fontId="13" fillId="3" borderId="43" xfId="0" applyNumberFormat="1" applyFont="1" applyFill="1" applyBorder="1" applyAlignment="1" applyProtection="1">
      <alignment vertical="center"/>
      <protection hidden="1"/>
    </xf>
    <xf numFmtId="164" fontId="9" fillId="2" borderId="25" xfId="0" applyNumberFormat="1" applyFont="1" applyFill="1" applyBorder="1" applyAlignment="1" applyProtection="1">
      <alignment horizontal="center" vertical="center"/>
      <protection hidden="1"/>
    </xf>
    <xf numFmtId="168" fontId="47" fillId="2" borderId="21" xfId="0" applyNumberFormat="1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164" fontId="15" fillId="2" borderId="32" xfId="0" applyNumberFormat="1" applyFont="1" applyFill="1" applyBorder="1" applyAlignment="1" applyProtection="1">
      <alignment horizontal="left" vertical="center"/>
      <protection hidden="1"/>
    </xf>
    <xf numFmtId="14" fontId="12" fillId="2" borderId="4" xfId="0" applyNumberFormat="1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45" fillId="2" borderId="0" xfId="0" applyFont="1" applyFill="1" applyBorder="1" applyAlignment="1" applyProtection="1">
      <alignment horizontal="center"/>
      <protection hidden="1"/>
    </xf>
    <xf numFmtId="0" fontId="41" fillId="2" borderId="0" xfId="0" applyFont="1" applyFill="1" applyAlignment="1" applyProtection="1">
      <alignment horizontal="center" vertical="center"/>
      <protection hidden="1"/>
    </xf>
    <xf numFmtId="0" fontId="30" fillId="2" borderId="0" xfId="0" applyFont="1" applyFill="1" applyAlignment="1" applyProtection="1">
      <alignment horizontal="right" vertical="center" indent="1"/>
      <protection hidden="1"/>
    </xf>
    <xf numFmtId="0" fontId="52" fillId="2" borderId="0" xfId="0" applyFont="1" applyFill="1" applyAlignment="1" applyProtection="1">
      <alignment horizontal="center" vertical="center"/>
      <protection hidden="1"/>
    </xf>
    <xf numFmtId="4" fontId="22" fillId="2" borderId="9" xfId="0" applyNumberFormat="1" applyFont="1" applyFill="1" applyBorder="1" applyAlignment="1" applyProtection="1">
      <alignment horizontal="left" vertical="center" indent="1"/>
      <protection hidden="1"/>
    </xf>
    <xf numFmtId="0" fontId="55" fillId="2" borderId="0" xfId="0" applyFont="1" applyFill="1" applyBorder="1" applyAlignment="1" applyProtection="1">
      <protection hidden="1"/>
    </xf>
    <xf numFmtId="0" fontId="33" fillId="2" borderId="9" xfId="0" applyNumberFormat="1" applyFont="1" applyFill="1" applyBorder="1" applyAlignment="1" applyProtection="1">
      <alignment vertical="center"/>
      <protection hidden="1"/>
    </xf>
    <xf numFmtId="168" fontId="8" fillId="2" borderId="13" xfId="0" applyNumberFormat="1" applyFont="1" applyFill="1" applyBorder="1" applyAlignment="1" applyProtection="1">
      <alignment vertical="center"/>
      <protection hidden="1"/>
    </xf>
    <xf numFmtId="168" fontId="8" fillId="2" borderId="17" xfId="0" applyNumberFormat="1" applyFont="1" applyFill="1" applyBorder="1" applyAlignment="1" applyProtection="1">
      <alignment vertical="center"/>
      <protection hidden="1"/>
    </xf>
    <xf numFmtId="168" fontId="8" fillId="2" borderId="21" xfId="0" applyNumberFormat="1" applyFont="1" applyFill="1" applyBorder="1" applyAlignment="1" applyProtection="1">
      <alignment vertical="center"/>
      <protection hidden="1"/>
    </xf>
    <xf numFmtId="168" fontId="8" fillId="2" borderId="13" xfId="0" applyNumberFormat="1" applyFont="1" applyFill="1" applyBorder="1" applyAlignment="1" applyProtection="1">
      <alignment horizontal="center" vertical="center"/>
      <protection hidden="1"/>
    </xf>
    <xf numFmtId="168" fontId="8" fillId="2" borderId="17" xfId="0" applyNumberFormat="1" applyFont="1" applyFill="1" applyBorder="1" applyAlignment="1" applyProtection="1">
      <alignment horizontal="center" vertical="center"/>
      <protection hidden="1"/>
    </xf>
    <xf numFmtId="168" fontId="8" fillId="2" borderId="21" xfId="0" applyNumberFormat="1" applyFont="1" applyFill="1" applyBorder="1" applyAlignment="1" applyProtection="1">
      <alignment horizontal="center" vertical="center"/>
      <protection hidden="1"/>
    </xf>
    <xf numFmtId="165" fontId="6" fillId="2" borderId="30" xfId="0" applyNumberFormat="1" applyFont="1" applyFill="1" applyBorder="1" applyAlignment="1" applyProtection="1">
      <alignment vertical="center"/>
      <protection hidden="1"/>
    </xf>
    <xf numFmtId="173" fontId="2" fillId="2" borderId="30" xfId="0" applyNumberFormat="1" applyFont="1" applyFill="1" applyBorder="1" applyAlignment="1" applyProtection="1">
      <alignment horizontal="right" vertical="center"/>
      <protection hidden="1"/>
    </xf>
    <xf numFmtId="165" fontId="6" fillId="2" borderId="32" xfId="0" applyNumberFormat="1" applyFont="1" applyFill="1" applyBorder="1" applyAlignment="1" applyProtection="1">
      <alignment vertical="center"/>
      <protection hidden="1"/>
    </xf>
    <xf numFmtId="173" fontId="2" fillId="2" borderId="32" xfId="0" applyNumberFormat="1" applyFont="1" applyFill="1" applyBorder="1" applyAlignment="1" applyProtection="1">
      <alignment horizontal="right" vertical="center"/>
      <protection hidden="1"/>
    </xf>
    <xf numFmtId="0" fontId="0" fillId="2" borderId="45" xfId="0" applyFill="1" applyBorder="1" applyProtection="1">
      <protection hidden="1"/>
    </xf>
    <xf numFmtId="0" fontId="4" fillId="2" borderId="0" xfId="0" applyFont="1" applyFill="1" applyBorder="1" applyAlignment="1" applyProtection="1">
      <protection hidden="1"/>
    </xf>
    <xf numFmtId="0" fontId="4" fillId="2" borderId="46" xfId="0" applyFont="1" applyFill="1" applyBorder="1" applyAlignment="1" applyProtection="1">
      <alignment horizontal="center" vertical="center"/>
      <protection hidden="1"/>
    </xf>
    <xf numFmtId="0" fontId="47" fillId="2" borderId="47" xfId="0" applyFont="1" applyFill="1" applyBorder="1" applyAlignment="1" applyProtection="1">
      <alignment horizontal="center" vertical="center"/>
      <protection hidden="1"/>
    </xf>
    <xf numFmtId="0" fontId="57" fillId="4" borderId="10" xfId="0" applyFont="1" applyFill="1" applyBorder="1" applyAlignment="1" applyProtection="1">
      <alignment horizontal="center" vertical="center"/>
      <protection hidden="1"/>
    </xf>
    <xf numFmtId="0" fontId="58" fillId="2" borderId="0" xfId="0" applyFont="1" applyFill="1" applyAlignment="1" applyProtection="1">
      <alignment horizontal="left" vertical="center" indent="1"/>
      <protection hidden="1"/>
    </xf>
    <xf numFmtId="14" fontId="2" fillId="2" borderId="48" xfId="0" applyNumberFormat="1" applyFont="1" applyFill="1" applyBorder="1" applyAlignment="1" applyProtection="1">
      <alignment horizontal="center" vertical="center"/>
      <protection hidden="1"/>
    </xf>
    <xf numFmtId="0" fontId="58" fillId="4" borderId="10" xfId="0" applyFont="1" applyFill="1" applyBorder="1" applyAlignment="1" applyProtection="1">
      <alignment horizontal="left" vertical="center" indent="1"/>
      <protection hidden="1"/>
    </xf>
    <xf numFmtId="165" fontId="19" fillId="2" borderId="0" xfId="0" applyNumberFormat="1" applyFont="1" applyFill="1" applyBorder="1" applyAlignment="1" applyProtection="1">
      <alignment horizontal="center" vertical="center"/>
      <protection hidden="1"/>
    </xf>
    <xf numFmtId="165" fontId="59" fillId="2" borderId="0" xfId="0" applyNumberFormat="1" applyFont="1" applyFill="1" applyAlignment="1" applyProtection="1">
      <alignment vertical="center"/>
      <protection hidden="1"/>
    </xf>
    <xf numFmtId="14" fontId="30" fillId="2" borderId="30" xfId="0" applyNumberFormat="1" applyFont="1" applyFill="1" applyBorder="1" applyAlignment="1" applyProtection="1">
      <alignment horizontal="center" vertical="center"/>
      <protection hidden="1"/>
    </xf>
    <xf numFmtId="14" fontId="30" fillId="2" borderId="31" xfId="0" applyNumberFormat="1" applyFont="1" applyFill="1" applyBorder="1" applyAlignment="1" applyProtection="1">
      <alignment horizontal="center" vertical="center"/>
      <protection hidden="1"/>
    </xf>
    <xf numFmtId="14" fontId="30" fillId="2" borderId="32" xfId="0" applyNumberFormat="1" applyFont="1" applyFill="1" applyBorder="1" applyAlignment="1" applyProtection="1">
      <alignment horizontal="center" vertical="center"/>
      <protection hidden="1"/>
    </xf>
    <xf numFmtId="0" fontId="19" fillId="2" borderId="30" xfId="0" applyNumberFormat="1" applyFont="1" applyFill="1" applyBorder="1" applyAlignment="1" applyProtection="1">
      <alignment horizontal="center" vertical="center"/>
      <protection hidden="1"/>
    </xf>
    <xf numFmtId="0" fontId="19" fillId="2" borderId="31" xfId="0" applyNumberFormat="1" applyFont="1" applyFill="1" applyBorder="1" applyAlignment="1" applyProtection="1">
      <alignment horizontal="center" vertical="center"/>
      <protection hidden="1"/>
    </xf>
    <xf numFmtId="0" fontId="19" fillId="2" borderId="32" xfId="0" applyNumberFormat="1" applyFont="1" applyFill="1" applyBorder="1" applyAlignment="1" applyProtection="1">
      <alignment horizontal="center" vertical="center"/>
      <protection hidden="1"/>
    </xf>
    <xf numFmtId="0" fontId="59" fillId="2" borderId="30" xfId="0" applyNumberFormat="1" applyFont="1" applyFill="1" applyBorder="1" applyAlignment="1" applyProtection="1">
      <alignment horizontal="center" vertical="center"/>
      <protection hidden="1"/>
    </xf>
    <xf numFmtId="0" fontId="59" fillId="2" borderId="31" xfId="0" applyNumberFormat="1" applyFont="1" applyFill="1" applyBorder="1" applyAlignment="1" applyProtection="1">
      <alignment horizontal="center" vertical="center"/>
      <protection hidden="1"/>
    </xf>
    <xf numFmtId="0" fontId="59" fillId="2" borderId="32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NumberFormat="1" applyFont="1" applyFill="1" applyBorder="1" applyAlignment="1" applyProtection="1">
      <alignment horizontal="center" vertical="center"/>
      <protection hidden="1"/>
    </xf>
    <xf numFmtId="14" fontId="4" fillId="2" borderId="0" xfId="0" applyNumberFormat="1" applyFont="1" applyFill="1" applyAlignment="1" applyProtection="1">
      <alignment horizontal="center" vertical="center"/>
      <protection hidden="1"/>
    </xf>
    <xf numFmtId="165" fontId="59" fillId="2" borderId="0" xfId="0" applyNumberFormat="1" applyFont="1" applyFill="1" applyAlignment="1" applyProtection="1">
      <alignment horizontal="right" vertical="center"/>
      <protection hidden="1"/>
    </xf>
    <xf numFmtId="0" fontId="3" fillId="2" borderId="0" xfId="0" applyFont="1" applyFill="1" applyAlignment="1" applyProtection="1">
      <alignment horizontal="right"/>
      <protection hidden="1"/>
    </xf>
    <xf numFmtId="0" fontId="19" fillId="2" borderId="0" xfId="0" applyNumberFormat="1" applyFont="1" applyFill="1" applyBorder="1" applyAlignment="1" applyProtection="1">
      <alignment horizontal="center" vertical="center"/>
      <protection hidden="1"/>
    </xf>
    <xf numFmtId="165" fontId="59" fillId="4" borderId="9" xfId="0" applyNumberFormat="1" applyFont="1" applyFill="1" applyBorder="1" applyAlignment="1" applyProtection="1">
      <alignment vertical="center"/>
      <protection hidden="1"/>
    </xf>
    <xf numFmtId="0" fontId="39" fillId="2" borderId="0" xfId="0" applyFont="1" applyFill="1" applyAlignment="1" applyProtection="1">
      <alignment horizontal="center"/>
      <protection hidden="1"/>
    </xf>
    <xf numFmtId="0" fontId="39" fillId="2" borderId="0" xfId="0" applyFont="1" applyFill="1" applyAlignment="1" applyProtection="1">
      <alignment horizontal="center" vertical="top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0" fillId="2" borderId="30" xfId="0" applyFill="1" applyBorder="1" applyAlignment="1" applyProtection="1">
      <alignment horizontal="center"/>
      <protection hidden="1"/>
    </xf>
    <xf numFmtId="164" fontId="43" fillId="2" borderId="47" xfId="0" applyNumberFormat="1" applyFont="1" applyFill="1" applyBorder="1" applyAlignment="1" applyProtection="1">
      <alignment horizontal="left" vertical="center"/>
      <protection hidden="1"/>
    </xf>
    <xf numFmtId="165" fontId="61" fillId="2" borderId="0" xfId="0" applyNumberFormat="1" applyFont="1" applyFill="1" applyAlignment="1" applyProtection="1">
      <alignment vertical="center"/>
      <protection hidden="1"/>
    </xf>
    <xf numFmtId="164" fontId="43" fillId="2" borderId="24" xfId="0" applyNumberFormat="1" applyFont="1" applyFill="1" applyBorder="1" applyAlignment="1" applyProtection="1">
      <alignment horizontal="center" vertical="center"/>
      <protection hidden="1"/>
    </xf>
    <xf numFmtId="164" fontId="43" fillId="2" borderId="49" xfId="0" applyNumberFormat="1" applyFont="1" applyFill="1" applyBorder="1" applyAlignment="1" applyProtection="1">
      <alignment horizontal="left" vertical="center"/>
      <protection hidden="1"/>
    </xf>
    <xf numFmtId="165" fontId="40" fillId="2" borderId="50" xfId="0" applyNumberFormat="1" applyFont="1" applyFill="1" applyBorder="1" applyAlignment="1" applyProtection="1">
      <alignment vertical="center"/>
      <protection hidden="1"/>
    </xf>
    <xf numFmtId="165" fontId="40" fillId="2" borderId="51" xfId="0" applyNumberFormat="1" applyFont="1" applyFill="1" applyBorder="1" applyAlignment="1" applyProtection="1">
      <alignment vertical="center"/>
      <protection hidden="1"/>
    </xf>
    <xf numFmtId="165" fontId="40" fillId="2" borderId="52" xfId="0" applyNumberFormat="1" applyFont="1" applyFill="1" applyBorder="1" applyAlignment="1" applyProtection="1">
      <alignment vertical="center"/>
      <protection hidden="1"/>
    </xf>
    <xf numFmtId="0" fontId="40" fillId="2" borderId="33" xfId="0" applyNumberFormat="1" applyFont="1" applyFill="1" applyBorder="1" applyAlignment="1" applyProtection="1">
      <alignment vertical="center"/>
      <protection hidden="1"/>
    </xf>
    <xf numFmtId="0" fontId="6" fillId="2" borderId="0" xfId="0" applyFont="1" applyFill="1" applyBorder="1" applyProtection="1">
      <protection hidden="1"/>
    </xf>
    <xf numFmtId="0" fontId="6" fillId="2" borderId="0" xfId="0" applyFont="1" applyFill="1" applyAlignment="1" applyProtection="1">
      <alignment vertical="top"/>
      <protection hidden="1"/>
    </xf>
    <xf numFmtId="164" fontId="2" fillId="2" borderId="0" xfId="0" applyNumberFormat="1" applyFont="1" applyFill="1" applyAlignment="1" applyProtection="1">
      <alignment horizontal="right" vertical="center"/>
      <protection hidden="1"/>
    </xf>
    <xf numFmtId="168" fontId="49" fillId="3" borderId="9" xfId="0" applyNumberFormat="1" applyFont="1" applyFill="1" applyBorder="1" applyAlignment="1" applyProtection="1">
      <alignment vertical="center"/>
      <protection hidden="1"/>
    </xf>
    <xf numFmtId="0" fontId="0" fillId="2" borderId="53" xfId="0" applyFill="1" applyBorder="1" applyAlignment="1" applyProtection="1">
      <alignment horizontal="center"/>
      <protection hidden="1"/>
    </xf>
    <xf numFmtId="49" fontId="0" fillId="2" borderId="8" xfId="0" applyNumberFormat="1" applyFill="1" applyBorder="1" applyAlignment="1" applyProtection="1">
      <alignment horizontal="center" vertical="top"/>
      <protection hidden="1"/>
    </xf>
    <xf numFmtId="164" fontId="2" fillId="2" borderId="0" xfId="0" applyNumberFormat="1" applyFont="1" applyFill="1" applyBorder="1" applyAlignment="1" applyProtection="1">
      <alignment horizontal="center" vertical="center"/>
      <protection hidden="1"/>
    </xf>
    <xf numFmtId="14" fontId="30" fillId="2" borderId="54" xfId="0" applyNumberFormat="1" applyFont="1" applyFill="1" applyBorder="1" applyAlignment="1" applyProtection="1">
      <alignment horizontal="center"/>
      <protection hidden="1"/>
    </xf>
    <xf numFmtId="14" fontId="30" fillId="2" borderId="55" xfId="0" applyNumberFormat="1" applyFont="1" applyFill="1" applyBorder="1" applyAlignment="1" applyProtection="1">
      <alignment horizontal="center" vertical="top"/>
      <protection hidden="1"/>
    </xf>
    <xf numFmtId="0" fontId="2" fillId="2" borderId="0" xfId="0" applyFont="1" applyFill="1" applyAlignment="1" applyProtection="1">
      <alignment horizontal="left" indent="1"/>
      <protection hidden="1"/>
    </xf>
    <xf numFmtId="0" fontId="2" fillId="2" borderId="0" xfId="0" applyFont="1" applyFill="1" applyAlignment="1" applyProtection="1">
      <alignment horizontal="left" vertical="top" indent="1"/>
      <protection hidden="1"/>
    </xf>
    <xf numFmtId="0" fontId="30" fillId="2" borderId="0" xfId="0" applyFont="1" applyFill="1" applyAlignment="1" applyProtection="1">
      <alignment horizontal="left" indent="1"/>
      <protection hidden="1"/>
    </xf>
    <xf numFmtId="0" fontId="30" fillId="2" borderId="0" xfId="0" applyFont="1" applyFill="1" applyAlignment="1" applyProtection="1">
      <alignment horizontal="left" vertical="top" indent="1"/>
      <protection hidden="1"/>
    </xf>
    <xf numFmtId="0" fontId="2" fillId="2" borderId="13" xfId="0" applyFont="1" applyFill="1" applyBorder="1" applyAlignment="1" applyProtection="1">
      <alignment horizontal="left" vertical="center" indent="1"/>
      <protection hidden="1"/>
    </xf>
    <xf numFmtId="0" fontId="2" fillId="2" borderId="17" xfId="0" applyFont="1" applyFill="1" applyBorder="1" applyAlignment="1" applyProtection="1">
      <alignment horizontal="left" vertical="center" indent="1"/>
      <protection hidden="1"/>
    </xf>
    <xf numFmtId="0" fontId="2" fillId="2" borderId="21" xfId="0" applyFont="1" applyFill="1" applyBorder="1" applyAlignment="1" applyProtection="1">
      <alignment horizontal="left" vertical="center" indent="1"/>
      <protection hidden="1"/>
    </xf>
    <xf numFmtId="0" fontId="9" fillId="2" borderId="0" xfId="0" applyFont="1" applyFill="1" applyProtection="1">
      <protection hidden="1"/>
    </xf>
    <xf numFmtId="0" fontId="2" fillId="2" borderId="0" xfId="0" applyNumberFormat="1" applyFont="1" applyFill="1" applyBorder="1" applyAlignment="1" applyProtection="1">
      <alignment horizontal="center" vertical="center"/>
      <protection hidden="1"/>
    </xf>
    <xf numFmtId="164" fontId="9" fillId="2" borderId="0" xfId="2" applyNumberFormat="1" applyFont="1" applyFill="1" applyAlignment="1" applyProtection="1">
      <alignment vertical="center"/>
      <protection hidden="1"/>
    </xf>
    <xf numFmtId="164" fontId="9" fillId="2" borderId="0" xfId="2" applyNumberFormat="1" applyFont="1" applyFill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left" vertical="center"/>
      <protection hidden="1"/>
    </xf>
    <xf numFmtId="0" fontId="2" fillId="2" borderId="20" xfId="0" applyFont="1" applyFill="1" applyBorder="1" applyAlignment="1" applyProtection="1">
      <alignment horizontal="left" vertical="center" indent="1"/>
      <protection hidden="1"/>
    </xf>
    <xf numFmtId="0" fontId="0" fillId="2" borderId="0" xfId="0" applyFill="1" applyAlignment="1" applyProtection="1">
      <alignment vertical="top"/>
      <protection hidden="1"/>
    </xf>
    <xf numFmtId="0" fontId="62" fillId="2" borderId="0" xfId="0" applyFont="1" applyFill="1" applyAlignment="1" applyProtection="1">
      <alignment vertical="top"/>
      <protection hidden="1"/>
    </xf>
    <xf numFmtId="168" fontId="33" fillId="2" borderId="10" xfId="0" applyNumberFormat="1" applyFont="1" applyFill="1" applyBorder="1" applyAlignment="1" applyProtection="1">
      <alignment vertical="center"/>
      <protection hidden="1"/>
    </xf>
    <xf numFmtId="0" fontId="2" fillId="2" borderId="29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top"/>
      <protection hidden="1"/>
    </xf>
    <xf numFmtId="0" fontId="2" fillId="2" borderId="0" xfId="0" applyFont="1" applyFill="1" applyAlignment="1" applyProtection="1">
      <alignment vertical="center"/>
      <protection hidden="1"/>
    </xf>
    <xf numFmtId="14" fontId="15" fillId="2" borderId="4" xfId="0" applyNumberFormat="1" applyFont="1" applyFill="1" applyBorder="1" applyAlignment="1" applyProtection="1">
      <alignment horizontal="center" vertical="center"/>
      <protection hidden="1"/>
    </xf>
    <xf numFmtId="164" fontId="2" fillId="2" borderId="32" xfId="0" applyNumberFormat="1" applyFont="1" applyFill="1" applyBorder="1" applyAlignment="1" applyProtection="1">
      <alignment horizontal="left" vertical="center"/>
      <protection hidden="1"/>
    </xf>
    <xf numFmtId="0" fontId="2" fillId="2" borderId="32" xfId="0" applyNumberFormat="1" applyFont="1" applyFill="1" applyBorder="1" applyAlignment="1" applyProtection="1">
      <alignment horizontal="left" vertical="center" indent="1"/>
      <protection hidden="1"/>
    </xf>
    <xf numFmtId="168" fontId="47" fillId="2" borderId="32" xfId="0" applyNumberFormat="1" applyFont="1" applyFill="1" applyBorder="1" applyAlignment="1" applyProtection="1">
      <alignment vertical="center"/>
      <protection hidden="1"/>
    </xf>
    <xf numFmtId="0" fontId="2" fillId="2" borderId="9" xfId="0" applyNumberFormat="1" applyFont="1" applyFill="1" applyBorder="1" applyAlignment="1" applyProtection="1">
      <alignment horizontal="left" vertical="center" indent="1"/>
      <protection hidden="1"/>
    </xf>
    <xf numFmtId="168" fontId="47" fillId="2" borderId="9" xfId="0" applyNumberFormat="1" applyFont="1" applyFill="1" applyBorder="1" applyAlignment="1" applyProtection="1">
      <alignment vertical="center"/>
      <protection hidden="1"/>
    </xf>
    <xf numFmtId="164" fontId="15" fillId="2" borderId="40" xfId="0" applyNumberFormat="1" applyFont="1" applyFill="1" applyBorder="1" applyAlignment="1" applyProtection="1">
      <alignment horizontal="left" vertical="center"/>
      <protection hidden="1"/>
    </xf>
    <xf numFmtId="168" fontId="22" fillId="2" borderId="40" xfId="0" applyNumberFormat="1" applyFont="1" applyFill="1" applyBorder="1" applyAlignment="1" applyProtection="1">
      <alignment vertical="center"/>
      <protection hidden="1"/>
    </xf>
    <xf numFmtId="172" fontId="59" fillId="2" borderId="12" xfId="0" applyNumberFormat="1" applyFont="1" applyFill="1" applyBorder="1" applyAlignment="1" applyProtection="1">
      <alignment horizontal="right" vertical="center" indent="1"/>
      <protection hidden="1"/>
    </xf>
    <xf numFmtId="172" fontId="59" fillId="2" borderId="0" xfId="0" applyNumberFormat="1" applyFont="1" applyFill="1" applyBorder="1" applyAlignment="1" applyProtection="1">
      <alignment horizontal="right" vertical="center" indent="1"/>
      <protection hidden="1"/>
    </xf>
    <xf numFmtId="171" fontId="21" fillId="2" borderId="0" xfId="0" applyNumberFormat="1" applyFont="1" applyFill="1" applyBorder="1" applyAlignment="1" applyProtection="1">
      <alignment horizontal="right" vertical="center" indent="1"/>
      <protection locked="0"/>
    </xf>
    <xf numFmtId="171" fontId="21" fillId="2" borderId="11" xfId="0" applyNumberFormat="1" applyFont="1" applyFill="1" applyBorder="1" applyAlignment="1" applyProtection="1">
      <alignment horizontal="right" vertical="center" indent="1"/>
      <protection locked="0"/>
    </xf>
    <xf numFmtId="164" fontId="20" fillId="2" borderId="32" xfId="0" applyNumberFormat="1" applyFont="1" applyFill="1" applyBorder="1" applyAlignment="1" applyProtection="1">
      <alignment horizontal="left" vertical="center"/>
      <protection locked="0"/>
    </xf>
    <xf numFmtId="164" fontId="15" fillId="2" borderId="29" xfId="0" applyNumberFormat="1" applyFont="1" applyFill="1" applyBorder="1" applyAlignment="1" applyProtection="1">
      <alignment horizontal="left" vertical="center"/>
      <protection locked="0"/>
    </xf>
    <xf numFmtId="49" fontId="56" fillId="3" borderId="9" xfId="0" applyNumberFormat="1" applyFont="1" applyFill="1" applyBorder="1" applyAlignment="1" applyProtection="1">
      <alignment horizontal="center" vertical="center"/>
      <protection locked="0"/>
    </xf>
    <xf numFmtId="0" fontId="41" fillId="2" borderId="0" xfId="0" applyFont="1" applyFill="1" applyAlignment="1" applyProtection="1">
      <alignment horizontal="right" vertical="top"/>
      <protection hidden="1"/>
    </xf>
    <xf numFmtId="0" fontId="4" fillId="2" borderId="0" xfId="0" applyFont="1" applyFill="1" applyAlignment="1" applyProtection="1">
      <alignment horizontal="left" vertical="top"/>
      <protection hidden="1"/>
    </xf>
    <xf numFmtId="171" fontId="19" fillId="2" borderId="0" xfId="0" applyNumberFormat="1" applyFont="1" applyFill="1" applyBorder="1" applyAlignment="1" applyProtection="1">
      <alignment horizontal="right" vertical="center" indent="1"/>
      <protection locked="0"/>
    </xf>
    <xf numFmtId="171" fontId="19" fillId="2" borderId="11" xfId="0" applyNumberFormat="1" applyFont="1" applyFill="1" applyBorder="1" applyAlignment="1" applyProtection="1">
      <alignment horizontal="right" vertical="center" indent="1"/>
      <protection locked="0"/>
    </xf>
    <xf numFmtId="171" fontId="59" fillId="2" borderId="0" xfId="0" applyNumberFormat="1" applyFont="1" applyFill="1" applyBorder="1" applyAlignment="1" applyProtection="1">
      <alignment horizontal="right" vertical="center" indent="1"/>
      <protection locked="0"/>
    </xf>
    <xf numFmtId="171" fontId="59" fillId="2" borderId="11" xfId="0" applyNumberFormat="1" applyFont="1" applyFill="1" applyBorder="1" applyAlignment="1" applyProtection="1">
      <alignment horizontal="right" vertical="center" indent="1"/>
      <protection locked="0"/>
    </xf>
    <xf numFmtId="172" fontId="19" fillId="2" borderId="12" xfId="0" applyNumberFormat="1" applyFont="1" applyFill="1" applyBorder="1" applyAlignment="1" applyProtection="1">
      <alignment horizontal="right" vertical="center" indent="1"/>
      <protection hidden="1"/>
    </xf>
    <xf numFmtId="172" fontId="19" fillId="2" borderId="0" xfId="0" applyNumberFormat="1" applyFont="1" applyFill="1" applyBorder="1" applyAlignment="1" applyProtection="1">
      <alignment horizontal="right" vertical="center" indent="1"/>
      <protection hidden="1"/>
    </xf>
    <xf numFmtId="0" fontId="2" fillId="2" borderId="0" xfId="0" applyFont="1" applyFill="1" applyAlignment="1" applyProtection="1">
      <alignment horizontal="left" vertical="center" indent="1"/>
      <protection hidden="1"/>
    </xf>
    <xf numFmtId="164" fontId="41" fillId="2" borderId="0" xfId="0" applyNumberFormat="1" applyFont="1" applyFill="1" applyAlignment="1" applyProtection="1">
      <alignment horizontal="right" vertical="center"/>
      <protection hidden="1"/>
    </xf>
    <xf numFmtId="165" fontId="6" fillId="2" borderId="0" xfId="0" applyNumberFormat="1" applyFont="1" applyFill="1" applyAlignment="1" applyProtection="1">
      <protection hidden="1"/>
    </xf>
    <xf numFmtId="165" fontId="6" fillId="2" borderId="0" xfId="0" applyNumberFormat="1" applyFont="1" applyFill="1" applyAlignment="1" applyProtection="1">
      <alignment vertical="top"/>
      <protection hidden="1"/>
    </xf>
    <xf numFmtId="174" fontId="35" fillId="2" borderId="0" xfId="0" applyNumberFormat="1" applyFont="1" applyFill="1" applyBorder="1" applyAlignment="1" applyProtection="1">
      <alignment horizontal="center" vertical="top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23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left" vertical="center" indent="3"/>
      <protection hidden="1"/>
    </xf>
    <xf numFmtId="2" fontId="0" fillId="2" borderId="0" xfId="0" applyNumberFormat="1" applyFill="1" applyAlignment="1" applyProtection="1">
      <protection hidden="1"/>
    </xf>
    <xf numFmtId="2" fontId="0" fillId="2" borderId="0" xfId="0" applyNumberFormat="1" applyFill="1" applyProtection="1">
      <protection hidden="1"/>
    </xf>
    <xf numFmtId="2" fontId="0" fillId="2" borderId="0" xfId="0" applyNumberFormat="1" applyFill="1" applyAlignment="1" applyProtection="1">
      <alignment horizontal="center"/>
      <protection hidden="1"/>
    </xf>
    <xf numFmtId="168" fontId="0" fillId="2" borderId="0" xfId="0" applyNumberFormat="1" applyFill="1" applyAlignment="1" applyProtection="1">
      <alignment horizontal="right"/>
      <protection hidden="1"/>
    </xf>
    <xf numFmtId="168" fontId="15" fillId="2" borderId="9" xfId="0" applyNumberFormat="1" applyFont="1" applyFill="1" applyBorder="1" applyAlignment="1" applyProtection="1">
      <alignment horizontal="right" vertical="center"/>
      <protection hidden="1"/>
    </xf>
    <xf numFmtId="0" fontId="4" fillId="2" borderId="8" xfId="0" applyFont="1" applyFill="1" applyBorder="1" applyAlignment="1" applyProtection="1">
      <alignment horizontal="center" vertical="center"/>
      <protection hidden="1"/>
    </xf>
    <xf numFmtId="0" fontId="0" fillId="2" borderId="8" xfId="0" applyFill="1" applyBorder="1" applyProtection="1">
      <protection hidden="1"/>
    </xf>
    <xf numFmtId="0" fontId="4" fillId="2" borderId="53" xfId="0" applyFont="1" applyFill="1" applyBorder="1" applyAlignment="1" applyProtection="1">
      <alignment horizontal="center" vertical="center"/>
      <protection hidden="1"/>
    </xf>
    <xf numFmtId="0" fontId="0" fillId="2" borderId="53" xfId="0" applyFill="1" applyBorder="1" applyProtection="1"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165" fontId="19" fillId="2" borderId="33" xfId="0" applyNumberFormat="1" applyFont="1" applyFill="1" applyBorder="1" applyAlignment="1" applyProtection="1">
      <alignment vertical="center"/>
      <protection hidden="1"/>
    </xf>
    <xf numFmtId="0" fontId="4" fillId="2" borderId="56" xfId="0" applyFont="1" applyFill="1" applyBorder="1" applyAlignment="1" applyProtection="1">
      <alignment horizontal="left" vertical="center" indent="1"/>
      <protection hidden="1"/>
    </xf>
    <xf numFmtId="168" fontId="53" fillId="2" borderId="34" xfId="0" applyNumberFormat="1" applyFont="1" applyFill="1" applyBorder="1" applyAlignment="1" applyProtection="1">
      <alignment horizontal="center" vertical="center"/>
      <protection hidden="1"/>
    </xf>
    <xf numFmtId="168" fontId="0" fillId="2" borderId="11" xfId="0" applyNumberFormat="1" applyFill="1" applyBorder="1" applyProtection="1">
      <protection hidden="1"/>
    </xf>
    <xf numFmtId="0" fontId="0" fillId="2" borderId="57" xfId="0" applyFill="1" applyBorder="1" applyProtection="1">
      <protection hidden="1"/>
    </xf>
    <xf numFmtId="0" fontId="39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locked="0"/>
    </xf>
    <xf numFmtId="0" fontId="64" fillId="2" borderId="0" xfId="0" applyFont="1" applyFill="1" applyAlignment="1" applyProtection="1">
      <alignment horizontal="center" vertical="center"/>
      <protection locked="0"/>
    </xf>
    <xf numFmtId="0" fontId="12" fillId="2" borderId="0" xfId="5" applyFont="1" applyFill="1" applyAlignment="1" applyProtection="1">
      <alignment horizontal="distributed"/>
      <protection hidden="1"/>
    </xf>
    <xf numFmtId="0" fontId="66" fillId="2" borderId="0" xfId="6" applyFont="1" applyFill="1" applyAlignment="1" applyProtection="1">
      <protection hidden="1"/>
    </xf>
    <xf numFmtId="0" fontId="67" fillId="2" borderId="0" xfId="0" applyFont="1" applyFill="1" applyAlignment="1" applyProtection="1">
      <alignment vertical="center"/>
      <protection hidden="1"/>
    </xf>
    <xf numFmtId="0" fontId="68" fillId="2" borderId="0" xfId="6" applyFont="1" applyFill="1" applyAlignment="1" applyProtection="1">
      <alignment vertical="top"/>
      <protection hidden="1"/>
    </xf>
    <xf numFmtId="0" fontId="43" fillId="2" borderId="0" xfId="2" applyFont="1" applyFill="1" applyAlignment="1" applyProtection="1">
      <protection hidden="1"/>
    </xf>
    <xf numFmtId="0" fontId="43" fillId="2" borderId="0" xfId="2" applyFont="1" applyFill="1" applyAlignment="1" applyProtection="1">
      <alignment vertical="center"/>
      <protection hidden="1"/>
    </xf>
    <xf numFmtId="0" fontId="70" fillId="2" borderId="0" xfId="5" applyFont="1" applyFill="1" applyAlignment="1" applyProtection="1">
      <alignment vertical="center"/>
      <protection hidden="1"/>
    </xf>
    <xf numFmtId="0" fontId="8" fillId="2" borderId="0" xfId="2" applyNumberFormat="1" applyFont="1" applyFill="1" applyBorder="1" applyAlignment="1" applyProtection="1">
      <alignment horizontal="center"/>
      <protection hidden="1"/>
    </xf>
    <xf numFmtId="0" fontId="67" fillId="2" borderId="0" xfId="0" applyFont="1" applyFill="1" applyProtection="1">
      <protection hidden="1"/>
    </xf>
    <xf numFmtId="0" fontId="67" fillId="2" borderId="0" xfId="0" applyFont="1" applyFill="1" applyAlignment="1" applyProtection="1">
      <protection hidden="1"/>
    </xf>
    <xf numFmtId="0" fontId="67" fillId="0" borderId="0" xfId="0" applyFont="1" applyProtection="1">
      <protection hidden="1"/>
    </xf>
    <xf numFmtId="0" fontId="9" fillId="2" borderId="0" xfId="0" applyFont="1" applyFill="1" applyAlignment="1" applyProtection="1">
      <alignment vertical="top"/>
      <protection hidden="1"/>
    </xf>
    <xf numFmtId="0" fontId="0" fillId="0" borderId="0" xfId="0" applyFill="1" applyProtection="1">
      <protection hidden="1"/>
    </xf>
    <xf numFmtId="0" fontId="37" fillId="2" borderId="0" xfId="1" applyFont="1" applyFill="1" applyAlignment="1" applyProtection="1">
      <alignment horizontal="center" vertical="center"/>
      <protection hidden="1"/>
    </xf>
    <xf numFmtId="0" fontId="12" fillId="2" borderId="9" xfId="5" applyFont="1" applyFill="1" applyBorder="1" applyAlignment="1" applyProtection="1">
      <alignment horizontal="distributed"/>
      <protection hidden="1"/>
    </xf>
    <xf numFmtId="0" fontId="0" fillId="2" borderId="0" xfId="0" applyFill="1" applyProtection="1">
      <protection locked="0"/>
    </xf>
    <xf numFmtId="0" fontId="8" fillId="2" borderId="0" xfId="0" applyFont="1" applyFill="1" applyAlignment="1" applyProtection="1">
      <alignment vertical="center"/>
      <protection hidden="1"/>
    </xf>
    <xf numFmtId="0" fontId="76" fillId="2" borderId="0" xfId="0" applyFont="1" applyFill="1" applyAlignment="1" applyProtection="1">
      <alignment horizontal="center" vertical="center"/>
      <protection hidden="1"/>
    </xf>
    <xf numFmtId="164" fontId="77" fillId="3" borderId="39" xfId="0" applyNumberFormat="1" applyFont="1" applyFill="1" applyBorder="1" applyAlignment="1" applyProtection="1">
      <alignment horizontal="left" vertical="center"/>
      <protection hidden="1"/>
    </xf>
    <xf numFmtId="164" fontId="77" fillId="2" borderId="24" xfId="0" applyNumberFormat="1" applyFont="1" applyFill="1" applyBorder="1" applyAlignment="1" applyProtection="1">
      <alignment horizontal="center" vertical="center"/>
      <protection hidden="1"/>
    </xf>
    <xf numFmtId="0" fontId="60" fillId="3" borderId="35" xfId="0" applyFont="1" applyFill="1" applyBorder="1" applyProtection="1">
      <protection hidden="1"/>
    </xf>
    <xf numFmtId="0" fontId="9" fillId="2" borderId="0" xfId="0" applyFont="1" applyFill="1" applyAlignment="1" applyProtection="1">
      <alignment vertical="center"/>
      <protection hidden="1"/>
    </xf>
    <xf numFmtId="164" fontId="77" fillId="3" borderId="22" xfId="0" applyNumberFormat="1" applyFont="1" applyFill="1" applyBorder="1" applyAlignment="1" applyProtection="1">
      <alignment horizontal="center" vertical="center"/>
      <protection hidden="1"/>
    </xf>
    <xf numFmtId="164" fontId="74" fillId="3" borderId="10" xfId="0" applyNumberFormat="1" applyFont="1" applyFill="1" applyBorder="1" applyAlignment="1" applyProtection="1">
      <alignment horizontal="center" vertical="center"/>
      <protection hidden="1"/>
    </xf>
    <xf numFmtId="164" fontId="77" fillId="2" borderId="0" xfId="0" applyNumberFormat="1" applyFont="1" applyFill="1" applyAlignment="1" applyProtection="1">
      <alignment horizontal="right" vertical="center"/>
      <protection hidden="1"/>
    </xf>
    <xf numFmtId="164" fontId="9" fillId="3" borderId="39" xfId="0" applyNumberFormat="1" applyFont="1" applyFill="1" applyBorder="1" applyAlignment="1" applyProtection="1">
      <alignment horizontal="center" vertical="center"/>
      <protection hidden="1"/>
    </xf>
    <xf numFmtId="164" fontId="20" fillId="2" borderId="32" xfId="0" applyNumberFormat="1" applyFont="1" applyFill="1" applyBorder="1" applyAlignment="1" applyProtection="1">
      <alignment horizontal="left" vertical="center"/>
      <protection hidden="1"/>
    </xf>
    <xf numFmtId="0" fontId="9" fillId="2" borderId="11" xfId="0" applyNumberFormat="1" applyFont="1" applyFill="1" applyBorder="1" applyAlignment="1" applyProtection="1">
      <alignment horizontal="center" vertical="center"/>
      <protection hidden="1"/>
    </xf>
    <xf numFmtId="0" fontId="43" fillId="2" borderId="0" xfId="0" applyFont="1" applyFill="1" applyAlignment="1" applyProtection="1">
      <alignment horizontal="center" vertical="center"/>
      <protection hidden="1"/>
    </xf>
    <xf numFmtId="0" fontId="81" fillId="2" borderId="0" xfId="0" applyFont="1" applyFill="1" applyAlignment="1" applyProtection="1">
      <alignment horizontal="center" vertical="top"/>
      <protection hidden="1"/>
    </xf>
    <xf numFmtId="0" fontId="45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Protection="1">
      <protection hidden="1"/>
    </xf>
    <xf numFmtId="0" fontId="67" fillId="2" borderId="0" xfId="0" applyFont="1" applyFill="1" applyAlignment="1" applyProtection="1">
      <alignment horizontal="center" vertical="center"/>
      <protection hidden="1"/>
    </xf>
    <xf numFmtId="184" fontId="33" fillId="2" borderId="30" xfId="0" applyNumberFormat="1" applyFont="1" applyFill="1" applyBorder="1" applyAlignment="1" applyProtection="1">
      <alignment horizontal="center" vertical="center"/>
      <protection hidden="1"/>
    </xf>
    <xf numFmtId="184" fontId="33" fillId="2" borderId="31" xfId="0" applyNumberFormat="1" applyFont="1" applyFill="1" applyBorder="1" applyAlignment="1" applyProtection="1">
      <alignment horizontal="center" vertical="center"/>
      <protection hidden="1"/>
    </xf>
    <xf numFmtId="184" fontId="33" fillId="2" borderId="32" xfId="0" applyNumberFormat="1" applyFont="1" applyFill="1" applyBorder="1" applyAlignment="1" applyProtection="1">
      <alignment horizontal="center" vertical="center"/>
      <protection hidden="1"/>
    </xf>
    <xf numFmtId="0" fontId="47" fillId="4" borderId="1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top"/>
      <protection hidden="1"/>
    </xf>
    <xf numFmtId="0" fontId="0" fillId="2" borderId="0" xfId="0" applyFill="1" applyAlignment="1" applyProtection="1">
      <alignment vertical="center"/>
      <protection locked="0"/>
    </xf>
    <xf numFmtId="164" fontId="82" fillId="2" borderId="26" xfId="0" applyNumberFormat="1" applyFont="1" applyFill="1" applyBorder="1" applyAlignment="1" applyProtection="1">
      <alignment horizontal="center" vertical="center"/>
      <protection hidden="1"/>
    </xf>
    <xf numFmtId="0" fontId="17" fillId="0" borderId="0" xfId="4" applyFill="1" applyProtection="1">
      <protection hidden="1"/>
    </xf>
    <xf numFmtId="0" fontId="30" fillId="2" borderId="0" xfId="0" applyFont="1" applyFill="1" applyAlignment="1" applyProtection="1">
      <alignment horizontal="left" vertical="center" indent="1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8" fillId="2" borderId="0" xfId="0" applyFont="1" applyFill="1" applyAlignment="1" applyProtection="1">
      <protection hidden="1"/>
    </xf>
    <xf numFmtId="0" fontId="14" fillId="2" borderId="0" xfId="0" applyFont="1" applyFill="1" applyAlignment="1" applyProtection="1">
      <alignment horizontal="left" vertical="top" indent="1"/>
      <protection hidden="1"/>
    </xf>
    <xf numFmtId="0" fontId="14" fillId="2" borderId="0" xfId="0" applyFont="1" applyFill="1" applyBorder="1" applyAlignment="1" applyProtection="1">
      <alignment horizontal="left" vertical="top" indent="1"/>
      <protection hidden="1"/>
    </xf>
    <xf numFmtId="165" fontId="72" fillId="3" borderId="58" xfId="2" applyNumberFormat="1" applyFont="1" applyFill="1" applyBorder="1" applyAlignment="1" applyProtection="1">
      <alignment horizontal="center" vertical="center"/>
      <protection locked="0"/>
    </xf>
    <xf numFmtId="183" fontId="9" fillId="2" borderId="59" xfId="2" applyNumberFormat="1" applyFont="1" applyFill="1" applyBorder="1" applyAlignment="1" applyProtection="1">
      <alignment horizontal="center" vertical="center"/>
      <protection hidden="1"/>
    </xf>
    <xf numFmtId="183" fontId="62" fillId="3" borderId="60" xfId="2" applyNumberFormat="1" applyFont="1" applyFill="1" applyBorder="1" applyAlignment="1" applyProtection="1">
      <alignment horizontal="center" vertical="center"/>
      <protection locked="0"/>
    </xf>
    <xf numFmtId="0" fontId="17" fillId="2" borderId="0" xfId="3" applyFill="1" applyProtection="1">
      <protection hidden="1"/>
    </xf>
    <xf numFmtId="0" fontId="17" fillId="0" borderId="0" xfId="3" applyProtection="1">
      <protection hidden="1"/>
    </xf>
    <xf numFmtId="0" fontId="11" fillId="2" borderId="0" xfId="3" applyFont="1" applyFill="1" applyAlignment="1" applyProtection="1">
      <alignment horizontal="left" vertical="center" indent="1"/>
      <protection hidden="1"/>
    </xf>
    <xf numFmtId="0" fontId="85" fillId="2" borderId="0" xfId="3" applyFont="1" applyFill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vertical="center"/>
      <protection hidden="1"/>
    </xf>
    <xf numFmtId="0" fontId="90" fillId="2" borderId="0" xfId="0" applyFont="1" applyFill="1" applyAlignment="1" applyProtection="1">
      <protection hidden="1"/>
    </xf>
    <xf numFmtId="0" fontId="0" fillId="2" borderId="0" xfId="0" applyFill="1" applyAlignment="1" applyProtection="1">
      <protection hidden="1"/>
    </xf>
    <xf numFmtId="0" fontId="81" fillId="2" borderId="0" xfId="0" applyFont="1" applyFill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164" fontId="9" fillId="2" borderId="0" xfId="0" applyNumberFormat="1" applyFont="1" applyFill="1" applyAlignment="1" applyProtection="1">
      <alignment horizontal="right" vertical="center"/>
      <protection hidden="1"/>
    </xf>
    <xf numFmtId="165" fontId="9" fillId="2" borderId="0" xfId="0" applyNumberFormat="1" applyFont="1" applyFill="1" applyAlignment="1" applyProtection="1">
      <alignment vertical="center"/>
      <protection hidden="1"/>
    </xf>
    <xf numFmtId="0" fontId="87" fillId="2" borderId="0" xfId="0" applyFont="1" applyFill="1" applyAlignment="1" applyProtection="1">
      <alignment horizontal="left" vertical="top"/>
      <protection hidden="1"/>
    </xf>
    <xf numFmtId="165" fontId="37" fillId="2" borderId="0" xfId="0" applyNumberFormat="1" applyFont="1" applyFill="1" applyAlignment="1" applyProtection="1">
      <alignment vertical="center"/>
      <protection hidden="1"/>
    </xf>
    <xf numFmtId="176" fontId="12" fillId="2" borderId="61" xfId="0" applyNumberFormat="1" applyFont="1" applyFill="1" applyBorder="1" applyAlignment="1" applyProtection="1">
      <alignment horizontal="right" vertical="center"/>
      <protection locked="0"/>
    </xf>
    <xf numFmtId="176" fontId="12" fillId="2" borderId="62" xfId="0" applyNumberFormat="1" applyFont="1" applyFill="1" applyBorder="1" applyAlignment="1" applyProtection="1">
      <alignment horizontal="right" vertical="center"/>
      <protection locked="0"/>
    </xf>
    <xf numFmtId="176" fontId="12" fillId="2" borderId="63" xfId="0" applyNumberFormat="1" applyFont="1" applyFill="1" applyBorder="1" applyAlignment="1" applyProtection="1">
      <alignment horizontal="right" vertical="center"/>
      <protection locked="0"/>
    </xf>
    <xf numFmtId="0" fontId="0" fillId="2" borderId="64" xfId="0" applyFill="1" applyBorder="1" applyAlignment="1" applyProtection="1">
      <alignment vertical="center"/>
      <protection hidden="1"/>
    </xf>
    <xf numFmtId="0" fontId="30" fillId="2" borderId="64" xfId="0" applyFont="1" applyFill="1" applyBorder="1" applyAlignment="1" applyProtection="1">
      <alignment horizontal="left" vertical="center" inden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164" fontId="15" fillId="2" borderId="0" xfId="0" applyNumberFormat="1" applyFont="1" applyFill="1" applyAlignment="1" applyProtection="1">
      <alignment horizontal="center" vertical="center"/>
      <protection hidden="1"/>
    </xf>
    <xf numFmtId="175" fontId="12" fillId="2" borderId="14" xfId="0" applyNumberFormat="1" applyFont="1" applyFill="1" applyBorder="1" applyAlignment="1" applyProtection="1">
      <alignment horizontal="right" vertical="center"/>
      <protection locked="0"/>
    </xf>
    <xf numFmtId="175" fontId="12" fillId="2" borderId="18" xfId="0" applyNumberFormat="1" applyFont="1" applyFill="1" applyBorder="1" applyAlignment="1" applyProtection="1">
      <alignment horizontal="right" vertical="center"/>
      <protection locked="0"/>
    </xf>
    <xf numFmtId="175" fontId="12" fillId="2" borderId="5" xfId="0" applyNumberFormat="1" applyFont="1" applyFill="1" applyBorder="1" applyAlignment="1" applyProtection="1">
      <alignment horizontal="right" vertic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4" fillId="2" borderId="65" xfId="0" applyFont="1" applyFill="1" applyBorder="1" applyAlignment="1" applyProtection="1">
      <alignment horizontal="center" vertical="center"/>
      <protection hidden="1"/>
    </xf>
    <xf numFmtId="168" fontId="12" fillId="2" borderId="10" xfId="0" applyNumberFormat="1" applyFont="1" applyFill="1" applyBorder="1" applyAlignment="1" applyProtection="1">
      <alignment vertical="center"/>
      <protection hidden="1"/>
    </xf>
    <xf numFmtId="168" fontId="43" fillId="3" borderId="4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Alignment="1" applyProtection="1">
      <alignment horizontal="center" vertical="center"/>
      <protection hidden="1"/>
    </xf>
    <xf numFmtId="165" fontId="33" fillId="2" borderId="0" xfId="0" applyNumberFormat="1" applyFont="1" applyFill="1" applyAlignment="1" applyProtection="1">
      <alignment vertical="center"/>
      <protection hidden="1"/>
    </xf>
    <xf numFmtId="168" fontId="9" fillId="2" borderId="9" xfId="0" applyNumberFormat="1" applyFont="1" applyFill="1" applyBorder="1" applyAlignment="1" applyProtection="1">
      <alignment vertical="center"/>
      <protection hidden="1"/>
    </xf>
    <xf numFmtId="0" fontId="20" fillId="2" borderId="0" xfId="0" applyFont="1" applyFill="1" applyProtection="1">
      <protection hidden="1"/>
    </xf>
    <xf numFmtId="165" fontId="24" fillId="2" borderId="0" xfId="0" applyNumberFormat="1" applyFont="1" applyFill="1" applyAlignment="1" applyProtection="1">
      <alignment vertical="center"/>
      <protection hidden="1"/>
    </xf>
    <xf numFmtId="178" fontId="62" fillId="3" borderId="24" xfId="0" applyNumberFormat="1" applyFont="1" applyFill="1" applyBorder="1" applyAlignment="1" applyProtection="1">
      <alignment horizontal="right" vertical="center"/>
      <protection locked="0"/>
    </xf>
    <xf numFmtId="168" fontId="62" fillId="2" borderId="22" xfId="0" applyNumberFormat="1" applyFont="1" applyFill="1" applyBorder="1" applyAlignment="1" applyProtection="1">
      <alignment vertical="center"/>
      <protection hidden="1"/>
    </xf>
    <xf numFmtId="168" fontId="62" fillId="2" borderId="23" xfId="0" applyNumberFormat="1" applyFont="1" applyFill="1" applyBorder="1" applyAlignment="1" applyProtection="1">
      <alignment vertical="center"/>
      <protection hidden="1"/>
    </xf>
    <xf numFmtId="168" fontId="62" fillId="2" borderId="24" xfId="0" applyNumberFormat="1" applyFont="1" applyFill="1" applyBorder="1" applyAlignment="1" applyProtection="1">
      <alignment vertical="center"/>
      <protection hidden="1"/>
    </xf>
    <xf numFmtId="168" fontId="62" fillId="3" borderId="10" xfId="0" applyNumberFormat="1" applyFont="1" applyFill="1" applyBorder="1" applyAlignment="1" applyProtection="1">
      <alignment vertical="center"/>
      <protection hidden="1"/>
    </xf>
    <xf numFmtId="167" fontId="8" fillId="2" borderId="0" xfId="0" applyNumberFormat="1" applyFont="1" applyFill="1" applyProtection="1">
      <protection hidden="1"/>
    </xf>
    <xf numFmtId="0" fontId="2" fillId="2" borderId="0" xfId="0" applyNumberFormat="1" applyFont="1" applyFill="1" applyAlignment="1" applyProtection="1">
      <alignment horizontal="center"/>
      <protection hidden="1"/>
    </xf>
    <xf numFmtId="0" fontId="30" fillId="2" borderId="0" xfId="0" applyFont="1" applyFill="1" applyAlignment="1" applyProtection="1">
      <alignment horizontal="right" vertical="top"/>
      <protection hidden="1"/>
    </xf>
    <xf numFmtId="178" fontId="8" fillId="2" borderId="0" xfId="0" applyNumberFormat="1" applyFont="1" applyFill="1" applyAlignment="1" applyProtection="1">
      <alignment horizontal="center"/>
      <protection hidden="1"/>
    </xf>
    <xf numFmtId="2" fontId="8" fillId="2" borderId="0" xfId="0" applyNumberFormat="1" applyFont="1" applyFill="1" applyAlignment="1" applyProtection="1">
      <alignment horizontal="center"/>
      <protection hidden="1"/>
    </xf>
    <xf numFmtId="0" fontId="78" fillId="3" borderId="22" xfId="0" applyFont="1" applyFill="1" applyBorder="1" applyAlignment="1" applyProtection="1">
      <alignment horizontal="center" vertical="center"/>
      <protection hidden="1"/>
    </xf>
    <xf numFmtId="0" fontId="78" fillId="3" borderId="23" xfId="0" applyFont="1" applyFill="1" applyBorder="1" applyAlignment="1" applyProtection="1">
      <alignment horizontal="center" vertical="center"/>
      <protection hidden="1"/>
    </xf>
    <xf numFmtId="0" fontId="78" fillId="3" borderId="24" xfId="0" applyFont="1" applyFill="1" applyBorder="1" applyAlignment="1" applyProtection="1">
      <alignment horizontal="center" vertical="center"/>
      <protection hidden="1"/>
    </xf>
    <xf numFmtId="0" fontId="15" fillId="2" borderId="11" xfId="0" applyFont="1" applyFill="1" applyBorder="1" applyAlignment="1" applyProtection="1">
      <alignment vertical="center"/>
      <protection hidden="1"/>
    </xf>
    <xf numFmtId="167" fontId="4" fillId="2" borderId="0" xfId="0" applyNumberFormat="1" applyFont="1" applyFill="1" applyAlignment="1" applyProtection="1">
      <alignment horizontal="center"/>
      <protection hidden="1"/>
    </xf>
    <xf numFmtId="0" fontId="0" fillId="0" borderId="64" xfId="0" applyBorder="1" applyProtection="1">
      <protection hidden="1"/>
    </xf>
    <xf numFmtId="175" fontId="14" fillId="2" borderId="11" xfId="0" applyNumberFormat="1" applyFont="1" applyFill="1" applyBorder="1" applyAlignment="1" applyProtection="1">
      <alignment vertical="center"/>
      <protection hidden="1"/>
    </xf>
    <xf numFmtId="169" fontId="14" fillId="2" borderId="11" xfId="0" applyNumberFormat="1" applyFont="1" applyFill="1" applyBorder="1" applyAlignment="1" applyProtection="1">
      <alignment horizontal="right" vertical="center"/>
      <protection hidden="1"/>
    </xf>
    <xf numFmtId="169" fontId="14" fillId="2" borderId="64" xfId="0" applyNumberFormat="1" applyFont="1" applyFill="1" applyBorder="1" applyAlignment="1" applyProtection="1">
      <alignment horizontal="right" vertical="center"/>
      <protection hidden="1"/>
    </xf>
    <xf numFmtId="168" fontId="4" fillId="2" borderId="5" xfId="0" applyNumberFormat="1" applyFont="1" applyFill="1" applyBorder="1" applyAlignment="1" applyProtection="1">
      <alignment vertical="center"/>
      <protection hidden="1"/>
    </xf>
    <xf numFmtId="168" fontId="4" fillId="2" borderId="6" xfId="0" applyNumberFormat="1" applyFont="1" applyFill="1" applyBorder="1" applyAlignment="1" applyProtection="1">
      <alignment vertical="center"/>
      <protection hidden="1"/>
    </xf>
    <xf numFmtId="168" fontId="4" fillId="2" borderId="7" xfId="0" applyNumberFormat="1" applyFont="1" applyFill="1" applyBorder="1" applyAlignment="1" applyProtection="1">
      <alignment vertical="center"/>
      <protection hidden="1"/>
    </xf>
    <xf numFmtId="0" fontId="33" fillId="2" borderId="0" xfId="0" applyNumberFormat="1" applyFont="1" applyFill="1" applyAlignment="1" applyProtection="1">
      <alignment horizontal="left" vertical="center"/>
      <protection hidden="1"/>
    </xf>
    <xf numFmtId="0" fontId="30" fillId="2" borderId="0" xfId="0" applyFont="1" applyFill="1" applyAlignment="1" applyProtection="1">
      <alignment horizontal="center"/>
      <protection hidden="1"/>
    </xf>
    <xf numFmtId="168" fontId="54" fillId="2" borderId="10" xfId="0" applyNumberFormat="1" applyFont="1" applyFill="1" applyBorder="1" applyAlignment="1" applyProtection="1">
      <alignment vertical="center"/>
      <protection hidden="1"/>
    </xf>
    <xf numFmtId="168" fontId="34" fillId="2" borderId="10" xfId="0" applyNumberFormat="1" applyFont="1" applyFill="1" applyBorder="1" applyAlignment="1" applyProtection="1">
      <alignment vertical="center"/>
      <protection hidden="1"/>
    </xf>
    <xf numFmtId="168" fontId="35" fillId="2" borderId="11" xfId="0" applyNumberFormat="1" applyFont="1" applyFill="1" applyBorder="1" applyAlignment="1" applyProtection="1">
      <alignment vertical="center"/>
      <protection hidden="1"/>
    </xf>
    <xf numFmtId="168" fontId="8" fillId="2" borderId="12" xfId="0" applyNumberFormat="1" applyFont="1" applyFill="1" applyBorder="1" applyAlignment="1" applyProtection="1">
      <alignment vertical="center"/>
      <protection hidden="1"/>
    </xf>
    <xf numFmtId="168" fontId="43" fillId="2" borderId="10" xfId="0" applyNumberFormat="1" applyFont="1" applyFill="1" applyBorder="1" applyAlignment="1" applyProtection="1">
      <alignment vertical="center"/>
      <protection hidden="1"/>
    </xf>
    <xf numFmtId="178" fontId="9" fillId="2" borderId="64" xfId="0" applyNumberFormat="1" applyFont="1" applyFill="1" applyBorder="1" applyAlignment="1" applyProtection="1">
      <alignment vertical="center"/>
      <protection hidden="1"/>
    </xf>
    <xf numFmtId="168" fontId="45" fillId="2" borderId="9" xfId="0" applyNumberFormat="1" applyFont="1" applyFill="1" applyBorder="1" applyAlignment="1" applyProtection="1">
      <alignment vertical="center"/>
      <protection hidden="1"/>
    </xf>
    <xf numFmtId="168" fontId="37" fillId="2" borderId="22" xfId="0" applyNumberFormat="1" applyFont="1" applyFill="1" applyBorder="1" applyAlignment="1" applyProtection="1">
      <alignment vertical="center"/>
      <protection hidden="1"/>
    </xf>
    <xf numFmtId="168" fontId="37" fillId="2" borderId="23" xfId="0" applyNumberFormat="1" applyFont="1" applyFill="1" applyBorder="1" applyAlignment="1" applyProtection="1">
      <alignment vertical="center"/>
      <protection hidden="1"/>
    </xf>
    <xf numFmtId="168" fontId="37" fillId="2" borderId="24" xfId="0" applyNumberFormat="1" applyFont="1" applyFill="1" applyBorder="1" applyAlignment="1" applyProtection="1">
      <alignment vertical="center"/>
      <protection hidden="1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168" fontId="88" fillId="2" borderId="25" xfId="0" applyNumberFormat="1" applyFont="1" applyFill="1" applyBorder="1" applyAlignment="1" applyProtection="1">
      <protection hidden="1"/>
    </xf>
    <xf numFmtId="168" fontId="88" fillId="2" borderId="44" xfId="0" applyNumberFormat="1" applyFont="1" applyFill="1" applyBorder="1" applyAlignment="1" applyProtection="1">
      <alignment vertical="top"/>
      <protection hidden="1"/>
    </xf>
    <xf numFmtId="168" fontId="14" fillId="2" borderId="22" xfId="0" applyNumberFormat="1" applyFont="1" applyFill="1" applyBorder="1" applyAlignment="1" applyProtection="1">
      <alignment vertical="center"/>
      <protection hidden="1"/>
    </xf>
    <xf numFmtId="168" fontId="14" fillId="2" borderId="23" xfId="0" applyNumberFormat="1" applyFont="1" applyFill="1" applyBorder="1" applyAlignment="1" applyProtection="1">
      <alignment vertical="center"/>
      <protection hidden="1"/>
    </xf>
    <xf numFmtId="168" fontId="14" fillId="2" borderId="24" xfId="0" applyNumberFormat="1" applyFont="1" applyFill="1" applyBorder="1" applyAlignment="1" applyProtection="1">
      <alignment vertical="center"/>
      <protection hidden="1"/>
    </xf>
    <xf numFmtId="168" fontId="14" fillId="2" borderId="1" xfId="0" applyNumberFormat="1" applyFont="1" applyFill="1" applyBorder="1" applyAlignment="1" applyProtection="1">
      <protection hidden="1"/>
    </xf>
    <xf numFmtId="168" fontId="14" fillId="2" borderId="41" xfId="0" applyNumberFormat="1" applyFont="1" applyFill="1" applyBorder="1" applyAlignment="1" applyProtection="1">
      <protection hidden="1"/>
    </xf>
    <xf numFmtId="168" fontId="14" fillId="2" borderId="3" xfId="0" applyNumberFormat="1" applyFont="1" applyFill="1" applyBorder="1" applyAlignment="1" applyProtection="1">
      <protection hidden="1"/>
    </xf>
    <xf numFmtId="168" fontId="14" fillId="2" borderId="67" xfId="0" applyNumberFormat="1" applyFont="1" applyFill="1" applyBorder="1" applyAlignment="1" applyProtection="1">
      <alignment vertical="top"/>
      <protection hidden="1"/>
    </xf>
    <xf numFmtId="168" fontId="14" fillId="2" borderId="42" xfId="0" applyNumberFormat="1" applyFont="1" applyFill="1" applyBorder="1" applyAlignment="1" applyProtection="1">
      <alignment vertical="top"/>
      <protection hidden="1"/>
    </xf>
    <xf numFmtId="168" fontId="14" fillId="2" borderId="68" xfId="0" applyNumberFormat="1" applyFont="1" applyFill="1" applyBorder="1" applyAlignment="1" applyProtection="1">
      <alignment vertical="top"/>
      <protection hidden="1"/>
    </xf>
    <xf numFmtId="168" fontId="14" fillId="2" borderId="49" xfId="0" applyNumberFormat="1" applyFont="1" applyFill="1" applyBorder="1" applyAlignment="1" applyProtection="1">
      <alignment vertical="center"/>
      <protection hidden="1"/>
    </xf>
    <xf numFmtId="168" fontId="14" fillId="2" borderId="66" xfId="0" applyNumberFormat="1" applyFont="1" applyFill="1" applyBorder="1" applyAlignment="1" applyProtection="1">
      <alignment vertical="center"/>
      <protection hidden="1"/>
    </xf>
    <xf numFmtId="168" fontId="14" fillId="2" borderId="69" xfId="0" applyNumberFormat="1" applyFont="1" applyFill="1" applyBorder="1" applyAlignment="1" applyProtection="1">
      <alignment vertical="center"/>
      <protection hidden="1"/>
    </xf>
    <xf numFmtId="168" fontId="14" fillId="2" borderId="15" xfId="0" applyNumberFormat="1" applyFont="1" applyFill="1" applyBorder="1" applyAlignment="1" applyProtection="1">
      <alignment vertical="center"/>
      <protection hidden="1"/>
    </xf>
    <xf numFmtId="168" fontId="14" fillId="2" borderId="61" xfId="0" applyNumberFormat="1" applyFont="1" applyFill="1" applyBorder="1" applyAlignment="1" applyProtection="1">
      <alignment vertical="center"/>
      <protection hidden="1"/>
    </xf>
    <xf numFmtId="168" fontId="14" fillId="2" borderId="52" xfId="0" applyNumberFormat="1" applyFont="1" applyFill="1" applyBorder="1" applyAlignment="1" applyProtection="1">
      <alignment vertical="center"/>
      <protection hidden="1"/>
    </xf>
    <xf numFmtId="168" fontId="14" fillId="2" borderId="42" xfId="0" applyNumberFormat="1" applyFont="1" applyFill="1" applyBorder="1" applyAlignment="1" applyProtection="1">
      <alignment vertical="center"/>
      <protection hidden="1"/>
    </xf>
    <xf numFmtId="168" fontId="14" fillId="2" borderId="57" xfId="0" applyNumberFormat="1" applyFont="1" applyFill="1" applyBorder="1" applyAlignment="1" applyProtection="1">
      <alignment vertical="center"/>
      <protection hidden="1"/>
    </xf>
    <xf numFmtId="0" fontId="36" fillId="2" borderId="0" xfId="0" applyFont="1" applyFill="1" applyProtection="1">
      <protection hidden="1"/>
    </xf>
    <xf numFmtId="165" fontId="14" fillId="2" borderId="0" xfId="0" applyNumberFormat="1" applyFont="1" applyFill="1" applyAlignment="1" applyProtection="1">
      <alignment vertical="top"/>
      <protection hidden="1"/>
    </xf>
    <xf numFmtId="168" fontId="77" fillId="3" borderId="10" xfId="0" applyNumberFormat="1" applyFont="1" applyFill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vertical="center"/>
      <protection hidden="1"/>
    </xf>
    <xf numFmtId="165" fontId="46" fillId="2" borderId="51" xfId="0" applyNumberFormat="1" applyFont="1" applyFill="1" applyBorder="1" applyAlignment="1" applyProtection="1">
      <alignment vertical="center"/>
      <protection hidden="1"/>
    </xf>
    <xf numFmtId="165" fontId="46" fillId="2" borderId="50" xfId="0" applyNumberFormat="1" applyFont="1" applyFill="1" applyBorder="1" applyAlignment="1" applyProtection="1">
      <alignment vertical="center"/>
      <protection hidden="1"/>
    </xf>
    <xf numFmtId="165" fontId="33" fillId="2" borderId="51" xfId="0" applyNumberFormat="1" applyFont="1" applyFill="1" applyBorder="1" applyAlignment="1" applyProtection="1">
      <alignment vertical="center"/>
      <protection hidden="1"/>
    </xf>
    <xf numFmtId="165" fontId="33" fillId="2" borderId="50" xfId="0" applyNumberFormat="1" applyFont="1" applyFill="1" applyBorder="1" applyAlignment="1" applyProtection="1">
      <alignment vertical="center"/>
      <protection hidden="1"/>
    </xf>
    <xf numFmtId="165" fontId="33" fillId="2" borderId="52" xfId="0" applyNumberFormat="1" applyFont="1" applyFill="1" applyBorder="1" applyAlignment="1" applyProtection="1">
      <alignment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83" fontId="9" fillId="2" borderId="0" xfId="2" applyNumberFormat="1" applyFont="1" applyFill="1" applyBorder="1" applyAlignment="1" applyProtection="1">
      <alignment horizontal="center" vertical="center"/>
      <protection hidden="1"/>
    </xf>
    <xf numFmtId="0" fontId="2" fillId="2" borderId="38" xfId="0" applyFont="1" applyFill="1" applyBorder="1" applyAlignment="1" applyProtection="1">
      <alignment horizontal="left" vertical="center" indent="1"/>
      <protection hidden="1"/>
    </xf>
    <xf numFmtId="0" fontId="9" fillId="2" borderId="11" xfId="0" applyFont="1" applyFill="1" applyBorder="1" applyAlignment="1" applyProtection="1">
      <alignment horizontal="center" vertical="center"/>
      <protection hidden="1"/>
    </xf>
    <xf numFmtId="175" fontId="77" fillId="2" borderId="10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NumberFormat="1" applyFont="1" applyFill="1" applyAlignment="1" applyProtection="1">
      <alignment horizontal="center" vertical="top"/>
      <protection hidden="1"/>
    </xf>
    <xf numFmtId="168" fontId="12" fillId="3" borderId="40" xfId="0" applyNumberFormat="1" applyFont="1" applyFill="1" applyBorder="1" applyAlignment="1" applyProtection="1">
      <alignment vertical="center"/>
      <protection locked="0"/>
    </xf>
    <xf numFmtId="14" fontId="20" fillId="2" borderId="4" xfId="0" applyNumberFormat="1" applyFont="1" applyFill="1" applyBorder="1" applyAlignment="1" applyProtection="1">
      <alignment horizontal="center" vertical="center"/>
      <protection locked="0"/>
    </xf>
    <xf numFmtId="164" fontId="43" fillId="4" borderId="10" xfId="0" applyNumberFormat="1" applyFont="1" applyFill="1" applyBorder="1" applyAlignment="1" applyProtection="1">
      <alignment horizontal="center" vertical="center"/>
      <protection hidden="1"/>
    </xf>
    <xf numFmtId="164" fontId="74" fillId="2" borderId="10" xfId="0" applyNumberFormat="1" applyFont="1" applyFill="1" applyBorder="1" applyAlignment="1" applyProtection="1">
      <alignment horizontal="center" vertical="center"/>
      <protection locked="0"/>
    </xf>
    <xf numFmtId="168" fontId="12" fillId="3" borderId="70" xfId="0" applyNumberFormat="1" applyFont="1" applyFill="1" applyBorder="1" applyAlignment="1" applyProtection="1">
      <alignment vertical="center"/>
      <protection hidden="1"/>
    </xf>
    <xf numFmtId="168" fontId="43" fillId="2" borderId="29" xfId="0" applyNumberFormat="1" applyFont="1" applyFill="1" applyBorder="1" applyAlignment="1" applyProtection="1">
      <alignment vertical="center"/>
      <protection hidden="1"/>
    </xf>
    <xf numFmtId="166" fontId="43" fillId="2" borderId="10" xfId="0" applyNumberFormat="1" applyFont="1" applyFill="1" applyBorder="1" applyAlignment="1" applyProtection="1">
      <alignment horizontal="center" vertical="center"/>
      <protection hidden="1"/>
    </xf>
    <xf numFmtId="168" fontId="43" fillId="2" borderId="13" xfId="0" applyNumberFormat="1" applyFont="1" applyFill="1" applyBorder="1" applyAlignment="1" applyProtection="1">
      <alignment vertical="center"/>
      <protection hidden="1"/>
    </xf>
    <xf numFmtId="168" fontId="43" fillId="2" borderId="21" xfId="0" applyNumberFormat="1" applyFont="1" applyFill="1" applyBorder="1" applyAlignment="1" applyProtection="1">
      <alignment vertical="center"/>
      <protection hidden="1"/>
    </xf>
    <xf numFmtId="0" fontId="8" fillId="2" borderId="0" xfId="0" applyNumberFormat="1" applyFont="1" applyFill="1" applyBorder="1" applyAlignment="1" applyProtection="1">
      <alignment horizontal="right"/>
      <protection hidden="1"/>
    </xf>
    <xf numFmtId="0" fontId="8" fillId="2" borderId="0" xfId="0" applyNumberFormat="1" applyFont="1" applyFill="1" applyBorder="1" applyAlignment="1" applyProtection="1">
      <alignment horizontal="right" vertical="top"/>
      <protection hidden="1"/>
    </xf>
    <xf numFmtId="165" fontId="12" fillId="2" borderId="0" xfId="0" applyNumberFormat="1" applyFont="1" applyFill="1" applyAlignment="1" applyProtection="1">
      <alignment horizontal="right" vertical="center"/>
      <protection hidden="1"/>
    </xf>
    <xf numFmtId="165" fontId="35" fillId="2" borderId="0" xfId="0" applyNumberFormat="1" applyFont="1" applyFill="1" applyAlignment="1" applyProtection="1">
      <alignment vertical="center"/>
      <protection hidden="1"/>
    </xf>
    <xf numFmtId="165" fontId="45" fillId="2" borderId="0" xfId="0" applyNumberFormat="1" applyFont="1" applyFill="1" applyAlignment="1" applyProtection="1">
      <alignment vertical="center"/>
      <protection hidden="1"/>
    </xf>
    <xf numFmtId="168" fontId="0" fillId="2" borderId="0" xfId="0" applyNumberFormat="1" applyFill="1" applyAlignment="1" applyProtection="1">
      <alignment vertical="center"/>
      <protection hidden="1"/>
    </xf>
    <xf numFmtId="178" fontId="45" fillId="2" borderId="24" xfId="0" applyNumberFormat="1" applyFont="1" applyFill="1" applyBorder="1" applyAlignment="1" applyProtection="1">
      <alignment horizontal="right" vertical="center"/>
      <protection locked="0"/>
    </xf>
    <xf numFmtId="0" fontId="33" fillId="2" borderId="0" xfId="0" applyNumberFormat="1" applyFont="1" applyFill="1" applyAlignment="1" applyProtection="1">
      <alignment horizontal="center" vertical="center"/>
      <protection hidden="1"/>
    </xf>
    <xf numFmtId="168" fontId="4" fillId="2" borderId="13" xfId="0" applyNumberFormat="1" applyFont="1" applyFill="1" applyBorder="1" applyAlignment="1" applyProtection="1">
      <alignment vertical="center"/>
      <protection hidden="1"/>
    </xf>
    <xf numFmtId="168" fontId="4" fillId="2" borderId="17" xfId="0" applyNumberFormat="1" applyFont="1" applyFill="1" applyBorder="1" applyAlignment="1" applyProtection="1">
      <alignment vertical="center"/>
      <protection hidden="1"/>
    </xf>
    <xf numFmtId="168" fontId="4" fillId="2" borderId="21" xfId="0" applyNumberFormat="1" applyFont="1" applyFill="1" applyBorder="1" applyAlignment="1" applyProtection="1">
      <alignment vertical="center"/>
      <protection hidden="1"/>
    </xf>
    <xf numFmtId="0" fontId="78" fillId="2" borderId="0" xfId="0" applyFont="1" applyFill="1" applyBorder="1" applyAlignment="1" applyProtection="1">
      <alignment horizontal="center" vertical="top"/>
      <protection hidden="1"/>
    </xf>
    <xf numFmtId="0" fontId="78" fillId="2" borderId="0" xfId="0" applyFont="1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vertical="center"/>
      <protection hidden="1"/>
    </xf>
    <xf numFmtId="168" fontId="45" fillId="2" borderId="14" xfId="0" applyNumberFormat="1" applyFont="1" applyFill="1" applyBorder="1" applyAlignment="1" applyProtection="1">
      <alignment vertical="center"/>
      <protection hidden="1"/>
    </xf>
    <xf numFmtId="168" fontId="45" fillId="2" borderId="15" xfId="0" applyNumberFormat="1" applyFont="1" applyFill="1" applyBorder="1" applyAlignment="1" applyProtection="1">
      <alignment vertical="center"/>
      <protection hidden="1"/>
    </xf>
    <xf numFmtId="168" fontId="45" fillId="2" borderId="16" xfId="0" applyNumberFormat="1" applyFont="1" applyFill="1" applyBorder="1" applyAlignment="1" applyProtection="1">
      <alignment vertical="center"/>
      <protection hidden="1"/>
    </xf>
    <xf numFmtId="168" fontId="45" fillId="2" borderId="18" xfId="0" applyNumberFormat="1" applyFont="1" applyFill="1" applyBorder="1" applyAlignment="1" applyProtection="1">
      <alignment vertical="center"/>
      <protection hidden="1"/>
    </xf>
    <xf numFmtId="168" fontId="45" fillId="2" borderId="19" xfId="0" applyNumberFormat="1" applyFont="1" applyFill="1" applyBorder="1" applyAlignment="1" applyProtection="1">
      <alignment vertical="center"/>
      <protection hidden="1"/>
    </xf>
    <xf numFmtId="168" fontId="45" fillId="2" borderId="5" xfId="0" applyNumberFormat="1" applyFont="1" applyFill="1" applyBorder="1" applyAlignment="1" applyProtection="1">
      <alignment vertical="center"/>
      <protection hidden="1"/>
    </xf>
    <xf numFmtId="168" fontId="45" fillId="2" borderId="6" xfId="0" applyNumberFormat="1" applyFont="1" applyFill="1" applyBorder="1" applyAlignment="1" applyProtection="1">
      <alignment vertical="center"/>
      <protection hidden="1"/>
    </xf>
    <xf numFmtId="168" fontId="45" fillId="2" borderId="7" xfId="0" applyNumberFormat="1" applyFont="1" applyFill="1" applyBorder="1" applyAlignment="1" applyProtection="1">
      <alignment vertical="center"/>
      <protection hidden="1"/>
    </xf>
    <xf numFmtId="165" fontId="62" fillId="2" borderId="0" xfId="2" applyNumberFormat="1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/>
      <protection hidden="1"/>
    </xf>
    <xf numFmtId="165" fontId="54" fillId="2" borderId="0" xfId="0" applyNumberFormat="1" applyFont="1" applyFill="1" applyAlignment="1" applyProtection="1">
      <alignment horizontal="center" vertical="top"/>
      <protection hidden="1"/>
    </xf>
    <xf numFmtId="0" fontId="0" fillId="0" borderId="11" xfId="0" applyBorder="1" applyAlignment="1"/>
    <xf numFmtId="168" fontId="12" fillId="2" borderId="64" xfId="0" applyNumberFormat="1" applyFont="1" applyFill="1" applyBorder="1" applyAlignment="1" applyProtection="1">
      <alignment vertical="center"/>
      <protection hidden="1"/>
    </xf>
    <xf numFmtId="165" fontId="34" fillId="2" borderId="0" xfId="0" applyNumberFormat="1" applyFont="1" applyFill="1" applyAlignment="1" applyProtection="1">
      <alignment horizontal="center" vertical="top"/>
      <protection hidden="1"/>
    </xf>
    <xf numFmtId="165" fontId="12" fillId="2" borderId="0" xfId="0" applyNumberFormat="1" applyFont="1" applyFill="1" applyAlignment="1" applyProtection="1">
      <alignment horizontal="center" vertical="top"/>
      <protection hidden="1"/>
    </xf>
    <xf numFmtId="0" fontId="77" fillId="2" borderId="24" xfId="0" applyNumberFormat="1" applyFont="1" applyFill="1" applyBorder="1" applyAlignment="1" applyProtection="1">
      <alignment horizontal="center" vertical="center"/>
      <protection hidden="1"/>
    </xf>
    <xf numFmtId="0" fontId="83" fillId="2" borderId="0" xfId="0" applyFont="1" applyFill="1" applyBorder="1" applyAlignment="1" applyProtection="1">
      <alignment vertical="top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0" fontId="97" fillId="2" borderId="0" xfId="0" applyFont="1" applyFill="1" applyAlignment="1" applyProtection="1">
      <alignment horizontal="center" vertical="center"/>
      <protection hidden="1"/>
    </xf>
    <xf numFmtId="0" fontId="77" fillId="2" borderId="39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right" indent="1"/>
      <protection hidden="1"/>
    </xf>
    <xf numFmtId="168" fontId="14" fillId="4" borderId="22" xfId="0" applyNumberFormat="1" applyFont="1" applyFill="1" applyBorder="1" applyAlignment="1" applyProtection="1">
      <alignment vertical="center"/>
      <protection hidden="1"/>
    </xf>
    <xf numFmtId="168" fontId="14" fillId="4" borderId="23" xfId="0" applyNumberFormat="1" applyFont="1" applyFill="1" applyBorder="1" applyAlignment="1" applyProtection="1">
      <alignment vertical="center"/>
      <protection hidden="1"/>
    </xf>
    <xf numFmtId="168" fontId="14" fillId="4" borderId="24" xfId="0" applyNumberFormat="1" applyFont="1" applyFill="1" applyBorder="1" applyAlignment="1" applyProtection="1">
      <alignment vertical="center"/>
      <protection hidden="1"/>
    </xf>
    <xf numFmtId="168" fontId="14" fillId="2" borderId="4" xfId="0" applyNumberFormat="1" applyFont="1" applyFill="1" applyBorder="1" applyAlignment="1" applyProtection="1">
      <alignment vertical="center"/>
      <protection hidden="1"/>
    </xf>
    <xf numFmtId="168" fontId="14" fillId="2" borderId="32" xfId="0" applyNumberFormat="1" applyFont="1" applyFill="1" applyBorder="1" applyAlignment="1" applyProtection="1">
      <alignment vertical="center"/>
      <protection hidden="1"/>
    </xf>
    <xf numFmtId="168" fontId="14" fillId="2" borderId="40" xfId="0" applyNumberFormat="1" applyFont="1" applyFill="1" applyBorder="1" applyAlignment="1" applyProtection="1">
      <alignment vertical="center"/>
      <protection hidden="1"/>
    </xf>
    <xf numFmtId="168" fontId="14" fillId="2" borderId="18" xfId="0" applyNumberFormat="1" applyFont="1" applyFill="1" applyBorder="1" applyAlignment="1" applyProtection="1">
      <alignment vertical="center"/>
      <protection hidden="1"/>
    </xf>
    <xf numFmtId="168" fontId="14" fillId="2" borderId="9" xfId="0" applyNumberFormat="1" applyFont="1" applyFill="1" applyBorder="1" applyAlignment="1" applyProtection="1">
      <alignment vertical="center"/>
      <protection hidden="1"/>
    </xf>
    <xf numFmtId="168" fontId="14" fillId="2" borderId="19" xfId="0" applyNumberFormat="1" applyFont="1" applyFill="1" applyBorder="1" applyAlignment="1" applyProtection="1">
      <alignment vertical="center"/>
      <protection hidden="1"/>
    </xf>
    <xf numFmtId="168" fontId="14" fillId="2" borderId="5" xfId="0" applyNumberFormat="1" applyFont="1" applyFill="1" applyBorder="1" applyAlignment="1" applyProtection="1">
      <alignment vertical="center"/>
      <protection hidden="1"/>
    </xf>
    <xf numFmtId="168" fontId="14" fillId="2" borderId="6" xfId="0" applyNumberFormat="1" applyFont="1" applyFill="1" applyBorder="1" applyAlignment="1" applyProtection="1">
      <alignment vertical="center"/>
      <protection hidden="1"/>
    </xf>
    <xf numFmtId="168" fontId="14" fillId="2" borderId="7" xfId="0" applyNumberFormat="1" applyFont="1" applyFill="1" applyBorder="1" applyAlignment="1" applyProtection="1">
      <alignment vertical="center"/>
      <protection hidden="1"/>
    </xf>
    <xf numFmtId="0" fontId="0" fillId="2" borderId="32" xfId="0" applyNumberFormat="1" applyFill="1" applyBorder="1" applyAlignment="1" applyProtection="1">
      <alignment horizontal="center" vertical="top"/>
      <protection hidden="1"/>
    </xf>
    <xf numFmtId="0" fontId="43" fillId="2" borderId="0" xfId="5" applyFont="1" applyFill="1" applyAlignment="1" applyProtection="1">
      <protection hidden="1"/>
    </xf>
    <xf numFmtId="0" fontId="8" fillId="2" borderId="0" xfId="2" applyNumberFormat="1" applyFont="1" applyFill="1" applyBorder="1" applyAlignment="1" applyProtection="1">
      <alignment vertical="center"/>
      <protection hidden="1"/>
    </xf>
    <xf numFmtId="0" fontId="3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89" fillId="2" borderId="0" xfId="0" applyFont="1" applyFill="1" applyBorder="1" applyAlignment="1" applyProtection="1">
      <alignment vertical="center"/>
      <protection hidden="1"/>
    </xf>
    <xf numFmtId="0" fontId="9" fillId="2" borderId="0" xfId="0" applyNumberFormat="1" applyFont="1" applyFill="1" applyAlignment="1" applyProtection="1">
      <alignment vertical="top"/>
      <protection hidden="1"/>
    </xf>
    <xf numFmtId="0" fontId="99" fillId="2" borderId="0" xfId="0" applyFont="1" applyFill="1" applyAlignment="1" applyProtection="1">
      <alignment horizontal="center"/>
      <protection hidden="1"/>
    </xf>
    <xf numFmtId="0" fontId="96" fillId="2" borderId="0" xfId="0" applyFont="1" applyFill="1" applyAlignment="1" applyProtection="1">
      <alignment horizontal="center" vertical="center"/>
      <protection hidden="1"/>
    </xf>
    <xf numFmtId="165" fontId="15" fillId="2" borderId="0" xfId="0" applyNumberFormat="1" applyFont="1" applyFill="1" applyAlignment="1" applyProtection="1">
      <alignment horizontal="right" vertical="center"/>
      <protection hidden="1"/>
    </xf>
    <xf numFmtId="182" fontId="4" fillId="2" borderId="0" xfId="0" applyNumberFormat="1" applyFont="1" applyFill="1" applyBorder="1" applyAlignment="1" applyProtection="1">
      <alignment vertical="center"/>
      <protection hidden="1"/>
    </xf>
    <xf numFmtId="182" fontId="4" fillId="2" borderId="0" xfId="0" applyNumberFormat="1" applyFont="1" applyFill="1" applyAlignment="1" applyProtection="1">
      <alignment vertical="center"/>
      <protection hidden="1"/>
    </xf>
    <xf numFmtId="164" fontId="20" fillId="2" borderId="11" xfId="0" applyNumberFormat="1" applyFont="1" applyFill="1" applyBorder="1" applyAlignment="1" applyProtection="1">
      <alignment horizontal="right" vertical="center"/>
      <protection hidden="1"/>
    </xf>
    <xf numFmtId="182" fontId="4" fillId="2" borderId="11" xfId="0" applyNumberFormat="1" applyFont="1" applyFill="1" applyBorder="1" applyAlignment="1" applyProtection="1">
      <alignment vertical="center"/>
      <protection hidden="1"/>
    </xf>
    <xf numFmtId="0" fontId="20" fillId="2" borderId="10" xfId="0" applyFont="1" applyFill="1" applyBorder="1" applyAlignment="1" applyProtection="1">
      <alignment horizontal="center" vertical="center"/>
      <protection hidden="1"/>
    </xf>
    <xf numFmtId="164" fontId="60" fillId="2" borderId="0" xfId="0" applyNumberFormat="1" applyFont="1" applyFill="1" applyAlignment="1" applyProtection="1">
      <alignment horizontal="right" vertical="center"/>
      <protection hidden="1"/>
    </xf>
    <xf numFmtId="0" fontId="106" fillId="2" borderId="0" xfId="0" applyFont="1" applyFill="1" applyBorder="1" applyAlignment="1" applyProtection="1">
      <alignment vertical="center"/>
      <protection hidden="1"/>
    </xf>
    <xf numFmtId="0" fontId="101" fillId="2" borderId="0" xfId="0" applyFont="1" applyFill="1" applyBorder="1" applyAlignment="1" applyProtection="1">
      <alignment horizontal="left" vertical="top" indent="1"/>
      <protection hidden="1"/>
    </xf>
    <xf numFmtId="164" fontId="76" fillId="2" borderId="0" xfId="0" applyNumberFormat="1" applyFont="1" applyFill="1" applyBorder="1" applyAlignment="1" applyProtection="1">
      <alignment horizontal="right"/>
      <protection hidden="1"/>
    </xf>
    <xf numFmtId="164" fontId="60" fillId="2" borderId="0" xfId="0" applyNumberFormat="1" applyFont="1" applyFill="1" applyBorder="1" applyAlignment="1" applyProtection="1">
      <alignment horizontal="right" vertical="center"/>
      <protection hidden="1"/>
    </xf>
    <xf numFmtId="168" fontId="15" fillId="2" borderId="0" xfId="0" applyNumberFormat="1" applyFont="1" applyFill="1" applyBorder="1" applyAlignment="1" applyProtection="1">
      <alignment vertical="center"/>
      <protection hidden="1"/>
    </xf>
    <xf numFmtId="0" fontId="94" fillId="2" borderId="0" xfId="0" applyFont="1" applyFill="1" applyBorder="1" applyAlignment="1" applyProtection="1">
      <alignment horizontal="right" vertical="top" indent="1"/>
      <protection hidden="1"/>
    </xf>
    <xf numFmtId="164" fontId="20" fillId="2" borderId="0" xfId="0" applyNumberFormat="1" applyFont="1" applyFill="1" applyBorder="1" applyAlignment="1" applyProtection="1">
      <alignment horizontal="right" vertical="center"/>
      <protection hidden="1"/>
    </xf>
    <xf numFmtId="0" fontId="95" fillId="2" borderId="0" xfId="0" applyFont="1" applyFill="1" applyAlignment="1" applyProtection="1">
      <alignment vertical="center"/>
      <protection hidden="1"/>
    </xf>
    <xf numFmtId="0" fontId="96" fillId="2" borderId="0" xfId="0" applyFont="1" applyFill="1" applyProtection="1">
      <protection hidden="1"/>
    </xf>
    <xf numFmtId="164" fontId="60" fillId="2" borderId="0" xfId="0" applyNumberFormat="1" applyFont="1" applyFill="1" applyBorder="1" applyAlignment="1" applyProtection="1">
      <alignment horizontal="right"/>
      <protection hidden="1"/>
    </xf>
    <xf numFmtId="164" fontId="60" fillId="2" borderId="0" xfId="0" applyNumberFormat="1" applyFont="1" applyFill="1" applyBorder="1" applyAlignment="1" applyProtection="1">
      <alignment horizontal="right" vertical="top"/>
      <protection hidden="1"/>
    </xf>
    <xf numFmtId="14" fontId="2" fillId="2" borderId="0" xfId="0" applyNumberFormat="1" applyFont="1" applyFill="1" applyAlignment="1" applyProtection="1">
      <alignment horizontal="left"/>
      <protection hidden="1"/>
    </xf>
    <xf numFmtId="0" fontId="30" fillId="2" borderId="0" xfId="0" applyFont="1" applyFill="1" applyProtection="1">
      <protection hidden="1"/>
    </xf>
    <xf numFmtId="0" fontId="15" fillId="2" borderId="0" xfId="0" applyFont="1" applyFill="1" applyAlignment="1" applyProtection="1">
      <alignment horizontal="left"/>
      <protection hidden="1"/>
    </xf>
    <xf numFmtId="0" fontId="15" fillId="2" borderId="0" xfId="0" applyFont="1" applyFill="1" applyProtection="1">
      <protection hidden="1"/>
    </xf>
    <xf numFmtId="2" fontId="15" fillId="2" borderId="0" xfId="0" applyNumberFormat="1" applyFont="1" applyFill="1" applyProtection="1">
      <protection hidden="1"/>
    </xf>
    <xf numFmtId="0" fontId="2" fillId="2" borderId="0" xfId="0" applyNumberFormat="1" applyFont="1" applyFill="1" applyProtection="1">
      <protection hidden="1"/>
    </xf>
    <xf numFmtId="0" fontId="30" fillId="2" borderId="0" xfId="0" applyNumberFormat="1" applyFont="1" applyFill="1" applyAlignment="1" applyProtection="1">
      <alignment horizontal="center" vertical="center"/>
      <protection hidden="1"/>
    </xf>
    <xf numFmtId="2" fontId="30" fillId="2" borderId="0" xfId="0" applyNumberFormat="1" applyFont="1" applyFill="1" applyProtection="1">
      <protection hidden="1"/>
    </xf>
    <xf numFmtId="14" fontId="2" fillId="2" borderId="0" xfId="0" applyNumberFormat="1" applyFont="1" applyFill="1" applyAlignment="1" applyProtection="1">
      <alignment horizontal="center" vertical="center"/>
      <protection hidden="1"/>
    </xf>
    <xf numFmtId="0" fontId="2" fillId="2" borderId="0" xfId="0" applyNumberFormat="1" applyFont="1" applyFill="1" applyAlignment="1" applyProtection="1">
      <alignment horizontal="center" vertical="center"/>
      <protection hidden="1"/>
    </xf>
    <xf numFmtId="2" fontId="30" fillId="2" borderId="0" xfId="0" applyNumberFormat="1" applyFont="1" applyFill="1" applyAlignment="1" applyProtection="1">
      <alignment horizontal="center" vertical="center"/>
      <protection hidden="1"/>
    </xf>
    <xf numFmtId="0" fontId="60" fillId="4" borderId="72" xfId="0" applyFont="1" applyFill="1" applyBorder="1" applyAlignment="1" applyProtection="1">
      <alignment horizontal="center" vertical="center"/>
      <protection locked="0"/>
    </xf>
    <xf numFmtId="182" fontId="4" fillId="3" borderId="16" xfId="0" applyNumberFormat="1" applyFont="1" applyFill="1" applyBorder="1" applyAlignment="1" applyProtection="1">
      <alignment vertical="center"/>
      <protection locked="0"/>
    </xf>
    <xf numFmtId="182" fontId="4" fillId="3" borderId="19" xfId="0" applyNumberFormat="1" applyFont="1" applyFill="1" applyBorder="1" applyAlignment="1" applyProtection="1">
      <alignment vertical="center"/>
      <protection locked="0"/>
    </xf>
    <xf numFmtId="182" fontId="4" fillId="3" borderId="7" xfId="0" applyNumberFormat="1" applyFont="1" applyFill="1" applyBorder="1" applyAlignment="1" applyProtection="1">
      <alignment vertical="center"/>
      <protection locked="0"/>
    </xf>
    <xf numFmtId="182" fontId="4" fillId="3" borderId="24" xfId="0" applyNumberFormat="1" applyFont="1" applyFill="1" applyBorder="1" applyAlignment="1" applyProtection="1">
      <alignment vertical="center"/>
      <protection locked="0"/>
    </xf>
    <xf numFmtId="0" fontId="87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left" indent="1"/>
      <protection hidden="1"/>
    </xf>
    <xf numFmtId="0" fontId="9" fillId="2" borderId="0" xfId="0" applyNumberFormat="1" applyFont="1" applyFill="1" applyAlignment="1" applyProtection="1">
      <protection hidden="1"/>
    </xf>
    <xf numFmtId="0" fontId="12" fillId="2" borderId="0" xfId="0" applyFont="1" applyFill="1" applyAlignment="1" applyProtection="1"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180" fontId="12" fillId="2" borderId="0" xfId="0" applyNumberFormat="1" applyFont="1" applyFill="1" applyAlignment="1" applyProtection="1">
      <protection hidden="1"/>
    </xf>
    <xf numFmtId="0" fontId="12" fillId="2" borderId="0" xfId="0" applyFont="1" applyFill="1" applyAlignment="1" applyProtection="1">
      <alignment vertical="top"/>
      <protection hidden="1"/>
    </xf>
    <xf numFmtId="0" fontId="30" fillId="2" borderId="0" xfId="0" applyFont="1" applyFill="1" applyAlignment="1" applyProtection="1">
      <protection hidden="1"/>
    </xf>
    <xf numFmtId="0" fontId="20" fillId="2" borderId="0" xfId="0" applyFont="1" applyFill="1" applyAlignment="1" applyProtection="1">
      <protection hidden="1"/>
    </xf>
    <xf numFmtId="0" fontId="20" fillId="2" borderId="0" xfId="0" applyFont="1" applyFill="1" applyAlignment="1" applyProtection="1">
      <alignment horizontal="left"/>
      <protection hidden="1"/>
    </xf>
    <xf numFmtId="0" fontId="31" fillId="2" borderId="0" xfId="0" applyFont="1" applyFill="1" applyAlignment="1" applyProtection="1">
      <alignment horizontal="right"/>
      <protection hidden="1"/>
    </xf>
    <xf numFmtId="0" fontId="15" fillId="2" borderId="0" xfId="0" applyFont="1" applyFill="1" applyAlignment="1" applyProtection="1">
      <protection hidden="1"/>
    </xf>
    <xf numFmtId="4" fontId="31" fillId="2" borderId="0" xfId="0" applyNumberFormat="1" applyFont="1" applyFill="1" applyProtection="1">
      <protection hidden="1"/>
    </xf>
    <xf numFmtId="4" fontId="1" fillId="2" borderId="0" xfId="0" applyNumberFormat="1" applyFont="1" applyFill="1" applyProtection="1">
      <protection hidden="1"/>
    </xf>
    <xf numFmtId="4" fontId="0" fillId="2" borderId="0" xfId="0" applyNumberFormat="1" applyFill="1" applyAlignment="1" applyProtection="1">
      <alignment horizontal="right"/>
      <protection hidden="1"/>
    </xf>
    <xf numFmtId="4" fontId="31" fillId="2" borderId="0" xfId="0" applyNumberFormat="1" applyFont="1" applyFill="1" applyAlignment="1" applyProtection="1">
      <alignment horizontal="right"/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 vertical="top"/>
      <protection hidden="1"/>
    </xf>
    <xf numFmtId="0" fontId="0" fillId="2" borderId="0" xfId="0" applyFill="1" applyAlignment="1" applyProtection="1">
      <alignment horizontal="right"/>
      <protection hidden="1"/>
    </xf>
    <xf numFmtId="1" fontId="31" fillId="2" borderId="0" xfId="0" applyNumberFormat="1" applyFont="1" applyFill="1" applyProtection="1">
      <protection hidden="1"/>
    </xf>
    <xf numFmtId="0" fontId="9" fillId="2" borderId="0" xfId="0" applyFont="1" applyFill="1" applyAlignment="1" applyProtection="1">
      <alignment horizontal="left" vertical="top" indent="1"/>
      <protection hidden="1"/>
    </xf>
    <xf numFmtId="0" fontId="31" fillId="2" borderId="8" xfId="0" applyFont="1" applyFill="1" applyBorder="1" applyAlignment="1" applyProtection="1">
      <alignment vertical="center"/>
      <protection hidden="1"/>
    </xf>
    <xf numFmtId="0" fontId="3" fillId="2" borderId="8" xfId="0" applyFont="1" applyFill="1" applyBorder="1" applyAlignment="1" applyProtection="1">
      <alignment horizontal="right" vertical="center"/>
      <protection hidden="1"/>
    </xf>
    <xf numFmtId="0" fontId="71" fillId="2" borderId="0" xfId="0" applyFont="1" applyFill="1" applyAlignment="1" applyProtection="1">
      <alignment vertical="center"/>
      <protection hidden="1"/>
    </xf>
    <xf numFmtId="0" fontId="85" fillId="2" borderId="0" xfId="0" applyFont="1" applyFill="1" applyAlignment="1" applyProtection="1">
      <alignment horizontal="left" vertical="center"/>
      <protection hidden="1"/>
    </xf>
    <xf numFmtId="0" fontId="109" fillId="2" borderId="0" xfId="0" applyFont="1" applyFill="1" applyAlignment="1" applyProtection="1">
      <alignment horizontal="center" vertical="center"/>
      <protection hidden="1"/>
    </xf>
    <xf numFmtId="0" fontId="109" fillId="2" borderId="0" xfId="0" applyFont="1" applyFill="1" applyProtection="1">
      <protection hidden="1"/>
    </xf>
    <xf numFmtId="165" fontId="64" fillId="2" borderId="0" xfId="0" applyNumberFormat="1" applyFont="1" applyFill="1" applyAlignment="1" applyProtection="1">
      <alignment vertical="center"/>
      <protection hidden="1"/>
    </xf>
    <xf numFmtId="4" fontId="34" fillId="2" borderId="0" xfId="0" applyNumberFormat="1" applyFont="1" applyFill="1" applyAlignment="1" applyProtection="1">
      <alignment horizontal="left" vertical="center"/>
      <protection hidden="1"/>
    </xf>
    <xf numFmtId="4" fontId="85" fillId="2" borderId="0" xfId="0" applyNumberFormat="1" applyFont="1" applyFill="1" applyAlignment="1" applyProtection="1">
      <alignment horizontal="left" vertical="center"/>
      <protection hidden="1"/>
    </xf>
    <xf numFmtId="0" fontId="84" fillId="0" borderId="11" xfId="1" applyFont="1" applyBorder="1" applyAlignment="1" applyProtection="1">
      <alignment horizontal="right" vertical="center" indent="1"/>
      <protection locked="0"/>
    </xf>
    <xf numFmtId="165" fontId="61" fillId="2" borderId="0" xfId="0" applyNumberFormat="1" applyFont="1" applyFill="1" applyAlignment="1" applyProtection="1">
      <alignment horizontal="center" vertical="center"/>
      <protection hidden="1"/>
    </xf>
    <xf numFmtId="0" fontId="71" fillId="2" borderId="0" xfId="0" applyFont="1" applyFill="1" applyBorder="1" applyAlignment="1" applyProtection="1">
      <alignment horizontal="center" vertical="center"/>
      <protection hidden="1"/>
    </xf>
    <xf numFmtId="0" fontId="109" fillId="2" borderId="0" xfId="0" applyFont="1" applyFill="1" applyAlignment="1" applyProtection="1">
      <alignment vertical="center"/>
      <protection hidden="1"/>
    </xf>
    <xf numFmtId="165" fontId="8" fillId="2" borderId="0" xfId="0" applyNumberFormat="1" applyFont="1" applyFill="1" applyBorder="1" applyAlignment="1" applyProtection="1">
      <alignment vertical="center"/>
      <protection hidden="1"/>
    </xf>
    <xf numFmtId="165" fontId="8" fillId="2" borderId="42" xfId="0" applyNumberFormat="1" applyFont="1" applyFill="1" applyBorder="1" applyAlignment="1" applyProtection="1">
      <alignment vertical="center"/>
      <protection hidden="1"/>
    </xf>
    <xf numFmtId="0" fontId="72" fillId="2" borderId="0" xfId="5" applyFont="1" applyFill="1" applyAlignment="1" applyProtection="1">
      <protection hidden="1"/>
    </xf>
    <xf numFmtId="0" fontId="106" fillId="2" borderId="0" xfId="6" applyFont="1" applyFill="1" applyAlignment="1" applyProtection="1">
      <alignment horizontal="center" vertical="center"/>
      <protection hidden="1"/>
    </xf>
    <xf numFmtId="0" fontId="8" fillId="2" borderId="0" xfId="2" applyNumberFormat="1" applyFont="1" applyFill="1" applyBorder="1" applyAlignment="1" applyProtection="1">
      <alignment horizontal="right" vertical="center" indent="1"/>
      <protection hidden="1"/>
    </xf>
    <xf numFmtId="0" fontId="8" fillId="2" borderId="0" xfId="2" applyNumberFormat="1" applyFont="1" applyFill="1" applyBorder="1" applyAlignment="1" applyProtection="1">
      <alignment horizontal="right" indent="1"/>
      <protection hidden="1"/>
    </xf>
    <xf numFmtId="0" fontId="99" fillId="2" borderId="0" xfId="0" applyFont="1" applyFill="1" applyAlignment="1" applyProtection="1">
      <alignment horizontal="right" indent="1"/>
      <protection hidden="1"/>
    </xf>
    <xf numFmtId="0" fontId="103" fillId="2" borderId="0" xfId="0" applyFont="1" applyFill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horizontal="center" vertical="center"/>
      <protection hidden="1"/>
    </xf>
    <xf numFmtId="0" fontId="109" fillId="2" borderId="0" xfId="0" applyFont="1" applyFill="1" applyAlignment="1" applyProtection="1">
      <alignment horizontal="center" vertical="top"/>
      <protection hidden="1"/>
    </xf>
    <xf numFmtId="0" fontId="110" fillId="2" borderId="0" xfId="0" applyFont="1" applyFill="1" applyAlignment="1" applyProtection="1">
      <alignment vertical="center"/>
      <protection hidden="1"/>
    </xf>
    <xf numFmtId="165" fontId="24" fillId="2" borderId="0" xfId="0" applyNumberFormat="1" applyFont="1" applyFill="1" applyAlignment="1" applyProtection="1">
      <alignment horizontal="center" vertical="top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12" fillId="2" borderId="20" xfId="0" applyNumberFormat="1" applyFont="1" applyFill="1" applyBorder="1" applyAlignment="1" applyProtection="1">
      <alignment horizontal="right" vertical="center" indent="1"/>
      <protection hidden="1"/>
    </xf>
    <xf numFmtId="164" fontId="111" fillId="2" borderId="0" xfId="0" applyNumberFormat="1" applyFont="1" applyFill="1" applyAlignment="1" applyProtection="1">
      <alignment horizontal="right" vertical="center"/>
      <protection hidden="1"/>
    </xf>
    <xf numFmtId="164" fontId="111" fillId="2" borderId="0" xfId="0" applyNumberFormat="1" applyFont="1" applyFill="1" applyAlignment="1" applyProtection="1">
      <alignment horizontal="right" vertical="center"/>
      <protection locked="0"/>
    </xf>
    <xf numFmtId="0" fontId="84" fillId="2" borderId="0" xfId="0" applyFont="1" applyFill="1" applyAlignment="1" applyProtection="1"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12" fillId="2" borderId="11" xfId="0" applyFont="1" applyFill="1" applyBorder="1" applyAlignment="1" applyProtection="1">
      <alignment horizontal="center" vertical="top"/>
      <protection hidden="1"/>
    </xf>
    <xf numFmtId="0" fontId="89" fillId="2" borderId="0" xfId="0" applyFont="1" applyFill="1" applyBorder="1" applyAlignment="1" applyProtection="1">
      <protection hidden="1"/>
    </xf>
    <xf numFmtId="165" fontId="24" fillId="2" borderId="11" xfId="0" applyNumberFormat="1" applyFont="1" applyFill="1" applyBorder="1" applyAlignment="1" applyProtection="1">
      <alignment vertical="center"/>
      <protection hidden="1"/>
    </xf>
    <xf numFmtId="0" fontId="9" fillId="2" borderId="11" xfId="0" applyFont="1" applyFill="1" applyBorder="1" applyAlignment="1" applyProtection="1">
      <alignment horizontal="right" vertical="top"/>
      <protection hidden="1"/>
    </xf>
    <xf numFmtId="0" fontId="8" fillId="2" borderId="0" xfId="0" applyFont="1" applyFill="1" applyAlignment="1" applyProtection="1">
      <alignment vertical="top"/>
      <protection hidden="1"/>
    </xf>
    <xf numFmtId="0" fontId="80" fillId="2" borderId="0" xfId="0" applyFont="1" applyFill="1" applyAlignment="1" applyProtection="1">
      <protection hidden="1"/>
    </xf>
    <xf numFmtId="0" fontId="43" fillId="2" borderId="11" xfId="0" applyFont="1" applyFill="1" applyBorder="1" applyAlignment="1" applyProtection="1">
      <alignment horizontal="center" vertical="top"/>
      <protection hidden="1"/>
    </xf>
    <xf numFmtId="0" fontId="30" fillId="2" borderId="64" xfId="0" applyFont="1" applyFill="1" applyBorder="1" applyAlignment="1" applyProtection="1">
      <alignment horizontal="center" vertical="center"/>
      <protection hidden="1"/>
    </xf>
    <xf numFmtId="165" fontId="15" fillId="2" borderId="0" xfId="0" applyNumberFormat="1" applyFont="1" applyFill="1" applyAlignment="1" applyProtection="1">
      <alignment vertical="center"/>
      <protection hidden="1"/>
    </xf>
    <xf numFmtId="0" fontId="0" fillId="2" borderId="73" xfId="0" applyFill="1" applyBorder="1" applyProtection="1">
      <protection hidden="1"/>
    </xf>
    <xf numFmtId="0" fontId="31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6" fillId="2" borderId="0" xfId="0" applyFont="1" applyFill="1" applyAlignment="1" applyProtection="1">
      <alignment horizontal="left" vertical="top"/>
      <protection hidden="1"/>
    </xf>
    <xf numFmtId="0" fontId="30" fillId="2" borderId="0" xfId="0" applyNumberFormat="1" applyFont="1" applyFill="1" applyAlignment="1" applyProtection="1">
      <alignment horizontal="center"/>
      <protection hidden="1"/>
    </xf>
    <xf numFmtId="167" fontId="33" fillId="2" borderId="75" xfId="0" applyNumberFormat="1" applyFont="1" applyFill="1" applyBorder="1" applyAlignment="1" applyProtection="1">
      <alignment horizontal="center" vertical="center"/>
      <protection hidden="1"/>
    </xf>
    <xf numFmtId="167" fontId="33" fillId="2" borderId="76" xfId="0" applyNumberFormat="1" applyFont="1" applyFill="1" applyBorder="1" applyAlignment="1" applyProtection="1">
      <alignment horizontal="center" vertical="center"/>
      <protection hidden="1"/>
    </xf>
    <xf numFmtId="167" fontId="33" fillId="2" borderId="77" xfId="0" applyNumberFormat="1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/>
      <protection hidden="1"/>
    </xf>
    <xf numFmtId="2" fontId="8" fillId="2" borderId="0" xfId="0" applyNumberFormat="1" applyFont="1" applyFill="1" applyAlignment="1" applyProtection="1">
      <alignment horizontal="center" vertical="center"/>
      <protection hidden="1"/>
    </xf>
    <xf numFmtId="167" fontId="33" fillId="2" borderId="78" xfId="0" applyNumberFormat="1" applyFont="1" applyFill="1" applyBorder="1" applyAlignment="1" applyProtection="1">
      <alignment horizontal="center" vertical="center"/>
      <protection hidden="1"/>
    </xf>
    <xf numFmtId="164" fontId="9" fillId="2" borderId="12" xfId="0" applyNumberFormat="1" applyFont="1" applyFill="1" applyBorder="1" applyAlignment="1" applyProtection="1">
      <alignment horizontal="right" vertical="center"/>
      <protection hidden="1"/>
    </xf>
    <xf numFmtId="164" fontId="60" fillId="2" borderId="0" xfId="0" applyNumberFormat="1" applyFont="1" applyFill="1" applyBorder="1" applyAlignment="1" applyProtection="1">
      <alignment horizontal="left" vertical="center"/>
      <protection hidden="1"/>
    </xf>
    <xf numFmtId="0" fontId="106" fillId="2" borderId="0" xfId="0" applyFont="1" applyFill="1" applyBorder="1" applyAlignment="1" applyProtection="1">
      <alignment horizontal="center" vertical="center"/>
      <protection hidden="1"/>
    </xf>
    <xf numFmtId="0" fontId="76" fillId="2" borderId="0" xfId="0" applyFont="1" applyFill="1" applyBorder="1" applyAlignment="1" applyProtection="1">
      <protection hidden="1"/>
    </xf>
    <xf numFmtId="0" fontId="72" fillId="2" borderId="0" xfId="0" applyFont="1" applyFill="1" applyBorder="1" applyAlignment="1" applyProtection="1">
      <alignment horizontal="left" vertical="top" indent="2"/>
      <protection hidden="1"/>
    </xf>
    <xf numFmtId="0" fontId="72" fillId="2" borderId="0" xfId="0" applyFont="1" applyFill="1" applyBorder="1" applyAlignment="1" applyProtection="1">
      <alignment vertical="top"/>
      <protection hidden="1"/>
    </xf>
    <xf numFmtId="0" fontId="24" fillId="2" borderId="0" xfId="0" applyFont="1" applyFill="1" applyAlignment="1" applyProtection="1">
      <alignment horizontal="left"/>
      <protection hidden="1"/>
    </xf>
    <xf numFmtId="0" fontId="24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left" vertical="top"/>
      <protection hidden="1"/>
    </xf>
    <xf numFmtId="177" fontId="4" fillId="3" borderId="0" xfId="0" applyNumberFormat="1" applyFont="1" applyFill="1" applyAlignment="1" applyProtection="1">
      <alignment horizontal="center"/>
      <protection hidden="1"/>
    </xf>
    <xf numFmtId="0" fontId="30" fillId="2" borderId="0" xfId="0" applyFont="1" applyFill="1" applyAlignment="1" applyProtection="1">
      <alignment vertical="top"/>
      <protection hidden="1"/>
    </xf>
    <xf numFmtId="187" fontId="4" fillId="2" borderId="0" xfId="0" applyNumberFormat="1" applyFont="1" applyFill="1" applyAlignment="1" applyProtection="1">
      <alignment horizontal="right" vertical="center" indent="1"/>
      <protection hidden="1"/>
    </xf>
    <xf numFmtId="187" fontId="20" fillId="2" borderId="9" xfId="0" applyNumberFormat="1" applyFont="1" applyFill="1" applyBorder="1" applyAlignment="1" applyProtection="1">
      <alignment horizontal="right" vertical="center" indent="1"/>
      <protection hidden="1"/>
    </xf>
    <xf numFmtId="168" fontId="4" fillId="2" borderId="0" xfId="0" applyNumberFormat="1" applyFont="1" applyFill="1" applyBorder="1" applyAlignment="1" applyProtection="1">
      <alignment horizontal="left" vertical="center"/>
      <protection hidden="1"/>
    </xf>
    <xf numFmtId="0" fontId="101" fillId="2" borderId="0" xfId="0" applyFont="1" applyFill="1" applyBorder="1" applyAlignment="1" applyProtection="1">
      <alignment vertical="top"/>
      <protection hidden="1"/>
    </xf>
    <xf numFmtId="0" fontId="15" fillId="2" borderId="11" xfId="0" applyFont="1" applyFill="1" applyBorder="1" applyAlignment="1" applyProtection="1">
      <alignment vertical="center"/>
      <protection locked="0"/>
    </xf>
    <xf numFmtId="0" fontId="114" fillId="2" borderId="0" xfId="1" applyFont="1" applyFill="1" applyBorder="1" applyAlignment="1" applyProtection="1">
      <alignment vertical="top"/>
      <protection locked="0"/>
    </xf>
    <xf numFmtId="0" fontId="0" fillId="2" borderId="11" xfId="0" applyFill="1" applyBorder="1" applyAlignment="1" applyProtection="1">
      <protection hidden="1"/>
    </xf>
    <xf numFmtId="0" fontId="109" fillId="6" borderId="0" xfId="0" applyFont="1" applyFill="1" applyAlignment="1" applyProtection="1">
      <alignment horizontal="center" vertical="center"/>
      <protection hidden="1"/>
    </xf>
    <xf numFmtId="186" fontId="12" fillId="2" borderId="15" xfId="0" applyNumberFormat="1" applyFont="1" applyFill="1" applyBorder="1" applyAlignment="1" applyProtection="1">
      <alignment horizontal="right" vertical="center"/>
      <protection locked="0"/>
    </xf>
    <xf numFmtId="186" fontId="12" fillId="2" borderId="79" xfId="0" applyNumberFormat="1" applyFont="1" applyFill="1" applyBorder="1" applyAlignment="1" applyProtection="1">
      <alignment horizontal="right" vertical="center"/>
      <protection locked="0"/>
    </xf>
    <xf numFmtId="186" fontId="12" fillId="2" borderId="32" xfId="0" applyNumberFormat="1" applyFont="1" applyFill="1" applyBorder="1" applyAlignment="1" applyProtection="1">
      <alignment horizontal="right" vertical="center"/>
      <protection locked="0"/>
    </xf>
    <xf numFmtId="186" fontId="12" fillId="2" borderId="80" xfId="0" applyNumberFormat="1" applyFont="1" applyFill="1" applyBorder="1" applyAlignment="1" applyProtection="1">
      <alignment horizontal="right" vertical="center"/>
      <protection locked="0"/>
    </xf>
    <xf numFmtId="186" fontId="12" fillId="2" borderId="42" xfId="0" applyNumberFormat="1" applyFont="1" applyFill="1" applyBorder="1" applyAlignment="1" applyProtection="1">
      <alignment horizontal="right" vertical="center"/>
      <protection locked="0"/>
    </xf>
    <xf numFmtId="186" fontId="12" fillId="2" borderId="81" xfId="0" applyNumberFormat="1" applyFont="1" applyFill="1" applyBorder="1" applyAlignment="1" applyProtection="1">
      <alignment horizontal="right" vertical="center"/>
      <protection locked="0"/>
    </xf>
    <xf numFmtId="186" fontId="12" fillId="2" borderId="9" xfId="0" applyNumberFormat="1" applyFont="1" applyFill="1" applyBorder="1" applyAlignment="1" applyProtection="1">
      <alignment horizontal="right" vertical="center"/>
      <protection locked="0"/>
    </xf>
    <xf numFmtId="186" fontId="12" fillId="2" borderId="6" xfId="0" applyNumberFormat="1" applyFont="1" applyFill="1" applyBorder="1" applyAlignment="1" applyProtection="1">
      <alignment horizontal="right" vertical="center"/>
      <protection locked="0"/>
    </xf>
    <xf numFmtId="168" fontId="14" fillId="2" borderId="64" xfId="0" applyNumberFormat="1" applyFont="1" applyFill="1" applyBorder="1" applyAlignment="1" applyProtection="1">
      <alignment vertical="center"/>
      <protection hidden="1"/>
    </xf>
    <xf numFmtId="168" fontId="14" fillId="2" borderId="11" xfId="0" applyNumberFormat="1" applyFont="1" applyFill="1" applyBorder="1" applyAlignment="1" applyProtection="1">
      <alignment vertical="center"/>
      <protection hidden="1"/>
    </xf>
    <xf numFmtId="0" fontId="87" fillId="2" borderId="0" xfId="0" applyFont="1" applyFill="1" applyAlignment="1" applyProtection="1">
      <alignment horizontal="right"/>
      <protection hidden="1"/>
    </xf>
    <xf numFmtId="0" fontId="17" fillId="0" borderId="0" xfId="4" applyAlignment="1" applyProtection="1">
      <alignment horizontal="justify"/>
      <protection hidden="1"/>
    </xf>
    <xf numFmtId="0" fontId="116" fillId="0" borderId="0" xfId="4" applyFont="1" applyAlignment="1" applyProtection="1">
      <alignment horizontal="justify"/>
      <protection hidden="1"/>
    </xf>
    <xf numFmtId="0" fontId="8" fillId="2" borderId="24" xfId="0" applyNumberFormat="1" applyFont="1" applyFill="1" applyBorder="1" applyAlignment="1" applyProtection="1">
      <alignment horizontal="center" vertical="center"/>
      <protection hidden="1"/>
    </xf>
    <xf numFmtId="14" fontId="0" fillId="2" borderId="0" xfId="0" applyNumberFormat="1" applyFill="1" applyProtection="1">
      <protection hidden="1"/>
    </xf>
    <xf numFmtId="0" fontId="71" fillId="2" borderId="0" xfId="0" applyFont="1" applyFill="1" applyAlignment="1" applyProtection="1">
      <alignment horizontal="center"/>
      <protection hidden="1"/>
    </xf>
    <xf numFmtId="0" fontId="71" fillId="2" borderId="0" xfId="0" applyFont="1" applyFill="1" applyProtection="1">
      <protection hidden="1"/>
    </xf>
    <xf numFmtId="0" fontId="17" fillId="2" borderId="0" xfId="4" applyFill="1" applyProtection="1">
      <protection hidden="1"/>
    </xf>
    <xf numFmtId="0" fontId="72" fillId="2" borderId="0" xfId="6" applyFont="1" applyFill="1" applyAlignment="1" applyProtection="1">
      <protection hidden="1"/>
    </xf>
    <xf numFmtId="0" fontId="119" fillId="0" borderId="0" xfId="4" applyFont="1" applyFill="1" applyProtection="1">
      <protection hidden="1"/>
    </xf>
    <xf numFmtId="0" fontId="120" fillId="2" borderId="0" xfId="0" applyFont="1" applyFill="1" applyBorder="1" applyAlignment="1" applyProtection="1">
      <alignment vertical="center"/>
      <protection hidden="1"/>
    </xf>
    <xf numFmtId="0" fontId="17" fillId="2" borderId="0" xfId="4" applyFill="1" applyProtection="1">
      <protection locked="0"/>
    </xf>
    <xf numFmtId="0" fontId="14" fillId="2" borderId="0" xfId="0" applyFont="1" applyFill="1" applyAlignment="1" applyProtection="1">
      <alignment vertical="top"/>
      <protection hidden="1"/>
    </xf>
    <xf numFmtId="0" fontId="83" fillId="2" borderId="0" xfId="1" applyFont="1" applyFill="1" applyBorder="1" applyAlignment="1" applyProtection="1">
      <alignment vertical="top"/>
      <protection hidden="1"/>
    </xf>
    <xf numFmtId="0" fontId="83" fillId="2" borderId="0" xfId="1" applyFont="1" applyFill="1" applyBorder="1" applyAlignment="1" applyProtection="1">
      <alignment horizontal="left" vertical="top" indent="3"/>
      <protection hidden="1"/>
    </xf>
    <xf numFmtId="0" fontId="119" fillId="2" borderId="0" xfId="4" applyFont="1" applyFill="1" applyProtection="1">
      <protection hidden="1"/>
    </xf>
    <xf numFmtId="0" fontId="119" fillId="2" borderId="0" xfId="4" applyFont="1" applyFill="1" applyProtection="1">
      <protection locked="0"/>
    </xf>
    <xf numFmtId="0" fontId="122" fillId="2" borderId="0" xfId="1" applyFont="1" applyFill="1" applyAlignment="1" applyProtection="1">
      <alignment horizontal="center" vertical="top"/>
      <protection locked="0"/>
    </xf>
    <xf numFmtId="181" fontId="62" fillId="2" borderId="9" xfId="0" applyNumberFormat="1" applyFont="1" applyFill="1" applyBorder="1" applyAlignment="1" applyProtection="1">
      <alignment vertical="center"/>
      <protection locked="0"/>
    </xf>
    <xf numFmtId="168" fontId="9" fillId="3" borderId="9" xfId="0" applyNumberFormat="1" applyFont="1" applyFill="1" applyBorder="1" applyAlignment="1" applyProtection="1">
      <alignment vertical="center"/>
      <protection hidden="1"/>
    </xf>
    <xf numFmtId="0" fontId="77" fillId="2" borderId="0" xfId="0" applyFont="1" applyFill="1" applyAlignment="1" applyProtection="1">
      <alignment horizontal="center"/>
      <protection hidden="1"/>
    </xf>
    <xf numFmtId="0" fontId="84" fillId="2" borderId="0" xfId="0" applyNumberFormat="1" applyFont="1" applyFill="1" applyAlignment="1" applyProtection="1">
      <protection hidden="1"/>
    </xf>
    <xf numFmtId="0" fontId="77" fillId="2" borderId="0" xfId="0" applyNumberFormat="1" applyFont="1" applyFill="1" applyAlignment="1" applyProtection="1">
      <protection hidden="1"/>
    </xf>
    <xf numFmtId="0" fontId="9" fillId="2" borderId="0" xfId="0" applyFont="1" applyFill="1" applyAlignment="1" applyProtection="1">
      <alignment horizontal="right"/>
      <protection hidden="1"/>
    </xf>
    <xf numFmtId="0" fontId="87" fillId="2" borderId="0" xfId="1" applyFont="1" applyFill="1" applyAlignment="1" applyProtection="1">
      <alignment vertical="top"/>
      <protection locked="0"/>
    </xf>
    <xf numFmtId="0" fontId="2" fillId="2" borderId="0" xfId="0" applyNumberFormat="1" applyFont="1" applyFill="1" applyAlignment="1" applyProtection="1">
      <alignment vertical="top"/>
      <protection hidden="1"/>
    </xf>
    <xf numFmtId="0" fontId="34" fillId="2" borderId="0" xfId="0" applyNumberFormat="1" applyFont="1" applyFill="1" applyAlignment="1" applyProtection="1">
      <protection hidden="1"/>
    </xf>
    <xf numFmtId="0" fontId="2" fillId="2" borderId="0" xfId="0" applyFont="1" applyFill="1" applyAlignment="1" applyProtection="1">
      <alignment horizontal="right" indent="1"/>
      <protection hidden="1"/>
    </xf>
    <xf numFmtId="0" fontId="87" fillId="2" borderId="0" xfId="1" applyFont="1" applyFill="1" applyAlignment="1" applyProtection="1">
      <alignment horizontal="right"/>
      <protection locked="0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center"/>
      <protection hidden="1"/>
    </xf>
    <xf numFmtId="0" fontId="30" fillId="2" borderId="0" xfId="0" applyFont="1" applyFill="1" applyAlignment="1" applyProtection="1">
      <alignment horizontal="right" indent="1"/>
      <protection hidden="1"/>
    </xf>
    <xf numFmtId="0" fontId="99" fillId="2" borderId="0" xfId="0" applyFont="1" applyFill="1" applyAlignment="1" applyProtection="1">
      <protection hidden="1"/>
    </xf>
    <xf numFmtId="0" fontId="41" fillId="2" borderId="0" xfId="0" applyFont="1" applyFill="1" applyAlignment="1" applyProtection="1">
      <alignment horizontal="right" vertical="top" indent="1"/>
      <protection hidden="1"/>
    </xf>
    <xf numFmtId="0" fontId="4" fillId="2" borderId="0" xfId="0" applyNumberFormat="1" applyFont="1" applyFill="1" applyBorder="1" applyAlignment="1" applyProtection="1">
      <alignment horizontal="right" vertical="center" indent="1"/>
      <protection hidden="1"/>
    </xf>
    <xf numFmtId="0" fontId="4" fillId="2" borderId="0" xfId="0" applyNumberFormat="1" applyFont="1" applyFill="1" applyBorder="1" applyAlignment="1" applyProtection="1">
      <alignment vertical="center"/>
      <protection hidden="1"/>
    </xf>
    <xf numFmtId="0" fontId="122" fillId="2" borderId="0" xfId="1" applyFont="1" applyFill="1" applyAlignment="1" applyProtection="1">
      <alignment vertical="top"/>
      <protection hidden="1"/>
    </xf>
    <xf numFmtId="0" fontId="9" fillId="2" borderId="0" xfId="0" applyNumberFormat="1" applyFont="1" applyFill="1" applyAlignment="1" applyProtection="1">
      <alignment horizontal="right" vertical="center" indent="1"/>
      <protection hidden="1"/>
    </xf>
    <xf numFmtId="168" fontId="9" fillId="2" borderId="40" xfId="0" applyNumberFormat="1" applyFont="1" applyFill="1" applyBorder="1" applyAlignment="1" applyProtection="1">
      <alignment vertical="center"/>
      <protection hidden="1"/>
    </xf>
    <xf numFmtId="0" fontId="85" fillId="2" borderId="12" xfId="0" applyNumberFormat="1" applyFont="1" applyFill="1" applyBorder="1" applyAlignment="1" applyProtection="1">
      <alignment horizontal="right" vertical="center"/>
      <protection hidden="1"/>
    </xf>
    <xf numFmtId="190" fontId="85" fillId="2" borderId="12" xfId="0" applyNumberFormat="1" applyFont="1" applyFill="1" applyBorder="1" applyAlignment="1" applyProtection="1">
      <alignment horizontal="center" vertical="center"/>
      <protection hidden="1"/>
    </xf>
    <xf numFmtId="1" fontId="65" fillId="2" borderId="11" xfId="0" applyNumberFormat="1" applyFont="1" applyFill="1" applyBorder="1" applyAlignment="1" applyProtection="1">
      <alignment horizontal="left" vertical="center" indent="1"/>
      <protection hidden="1"/>
    </xf>
    <xf numFmtId="1" fontId="9" fillId="2" borderId="12" xfId="0" applyNumberFormat="1" applyFont="1" applyFill="1" applyBorder="1" applyAlignment="1" applyProtection="1">
      <alignment horizontal="left" vertical="center" indent="1"/>
      <protection hidden="1"/>
    </xf>
    <xf numFmtId="0" fontId="31" fillId="7" borderId="0" xfId="0" applyFont="1" applyFill="1" applyProtection="1">
      <protection hidden="1"/>
    </xf>
    <xf numFmtId="0" fontId="15" fillId="7" borderId="0" xfId="0" applyFont="1" applyFill="1" applyAlignment="1" applyProtection="1">
      <protection hidden="1"/>
    </xf>
    <xf numFmtId="0" fontId="0" fillId="7" borderId="0" xfId="0" applyFill="1" applyProtection="1">
      <protection hidden="1"/>
    </xf>
    <xf numFmtId="4" fontId="0" fillId="7" borderId="0" xfId="0" applyNumberFormat="1" applyFill="1" applyAlignment="1" applyProtection="1">
      <alignment horizontal="right"/>
      <protection hidden="1"/>
    </xf>
    <xf numFmtId="4" fontId="31" fillId="7" borderId="0" xfId="0" applyNumberFormat="1" applyFont="1" applyFill="1" applyAlignment="1" applyProtection="1">
      <alignment horizontal="right"/>
      <protection hidden="1"/>
    </xf>
    <xf numFmtId="0" fontId="31" fillId="7" borderId="0" xfId="0" applyFont="1" applyFill="1" applyAlignment="1" applyProtection="1">
      <alignment vertical="center"/>
      <protection hidden="1"/>
    </xf>
    <xf numFmtId="0" fontId="15" fillId="7" borderId="0" xfId="0" applyFont="1" applyFill="1" applyAlignment="1" applyProtection="1">
      <alignment vertical="center"/>
      <protection hidden="1"/>
    </xf>
    <xf numFmtId="4" fontId="0" fillId="7" borderId="0" xfId="0" applyNumberFormat="1" applyFill="1" applyAlignment="1" applyProtection="1">
      <alignment horizontal="right" vertical="center"/>
      <protection hidden="1"/>
    </xf>
    <xf numFmtId="0" fontId="123" fillId="6" borderId="0" xfId="0" applyFont="1" applyFill="1" applyAlignment="1" applyProtection="1">
      <alignment horizontal="center" vertical="center"/>
      <protection hidden="1"/>
    </xf>
    <xf numFmtId="0" fontId="123" fillId="6" borderId="0" xfId="0" applyFont="1" applyFill="1" applyAlignment="1" applyProtection="1">
      <alignment vertical="center"/>
      <protection hidden="1"/>
    </xf>
    <xf numFmtId="0" fontId="123" fillId="6" borderId="0" xfId="0" applyFont="1" applyFill="1" applyProtection="1">
      <protection hidden="1"/>
    </xf>
    <xf numFmtId="4" fontId="123" fillId="6" borderId="0" xfId="0" applyNumberFormat="1" applyFont="1" applyFill="1" applyAlignment="1" applyProtection="1">
      <alignment horizontal="right"/>
      <protection hidden="1"/>
    </xf>
    <xf numFmtId="0" fontId="123" fillId="6" borderId="0" xfId="0" applyFont="1" applyFill="1" applyAlignment="1" applyProtection="1">
      <alignment horizontal="center" vertical="top"/>
      <protection hidden="1"/>
    </xf>
    <xf numFmtId="0" fontId="15" fillId="2" borderId="0" xfId="0" applyFont="1" applyFill="1" applyAlignment="1" applyProtection="1">
      <alignment horizontal="left" vertical="center"/>
      <protection hidden="1"/>
    </xf>
    <xf numFmtId="0" fontId="14" fillId="2" borderId="9" xfId="0" applyFont="1" applyFill="1" applyBorder="1" applyAlignment="1" applyProtection="1">
      <alignment horizontal="center" vertical="center"/>
      <protection locked="0"/>
    </xf>
    <xf numFmtId="168" fontId="8" fillId="2" borderId="0" xfId="0" applyNumberFormat="1" applyFont="1" applyFill="1" applyAlignment="1" applyProtection="1">
      <alignment horizontal="left" vertical="center"/>
      <protection hidden="1"/>
    </xf>
    <xf numFmtId="168" fontId="4" fillId="2" borderId="11" xfId="0" applyNumberFormat="1" applyFont="1" applyFill="1" applyBorder="1" applyAlignment="1" applyProtection="1">
      <alignment vertical="center"/>
      <protection hidden="1"/>
    </xf>
    <xf numFmtId="164" fontId="8" fillId="2" borderId="0" xfId="0" applyNumberFormat="1" applyFont="1" applyFill="1" applyAlignment="1" applyProtection="1">
      <alignment horizontal="right" vertical="center"/>
      <protection hidden="1"/>
    </xf>
    <xf numFmtId="164" fontId="2" fillId="2" borderId="0" xfId="0" applyNumberFormat="1" applyFont="1" applyFill="1" applyBorder="1" applyAlignment="1" applyProtection="1">
      <alignment vertical="center"/>
      <protection hidden="1"/>
    </xf>
    <xf numFmtId="0" fontId="67" fillId="2" borderId="35" xfId="0" applyFont="1" applyFill="1" applyBorder="1" applyAlignment="1" applyProtection="1">
      <alignment horizontal="center"/>
      <protection locked="0"/>
    </xf>
    <xf numFmtId="0" fontId="67" fillId="2" borderId="57" xfId="0" applyFont="1" applyFill="1" applyBorder="1" applyAlignment="1" applyProtection="1">
      <alignment horizontal="center" vertical="top"/>
      <protection locked="0"/>
    </xf>
    <xf numFmtId="0" fontId="0" fillId="2" borderId="35" xfId="0" applyFill="1" applyBorder="1" applyAlignment="1" applyProtection="1">
      <alignment horizontal="center"/>
      <protection locked="0"/>
    </xf>
    <xf numFmtId="0" fontId="2" fillId="2" borderId="51" xfId="0" applyFont="1" applyFill="1" applyBorder="1" applyAlignment="1" applyProtection="1">
      <alignment horizontal="left" vertical="center" indent="1"/>
      <protection locked="0"/>
    </xf>
    <xf numFmtId="0" fontId="2" fillId="2" borderId="85" xfId="0" applyFont="1" applyFill="1" applyBorder="1" applyAlignment="1" applyProtection="1">
      <alignment vertical="center"/>
      <protection hidden="1"/>
    </xf>
    <xf numFmtId="2" fontId="71" fillId="2" borderId="0" xfId="0" applyNumberFormat="1" applyFont="1" applyFill="1" applyAlignment="1" applyProtection="1">
      <protection hidden="1"/>
    </xf>
    <xf numFmtId="164" fontId="3" fillId="2" borderId="0" xfId="0" applyNumberFormat="1" applyFont="1" applyFill="1" applyAlignment="1" applyProtection="1">
      <alignment horizontal="right" vertical="center"/>
      <protection hidden="1"/>
    </xf>
    <xf numFmtId="164" fontId="3" fillId="2" borderId="0" xfId="0" applyNumberFormat="1" applyFont="1" applyFill="1" applyAlignment="1" applyProtection="1">
      <alignment horizontal="left" vertical="center"/>
      <protection hidden="1"/>
    </xf>
    <xf numFmtId="0" fontId="3" fillId="2" borderId="0" xfId="0" applyNumberFormat="1" applyFont="1" applyFill="1" applyAlignment="1" applyProtection="1">
      <alignment horizontal="center" vertical="center"/>
      <protection hidden="1"/>
    </xf>
    <xf numFmtId="168" fontId="14" fillId="2" borderId="70" xfId="0" applyNumberFormat="1" applyFont="1" applyFill="1" applyBorder="1" applyAlignment="1" applyProtection="1">
      <alignment vertical="center"/>
      <protection hidden="1"/>
    </xf>
    <xf numFmtId="0" fontId="20" fillId="2" borderId="0" xfId="0" applyFont="1" applyFill="1" applyAlignment="1" applyProtection="1">
      <alignment horizontal="right" vertical="center" indent="1"/>
      <protection hidden="1"/>
    </xf>
    <xf numFmtId="168" fontId="15" fillId="2" borderId="11" xfId="0" applyNumberFormat="1" applyFont="1" applyFill="1" applyBorder="1" applyAlignment="1" applyProtection="1">
      <alignment vertical="center"/>
      <protection hidden="1"/>
    </xf>
    <xf numFmtId="0" fontId="124" fillId="0" borderId="0" xfId="1" applyFont="1" applyAlignment="1" applyProtection="1">
      <protection hidden="1"/>
    </xf>
    <xf numFmtId="0" fontId="125" fillId="2" borderId="0" xfId="2" applyFont="1" applyFill="1" applyAlignment="1" applyProtection="1">
      <alignment horizontal="right" indent="1"/>
      <protection hidden="1"/>
    </xf>
    <xf numFmtId="0" fontId="125" fillId="2" borderId="0" xfId="2" applyFont="1" applyFill="1" applyAlignment="1" applyProtection="1">
      <alignment horizontal="right" vertical="center" indent="1"/>
      <protection hidden="1"/>
    </xf>
    <xf numFmtId="0" fontId="125" fillId="2" borderId="0" xfId="2" applyFont="1" applyFill="1" applyAlignment="1" applyProtection="1">
      <alignment horizontal="right" vertical="top" indent="1"/>
      <protection hidden="1"/>
    </xf>
    <xf numFmtId="0" fontId="2" fillId="2" borderId="0" xfId="0" applyNumberFormat="1" applyFont="1" applyFill="1" applyAlignment="1" applyProtection="1">
      <alignment horizontal="left" vertical="center" indent="1"/>
      <protection locked="0"/>
    </xf>
    <xf numFmtId="0" fontId="30" fillId="2" borderId="0" xfId="0" applyNumberFormat="1" applyFont="1" applyFill="1" applyAlignment="1" applyProtection="1">
      <alignment horizontal="left" vertical="center" indent="1"/>
      <protection hidden="1"/>
    </xf>
    <xf numFmtId="0" fontId="9" fillId="2" borderId="11" xfId="0" applyFont="1" applyFill="1" applyBorder="1" applyAlignment="1" applyProtection="1">
      <alignment horizontal="left" vertical="center" indent="1"/>
      <protection hidden="1"/>
    </xf>
    <xf numFmtId="0" fontId="87" fillId="2" borderId="11" xfId="0" applyFont="1" applyFill="1" applyBorder="1" applyAlignment="1" applyProtection="1">
      <alignment horizontal="left" vertical="center"/>
      <protection hidden="1"/>
    </xf>
    <xf numFmtId="49" fontId="12" fillId="2" borderId="11" xfId="0" applyNumberFormat="1" applyFont="1" applyFill="1" applyBorder="1" applyAlignment="1" applyProtection="1">
      <alignment horizontal="right" vertical="center" indent="1"/>
      <protection hidden="1"/>
    </xf>
    <xf numFmtId="164" fontId="33" fillId="2" borderId="0" xfId="0" applyNumberFormat="1" applyFont="1" applyFill="1" applyAlignment="1" applyProtection="1">
      <alignment horizontal="right" vertical="center"/>
      <protection hidden="1"/>
    </xf>
    <xf numFmtId="0" fontId="33" fillId="2" borderId="0" xfId="0" applyFont="1" applyFill="1" applyBorder="1" applyAlignment="1" applyProtection="1">
      <alignment horizontal="right" vertical="center"/>
      <protection hidden="1"/>
    </xf>
    <xf numFmtId="173" fontId="30" fillId="2" borderId="0" xfId="0" applyNumberFormat="1" applyFont="1" applyFill="1" applyBorder="1" applyAlignment="1" applyProtection="1">
      <alignment vertical="center"/>
      <protection hidden="1"/>
    </xf>
    <xf numFmtId="2" fontId="33" fillId="2" borderId="0" xfId="0" applyNumberFormat="1" applyFont="1" applyFill="1" applyAlignment="1" applyProtection="1">
      <alignment horizontal="center"/>
      <protection hidden="1"/>
    </xf>
    <xf numFmtId="0" fontId="33" fillId="2" borderId="0" xfId="0" applyFont="1" applyFill="1" applyBorder="1" applyAlignment="1" applyProtection="1">
      <alignment horizontal="center" vertical="center"/>
      <protection hidden="1"/>
    </xf>
    <xf numFmtId="173" fontId="8" fillId="2" borderId="0" xfId="0" applyNumberFormat="1" applyFont="1" applyFill="1" applyBorder="1" applyAlignment="1" applyProtection="1">
      <alignment horizontal="right" vertical="center"/>
      <protection hidden="1"/>
    </xf>
    <xf numFmtId="0" fontId="73" fillId="2" borderId="11" xfId="0" applyFont="1" applyFill="1" applyBorder="1" applyAlignment="1" applyProtection="1">
      <alignment horizontal="left" vertical="top" indent="1"/>
      <protection hidden="1"/>
    </xf>
    <xf numFmtId="0" fontId="73" fillId="2" borderId="11" xfId="0" applyFont="1" applyFill="1" applyBorder="1" applyAlignment="1" applyProtection="1">
      <alignment vertical="top"/>
      <protection hidden="1"/>
    </xf>
    <xf numFmtId="0" fontId="92" fillId="2" borderId="0" xfId="0" applyFont="1" applyFill="1" applyBorder="1" applyAlignment="1" applyProtection="1">
      <alignment vertical="center"/>
      <protection hidden="1"/>
    </xf>
    <xf numFmtId="0" fontId="92" fillId="2" borderId="0" xfId="0" applyNumberFormat="1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left" vertical="top" indent="3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98" fillId="2" borderId="0" xfId="0" applyFont="1" applyFill="1" applyBorder="1" applyAlignment="1" applyProtection="1">
      <alignment horizontal="left" vertical="top" indent="1"/>
      <protection hidden="1"/>
    </xf>
    <xf numFmtId="0" fontId="91" fillId="2" borderId="0" xfId="0" applyFont="1" applyFill="1" applyBorder="1" applyAlignment="1" applyProtection="1">
      <alignment vertical="top"/>
      <protection hidden="1"/>
    </xf>
    <xf numFmtId="0" fontId="67" fillId="2" borderId="0" xfId="0" applyFont="1" applyFill="1" applyProtection="1">
      <protection locked="0"/>
    </xf>
    <xf numFmtId="0" fontId="83" fillId="2" borderId="0" xfId="0" applyFont="1" applyFill="1" applyBorder="1" applyAlignment="1" applyProtection="1">
      <alignment horizontal="right" vertical="top" indent="1"/>
      <protection hidden="1"/>
    </xf>
    <xf numFmtId="0" fontId="67" fillId="0" borderId="0" xfId="0" applyFont="1" applyFill="1" applyProtection="1">
      <protection hidden="1"/>
    </xf>
    <xf numFmtId="0" fontId="76" fillId="2" borderId="0" xfId="6" applyFont="1" applyFill="1" applyAlignment="1" applyProtection="1">
      <protection hidden="1"/>
    </xf>
    <xf numFmtId="0" fontId="9" fillId="0" borderId="0" xfId="0" applyFont="1" applyFill="1" applyAlignment="1" applyProtection="1">
      <alignment vertical="top"/>
      <protection hidden="1"/>
    </xf>
    <xf numFmtId="0" fontId="72" fillId="2" borderId="0" xfId="0" applyFont="1" applyFill="1" applyBorder="1" applyAlignment="1" applyProtection="1">
      <alignment horizontal="left" indent="1"/>
      <protection hidden="1"/>
    </xf>
    <xf numFmtId="0" fontId="87" fillId="2" borderId="0" xfId="4" applyFont="1" applyFill="1" applyAlignment="1" applyProtection="1">
      <alignment horizontal="left" indent="1"/>
      <protection hidden="1"/>
    </xf>
    <xf numFmtId="0" fontId="76" fillId="2" borderId="0" xfId="4" applyFont="1" applyFill="1" applyAlignment="1" applyProtection="1">
      <protection hidden="1"/>
    </xf>
    <xf numFmtId="0" fontId="87" fillId="2" borderId="0" xfId="4" applyFont="1" applyFill="1" applyAlignment="1" applyProtection="1">
      <alignment horizontal="left"/>
      <protection hidden="1"/>
    </xf>
    <xf numFmtId="0" fontId="126" fillId="2" borderId="0" xfId="1" applyFont="1" applyFill="1" applyAlignment="1" applyProtection="1">
      <alignment horizontal="left" indent="1"/>
      <protection locked="0"/>
    </xf>
    <xf numFmtId="0" fontId="126" fillId="2" borderId="0" xfId="1" applyFont="1" applyFill="1" applyAlignment="1" applyProtection="1">
      <alignment horizontal="left"/>
      <protection locked="0"/>
    </xf>
    <xf numFmtId="0" fontId="112" fillId="2" borderId="0" xfId="0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alignment vertical="top"/>
      <protection hidden="1"/>
    </xf>
    <xf numFmtId="0" fontId="112" fillId="2" borderId="0" xfId="0" applyFont="1" applyFill="1" applyBorder="1" applyAlignment="1" applyProtection="1">
      <alignment vertical="top"/>
      <protection hidden="1"/>
    </xf>
    <xf numFmtId="0" fontId="87" fillId="2" borderId="0" xfId="0" applyFont="1" applyFill="1" applyBorder="1" applyAlignment="1" applyProtection="1">
      <alignment horizontal="left" vertical="top" indent="1"/>
      <protection hidden="1"/>
    </xf>
    <xf numFmtId="0" fontId="76" fillId="2" borderId="0" xfId="0" applyFont="1" applyFill="1" applyAlignment="1" applyProtection="1">
      <alignment horizontal="right" indent="2"/>
      <protection hidden="1"/>
    </xf>
    <xf numFmtId="0" fontId="76" fillId="2" borderId="0" xfId="0" applyFont="1" applyFill="1" applyAlignment="1" applyProtection="1">
      <alignment horizontal="right" vertical="top" indent="2"/>
      <protection hidden="1"/>
    </xf>
    <xf numFmtId="0" fontId="14" fillId="2" borderId="0" xfId="0" applyFont="1" applyFill="1" applyBorder="1" applyAlignment="1" applyProtection="1">
      <alignment horizontal="left" indent="1"/>
      <protection hidden="1"/>
    </xf>
    <xf numFmtId="0" fontId="14" fillId="2" borderId="0" xfId="0" applyFont="1" applyFill="1" applyBorder="1" applyAlignment="1" applyProtection="1">
      <alignment horizontal="right" indent="1"/>
      <protection hidden="1"/>
    </xf>
    <xf numFmtId="0" fontId="116" fillId="0" borderId="0" xfId="0" applyFont="1" applyFill="1" applyBorder="1" applyAlignment="1" applyProtection="1">
      <alignment horizontal="left"/>
      <protection hidden="1"/>
    </xf>
    <xf numFmtId="0" fontId="116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67" fillId="2" borderId="0" xfId="0" applyFont="1" applyFill="1" applyAlignment="1" applyProtection="1">
      <alignment vertical="center"/>
      <protection locked="0"/>
    </xf>
    <xf numFmtId="0" fontId="83" fillId="2" borderId="0" xfId="1" applyFont="1" applyFill="1" applyAlignment="1" applyProtection="1">
      <alignment horizontal="right" vertical="center" indent="1"/>
      <protection hidden="1"/>
    </xf>
    <xf numFmtId="0" fontId="1" fillId="2" borderId="0" xfId="2" applyFill="1" applyProtection="1">
      <protection locked="0"/>
    </xf>
    <xf numFmtId="0" fontId="17" fillId="2" borderId="0" xfId="3" applyFill="1" applyProtection="1">
      <protection locked="0"/>
    </xf>
    <xf numFmtId="0" fontId="69" fillId="2" borderId="0" xfId="1" applyFont="1" applyFill="1" applyAlignment="1" applyProtection="1">
      <alignment horizontal="center" vertical="top"/>
      <protection hidden="1"/>
    </xf>
    <xf numFmtId="0" fontId="126" fillId="2" borderId="0" xfId="0" applyFont="1" applyFill="1" applyBorder="1" applyAlignment="1" applyProtection="1">
      <alignment horizontal="left"/>
      <protection hidden="1"/>
    </xf>
    <xf numFmtId="0" fontId="0" fillId="9" borderId="0" xfId="0" applyFill="1" applyProtection="1">
      <protection hidden="1"/>
    </xf>
    <xf numFmtId="174" fontId="64" fillId="2" borderId="0" xfId="0" applyNumberFormat="1" applyFont="1" applyFill="1" applyAlignment="1" applyProtection="1">
      <alignment horizontal="right" vertical="center"/>
      <protection hidden="1"/>
    </xf>
    <xf numFmtId="174" fontId="64" fillId="2" borderId="11" xfId="0" applyNumberFormat="1" applyFont="1" applyFill="1" applyBorder="1" applyAlignment="1" applyProtection="1">
      <alignment horizontal="right" vertical="center"/>
      <protection hidden="1"/>
    </xf>
    <xf numFmtId="168" fontId="43" fillId="10" borderId="13" xfId="0" applyNumberFormat="1" applyFont="1" applyFill="1" applyBorder="1" applyAlignment="1" applyProtection="1">
      <alignment vertical="center"/>
      <protection hidden="1"/>
    </xf>
    <xf numFmtId="168" fontId="43" fillId="10" borderId="17" xfId="0" applyNumberFormat="1" applyFont="1" applyFill="1" applyBorder="1" applyAlignment="1" applyProtection="1">
      <alignment vertical="center"/>
      <protection hidden="1"/>
    </xf>
    <xf numFmtId="168" fontId="43" fillId="10" borderId="21" xfId="0" applyNumberFormat="1" applyFont="1" applyFill="1" applyBorder="1" applyAlignment="1" applyProtection="1">
      <alignment vertical="center"/>
      <protection hidden="1"/>
    </xf>
    <xf numFmtId="168" fontId="43" fillId="10" borderId="22" xfId="0" applyNumberFormat="1" applyFont="1" applyFill="1" applyBorder="1" applyAlignment="1" applyProtection="1">
      <alignment vertical="center"/>
      <protection hidden="1"/>
    </xf>
    <xf numFmtId="168" fontId="43" fillId="10" borderId="23" xfId="0" applyNumberFormat="1" applyFont="1" applyFill="1" applyBorder="1" applyAlignment="1" applyProtection="1">
      <alignment vertical="center"/>
      <protection hidden="1"/>
    </xf>
    <xf numFmtId="168" fontId="43" fillId="10" borderId="24" xfId="0" applyNumberFormat="1" applyFont="1" applyFill="1" applyBorder="1" applyAlignment="1" applyProtection="1">
      <alignment vertical="center"/>
      <protection hidden="1"/>
    </xf>
    <xf numFmtId="178" fontId="45" fillId="10" borderId="40" xfId="0" applyNumberFormat="1" applyFont="1" applyFill="1" applyBorder="1" applyAlignment="1" applyProtection="1">
      <alignment horizontal="right" vertical="center"/>
      <protection locked="0"/>
    </xf>
    <xf numFmtId="178" fontId="45" fillId="10" borderId="19" xfId="0" applyNumberFormat="1" applyFont="1" applyFill="1" applyBorder="1" applyAlignment="1" applyProtection="1">
      <alignment horizontal="right" vertical="center"/>
      <protection locked="0"/>
    </xf>
    <xf numFmtId="178" fontId="45" fillId="10" borderId="7" xfId="0" applyNumberFormat="1" applyFont="1" applyFill="1" applyBorder="1" applyAlignment="1" applyProtection="1">
      <alignment horizontal="right" vertical="center"/>
      <protection locked="0"/>
    </xf>
    <xf numFmtId="168" fontId="43" fillId="10" borderId="29" xfId="0" applyNumberFormat="1" applyFont="1" applyFill="1" applyBorder="1" applyAlignment="1" applyProtection="1">
      <alignment vertical="center"/>
      <protection hidden="1"/>
    </xf>
    <xf numFmtId="168" fontId="45" fillId="10" borderId="22" xfId="0" applyNumberFormat="1" applyFont="1" applyFill="1" applyBorder="1" applyAlignment="1" applyProtection="1">
      <alignment vertical="center"/>
      <protection hidden="1"/>
    </xf>
    <xf numFmtId="168" fontId="45" fillId="10" borderId="23" xfId="0" applyNumberFormat="1" applyFont="1" applyFill="1" applyBorder="1" applyAlignment="1" applyProtection="1">
      <alignment vertical="center"/>
      <protection hidden="1"/>
    </xf>
    <xf numFmtId="168" fontId="45" fillId="10" borderId="24" xfId="0" applyNumberFormat="1" applyFont="1" applyFill="1" applyBorder="1" applyAlignment="1" applyProtection="1">
      <alignment vertical="center"/>
      <protection hidden="1"/>
    </xf>
    <xf numFmtId="168" fontId="14" fillId="10" borderId="16" xfId="0" applyNumberFormat="1" applyFont="1" applyFill="1" applyBorder="1" applyAlignment="1" applyProtection="1">
      <alignment vertical="center"/>
      <protection locked="0"/>
    </xf>
    <xf numFmtId="168" fontId="14" fillId="10" borderId="19" xfId="0" applyNumberFormat="1" applyFont="1" applyFill="1" applyBorder="1" applyAlignment="1" applyProtection="1">
      <alignment vertical="center"/>
      <protection locked="0"/>
    </xf>
    <xf numFmtId="168" fontId="14" fillId="10" borderId="71" xfId="0" applyNumberFormat="1" applyFont="1" applyFill="1" applyBorder="1" applyAlignment="1" applyProtection="1">
      <alignment vertical="center"/>
      <protection locked="0"/>
    </xf>
    <xf numFmtId="168" fontId="14" fillId="10" borderId="7" xfId="0" applyNumberFormat="1" applyFont="1" applyFill="1" applyBorder="1" applyAlignment="1" applyProtection="1">
      <alignment vertical="center"/>
      <protection locked="0"/>
    </xf>
    <xf numFmtId="178" fontId="37" fillId="10" borderId="24" xfId="0" applyNumberFormat="1" applyFont="1" applyFill="1" applyBorder="1" applyAlignment="1" applyProtection="1">
      <alignment horizontal="right" vertical="center"/>
      <protection hidden="1"/>
    </xf>
    <xf numFmtId="178" fontId="127" fillId="2" borderId="0" xfId="0" applyNumberFormat="1" applyFont="1" applyFill="1" applyBorder="1" applyAlignment="1" applyProtection="1">
      <alignment vertical="center"/>
      <protection hidden="1"/>
    </xf>
    <xf numFmtId="0" fontId="43" fillId="2" borderId="0" xfId="0" applyNumberFormat="1" applyFont="1" applyFill="1" applyAlignment="1" applyProtection="1">
      <alignment horizontal="left" vertical="top" indent="2"/>
      <protection hidden="1"/>
    </xf>
    <xf numFmtId="0" fontId="128" fillId="2" borderId="0" xfId="0" applyFont="1" applyFill="1" applyAlignment="1" applyProtection="1">
      <alignment horizontal="left" indent="1"/>
      <protection hidden="1"/>
    </xf>
    <xf numFmtId="0" fontId="2" fillId="2" borderId="0" xfId="0" applyFont="1" applyFill="1" applyAlignment="1" applyProtection="1">
      <alignment horizontal="left" vertical="center" indent="1"/>
      <protection locked="0"/>
    </xf>
    <xf numFmtId="174" fontId="129" fillId="5" borderId="0" xfId="0" applyNumberFormat="1" applyFont="1" applyFill="1" applyBorder="1" applyAlignment="1" applyProtection="1">
      <alignment horizontal="center" vertical="center"/>
      <protection hidden="1"/>
    </xf>
    <xf numFmtId="168" fontId="35" fillId="10" borderId="22" xfId="0" applyNumberFormat="1" applyFont="1" applyFill="1" applyBorder="1" applyAlignment="1" applyProtection="1">
      <alignment vertical="center"/>
      <protection hidden="1"/>
    </xf>
    <xf numFmtId="168" fontId="35" fillId="10" borderId="23" xfId="0" applyNumberFormat="1" applyFont="1" applyFill="1" applyBorder="1" applyAlignment="1" applyProtection="1">
      <alignment vertical="center"/>
      <protection hidden="1"/>
    </xf>
    <xf numFmtId="168" fontId="35" fillId="10" borderId="24" xfId="0" applyNumberFormat="1" applyFont="1" applyFill="1" applyBorder="1" applyAlignment="1" applyProtection="1">
      <alignment vertical="center"/>
      <protection hidden="1"/>
    </xf>
    <xf numFmtId="168" fontId="12" fillId="10" borderId="10" xfId="0" applyNumberFormat="1" applyFont="1" applyFill="1" applyBorder="1" applyAlignment="1" applyProtection="1">
      <alignment vertical="center"/>
      <protection hidden="1"/>
    </xf>
    <xf numFmtId="168" fontId="12" fillId="10" borderId="13" xfId="0" applyNumberFormat="1" applyFont="1" applyFill="1" applyBorder="1" applyAlignment="1" applyProtection="1">
      <alignment vertical="center"/>
      <protection hidden="1"/>
    </xf>
    <xf numFmtId="168" fontId="12" fillId="10" borderId="44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locked="0"/>
    </xf>
    <xf numFmtId="0" fontId="83" fillId="2" borderId="0" xfId="0" applyFont="1" applyFill="1" applyAlignment="1" applyProtection="1">
      <alignment horizontal="left" vertical="top" indent="3"/>
      <protection hidden="1"/>
    </xf>
    <xf numFmtId="0" fontId="2" fillId="2" borderId="0" xfId="0" applyFont="1" applyFill="1" applyAlignment="1" applyProtection="1">
      <alignment horizontal="left" indent="3"/>
      <protection hidden="1"/>
    </xf>
    <xf numFmtId="0" fontId="130" fillId="0" borderId="0" xfId="4" applyFont="1" applyFill="1" applyProtection="1">
      <protection hidden="1"/>
    </xf>
    <xf numFmtId="0" fontId="130" fillId="0" borderId="0" xfId="0" applyFont="1" applyFill="1" applyBorder="1" applyAlignment="1" applyProtection="1">
      <alignment horizontal="left"/>
      <protection hidden="1"/>
    </xf>
    <xf numFmtId="0" fontId="130" fillId="0" borderId="0" xfId="0" applyFont="1" applyAlignment="1" applyProtection="1">
      <alignment horizontal="left"/>
      <protection hidden="1"/>
    </xf>
    <xf numFmtId="0" fontId="132" fillId="0" borderId="0" xfId="0" applyFont="1" applyProtection="1">
      <protection hidden="1"/>
    </xf>
    <xf numFmtId="14" fontId="135" fillId="10" borderId="54" xfId="0" applyNumberFormat="1" applyFont="1" applyFill="1" applyBorder="1" applyAlignment="1" applyProtection="1">
      <alignment horizontal="center"/>
      <protection hidden="1"/>
    </xf>
    <xf numFmtId="14" fontId="135" fillId="10" borderId="55" xfId="0" applyNumberFormat="1" applyFont="1" applyFill="1" applyBorder="1" applyAlignment="1" applyProtection="1">
      <alignment horizontal="center" vertical="top"/>
      <protection hidden="1"/>
    </xf>
    <xf numFmtId="0" fontId="128" fillId="9" borderId="0" xfId="0" applyFont="1" applyFill="1" applyAlignment="1" applyProtection="1">
      <alignment horizontal="left" vertical="center" indent="1"/>
      <protection hidden="1"/>
    </xf>
    <xf numFmtId="0" fontId="128" fillId="9" borderId="0" xfId="3" applyFont="1" applyFill="1" applyAlignment="1" applyProtection="1">
      <alignment horizontal="center" vertical="center"/>
      <protection hidden="1"/>
    </xf>
    <xf numFmtId="0" fontId="133" fillId="2" borderId="0" xfId="0" applyFont="1" applyFill="1" applyAlignment="1" applyProtection="1">
      <alignment horizontal="right" vertical="center"/>
      <protection hidden="1"/>
    </xf>
    <xf numFmtId="14" fontId="133" fillId="9" borderId="0" xfId="3" applyNumberFormat="1" applyFont="1" applyFill="1" applyAlignment="1" applyProtection="1">
      <alignment horizontal="left" vertical="center"/>
      <protection hidden="1"/>
    </xf>
    <xf numFmtId="14" fontId="128" fillId="9" borderId="110" xfId="3" applyNumberFormat="1" applyFont="1" applyFill="1" applyBorder="1" applyAlignment="1" applyProtection="1">
      <alignment horizontal="center" vertical="center"/>
      <protection hidden="1"/>
    </xf>
    <xf numFmtId="14" fontId="128" fillId="9" borderId="111" xfId="3" applyNumberFormat="1" applyFont="1" applyFill="1" applyBorder="1" applyAlignment="1" applyProtection="1">
      <alignment horizontal="center" vertical="center"/>
      <protection hidden="1"/>
    </xf>
    <xf numFmtId="14" fontId="128" fillId="9" borderId="112" xfId="3" applyNumberFormat="1" applyFont="1" applyFill="1" applyBorder="1" applyAlignment="1" applyProtection="1">
      <alignment horizontal="center" vertical="center"/>
      <protection hidden="1"/>
    </xf>
    <xf numFmtId="14" fontId="128" fillId="9" borderId="113" xfId="3" applyNumberFormat="1" applyFont="1" applyFill="1" applyBorder="1" applyAlignment="1" applyProtection="1">
      <alignment horizontal="center" vertical="center"/>
      <protection hidden="1"/>
    </xf>
    <xf numFmtId="14" fontId="128" fillId="9" borderId="114" xfId="3" applyNumberFormat="1" applyFont="1" applyFill="1" applyBorder="1" applyAlignment="1" applyProtection="1">
      <alignment horizontal="center" vertical="center"/>
      <protection hidden="1"/>
    </xf>
    <xf numFmtId="14" fontId="128" fillId="9" borderId="115" xfId="3" applyNumberFormat="1" applyFont="1" applyFill="1" applyBorder="1" applyAlignment="1" applyProtection="1">
      <alignment horizontal="center" vertical="center"/>
      <protection hidden="1"/>
    </xf>
    <xf numFmtId="14" fontId="133" fillId="10" borderId="110" xfId="3" applyNumberFormat="1" applyFont="1" applyFill="1" applyBorder="1" applyAlignment="1" applyProtection="1">
      <alignment horizontal="center" vertical="center"/>
      <protection hidden="1"/>
    </xf>
    <xf numFmtId="14" fontId="133" fillId="10" borderId="113" xfId="3" applyNumberFormat="1" applyFont="1" applyFill="1" applyBorder="1" applyAlignment="1" applyProtection="1">
      <alignment horizontal="center" vertical="center"/>
      <protection hidden="1"/>
    </xf>
    <xf numFmtId="0" fontId="133" fillId="2" borderId="0" xfId="0" applyFont="1" applyFill="1" applyAlignment="1" applyProtection="1">
      <alignment horizontal="right" vertical="center" indent="1"/>
      <protection hidden="1"/>
    </xf>
    <xf numFmtId="165" fontId="30" fillId="2" borderId="0" xfId="0" applyNumberFormat="1" applyFont="1" applyFill="1" applyAlignment="1" applyProtection="1">
      <alignment horizontal="center" vertical="center"/>
      <protection hidden="1"/>
    </xf>
    <xf numFmtId="0" fontId="128" fillId="9" borderId="0" xfId="3" applyFont="1" applyFill="1" applyAlignment="1" applyProtection="1">
      <alignment horizontal="center" vertical="center"/>
      <protection hidden="1"/>
    </xf>
    <xf numFmtId="165" fontId="30" fillId="2" borderId="0" xfId="0" applyNumberFormat="1" applyFont="1" applyFill="1" applyAlignment="1" applyProtection="1">
      <alignment horizontal="right" vertical="center"/>
      <protection hidden="1"/>
    </xf>
    <xf numFmtId="165" fontId="35" fillId="2" borderId="0" xfId="0" applyNumberFormat="1" applyFont="1" applyFill="1" applyAlignment="1" applyProtection="1">
      <alignment horizontal="center" vertical="center"/>
      <protection hidden="1"/>
    </xf>
    <xf numFmtId="0" fontId="128" fillId="2" borderId="0" xfId="0" applyFont="1" applyFill="1" applyAlignment="1" applyProtection="1">
      <alignment horizontal="right" vertical="center"/>
      <protection hidden="1"/>
    </xf>
    <xf numFmtId="0" fontId="136" fillId="3" borderId="10" xfId="1" applyNumberFormat="1" applyFont="1" applyFill="1" applyBorder="1" applyAlignment="1" applyProtection="1">
      <alignment horizontal="center" vertical="center"/>
      <protection locked="0"/>
    </xf>
    <xf numFmtId="164" fontId="14" fillId="2" borderId="29" xfId="0" applyNumberFormat="1" applyFont="1" applyFill="1" applyBorder="1" applyAlignment="1" applyProtection="1">
      <alignment horizontal="left" vertical="center"/>
      <protection locked="0"/>
    </xf>
    <xf numFmtId="164" fontId="2" fillId="2" borderId="0" xfId="0" applyNumberFormat="1" applyFont="1" applyFill="1" applyBorder="1" applyAlignment="1" applyProtection="1">
      <protection hidden="1"/>
    </xf>
    <xf numFmtId="165" fontId="35" fillId="2" borderId="0" xfId="0" applyNumberFormat="1" applyFont="1" applyFill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137" fillId="9" borderId="0" xfId="3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right" vertical="top" indent="1"/>
      <protection hidden="1"/>
    </xf>
    <xf numFmtId="14" fontId="2" fillId="2" borderId="13" xfId="0" applyNumberFormat="1" applyFont="1" applyFill="1" applyBorder="1" applyAlignment="1" applyProtection="1">
      <alignment horizontal="center" vertical="center"/>
      <protection hidden="1"/>
    </xf>
    <xf numFmtId="14" fontId="2" fillId="2" borderId="21" xfId="0" applyNumberFormat="1" applyFont="1" applyFill="1" applyBorder="1" applyAlignment="1" applyProtection="1">
      <alignment horizontal="center" vertical="center"/>
      <protection hidden="1"/>
    </xf>
    <xf numFmtId="0" fontId="133" fillId="2" borderId="0" xfId="0" applyFont="1" applyFill="1" applyAlignment="1" applyProtection="1">
      <alignment horizontal="right" indent="1"/>
      <protection hidden="1"/>
    </xf>
    <xf numFmtId="0" fontId="133" fillId="2" borderId="0" xfId="0" applyFont="1" applyFill="1" applyAlignment="1" applyProtection="1">
      <alignment horizontal="right" vertical="top" indent="1"/>
      <protection hidden="1"/>
    </xf>
    <xf numFmtId="164" fontId="12" fillId="2" borderId="32" xfId="0" applyNumberFormat="1" applyFont="1" applyFill="1" applyBorder="1" applyAlignment="1" applyProtection="1">
      <alignment horizontal="left" vertical="center"/>
      <protection locked="0"/>
    </xf>
    <xf numFmtId="0" fontId="129" fillId="9" borderId="0" xfId="0" applyFont="1" applyFill="1" applyAlignment="1" applyProtection="1">
      <alignment horizontal="right" vertical="center" indent="1"/>
      <protection hidden="1"/>
    </xf>
    <xf numFmtId="14" fontId="2" fillId="2" borderId="38" xfId="0" applyNumberFormat="1" applyFont="1" applyFill="1" applyBorder="1" applyAlignment="1" applyProtection="1">
      <alignment horizontal="center" vertical="center"/>
      <protection hidden="1"/>
    </xf>
    <xf numFmtId="14" fontId="135" fillId="10" borderId="118" xfId="0" applyNumberFormat="1" applyFont="1" applyFill="1" applyBorder="1" applyAlignment="1" applyProtection="1">
      <alignment horizontal="center" vertical="center"/>
      <protection hidden="1"/>
    </xf>
    <xf numFmtId="14" fontId="135" fillId="10" borderId="119" xfId="0" applyNumberFormat="1" applyFont="1" applyFill="1" applyBorder="1" applyAlignment="1" applyProtection="1">
      <alignment horizontal="center" vertical="center"/>
      <protection hidden="1"/>
    </xf>
    <xf numFmtId="0" fontId="133" fillId="9" borderId="0" xfId="3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0" fontId="133" fillId="9" borderId="0" xfId="0" applyFont="1" applyFill="1" applyAlignment="1" applyProtection="1">
      <alignment horizontal="right" vertical="center" indent="1"/>
      <protection hidden="1"/>
    </xf>
    <xf numFmtId="14" fontId="133" fillId="2" borderId="0" xfId="0" applyNumberFormat="1" applyFont="1" applyFill="1" applyAlignment="1" applyProtection="1">
      <alignment horizontal="center" vertical="top"/>
      <protection hidden="1"/>
    </xf>
    <xf numFmtId="165" fontId="30" fillId="2" borderId="0" xfId="0" applyNumberFormat="1" applyFont="1" applyFill="1" applyAlignment="1" applyProtection="1">
      <alignment horizontal="center"/>
      <protection hidden="1"/>
    </xf>
    <xf numFmtId="14" fontId="128" fillId="2" borderId="0" xfId="0" applyNumberFormat="1" applyFont="1" applyFill="1" applyAlignment="1" applyProtection="1">
      <alignment horizontal="center" vertical="top"/>
      <protection hidden="1"/>
    </xf>
    <xf numFmtId="14" fontId="133" fillId="2" borderId="0" xfId="0" applyNumberFormat="1" applyFont="1" applyFill="1" applyAlignment="1" applyProtection="1">
      <alignment horizontal="left" vertical="top"/>
      <protection hidden="1"/>
    </xf>
    <xf numFmtId="0" fontId="128" fillId="2" borderId="0" xfId="0" applyFont="1" applyFill="1" applyAlignment="1" applyProtection="1">
      <alignment vertical="center"/>
      <protection hidden="1"/>
    </xf>
    <xf numFmtId="0" fontId="129" fillId="2" borderId="0" xfId="0" applyFont="1" applyFill="1" applyAlignment="1" applyProtection="1">
      <alignment horizontal="center" vertical="center"/>
      <protection locked="0"/>
    </xf>
    <xf numFmtId="0" fontId="31" fillId="9" borderId="120" xfId="0" applyFont="1" applyFill="1" applyBorder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horizontal="left" vertical="center"/>
      <protection hidden="1"/>
    </xf>
    <xf numFmtId="168" fontId="138" fillId="2" borderId="14" xfId="0" applyNumberFormat="1" applyFont="1" applyFill="1" applyBorder="1" applyAlignment="1" applyProtection="1">
      <alignment vertical="center"/>
      <protection hidden="1"/>
    </xf>
    <xf numFmtId="168" fontId="138" fillId="2" borderId="15" xfId="0" applyNumberFormat="1" applyFont="1" applyFill="1" applyBorder="1" applyAlignment="1" applyProtection="1">
      <alignment vertical="center"/>
      <protection hidden="1"/>
    </xf>
    <xf numFmtId="168" fontId="138" fillId="2" borderId="16" xfId="0" applyNumberFormat="1" applyFont="1" applyFill="1" applyBorder="1" applyAlignment="1" applyProtection="1">
      <alignment vertical="center"/>
      <protection hidden="1"/>
    </xf>
    <xf numFmtId="168" fontId="138" fillId="2" borderId="18" xfId="0" applyNumberFormat="1" applyFont="1" applyFill="1" applyBorder="1" applyAlignment="1" applyProtection="1">
      <alignment vertical="center"/>
      <protection hidden="1"/>
    </xf>
    <xf numFmtId="168" fontId="138" fillId="2" borderId="9" xfId="0" applyNumberFormat="1" applyFont="1" applyFill="1" applyBorder="1" applyAlignment="1" applyProtection="1">
      <alignment vertical="center"/>
      <protection hidden="1"/>
    </xf>
    <xf numFmtId="168" fontId="138" fillId="2" borderId="19" xfId="0" applyNumberFormat="1" applyFont="1" applyFill="1" applyBorder="1" applyAlignment="1" applyProtection="1">
      <alignment vertical="center"/>
      <protection hidden="1"/>
    </xf>
    <xf numFmtId="168" fontId="138" fillId="2" borderId="5" xfId="0" applyNumberFormat="1" applyFont="1" applyFill="1" applyBorder="1" applyAlignment="1" applyProtection="1">
      <alignment vertical="center"/>
      <protection hidden="1"/>
    </xf>
    <xf numFmtId="168" fontId="138" fillId="2" borderId="6" xfId="0" applyNumberFormat="1" applyFont="1" applyFill="1" applyBorder="1" applyAlignment="1" applyProtection="1">
      <alignment vertical="center"/>
      <protection hidden="1"/>
    </xf>
    <xf numFmtId="168" fontId="138" fillId="2" borderId="7" xfId="0" applyNumberFormat="1" applyFont="1" applyFill="1" applyBorder="1" applyAlignment="1" applyProtection="1">
      <alignment vertical="center"/>
      <protection hidden="1"/>
    </xf>
    <xf numFmtId="0" fontId="128" fillId="9" borderId="0" xfId="3" applyFont="1" applyFill="1" applyAlignment="1" applyProtection="1">
      <alignment horizontal="center" vertical="center"/>
      <protection hidden="1"/>
    </xf>
    <xf numFmtId="165" fontId="30" fillId="2" borderId="0" xfId="0" applyNumberFormat="1" applyFont="1" applyFill="1" applyAlignment="1" applyProtection="1">
      <alignment vertical="center"/>
      <protection hidden="1"/>
    </xf>
    <xf numFmtId="168" fontId="14" fillId="2" borderId="0" xfId="0" applyNumberFormat="1" applyFont="1" applyFill="1" applyBorder="1" applyAlignment="1" applyProtection="1">
      <alignment horizontal="left" vertical="center"/>
      <protection hidden="1"/>
    </xf>
    <xf numFmtId="165" fontId="37" fillId="2" borderId="0" xfId="0" applyNumberFormat="1" applyFont="1" applyFill="1" applyAlignment="1" applyProtection="1">
      <alignment horizontal="center" vertical="center"/>
      <protection hidden="1"/>
    </xf>
    <xf numFmtId="165" fontId="30" fillId="9" borderId="0" xfId="0" applyNumberFormat="1" applyFont="1" applyFill="1" applyAlignment="1" applyProtection="1">
      <alignment horizontal="center" vertical="center"/>
      <protection hidden="1"/>
    </xf>
    <xf numFmtId="178" fontId="127" fillId="9" borderId="0" xfId="0" applyNumberFormat="1" applyFont="1" applyFill="1" applyBorder="1" applyAlignment="1" applyProtection="1">
      <alignment vertical="center"/>
      <protection hidden="1"/>
    </xf>
    <xf numFmtId="0" fontId="30" fillId="2" borderId="0" xfId="0" applyFont="1" applyFill="1" applyBorder="1" applyAlignment="1" applyProtection="1">
      <alignment horizontal="left"/>
      <protection hidden="1"/>
    </xf>
    <xf numFmtId="0" fontId="30" fillId="2" borderId="0" xfId="0" applyFont="1" applyFill="1" applyBorder="1" applyAlignment="1" applyProtection="1">
      <alignment horizontal="left" vertical="top"/>
      <protection hidden="1"/>
    </xf>
    <xf numFmtId="191" fontId="30" fillId="2" borderId="0" xfId="0" applyNumberFormat="1" applyFont="1" applyFill="1" applyBorder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128" fillId="2" borderId="0" xfId="0" applyFont="1" applyFill="1" applyBorder="1" applyAlignment="1" applyProtection="1">
      <alignment horizontal="center" vertical="center"/>
      <protection hidden="1"/>
    </xf>
    <xf numFmtId="164" fontId="56" fillId="10" borderId="82" xfId="0" applyNumberFormat="1" applyFont="1" applyFill="1" applyBorder="1" applyAlignment="1" applyProtection="1">
      <alignment horizontal="left" vertical="center"/>
      <protection locked="0"/>
    </xf>
    <xf numFmtId="164" fontId="56" fillId="10" borderId="83" xfId="0" applyNumberFormat="1" applyFont="1" applyFill="1" applyBorder="1" applyAlignment="1" applyProtection="1">
      <alignment horizontal="left" vertical="center"/>
      <protection locked="0"/>
    </xf>
    <xf numFmtId="164" fontId="56" fillId="10" borderId="84" xfId="0" applyNumberFormat="1" applyFont="1" applyFill="1" applyBorder="1" applyAlignment="1" applyProtection="1">
      <alignment horizontal="left" vertical="center"/>
      <protection locked="0"/>
    </xf>
    <xf numFmtId="186" fontId="14" fillId="2" borderId="9" xfId="0" applyNumberFormat="1" applyFont="1" applyFill="1" applyBorder="1" applyAlignment="1" applyProtection="1">
      <alignment horizontal="right" vertical="center"/>
      <protection hidden="1"/>
    </xf>
    <xf numFmtId="186" fontId="14" fillId="2" borderId="15" xfId="0" applyNumberFormat="1" applyFont="1" applyFill="1" applyBorder="1" applyAlignment="1" applyProtection="1">
      <alignment horizontal="right" vertical="center"/>
      <protection hidden="1"/>
    </xf>
    <xf numFmtId="176" fontId="14" fillId="2" borderId="62" xfId="0" applyNumberFormat="1" applyFont="1" applyFill="1" applyBorder="1" applyAlignment="1" applyProtection="1">
      <alignment horizontal="right" vertical="center"/>
      <protection hidden="1"/>
    </xf>
    <xf numFmtId="186" fontId="14" fillId="2" borderId="6" xfId="0" applyNumberFormat="1" applyFont="1" applyFill="1" applyBorder="1" applyAlignment="1" applyProtection="1">
      <alignment horizontal="right" vertical="center"/>
      <protection hidden="1"/>
    </xf>
    <xf numFmtId="176" fontId="14" fillId="2" borderId="63" xfId="0" applyNumberFormat="1" applyFont="1" applyFill="1" applyBorder="1" applyAlignment="1" applyProtection="1">
      <alignment horizontal="right" vertical="center"/>
      <protection hidden="1"/>
    </xf>
    <xf numFmtId="165" fontId="14" fillId="2" borderId="102" xfId="0" applyNumberFormat="1" applyFont="1" applyFill="1" applyBorder="1" applyAlignment="1" applyProtection="1">
      <alignment horizontal="center" vertical="center"/>
      <protection hidden="1"/>
    </xf>
    <xf numFmtId="165" fontId="14" fillId="2" borderId="34" xfId="0" applyNumberFormat="1" applyFont="1" applyFill="1" applyBorder="1" applyAlignment="1" applyProtection="1">
      <alignment horizontal="center" vertical="center"/>
      <protection hidden="1"/>
    </xf>
    <xf numFmtId="165" fontId="14" fillId="2" borderId="101" xfId="0" applyNumberFormat="1" applyFont="1" applyFill="1" applyBorder="1" applyAlignment="1" applyProtection="1">
      <alignment horizontal="center" vertical="center"/>
      <protection hidden="1"/>
    </xf>
    <xf numFmtId="0" fontId="139" fillId="2" borderId="11" xfId="0" applyFont="1" applyFill="1" applyBorder="1" applyAlignment="1" applyProtection="1">
      <alignment horizontal="center" vertical="center"/>
      <protection locked="0"/>
    </xf>
    <xf numFmtId="164" fontId="2" fillId="2" borderId="11" xfId="0" applyNumberFormat="1" applyFont="1" applyFill="1" applyBorder="1" applyAlignment="1" applyProtection="1">
      <alignment horizontal="center" vertical="center"/>
      <protection hidden="1"/>
    </xf>
    <xf numFmtId="176" fontId="14" fillId="2" borderId="16" xfId="0" applyNumberFormat="1" applyFont="1" applyFill="1" applyBorder="1" applyAlignment="1" applyProtection="1">
      <alignment horizontal="right" vertical="center"/>
      <protection hidden="1"/>
    </xf>
    <xf numFmtId="0" fontId="37" fillId="2" borderId="0" xfId="0" applyFont="1" applyFill="1" applyBorder="1" applyAlignment="1" applyProtection="1">
      <alignment horizontal="center" vertical="center"/>
      <protection locked="0"/>
    </xf>
    <xf numFmtId="165" fontId="14" fillId="2" borderId="0" xfId="0" applyNumberFormat="1" applyFont="1" applyFill="1" applyAlignment="1" applyProtection="1">
      <alignment vertical="center"/>
      <protection hidden="1"/>
    </xf>
    <xf numFmtId="0" fontId="140" fillId="2" borderId="0" xfId="0" applyFont="1" applyFill="1" applyAlignment="1" applyProtection="1">
      <alignment horizontal="center" vertical="center"/>
      <protection hidden="1"/>
    </xf>
    <xf numFmtId="0" fontId="139" fillId="2" borderId="0" xfId="0" applyFont="1" applyFill="1" applyAlignment="1" applyProtection="1">
      <alignment horizontal="center" vertical="center"/>
      <protection hidden="1"/>
    </xf>
    <xf numFmtId="178" fontId="14" fillId="10" borderId="10" xfId="0" applyNumberFormat="1" applyFont="1" applyFill="1" applyBorder="1" applyAlignment="1" applyProtection="1">
      <alignment vertical="center"/>
      <protection hidden="1"/>
    </xf>
    <xf numFmtId="182" fontId="14" fillId="2" borderId="13" xfId="0" applyNumberFormat="1" applyFont="1" applyFill="1" applyBorder="1" applyAlignment="1" applyProtection="1">
      <alignment vertical="center"/>
      <protection hidden="1"/>
    </xf>
    <xf numFmtId="182" fontId="14" fillId="2" borderId="17" xfId="0" applyNumberFormat="1" applyFont="1" applyFill="1" applyBorder="1" applyAlignment="1" applyProtection="1">
      <alignment vertical="center"/>
      <protection hidden="1"/>
    </xf>
    <xf numFmtId="182" fontId="14" fillId="2" borderId="21" xfId="0" applyNumberFormat="1" applyFont="1" applyFill="1" applyBorder="1" applyAlignment="1" applyProtection="1">
      <alignment vertical="center"/>
      <protection hidden="1"/>
    </xf>
    <xf numFmtId="168" fontId="37" fillId="10" borderId="10" xfId="0" applyNumberFormat="1" applyFont="1" applyFill="1" applyBorder="1" applyAlignment="1" applyProtection="1">
      <alignment vertical="center"/>
      <protection hidden="1"/>
    </xf>
    <xf numFmtId="168" fontId="14" fillId="2" borderId="13" xfId="0" applyNumberFormat="1" applyFont="1" applyFill="1" applyBorder="1" applyAlignment="1" applyProtection="1">
      <alignment vertical="center"/>
      <protection hidden="1"/>
    </xf>
    <xf numFmtId="168" fontId="14" fillId="2" borderId="17" xfId="0" applyNumberFormat="1" applyFont="1" applyFill="1" applyBorder="1" applyAlignment="1" applyProtection="1">
      <alignment vertical="center"/>
      <protection hidden="1"/>
    </xf>
    <xf numFmtId="168" fontId="14" fillId="2" borderId="21" xfId="0" applyNumberFormat="1" applyFont="1" applyFill="1" applyBorder="1" applyAlignment="1" applyProtection="1">
      <alignment vertical="center"/>
      <protection hidden="1"/>
    </xf>
    <xf numFmtId="168" fontId="41" fillId="10" borderId="13" xfId="0" applyNumberFormat="1" applyFont="1" applyFill="1" applyBorder="1" applyAlignment="1" applyProtection="1">
      <alignment vertical="center"/>
      <protection hidden="1"/>
    </xf>
    <xf numFmtId="168" fontId="41" fillId="10" borderId="17" xfId="0" applyNumberFormat="1" applyFont="1" applyFill="1" applyBorder="1" applyAlignment="1" applyProtection="1">
      <alignment vertical="center"/>
      <protection hidden="1"/>
    </xf>
    <xf numFmtId="168" fontId="41" fillId="10" borderId="21" xfId="0" applyNumberFormat="1" applyFont="1" applyFill="1" applyBorder="1" applyAlignment="1" applyProtection="1">
      <alignment vertical="center"/>
      <protection hidden="1"/>
    </xf>
    <xf numFmtId="168" fontId="140" fillId="2" borderId="10" xfId="0" applyNumberFormat="1" applyFont="1" applyFill="1" applyBorder="1" applyAlignment="1" applyProtection="1">
      <alignment vertical="center"/>
      <protection hidden="1"/>
    </xf>
    <xf numFmtId="168" fontId="14" fillId="2" borderId="10" xfId="0" applyNumberFormat="1" applyFont="1" applyFill="1" applyBorder="1" applyAlignment="1" applyProtection="1">
      <alignment vertical="center"/>
      <protection hidden="1"/>
    </xf>
    <xf numFmtId="191" fontId="133" fillId="2" borderId="0" xfId="0" applyNumberFormat="1" applyFont="1" applyFill="1" applyBorder="1" applyAlignment="1" applyProtection="1">
      <alignment vertical="center"/>
      <protection hidden="1"/>
    </xf>
    <xf numFmtId="168" fontId="140" fillId="2" borderId="14" xfId="0" applyNumberFormat="1" applyFont="1" applyFill="1" applyBorder="1" applyAlignment="1" applyProtection="1">
      <alignment vertical="center"/>
      <protection hidden="1"/>
    </xf>
    <xf numFmtId="168" fontId="140" fillId="2" borderId="15" xfId="0" applyNumberFormat="1" applyFont="1" applyFill="1" applyBorder="1" applyAlignment="1" applyProtection="1">
      <alignment vertical="center"/>
      <protection hidden="1"/>
    </xf>
    <xf numFmtId="168" fontId="140" fillId="2" borderId="16" xfId="0" applyNumberFormat="1" applyFont="1" applyFill="1" applyBorder="1" applyAlignment="1" applyProtection="1">
      <alignment vertical="center"/>
      <protection hidden="1"/>
    </xf>
    <xf numFmtId="168" fontId="140" fillId="2" borderId="18" xfId="0" applyNumberFormat="1" applyFont="1" applyFill="1" applyBorder="1" applyAlignment="1" applyProtection="1">
      <alignment vertical="center"/>
      <protection hidden="1"/>
    </xf>
    <xf numFmtId="168" fontId="140" fillId="2" borderId="9" xfId="0" applyNumberFormat="1" applyFont="1" applyFill="1" applyBorder="1" applyAlignment="1" applyProtection="1">
      <alignment vertical="center"/>
      <protection hidden="1"/>
    </xf>
    <xf numFmtId="168" fontId="140" fillId="2" borderId="19" xfId="0" applyNumberFormat="1" applyFont="1" applyFill="1" applyBorder="1" applyAlignment="1" applyProtection="1">
      <alignment vertical="center"/>
      <protection hidden="1"/>
    </xf>
    <xf numFmtId="168" fontId="140" fillId="2" borderId="5" xfId="0" applyNumberFormat="1" applyFont="1" applyFill="1" applyBorder="1" applyAlignment="1" applyProtection="1">
      <alignment vertical="center"/>
      <protection hidden="1"/>
    </xf>
    <xf numFmtId="168" fontId="140" fillId="2" borderId="6" xfId="0" applyNumberFormat="1" applyFont="1" applyFill="1" applyBorder="1" applyAlignment="1" applyProtection="1">
      <alignment vertical="center"/>
      <protection hidden="1"/>
    </xf>
    <xf numFmtId="168" fontId="140" fillId="2" borderId="7" xfId="0" applyNumberFormat="1" applyFont="1" applyFill="1" applyBorder="1" applyAlignment="1" applyProtection="1">
      <alignment vertical="center"/>
      <protection hidden="1"/>
    </xf>
    <xf numFmtId="168" fontId="41" fillId="10" borderId="22" xfId="0" applyNumberFormat="1" applyFont="1" applyFill="1" applyBorder="1" applyAlignment="1" applyProtection="1">
      <alignment vertical="center"/>
      <protection hidden="1"/>
    </xf>
    <xf numFmtId="168" fontId="41" fillId="10" borderId="23" xfId="0" applyNumberFormat="1" applyFont="1" applyFill="1" applyBorder="1" applyAlignment="1" applyProtection="1">
      <alignment vertical="center"/>
      <protection hidden="1"/>
    </xf>
    <xf numFmtId="168" fontId="41" fillId="10" borderId="24" xfId="0" applyNumberFormat="1" applyFont="1" applyFill="1" applyBorder="1" applyAlignment="1" applyProtection="1">
      <alignment vertical="center"/>
      <protection hidden="1"/>
    </xf>
    <xf numFmtId="178" fontId="4" fillId="2" borderId="10" xfId="0" applyNumberFormat="1" applyFont="1" applyFill="1" applyBorder="1" applyAlignment="1" applyProtection="1">
      <alignment vertical="center"/>
      <protection hidden="1"/>
    </xf>
    <xf numFmtId="182" fontId="4" fillId="2" borderId="66" xfId="0" applyNumberFormat="1" applyFont="1" applyFill="1" applyBorder="1" applyAlignment="1" applyProtection="1">
      <alignment vertical="center"/>
      <protection hidden="1"/>
    </xf>
    <xf numFmtId="0" fontId="0" fillId="9" borderId="52" xfId="0" applyFill="1" applyBorder="1" applyProtection="1">
      <protection hidden="1"/>
    </xf>
    <xf numFmtId="2" fontId="30" fillId="9" borderId="11" xfId="0" applyNumberFormat="1" applyFont="1" applyFill="1" applyBorder="1" applyAlignment="1" applyProtection="1">
      <alignment vertical="center"/>
      <protection hidden="1"/>
    </xf>
    <xf numFmtId="0" fontId="0" fillId="9" borderId="11" xfId="0" applyFill="1" applyBorder="1" applyProtection="1">
      <protection hidden="1"/>
    </xf>
    <xf numFmtId="0" fontId="0" fillId="2" borderId="57" xfId="0" applyFill="1" applyBorder="1" applyAlignment="1" applyProtection="1">
      <alignment vertical="center"/>
      <protection hidden="1"/>
    </xf>
    <xf numFmtId="165" fontId="30" fillId="2" borderId="0" xfId="0" applyNumberFormat="1" applyFont="1" applyFill="1" applyBorder="1" applyAlignment="1" applyProtection="1">
      <alignment horizontal="left" vertical="top"/>
      <protection hidden="1"/>
    </xf>
    <xf numFmtId="0" fontId="128" fillId="2" borderId="0" xfId="0" applyFont="1" applyFill="1" applyAlignment="1" applyProtection="1">
      <alignment horizontal="center" vertical="center"/>
      <protection hidden="1"/>
    </xf>
    <xf numFmtId="0" fontId="141" fillId="2" borderId="0" xfId="1" applyFont="1" applyFill="1" applyBorder="1" applyAlignment="1" applyProtection="1">
      <alignment horizontal="left" vertical="center" indent="1"/>
      <protection locked="0"/>
    </xf>
    <xf numFmtId="0" fontId="140" fillId="0" borderId="0" xfId="0" applyFont="1" applyAlignment="1" applyProtection="1">
      <alignment horizontal="right" vertical="center" indent="1"/>
      <protection hidden="1"/>
    </xf>
    <xf numFmtId="165" fontId="30" fillId="2" borderId="0" xfId="0" applyNumberFormat="1" applyFont="1" applyFill="1" applyAlignment="1" applyProtection="1">
      <alignment horizontal="left" vertical="center"/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142" fillId="2" borderId="0" xfId="1" applyFont="1" applyFill="1" applyBorder="1" applyAlignment="1" applyProtection="1">
      <alignment horizontal="left" vertical="center" indent="1"/>
      <protection locked="0"/>
    </xf>
    <xf numFmtId="2" fontId="30" fillId="9" borderId="20" xfId="0" applyNumberFormat="1" applyFont="1" applyFill="1" applyBorder="1" applyAlignment="1" applyProtection="1">
      <alignment horizontal="right" vertical="center" indent="1"/>
      <protection hidden="1"/>
    </xf>
    <xf numFmtId="0" fontId="140" fillId="2" borderId="0" xfId="0" applyNumberFormat="1" applyFont="1" applyFill="1" applyAlignment="1" applyProtection="1">
      <alignment horizontal="right" vertical="center" indent="1"/>
      <protection hidden="1"/>
    </xf>
    <xf numFmtId="0" fontId="140" fillId="2" borderId="0" xfId="0" applyNumberFormat="1" applyFont="1" applyFill="1" applyBorder="1" applyAlignment="1" applyProtection="1">
      <alignment horizontal="right" vertical="center" indent="1"/>
      <protection hidden="1"/>
    </xf>
    <xf numFmtId="14" fontId="133" fillId="11" borderId="107" xfId="0" applyNumberFormat="1" applyFont="1" applyFill="1" applyBorder="1" applyAlignment="1" applyProtection="1">
      <alignment horizontal="center" vertical="center"/>
      <protection hidden="1"/>
    </xf>
    <xf numFmtId="0" fontId="128" fillId="9" borderId="124" xfId="0" applyFont="1" applyFill="1" applyBorder="1" applyAlignment="1" applyProtection="1">
      <alignment horizontal="center" vertical="center"/>
      <protection hidden="1"/>
    </xf>
    <xf numFmtId="0" fontId="128" fillId="9" borderId="125" xfId="0" applyFont="1" applyFill="1" applyBorder="1" applyAlignment="1" applyProtection="1">
      <alignment horizontal="center" vertical="center"/>
      <protection hidden="1"/>
    </xf>
    <xf numFmtId="0" fontId="128" fillId="9" borderId="126" xfId="0" applyFont="1" applyFill="1" applyBorder="1" applyAlignment="1" applyProtection="1">
      <alignment horizontal="center" vertical="center"/>
      <protection hidden="1"/>
    </xf>
    <xf numFmtId="2" fontId="140" fillId="2" borderId="0" xfId="0" applyNumberFormat="1" applyFont="1" applyFill="1" applyAlignment="1" applyProtection="1">
      <alignment horizontal="right" vertical="center" indent="1"/>
      <protection hidden="1"/>
    </xf>
    <xf numFmtId="2" fontId="143" fillId="2" borderId="0" xfId="0" applyNumberFormat="1" applyFont="1" applyFill="1" applyAlignment="1" applyProtection="1">
      <alignment horizontal="right" vertical="center"/>
      <protection hidden="1"/>
    </xf>
    <xf numFmtId="0" fontId="0" fillId="9" borderId="0" xfId="0" applyFill="1" applyBorder="1" applyAlignment="1" applyProtection="1">
      <alignment vertical="center"/>
      <protection hidden="1"/>
    </xf>
    <xf numFmtId="0" fontId="144" fillId="9" borderId="0" xfId="0" applyFont="1" applyFill="1" applyAlignment="1" applyProtection="1">
      <alignment horizontal="left" vertical="top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76" fillId="2" borderId="0" xfId="1" applyFont="1" applyFill="1" applyBorder="1" applyAlignment="1" applyProtection="1">
      <alignment horizontal="left"/>
      <protection hidden="1"/>
    </xf>
    <xf numFmtId="0" fontId="76" fillId="2" borderId="0" xfId="6" applyNumberFormat="1" applyFont="1" applyFill="1" applyAlignment="1" applyProtection="1">
      <alignment horizontal="left" vertical="center" indent="6"/>
      <protection hidden="1"/>
    </xf>
    <xf numFmtId="0" fontId="85" fillId="0" borderId="0" xfId="0" applyFont="1" applyFill="1" applyAlignment="1" applyProtection="1">
      <alignment horizontal="left" vertical="top" indent="2"/>
      <protection hidden="1"/>
    </xf>
    <xf numFmtId="0" fontId="17" fillId="0" borderId="0" xfId="3" applyFont="1" applyFill="1" applyProtection="1">
      <protection hidden="1"/>
    </xf>
    <xf numFmtId="0" fontId="17" fillId="0" borderId="0" xfId="3" applyFill="1" applyProtection="1">
      <protection hidden="1"/>
    </xf>
    <xf numFmtId="0" fontId="140" fillId="10" borderId="129" xfId="0" applyFont="1" applyFill="1" applyBorder="1" applyAlignment="1" applyProtection="1">
      <alignment horizontal="center" vertical="center"/>
      <protection hidden="1"/>
    </xf>
    <xf numFmtId="167" fontId="140" fillId="10" borderId="132" xfId="0" applyNumberFormat="1" applyFont="1" applyFill="1" applyBorder="1" applyAlignment="1" applyProtection="1">
      <alignment horizontal="right" vertical="center"/>
      <protection hidden="1"/>
    </xf>
    <xf numFmtId="0" fontId="140" fillId="2" borderId="0" xfId="0" applyFont="1" applyFill="1" applyAlignment="1" applyProtection="1">
      <alignment horizontal="right" vertical="center" indent="1"/>
      <protection hidden="1"/>
    </xf>
    <xf numFmtId="167" fontId="140" fillId="2" borderId="131" xfId="0" applyNumberFormat="1" applyFont="1" applyFill="1" applyBorder="1" applyAlignment="1" applyProtection="1">
      <alignment horizontal="right" vertical="center"/>
      <protection hidden="1"/>
    </xf>
    <xf numFmtId="167" fontId="140" fillId="2" borderId="132" xfId="0" applyNumberFormat="1" applyFont="1" applyFill="1" applyBorder="1" applyAlignment="1" applyProtection="1">
      <alignment horizontal="right" vertical="center"/>
      <protection hidden="1"/>
    </xf>
    <xf numFmtId="167" fontId="133" fillId="2" borderId="130" xfId="0" applyNumberFormat="1" applyFont="1" applyFill="1" applyBorder="1" applyAlignment="1" applyProtection="1">
      <alignment horizontal="right" vertical="center"/>
      <protection hidden="1"/>
    </xf>
    <xf numFmtId="0" fontId="133" fillId="2" borderId="0" xfId="0" applyFont="1" applyFill="1" applyAlignment="1" applyProtection="1">
      <alignment horizontal="center" vertical="center"/>
      <protection hidden="1"/>
    </xf>
    <xf numFmtId="167" fontId="133" fillId="2" borderId="134" xfId="0" applyNumberFormat="1" applyFont="1" applyFill="1" applyBorder="1" applyAlignment="1" applyProtection="1">
      <alignment horizontal="right" vertical="center"/>
      <protection hidden="1"/>
    </xf>
    <xf numFmtId="0" fontId="129" fillId="2" borderId="0" xfId="0" applyFont="1" applyFill="1" applyAlignment="1" applyProtection="1">
      <alignment horizontal="center" vertical="center"/>
      <protection hidden="1"/>
    </xf>
    <xf numFmtId="0" fontId="84" fillId="2" borderId="0" xfId="0" applyFont="1" applyFill="1" applyAlignment="1" applyProtection="1">
      <alignment horizontal="left" vertical="center"/>
      <protection hidden="1"/>
    </xf>
    <xf numFmtId="0" fontId="140" fillId="10" borderId="135" xfId="0" applyFont="1" applyFill="1" applyBorder="1" applyAlignment="1" applyProtection="1">
      <alignment horizontal="center" vertical="center"/>
      <protection hidden="1"/>
    </xf>
    <xf numFmtId="167" fontId="140" fillId="2" borderId="136" xfId="0" applyNumberFormat="1" applyFont="1" applyFill="1" applyBorder="1" applyAlignment="1" applyProtection="1">
      <alignment horizontal="right" vertical="center"/>
      <protection hidden="1"/>
    </xf>
    <xf numFmtId="167" fontId="140" fillId="2" borderId="137" xfId="0" applyNumberFormat="1" applyFont="1" applyFill="1" applyBorder="1" applyAlignment="1" applyProtection="1">
      <alignment horizontal="right" vertical="center"/>
      <protection hidden="1"/>
    </xf>
    <xf numFmtId="167" fontId="140" fillId="2" borderId="138" xfId="0" applyNumberFormat="1" applyFont="1" applyFill="1" applyBorder="1" applyAlignment="1" applyProtection="1">
      <alignment horizontal="right" vertical="center"/>
      <protection hidden="1"/>
    </xf>
    <xf numFmtId="167" fontId="140" fillId="2" borderId="139" xfId="0" applyNumberFormat="1" applyFont="1" applyFill="1" applyBorder="1" applyAlignment="1" applyProtection="1">
      <alignment horizontal="right" vertical="center"/>
      <protection hidden="1"/>
    </xf>
    <xf numFmtId="167" fontId="140" fillId="10" borderId="138" xfId="0" applyNumberFormat="1" applyFont="1" applyFill="1" applyBorder="1" applyAlignment="1" applyProtection="1">
      <alignment horizontal="right" vertical="center"/>
      <protection hidden="1"/>
    </xf>
    <xf numFmtId="0" fontId="140" fillId="10" borderId="120" xfId="0" applyFont="1" applyFill="1" applyBorder="1" applyAlignment="1" applyProtection="1">
      <alignment horizontal="center" vertical="center"/>
      <protection hidden="1"/>
    </xf>
    <xf numFmtId="167" fontId="140" fillId="2" borderId="140" xfId="0" applyNumberFormat="1" applyFont="1" applyFill="1" applyBorder="1" applyAlignment="1" applyProtection="1">
      <alignment horizontal="right" vertical="center"/>
      <protection hidden="1"/>
    </xf>
    <xf numFmtId="167" fontId="140" fillId="2" borderId="141" xfId="0" applyNumberFormat="1" applyFont="1" applyFill="1" applyBorder="1" applyAlignment="1" applyProtection="1">
      <alignment horizontal="right" vertical="center"/>
      <protection hidden="1"/>
    </xf>
    <xf numFmtId="167" fontId="140" fillId="2" borderId="133" xfId="0" applyNumberFormat="1" applyFont="1" applyFill="1" applyBorder="1" applyAlignment="1" applyProtection="1">
      <alignment horizontal="right" vertical="center"/>
      <protection hidden="1"/>
    </xf>
    <xf numFmtId="167" fontId="140" fillId="2" borderId="142" xfId="0" applyNumberFormat="1" applyFont="1" applyFill="1" applyBorder="1" applyAlignment="1" applyProtection="1">
      <alignment horizontal="right" vertical="center"/>
      <protection hidden="1"/>
    </xf>
    <xf numFmtId="167" fontId="140" fillId="10" borderId="133" xfId="0" applyNumberFormat="1" applyFont="1" applyFill="1" applyBorder="1" applyAlignment="1" applyProtection="1">
      <alignment horizontal="right" vertical="center"/>
      <protection hidden="1"/>
    </xf>
    <xf numFmtId="193" fontId="140" fillId="2" borderId="132" xfId="0" applyNumberFormat="1" applyFont="1" applyFill="1" applyBorder="1" applyAlignment="1" applyProtection="1">
      <alignment horizontal="right" vertical="center"/>
      <protection hidden="1"/>
    </xf>
    <xf numFmtId="193" fontId="140" fillId="12" borderId="120" xfId="0" applyNumberFormat="1" applyFont="1" applyFill="1" applyBorder="1" applyAlignment="1" applyProtection="1">
      <alignment horizontal="right" vertical="center"/>
      <protection hidden="1"/>
    </xf>
    <xf numFmtId="0" fontId="143" fillId="2" borderId="0" xfId="0" applyFont="1" applyFill="1" applyAlignment="1" applyProtection="1">
      <alignment horizontal="left"/>
      <protection hidden="1"/>
    </xf>
    <xf numFmtId="0" fontId="133" fillId="2" borderId="0" xfId="0" applyFont="1" applyFill="1" applyBorder="1" applyAlignment="1" applyProtection="1">
      <alignment horizontal="right" vertical="center"/>
      <protection hidden="1"/>
    </xf>
    <xf numFmtId="0" fontId="101" fillId="2" borderId="0" xfId="0" applyFont="1" applyFill="1" applyAlignment="1" applyProtection="1">
      <alignment horizontal="left" vertical="center"/>
      <protection hidden="1"/>
    </xf>
    <xf numFmtId="0" fontId="129" fillId="2" borderId="11" xfId="0" applyFont="1" applyFill="1" applyBorder="1" applyAlignment="1" applyProtection="1">
      <alignment horizontal="right" vertical="center"/>
      <protection hidden="1"/>
    </xf>
    <xf numFmtId="2" fontId="31" fillId="2" borderId="0" xfId="0" applyNumberFormat="1" applyFont="1" applyFill="1" applyAlignment="1" applyProtection="1">
      <protection hidden="1"/>
    </xf>
    <xf numFmtId="2" fontId="31" fillId="9" borderId="0" xfId="0" applyNumberFormat="1" applyFont="1" applyFill="1" applyAlignment="1" applyProtection="1">
      <protection hidden="1"/>
    </xf>
    <xf numFmtId="2" fontId="30" fillId="2" borderId="0" xfId="0" applyNumberFormat="1" applyFont="1" applyFill="1" applyAlignment="1" applyProtection="1">
      <alignment vertical="center"/>
      <protection hidden="1"/>
    </xf>
    <xf numFmtId="0" fontId="128" fillId="2" borderId="0" xfId="0" applyFont="1" applyFill="1" applyAlignment="1" applyProtection="1">
      <protection hidden="1"/>
    </xf>
    <xf numFmtId="0" fontId="128" fillId="2" borderId="0" xfId="0" applyFont="1" applyFill="1" applyAlignment="1" applyProtection="1">
      <alignment vertical="top"/>
      <protection hidden="1"/>
    </xf>
    <xf numFmtId="165" fontId="128" fillId="2" borderId="0" xfId="0" applyNumberFormat="1" applyFont="1" applyFill="1" applyAlignment="1" applyProtection="1">
      <alignment vertical="center"/>
      <protection hidden="1"/>
    </xf>
    <xf numFmtId="0" fontId="132" fillId="9" borderId="0" xfId="0" applyFont="1" applyFill="1" applyProtection="1">
      <protection hidden="1"/>
    </xf>
    <xf numFmtId="0" fontId="132" fillId="2" borderId="0" xfId="0" applyFont="1" applyFill="1" applyProtection="1">
      <protection hidden="1"/>
    </xf>
    <xf numFmtId="0" fontId="140" fillId="9" borderId="143" xfId="0" applyFont="1" applyFill="1" applyBorder="1" applyAlignment="1" applyProtection="1">
      <alignment horizontal="center" vertical="center"/>
      <protection hidden="1"/>
    </xf>
    <xf numFmtId="0" fontId="140" fillId="9" borderId="144" xfId="0" applyFont="1" applyFill="1" applyBorder="1" applyAlignment="1" applyProtection="1">
      <alignment horizontal="center" vertical="center"/>
      <protection hidden="1"/>
    </xf>
    <xf numFmtId="0" fontId="140" fillId="9" borderId="145" xfId="0" applyFont="1" applyFill="1" applyBorder="1" applyAlignment="1" applyProtection="1">
      <alignment horizontal="center" vertical="center"/>
      <protection hidden="1"/>
    </xf>
    <xf numFmtId="194" fontId="0" fillId="0" borderId="0" xfId="0" applyNumberFormat="1" applyProtection="1">
      <protection hidden="1"/>
    </xf>
    <xf numFmtId="192" fontId="4" fillId="0" borderId="0" xfId="0" applyNumberFormat="1" applyFont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5" fillId="2" borderId="64" xfId="0" applyFont="1" applyFill="1" applyBorder="1" applyAlignment="1" applyProtection="1">
      <alignment horizontal="right" vertical="center"/>
      <protection hidden="1"/>
    </xf>
    <xf numFmtId="0" fontId="34" fillId="2" borderId="0" xfId="0" applyFont="1" applyFill="1" applyAlignment="1" applyProtection="1">
      <alignment horizontal="left" vertical="top"/>
      <protection hidden="1"/>
    </xf>
    <xf numFmtId="165" fontId="24" fillId="2" borderId="0" xfId="0" applyNumberFormat="1" applyFont="1" applyFill="1" applyBorder="1" applyAlignment="1" applyProtection="1">
      <alignment vertical="center"/>
      <protection hidden="1"/>
    </xf>
    <xf numFmtId="0" fontId="34" fillId="2" borderId="0" xfId="0" applyFont="1" applyFill="1" applyAlignment="1" applyProtection="1">
      <alignment horizontal="left" vertical="top"/>
      <protection hidden="1"/>
    </xf>
    <xf numFmtId="0" fontId="34" fillId="2" borderId="0" xfId="0" applyFont="1" applyFill="1" applyAlignment="1" applyProtection="1">
      <alignment horizontal="left" vertical="top"/>
      <protection hidden="1"/>
    </xf>
    <xf numFmtId="0" fontId="77" fillId="2" borderId="0" xfId="0" applyFont="1" applyFill="1" applyAlignment="1" applyProtection="1">
      <protection hidden="1"/>
    </xf>
    <xf numFmtId="0" fontId="67" fillId="9" borderId="0" xfId="0" applyFont="1" applyFill="1" applyAlignment="1" applyProtection="1">
      <alignment vertical="center"/>
      <protection hidden="1"/>
    </xf>
    <xf numFmtId="0" fontId="93" fillId="2" borderId="0" xfId="0" applyFont="1" applyFill="1" applyAlignment="1" applyProtection="1">
      <alignment horizontal="left" vertical="center" indent="1"/>
      <protection hidden="1"/>
    </xf>
    <xf numFmtId="0" fontId="150" fillId="0" borderId="0" xfId="4" applyFont="1" applyFill="1" applyAlignment="1" applyProtection="1">
      <alignment horizontal="justify"/>
      <protection hidden="1"/>
    </xf>
    <xf numFmtId="0" fontId="150" fillId="0" borderId="0" xfId="4" applyFont="1" applyAlignment="1" applyProtection="1">
      <alignment horizontal="justify"/>
      <protection hidden="1"/>
    </xf>
    <xf numFmtId="0" fontId="129" fillId="0" borderId="0" xfId="4" applyFont="1" applyFill="1" applyAlignment="1" applyProtection="1">
      <alignment vertical="center"/>
      <protection hidden="1"/>
    </xf>
    <xf numFmtId="0" fontId="129" fillId="0" borderId="0" xfId="4" applyFont="1" applyFill="1" applyAlignment="1" applyProtection="1">
      <alignment horizontal="right" vertical="center"/>
      <protection hidden="1"/>
    </xf>
    <xf numFmtId="0" fontId="129" fillId="0" borderId="0" xfId="4" applyFont="1" applyFill="1" applyAlignment="1" applyProtection="1">
      <alignment horizontal="justify" vertical="center"/>
      <protection hidden="1"/>
    </xf>
    <xf numFmtId="0" fontId="127" fillId="0" borderId="0" xfId="0" applyFont="1" applyFill="1" applyBorder="1" applyAlignment="1" applyProtection="1">
      <alignment horizontal="justify"/>
      <protection hidden="1"/>
    </xf>
    <xf numFmtId="0" fontId="129" fillId="0" borderId="0" xfId="4" applyFont="1" applyFill="1" applyAlignment="1" applyProtection="1">
      <alignment horizontal="right"/>
      <protection hidden="1"/>
    </xf>
    <xf numFmtId="0" fontId="129" fillId="0" borderId="0" xfId="4" applyFont="1" applyFill="1" applyAlignment="1" applyProtection="1">
      <alignment horizontal="justify"/>
      <protection hidden="1"/>
    </xf>
    <xf numFmtId="0" fontId="129" fillId="0" borderId="0" xfId="4" applyFont="1" applyFill="1" applyAlignment="1" applyProtection="1">
      <alignment horizontal="center"/>
      <protection hidden="1"/>
    </xf>
    <xf numFmtId="0" fontId="129" fillId="0" borderId="0" xfId="4" applyFont="1" applyFill="1" applyAlignment="1" applyProtection="1">
      <alignment horizontal="right" vertical="top"/>
      <protection hidden="1"/>
    </xf>
    <xf numFmtId="0" fontId="129" fillId="0" borderId="0" xfId="4" applyFont="1" applyFill="1" applyAlignment="1" applyProtection="1">
      <alignment horizontal="justify" vertical="top"/>
      <protection hidden="1"/>
    </xf>
    <xf numFmtId="14" fontId="129" fillId="0" borderId="0" xfId="4" applyNumberFormat="1" applyFont="1" applyFill="1" applyAlignment="1" applyProtection="1">
      <alignment horizontal="justify" vertical="center"/>
      <protection hidden="1"/>
    </xf>
    <xf numFmtId="0" fontId="150" fillId="0" borderId="0" xfId="4" applyFont="1" applyFill="1" applyProtection="1">
      <protection hidden="1"/>
    </xf>
    <xf numFmtId="0" fontId="150" fillId="0" borderId="0" xfId="4" applyFont="1" applyProtection="1">
      <protection hidden="1"/>
    </xf>
    <xf numFmtId="0" fontId="129" fillId="0" borderId="0" xfId="3" applyFont="1" applyFill="1" applyAlignment="1" applyProtection="1">
      <alignment horizontal="center" vertical="center"/>
      <protection hidden="1"/>
    </xf>
    <xf numFmtId="0" fontId="129" fillId="0" borderId="0" xfId="4" applyFont="1" applyFill="1" applyAlignment="1" applyProtection="1">
      <alignment horizontal="center" vertical="center"/>
      <protection hidden="1"/>
    </xf>
    <xf numFmtId="0" fontId="119" fillId="0" borderId="0" xfId="4" applyFont="1" applyFill="1" applyProtection="1">
      <protection locked="0"/>
    </xf>
    <xf numFmtId="0" fontId="20" fillId="2" borderId="11" xfId="0" applyFont="1" applyFill="1" applyBorder="1" applyAlignment="1" applyProtection="1">
      <alignment vertical="center"/>
      <protection hidden="1"/>
    </xf>
    <xf numFmtId="0" fontId="14" fillId="2" borderId="11" xfId="0" applyFont="1" applyFill="1" applyBorder="1" applyAlignment="1" applyProtection="1">
      <alignment vertical="center"/>
      <protection hidden="1"/>
    </xf>
    <xf numFmtId="164" fontId="20" fillId="2" borderId="61" xfId="0" applyNumberFormat="1" applyFont="1" applyFill="1" applyBorder="1" applyAlignment="1" applyProtection="1">
      <alignment horizontal="left" vertical="center"/>
      <protection locked="0"/>
    </xf>
    <xf numFmtId="164" fontId="20" fillId="2" borderId="62" xfId="0" applyNumberFormat="1" applyFont="1" applyFill="1" applyBorder="1" applyAlignment="1" applyProtection="1">
      <alignment horizontal="left" vertical="center"/>
      <protection locked="0"/>
    </xf>
    <xf numFmtId="164" fontId="20" fillId="2" borderId="63" xfId="0" applyNumberFormat="1" applyFont="1" applyFill="1" applyBorder="1" applyAlignment="1" applyProtection="1">
      <alignment horizontal="left" vertical="center"/>
      <protection locked="0"/>
    </xf>
    <xf numFmtId="176" fontId="12" fillId="2" borderId="146" xfId="0" applyNumberFormat="1" applyFont="1" applyFill="1" applyBorder="1" applyAlignment="1" applyProtection="1">
      <alignment horizontal="right" vertical="center"/>
      <protection locked="0"/>
    </xf>
    <xf numFmtId="176" fontId="12" fillId="2" borderId="147" xfId="0" applyNumberFormat="1" applyFont="1" applyFill="1" applyBorder="1" applyAlignment="1" applyProtection="1">
      <alignment horizontal="right" vertical="center"/>
      <protection locked="0"/>
    </xf>
    <xf numFmtId="176" fontId="12" fillId="2" borderId="148" xfId="0" applyNumberFormat="1" applyFont="1" applyFill="1" applyBorder="1" applyAlignment="1" applyProtection="1">
      <alignment horizontal="right" vertical="center"/>
      <protection locked="0"/>
    </xf>
    <xf numFmtId="0" fontId="0" fillId="9" borderId="0" xfId="0" applyFill="1" applyProtection="1">
      <protection locked="0"/>
    </xf>
    <xf numFmtId="0" fontId="3" fillId="2" borderId="0" xfId="0" applyFont="1" applyFill="1" applyAlignment="1" applyProtection="1">
      <alignment horizontal="left" indent="1"/>
      <protection hidden="1"/>
    </xf>
    <xf numFmtId="0" fontId="142" fillId="2" borderId="0" xfId="1" applyFont="1" applyFill="1" applyBorder="1" applyAlignment="1" applyProtection="1">
      <alignment horizontal="left" vertical="top" indent="1"/>
      <protection locked="0"/>
    </xf>
    <xf numFmtId="0" fontId="142" fillId="2" borderId="0" xfId="1" applyFont="1" applyFill="1" applyBorder="1" applyAlignment="1" applyProtection="1">
      <alignment horizontal="left" indent="1"/>
      <protection locked="0"/>
    </xf>
    <xf numFmtId="0" fontId="0" fillId="0" borderId="0" xfId="0" applyFill="1" applyProtection="1">
      <protection locked="0"/>
    </xf>
    <xf numFmtId="0" fontId="84" fillId="2" borderId="0" xfId="2" applyFont="1" applyFill="1" applyAlignment="1" applyProtection="1">
      <alignment horizontal="left" indent="1"/>
      <protection hidden="1"/>
    </xf>
    <xf numFmtId="164" fontId="9" fillId="2" borderId="0" xfId="2" applyNumberFormat="1" applyFont="1" applyFill="1" applyAlignment="1" applyProtection="1">
      <alignment horizontal="right" vertical="center"/>
      <protection hidden="1"/>
    </xf>
    <xf numFmtId="0" fontId="14" fillId="2" borderId="0" xfId="5" applyFont="1" applyFill="1" applyAlignment="1" applyProtection="1">
      <alignment horizontal="left" vertical="center" indent="1"/>
      <protection hidden="1"/>
    </xf>
    <xf numFmtId="0" fontId="14" fillId="2" borderId="20" xfId="5" applyFont="1" applyFill="1" applyBorder="1" applyAlignment="1" applyProtection="1">
      <alignment horizontal="left" vertical="center" indent="1"/>
      <protection hidden="1"/>
    </xf>
    <xf numFmtId="0" fontId="12" fillId="2" borderId="0" xfId="5" applyFont="1" applyFill="1" applyAlignment="1" applyProtection="1">
      <alignment horizontal="center"/>
      <protection hidden="1"/>
    </xf>
    <xf numFmtId="0" fontId="38" fillId="2" borderId="0" xfId="5" applyNumberFormat="1" applyFont="1" applyFill="1" applyAlignment="1" applyProtection="1">
      <alignment horizontal="left" vertical="top"/>
      <protection hidden="1"/>
    </xf>
    <xf numFmtId="0" fontId="7" fillId="2" borderId="0" xfId="0" applyFont="1" applyFill="1" applyBorder="1" applyAlignment="1" applyProtection="1">
      <alignment horizontal="center"/>
      <protection hidden="1"/>
    </xf>
    <xf numFmtId="0" fontId="43" fillId="2" borderId="0" xfId="2" applyFont="1" applyFill="1" applyAlignment="1" applyProtection="1">
      <alignment horizontal="left"/>
      <protection hidden="1"/>
    </xf>
    <xf numFmtId="0" fontId="147" fillId="10" borderId="108" xfId="0" applyFont="1" applyFill="1" applyBorder="1" applyAlignment="1" applyProtection="1">
      <alignment horizontal="left" vertical="center" indent="1"/>
      <protection locked="0"/>
    </xf>
    <xf numFmtId="0" fontId="147" fillId="10" borderId="109" xfId="0" applyFont="1" applyFill="1" applyBorder="1" applyAlignment="1" applyProtection="1">
      <alignment horizontal="left" vertical="center" indent="1"/>
      <protection locked="0"/>
    </xf>
    <xf numFmtId="0" fontId="72" fillId="2" borderId="11" xfId="2" applyNumberFormat="1" applyFont="1" applyFill="1" applyBorder="1" applyAlignment="1" applyProtection="1">
      <alignment horizontal="left" vertical="center" indent="1"/>
      <protection locked="0"/>
    </xf>
    <xf numFmtId="0" fontId="72" fillId="2" borderId="0" xfId="5" applyFont="1" applyFill="1" applyAlignment="1" applyProtection="1">
      <alignment horizontal="left"/>
      <protection hidden="1"/>
    </xf>
    <xf numFmtId="0" fontId="9" fillId="2" borderId="0" xfId="3" applyFont="1" applyFill="1" applyBorder="1" applyAlignment="1" applyProtection="1">
      <alignment horizontal="right" vertical="center" indent="2"/>
      <protection hidden="1"/>
    </xf>
    <xf numFmtId="0" fontId="0" fillId="2" borderId="0" xfId="0" applyFill="1" applyAlignment="1" applyProtection="1">
      <alignment horizontal="center"/>
      <protection hidden="1"/>
    </xf>
    <xf numFmtId="0" fontId="149" fillId="2" borderId="0" xfId="0" applyFont="1" applyFill="1" applyBorder="1" applyAlignment="1" applyProtection="1">
      <alignment horizontal="left" indent="1"/>
      <protection hidden="1"/>
    </xf>
    <xf numFmtId="0" fontId="12" fillId="2" borderId="0" xfId="0" applyFont="1" applyFill="1" applyBorder="1" applyAlignment="1" applyProtection="1">
      <alignment horizontal="left" indent="1"/>
      <protection hidden="1"/>
    </xf>
    <xf numFmtId="0" fontId="72" fillId="2" borderId="0" xfId="0" applyFont="1" applyFill="1" applyBorder="1" applyAlignment="1" applyProtection="1">
      <alignment horizontal="left" vertical="center" indent="1"/>
      <protection hidden="1"/>
    </xf>
    <xf numFmtId="0" fontId="9" fillId="2" borderId="0" xfId="3" applyFont="1" applyFill="1" applyAlignment="1" applyProtection="1">
      <alignment horizontal="right" vertical="center" indent="2"/>
      <protection hidden="1"/>
    </xf>
    <xf numFmtId="0" fontId="84" fillId="2" borderId="49" xfId="3" applyFont="1" applyFill="1" applyBorder="1" applyAlignment="1" applyProtection="1">
      <alignment horizontal="left" vertical="center" indent="1"/>
      <protection locked="0"/>
    </xf>
    <xf numFmtId="0" fontId="84" fillId="2" borderId="64" xfId="3" applyFont="1" applyFill="1" applyBorder="1" applyAlignment="1" applyProtection="1">
      <alignment horizontal="left" vertical="center" indent="1"/>
      <protection locked="0"/>
    </xf>
    <xf numFmtId="0" fontId="84" fillId="2" borderId="66" xfId="3" applyFont="1" applyFill="1" applyBorder="1" applyAlignment="1" applyProtection="1">
      <alignment horizontal="left" vertical="center" indent="1"/>
      <protection locked="0"/>
    </xf>
    <xf numFmtId="0" fontId="46" fillId="2" borderId="11" xfId="3" applyFont="1" applyFill="1" applyBorder="1" applyAlignment="1" applyProtection="1">
      <alignment horizontal="right" vertical="center" indent="1"/>
      <protection hidden="1"/>
    </xf>
    <xf numFmtId="49" fontId="84" fillId="2" borderId="49" xfId="3" applyNumberFormat="1" applyFont="1" applyFill="1" applyBorder="1" applyAlignment="1" applyProtection="1">
      <alignment horizontal="center" vertical="center"/>
      <protection locked="0"/>
    </xf>
    <xf numFmtId="49" fontId="84" fillId="2" borderId="64" xfId="3" applyNumberFormat="1" applyFont="1" applyFill="1" applyBorder="1" applyAlignment="1" applyProtection="1">
      <alignment horizontal="center" vertical="center"/>
      <protection locked="0"/>
    </xf>
    <xf numFmtId="49" fontId="84" fillId="2" borderId="66" xfId="3" applyNumberFormat="1" applyFont="1" applyFill="1" applyBorder="1" applyAlignment="1" applyProtection="1">
      <alignment horizontal="center" vertical="center"/>
      <protection locked="0"/>
    </xf>
    <xf numFmtId="0" fontId="83" fillId="2" borderId="0" xfId="1" applyFont="1" applyFill="1" applyAlignment="1" applyProtection="1">
      <alignment horizontal="right" vertical="center" indent="1"/>
      <protection locked="0"/>
    </xf>
    <xf numFmtId="0" fontId="43" fillId="2" borderId="0" xfId="5" applyFont="1" applyFill="1" applyAlignment="1" applyProtection="1">
      <alignment horizontal="left" vertical="top"/>
      <protection hidden="1"/>
    </xf>
    <xf numFmtId="0" fontId="76" fillId="2" borderId="0" xfId="5" applyFont="1" applyFill="1" applyAlignment="1" applyProtection="1">
      <alignment horizontal="left" vertical="top" indent="1"/>
      <protection hidden="1"/>
    </xf>
    <xf numFmtId="0" fontId="43" fillId="2" borderId="0" xfId="5" applyFont="1" applyFill="1" applyAlignment="1" applyProtection="1">
      <alignment horizontal="center"/>
      <protection hidden="1"/>
    </xf>
    <xf numFmtId="0" fontId="74" fillId="2" borderId="0" xfId="5" applyFont="1" applyFill="1" applyAlignment="1" applyProtection="1">
      <alignment horizontal="left" vertical="top"/>
      <protection hidden="1"/>
    </xf>
    <xf numFmtId="0" fontId="43" fillId="2" borderId="0" xfId="5" applyFont="1" applyFill="1" applyAlignment="1" applyProtection="1">
      <protection hidden="1"/>
    </xf>
    <xf numFmtId="0" fontId="115" fillId="2" borderId="0" xfId="5" applyFont="1" applyFill="1" applyAlignment="1" applyProtection="1">
      <alignment horizontal="right" vertical="center"/>
      <protection hidden="1"/>
    </xf>
    <xf numFmtId="0" fontId="43" fillId="2" borderId="0" xfId="5" applyFont="1" applyFill="1" applyAlignment="1" applyProtection="1">
      <alignment horizontal="left"/>
      <protection hidden="1"/>
    </xf>
    <xf numFmtId="0" fontId="84" fillId="2" borderId="0" xfId="5" applyFont="1" applyFill="1" applyAlignment="1" applyProtection="1">
      <alignment horizontal="right"/>
      <protection hidden="1"/>
    </xf>
    <xf numFmtId="0" fontId="43" fillId="2" borderId="0" xfId="5" applyFont="1" applyFill="1" applyAlignment="1" applyProtection="1">
      <alignment horizontal="distributed"/>
      <protection hidden="1"/>
    </xf>
    <xf numFmtId="0" fontId="43" fillId="2" borderId="0" xfId="5" applyFont="1" applyFill="1" applyAlignment="1" applyProtection="1">
      <alignment horizontal="distributed" vertical="center"/>
      <protection hidden="1"/>
    </xf>
    <xf numFmtId="0" fontId="43" fillId="2" borderId="0" xfId="5" applyFont="1" applyFill="1" applyAlignment="1" applyProtection="1">
      <alignment horizontal="left" vertical="center"/>
      <protection hidden="1"/>
    </xf>
    <xf numFmtId="0" fontId="43" fillId="2" borderId="0" xfId="5" applyFont="1" applyFill="1" applyAlignment="1" applyProtection="1">
      <alignment horizontal="distributed" vertical="top"/>
      <protection hidden="1"/>
    </xf>
    <xf numFmtId="0" fontId="43" fillId="2" borderId="0" xfId="0" applyFont="1" applyFill="1" applyAlignment="1" applyProtection="1">
      <alignment horizontal="center"/>
      <protection hidden="1"/>
    </xf>
    <xf numFmtId="0" fontId="86" fillId="2" borderId="0" xfId="1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top" indent="9"/>
      <protection hidden="1"/>
    </xf>
    <xf numFmtId="49" fontId="8" fillId="2" borderId="0" xfId="0" applyNumberFormat="1" applyFont="1" applyFill="1" applyAlignment="1" applyProtection="1">
      <alignment horizontal="left" vertical="top" indent="9"/>
      <protection hidden="1"/>
    </xf>
    <xf numFmtId="0" fontId="77" fillId="2" borderId="0" xfId="0" applyFont="1" applyFill="1" applyAlignment="1" applyProtection="1">
      <alignment horizontal="distributed" vertical="top" indent="1"/>
      <protection hidden="1"/>
    </xf>
    <xf numFmtId="0" fontId="12" fillId="2" borderId="0" xfId="0" applyFont="1" applyFill="1" applyAlignment="1" applyProtection="1">
      <alignment horizontal="left" indent="3"/>
      <protection hidden="1"/>
    </xf>
    <xf numFmtId="0" fontId="9" fillId="2" borderId="0" xfId="0" applyFont="1" applyFill="1" applyAlignment="1" applyProtection="1">
      <alignment horizontal="left" vertical="top" indent="3"/>
      <protection hidden="1"/>
    </xf>
    <xf numFmtId="0" fontId="38" fillId="2" borderId="0" xfId="5" applyFont="1" applyFill="1" applyAlignment="1" applyProtection="1">
      <alignment horizontal="left" vertical="top"/>
      <protection hidden="1"/>
    </xf>
    <xf numFmtId="0" fontId="78" fillId="2" borderId="0" xfId="0" applyFont="1" applyFill="1" applyBorder="1" applyAlignment="1" applyProtection="1">
      <alignment horizontal="right" indent="1"/>
      <protection hidden="1"/>
    </xf>
    <xf numFmtId="0" fontId="117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distributed" indent="2"/>
      <protection hidden="1"/>
    </xf>
    <xf numFmtId="0" fontId="8" fillId="2" borderId="0" xfId="0" applyFont="1" applyFill="1" applyAlignment="1" applyProtection="1">
      <alignment horizontal="left" indent="9"/>
      <protection hidden="1"/>
    </xf>
    <xf numFmtId="0" fontId="8" fillId="2" borderId="0" xfId="0" applyFont="1" applyFill="1" applyAlignment="1" applyProtection="1">
      <alignment horizontal="distributed" vertical="center" indent="2"/>
      <protection hidden="1"/>
    </xf>
    <xf numFmtId="0" fontId="2" fillId="2" borderId="0" xfId="0" applyFont="1" applyFill="1" applyAlignment="1" applyProtection="1">
      <alignment horizontal="left" vertical="center" indent="9"/>
      <protection hidden="1"/>
    </xf>
    <xf numFmtId="0" fontId="8" fillId="2" borderId="0" xfId="0" applyFont="1" applyFill="1" applyAlignment="1" applyProtection="1">
      <alignment horizontal="left" vertical="center" indent="9"/>
      <protection hidden="1"/>
    </xf>
    <xf numFmtId="0" fontId="72" fillId="2" borderId="0" xfId="2" applyNumberFormat="1" applyFont="1" applyFill="1" applyBorder="1" applyAlignment="1" applyProtection="1">
      <alignment horizontal="left" vertical="center" indent="1"/>
      <protection locked="0"/>
    </xf>
    <xf numFmtId="0" fontId="37" fillId="2" borderId="0" xfId="2" applyNumberFormat="1" applyFont="1" applyFill="1" applyBorder="1" applyAlignment="1" applyProtection="1">
      <alignment horizontal="left" vertical="center" indent="1"/>
      <protection hidden="1"/>
    </xf>
    <xf numFmtId="0" fontId="3" fillId="2" borderId="0" xfId="5" applyFont="1" applyFill="1" applyAlignment="1" applyProtection="1">
      <alignment horizontal="center"/>
      <protection hidden="1"/>
    </xf>
    <xf numFmtId="0" fontId="9" fillId="2" borderId="0" xfId="5" applyFont="1" applyFill="1" applyAlignment="1" applyProtection="1">
      <alignment horizontal="center"/>
      <protection hidden="1"/>
    </xf>
    <xf numFmtId="0" fontId="12" fillId="2" borderId="0" xfId="2" applyFont="1" applyFill="1" applyAlignment="1" applyProtection="1">
      <alignment horizontal="center" vertical="center"/>
      <protection hidden="1"/>
    </xf>
    <xf numFmtId="0" fontId="43" fillId="2" borderId="0" xfId="2" applyFont="1" applyFill="1" applyAlignment="1" applyProtection="1">
      <alignment horizontal="left" vertical="center"/>
      <protection hidden="1"/>
    </xf>
    <xf numFmtId="0" fontId="43" fillId="2" borderId="0" xfId="2" applyFont="1" applyFill="1" applyAlignment="1" applyProtection="1">
      <alignment horizontal="left" vertical="top"/>
      <protection hidden="1"/>
    </xf>
    <xf numFmtId="0" fontId="72" fillId="3" borderId="86" xfId="2" applyNumberFormat="1" applyFont="1" applyFill="1" applyBorder="1" applyAlignment="1" applyProtection="1">
      <alignment horizontal="left" vertical="center" indent="1"/>
      <protection locked="0"/>
    </xf>
    <xf numFmtId="0" fontId="72" fillId="3" borderId="87" xfId="2" applyNumberFormat="1" applyFont="1" applyFill="1" applyBorder="1" applyAlignment="1" applyProtection="1">
      <alignment horizontal="left" vertical="center" indent="1"/>
      <protection locked="0"/>
    </xf>
    <xf numFmtId="0" fontId="72" fillId="3" borderId="88" xfId="2" applyNumberFormat="1" applyFont="1" applyFill="1" applyBorder="1" applyAlignment="1" applyProtection="1">
      <alignment horizontal="left" vertical="center" indent="1"/>
      <protection locked="0"/>
    </xf>
    <xf numFmtId="0" fontId="12" fillId="3" borderId="49" xfId="5" applyFont="1" applyFill="1" applyBorder="1" applyAlignment="1" applyProtection="1">
      <alignment horizontal="center" vertical="center"/>
      <protection locked="0"/>
    </xf>
    <xf numFmtId="0" fontId="12" fillId="3" borderId="66" xfId="5" applyFont="1" applyFill="1" applyBorder="1" applyAlignment="1" applyProtection="1">
      <alignment horizontal="center" vertical="center"/>
      <protection locked="0"/>
    </xf>
    <xf numFmtId="0" fontId="76" fillId="2" borderId="0" xfId="0" applyFont="1" applyFill="1" applyAlignment="1" applyProtection="1">
      <alignment horizontal="right" vertical="center"/>
      <protection hidden="1"/>
    </xf>
    <xf numFmtId="0" fontId="69" fillId="2" borderId="0" xfId="1" applyFont="1" applyFill="1" applyAlignment="1" applyProtection="1">
      <alignment horizontal="left" vertical="center" indent="1"/>
      <protection locked="0"/>
    </xf>
    <xf numFmtId="0" fontId="69" fillId="2" borderId="0" xfId="1" applyFont="1" applyFill="1" applyAlignment="1" applyProtection="1">
      <alignment horizontal="left"/>
      <protection hidden="1"/>
    </xf>
    <xf numFmtId="0" fontId="14" fillId="2" borderId="0" xfId="0" applyFont="1" applyFill="1" applyBorder="1" applyAlignment="1" applyProtection="1">
      <alignment horizontal="left" indent="1"/>
      <protection hidden="1"/>
    </xf>
    <xf numFmtId="0" fontId="12" fillId="2" borderId="0" xfId="0" applyFont="1" applyFill="1" applyAlignment="1" applyProtection="1">
      <alignment horizontal="distributed"/>
      <protection hidden="1"/>
    </xf>
    <xf numFmtId="0" fontId="14" fillId="2" borderId="0" xfId="0" applyFont="1" applyFill="1" applyBorder="1" applyAlignment="1" applyProtection="1">
      <alignment horizontal="right" indent="1"/>
      <protection hidden="1"/>
    </xf>
    <xf numFmtId="0" fontId="9" fillId="2" borderId="0" xfId="0" applyFont="1" applyFill="1" applyAlignment="1" applyProtection="1">
      <alignment horizontal="left" vertical="top" indent="1"/>
      <protection hidden="1"/>
    </xf>
    <xf numFmtId="0" fontId="77" fillId="2" borderId="0" xfId="0" applyFont="1" applyFill="1" applyAlignment="1" applyProtection="1">
      <alignment horizontal="left"/>
      <protection hidden="1"/>
    </xf>
    <xf numFmtId="0" fontId="97" fillId="0" borderId="0" xfId="0" applyFont="1" applyAlignment="1">
      <alignment vertical="top"/>
    </xf>
    <xf numFmtId="0" fontId="77" fillId="2" borderId="0" xfId="0" applyFont="1" applyFill="1" applyAlignment="1" applyProtection="1">
      <alignment horizontal="left" vertical="top"/>
      <protection hidden="1"/>
    </xf>
    <xf numFmtId="0" fontId="9" fillId="2" borderId="0" xfId="0" applyFont="1" applyFill="1" applyAlignment="1" applyProtection="1">
      <alignment horizontal="distributed" indent="1"/>
      <protection hidden="1"/>
    </xf>
    <xf numFmtId="0" fontId="9" fillId="2" borderId="0" xfId="0" applyFont="1" applyFill="1" applyAlignment="1" applyProtection="1">
      <alignment horizontal="distributed" vertical="center" indent="1"/>
      <protection hidden="1"/>
    </xf>
    <xf numFmtId="0" fontId="3" fillId="2" borderId="0" xfId="0" applyFont="1" applyFill="1" applyAlignment="1" applyProtection="1">
      <alignment horizontal="left" vertical="top" indent="1"/>
      <protection hidden="1"/>
    </xf>
    <xf numFmtId="0" fontId="12" fillId="2" borderId="0" xfId="0" applyFont="1" applyFill="1" applyAlignment="1" applyProtection="1">
      <alignment horizontal="left" vertical="center" indent="1"/>
      <protection hidden="1"/>
    </xf>
    <xf numFmtId="0" fontId="78" fillId="2" borderId="0" xfId="6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right" vertical="center" indent="1"/>
      <protection hidden="1"/>
    </xf>
    <xf numFmtId="0" fontId="118" fillId="2" borderId="0" xfId="1" applyFont="1" applyFill="1" applyAlignment="1" applyProtection="1">
      <alignment horizontal="left" vertical="center"/>
      <protection locked="0"/>
    </xf>
    <xf numFmtId="0" fontId="84" fillId="2" borderId="11" xfId="0" applyFont="1" applyFill="1" applyBorder="1" applyAlignment="1" applyProtection="1">
      <alignment horizontal="left" vertical="top" indent="1"/>
      <protection hidden="1"/>
    </xf>
    <xf numFmtId="0" fontId="72" fillId="2" borderId="11" xfId="0" applyFont="1" applyFill="1" applyBorder="1" applyAlignment="1" applyProtection="1">
      <alignment horizontal="right" vertical="top" indent="1"/>
      <protection hidden="1"/>
    </xf>
    <xf numFmtId="0" fontId="69" fillId="2" borderId="0" xfId="1" applyFont="1" applyFill="1" applyAlignment="1" applyProtection="1">
      <alignment horizontal="right" indent="3"/>
      <protection locked="0"/>
    </xf>
    <xf numFmtId="0" fontId="132" fillId="2" borderId="0" xfId="0" applyFont="1" applyFill="1" applyBorder="1" applyAlignment="1" applyProtection="1">
      <alignment horizontal="left" vertical="top" indent="1"/>
      <protection hidden="1"/>
    </xf>
    <xf numFmtId="0" fontId="132" fillId="0" borderId="0" xfId="0" applyFont="1"/>
    <xf numFmtId="0" fontId="74" fillId="2" borderId="0" xfId="5" applyFont="1" applyFill="1" applyAlignment="1" applyProtection="1">
      <alignment horizontal="left"/>
      <protection hidden="1"/>
    </xf>
    <xf numFmtId="0" fontId="146" fillId="2" borderId="0" xfId="2" applyFont="1" applyFill="1" applyBorder="1" applyAlignment="1" applyProtection="1">
      <alignment horizontal="center" vertical="top"/>
      <protection hidden="1"/>
    </xf>
    <xf numFmtId="0" fontId="72" fillId="2" borderId="0" xfId="2" applyFont="1" applyFill="1" applyAlignment="1" applyProtection="1">
      <alignment horizontal="left"/>
      <protection hidden="1"/>
    </xf>
    <xf numFmtId="0" fontId="145" fillId="2" borderId="0" xfId="5" applyFont="1" applyFill="1" applyAlignment="1" applyProtection="1">
      <alignment horizontal="center" vertical="top"/>
      <protection hidden="1"/>
    </xf>
    <xf numFmtId="0" fontId="73" fillId="2" borderId="0" xfId="0" applyFont="1" applyFill="1" applyBorder="1" applyAlignment="1" applyProtection="1">
      <alignment horizontal="right" vertical="top" indent="1"/>
      <protection hidden="1"/>
    </xf>
    <xf numFmtId="0" fontId="67" fillId="2" borderId="0" xfId="0" applyFont="1" applyFill="1" applyAlignment="1" applyProtection="1">
      <alignment horizontal="center"/>
      <protection hidden="1"/>
    </xf>
    <xf numFmtId="0" fontId="17" fillId="2" borderId="0" xfId="3" applyFill="1" applyBorder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distributed" vertical="top" indent="2"/>
      <protection hidden="1"/>
    </xf>
    <xf numFmtId="0" fontId="87" fillId="2" borderId="0" xfId="0" applyFont="1" applyFill="1" applyAlignment="1" applyProtection="1">
      <alignment horizontal="right" indent="1"/>
      <protection hidden="1"/>
    </xf>
    <xf numFmtId="0" fontId="72" fillId="2" borderId="0" xfId="6" applyFont="1" applyFill="1" applyAlignment="1" applyProtection="1">
      <alignment horizontal="left" indent="1"/>
      <protection hidden="1"/>
    </xf>
    <xf numFmtId="0" fontId="102" fillId="2" borderId="0" xfId="0" applyFont="1" applyFill="1" applyAlignment="1" applyProtection="1">
      <alignment horizontal="center"/>
      <protection hidden="1"/>
    </xf>
    <xf numFmtId="0" fontId="102" fillId="2" borderId="0" xfId="0" applyFont="1" applyFill="1" applyAlignment="1" applyProtection="1">
      <alignment horizontal="center" vertical="top"/>
      <protection hidden="1"/>
    </xf>
    <xf numFmtId="0" fontId="67" fillId="2" borderId="0" xfId="0" applyFont="1" applyFill="1" applyAlignment="1" applyProtection="1">
      <alignment horizontal="center" vertical="center"/>
      <protection hidden="1"/>
    </xf>
    <xf numFmtId="0" fontId="63" fillId="2" borderId="0" xfId="5" applyFont="1" applyFill="1" applyAlignment="1" applyProtection="1">
      <alignment horizontal="center" vertical="top"/>
      <protection hidden="1"/>
    </xf>
    <xf numFmtId="0" fontId="8" fillId="2" borderId="0" xfId="0" applyFont="1" applyFill="1" applyAlignment="1" applyProtection="1">
      <alignment horizontal="left" vertical="top"/>
      <protection hidden="1"/>
    </xf>
    <xf numFmtId="0" fontId="93" fillId="2" borderId="0" xfId="0" applyFont="1" applyFill="1" applyAlignment="1" applyProtection="1">
      <alignment horizontal="left" vertical="center"/>
      <protection hidden="1"/>
    </xf>
    <xf numFmtId="0" fontId="89" fillId="4" borderId="54" xfId="0" applyFont="1" applyFill="1" applyBorder="1" applyAlignment="1" applyProtection="1">
      <alignment horizontal="center" vertical="center"/>
      <protection locked="0"/>
    </xf>
    <xf numFmtId="0" fontId="89" fillId="4" borderId="55" xfId="0" applyFont="1" applyFill="1" applyBorder="1" applyAlignment="1" applyProtection="1">
      <alignment horizontal="center" vertical="center"/>
      <protection locked="0"/>
    </xf>
    <xf numFmtId="0" fontId="84" fillId="2" borderId="0" xfId="0" applyFont="1" applyFill="1" applyAlignment="1" applyProtection="1">
      <alignment horizontal="left" vertical="top"/>
      <protection hidden="1"/>
    </xf>
    <xf numFmtId="0" fontId="84" fillId="2" borderId="0" xfId="0" applyFont="1" applyFill="1" applyAlignment="1" applyProtection="1">
      <alignment horizontal="left"/>
      <protection hidden="1"/>
    </xf>
    <xf numFmtId="0" fontId="3" fillId="2" borderId="0" xfId="0" applyFont="1" applyFill="1" applyAlignment="1" applyProtection="1">
      <alignment horizontal="left" vertical="top"/>
      <protection hidden="1"/>
    </xf>
    <xf numFmtId="0" fontId="9" fillId="2" borderId="0" xfId="0" applyFont="1" applyFill="1" applyAlignment="1" applyProtection="1">
      <alignment horizontal="left" vertical="top"/>
      <protection hidden="1"/>
    </xf>
    <xf numFmtId="0" fontId="9" fillId="2" borderId="11" xfId="3" applyFont="1" applyFill="1" applyBorder="1" applyAlignment="1" applyProtection="1">
      <alignment horizontal="right" vertical="center" indent="2"/>
      <protection hidden="1"/>
    </xf>
    <xf numFmtId="0" fontId="84" fillId="2" borderId="11" xfId="3" applyFont="1" applyFill="1" applyBorder="1" applyAlignment="1" applyProtection="1">
      <alignment horizontal="left" vertical="center" indent="1"/>
      <protection locked="0"/>
    </xf>
    <xf numFmtId="0" fontId="3" fillId="2" borderId="0" xfId="4" applyFont="1" applyFill="1" applyAlignment="1" applyProtection="1">
      <alignment horizontal="distributed"/>
      <protection hidden="1"/>
    </xf>
    <xf numFmtId="0" fontId="3" fillId="2" borderId="0" xfId="0" applyFont="1" applyFill="1" applyAlignment="1" applyProtection="1">
      <alignment horizontal="distributed" vertical="center"/>
      <protection hidden="1"/>
    </xf>
    <xf numFmtId="0" fontId="9" fillId="2" borderId="0" xfId="0" applyFont="1" applyFill="1" applyAlignment="1" applyProtection="1">
      <alignment horizontal="distributed" vertical="center"/>
      <protection hidden="1"/>
    </xf>
    <xf numFmtId="0" fontId="14" fillId="2" borderId="12" xfId="0" applyFont="1" applyFill="1" applyBorder="1" applyAlignment="1" applyProtection="1">
      <alignment horizontal="left" indent="1"/>
      <protection hidden="1"/>
    </xf>
    <xf numFmtId="0" fontId="14" fillId="2" borderId="12" xfId="0" applyFont="1" applyFill="1" applyBorder="1" applyAlignment="1" applyProtection="1">
      <alignment horizontal="right" indent="1"/>
      <protection hidden="1"/>
    </xf>
    <xf numFmtId="0" fontId="2" fillId="2" borderId="11" xfId="0" applyFont="1" applyFill="1" applyBorder="1" applyAlignment="1" applyProtection="1">
      <alignment horizontal="right" vertical="center" indent="1"/>
      <protection hidden="1"/>
    </xf>
    <xf numFmtId="0" fontId="121" fillId="2" borderId="0" xfId="0" applyFont="1" applyFill="1" applyAlignment="1" applyProtection="1">
      <alignment horizontal="right" vertical="top" indent="1"/>
      <protection hidden="1"/>
    </xf>
    <xf numFmtId="49" fontId="73" fillId="4" borderId="91" xfId="3" applyNumberFormat="1" applyFont="1" applyFill="1" applyBorder="1" applyAlignment="1" applyProtection="1">
      <alignment horizontal="center" vertical="center"/>
      <protection locked="0"/>
    </xf>
    <xf numFmtId="49" fontId="73" fillId="4" borderId="89" xfId="3" applyNumberFormat="1" applyFont="1" applyFill="1" applyBorder="1" applyAlignment="1" applyProtection="1">
      <alignment horizontal="center" vertical="center"/>
      <protection locked="0"/>
    </xf>
    <xf numFmtId="49" fontId="73" fillId="4" borderId="90" xfId="3" applyNumberFormat="1" applyFont="1" applyFill="1" applyBorder="1" applyAlignment="1" applyProtection="1">
      <alignment horizontal="center" vertical="center"/>
      <protection locked="0"/>
    </xf>
    <xf numFmtId="0" fontId="65" fillId="2" borderId="0" xfId="3" applyFont="1" applyFill="1" applyBorder="1" applyAlignment="1" applyProtection="1">
      <alignment horizontal="right" vertical="center" indent="1"/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2" fillId="2" borderId="0" xfId="0" applyFont="1" applyFill="1" applyAlignment="1" applyProtection="1">
      <alignment horizontal="right" vertical="top"/>
      <protection hidden="1"/>
    </xf>
    <xf numFmtId="0" fontId="9" fillId="2" borderId="11" xfId="0" applyFont="1" applyFill="1" applyBorder="1" applyAlignment="1" applyProtection="1">
      <alignment horizontal="right" vertical="top"/>
      <protection hidden="1"/>
    </xf>
    <xf numFmtId="164" fontId="45" fillId="2" borderId="0" xfId="0" applyNumberFormat="1" applyFont="1" applyFill="1" applyBorder="1" applyAlignment="1" applyProtection="1">
      <alignment vertical="center" readingOrder="1"/>
      <protection hidden="1"/>
    </xf>
    <xf numFmtId="164" fontId="43" fillId="10" borderId="92" xfId="0" applyNumberFormat="1" applyFont="1" applyFill="1" applyBorder="1" applyAlignment="1" applyProtection="1">
      <alignment horizontal="left" vertical="center"/>
      <protection locked="0"/>
    </xf>
    <xf numFmtId="164" fontId="43" fillId="10" borderId="56" xfId="0" applyNumberFormat="1" applyFont="1" applyFill="1" applyBorder="1" applyAlignment="1" applyProtection="1">
      <alignment horizontal="left" vertical="center"/>
      <protection locked="0"/>
    </xf>
    <xf numFmtId="164" fontId="43" fillId="10" borderId="62" xfId="0" applyNumberFormat="1" applyFont="1" applyFill="1" applyBorder="1" applyAlignment="1" applyProtection="1">
      <alignment horizontal="left" vertical="center"/>
      <protection locked="0"/>
    </xf>
    <xf numFmtId="0" fontId="87" fillId="2" borderId="0" xfId="0" applyFont="1" applyFill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2" borderId="56" xfId="0" applyFont="1" applyFill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128" fillId="9" borderId="0" xfId="3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top" indent="1"/>
      <protection hidden="1"/>
    </xf>
    <xf numFmtId="0" fontId="135" fillId="2" borderId="0" xfId="0" applyFont="1" applyFill="1" applyAlignment="1" applyProtection="1">
      <alignment horizontal="right" vertical="top" indent="1"/>
      <protection hidden="1"/>
    </xf>
    <xf numFmtId="164" fontId="43" fillId="10" borderId="69" xfId="0" applyNumberFormat="1" applyFont="1" applyFill="1" applyBorder="1" applyAlignment="1" applyProtection="1">
      <alignment horizontal="left" vertical="center"/>
      <protection locked="0"/>
    </xf>
    <xf numFmtId="164" fontId="43" fillId="10" borderId="45" xfId="0" applyNumberFormat="1" applyFont="1" applyFill="1" applyBorder="1" applyAlignment="1" applyProtection="1">
      <alignment horizontal="left" vertical="center"/>
      <protection locked="0"/>
    </xf>
    <xf numFmtId="164" fontId="43" fillId="10" borderId="61" xfId="0" applyNumberFormat="1" applyFont="1" applyFill="1" applyBorder="1" applyAlignment="1" applyProtection="1">
      <alignment horizontal="left" vertical="center"/>
      <protection locked="0"/>
    </xf>
    <xf numFmtId="0" fontId="77" fillId="2" borderId="0" xfId="0" applyNumberFormat="1" applyFont="1" applyFill="1" applyBorder="1" applyAlignment="1" applyProtection="1">
      <alignment horizontal="right" vertical="center" indent="1"/>
      <protection hidden="1"/>
    </xf>
    <xf numFmtId="0" fontId="77" fillId="2" borderId="20" xfId="0" applyNumberFormat="1" applyFont="1" applyFill="1" applyBorder="1" applyAlignment="1" applyProtection="1">
      <alignment horizontal="right" vertical="center" indent="1"/>
      <protection hidden="1"/>
    </xf>
    <xf numFmtId="0" fontId="26" fillId="2" borderId="11" xfId="0" applyFont="1" applyFill="1" applyBorder="1" applyAlignment="1" applyProtection="1">
      <alignment horizontal="center" vertical="center"/>
      <protection hidden="1"/>
    </xf>
    <xf numFmtId="0" fontId="75" fillId="2" borderId="0" xfId="0" applyNumberFormat="1" applyFont="1" applyFill="1" applyBorder="1" applyAlignment="1" applyProtection="1">
      <alignment horizontal="left" vertical="center"/>
      <protection hidden="1"/>
    </xf>
    <xf numFmtId="0" fontId="75" fillId="2" borderId="20" xfId="0" applyNumberFormat="1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right" vertical="center"/>
      <protection hidden="1"/>
    </xf>
    <xf numFmtId="0" fontId="2" fillId="2" borderId="0" xfId="0" applyFont="1" applyFill="1" applyAlignment="1" applyProtection="1">
      <alignment horizontal="left"/>
      <protection hidden="1"/>
    </xf>
    <xf numFmtId="164" fontId="2" fillId="2" borderId="11" xfId="0" applyNumberFormat="1" applyFont="1" applyFill="1" applyBorder="1" applyAlignment="1" applyProtection="1">
      <alignment horizontal="left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0" fontId="75" fillId="2" borderId="11" xfId="0" applyFont="1" applyFill="1" applyBorder="1" applyAlignment="1" applyProtection="1">
      <alignment horizontal="left" vertical="center" indent="1"/>
      <protection hidden="1"/>
    </xf>
    <xf numFmtId="0" fontId="39" fillId="2" borderId="0" xfId="0" applyFont="1" applyFill="1" applyAlignment="1">
      <alignment vertical="top"/>
    </xf>
    <xf numFmtId="164" fontId="43" fillId="10" borderId="93" xfId="0" applyNumberFormat="1" applyFont="1" applyFill="1" applyBorder="1" applyAlignment="1" applyProtection="1">
      <alignment horizontal="left" vertical="center"/>
      <protection locked="0"/>
    </xf>
    <xf numFmtId="164" fontId="43" fillId="10" borderId="94" xfId="0" applyNumberFormat="1" applyFont="1" applyFill="1" applyBorder="1" applyAlignment="1" applyProtection="1">
      <alignment horizontal="left" vertical="center"/>
      <protection locked="0"/>
    </xf>
    <xf numFmtId="164" fontId="43" fillId="10" borderId="63" xfId="0" applyNumberFormat="1" applyFont="1" applyFill="1" applyBorder="1" applyAlignment="1" applyProtection="1">
      <alignment horizontal="left" vertical="center"/>
      <protection locked="0"/>
    </xf>
    <xf numFmtId="0" fontId="135" fillId="10" borderId="110" xfId="0" applyNumberFormat="1" applyFont="1" applyFill="1" applyBorder="1" applyAlignment="1" applyProtection="1">
      <alignment horizontal="center" readingOrder="1"/>
      <protection hidden="1"/>
    </xf>
    <xf numFmtId="0" fontId="135" fillId="10" borderId="116" xfId="0" applyNumberFormat="1" applyFont="1" applyFill="1" applyBorder="1" applyAlignment="1" applyProtection="1">
      <alignment horizontal="center" readingOrder="1"/>
      <protection hidden="1"/>
    </xf>
    <xf numFmtId="0" fontId="69" fillId="2" borderId="0" xfId="1" applyFont="1" applyFill="1" applyAlignment="1" applyProtection="1">
      <alignment vertical="top"/>
      <protection locked="0"/>
    </xf>
    <xf numFmtId="0" fontId="134" fillId="10" borderId="108" xfId="0" applyFont="1" applyFill="1" applyBorder="1" applyAlignment="1" applyProtection="1">
      <alignment horizontal="center" vertical="center"/>
      <protection locked="0"/>
    </xf>
    <xf numFmtId="0" fontId="134" fillId="10" borderId="109" xfId="0" applyFont="1" applyFill="1" applyBorder="1" applyAlignment="1" applyProtection="1">
      <alignment horizontal="center" vertical="center"/>
      <protection locked="0"/>
    </xf>
    <xf numFmtId="0" fontId="45" fillId="2" borderId="0" xfId="0" applyFont="1" applyFill="1" applyAlignment="1" applyProtection="1">
      <alignment horizontal="left" vertical="center"/>
      <protection hidden="1"/>
    </xf>
    <xf numFmtId="185" fontId="42" fillId="2" borderId="12" xfId="0" applyNumberFormat="1" applyFont="1" applyFill="1" applyBorder="1" applyAlignment="1" applyProtection="1">
      <alignment horizontal="left"/>
      <protection hidden="1"/>
    </xf>
    <xf numFmtId="0" fontId="12" fillId="2" borderId="11" xfId="0" applyFont="1" applyFill="1" applyBorder="1" applyAlignment="1" applyProtection="1">
      <alignment horizontal="left" vertical="top" indent="1"/>
      <protection hidden="1"/>
    </xf>
    <xf numFmtId="0" fontId="30" fillId="2" borderId="12" xfId="0" applyFont="1" applyFill="1" applyBorder="1" applyAlignment="1" applyProtection="1">
      <alignment horizontal="right" indent="1"/>
      <protection hidden="1"/>
    </xf>
    <xf numFmtId="0" fontId="135" fillId="10" borderId="112" xfId="0" applyNumberFormat="1" applyFont="1" applyFill="1" applyBorder="1" applyAlignment="1" applyProtection="1">
      <alignment horizontal="center" vertical="top" readingOrder="1"/>
      <protection hidden="1"/>
    </xf>
    <xf numFmtId="0" fontId="135" fillId="10" borderId="117" xfId="0" applyNumberFormat="1" applyFont="1" applyFill="1" applyBorder="1" applyAlignment="1" applyProtection="1">
      <alignment horizontal="center" vertical="top" readingOrder="1"/>
      <protection hidden="1"/>
    </xf>
    <xf numFmtId="0" fontId="135" fillId="2" borderId="108" xfId="0" applyFont="1" applyFill="1" applyBorder="1" applyAlignment="1" applyProtection="1">
      <alignment horizontal="center" vertical="center"/>
      <protection hidden="1"/>
    </xf>
    <xf numFmtId="0" fontId="135" fillId="2" borderId="109" xfId="0" applyFont="1" applyFill="1" applyBorder="1" applyAlignment="1" applyProtection="1">
      <alignment horizontal="center" vertical="center"/>
      <protection hidden="1"/>
    </xf>
    <xf numFmtId="168" fontId="75" fillId="2" borderId="11" xfId="0" applyNumberFormat="1" applyFont="1" applyFill="1" applyBorder="1" applyAlignment="1" applyProtection="1">
      <alignment horizontal="left" vertical="center"/>
      <protection hidden="1"/>
    </xf>
    <xf numFmtId="0" fontId="135" fillId="2" borderId="0" xfId="0" applyFont="1" applyFill="1" applyAlignment="1" applyProtection="1">
      <alignment horizontal="left" vertical="top" indent="1"/>
      <protection hidden="1"/>
    </xf>
    <xf numFmtId="0" fontId="2" fillId="2" borderId="0" xfId="0" applyFont="1" applyFill="1" applyBorder="1" applyAlignment="1" applyProtection="1">
      <alignment horizontal="left" vertical="top" indent="1"/>
      <protection hidden="1"/>
    </xf>
    <xf numFmtId="0" fontId="2" fillId="2" borderId="12" xfId="0" applyFont="1" applyFill="1" applyBorder="1" applyAlignment="1" applyProtection="1">
      <alignment horizontal="left" indent="1"/>
      <protection hidden="1"/>
    </xf>
    <xf numFmtId="0" fontId="62" fillId="2" borderId="0" xfId="0" applyFont="1" applyFill="1" applyAlignment="1" applyProtection="1">
      <alignment horizontal="center" vertical="top"/>
      <protection hidden="1"/>
    </xf>
    <xf numFmtId="164" fontId="41" fillId="2" borderId="33" xfId="0" applyNumberFormat="1" applyFont="1" applyFill="1" applyBorder="1" applyAlignment="1" applyProtection="1">
      <alignment horizontal="left" vertical="center"/>
      <protection locked="0"/>
    </xf>
    <xf numFmtId="164" fontId="41" fillId="2" borderId="56" xfId="0" applyNumberFormat="1" applyFont="1" applyFill="1" applyBorder="1" applyAlignment="1" applyProtection="1">
      <alignment horizontal="left" vertical="center"/>
      <protection locked="0"/>
    </xf>
    <xf numFmtId="164" fontId="0" fillId="2" borderId="70" xfId="0" applyNumberFormat="1" applyFill="1" applyBorder="1" applyAlignment="1" applyProtection="1">
      <alignment horizontal="left" vertical="top"/>
      <protection hidden="1"/>
    </xf>
    <xf numFmtId="164" fontId="0" fillId="2" borderId="8" xfId="0" applyNumberFormat="1" applyFill="1" applyBorder="1" applyAlignment="1" applyProtection="1">
      <alignment horizontal="left" vertical="top"/>
      <protection hidden="1"/>
    </xf>
    <xf numFmtId="164" fontId="0" fillId="2" borderId="95" xfId="0" applyNumberFormat="1" applyFill="1" applyBorder="1" applyAlignment="1" applyProtection="1">
      <alignment horizontal="left" vertical="top"/>
      <protection hidden="1"/>
    </xf>
    <xf numFmtId="164" fontId="0" fillId="2" borderId="96" xfId="0" applyNumberFormat="1" applyFill="1" applyBorder="1" applyAlignment="1" applyProtection="1">
      <alignment horizontal="left"/>
      <protection hidden="1"/>
    </xf>
    <xf numFmtId="164" fontId="0" fillId="2" borderId="53" xfId="0" applyNumberFormat="1" applyFill="1" applyBorder="1" applyAlignment="1" applyProtection="1">
      <alignment horizontal="left"/>
      <protection hidden="1"/>
    </xf>
    <xf numFmtId="164" fontId="0" fillId="2" borderId="97" xfId="0" applyNumberFormat="1" applyFill="1" applyBorder="1" applyAlignment="1" applyProtection="1">
      <alignment horizontal="left"/>
      <protection hidden="1"/>
    </xf>
    <xf numFmtId="0" fontId="60" fillId="2" borderId="0" xfId="0" applyFont="1" applyFill="1" applyBorder="1" applyAlignment="1" applyProtection="1">
      <alignment horizontal="center"/>
      <protection hidden="1"/>
    </xf>
    <xf numFmtId="0" fontId="60" fillId="2" borderId="0" xfId="0" applyFont="1" applyFill="1" applyAlignment="1" applyProtection="1">
      <alignment horizontal="center"/>
      <protection hidden="1"/>
    </xf>
    <xf numFmtId="0" fontId="60" fillId="2" borderId="8" xfId="0" applyFont="1" applyFill="1" applyBorder="1" applyAlignment="1" applyProtection="1">
      <alignment horizontal="left" vertical="top" indent="1"/>
      <protection hidden="1"/>
    </xf>
    <xf numFmtId="0" fontId="1" fillId="2" borderId="33" xfId="0" applyNumberFormat="1" applyFont="1" applyFill="1" applyBorder="1" applyAlignment="1" applyProtection="1">
      <alignment horizontal="left" vertical="center" indent="1"/>
      <protection locked="0"/>
    </xf>
    <xf numFmtId="0" fontId="1" fillId="2" borderId="56" xfId="0" applyNumberFormat="1" applyFont="1" applyFill="1" applyBorder="1" applyAlignment="1" applyProtection="1">
      <alignment horizontal="left" vertical="center" indent="1"/>
      <protection locked="0"/>
    </xf>
    <xf numFmtId="0" fontId="1" fillId="2" borderId="34" xfId="0" applyNumberFormat="1" applyFont="1" applyFill="1" applyBorder="1" applyAlignment="1" applyProtection="1">
      <alignment horizontal="left" vertical="center" indent="1"/>
      <protection locked="0"/>
    </xf>
    <xf numFmtId="14" fontId="60" fillId="3" borderId="33" xfId="0" applyNumberFormat="1" applyFont="1" applyFill="1" applyBorder="1" applyAlignment="1" applyProtection="1">
      <alignment horizontal="center" vertical="center"/>
      <protection locked="0"/>
    </xf>
    <xf numFmtId="14" fontId="60" fillId="3" borderId="34" xfId="0" applyNumberFormat="1" applyFont="1" applyFill="1" applyBorder="1" applyAlignment="1" applyProtection="1">
      <alignment horizontal="center" vertical="center"/>
      <protection locked="0"/>
    </xf>
    <xf numFmtId="0" fontId="0" fillId="0" borderId="34" xfId="0" applyBorder="1" applyProtection="1">
      <protection locked="0"/>
    </xf>
    <xf numFmtId="0" fontId="78" fillId="2" borderId="11" xfId="0" applyFont="1" applyFill="1" applyBorder="1" applyAlignment="1" applyProtection="1">
      <alignment horizontal="left" vertical="center" indent="1"/>
      <protection hidden="1"/>
    </xf>
    <xf numFmtId="0" fontId="67" fillId="2" borderId="50" xfId="0" applyFont="1" applyFill="1" applyBorder="1" applyAlignment="1" applyProtection="1">
      <alignment horizontal="left" indent="1"/>
      <protection hidden="1"/>
    </xf>
    <xf numFmtId="0" fontId="67" fillId="2" borderId="0" xfId="0" applyFont="1" applyFill="1" applyBorder="1" applyAlignment="1" applyProtection="1">
      <alignment horizontal="left" indent="1"/>
      <protection hidden="1"/>
    </xf>
    <xf numFmtId="0" fontId="67" fillId="2" borderId="20" xfId="0" applyFont="1" applyFill="1" applyBorder="1" applyAlignment="1" applyProtection="1">
      <alignment horizontal="left" indent="1"/>
      <protection hidden="1"/>
    </xf>
    <xf numFmtId="0" fontId="2" fillId="2" borderId="50" xfId="0" applyFont="1" applyFill="1" applyBorder="1" applyAlignment="1" applyProtection="1">
      <alignment horizontal="left" indent="1"/>
      <protection hidden="1"/>
    </xf>
    <xf numFmtId="0" fontId="2" fillId="2" borderId="0" xfId="0" applyFont="1" applyFill="1" applyBorder="1" applyAlignment="1" applyProtection="1">
      <alignment horizontal="left" indent="1"/>
      <protection hidden="1"/>
    </xf>
    <xf numFmtId="49" fontId="66" fillId="2" borderId="52" xfId="0" applyNumberFormat="1" applyFont="1" applyFill="1" applyBorder="1" applyAlignment="1" applyProtection="1">
      <alignment horizontal="left" vertical="top" indent="1"/>
      <protection locked="0"/>
    </xf>
    <xf numFmtId="49" fontId="81" fillId="2" borderId="11" xfId="0" applyNumberFormat="1" applyFont="1" applyFill="1" applyBorder="1" applyAlignment="1" applyProtection="1">
      <alignment horizontal="left" vertical="top" indent="1"/>
      <protection locked="0"/>
    </xf>
    <xf numFmtId="0" fontId="128" fillId="2" borderId="0" xfId="0" applyFont="1" applyFill="1" applyBorder="1" applyAlignment="1" applyProtection="1">
      <alignment horizontal="center" vertical="center"/>
      <protection hidden="1"/>
    </xf>
    <xf numFmtId="0" fontId="78" fillId="2" borderId="0" xfId="0" applyNumberFormat="1" applyFont="1" applyFill="1" applyBorder="1" applyAlignment="1" applyProtection="1">
      <alignment horizontal="center" vertical="center"/>
      <protection hidden="1"/>
    </xf>
    <xf numFmtId="0" fontId="78" fillId="2" borderId="20" xfId="0" applyNumberFormat="1" applyFont="1" applyFill="1" applyBorder="1" applyAlignment="1" applyProtection="1">
      <alignment horizontal="center" vertical="center"/>
      <protection hidden="1"/>
    </xf>
    <xf numFmtId="168" fontId="78" fillId="2" borderId="11" xfId="0" applyNumberFormat="1" applyFont="1" applyFill="1" applyBorder="1" applyAlignment="1" applyProtection="1">
      <alignment horizontal="left" vertical="center"/>
      <protection hidden="1"/>
    </xf>
    <xf numFmtId="164" fontId="12" fillId="2" borderId="64" xfId="0" applyNumberFormat="1" applyFont="1" applyFill="1" applyBorder="1" applyAlignment="1" applyProtection="1">
      <alignment horizontal="left" vertical="center"/>
      <protection hidden="1"/>
    </xf>
    <xf numFmtId="0" fontId="12" fillId="2" borderId="64" xfId="0" applyNumberFormat="1" applyFont="1" applyFill="1" applyBorder="1" applyAlignment="1" applyProtection="1">
      <alignment horizontal="left" vertical="center"/>
      <protection hidden="1"/>
    </xf>
    <xf numFmtId="168" fontId="62" fillId="3" borderId="86" xfId="0" applyNumberFormat="1" applyFont="1" applyFill="1" applyBorder="1" applyAlignment="1" applyProtection="1">
      <alignment horizontal="center" vertical="center"/>
      <protection locked="0"/>
    </xf>
    <xf numFmtId="168" fontId="62" fillId="3" borderId="88" xfId="0" applyNumberFormat="1" applyFont="1" applyFill="1" applyBorder="1" applyAlignment="1" applyProtection="1">
      <alignment horizontal="center" vertical="center"/>
      <protection locked="0"/>
    </xf>
    <xf numFmtId="0" fontId="62" fillId="3" borderId="86" xfId="0" applyFont="1" applyFill="1" applyBorder="1" applyAlignment="1" applyProtection="1">
      <alignment horizontal="center" vertical="center"/>
      <protection locked="0"/>
    </xf>
    <xf numFmtId="0" fontId="62" fillId="3" borderId="88" xfId="0" applyFont="1" applyFill="1" applyBorder="1" applyAlignment="1" applyProtection="1">
      <alignment horizontal="center" vertical="center"/>
      <protection locked="0"/>
    </xf>
    <xf numFmtId="0" fontId="4" fillId="2" borderId="0" xfId="0" applyNumberFormat="1" applyFont="1" applyFill="1" applyAlignment="1" applyProtection="1">
      <alignment horizontal="right" vertical="center" indent="1"/>
      <protection hidden="1"/>
    </xf>
    <xf numFmtId="0" fontId="4" fillId="2" borderId="98" xfId="0" applyNumberFormat="1" applyFont="1" applyFill="1" applyBorder="1" applyAlignment="1" applyProtection="1">
      <alignment horizontal="right" vertical="center" indent="1"/>
      <protection hidden="1"/>
    </xf>
    <xf numFmtId="14" fontId="62" fillId="2" borderId="87" xfId="0" applyNumberFormat="1" applyFont="1" applyFill="1" applyBorder="1" applyAlignment="1" applyProtection="1">
      <alignment horizontal="center" vertical="center"/>
      <protection locked="0"/>
    </xf>
    <xf numFmtId="0" fontId="62" fillId="2" borderId="86" xfId="0" applyFont="1" applyFill="1" applyBorder="1" applyAlignment="1" applyProtection="1">
      <alignment horizontal="center" vertical="center"/>
      <protection locked="0"/>
    </xf>
    <xf numFmtId="0" fontId="62" fillId="2" borderId="88" xfId="0" applyFont="1" applyFill="1" applyBorder="1" applyAlignment="1" applyProtection="1">
      <alignment horizontal="center" vertical="center"/>
      <protection locked="0"/>
    </xf>
    <xf numFmtId="0" fontId="2" fillId="2" borderId="33" xfId="0" applyFont="1" applyFill="1" applyBorder="1" applyAlignment="1" applyProtection="1">
      <alignment horizontal="left" vertical="center" indent="1"/>
      <protection hidden="1"/>
    </xf>
    <xf numFmtId="0" fontId="2" fillId="2" borderId="56" xfId="0" applyFont="1" applyFill="1" applyBorder="1" applyAlignment="1" applyProtection="1">
      <alignment horizontal="left" vertical="center" indent="1"/>
      <protection hidden="1"/>
    </xf>
    <xf numFmtId="0" fontId="2" fillId="2" borderId="34" xfId="0" applyFont="1" applyFill="1" applyBorder="1" applyAlignment="1" applyProtection="1">
      <alignment horizontal="left" vertical="center" indent="1"/>
      <protection hidden="1"/>
    </xf>
    <xf numFmtId="0" fontId="30" fillId="2" borderId="0" xfId="0" applyFont="1" applyFill="1" applyBorder="1" applyAlignment="1" applyProtection="1">
      <alignment horizontal="center" vertical="center"/>
      <protection hidden="1"/>
    </xf>
    <xf numFmtId="168" fontId="43" fillId="2" borderId="64" xfId="0" applyNumberFormat="1" applyFont="1" applyFill="1" applyBorder="1" applyAlignment="1" applyProtection="1">
      <alignment horizontal="center" vertical="center"/>
      <protection hidden="1"/>
    </xf>
    <xf numFmtId="168" fontId="43" fillId="2" borderId="66" xfId="0" applyNumberFormat="1" applyFont="1" applyFill="1" applyBorder="1" applyAlignment="1" applyProtection="1">
      <alignment horizontal="center" vertical="center"/>
      <protection hidden="1"/>
    </xf>
    <xf numFmtId="164" fontId="8" fillId="2" borderId="0" xfId="0" applyNumberFormat="1" applyFont="1" applyFill="1" applyBorder="1" applyAlignment="1" applyProtection="1">
      <alignment horizontal="left"/>
      <protection hidden="1"/>
    </xf>
    <xf numFmtId="0" fontId="2" fillId="2" borderId="11" xfId="0" applyFont="1" applyFill="1" applyBorder="1" applyAlignment="1" applyProtection="1">
      <alignment horizontal="center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0" fontId="41" fillId="2" borderId="0" xfId="0" applyNumberFormat="1" applyFont="1" applyFill="1" applyBorder="1" applyAlignment="1" applyProtection="1">
      <alignment horizontal="right" indent="1"/>
      <protection hidden="1"/>
    </xf>
    <xf numFmtId="0" fontId="41" fillId="2" borderId="20" xfId="0" applyNumberFormat="1" applyFont="1" applyFill="1" applyBorder="1" applyAlignment="1" applyProtection="1">
      <alignment horizontal="right" indent="1"/>
      <protection hidden="1"/>
    </xf>
    <xf numFmtId="168" fontId="72" fillId="3" borderId="51" xfId="0" applyNumberFormat="1" applyFont="1" applyFill="1" applyBorder="1" applyAlignment="1" applyProtection="1">
      <alignment horizontal="center" vertical="center"/>
      <protection hidden="1"/>
    </xf>
    <xf numFmtId="168" fontId="72" fillId="3" borderId="35" xfId="0" applyNumberFormat="1" applyFont="1" applyFill="1" applyBorder="1" applyAlignment="1" applyProtection="1">
      <alignment horizontal="center" vertical="center"/>
      <protection hidden="1"/>
    </xf>
    <xf numFmtId="168" fontId="72" fillId="3" borderId="52" xfId="0" applyNumberFormat="1" applyFont="1" applyFill="1" applyBorder="1" applyAlignment="1" applyProtection="1">
      <alignment horizontal="center" vertical="center"/>
      <protection hidden="1"/>
    </xf>
    <xf numFmtId="168" fontId="72" fillId="3" borderId="57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164" fontId="14" fillId="2" borderId="49" xfId="0" applyNumberFormat="1" applyFont="1" applyFill="1" applyBorder="1" applyAlignment="1" applyProtection="1">
      <alignment horizontal="left" vertical="center"/>
      <protection locked="0"/>
    </xf>
    <xf numFmtId="164" fontId="14" fillId="2" borderId="64" xfId="0" applyNumberFormat="1" applyFont="1" applyFill="1" applyBorder="1" applyAlignment="1" applyProtection="1">
      <alignment horizontal="left" vertical="center"/>
      <protection locked="0"/>
    </xf>
    <xf numFmtId="164" fontId="14" fillId="2" borderId="99" xfId="0" applyNumberFormat="1" applyFont="1" applyFill="1" applyBorder="1" applyAlignment="1" applyProtection="1">
      <alignment horizontal="left" vertical="center"/>
      <protection locked="0"/>
    </xf>
    <xf numFmtId="0" fontId="41" fillId="2" borderId="0" xfId="0" applyNumberFormat="1" applyFont="1" applyFill="1" applyBorder="1" applyAlignment="1" applyProtection="1">
      <alignment horizontal="right" vertical="center" indent="1"/>
      <protection hidden="1"/>
    </xf>
    <xf numFmtId="0" fontId="41" fillId="2" borderId="20" xfId="0" applyNumberFormat="1" applyFont="1" applyFill="1" applyBorder="1" applyAlignment="1" applyProtection="1">
      <alignment horizontal="right" vertical="center" indent="1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14" fontId="39" fillId="2" borderId="0" xfId="0" applyNumberFormat="1" applyFont="1" applyFill="1" applyBorder="1" applyAlignment="1" applyProtection="1">
      <alignment horizontal="right" vertical="top" indent="1"/>
      <protection hidden="1"/>
    </xf>
    <xf numFmtId="0" fontId="39" fillId="2" borderId="0" xfId="0" applyNumberFormat="1" applyFont="1" applyFill="1" applyBorder="1" applyAlignment="1" applyProtection="1">
      <alignment horizontal="right" vertical="top" indent="1"/>
      <protection hidden="1"/>
    </xf>
    <xf numFmtId="0" fontId="39" fillId="2" borderId="20" xfId="0" applyNumberFormat="1" applyFont="1" applyFill="1" applyBorder="1" applyAlignment="1" applyProtection="1">
      <alignment horizontal="right" vertical="top" indent="1"/>
      <protection hidden="1"/>
    </xf>
    <xf numFmtId="0" fontId="0" fillId="2" borderId="33" xfId="0" applyFill="1" applyBorder="1" applyAlignment="1" applyProtection="1">
      <alignment horizontal="center" vertical="center"/>
      <protection hidden="1"/>
    </xf>
    <xf numFmtId="0" fontId="0" fillId="2" borderId="56" xfId="0" applyFill="1" applyBorder="1" applyAlignment="1" applyProtection="1">
      <alignment horizontal="center" vertical="center"/>
      <protection hidden="1"/>
    </xf>
    <xf numFmtId="0" fontId="0" fillId="2" borderId="34" xfId="0" applyFill="1" applyBorder="1" applyAlignment="1" applyProtection="1">
      <alignment horizontal="center" vertical="center"/>
      <protection hidden="1"/>
    </xf>
    <xf numFmtId="164" fontId="2" fillId="2" borderId="11" xfId="0" applyNumberFormat="1" applyFont="1" applyFill="1" applyBorder="1" applyAlignment="1" applyProtection="1">
      <alignment horizontal="left" vertical="top"/>
      <protection hidden="1"/>
    </xf>
    <xf numFmtId="0" fontId="108" fillId="2" borderId="0" xfId="0" applyFont="1" applyFill="1" applyAlignment="1" applyProtection="1">
      <alignment horizontal="center"/>
      <protection hidden="1"/>
    </xf>
    <xf numFmtId="0" fontId="8" fillId="2" borderId="12" xfId="0" applyFont="1" applyFill="1" applyBorder="1" applyAlignment="1" applyProtection="1">
      <alignment horizontal="center" vertical="center"/>
      <protection hidden="1"/>
    </xf>
    <xf numFmtId="0" fontId="36" fillId="2" borderId="52" xfId="0" applyFont="1" applyFill="1" applyBorder="1" applyAlignment="1" applyProtection="1">
      <alignment horizontal="right" vertical="top" indent="1"/>
      <protection locked="0"/>
    </xf>
    <xf numFmtId="0" fontId="36" fillId="2" borderId="11" xfId="0" applyFont="1" applyFill="1" applyBorder="1" applyAlignment="1" applyProtection="1">
      <alignment horizontal="right" vertical="top" indent="1"/>
      <protection locked="0"/>
    </xf>
    <xf numFmtId="0" fontId="36" fillId="2" borderId="57" xfId="0" applyFont="1" applyFill="1" applyBorder="1" applyAlignment="1" applyProtection="1">
      <alignment horizontal="right" vertical="top" indent="1"/>
      <protection locked="0"/>
    </xf>
    <xf numFmtId="0" fontId="67" fillId="2" borderId="52" xfId="0" applyFont="1" applyFill="1" applyBorder="1" applyAlignment="1" applyProtection="1">
      <alignment horizontal="left" vertical="top" indent="1"/>
      <protection locked="0"/>
    </xf>
    <xf numFmtId="0" fontId="67" fillId="2" borderId="11" xfId="0" applyFont="1" applyFill="1" applyBorder="1" applyAlignment="1" applyProtection="1">
      <alignment horizontal="left" vertical="top" indent="1"/>
      <protection locked="0"/>
    </xf>
    <xf numFmtId="0" fontId="67" fillId="2" borderId="57" xfId="0" applyFont="1" applyFill="1" applyBorder="1" applyAlignment="1" applyProtection="1">
      <alignment horizontal="left" vertical="top" indent="1"/>
      <protection locked="0"/>
    </xf>
    <xf numFmtId="0" fontId="56" fillId="2" borderId="49" xfId="0" applyFont="1" applyFill="1" applyBorder="1" applyAlignment="1" applyProtection="1">
      <alignment horizontal="left" vertical="center" indent="1"/>
      <protection locked="0"/>
    </xf>
    <xf numFmtId="0" fontId="56" fillId="2" borderId="64" xfId="0" applyFont="1" applyFill="1" applyBorder="1" applyAlignment="1" applyProtection="1">
      <alignment horizontal="left" vertical="center" indent="1"/>
      <protection locked="0"/>
    </xf>
    <xf numFmtId="0" fontId="56" fillId="2" borderId="66" xfId="0" applyFont="1" applyFill="1" applyBorder="1" applyAlignment="1" applyProtection="1">
      <alignment horizontal="left" vertical="center" indent="1"/>
      <protection locked="0"/>
    </xf>
    <xf numFmtId="0" fontId="3" fillId="2" borderId="8" xfId="0" applyFont="1" applyFill="1" applyBorder="1" applyAlignment="1" applyProtection="1">
      <alignment horizontal="center" vertical="top"/>
      <protection hidden="1"/>
    </xf>
    <xf numFmtId="0" fontId="79" fillId="3" borderId="52" xfId="0" applyFont="1" applyFill="1" applyBorder="1" applyAlignment="1" applyProtection="1">
      <alignment horizontal="left" vertical="top" indent="1"/>
      <protection hidden="1"/>
    </xf>
    <xf numFmtId="0" fontId="79" fillId="3" borderId="11" xfId="0" applyFont="1" applyFill="1" applyBorder="1" applyAlignment="1" applyProtection="1">
      <alignment horizontal="left" vertical="top" indent="1"/>
      <protection hidden="1"/>
    </xf>
    <xf numFmtId="0" fontId="79" fillId="3" borderId="57" xfId="0" applyFont="1" applyFill="1" applyBorder="1" applyAlignment="1" applyProtection="1">
      <alignment horizontal="left" vertical="top" indent="1"/>
      <protection hidden="1"/>
    </xf>
    <xf numFmtId="0" fontId="2" fillId="3" borderId="51" xfId="0" applyFont="1" applyFill="1" applyBorder="1" applyAlignment="1" applyProtection="1">
      <alignment horizontal="left" indent="1"/>
      <protection hidden="1"/>
    </xf>
    <xf numFmtId="0" fontId="2" fillId="3" borderId="12" xfId="0" applyFont="1" applyFill="1" applyBorder="1" applyAlignment="1" applyProtection="1">
      <alignment horizontal="left" indent="1"/>
      <protection hidden="1"/>
    </xf>
    <xf numFmtId="0" fontId="4" fillId="2" borderId="0" xfId="0" applyFont="1" applyFill="1" applyAlignment="1" applyProtection="1">
      <alignment horizontal="right" vertical="top" indent="1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33" fillId="2" borderId="0" xfId="0" applyFont="1" applyFill="1" applyBorder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left" indent="1"/>
      <protection hidden="1"/>
    </xf>
    <xf numFmtId="0" fontId="72" fillId="2" borderId="11" xfId="0" applyFont="1" applyFill="1" applyBorder="1" applyAlignment="1" applyProtection="1">
      <alignment horizontal="left" vertical="top" indent="1"/>
      <protection hidden="1"/>
    </xf>
    <xf numFmtId="49" fontId="72" fillId="2" borderId="11" xfId="0" applyNumberFormat="1" applyFont="1" applyFill="1" applyBorder="1" applyAlignment="1" applyProtection="1">
      <alignment horizontal="center" vertical="top"/>
      <protection hidden="1"/>
    </xf>
    <xf numFmtId="0" fontId="72" fillId="2" borderId="11" xfId="0" applyFont="1" applyFill="1" applyBorder="1" applyAlignment="1" applyProtection="1">
      <alignment horizontal="center" vertical="top"/>
      <protection hidden="1"/>
    </xf>
    <xf numFmtId="0" fontId="131" fillId="10" borderId="108" xfId="0" applyFont="1" applyFill="1" applyBorder="1" applyAlignment="1" applyProtection="1">
      <alignment horizontal="center" vertical="center"/>
      <protection locked="0"/>
    </xf>
    <xf numFmtId="0" fontId="131" fillId="10" borderId="109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right" indent="1"/>
      <protection locked="0"/>
    </xf>
    <xf numFmtId="0" fontId="4" fillId="2" borderId="35" xfId="0" applyFont="1" applyFill="1" applyBorder="1" applyAlignment="1" applyProtection="1">
      <alignment horizontal="right" indent="1"/>
      <protection locked="0"/>
    </xf>
    <xf numFmtId="0" fontId="2" fillId="2" borderId="51" xfId="0" applyFont="1" applyFill="1" applyBorder="1" applyAlignment="1" applyProtection="1">
      <alignment horizontal="left" indent="1"/>
      <protection locked="0"/>
    </xf>
    <xf numFmtId="0" fontId="2" fillId="2" borderId="12" xfId="0" applyFont="1" applyFill="1" applyBorder="1" applyAlignment="1" applyProtection="1">
      <alignment horizontal="left" indent="1"/>
      <protection locked="0"/>
    </xf>
    <xf numFmtId="0" fontId="67" fillId="2" borderId="52" xfId="0" applyFont="1" applyFill="1" applyBorder="1" applyAlignment="1" applyProtection="1">
      <alignment horizontal="left" vertical="top" indent="1"/>
      <protection hidden="1"/>
    </xf>
    <xf numFmtId="0" fontId="67" fillId="2" borderId="11" xfId="0" applyFont="1" applyFill="1" applyBorder="1" applyAlignment="1" applyProtection="1">
      <alignment horizontal="left" vertical="top" indent="1"/>
      <protection hidden="1"/>
    </xf>
    <xf numFmtId="0" fontId="67" fillId="2" borderId="57" xfId="0" applyFont="1" applyFill="1" applyBorder="1" applyAlignment="1" applyProtection="1">
      <alignment horizontal="left" vertical="top" indent="1"/>
      <protection hidden="1"/>
    </xf>
    <xf numFmtId="0" fontId="2" fillId="2" borderId="50" xfId="0" applyFont="1" applyFill="1" applyBorder="1" applyAlignment="1" applyProtection="1">
      <alignment horizontal="left" indent="1"/>
      <protection locked="0"/>
    </xf>
    <xf numFmtId="0" fontId="2" fillId="2" borderId="0" xfId="0" applyFont="1" applyFill="1" applyBorder="1" applyAlignment="1" applyProtection="1">
      <alignment horizontal="left" indent="1"/>
      <protection locked="0"/>
    </xf>
    <xf numFmtId="49" fontId="72" fillId="2" borderId="11" xfId="0" applyNumberFormat="1" applyFont="1" applyFill="1" applyBorder="1" applyAlignment="1" applyProtection="1">
      <alignment horizontal="left" vertical="top"/>
      <protection hidden="1"/>
    </xf>
    <xf numFmtId="0" fontId="72" fillId="2" borderId="11" xfId="0" applyNumberFormat="1" applyFont="1" applyFill="1" applyBorder="1" applyAlignment="1" applyProtection="1">
      <alignment horizontal="left" vertical="top"/>
      <protection hidden="1"/>
    </xf>
    <xf numFmtId="164" fontId="41" fillId="2" borderId="0" xfId="0" applyNumberFormat="1" applyFont="1" applyFill="1" applyBorder="1" applyAlignment="1" applyProtection="1">
      <alignment horizontal="left" vertical="top"/>
      <protection locked="0"/>
    </xf>
    <xf numFmtId="164" fontId="41" fillId="2" borderId="0" xfId="0" applyNumberFormat="1" applyFont="1" applyFill="1" applyBorder="1" applyAlignment="1" applyProtection="1">
      <alignment horizontal="left"/>
      <protection locked="0"/>
    </xf>
    <xf numFmtId="0" fontId="2" fillId="2" borderId="92" xfId="0" applyFont="1" applyFill="1" applyBorder="1" applyAlignment="1" applyProtection="1">
      <alignment horizontal="center" vertical="center"/>
      <protection hidden="1"/>
    </xf>
    <xf numFmtId="0" fontId="2" fillId="2" borderId="62" xfId="0" applyFont="1" applyFill="1" applyBorder="1" applyAlignment="1" applyProtection="1">
      <alignment horizontal="center" vertical="center"/>
      <protection hidden="1"/>
    </xf>
    <xf numFmtId="0" fontId="2" fillId="2" borderId="69" xfId="0" applyFont="1" applyFill="1" applyBorder="1" applyAlignment="1" applyProtection="1">
      <alignment horizontal="center" vertical="center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top"/>
      <protection hidden="1"/>
    </xf>
    <xf numFmtId="0" fontId="2" fillId="2" borderId="93" xfId="0" applyFont="1" applyFill="1" applyBorder="1" applyAlignment="1" applyProtection="1">
      <alignment horizontal="center" vertical="center"/>
      <protection hidden="1"/>
    </xf>
    <xf numFmtId="0" fontId="2" fillId="2" borderId="63" xfId="0" applyFont="1" applyFill="1" applyBorder="1" applyAlignment="1" applyProtection="1">
      <alignment horizontal="center" vertical="center"/>
      <protection hidden="1"/>
    </xf>
    <xf numFmtId="0" fontId="128" fillId="2" borderId="0" xfId="0" applyNumberFormat="1" applyFont="1" applyFill="1" applyBorder="1" applyAlignment="1" applyProtection="1">
      <alignment horizontal="right" indent="1"/>
      <protection hidden="1"/>
    </xf>
    <xf numFmtId="0" fontId="128" fillId="2" borderId="12" xfId="0" applyFont="1" applyFill="1" applyBorder="1" applyAlignment="1" applyProtection="1">
      <alignment horizontal="left"/>
      <protection hidden="1"/>
    </xf>
    <xf numFmtId="0" fontId="41" fillId="2" borderId="0" xfId="0" applyFont="1" applyFill="1" applyBorder="1" applyAlignment="1" applyProtection="1">
      <alignment horizontal="center"/>
      <protection hidden="1"/>
    </xf>
    <xf numFmtId="0" fontId="45" fillId="2" borderId="0" xfId="0" applyFont="1" applyFill="1" applyBorder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/>
      <protection hidden="1"/>
    </xf>
    <xf numFmtId="0" fontId="64" fillId="2" borderId="0" xfId="0" applyFont="1" applyFill="1" applyAlignment="1" applyProtection="1">
      <alignment horizontal="right" indent="1"/>
      <protection hidden="1"/>
    </xf>
    <xf numFmtId="0" fontId="66" fillId="2" borderId="8" xfId="0" applyFont="1" applyFill="1" applyBorder="1" applyAlignment="1" applyProtection="1">
      <alignment horizontal="left" vertical="top" indent="1"/>
      <protection hidden="1"/>
    </xf>
    <xf numFmtId="0" fontId="87" fillId="2" borderId="0" xfId="0" applyFont="1" applyFill="1" applyAlignment="1" applyProtection="1">
      <alignment horizontal="left"/>
      <protection hidden="1"/>
    </xf>
    <xf numFmtId="0" fontId="72" fillId="2" borderId="0" xfId="0" applyFont="1" applyFill="1" applyAlignment="1" applyProtection="1">
      <alignment horizontal="left" vertical="top"/>
      <protection hidden="1"/>
    </xf>
    <xf numFmtId="0" fontId="87" fillId="2" borderId="0" xfId="0" applyFont="1" applyFill="1" applyAlignment="1" applyProtection="1">
      <alignment horizontal="left" vertical="top"/>
      <protection hidden="1"/>
    </xf>
    <xf numFmtId="0" fontId="97" fillId="2" borderId="73" xfId="0" applyFont="1" applyFill="1" applyBorder="1" applyAlignment="1" applyProtection="1">
      <alignment horizontal="center" vertical="top"/>
      <protection hidden="1"/>
    </xf>
    <xf numFmtId="0" fontId="97" fillId="2" borderId="8" xfId="0" applyFont="1" applyFill="1" applyBorder="1" applyAlignment="1" applyProtection="1">
      <alignment horizontal="center" vertical="top"/>
      <protection hidden="1"/>
    </xf>
    <xf numFmtId="0" fontId="97" fillId="2" borderId="74" xfId="0" applyFont="1" applyFill="1" applyBorder="1" applyAlignment="1" applyProtection="1">
      <alignment horizontal="center" vertical="top"/>
      <protection hidden="1"/>
    </xf>
    <xf numFmtId="0" fontId="3" fillId="2" borderId="51" xfId="0" applyFont="1" applyFill="1" applyBorder="1" applyAlignment="1" applyProtection="1">
      <alignment horizontal="center"/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0" fontId="3" fillId="2" borderId="35" xfId="0" applyFont="1" applyFill="1" applyBorder="1" applyAlignment="1" applyProtection="1">
      <alignment horizontal="center"/>
      <protection hidden="1"/>
    </xf>
    <xf numFmtId="0" fontId="139" fillId="10" borderId="39" xfId="0" applyFont="1" applyFill="1" applyBorder="1" applyAlignment="1" applyProtection="1">
      <alignment horizontal="center" vertical="center"/>
      <protection locked="0"/>
    </xf>
    <xf numFmtId="0" fontId="139" fillId="10" borderId="66" xfId="0" applyFont="1" applyFill="1" applyBorder="1" applyAlignment="1" applyProtection="1">
      <alignment horizontal="center" vertical="center"/>
      <protection locked="0"/>
    </xf>
    <xf numFmtId="164" fontId="9" fillId="2" borderId="92" xfId="0" applyNumberFormat="1" applyFont="1" applyFill="1" applyBorder="1" applyAlignment="1" applyProtection="1">
      <alignment horizontal="left" vertical="center"/>
      <protection hidden="1"/>
    </xf>
    <xf numFmtId="164" fontId="9" fillId="2" borderId="56" xfId="0" applyNumberFormat="1" applyFont="1" applyFill="1" applyBorder="1" applyAlignment="1" applyProtection="1">
      <alignment horizontal="left" vertical="center"/>
      <protection hidden="1"/>
    </xf>
    <xf numFmtId="164" fontId="9" fillId="2" borderId="34" xfId="0" applyNumberFormat="1" applyFont="1" applyFill="1" applyBorder="1" applyAlignment="1" applyProtection="1">
      <alignment horizontal="left" vertical="center"/>
      <protection hidden="1"/>
    </xf>
    <xf numFmtId="0" fontId="139" fillId="2" borderId="49" xfId="0" applyFont="1" applyFill="1" applyBorder="1" applyAlignment="1" applyProtection="1">
      <alignment horizontal="left" vertical="center" indent="1"/>
      <protection hidden="1"/>
    </xf>
    <xf numFmtId="0" fontId="139" fillId="2" borderId="64" xfId="0" applyFont="1" applyFill="1" applyBorder="1" applyAlignment="1" applyProtection="1">
      <alignment horizontal="left" vertical="center" indent="1"/>
      <protection hidden="1"/>
    </xf>
    <xf numFmtId="0" fontId="73" fillId="2" borderId="0" xfId="0" applyFont="1" applyFill="1" applyAlignment="1" applyProtection="1">
      <alignment horizontal="left" vertical="top"/>
      <protection hidden="1"/>
    </xf>
    <xf numFmtId="164" fontId="15" fillId="2" borderId="0" xfId="0" applyNumberFormat="1" applyFont="1" applyFill="1" applyBorder="1" applyAlignment="1" applyProtection="1">
      <alignment horizontal="left" vertical="center"/>
      <protection hidden="1"/>
    </xf>
    <xf numFmtId="164" fontId="9" fillId="2" borderId="69" xfId="0" applyNumberFormat="1" applyFont="1" applyFill="1" applyBorder="1" applyAlignment="1" applyProtection="1">
      <alignment horizontal="left" vertical="center"/>
      <protection hidden="1"/>
    </xf>
    <xf numFmtId="164" fontId="9" fillId="2" borderId="45" xfId="0" applyNumberFormat="1" applyFont="1" applyFill="1" applyBorder="1" applyAlignment="1" applyProtection="1">
      <alignment horizontal="left" vertical="center"/>
      <protection hidden="1"/>
    </xf>
    <xf numFmtId="164" fontId="9" fillId="2" borderId="102" xfId="0" applyNumberFormat="1" applyFont="1" applyFill="1" applyBorder="1" applyAlignment="1" applyProtection="1">
      <alignment horizontal="left" vertical="center"/>
      <protection hidden="1"/>
    </xf>
    <xf numFmtId="0" fontId="2" fillId="2" borderId="62" xfId="0" applyFont="1" applyFill="1" applyBorder="1" applyAlignment="1" applyProtection="1">
      <alignment horizontal="left" vertical="center" indent="1"/>
      <protection hidden="1"/>
    </xf>
    <xf numFmtId="0" fontId="96" fillId="4" borderId="50" xfId="0" applyFont="1" applyFill="1" applyBorder="1" applyAlignment="1" applyProtection="1">
      <alignment horizontal="left" vertical="center" indent="1"/>
      <protection locked="0"/>
    </xf>
    <xf numFmtId="0" fontId="96" fillId="4" borderId="0" xfId="0" applyFont="1" applyFill="1" applyBorder="1" applyAlignment="1" applyProtection="1">
      <alignment horizontal="left" vertical="center" indent="1"/>
      <protection locked="0"/>
    </xf>
    <xf numFmtId="0" fontId="96" fillId="4" borderId="20" xfId="0" applyFont="1" applyFill="1" applyBorder="1" applyAlignment="1" applyProtection="1">
      <alignment horizontal="left" vertical="center" indent="1"/>
      <protection locked="0"/>
    </xf>
    <xf numFmtId="0" fontId="96" fillId="4" borderId="52" xfId="0" applyFont="1" applyFill="1" applyBorder="1" applyAlignment="1" applyProtection="1">
      <alignment horizontal="left" vertical="center" indent="1"/>
      <protection locked="0"/>
    </xf>
    <xf numFmtId="0" fontId="96" fillId="4" borderId="11" xfId="0" applyFont="1" applyFill="1" applyBorder="1" applyAlignment="1" applyProtection="1">
      <alignment horizontal="left" vertical="center" indent="1"/>
      <protection locked="0"/>
    </xf>
    <xf numFmtId="0" fontId="96" fillId="4" borderId="57" xfId="0" applyFont="1" applyFill="1" applyBorder="1" applyAlignment="1" applyProtection="1">
      <alignment horizontal="left" vertical="center" indent="1"/>
      <protection locked="0"/>
    </xf>
    <xf numFmtId="164" fontId="62" fillId="10" borderId="49" xfId="0" applyNumberFormat="1" applyFont="1" applyFill="1" applyBorder="1" applyAlignment="1" applyProtection="1">
      <alignment horizontal="left" vertical="center"/>
      <protection hidden="1"/>
    </xf>
    <xf numFmtId="164" fontId="62" fillId="10" borderId="64" xfId="0" applyNumberFormat="1" applyFont="1" applyFill="1" applyBorder="1" applyAlignment="1" applyProtection="1">
      <alignment horizontal="left" vertical="center"/>
      <protection hidden="1"/>
    </xf>
    <xf numFmtId="164" fontId="62" fillId="10" borderId="66" xfId="0" applyNumberFormat="1" applyFont="1" applyFill="1" applyBorder="1" applyAlignment="1" applyProtection="1">
      <alignment horizontal="left" vertical="center"/>
      <protection hidden="1"/>
    </xf>
    <xf numFmtId="0" fontId="14" fillId="2" borderId="0" xfId="0" applyFont="1" applyFill="1" applyAlignment="1" applyProtection="1">
      <alignment horizontal="right" vertical="top" indent="1"/>
      <protection hidden="1"/>
    </xf>
    <xf numFmtId="164" fontId="113" fillId="2" borderId="12" xfId="1" applyNumberFormat="1" applyFont="1" applyFill="1" applyBorder="1" applyAlignment="1" applyProtection="1">
      <alignment horizontal="left"/>
      <protection locked="0"/>
    </xf>
    <xf numFmtId="188" fontId="137" fillId="2" borderId="0" xfId="0" applyNumberFormat="1" applyFont="1" applyFill="1" applyBorder="1" applyAlignment="1" applyProtection="1">
      <alignment horizontal="right" vertical="center"/>
      <protection hidden="1"/>
    </xf>
    <xf numFmtId="164" fontId="8" fillId="2" borderId="12" xfId="0" applyNumberFormat="1" applyFont="1" applyFill="1" applyBorder="1" applyAlignment="1" applyProtection="1">
      <alignment horizontal="left" vertical="center"/>
      <protection hidden="1"/>
    </xf>
    <xf numFmtId="164" fontId="8" fillId="2" borderId="11" xfId="0" applyNumberFormat="1" applyFont="1" applyFill="1" applyBorder="1" applyAlignment="1" applyProtection="1">
      <alignment horizontal="left" vertical="center"/>
      <protection hidden="1"/>
    </xf>
    <xf numFmtId="164" fontId="14" fillId="2" borderId="92" xfId="0" applyNumberFormat="1" applyFont="1" applyFill="1" applyBorder="1" applyAlignment="1" applyProtection="1">
      <alignment horizontal="left" vertical="center"/>
      <protection hidden="1"/>
    </xf>
    <xf numFmtId="164" fontId="14" fillId="2" borderId="56" xfId="0" applyNumberFormat="1" applyFont="1" applyFill="1" applyBorder="1" applyAlignment="1" applyProtection="1">
      <alignment horizontal="left" vertical="center"/>
      <protection hidden="1"/>
    </xf>
    <xf numFmtId="164" fontId="14" fillId="2" borderId="62" xfId="0" applyNumberFormat="1" applyFont="1" applyFill="1" applyBorder="1" applyAlignment="1" applyProtection="1">
      <alignment horizontal="left" vertical="center"/>
      <protection hidden="1"/>
    </xf>
    <xf numFmtId="164" fontId="14" fillId="2" borderId="69" xfId="0" applyNumberFormat="1" applyFont="1" applyFill="1" applyBorder="1" applyAlignment="1" applyProtection="1">
      <alignment horizontal="left" vertical="center"/>
      <protection hidden="1"/>
    </xf>
    <xf numFmtId="164" fontId="14" fillId="2" borderId="45" xfId="0" applyNumberFormat="1" applyFont="1" applyFill="1" applyBorder="1" applyAlignment="1" applyProtection="1">
      <alignment horizontal="left" vertical="center"/>
      <protection hidden="1"/>
    </xf>
    <xf numFmtId="164" fontId="14" fillId="2" borderId="61" xfId="0" applyNumberFormat="1" applyFont="1" applyFill="1" applyBorder="1" applyAlignment="1" applyProtection="1">
      <alignment horizontal="left" vertical="center"/>
      <protection hidden="1"/>
    </xf>
    <xf numFmtId="0" fontId="109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left" vertical="top" indent="1"/>
      <protection hidden="1"/>
    </xf>
    <xf numFmtId="0" fontId="133" fillId="9" borderId="108" xfId="0" applyFont="1" applyFill="1" applyBorder="1" applyAlignment="1" applyProtection="1">
      <alignment horizontal="left" vertical="center" indent="1"/>
      <protection hidden="1"/>
    </xf>
    <xf numFmtId="0" fontId="133" fillId="9" borderId="109" xfId="0" applyFont="1" applyFill="1" applyBorder="1" applyAlignment="1" applyProtection="1">
      <alignment horizontal="left" vertical="center" indent="1"/>
      <protection hidden="1"/>
    </xf>
    <xf numFmtId="0" fontId="3" fillId="2" borderId="12" xfId="0" applyNumberFormat="1" applyFont="1" applyFill="1" applyBorder="1" applyAlignment="1" applyProtection="1">
      <alignment horizontal="left"/>
      <protection hidden="1"/>
    </xf>
    <xf numFmtId="164" fontId="9" fillId="2" borderId="93" xfId="0" applyNumberFormat="1" applyFont="1" applyFill="1" applyBorder="1" applyAlignment="1" applyProtection="1">
      <alignment horizontal="left" vertical="center"/>
      <protection hidden="1"/>
    </xf>
    <xf numFmtId="164" fontId="9" fillId="2" borderId="94" xfId="0" applyNumberFormat="1" applyFont="1" applyFill="1" applyBorder="1" applyAlignment="1" applyProtection="1">
      <alignment horizontal="left" vertical="center"/>
      <protection hidden="1"/>
    </xf>
    <xf numFmtId="164" fontId="9" fillId="2" borderId="101" xfId="0" applyNumberFormat="1" applyFont="1" applyFill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left" vertical="top"/>
      <protection hidden="1"/>
    </xf>
    <xf numFmtId="0" fontId="2" fillId="2" borderId="100" xfId="0" applyFont="1" applyFill="1" applyBorder="1" applyAlignment="1" applyProtection="1">
      <alignment horizontal="left" vertical="center" indent="1"/>
      <protection hidden="1"/>
    </xf>
    <xf numFmtId="0" fontId="2" fillId="2" borderId="45" xfId="0" applyFont="1" applyFill="1" applyBorder="1" applyAlignment="1" applyProtection="1">
      <alignment horizontal="left" vertical="center" indent="1"/>
      <protection hidden="1"/>
    </xf>
    <xf numFmtId="0" fontId="2" fillId="2" borderId="61" xfId="0" applyFont="1" applyFill="1" applyBorder="1" applyAlignment="1" applyProtection="1">
      <alignment horizontal="left" vertical="center" indent="1"/>
      <protection hidden="1"/>
    </xf>
    <xf numFmtId="0" fontId="48" fillId="2" borderId="0" xfId="0" applyFont="1" applyFill="1" applyBorder="1" applyAlignment="1" applyProtection="1">
      <alignment horizontal="left" vertical="center" indent="1"/>
      <protection hidden="1"/>
    </xf>
    <xf numFmtId="0" fontId="30" fillId="2" borderId="0" xfId="0" applyFont="1" applyFill="1" applyBorder="1" applyAlignment="1" applyProtection="1">
      <alignment horizontal="right" indent="1"/>
      <protection hidden="1"/>
    </xf>
    <xf numFmtId="0" fontId="9" fillId="2" borderId="0" xfId="0" applyNumberFormat="1" applyFont="1" applyFill="1" applyBorder="1" applyAlignment="1" applyProtection="1">
      <alignment horizontal="right" indent="1"/>
      <protection hidden="1"/>
    </xf>
    <xf numFmtId="0" fontId="39" fillId="2" borderId="11" xfId="0" applyNumberFormat="1" applyFont="1" applyFill="1" applyBorder="1" applyAlignment="1" applyProtection="1">
      <alignment horizontal="center" vertical="center"/>
      <protection hidden="1"/>
    </xf>
    <xf numFmtId="164" fontId="45" fillId="10" borderId="92" xfId="0" applyNumberFormat="1" applyFont="1" applyFill="1" applyBorder="1" applyAlignment="1" applyProtection="1">
      <alignment horizontal="left" vertical="center"/>
      <protection hidden="1"/>
    </xf>
    <xf numFmtId="164" fontId="45" fillId="10" borderId="56" xfId="0" applyNumberFormat="1" applyFont="1" applyFill="1" applyBorder="1" applyAlignment="1" applyProtection="1">
      <alignment horizontal="left" vertical="center"/>
      <protection hidden="1"/>
    </xf>
    <xf numFmtId="164" fontId="45" fillId="10" borderId="62" xfId="0" applyNumberFormat="1" applyFont="1" applyFill="1" applyBorder="1" applyAlignment="1" applyProtection="1">
      <alignment horizontal="left" vertical="center"/>
      <protection hidden="1"/>
    </xf>
    <xf numFmtId="0" fontId="34" fillId="2" borderId="11" xfId="0" applyNumberFormat="1" applyFont="1" applyFill="1" applyBorder="1" applyAlignment="1" applyProtection="1">
      <alignment horizontal="left" vertical="top" indent="1"/>
      <protection hidden="1"/>
    </xf>
    <xf numFmtId="0" fontId="78" fillId="2" borderId="0" xfId="0" applyNumberFormat="1" applyFont="1" applyFill="1" applyBorder="1" applyAlignment="1" applyProtection="1">
      <alignment horizontal="left"/>
      <protection hidden="1"/>
    </xf>
    <xf numFmtId="164" fontId="45" fillId="10" borderId="69" xfId="0" applyNumberFormat="1" applyFont="1" applyFill="1" applyBorder="1" applyAlignment="1" applyProtection="1">
      <alignment horizontal="left" vertical="center"/>
      <protection hidden="1"/>
    </xf>
    <xf numFmtId="164" fontId="45" fillId="10" borderId="45" xfId="0" applyNumberFormat="1" applyFont="1" applyFill="1" applyBorder="1" applyAlignment="1" applyProtection="1">
      <alignment horizontal="left" vertical="center"/>
      <protection hidden="1"/>
    </xf>
    <xf numFmtId="164" fontId="45" fillId="10" borderId="61" xfId="0" applyNumberFormat="1" applyFont="1" applyFill="1" applyBorder="1" applyAlignment="1" applyProtection="1">
      <alignment horizontal="left" vertical="center"/>
      <protection hidden="1"/>
    </xf>
    <xf numFmtId="0" fontId="98" fillId="2" borderId="0" xfId="0" applyFont="1" applyFill="1" applyBorder="1" applyAlignment="1" applyProtection="1">
      <alignment horizontal="left" indent="1"/>
      <protection hidden="1"/>
    </xf>
    <xf numFmtId="0" fontId="76" fillId="2" borderId="0" xfId="0" applyFont="1" applyFill="1" applyBorder="1" applyAlignment="1" applyProtection="1">
      <alignment horizontal="left" indent="1"/>
      <protection hidden="1"/>
    </xf>
    <xf numFmtId="0" fontId="3" fillId="2" borderId="0" xfId="0" applyFont="1" applyFill="1" applyBorder="1" applyAlignment="1" applyProtection="1">
      <alignment horizontal="left" vertical="center" indent="1"/>
      <protection hidden="1"/>
    </xf>
    <xf numFmtId="0" fontId="3" fillId="2" borderId="0" xfId="0" applyFont="1" applyFill="1" applyBorder="1" applyAlignment="1" applyProtection="1">
      <alignment horizontal="left" indent="1"/>
      <protection hidden="1"/>
    </xf>
    <xf numFmtId="0" fontId="76" fillId="2" borderId="0" xfId="0" applyFont="1" applyFill="1" applyBorder="1" applyAlignment="1" applyProtection="1">
      <alignment horizontal="left" vertical="center" indent="1"/>
      <protection hidden="1"/>
    </xf>
    <xf numFmtId="0" fontId="76" fillId="2" borderId="0" xfId="0" applyFont="1" applyFill="1" applyBorder="1" applyAlignment="1" applyProtection="1">
      <alignment horizontal="left" vertical="top" indent="1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164" fontId="45" fillId="10" borderId="103" xfId="0" applyNumberFormat="1" applyFont="1" applyFill="1" applyBorder="1" applyAlignment="1" applyProtection="1">
      <alignment horizontal="left" vertical="center"/>
      <protection hidden="1"/>
    </xf>
    <xf numFmtId="164" fontId="45" fillId="10" borderId="53" xfId="0" applyNumberFormat="1" applyFont="1" applyFill="1" applyBorder="1" applyAlignment="1" applyProtection="1">
      <alignment horizontal="left" vertical="center"/>
      <protection hidden="1"/>
    </xf>
    <xf numFmtId="164" fontId="45" fillId="10" borderId="104" xfId="0" applyNumberFormat="1" applyFont="1" applyFill="1" applyBorder="1" applyAlignment="1" applyProtection="1">
      <alignment horizontal="left" vertical="center"/>
      <protection hidden="1"/>
    </xf>
    <xf numFmtId="164" fontId="37" fillId="2" borderId="11" xfId="0" applyNumberFormat="1" applyFont="1" applyFill="1" applyBorder="1" applyAlignment="1" applyProtection="1">
      <alignment horizontal="left" vertical="center"/>
      <protection hidden="1"/>
    </xf>
    <xf numFmtId="0" fontId="3" fillId="2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NumberFormat="1" applyFont="1" applyAlignment="1" applyProtection="1">
      <alignment horizontal="center"/>
      <protection hidden="1"/>
    </xf>
    <xf numFmtId="0" fontId="3" fillId="0" borderId="20" xfId="0" applyNumberFormat="1" applyFont="1" applyBorder="1" applyAlignment="1" applyProtection="1">
      <alignment horizontal="center"/>
      <protection hidden="1"/>
    </xf>
    <xf numFmtId="164" fontId="2" fillId="2" borderId="64" xfId="0" applyNumberFormat="1" applyFont="1" applyFill="1" applyBorder="1" applyAlignment="1" applyProtection="1">
      <alignment horizontal="left" vertical="center"/>
      <protection hidden="1"/>
    </xf>
    <xf numFmtId="164" fontId="14" fillId="2" borderId="93" xfId="0" applyNumberFormat="1" applyFont="1" applyFill="1" applyBorder="1" applyAlignment="1" applyProtection="1">
      <alignment horizontal="left" vertical="center"/>
      <protection hidden="1"/>
    </xf>
    <xf numFmtId="164" fontId="14" fillId="2" borderId="94" xfId="0" applyNumberFormat="1" applyFont="1" applyFill="1" applyBorder="1" applyAlignment="1" applyProtection="1">
      <alignment horizontal="left" vertical="center"/>
      <protection hidden="1"/>
    </xf>
    <xf numFmtId="164" fontId="14" fillId="2" borderId="63" xfId="0" applyNumberFormat="1" applyFont="1" applyFill="1" applyBorder="1" applyAlignment="1" applyProtection="1">
      <alignment horizontal="left" vertical="center"/>
      <protection hidden="1"/>
    </xf>
    <xf numFmtId="0" fontId="2" fillId="2" borderId="93" xfId="0" applyFont="1" applyFill="1" applyBorder="1" applyAlignment="1" applyProtection="1">
      <alignment horizontal="left" vertical="center" indent="1"/>
      <protection hidden="1"/>
    </xf>
    <xf numFmtId="0" fontId="2" fillId="2" borderId="94" xfId="0" applyFont="1" applyFill="1" applyBorder="1" applyAlignment="1" applyProtection="1">
      <alignment horizontal="left" vertical="center" indent="1"/>
      <protection hidden="1"/>
    </xf>
    <xf numFmtId="0" fontId="2" fillId="2" borderId="101" xfId="0" applyFont="1" applyFill="1" applyBorder="1" applyAlignment="1" applyProtection="1">
      <alignment horizontal="left" vertical="center" indent="1"/>
      <protection hidden="1"/>
    </xf>
    <xf numFmtId="0" fontId="2" fillId="2" borderId="11" xfId="0" applyNumberFormat="1" applyFont="1" applyFill="1" applyBorder="1" applyAlignment="1" applyProtection="1">
      <alignment horizontal="center" vertical="center"/>
      <protection hidden="1"/>
    </xf>
    <xf numFmtId="0" fontId="2" fillId="2" borderId="64" xfId="0" applyFont="1" applyFill="1" applyBorder="1" applyAlignment="1" applyProtection="1">
      <alignment horizontal="center" vertical="center"/>
      <protection hidden="1"/>
    </xf>
    <xf numFmtId="0" fontId="2" fillId="2" borderId="69" xfId="0" applyFont="1" applyFill="1" applyBorder="1" applyAlignment="1" applyProtection="1">
      <alignment horizontal="left" vertical="center" indent="1"/>
      <protection hidden="1"/>
    </xf>
    <xf numFmtId="0" fontId="2" fillId="2" borderId="102" xfId="0" applyFont="1" applyFill="1" applyBorder="1" applyAlignment="1" applyProtection="1">
      <alignment horizontal="left" vertical="center" indent="1"/>
      <protection hidden="1"/>
    </xf>
    <xf numFmtId="0" fontId="2" fillId="2" borderId="43" xfId="0" applyFont="1" applyFill="1" applyBorder="1" applyAlignment="1" applyProtection="1">
      <alignment horizontal="left" vertical="center" indent="1"/>
      <protection hidden="1"/>
    </xf>
    <xf numFmtId="0" fontId="2" fillId="2" borderId="63" xfId="0" applyFont="1" applyFill="1" applyBorder="1" applyAlignment="1" applyProtection="1">
      <alignment horizontal="left" vertical="center" indent="1"/>
      <protection hidden="1"/>
    </xf>
    <xf numFmtId="0" fontId="9" fillId="2" borderId="0" xfId="0" applyFont="1" applyFill="1" applyBorder="1" applyAlignment="1" applyProtection="1">
      <alignment horizontal="right" vertical="top"/>
      <protection hidden="1"/>
    </xf>
    <xf numFmtId="0" fontId="2" fillId="2" borderId="92" xfId="0" applyFont="1" applyFill="1" applyBorder="1" applyAlignment="1" applyProtection="1">
      <alignment horizontal="left" vertical="center" indent="1"/>
      <protection hidden="1"/>
    </xf>
    <xf numFmtId="0" fontId="77" fillId="2" borderId="50" xfId="0" applyNumberFormat="1" applyFont="1" applyFill="1" applyBorder="1" applyAlignment="1" applyProtection="1">
      <alignment horizontal="center" vertical="center"/>
      <protection hidden="1"/>
    </xf>
    <xf numFmtId="0" fontId="77" fillId="2" borderId="20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NumberFormat="1" applyFont="1" applyFill="1" applyBorder="1" applyAlignment="1" applyProtection="1">
      <alignment horizontal="center" vertical="center"/>
      <protection hidden="1"/>
    </xf>
    <xf numFmtId="164" fontId="37" fillId="2" borderId="49" xfId="0" applyNumberFormat="1" applyFont="1" applyFill="1" applyBorder="1" applyAlignment="1" applyProtection="1">
      <alignment horizontal="left" vertical="center"/>
      <protection hidden="1"/>
    </xf>
    <xf numFmtId="164" fontId="37" fillId="2" borderId="64" xfId="0" applyNumberFormat="1" applyFont="1" applyFill="1" applyBorder="1" applyAlignment="1" applyProtection="1">
      <alignment horizontal="left" vertical="center"/>
      <protection hidden="1"/>
    </xf>
    <xf numFmtId="0" fontId="2" fillId="2" borderId="12" xfId="0" applyFont="1" applyFill="1" applyBorder="1" applyAlignment="1" applyProtection="1">
      <alignment horizontal="center"/>
      <protection hidden="1"/>
    </xf>
    <xf numFmtId="168" fontId="74" fillId="2" borderId="11" xfId="0" applyNumberFormat="1" applyFont="1" applyFill="1" applyBorder="1" applyAlignment="1" applyProtection="1">
      <alignment horizontal="left" vertical="center"/>
      <protection hidden="1"/>
    </xf>
    <xf numFmtId="164" fontId="14" fillId="2" borderId="34" xfId="0" applyNumberFormat="1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 applyProtection="1">
      <alignment horizontal="left"/>
      <protection hidden="1"/>
    </xf>
    <xf numFmtId="164" fontId="45" fillId="4" borderId="49" xfId="0" applyNumberFormat="1" applyFont="1" applyFill="1" applyBorder="1" applyAlignment="1" applyProtection="1">
      <alignment horizontal="left" vertical="center"/>
      <protection hidden="1"/>
    </xf>
    <xf numFmtId="164" fontId="45" fillId="4" borderId="64" xfId="0" applyNumberFormat="1" applyFont="1" applyFill="1" applyBorder="1" applyAlignment="1" applyProtection="1">
      <alignment horizontal="left" vertical="center"/>
      <protection hidden="1"/>
    </xf>
    <xf numFmtId="0" fontId="31" fillId="2" borderId="12" xfId="0" applyFont="1" applyFill="1" applyBorder="1" applyAlignment="1" applyProtection="1">
      <alignment horizontal="left" vertical="center"/>
      <protection hidden="1"/>
    </xf>
    <xf numFmtId="0" fontId="31" fillId="2" borderId="0" xfId="0" applyFont="1" applyFill="1" applyAlignment="1" applyProtection="1">
      <alignment horizontal="left" vertical="center"/>
      <protection hidden="1"/>
    </xf>
    <xf numFmtId="0" fontId="83" fillId="2" borderId="0" xfId="0" applyFont="1" applyFill="1" applyBorder="1" applyAlignment="1" applyProtection="1">
      <alignment horizontal="left" vertical="top"/>
      <protection hidden="1"/>
    </xf>
    <xf numFmtId="164" fontId="41" fillId="2" borderId="92" xfId="0" applyNumberFormat="1" applyFont="1" applyFill="1" applyBorder="1" applyAlignment="1" applyProtection="1">
      <alignment horizontal="left" vertical="center"/>
      <protection locked="0"/>
    </xf>
    <xf numFmtId="164" fontId="45" fillId="2" borderId="56" xfId="0" applyNumberFormat="1" applyFont="1" applyFill="1" applyBorder="1" applyAlignment="1" applyProtection="1">
      <alignment horizontal="left" vertical="center"/>
      <protection locked="0"/>
    </xf>
    <xf numFmtId="0" fontId="14" fillId="2" borderId="0" xfId="0" applyNumberFormat="1" applyFont="1" applyFill="1" applyBorder="1" applyAlignment="1" applyProtection="1">
      <alignment horizontal="left"/>
      <protection hidden="1"/>
    </xf>
    <xf numFmtId="164" fontId="14" fillId="2" borderId="101" xfId="0" applyNumberFormat="1" applyFont="1" applyFill="1" applyBorder="1" applyAlignment="1" applyProtection="1">
      <alignment horizontal="left" vertical="center"/>
      <protection hidden="1"/>
    </xf>
    <xf numFmtId="0" fontId="128" fillId="2" borderId="123" xfId="0" applyFont="1" applyFill="1" applyBorder="1" applyAlignment="1" applyProtection="1">
      <alignment horizontal="center" vertical="center"/>
      <protection hidden="1"/>
    </xf>
    <xf numFmtId="192" fontId="33" fillId="10" borderId="49" xfId="0" applyNumberFormat="1" applyFont="1" applyFill="1" applyBorder="1" applyAlignment="1" applyProtection="1">
      <alignment horizontal="right" vertical="center"/>
      <protection hidden="1"/>
    </xf>
    <xf numFmtId="192" fontId="33" fillId="10" borderId="66" xfId="0" applyNumberFormat="1" applyFont="1" applyFill="1" applyBorder="1" applyAlignment="1" applyProtection="1">
      <alignment horizontal="right" vertical="center"/>
      <protection hidden="1"/>
    </xf>
    <xf numFmtId="164" fontId="14" fillId="2" borderId="102" xfId="0" applyNumberFormat="1" applyFont="1" applyFill="1" applyBorder="1" applyAlignment="1" applyProtection="1">
      <alignment horizontal="left" vertical="center"/>
      <protection hidden="1"/>
    </xf>
    <xf numFmtId="0" fontId="2" fillId="2" borderId="64" xfId="0" applyFont="1" applyFill="1" applyBorder="1" applyAlignment="1" applyProtection="1">
      <alignment horizontal="right" vertical="center" indent="1"/>
      <protection hidden="1"/>
    </xf>
    <xf numFmtId="0" fontId="14" fillId="2" borderId="0" xfId="0" applyNumberFormat="1" applyFont="1" applyFill="1" applyBorder="1" applyAlignment="1" applyProtection="1">
      <alignment vertical="top" readingOrder="1"/>
      <protection hidden="1"/>
    </xf>
    <xf numFmtId="164" fontId="41" fillId="2" borderId="73" xfId="0" applyNumberFormat="1" applyFont="1" applyFill="1" applyBorder="1" applyAlignment="1" applyProtection="1">
      <alignment horizontal="left" vertical="center"/>
      <protection locked="0"/>
    </xf>
    <xf numFmtId="164" fontId="45" fillId="2" borderId="8" xfId="0" applyNumberFormat="1" applyFont="1" applyFill="1" applyBorder="1" applyAlignment="1" applyProtection="1">
      <alignment horizontal="left" vertical="center"/>
      <protection locked="0"/>
    </xf>
    <xf numFmtId="0" fontId="127" fillId="2" borderId="0" xfId="0" applyFont="1" applyFill="1" applyBorder="1" applyAlignment="1" applyProtection="1">
      <alignment horizontal="right" vertical="center" indent="1"/>
      <protection hidden="1"/>
    </xf>
    <xf numFmtId="164" fontId="45" fillId="2" borderId="93" xfId="0" applyNumberFormat="1" applyFont="1" applyFill="1" applyBorder="1" applyAlignment="1" applyProtection="1">
      <alignment horizontal="left" vertical="center"/>
      <protection locked="0"/>
    </xf>
    <xf numFmtId="164" fontId="45" fillId="2" borderId="94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center" vertical="center"/>
      <protection hidden="1"/>
    </xf>
    <xf numFmtId="0" fontId="8" fillId="2" borderId="56" xfId="0" applyNumberFormat="1" applyFont="1" applyFill="1" applyBorder="1" applyAlignment="1" applyProtection="1">
      <alignment horizontal="center" vertical="center"/>
      <protection hidden="1"/>
    </xf>
    <xf numFmtId="0" fontId="8" fillId="2" borderId="34" xfId="0" applyNumberFormat="1" applyFont="1" applyFill="1" applyBorder="1" applyAlignment="1" applyProtection="1">
      <alignment horizontal="center" vertical="center"/>
      <protection hidden="1"/>
    </xf>
    <xf numFmtId="0" fontId="140" fillId="9" borderId="110" xfId="0" applyFont="1" applyFill="1" applyBorder="1" applyAlignment="1" applyProtection="1">
      <alignment horizontal="left" vertical="center" indent="1"/>
      <protection hidden="1"/>
    </xf>
    <xf numFmtId="0" fontId="140" fillId="9" borderId="116" xfId="0" applyFont="1" applyFill="1" applyBorder="1" applyAlignment="1" applyProtection="1">
      <alignment horizontal="left" vertical="center" indent="1"/>
      <protection hidden="1"/>
    </xf>
    <xf numFmtId="0" fontId="140" fillId="9" borderId="121" xfId="0" applyFont="1" applyFill="1" applyBorder="1" applyAlignment="1" applyProtection="1">
      <alignment horizontal="left" vertical="center" indent="1"/>
      <protection hidden="1"/>
    </xf>
    <xf numFmtId="0" fontId="140" fillId="9" borderId="122" xfId="0" applyFont="1" applyFill="1" applyBorder="1" applyAlignment="1" applyProtection="1">
      <alignment horizontal="left" vertical="center" indent="1"/>
      <protection hidden="1"/>
    </xf>
    <xf numFmtId="0" fontId="36" fillId="2" borderId="49" xfId="0" applyFont="1" applyFill="1" applyBorder="1" applyAlignment="1" applyProtection="1">
      <alignment horizontal="center" vertical="center"/>
      <protection hidden="1"/>
    </xf>
    <xf numFmtId="0" fontId="36" fillId="2" borderId="64" xfId="0" applyFont="1" applyFill="1" applyBorder="1" applyAlignment="1" applyProtection="1">
      <alignment horizontal="center" vertical="center"/>
      <protection hidden="1"/>
    </xf>
    <xf numFmtId="49" fontId="33" fillId="2" borderId="33" xfId="0" applyNumberFormat="1" applyFont="1" applyFill="1" applyBorder="1" applyAlignment="1" applyProtection="1">
      <alignment horizontal="right" vertical="center" indent="1"/>
      <protection hidden="1"/>
    </xf>
    <xf numFmtId="49" fontId="33" fillId="2" borderId="56" xfId="0" applyNumberFormat="1" applyFont="1" applyFill="1" applyBorder="1" applyAlignment="1" applyProtection="1">
      <alignment horizontal="right" vertical="center" indent="1"/>
      <protection hidden="1"/>
    </xf>
    <xf numFmtId="49" fontId="33" fillId="2" borderId="34" xfId="0" applyNumberFormat="1" applyFont="1" applyFill="1" applyBorder="1" applyAlignment="1" applyProtection="1">
      <alignment horizontal="right" vertical="center" indent="1"/>
      <protection hidden="1"/>
    </xf>
    <xf numFmtId="164" fontId="8" fillId="2" borderId="70" xfId="0" applyNumberFormat="1" applyFont="1" applyFill="1" applyBorder="1" applyAlignment="1" applyProtection="1">
      <alignment horizontal="center" vertical="center"/>
      <protection hidden="1"/>
    </xf>
    <xf numFmtId="0" fontId="8" fillId="2" borderId="8" xfId="0" applyNumberFormat="1" applyFont="1" applyFill="1" applyBorder="1" applyAlignment="1" applyProtection="1">
      <alignment horizontal="center" vertical="center"/>
      <protection hidden="1"/>
    </xf>
    <xf numFmtId="0" fontId="8" fillId="2" borderId="95" xfId="0" applyNumberFormat="1" applyFont="1" applyFill="1" applyBorder="1" applyAlignment="1" applyProtection="1">
      <alignment horizontal="center" vertical="center"/>
      <protection hidden="1"/>
    </xf>
    <xf numFmtId="164" fontId="8" fillId="2" borderId="33" xfId="0" applyNumberFormat="1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74" fillId="2" borderId="11" xfId="0" applyFont="1" applyFill="1" applyBorder="1" applyAlignment="1" applyProtection="1">
      <alignment horizontal="left" vertical="center" indent="1"/>
      <protection hidden="1"/>
    </xf>
    <xf numFmtId="0" fontId="1" fillId="10" borderId="108" xfId="0" applyFont="1" applyFill="1" applyBorder="1" applyAlignment="1" applyProtection="1">
      <alignment horizontal="center" vertical="center"/>
      <protection locked="0"/>
    </xf>
    <xf numFmtId="0" fontId="1" fillId="10" borderId="109" xfId="0" applyFont="1" applyFill="1" applyBorder="1" applyAlignment="1" applyProtection="1">
      <alignment horizontal="center" vertical="center"/>
      <protection locked="0"/>
    </xf>
    <xf numFmtId="0" fontId="41" fillId="2" borderId="11" xfId="0" applyNumberFormat="1" applyFont="1" applyFill="1" applyBorder="1" applyAlignment="1" applyProtection="1">
      <alignment horizontal="center" vertical="center"/>
      <protection hidden="1"/>
    </xf>
    <xf numFmtId="0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20" xfId="0" applyNumberFormat="1" applyFont="1" applyFill="1" applyBorder="1" applyAlignment="1" applyProtection="1">
      <alignment horizontal="center" vertical="center"/>
      <protection hidden="1"/>
    </xf>
    <xf numFmtId="49" fontId="33" fillId="2" borderId="100" xfId="0" applyNumberFormat="1" applyFont="1" applyFill="1" applyBorder="1" applyAlignment="1" applyProtection="1">
      <alignment horizontal="right" vertical="center" indent="1"/>
      <protection hidden="1"/>
    </xf>
    <xf numFmtId="49" fontId="33" fillId="2" borderId="45" xfId="0" applyNumberFormat="1" applyFont="1" applyFill="1" applyBorder="1" applyAlignment="1" applyProtection="1">
      <alignment horizontal="right" vertical="center" indent="1"/>
      <protection hidden="1"/>
    </xf>
    <xf numFmtId="49" fontId="33" fillId="2" borderId="102" xfId="0" applyNumberFormat="1" applyFont="1" applyFill="1" applyBorder="1" applyAlignment="1" applyProtection="1">
      <alignment horizontal="right" vertical="center" indent="1"/>
      <protection hidden="1"/>
    </xf>
    <xf numFmtId="0" fontId="108" fillId="2" borderId="0" xfId="0" applyFont="1" applyFill="1" applyAlignment="1" applyProtection="1">
      <alignment horizontal="center" vertical="center"/>
      <protection hidden="1"/>
    </xf>
    <xf numFmtId="0" fontId="140" fillId="9" borderId="112" xfId="0" applyFont="1" applyFill="1" applyBorder="1" applyAlignment="1" applyProtection="1">
      <alignment horizontal="left" vertical="center" indent="1"/>
      <protection hidden="1"/>
    </xf>
    <xf numFmtId="0" fontId="140" fillId="9" borderId="117" xfId="0" applyFont="1" applyFill="1" applyBorder="1" applyAlignment="1" applyProtection="1">
      <alignment horizontal="left" vertical="center" indent="1"/>
      <protection hidden="1"/>
    </xf>
    <xf numFmtId="0" fontId="1" fillId="2" borderId="85" xfId="0" applyFont="1" applyFill="1" applyBorder="1" applyAlignment="1" applyProtection="1">
      <alignment horizontal="center" vertical="center" textRotation="90"/>
      <protection hidden="1"/>
    </xf>
    <xf numFmtId="164" fontId="8" fillId="2" borderId="96" xfId="0" applyNumberFormat="1" applyFont="1" applyFill="1" applyBorder="1" applyAlignment="1" applyProtection="1">
      <alignment horizontal="center" vertical="center"/>
      <protection hidden="1"/>
    </xf>
    <xf numFmtId="0" fontId="8" fillId="2" borderId="53" xfId="0" applyNumberFormat="1" applyFont="1" applyFill="1" applyBorder="1" applyAlignment="1" applyProtection="1">
      <alignment horizontal="center" vertical="center"/>
      <protection hidden="1"/>
    </xf>
    <xf numFmtId="0" fontId="8" fillId="2" borderId="97" xfId="0" applyNumberFormat="1" applyFont="1" applyFill="1" applyBorder="1" applyAlignment="1" applyProtection="1">
      <alignment horizontal="center" vertical="center"/>
      <protection hidden="1"/>
    </xf>
    <xf numFmtId="164" fontId="14" fillId="10" borderId="52" xfId="0" applyNumberFormat="1" applyFont="1" applyFill="1" applyBorder="1" applyAlignment="1" applyProtection="1">
      <alignment horizontal="left" vertical="center"/>
      <protection hidden="1"/>
    </xf>
    <xf numFmtId="164" fontId="14" fillId="10" borderId="11" xfId="0" applyNumberFormat="1" applyFont="1" applyFill="1" applyBorder="1" applyAlignment="1" applyProtection="1">
      <alignment horizontal="left" vertical="center"/>
      <protection hidden="1"/>
    </xf>
    <xf numFmtId="164" fontId="14" fillId="10" borderId="57" xfId="0" applyNumberFormat="1" applyFont="1" applyFill="1" applyBorder="1" applyAlignment="1" applyProtection="1">
      <alignment horizontal="left" vertical="center"/>
      <protection hidden="1"/>
    </xf>
    <xf numFmtId="164" fontId="14" fillId="10" borderId="69" xfId="0" applyNumberFormat="1" applyFont="1" applyFill="1" applyBorder="1" applyAlignment="1" applyProtection="1">
      <alignment horizontal="left" vertical="center"/>
      <protection hidden="1"/>
    </xf>
    <xf numFmtId="164" fontId="14" fillId="10" borderId="45" xfId="0" applyNumberFormat="1" applyFont="1" applyFill="1" applyBorder="1" applyAlignment="1" applyProtection="1">
      <alignment horizontal="left" vertical="center"/>
      <protection hidden="1"/>
    </xf>
    <xf numFmtId="164" fontId="14" fillId="10" borderId="61" xfId="0" applyNumberFormat="1" applyFont="1" applyFill="1" applyBorder="1" applyAlignment="1" applyProtection="1">
      <alignment horizontal="left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2" fontId="30" fillId="2" borderId="0" xfId="0" applyNumberFormat="1" applyFont="1" applyFill="1" applyAlignment="1" applyProtection="1">
      <alignment horizontal="left" vertical="center" indent="2"/>
      <protection hidden="1"/>
    </xf>
    <xf numFmtId="0" fontId="128" fillId="2" borderId="0" xfId="0" applyFont="1" applyFill="1" applyAlignment="1" applyProtection="1">
      <alignment horizontal="right"/>
      <protection hidden="1"/>
    </xf>
    <xf numFmtId="170" fontId="4" fillId="2" borderId="0" xfId="0" applyNumberFormat="1" applyFont="1" applyFill="1" applyAlignment="1" applyProtection="1">
      <alignment horizontal="right" vertical="top"/>
      <protection hidden="1"/>
    </xf>
    <xf numFmtId="0" fontId="14" fillId="2" borderId="64" xfId="0" applyNumberFormat="1" applyFont="1" applyFill="1" applyBorder="1" applyAlignment="1" applyProtection="1">
      <alignment horizontal="center" vertical="center"/>
      <protection hidden="1"/>
    </xf>
    <xf numFmtId="0" fontId="140" fillId="2" borderId="108" xfId="0" applyNumberFormat="1" applyFont="1" applyFill="1" applyBorder="1" applyAlignment="1" applyProtection="1">
      <alignment horizontal="left" vertical="center" indent="1"/>
      <protection hidden="1"/>
    </xf>
    <xf numFmtId="0" fontId="140" fillId="2" borderId="109" xfId="0" applyNumberFormat="1" applyFont="1" applyFill="1" applyBorder="1" applyAlignment="1" applyProtection="1">
      <alignment horizontal="left" vertical="center" indent="1"/>
      <protection hidden="1"/>
    </xf>
    <xf numFmtId="164" fontId="14" fillId="10" borderId="49" xfId="0" applyNumberFormat="1" applyFont="1" applyFill="1" applyBorder="1" applyAlignment="1" applyProtection="1">
      <alignment horizontal="left" vertical="center"/>
      <protection hidden="1"/>
    </xf>
    <xf numFmtId="164" fontId="14" fillId="10" borderId="64" xfId="0" applyNumberFormat="1" applyFont="1" applyFill="1" applyBorder="1" applyAlignment="1" applyProtection="1">
      <alignment horizontal="left" vertical="center"/>
      <protection hidden="1"/>
    </xf>
    <xf numFmtId="164" fontId="14" fillId="10" borderId="66" xfId="0" applyNumberFormat="1" applyFont="1" applyFill="1" applyBorder="1" applyAlignment="1" applyProtection="1">
      <alignment horizontal="left" vertical="center"/>
      <protection hidden="1"/>
    </xf>
    <xf numFmtId="49" fontId="12" fillId="2" borderId="0" xfId="0" applyNumberFormat="1" applyFont="1" applyFill="1" applyBorder="1" applyAlignment="1" applyProtection="1">
      <alignment horizontal="center" vertical="center"/>
      <protection hidden="1"/>
    </xf>
    <xf numFmtId="49" fontId="10" fillId="2" borderId="0" xfId="0" applyNumberFormat="1" applyFont="1" applyFill="1" applyBorder="1" applyAlignment="1" applyProtection="1">
      <alignment horizontal="center" vertical="center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168" fontId="77" fillId="2" borderId="33" xfId="0" applyNumberFormat="1" applyFont="1" applyFill="1" applyBorder="1" applyAlignment="1" applyProtection="1">
      <alignment horizontal="center" vertical="center"/>
      <protection hidden="1"/>
    </xf>
    <xf numFmtId="168" fontId="77" fillId="2" borderId="34" xfId="0" applyNumberFormat="1" applyFont="1" applyFill="1" applyBorder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horizontal="right" vertical="center"/>
      <protection hidden="1"/>
    </xf>
    <xf numFmtId="0" fontId="39" fillId="2" borderId="0" xfId="0" applyFont="1" applyFill="1" applyAlignment="1" applyProtection="1">
      <alignment horizontal="left" vertical="top"/>
      <protection hidden="1"/>
    </xf>
    <xf numFmtId="168" fontId="77" fillId="10" borderId="33" xfId="0" applyNumberFormat="1" applyFont="1" applyFill="1" applyBorder="1" applyAlignment="1" applyProtection="1">
      <alignment horizontal="center" vertical="center"/>
      <protection hidden="1"/>
    </xf>
    <xf numFmtId="168" fontId="77" fillId="10" borderId="34" xfId="0" applyNumberFormat="1" applyFont="1" applyFill="1" applyBorder="1" applyAlignment="1" applyProtection="1">
      <alignment horizontal="center" vertical="center"/>
      <protection hidden="1"/>
    </xf>
    <xf numFmtId="168" fontId="8" fillId="2" borderId="8" xfId="0" applyNumberFormat="1" applyFont="1" applyFill="1" applyBorder="1" applyAlignment="1" applyProtection="1">
      <alignment horizontal="center" vertical="center"/>
      <protection hidden="1"/>
    </xf>
    <xf numFmtId="164" fontId="45" fillId="2" borderId="0" xfId="0" applyNumberFormat="1" applyFont="1" applyFill="1" applyBorder="1" applyAlignment="1" applyProtection="1">
      <alignment horizontal="left" vertical="center"/>
      <protection hidden="1"/>
    </xf>
    <xf numFmtId="164" fontId="45" fillId="2" borderId="20" xfId="0" applyNumberFormat="1" applyFont="1" applyFill="1" applyBorder="1" applyAlignment="1" applyProtection="1">
      <alignment horizontal="left" vertical="center"/>
      <protection hidden="1"/>
    </xf>
    <xf numFmtId="164" fontId="2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 applyProtection="1">
      <alignment horizontal="center" vertical="top"/>
      <protection hidden="1"/>
    </xf>
    <xf numFmtId="164" fontId="14" fillId="10" borderId="51" xfId="0" applyNumberFormat="1" applyFont="1" applyFill="1" applyBorder="1" applyAlignment="1" applyProtection="1">
      <alignment horizontal="left"/>
      <protection hidden="1"/>
    </xf>
    <xf numFmtId="164" fontId="14" fillId="10" borderId="12" xfId="0" applyNumberFormat="1" applyFont="1" applyFill="1" applyBorder="1" applyAlignment="1" applyProtection="1">
      <alignment horizontal="left"/>
      <protection hidden="1"/>
    </xf>
    <xf numFmtId="164" fontId="14" fillId="10" borderId="35" xfId="0" applyNumberFormat="1" applyFont="1" applyFill="1" applyBorder="1" applyAlignment="1" applyProtection="1">
      <alignment horizontal="left"/>
      <protection hidden="1"/>
    </xf>
    <xf numFmtId="164" fontId="14" fillId="10" borderId="52" xfId="0" applyNumberFormat="1" applyFont="1" applyFill="1" applyBorder="1" applyAlignment="1" applyProtection="1">
      <alignment horizontal="left" vertical="top"/>
      <protection hidden="1"/>
    </xf>
    <xf numFmtId="164" fontId="14" fillId="10" borderId="11" xfId="0" applyNumberFormat="1" applyFont="1" applyFill="1" applyBorder="1" applyAlignment="1" applyProtection="1">
      <alignment horizontal="left" vertical="top"/>
      <protection hidden="1"/>
    </xf>
    <xf numFmtId="164" fontId="14" fillId="10" borderId="57" xfId="0" applyNumberFormat="1" applyFont="1" applyFill="1" applyBorder="1" applyAlignment="1" applyProtection="1">
      <alignment horizontal="left" vertical="top"/>
      <protection hidden="1"/>
    </xf>
    <xf numFmtId="0" fontId="2" fillId="2" borderId="53" xfId="0" applyFont="1" applyFill="1" applyBorder="1" applyAlignment="1" applyProtection="1">
      <alignment horizontal="center" vertical="top"/>
      <protection hidden="1"/>
    </xf>
    <xf numFmtId="164" fontId="84" fillId="2" borderId="11" xfId="0" applyNumberFormat="1" applyFont="1" applyFill="1" applyBorder="1" applyAlignment="1" applyProtection="1">
      <alignment horizontal="left" vertical="center"/>
      <protection hidden="1"/>
    </xf>
    <xf numFmtId="168" fontId="77" fillId="2" borderId="33" xfId="0" applyNumberFormat="1" applyFont="1" applyFill="1" applyBorder="1" applyAlignment="1" applyProtection="1">
      <alignment horizontal="right" vertical="center" indent="1"/>
      <protection hidden="1"/>
    </xf>
    <xf numFmtId="168" fontId="77" fillId="2" borderId="34" xfId="0" applyNumberFormat="1" applyFont="1" applyFill="1" applyBorder="1" applyAlignment="1" applyProtection="1">
      <alignment horizontal="right" vertical="center" indent="1"/>
      <protection hidden="1"/>
    </xf>
    <xf numFmtId="168" fontId="8" fillId="2" borderId="27" xfId="0" applyNumberFormat="1" applyFont="1" applyFill="1" applyBorder="1" applyAlignment="1" applyProtection="1">
      <alignment horizontal="left" vertical="center" indent="1"/>
      <protection hidden="1"/>
    </xf>
    <xf numFmtId="168" fontId="8" fillId="2" borderId="0" xfId="0" applyNumberFormat="1" applyFont="1" applyFill="1" applyBorder="1" applyAlignment="1" applyProtection="1">
      <alignment horizontal="left" vertical="center" indent="1"/>
      <protection hidden="1"/>
    </xf>
    <xf numFmtId="0" fontId="12" fillId="2" borderId="0" xfId="0" applyFont="1" applyFill="1" applyBorder="1" applyAlignment="1" applyProtection="1">
      <alignment horizontal="center"/>
      <protection hidden="1"/>
    </xf>
    <xf numFmtId="168" fontId="2" fillId="2" borderId="27" xfId="0" applyNumberFormat="1" applyFont="1" applyFill="1" applyBorder="1" applyAlignment="1" applyProtection="1">
      <alignment horizontal="left" vertical="center" indent="1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85" xfId="0" applyFont="1" applyFill="1" applyBorder="1" applyAlignment="1" applyProtection="1">
      <alignment horizontal="center" vertical="center"/>
      <protection hidden="1"/>
    </xf>
    <xf numFmtId="0" fontId="140" fillId="2" borderId="0" xfId="0" applyFont="1" applyFill="1" applyAlignment="1" applyProtection="1">
      <alignment horizontal="right" vertical="top" indent="1"/>
      <protection hidden="1"/>
    </xf>
    <xf numFmtId="0" fontId="14" fillId="2" borderId="0" xfId="0" applyFont="1" applyFill="1" applyAlignment="1" applyProtection="1">
      <alignment horizontal="left"/>
      <protection hidden="1"/>
    </xf>
    <xf numFmtId="0" fontId="81" fillId="2" borderId="0" xfId="0" applyFont="1" applyFill="1" applyAlignment="1" applyProtection="1">
      <alignment horizontal="left" vertical="top"/>
      <protection hidden="1"/>
    </xf>
    <xf numFmtId="0" fontId="43" fillId="2" borderId="11" xfId="0" applyFont="1" applyFill="1" applyBorder="1" applyAlignment="1" applyProtection="1">
      <alignment horizontal="left" vertical="top" indent="1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32" fillId="2" borderId="0" xfId="0" applyFont="1" applyFill="1" applyAlignment="1" applyProtection="1">
      <alignment horizontal="center" vertical="center"/>
      <protection hidden="1"/>
    </xf>
    <xf numFmtId="0" fontId="132" fillId="2" borderId="0" xfId="0" applyFont="1" applyFill="1" applyAlignment="1" applyProtection="1">
      <alignment horizontal="left"/>
      <protection hidden="1"/>
    </xf>
    <xf numFmtId="0" fontId="132" fillId="2" borderId="0" xfId="0" applyFont="1" applyFill="1" applyAlignment="1" applyProtection="1">
      <alignment horizontal="left" vertical="top"/>
      <protection hidden="1"/>
    </xf>
    <xf numFmtId="0" fontId="30" fillId="2" borderId="0" xfId="0" applyFont="1" applyFill="1" applyAlignment="1" applyProtection="1">
      <alignment horizontal="right" indent="1"/>
      <protection hidden="1"/>
    </xf>
    <xf numFmtId="164" fontId="41" fillId="2" borderId="70" xfId="0" applyNumberFormat="1" applyFont="1" applyFill="1" applyBorder="1" applyAlignment="1" applyProtection="1">
      <alignment horizontal="left" vertical="center"/>
      <protection hidden="1"/>
    </xf>
    <xf numFmtId="164" fontId="41" fillId="2" borderId="74" xfId="0" applyNumberFormat="1" applyFont="1" applyFill="1" applyBorder="1" applyAlignment="1" applyProtection="1">
      <alignment horizontal="left" vertical="center"/>
      <protection hidden="1"/>
    </xf>
    <xf numFmtId="164" fontId="20" fillId="2" borderId="43" xfId="0" applyNumberFormat="1" applyFont="1" applyFill="1" applyBorder="1" applyAlignment="1" applyProtection="1">
      <alignment horizontal="left" vertical="center" indent="1"/>
      <protection hidden="1"/>
    </xf>
    <xf numFmtId="164" fontId="20" fillId="2" borderId="63" xfId="0" applyNumberFormat="1" applyFont="1" applyFill="1" applyBorder="1" applyAlignment="1" applyProtection="1">
      <alignment horizontal="left" vertical="center" indent="1"/>
      <protection hidden="1"/>
    </xf>
    <xf numFmtId="164" fontId="74" fillId="3" borderId="39" xfId="0" applyNumberFormat="1" applyFont="1" applyFill="1" applyBorder="1" applyAlignment="1" applyProtection="1">
      <alignment horizontal="left" vertical="center"/>
      <protection hidden="1"/>
    </xf>
    <xf numFmtId="164" fontId="74" fillId="3" borderId="66" xfId="0" applyNumberFormat="1" applyFont="1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horizontal="center"/>
      <protection hidden="1"/>
    </xf>
    <xf numFmtId="0" fontId="0" fillId="2" borderId="35" xfId="0" applyFill="1" applyBorder="1" applyAlignment="1" applyProtection="1">
      <alignment horizontal="center"/>
      <protection hidden="1"/>
    </xf>
    <xf numFmtId="0" fontId="72" fillId="8" borderId="86" xfId="0" applyNumberFormat="1" applyFont="1" applyFill="1" applyBorder="1" applyAlignment="1" applyProtection="1">
      <alignment horizontal="left" vertical="center" indent="1"/>
      <protection locked="0"/>
    </xf>
    <xf numFmtId="0" fontId="72" fillId="8" borderId="88" xfId="0" applyNumberFormat="1" applyFont="1" applyFill="1" applyBorder="1" applyAlignment="1" applyProtection="1">
      <alignment horizontal="left" vertical="center" indent="1"/>
      <protection locked="0"/>
    </xf>
    <xf numFmtId="0" fontId="8" fillId="2" borderId="50" xfId="0" applyFont="1" applyFill="1" applyBorder="1" applyAlignment="1" applyProtection="1">
      <alignment horizontal="left" vertical="center" indent="1"/>
      <protection hidden="1"/>
    </xf>
    <xf numFmtId="0" fontId="8" fillId="2" borderId="0" xfId="0" applyFont="1" applyFill="1" applyAlignment="1" applyProtection="1">
      <alignment horizontal="left" vertical="center" indent="1"/>
      <protection hidden="1"/>
    </xf>
    <xf numFmtId="0" fontId="60" fillId="2" borderId="0" xfId="0" applyNumberFormat="1" applyFont="1" applyFill="1" applyAlignment="1" applyProtection="1">
      <alignment horizontal="right" indent="1"/>
      <protection hidden="1"/>
    </xf>
    <xf numFmtId="0" fontId="8" fillId="2" borderId="0" xfId="0" applyFont="1" applyFill="1" applyBorder="1" applyAlignment="1" applyProtection="1">
      <alignment horizontal="left"/>
      <protection hidden="1"/>
    </xf>
    <xf numFmtId="0" fontId="8" fillId="2" borderId="0" xfId="0" applyFont="1" applyFill="1" applyBorder="1" applyAlignment="1" applyProtection="1">
      <alignment horizontal="right"/>
      <protection hidden="1"/>
    </xf>
    <xf numFmtId="0" fontId="65" fillId="2" borderId="11" xfId="0" applyNumberFormat="1" applyFont="1" applyFill="1" applyBorder="1" applyAlignment="1" applyProtection="1">
      <alignment horizontal="right" vertical="center" indent="1"/>
      <protection hidden="1"/>
    </xf>
    <xf numFmtId="164" fontId="65" fillId="2" borderId="11" xfId="0" applyNumberFormat="1" applyFont="1" applyFill="1" applyBorder="1" applyAlignment="1" applyProtection="1">
      <alignment horizontal="right" vertical="center"/>
      <protection hidden="1"/>
    </xf>
    <xf numFmtId="182" fontId="65" fillId="2" borderId="11" xfId="0" applyNumberFormat="1" applyFont="1" applyFill="1" applyBorder="1" applyAlignment="1" applyProtection="1">
      <alignment horizontal="left" vertical="center"/>
      <protection hidden="1"/>
    </xf>
    <xf numFmtId="0" fontId="15" fillId="2" borderId="0" xfId="0" applyFont="1" applyFill="1" applyBorder="1" applyAlignment="1" applyProtection="1">
      <alignment horizontal="left" vertical="center"/>
      <protection hidden="1"/>
    </xf>
    <xf numFmtId="0" fontId="60" fillId="2" borderId="0" xfId="0" applyNumberFormat="1" applyFont="1" applyFill="1" applyAlignment="1" applyProtection="1">
      <alignment horizontal="right" vertical="top" indent="1"/>
      <protection hidden="1"/>
    </xf>
    <xf numFmtId="164" fontId="30" fillId="2" borderId="92" xfId="0" applyNumberFormat="1" applyFont="1" applyFill="1" applyBorder="1" applyAlignment="1" applyProtection="1">
      <alignment horizontal="left" vertical="center"/>
      <protection locked="0"/>
    </xf>
    <xf numFmtId="164" fontId="30" fillId="2" borderId="56" xfId="0" applyNumberFormat="1" applyFont="1" applyFill="1" applyBorder="1" applyAlignment="1" applyProtection="1">
      <alignment horizontal="left" vertical="center"/>
      <protection locked="0"/>
    </xf>
    <xf numFmtId="164" fontId="30" fillId="2" borderId="34" xfId="0" applyNumberFormat="1" applyFont="1" applyFill="1" applyBorder="1" applyAlignment="1" applyProtection="1">
      <alignment horizontal="left" vertical="center"/>
      <protection locked="0"/>
    </xf>
    <xf numFmtId="0" fontId="106" fillId="2" borderId="0" xfId="0" applyFont="1" applyFill="1" applyBorder="1" applyAlignment="1" applyProtection="1">
      <alignment horizontal="center" vertical="center"/>
      <protection hidden="1"/>
    </xf>
    <xf numFmtId="164" fontId="30" fillId="2" borderId="93" xfId="0" applyNumberFormat="1" applyFont="1" applyFill="1" applyBorder="1" applyAlignment="1" applyProtection="1">
      <alignment horizontal="left" vertical="center"/>
      <protection locked="0"/>
    </xf>
    <xf numFmtId="164" fontId="30" fillId="2" borderId="94" xfId="0" applyNumberFormat="1" applyFont="1" applyFill="1" applyBorder="1" applyAlignment="1" applyProtection="1">
      <alignment horizontal="left" vertical="center"/>
      <protection locked="0"/>
    </xf>
    <xf numFmtId="164" fontId="30" fillId="2" borderId="101" xfId="0" applyNumberFormat="1" applyFont="1" applyFill="1" applyBorder="1" applyAlignment="1" applyProtection="1">
      <alignment horizontal="left" vertical="center"/>
      <protection locked="0"/>
    </xf>
    <xf numFmtId="0" fontId="79" fillId="2" borderId="0" xfId="0" applyFont="1" applyFill="1" applyAlignment="1" applyProtection="1">
      <alignment horizontal="left" vertical="center" indent="2"/>
      <protection hidden="1"/>
    </xf>
    <xf numFmtId="0" fontId="76" fillId="2" borderId="11" xfId="0" applyFont="1" applyFill="1" applyBorder="1" applyAlignment="1" applyProtection="1">
      <alignment horizontal="distributed" vertical="center" indent="2"/>
      <protection hidden="1"/>
    </xf>
    <xf numFmtId="0" fontId="95" fillId="2" borderId="0" xfId="0" applyFont="1" applyFill="1" applyAlignment="1" applyProtection="1">
      <alignment horizontal="right" vertical="center"/>
      <protection hidden="1"/>
    </xf>
    <xf numFmtId="0" fontId="94" fillId="2" borderId="0" xfId="0" applyFont="1" applyFill="1" applyBorder="1" applyAlignment="1" applyProtection="1">
      <alignment horizontal="right" vertical="center" indent="1"/>
      <protection hidden="1"/>
    </xf>
    <xf numFmtId="164" fontId="79" fillId="2" borderId="0" xfId="0" applyNumberFormat="1" applyFont="1" applyFill="1" applyAlignment="1" applyProtection="1">
      <alignment horizontal="left" vertical="center"/>
      <protection locked="0"/>
    </xf>
    <xf numFmtId="0" fontId="76" fillId="2" borderId="12" xfId="0" applyFont="1" applyFill="1" applyBorder="1" applyAlignment="1" applyProtection="1">
      <alignment horizontal="right" vertical="center"/>
      <protection hidden="1"/>
    </xf>
    <xf numFmtId="0" fontId="100" fillId="2" borderId="0" xfId="0" applyFont="1" applyFill="1" applyBorder="1" applyAlignment="1" applyProtection="1">
      <alignment horizontal="left" indent="2"/>
      <protection hidden="1"/>
    </xf>
    <xf numFmtId="164" fontId="15" fillId="2" borderId="49" xfId="0" applyNumberFormat="1" applyFont="1" applyFill="1" applyBorder="1" applyAlignment="1" applyProtection="1">
      <alignment horizontal="left" vertical="center"/>
      <protection hidden="1"/>
    </xf>
    <xf numFmtId="164" fontId="15" fillId="2" borderId="64" xfId="0" applyNumberFormat="1" applyFont="1" applyFill="1" applyBorder="1" applyAlignment="1" applyProtection="1">
      <alignment horizontal="left" vertical="center"/>
      <protection hidden="1"/>
    </xf>
    <xf numFmtId="164" fontId="15" fillId="2" borderId="99" xfId="0" applyNumberFormat="1" applyFont="1" applyFill="1" applyBorder="1" applyAlignment="1" applyProtection="1">
      <alignment horizontal="left" vertical="center"/>
      <protection hidden="1"/>
    </xf>
    <xf numFmtId="0" fontId="94" fillId="2" borderId="0" xfId="0" applyFont="1" applyFill="1" applyAlignment="1" applyProtection="1">
      <alignment horizontal="right" vertical="center" indent="1"/>
      <protection hidden="1"/>
    </xf>
    <xf numFmtId="0" fontId="95" fillId="2" borderId="0" xfId="0" applyFont="1" applyFill="1" applyBorder="1" applyAlignment="1" applyProtection="1">
      <alignment horizontal="left" vertical="center"/>
      <protection hidden="1"/>
    </xf>
    <xf numFmtId="0" fontId="76" fillId="2" borderId="0" xfId="0" applyFont="1" applyFill="1" applyBorder="1" applyAlignment="1" applyProtection="1">
      <alignment horizontal="left" vertical="top" indent="2"/>
      <protection hidden="1"/>
    </xf>
    <xf numFmtId="0" fontId="60" fillId="2" borderId="0" xfId="0" applyNumberFormat="1" applyFont="1" applyFill="1" applyAlignment="1" applyProtection="1">
      <alignment horizontal="right" vertical="center" indent="1"/>
      <protection hidden="1"/>
    </xf>
    <xf numFmtId="0" fontId="87" fillId="2" borderId="11" xfId="0" applyFont="1" applyFill="1" applyBorder="1" applyAlignment="1" applyProtection="1">
      <alignment horizontal="right" vertical="center" indent="2"/>
      <protection hidden="1"/>
    </xf>
    <xf numFmtId="0" fontId="72" fillId="0" borderId="11" xfId="0" applyFont="1" applyBorder="1" applyAlignment="1" applyProtection="1">
      <alignment horizontal="right" vertical="center" indent="1"/>
      <protection locked="0"/>
    </xf>
    <xf numFmtId="0" fontId="99" fillId="0" borderId="11" xfId="0" applyFont="1" applyBorder="1" applyAlignment="1" applyProtection="1">
      <alignment horizontal="right" vertical="center" indent="1"/>
      <protection locked="0"/>
    </xf>
    <xf numFmtId="0" fontId="8" fillId="2" borderId="105" xfId="0" applyFont="1" applyFill="1" applyBorder="1" applyAlignment="1" applyProtection="1">
      <alignment horizontal="left"/>
      <protection hidden="1"/>
    </xf>
    <xf numFmtId="0" fontId="8" fillId="2" borderId="105" xfId="0" applyFont="1" applyFill="1" applyBorder="1" applyAlignment="1" applyProtection="1">
      <alignment horizontal="right"/>
      <protection hidden="1"/>
    </xf>
    <xf numFmtId="189" fontId="65" fillId="2" borderId="11" xfId="0" applyNumberFormat="1" applyFont="1" applyFill="1" applyBorder="1" applyAlignment="1" applyProtection="1">
      <alignment horizontal="left" vertical="center"/>
      <protection hidden="1"/>
    </xf>
    <xf numFmtId="0" fontId="46" fillId="2" borderId="11" xfId="0" applyNumberFormat="1" applyFont="1" applyFill="1" applyBorder="1" applyAlignment="1" applyProtection="1">
      <alignment horizontal="right" vertical="center" indent="1"/>
      <protection hidden="1"/>
    </xf>
    <xf numFmtId="0" fontId="76" fillId="0" borderId="11" xfId="0" applyFont="1" applyBorder="1" applyAlignment="1" applyProtection="1">
      <alignment horizontal="right" vertical="center"/>
      <protection hidden="1"/>
    </xf>
    <xf numFmtId="0" fontId="106" fillId="2" borderId="0" xfId="0" applyFont="1" applyFill="1" applyBorder="1" applyAlignment="1" applyProtection="1">
      <alignment horizontal="center"/>
      <protection hidden="1"/>
    </xf>
    <xf numFmtId="0" fontId="76" fillId="2" borderId="0" xfId="0" applyFont="1" applyFill="1" applyBorder="1" applyAlignment="1" applyProtection="1">
      <alignment horizontal="left" indent="2"/>
      <protection hidden="1"/>
    </xf>
    <xf numFmtId="0" fontId="72" fillId="2" borderId="0" xfId="0" applyFont="1" applyFill="1" applyBorder="1" applyAlignment="1" applyProtection="1">
      <alignment horizontal="left" vertical="top" indent="2"/>
      <protection hidden="1"/>
    </xf>
    <xf numFmtId="182" fontId="65" fillId="2" borderId="11" xfId="0" applyNumberFormat="1" applyFont="1" applyFill="1" applyBorder="1" applyAlignment="1" applyProtection="1">
      <alignment horizontal="left" vertical="center" indent="1"/>
      <protection locked="0"/>
    </xf>
    <xf numFmtId="0" fontId="95" fillId="2" borderId="0" xfId="0" applyFont="1" applyFill="1" applyAlignment="1" applyProtection="1">
      <alignment horizontal="right" vertical="center" indent="1"/>
      <protection hidden="1"/>
    </xf>
    <xf numFmtId="0" fontId="100" fillId="2" borderId="12" xfId="0" applyFont="1" applyFill="1" applyBorder="1" applyAlignment="1" applyProtection="1">
      <alignment horizontal="left" indent="2"/>
      <protection hidden="1"/>
    </xf>
    <xf numFmtId="0" fontId="15" fillId="2" borderId="11" xfId="0" applyFont="1" applyFill="1" applyBorder="1" applyAlignment="1" applyProtection="1">
      <alignment horizontal="left" vertical="center"/>
      <protection hidden="1"/>
    </xf>
    <xf numFmtId="0" fontId="91" fillId="2" borderId="0" xfId="0" applyFont="1" applyFill="1" applyAlignment="1" applyProtection="1">
      <alignment horizontal="left" vertical="center"/>
      <protection hidden="1"/>
    </xf>
    <xf numFmtId="0" fontId="91" fillId="2" borderId="0" xfId="0" applyFont="1" applyFill="1" applyBorder="1" applyAlignment="1" applyProtection="1">
      <alignment horizontal="left" vertical="center"/>
      <protection hidden="1"/>
    </xf>
    <xf numFmtId="0" fontId="91" fillId="2" borderId="0" xfId="0" applyFont="1" applyFill="1" applyBorder="1" applyAlignment="1" applyProtection="1">
      <alignment horizontal="center" vertical="center"/>
      <protection hidden="1"/>
    </xf>
    <xf numFmtId="182" fontId="65" fillId="2" borderId="106" xfId="0" applyNumberFormat="1" applyFont="1" applyFill="1" applyBorder="1" applyAlignment="1" applyProtection="1">
      <alignment horizontal="left" vertical="center"/>
      <protection hidden="1"/>
    </xf>
    <xf numFmtId="0" fontId="76" fillId="2" borderId="106" xfId="0" applyFont="1" applyFill="1" applyBorder="1" applyAlignment="1" applyProtection="1">
      <alignment horizontal="center" vertical="center"/>
      <protection hidden="1"/>
    </xf>
    <xf numFmtId="0" fontId="65" fillId="2" borderId="106" xfId="0" applyNumberFormat="1" applyFont="1" applyFill="1" applyBorder="1" applyAlignment="1" applyProtection="1">
      <alignment horizontal="right" vertical="center" indent="1"/>
      <protection hidden="1"/>
    </xf>
    <xf numFmtId="0" fontId="76" fillId="2" borderId="106" xfId="0" applyFont="1" applyFill="1" applyBorder="1" applyAlignment="1" applyProtection="1">
      <alignment horizontal="left" vertical="center" indent="4"/>
      <protection hidden="1"/>
    </xf>
    <xf numFmtId="164" fontId="103" fillId="2" borderId="105" xfId="0" applyNumberFormat="1" applyFont="1" applyFill="1" applyBorder="1" applyAlignment="1" applyProtection="1">
      <alignment horizontal="right"/>
      <protection hidden="1"/>
    </xf>
    <xf numFmtId="0" fontId="106" fillId="2" borderId="11" xfId="0" applyFont="1" applyFill="1" applyBorder="1" applyAlignment="1" applyProtection="1">
      <alignment horizontal="center" vertical="center"/>
      <protection hidden="1"/>
    </xf>
    <xf numFmtId="0" fontId="99" fillId="2" borderId="0" xfId="0" applyFont="1" applyFill="1" applyAlignment="1" applyProtection="1">
      <alignment horizontal="left"/>
      <protection hidden="1"/>
    </xf>
    <xf numFmtId="0" fontId="87" fillId="2" borderId="0" xfId="0" applyFont="1" applyFill="1" applyAlignment="1" applyProtection="1">
      <alignment horizontal="distributed"/>
      <protection hidden="1"/>
    </xf>
    <xf numFmtId="0" fontId="128" fillId="9" borderId="108" xfId="0" applyFont="1" applyFill="1" applyBorder="1" applyAlignment="1" applyProtection="1">
      <alignment horizontal="left" vertical="center" indent="1"/>
      <protection hidden="1"/>
    </xf>
    <xf numFmtId="0" fontId="128" fillId="9" borderId="109" xfId="0" applyFont="1" applyFill="1" applyBorder="1" applyAlignment="1" applyProtection="1">
      <alignment horizontal="left" vertical="center" indent="1"/>
      <protection hidden="1"/>
    </xf>
    <xf numFmtId="0" fontId="128" fillId="9" borderId="127" xfId="0" applyFont="1" applyFill="1" applyBorder="1" applyAlignment="1" applyProtection="1">
      <alignment horizontal="left" vertical="center" indent="1"/>
      <protection hidden="1"/>
    </xf>
    <xf numFmtId="0" fontId="128" fillId="9" borderId="128" xfId="0" applyFont="1" applyFill="1" applyBorder="1" applyAlignment="1" applyProtection="1">
      <alignment horizontal="left" vertical="center" indent="1"/>
      <protection hidden="1"/>
    </xf>
    <xf numFmtId="0" fontId="128" fillId="9" borderId="112" xfId="0" applyFont="1" applyFill="1" applyBorder="1" applyAlignment="1" applyProtection="1">
      <alignment horizontal="left" vertical="center" indent="1"/>
      <protection hidden="1"/>
    </xf>
    <xf numFmtId="0" fontId="128" fillId="9" borderId="117" xfId="0" applyFont="1" applyFill="1" applyBorder="1" applyAlignment="1" applyProtection="1">
      <alignment horizontal="left" vertical="center" indent="1"/>
      <protection hidden="1"/>
    </xf>
    <xf numFmtId="0" fontId="101" fillId="2" borderId="0" xfId="0" applyFont="1" applyFill="1" applyBorder="1" applyAlignment="1" applyProtection="1">
      <alignment horizontal="left" vertical="top" indent="1"/>
      <protection hidden="1"/>
    </xf>
    <xf numFmtId="0" fontId="101" fillId="2" borderId="12" xfId="0" applyFont="1" applyFill="1" applyBorder="1" applyAlignment="1" applyProtection="1">
      <alignment horizontal="left" indent="1"/>
      <protection hidden="1"/>
    </xf>
    <xf numFmtId="0" fontId="79" fillId="2" borderId="0" xfId="0" applyFont="1" applyFill="1" applyBorder="1" applyAlignment="1" applyProtection="1">
      <alignment horizontal="left" vertical="center"/>
      <protection locked="0"/>
    </xf>
    <xf numFmtId="0" fontId="94" fillId="2" borderId="0" xfId="0" applyFont="1" applyFill="1" applyAlignment="1" applyProtection="1">
      <alignment horizontal="right" vertical="top" indent="1"/>
      <protection hidden="1"/>
    </xf>
    <xf numFmtId="0" fontId="94" fillId="2" borderId="0" xfId="0" applyFont="1" applyFill="1" applyBorder="1" applyAlignment="1" applyProtection="1">
      <alignment horizontal="right" vertical="top" indent="1"/>
      <protection hidden="1"/>
    </xf>
    <xf numFmtId="164" fontId="30" fillId="2" borderId="69" xfId="0" applyNumberFormat="1" applyFont="1" applyFill="1" applyBorder="1" applyAlignment="1" applyProtection="1">
      <alignment horizontal="left" vertical="center"/>
      <protection locked="0"/>
    </xf>
    <xf numFmtId="164" fontId="30" fillId="2" borderId="45" xfId="0" applyNumberFormat="1" applyFont="1" applyFill="1" applyBorder="1" applyAlignment="1" applyProtection="1">
      <alignment horizontal="left" vertical="center"/>
      <protection locked="0"/>
    </xf>
    <xf numFmtId="164" fontId="30" fillId="2" borderId="102" xfId="0" applyNumberFormat="1" applyFont="1" applyFill="1" applyBorder="1" applyAlignment="1" applyProtection="1">
      <alignment horizontal="left" vertical="center"/>
      <protection locked="0"/>
    </xf>
    <xf numFmtId="0" fontId="73" fillId="2" borderId="0" xfId="0" applyFont="1" applyFill="1" applyAlignment="1" applyProtection="1">
      <alignment horizontal="left" vertical="center"/>
      <protection locked="0"/>
    </xf>
    <xf numFmtId="0" fontId="79" fillId="2" borderId="0" xfId="0" applyFont="1" applyFill="1" applyAlignment="1" applyProtection="1">
      <alignment horizontal="left" vertical="center"/>
      <protection locked="0"/>
    </xf>
    <xf numFmtId="0" fontId="106" fillId="2" borderId="106" xfId="0" applyFont="1" applyFill="1" applyBorder="1" applyAlignment="1" applyProtection="1">
      <alignment horizontal="center" vertical="center"/>
      <protection hidden="1"/>
    </xf>
    <xf numFmtId="0" fontId="87" fillId="2" borderId="0" xfId="0" applyFont="1" applyFill="1" applyBorder="1" applyAlignment="1" applyProtection="1">
      <alignment horizontal="left"/>
      <protection hidden="1"/>
    </xf>
    <xf numFmtId="0" fontId="94" fillId="2" borderId="0" xfId="0" applyFont="1" applyFill="1" applyAlignment="1" applyProtection="1">
      <alignment horizontal="right" indent="1"/>
      <protection hidden="1"/>
    </xf>
    <xf numFmtId="0" fontId="94" fillId="2" borderId="0" xfId="0" applyFont="1" applyFill="1" applyBorder="1" applyAlignment="1" applyProtection="1">
      <alignment horizontal="right" indent="1"/>
      <protection hidden="1"/>
    </xf>
    <xf numFmtId="180" fontId="65" fillId="2" borderId="106" xfId="0" applyNumberFormat="1" applyFont="1" applyFill="1" applyBorder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left" vertical="center"/>
      <protection hidden="1"/>
    </xf>
    <xf numFmtId="14" fontId="77" fillId="2" borderId="11" xfId="0" applyNumberFormat="1" applyFont="1" applyFill="1" applyBorder="1" applyAlignment="1" applyProtection="1">
      <alignment horizontal="left" vertical="center" indent="1"/>
      <protection locked="0"/>
    </xf>
    <xf numFmtId="0" fontId="77" fillId="2" borderId="11" xfId="0" applyFont="1" applyFill="1" applyBorder="1" applyAlignment="1" applyProtection="1">
      <alignment horizontal="left" vertical="center" indent="1"/>
      <protection locked="0"/>
    </xf>
    <xf numFmtId="0" fontId="9" fillId="2" borderId="0" xfId="0" applyNumberFormat="1" applyFont="1" applyFill="1" applyAlignment="1" applyProtection="1">
      <alignment horizontal="left" indent="1"/>
      <protection hidden="1"/>
    </xf>
    <xf numFmtId="0" fontId="9" fillId="2" borderId="53" xfId="0" applyFont="1" applyFill="1" applyBorder="1" applyAlignment="1" applyProtection="1">
      <alignment horizontal="center" vertical="center"/>
      <protection hidden="1"/>
    </xf>
    <xf numFmtId="0" fontId="77" fillId="2" borderId="11" xfId="0" applyFont="1" applyFill="1" applyBorder="1" applyAlignment="1" applyProtection="1">
      <alignment horizontal="left" vertical="center" indent="1"/>
      <protection hidden="1"/>
    </xf>
    <xf numFmtId="0" fontId="84" fillId="2" borderId="0" xfId="0" applyFont="1" applyFill="1" applyAlignment="1" applyProtection="1">
      <alignment horizontal="left" vertical="center" indent="1"/>
      <protection hidden="1"/>
    </xf>
    <xf numFmtId="0" fontId="74" fillId="2" borderId="0" xfId="0" applyFont="1" applyFill="1" applyAlignment="1" applyProtection="1">
      <alignment horizontal="left" vertical="center"/>
      <protection locked="0"/>
    </xf>
    <xf numFmtId="0" fontId="74" fillId="2" borderId="0" xfId="0" applyFont="1" applyFill="1" applyAlignment="1" applyProtection="1">
      <alignment horizontal="right" vertical="center"/>
      <protection locked="0"/>
    </xf>
    <xf numFmtId="0" fontId="87" fillId="2" borderId="0" xfId="0" applyFont="1" applyFill="1" applyAlignment="1" applyProtection="1">
      <alignment horizontal="right" vertical="center" indent="1"/>
      <protection hidden="1"/>
    </xf>
    <xf numFmtId="0" fontId="9" fillId="2" borderId="0" xfId="0" applyFont="1" applyFill="1" applyAlignment="1" applyProtection="1">
      <alignment horizontal="left" indent="1"/>
      <protection hidden="1"/>
    </xf>
    <xf numFmtId="0" fontId="104" fillId="2" borderId="0" xfId="0" applyFont="1" applyFill="1" applyAlignment="1" applyProtection="1">
      <alignment horizontal="left"/>
      <protection hidden="1"/>
    </xf>
    <xf numFmtId="0" fontId="104" fillId="2" borderId="0" xfId="0" applyFont="1" applyFill="1" applyAlignment="1" applyProtection="1">
      <alignment horizontal="left" vertical="top"/>
      <protection hidden="1"/>
    </xf>
    <xf numFmtId="0" fontId="74" fillId="2" borderId="0" xfId="0" applyFont="1" applyFill="1" applyAlignment="1" applyProtection="1">
      <alignment horizontal="left" vertical="center" indent="1"/>
      <protection hidden="1"/>
    </xf>
    <xf numFmtId="0" fontId="43" fillId="2" borderId="0" xfId="0" applyFont="1" applyFill="1" applyAlignment="1" applyProtection="1">
      <alignment horizontal="left" vertical="center" indent="1"/>
      <protection hidden="1"/>
    </xf>
    <xf numFmtId="0" fontId="72" fillId="2" borderId="0" xfId="0" applyFont="1" applyFill="1" applyAlignment="1" applyProtection="1">
      <alignment horizontal="left" vertical="center" indent="1"/>
      <protection locked="0"/>
    </xf>
    <xf numFmtId="0" fontId="45" fillId="2" borderId="8" xfId="0" applyFont="1" applyFill="1" applyBorder="1" applyAlignment="1" applyProtection="1">
      <alignment horizontal="left" vertical="center"/>
      <protection hidden="1"/>
    </xf>
    <xf numFmtId="0" fontId="33" fillId="2" borderId="8" xfId="0" applyFont="1" applyFill="1" applyBorder="1" applyAlignment="1" applyProtection="1">
      <alignment horizontal="right" vertical="center"/>
      <protection hidden="1"/>
    </xf>
    <xf numFmtId="0" fontId="105" fillId="2" borderId="0" xfId="0" applyFont="1" applyFill="1" applyAlignment="1" applyProtection="1">
      <alignment horizontal="left" vertical="center"/>
      <protection hidden="1"/>
    </xf>
    <xf numFmtId="0" fontId="92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horizontal="left"/>
      <protection hidden="1"/>
    </xf>
    <xf numFmtId="180" fontId="12" fillId="2" borderId="0" xfId="0" applyNumberFormat="1" applyFont="1" applyFill="1" applyAlignment="1" applyProtection="1">
      <alignment horizontal="left" vertical="top"/>
      <protection hidden="1"/>
    </xf>
    <xf numFmtId="0" fontId="12" fillId="2" borderId="0" xfId="0" applyFont="1" applyFill="1" applyAlignment="1" applyProtection="1">
      <protection hidden="1"/>
    </xf>
    <xf numFmtId="180" fontId="12" fillId="2" borderId="0" xfId="0" applyNumberFormat="1" applyFont="1" applyFill="1" applyAlignment="1" applyProtection="1">
      <alignment horizontal="left"/>
      <protection hidden="1"/>
    </xf>
    <xf numFmtId="0" fontId="12" fillId="2" borderId="0" xfId="0" applyFont="1" applyFill="1" applyAlignment="1" applyProtection="1">
      <alignment horizontal="left" indent="1"/>
      <protection hidden="1"/>
    </xf>
    <xf numFmtId="0" fontId="76" fillId="2" borderId="0" xfId="0" applyFont="1" applyFill="1" applyAlignment="1" applyProtection="1">
      <alignment horizontal="left" vertical="top" indent="1"/>
      <protection hidden="1"/>
    </xf>
    <xf numFmtId="0" fontId="76" fillId="2" borderId="12" xfId="0" applyFont="1" applyFill="1" applyBorder="1" applyAlignment="1" applyProtection="1">
      <alignment horizontal="left" indent="1"/>
      <protection hidden="1"/>
    </xf>
    <xf numFmtId="0" fontId="72" fillId="2" borderId="11" xfId="0" applyFont="1" applyFill="1" applyBorder="1" applyAlignment="1" applyProtection="1">
      <alignment horizontal="left" vertical="center" indent="1"/>
      <protection locked="0"/>
    </xf>
    <xf numFmtId="180" fontId="12" fillId="2" borderId="0" xfId="0" applyNumberFormat="1" applyFont="1" applyFill="1" applyAlignment="1" applyProtection="1">
      <alignment horizontal="left" indent="1"/>
      <protection hidden="1"/>
    </xf>
    <xf numFmtId="0" fontId="9" fillId="2" borderId="0" xfId="0" applyFont="1" applyFill="1" applyAlignment="1" applyProtection="1">
      <alignment horizontal="left"/>
      <protection hidden="1"/>
    </xf>
    <xf numFmtId="180" fontId="12" fillId="2" borderId="0" xfId="0" applyNumberFormat="1" applyFont="1" applyFill="1" applyAlignment="1" applyProtection="1">
      <alignment horizontal="left" vertical="top" indent="1"/>
      <protection hidden="1"/>
    </xf>
    <xf numFmtId="1" fontId="77" fillId="2" borderId="11" xfId="0" applyNumberFormat="1" applyFont="1" applyFill="1" applyBorder="1" applyAlignment="1" applyProtection="1">
      <alignment horizontal="left" vertical="center" indent="1"/>
      <protection hidden="1"/>
    </xf>
    <xf numFmtId="180" fontId="8" fillId="2" borderId="0" xfId="0" applyNumberFormat="1" applyFont="1" applyFill="1" applyAlignment="1" applyProtection="1">
      <alignment horizontal="left" vertical="top" indent="1"/>
      <protection hidden="1"/>
    </xf>
    <xf numFmtId="0" fontId="8" fillId="2" borderId="0" xfId="0" applyFont="1" applyFill="1" applyAlignment="1" applyProtection="1">
      <alignment horizontal="left" indent="1"/>
      <protection hidden="1"/>
    </xf>
    <xf numFmtId="0" fontId="8" fillId="2" borderId="0" xfId="0" applyFont="1" applyFill="1" applyAlignment="1" applyProtection="1">
      <alignment horizontal="right"/>
      <protection hidden="1"/>
    </xf>
    <xf numFmtId="0" fontId="12" fillId="2" borderId="0" xfId="0" applyFont="1" applyFill="1" applyAlignment="1" applyProtection="1">
      <alignment horizontal="left" vertical="top" indent="1"/>
      <protection hidden="1"/>
    </xf>
    <xf numFmtId="0" fontId="8" fillId="2" borderId="0" xfId="0" applyFont="1" applyFill="1" applyAlignment="1" applyProtection="1">
      <alignment horizontal="right" indent="1"/>
      <protection hidden="1"/>
    </xf>
    <xf numFmtId="0" fontId="77" fillId="2" borderId="0" xfId="0" applyFont="1" applyFill="1" applyAlignment="1" applyProtection="1">
      <alignment horizontal="left" vertical="center"/>
      <protection locked="0"/>
    </xf>
    <xf numFmtId="0" fontId="77" fillId="2" borderId="11" xfId="0" applyFont="1" applyFill="1" applyBorder="1" applyAlignment="1" applyProtection="1">
      <alignment horizontal="center" vertical="center"/>
      <protection locked="0"/>
    </xf>
    <xf numFmtId="0" fontId="56" fillId="2" borderId="8" xfId="0" applyFont="1" applyFill="1" applyBorder="1" applyAlignment="1" applyProtection="1">
      <alignment horizontal="left" vertical="center" indent="1"/>
      <protection hidden="1"/>
    </xf>
    <xf numFmtId="0" fontId="12" fillId="2" borderId="33" xfId="0" applyFont="1" applyFill="1" applyBorder="1" applyAlignment="1" applyProtection="1">
      <alignment horizontal="left" vertical="center" indent="1"/>
      <protection locked="0"/>
    </xf>
    <xf numFmtId="0" fontId="20" fillId="2" borderId="56" xfId="0" applyFont="1" applyFill="1" applyBorder="1" applyAlignment="1" applyProtection="1">
      <alignment horizontal="left" vertical="center" indent="1"/>
      <protection locked="0"/>
    </xf>
    <xf numFmtId="0" fontId="20" fillId="2" borderId="34" xfId="0" applyFont="1" applyFill="1" applyBorder="1" applyAlignment="1" applyProtection="1">
      <alignment horizontal="left" vertical="center" indent="1"/>
      <protection locked="0"/>
    </xf>
    <xf numFmtId="0" fontId="20" fillId="2" borderId="33" xfId="0" applyFont="1" applyFill="1" applyBorder="1" applyAlignment="1" applyProtection="1">
      <alignment horizontal="left" vertical="center" indent="1"/>
      <protection locked="0"/>
    </xf>
    <xf numFmtId="0" fontId="87" fillId="2" borderId="0" xfId="0" applyFont="1" applyFill="1" applyAlignment="1" applyProtection="1">
      <alignment horizontal="center"/>
      <protection hidden="1"/>
    </xf>
    <xf numFmtId="0" fontId="1" fillId="2" borderId="85" xfId="0" applyFont="1" applyFill="1" applyBorder="1" applyAlignment="1" applyProtection="1">
      <alignment vertical="center" textRotation="90"/>
      <protection hidden="1"/>
    </xf>
    <xf numFmtId="0" fontId="1" fillId="2" borderId="85" xfId="0" applyFont="1" applyFill="1" applyBorder="1" applyAlignment="1" applyProtection="1">
      <alignment horizontal="right" vertical="center"/>
      <protection hidden="1"/>
    </xf>
  </cellXfs>
  <cellStyles count="7">
    <cellStyle name="Collegamento ipertestuale" xfId="1" builtinId="8"/>
    <cellStyle name="Normale" xfId="0" builtinId="0"/>
    <cellStyle name="Normale_Grado di soddisfazione utenti 1.0 con 50 progetti in 7 AREE" xfId="2"/>
    <cellStyle name="Normale_Sistema corrispettivi RIDOTTO" xfId="3"/>
    <cellStyle name="Normale_Sistema corrispettivi semplice" xfId="4"/>
    <cellStyle name="Normale_Sistema corrispettivi semplice a scadenza" xfId="5"/>
    <cellStyle name="Normale_Sistema ridotto FOGLI PRESENZE" xfId="6"/>
  </cellStyles>
  <dxfs count="693"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23"/>
      </font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  <border>
        <bottom style="thin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499984740745262"/>
      </font>
    </dxf>
    <dxf>
      <font>
        <condense val="0"/>
        <extend val="0"/>
        <color indexed="9"/>
      </font>
      <border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1"/>
      </font>
      <fill>
        <patternFill>
          <bgColor theme="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border>
        <bottom style="thin">
          <color indexed="10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9"/>
      </font>
      <border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3"/>
      </font>
    </dxf>
    <dxf>
      <font>
        <condense val="0"/>
        <extend val="0"/>
        <color indexed="63"/>
      </font>
    </dxf>
    <dxf>
      <font>
        <condense val="0"/>
        <extend val="0"/>
        <color indexed="6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lor theme="0"/>
      </font>
    </dxf>
    <dxf>
      <font>
        <condense val="0"/>
        <extend val="0"/>
        <color indexed="9"/>
      </font>
    </dxf>
    <dxf>
      <border>
        <bottom style="thin">
          <color indexed="10"/>
        </bottom>
      </border>
    </dxf>
    <dxf>
      <font>
        <condense val="0"/>
        <extend val="0"/>
        <color indexed="23"/>
      </font>
    </dxf>
    <dxf>
      <border>
        <bottom style="thin">
          <color indexed="10"/>
        </bottom>
      </border>
    </dxf>
    <dxf>
      <font>
        <condense val="0"/>
        <extend val="0"/>
        <color indexed="10"/>
      </font>
    </dxf>
    <dxf>
      <border>
        <bottom style="thin">
          <color indexed="10"/>
        </bottom>
      </border>
    </dxf>
    <dxf>
      <font>
        <condense val="0"/>
        <extend val="0"/>
        <color indexed="23"/>
      </font>
    </dxf>
    <dxf>
      <border>
        <bottom style="thin">
          <color indexed="10"/>
        </bottom>
      </border>
    </dxf>
    <dxf>
      <font>
        <condense val="0"/>
        <extend val="0"/>
        <color indexed="10"/>
      </font>
    </dxf>
    <dxf>
      <border>
        <bottom style="thin">
          <color indexed="10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right/>
      </border>
    </dxf>
    <dxf>
      <font>
        <color theme="0" tint="-0.499984740745262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  <fill>
        <patternFill>
          <bgColor indexed="9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3"/>
      </font>
      <fill>
        <patternFill>
          <bgColor indexed="9"/>
        </patternFill>
      </fill>
    </dxf>
    <dxf>
      <font>
        <b val="0"/>
        <i val="0"/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23"/>
      </font>
      <border>
        <bottom style="hair">
          <color indexed="23"/>
        </bottom>
      </border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23"/>
      </font>
      <border>
        <bottom style="hair">
          <color indexed="23"/>
        </bottom>
      </border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8"/>
      </font>
      <fill>
        <patternFill>
          <bgColor indexed="9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ill>
        <patternFill>
          <bgColor indexed="9"/>
        </patternFill>
      </fill>
      <border>
        <left/>
        <right/>
        <top/>
        <bottom style="hair">
          <color indexed="23"/>
        </bottom>
      </border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0.499984740745262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condense val="0"/>
        <extend val="0"/>
        <color indexed="18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46"/>
      </font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8000"/>
      </font>
      <fill>
        <patternFill patternType="solid">
          <bgColor indexed="9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rgb="FF008000"/>
      </font>
      <fill>
        <patternFill patternType="solid">
          <bgColor indexed="9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rgb="FFFF0000"/>
      </font>
      <fill>
        <patternFill patternType="solid">
          <bgColor indexed="9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9"/>
      </font>
    </dxf>
    <dxf>
      <fill>
        <patternFill patternType="lightUp">
          <fgColor indexed="43"/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ill>
        <patternFill patternType="lightUp">
          <fgColor indexed="43"/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ill>
        <patternFill patternType="lightUp">
          <fgColor indexed="42"/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ill>
        <patternFill patternType="lightUp">
          <fgColor indexed="42"/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/>
      </font>
    </dxf>
    <dxf>
      <font>
        <color theme="0" tint="-0.499984740745262"/>
      </font>
    </dxf>
    <dxf>
      <font>
        <color rgb="FFFFFFCC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lor theme="0" tint="-0.499984740745262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  <fill>
        <patternFill patternType="gray125">
          <fgColor indexed="23"/>
          <bgColor indexed="9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 tint="0.24994659260841701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4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lor theme="0" tint="-0.499984740745262"/>
      </font>
    </dxf>
    <dxf>
      <font>
        <condense val="0"/>
        <extend val="0"/>
        <color indexed="23"/>
      </font>
    </dxf>
    <dxf>
      <font>
        <condense val="0"/>
        <extend val="0"/>
        <color indexed="46"/>
      </font>
      <fill>
        <patternFill patternType="gray125">
          <fgColor indexed="23"/>
          <bgColor indexed="9"/>
        </patternFill>
      </fill>
    </dxf>
    <dxf>
      <font>
        <color theme="0"/>
      </font>
    </dxf>
    <dxf>
      <font>
        <condense val="0"/>
        <extend val="0"/>
        <color indexed="23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4.9989318521683403E-2"/>
      </font>
    </dxf>
    <dxf>
      <font>
        <condense val="0"/>
        <extend val="0"/>
        <color indexed="16"/>
      </font>
      <border>
        <right/>
      </border>
    </dxf>
    <dxf>
      <fill>
        <patternFill>
          <bgColor indexed="26"/>
        </patternFill>
      </fill>
      <border>
        <top style="hair">
          <color indexed="23"/>
        </top>
      </border>
    </dxf>
    <dxf>
      <font>
        <color rgb="FFFF0000"/>
      </font>
    </dxf>
    <dxf>
      <font>
        <condense val="0"/>
        <extend val="0"/>
        <color indexed="23"/>
      </font>
    </dxf>
    <dxf>
      <font>
        <condense val="0"/>
        <extend val="0"/>
        <color indexed="16"/>
      </font>
      <border>
        <left/>
        <right/>
      </border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16"/>
      </font>
      <border>
        <left/>
        <right/>
      </border>
    </dxf>
    <dxf>
      <fill>
        <patternFill>
          <bgColor indexed="26"/>
        </patternFill>
      </fill>
    </dxf>
    <dxf>
      <font>
        <condense val="0"/>
        <extend val="0"/>
        <color indexed="16"/>
      </font>
      <fill>
        <patternFill>
          <bgColor indexed="9"/>
        </patternFill>
      </fill>
      <border>
        <left/>
      </border>
    </dxf>
    <dxf>
      <fill>
        <patternFill>
          <bgColor indexed="26"/>
        </patternFill>
      </fill>
    </dxf>
    <dxf>
      <font>
        <color theme="0"/>
      </font>
    </dxf>
    <dxf>
      <font>
        <color theme="1" tint="4.9989318521683403E-2"/>
      </font>
    </dxf>
    <dxf>
      <font>
        <color theme="1"/>
      </font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border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1" tint="4.9989318521683403E-2"/>
      </font>
    </dxf>
    <dxf>
      <font>
        <color theme="0" tint="-0.499984740745262"/>
      </font>
    </dxf>
    <dxf>
      <font>
        <color rgb="FFFF0000"/>
      </font>
    </dxf>
    <dxf>
      <font>
        <color rgb="FFFF0000"/>
      </font>
    </dxf>
    <dxf>
      <font>
        <color theme="0" tint="-4.9989318521683403E-2"/>
      </font>
    </dxf>
    <dxf>
      <font>
        <color rgb="FFFF0000"/>
      </font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b val="0"/>
        <i val="0"/>
        <condense val="0"/>
        <extend val="0"/>
        <color indexed="18"/>
      </font>
    </dxf>
    <dxf>
      <font>
        <condense val="0"/>
        <extend val="0"/>
        <color indexed="23"/>
      </font>
    </dxf>
    <dxf>
      <font>
        <condense val="0"/>
        <extend val="0"/>
        <color indexed="26"/>
      </font>
    </dxf>
    <dxf>
      <font>
        <color theme="0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0.499984740745262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0.499984740745262"/>
      </font>
    </dxf>
    <dxf>
      <font>
        <condense val="0"/>
        <extend val="0"/>
        <color indexed="23"/>
      </font>
    </dxf>
    <dxf>
      <font>
        <color rgb="FF008000"/>
      </font>
    </dxf>
    <dxf>
      <border>
        <bottom style="thin">
          <color indexed="23"/>
        </bottom>
      </border>
    </dxf>
    <dxf>
      <font>
        <color theme="2" tint="-0.89996032593768116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2" tint="-0.89996032593768116"/>
      </font>
      <fill>
        <patternFill>
          <bgColor rgb="FFFFFFCC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8"/>
      </font>
    </dxf>
    <dxf>
      <font>
        <b val="0"/>
        <i val="0"/>
        <color indexed="10"/>
      </font>
      <fill>
        <patternFill>
          <bgColor indexed="9"/>
        </patternFill>
      </fill>
    </dxf>
    <dxf>
      <fill>
        <patternFill>
          <bgColor indexed="9"/>
        </patternFill>
      </fill>
      <border>
        <left/>
      </border>
    </dxf>
    <dxf>
      <border>
        <right/>
      </border>
    </dxf>
    <dxf>
      <border>
        <left/>
        <right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lor theme="0" tint="-4.9989318521683403E-2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16"/>
      </font>
      <fill>
        <patternFill>
          <bgColor indexed="9"/>
        </patternFill>
      </fill>
      <border>
        <left/>
      </border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16"/>
      </font>
      <border>
        <left/>
        <right/>
      </border>
    </dxf>
    <dxf>
      <fill>
        <patternFill>
          <bgColor indexed="26"/>
        </patternFill>
      </fill>
      <border>
        <top style="hair">
          <color indexed="23"/>
        </top>
      </border>
    </dxf>
    <dxf>
      <font>
        <condense val="0"/>
        <extend val="0"/>
        <color indexed="16"/>
      </font>
      <border>
        <left/>
        <right/>
      </border>
    </dxf>
    <dxf>
      <fill>
        <patternFill>
          <bgColor indexed="26"/>
        </patternFill>
      </fill>
    </dxf>
    <dxf>
      <font>
        <condense val="0"/>
        <extend val="0"/>
        <color indexed="16"/>
      </font>
      <fill>
        <patternFill>
          <bgColor indexed="9"/>
        </patternFill>
      </fill>
      <border>
        <left/>
      </border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bottom style="thin">
          <color indexed="23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6"/>
        </patternFill>
      </fill>
      <border>
        <left style="hair">
          <color indexed="23"/>
        </left>
        <right style="hair">
          <color indexed="23"/>
        </right>
        <top style="hair">
          <color indexed="23"/>
        </top>
        <bottom style="thin">
          <color indexed="23"/>
        </bottom>
      </border>
    </dxf>
    <dxf>
      <font>
        <condense val="0"/>
        <extend val="0"/>
        <color indexed="23"/>
      </font>
      <border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55"/>
      </font>
    </dxf>
    <dxf>
      <font>
        <condense val="0"/>
        <extend val="0"/>
        <color indexed="10"/>
      </font>
      <border>
        <bottom style="thin">
          <color indexed="23"/>
        </bottom>
      </border>
    </dxf>
    <dxf>
      <font>
        <condense val="0"/>
        <extend val="0"/>
        <color indexed="23"/>
      </font>
      <border>
        <bottom style="hair">
          <color indexed="23"/>
        </bottom>
      </border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55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55"/>
      </font>
      <border>
        <left style="hair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23"/>
      </font>
      <border>
        <left style="hair">
          <color indexed="23"/>
        </left>
        <right style="thin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  <border>
        <left style="hair">
          <color indexed="23"/>
        </left>
        <right style="thin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  <border>
        <bottom style="hair">
          <color indexed="55"/>
        </bottom>
      </border>
    </dxf>
    <dxf>
      <font>
        <condense val="0"/>
        <extend val="0"/>
        <color indexed="55"/>
      </font>
      <border>
        <left style="thin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23"/>
      </font>
      <border>
        <top style="hair">
          <color indexed="23"/>
        </top>
      </border>
    </dxf>
    <dxf>
      <border>
        <top style="thin">
          <color indexed="23"/>
        </top>
      </border>
    </dxf>
    <dxf>
      <font>
        <condense val="0"/>
        <extend val="0"/>
        <color indexed="23"/>
      </font>
      <border>
        <left style="thin">
          <color rgb="FF000080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55"/>
      </font>
    </dxf>
    <dxf>
      <font>
        <color theme="0" tint="-0.499984740745262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46"/>
      </font>
      <fill>
        <patternFill patternType="gray125">
          <fgColor indexed="23"/>
          <bgColor indexed="9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499984740745262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 tint="-4.9989318521683403E-2"/>
      </font>
    </dxf>
    <dxf>
      <font>
        <color theme="0" tint="-0.499984740745262"/>
      </font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499984740745262"/>
      </font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lor theme="0" tint="-0.49998474074526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17"/>
      </font>
    </dxf>
    <dxf>
      <font>
        <condense val="0"/>
        <extend val="0"/>
        <color indexed="23"/>
      </font>
    </dxf>
    <dxf>
      <font>
        <condense val="0"/>
        <extend val="0"/>
        <color indexed="17"/>
      </font>
    </dxf>
    <dxf>
      <font>
        <b/>
        <i val="0"/>
        <condense val="0"/>
        <extend val="0"/>
        <color indexed="18"/>
      </font>
    </dxf>
    <dxf>
      <font>
        <condense val="0"/>
        <extend val="0"/>
        <color indexed="10"/>
      </font>
      <border>
        <bottom/>
      </border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lor theme="0" tint="-0.499984740745262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border>
        <left style="thin">
          <color indexed="23"/>
        </left>
        <right style="hair">
          <color indexed="23"/>
        </right>
        <top style="hair">
          <color indexed="23"/>
        </top>
        <bottom style="hair">
          <color indexed="23"/>
        </bottom>
      </border>
    </dxf>
    <dxf>
      <font>
        <condense val="0"/>
        <extend val="0"/>
        <color indexed="9"/>
      </font>
    </dxf>
    <dxf>
      <font>
        <color rgb="FFFFFFCC"/>
      </font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</dxf>
    <dxf>
      <font>
        <color theme="0" tint="-0.499984740745262"/>
      </font>
    </dxf>
    <dxf>
      <font>
        <condense val="0"/>
        <extend val="0"/>
        <color indexed="46"/>
      </font>
    </dxf>
    <dxf>
      <font>
        <color theme="0" tint="-0.499984740745262"/>
      </font>
    </dxf>
    <dxf>
      <font>
        <color theme="0" tint="-4.9989318521683403E-2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lor theme="0" tint="-0.499984740745262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46"/>
      </font>
    </dxf>
    <dxf>
      <font>
        <condense val="0"/>
        <extend val="0"/>
        <color indexed="10"/>
      </font>
      <fill>
        <patternFill>
          <bgColor indexed="9"/>
        </patternFill>
      </fill>
    </dxf>
    <dxf>
      <font>
        <color theme="1" tint="0.24994659260841701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ndense val="0"/>
        <extend val="0"/>
        <color indexed="9"/>
      </font>
    </dxf>
    <dxf>
      <fill>
        <patternFill>
          <bgColor theme="0" tint="-4.9989318521683403E-2"/>
        </patternFill>
      </fill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lor theme="0" tint="-0.499984740745262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4.9989318521683403E-2"/>
      </font>
    </dxf>
    <dxf>
      <font>
        <condense val="0"/>
        <extend val="0"/>
        <color indexed="8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8"/>
      </font>
    </dxf>
    <dxf>
      <font>
        <color theme="0" tint="-0.499984740745262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lor theme="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border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rgb="FFFF0000"/>
      </font>
      <fill>
        <patternFill>
          <bgColor rgb="FFFFFF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b val="0"/>
        <i val="0"/>
        <condense val="0"/>
        <extend val="0"/>
        <color indexed="23"/>
      </font>
    </dxf>
    <dxf>
      <font>
        <b val="0"/>
        <i val="0"/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/>
      </font>
    </dxf>
    <dxf>
      <font>
        <b val="0"/>
        <i val="0"/>
        <condense val="0"/>
        <extend val="0"/>
        <color indexed="18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46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color theme="0"/>
      </font>
    </dxf>
    <dxf>
      <font>
        <color theme="0" tint="-0.499984740745262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6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0.499984740745262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0.499984740745262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63"/>
      </font>
    </dxf>
    <dxf>
      <font>
        <condense val="0"/>
        <extend val="0"/>
        <color indexed="8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lor theme="0"/>
      </font>
    </dxf>
    <dxf>
      <font>
        <color rgb="FF008000"/>
      </font>
    </dxf>
    <dxf>
      <font>
        <color rgb="FFFF0000"/>
      </font>
    </dxf>
    <dxf>
      <font>
        <condense val="0"/>
        <extend val="0"/>
        <color indexed="10"/>
      </font>
      <border>
        <left style="thin">
          <color indexed="10"/>
        </left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23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23"/>
      </font>
    </dxf>
    <dxf>
      <font>
        <color rgb="FFFF0000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10"/>
      </font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46"/>
      </font>
    </dxf>
    <dxf>
      <font>
        <condense val="0"/>
        <extend val="0"/>
        <color indexed="9"/>
      </font>
    </dxf>
    <dxf>
      <border>
        <bottom style="hair">
          <color indexed="23"/>
        </bottom>
      </border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55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16"/>
      </font>
      <fill>
        <patternFill>
          <bgColor indexed="26"/>
        </patternFill>
      </fill>
    </dxf>
    <dxf>
      <font>
        <color theme="0" tint="-0.499984740745262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  <fill>
        <patternFill>
          <bgColor indexed="26"/>
        </patternFill>
      </fill>
    </dxf>
    <dxf>
      <font>
        <color theme="0"/>
      </font>
    </dxf>
    <dxf>
      <border>
        <bottom style="hair">
          <color indexed="23"/>
        </bottom>
      </border>
    </dxf>
    <dxf>
      <font>
        <condense val="0"/>
        <extend val="0"/>
        <color indexed="9"/>
      </font>
      <border>
        <bottom style="hair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8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fill>
        <patternFill>
          <bgColor indexed="9"/>
        </patternFill>
      </fill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fill>
        <patternFill>
          <bgColor indexed="9"/>
        </patternFill>
      </fill>
      <border>
        <left/>
        <right style="thin">
          <color indexed="10"/>
        </right>
        <top style="thin">
          <color indexed="10"/>
        </top>
        <bottom style="thin">
          <color indexed="10"/>
        </bottom>
      </border>
    </dxf>
    <dxf>
      <border>
        <bottom style="thin">
          <color indexed="23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9"/>
        </patternFill>
      </fill>
    </dxf>
    <dxf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border>
        <bottom style="thin">
          <color indexed="23"/>
        </bottom>
      </border>
    </dxf>
    <dxf>
      <font>
        <condense val="0"/>
        <extend val="0"/>
        <color indexed="9"/>
      </font>
    </dxf>
    <dxf>
      <fill>
        <patternFill>
          <bgColor theme="0" tint="-4.9989318521683403E-2"/>
        </patternFill>
      </fill>
    </dxf>
    <dxf>
      <font>
        <condense val="0"/>
        <extend val="0"/>
        <color indexed="46"/>
      </font>
      <fill>
        <patternFill patternType="gray125">
          <fgColor indexed="23"/>
        </patternFill>
      </fill>
    </dxf>
    <dxf>
      <font>
        <color theme="1" tint="0.24994659260841701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F0000"/>
      </font>
    </dxf>
    <dxf>
      <font>
        <condense val="0"/>
        <extend val="0"/>
        <color indexed="10"/>
      </font>
      <border>
        <left style="thin">
          <color indexed="10"/>
        </left>
        <right/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theme="0" tint="-4.9989318521683403E-2"/>
      </font>
    </dxf>
    <dxf>
      <font>
        <color theme="0" tint="-0.499984740745262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border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b val="0"/>
        <i val="0"/>
        <condense val="0"/>
        <extend val="0"/>
        <color indexed="18"/>
      </font>
    </dxf>
    <dxf>
      <font>
        <condense val="0"/>
        <extend val="0"/>
        <color indexed="23"/>
      </font>
    </dxf>
    <dxf>
      <font>
        <condense val="0"/>
        <extend val="0"/>
        <color indexed="63"/>
      </font>
    </dxf>
    <dxf>
      <font>
        <color theme="0" tint="-0.499984740745262"/>
      </font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 tint="-0.499984740745262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lor theme="0"/>
      </font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rgb="FF008000"/>
      </font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hair">
          <color theme="0" tint="-0.499984740745262"/>
        </bottom>
      </border>
    </dxf>
    <dxf>
      <font>
        <color theme="0" tint="-0.499984740745262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thin">
          <color theme="0" tint="-0.499984740745262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bottom style="hair">
          <color indexed="23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46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9"/>
        </patternFill>
      </fill>
      <border>
        <left/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ont>
        <condense val="0"/>
        <extend val="0"/>
        <color indexed="10"/>
      </font>
      <border>
        <left/>
        <right/>
        <top style="thin">
          <color indexed="10"/>
        </top>
        <bottom style="thin">
          <color indexed="10"/>
        </bottom>
      </border>
    </dxf>
    <dxf>
      <fill>
        <patternFill>
          <bgColor indexed="26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border>
        <bottom style="thin">
          <color indexed="23"/>
        </bottom>
      </border>
    </dxf>
    <dxf>
      <border>
        <bottom style="thin">
          <color indexed="23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8"/>
        </patternFill>
      </fill>
    </dxf>
    <dxf>
      <fill>
        <patternFill>
          <bgColor indexed="12"/>
        </patternFill>
      </fill>
    </dxf>
    <dxf>
      <fill>
        <patternFill>
          <bgColor indexed="17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3"/>
      </font>
    </dxf>
    <dxf>
      <font>
        <condense val="0"/>
        <extend val="0"/>
        <color indexed="23"/>
      </font>
      <fill>
        <patternFill>
          <bgColor indexed="9"/>
        </patternFill>
      </fill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  <fill>
        <patternFill>
          <bgColor indexed="9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16"/>
      </font>
      <fill>
        <patternFill>
          <bgColor indexed="26"/>
        </patternFill>
      </fill>
    </dxf>
    <dxf>
      <font>
        <condense val="0"/>
        <extend val="0"/>
        <color indexed="9"/>
      </font>
      <border>
        <right/>
      </border>
    </dxf>
    <dxf>
      <font>
        <condense val="0"/>
        <extend val="0"/>
        <color indexed="9"/>
      </font>
    </dxf>
    <dxf>
      <font>
        <color theme="0"/>
      </font>
    </dxf>
    <dxf>
      <font>
        <color theme="0" tint="-0.24994659260841701"/>
      </font>
    </dxf>
    <dxf>
      <font>
        <color theme="0" tint="-0.499984740745262"/>
      </font>
      <fill>
        <patternFill>
          <bgColor theme="0"/>
        </patternFill>
      </fill>
    </dxf>
    <dxf>
      <font>
        <color theme="0" tint="-0.499984740745262"/>
      </font>
    </dxf>
    <dxf>
      <font>
        <condense val="0"/>
        <extend val="0"/>
        <color indexed="23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8000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y4SXxiH7an8" TargetMode="External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hyperlink" Target="https://youtu.be/WJFUHmkl06k" TargetMode="External"/><Relationship Id="rId5" Type="http://schemas.openxmlformats.org/officeDocument/2006/relationships/image" Target="../media/image5.png"/><Relationship Id="rId10" Type="http://schemas.openxmlformats.org/officeDocument/2006/relationships/hyperlink" Target="https://youtu.be/IsGE4TcddGU" TargetMode="External"/><Relationship Id="rId4" Type="http://schemas.openxmlformats.org/officeDocument/2006/relationships/image" Target="../media/image4.jpeg"/><Relationship Id="rId9" Type="http://schemas.openxmlformats.org/officeDocument/2006/relationships/hyperlink" Target="https://youtu.be/7thEHNqm0l4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26</xdr:row>
      <xdr:rowOff>38100</xdr:rowOff>
    </xdr:from>
    <xdr:to>
      <xdr:col>12</xdr:col>
      <xdr:colOff>495300</xdr:colOff>
      <xdr:row>28</xdr:row>
      <xdr:rowOff>76200</xdr:rowOff>
    </xdr:to>
    <xdr:sp macro="" textlink="">
      <xdr:nvSpPr>
        <xdr:cNvPr id="57466" name="Text Box 2170"/>
        <xdr:cNvSpPr txBox="1">
          <a:spLocks noChangeArrowheads="1"/>
        </xdr:cNvSpPr>
      </xdr:nvSpPr>
      <xdr:spPr bwMode="auto">
        <a:xfrm>
          <a:off x="7372350" y="6200775"/>
          <a:ext cx="1000125" cy="361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900"/>
            </a:lnSpc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Compila per anno diverso da solare</a:t>
          </a:r>
        </a:p>
      </xdr:txBody>
    </xdr:sp>
    <xdr:clientData fPrintsWithSheet="0"/>
  </xdr:twoCellAnchor>
  <xdr:twoCellAnchor editAs="oneCell">
    <xdr:from>
      <xdr:col>2</xdr:col>
      <xdr:colOff>295275</xdr:colOff>
      <xdr:row>17</xdr:row>
      <xdr:rowOff>85725</xdr:rowOff>
    </xdr:from>
    <xdr:to>
      <xdr:col>4</xdr:col>
      <xdr:colOff>95250</xdr:colOff>
      <xdr:row>20</xdr:row>
      <xdr:rowOff>95250</xdr:rowOff>
    </xdr:to>
    <xdr:pic>
      <xdr:nvPicPr>
        <xdr:cNvPr id="57470" name="Picture 2174" descr="Copia di TA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4200525"/>
          <a:ext cx="10763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17</xdr:row>
      <xdr:rowOff>66675</xdr:rowOff>
    </xdr:from>
    <xdr:to>
      <xdr:col>10</xdr:col>
      <xdr:colOff>104775</xdr:colOff>
      <xdr:row>19</xdr:row>
      <xdr:rowOff>123825</xdr:rowOff>
    </xdr:to>
    <xdr:pic>
      <xdr:nvPicPr>
        <xdr:cNvPr id="57471" name="Picture 2175" descr="tasto_canc_mac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181475"/>
          <a:ext cx="9906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314325</xdr:colOff>
      <xdr:row>2</xdr:row>
      <xdr:rowOff>76200</xdr:rowOff>
    </xdr:from>
    <xdr:to>
      <xdr:col>3</xdr:col>
      <xdr:colOff>171450</xdr:colOff>
      <xdr:row>2</xdr:row>
      <xdr:rowOff>419100</xdr:rowOff>
    </xdr:to>
    <xdr:pic>
      <xdr:nvPicPr>
        <xdr:cNvPr id="57473" name="Picture 2177" descr="logo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95300"/>
          <a:ext cx="113347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238125</xdr:colOff>
      <xdr:row>2</xdr:row>
      <xdr:rowOff>123825</xdr:rowOff>
    </xdr:from>
    <xdr:to>
      <xdr:col>8</xdr:col>
      <xdr:colOff>66675</xdr:colOff>
      <xdr:row>2</xdr:row>
      <xdr:rowOff>390525</xdr:rowOff>
    </xdr:to>
    <xdr:sp macro="" textlink="">
      <xdr:nvSpPr>
        <xdr:cNvPr id="57474" name="Text Box 2178"/>
        <xdr:cNvSpPr txBox="1">
          <a:spLocks noChangeArrowheads="1"/>
        </xdr:cNvSpPr>
      </xdr:nvSpPr>
      <xdr:spPr bwMode="auto">
        <a:xfrm>
          <a:off x="2371725" y="542925"/>
          <a:ext cx="3019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0" bIns="18288" anchor="b" upright="1"/>
        <a:lstStyle/>
        <a:p>
          <a:pPr algn="l" rtl="0">
            <a:defRPr sz="1000"/>
          </a:pPr>
          <a:r>
            <a:rPr lang="it-IT" sz="9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Procedure contabili per le piccole e medie imprese</a:t>
          </a:r>
        </a:p>
      </xdr:txBody>
    </xdr:sp>
    <xdr:clientData/>
  </xdr:twoCellAnchor>
  <xdr:twoCellAnchor editAs="oneCell">
    <xdr:from>
      <xdr:col>10</xdr:col>
      <xdr:colOff>352425</xdr:colOff>
      <xdr:row>2</xdr:row>
      <xdr:rowOff>28575</xdr:rowOff>
    </xdr:from>
    <xdr:to>
      <xdr:col>11</xdr:col>
      <xdr:colOff>371475</xdr:colOff>
      <xdr:row>3</xdr:row>
      <xdr:rowOff>133350</xdr:rowOff>
    </xdr:to>
    <xdr:pic>
      <xdr:nvPicPr>
        <xdr:cNvPr id="58005" name="Picture 2709" descr="Logo IW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447675"/>
          <a:ext cx="6572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590550</xdr:colOff>
      <xdr:row>45</xdr:row>
      <xdr:rowOff>171450</xdr:rowOff>
    </xdr:from>
    <xdr:to>
      <xdr:col>12</xdr:col>
      <xdr:colOff>338146</xdr:colOff>
      <xdr:row>49</xdr:row>
      <xdr:rowOff>8532</xdr:rowOff>
    </xdr:to>
    <xdr:grpSp>
      <xdr:nvGrpSpPr>
        <xdr:cNvPr id="3" name="Gruppo 2"/>
        <xdr:cNvGrpSpPr/>
      </xdr:nvGrpSpPr>
      <xdr:grpSpPr>
        <a:xfrm>
          <a:off x="590550" y="9877425"/>
          <a:ext cx="7986721" cy="522882"/>
          <a:chOff x="590550" y="10372725"/>
          <a:chExt cx="7624771" cy="522882"/>
        </a:xfrm>
      </xdr:grpSpPr>
      <xdr:sp macro="" textlink="">
        <xdr:nvSpPr>
          <xdr:cNvPr id="57988" name="Text Box 2692"/>
          <xdr:cNvSpPr txBox="1">
            <a:spLocks noChangeArrowheads="1"/>
          </xdr:cNvSpPr>
        </xdr:nvSpPr>
        <xdr:spPr bwMode="auto">
          <a:xfrm>
            <a:off x="590550" y="10372725"/>
            <a:ext cx="7467600" cy="190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0" rIns="0" bIns="22860" anchor="b" upright="1"/>
          <a:lstStyle/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FF0000"/>
                </a:solidFill>
                <a:latin typeface="Tahoma"/>
                <a:ea typeface="Tahoma"/>
                <a:cs typeface="Tahoma"/>
              </a:rPr>
              <a:t>               1                 2           3                 4                        5                    6                     7                           8                     9</a:t>
            </a:r>
          </a:p>
        </xdr:txBody>
      </xdr:sp>
      <xdr:pic>
        <xdr:nvPicPr>
          <xdr:cNvPr id="2" name="Immagine 1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38178" y="10544179"/>
            <a:ext cx="7577143" cy="35142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76200</xdr:colOff>
      <xdr:row>159</xdr:row>
      <xdr:rowOff>142875</xdr:rowOff>
    </xdr:from>
    <xdr:to>
      <xdr:col>3</xdr:col>
      <xdr:colOff>38100</xdr:colOff>
      <xdr:row>165</xdr:row>
      <xdr:rowOff>19050</xdr:rowOff>
    </xdr:to>
    <xdr:grpSp>
      <xdr:nvGrpSpPr>
        <xdr:cNvPr id="24" name="Group 37637">
          <a:hlinkClick xmlns:r="http://schemas.openxmlformats.org/officeDocument/2006/relationships" r:id="rId6"/>
        </xdr:cNvPr>
        <xdr:cNvGrpSpPr>
          <a:grpSpLocks/>
        </xdr:cNvGrpSpPr>
      </xdr:nvGrpSpPr>
      <xdr:grpSpPr bwMode="auto">
        <a:xfrm>
          <a:off x="857250" y="26946225"/>
          <a:ext cx="1457325" cy="847725"/>
          <a:chOff x="1142" y="285"/>
          <a:chExt cx="130" cy="89"/>
        </a:xfrm>
      </xdr:grpSpPr>
      <xdr:pic>
        <xdr:nvPicPr>
          <xdr:cNvPr id="25" name="Picture 37638" descr="YouTube-logo-full_color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2" y="285"/>
            <a:ext cx="97" cy="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Text Box 37639"/>
          <xdr:cNvSpPr txBox="1">
            <a:spLocks noChangeArrowheads="1"/>
          </xdr:cNvSpPr>
        </xdr:nvSpPr>
        <xdr:spPr bwMode="auto">
          <a:xfrm>
            <a:off x="1156" y="337"/>
            <a:ext cx="116" cy="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it-IT" sz="10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Video guida foglio COSTI</a:t>
            </a:r>
          </a:p>
        </xdr:txBody>
      </xdr:sp>
    </xdr:grpSp>
    <xdr:clientData fLocksWithSheet="0" fPrintsWithSheet="0"/>
  </xdr:twoCellAnchor>
  <xdr:twoCellAnchor>
    <xdr:from>
      <xdr:col>3</xdr:col>
      <xdr:colOff>133350</xdr:colOff>
      <xdr:row>159</xdr:row>
      <xdr:rowOff>152400</xdr:rowOff>
    </xdr:from>
    <xdr:to>
      <xdr:col>5</xdr:col>
      <xdr:colOff>95250</xdr:colOff>
      <xdr:row>165</xdr:row>
      <xdr:rowOff>28575</xdr:rowOff>
    </xdr:to>
    <xdr:grpSp>
      <xdr:nvGrpSpPr>
        <xdr:cNvPr id="27" name="Group 4575">
          <a:hlinkClick xmlns:r="http://schemas.openxmlformats.org/officeDocument/2006/relationships" r:id="rId8"/>
        </xdr:cNvPr>
        <xdr:cNvGrpSpPr>
          <a:grpSpLocks/>
        </xdr:cNvGrpSpPr>
      </xdr:nvGrpSpPr>
      <xdr:grpSpPr bwMode="auto">
        <a:xfrm>
          <a:off x="2409825" y="26955750"/>
          <a:ext cx="1238250" cy="847725"/>
          <a:chOff x="1142" y="285"/>
          <a:chExt cx="130" cy="89"/>
        </a:xfrm>
      </xdr:grpSpPr>
      <xdr:pic>
        <xdr:nvPicPr>
          <xdr:cNvPr id="28" name="Picture 4576" descr="YouTube-logo-full_color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2" y="285"/>
            <a:ext cx="97" cy="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Text Box 4577"/>
          <xdr:cNvSpPr txBox="1">
            <a:spLocks noChangeArrowheads="1"/>
          </xdr:cNvSpPr>
        </xdr:nvSpPr>
        <xdr:spPr bwMode="auto">
          <a:xfrm>
            <a:off x="1156" y="337"/>
            <a:ext cx="116" cy="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it-IT" sz="10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Video guida foglio RIPARTIZIONI</a:t>
            </a:r>
          </a:p>
        </xdr:txBody>
      </xdr:sp>
    </xdr:grpSp>
    <xdr:clientData fLocksWithSheet="0" fPrintsWithSheet="0"/>
  </xdr:twoCellAnchor>
  <xdr:twoCellAnchor>
    <xdr:from>
      <xdr:col>5</xdr:col>
      <xdr:colOff>323850</xdr:colOff>
      <xdr:row>160</xdr:row>
      <xdr:rowOff>9525</xdr:rowOff>
    </xdr:from>
    <xdr:to>
      <xdr:col>8</xdr:col>
      <xdr:colOff>400050</xdr:colOff>
      <xdr:row>163</xdr:row>
      <xdr:rowOff>104775</xdr:rowOff>
    </xdr:to>
    <xdr:grpSp>
      <xdr:nvGrpSpPr>
        <xdr:cNvPr id="30" name="Group 601">
          <a:hlinkClick xmlns:r="http://schemas.openxmlformats.org/officeDocument/2006/relationships" r:id="rId9"/>
        </xdr:cNvPr>
        <xdr:cNvGrpSpPr>
          <a:grpSpLocks/>
        </xdr:cNvGrpSpPr>
      </xdr:nvGrpSpPr>
      <xdr:grpSpPr bwMode="auto">
        <a:xfrm>
          <a:off x="3876675" y="26974800"/>
          <a:ext cx="1990725" cy="581025"/>
          <a:chOff x="1029" y="37"/>
          <a:chExt cx="209" cy="61"/>
        </a:xfrm>
      </xdr:grpSpPr>
      <xdr:pic>
        <xdr:nvPicPr>
          <xdr:cNvPr id="31" name="Picture 602" descr="YouTube-logo-full_color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9" y="37"/>
            <a:ext cx="97" cy="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2" name="Text Box 603"/>
          <xdr:cNvSpPr txBox="1">
            <a:spLocks noChangeArrowheads="1"/>
          </xdr:cNvSpPr>
        </xdr:nvSpPr>
        <xdr:spPr bwMode="auto">
          <a:xfrm>
            <a:off x="1122" y="49"/>
            <a:ext cx="116" cy="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it-IT" sz="10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Video guida foglio RENDICONTO</a:t>
            </a:r>
          </a:p>
        </xdr:txBody>
      </xdr:sp>
    </xdr:grpSp>
    <xdr:clientData fLocksWithSheet="0" fPrintsWithSheet="0"/>
  </xdr:twoCellAnchor>
  <xdr:twoCellAnchor>
    <xdr:from>
      <xdr:col>8</xdr:col>
      <xdr:colOff>590550</xdr:colOff>
      <xdr:row>159</xdr:row>
      <xdr:rowOff>152400</xdr:rowOff>
    </xdr:from>
    <xdr:to>
      <xdr:col>12</xdr:col>
      <xdr:colOff>28575</xdr:colOff>
      <xdr:row>163</xdr:row>
      <xdr:rowOff>85725</xdr:rowOff>
    </xdr:to>
    <xdr:grpSp>
      <xdr:nvGrpSpPr>
        <xdr:cNvPr id="33" name="Group 244">
          <a:hlinkClick xmlns:r="http://schemas.openxmlformats.org/officeDocument/2006/relationships" r:id="rId10"/>
        </xdr:cNvPr>
        <xdr:cNvGrpSpPr>
          <a:grpSpLocks/>
        </xdr:cNvGrpSpPr>
      </xdr:nvGrpSpPr>
      <xdr:grpSpPr bwMode="auto">
        <a:xfrm>
          <a:off x="6057900" y="26955750"/>
          <a:ext cx="2209800" cy="581025"/>
          <a:chOff x="1029" y="37"/>
          <a:chExt cx="209" cy="61"/>
        </a:xfrm>
      </xdr:grpSpPr>
      <xdr:pic>
        <xdr:nvPicPr>
          <xdr:cNvPr id="34" name="Picture 245" descr="YouTube-logo-full_color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9" y="37"/>
            <a:ext cx="97" cy="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Text Box 246"/>
          <xdr:cNvSpPr txBox="1">
            <a:spLocks noChangeArrowheads="1"/>
          </xdr:cNvSpPr>
        </xdr:nvSpPr>
        <xdr:spPr bwMode="auto">
          <a:xfrm>
            <a:off x="1122" y="49"/>
            <a:ext cx="116" cy="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lnSpc>
                <a:spcPts val="1100"/>
              </a:lnSpc>
              <a:defRPr sz="1000"/>
            </a:pPr>
            <a:r>
              <a:rPr lang="it-IT" sz="10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Video guida foglio CIRCOLARI</a:t>
            </a:r>
          </a:p>
        </xdr:txBody>
      </xdr:sp>
    </xdr:grpSp>
    <xdr:clientData fLocksWithSheet="0" fPrintsWithSheet="0"/>
  </xdr:twoCellAnchor>
  <xdr:oneCellAnchor>
    <xdr:from>
      <xdr:col>8</xdr:col>
      <xdr:colOff>565731</xdr:colOff>
      <xdr:row>113</xdr:row>
      <xdr:rowOff>49332</xdr:rowOff>
    </xdr:from>
    <xdr:ext cx="2301294" cy="1470146"/>
    <xdr:sp macro="" textlink="">
      <xdr:nvSpPr>
        <xdr:cNvPr id="4" name="CasellaDiTesto 3"/>
        <xdr:cNvSpPr txBox="1"/>
      </xdr:nvSpPr>
      <xdr:spPr>
        <a:xfrm rot="10800000" flipH="1" flipV="1">
          <a:off x="6033081" y="24490482"/>
          <a:ext cx="2301294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it-IT" sz="1100" i="1">
              <a:solidFill>
                <a:schemeClr val="bg1">
                  <a:lumMod val="50000"/>
                </a:schemeClr>
              </a:solidFill>
              <a:latin typeface="Corbel" panose="020B0503020204020204" pitchFamily="34" charset="0"/>
            </a:rPr>
            <a:t>Questo esempio fa emergere degli SBILANCI a seconda del trimestre selezionato. E' normale trovare degli sbilanci nel sistema (segnalati via via nei fogli).</a:t>
          </a:r>
          <a:br>
            <a:rPr lang="it-IT" sz="1100" i="1">
              <a:solidFill>
                <a:schemeClr val="bg1">
                  <a:lumMod val="50000"/>
                </a:schemeClr>
              </a:solidFill>
              <a:latin typeface="Corbel" panose="020B0503020204020204" pitchFamily="34" charset="0"/>
            </a:rPr>
          </a:br>
          <a:r>
            <a:rPr lang="it-IT" sz="1100" i="1">
              <a:solidFill>
                <a:schemeClr val="bg1">
                  <a:lumMod val="50000"/>
                </a:schemeClr>
              </a:solidFill>
              <a:latin typeface="Corbel" panose="020B0503020204020204" pitchFamily="34" charset="0"/>
            </a:rPr>
            <a:t>La situazione contabile corretta si ottiene con l' opzione "Totale in sistema".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914400</xdr:colOff>
      <xdr:row>21</xdr:row>
      <xdr:rowOff>190500</xdr:rowOff>
    </xdr:from>
    <xdr:to>
      <xdr:col>9</xdr:col>
      <xdr:colOff>295275</xdr:colOff>
      <xdr:row>27</xdr:row>
      <xdr:rowOff>85725</xdr:rowOff>
    </xdr:to>
    <xdr:sp macro="" textlink="">
      <xdr:nvSpPr>
        <xdr:cNvPr id="106750" name="Text Box 4350"/>
        <xdr:cNvSpPr txBox="1">
          <a:spLocks noChangeArrowheads="1"/>
        </xdr:cNvSpPr>
      </xdr:nvSpPr>
      <xdr:spPr bwMode="auto">
        <a:xfrm>
          <a:off x="1724025" y="4705350"/>
          <a:ext cx="3543300" cy="1152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miter lim="800000"/>
          <a:headEnd/>
          <a:tailEnd/>
        </a:ln>
      </xdr:spPr>
      <xdr:txBody>
        <a:bodyPr vertOverflow="clip" wrap="square" lIns="108000" tIns="46800" rIns="90000" bIns="46800" anchor="t" upright="1"/>
        <a:lstStyle/>
        <a:p>
          <a:pPr algn="just" rtl="0">
            <a:defRPr sz="1000"/>
          </a:pPr>
          <a:r>
            <a:rPr lang="it-IT" sz="1000" b="0" i="1" u="none" strike="noStrike" baseline="0">
              <a:solidFill>
                <a:srgbClr val="FF0000"/>
              </a:solidFill>
              <a:latin typeface="Corbel"/>
            </a:rPr>
            <a:t>Attenzione:</a:t>
          </a:r>
          <a:endParaRPr lang="it-IT" sz="1000" b="0" i="1" u="none" strike="noStrike" baseline="0">
            <a:solidFill>
              <a:srgbClr val="000000"/>
            </a:solidFill>
            <a:latin typeface="Corbel"/>
          </a:endParaRPr>
        </a:p>
        <a:p>
          <a:pPr algn="just" rtl="0">
            <a:defRPr sz="1000"/>
          </a:pPr>
          <a:r>
            <a:rPr lang="it-IT" sz="1000" b="0" i="1" u="none" strike="noStrike" baseline="0">
              <a:solidFill>
                <a:srgbClr val="000000"/>
              </a:solidFill>
              <a:latin typeface="Corbel"/>
            </a:rPr>
            <a:t>queste impostazioni agiscono sull' intero file.</a:t>
          </a:r>
        </a:p>
        <a:p>
          <a:pPr algn="just" rtl="0">
            <a:defRPr sz="1000"/>
          </a:pPr>
          <a:r>
            <a:rPr lang="it-IT" sz="1000" b="0" i="1" u="none" strike="noStrike" baseline="0">
              <a:solidFill>
                <a:srgbClr val="000000"/>
              </a:solidFill>
              <a:latin typeface="Corbel"/>
            </a:rPr>
            <a:t>Valuta attentamente eventuali modifiche in corso d' anno.</a:t>
          </a:r>
        </a:p>
        <a:p>
          <a:pPr algn="just" rtl="0">
            <a:defRPr sz="1000"/>
          </a:pPr>
          <a:r>
            <a:rPr lang="it-IT" sz="1000" b="0" i="1" u="sng" strike="noStrike" baseline="0">
              <a:solidFill>
                <a:srgbClr val="000000"/>
              </a:solidFill>
              <a:latin typeface="Corbel"/>
            </a:rPr>
            <a:t>Qualsiasi modifica agisce in automatico su tutto il sistema.</a:t>
          </a:r>
          <a:endParaRPr lang="it-IT" sz="1000" b="0" i="1" u="none" strike="noStrike" baseline="0">
            <a:solidFill>
              <a:srgbClr val="000000"/>
            </a:solidFill>
            <a:latin typeface="Corbel"/>
          </a:endParaRPr>
        </a:p>
        <a:p>
          <a:pPr algn="just" rtl="0">
            <a:defRPr sz="1000"/>
          </a:pPr>
          <a:r>
            <a:rPr lang="it-IT" sz="1000" b="0" i="1" u="none" strike="noStrike" baseline="0">
              <a:solidFill>
                <a:srgbClr val="000000"/>
              </a:solidFill>
              <a:latin typeface="Corbel"/>
            </a:rPr>
            <a:t>E' possibile copiare per enne volte questo file, all' occorrenza anche per iniziare con nuove impostazioni.</a:t>
          </a:r>
        </a:p>
      </xdr:txBody>
    </xdr:sp>
    <xdr:clientData fPrintsWithSheet="0"/>
  </xdr:twoCellAnchor>
  <xdr:twoCellAnchor editAs="oneCell">
    <xdr:from>
      <xdr:col>16</xdr:col>
      <xdr:colOff>28575</xdr:colOff>
      <xdr:row>1</xdr:row>
      <xdr:rowOff>104775</xdr:rowOff>
    </xdr:from>
    <xdr:to>
      <xdr:col>20</xdr:col>
      <xdr:colOff>228600</xdr:colOff>
      <xdr:row>3</xdr:row>
      <xdr:rowOff>114300</xdr:rowOff>
    </xdr:to>
    <xdr:pic>
      <xdr:nvPicPr>
        <xdr:cNvPr id="106824" name="Picture 4424" descr="Tasto TAB e descrizione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352425"/>
          <a:ext cx="2590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19</xdr:col>
      <xdr:colOff>104776</xdr:colOff>
      <xdr:row>6</xdr:row>
      <xdr:rowOff>66674</xdr:rowOff>
    </xdr:from>
    <xdr:to>
      <xdr:col>57</xdr:col>
      <xdr:colOff>247650</xdr:colOff>
      <xdr:row>18</xdr:row>
      <xdr:rowOff>47625</xdr:rowOff>
    </xdr:to>
    <xdr:grpSp>
      <xdr:nvGrpSpPr>
        <xdr:cNvPr id="2" name="Gruppo 1"/>
        <xdr:cNvGrpSpPr/>
      </xdr:nvGrpSpPr>
      <xdr:grpSpPr>
        <a:xfrm>
          <a:off x="11677651" y="1438274"/>
          <a:ext cx="6210299" cy="2495551"/>
          <a:chOff x="11677651" y="2133599"/>
          <a:chExt cx="6153149" cy="2495551"/>
        </a:xfrm>
      </xdr:grpSpPr>
      <xdr:sp macro="" textlink="">
        <xdr:nvSpPr>
          <xdr:cNvPr id="106763" name="Text Box 4363"/>
          <xdr:cNvSpPr txBox="1">
            <a:spLocks noChangeArrowheads="1"/>
          </xdr:cNvSpPr>
        </xdr:nvSpPr>
        <xdr:spPr bwMode="auto">
          <a:xfrm>
            <a:off x="11677651" y="3990975"/>
            <a:ext cx="5648324" cy="6381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it-IT" sz="1000" b="0" i="0" u="sng" strike="noStrike" baseline="0">
                <a:solidFill>
                  <a:srgbClr val="333333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Note su Tabella CORRETTA:</a:t>
            </a:r>
            <a:endParaRPr lang="it-IT" sz="1000" b="0" i="0" u="none" strike="noStrike" baseline="0">
              <a:solidFill>
                <a:srgbClr val="80808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  <a:p>
            <a:pPr algn="l" rtl="0">
              <a:defRPr sz="1000"/>
            </a:pPr>
            <a:r>
              <a:rPr lang="it-IT" sz="1100" b="0" i="1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Corbel"/>
              </a:rPr>
              <a:t>Qui a sinistra puoi impostare manualmente i tuoi valori, </a:t>
            </a:r>
            <a:r>
              <a:rPr lang="it-IT" sz="1100" b="0" i="1" u="sng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Corbel"/>
              </a:rPr>
              <a:t>modificando quanto rilevato automaticamente dal sistema</a:t>
            </a:r>
            <a:r>
              <a:rPr lang="it-IT" sz="1100" b="0" i="1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Corbel"/>
              </a:rPr>
              <a:t>. Agisci sul campo "CONFERMATA" per attivare la tua tabella.</a:t>
            </a:r>
          </a:p>
        </xdr:txBody>
      </xdr:sp>
      <xdr:sp macro="" textlink="">
        <xdr:nvSpPr>
          <xdr:cNvPr id="106829" name="Text Box 4429"/>
          <xdr:cNvSpPr txBox="1">
            <a:spLocks noChangeArrowheads="1"/>
          </xdr:cNvSpPr>
        </xdr:nvSpPr>
        <xdr:spPr bwMode="auto">
          <a:xfrm>
            <a:off x="11677651" y="2133599"/>
            <a:ext cx="6153149" cy="18002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it-IT" sz="1000" b="0" i="0" u="sng" strike="noStrike" baseline="0">
                <a:solidFill>
                  <a:schemeClr val="tx1">
                    <a:lumMod val="85000"/>
                    <a:lumOff val="1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Note su ripartizione nr. 5 e 6</a:t>
            </a:r>
            <a:endParaRPr lang="it-IT" sz="1000" b="0" i="1" u="sng" strike="noStrike" baseline="0">
              <a:solidFill>
                <a:schemeClr val="tx1">
                  <a:lumMod val="85000"/>
                  <a:lumOff val="1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  <a:p>
            <a:pPr algn="l" rtl="0">
              <a:defRPr sz="1000"/>
            </a:pPr>
            <a:r>
              <a:rPr lang="it-IT" sz="1100" b="0" i="1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Corbel"/>
              </a:rPr>
              <a:t>Con queste opzioni, </a:t>
            </a:r>
            <a:r>
              <a:rPr lang="it-IT" sz="1100" b="0" i="1" u="none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rPr>
              <a:t>ogni importo viene ripartito in </a:t>
            </a:r>
            <a:r>
              <a:rPr lang="it-IT" sz="1100" b="0" i="1" u="sng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rPr>
              <a:t>misura uguale</a:t>
            </a:r>
            <a:r>
              <a:rPr lang="it-IT" sz="1100" b="0" i="1" u="none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rPr>
              <a:t> tra gli enti dello stesso piano / scala / palazzina. Il sistema fa la somma dei coefficienti di riparto dei singoli ENTI appartenenti a quello specifico settore, calcola l' importo totale e lo ripartisce in parti uguali tra gli enti di quel settore.</a:t>
            </a:r>
            <a:br>
              <a:rPr lang="it-IT" sz="1100" b="0" i="1" u="none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rPr>
            </a:br>
            <a:endParaRPr lang="it-IT" sz="1000" b="0" i="0" u="none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  <a:p>
            <a:pPr algn="l" rtl="0">
              <a:defRPr sz="1000"/>
            </a:pPr>
            <a:r>
              <a:rPr lang="it-IT" sz="1000" b="0" i="0" u="non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Es: ENTE 1  / piano terra    mill.mi 100</a:t>
            </a:r>
            <a:br>
              <a:rPr lang="it-IT" sz="1000" b="0" i="0" u="non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</a:br>
            <a:r>
              <a:rPr lang="it-IT" sz="1000" b="0" i="0" u="non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     ENTE 2 / piano terra    mill.mi 200      Tot. mill.mi 300</a:t>
            </a:r>
            <a:br>
              <a:rPr lang="it-IT" sz="1000" b="0" i="0" u="non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</a:br>
            <a:endParaRPr lang="it-IT" sz="1000" b="0" i="0" u="none" baseline="0">
              <a:solidFill>
                <a:schemeClr val="tx1">
                  <a:lumMod val="85000"/>
                  <a:lumOff val="15000"/>
                </a:schemeClr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  <a:p>
            <a:pPr algn="l" rtl="0">
              <a:defRPr sz="1000"/>
            </a:pPr>
            <a:r>
              <a:rPr lang="it-IT" sz="1000" b="0" i="0" u="non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Con l'opzione "PER PIANO", il sistema calcolerebbe l' importo per mill.mi 300 e lo dividerebbe al 50% tra i due enti.</a:t>
            </a:r>
            <a:endParaRPr lang="it-IT" sz="1000" b="0" i="0" u="none" strike="noStrike" baseline="0">
              <a:solidFill>
                <a:schemeClr val="tx1">
                  <a:lumMod val="85000"/>
                  <a:lumOff val="1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46</xdr:row>
      <xdr:rowOff>9525</xdr:rowOff>
    </xdr:from>
    <xdr:to>
      <xdr:col>6</xdr:col>
      <xdr:colOff>523875</xdr:colOff>
      <xdr:row>51</xdr:row>
      <xdr:rowOff>180975</xdr:rowOff>
    </xdr:to>
    <xdr:grpSp>
      <xdr:nvGrpSpPr>
        <xdr:cNvPr id="86878" name="Group 22366"/>
        <xdr:cNvGrpSpPr>
          <a:grpSpLocks/>
        </xdr:cNvGrpSpPr>
      </xdr:nvGrpSpPr>
      <xdr:grpSpPr bwMode="auto">
        <a:xfrm>
          <a:off x="571500" y="9686925"/>
          <a:ext cx="3228975" cy="1219200"/>
          <a:chOff x="58" y="2007"/>
          <a:chExt cx="339" cy="128"/>
        </a:xfrm>
      </xdr:grpSpPr>
      <xdr:sp macro="" textlink="">
        <xdr:nvSpPr>
          <xdr:cNvPr id="86879" name="Text Box 22367"/>
          <xdr:cNvSpPr txBox="1">
            <a:spLocks noChangeArrowheads="1"/>
          </xdr:cNvSpPr>
        </xdr:nvSpPr>
        <xdr:spPr bwMode="auto">
          <a:xfrm>
            <a:off x="115" y="2027"/>
            <a:ext cx="282" cy="10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miter lim="800000"/>
            <a:headEnd/>
            <a:tailEnd/>
          </a:ln>
        </xdr:spPr>
        <xdr:txBody>
          <a:bodyPr vertOverflow="clip" wrap="square" lIns="180000" tIns="46800" rIns="90000" bIns="46800" anchor="t" upright="1"/>
          <a:lstStyle/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333333"/>
                </a:solidFill>
                <a:latin typeface="Corbel"/>
              </a:rPr>
              <a:t>N.B.</a:t>
            </a:r>
          </a:p>
          <a:p>
            <a:pPr algn="l" rtl="0">
              <a:defRPr sz="1000"/>
            </a:pPr>
            <a:r>
              <a:rPr lang="it-IT" sz="1000" b="0" i="1" u="none" strike="noStrike" baseline="0">
                <a:solidFill>
                  <a:srgbClr val="333333"/>
                </a:solidFill>
                <a:latin typeface="Corbel"/>
              </a:rPr>
              <a:t>Dal punto di vista del Condominio, la liquidità positiva espressa dal primo prospetto di questo foglio è una ATTIVITA' mentre il CREDITO eventuale dei singoli ENTI è una PASSIVITA'.</a:t>
            </a:r>
          </a:p>
        </xdr:txBody>
      </xdr:sp>
      <xdr:sp macro="" textlink="">
        <xdr:nvSpPr>
          <xdr:cNvPr id="86880" name="Freeform 22368"/>
          <xdr:cNvSpPr>
            <a:spLocks/>
          </xdr:cNvSpPr>
        </xdr:nvSpPr>
        <xdr:spPr bwMode="auto">
          <a:xfrm>
            <a:off x="58" y="2007"/>
            <a:ext cx="57" cy="51"/>
          </a:xfrm>
          <a:custGeom>
            <a:avLst/>
            <a:gdLst>
              <a:gd name="T0" fmla="*/ 0 w 109"/>
              <a:gd name="T1" fmla="*/ 0 h 81"/>
              <a:gd name="T2" fmla="*/ 0 w 109"/>
              <a:gd name="T3" fmla="*/ 81 h 81"/>
              <a:gd name="T4" fmla="*/ 109 w 109"/>
              <a:gd name="T5" fmla="*/ 81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09" h="81">
                <a:moveTo>
                  <a:pt x="0" y="0"/>
                </a:moveTo>
                <a:lnTo>
                  <a:pt x="0" y="81"/>
                </a:lnTo>
                <a:lnTo>
                  <a:pt x="109" y="81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13</xdr:row>
      <xdr:rowOff>104775</xdr:rowOff>
    </xdr:from>
    <xdr:to>
      <xdr:col>4</xdr:col>
      <xdr:colOff>552450</xdr:colOff>
      <xdr:row>22</xdr:row>
      <xdr:rowOff>19050</xdr:rowOff>
    </xdr:to>
    <xdr:sp macro="" textlink="">
      <xdr:nvSpPr>
        <xdr:cNvPr id="13742" name="Freeform 430"/>
        <xdr:cNvSpPr>
          <a:spLocks/>
        </xdr:cNvSpPr>
      </xdr:nvSpPr>
      <xdr:spPr bwMode="auto">
        <a:xfrm>
          <a:off x="1647825" y="2800350"/>
          <a:ext cx="466725" cy="866775"/>
        </a:xfrm>
        <a:custGeom>
          <a:avLst/>
          <a:gdLst>
            <a:gd name="T0" fmla="*/ 0 w 103"/>
            <a:gd name="T1" fmla="*/ 90 h 90"/>
            <a:gd name="T2" fmla="*/ 0 w 103"/>
            <a:gd name="T3" fmla="*/ 0 h 90"/>
            <a:gd name="T4" fmla="*/ 103 w 103"/>
            <a:gd name="T5" fmla="*/ 0 h 9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103" h="90">
              <a:moveTo>
                <a:pt x="0" y="90"/>
              </a:moveTo>
              <a:lnTo>
                <a:pt x="0" y="0"/>
              </a:lnTo>
              <a:lnTo>
                <a:pt x="103" y="0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prstDash val="solid"/>
          <a:round/>
          <a:headEnd type="none" w="med" len="med"/>
          <a:tailEnd type="stealth" w="lg" len="lg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85725</xdr:colOff>
      <xdr:row>29</xdr:row>
      <xdr:rowOff>9525</xdr:rowOff>
    </xdr:from>
    <xdr:to>
      <xdr:col>4</xdr:col>
      <xdr:colOff>552450</xdr:colOff>
      <xdr:row>37</xdr:row>
      <xdr:rowOff>133350</xdr:rowOff>
    </xdr:to>
    <xdr:sp macro="" textlink="">
      <xdr:nvSpPr>
        <xdr:cNvPr id="13744" name="Freeform 432"/>
        <xdr:cNvSpPr>
          <a:spLocks/>
        </xdr:cNvSpPr>
      </xdr:nvSpPr>
      <xdr:spPr bwMode="auto">
        <a:xfrm>
          <a:off x="1647825" y="4305300"/>
          <a:ext cx="466725" cy="866775"/>
        </a:xfrm>
        <a:custGeom>
          <a:avLst/>
          <a:gdLst>
            <a:gd name="T0" fmla="*/ 0 w 42"/>
            <a:gd name="T1" fmla="*/ 0 h 88"/>
            <a:gd name="T2" fmla="*/ 0 w 42"/>
            <a:gd name="T3" fmla="*/ 88 h 88"/>
            <a:gd name="T4" fmla="*/ 42 w 42"/>
            <a:gd name="T5" fmla="*/ 88 h 8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42" h="88">
              <a:moveTo>
                <a:pt x="0" y="0"/>
              </a:moveTo>
              <a:lnTo>
                <a:pt x="0" y="88"/>
              </a:lnTo>
              <a:lnTo>
                <a:pt x="42" y="88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stealth" w="lg" len="lg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561975</xdr:colOff>
      <xdr:row>44</xdr:row>
      <xdr:rowOff>123825</xdr:rowOff>
    </xdr:from>
    <xdr:to>
      <xdr:col>10</xdr:col>
      <xdr:colOff>209550</xdr:colOff>
      <xdr:row>48</xdr:row>
      <xdr:rowOff>123825</xdr:rowOff>
    </xdr:to>
    <xdr:grpSp>
      <xdr:nvGrpSpPr>
        <xdr:cNvPr id="14298" name="Group 986"/>
        <xdr:cNvGrpSpPr>
          <a:grpSpLocks/>
        </xdr:cNvGrpSpPr>
      </xdr:nvGrpSpPr>
      <xdr:grpSpPr bwMode="auto">
        <a:xfrm>
          <a:off x="5648325" y="6667500"/>
          <a:ext cx="361950" cy="914400"/>
          <a:chOff x="617" y="631"/>
          <a:chExt cx="38" cy="75"/>
        </a:xfrm>
      </xdr:grpSpPr>
      <xdr:sp macro="" textlink="">
        <xdr:nvSpPr>
          <xdr:cNvPr id="14296" name="Freeform 984"/>
          <xdr:cNvSpPr>
            <a:spLocks/>
          </xdr:cNvSpPr>
        </xdr:nvSpPr>
        <xdr:spPr bwMode="auto">
          <a:xfrm>
            <a:off x="617" y="631"/>
            <a:ext cx="38" cy="75"/>
          </a:xfrm>
          <a:custGeom>
            <a:avLst/>
            <a:gdLst>
              <a:gd name="T0" fmla="*/ 0 w 28"/>
              <a:gd name="T1" fmla="*/ 0 h 75"/>
              <a:gd name="T2" fmla="*/ 28 w 28"/>
              <a:gd name="T3" fmla="*/ 0 h 75"/>
              <a:gd name="T4" fmla="*/ 28 w 28"/>
              <a:gd name="T5" fmla="*/ 75 h 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8" h="75">
                <a:moveTo>
                  <a:pt x="0" y="0"/>
                </a:moveTo>
                <a:lnTo>
                  <a:pt x="28" y="0"/>
                </a:lnTo>
                <a:lnTo>
                  <a:pt x="28" y="75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297" name="Line 985"/>
          <xdr:cNvSpPr>
            <a:spLocks noChangeShapeType="1"/>
          </xdr:cNvSpPr>
        </xdr:nvSpPr>
        <xdr:spPr bwMode="auto">
          <a:xfrm>
            <a:off x="617" y="706"/>
            <a:ext cx="3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266700</xdr:colOff>
      <xdr:row>45</xdr:row>
      <xdr:rowOff>161925</xdr:rowOff>
    </xdr:from>
    <xdr:to>
      <xdr:col>11</xdr:col>
      <xdr:colOff>276225</xdr:colOff>
      <xdr:row>47</xdr:row>
      <xdr:rowOff>85725</xdr:rowOff>
    </xdr:to>
    <xdr:sp macro="" textlink="">
      <xdr:nvSpPr>
        <xdr:cNvPr id="14299" name="Text Box 987"/>
        <xdr:cNvSpPr txBox="1">
          <a:spLocks noChangeArrowheads="1"/>
        </xdr:cNvSpPr>
      </xdr:nvSpPr>
      <xdr:spPr bwMode="auto">
        <a:xfrm>
          <a:off x="6067425" y="6934200"/>
          <a:ext cx="723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900"/>
            </a:lnSpc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X  Confronta:</a:t>
          </a:r>
        </a:p>
        <a:p>
          <a:pPr algn="l" rtl="0">
            <a:lnSpc>
              <a:spcPts val="900"/>
            </a:lnSpc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UGUALI = OK</a:t>
          </a:r>
        </a:p>
      </xdr:txBody>
    </xdr:sp>
    <xdr:clientData/>
  </xdr:twoCellAnchor>
  <xdr:twoCellAnchor>
    <xdr:from>
      <xdr:col>10</xdr:col>
      <xdr:colOff>419100</xdr:colOff>
      <xdr:row>49</xdr:row>
      <xdr:rowOff>28575</xdr:rowOff>
    </xdr:from>
    <xdr:to>
      <xdr:col>12</xdr:col>
      <xdr:colOff>152400</xdr:colOff>
      <xdr:row>50</xdr:row>
      <xdr:rowOff>180975</xdr:rowOff>
    </xdr:to>
    <xdr:grpSp>
      <xdr:nvGrpSpPr>
        <xdr:cNvPr id="61117" name="Group 2749"/>
        <xdr:cNvGrpSpPr>
          <a:grpSpLocks/>
        </xdr:cNvGrpSpPr>
      </xdr:nvGrpSpPr>
      <xdr:grpSpPr bwMode="auto">
        <a:xfrm>
          <a:off x="6219825" y="7715250"/>
          <a:ext cx="1162050" cy="381000"/>
          <a:chOff x="654" y="807"/>
          <a:chExt cx="122" cy="40"/>
        </a:xfrm>
      </xdr:grpSpPr>
      <xdr:grpSp>
        <xdr:nvGrpSpPr>
          <xdr:cNvPr id="61118" name="Group 2750"/>
          <xdr:cNvGrpSpPr>
            <a:grpSpLocks/>
          </xdr:cNvGrpSpPr>
        </xdr:nvGrpSpPr>
        <xdr:grpSpPr bwMode="auto">
          <a:xfrm flipH="1">
            <a:off x="738" y="817"/>
            <a:ext cx="38" cy="24"/>
            <a:chOff x="617" y="631"/>
            <a:chExt cx="38" cy="75"/>
          </a:xfrm>
        </xdr:grpSpPr>
        <xdr:sp macro="" textlink="">
          <xdr:nvSpPr>
            <xdr:cNvPr id="61119" name="Freeform 2751"/>
            <xdr:cNvSpPr>
              <a:spLocks/>
            </xdr:cNvSpPr>
          </xdr:nvSpPr>
          <xdr:spPr bwMode="auto">
            <a:xfrm>
              <a:off x="617" y="631"/>
              <a:ext cx="38" cy="75"/>
            </a:xfrm>
            <a:custGeom>
              <a:avLst/>
              <a:gdLst>
                <a:gd name="T0" fmla="*/ 0 w 28"/>
                <a:gd name="T1" fmla="*/ 0 h 75"/>
                <a:gd name="T2" fmla="*/ 28 w 28"/>
                <a:gd name="T3" fmla="*/ 0 h 75"/>
                <a:gd name="T4" fmla="*/ 28 w 28"/>
                <a:gd name="T5" fmla="*/ 75 h 7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28" h="75">
                  <a:moveTo>
                    <a:pt x="0" y="0"/>
                  </a:moveTo>
                  <a:lnTo>
                    <a:pt x="28" y="0"/>
                  </a:lnTo>
                  <a:lnTo>
                    <a:pt x="28" y="75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808080" mc:Ignorable="a14" a14:legacySpreadsheetColorIndex="23"/>
              </a:solidFill>
              <a:prstDash val="solid"/>
              <a:round/>
              <a:headEnd type="triangl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61120" name="Line 2752"/>
            <xdr:cNvSpPr>
              <a:spLocks noChangeShapeType="1"/>
            </xdr:cNvSpPr>
          </xdr:nvSpPr>
          <xdr:spPr bwMode="auto">
            <a:xfrm>
              <a:off x="617" y="706"/>
              <a:ext cx="38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808080" mc:Ignorable="a14" a14:legacySpreadsheetColorIndex="23"/>
              </a:solidFill>
              <a:round/>
              <a:headEnd type="triangle" w="med" len="med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61121" name="Text Box 2753"/>
          <xdr:cNvSpPr txBox="1">
            <a:spLocks noChangeArrowheads="1"/>
          </xdr:cNvSpPr>
        </xdr:nvSpPr>
        <xdr:spPr bwMode="auto">
          <a:xfrm>
            <a:off x="654" y="807"/>
            <a:ext cx="76" cy="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27432" bIns="18288" anchor="ctr" upright="1"/>
          <a:lstStyle/>
          <a:p>
            <a:pPr algn="r" rtl="0">
              <a:lnSpc>
                <a:spcPts val="900"/>
              </a:lnSpc>
              <a:defRPr sz="1000"/>
            </a:pPr>
            <a:r>
              <a:rPr lang="it-IT" sz="8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Y  Confronta:</a:t>
            </a:r>
          </a:p>
          <a:p>
            <a:pPr algn="r" rtl="0">
              <a:lnSpc>
                <a:spcPts val="900"/>
              </a:lnSpc>
              <a:defRPr sz="1000"/>
            </a:pPr>
            <a:r>
              <a:rPr lang="it-IT" sz="800" b="0" i="0" u="none" strike="noStrike" baseline="0">
                <a:solidFill>
                  <a:srgbClr val="808080"/>
                </a:solidFill>
                <a:latin typeface="Tahoma"/>
                <a:ea typeface="Tahoma"/>
                <a:cs typeface="Tahoma"/>
              </a:rPr>
              <a:t>UGUALI = OK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0</xdr:row>
      <xdr:rowOff>47625</xdr:rowOff>
    </xdr:from>
    <xdr:to>
      <xdr:col>3</xdr:col>
      <xdr:colOff>409575</xdr:colOff>
      <xdr:row>3</xdr:row>
      <xdr:rowOff>85725</xdr:rowOff>
    </xdr:to>
    <xdr:sp macro="" textlink="">
      <xdr:nvSpPr>
        <xdr:cNvPr id="38025" name="Rectangle 11401"/>
        <xdr:cNvSpPr>
          <a:spLocks noChangeArrowheads="1"/>
        </xdr:cNvSpPr>
      </xdr:nvSpPr>
      <xdr:spPr bwMode="auto">
        <a:xfrm>
          <a:off x="352425" y="47625"/>
          <a:ext cx="733425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R.A. =</a:t>
          </a:r>
        </a:p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Registrazione</a:t>
          </a:r>
        </a:p>
        <a:p>
          <a:pPr algn="l" rtl="0">
            <a:defRPr sz="1000"/>
          </a:pPr>
          <a:r>
            <a:rPr lang="it-IT" sz="800" b="0" i="0" u="none" strike="noStrike" baseline="0">
              <a:solidFill>
                <a:srgbClr val="808080"/>
              </a:solidFill>
              <a:latin typeface="Tahoma"/>
              <a:ea typeface="Tahoma"/>
              <a:cs typeface="Tahoma"/>
            </a:rPr>
            <a:t>Automatica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85725</xdr:colOff>
      <xdr:row>43</xdr:row>
      <xdr:rowOff>9525</xdr:rowOff>
    </xdr:from>
    <xdr:to>
      <xdr:col>24</xdr:col>
      <xdr:colOff>314325</xdr:colOff>
      <xdr:row>46</xdr:row>
      <xdr:rowOff>190500</xdr:rowOff>
    </xdr:to>
    <xdr:grpSp>
      <xdr:nvGrpSpPr>
        <xdr:cNvPr id="62032" name="Group 592"/>
        <xdr:cNvGrpSpPr>
          <a:grpSpLocks/>
        </xdr:cNvGrpSpPr>
      </xdr:nvGrpSpPr>
      <xdr:grpSpPr bwMode="auto">
        <a:xfrm>
          <a:off x="10429875" y="8829675"/>
          <a:ext cx="2724150" cy="971550"/>
          <a:chOff x="1076" y="1174"/>
          <a:chExt cx="286" cy="102"/>
        </a:xfrm>
      </xdr:grpSpPr>
      <xdr:sp macro="" textlink="">
        <xdr:nvSpPr>
          <xdr:cNvPr id="62033" name="Line 593"/>
          <xdr:cNvSpPr>
            <a:spLocks noChangeShapeType="1"/>
          </xdr:cNvSpPr>
        </xdr:nvSpPr>
        <xdr:spPr bwMode="auto">
          <a:xfrm flipV="1">
            <a:off x="1076" y="1201"/>
            <a:ext cx="136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034" name="Text Box 594"/>
          <xdr:cNvSpPr txBox="1">
            <a:spLocks noChangeArrowheads="1"/>
          </xdr:cNvSpPr>
        </xdr:nvSpPr>
        <xdr:spPr bwMode="auto">
          <a:xfrm>
            <a:off x="1112" y="1174"/>
            <a:ext cx="250" cy="10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miter lim="800000"/>
            <a:headEnd/>
            <a:tailEnd/>
          </a:ln>
        </xdr:spPr>
        <xdr:txBody>
          <a:bodyPr vertOverflow="clip" wrap="square" lIns="72000" tIns="46800" rIns="90000" bIns="46800" anchor="t" upright="1"/>
          <a:lstStyle/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Questo campo non interferisce con</a:t>
            </a:r>
          </a:p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le impostazioni generali del sistema</a:t>
            </a:r>
          </a:p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e con i conteggi di bilancio.</a:t>
            </a:r>
          </a:p>
          <a:p>
            <a:pPr algn="l" rtl="0">
              <a:defRPr sz="1000"/>
            </a:pPr>
            <a:r>
              <a:rPr lang="it-IT" sz="1000" b="0" i="0" u="sng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Agisce SOLO su questo specchietto e viene riportato nelle circolari pubbliche</a:t>
            </a: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.</a:t>
            </a:r>
          </a:p>
          <a:p>
            <a:pPr algn="l" rtl="0">
              <a:defRPr sz="1000"/>
            </a:pPr>
            <a:endParaRPr lang="it-IT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endParaRPr>
          </a:p>
        </xdr:txBody>
      </xdr:sp>
    </xdr:grpSp>
    <xdr:clientData fLocksWithSheet="0" fPrintsWithSheet="0"/>
  </xdr:twoCellAnchor>
  <xdr:twoCellAnchor>
    <xdr:from>
      <xdr:col>17</xdr:col>
      <xdr:colOff>19050</xdr:colOff>
      <xdr:row>107</xdr:row>
      <xdr:rowOff>47625</xdr:rowOff>
    </xdr:from>
    <xdr:to>
      <xdr:col>24</xdr:col>
      <xdr:colOff>247650</xdr:colOff>
      <xdr:row>111</xdr:row>
      <xdr:rowOff>180975</xdr:rowOff>
    </xdr:to>
    <xdr:grpSp>
      <xdr:nvGrpSpPr>
        <xdr:cNvPr id="62035" name="Group 595"/>
        <xdr:cNvGrpSpPr>
          <a:grpSpLocks/>
        </xdr:cNvGrpSpPr>
      </xdr:nvGrpSpPr>
      <xdr:grpSpPr bwMode="auto">
        <a:xfrm>
          <a:off x="10363200" y="22555200"/>
          <a:ext cx="2724150" cy="971550"/>
          <a:chOff x="1076" y="1174"/>
          <a:chExt cx="286" cy="102"/>
        </a:xfrm>
      </xdr:grpSpPr>
      <xdr:sp macro="" textlink="">
        <xdr:nvSpPr>
          <xdr:cNvPr id="62036" name="Line 596"/>
          <xdr:cNvSpPr>
            <a:spLocks noChangeShapeType="1"/>
          </xdr:cNvSpPr>
        </xdr:nvSpPr>
        <xdr:spPr bwMode="auto">
          <a:xfrm flipV="1">
            <a:off x="1076" y="1201"/>
            <a:ext cx="136" cy="2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037" name="Text Box 597"/>
          <xdr:cNvSpPr txBox="1">
            <a:spLocks noChangeArrowheads="1"/>
          </xdr:cNvSpPr>
        </xdr:nvSpPr>
        <xdr:spPr bwMode="auto">
          <a:xfrm>
            <a:off x="1112" y="1174"/>
            <a:ext cx="250" cy="10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808080" mc:Ignorable="a14" a14:legacySpreadsheetColorIndex="23"/>
            </a:solidFill>
            <a:miter lim="800000"/>
            <a:headEnd/>
            <a:tailEnd/>
          </a:ln>
        </xdr:spPr>
        <xdr:txBody>
          <a:bodyPr vertOverflow="clip" wrap="square" lIns="72000" tIns="46800" rIns="90000" bIns="46800" anchor="t" upright="1"/>
          <a:lstStyle/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Questo campo non interferisce con</a:t>
            </a:r>
          </a:p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le impostazioni generali del sistema</a:t>
            </a:r>
          </a:p>
          <a:p>
            <a:pPr algn="l" rtl="0">
              <a:defRPr sz="1000"/>
            </a:pP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e con i conteggi di bilancio.</a:t>
            </a:r>
          </a:p>
          <a:p>
            <a:pPr algn="l" rtl="0">
              <a:defRPr sz="1000"/>
            </a:pPr>
            <a:r>
              <a:rPr lang="it-IT" sz="1000" b="0" i="0" u="sng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Agisce SOLO su questo specchietto e viene riportato nelle circolari pubbliche</a:t>
            </a:r>
            <a:r>
              <a:rPr lang="it-IT"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.</a:t>
            </a:r>
          </a:p>
          <a:p>
            <a:pPr algn="l" rtl="0">
              <a:defRPr sz="1000"/>
            </a:pPr>
            <a:endParaRPr lang="it-IT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endParaRPr>
          </a:p>
        </xdr:txBody>
      </xdr:sp>
    </xdr:grpSp>
    <xdr:clientData fLocksWithSheet="0" fPrintsWithSheet="0"/>
  </xdr:twoCellAnchor>
  <xdr:twoCellAnchor editAs="oneCell">
    <xdr:from>
      <xdr:col>16</xdr:col>
      <xdr:colOff>209550</xdr:colOff>
      <xdr:row>1</xdr:row>
      <xdr:rowOff>0</xdr:rowOff>
    </xdr:from>
    <xdr:to>
      <xdr:col>23</xdr:col>
      <xdr:colOff>552450</xdr:colOff>
      <xdr:row>3</xdr:row>
      <xdr:rowOff>9525</xdr:rowOff>
    </xdr:to>
    <xdr:pic>
      <xdr:nvPicPr>
        <xdr:cNvPr id="62040" name="Picture 600" descr="Tasto TAB e descrizion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57150"/>
          <a:ext cx="2476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5</xdr:row>
      <xdr:rowOff>123825</xdr:rowOff>
    </xdr:from>
    <xdr:to>
      <xdr:col>16</xdr:col>
      <xdr:colOff>161925</xdr:colOff>
      <xdr:row>11</xdr:row>
      <xdr:rowOff>85725</xdr:rowOff>
    </xdr:to>
    <xdr:grpSp>
      <xdr:nvGrpSpPr>
        <xdr:cNvPr id="67588" name="Group 4"/>
        <xdr:cNvGrpSpPr>
          <a:grpSpLocks/>
        </xdr:cNvGrpSpPr>
      </xdr:nvGrpSpPr>
      <xdr:grpSpPr bwMode="auto">
        <a:xfrm>
          <a:off x="733425" y="923925"/>
          <a:ext cx="9715500" cy="1409700"/>
          <a:chOff x="77" y="115"/>
          <a:chExt cx="1020" cy="122"/>
        </a:xfrm>
      </xdr:grpSpPr>
      <xdr:sp macro="" textlink="">
        <xdr:nvSpPr>
          <xdr:cNvPr id="67586" name="Rectangle 2"/>
          <xdr:cNvSpPr>
            <a:spLocks noChangeArrowheads="1"/>
          </xdr:cNvSpPr>
        </xdr:nvSpPr>
        <xdr:spPr bwMode="auto">
          <a:xfrm>
            <a:off x="77" y="115"/>
            <a:ext cx="889" cy="122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67587" name="Text Box 3"/>
          <xdr:cNvSpPr txBox="1">
            <a:spLocks noChangeArrowheads="1"/>
          </xdr:cNvSpPr>
        </xdr:nvSpPr>
        <xdr:spPr bwMode="auto">
          <a:xfrm>
            <a:off x="979" y="132"/>
            <a:ext cx="118" cy="88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miter lim="800000"/>
            <a:headEnd/>
            <a:tailEnd/>
          </a:ln>
        </xdr:spPr>
        <xdr:txBody>
          <a:bodyPr vertOverflow="clip" wrap="square" lIns="36576" tIns="32004" rIns="36576" bIns="32004" anchor="ctr" upright="1"/>
          <a:lstStyle/>
          <a:p>
            <a:pPr algn="ctr" rtl="0">
              <a:defRPr sz="1000"/>
            </a:pPr>
            <a:r>
              <a:rPr lang="it-IT" sz="1400" b="0" i="1" u="none" strike="noStrike" baseline="0">
                <a:solidFill>
                  <a:srgbClr val="000000"/>
                </a:solidFill>
                <a:latin typeface="Corbel"/>
              </a:rPr>
              <a:t>&lt;--  AREA</a:t>
            </a:r>
          </a:p>
          <a:p>
            <a:pPr algn="ctr" rtl="0">
              <a:lnSpc>
                <a:spcPts val="1500"/>
              </a:lnSpc>
              <a:defRPr sz="1000"/>
            </a:pPr>
            <a:r>
              <a:rPr lang="it-IT" sz="1400" b="0" i="1" u="none" strike="noStrike" baseline="0">
                <a:solidFill>
                  <a:srgbClr val="000000"/>
                </a:solidFill>
                <a:latin typeface="Corbel"/>
              </a:rPr>
              <a:t>Libera</a:t>
            </a:r>
          </a:p>
        </xdr:txBody>
      </xdr:sp>
    </xdr:grpSp>
    <xdr:clientData fLocksWithSheet="0" fPrintsWithSheet="0"/>
  </xdr:twoCellAnchor>
  <xdr:twoCellAnchor>
    <xdr:from>
      <xdr:col>1</xdr:col>
      <xdr:colOff>447675</xdr:colOff>
      <xdr:row>30</xdr:row>
      <xdr:rowOff>123825</xdr:rowOff>
    </xdr:from>
    <xdr:to>
      <xdr:col>16</xdr:col>
      <xdr:colOff>161925</xdr:colOff>
      <xdr:row>34</xdr:row>
      <xdr:rowOff>85725</xdr:rowOff>
    </xdr:to>
    <xdr:grpSp>
      <xdr:nvGrpSpPr>
        <xdr:cNvPr id="67606" name="Group 22"/>
        <xdr:cNvGrpSpPr>
          <a:grpSpLocks/>
        </xdr:cNvGrpSpPr>
      </xdr:nvGrpSpPr>
      <xdr:grpSpPr bwMode="auto">
        <a:xfrm>
          <a:off x="733425" y="6505575"/>
          <a:ext cx="9715500" cy="914400"/>
          <a:chOff x="77" y="115"/>
          <a:chExt cx="1020" cy="122"/>
        </a:xfrm>
      </xdr:grpSpPr>
      <xdr:sp macro="" textlink="">
        <xdr:nvSpPr>
          <xdr:cNvPr id="67607" name="Rectangle 23"/>
          <xdr:cNvSpPr>
            <a:spLocks noChangeArrowheads="1"/>
          </xdr:cNvSpPr>
        </xdr:nvSpPr>
        <xdr:spPr bwMode="auto">
          <a:xfrm>
            <a:off x="77" y="115"/>
            <a:ext cx="889" cy="122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67608" name="Text Box 24"/>
          <xdr:cNvSpPr txBox="1">
            <a:spLocks noChangeArrowheads="1"/>
          </xdr:cNvSpPr>
        </xdr:nvSpPr>
        <xdr:spPr bwMode="auto">
          <a:xfrm>
            <a:off x="979" y="132"/>
            <a:ext cx="118" cy="88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it-IT" sz="1000" b="0" i="0" u="none" strike="noStrike" baseline="0">
                <a:solidFill>
                  <a:srgbClr val="FF0000"/>
                </a:solidFill>
                <a:latin typeface="Tahoma"/>
                <a:ea typeface="Tahoma"/>
                <a:cs typeface="Tahoma"/>
              </a:rPr>
              <a:t>Testo 1</a:t>
            </a:r>
            <a:br>
              <a:rPr lang="it-IT" sz="1000" b="0" i="0" u="none" strike="noStrike" baseline="0">
                <a:solidFill>
                  <a:srgbClr val="FF0000"/>
                </a:solidFill>
                <a:latin typeface="Tahoma"/>
                <a:ea typeface="Tahoma"/>
                <a:cs typeface="Tahoma"/>
              </a:rPr>
            </a:br>
            <a:r>
              <a:rPr lang="it-IT" sz="1000" b="0" i="0" u="none" strike="noStrike" baseline="0">
                <a:solidFill>
                  <a:schemeClr val="bg1">
                    <a:lumMod val="50000"/>
                  </a:schemeClr>
                </a:solidFill>
                <a:latin typeface="Tahoma"/>
                <a:ea typeface="Tahoma"/>
                <a:cs typeface="Tahoma"/>
              </a:rPr>
              <a:t>(vedi giù)</a:t>
            </a:r>
          </a:p>
        </xdr:txBody>
      </xdr:sp>
    </xdr:grpSp>
    <xdr:clientData fLocksWithSheet="0" fPrintsWithSheet="0"/>
  </xdr:twoCellAnchor>
  <xdr:twoCellAnchor>
    <xdr:from>
      <xdr:col>1</xdr:col>
      <xdr:colOff>447675</xdr:colOff>
      <xdr:row>52</xdr:row>
      <xdr:rowOff>123825</xdr:rowOff>
    </xdr:from>
    <xdr:to>
      <xdr:col>16</xdr:col>
      <xdr:colOff>161925</xdr:colOff>
      <xdr:row>56</xdr:row>
      <xdr:rowOff>85725</xdr:rowOff>
    </xdr:to>
    <xdr:grpSp>
      <xdr:nvGrpSpPr>
        <xdr:cNvPr id="67668" name="Group 84"/>
        <xdr:cNvGrpSpPr>
          <a:grpSpLocks/>
        </xdr:cNvGrpSpPr>
      </xdr:nvGrpSpPr>
      <xdr:grpSpPr bwMode="auto">
        <a:xfrm>
          <a:off x="733425" y="11325225"/>
          <a:ext cx="9715500" cy="914400"/>
          <a:chOff x="77" y="115"/>
          <a:chExt cx="1020" cy="122"/>
        </a:xfrm>
      </xdr:grpSpPr>
      <xdr:sp macro="" textlink="">
        <xdr:nvSpPr>
          <xdr:cNvPr id="67669" name="Rectangle 85"/>
          <xdr:cNvSpPr>
            <a:spLocks noChangeArrowheads="1"/>
          </xdr:cNvSpPr>
        </xdr:nvSpPr>
        <xdr:spPr bwMode="auto">
          <a:xfrm>
            <a:off x="77" y="115"/>
            <a:ext cx="889" cy="122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67670" name="Text Box 86"/>
          <xdr:cNvSpPr txBox="1">
            <a:spLocks noChangeArrowheads="1"/>
          </xdr:cNvSpPr>
        </xdr:nvSpPr>
        <xdr:spPr bwMode="auto">
          <a:xfrm>
            <a:off x="979" y="132"/>
            <a:ext cx="118" cy="88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it-IT" sz="1000" b="0" i="0" u="none" strike="noStrike" baseline="0">
                <a:solidFill>
                  <a:srgbClr val="FF0000"/>
                </a:solidFill>
                <a:latin typeface="Tahoma"/>
                <a:ea typeface="Tahoma"/>
                <a:cs typeface="Tahoma"/>
              </a:rPr>
              <a:t>Testo 2</a:t>
            </a:r>
            <a:br>
              <a:rPr lang="it-IT" sz="1000" b="0" i="0" u="none" strike="noStrike" baseline="0">
                <a:solidFill>
                  <a:srgbClr val="FF0000"/>
                </a:solidFill>
                <a:latin typeface="Tahoma"/>
                <a:ea typeface="Tahoma"/>
                <a:cs typeface="Tahoma"/>
              </a:rPr>
            </a:br>
            <a:r>
              <a:rPr lang="it-IT" sz="1000" b="0" i="0" u="none" strike="noStrike" baseline="0">
                <a:solidFill>
                  <a:schemeClr val="bg1">
                    <a:lumMod val="50000"/>
                  </a:schemeClr>
                </a:solidFill>
                <a:latin typeface="Tahoma"/>
                <a:ea typeface="Tahoma"/>
                <a:cs typeface="Tahoma"/>
              </a:rPr>
              <a:t>(vedi giù)</a:t>
            </a:r>
          </a:p>
        </xdr:txBody>
      </xdr:sp>
    </xdr:grpSp>
    <xdr:clientData fLocksWithSheet="0" fPrintsWithSheet="0"/>
  </xdr:twoCellAnchor>
  <xdr:twoCellAnchor editAs="oneCell">
    <xdr:from>
      <xdr:col>12</xdr:col>
      <xdr:colOff>571500</xdr:colOff>
      <xdr:row>1</xdr:row>
      <xdr:rowOff>19050</xdr:rowOff>
    </xdr:from>
    <xdr:to>
      <xdr:col>17</xdr:col>
      <xdr:colOff>133350</xdr:colOff>
      <xdr:row>3</xdr:row>
      <xdr:rowOff>28575</xdr:rowOff>
    </xdr:to>
    <xdr:pic>
      <xdr:nvPicPr>
        <xdr:cNvPr id="67746" name="Picture 162" descr="Tasto TAB e descrizion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76200"/>
          <a:ext cx="2476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1</xdr:col>
      <xdr:colOff>657225</xdr:colOff>
      <xdr:row>12</xdr:row>
      <xdr:rowOff>66675</xdr:rowOff>
    </xdr:from>
    <xdr:to>
      <xdr:col>7</xdr:col>
      <xdr:colOff>285750</xdr:colOff>
      <xdr:row>20</xdr:row>
      <xdr:rowOff>180975</xdr:rowOff>
    </xdr:to>
    <xdr:sp macro="" textlink="" fLocksText="0">
      <xdr:nvSpPr>
        <xdr:cNvPr id="67825" name="Text Box 241"/>
        <xdr:cNvSpPr txBox="1">
          <a:spLocks noChangeArrowheads="1"/>
        </xdr:cNvSpPr>
      </xdr:nvSpPr>
      <xdr:spPr bwMode="auto">
        <a:xfrm>
          <a:off x="942975" y="2524125"/>
          <a:ext cx="3629025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miter lim="800000"/>
          <a:headEnd/>
          <a:tailEnd/>
        </a:ln>
      </xdr:spPr>
      <xdr:txBody>
        <a:bodyPr vertOverflow="clip" wrap="square" lIns="72000" tIns="46800" rIns="90000" bIns="46800" anchor="t" upright="1"/>
        <a:lstStyle/>
        <a:p>
          <a:pPr algn="l" rtl="0">
            <a:defRPr sz="1000"/>
          </a:pP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N.B.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Oltre a riportare i DATI REALI del Sistema, che puoi verificare analiticamente nell' estratto conto, in questo foglio visualizzi </a:t>
          </a:r>
          <a:r>
            <a:rPr lang="it-IT" sz="1000" b="0" i="0" u="sng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informazioni provenienti dal foglio</a:t>
          </a: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 \</a:t>
          </a:r>
          <a:r>
            <a:rPr lang="it-IT" sz="1000" b="0" i="0" u="sng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 RENDICONTO </a:t>
          </a: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/,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il quale contiene anche "impostazioni temporanee" che puoi calibrare in funzione di queste </a:t>
          </a:r>
          <a:r>
            <a:rPr lang="it-IT" sz="1000" b="0" i="0" u="sng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circolari pubbliche</a:t>
          </a: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 senza intaccare i conteggi reali.</a:t>
          </a:r>
        </a:p>
        <a:p>
          <a:pPr algn="l" rtl="0">
            <a:defRPr sz="1000"/>
          </a:pPr>
          <a:endParaRPr lang="it-IT" sz="1000" b="0" i="0" u="none" strike="noStrike" baseline="0">
            <a:solidFill>
              <a:srgbClr val="333333"/>
            </a:solidFill>
            <a:latin typeface="Tahoma"/>
            <a:ea typeface="Tahoma"/>
            <a:cs typeface="Tahoma"/>
          </a:endParaRP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333333"/>
              </a:solidFill>
              <a:latin typeface="Tahoma"/>
              <a:ea typeface="Tahoma"/>
              <a:cs typeface="Tahoma"/>
            </a:rPr>
            <a:t>Contattami liberamente per ulteriori informazioni.</a:t>
          </a:r>
        </a:p>
        <a:p>
          <a:pPr algn="l" rtl="0">
            <a:defRPr sz="1000"/>
          </a:pPr>
          <a:r>
            <a:rPr lang="it-IT" sz="1000" b="0" i="1" u="sng" strike="noStrike" baseline="0">
              <a:solidFill>
                <a:srgbClr val="808080"/>
              </a:solidFill>
              <a:latin typeface="Corbel"/>
            </a:rPr>
            <a:t>Tutte le cornici si possono rimuovere con tasto "Canc".</a:t>
          </a: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arcopiccoli.it/public/index.php?option=com_content&amp;view=article&amp;id=110&amp;Itemid=320" TargetMode="External"/><Relationship Id="rId3" Type="http://schemas.openxmlformats.org/officeDocument/2006/relationships/hyperlink" Target="http://www.marcopiccoli.it/" TargetMode="External"/><Relationship Id="rId7" Type="http://schemas.openxmlformats.org/officeDocument/2006/relationships/hyperlink" Target="https://www.marcopiccoli.it/public/index.php?option=com_content&amp;view=article&amp;id=22&amp;Itemid=133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marcopiccoli.it/public/index.php?option=com_content&amp;view=article&amp;id=80&amp;Itemid=258" TargetMode="External"/><Relationship Id="rId1" Type="http://schemas.openxmlformats.org/officeDocument/2006/relationships/hyperlink" Target="mailto:info@marcopiccoli.it" TargetMode="External"/><Relationship Id="rId6" Type="http://schemas.openxmlformats.org/officeDocument/2006/relationships/hyperlink" Target="mailto:info@marcopiccoli.i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info@marcopiccoli.it" TargetMode="External"/><Relationship Id="rId10" Type="http://schemas.openxmlformats.org/officeDocument/2006/relationships/hyperlink" Target="https://www.marcopiccoli.it/public/index.php?option=com_phocadownload&amp;view=category&amp;id=3&amp;Itemid=206" TargetMode="External"/><Relationship Id="rId4" Type="http://schemas.openxmlformats.org/officeDocument/2006/relationships/hyperlink" Target="https://www.marcopiccoli.it/public/index.php?option=com_phocadownload&amp;view=category&amp;id=15&amp;Itemid=316" TargetMode="External"/><Relationship Id="rId9" Type="http://schemas.openxmlformats.org/officeDocument/2006/relationships/hyperlink" Target="https://www.marcopiccoli.it/public/index.php?option=com_content&amp;view=article&amp;id=21&amp;Itemid=14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B238"/>
  <sheetViews>
    <sheetView showGridLines="0" showRowColHeaders="0" tabSelected="1" zoomScaleNormal="100" workbookViewId="0"/>
  </sheetViews>
  <sheetFormatPr defaultRowHeight="12.75"/>
  <cols>
    <col min="1" max="1" width="11.7109375" style="4" customWidth="1"/>
    <col min="2" max="2" width="12.85546875" style="4" customWidth="1"/>
    <col min="3" max="11" width="9.5703125" style="4" customWidth="1"/>
    <col min="12" max="12" width="12.85546875" style="4" customWidth="1"/>
    <col min="13" max="13" width="9.140625" style="4" customWidth="1"/>
    <col min="14" max="14" width="10.42578125" style="4" bestFit="1" customWidth="1"/>
    <col min="15" max="15" width="9.28515625" style="4" bestFit="1" customWidth="1"/>
    <col min="16" max="25" width="9.28515625" style="4" hidden="1" customWidth="1"/>
    <col min="26" max="26" width="10" style="4" hidden="1" customWidth="1"/>
    <col min="27" max="28" width="9.28515625" style="4" hidden="1" customWidth="1"/>
    <col min="29" max="107" width="0" style="4" hidden="1" customWidth="1"/>
    <col min="108" max="16384" width="9.140625" style="4"/>
  </cols>
  <sheetData>
    <row r="1" spans="1:19">
      <c r="A1" s="721"/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</row>
    <row r="2" spans="1:19" s="2" customFormat="1" ht="20.25" customHeight="1">
      <c r="A2" s="373"/>
      <c r="B2" s="805" t="s">
        <v>481</v>
      </c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1"/>
      <c r="N2" s="1"/>
    </row>
    <row r="3" spans="1:19" s="368" customFormat="1" ht="50.25" customHeight="1">
      <c r="A3" s="807"/>
      <c r="B3" s="1139" t="s">
        <v>480</v>
      </c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367"/>
      <c r="N3" s="367"/>
      <c r="O3" s="2"/>
      <c r="P3" s="2"/>
      <c r="Q3" s="2"/>
    </row>
    <row r="4" spans="1:19" s="368" customFormat="1" ht="15" customHeight="1">
      <c r="A4" s="807"/>
      <c r="B4" s="1140" t="s">
        <v>427</v>
      </c>
      <c r="C4" s="1140"/>
      <c r="D4" s="1140"/>
      <c r="E4" s="1140"/>
      <c r="F4" s="1140"/>
      <c r="G4" s="366"/>
      <c r="H4" s="366"/>
      <c r="I4" s="366"/>
      <c r="J4" s="369"/>
      <c r="K4" s="369"/>
      <c r="L4" s="369"/>
      <c r="M4" s="369"/>
      <c r="N4" s="369"/>
      <c r="O4" s="2"/>
      <c r="P4" s="2"/>
      <c r="Q4" s="2"/>
    </row>
    <row r="5" spans="1:19" s="368" customFormat="1" ht="19.5" customHeight="1">
      <c r="A5" s="807"/>
      <c r="B5" s="868"/>
      <c r="C5" s="803"/>
      <c r="D5" s="803"/>
      <c r="E5" s="803"/>
      <c r="F5" s="803"/>
      <c r="G5" s="803"/>
      <c r="H5" s="366"/>
      <c r="I5" s="366"/>
      <c r="J5" s="366"/>
      <c r="K5" s="369"/>
      <c r="L5" s="808" t="s">
        <v>363</v>
      </c>
      <c r="M5" s="808"/>
      <c r="N5" s="369"/>
      <c r="O5" s="811"/>
      <c r="P5" s="370"/>
      <c r="Q5" s="370"/>
      <c r="R5" s="370"/>
      <c r="S5" s="809"/>
    </row>
    <row r="6" spans="1:19" s="2" customFormat="1" ht="19.5" customHeight="1">
      <c r="A6" s="829"/>
      <c r="B6" s="834" t="s">
        <v>460</v>
      </c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359"/>
      <c r="N6" s="359"/>
    </row>
    <row r="7" spans="1:19" s="2" customFormat="1" ht="19.5" customHeight="1">
      <c r="A7" s="829"/>
      <c r="B7" s="1012" t="s">
        <v>564</v>
      </c>
      <c r="C7" s="360"/>
      <c r="F7" s="360"/>
      <c r="G7" s="360"/>
      <c r="H7" s="360"/>
      <c r="I7" s="1121" t="s">
        <v>424</v>
      </c>
      <c r="J7" s="1121"/>
      <c r="K7" s="835"/>
      <c r="L7" s="835"/>
      <c r="M7" s="360"/>
      <c r="N7" s="360"/>
    </row>
    <row r="8" spans="1:19" s="2" customFormat="1" ht="8.25" customHeight="1">
      <c r="A8" s="829"/>
      <c r="B8" s="360"/>
      <c r="C8" s="360"/>
      <c r="D8" s="804"/>
      <c r="E8" s="804"/>
      <c r="F8" s="360"/>
      <c r="G8" s="360"/>
      <c r="H8" s="360"/>
      <c r="I8" s="830"/>
      <c r="J8" s="830"/>
      <c r="K8" s="830"/>
      <c r="L8" s="830"/>
      <c r="M8" s="360"/>
      <c r="N8" s="360"/>
    </row>
    <row r="9" spans="1:19" s="2" customFormat="1" ht="15" customHeight="1">
      <c r="A9" s="829"/>
      <c r="B9" s="834" t="s">
        <v>565</v>
      </c>
      <c r="C9" s="1"/>
      <c r="D9" s="1"/>
      <c r="E9" s="1"/>
      <c r="F9" s="360"/>
      <c r="G9" s="360"/>
      <c r="H9" s="360"/>
      <c r="I9" s="360"/>
      <c r="J9" s="360"/>
      <c r="K9" s="360"/>
      <c r="L9" s="360"/>
      <c r="M9" s="360"/>
      <c r="N9" s="360"/>
    </row>
    <row r="10" spans="1:19" s="2" customFormat="1" ht="19.5" customHeight="1">
      <c r="A10" s="829"/>
      <c r="B10" s="835"/>
      <c r="C10" s="835"/>
      <c r="D10" s="835"/>
      <c r="E10" s="1"/>
      <c r="F10" s="1175" t="str">
        <f>IF(C177="","",C177)</f>
        <v/>
      </c>
      <c r="G10" s="1175"/>
      <c r="H10" s="1175"/>
      <c r="I10" s="1175"/>
      <c r="J10" s="1175"/>
      <c r="K10" s="1175"/>
      <c r="L10" s="1175"/>
      <c r="M10" s="645"/>
      <c r="N10" s="645"/>
    </row>
    <row r="11" spans="1:19" s="2" customFormat="1" ht="19.5" customHeight="1">
      <c r="A11" s="829"/>
      <c r="B11" s="1065" t="s">
        <v>639</v>
      </c>
      <c r="C11" s="1063"/>
      <c r="D11" s="1063"/>
      <c r="E11" s="1063"/>
      <c r="F11" s="1063"/>
      <c r="G11" s="1063"/>
      <c r="H11" s="1063"/>
      <c r="I11" s="1177" t="s">
        <v>340</v>
      </c>
      <c r="J11" s="1177"/>
      <c r="K11" s="1177"/>
      <c r="L11" s="1063"/>
      <c r="M11" s="360"/>
      <c r="N11" s="360"/>
    </row>
    <row r="12" spans="1:19" s="2" customFormat="1" ht="19.5" hidden="1" customHeight="1">
      <c r="A12" s="829"/>
      <c r="B12" s="1138"/>
      <c r="C12" s="1138"/>
      <c r="D12" s="1138"/>
      <c r="E12" s="1138"/>
      <c r="F12" s="1138"/>
      <c r="G12" s="1138"/>
      <c r="H12" s="1138"/>
      <c r="I12" s="1138"/>
      <c r="J12" s="1138"/>
      <c r="K12" s="1138"/>
      <c r="L12" s="1138"/>
      <c r="M12" s="360"/>
      <c r="N12" s="608"/>
    </row>
    <row r="13" spans="1:19" s="2" customFormat="1" ht="19.5" hidden="1" customHeight="1">
      <c r="A13" s="829"/>
      <c r="B13" s="1176"/>
      <c r="C13" s="1176"/>
      <c r="D13" s="1176"/>
      <c r="E13" s="1176"/>
      <c r="F13" s="1176"/>
      <c r="G13" s="1176"/>
      <c r="H13" s="1176"/>
      <c r="I13" s="835"/>
      <c r="J13" s="835"/>
      <c r="K13" s="835"/>
      <c r="L13" s="1064"/>
      <c r="M13" s="360"/>
      <c r="N13" s="746"/>
    </row>
    <row r="14" spans="1:19" s="2" customFormat="1" ht="22.5" customHeight="1">
      <c r="A14" s="829"/>
      <c r="B14" s="1192" t="s">
        <v>362</v>
      </c>
      <c r="C14" s="1192"/>
      <c r="D14" s="1192"/>
      <c r="E14" s="1192"/>
      <c r="F14" s="1192"/>
      <c r="G14" s="1192"/>
      <c r="H14" s="718"/>
      <c r="I14" s="718"/>
      <c r="J14" s="718"/>
      <c r="K14" s="718"/>
      <c r="L14" s="718"/>
      <c r="M14" s="361"/>
      <c r="N14" s="361"/>
    </row>
    <row r="15" spans="1:19" s="2" customFormat="1" ht="18" customHeight="1">
      <c r="A15" s="373"/>
      <c r="B15" s="1144" t="s">
        <v>210</v>
      </c>
      <c r="C15" s="1144"/>
      <c r="D15" s="1144"/>
      <c r="E15" s="1144"/>
      <c r="F15" s="1144"/>
      <c r="G15" s="401"/>
      <c r="H15" s="1145" t="s">
        <v>211</v>
      </c>
      <c r="I15" s="1145"/>
      <c r="J15" s="1145"/>
      <c r="K15" s="1145"/>
      <c r="L15" s="1145"/>
      <c r="M15" s="1"/>
      <c r="N15" s="1"/>
    </row>
    <row r="16" spans="1:19" s="2" customFormat="1">
      <c r="A16" s="373"/>
      <c r="B16" s="1146" t="s">
        <v>358</v>
      </c>
      <c r="C16" s="1146"/>
      <c r="D16" s="1146"/>
      <c r="E16" s="1146"/>
      <c r="F16" s="1146"/>
      <c r="G16" s="374"/>
      <c r="H16" s="1147" t="s">
        <v>552</v>
      </c>
      <c r="I16" s="1148"/>
      <c r="J16" s="1148"/>
      <c r="K16" s="1148"/>
      <c r="L16" s="1148"/>
      <c r="M16" s="1"/>
      <c r="N16" s="1"/>
    </row>
    <row r="17" spans="1:25" s="2" customFormat="1">
      <c r="A17" s="373"/>
      <c r="B17" s="1190" t="s">
        <v>212</v>
      </c>
      <c r="C17" s="1190"/>
      <c r="D17" s="1190"/>
      <c r="E17" s="1190"/>
      <c r="F17" s="1190"/>
      <c r="G17" s="374"/>
      <c r="H17" s="1136" t="s">
        <v>553</v>
      </c>
      <c r="I17" s="1137"/>
      <c r="J17" s="1137"/>
      <c r="K17" s="1137"/>
      <c r="L17" s="1137"/>
      <c r="M17" s="1"/>
      <c r="N17" s="1"/>
    </row>
    <row r="18" spans="1:25" s="2" customFormat="1" ht="16.5" customHeight="1">
      <c r="A18" s="373"/>
      <c r="B18" s="722"/>
      <c r="C18" s="722"/>
      <c r="D18" s="722"/>
      <c r="E18" s="722"/>
      <c r="F18" s="722"/>
      <c r="G18" s="1"/>
      <c r="H18" s="36"/>
      <c r="I18" s="722"/>
      <c r="J18" s="722"/>
      <c r="K18" s="722"/>
      <c r="L18" s="722"/>
      <c r="M18" s="1"/>
      <c r="N18" s="1"/>
    </row>
    <row r="19" spans="1:25" s="2" customFormat="1" ht="16.5" customHeight="1">
      <c r="A19" s="373"/>
      <c r="B19" s="402"/>
      <c r="C19" s="402"/>
      <c r="D19" s="402"/>
      <c r="E19" s="402"/>
      <c r="F19" s="869"/>
      <c r="G19" s="1"/>
      <c r="H19" s="402"/>
      <c r="I19" s="402"/>
      <c r="J19" s="402"/>
      <c r="K19" s="402"/>
      <c r="L19" s="402"/>
      <c r="M19" s="1"/>
      <c r="N19" s="1"/>
    </row>
    <row r="20" spans="1:25" s="2" customFormat="1" ht="16.5" customHeight="1">
      <c r="A20" s="373"/>
      <c r="B20" s="403"/>
      <c r="C20" s="403"/>
      <c r="D20" s="403"/>
      <c r="E20" s="403"/>
      <c r="F20" s="1011" t="s">
        <v>482</v>
      </c>
      <c r="G20" s="1"/>
      <c r="H20" s="723"/>
      <c r="I20" s="403"/>
      <c r="J20" s="403"/>
      <c r="K20" s="403"/>
      <c r="L20" s="403"/>
      <c r="M20" s="1"/>
      <c r="N20" s="1"/>
    </row>
    <row r="21" spans="1:25" s="2" customFormat="1" ht="16.5" customHeight="1">
      <c r="A21" s="373"/>
      <c r="B21" s="403"/>
      <c r="C21" s="403"/>
      <c r="D21" s="403"/>
      <c r="E21" s="403"/>
      <c r="F21" s="724"/>
      <c r="G21" s="1"/>
      <c r="H21" s="723"/>
      <c r="I21" s="403"/>
      <c r="J21" s="403"/>
      <c r="K21" s="403"/>
      <c r="L21" s="403"/>
      <c r="M21" s="1"/>
      <c r="N21" s="1"/>
    </row>
    <row r="22" spans="1:25" s="2" customFormat="1" ht="18" customHeight="1">
      <c r="A22" s="373"/>
      <c r="B22" s="402"/>
      <c r="C22" s="402"/>
      <c r="D22" s="402"/>
      <c r="E22" s="402"/>
      <c r="F22" s="402"/>
      <c r="G22" s="402"/>
      <c r="H22" s="402"/>
      <c r="I22" s="1191" t="s">
        <v>438</v>
      </c>
      <c r="J22" s="1191"/>
      <c r="K22" s="1191"/>
      <c r="L22" s="1191"/>
      <c r="M22" s="1"/>
      <c r="N22" s="1"/>
    </row>
    <row r="23" spans="1:25" s="2" customFormat="1" ht="20.25" customHeight="1">
      <c r="A23" s="373"/>
      <c r="B23" s="1178" t="s">
        <v>554</v>
      </c>
      <c r="C23" s="1178"/>
      <c r="D23" s="1178"/>
      <c r="E23" s="1178"/>
      <c r="F23" s="1179" t="s">
        <v>632</v>
      </c>
      <c r="G23" s="1179"/>
      <c r="H23" s="1179"/>
      <c r="I23" s="1179"/>
      <c r="J23" s="1179"/>
      <c r="K23" s="1179"/>
      <c r="L23" s="1179"/>
      <c r="M23" s="1"/>
      <c r="N23" s="1"/>
    </row>
    <row r="24" spans="1:25" s="2" customFormat="1" ht="18" customHeight="1">
      <c r="A24" s="360"/>
      <c r="B24" s="1195"/>
      <c r="C24" s="1195"/>
      <c r="D24" s="1195"/>
      <c r="E24" s="1195"/>
      <c r="F24" s="1195"/>
      <c r="G24" s="1195"/>
      <c r="H24" s="1195"/>
      <c r="I24" s="1195"/>
      <c r="J24" s="1195"/>
      <c r="K24" s="1195"/>
      <c r="L24" s="1195"/>
      <c r="M24" s="360"/>
      <c r="N24" s="1"/>
    </row>
    <row r="25" spans="1:25" s="11" customFormat="1" ht="19.5" customHeight="1">
      <c r="A25" s="20"/>
      <c r="B25" s="20"/>
      <c r="C25" s="1150" t="s">
        <v>371</v>
      </c>
      <c r="D25" s="1150"/>
      <c r="E25" s="1150"/>
      <c r="F25" s="1150"/>
      <c r="G25" s="1150"/>
      <c r="H25" s="1150"/>
      <c r="I25" s="299"/>
      <c r="J25" s="300" t="s">
        <v>13</v>
      </c>
      <c r="K25" s="300" t="s">
        <v>298</v>
      </c>
      <c r="L25" s="10"/>
      <c r="M25" s="10"/>
      <c r="N25" s="10"/>
    </row>
    <row r="26" spans="1:25" s="2" customFormat="1" ht="19.5" customHeight="1">
      <c r="A26" s="1097"/>
      <c r="B26" s="1097"/>
      <c r="C26" s="1156" t="s">
        <v>483</v>
      </c>
      <c r="D26" s="1157"/>
      <c r="E26" s="1157"/>
      <c r="F26" s="1157"/>
      <c r="G26" s="1157"/>
      <c r="H26" s="1158"/>
      <c r="I26" s="19"/>
      <c r="J26" s="404">
        <v>2024</v>
      </c>
      <c r="K26" s="539" t="s">
        <v>16</v>
      </c>
      <c r="L26" s="13"/>
      <c r="M26" s="1"/>
      <c r="N26" s="1"/>
    </row>
    <row r="27" spans="1:25" s="2" customFormat="1" ht="6" customHeight="1">
      <c r="A27" s="21"/>
      <c r="B27" s="21"/>
      <c r="C27" s="16"/>
      <c r="D27" s="16"/>
      <c r="E27" s="16"/>
      <c r="F27" s="16"/>
      <c r="G27" s="16"/>
      <c r="H27" s="16"/>
      <c r="I27" s="16"/>
      <c r="J27" s="13"/>
      <c r="K27" s="13"/>
      <c r="L27" s="13"/>
      <c r="M27" s="1"/>
      <c r="N27" s="1"/>
    </row>
    <row r="28" spans="1:25" s="2" customFormat="1" ht="19.5" customHeight="1">
      <c r="A28" s="1"/>
      <c r="B28" s="1"/>
      <c r="C28" s="473" t="s">
        <v>217</v>
      </c>
      <c r="D28" s="1106" t="s">
        <v>255</v>
      </c>
      <c r="E28" s="1106"/>
      <c r="F28" s="1106"/>
      <c r="G28" s="1106"/>
      <c r="H28" s="1106"/>
      <c r="I28" s="45" t="s">
        <v>205</v>
      </c>
      <c r="J28" s="406"/>
      <c r="K28" s="405" t="str">
        <f>IF(ISBLANK(J28),"",VLOOKUP(J28,I186:L197,4,FALSE))</f>
        <v/>
      </c>
      <c r="L28" s="45"/>
      <c r="M28" s="1"/>
      <c r="N28" s="1"/>
    </row>
    <row r="29" spans="1:25" s="2" customFormat="1" ht="19.5" customHeight="1">
      <c r="A29" s="1"/>
      <c r="B29" s="1"/>
      <c r="C29" s="502"/>
      <c r="D29" s="1149" t="s">
        <v>256</v>
      </c>
      <c r="E29" s="1149"/>
      <c r="F29" s="1149"/>
      <c r="G29" s="1149"/>
      <c r="H29" s="1149"/>
      <c r="I29" s="45"/>
      <c r="J29" s="45"/>
      <c r="K29" s="503"/>
      <c r="L29" s="45"/>
      <c r="M29" s="1"/>
      <c r="N29" s="1"/>
    </row>
    <row r="30" spans="1:25" s="2" customFormat="1" ht="18.75" customHeight="1">
      <c r="A30" s="373"/>
      <c r="B30" s="14"/>
      <c r="C30" s="9"/>
      <c r="D30" s="9"/>
      <c r="E30" s="9"/>
      <c r="F30" s="9"/>
      <c r="G30" s="9"/>
      <c r="H30" s="9"/>
      <c r="I30" s="9"/>
      <c r="J30" s="9"/>
      <c r="K30" s="9"/>
      <c r="L30" s="1"/>
      <c r="M30" s="1"/>
      <c r="N30" s="1"/>
    </row>
    <row r="31" spans="1:25" s="11" customFormat="1" ht="15" customHeight="1">
      <c r="A31" s="831"/>
      <c r="B31" s="1096" t="s">
        <v>634</v>
      </c>
      <c r="C31" s="1096"/>
      <c r="D31" s="1096"/>
      <c r="E31" s="1096"/>
      <c r="F31" s="1096"/>
      <c r="G31" s="1096"/>
      <c r="H31" s="1096"/>
      <c r="I31" s="1096"/>
      <c r="J31" s="1096"/>
      <c r="K31" s="1096"/>
      <c r="L31" s="1096"/>
      <c r="M31" s="10"/>
      <c r="N31" s="10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s="11" customFormat="1" ht="18.75" customHeight="1">
      <c r="A32" s="831"/>
      <c r="B32" s="362"/>
      <c r="C32" s="785" t="s">
        <v>455</v>
      </c>
      <c r="D32" s="1103" t="s">
        <v>193</v>
      </c>
      <c r="E32" s="1103"/>
      <c r="F32" s="1103"/>
      <c r="G32" s="1103"/>
      <c r="H32" s="1103"/>
      <c r="I32" s="1103"/>
      <c r="J32" s="1103"/>
      <c r="K32" s="1103"/>
      <c r="L32" s="1103"/>
      <c r="M32" s="10"/>
      <c r="N32" s="10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s="11" customFormat="1">
      <c r="A33" s="831"/>
      <c r="B33" s="363"/>
      <c r="C33" s="786" t="s">
        <v>455</v>
      </c>
      <c r="D33" s="1154" t="s">
        <v>213</v>
      </c>
      <c r="E33" s="1154"/>
      <c r="F33" s="1154"/>
      <c r="G33" s="1154"/>
      <c r="H33" s="1154"/>
      <c r="I33" s="1154"/>
      <c r="J33" s="1154"/>
      <c r="K33" s="1154"/>
      <c r="L33" s="1154"/>
      <c r="M33" s="10"/>
      <c r="N33" s="10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s="11" customFormat="1">
      <c r="A34" s="831"/>
      <c r="B34" s="363"/>
      <c r="C34" s="786" t="s">
        <v>455</v>
      </c>
      <c r="D34" s="1154" t="s">
        <v>214</v>
      </c>
      <c r="E34" s="1154"/>
      <c r="F34" s="1154"/>
      <c r="G34" s="1154"/>
      <c r="H34" s="1154"/>
      <c r="I34" s="1154"/>
      <c r="J34" s="1154"/>
      <c r="K34" s="1154"/>
      <c r="L34" s="1154"/>
      <c r="M34" s="10"/>
      <c r="N34" s="10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s="11" customFormat="1" ht="18.75" customHeight="1">
      <c r="A35" s="831"/>
      <c r="B35" s="363"/>
      <c r="C35" s="787" t="s">
        <v>455</v>
      </c>
      <c r="D35" s="1155" t="s">
        <v>356</v>
      </c>
      <c r="E35" s="1155"/>
      <c r="F35" s="1155"/>
      <c r="G35" s="1155"/>
      <c r="H35" s="1155"/>
      <c r="I35" s="1155"/>
      <c r="J35" s="1155"/>
      <c r="K35" s="1155"/>
      <c r="L35" s="1155"/>
      <c r="M35" s="10"/>
      <c r="N35" s="10"/>
    </row>
    <row r="36" spans="1:25" s="11" customFormat="1" ht="15" customHeight="1">
      <c r="A36" s="831"/>
      <c r="B36" s="1096" t="s">
        <v>459</v>
      </c>
      <c r="C36" s="1096"/>
      <c r="D36" s="1096"/>
      <c r="E36" s="1096"/>
      <c r="F36" s="1096"/>
      <c r="G36" s="1096"/>
      <c r="H36" s="1096"/>
      <c r="I36" s="1096"/>
      <c r="J36" s="1096"/>
      <c r="K36" s="1096"/>
      <c r="L36" s="1096"/>
      <c r="M36" s="10"/>
      <c r="N36" s="10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s="11" customFormat="1" ht="18.75" customHeight="1">
      <c r="A37" s="831"/>
      <c r="B37" s="362"/>
      <c r="C37" s="785" t="s">
        <v>455</v>
      </c>
      <c r="D37" s="1103" t="s">
        <v>194</v>
      </c>
      <c r="E37" s="1103"/>
      <c r="F37" s="1103"/>
      <c r="G37" s="1103"/>
      <c r="H37" s="1103"/>
      <c r="I37" s="1103"/>
      <c r="J37" s="1103"/>
      <c r="K37" s="1103"/>
      <c r="L37" s="1103"/>
      <c r="M37" s="10"/>
      <c r="N37" s="10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s="11" customFormat="1" ht="13.5" customHeight="1">
      <c r="A38" s="831"/>
      <c r="B38" s="363"/>
      <c r="C38" s="786" t="s">
        <v>455</v>
      </c>
      <c r="D38" s="1154" t="s">
        <v>196</v>
      </c>
      <c r="E38" s="1154"/>
      <c r="F38" s="1154"/>
      <c r="G38" s="1154"/>
      <c r="H38" s="1154"/>
      <c r="I38" s="1154"/>
      <c r="J38" s="1154"/>
      <c r="K38" s="1154"/>
      <c r="L38" s="1154"/>
      <c r="M38" s="10"/>
      <c r="N38" s="10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s="11" customFormat="1" ht="13.5" customHeight="1">
      <c r="A39" s="831"/>
      <c r="B39" s="363"/>
      <c r="C39" s="786" t="s">
        <v>455</v>
      </c>
      <c r="D39" s="1154" t="s">
        <v>195</v>
      </c>
      <c r="E39" s="1154"/>
      <c r="F39" s="1154"/>
      <c r="G39" s="1154"/>
      <c r="H39" s="1154"/>
      <c r="I39" s="1154"/>
      <c r="J39" s="1154"/>
      <c r="K39" s="1154"/>
      <c r="L39" s="1154"/>
      <c r="M39" s="10"/>
      <c r="N39" s="10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s="11" customFormat="1" ht="18.75" customHeight="1">
      <c r="A40" s="831"/>
      <c r="B40" s="363"/>
      <c r="C40" s="787" t="s">
        <v>455</v>
      </c>
      <c r="D40" s="1155" t="s">
        <v>344</v>
      </c>
      <c r="E40" s="1155"/>
      <c r="F40" s="1155"/>
      <c r="G40" s="1155"/>
      <c r="H40" s="1155"/>
      <c r="I40" s="1155"/>
      <c r="J40" s="1155"/>
      <c r="K40" s="1155"/>
      <c r="L40" s="1155"/>
      <c r="M40" s="10"/>
      <c r="N40" s="10"/>
    </row>
    <row r="41" spans="1:25" s="2" customFormat="1" ht="19.5" customHeight="1">
      <c r="A41" s="373"/>
      <c r="B41" s="1151" t="s">
        <v>635</v>
      </c>
      <c r="C41" s="1152"/>
      <c r="D41" s="1152"/>
      <c r="E41" s="1152"/>
      <c r="F41" s="1152"/>
      <c r="G41" s="1152"/>
      <c r="H41" s="1152"/>
      <c r="I41" s="1152"/>
      <c r="J41" s="1152"/>
      <c r="K41" s="1152"/>
      <c r="L41" s="1152"/>
      <c r="M41" s="17"/>
      <c r="N41" s="1"/>
    </row>
    <row r="42" spans="1:25" s="11" customFormat="1" ht="9" customHeight="1">
      <c r="A42" s="831"/>
      <c r="B42" s="1153"/>
      <c r="C42" s="1153"/>
      <c r="D42" s="1153"/>
      <c r="E42" s="1153"/>
      <c r="F42" s="1153"/>
      <c r="G42" s="1153"/>
      <c r="H42" s="1153"/>
      <c r="I42" s="1153"/>
      <c r="J42" s="1153"/>
      <c r="K42" s="1153"/>
      <c r="L42" s="1153"/>
      <c r="M42" s="10"/>
      <c r="N42" s="10"/>
    </row>
    <row r="43" spans="1:25" s="11" customFormat="1" ht="22.5" customHeight="1">
      <c r="A43" s="831"/>
      <c r="B43" s="1184" t="s">
        <v>555</v>
      </c>
      <c r="C43" s="1184"/>
      <c r="D43" s="1184"/>
      <c r="E43" s="1184"/>
      <c r="F43" s="1184"/>
      <c r="G43" s="1184"/>
      <c r="H43" s="1184"/>
      <c r="I43" s="1184"/>
      <c r="J43" s="1184"/>
      <c r="K43" s="1184"/>
      <c r="L43" s="1184"/>
      <c r="M43" s="12"/>
      <c r="N43" s="10"/>
    </row>
    <row r="44" spans="1:25" s="11" customFormat="1" ht="30" customHeight="1">
      <c r="A44" s="831"/>
      <c r="B44" s="1185" t="s">
        <v>46</v>
      </c>
      <c r="C44" s="1185"/>
      <c r="D44" s="1185"/>
      <c r="E44" s="1185"/>
      <c r="F44" s="1185"/>
      <c r="G44" s="1185"/>
      <c r="H44" s="1185"/>
      <c r="I44" s="1185"/>
      <c r="J44" s="1185"/>
      <c r="K44" s="1185"/>
      <c r="L44" s="1185"/>
      <c r="M44" s="10"/>
      <c r="N44" s="10"/>
    </row>
    <row r="45" spans="1:25" s="2" customFormat="1" ht="15.75" customHeight="1">
      <c r="A45" s="373"/>
      <c r="B45" s="1183" t="s">
        <v>335</v>
      </c>
      <c r="C45" s="1183"/>
      <c r="D45" s="1183"/>
      <c r="E45" s="1183"/>
      <c r="F45" s="1183"/>
      <c r="G45" s="1183"/>
      <c r="H45" s="1183"/>
      <c r="I45" s="1183"/>
      <c r="J45" s="1183"/>
      <c r="K45" s="1183"/>
      <c r="L45" s="1183"/>
      <c r="M45" s="8"/>
      <c r="N45" s="1"/>
    </row>
    <row r="46" spans="1:25" s="2" customFormat="1" ht="15.75" customHeight="1">
      <c r="A46" s="373"/>
      <c r="B46" s="1124"/>
      <c r="C46" s="1124"/>
      <c r="D46" s="1124"/>
      <c r="E46" s="1124"/>
      <c r="F46" s="1124"/>
      <c r="G46" s="1124"/>
      <c r="H46" s="1124"/>
      <c r="I46" s="1124"/>
      <c r="J46" s="1124"/>
      <c r="K46" s="1124"/>
      <c r="L46" s="1124"/>
      <c r="M46" s="8"/>
      <c r="N46" s="1"/>
    </row>
    <row r="47" spans="1:25" s="2" customFormat="1" ht="15.75" customHeight="1">
      <c r="A47" s="373"/>
      <c r="B47" s="1124"/>
      <c r="C47" s="1124"/>
      <c r="D47" s="1124"/>
      <c r="E47" s="1124"/>
      <c r="F47" s="1124"/>
      <c r="G47" s="1124"/>
      <c r="H47" s="1124"/>
      <c r="I47" s="1124"/>
      <c r="J47" s="1124"/>
      <c r="K47" s="1124"/>
      <c r="L47" s="1124"/>
      <c r="M47" s="8"/>
      <c r="N47" s="1"/>
    </row>
    <row r="48" spans="1:25" s="2" customFormat="1" ht="15.75" customHeight="1">
      <c r="A48" s="373"/>
      <c r="B48" s="1124"/>
      <c r="C48" s="1124"/>
      <c r="D48" s="1124"/>
      <c r="E48" s="1124"/>
      <c r="F48" s="1124"/>
      <c r="G48" s="1124"/>
      <c r="H48" s="1124"/>
      <c r="I48" s="1124"/>
      <c r="J48" s="1124"/>
      <c r="K48" s="1124"/>
      <c r="L48" s="1124"/>
      <c r="M48" s="8"/>
      <c r="N48" s="1"/>
    </row>
    <row r="49" spans="1:14" s="2" customFormat="1" ht="6.75" customHeight="1">
      <c r="A49" s="373"/>
      <c r="B49" s="1124"/>
      <c r="C49" s="1124"/>
      <c r="D49" s="1124"/>
      <c r="E49" s="1124"/>
      <c r="F49" s="1124"/>
      <c r="G49" s="1124"/>
      <c r="H49" s="1124"/>
      <c r="I49" s="1124"/>
      <c r="J49" s="1124"/>
      <c r="K49" s="1124"/>
      <c r="L49" s="1124"/>
      <c r="M49" s="8"/>
      <c r="N49" s="1"/>
    </row>
    <row r="50" spans="1:14" s="2" customFormat="1" ht="12" customHeight="1">
      <c r="A50" s="373"/>
      <c r="B50" s="1124"/>
      <c r="C50" s="1124"/>
      <c r="D50" s="1124"/>
      <c r="E50" s="1124"/>
      <c r="F50" s="1124"/>
      <c r="G50" s="1124"/>
      <c r="H50" s="1124"/>
      <c r="I50" s="1124"/>
      <c r="J50" s="1124"/>
      <c r="K50" s="1124"/>
      <c r="L50" s="1124"/>
      <c r="M50" s="8"/>
      <c r="N50" s="1"/>
    </row>
    <row r="51" spans="1:14" s="2" customFormat="1" ht="15" customHeight="1">
      <c r="A51" s="373"/>
      <c r="B51" s="1125" t="s">
        <v>407</v>
      </c>
      <c r="C51" s="1125"/>
      <c r="D51" s="1125"/>
      <c r="E51" s="1125"/>
      <c r="F51" s="1125"/>
      <c r="G51" s="1125"/>
      <c r="H51" s="1125"/>
      <c r="I51" s="1125"/>
      <c r="J51" s="1125"/>
      <c r="K51" s="1125"/>
      <c r="L51" s="1125"/>
      <c r="M51" s="8"/>
      <c r="N51" s="1"/>
    </row>
    <row r="52" spans="1:14" s="2" customFormat="1" ht="19.5" customHeight="1">
      <c r="A52" s="373"/>
      <c r="B52" s="648" t="s">
        <v>174</v>
      </c>
      <c r="C52" s="644" t="s">
        <v>84</v>
      </c>
      <c r="D52" s="1129"/>
      <c r="E52" s="1129"/>
      <c r="F52" s="1129"/>
      <c r="G52" s="1129"/>
      <c r="H52" s="1129"/>
      <c r="I52" s="1129"/>
      <c r="J52" s="1129"/>
      <c r="K52" s="1129"/>
      <c r="L52" s="1129"/>
      <c r="M52" s="17"/>
      <c r="N52" s="1"/>
    </row>
    <row r="53" spans="1:14" s="2" customFormat="1" ht="18" customHeight="1">
      <c r="A53" s="373"/>
      <c r="B53" s="646" t="s">
        <v>41</v>
      </c>
      <c r="C53" s="1132" t="s">
        <v>408</v>
      </c>
      <c r="D53" s="1132"/>
      <c r="E53" s="1132"/>
      <c r="F53" s="1132"/>
      <c r="G53" s="1132"/>
      <c r="H53" s="1132"/>
      <c r="I53" s="1132"/>
      <c r="J53" s="1132"/>
      <c r="K53" s="1132"/>
      <c r="L53" s="1132"/>
      <c r="M53" s="18"/>
      <c r="N53" s="1"/>
    </row>
    <row r="54" spans="1:14" s="2" customFormat="1" ht="18" customHeight="1">
      <c r="A54" s="373"/>
      <c r="B54" s="648" t="s">
        <v>359</v>
      </c>
      <c r="C54" s="1107" t="s">
        <v>428</v>
      </c>
      <c r="D54" s="1107"/>
      <c r="E54" s="1107"/>
      <c r="F54" s="1107"/>
      <c r="G54" s="1107"/>
      <c r="H54" s="1107"/>
      <c r="I54" s="1107"/>
      <c r="J54" s="1107"/>
      <c r="K54" s="1107"/>
      <c r="L54" s="364"/>
      <c r="M54" s="17"/>
      <c r="N54" s="1"/>
    </row>
    <row r="55" spans="1:14" s="2" customFormat="1" ht="18" customHeight="1">
      <c r="A55" s="373"/>
      <c r="B55" s="647" t="s">
        <v>42</v>
      </c>
      <c r="C55" s="1128" t="s">
        <v>556</v>
      </c>
      <c r="D55" s="1128"/>
      <c r="E55" s="1128"/>
      <c r="F55" s="1128"/>
      <c r="G55" s="1128"/>
      <c r="H55" s="1128"/>
      <c r="I55" s="1128"/>
      <c r="J55" s="1128"/>
      <c r="K55" s="1128"/>
      <c r="L55" s="371"/>
      <c r="M55" s="18"/>
      <c r="N55" s="1"/>
    </row>
    <row r="56" spans="1:14" s="2" customFormat="1" ht="18" customHeight="1">
      <c r="A56" s="373"/>
      <c r="B56" s="566"/>
      <c r="C56" s="1133" t="s">
        <v>370</v>
      </c>
      <c r="D56" s="1133"/>
      <c r="E56" s="1133"/>
      <c r="F56" s="1133"/>
      <c r="G56" s="1133"/>
      <c r="H56" s="1133"/>
      <c r="I56" s="1133"/>
      <c r="J56" s="1133"/>
      <c r="K56" s="1133"/>
      <c r="L56" s="727" t="s">
        <v>364</v>
      </c>
      <c r="M56" s="18"/>
      <c r="N56" s="1"/>
    </row>
    <row r="57" spans="1:14" s="2" customFormat="1" ht="18" customHeight="1">
      <c r="A57" s="373"/>
      <c r="B57" s="646" t="s">
        <v>43</v>
      </c>
      <c r="C57" s="1132" t="s">
        <v>409</v>
      </c>
      <c r="D57" s="1132"/>
      <c r="E57" s="1132"/>
      <c r="F57" s="1132"/>
      <c r="G57" s="1132"/>
      <c r="H57" s="1132"/>
      <c r="I57" s="1132"/>
      <c r="J57" s="1132"/>
      <c r="K57" s="1132"/>
      <c r="L57" s="371"/>
      <c r="M57" s="18"/>
      <c r="N57" s="1"/>
    </row>
    <row r="58" spans="1:14" s="2" customFormat="1" ht="18" customHeight="1">
      <c r="A58" s="373"/>
      <c r="B58" s="648" t="s">
        <v>360</v>
      </c>
      <c r="C58" s="1107" t="s">
        <v>361</v>
      </c>
      <c r="D58" s="1107"/>
      <c r="E58" s="1107"/>
      <c r="F58" s="1107"/>
      <c r="G58" s="1107"/>
      <c r="H58" s="1107"/>
      <c r="I58" s="1107"/>
      <c r="J58" s="1107"/>
      <c r="K58" s="1107"/>
      <c r="L58" s="364"/>
      <c r="M58" s="17"/>
      <c r="N58" s="1"/>
    </row>
    <row r="59" spans="1:14" s="2" customFormat="1" ht="18" customHeight="1">
      <c r="A59" s="373"/>
      <c r="B59" s="647" t="s">
        <v>44</v>
      </c>
      <c r="C59" s="1128" t="s">
        <v>557</v>
      </c>
      <c r="D59" s="1128"/>
      <c r="E59" s="1128"/>
      <c r="F59" s="1128"/>
      <c r="G59" s="1128"/>
      <c r="H59" s="1128"/>
      <c r="I59" s="1128"/>
      <c r="J59" s="1128"/>
      <c r="K59" s="1128"/>
      <c r="L59" s="1128"/>
      <c r="M59" s="18"/>
      <c r="N59" s="1"/>
    </row>
    <row r="60" spans="1:14" s="2" customFormat="1" ht="18" customHeight="1">
      <c r="A60" s="373"/>
      <c r="B60" s="566"/>
      <c r="C60" s="1122" t="s">
        <v>410</v>
      </c>
      <c r="D60" s="1122"/>
      <c r="E60" s="1122"/>
      <c r="F60" s="1122"/>
      <c r="G60" s="1122"/>
      <c r="H60" s="1122"/>
      <c r="I60" s="1122"/>
      <c r="J60" s="1122"/>
      <c r="K60" s="1122"/>
      <c r="L60" s="371"/>
      <c r="M60" s="18"/>
      <c r="N60" s="1"/>
    </row>
    <row r="61" spans="1:14" s="2" customFormat="1" ht="16.5" customHeight="1">
      <c r="A61" s="373"/>
      <c r="B61" s="1130" t="s">
        <v>336</v>
      </c>
      <c r="C61" s="1130"/>
      <c r="D61" s="1130"/>
      <c r="E61" s="1130"/>
      <c r="F61" s="1130"/>
      <c r="G61" s="1130"/>
      <c r="H61" s="1130"/>
      <c r="I61" s="1130"/>
      <c r="J61" s="1130"/>
      <c r="K61" s="1130"/>
      <c r="L61" s="1130"/>
      <c r="M61" s="18"/>
      <c r="N61" s="1"/>
    </row>
    <row r="62" spans="1:14" s="2" customFormat="1" ht="16.5" customHeight="1">
      <c r="A62" s="373"/>
      <c r="B62" s="1101" t="s">
        <v>422</v>
      </c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  <c r="M62" s="18"/>
      <c r="N62" s="1"/>
    </row>
    <row r="63" spans="1:14" s="2" customFormat="1" ht="18" customHeight="1">
      <c r="A63" s="373"/>
      <c r="B63" s="1186" t="s">
        <v>558</v>
      </c>
      <c r="C63" s="1186"/>
      <c r="D63" s="1186"/>
      <c r="E63" s="1186"/>
      <c r="F63" s="1186"/>
      <c r="G63" s="1186"/>
      <c r="H63" s="1186"/>
      <c r="I63" s="1186"/>
      <c r="J63" s="1186"/>
      <c r="K63" s="1186"/>
      <c r="L63" s="1186"/>
      <c r="M63" s="8"/>
      <c r="N63" s="1"/>
    </row>
    <row r="64" spans="1:14" s="2" customFormat="1" ht="16.5" customHeight="1">
      <c r="A64" s="373"/>
      <c r="B64" s="1131" t="s">
        <v>411</v>
      </c>
      <c r="C64" s="1131"/>
      <c r="D64" s="1131"/>
      <c r="E64" s="1131"/>
      <c r="F64" s="1131"/>
      <c r="G64" s="1131"/>
      <c r="H64" s="1131"/>
      <c r="I64" s="1131"/>
      <c r="J64" s="1131"/>
      <c r="K64" s="1131"/>
      <c r="L64" s="1131"/>
      <c r="M64" s="18"/>
      <c r="N64" s="1"/>
    </row>
    <row r="65" spans="1:14" s="2" customFormat="1" ht="19.5" customHeight="1">
      <c r="A65" s="373"/>
      <c r="C65" s="1107" t="s">
        <v>40</v>
      </c>
      <c r="D65" s="1107"/>
      <c r="E65" s="1107"/>
      <c r="F65" s="1107"/>
      <c r="G65" s="1107"/>
      <c r="H65" s="1107"/>
      <c r="I65" s="1107"/>
      <c r="J65" s="1107"/>
      <c r="K65" s="1107"/>
      <c r="L65" s="364"/>
      <c r="M65" s="17"/>
      <c r="N65" s="1"/>
    </row>
    <row r="66" spans="1:14" s="2" customFormat="1" ht="18" customHeight="1">
      <c r="A66" s="373"/>
      <c r="B66" s="647" t="s">
        <v>45</v>
      </c>
      <c r="C66" s="1128" t="s">
        <v>197</v>
      </c>
      <c r="D66" s="1128"/>
      <c r="E66" s="1128"/>
      <c r="F66" s="1128"/>
      <c r="G66" s="1128"/>
      <c r="H66" s="1128"/>
      <c r="I66" s="1128"/>
      <c r="J66" s="1128"/>
      <c r="K66" s="1128"/>
      <c r="L66" s="371"/>
      <c r="M66" s="18"/>
      <c r="N66" s="1"/>
    </row>
    <row r="67" spans="1:14" s="2" customFormat="1" ht="18" customHeight="1">
      <c r="A67" s="373"/>
      <c r="B67" s="566"/>
      <c r="C67" s="1122" t="s">
        <v>198</v>
      </c>
      <c r="D67" s="1122"/>
      <c r="E67" s="1122"/>
      <c r="F67" s="1122"/>
      <c r="G67" s="1122"/>
      <c r="H67" s="1122"/>
      <c r="I67" s="1122"/>
      <c r="J67" s="1122"/>
      <c r="K67" s="1122"/>
      <c r="L67" s="371"/>
      <c r="M67" s="18"/>
      <c r="N67" s="1"/>
    </row>
    <row r="68" spans="1:14" s="2" customFormat="1" ht="18" customHeight="1">
      <c r="A68" s="373"/>
      <c r="C68" s="1107" t="s">
        <v>338</v>
      </c>
      <c r="D68" s="1107"/>
      <c r="E68" s="1107"/>
      <c r="F68" s="1107"/>
      <c r="G68" s="1107"/>
      <c r="H68" s="1107"/>
      <c r="I68" s="1107"/>
      <c r="J68" s="1107"/>
      <c r="K68" s="1107"/>
      <c r="L68" s="364"/>
      <c r="M68" s="17"/>
      <c r="N68" s="1"/>
    </row>
    <row r="69" spans="1:14" s="2" customFormat="1" ht="18" customHeight="1">
      <c r="A69" s="373"/>
      <c r="B69" s="647" t="s">
        <v>337</v>
      </c>
      <c r="C69" s="1128" t="s">
        <v>412</v>
      </c>
      <c r="D69" s="1128"/>
      <c r="E69" s="1128"/>
      <c r="F69" s="1128"/>
      <c r="G69" s="1128"/>
      <c r="H69" s="1128"/>
      <c r="I69" s="1128"/>
      <c r="J69" s="1128"/>
      <c r="K69" s="1128"/>
      <c r="L69" s="371"/>
      <c r="M69" s="18"/>
      <c r="N69" s="1"/>
    </row>
    <row r="70" spans="1:14" s="2" customFormat="1" ht="18" customHeight="1">
      <c r="A70" s="373"/>
      <c r="B70" s="566"/>
      <c r="C70" s="1122" t="s">
        <v>339</v>
      </c>
      <c r="D70" s="1122"/>
      <c r="E70" s="1122"/>
      <c r="F70" s="1122"/>
      <c r="G70" s="1122"/>
      <c r="H70" s="1122"/>
      <c r="I70" s="1122"/>
      <c r="J70" s="1122"/>
      <c r="K70" s="1122"/>
      <c r="L70" s="371"/>
      <c r="M70" s="18"/>
      <c r="N70" s="1"/>
    </row>
    <row r="71" spans="1:14" s="2" customFormat="1" ht="18" customHeight="1">
      <c r="A71" s="373"/>
      <c r="B71" s="365"/>
      <c r="C71" s="1107" t="s">
        <v>559</v>
      </c>
      <c r="D71" s="1107"/>
      <c r="E71" s="1107"/>
      <c r="F71" s="1107"/>
      <c r="G71" s="1107"/>
      <c r="H71" s="1107"/>
      <c r="I71" s="1107"/>
      <c r="J71" s="1107"/>
      <c r="K71" s="1107"/>
      <c r="L71" s="364"/>
      <c r="M71" s="17"/>
      <c r="N71" s="1"/>
    </row>
    <row r="72" spans="1:14" s="2" customFormat="1" ht="18" customHeight="1">
      <c r="A72" s="373"/>
      <c r="B72" s="647" t="s">
        <v>341</v>
      </c>
      <c r="C72" s="1128" t="s">
        <v>413</v>
      </c>
      <c r="D72" s="1128"/>
      <c r="E72" s="1128"/>
      <c r="F72" s="1128"/>
      <c r="G72" s="1128"/>
      <c r="H72" s="1128"/>
      <c r="I72" s="1128"/>
      <c r="J72" s="1128"/>
      <c r="K72" s="1128"/>
      <c r="L72" s="1128"/>
      <c r="M72" s="18"/>
      <c r="N72" s="1"/>
    </row>
    <row r="73" spans="1:14" s="2" customFormat="1" ht="18" customHeight="1">
      <c r="A73" s="373"/>
      <c r="B73" s="647" t="s">
        <v>342</v>
      </c>
      <c r="C73" s="1126" t="s">
        <v>419</v>
      </c>
      <c r="D73" s="1126"/>
      <c r="E73" s="1126"/>
      <c r="F73" s="1126"/>
      <c r="G73" s="1126"/>
      <c r="H73" s="1126"/>
      <c r="I73" s="1126"/>
      <c r="J73" s="1126"/>
      <c r="K73" s="1126"/>
      <c r="L73" s="1126"/>
      <c r="M73" s="18"/>
      <c r="N73" s="1"/>
    </row>
    <row r="74" spans="1:14" s="2" customFormat="1" ht="18" customHeight="1">
      <c r="A74" s="373"/>
      <c r="B74" s="566"/>
      <c r="C74" s="1122" t="s">
        <v>560</v>
      </c>
      <c r="D74" s="1122"/>
      <c r="E74" s="1122"/>
      <c r="F74" s="1122"/>
      <c r="G74" s="1122"/>
      <c r="H74" s="1122"/>
      <c r="I74" s="1122"/>
      <c r="J74" s="1122"/>
      <c r="K74" s="1122"/>
      <c r="L74" s="1122"/>
      <c r="M74" s="18"/>
      <c r="N74" s="1"/>
    </row>
    <row r="75" spans="1:14" s="2" customFormat="1" ht="15" customHeight="1">
      <c r="A75" s="373"/>
      <c r="B75" s="1134"/>
      <c r="C75" s="1134"/>
      <c r="D75" s="1134"/>
      <c r="E75" s="1134"/>
      <c r="F75" s="1134"/>
      <c r="G75" s="1134"/>
      <c r="H75" s="1134"/>
      <c r="I75" s="1134"/>
      <c r="J75" s="1134"/>
      <c r="K75" s="1134"/>
      <c r="L75" s="1134"/>
      <c r="M75" s="18"/>
      <c r="N75" s="1"/>
    </row>
    <row r="76" spans="1:14" s="2" customFormat="1" ht="15" customHeight="1">
      <c r="A76" s="373"/>
      <c r="B76" s="1127" t="s">
        <v>414</v>
      </c>
      <c r="C76" s="1127"/>
      <c r="D76" s="1127"/>
      <c r="E76" s="1127"/>
      <c r="F76" s="1127"/>
      <c r="G76" s="1127"/>
      <c r="H76" s="1127"/>
      <c r="I76" s="1127"/>
      <c r="J76" s="1135" t="s">
        <v>340</v>
      </c>
      <c r="K76" s="1135"/>
      <c r="L76" s="565"/>
      <c r="M76" s="18"/>
      <c r="N76" s="1"/>
    </row>
    <row r="77" spans="1:14" s="2" customFormat="1" ht="22.5" customHeight="1">
      <c r="A77" s="373"/>
      <c r="B77" s="1128" t="s">
        <v>636</v>
      </c>
      <c r="C77" s="1128"/>
      <c r="D77" s="1128"/>
      <c r="E77" s="1128"/>
      <c r="F77" s="1128"/>
      <c r="G77" s="1128"/>
      <c r="H77" s="1128"/>
      <c r="I77" s="1128"/>
      <c r="J77" s="1128"/>
      <c r="K77" s="1128"/>
      <c r="L77" s="1128"/>
      <c r="M77" s="8"/>
      <c r="N77" s="1"/>
    </row>
    <row r="78" spans="1:14" s="2" customFormat="1" ht="22.5" customHeight="1">
      <c r="A78" s="373"/>
      <c r="B78" s="1141" t="s">
        <v>415</v>
      </c>
      <c r="C78" s="1141"/>
      <c r="D78" s="1141"/>
      <c r="E78" s="1141"/>
      <c r="F78" s="1141"/>
      <c r="G78" s="1141"/>
      <c r="H78" s="1141"/>
      <c r="I78" s="1141"/>
      <c r="J78" s="1141"/>
      <c r="K78" s="1141"/>
      <c r="L78" s="1141"/>
      <c r="M78" s="8"/>
      <c r="N78" s="1"/>
    </row>
    <row r="79" spans="1:14" s="2" customFormat="1" ht="11.25" customHeight="1">
      <c r="A79" s="373"/>
      <c r="B79" s="1100"/>
      <c r="C79" s="1100"/>
      <c r="D79" s="1100"/>
      <c r="E79" s="1100"/>
      <c r="F79" s="1100"/>
      <c r="G79" s="1100"/>
      <c r="H79" s="1100"/>
      <c r="I79" s="1100"/>
      <c r="J79" s="1100"/>
      <c r="K79" s="1100"/>
      <c r="L79" s="1100"/>
      <c r="M79" s="8"/>
      <c r="N79" s="1"/>
    </row>
    <row r="80" spans="1:14" s="2" customFormat="1" ht="18" customHeight="1">
      <c r="A80" s="373"/>
      <c r="B80" s="1123" t="s">
        <v>343</v>
      </c>
      <c r="C80" s="1123"/>
      <c r="D80" s="1123"/>
      <c r="E80" s="1123"/>
      <c r="F80" s="1123"/>
      <c r="G80" s="1123"/>
      <c r="H80" s="1123"/>
      <c r="I80" s="1123"/>
      <c r="J80" s="1123"/>
      <c r="K80" s="1123"/>
      <c r="L80" s="1123"/>
      <c r="M80" s="8"/>
      <c r="N80" s="1"/>
    </row>
    <row r="81" spans="1:15" s="2" customFormat="1" ht="15.75" customHeight="1">
      <c r="A81" s="373"/>
      <c r="B81" s="1098" t="s">
        <v>221</v>
      </c>
      <c r="C81" s="1098"/>
      <c r="D81" s="1098"/>
      <c r="E81" s="1099"/>
      <c r="F81" s="1159"/>
      <c r="G81" s="1160"/>
      <c r="H81" s="358"/>
      <c r="I81" s="372"/>
      <c r="J81" s="372"/>
      <c r="K81" s="372"/>
      <c r="L81" s="358"/>
      <c r="M81" s="8"/>
      <c r="N81" s="1"/>
    </row>
    <row r="82" spans="1:15" s="2" customFormat="1" ht="15.75" customHeight="1">
      <c r="A82" s="373"/>
      <c r="B82" s="1100"/>
      <c r="C82" s="1100"/>
      <c r="D82" s="1100"/>
      <c r="E82" s="1100"/>
      <c r="F82" s="1100"/>
      <c r="G82" s="1100"/>
      <c r="H82" s="1100"/>
      <c r="I82" s="1100"/>
      <c r="J82" s="1100"/>
      <c r="K82" s="1100"/>
      <c r="L82" s="1100"/>
      <c r="M82" s="8"/>
      <c r="N82" s="1"/>
    </row>
    <row r="83" spans="1:15" s="2" customFormat="1" ht="7.5" customHeight="1">
      <c r="A83" s="373"/>
      <c r="B83" s="1102"/>
      <c r="C83" s="1102"/>
      <c r="D83" s="1102"/>
      <c r="E83" s="1102"/>
      <c r="F83" s="1102"/>
      <c r="G83" s="1102"/>
      <c r="H83" s="1102"/>
      <c r="I83" s="1102"/>
      <c r="J83" s="1102"/>
      <c r="K83" s="1102"/>
      <c r="L83" s="1102"/>
      <c r="M83" s="1"/>
      <c r="N83" s="1"/>
    </row>
    <row r="84" spans="1:15" s="2" customFormat="1" ht="7.5" hidden="1" customHeight="1">
      <c r="A84" s="373"/>
      <c r="B84" s="1188"/>
      <c r="C84" s="1188"/>
      <c r="D84" s="1188"/>
      <c r="E84" s="1188"/>
      <c r="F84" s="1188"/>
      <c r="G84" s="1188"/>
      <c r="H84" s="1188"/>
      <c r="I84" s="1188"/>
      <c r="J84" s="1188"/>
      <c r="K84" s="1188"/>
      <c r="L84" s="1188"/>
      <c r="M84" s="1"/>
      <c r="N84" s="1"/>
    </row>
    <row r="85" spans="1:15" s="2" customFormat="1" ht="21" customHeight="1">
      <c r="A85" s="373"/>
      <c r="B85" s="1143" t="str">
        <f>IF(ISERROR(E182),C176,C175)</f>
        <v>Questo file risulta al momento completamente funzionante ed il sistema rileva tutti i suoi fogli.</v>
      </c>
      <c r="C85" s="1143"/>
      <c r="D85" s="1143"/>
      <c r="E85" s="1143"/>
      <c r="F85" s="1143"/>
      <c r="G85" s="1143"/>
      <c r="H85" s="1143"/>
      <c r="I85" s="1143"/>
      <c r="J85" s="1143"/>
      <c r="K85" s="1143"/>
      <c r="L85" s="1143"/>
      <c r="M85" s="1"/>
      <c r="N85" s="1"/>
    </row>
    <row r="86" spans="1:15" s="2" customFormat="1" ht="15" hidden="1" customHeight="1">
      <c r="A86" s="373"/>
      <c r="B86" s="1109"/>
      <c r="C86" s="1109"/>
      <c r="D86" s="1109"/>
      <c r="E86" s="1109"/>
      <c r="F86" s="1109"/>
      <c r="G86" s="1109"/>
      <c r="H86" s="1109"/>
      <c r="I86" s="1109"/>
      <c r="J86" s="1109"/>
      <c r="K86" s="1109"/>
      <c r="L86" s="1109"/>
      <c r="M86" s="1"/>
      <c r="N86" s="1"/>
    </row>
    <row r="87" spans="1:15" s="2" customFormat="1" ht="16.5" hidden="1" customHeight="1">
      <c r="A87" s="829"/>
      <c r="B87" s="1112" t="s">
        <v>466</v>
      </c>
      <c r="C87" s="1112"/>
      <c r="D87" s="1112"/>
      <c r="E87" s="1112"/>
      <c r="F87" s="818"/>
      <c r="G87" s="818"/>
      <c r="H87" s="818"/>
      <c r="I87" s="818"/>
      <c r="J87" s="818"/>
      <c r="K87" s="818"/>
      <c r="L87" s="818"/>
      <c r="M87" s="360"/>
      <c r="N87" s="360"/>
    </row>
    <row r="88" spans="1:15" s="2" customFormat="1" ht="16.5" hidden="1" customHeight="1">
      <c r="A88" s="829"/>
      <c r="B88" s="821" t="s">
        <v>484</v>
      </c>
      <c r="C88" s="812"/>
      <c r="D88" s="819"/>
      <c r="E88" s="820"/>
      <c r="F88" s="820"/>
      <c r="G88" s="820"/>
      <c r="H88" s="820"/>
      <c r="I88" s="820"/>
      <c r="J88" s="820"/>
      <c r="K88" s="820"/>
      <c r="L88" s="820"/>
      <c r="M88" s="360"/>
      <c r="N88" s="360"/>
    </row>
    <row r="89" spans="1:15" s="2" customFormat="1" ht="16.5" hidden="1" customHeight="1">
      <c r="A89" s="829"/>
      <c r="B89" s="1111" t="s">
        <v>465</v>
      </c>
      <c r="C89" s="1111"/>
      <c r="D89" s="1111"/>
      <c r="E89" s="1111"/>
      <c r="F89" s="1111"/>
      <c r="G89" s="1111"/>
      <c r="H89" s="1111"/>
      <c r="I89" s="1111"/>
      <c r="J89" s="1111"/>
      <c r="K89" s="1111"/>
      <c r="L89" s="1111"/>
      <c r="M89" s="360"/>
      <c r="N89" s="360"/>
      <c r="O89" s="898"/>
    </row>
    <row r="90" spans="1:15" s="2" customFormat="1" hidden="1">
      <c r="A90" s="829"/>
      <c r="B90" s="1110" t="s">
        <v>638</v>
      </c>
      <c r="C90" s="1110"/>
      <c r="D90" s="1110"/>
      <c r="E90" s="1110"/>
      <c r="F90" s="1110"/>
      <c r="G90" s="1110"/>
      <c r="H90" s="1110"/>
      <c r="I90" s="1110"/>
      <c r="J90" s="1110"/>
      <c r="K90" s="1110"/>
      <c r="L90" s="1110"/>
      <c r="M90" s="360"/>
      <c r="N90" s="360"/>
    </row>
    <row r="91" spans="1:15" s="2" customFormat="1" ht="16.5" hidden="1" customHeight="1">
      <c r="A91" s="829"/>
      <c r="B91" s="1181" t="s">
        <v>566</v>
      </c>
      <c r="C91" s="1182"/>
      <c r="D91" s="1182"/>
      <c r="E91" s="1182"/>
      <c r="F91" s="1182"/>
      <c r="G91" s="1182"/>
      <c r="H91" s="1182"/>
      <c r="I91" s="1182"/>
      <c r="J91" s="1182"/>
      <c r="K91" s="1182"/>
      <c r="L91" s="1182"/>
      <c r="M91" s="360"/>
      <c r="N91" s="360"/>
    </row>
    <row r="92" spans="1:15" s="408" customFormat="1" ht="19.5" hidden="1" customHeight="1">
      <c r="A92" s="832"/>
      <c r="B92" s="407"/>
      <c r="C92" s="407"/>
      <c r="D92" s="407"/>
      <c r="E92" s="1117" t="str">
        <f>C172</f>
        <v>TITOLARE DEL SISTEMA</v>
      </c>
      <c r="F92" s="1117"/>
      <c r="G92" s="1117"/>
      <c r="H92" s="1117"/>
      <c r="I92" s="1117"/>
      <c r="J92" s="1117"/>
      <c r="K92" s="1117"/>
      <c r="L92" s="1117"/>
      <c r="M92" s="407"/>
      <c r="N92" s="407"/>
    </row>
    <row r="93" spans="1:15" s="408" customFormat="1" ht="18.75" hidden="1" customHeight="1">
      <c r="A93" s="832"/>
      <c r="B93" s="407"/>
      <c r="C93" s="1113" t="s">
        <v>216</v>
      </c>
      <c r="D93" s="1113"/>
      <c r="E93" s="1114" t="str">
        <f>C26</f>
        <v>Inserisci qui il NOME</v>
      </c>
      <c r="F93" s="1115"/>
      <c r="G93" s="1115"/>
      <c r="H93" s="1115"/>
      <c r="I93" s="1115"/>
      <c r="J93" s="1115"/>
      <c r="K93" s="1115"/>
      <c r="L93" s="1116"/>
      <c r="M93" s="407"/>
      <c r="N93" s="407"/>
    </row>
    <row r="94" spans="1:15" s="408" customFormat="1" ht="4.5" hidden="1" customHeight="1">
      <c r="A94" s="832"/>
      <c r="B94" s="407"/>
      <c r="C94" s="407"/>
      <c r="D94" s="407"/>
      <c r="E94" s="407"/>
      <c r="F94" s="407"/>
      <c r="G94" s="407"/>
      <c r="H94" s="407"/>
      <c r="I94" s="407"/>
      <c r="J94" s="407"/>
      <c r="K94" s="407"/>
      <c r="L94" s="407"/>
      <c r="M94" s="407"/>
      <c r="N94" s="407"/>
    </row>
    <row r="95" spans="1:15" s="408" customFormat="1" ht="18.75" hidden="1" customHeight="1">
      <c r="A95" s="832"/>
      <c r="B95" s="407"/>
      <c r="C95" s="407"/>
      <c r="D95" s="407"/>
      <c r="E95" s="1108" t="s">
        <v>416</v>
      </c>
      <c r="F95" s="1108"/>
      <c r="G95" s="1108"/>
      <c r="H95" s="1108"/>
      <c r="I95" s="1108"/>
      <c r="J95" s="1118" t="s">
        <v>357</v>
      </c>
      <c r="K95" s="1119"/>
      <c r="L95" s="1120"/>
      <c r="M95" s="407"/>
      <c r="N95" s="409"/>
    </row>
    <row r="96" spans="1:15" s="408" customFormat="1" ht="4.5" hidden="1" customHeight="1">
      <c r="A96" s="832"/>
      <c r="B96" s="407"/>
      <c r="C96" s="407"/>
      <c r="D96" s="407"/>
      <c r="E96" s="407"/>
      <c r="F96" s="407"/>
      <c r="G96" s="407"/>
      <c r="H96" s="407"/>
      <c r="I96" s="407"/>
      <c r="J96" s="407"/>
      <c r="K96" s="407"/>
      <c r="L96" s="407"/>
      <c r="M96" s="407"/>
      <c r="N96" s="407"/>
    </row>
    <row r="97" spans="1:28" s="408" customFormat="1" ht="18.75" hidden="1" customHeight="1">
      <c r="A97" s="832"/>
      <c r="B97" s="407"/>
      <c r="C97" s="1205" t="s">
        <v>217</v>
      </c>
      <c r="D97" s="1205"/>
      <c r="E97" s="1206" t="s">
        <v>417</v>
      </c>
      <c r="F97" s="1206"/>
      <c r="G97" s="1206"/>
      <c r="H97" s="1206"/>
      <c r="I97" s="1206"/>
      <c r="J97" s="1206"/>
      <c r="K97" s="1206"/>
      <c r="L97" s="1206"/>
      <c r="M97" s="407"/>
      <c r="N97" s="407"/>
      <c r="O97" s="1014"/>
    </row>
    <row r="98" spans="1:28" s="408" customFormat="1" ht="11.25" hidden="1" customHeight="1">
      <c r="A98" s="407"/>
      <c r="B98" s="407"/>
      <c r="C98" s="407"/>
      <c r="D98" s="407"/>
      <c r="E98" s="407"/>
      <c r="F98" s="407"/>
      <c r="G98" s="407"/>
      <c r="H98" s="407"/>
      <c r="I98" s="407"/>
      <c r="J98" s="832"/>
      <c r="K98" s="407"/>
      <c r="L98" s="407"/>
      <c r="M98" s="407"/>
      <c r="N98" s="407"/>
      <c r="O98" s="1015"/>
    </row>
    <row r="99" spans="1:28" s="408" customFormat="1" ht="18.75" hidden="1" customHeight="1">
      <c r="A99" s="407"/>
      <c r="B99" s="835"/>
      <c r="C99" s="407"/>
      <c r="D99" s="407"/>
      <c r="E99" s="407"/>
      <c r="F99" s="1217" t="s">
        <v>243</v>
      </c>
      <c r="G99" s="1217"/>
      <c r="H99" s="1217"/>
      <c r="I99" s="1217"/>
      <c r="J99" s="1214"/>
      <c r="K99" s="1215"/>
      <c r="L99" s="1216"/>
      <c r="M99" s="410">
        <f>IF(ISBLANK(J99),0,1)</f>
        <v>0</v>
      </c>
      <c r="N99" s="407"/>
      <c r="O99" s="1015"/>
    </row>
    <row r="100" spans="1:28" s="408" customFormat="1" ht="15.75" hidden="1" customHeight="1">
      <c r="A100" s="407"/>
      <c r="B100" s="835"/>
      <c r="C100" s="407"/>
      <c r="D100" s="407"/>
      <c r="E100" s="407"/>
      <c r="F100" s="407"/>
      <c r="G100" s="407"/>
      <c r="H100" s="407"/>
      <c r="I100" s="407"/>
      <c r="J100" s="1189"/>
      <c r="K100" s="1189"/>
      <c r="L100" s="1189"/>
      <c r="M100" s="410"/>
      <c r="N100" s="407"/>
      <c r="O100" s="1015"/>
    </row>
    <row r="101" spans="1:28" s="2" customFormat="1" ht="21.75" hidden="1" customHeight="1">
      <c r="A101" s="1"/>
      <c r="C101" s="801" t="s">
        <v>218</v>
      </c>
      <c r="D101" s="802" t="s">
        <v>426</v>
      </c>
      <c r="G101" s="720"/>
      <c r="H101" s="1142" t="str">
        <f>IF(J99="","",H172)</f>
        <v/>
      </c>
      <c r="I101" s="1142"/>
      <c r="J101" s="1142"/>
      <c r="K101" s="1142"/>
      <c r="L101" s="1142"/>
      <c r="M101" s="411"/>
      <c r="N101" s="407"/>
      <c r="O101" s="1015"/>
      <c r="P101" s="408"/>
      <c r="Q101" s="408"/>
      <c r="R101" s="408"/>
      <c r="S101" s="408"/>
      <c r="T101" s="408"/>
      <c r="U101" s="408"/>
      <c r="V101" s="408"/>
      <c r="W101" s="408"/>
      <c r="X101" s="370"/>
      <c r="Y101" s="370"/>
      <c r="Z101" s="370"/>
      <c r="AA101" s="370"/>
      <c r="AB101" s="370"/>
    </row>
    <row r="102" spans="1:28" s="2" customFormat="1" ht="21.75" hidden="1" customHeight="1">
      <c r="A102" s="1213" t="str">
        <f>IF(H101=H172,H174,"")</f>
        <v/>
      </c>
      <c r="B102" s="1213"/>
      <c r="C102" s="1213"/>
      <c r="D102" s="1213"/>
      <c r="E102" s="1213"/>
      <c r="F102" s="1213"/>
      <c r="G102" s="1213"/>
      <c r="H102" s="1213"/>
      <c r="I102" s="1213"/>
      <c r="J102" s="1213"/>
      <c r="K102" s="1213"/>
      <c r="L102" s="1213"/>
      <c r="M102" s="412"/>
      <c r="N102" s="412"/>
      <c r="O102" s="1015"/>
      <c r="P102" s="408"/>
      <c r="Q102" s="408"/>
      <c r="R102" s="408"/>
      <c r="S102" s="408"/>
      <c r="T102" s="408"/>
      <c r="U102" s="408"/>
      <c r="V102" s="408"/>
      <c r="W102" s="408"/>
      <c r="X102" s="370"/>
      <c r="Y102" s="370"/>
      <c r="Z102" s="370"/>
      <c r="AA102" s="370"/>
      <c r="AB102" s="370"/>
    </row>
    <row r="103" spans="1:28" s="2" customFormat="1" ht="20.25" hidden="1" customHeight="1">
      <c r="A103" s="1"/>
      <c r="B103" s="1187"/>
      <c r="C103" s="1187"/>
      <c r="D103" s="1187"/>
      <c r="E103" s="1187"/>
      <c r="F103" s="1187"/>
      <c r="G103" s="1187"/>
      <c r="H103" s="1187"/>
      <c r="I103" s="1187"/>
      <c r="J103" s="1187"/>
      <c r="K103" s="1187"/>
      <c r="L103" s="1187"/>
      <c r="M103" s="1"/>
      <c r="N103" s="1"/>
      <c r="O103" s="1015"/>
    </row>
    <row r="104" spans="1:28" s="2" customFormat="1" ht="20.25" customHeight="1">
      <c r="A104" s="1"/>
      <c r="B104" s="799"/>
      <c r="C104" s="800"/>
      <c r="D104" s="800"/>
      <c r="E104" s="800"/>
      <c r="F104" s="1212"/>
      <c r="G104" s="1212"/>
      <c r="H104" s="1212"/>
      <c r="I104" s="1212"/>
      <c r="J104" s="1212"/>
      <c r="K104" s="1212"/>
      <c r="L104" s="1212"/>
      <c r="M104" s="1"/>
      <c r="N104" s="1"/>
      <c r="O104" s="1015"/>
    </row>
    <row r="105" spans="1:28" s="2" customFormat="1" ht="18" customHeight="1">
      <c r="A105" s="1"/>
      <c r="B105" s="1210" t="str">
        <f>F23</f>
        <v>Bilancio Condominiale 4.0.E05 FREE - per EXCEL .xlsx</v>
      </c>
      <c r="C105" s="1210"/>
      <c r="D105" s="1210"/>
      <c r="E105" s="1210"/>
      <c r="F105" s="1210"/>
      <c r="G105" s="1210"/>
      <c r="H105" s="1210"/>
      <c r="I105" s="1210"/>
      <c r="J105" s="1210"/>
      <c r="K105" s="1211" t="s">
        <v>202</v>
      </c>
      <c r="L105" s="1211"/>
      <c r="M105" s="1"/>
      <c r="N105" s="1"/>
      <c r="O105" s="1015"/>
    </row>
    <row r="106" spans="1:28" s="2" customFormat="1" ht="30" customHeight="1">
      <c r="A106" s="373"/>
      <c r="B106" s="1207" t="s">
        <v>561</v>
      </c>
      <c r="C106" s="1207"/>
      <c r="D106" s="1207"/>
      <c r="E106" s="1207"/>
      <c r="F106" s="1207"/>
      <c r="G106" s="1207"/>
      <c r="H106" s="1207"/>
      <c r="I106" s="1207"/>
      <c r="J106" s="1207"/>
      <c r="K106" s="1207"/>
      <c r="L106" s="1207"/>
      <c r="M106" s="1"/>
      <c r="N106" s="1"/>
      <c r="O106" s="1013"/>
    </row>
    <row r="107" spans="1:28" s="2" customFormat="1">
      <c r="A107" s="373"/>
      <c r="B107" s="1208" t="s">
        <v>562</v>
      </c>
      <c r="C107" s="1209"/>
      <c r="D107" s="1209"/>
      <c r="E107" s="1209"/>
      <c r="F107" s="1209"/>
      <c r="G107" s="1209"/>
      <c r="H107" s="1209"/>
      <c r="I107" s="1209"/>
      <c r="J107" s="1209"/>
      <c r="K107" s="1209"/>
      <c r="L107" s="1209"/>
      <c r="M107" s="1"/>
      <c r="N107" s="1"/>
    </row>
    <row r="108" spans="1:28" s="2" customFormat="1" ht="18" customHeight="1">
      <c r="A108" s="373"/>
      <c r="B108" s="1203" t="s">
        <v>631</v>
      </c>
      <c r="C108" s="1204"/>
      <c r="D108" s="1204"/>
      <c r="E108" s="1204"/>
      <c r="F108" s="1204"/>
      <c r="G108" s="1204"/>
      <c r="H108" s="1204"/>
      <c r="I108" s="1204"/>
      <c r="J108" s="1204"/>
      <c r="K108" s="1204"/>
      <c r="L108" s="1204"/>
      <c r="M108" s="1"/>
      <c r="N108" s="1"/>
    </row>
    <row r="109" spans="1:28" s="2" customFormat="1" ht="18" hidden="1" customHeight="1">
      <c r="A109" s="373"/>
      <c r="B109" s="400"/>
      <c r="C109" s="1040" t="s">
        <v>567</v>
      </c>
      <c r="D109" s="1010"/>
      <c r="E109" s="1010"/>
      <c r="F109" s="1010"/>
      <c r="G109" s="1010"/>
      <c r="H109" s="1010"/>
      <c r="I109" s="1010"/>
      <c r="J109" s="1010"/>
      <c r="K109" s="1010"/>
      <c r="L109" s="1010"/>
      <c r="M109" s="1"/>
      <c r="N109" s="1"/>
    </row>
    <row r="110" spans="1:28" s="2" customFormat="1" hidden="1">
      <c r="A110" s="373"/>
      <c r="B110" s="400"/>
      <c r="C110" s="1040" t="s">
        <v>568</v>
      </c>
      <c r="D110" s="1010"/>
      <c r="E110" s="1010"/>
      <c r="F110" s="1010"/>
      <c r="G110" s="1010"/>
      <c r="H110" s="1010"/>
      <c r="I110" s="1010"/>
      <c r="J110" s="1010"/>
      <c r="K110" s="1010"/>
      <c r="L110" s="1010"/>
      <c r="M110" s="1"/>
      <c r="N110" s="1"/>
    </row>
    <row r="111" spans="1:28" s="2" customFormat="1">
      <c r="A111" s="373"/>
      <c r="B111" s="400"/>
      <c r="C111" s="1010"/>
      <c r="D111" s="1010"/>
      <c r="E111" s="1010"/>
      <c r="F111" s="1010"/>
      <c r="G111" s="1010"/>
      <c r="H111" s="1010"/>
      <c r="I111" s="1010"/>
      <c r="J111" s="1010"/>
      <c r="K111" s="1010"/>
      <c r="L111" s="1010"/>
      <c r="M111" s="1"/>
      <c r="N111" s="1"/>
    </row>
    <row r="112" spans="1:28" s="2" customFormat="1" ht="15.75" customHeight="1">
      <c r="A112" s="373"/>
      <c r="B112" s="888" t="s">
        <v>570</v>
      </c>
      <c r="C112" s="1104" t="s">
        <v>491</v>
      </c>
      <c r="D112" s="1105"/>
      <c r="E112" s="1010"/>
      <c r="F112" s="1032" t="s">
        <v>84</v>
      </c>
      <c r="G112" s="1026" t="s">
        <v>545</v>
      </c>
      <c r="H112" s="1016" t="s">
        <v>546</v>
      </c>
      <c r="I112" s="1010"/>
      <c r="J112" s="1025" t="str">
        <f>IF(C112="","Seleziona una opzione",VLOOKUP(C112,B187:G191,6,FALSE))</f>
        <v>Attivo SEMPRE</v>
      </c>
      <c r="K112" s="1010"/>
      <c r="L112" s="1010"/>
      <c r="M112" s="1"/>
      <c r="N112" s="1"/>
    </row>
    <row r="113" spans="1:14" s="2" customFormat="1" ht="14.25" customHeight="1">
      <c r="A113" s="373"/>
      <c r="B113" s="835"/>
      <c r="C113" s="1024">
        <f>VLOOKUP($C$112,$B$187:$F$191,2,FALSE)</f>
        <v>1</v>
      </c>
      <c r="D113" s="1010"/>
      <c r="E113" s="1018" t="str">
        <f>I186</f>
        <v>GEN</v>
      </c>
      <c r="F113" s="1033">
        <v>0</v>
      </c>
      <c r="G113" s="1027">
        <v>1000</v>
      </c>
      <c r="H113" s="1021">
        <v>-500</v>
      </c>
      <c r="I113" s="1010"/>
      <c r="J113" s="1010"/>
      <c r="K113" s="1010"/>
      <c r="L113" s="1010"/>
      <c r="M113" s="1"/>
      <c r="N113" s="1"/>
    </row>
    <row r="114" spans="1:14" s="2" customFormat="1" ht="14.25" customHeight="1">
      <c r="A114" s="373"/>
      <c r="B114" s="835"/>
      <c r="C114" s="1024">
        <f>VLOOKUP($C$112,$B$187:$F$191,2,FALSE)</f>
        <v>1</v>
      </c>
      <c r="D114" s="1010"/>
      <c r="E114" s="1018" t="str">
        <f t="shared" ref="E114:E124" si="0">I187</f>
        <v>FEB</v>
      </c>
      <c r="F114" s="1034">
        <v>1000</v>
      </c>
      <c r="G114" s="1028">
        <v>1000</v>
      </c>
      <c r="H114" s="1019">
        <v>0</v>
      </c>
      <c r="I114" s="1010"/>
      <c r="J114" s="1010"/>
      <c r="K114" s="1010"/>
      <c r="L114" s="1010"/>
      <c r="M114" s="1"/>
      <c r="N114" s="1"/>
    </row>
    <row r="115" spans="1:14" s="2" customFormat="1" ht="14.25" customHeight="1">
      <c r="A115" s="373"/>
      <c r="B115" s="835"/>
      <c r="C115" s="1024">
        <f>VLOOKUP($C$112,$B$187:$F$191,2,FALSE)</f>
        <v>1</v>
      </c>
      <c r="D115" s="1010"/>
      <c r="E115" s="1018" t="str">
        <f t="shared" si="0"/>
        <v>MAR</v>
      </c>
      <c r="F115" s="1035">
        <v>1000</v>
      </c>
      <c r="G115" s="1029">
        <v>1000</v>
      </c>
      <c r="H115" s="1020">
        <v>0</v>
      </c>
      <c r="I115" s="1010"/>
      <c r="J115" s="1010"/>
      <c r="K115" s="1010"/>
      <c r="L115" s="1010"/>
      <c r="M115" s="1"/>
      <c r="N115" s="1"/>
    </row>
    <row r="116" spans="1:14" s="2" customFormat="1" ht="14.25" customHeight="1">
      <c r="A116" s="373"/>
      <c r="B116" s="835"/>
      <c r="C116" s="1024">
        <f>VLOOKUP($C$112,$B$187:$F$191,3,FALSE)</f>
        <v>0</v>
      </c>
      <c r="D116" s="1010"/>
      <c r="E116" s="1018" t="str">
        <f t="shared" si="0"/>
        <v>APR</v>
      </c>
      <c r="F116" s="1036">
        <v>1000</v>
      </c>
      <c r="G116" s="1030">
        <v>1000</v>
      </c>
      <c r="H116" s="1023">
        <v>-500</v>
      </c>
      <c r="I116" s="1010"/>
      <c r="J116" s="1010"/>
      <c r="K116" s="1010"/>
      <c r="L116" s="1010"/>
      <c r="M116" s="1"/>
      <c r="N116" s="1"/>
    </row>
    <row r="117" spans="1:14" s="2" customFormat="1" ht="14.25" customHeight="1">
      <c r="A117" s="373"/>
      <c r="B117" s="835"/>
      <c r="C117" s="1024">
        <f>VLOOKUP($C$112,$B$187:$F$191,3,FALSE)</f>
        <v>0</v>
      </c>
      <c r="D117" s="1010"/>
      <c r="E117" s="1018" t="str">
        <f t="shared" si="0"/>
        <v>MAG</v>
      </c>
      <c r="F117" s="1034">
        <v>1000</v>
      </c>
      <c r="G117" s="1028">
        <v>1000</v>
      </c>
      <c r="H117" s="1019">
        <v>0</v>
      </c>
      <c r="I117" s="1010"/>
      <c r="J117" s="1010"/>
      <c r="K117" s="1010"/>
      <c r="L117" s="1010"/>
      <c r="M117" s="1"/>
      <c r="N117" s="1"/>
    </row>
    <row r="118" spans="1:14" s="2" customFormat="1" ht="14.25" customHeight="1">
      <c r="A118" s="373"/>
      <c r="B118" s="835"/>
      <c r="C118" s="1024">
        <f>VLOOKUP($C$112,$B$187:$F$191,3,FALSE)</f>
        <v>0</v>
      </c>
      <c r="D118" s="1010"/>
      <c r="E118" s="1018" t="str">
        <f t="shared" si="0"/>
        <v>GIU</v>
      </c>
      <c r="F118" s="1035">
        <v>1000</v>
      </c>
      <c r="G118" s="1029">
        <v>1000</v>
      </c>
      <c r="H118" s="1020">
        <v>0</v>
      </c>
      <c r="I118" s="1010"/>
      <c r="J118" s="1010"/>
      <c r="K118" s="1010"/>
      <c r="L118" s="1010"/>
      <c r="M118" s="1"/>
      <c r="N118" s="1"/>
    </row>
    <row r="119" spans="1:14" s="2" customFormat="1" ht="14.25" customHeight="1">
      <c r="A119" s="373"/>
      <c r="B119" s="835"/>
      <c r="C119" s="1024">
        <f>VLOOKUP($C$112,$B$187:$F$191,4,FALSE)</f>
        <v>0</v>
      </c>
      <c r="D119" s="1010"/>
      <c r="E119" s="1018" t="str">
        <f t="shared" si="0"/>
        <v>LUG</v>
      </c>
      <c r="F119" s="1036">
        <v>1000</v>
      </c>
      <c r="G119" s="1030">
        <v>1000</v>
      </c>
      <c r="H119" s="1019">
        <v>0</v>
      </c>
      <c r="I119" s="1010"/>
      <c r="J119" s="1010"/>
      <c r="K119" s="1010"/>
      <c r="L119" s="1010"/>
      <c r="M119" s="1"/>
      <c r="N119" s="1"/>
    </row>
    <row r="120" spans="1:14" s="2" customFormat="1" ht="14.25" customHeight="1">
      <c r="A120" s="373"/>
      <c r="B120" s="835"/>
      <c r="C120" s="1024">
        <f>VLOOKUP($C$112,$B$187:$F$191,4,FALSE)</f>
        <v>0</v>
      </c>
      <c r="D120" s="1010"/>
      <c r="E120" s="1018" t="str">
        <f t="shared" si="0"/>
        <v>AGO</v>
      </c>
      <c r="F120" s="1034">
        <v>1000</v>
      </c>
      <c r="G120" s="1028">
        <v>1000</v>
      </c>
      <c r="H120" s="1019">
        <v>0</v>
      </c>
      <c r="I120" s="1010"/>
      <c r="J120" s="1010"/>
      <c r="K120" s="1010"/>
      <c r="L120" s="1010"/>
      <c r="N120" s="1"/>
    </row>
    <row r="121" spans="1:14" s="2" customFormat="1" ht="14.25" customHeight="1">
      <c r="A121" s="373"/>
      <c r="B121" s="835"/>
      <c r="C121" s="1024">
        <f>VLOOKUP($C$112,$B$187:$F$191,4,FALSE)</f>
        <v>0</v>
      </c>
      <c r="D121" s="1010"/>
      <c r="E121" s="1018" t="str">
        <f t="shared" si="0"/>
        <v>SET</v>
      </c>
      <c r="F121" s="1035">
        <v>1000</v>
      </c>
      <c r="G121" s="1029">
        <v>1000</v>
      </c>
      <c r="H121" s="1038">
        <v>500</v>
      </c>
      <c r="I121" s="1010"/>
      <c r="J121" s="1010"/>
      <c r="K121" s="1010"/>
      <c r="L121" s="1010"/>
      <c r="M121" s="1"/>
      <c r="N121" s="1"/>
    </row>
    <row r="122" spans="1:14" s="2" customFormat="1" ht="14.25" customHeight="1">
      <c r="A122" s="373"/>
      <c r="B122" s="835"/>
      <c r="C122" s="1024">
        <f>VLOOKUP($C$112,$B$187:$F$191,5,FALSE)</f>
        <v>0</v>
      </c>
      <c r="D122" s="1010"/>
      <c r="E122" s="1018" t="str">
        <f t="shared" si="0"/>
        <v>OTT</v>
      </c>
      <c r="F122" s="1036">
        <v>1000</v>
      </c>
      <c r="G122" s="1030">
        <v>1000</v>
      </c>
      <c r="H122" s="1019">
        <v>0</v>
      </c>
      <c r="I122" s="1010"/>
      <c r="J122" s="1010"/>
      <c r="K122" s="1010"/>
      <c r="L122" s="1010"/>
      <c r="M122" s="1"/>
      <c r="N122" s="1"/>
    </row>
    <row r="123" spans="1:14" s="2" customFormat="1" ht="14.25" customHeight="1">
      <c r="A123" s="373"/>
      <c r="B123" s="835"/>
      <c r="C123" s="1024">
        <f>VLOOKUP($C$112,$B$187:$F$191,5,FALSE)</f>
        <v>0</v>
      </c>
      <c r="D123" s="1010"/>
      <c r="E123" s="1018" t="str">
        <f t="shared" si="0"/>
        <v>NOV</v>
      </c>
      <c r="F123" s="1034">
        <v>1000</v>
      </c>
      <c r="G123" s="1028">
        <v>1000</v>
      </c>
      <c r="H123" s="1019">
        <v>0</v>
      </c>
      <c r="I123" s="1010"/>
      <c r="J123" s="1010"/>
      <c r="K123" s="1010"/>
      <c r="L123" s="1010"/>
      <c r="M123" s="1"/>
      <c r="N123" s="1"/>
    </row>
    <row r="124" spans="1:14" s="2" customFormat="1" ht="14.25" customHeight="1">
      <c r="A124" s="373"/>
      <c r="B124" s="835"/>
      <c r="C124" s="1024">
        <f>VLOOKUP($C$112,$B$187:$F$191,5,FALSE)</f>
        <v>0</v>
      </c>
      <c r="D124" s="1010"/>
      <c r="E124" s="1018" t="str">
        <f t="shared" si="0"/>
        <v>DIC</v>
      </c>
      <c r="F124" s="1035">
        <v>1000</v>
      </c>
      <c r="G124" s="1029">
        <v>0</v>
      </c>
      <c r="H124" s="1038">
        <v>500</v>
      </c>
      <c r="I124" s="1010"/>
      <c r="J124" s="1010"/>
      <c r="K124" s="1010"/>
      <c r="L124" s="1010"/>
      <c r="M124" s="1"/>
      <c r="N124" s="1"/>
    </row>
    <row r="125" spans="1:14" s="2" customFormat="1" ht="15.75" customHeight="1">
      <c r="A125" s="373"/>
      <c r="B125" s="400"/>
      <c r="C125" s="1010"/>
      <c r="D125" s="1010"/>
      <c r="E125" s="1010"/>
      <c r="F125" s="1037">
        <f>SUMIF($C$113:$C$124,1,F113:F124)</f>
        <v>2000</v>
      </c>
      <c r="G125" s="1031">
        <f>SUMIF($C$113:$C$124,1,G113:G124)</f>
        <v>3000</v>
      </c>
      <c r="H125" s="1017">
        <f>SUMIF($C$113:$C$124,1,H113:H124)</f>
        <v>-500</v>
      </c>
      <c r="I125" s="1010"/>
      <c r="J125" s="1022" t="s">
        <v>569</v>
      </c>
      <c r="K125" s="1039">
        <f>F125-(G125+H125)</f>
        <v>-500</v>
      </c>
      <c r="L125" s="1010"/>
      <c r="M125" s="1"/>
      <c r="N125" s="1"/>
    </row>
    <row r="126" spans="1:14" s="2" customFormat="1">
      <c r="A126" s="373"/>
      <c r="B126" s="400"/>
      <c r="C126" s="1010"/>
      <c r="D126" s="1010"/>
      <c r="E126" s="1010"/>
      <c r="F126" s="1010"/>
      <c r="G126" s="1010"/>
      <c r="H126" s="1010"/>
      <c r="I126" s="1010"/>
      <c r="J126" s="1010"/>
      <c r="K126" s="1010"/>
      <c r="L126" s="1010"/>
      <c r="M126" s="1"/>
      <c r="N126" s="1"/>
    </row>
    <row r="127" spans="1:14" s="2" customFormat="1">
      <c r="A127" s="373"/>
      <c r="B127" s="400"/>
      <c r="C127" s="1010"/>
      <c r="D127" s="1010"/>
      <c r="E127" s="1010"/>
      <c r="F127" s="1010"/>
      <c r="G127" s="1010"/>
      <c r="H127" s="1010"/>
      <c r="I127" s="1010"/>
      <c r="J127" s="1010"/>
      <c r="K127" s="1010"/>
      <c r="L127" s="1010"/>
      <c r="M127" s="1"/>
      <c r="N127" s="1"/>
    </row>
    <row r="128" spans="1:14" s="2" customFormat="1" ht="12.75" hidden="1" customHeight="1">
      <c r="A128" s="373"/>
      <c r="B128" s="1193" t="s">
        <v>485</v>
      </c>
      <c r="C128" s="1193"/>
      <c r="D128" s="1193"/>
      <c r="E128" s="1193"/>
      <c r="F128" s="1193"/>
      <c r="G128" s="1193"/>
      <c r="H128" s="1193"/>
      <c r="I128" s="1193"/>
      <c r="J128" s="1193"/>
      <c r="K128" s="1193"/>
      <c r="L128" s="1193"/>
      <c r="M128" s="1"/>
      <c r="N128" s="1"/>
    </row>
    <row r="129" spans="1:14" s="2" customFormat="1" hidden="1">
      <c r="A129" s="373"/>
      <c r="B129" s="1194" t="s">
        <v>475</v>
      </c>
      <c r="C129" s="1194"/>
      <c r="D129" s="1194"/>
      <c r="E129" s="1194"/>
      <c r="F129" s="1194"/>
      <c r="G129" s="1194"/>
      <c r="H129" s="1194"/>
      <c r="I129" s="1194"/>
      <c r="J129" s="1194"/>
      <c r="K129" s="1194"/>
      <c r="L129" s="1194"/>
      <c r="M129" s="1"/>
      <c r="N129" s="1"/>
    </row>
    <row r="130" spans="1:14" s="2" customFormat="1" ht="13.5" hidden="1" customHeight="1">
      <c r="A130" s="1"/>
      <c r="B130" s="413"/>
      <c r="C130" s="413"/>
      <c r="D130" s="413"/>
      <c r="E130" s="413"/>
      <c r="F130" s="413"/>
      <c r="G130" s="413"/>
      <c r="H130" s="413"/>
      <c r="I130" s="413"/>
      <c r="J130" s="413"/>
      <c r="K130" s="1180" t="s">
        <v>340</v>
      </c>
      <c r="L130" s="1180"/>
      <c r="M130" s="1"/>
      <c r="N130" s="1"/>
    </row>
    <row r="131" spans="1:14" s="2" customFormat="1" ht="13.5" customHeight="1">
      <c r="A131" s="1"/>
      <c r="B131" s="813" t="s">
        <v>219</v>
      </c>
      <c r="C131" s="1"/>
      <c r="D131" s="814"/>
      <c r="E131" s="815" t="s">
        <v>463</v>
      </c>
      <c r="F131" s="1"/>
      <c r="G131" s="413"/>
      <c r="H131" s="413"/>
      <c r="I131" s="833"/>
      <c r="J131" s="833"/>
      <c r="K131" s="1"/>
      <c r="L131" s="1"/>
      <c r="M131" s="1"/>
      <c r="N131" s="1"/>
    </row>
    <row r="132" spans="1:14" s="2" customFormat="1" ht="13.5" customHeight="1">
      <c r="A132" s="1"/>
      <c r="B132" s="816" t="s">
        <v>364</v>
      </c>
      <c r="C132" s="1"/>
      <c r="D132" s="413"/>
      <c r="E132" s="817" t="s">
        <v>369</v>
      </c>
      <c r="F132" s="817" t="s">
        <v>464</v>
      </c>
      <c r="G132" s="710"/>
      <c r="H132" s="817" t="s">
        <v>451</v>
      </c>
      <c r="I132" s="784"/>
      <c r="J132" s="413"/>
      <c r="K132" s="1"/>
      <c r="L132" s="1"/>
      <c r="M132" s="1"/>
      <c r="N132" s="1"/>
    </row>
    <row r="133" spans="1:14" s="2" customFormat="1" ht="13.5" customHeight="1">
      <c r="A133" s="1"/>
      <c r="B133" s="1109"/>
      <c r="C133" s="1109"/>
      <c r="D133" s="1109"/>
      <c r="E133" s="1109"/>
      <c r="F133" s="1109"/>
      <c r="G133" s="1109"/>
      <c r="H133" s="1109"/>
      <c r="I133" s="1109"/>
      <c r="J133" s="1109"/>
      <c r="K133" s="1109"/>
      <c r="L133" s="1109"/>
      <c r="M133" s="1"/>
      <c r="N133" s="1"/>
    </row>
    <row r="134" spans="1:14" s="2" customFormat="1" ht="15" customHeight="1">
      <c r="A134" s="1"/>
      <c r="B134" s="1196"/>
      <c r="C134" s="1196"/>
      <c r="D134" s="1196"/>
      <c r="E134" s="1196"/>
      <c r="F134" s="1196"/>
      <c r="G134" s="1196"/>
      <c r="H134" s="1196"/>
      <c r="I134" s="1196"/>
      <c r="J134" s="1196"/>
      <c r="K134" s="1196"/>
      <c r="L134" s="1196"/>
      <c r="M134" s="1"/>
      <c r="N134" s="1"/>
    </row>
    <row r="135" spans="1:14" s="2" customFormat="1" ht="14.25" customHeight="1">
      <c r="A135" s="1"/>
      <c r="B135" s="9"/>
      <c r="C135" s="9"/>
      <c r="D135" s="1168"/>
      <c r="E135" s="1168"/>
      <c r="F135" s="1168"/>
      <c r="G135" s="659"/>
      <c r="H135" s="1"/>
      <c r="I135" s="659"/>
      <c r="J135" s="822" t="s">
        <v>469</v>
      </c>
      <c r="K135" s="1199" t="s">
        <v>106</v>
      </c>
      <c r="L135" s="9"/>
      <c r="M135" s="1"/>
      <c r="N135" s="1"/>
    </row>
    <row r="136" spans="1:14" s="2" customFormat="1" ht="14.25" customHeight="1">
      <c r="A136" s="1"/>
      <c r="B136" s="9"/>
      <c r="C136" s="9"/>
      <c r="D136" s="1168" t="s">
        <v>220</v>
      </c>
      <c r="E136" s="1168"/>
      <c r="F136" s="1168"/>
      <c r="H136" s="1"/>
      <c r="I136" s="9"/>
      <c r="J136" s="823" t="s">
        <v>470</v>
      </c>
      <c r="K136" s="1200"/>
      <c r="L136" s="9"/>
      <c r="M136" s="1"/>
      <c r="N136" s="1"/>
    </row>
    <row r="137" spans="1:14" s="2" customFormat="1" ht="18" customHeight="1">
      <c r="A137" s="1"/>
      <c r="B137" s="9"/>
      <c r="C137" s="9"/>
      <c r="D137" s="1197" t="s">
        <v>471</v>
      </c>
      <c r="E137" s="1197"/>
      <c r="F137" s="1197"/>
      <c r="G137" s="1197"/>
      <c r="H137" s="414"/>
      <c r="I137" s="9"/>
      <c r="J137" s="9"/>
      <c r="K137" s="9"/>
      <c r="L137" s="9"/>
      <c r="M137" s="1"/>
      <c r="N137" s="1"/>
    </row>
    <row r="138" spans="1:14" s="2" customFormat="1" ht="18" customHeight="1">
      <c r="A138" s="1"/>
      <c r="B138" s="9"/>
      <c r="C138" s="9"/>
      <c r="D138" s="1202" t="s">
        <v>368</v>
      </c>
      <c r="E138" s="1202"/>
      <c r="F138" s="1202"/>
      <c r="G138" s="1202"/>
      <c r="H138" s="1202"/>
      <c r="I138" s="1202"/>
      <c r="J138" s="1202"/>
      <c r="K138" s="1202"/>
      <c r="L138" s="9"/>
      <c r="M138" s="1"/>
      <c r="N138" s="1"/>
    </row>
    <row r="139" spans="1:14" s="2" customFormat="1" ht="14.25">
      <c r="A139" s="1"/>
      <c r="B139" s="9"/>
      <c r="C139" s="9"/>
      <c r="D139" s="1202" t="s">
        <v>640</v>
      </c>
      <c r="E139" s="1202"/>
      <c r="F139" s="1202"/>
      <c r="G139" s="1202"/>
      <c r="H139" s="1202"/>
      <c r="I139" s="1202"/>
      <c r="J139" s="1202"/>
      <c r="K139" s="1202"/>
      <c r="L139" s="9"/>
      <c r="M139" s="1"/>
      <c r="N139" s="1"/>
    </row>
    <row r="140" spans="1:14" s="2" customFormat="1" ht="18" hidden="1" customHeight="1">
      <c r="A140" s="1"/>
      <c r="B140" s="9"/>
      <c r="C140" s="9"/>
      <c r="D140" s="1201"/>
      <c r="E140" s="1201"/>
      <c r="F140" s="1201"/>
      <c r="G140" s="1201"/>
      <c r="H140" s="1201"/>
      <c r="I140" s="1201"/>
      <c r="J140" s="1201"/>
      <c r="K140" s="1201"/>
      <c r="L140" s="9"/>
      <c r="M140" s="1"/>
      <c r="N140" s="1"/>
    </row>
    <row r="141" spans="1:14" s="2" customFormat="1" ht="18" customHeight="1">
      <c r="A141" s="1"/>
      <c r="B141" s="9"/>
      <c r="C141" s="9"/>
      <c r="D141" s="1168" t="s">
        <v>476</v>
      </c>
      <c r="E141" s="1168"/>
      <c r="F141" s="1168"/>
      <c r="G141" s="1168"/>
      <c r="H141" s="1168"/>
      <c r="I141" s="1168"/>
      <c r="J141" s="1168"/>
      <c r="K141" s="1168"/>
      <c r="L141" s="9"/>
      <c r="M141" s="1"/>
      <c r="N141" s="1"/>
    </row>
    <row r="142" spans="1:14" s="2" customFormat="1" ht="14.25">
      <c r="A142" s="1"/>
      <c r="B142" s="9"/>
      <c r="C142" s="9"/>
      <c r="D142" s="1168" t="s">
        <v>477</v>
      </c>
      <c r="E142" s="1168"/>
      <c r="F142" s="1168"/>
      <c r="G142" s="1168"/>
      <c r="H142" s="1168"/>
      <c r="I142" s="1168"/>
      <c r="J142" s="1168"/>
      <c r="K142" s="1168"/>
      <c r="L142" s="9"/>
      <c r="M142" s="1"/>
      <c r="N142" s="1"/>
    </row>
    <row r="143" spans="1:14" s="2" customFormat="1" ht="18" customHeight="1">
      <c r="A143" s="1"/>
      <c r="B143" s="9"/>
      <c r="C143" s="9"/>
      <c r="D143" s="1169" t="s">
        <v>478</v>
      </c>
      <c r="E143" s="1169"/>
      <c r="F143" s="1169"/>
      <c r="G143" s="1169"/>
      <c r="H143" s="1169"/>
      <c r="I143" s="1169"/>
      <c r="J143" s="1169"/>
      <c r="K143" s="1169"/>
      <c r="L143" s="9"/>
      <c r="M143" s="1"/>
      <c r="N143" s="1"/>
    </row>
    <row r="144" spans="1:14" s="2" customFormat="1" ht="18" hidden="1" customHeight="1">
      <c r="A144" s="1"/>
      <c r="B144" s="9"/>
      <c r="C144" s="9"/>
      <c r="D144" s="1168" t="s">
        <v>472</v>
      </c>
      <c r="E144" s="1168"/>
      <c r="F144" s="1168"/>
      <c r="G144" s="1168"/>
      <c r="H144" s="1168"/>
      <c r="I144" s="1168"/>
      <c r="J144" s="1168"/>
      <c r="K144" s="1168"/>
      <c r="L144" s="9"/>
      <c r="M144" s="1"/>
      <c r="N144" s="1"/>
    </row>
    <row r="145" spans="1:20" s="2" customFormat="1" ht="18" hidden="1" customHeight="1">
      <c r="A145" s="1"/>
      <c r="B145" s="9"/>
      <c r="C145" s="9"/>
      <c r="D145" s="1170" t="s">
        <v>473</v>
      </c>
      <c r="E145" s="1170"/>
      <c r="F145" s="1170"/>
      <c r="G145" s="1170"/>
      <c r="H145" s="1170"/>
      <c r="I145" s="1170"/>
      <c r="J145" s="1170"/>
      <c r="K145" s="1170"/>
      <c r="L145" s="835"/>
      <c r="M145" s="1"/>
      <c r="N145" s="1"/>
    </row>
    <row r="146" spans="1:20" s="2" customFormat="1" ht="18" customHeight="1">
      <c r="A146" s="1"/>
      <c r="B146" s="9"/>
      <c r="C146" s="9"/>
      <c r="D146" s="1198" t="s">
        <v>474</v>
      </c>
      <c r="E146" s="1198"/>
      <c r="F146" s="1198"/>
      <c r="G146" s="1198"/>
      <c r="H146" s="1198"/>
      <c r="I146" s="1198"/>
      <c r="J146" s="1198"/>
      <c r="K146" s="1198"/>
      <c r="L146" s="9"/>
      <c r="M146" s="1"/>
      <c r="N146" s="1"/>
    </row>
    <row r="147" spans="1:20" s="2" customFormat="1" ht="30" customHeight="1">
      <c r="A147" s="1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1"/>
      <c r="N147" s="1"/>
    </row>
    <row r="148" spans="1:20" s="2" customFormat="1">
      <c r="A148" s="1"/>
      <c r="B148" s="1174" t="s">
        <v>641</v>
      </c>
      <c r="C148" s="1174"/>
      <c r="D148" s="1174"/>
      <c r="E148" s="1174"/>
      <c r="F148" s="1174"/>
      <c r="G148" s="1174"/>
      <c r="H148" s="1174"/>
      <c r="I148" s="1174"/>
      <c r="J148" s="1174"/>
      <c r="K148" s="1174"/>
      <c r="L148" s="1174"/>
      <c r="M148" s="1"/>
      <c r="N148" s="1"/>
    </row>
    <row r="149" spans="1:20" s="2" customFormat="1" ht="16.5" hidden="1" customHeight="1">
      <c r="A149" s="373"/>
      <c r="B149" s="1171" t="s">
        <v>467</v>
      </c>
      <c r="C149" s="1171"/>
      <c r="D149" s="1171"/>
      <c r="E149" s="1171"/>
      <c r="F149" s="1171"/>
      <c r="G149" s="1171"/>
      <c r="H149" s="1171"/>
      <c r="I149" s="1171"/>
      <c r="J149" s="1171"/>
      <c r="K149" s="1171"/>
      <c r="L149" s="1171"/>
      <c r="M149" s="1"/>
      <c r="N149" s="1"/>
    </row>
    <row r="150" spans="1:20" s="2" customFormat="1" ht="12.75" hidden="1" customHeight="1">
      <c r="A150" s="373"/>
      <c r="B150" s="1172" t="s">
        <v>468</v>
      </c>
      <c r="C150" s="1172"/>
      <c r="D150" s="1172"/>
      <c r="E150" s="1172"/>
      <c r="F150" s="1172"/>
      <c r="G150" s="1172"/>
      <c r="H150" s="1172"/>
      <c r="I150" s="1172"/>
      <c r="J150" s="1172"/>
      <c r="K150" s="1172"/>
      <c r="L150" s="1172"/>
      <c r="M150" s="1"/>
      <c r="N150" s="1"/>
    </row>
    <row r="151" spans="1:20" s="2" customFormat="1" ht="16.5" hidden="1" customHeight="1">
      <c r="A151" s="373"/>
      <c r="B151" s="1173" t="s">
        <v>563</v>
      </c>
      <c r="C151" s="1167"/>
      <c r="D151" s="1167"/>
      <c r="E151" s="1167"/>
      <c r="F151" s="1167"/>
      <c r="G151" s="1167"/>
      <c r="H151" s="1167"/>
      <c r="I151" s="1167"/>
      <c r="J151" s="1167"/>
      <c r="K151" s="1167"/>
      <c r="L151" s="1167"/>
      <c r="M151" s="1"/>
      <c r="N151" s="1"/>
    </row>
    <row r="152" spans="1:20" s="2" customFormat="1" ht="15.75" customHeight="1">
      <c r="A152" s="373"/>
      <c r="B152" s="1171"/>
      <c r="C152" s="1171"/>
      <c r="D152" s="1171"/>
      <c r="E152" s="1171"/>
      <c r="F152" s="1171"/>
      <c r="G152" s="1171"/>
      <c r="H152" s="1171"/>
      <c r="I152" s="1171"/>
      <c r="J152" s="1171"/>
      <c r="K152" s="1171"/>
      <c r="L152" s="1171"/>
      <c r="M152" s="1"/>
      <c r="N152" s="1"/>
    </row>
    <row r="153" spans="1:20" s="2" customFormat="1" ht="18" hidden="1" customHeight="1">
      <c r="A153" s="373"/>
      <c r="B153" s="1167"/>
      <c r="C153" s="1167"/>
      <c r="D153" s="1167"/>
      <c r="E153" s="1167"/>
      <c r="F153" s="1167"/>
      <c r="G153" s="1167"/>
      <c r="H153" s="1167"/>
      <c r="I153" s="1167"/>
      <c r="J153" s="1167"/>
      <c r="K153" s="1167"/>
      <c r="L153" s="1167"/>
      <c r="M153" s="1"/>
      <c r="N153" s="1"/>
    </row>
    <row r="154" spans="1:20" s="2" customFormat="1" hidden="1">
      <c r="A154" s="1"/>
      <c r="B154" s="1109"/>
      <c r="C154" s="1109"/>
      <c r="D154" s="1109"/>
      <c r="E154" s="1109"/>
      <c r="F154" s="1109"/>
      <c r="G154" s="1109"/>
      <c r="H154" s="1109"/>
      <c r="I154" s="1109"/>
      <c r="J154" s="1109"/>
      <c r="K154" s="1109"/>
      <c r="L154" s="1109"/>
      <c r="M154" s="1"/>
      <c r="N154" s="1"/>
    </row>
    <row r="155" spans="1:20" s="2" customFormat="1" ht="18" customHeight="1">
      <c r="A155" s="1"/>
      <c r="B155" s="1164" t="str">
        <f>B105</f>
        <v>Bilancio Condominiale 4.0.E05 FREE - per EXCEL .xlsx</v>
      </c>
      <c r="C155" s="1164"/>
      <c r="D155" s="1164"/>
      <c r="E155" s="1164"/>
      <c r="F155" s="1164"/>
      <c r="G155" s="1164"/>
      <c r="H155" s="1164"/>
      <c r="I155" s="1164"/>
      <c r="J155" s="1164"/>
      <c r="K155" s="1166" t="s">
        <v>202</v>
      </c>
      <c r="L155" s="1166"/>
      <c r="M155" s="1"/>
      <c r="N155" s="835"/>
    </row>
    <row r="156" spans="1:20" s="2" customFormat="1" ht="18" customHeight="1">
      <c r="A156" s="1"/>
      <c r="B156" s="824"/>
      <c r="C156" s="824"/>
      <c r="D156" s="824"/>
      <c r="E156" s="824"/>
      <c r="F156" s="824"/>
      <c r="G156" s="824"/>
      <c r="H156" s="824"/>
      <c r="I156" s="824"/>
      <c r="J156" s="824"/>
      <c r="K156" s="825"/>
      <c r="L156" s="825"/>
      <c r="M156" s="1"/>
      <c r="N156" s="1"/>
    </row>
    <row r="157" spans="1:20" s="2" customFormat="1" ht="18.75" customHeight="1">
      <c r="A157" s="1"/>
      <c r="B157" s="1165" t="s">
        <v>421</v>
      </c>
      <c r="C157" s="1165"/>
      <c r="D157" s="1165"/>
      <c r="E157" s="1165"/>
      <c r="F157" s="1165"/>
      <c r="G157" s="1165"/>
      <c r="H157" s="1165"/>
      <c r="I157" s="1165"/>
      <c r="J157" s="1165"/>
      <c r="K157" s="1165"/>
      <c r="L157" s="1165"/>
      <c r="M157" s="1"/>
      <c r="N157" s="1"/>
    </row>
    <row r="158" spans="1:20" s="2" customFormat="1" ht="15" customHeight="1">
      <c r="A158" s="1"/>
      <c r="B158" s="1163"/>
      <c r="C158" s="1163"/>
      <c r="D158" s="1163"/>
      <c r="E158" s="401"/>
      <c r="F158" s="401"/>
      <c r="G158" s="1161" t="s">
        <v>420</v>
      </c>
      <c r="H158" s="1161"/>
      <c r="I158" s="1161"/>
      <c r="J158" s="1162" t="s">
        <v>486</v>
      </c>
      <c r="K158" s="1162"/>
      <c r="L158" s="1162"/>
      <c r="M158" s="1"/>
      <c r="N158" s="1"/>
    </row>
    <row r="159" spans="1:20" s="2" customFormat="1" ht="18" customHeight="1">
      <c r="A159" s="1"/>
      <c r="B159" s="824"/>
      <c r="C159" s="824"/>
      <c r="D159" s="824"/>
      <c r="E159" s="824"/>
      <c r="F159" s="824"/>
      <c r="G159" s="824"/>
      <c r="H159" s="824"/>
      <c r="I159" s="824"/>
      <c r="J159" s="824"/>
      <c r="K159" s="825"/>
      <c r="L159" s="825"/>
      <c r="M159" s="1"/>
      <c r="N159" s="1"/>
    </row>
    <row r="160" spans="1:20">
      <c r="A160" s="725"/>
      <c r="B160" s="725"/>
      <c r="C160" s="725"/>
      <c r="D160" s="725"/>
      <c r="E160" s="725"/>
      <c r="F160" s="725"/>
      <c r="G160" s="725"/>
      <c r="H160" s="725"/>
      <c r="I160" s="725"/>
      <c r="J160" s="725"/>
      <c r="K160" s="725"/>
      <c r="L160" s="725"/>
      <c r="M160" s="725"/>
      <c r="N160" s="725"/>
      <c r="O160" s="719"/>
      <c r="P160" s="719"/>
      <c r="Q160" s="398"/>
      <c r="R160" s="398"/>
      <c r="S160" s="398"/>
      <c r="T160" s="398"/>
    </row>
    <row r="161" spans="1:28">
      <c r="A161" s="725"/>
      <c r="B161" s="725"/>
      <c r="C161" s="725"/>
      <c r="D161" s="725"/>
      <c r="E161" s="725"/>
      <c r="F161" s="725"/>
      <c r="G161" s="725"/>
      <c r="H161" s="725"/>
      <c r="I161" s="725"/>
      <c r="J161" s="725"/>
      <c r="K161" s="725"/>
      <c r="L161" s="725"/>
      <c r="M161" s="725"/>
      <c r="N161" s="725"/>
      <c r="O161" s="719"/>
      <c r="P161" s="719"/>
      <c r="Q161" s="398"/>
      <c r="R161" s="398"/>
      <c r="S161" s="398"/>
      <c r="T161" s="398"/>
    </row>
    <row r="162" spans="1:28">
      <c r="A162" s="725"/>
      <c r="B162" s="725"/>
      <c r="C162" s="725"/>
      <c r="D162" s="725"/>
      <c r="E162" s="725"/>
      <c r="F162" s="725"/>
      <c r="G162" s="725"/>
      <c r="H162" s="725"/>
      <c r="I162" s="725"/>
      <c r="J162" s="725"/>
      <c r="K162" s="725"/>
      <c r="L162" s="725"/>
      <c r="M162" s="725"/>
      <c r="N162" s="725"/>
      <c r="O162" s="719"/>
      <c r="P162" s="719"/>
      <c r="Q162" s="398"/>
      <c r="R162" s="398"/>
      <c r="S162" s="398"/>
      <c r="T162" s="398"/>
    </row>
    <row r="163" spans="1:28">
      <c r="A163" s="725"/>
      <c r="B163" s="725"/>
      <c r="C163" s="725"/>
      <c r="D163" s="725"/>
      <c r="E163" s="725"/>
      <c r="F163" s="725"/>
      <c r="G163" s="725"/>
      <c r="H163" s="725"/>
      <c r="I163" s="725"/>
      <c r="J163" s="725"/>
      <c r="K163" s="725"/>
      <c r="L163" s="725"/>
      <c r="M163" s="725"/>
      <c r="N163" s="725"/>
      <c r="O163" s="719"/>
      <c r="P163" s="719"/>
      <c r="Q163" s="398"/>
      <c r="R163" s="398"/>
      <c r="S163" s="398"/>
      <c r="T163" s="398"/>
    </row>
    <row r="164" spans="1:28">
      <c r="A164" s="725"/>
      <c r="B164" s="725"/>
      <c r="C164" s="725"/>
      <c r="D164" s="725"/>
      <c r="E164" s="725"/>
      <c r="F164" s="725"/>
      <c r="G164" s="725"/>
      <c r="H164" s="725"/>
      <c r="I164" s="725"/>
      <c r="J164" s="725"/>
      <c r="K164" s="725"/>
      <c r="L164" s="725"/>
      <c r="M164" s="725"/>
      <c r="N164" s="725"/>
      <c r="O164" s="719"/>
      <c r="P164" s="719"/>
      <c r="Q164" s="398"/>
      <c r="R164" s="398"/>
      <c r="S164" s="398"/>
      <c r="T164" s="398"/>
    </row>
    <row r="165" spans="1:28">
      <c r="A165" s="726"/>
      <c r="B165" s="725"/>
      <c r="C165" s="725"/>
      <c r="D165" s="725"/>
      <c r="E165" s="725"/>
      <c r="F165" s="725"/>
      <c r="G165" s="725"/>
      <c r="H165" s="725"/>
      <c r="I165" s="725"/>
      <c r="J165" s="725"/>
      <c r="K165" s="725"/>
      <c r="L165" s="725"/>
      <c r="M165" s="725"/>
      <c r="N165" s="725"/>
      <c r="O165" s="719"/>
      <c r="P165" s="719"/>
      <c r="Q165" s="398"/>
      <c r="R165" s="398"/>
      <c r="S165" s="398"/>
      <c r="T165" s="398"/>
    </row>
    <row r="166" spans="1:28" ht="15">
      <c r="A166" s="725"/>
      <c r="B166" s="725"/>
      <c r="C166" s="725"/>
      <c r="D166" s="725"/>
      <c r="E166" s="725"/>
      <c r="F166" s="725"/>
      <c r="G166" s="725"/>
      <c r="H166" s="725"/>
      <c r="I166" s="725"/>
      <c r="J166" s="725"/>
      <c r="K166" s="725"/>
      <c r="L166" s="725"/>
      <c r="M166" s="725"/>
      <c r="N166" s="734" t="s">
        <v>431</v>
      </c>
      <c r="O166" s="719"/>
      <c r="P166" s="719"/>
      <c r="Q166" s="398"/>
      <c r="R166" s="398"/>
      <c r="S166" s="398"/>
      <c r="T166" s="398"/>
    </row>
    <row r="167" spans="1:28">
      <c r="A167" s="725"/>
      <c r="B167" s="725"/>
      <c r="C167" s="725"/>
      <c r="D167" s="725"/>
      <c r="E167" s="725"/>
      <c r="F167" s="725"/>
      <c r="G167" s="725"/>
      <c r="H167" s="725"/>
      <c r="I167" s="725"/>
      <c r="J167" s="725"/>
      <c r="K167" s="725"/>
      <c r="L167" s="725"/>
      <c r="M167" s="725"/>
      <c r="N167" s="725"/>
      <c r="O167" s="719"/>
      <c r="P167" s="719"/>
      <c r="Q167" s="398"/>
      <c r="R167" s="398"/>
      <c r="S167" s="398"/>
      <c r="T167" s="398"/>
    </row>
    <row r="168" spans="1:28">
      <c r="A168" s="725"/>
      <c r="B168" s="726"/>
      <c r="C168" s="725"/>
      <c r="D168" s="725"/>
      <c r="E168" s="725"/>
      <c r="F168" s="725"/>
      <c r="G168" s="725"/>
      <c r="H168" s="725"/>
      <c r="I168" s="725"/>
      <c r="J168" s="725"/>
      <c r="K168" s="725"/>
      <c r="L168" s="725"/>
      <c r="M168" s="725"/>
      <c r="N168" s="725"/>
      <c r="O168" s="1082"/>
      <c r="P168" s="719"/>
      <c r="Q168" s="398"/>
      <c r="R168" s="398"/>
      <c r="S168" s="398"/>
      <c r="T168" s="398"/>
    </row>
    <row r="169" spans="1:28" hidden="1">
      <c r="A169" s="870"/>
      <c r="B169" s="870"/>
      <c r="C169" s="870"/>
      <c r="D169" s="870"/>
      <c r="E169" s="870"/>
      <c r="F169" s="870"/>
      <c r="G169" s="870"/>
      <c r="H169" s="870"/>
      <c r="I169" s="870"/>
      <c r="J169" s="870"/>
      <c r="K169" s="870"/>
      <c r="L169" s="870"/>
      <c r="M169" s="870"/>
      <c r="N169" s="870"/>
      <c r="O169" s="870"/>
      <c r="P169" s="870"/>
      <c r="Q169" s="870"/>
      <c r="R169" s="870"/>
      <c r="S169" s="398"/>
      <c r="T169" s="398"/>
    </row>
    <row r="170" spans="1:28" s="711" customFormat="1" ht="12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  <c r="K170" s="1066"/>
      <c r="L170" s="1066"/>
      <c r="M170" s="1066"/>
      <c r="N170" s="1066"/>
      <c r="O170" s="1066"/>
      <c r="P170" s="1066"/>
      <c r="Q170" s="1066"/>
      <c r="R170" s="1066"/>
      <c r="S170" s="1066"/>
      <c r="T170" s="1066"/>
      <c r="U170" s="1067"/>
      <c r="V170" s="1067"/>
      <c r="W170" s="1067"/>
      <c r="X170" s="1067"/>
      <c r="Y170" s="1067"/>
      <c r="Z170" s="1067"/>
      <c r="AA170" s="1067"/>
      <c r="AB170" s="1067"/>
    </row>
    <row r="171" spans="1:28" s="712" customFormat="1" ht="12.75" hidden="1" customHeight="1">
      <c r="A171" s="1066"/>
      <c r="B171" s="1066"/>
      <c r="C171" s="1066" t="s">
        <v>180</v>
      </c>
      <c r="D171" s="1066"/>
      <c r="E171" s="1066"/>
      <c r="F171" s="1066"/>
      <c r="G171" s="1066"/>
      <c r="H171" s="1066" t="s">
        <v>223</v>
      </c>
      <c r="I171" s="1066"/>
      <c r="J171" s="1066"/>
      <c r="K171" s="1066"/>
      <c r="L171" s="1066"/>
      <c r="M171" s="1066"/>
      <c r="N171" s="1066"/>
      <c r="O171" s="1066" t="s">
        <v>226</v>
      </c>
      <c r="P171" s="1066"/>
      <c r="Q171" s="1066"/>
      <c r="R171" s="1066"/>
      <c r="S171" s="1066"/>
      <c r="T171" s="1066"/>
      <c r="U171" s="1067"/>
      <c r="V171" s="1067"/>
      <c r="W171" s="1067"/>
      <c r="X171" s="1067"/>
      <c r="Y171" s="1067"/>
      <c r="Z171" s="1067"/>
      <c r="AA171" s="1067"/>
      <c r="AB171" s="1067"/>
    </row>
    <row r="172" spans="1:28" s="712" customFormat="1" ht="12.75" hidden="1" customHeight="1">
      <c r="A172" s="1066"/>
      <c r="B172" s="1066"/>
      <c r="C172" s="1066" t="s">
        <v>181</v>
      </c>
      <c r="D172" s="1066"/>
      <c r="E172" s="1066"/>
      <c r="F172" s="1066"/>
      <c r="G172" s="1066"/>
      <c r="H172" s="1066" t="s">
        <v>224</v>
      </c>
      <c r="I172" s="1066"/>
      <c r="J172" s="1066"/>
      <c r="K172" s="1066"/>
      <c r="L172" s="1066"/>
      <c r="M172" s="1066"/>
      <c r="N172" s="1066"/>
      <c r="O172" s="1066" t="s">
        <v>227</v>
      </c>
      <c r="P172" s="1066"/>
      <c r="Q172" s="1066"/>
      <c r="R172" s="1066"/>
      <c r="S172" s="1066"/>
      <c r="T172" s="1066"/>
      <c r="U172" s="1067"/>
      <c r="V172" s="1067"/>
      <c r="W172" s="1067"/>
      <c r="X172" s="1067"/>
      <c r="Y172" s="1067"/>
      <c r="Z172" s="1067"/>
      <c r="AA172" s="1067"/>
      <c r="AB172" s="1067"/>
    </row>
    <row r="173" spans="1:28" s="712" customFormat="1" ht="12.75" hidden="1" customHeight="1">
      <c r="A173" s="1066"/>
      <c r="B173" s="1066"/>
      <c r="C173" s="1066" t="s">
        <v>371</v>
      </c>
      <c r="D173" s="1066"/>
      <c r="E173" s="1066"/>
      <c r="F173" s="1066"/>
      <c r="G173" s="1066"/>
      <c r="H173" s="1066" t="s">
        <v>225</v>
      </c>
      <c r="I173" s="1066"/>
      <c r="J173" s="1066"/>
      <c r="K173" s="1066"/>
      <c r="L173" s="1066"/>
      <c r="M173" s="1066"/>
      <c r="N173" s="1066"/>
      <c r="O173" s="1066" t="s">
        <v>228</v>
      </c>
      <c r="P173" s="1066"/>
      <c r="Q173" s="1066"/>
      <c r="R173" s="1066"/>
      <c r="S173" s="1066"/>
      <c r="T173" s="1066"/>
      <c r="U173" s="1067"/>
      <c r="V173" s="1067"/>
      <c r="W173" s="1067"/>
      <c r="X173" s="1067"/>
      <c r="Y173" s="1067"/>
      <c r="Z173" s="1067"/>
      <c r="AA173" s="1067"/>
      <c r="AB173" s="1067"/>
    </row>
    <row r="174" spans="1:28" s="712" customFormat="1" ht="12.75" hidden="1" customHeight="1">
      <c r="A174" s="1066"/>
      <c r="B174" s="1066"/>
      <c r="C174" s="1066" t="s">
        <v>184</v>
      </c>
      <c r="D174" s="1066"/>
      <c r="E174" s="1066"/>
      <c r="F174" s="1066"/>
      <c r="G174" s="1066"/>
      <c r="H174" s="1066" t="s">
        <v>637</v>
      </c>
      <c r="I174" s="1066"/>
      <c r="J174" s="1066"/>
      <c r="K174" s="1066"/>
      <c r="L174" s="1066"/>
      <c r="M174" s="1066"/>
      <c r="N174" s="1066"/>
      <c r="O174" s="1066" t="s">
        <v>229</v>
      </c>
      <c r="P174" s="1066"/>
      <c r="Q174" s="1066"/>
      <c r="R174" s="1066"/>
      <c r="S174" s="1066"/>
      <c r="T174" s="1066"/>
      <c r="U174" s="1067"/>
      <c r="V174" s="1067"/>
      <c r="W174" s="1067"/>
      <c r="X174" s="1067"/>
      <c r="Y174" s="1067"/>
      <c r="Z174" s="1067"/>
      <c r="AA174" s="1067"/>
      <c r="AB174" s="1067"/>
    </row>
    <row r="175" spans="1:28" s="712" customFormat="1" ht="12.75" hidden="1" customHeight="1">
      <c r="A175" s="1066"/>
      <c r="B175" s="1066"/>
      <c r="C175" s="1066" t="s">
        <v>462</v>
      </c>
      <c r="D175" s="1066"/>
      <c r="E175" s="1066"/>
      <c r="F175" s="1066"/>
      <c r="G175" s="1066"/>
      <c r="H175" s="1066" t="s">
        <v>461</v>
      </c>
      <c r="I175" s="1066"/>
      <c r="J175" s="1066"/>
      <c r="K175" s="1066"/>
      <c r="L175" s="1066"/>
      <c r="M175" s="1066"/>
      <c r="N175" s="1066"/>
      <c r="O175" s="1066"/>
      <c r="P175" s="1066"/>
      <c r="Q175" s="1066"/>
      <c r="R175" s="1066"/>
      <c r="S175" s="1066"/>
      <c r="T175" s="1066"/>
      <c r="U175" s="1067"/>
      <c r="V175" s="1067"/>
      <c r="W175" s="1067"/>
      <c r="X175" s="1067"/>
      <c r="Y175" s="1067"/>
      <c r="Z175" s="1067"/>
      <c r="AA175" s="1067"/>
      <c r="AB175" s="1067"/>
    </row>
    <row r="176" spans="1:28" s="712" customFormat="1" ht="12.75" hidden="1" customHeight="1">
      <c r="A176" s="1066"/>
      <c r="B176" s="1066"/>
      <c r="C176" s="1066" t="s">
        <v>222</v>
      </c>
      <c r="D176" s="1066"/>
      <c r="E176" s="1066"/>
      <c r="F176" s="1066"/>
      <c r="G176" s="1066"/>
      <c r="H176" s="1066" t="s">
        <v>230</v>
      </c>
      <c r="I176" s="1066"/>
      <c r="J176" s="1066"/>
      <c r="K176" s="1066"/>
      <c r="L176" s="1066"/>
      <c r="M176" s="1066"/>
      <c r="N176" s="1066"/>
      <c r="O176" s="1066"/>
      <c r="P176" s="1066"/>
      <c r="Q176" s="1066"/>
      <c r="R176" s="1066"/>
      <c r="S176" s="1066"/>
      <c r="T176" s="1066"/>
      <c r="U176" s="1067"/>
      <c r="V176" s="1067"/>
      <c r="W176" s="1067"/>
      <c r="X176" s="1067"/>
      <c r="Y176" s="1067"/>
      <c r="Z176" s="1067"/>
      <c r="AA176" s="1067"/>
      <c r="AB176" s="1067"/>
    </row>
    <row r="177" spans="1:28" s="712" customFormat="1" ht="12.75" hidden="1" customHeight="1">
      <c r="A177" s="1066"/>
      <c r="B177" s="1066"/>
      <c r="C177" s="1066" t="str">
        <f>IF(L181=FALSE,"Manca l' OK su regole di utilizzo del file","")</f>
        <v/>
      </c>
      <c r="D177" s="1066"/>
      <c r="E177" s="1066"/>
      <c r="F177" s="1066"/>
      <c r="G177" s="1066"/>
      <c r="H177" s="1068" t="str">
        <f>IF(H181=0,"Sistema in prova illimitata con attivazione a singoli trimestri. Inserisci il tuo CODICE di PROPRIETA' nel foglio Presentazione.","AAA")</f>
        <v>AAA</v>
      </c>
      <c r="I177" s="1066"/>
      <c r="J177" s="1066"/>
      <c r="K177" s="1066"/>
      <c r="L177" s="1066"/>
      <c r="M177" s="1066"/>
      <c r="N177" s="1066"/>
      <c r="O177" s="1066"/>
      <c r="P177" s="1066"/>
      <c r="Q177" s="1066"/>
      <c r="R177" s="1066"/>
      <c r="S177" s="1066"/>
      <c r="T177" s="1066"/>
      <c r="U177" s="1067"/>
      <c r="V177" s="1067"/>
      <c r="W177" s="1067"/>
      <c r="X177" s="1067"/>
      <c r="Y177" s="1067"/>
      <c r="Z177" s="1067"/>
      <c r="AA177" s="1067"/>
      <c r="AB177" s="1067"/>
    </row>
    <row r="178" spans="1:28" s="712" customFormat="1" ht="12.75" hidden="1" customHeight="1">
      <c r="A178" s="1066"/>
      <c r="B178" s="1066"/>
      <c r="C178" s="1066"/>
      <c r="D178" s="1066"/>
      <c r="E178" s="1066"/>
      <c r="F178" s="1066"/>
      <c r="G178" s="1066"/>
      <c r="H178" s="1066"/>
      <c r="I178" s="1066"/>
      <c r="J178" s="1066"/>
      <c r="K178" s="1066"/>
      <c r="L178" s="1066"/>
      <c r="M178" s="1066"/>
      <c r="N178" s="1066"/>
      <c r="O178" s="1066"/>
      <c r="P178" s="1066"/>
      <c r="Q178" s="1066"/>
      <c r="R178" s="1066"/>
      <c r="S178" s="1066"/>
      <c r="T178" s="1066"/>
      <c r="U178" s="1067"/>
      <c r="V178" s="1067"/>
      <c r="W178" s="1067"/>
      <c r="X178" s="1067"/>
      <c r="Y178" s="1067"/>
      <c r="Z178" s="1067"/>
      <c r="AA178" s="1067"/>
      <c r="AB178" s="1067"/>
    </row>
    <row r="179" spans="1:28" s="712" customFormat="1" ht="12.75" hidden="1" customHeight="1">
      <c r="A179" s="1066"/>
      <c r="B179" s="1066"/>
      <c r="C179" s="1066"/>
      <c r="D179" s="1069" t="s">
        <v>14</v>
      </c>
      <c r="E179" s="1070">
        <v>1</v>
      </c>
      <c r="F179" s="1067"/>
      <c r="G179" s="1067"/>
      <c r="H179" s="1067"/>
      <c r="I179" s="1066"/>
      <c r="J179" s="1066"/>
      <c r="K179" s="1067"/>
      <c r="L179" s="1067"/>
      <c r="M179" s="1067"/>
      <c r="N179" s="1071" t="s">
        <v>106</v>
      </c>
      <c r="O179" s="1066"/>
      <c r="P179" s="1066"/>
      <c r="Q179" s="1066"/>
      <c r="R179" s="1066"/>
      <c r="S179" s="1066"/>
      <c r="T179" s="1066"/>
      <c r="U179" s="1067"/>
      <c r="V179" s="1067"/>
      <c r="W179" s="1067"/>
      <c r="X179" s="1067"/>
      <c r="Y179" s="1067"/>
      <c r="Z179" s="1067"/>
      <c r="AA179" s="1067"/>
      <c r="AB179" s="1067"/>
    </row>
    <row r="180" spans="1:28" s="712" customFormat="1" ht="12.75" hidden="1" customHeight="1">
      <c r="A180" s="1066"/>
      <c r="B180" s="1066"/>
      <c r="C180" s="1066"/>
      <c r="D180" s="1066"/>
      <c r="E180" s="1066"/>
      <c r="F180" s="1066"/>
      <c r="G180" s="1066"/>
      <c r="H180" s="1066"/>
      <c r="I180" s="1066"/>
      <c r="J180" s="1067"/>
      <c r="K180" s="1067"/>
      <c r="L180" s="1067"/>
      <c r="M180" s="1067"/>
      <c r="N180" s="1071" t="s">
        <v>425</v>
      </c>
      <c r="O180" s="1066"/>
      <c r="P180" s="1066"/>
      <c r="Q180" s="1066"/>
      <c r="R180" s="1066"/>
      <c r="S180" s="1066"/>
      <c r="T180" s="1066"/>
      <c r="U180" s="1067"/>
      <c r="V180" s="1067"/>
      <c r="W180" s="1067"/>
      <c r="X180" s="1067"/>
      <c r="Y180" s="1067"/>
      <c r="Z180" s="1067"/>
      <c r="AA180" s="1067"/>
      <c r="AB180" s="1067"/>
    </row>
    <row r="181" spans="1:28" s="712" customFormat="1" ht="12.75" hidden="1" customHeight="1">
      <c r="A181" s="1066"/>
      <c r="B181" s="1066"/>
      <c r="C181" s="1066"/>
      <c r="D181" s="1072" t="s">
        <v>514</v>
      </c>
      <c r="E181" s="1073" t="b">
        <f>IF(ISERROR(E182),FALSE,TRUE)</f>
        <v>1</v>
      </c>
      <c r="F181" s="1066"/>
      <c r="G181" s="1069" t="s">
        <v>487</v>
      </c>
      <c r="H181" s="1070">
        <v>1</v>
      </c>
      <c r="I181" s="1067"/>
      <c r="J181" s="1066"/>
      <c r="K181" s="1069" t="s">
        <v>549</v>
      </c>
      <c r="L181" s="1074" t="b">
        <f>IF(K135=N179,TRUE,FALSE)</f>
        <v>1</v>
      </c>
      <c r="M181" s="1070">
        <f>IF(L181=FALSE,1,0)</f>
        <v>0</v>
      </c>
      <c r="N181" s="1066"/>
      <c r="O181" s="1066"/>
      <c r="P181" s="1066"/>
      <c r="Q181" s="1066"/>
      <c r="R181" s="1066"/>
      <c r="S181" s="1066"/>
      <c r="T181" s="1066"/>
      <c r="U181" s="1067"/>
      <c r="V181" s="1067"/>
      <c r="W181" s="1067"/>
      <c r="X181" s="1067"/>
      <c r="Y181" s="1067"/>
      <c r="Z181" s="1067"/>
      <c r="AA181" s="1067"/>
      <c r="AB181" s="1067"/>
    </row>
    <row r="182" spans="1:28" s="712" customFormat="1" ht="12.75" hidden="1" customHeight="1">
      <c r="A182" s="1066"/>
      <c r="B182" s="1066"/>
      <c r="C182" s="1066"/>
      <c r="D182" s="1075" t="s">
        <v>514</v>
      </c>
      <c r="E182" s="1076">
        <f>E179+COSTI!F1444+PATRIMONIALE!F1037+ENTI!F1045+RIPARTIZIONI!G92+REPORT!F122+'ESTRATTO CONTO'!D4188+RENDICONTO!D175+CIRCOLARI!D131</f>
        <v>9</v>
      </c>
      <c r="F182" s="1066"/>
      <c r="G182" s="1066"/>
      <c r="H182" s="1066"/>
      <c r="I182" s="1066"/>
      <c r="J182" s="1066"/>
      <c r="K182" s="1066"/>
      <c r="L182" s="1066"/>
      <c r="M182" s="1066"/>
      <c r="N182" s="1066"/>
      <c r="O182" s="1066"/>
      <c r="P182" s="1066"/>
      <c r="Q182" s="1066"/>
      <c r="R182" s="1066"/>
      <c r="S182" s="1066"/>
      <c r="T182" s="1066"/>
      <c r="U182" s="1067"/>
      <c r="V182" s="1067"/>
      <c r="W182" s="1067"/>
      <c r="X182" s="1067"/>
      <c r="Y182" s="1067"/>
      <c r="Z182" s="1067"/>
      <c r="AA182" s="1067"/>
      <c r="AB182" s="1067"/>
    </row>
    <row r="183" spans="1:28" s="712" customFormat="1" ht="12.75" hidden="1" customHeight="1">
      <c r="A183" s="1066"/>
      <c r="B183" s="1066"/>
      <c r="C183" s="1066"/>
      <c r="D183" s="1066"/>
      <c r="E183" s="1066"/>
      <c r="F183" s="1066"/>
      <c r="G183" s="1066"/>
      <c r="H183" s="1066"/>
      <c r="I183" s="1066"/>
      <c r="J183" s="1066"/>
      <c r="K183" s="1066"/>
      <c r="L183" s="1066"/>
      <c r="M183" s="1066"/>
      <c r="N183" s="1066"/>
      <c r="O183" s="1066"/>
      <c r="P183" s="1066"/>
      <c r="Q183" s="1066"/>
      <c r="R183" s="1066"/>
      <c r="S183" s="1066"/>
      <c r="T183" s="1066"/>
      <c r="U183" s="1067"/>
      <c r="V183" s="1067"/>
      <c r="W183" s="1067"/>
      <c r="X183" s="1067"/>
      <c r="Y183" s="1067"/>
      <c r="Z183" s="1067"/>
      <c r="AA183" s="1067"/>
      <c r="AB183" s="1067"/>
    </row>
    <row r="184" spans="1:28" s="712" customFormat="1" ht="12.75" hidden="1" customHeight="1">
      <c r="A184" s="1066"/>
      <c r="B184" s="1066"/>
      <c r="C184" s="1066"/>
      <c r="D184" s="1066"/>
      <c r="E184" s="1066"/>
      <c r="F184" s="1066"/>
      <c r="G184" s="1066"/>
      <c r="H184" s="1066"/>
      <c r="I184" s="1066"/>
      <c r="J184" s="1066"/>
      <c r="K184" s="1066"/>
      <c r="L184" s="1066"/>
      <c r="M184" s="1066"/>
      <c r="N184" s="1066"/>
      <c r="O184" s="1066"/>
      <c r="P184" s="1066"/>
      <c r="Q184" s="1066"/>
      <c r="R184" s="1066"/>
      <c r="S184" s="1066"/>
      <c r="T184" s="1066"/>
      <c r="U184" s="1067"/>
      <c r="V184" s="1067"/>
      <c r="W184" s="1067"/>
      <c r="X184" s="1067"/>
      <c r="Y184" s="1067"/>
      <c r="Z184" s="1067"/>
      <c r="AA184" s="1067"/>
      <c r="AB184" s="1067"/>
    </row>
    <row r="185" spans="1:28" s="712" customFormat="1" ht="12.75" hidden="1" customHeight="1">
      <c r="A185" s="1066"/>
      <c r="B185" s="1066"/>
      <c r="C185" s="1066"/>
      <c r="D185" s="1066"/>
      <c r="E185" s="1066"/>
      <c r="F185" s="1066"/>
      <c r="G185" s="1066"/>
      <c r="H185" s="1066"/>
      <c r="I185" s="1066"/>
      <c r="J185" s="1066"/>
      <c r="K185" s="1066"/>
      <c r="L185" s="1066"/>
      <c r="M185" s="1066"/>
      <c r="N185" s="1066"/>
      <c r="O185" s="1066"/>
      <c r="P185" s="1066">
        <v>8</v>
      </c>
      <c r="Q185" s="1066">
        <v>9</v>
      </c>
      <c r="R185" s="1066">
        <v>10</v>
      </c>
      <c r="S185" s="1066">
        <v>11</v>
      </c>
      <c r="T185" s="1066">
        <v>12</v>
      </c>
      <c r="U185" s="1067">
        <v>13</v>
      </c>
      <c r="V185" s="1067">
        <v>14</v>
      </c>
      <c r="W185" s="1067">
        <v>15</v>
      </c>
      <c r="X185" s="1067">
        <v>16</v>
      </c>
      <c r="Y185" s="1067">
        <v>17</v>
      </c>
      <c r="Z185" s="1067">
        <v>18</v>
      </c>
      <c r="AA185" s="1067">
        <v>19</v>
      </c>
      <c r="AB185" s="1067"/>
    </row>
    <row r="186" spans="1:28" s="712" customFormat="1" ht="12.75" hidden="1" customHeight="1">
      <c r="A186" s="1066"/>
      <c r="B186" s="1066"/>
      <c r="C186" s="1067"/>
      <c r="D186" s="1067"/>
      <c r="E186" s="1067"/>
      <c r="F186" s="1067"/>
      <c r="G186" s="1066"/>
      <c r="H186" s="1066"/>
      <c r="I186" s="1066" t="s">
        <v>19</v>
      </c>
      <c r="J186" s="1066">
        <f>J$26</f>
        <v>2024</v>
      </c>
      <c r="K186" s="1066" t="s">
        <v>30</v>
      </c>
      <c r="L186" s="1066" t="str">
        <f>CONCATENATE(K186," '",RIGHT(TEXT(J186,"@"),2))</f>
        <v>DIC '24</v>
      </c>
      <c r="M186" s="1066" t="s">
        <v>20</v>
      </c>
      <c r="N186" s="1066" t="s">
        <v>1</v>
      </c>
      <c r="O186" s="1066">
        <v>1</v>
      </c>
      <c r="P186" s="1066">
        <f t="shared" ref="P186:AA186" si="1">$J$26</f>
        <v>2024</v>
      </c>
      <c r="Q186" s="1066">
        <f t="shared" si="1"/>
        <v>2024</v>
      </c>
      <c r="R186" s="1066">
        <f t="shared" si="1"/>
        <v>2024</v>
      </c>
      <c r="S186" s="1066">
        <f t="shared" si="1"/>
        <v>2024</v>
      </c>
      <c r="T186" s="1066">
        <f t="shared" si="1"/>
        <v>2024</v>
      </c>
      <c r="U186" s="1067">
        <f t="shared" si="1"/>
        <v>2024</v>
      </c>
      <c r="V186" s="1067">
        <f t="shared" si="1"/>
        <v>2024</v>
      </c>
      <c r="W186" s="1067">
        <f t="shared" si="1"/>
        <v>2024</v>
      </c>
      <c r="X186" s="1067">
        <f t="shared" si="1"/>
        <v>2024</v>
      </c>
      <c r="Y186" s="1067">
        <f t="shared" si="1"/>
        <v>2024</v>
      </c>
      <c r="Z186" s="1067">
        <f t="shared" si="1"/>
        <v>2024</v>
      </c>
      <c r="AA186" s="1067">
        <f t="shared" si="1"/>
        <v>2024</v>
      </c>
      <c r="AB186" s="1067"/>
    </row>
    <row r="187" spans="1:28" s="712" customFormat="1" ht="12.75" hidden="1" customHeight="1">
      <c r="A187" s="1066"/>
      <c r="B187" s="1080" t="s">
        <v>495</v>
      </c>
      <c r="C187" s="1081">
        <v>1</v>
      </c>
      <c r="D187" s="1081">
        <v>1</v>
      </c>
      <c r="E187" s="1081">
        <v>1</v>
      </c>
      <c r="F187" s="1081">
        <v>1</v>
      </c>
      <c r="G187" s="1081" t="s">
        <v>642</v>
      </c>
      <c r="H187" s="1066"/>
      <c r="I187" s="1066" t="s">
        <v>20</v>
      </c>
      <c r="J187" s="1066">
        <f t="shared" ref="J187:J197" si="2">J$26</f>
        <v>2024</v>
      </c>
      <c r="K187" s="1066" t="s">
        <v>19</v>
      </c>
      <c r="L187" s="1066" t="str">
        <f>CONCATENATE(K187," '",RIGHT(TEXT(J187+1,"@"),2))</f>
        <v>GEN '25</v>
      </c>
      <c r="M187" s="1066" t="s">
        <v>21</v>
      </c>
      <c r="N187" s="1066" t="s">
        <v>2</v>
      </c>
      <c r="O187" s="1066">
        <v>2</v>
      </c>
      <c r="P187" s="1066">
        <f t="shared" ref="P187:Z187" si="3">$J$26</f>
        <v>2024</v>
      </c>
      <c r="Q187" s="1066">
        <f t="shared" si="3"/>
        <v>2024</v>
      </c>
      <c r="R187" s="1066">
        <f t="shared" si="3"/>
        <v>2024</v>
      </c>
      <c r="S187" s="1066">
        <f t="shared" si="3"/>
        <v>2024</v>
      </c>
      <c r="T187" s="1066">
        <f t="shared" si="3"/>
        <v>2024</v>
      </c>
      <c r="U187" s="1067">
        <f t="shared" si="3"/>
        <v>2024</v>
      </c>
      <c r="V187" s="1067">
        <f t="shared" si="3"/>
        <v>2024</v>
      </c>
      <c r="W187" s="1067">
        <f t="shared" si="3"/>
        <v>2024</v>
      </c>
      <c r="X187" s="1067">
        <f t="shared" si="3"/>
        <v>2024</v>
      </c>
      <c r="Y187" s="1067">
        <f t="shared" si="3"/>
        <v>2024</v>
      </c>
      <c r="Z187" s="1067">
        <f t="shared" si="3"/>
        <v>2024</v>
      </c>
      <c r="AA187" s="1067">
        <f t="shared" ref="AA187:AA197" si="4">$J$26+1</f>
        <v>2025</v>
      </c>
      <c r="AB187" s="1067"/>
    </row>
    <row r="188" spans="1:28" s="712" customFormat="1" ht="12.75" hidden="1" customHeight="1">
      <c r="A188" s="1066"/>
      <c r="B188" s="1080" t="s">
        <v>491</v>
      </c>
      <c r="C188" s="1081">
        <v>1</v>
      </c>
      <c r="D188" s="1081">
        <v>0</v>
      </c>
      <c r="E188" s="1081">
        <v>0</v>
      </c>
      <c r="F188" s="1081">
        <v>0</v>
      </c>
      <c r="G188" s="1081" t="s">
        <v>571</v>
      </c>
      <c r="H188" s="1066"/>
      <c r="I188" s="1066" t="s">
        <v>21</v>
      </c>
      <c r="J188" s="1066">
        <f t="shared" si="2"/>
        <v>2024</v>
      </c>
      <c r="K188" s="1066" t="s">
        <v>20</v>
      </c>
      <c r="L188" s="1066" t="str">
        <f t="shared" ref="L188:L197" si="5">CONCATENATE(K188," '",RIGHT(TEXT(J188+1,"@"),2))</f>
        <v>FEB '25</v>
      </c>
      <c r="M188" s="1066" t="s">
        <v>22</v>
      </c>
      <c r="N188" s="1066" t="s">
        <v>3</v>
      </c>
      <c r="O188" s="1066">
        <v>3</v>
      </c>
      <c r="P188" s="1066">
        <f t="shared" ref="P188:Y188" si="6">$J$26</f>
        <v>2024</v>
      </c>
      <c r="Q188" s="1066">
        <f t="shared" si="6"/>
        <v>2024</v>
      </c>
      <c r="R188" s="1066">
        <f t="shared" si="6"/>
        <v>2024</v>
      </c>
      <c r="S188" s="1066">
        <f t="shared" si="6"/>
        <v>2024</v>
      </c>
      <c r="T188" s="1066">
        <f t="shared" si="6"/>
        <v>2024</v>
      </c>
      <c r="U188" s="1067">
        <f t="shared" si="6"/>
        <v>2024</v>
      </c>
      <c r="V188" s="1067">
        <f t="shared" si="6"/>
        <v>2024</v>
      </c>
      <c r="W188" s="1067">
        <f t="shared" si="6"/>
        <v>2024</v>
      </c>
      <c r="X188" s="1067">
        <f t="shared" si="6"/>
        <v>2024</v>
      </c>
      <c r="Y188" s="1067">
        <f t="shared" si="6"/>
        <v>2024</v>
      </c>
      <c r="Z188" s="1067">
        <f t="shared" ref="Z188:Z197" si="7">$J$26+1</f>
        <v>2025</v>
      </c>
      <c r="AA188" s="1067">
        <f t="shared" si="4"/>
        <v>2025</v>
      </c>
      <c r="AB188" s="1067"/>
    </row>
    <row r="189" spans="1:28" s="712" customFormat="1" ht="12.75" hidden="1" customHeight="1">
      <c r="A189" s="1066"/>
      <c r="B189" s="1080" t="s">
        <v>492</v>
      </c>
      <c r="C189" s="1081">
        <v>0</v>
      </c>
      <c r="D189" s="1081">
        <v>1</v>
      </c>
      <c r="E189" s="1081">
        <v>0</v>
      </c>
      <c r="F189" s="1081">
        <v>0</v>
      </c>
      <c r="G189" s="1081" t="s">
        <v>571</v>
      </c>
      <c r="H189" s="1066"/>
      <c r="I189" s="1066" t="s">
        <v>22</v>
      </c>
      <c r="J189" s="1066">
        <f t="shared" si="2"/>
        <v>2024</v>
      </c>
      <c r="K189" s="1066" t="s">
        <v>21</v>
      </c>
      <c r="L189" s="1066" t="str">
        <f t="shared" si="5"/>
        <v>MAR '25</v>
      </c>
      <c r="M189" s="1066" t="s">
        <v>23</v>
      </c>
      <c r="N189" s="1066" t="s">
        <v>4</v>
      </c>
      <c r="O189" s="1066">
        <v>4</v>
      </c>
      <c r="P189" s="1066">
        <f t="shared" ref="P189:X189" si="8">$J$26</f>
        <v>2024</v>
      </c>
      <c r="Q189" s="1066">
        <f t="shared" si="8"/>
        <v>2024</v>
      </c>
      <c r="R189" s="1066">
        <f t="shared" si="8"/>
        <v>2024</v>
      </c>
      <c r="S189" s="1066">
        <f t="shared" si="8"/>
        <v>2024</v>
      </c>
      <c r="T189" s="1066">
        <f t="shared" si="8"/>
        <v>2024</v>
      </c>
      <c r="U189" s="1067">
        <f t="shared" si="8"/>
        <v>2024</v>
      </c>
      <c r="V189" s="1067">
        <f t="shared" si="8"/>
        <v>2024</v>
      </c>
      <c r="W189" s="1067">
        <f t="shared" si="8"/>
        <v>2024</v>
      </c>
      <c r="X189" s="1067">
        <f t="shared" si="8"/>
        <v>2024</v>
      </c>
      <c r="Y189" s="1067">
        <f t="shared" ref="Y189:Y197" si="9">$J$26+1</f>
        <v>2025</v>
      </c>
      <c r="Z189" s="1067">
        <f t="shared" si="7"/>
        <v>2025</v>
      </c>
      <c r="AA189" s="1067">
        <f t="shared" si="4"/>
        <v>2025</v>
      </c>
      <c r="AB189" s="1067"/>
    </row>
    <row r="190" spans="1:28" s="712" customFormat="1" ht="12.75" hidden="1" customHeight="1">
      <c r="A190" s="1066"/>
      <c r="B190" s="1080" t="s">
        <v>493</v>
      </c>
      <c r="C190" s="1081">
        <v>0</v>
      </c>
      <c r="D190" s="1081">
        <v>0</v>
      </c>
      <c r="E190" s="1081">
        <v>1</v>
      </c>
      <c r="F190" s="1081">
        <v>0</v>
      </c>
      <c r="G190" s="1081" t="s">
        <v>571</v>
      </c>
      <c r="H190" s="1066"/>
      <c r="I190" s="1066" t="s">
        <v>23</v>
      </c>
      <c r="J190" s="1066">
        <f t="shared" si="2"/>
        <v>2024</v>
      </c>
      <c r="K190" s="1066" t="s">
        <v>22</v>
      </c>
      <c r="L190" s="1066" t="str">
        <f t="shared" si="5"/>
        <v>APR '25</v>
      </c>
      <c r="M190" s="1066" t="s">
        <v>24</v>
      </c>
      <c r="N190" s="1066" t="s">
        <v>5</v>
      </c>
      <c r="O190" s="1066">
        <v>5</v>
      </c>
      <c r="P190" s="1066">
        <f t="shared" ref="P190:W190" si="10">$J$26</f>
        <v>2024</v>
      </c>
      <c r="Q190" s="1066">
        <f t="shared" si="10"/>
        <v>2024</v>
      </c>
      <c r="R190" s="1066">
        <f t="shared" si="10"/>
        <v>2024</v>
      </c>
      <c r="S190" s="1066">
        <f t="shared" si="10"/>
        <v>2024</v>
      </c>
      <c r="T190" s="1066">
        <f t="shared" si="10"/>
        <v>2024</v>
      </c>
      <c r="U190" s="1067">
        <f t="shared" si="10"/>
        <v>2024</v>
      </c>
      <c r="V190" s="1067">
        <f t="shared" si="10"/>
        <v>2024</v>
      </c>
      <c r="W190" s="1067">
        <f t="shared" si="10"/>
        <v>2024</v>
      </c>
      <c r="X190" s="1067">
        <f t="shared" ref="X190:X197" si="11">$J$26+1</f>
        <v>2025</v>
      </c>
      <c r="Y190" s="1067">
        <f t="shared" si="9"/>
        <v>2025</v>
      </c>
      <c r="Z190" s="1067">
        <f t="shared" si="7"/>
        <v>2025</v>
      </c>
      <c r="AA190" s="1067">
        <f t="shared" si="4"/>
        <v>2025</v>
      </c>
      <c r="AB190" s="1067"/>
    </row>
    <row r="191" spans="1:28" s="712" customFormat="1" ht="12.75" hidden="1" customHeight="1">
      <c r="A191" s="1066"/>
      <c r="B191" s="1080" t="s">
        <v>494</v>
      </c>
      <c r="C191" s="1081">
        <v>0</v>
      </c>
      <c r="D191" s="1081">
        <v>0</v>
      </c>
      <c r="E191" s="1081">
        <v>0</v>
      </c>
      <c r="F191" s="1081">
        <v>1</v>
      </c>
      <c r="G191" s="1081" t="s">
        <v>571</v>
      </c>
      <c r="H191" s="1066"/>
      <c r="I191" s="1066" t="s">
        <v>24</v>
      </c>
      <c r="J191" s="1066">
        <f t="shared" si="2"/>
        <v>2024</v>
      </c>
      <c r="K191" s="1066" t="s">
        <v>23</v>
      </c>
      <c r="L191" s="1066" t="str">
        <f t="shared" si="5"/>
        <v>MAG '25</v>
      </c>
      <c r="M191" s="1066" t="s">
        <v>25</v>
      </c>
      <c r="N191" s="1066" t="s">
        <v>6</v>
      </c>
      <c r="O191" s="1066">
        <v>6</v>
      </c>
      <c r="P191" s="1066">
        <f t="shared" ref="P191:V191" si="12">$J$26</f>
        <v>2024</v>
      </c>
      <c r="Q191" s="1066">
        <f t="shared" si="12"/>
        <v>2024</v>
      </c>
      <c r="R191" s="1066">
        <f t="shared" si="12"/>
        <v>2024</v>
      </c>
      <c r="S191" s="1066">
        <f t="shared" si="12"/>
        <v>2024</v>
      </c>
      <c r="T191" s="1066">
        <f t="shared" si="12"/>
        <v>2024</v>
      </c>
      <c r="U191" s="1067">
        <f t="shared" si="12"/>
        <v>2024</v>
      </c>
      <c r="V191" s="1067">
        <f t="shared" si="12"/>
        <v>2024</v>
      </c>
      <c r="W191" s="1067">
        <f t="shared" ref="W191:W197" si="13">$J$26+1</f>
        <v>2025</v>
      </c>
      <c r="X191" s="1067">
        <f t="shared" si="11"/>
        <v>2025</v>
      </c>
      <c r="Y191" s="1067">
        <f t="shared" si="9"/>
        <v>2025</v>
      </c>
      <c r="Z191" s="1067">
        <f t="shared" si="7"/>
        <v>2025</v>
      </c>
      <c r="AA191" s="1067">
        <f t="shared" si="4"/>
        <v>2025</v>
      </c>
      <c r="AB191" s="1067"/>
    </row>
    <row r="192" spans="1:28" s="712" customFormat="1" ht="12.75" hidden="1" customHeight="1">
      <c r="A192" s="1066"/>
      <c r="B192" s="1066"/>
      <c r="C192" s="1066"/>
      <c r="D192" s="1066"/>
      <c r="E192" s="1066"/>
      <c r="F192" s="1066"/>
      <c r="G192" s="1066" t="s">
        <v>199</v>
      </c>
      <c r="H192" s="1066"/>
      <c r="I192" s="1066" t="s">
        <v>25</v>
      </c>
      <c r="J192" s="1066">
        <f t="shared" si="2"/>
        <v>2024</v>
      </c>
      <c r="K192" s="1066" t="s">
        <v>24</v>
      </c>
      <c r="L192" s="1066" t="str">
        <f t="shared" si="5"/>
        <v>GIU '25</v>
      </c>
      <c r="M192" s="1066" t="s">
        <v>26</v>
      </c>
      <c r="N192" s="1066" t="s">
        <v>7</v>
      </c>
      <c r="O192" s="1066">
        <v>7</v>
      </c>
      <c r="P192" s="1066">
        <f t="shared" ref="P192:U192" si="14">$J$26</f>
        <v>2024</v>
      </c>
      <c r="Q192" s="1066">
        <f t="shared" si="14"/>
        <v>2024</v>
      </c>
      <c r="R192" s="1066">
        <f t="shared" si="14"/>
        <v>2024</v>
      </c>
      <c r="S192" s="1066">
        <f t="shared" si="14"/>
        <v>2024</v>
      </c>
      <c r="T192" s="1066">
        <f t="shared" si="14"/>
        <v>2024</v>
      </c>
      <c r="U192" s="1067">
        <f t="shared" si="14"/>
        <v>2024</v>
      </c>
      <c r="V192" s="1067">
        <f t="shared" ref="V192:V197" si="15">$J$26+1</f>
        <v>2025</v>
      </c>
      <c r="W192" s="1067">
        <f t="shared" si="13"/>
        <v>2025</v>
      </c>
      <c r="X192" s="1067">
        <f t="shared" si="11"/>
        <v>2025</v>
      </c>
      <c r="Y192" s="1067">
        <f t="shared" si="9"/>
        <v>2025</v>
      </c>
      <c r="Z192" s="1067">
        <f t="shared" si="7"/>
        <v>2025</v>
      </c>
      <c r="AA192" s="1067">
        <f t="shared" si="4"/>
        <v>2025</v>
      </c>
      <c r="AB192" s="1067"/>
    </row>
    <row r="193" spans="1:28" s="712" customFormat="1" ht="12.75" hidden="1" customHeight="1">
      <c r="A193" s="1066"/>
      <c r="B193" s="1066"/>
      <c r="C193" s="1066"/>
      <c r="D193" s="1066"/>
      <c r="E193" s="1066"/>
      <c r="F193" s="1066"/>
      <c r="G193" s="1066" t="s">
        <v>200</v>
      </c>
      <c r="H193" s="1066"/>
      <c r="I193" s="1066" t="s">
        <v>26</v>
      </c>
      <c r="J193" s="1066">
        <f t="shared" si="2"/>
        <v>2024</v>
      </c>
      <c r="K193" s="1066" t="s">
        <v>25</v>
      </c>
      <c r="L193" s="1066" t="str">
        <f t="shared" si="5"/>
        <v>LUG '25</v>
      </c>
      <c r="M193" s="1066" t="s">
        <v>27</v>
      </c>
      <c r="N193" s="1066" t="s">
        <v>8</v>
      </c>
      <c r="O193" s="1066">
        <v>8</v>
      </c>
      <c r="P193" s="1066">
        <f>$J$26</f>
        <v>2024</v>
      </c>
      <c r="Q193" s="1066">
        <f>$J$26</f>
        <v>2024</v>
      </c>
      <c r="R193" s="1066">
        <f>$J$26</f>
        <v>2024</v>
      </c>
      <c r="S193" s="1066">
        <f>$J$26</f>
        <v>2024</v>
      </c>
      <c r="T193" s="1066">
        <f>$J$26</f>
        <v>2024</v>
      </c>
      <c r="U193" s="1067">
        <f>$J$26+1</f>
        <v>2025</v>
      </c>
      <c r="V193" s="1067">
        <f t="shared" si="15"/>
        <v>2025</v>
      </c>
      <c r="W193" s="1067">
        <f t="shared" si="13"/>
        <v>2025</v>
      </c>
      <c r="X193" s="1067">
        <f t="shared" si="11"/>
        <v>2025</v>
      </c>
      <c r="Y193" s="1067">
        <f t="shared" si="9"/>
        <v>2025</v>
      </c>
      <c r="Z193" s="1067">
        <f t="shared" si="7"/>
        <v>2025</v>
      </c>
      <c r="AA193" s="1067">
        <f t="shared" si="4"/>
        <v>2025</v>
      </c>
      <c r="AB193" s="1067"/>
    </row>
    <row r="194" spans="1:28" s="712" customFormat="1" ht="12.75" hidden="1" customHeight="1">
      <c r="A194" s="1066"/>
      <c r="B194" s="1066"/>
      <c r="C194" s="1066"/>
      <c r="D194" s="1066"/>
      <c r="E194" s="1066"/>
      <c r="F194" s="1066"/>
      <c r="G194" s="1066" t="s">
        <v>201</v>
      </c>
      <c r="H194" s="1066"/>
      <c r="I194" s="1066" t="s">
        <v>27</v>
      </c>
      <c r="J194" s="1066">
        <f t="shared" si="2"/>
        <v>2024</v>
      </c>
      <c r="K194" s="1066" t="s">
        <v>26</v>
      </c>
      <c r="L194" s="1066" t="str">
        <f t="shared" si="5"/>
        <v>AGO '25</v>
      </c>
      <c r="M194" s="1066" t="s">
        <v>28</v>
      </c>
      <c r="N194" s="1066" t="s">
        <v>9</v>
      </c>
      <c r="O194" s="1066">
        <v>9</v>
      </c>
      <c r="P194" s="1066">
        <f>$J$26</f>
        <v>2024</v>
      </c>
      <c r="Q194" s="1066">
        <f>$J$26</f>
        <v>2024</v>
      </c>
      <c r="R194" s="1066">
        <f>$J$26</f>
        <v>2024</v>
      </c>
      <c r="S194" s="1066">
        <f>$J$26</f>
        <v>2024</v>
      </c>
      <c r="T194" s="1066">
        <f>$J$26+1</f>
        <v>2025</v>
      </c>
      <c r="U194" s="1067">
        <f>$J$26+1</f>
        <v>2025</v>
      </c>
      <c r="V194" s="1067">
        <f t="shared" si="15"/>
        <v>2025</v>
      </c>
      <c r="W194" s="1067">
        <f t="shared" si="13"/>
        <v>2025</v>
      </c>
      <c r="X194" s="1067">
        <f t="shared" si="11"/>
        <v>2025</v>
      </c>
      <c r="Y194" s="1067">
        <f t="shared" si="9"/>
        <v>2025</v>
      </c>
      <c r="Z194" s="1067">
        <f t="shared" si="7"/>
        <v>2025</v>
      </c>
      <c r="AA194" s="1067">
        <f t="shared" si="4"/>
        <v>2025</v>
      </c>
      <c r="AB194" s="1067"/>
    </row>
    <row r="195" spans="1:28" s="712" customFormat="1" ht="12.75" hidden="1" customHeight="1">
      <c r="A195" s="1066"/>
      <c r="B195" s="1066"/>
      <c r="C195" s="1066"/>
      <c r="D195" s="1066"/>
      <c r="E195" s="1066"/>
      <c r="F195" s="1066"/>
      <c r="G195" s="1066"/>
      <c r="H195" s="1066"/>
      <c r="I195" s="1066" t="s">
        <v>28</v>
      </c>
      <c r="J195" s="1066">
        <f t="shared" si="2"/>
        <v>2024</v>
      </c>
      <c r="K195" s="1066" t="s">
        <v>27</v>
      </c>
      <c r="L195" s="1066" t="str">
        <f t="shared" si="5"/>
        <v>SET '25</v>
      </c>
      <c r="M195" s="1066" t="s">
        <v>29</v>
      </c>
      <c r="N195" s="1066" t="s">
        <v>10</v>
      </c>
      <c r="O195" s="1066">
        <v>10</v>
      </c>
      <c r="P195" s="1066">
        <f>$J$26</f>
        <v>2024</v>
      </c>
      <c r="Q195" s="1066">
        <f>$J$26</f>
        <v>2024</v>
      </c>
      <c r="R195" s="1066">
        <f>$J$26</f>
        <v>2024</v>
      </c>
      <c r="S195" s="1066">
        <f>$J$26+1</f>
        <v>2025</v>
      </c>
      <c r="T195" s="1066">
        <f>$J$26+1</f>
        <v>2025</v>
      </c>
      <c r="U195" s="1067">
        <f>$J$26+1</f>
        <v>2025</v>
      </c>
      <c r="V195" s="1067">
        <f t="shared" si="15"/>
        <v>2025</v>
      </c>
      <c r="W195" s="1067">
        <f t="shared" si="13"/>
        <v>2025</v>
      </c>
      <c r="X195" s="1067">
        <f t="shared" si="11"/>
        <v>2025</v>
      </c>
      <c r="Y195" s="1067">
        <f t="shared" si="9"/>
        <v>2025</v>
      </c>
      <c r="Z195" s="1067">
        <f t="shared" si="7"/>
        <v>2025</v>
      </c>
      <c r="AA195" s="1067">
        <f t="shared" si="4"/>
        <v>2025</v>
      </c>
      <c r="AB195" s="1067"/>
    </row>
    <row r="196" spans="1:28" s="712" customFormat="1" ht="12.75" hidden="1" customHeight="1">
      <c r="A196" s="1066"/>
      <c r="B196" s="1066"/>
      <c r="C196" s="1066"/>
      <c r="D196" s="1066"/>
      <c r="E196" s="1066"/>
      <c r="F196" s="1066"/>
      <c r="G196" s="1066"/>
      <c r="H196" s="1066"/>
      <c r="I196" s="1066" t="s">
        <v>29</v>
      </c>
      <c r="J196" s="1066">
        <f t="shared" si="2"/>
        <v>2024</v>
      </c>
      <c r="K196" s="1066" t="s">
        <v>28</v>
      </c>
      <c r="L196" s="1066" t="str">
        <f t="shared" si="5"/>
        <v>OTT '25</v>
      </c>
      <c r="M196" s="1066" t="s">
        <v>30</v>
      </c>
      <c r="N196" s="1066" t="s">
        <v>11</v>
      </c>
      <c r="O196" s="1066">
        <v>11</v>
      </c>
      <c r="P196" s="1066">
        <f>$J$26</f>
        <v>2024</v>
      </c>
      <c r="Q196" s="1066">
        <f>$J$26</f>
        <v>2024</v>
      </c>
      <c r="R196" s="1066">
        <f>$J$26+1</f>
        <v>2025</v>
      </c>
      <c r="S196" s="1066">
        <f>$J$26+1</f>
        <v>2025</v>
      </c>
      <c r="T196" s="1066">
        <f>$J$26+1</f>
        <v>2025</v>
      </c>
      <c r="U196" s="1067">
        <f>$J$26+1</f>
        <v>2025</v>
      </c>
      <c r="V196" s="1067">
        <f t="shared" si="15"/>
        <v>2025</v>
      </c>
      <c r="W196" s="1067">
        <f t="shared" si="13"/>
        <v>2025</v>
      </c>
      <c r="X196" s="1067">
        <f t="shared" si="11"/>
        <v>2025</v>
      </c>
      <c r="Y196" s="1067">
        <f t="shared" si="9"/>
        <v>2025</v>
      </c>
      <c r="Z196" s="1067">
        <f t="shared" si="7"/>
        <v>2025</v>
      </c>
      <c r="AA196" s="1067">
        <f t="shared" si="4"/>
        <v>2025</v>
      </c>
      <c r="AB196" s="1067"/>
    </row>
    <row r="197" spans="1:28" s="712" customFormat="1" ht="12.75" hidden="1" customHeight="1">
      <c r="A197" s="1066"/>
      <c r="B197" s="1066"/>
      <c r="C197" s="1066"/>
      <c r="D197" s="1066"/>
      <c r="E197" s="1066"/>
      <c r="F197" s="1066"/>
      <c r="G197" s="1066"/>
      <c r="H197" s="1066"/>
      <c r="I197" s="1066" t="s">
        <v>30</v>
      </c>
      <c r="J197" s="1066">
        <f t="shared" si="2"/>
        <v>2024</v>
      </c>
      <c r="K197" s="1066" t="s">
        <v>29</v>
      </c>
      <c r="L197" s="1066" t="str">
        <f t="shared" si="5"/>
        <v>NOV '25</v>
      </c>
      <c r="M197" s="1066" t="s">
        <v>19</v>
      </c>
      <c r="N197" s="1066" t="s">
        <v>12</v>
      </c>
      <c r="O197" s="1066">
        <v>12</v>
      </c>
      <c r="P197" s="1066">
        <f>$J$26</f>
        <v>2024</v>
      </c>
      <c r="Q197" s="1066">
        <f>$J$26+1</f>
        <v>2025</v>
      </c>
      <c r="R197" s="1066">
        <f>$J$26+1</f>
        <v>2025</v>
      </c>
      <c r="S197" s="1066">
        <f>$J$26+1</f>
        <v>2025</v>
      </c>
      <c r="T197" s="1066">
        <f>$J$26+1</f>
        <v>2025</v>
      </c>
      <c r="U197" s="1067">
        <f>$J$26+1</f>
        <v>2025</v>
      </c>
      <c r="V197" s="1067">
        <f t="shared" si="15"/>
        <v>2025</v>
      </c>
      <c r="W197" s="1067">
        <f t="shared" si="13"/>
        <v>2025</v>
      </c>
      <c r="X197" s="1067">
        <f t="shared" si="11"/>
        <v>2025</v>
      </c>
      <c r="Y197" s="1067">
        <f t="shared" si="9"/>
        <v>2025</v>
      </c>
      <c r="Z197" s="1067">
        <f t="shared" si="7"/>
        <v>2025</v>
      </c>
      <c r="AA197" s="1067">
        <f t="shared" si="4"/>
        <v>2025</v>
      </c>
      <c r="AB197" s="1067"/>
    </row>
    <row r="198" spans="1:28" s="712" customFormat="1" ht="12.75" hidden="1" customHeight="1">
      <c r="A198" s="1066"/>
      <c r="B198" s="1066"/>
      <c r="C198" s="1066"/>
      <c r="D198" s="1066"/>
      <c r="E198" s="1066"/>
      <c r="F198" s="1066"/>
      <c r="G198" s="1066"/>
      <c r="H198" s="1066"/>
      <c r="I198" s="1066"/>
      <c r="J198" s="1066"/>
      <c r="K198" s="1066"/>
      <c r="L198" s="1066"/>
      <c r="M198" s="1066"/>
      <c r="N198" s="1066"/>
      <c r="O198" s="1066"/>
      <c r="P198" s="1066"/>
      <c r="Q198" s="1066"/>
      <c r="R198" s="1066"/>
      <c r="S198" s="1066"/>
      <c r="T198" s="1066"/>
      <c r="U198" s="1067"/>
      <c r="V198" s="1067"/>
      <c r="W198" s="1067"/>
      <c r="X198" s="1067"/>
      <c r="Y198" s="1067"/>
      <c r="Z198" s="1067"/>
      <c r="AA198" s="1067"/>
      <c r="AB198" s="1067"/>
    </row>
    <row r="199" spans="1:28" s="712" customFormat="1" ht="12.75" hidden="1" customHeight="1">
      <c r="A199" s="1066"/>
      <c r="B199" s="1066"/>
      <c r="C199" s="1066"/>
      <c r="D199" s="1066"/>
      <c r="E199" s="1066"/>
      <c r="F199" s="1066"/>
      <c r="G199" s="1066"/>
      <c r="H199" s="1066"/>
      <c r="I199" s="1066"/>
      <c r="J199" s="1066"/>
      <c r="K199" s="1066"/>
      <c r="L199" s="1066"/>
      <c r="M199" s="1066"/>
      <c r="N199" s="1066"/>
      <c r="O199" s="1066"/>
      <c r="P199" s="1066"/>
      <c r="Q199" s="1066"/>
      <c r="R199" s="1066"/>
      <c r="S199" s="1066"/>
      <c r="T199" s="1066"/>
      <c r="U199" s="1067"/>
      <c r="V199" s="1067"/>
      <c r="W199" s="1067"/>
      <c r="X199" s="1067"/>
      <c r="Y199" s="1067"/>
      <c r="Z199" s="1067"/>
      <c r="AA199" s="1067"/>
      <c r="AB199" s="1067"/>
    </row>
    <row r="200" spans="1:28" s="712" customFormat="1" ht="12.75" hidden="1" customHeight="1">
      <c r="A200" s="1066"/>
      <c r="B200" s="1066"/>
      <c r="C200" s="1066"/>
      <c r="D200" s="1066"/>
      <c r="E200" s="1066"/>
      <c r="F200" s="1066"/>
      <c r="G200" s="1066"/>
      <c r="H200" s="1066"/>
      <c r="I200" s="1066"/>
      <c r="J200" s="1066"/>
      <c r="K200" s="1066"/>
      <c r="L200" s="1066"/>
      <c r="M200" s="1066"/>
      <c r="N200" s="1066"/>
      <c r="O200" s="1066"/>
      <c r="P200" s="1066"/>
      <c r="Q200" s="1066"/>
      <c r="R200" s="1066"/>
      <c r="S200" s="1066"/>
      <c r="T200" s="1066"/>
      <c r="U200" s="1067"/>
      <c r="V200" s="1067"/>
      <c r="W200" s="1067"/>
      <c r="X200" s="1067"/>
      <c r="Y200" s="1067"/>
      <c r="Z200" s="1067"/>
      <c r="AA200" s="1067"/>
      <c r="AB200" s="1067"/>
    </row>
    <row r="201" spans="1:28" s="712" customFormat="1" ht="12.75" hidden="1" customHeight="1">
      <c r="A201" s="1066"/>
      <c r="B201" s="1066"/>
      <c r="C201" s="1066"/>
      <c r="D201" s="1066"/>
      <c r="E201" s="1066"/>
      <c r="F201" s="1066"/>
      <c r="G201" s="1066"/>
      <c r="H201" s="1066"/>
      <c r="I201" s="1066"/>
      <c r="J201" s="1066"/>
      <c r="K201" s="1066"/>
      <c r="L201" s="1066"/>
      <c r="M201" s="1066"/>
      <c r="N201" s="1066"/>
      <c r="O201" s="1066"/>
      <c r="P201" s="1066"/>
      <c r="Q201" s="1066"/>
      <c r="R201" s="1066"/>
      <c r="S201" s="1066"/>
      <c r="T201" s="1066"/>
      <c r="U201" s="1067"/>
      <c r="V201" s="1067"/>
      <c r="W201" s="1067"/>
      <c r="X201" s="1067"/>
      <c r="Y201" s="1067"/>
      <c r="Z201" s="1067"/>
      <c r="AA201" s="1067"/>
      <c r="AB201" s="1067"/>
    </row>
    <row r="202" spans="1:28" s="712" customFormat="1" ht="12.75" hidden="1" customHeight="1">
      <c r="A202" s="1066"/>
      <c r="B202" s="1066"/>
      <c r="C202" s="1066"/>
      <c r="D202" s="1066"/>
      <c r="E202" s="1066"/>
      <c r="F202" s="1066"/>
      <c r="G202" s="1066"/>
      <c r="H202" s="1066"/>
      <c r="I202" s="1066"/>
      <c r="J202" s="1066"/>
      <c r="K202" s="1066"/>
      <c r="L202" s="1066"/>
      <c r="M202" s="1066"/>
      <c r="N202" s="1066"/>
      <c r="O202" s="1066"/>
      <c r="P202" s="1066"/>
      <c r="Q202" s="1066"/>
      <c r="R202" s="1066"/>
      <c r="S202" s="1066"/>
      <c r="T202" s="1066"/>
      <c r="U202" s="1067"/>
      <c r="V202" s="1067"/>
      <c r="W202" s="1067"/>
      <c r="X202" s="1067"/>
      <c r="Y202" s="1067"/>
      <c r="Z202" s="1067"/>
      <c r="AA202" s="1067"/>
      <c r="AB202" s="1067"/>
    </row>
    <row r="203" spans="1:28" s="712" customFormat="1" ht="12.75" hidden="1" customHeight="1">
      <c r="A203" s="1066"/>
      <c r="B203" s="1066"/>
      <c r="C203" s="1066"/>
      <c r="D203" s="1066"/>
      <c r="E203" s="1066"/>
      <c r="F203" s="1066"/>
      <c r="G203" s="1066"/>
      <c r="H203" s="1066"/>
      <c r="I203" s="1066"/>
      <c r="J203" s="1066"/>
      <c r="K203" s="1066"/>
      <c r="L203" s="1066"/>
      <c r="M203" s="1066"/>
      <c r="N203" s="1066"/>
      <c r="O203" s="1066"/>
      <c r="P203" s="1066"/>
      <c r="Q203" s="1066"/>
      <c r="R203" s="1066"/>
      <c r="S203" s="1066"/>
      <c r="T203" s="1066"/>
      <c r="U203" s="1067"/>
      <c r="V203" s="1067"/>
      <c r="W203" s="1067"/>
      <c r="X203" s="1067"/>
      <c r="Y203" s="1067"/>
      <c r="Z203" s="1067"/>
      <c r="AA203" s="1067"/>
      <c r="AB203" s="1067"/>
    </row>
    <row r="204" spans="1:28" s="712" customFormat="1" ht="12.75" hidden="1" customHeight="1">
      <c r="A204" s="1066"/>
      <c r="B204" s="1066" t="str">
        <f>IF(ISBLANK(J28),I186,J28)</f>
        <v>GEN</v>
      </c>
      <c r="C204" s="1066" t="str">
        <f>VLOOKUP(B204,$I$186:$M$197,5,FALSE)</f>
        <v>FEB</v>
      </c>
      <c r="D204" s="1066" t="str">
        <f t="shared" ref="D204:L204" si="16">VLOOKUP(C204,$I$186:$M$197,5,FALSE)</f>
        <v>MAR</v>
      </c>
      <c r="E204" s="1066" t="str">
        <f t="shared" si="16"/>
        <v>APR</v>
      </c>
      <c r="F204" s="1066" t="str">
        <f t="shared" si="16"/>
        <v>MAG</v>
      </c>
      <c r="G204" s="1066" t="str">
        <f t="shared" si="16"/>
        <v>GIU</v>
      </c>
      <c r="H204" s="1066" t="str">
        <f t="shared" si="16"/>
        <v>LUG</v>
      </c>
      <c r="I204" s="1066" t="str">
        <f t="shared" si="16"/>
        <v>AGO</v>
      </c>
      <c r="J204" s="1066" t="str">
        <f t="shared" si="16"/>
        <v>SET</v>
      </c>
      <c r="K204" s="1066" t="str">
        <f t="shared" si="16"/>
        <v>OTT</v>
      </c>
      <c r="L204" s="1066" t="str">
        <f t="shared" si="16"/>
        <v>NOV</v>
      </c>
      <c r="M204" s="1066" t="str">
        <f>IF(ISBLANK(J28),I197,K28)</f>
        <v>DIC</v>
      </c>
      <c r="N204" s="1066"/>
      <c r="O204" s="1066"/>
      <c r="P204" s="1066"/>
      <c r="Q204" s="1066"/>
      <c r="R204" s="1066"/>
      <c r="S204" s="1066"/>
      <c r="T204" s="1066"/>
      <c r="U204" s="1067"/>
      <c r="V204" s="1067"/>
      <c r="W204" s="1067"/>
      <c r="X204" s="1067"/>
      <c r="Y204" s="1067"/>
      <c r="Z204" s="1067"/>
      <c r="AA204" s="1067"/>
      <c r="AB204" s="1067"/>
    </row>
    <row r="205" spans="1:28" s="712" customFormat="1" ht="12.75" hidden="1" customHeight="1">
      <c r="A205" s="1066"/>
      <c r="B205" s="1066"/>
      <c r="C205" s="1066"/>
      <c r="D205" s="1066"/>
      <c r="E205" s="1066"/>
      <c r="F205" s="1066"/>
      <c r="G205" s="1066"/>
      <c r="H205" s="1066"/>
      <c r="I205" s="1066"/>
      <c r="J205" s="1066"/>
      <c r="K205" s="1066"/>
      <c r="L205" s="1066"/>
      <c r="M205" s="1066"/>
      <c r="N205" s="1066"/>
      <c r="O205" s="1066"/>
      <c r="P205" s="1066"/>
      <c r="Q205" s="1066"/>
      <c r="R205" s="1066"/>
      <c r="S205" s="1066"/>
      <c r="T205" s="1066"/>
      <c r="U205" s="1067"/>
      <c r="V205" s="1067"/>
      <c r="W205" s="1067"/>
      <c r="X205" s="1067"/>
      <c r="Y205" s="1067"/>
      <c r="Z205" s="1067"/>
      <c r="AA205" s="1067"/>
      <c r="AB205" s="1067"/>
    </row>
    <row r="206" spans="1:28" s="712" customFormat="1" ht="12.75" hidden="1" customHeight="1">
      <c r="A206" s="1066"/>
      <c r="B206" s="1066" t="str">
        <f>VLOOKUP(B204,$I$186:$N$197,6,FALSE)</f>
        <v>Gennaio</v>
      </c>
      <c r="C206" s="1066" t="str">
        <f t="shared" ref="C206:L206" si="17">VLOOKUP(C204,$I$186:$N$197,6,FALSE)</f>
        <v>Febbraio</v>
      </c>
      <c r="D206" s="1066" t="str">
        <f t="shared" si="17"/>
        <v>Marzo</v>
      </c>
      <c r="E206" s="1066" t="str">
        <f t="shared" si="17"/>
        <v>Aprile</v>
      </c>
      <c r="F206" s="1066" t="str">
        <f t="shared" si="17"/>
        <v>Maggio</v>
      </c>
      <c r="G206" s="1066" t="str">
        <f t="shared" si="17"/>
        <v>Giugno</v>
      </c>
      <c r="H206" s="1066" t="str">
        <f t="shared" si="17"/>
        <v>Luglio</v>
      </c>
      <c r="I206" s="1066" t="str">
        <f t="shared" si="17"/>
        <v>Agosto</v>
      </c>
      <c r="J206" s="1066" t="str">
        <f t="shared" si="17"/>
        <v>Settembre</v>
      </c>
      <c r="K206" s="1066" t="str">
        <f t="shared" si="17"/>
        <v>Ottobre</v>
      </c>
      <c r="L206" s="1066" t="str">
        <f t="shared" si="17"/>
        <v>Novembre</v>
      </c>
      <c r="M206" s="1066" t="str">
        <f>VLOOKUP(LEFT(M204,3),$I$186:$N$197,6,FALSE)</f>
        <v>Dicembre</v>
      </c>
      <c r="N206" s="1066"/>
      <c r="O206" s="1066"/>
      <c r="P206" s="1066"/>
      <c r="Q206" s="1066"/>
      <c r="R206" s="1066"/>
      <c r="S206" s="1066"/>
      <c r="T206" s="1066"/>
      <c r="U206" s="1067"/>
      <c r="V206" s="1067"/>
      <c r="W206" s="1067"/>
      <c r="X206" s="1067"/>
      <c r="Y206" s="1067"/>
      <c r="Z206" s="1067"/>
      <c r="AA206" s="1067"/>
      <c r="AB206" s="1067"/>
    </row>
    <row r="207" spans="1:28" s="712" customFormat="1" ht="12.75" hidden="1" customHeight="1">
      <c r="A207" s="1066"/>
      <c r="B207" s="1066">
        <f t="shared" ref="B207:M207" si="18">IF($M$181=1,0,VLOOKUP(B206,$N$186:$O$197,2,FALSE))</f>
        <v>1</v>
      </c>
      <c r="C207" s="1066">
        <f t="shared" si="18"/>
        <v>2</v>
      </c>
      <c r="D207" s="1066">
        <f t="shared" si="18"/>
        <v>3</v>
      </c>
      <c r="E207" s="1066">
        <f t="shared" si="18"/>
        <v>4</v>
      </c>
      <c r="F207" s="1066">
        <f t="shared" si="18"/>
        <v>5</v>
      </c>
      <c r="G207" s="1066">
        <f t="shared" si="18"/>
        <v>6</v>
      </c>
      <c r="H207" s="1066">
        <f t="shared" si="18"/>
        <v>7</v>
      </c>
      <c r="I207" s="1066">
        <f t="shared" si="18"/>
        <v>8</v>
      </c>
      <c r="J207" s="1066">
        <f t="shared" si="18"/>
        <v>9</v>
      </c>
      <c r="K207" s="1066">
        <f t="shared" si="18"/>
        <v>10</v>
      </c>
      <c r="L207" s="1066">
        <f t="shared" si="18"/>
        <v>11</v>
      </c>
      <c r="M207" s="1066">
        <f t="shared" si="18"/>
        <v>12</v>
      </c>
      <c r="N207" s="1066"/>
      <c r="O207" s="1066"/>
      <c r="P207" s="1066"/>
      <c r="Q207" s="1066"/>
      <c r="R207" s="1066"/>
      <c r="S207" s="1066"/>
      <c r="T207" s="1066"/>
      <c r="U207" s="1067"/>
      <c r="V207" s="1067"/>
      <c r="W207" s="1067"/>
      <c r="X207" s="1067"/>
      <c r="Y207" s="1067"/>
      <c r="Z207" s="1067"/>
      <c r="AA207" s="1067"/>
      <c r="AB207" s="1067"/>
    </row>
    <row r="208" spans="1:28" s="712" customFormat="1" ht="12.75" hidden="1" customHeight="1">
      <c r="A208" s="1067"/>
      <c r="B208" s="1067"/>
      <c r="C208" s="1066"/>
      <c r="D208" s="1066"/>
      <c r="E208" s="1066"/>
      <c r="F208" s="1066"/>
      <c r="G208" s="1066"/>
      <c r="H208" s="1066"/>
      <c r="I208" s="1066"/>
      <c r="J208" s="1066"/>
      <c r="K208" s="1066"/>
      <c r="L208" s="1066"/>
      <c r="M208" s="1067"/>
      <c r="N208" s="1067"/>
      <c r="O208" s="1067"/>
      <c r="P208" s="1066"/>
      <c r="Q208" s="1066"/>
      <c r="R208" s="1066"/>
      <c r="S208" s="1066"/>
      <c r="T208" s="1066"/>
      <c r="U208" s="1067"/>
      <c r="V208" s="1067"/>
      <c r="W208" s="1067"/>
      <c r="X208" s="1067"/>
      <c r="Y208" s="1067"/>
      <c r="Z208" s="1067"/>
      <c r="AA208" s="1067"/>
      <c r="AB208" s="1067"/>
    </row>
    <row r="209" spans="1:28" s="712" customFormat="1" ht="12.75" hidden="1" customHeight="1">
      <c r="A209" s="1066"/>
      <c r="B209" s="1066">
        <v>1</v>
      </c>
      <c r="C209" s="1066">
        <v>2</v>
      </c>
      <c r="D209" s="1066">
        <v>3</v>
      </c>
      <c r="E209" s="1066">
        <v>4</v>
      </c>
      <c r="F209" s="1066">
        <v>5</v>
      </c>
      <c r="G209" s="1066">
        <v>6</v>
      </c>
      <c r="H209" s="1066">
        <v>7</v>
      </c>
      <c r="I209" s="1066">
        <v>8</v>
      </c>
      <c r="J209" s="1066">
        <v>9</v>
      </c>
      <c r="K209" s="1066">
        <v>10</v>
      </c>
      <c r="L209" s="1066">
        <v>11</v>
      </c>
      <c r="M209" s="1066">
        <v>12</v>
      </c>
      <c r="N209" s="1066"/>
      <c r="O209" s="1066"/>
      <c r="P209" s="1066"/>
      <c r="Q209" s="1066"/>
      <c r="R209" s="1066"/>
      <c r="S209" s="1066"/>
      <c r="T209" s="1066"/>
      <c r="U209" s="1067"/>
      <c r="V209" s="1067"/>
      <c r="W209" s="1067"/>
      <c r="X209" s="1067"/>
      <c r="Y209" s="1067"/>
      <c r="Z209" s="1067"/>
      <c r="AA209" s="1067"/>
      <c r="AB209" s="1067"/>
    </row>
    <row r="210" spans="1:28" s="712" customFormat="1" ht="12.75" hidden="1" customHeight="1">
      <c r="A210" s="1066"/>
      <c r="B210" s="1077">
        <f t="shared" ref="B210:H210" si="19">DATE(VLOOKUP($B204,$I$186:$AA$197,P185,FALSE),B207,1)</f>
        <v>45292</v>
      </c>
      <c r="C210" s="1077">
        <f t="shared" si="19"/>
        <v>45323</v>
      </c>
      <c r="D210" s="1077">
        <f t="shared" si="19"/>
        <v>45352</v>
      </c>
      <c r="E210" s="1077">
        <f t="shared" si="19"/>
        <v>45383</v>
      </c>
      <c r="F210" s="1077">
        <f t="shared" si="19"/>
        <v>45413</v>
      </c>
      <c r="G210" s="1077">
        <f t="shared" si="19"/>
        <v>45444</v>
      </c>
      <c r="H210" s="1077">
        <f t="shared" si="19"/>
        <v>45474</v>
      </c>
      <c r="I210" s="1077">
        <f>DATE(VLOOKUP($B204,$I$186:$AA$197,W185,FALSE),I207,1)</f>
        <v>45505</v>
      </c>
      <c r="J210" s="1077">
        <f>DATE(VLOOKUP($B204,$I$186:$AA$197,X185,FALSE),J207,1)</f>
        <v>45536</v>
      </c>
      <c r="K210" s="1077">
        <f>DATE(VLOOKUP($B204,$I$186:$AA$197,Y185,FALSE),K207,1)</f>
        <v>45566</v>
      </c>
      <c r="L210" s="1077">
        <f>DATE(VLOOKUP($B204,$I$186:$AA$197,Z185,FALSE),L207,1)</f>
        <v>45597</v>
      </c>
      <c r="M210" s="1077">
        <f>DATE(VLOOKUP($B204,$I$186:$AA$197,AA185,FALSE),M207,1)</f>
        <v>45627</v>
      </c>
      <c r="N210" s="1077">
        <f>(DATE(YEAR(B210)+1,MONTH(B210),DAY(B210))-1)</f>
        <v>45657</v>
      </c>
      <c r="O210" s="1066"/>
      <c r="P210" s="1066"/>
      <c r="Q210" s="1066"/>
      <c r="R210" s="1066"/>
      <c r="S210" s="1066"/>
      <c r="T210" s="1066"/>
      <c r="U210" s="1067"/>
      <c r="V210" s="1067"/>
      <c r="W210" s="1067"/>
      <c r="X210" s="1067"/>
      <c r="Y210" s="1067"/>
      <c r="Z210" s="1067"/>
      <c r="AA210" s="1067"/>
      <c r="AB210" s="1067"/>
    </row>
    <row r="211" spans="1:28" s="712" customFormat="1" ht="12.75" hidden="1" customHeight="1">
      <c r="A211" s="1066"/>
      <c r="B211" s="1066">
        <f>C210</f>
        <v>45323</v>
      </c>
      <c r="C211" s="1066"/>
      <c r="D211" s="1066"/>
      <c r="E211" s="1066"/>
      <c r="F211" s="1066"/>
      <c r="G211" s="1066"/>
      <c r="H211" s="1066"/>
      <c r="I211" s="1066"/>
      <c r="J211" s="1066"/>
      <c r="K211" s="1066"/>
      <c r="L211" s="1066"/>
      <c r="M211" s="1066"/>
      <c r="N211" s="1066"/>
      <c r="O211" s="1066"/>
      <c r="P211" s="1066"/>
      <c r="Q211" s="1066"/>
      <c r="R211" s="1066"/>
      <c r="S211" s="1066"/>
      <c r="T211" s="1066"/>
      <c r="U211" s="1067"/>
      <c r="V211" s="1067"/>
      <c r="W211" s="1067"/>
      <c r="X211" s="1067"/>
      <c r="Y211" s="1067"/>
      <c r="Z211" s="1067"/>
      <c r="AA211" s="1067"/>
      <c r="AB211" s="1067"/>
    </row>
    <row r="212" spans="1:28" s="712" customFormat="1" ht="12.75" hidden="1" customHeight="1">
      <c r="A212" s="1066"/>
      <c r="B212" s="1066">
        <f>D210</f>
        <v>45352</v>
      </c>
      <c r="C212" s="1066"/>
      <c r="D212" s="1066"/>
      <c r="E212" s="1066"/>
      <c r="F212" s="1066"/>
      <c r="G212" s="1066"/>
      <c r="H212" s="1066"/>
      <c r="I212" s="1066"/>
      <c r="J212" s="1066"/>
      <c r="K212" s="1066"/>
      <c r="L212" s="1066"/>
      <c r="M212" s="1066"/>
      <c r="N212" s="1066"/>
      <c r="O212" s="1066"/>
      <c r="P212" s="1066"/>
      <c r="Q212" s="1066"/>
      <c r="R212" s="1066"/>
      <c r="S212" s="1066"/>
      <c r="T212" s="1066"/>
      <c r="U212" s="1067"/>
      <c r="V212" s="1067"/>
      <c r="W212" s="1067"/>
      <c r="X212" s="1067"/>
      <c r="Y212" s="1067"/>
      <c r="Z212" s="1067"/>
      <c r="AA212" s="1067"/>
      <c r="AB212" s="1067"/>
    </row>
    <row r="213" spans="1:28" s="712" customFormat="1" ht="12.75" hidden="1" customHeight="1">
      <c r="A213" s="1066"/>
      <c r="B213" s="1066">
        <f>E210</f>
        <v>45383</v>
      </c>
      <c r="C213" s="1066"/>
      <c r="D213" s="1066"/>
      <c r="E213" s="1066"/>
      <c r="F213" s="1066"/>
      <c r="G213" s="1066"/>
      <c r="H213" s="1066"/>
      <c r="I213" s="1066"/>
      <c r="J213" s="1066"/>
      <c r="K213" s="1066"/>
      <c r="L213" s="1066"/>
      <c r="M213" s="1066"/>
      <c r="N213" s="1066"/>
      <c r="O213" s="1066"/>
      <c r="P213" s="1066"/>
      <c r="Q213" s="1066"/>
      <c r="R213" s="1066"/>
      <c r="S213" s="1066"/>
      <c r="T213" s="1066"/>
      <c r="U213" s="1067"/>
      <c r="V213" s="1067"/>
      <c r="W213" s="1067"/>
      <c r="X213" s="1067"/>
      <c r="Y213" s="1067"/>
      <c r="Z213" s="1067"/>
      <c r="AA213" s="1067"/>
      <c r="AB213" s="1067"/>
    </row>
    <row r="214" spans="1:28" s="712" customFormat="1" ht="12.75" hidden="1" customHeight="1">
      <c r="A214" s="1066"/>
      <c r="B214" s="1066">
        <f>F210</f>
        <v>45413</v>
      </c>
      <c r="C214" s="1066"/>
      <c r="D214" s="1066"/>
      <c r="E214" s="1066"/>
      <c r="F214" s="1066"/>
      <c r="G214" s="1066"/>
      <c r="H214" s="1066"/>
      <c r="I214" s="1066"/>
      <c r="J214" s="1066"/>
      <c r="K214" s="1066"/>
      <c r="L214" s="1066"/>
      <c r="M214" s="1066"/>
      <c r="N214" s="1066"/>
      <c r="O214" s="1066"/>
      <c r="P214" s="1066"/>
      <c r="Q214" s="1066"/>
      <c r="R214" s="1066"/>
      <c r="S214" s="1066"/>
      <c r="T214" s="1066"/>
      <c r="U214" s="1067"/>
      <c r="V214" s="1067"/>
      <c r="W214" s="1067"/>
      <c r="X214" s="1067"/>
      <c r="Y214" s="1067"/>
      <c r="Z214" s="1067"/>
      <c r="AA214" s="1067"/>
      <c r="AB214" s="1067"/>
    </row>
    <row r="215" spans="1:28" s="712" customFormat="1" ht="12.75" hidden="1" customHeight="1">
      <c r="A215" s="1066"/>
      <c r="B215" s="1066">
        <f>G210</f>
        <v>45444</v>
      </c>
      <c r="C215" s="1066"/>
      <c r="D215" s="1066"/>
      <c r="E215" s="1066"/>
      <c r="F215" s="1066"/>
      <c r="G215" s="1066"/>
      <c r="H215" s="1066"/>
      <c r="I215" s="1066"/>
      <c r="J215" s="1066"/>
      <c r="K215" s="1066"/>
      <c r="L215" s="1066"/>
      <c r="M215" s="1066"/>
      <c r="N215" s="1066"/>
      <c r="O215" s="1066"/>
      <c r="P215" s="1066"/>
      <c r="Q215" s="1066"/>
      <c r="R215" s="1066"/>
      <c r="S215" s="1066"/>
      <c r="T215" s="1066"/>
      <c r="U215" s="1067"/>
      <c r="V215" s="1067"/>
      <c r="W215" s="1067"/>
      <c r="X215" s="1067"/>
      <c r="Y215" s="1067"/>
      <c r="Z215" s="1067"/>
      <c r="AA215" s="1067"/>
      <c r="AB215" s="1067"/>
    </row>
    <row r="216" spans="1:28" s="712" customFormat="1" ht="12.75" hidden="1" customHeight="1">
      <c r="A216" s="1066"/>
      <c r="B216" s="1066">
        <f>H210</f>
        <v>45474</v>
      </c>
      <c r="C216" s="1066"/>
      <c r="D216" s="1066"/>
      <c r="E216" s="1066"/>
      <c r="F216" s="1066"/>
      <c r="G216" s="1066"/>
      <c r="H216" s="1066"/>
      <c r="I216" s="1066"/>
      <c r="J216" s="1066"/>
      <c r="K216" s="1066"/>
      <c r="L216" s="1066"/>
      <c r="M216" s="1066"/>
      <c r="N216" s="1066"/>
      <c r="O216" s="1066"/>
      <c r="P216" s="1066"/>
      <c r="Q216" s="1066"/>
      <c r="R216" s="1066"/>
      <c r="S216" s="1066"/>
      <c r="T216" s="1066"/>
      <c r="U216" s="1067"/>
      <c r="V216" s="1067"/>
      <c r="W216" s="1067"/>
      <c r="X216" s="1067"/>
      <c r="Y216" s="1067"/>
      <c r="Z216" s="1067"/>
      <c r="AA216" s="1067"/>
      <c r="AB216" s="1067"/>
    </row>
    <row r="217" spans="1:28" s="712" customFormat="1" ht="12.75" hidden="1" customHeight="1">
      <c r="A217" s="1066"/>
      <c r="B217" s="1066">
        <f>I210</f>
        <v>45505</v>
      </c>
      <c r="C217" s="1066"/>
      <c r="D217" s="1066"/>
      <c r="E217" s="1066"/>
      <c r="F217" s="1066"/>
      <c r="G217" s="1066"/>
      <c r="H217" s="1066"/>
      <c r="I217" s="1066"/>
      <c r="J217" s="1066"/>
      <c r="K217" s="1066"/>
      <c r="L217" s="1066"/>
      <c r="M217" s="1066"/>
      <c r="N217" s="1066"/>
      <c r="O217" s="1066"/>
      <c r="P217" s="1066"/>
      <c r="Q217" s="1066"/>
      <c r="R217" s="1066"/>
      <c r="S217" s="1066"/>
      <c r="T217" s="1066"/>
      <c r="U217" s="1067"/>
      <c r="V217" s="1067"/>
      <c r="W217" s="1067"/>
      <c r="X217" s="1067"/>
      <c r="Y217" s="1067"/>
      <c r="Z217" s="1067"/>
      <c r="AA217" s="1067"/>
      <c r="AB217" s="1067"/>
    </row>
    <row r="218" spans="1:28" s="712" customFormat="1" ht="12.75" hidden="1" customHeight="1">
      <c r="A218" s="1066"/>
      <c r="B218" s="1066">
        <f>J210</f>
        <v>45536</v>
      </c>
      <c r="C218" s="1066"/>
      <c r="D218" s="1066"/>
      <c r="E218" s="1066"/>
      <c r="F218" s="1066"/>
      <c r="G218" s="1066"/>
      <c r="H218" s="1066"/>
      <c r="I218" s="1066"/>
      <c r="J218" s="1066"/>
      <c r="K218" s="1066"/>
      <c r="L218" s="1066"/>
      <c r="M218" s="1066"/>
      <c r="N218" s="1066"/>
      <c r="O218" s="1066"/>
      <c r="P218" s="1066"/>
      <c r="Q218" s="1066"/>
      <c r="R218" s="1066"/>
      <c r="S218" s="1066"/>
      <c r="T218" s="1066"/>
      <c r="U218" s="1067"/>
      <c r="V218" s="1067"/>
      <c r="W218" s="1067"/>
      <c r="X218" s="1067"/>
      <c r="Y218" s="1067"/>
      <c r="Z218" s="1067"/>
      <c r="AA218" s="1067"/>
      <c r="AB218" s="1067"/>
    </row>
    <row r="219" spans="1:28" s="712" customFormat="1" ht="12.75" hidden="1" customHeight="1">
      <c r="A219" s="1066"/>
      <c r="B219" s="1066">
        <f>K210</f>
        <v>45566</v>
      </c>
      <c r="C219" s="1066"/>
      <c r="D219" s="1066"/>
      <c r="E219" s="1066"/>
      <c r="F219" s="1066"/>
      <c r="G219" s="1066"/>
      <c r="H219" s="1066"/>
      <c r="I219" s="1066"/>
      <c r="J219" s="1066"/>
      <c r="K219" s="1066"/>
      <c r="L219" s="1066"/>
      <c r="M219" s="1066"/>
      <c r="N219" s="1066"/>
      <c r="O219" s="1066"/>
      <c r="P219" s="1066"/>
      <c r="Q219" s="1066"/>
      <c r="R219" s="1066"/>
      <c r="S219" s="1066"/>
      <c r="T219" s="1066"/>
      <c r="U219" s="1067"/>
      <c r="V219" s="1067"/>
      <c r="W219" s="1067"/>
      <c r="X219" s="1067"/>
      <c r="Y219" s="1067"/>
      <c r="Z219" s="1067"/>
      <c r="AA219" s="1067"/>
      <c r="AB219" s="1067"/>
    </row>
    <row r="220" spans="1:28" s="712" customFormat="1" ht="12.75" hidden="1" customHeight="1">
      <c r="A220" s="1066"/>
      <c r="B220" s="1066">
        <f>L210</f>
        <v>45597</v>
      </c>
      <c r="C220" s="1066"/>
      <c r="D220" s="1066"/>
      <c r="E220" s="1066"/>
      <c r="F220" s="1066"/>
      <c r="G220" s="1066"/>
      <c r="H220" s="1066"/>
      <c r="I220" s="1066"/>
      <c r="J220" s="1066"/>
      <c r="K220" s="1066"/>
      <c r="L220" s="1066"/>
      <c r="M220" s="1066"/>
      <c r="N220" s="1066"/>
      <c r="O220" s="1066"/>
      <c r="P220" s="1066"/>
      <c r="Q220" s="1066"/>
      <c r="R220" s="1066"/>
      <c r="S220" s="1066"/>
      <c r="T220" s="1066"/>
      <c r="U220" s="1067"/>
      <c r="V220" s="1067"/>
      <c r="W220" s="1067"/>
      <c r="X220" s="1067"/>
      <c r="Y220" s="1067"/>
      <c r="Z220" s="1067"/>
      <c r="AA220" s="1067"/>
      <c r="AB220" s="1067"/>
    </row>
    <row r="221" spans="1:28" s="712" customFormat="1" ht="12.75" hidden="1" customHeight="1">
      <c r="A221" s="1066"/>
      <c r="B221" s="1066">
        <f>M210</f>
        <v>45627</v>
      </c>
      <c r="C221" s="1066"/>
      <c r="D221" s="1066"/>
      <c r="E221" s="1066"/>
      <c r="F221" s="1066"/>
      <c r="G221" s="1066"/>
      <c r="H221" s="1066"/>
      <c r="I221" s="1066"/>
      <c r="J221" s="1066"/>
      <c r="K221" s="1066"/>
      <c r="L221" s="1066"/>
      <c r="M221" s="1066"/>
      <c r="N221" s="1066"/>
      <c r="O221" s="1066"/>
      <c r="P221" s="1066"/>
      <c r="Q221" s="1066"/>
      <c r="R221" s="1066"/>
      <c r="S221" s="1066"/>
      <c r="T221" s="1066"/>
      <c r="U221" s="1067"/>
      <c r="V221" s="1067"/>
      <c r="W221" s="1067"/>
      <c r="X221" s="1067"/>
      <c r="Y221" s="1067"/>
      <c r="Z221" s="1067"/>
      <c r="AA221" s="1067"/>
      <c r="AB221" s="1067"/>
    </row>
    <row r="222" spans="1:28" hidden="1">
      <c r="A222" s="1078"/>
      <c r="B222" s="1078"/>
      <c r="C222" s="1078"/>
      <c r="D222" s="1078"/>
      <c r="E222" s="1078"/>
      <c r="F222" s="1078"/>
      <c r="G222" s="1078"/>
      <c r="H222" s="1078"/>
      <c r="I222" s="1078"/>
      <c r="J222" s="1078"/>
      <c r="K222" s="1078"/>
      <c r="L222" s="1078"/>
      <c r="M222" s="1078"/>
      <c r="N222" s="1078"/>
      <c r="O222" s="1078"/>
      <c r="P222" s="1078"/>
      <c r="Q222" s="1078"/>
      <c r="R222" s="1078"/>
      <c r="S222" s="1078"/>
      <c r="T222" s="1078"/>
      <c r="U222" s="1079"/>
      <c r="V222" s="1079"/>
      <c r="W222" s="1079"/>
      <c r="X222" s="1079"/>
      <c r="Y222" s="1079"/>
      <c r="Z222" s="1079"/>
      <c r="AA222" s="1079"/>
      <c r="AB222" s="1079"/>
    </row>
    <row r="223" spans="1:28" hidden="1">
      <c r="A223" s="870"/>
      <c r="B223" s="870"/>
      <c r="C223" s="870"/>
      <c r="D223" s="870"/>
      <c r="E223" s="870"/>
      <c r="F223" s="870"/>
      <c r="G223" s="870"/>
      <c r="H223" s="870"/>
      <c r="I223" s="870"/>
      <c r="J223" s="870"/>
      <c r="K223" s="870"/>
      <c r="L223" s="870"/>
      <c r="M223" s="870"/>
      <c r="N223" s="870"/>
      <c r="O223" s="870"/>
      <c r="P223" s="870"/>
      <c r="Q223" s="870"/>
      <c r="R223" s="870"/>
      <c r="S223" s="398"/>
      <c r="T223" s="398"/>
    </row>
    <row r="224" spans="1:28" s="826" customFormat="1" ht="12.75" hidden="1" customHeight="1">
      <c r="A224" s="871"/>
      <c r="B224" s="871"/>
      <c r="H224" s="871"/>
      <c r="I224" s="871"/>
      <c r="J224" s="871"/>
      <c r="K224" s="871"/>
      <c r="L224" s="871"/>
      <c r="M224" s="871"/>
      <c r="N224" s="871"/>
      <c r="O224" s="871"/>
      <c r="P224" s="871"/>
      <c r="Q224" s="871"/>
      <c r="R224" s="871"/>
    </row>
    <row r="225" spans="1:20" s="828" customFormat="1" hidden="1">
      <c r="A225" s="872"/>
      <c r="B225" s="872"/>
      <c r="H225" s="872"/>
      <c r="I225" s="872"/>
      <c r="J225" s="872"/>
      <c r="K225" s="872"/>
      <c r="L225" s="872"/>
      <c r="M225" s="872"/>
      <c r="N225" s="872"/>
      <c r="O225" s="872"/>
      <c r="P225" s="872"/>
      <c r="Q225" s="872"/>
      <c r="R225" s="872"/>
      <c r="S225" s="827"/>
    </row>
    <row r="226" spans="1:20" s="828" customFormat="1" hidden="1">
      <c r="A226" s="872"/>
      <c r="B226" s="872"/>
      <c r="H226" s="872"/>
      <c r="I226" s="872"/>
      <c r="J226" s="872"/>
      <c r="K226" s="872"/>
      <c r="L226" s="872"/>
      <c r="M226" s="872"/>
      <c r="N226" s="872"/>
      <c r="O226" s="872"/>
      <c r="P226" s="872"/>
      <c r="Q226" s="872"/>
      <c r="R226" s="872"/>
      <c r="S226" s="827"/>
    </row>
    <row r="227" spans="1:20" s="2" customFormat="1" hidden="1">
      <c r="A227" s="873"/>
      <c r="B227" s="873"/>
      <c r="H227" s="873"/>
      <c r="I227" s="873"/>
      <c r="J227" s="873"/>
      <c r="K227" s="873"/>
      <c r="L227" s="873"/>
      <c r="M227" s="873"/>
      <c r="N227" s="873"/>
      <c r="O227" s="873"/>
      <c r="P227" s="873"/>
      <c r="Q227" s="873"/>
      <c r="R227" s="873"/>
    </row>
    <row r="228" spans="1:20" s="2" customFormat="1" hidden="1">
      <c r="A228" s="873"/>
      <c r="B228" s="873"/>
      <c r="H228" s="873"/>
      <c r="I228" s="873"/>
      <c r="J228" s="873"/>
      <c r="K228" s="873"/>
      <c r="L228" s="873"/>
      <c r="M228" s="873"/>
      <c r="N228" s="873"/>
      <c r="O228" s="873"/>
      <c r="P228" s="873"/>
      <c r="Q228" s="873"/>
      <c r="R228" s="873"/>
    </row>
    <row r="229" spans="1:20" s="2" customFormat="1" hidden="1">
      <c r="A229" s="873"/>
      <c r="B229" s="873"/>
      <c r="H229" s="873"/>
      <c r="I229" s="873"/>
      <c r="J229" s="873"/>
      <c r="K229" s="873"/>
      <c r="L229" s="873"/>
      <c r="M229" s="873"/>
      <c r="N229" s="873"/>
      <c r="O229" s="873"/>
      <c r="P229" s="873"/>
      <c r="Q229" s="873"/>
      <c r="R229" s="873"/>
    </row>
    <row r="230" spans="1:20" hidden="1">
      <c r="A230" s="870"/>
      <c r="B230" s="870"/>
      <c r="C230" s="870"/>
      <c r="D230" s="870"/>
      <c r="E230" s="870"/>
      <c r="F230" s="870"/>
      <c r="G230" s="870"/>
      <c r="H230" s="870"/>
      <c r="I230" s="870"/>
      <c r="J230" s="870"/>
      <c r="K230" s="870"/>
      <c r="L230" s="870"/>
      <c r="M230" s="870"/>
      <c r="N230" s="870"/>
      <c r="O230" s="870"/>
      <c r="P230" s="870"/>
      <c r="Q230" s="870"/>
      <c r="R230" s="870"/>
      <c r="S230" s="398"/>
      <c r="T230" s="398"/>
    </row>
    <row r="231" spans="1:20" hidden="1">
      <c r="A231" s="870"/>
      <c r="B231" s="870"/>
      <c r="C231" s="870"/>
      <c r="D231" s="870"/>
      <c r="E231" s="870"/>
      <c r="F231" s="870"/>
      <c r="G231" s="870"/>
      <c r="H231" s="870"/>
      <c r="I231" s="870"/>
      <c r="J231" s="870"/>
      <c r="K231" s="870"/>
      <c r="L231" s="870"/>
      <c r="M231" s="870"/>
      <c r="N231" s="870"/>
      <c r="O231" s="870"/>
      <c r="P231" s="870"/>
      <c r="Q231" s="870"/>
      <c r="R231" s="870"/>
      <c r="S231" s="398"/>
      <c r="T231" s="398"/>
    </row>
    <row r="232" spans="1:20" hidden="1">
      <c r="A232" s="398"/>
      <c r="B232" s="398"/>
      <c r="C232" s="398"/>
      <c r="D232" s="398"/>
      <c r="E232" s="398"/>
      <c r="F232" s="398"/>
      <c r="G232" s="398"/>
      <c r="H232" s="398"/>
      <c r="I232" s="398"/>
      <c r="J232" s="398"/>
      <c r="K232" s="398"/>
      <c r="L232" s="398"/>
      <c r="M232" s="398"/>
      <c r="N232" s="398"/>
      <c r="O232" s="398"/>
      <c r="P232" s="398"/>
      <c r="Q232" s="398"/>
      <c r="R232" s="398"/>
      <c r="S232" s="398"/>
      <c r="T232" s="398"/>
    </row>
    <row r="233" spans="1:20" hidden="1">
      <c r="A233" s="398"/>
      <c r="B233" s="398"/>
      <c r="C233" s="398"/>
      <c r="D233" s="398"/>
      <c r="E233" s="398"/>
      <c r="F233" s="398"/>
      <c r="G233" s="398"/>
      <c r="H233" s="398"/>
      <c r="I233" s="398"/>
      <c r="J233" s="398"/>
      <c r="K233" s="398"/>
      <c r="L233" s="398"/>
      <c r="M233" s="398"/>
      <c r="N233" s="398"/>
      <c r="O233" s="398"/>
      <c r="P233" s="398"/>
      <c r="Q233" s="398"/>
      <c r="R233" s="398"/>
      <c r="S233" s="398"/>
      <c r="T233" s="398"/>
    </row>
    <row r="234" spans="1:20" hidden="1">
      <c r="A234" s="398"/>
      <c r="B234" s="398"/>
      <c r="C234" s="398"/>
      <c r="D234" s="398"/>
      <c r="E234" s="398"/>
      <c r="F234" s="398"/>
      <c r="G234" s="398"/>
      <c r="H234" s="398"/>
      <c r="I234" s="398"/>
      <c r="J234" s="398"/>
      <c r="K234" s="398"/>
      <c r="L234" s="398"/>
      <c r="M234" s="398"/>
      <c r="N234" s="398"/>
      <c r="O234" s="398"/>
      <c r="P234" s="398"/>
      <c r="Q234" s="398"/>
      <c r="R234" s="398"/>
      <c r="S234" s="398"/>
      <c r="T234" s="398"/>
    </row>
    <row r="235" spans="1:20" hidden="1">
      <c r="A235" s="398"/>
      <c r="B235" s="398"/>
      <c r="C235" s="398"/>
      <c r="D235" s="398"/>
      <c r="E235" s="398"/>
      <c r="F235" s="398"/>
      <c r="G235" s="398"/>
      <c r="H235" s="398"/>
      <c r="I235" s="398"/>
      <c r="J235" s="398"/>
      <c r="K235" s="398"/>
      <c r="L235" s="398"/>
      <c r="M235" s="398"/>
      <c r="N235" s="398"/>
      <c r="O235" s="398"/>
      <c r="P235" s="398"/>
      <c r="Q235" s="398"/>
      <c r="R235" s="398"/>
      <c r="S235" s="398"/>
      <c r="T235" s="398"/>
    </row>
    <row r="236" spans="1:20" hidden="1"/>
    <row r="237" spans="1:20" hidden="1"/>
    <row r="238" spans="1:20" hidden="1"/>
  </sheetData>
  <sheetProtection algorithmName="SHA-512" hashValue="upFENdfR+lg1YtqTh1m3jUzU4xJBvr95KkcPHQkcwdAQEjldUSkY3YFGRgmW7DhxAvBiCBRxjujw28eeu/OPIQ==" saltValue="RGqUjcMY3bIi0POoFw5/3Q==" spinCount="100000" sheet="1" objects="1" scenarios="1" selectLockedCells="1"/>
  <mergeCells count="133">
    <mergeCell ref="D136:F136"/>
    <mergeCell ref="B134:L134"/>
    <mergeCell ref="D137:G137"/>
    <mergeCell ref="D146:K146"/>
    <mergeCell ref="D135:F135"/>
    <mergeCell ref="C72:L72"/>
    <mergeCell ref="K135:K136"/>
    <mergeCell ref="D140:K140"/>
    <mergeCell ref="C59:L59"/>
    <mergeCell ref="D141:K141"/>
    <mergeCell ref="D138:K138"/>
    <mergeCell ref="D139:K139"/>
    <mergeCell ref="B133:L133"/>
    <mergeCell ref="B108:L108"/>
    <mergeCell ref="C97:D97"/>
    <mergeCell ref="E97:L97"/>
    <mergeCell ref="B106:L106"/>
    <mergeCell ref="B107:L107"/>
    <mergeCell ref="B105:J105"/>
    <mergeCell ref="K105:L105"/>
    <mergeCell ref="F104:L104"/>
    <mergeCell ref="A102:L102"/>
    <mergeCell ref="J99:L99"/>
    <mergeCell ref="F99:I99"/>
    <mergeCell ref="F10:L10"/>
    <mergeCell ref="B13:H13"/>
    <mergeCell ref="I11:K11"/>
    <mergeCell ref="B23:E23"/>
    <mergeCell ref="F23:L23"/>
    <mergeCell ref="K130:L130"/>
    <mergeCell ref="B91:L91"/>
    <mergeCell ref="D38:L38"/>
    <mergeCell ref="D39:L39"/>
    <mergeCell ref="B45:L45"/>
    <mergeCell ref="D40:L40"/>
    <mergeCell ref="B43:L43"/>
    <mergeCell ref="B44:L44"/>
    <mergeCell ref="B63:L63"/>
    <mergeCell ref="C60:K60"/>
    <mergeCell ref="B103:L103"/>
    <mergeCell ref="B84:L84"/>
    <mergeCell ref="J100:L100"/>
    <mergeCell ref="B17:F17"/>
    <mergeCell ref="I22:L22"/>
    <mergeCell ref="B14:G14"/>
    <mergeCell ref="B128:L128"/>
    <mergeCell ref="B129:L129"/>
    <mergeCell ref="B24:L24"/>
    <mergeCell ref="G158:I158"/>
    <mergeCell ref="J158:L158"/>
    <mergeCell ref="B158:D158"/>
    <mergeCell ref="B155:J155"/>
    <mergeCell ref="B157:L157"/>
    <mergeCell ref="K155:L155"/>
    <mergeCell ref="B153:L153"/>
    <mergeCell ref="D142:K142"/>
    <mergeCell ref="D143:K143"/>
    <mergeCell ref="B154:L154"/>
    <mergeCell ref="D144:K144"/>
    <mergeCell ref="D145:K145"/>
    <mergeCell ref="B152:L152"/>
    <mergeCell ref="B150:L150"/>
    <mergeCell ref="B151:L151"/>
    <mergeCell ref="B148:L148"/>
    <mergeCell ref="B149:L149"/>
    <mergeCell ref="B3:L3"/>
    <mergeCell ref="B4:F4"/>
    <mergeCell ref="B78:L78"/>
    <mergeCell ref="C69:K69"/>
    <mergeCell ref="C67:K67"/>
    <mergeCell ref="C66:K66"/>
    <mergeCell ref="H101:L101"/>
    <mergeCell ref="B85:L85"/>
    <mergeCell ref="B15:F15"/>
    <mergeCell ref="H15:L15"/>
    <mergeCell ref="C57:K57"/>
    <mergeCell ref="B16:F16"/>
    <mergeCell ref="H16:L16"/>
    <mergeCell ref="D29:H29"/>
    <mergeCell ref="C25:H25"/>
    <mergeCell ref="B41:L41"/>
    <mergeCell ref="B42:L42"/>
    <mergeCell ref="D33:L33"/>
    <mergeCell ref="D34:L34"/>
    <mergeCell ref="B36:L36"/>
    <mergeCell ref="D35:L35"/>
    <mergeCell ref="C26:H26"/>
    <mergeCell ref="F81:G81"/>
    <mergeCell ref="C70:K70"/>
    <mergeCell ref="I7:J7"/>
    <mergeCell ref="C74:L74"/>
    <mergeCell ref="C71:K71"/>
    <mergeCell ref="D37:L37"/>
    <mergeCell ref="B80:L80"/>
    <mergeCell ref="B50:L50"/>
    <mergeCell ref="B46:L49"/>
    <mergeCell ref="B51:L51"/>
    <mergeCell ref="C73:L73"/>
    <mergeCell ref="B76:I76"/>
    <mergeCell ref="B77:L77"/>
    <mergeCell ref="C65:K65"/>
    <mergeCell ref="D52:L52"/>
    <mergeCell ref="B61:L61"/>
    <mergeCell ref="B64:L64"/>
    <mergeCell ref="C55:K55"/>
    <mergeCell ref="C68:K68"/>
    <mergeCell ref="C53:L53"/>
    <mergeCell ref="C56:K56"/>
    <mergeCell ref="B79:L79"/>
    <mergeCell ref="B75:L75"/>
    <mergeCell ref="J76:K76"/>
    <mergeCell ref="H17:L17"/>
    <mergeCell ref="B12:L12"/>
    <mergeCell ref="B31:L31"/>
    <mergeCell ref="A26:B26"/>
    <mergeCell ref="B81:E81"/>
    <mergeCell ref="B82:L82"/>
    <mergeCell ref="B62:L62"/>
    <mergeCell ref="B83:L83"/>
    <mergeCell ref="D32:L32"/>
    <mergeCell ref="C112:D112"/>
    <mergeCell ref="D28:H28"/>
    <mergeCell ref="C58:K58"/>
    <mergeCell ref="C54:K54"/>
    <mergeCell ref="E95:I95"/>
    <mergeCell ref="B86:L86"/>
    <mergeCell ref="B90:L90"/>
    <mergeCell ref="B89:L89"/>
    <mergeCell ref="B87:E87"/>
    <mergeCell ref="C93:D93"/>
    <mergeCell ref="E93:L93"/>
    <mergeCell ref="E92:L92"/>
    <mergeCell ref="J95:L95"/>
  </mergeCells>
  <phoneticPr fontId="18" type="noConversion"/>
  <conditionalFormatting sqref="N179:N180">
    <cfRule type="expression" dxfId="692" priority="9" stopIfTrue="1">
      <formula>#REF!=#REF!</formula>
    </cfRule>
  </conditionalFormatting>
  <conditionalFormatting sqref="I135">
    <cfRule type="expression" dxfId="691" priority="17" stopIfTrue="1">
      <formula>#REF!=FALSE</formula>
    </cfRule>
  </conditionalFormatting>
  <conditionalFormatting sqref="B85:L85">
    <cfRule type="expression" dxfId="690" priority="24" stopIfTrue="1">
      <formula>$C$52&lt;&gt;#REF!</formula>
    </cfRule>
  </conditionalFormatting>
  <conditionalFormatting sqref="B13:H13">
    <cfRule type="expression" dxfId="689" priority="46" stopIfTrue="1">
      <formula>#REF!=1</formula>
    </cfRule>
  </conditionalFormatting>
  <conditionalFormatting sqref="D8:E8">
    <cfRule type="expression" dxfId="688" priority="48" stopIfTrue="1">
      <formula>$H$180=1</formula>
    </cfRule>
  </conditionalFormatting>
  <conditionalFormatting sqref="C9:D9">
    <cfRule type="expression" dxfId="687" priority="49" stopIfTrue="1">
      <formula>$H$181=1</formula>
    </cfRule>
    <cfRule type="cellIs" dxfId="686" priority="50" stopIfTrue="1" operator="equal">
      <formula>0</formula>
    </cfRule>
  </conditionalFormatting>
  <conditionalFormatting sqref="G135 D138:K140 J135:J136">
    <cfRule type="expression" dxfId="685" priority="1427" stopIfTrue="1">
      <formula>$L$181=FALSE</formula>
    </cfRule>
  </conditionalFormatting>
  <conditionalFormatting sqref="D135:F135 D141:K146">
    <cfRule type="expression" dxfId="684" priority="1430" stopIfTrue="1">
      <formula>$L$181=FALSE</formula>
    </cfRule>
  </conditionalFormatting>
  <conditionalFormatting sqref="J125">
    <cfRule type="expression" dxfId="683" priority="2">
      <formula>$K$125=0</formula>
    </cfRule>
  </conditionalFormatting>
  <conditionalFormatting sqref="K125">
    <cfRule type="cellIs" dxfId="682" priority="1" operator="equal">
      <formula>0</formula>
    </cfRule>
  </conditionalFormatting>
  <conditionalFormatting sqref="E113:H124">
    <cfRule type="expression" dxfId="681" priority="1630">
      <formula>$C113=0</formula>
    </cfRule>
    <cfRule type="expression" dxfId="680" priority="1631">
      <formula>$C$112=""</formula>
    </cfRule>
  </conditionalFormatting>
  <conditionalFormatting sqref="B128:L129 G101 C101">
    <cfRule type="expression" dxfId="679" priority="6051" stopIfTrue="1">
      <formula>$J$99=#REF!</formula>
    </cfRule>
  </conditionalFormatting>
  <conditionalFormatting sqref="D101">
    <cfRule type="expression" dxfId="678" priority="6063" stopIfTrue="1">
      <formula>$J$99=#REF!</formula>
    </cfRule>
  </conditionalFormatting>
  <conditionalFormatting sqref="E93:L93 J95:L95">
    <cfRule type="expression" dxfId="677" priority="6064" stopIfTrue="1">
      <formula>$J$99=#REF!</formula>
    </cfRule>
    <cfRule type="cellIs" dxfId="676" priority="6065" stopIfTrue="1" operator="equal">
      <formula>0</formula>
    </cfRule>
  </conditionalFormatting>
  <conditionalFormatting sqref="J99:L99">
    <cfRule type="expression" dxfId="675" priority="6068" stopIfTrue="1">
      <formula>$J$99=#REF!</formula>
    </cfRule>
    <cfRule type="expression" dxfId="674" priority="6069" stopIfTrue="1">
      <formula>AND($M$99=1,$J$99&lt;&gt;#REF!)</formula>
    </cfRule>
  </conditionalFormatting>
  <conditionalFormatting sqref="F99:I99">
    <cfRule type="expression" dxfId="673" priority="6070" stopIfTrue="1">
      <formula>$J$99=#REF!</formula>
    </cfRule>
    <cfRule type="expression" dxfId="672" priority="6071" stopIfTrue="1">
      <formula>AND($M$99=1,$J$99&lt;&gt;#REF!)</formula>
    </cfRule>
  </conditionalFormatting>
  <conditionalFormatting sqref="B104:E104">
    <cfRule type="expression" dxfId="671" priority="6072" stopIfTrue="1">
      <formula>$J$99=#REF!</formula>
    </cfRule>
  </conditionalFormatting>
  <conditionalFormatting sqref="D137">
    <cfRule type="expression" dxfId="670" priority="6091" stopIfTrue="1">
      <formula>#REF!=FALSE</formula>
    </cfRule>
  </conditionalFormatting>
  <conditionalFormatting sqref="K135:K136">
    <cfRule type="expression" dxfId="669" priority="6092" stopIfTrue="1">
      <formula>$K$135=$N$179</formula>
    </cfRule>
  </conditionalFormatting>
  <conditionalFormatting sqref="O106">
    <cfRule type="expression" dxfId="668" priority="6096" stopIfTrue="1">
      <formula>$H$101=$H$172</formula>
    </cfRule>
  </conditionalFormatting>
  <conditionalFormatting sqref="A102:L102">
    <cfRule type="expression" dxfId="667" priority="6097" stopIfTrue="1">
      <formula>$H$101=$H$172</formula>
    </cfRule>
  </conditionalFormatting>
  <conditionalFormatting sqref="C25:H25">
    <cfRule type="expression" dxfId="666" priority="6098" stopIfTrue="1">
      <formula>ISBLANK($C$26)</formula>
    </cfRule>
    <cfRule type="expression" dxfId="665" priority="6099" stopIfTrue="1">
      <formula>$H$181=1</formula>
    </cfRule>
  </conditionalFormatting>
  <conditionalFormatting sqref="I81">
    <cfRule type="expression" dxfId="664" priority="6100" stopIfTrue="1">
      <formula>$F$81=$G$192</formula>
    </cfRule>
    <cfRule type="expression" dxfId="663" priority="6101" stopIfTrue="1">
      <formula>$F$81=$G$193</formula>
    </cfRule>
    <cfRule type="expression" dxfId="662" priority="6102" stopIfTrue="1">
      <formula>$F$81=$G$194</formula>
    </cfRule>
  </conditionalFormatting>
  <conditionalFormatting sqref="J81">
    <cfRule type="expression" dxfId="661" priority="6103" stopIfTrue="1">
      <formula>$F$81=$G$192</formula>
    </cfRule>
    <cfRule type="expression" dxfId="660" priority="6104" stopIfTrue="1">
      <formula>$F$81=$G$193</formula>
    </cfRule>
    <cfRule type="expression" dxfId="659" priority="6105" stopIfTrue="1">
      <formula>$F$81=$G$194</formula>
    </cfRule>
  </conditionalFormatting>
  <conditionalFormatting sqref="K81">
    <cfRule type="expression" dxfId="658" priority="6106" stopIfTrue="1">
      <formula>$F$81=$G$192</formula>
    </cfRule>
    <cfRule type="expression" dxfId="657" priority="6107" stopIfTrue="1">
      <formula>$F$81=$G$193</formula>
    </cfRule>
    <cfRule type="expression" dxfId="656" priority="6108" stopIfTrue="1">
      <formula>$F$81=$G$194</formula>
    </cfRule>
  </conditionalFormatting>
  <dataValidations count="4">
    <dataValidation type="list" allowBlank="1" showInputMessage="1" showErrorMessage="1" sqref="K135:K136">
      <formula1>$N$179:$N$180</formula1>
    </dataValidation>
    <dataValidation type="list" allowBlank="1" showInputMessage="1" showErrorMessage="1" sqref="F81">
      <formula1>$G$192:$G$195</formula1>
    </dataValidation>
    <dataValidation type="list" allowBlank="1" showInputMessage="1" showErrorMessage="1" sqref="J28">
      <formula1>$I$187:$I$197</formula1>
    </dataValidation>
    <dataValidation type="list" allowBlank="1" showInputMessage="1" showErrorMessage="1" sqref="C112:D112">
      <formula1>$B$186:$B$191</formula1>
    </dataValidation>
  </dataValidations>
  <hyperlinks>
    <hyperlink ref="J76" r:id="rId1"/>
    <hyperlink ref="L56" location="COSTI!F89" display="QUI"/>
    <hyperlink ref="N166" location="Presentazione!A1" display="Torna su"/>
    <hyperlink ref="H132" r:id="rId2"/>
    <hyperlink ref="I7" r:id="rId3" display="homepage"/>
    <hyperlink ref="I7:J7" r:id="rId4" display="Area Download .xlsx"/>
    <hyperlink ref="I11" r:id="rId5"/>
    <hyperlink ref="K130" r:id="rId6"/>
    <hyperlink ref="B132" r:id="rId7"/>
    <hyperlink ref="E132" r:id="rId8"/>
    <hyperlink ref="F132" r:id="rId9"/>
    <hyperlink ref="J158:L158" r:id="rId10" display="Bilancio Domestico 1.2"/>
  </hyperlinks>
  <printOptions horizontalCentered="1"/>
  <pageMargins left="0" right="0" top="0.39370078740157483" bottom="0.59055118110236227" header="0" footer="0.51181102362204722"/>
  <pageSetup paperSize="9" scale="90" orientation="portrait" verticalDpi="300" r:id="rId11"/>
  <headerFooter alignWithMargins="0"/>
  <rowBreaks count="3" manualBreakCount="3">
    <brk id="43" max="16383" man="1"/>
    <brk id="83" max="16383" man="1"/>
    <brk id="133" min="1" max="11" man="1"/>
  </rowBreaks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autoPageBreaks="0"/>
  </sheetPr>
  <dimension ref="A1:AT1046"/>
  <sheetViews>
    <sheetView showGridLines="0" showRowColHeaders="0" zoomScaleNormal="100" workbookViewId="0">
      <pane ySplit="3" topLeftCell="A4" activePane="bottomLeft" state="frozen"/>
      <selection pane="bottomLeft" activeCell="P4" sqref="P4:Q4"/>
    </sheetView>
  </sheetViews>
  <sheetFormatPr defaultRowHeight="12.75"/>
  <cols>
    <col min="1" max="1" width="5" style="2" customWidth="1"/>
    <col min="2" max="2" width="4.28515625" style="2" customWidth="1"/>
    <col min="3" max="3" width="16.7109375" style="2" customWidth="1"/>
    <col min="4" max="4" width="3.140625" style="2" customWidth="1"/>
    <col min="5" max="17" width="10" style="2" customWidth="1"/>
    <col min="18" max="18" width="1.28515625" style="2" customWidth="1"/>
    <col min="19" max="19" width="12.85546875" style="2" customWidth="1"/>
    <col min="20" max="20" width="4.2851562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1.42578125" style="2" customWidth="1"/>
    <col min="25" max="25" width="55.7109375" style="2" customWidth="1"/>
    <col min="26" max="26" width="12.85546875" style="2" customWidth="1"/>
    <col min="27" max="27" width="1.42578125" style="2" customWidth="1"/>
    <col min="28" max="28" width="28.5703125" style="2" hidden="1" customWidth="1"/>
    <col min="29" max="29" width="8.140625" style="2" hidden="1" customWidth="1"/>
    <col min="30" max="30" width="25.7109375" style="2" customWidth="1"/>
    <col min="31" max="31" width="2.85546875" style="2" customWidth="1"/>
    <col min="32" max="32" width="4.28515625" style="2" hidden="1" customWidth="1"/>
    <col min="33" max="33" width="10.7109375" style="2" hidden="1" customWidth="1"/>
    <col min="34" max="35" width="23.5703125" style="2" hidden="1" customWidth="1"/>
    <col min="36" max="36" width="10.7109375" style="2" hidden="1" customWidth="1"/>
    <col min="37" max="37" width="17.140625" style="2" hidden="1" customWidth="1"/>
    <col min="38" max="38" width="7.140625" style="2" hidden="1" customWidth="1"/>
    <col min="39" max="39" width="14.28515625" style="2" hidden="1" customWidth="1"/>
    <col min="40" max="40" width="10" style="2" hidden="1" customWidth="1"/>
    <col min="41" max="41" width="24.28515625" style="2" hidden="1" customWidth="1"/>
    <col min="42" max="42" width="44.7109375" style="2" hidden="1" customWidth="1"/>
    <col min="43" max="43" width="14.28515625" style="2" hidden="1" customWidth="1"/>
    <col min="44" max="44" width="4.28515625" style="2" hidden="1" customWidth="1"/>
    <col min="45" max="45" width="9.140625" style="2" hidden="1" customWidth="1"/>
    <col min="46" max="16384" width="9.140625" style="2"/>
  </cols>
  <sheetData>
    <row r="1" spans="1:46" ht="22.5" customHeight="1">
      <c r="A1" s="396"/>
      <c r="B1" s="1241" t="str">
        <f>IF(J1045=1,E1040,E1038)</f>
        <v>TITOLARE del sistema:</v>
      </c>
      <c r="C1" s="1241"/>
      <c r="D1" s="1241"/>
      <c r="E1" s="1241"/>
      <c r="F1" s="1218" t="s">
        <v>373</v>
      </c>
      <c r="G1" s="1218"/>
      <c r="H1" s="1218"/>
      <c r="I1" s="1218"/>
      <c r="J1" s="1218"/>
      <c r="K1" s="1218"/>
      <c r="L1" s="1218"/>
      <c r="M1" s="1218"/>
      <c r="N1" s="1218"/>
      <c r="O1" s="1218"/>
      <c r="P1" s="1218"/>
      <c r="Q1" s="1218"/>
      <c r="R1" s="1218"/>
      <c r="S1" s="1218"/>
      <c r="T1" s="3"/>
      <c r="U1" s="1047">
        <f>VLOOKUP($P$4,$N$1009:$Q$1013,3,FALSE)</f>
        <v>45292</v>
      </c>
      <c r="V1" s="15" t="s">
        <v>183</v>
      </c>
      <c r="W1" s="1245" t="s">
        <v>515</v>
      </c>
      <c r="X1" s="1245"/>
      <c r="Y1" s="542"/>
      <c r="Z1" s="638" t="s">
        <v>324</v>
      </c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237" t="s">
        <v>547</v>
      </c>
      <c r="AO1" s="1237"/>
      <c r="AP1" s="1237"/>
      <c r="AQ1" s="1237"/>
      <c r="AR1" s="1"/>
      <c r="AS1" s="1"/>
      <c r="AT1" s="370"/>
    </row>
    <row r="2" spans="1:46" ht="18.75" customHeight="1">
      <c r="A2" s="3"/>
      <c r="B2" s="1246" t="str">
        <f>IF(J1045=1,E1041,E1039)</f>
        <v>Inserisci qui il NOME   -   P.I./C.F codice fiscale condominio</v>
      </c>
      <c r="C2" s="1246"/>
      <c r="D2" s="1246"/>
      <c r="E2" s="1246"/>
      <c r="F2" s="1246"/>
      <c r="G2" s="1246"/>
      <c r="H2" s="1252" t="s">
        <v>203</v>
      </c>
      <c r="I2" s="1252"/>
      <c r="J2" s="1219" t="s">
        <v>374</v>
      </c>
      <c r="K2" s="1219"/>
      <c r="L2" s="1219"/>
      <c r="M2" s="1219"/>
      <c r="N2" s="1219"/>
      <c r="O2" s="1219"/>
      <c r="P2" s="1219"/>
      <c r="Q2" s="1219"/>
      <c r="R2" s="1219"/>
      <c r="S2" s="1219"/>
      <c r="T2" s="3"/>
      <c r="U2" s="1048">
        <f>VLOOKUP($P$4,$N$1009:$Q$1013,4,FALSE)</f>
        <v>45657</v>
      </c>
      <c r="V2" s="541">
        <f>V1003-W1008</f>
        <v>970</v>
      </c>
      <c r="W2" s="194" t="s">
        <v>163</v>
      </c>
      <c r="X2" s="376" t="s">
        <v>39</v>
      </c>
      <c r="Y2" s="376" t="s">
        <v>489</v>
      </c>
      <c r="Z2" s="546" t="str">
        <f>Presentazione!$K$26</f>
        <v>EURO</v>
      </c>
      <c r="AA2" s="1"/>
      <c r="AB2" s="1"/>
      <c r="AC2" s="1"/>
      <c r="AD2" s="894" t="s">
        <v>500</v>
      </c>
      <c r="AE2" s="1"/>
      <c r="AF2" s="1"/>
      <c r="AG2" s="1"/>
      <c r="AH2" s="1"/>
      <c r="AI2" s="1"/>
      <c r="AJ2" s="1"/>
      <c r="AK2" s="213" t="s">
        <v>85</v>
      </c>
      <c r="AL2" s="212" t="s">
        <v>87</v>
      </c>
      <c r="AM2" s="1"/>
      <c r="AN2" s="194" t="s">
        <v>0</v>
      </c>
      <c r="AO2" s="195" t="s">
        <v>39</v>
      </c>
      <c r="AP2" s="195" t="s">
        <v>15</v>
      </c>
      <c r="AQ2" s="713" t="str">
        <f>Z2</f>
        <v>EURO</v>
      </c>
      <c r="AR2" s="1"/>
      <c r="AS2" s="1"/>
      <c r="AT2" s="370"/>
    </row>
    <row r="3" spans="1:46" ht="11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3"/>
      <c r="U3" s="3"/>
      <c r="V3" s="3"/>
      <c r="W3" s="22"/>
      <c r="X3" s="23"/>
      <c r="Y3" s="23"/>
      <c r="Z3" s="24"/>
      <c r="AA3" s="1"/>
      <c r="AB3" s="84"/>
      <c r="AC3" s="1"/>
      <c r="AD3" s="162"/>
      <c r="AE3" s="1"/>
      <c r="AF3" s="1"/>
      <c r="AG3" s="22"/>
      <c r="AH3" s="171"/>
      <c r="AI3" s="171"/>
      <c r="AJ3" s="172"/>
      <c r="AK3" s="1"/>
      <c r="AL3" s="1"/>
      <c r="AM3" s="1"/>
      <c r="AN3" s="22"/>
      <c r="AO3" s="23"/>
      <c r="AP3" s="23"/>
      <c r="AQ3" s="167"/>
      <c r="AR3" s="1"/>
      <c r="AS3" s="1"/>
      <c r="AT3" s="370"/>
    </row>
    <row r="4" spans="1:46" ht="16.5" customHeight="1">
      <c r="A4" s="1091"/>
      <c r="B4" s="1009" t="str">
        <f>IF(Presentazione!$F$10=Presentazione!C172,"",Presentazione!$F$10)</f>
        <v/>
      </c>
      <c r="C4" s="835"/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  <c r="O4" s="906" t="s">
        <v>496</v>
      </c>
      <c r="P4" s="1253" t="s">
        <v>495</v>
      </c>
      <c r="Q4" s="1254"/>
      <c r="R4" s="835"/>
      <c r="S4" s="876" t="s">
        <v>490</v>
      </c>
      <c r="T4" s="1"/>
      <c r="U4" s="435">
        <f>IF(AND(W4&gt;=$U$1,W4&lt;=$U$2),IF(X4='ESTRATTO CONTO'!$E$2,1,0),0)</f>
        <v>0</v>
      </c>
      <c r="V4" s="416" t="s">
        <v>175</v>
      </c>
      <c r="W4" s="509">
        <v>45297</v>
      </c>
      <c r="X4" s="321" t="s">
        <v>572</v>
      </c>
      <c r="Y4" s="905" t="s">
        <v>580</v>
      </c>
      <c r="Z4" s="433">
        <v>100</v>
      </c>
      <c r="AA4" s="356"/>
      <c r="AB4" s="306" t="str">
        <f t="shared" ref="AB4:AB67" si="0">IF(X4="","",IF(W4&gt;0,IF(AND(W4&gt;=W$1012,W4&lt;=W$1013),CONCATENATE(X4,"-",MONTH(W4)),0),""))</f>
        <v>Nome ENTE 1-1</v>
      </c>
      <c r="AC4" s="893" t="str">
        <f t="shared" ref="AC4:AC67" si="1">IF(AD4="",0,VLOOKUP(AD4,$AD$1025:$AD$1038,1,FALSE))</f>
        <v>CASSA   +</v>
      </c>
      <c r="AD4" s="322" t="s">
        <v>206</v>
      </c>
      <c r="AE4" s="373"/>
      <c r="AF4" s="434">
        <f>IF(ISBLANK(AD4),0,1)</f>
        <v>1</v>
      </c>
      <c r="AG4" s="164">
        <f t="shared" ref="AG4:AG9" si="2">IF($AF4=0,0,W4)</f>
        <v>45297</v>
      </c>
      <c r="AH4" s="99" t="str">
        <f t="shared" ref="AH4:AH67" si="3">IF($AF4=0,0,VLOOKUP(AD4,$AD$1025:$AH$1038,5,FALSE))</f>
        <v>CASSA</v>
      </c>
      <c r="AI4" s="99" t="str">
        <f t="shared" ref="AI4:AI9" si="4">IF($AF4=0,0,Y4)</f>
        <v>Versato in contanti quota prestabilita GENNAIO</v>
      </c>
      <c r="AJ4" s="170">
        <f t="shared" ref="AJ4:AJ9" si="5">IF($AF4=0,0,IF(RIGHT(AD4)="-",IF(Z4&gt;0,Z4*-1,Z4),Z4))</f>
        <v>100</v>
      </c>
      <c r="AK4" s="204" t="str">
        <f t="shared" ref="AK4:AK67" si="6">X4</f>
        <v>Nome ENTE 1</v>
      </c>
      <c r="AL4" s="931">
        <f>IF(ISERROR(AO4),0,IF(AND(AN4&gt;=$U$1,AN4&lt;=$U$2),IF(AO4='ESTRATTO CONTO'!$E$2,U1009+1,0),0))</f>
        <v>0</v>
      </c>
      <c r="AM4" s="747">
        <v>1</v>
      </c>
      <c r="AN4" s="164">
        <f>VLOOKUP($AM4,PATRIMONIALE!$AV4:AW$1003,2,FALSE)</f>
        <v>45566</v>
      </c>
      <c r="AO4" s="310" t="str">
        <f>VLOOKUP($AM4,PATRIMONIALE!$AV4:AX$1003,3,FALSE)</f>
        <v>Nome ENTE 1</v>
      </c>
      <c r="AP4" s="310" t="str">
        <f>VLOOKUP($AM4,PATRIMONIALE!$AV4:AY$1003,4,FALSE)</f>
        <v>Incassato importo da accreditare direttamente all' ente</v>
      </c>
      <c r="AQ4" s="748">
        <f>VLOOKUP($AM4,PATRIMONIALE!$AV4:AZ$1003,5,FALSE)</f>
        <v>8.83</v>
      </c>
      <c r="AR4" s="1"/>
      <c r="AS4" s="461">
        <f t="shared" ref="AS4:AS67" si="7">IF(X4="","",IF(ISERROR(VLOOKUP(X4,B$9:E$13,1,FALSE)),1,0))</f>
        <v>0</v>
      </c>
      <c r="AT4" s="370"/>
    </row>
    <row r="5" spans="1:46" ht="16.5" customHeight="1">
      <c r="A5" s="3"/>
      <c r="B5" s="1240" t="s">
        <v>13</v>
      </c>
      <c r="C5" s="1240"/>
      <c r="D5" s="1240"/>
      <c r="E5" s="660">
        <f>Presentazione!$J$26</f>
        <v>2024</v>
      </c>
      <c r="F5" s="223" t="str">
        <f>Presentazione!B204</f>
        <v>GEN</v>
      </c>
      <c r="G5" s="650" t="str">
        <f>Presentazione!C204</f>
        <v>FEB</v>
      </c>
      <c r="H5" s="650" t="str">
        <f>Presentazione!D204</f>
        <v>MAR</v>
      </c>
      <c r="I5" s="650" t="str">
        <f>Presentazione!E204</f>
        <v>APR</v>
      </c>
      <c r="J5" s="650" t="str">
        <f>Presentazione!F204</f>
        <v>MAG</v>
      </c>
      <c r="K5" s="650" t="str">
        <f>Presentazione!G204</f>
        <v>GIU</v>
      </c>
      <c r="L5" s="650" t="str">
        <f>Presentazione!H204</f>
        <v>LUG</v>
      </c>
      <c r="M5" s="650" t="str">
        <f>Presentazione!I204</f>
        <v>AGO</v>
      </c>
      <c r="N5" s="650" t="str">
        <f>Presentazione!J204</f>
        <v>SET</v>
      </c>
      <c r="O5" s="650" t="str">
        <f>Presentazione!K204</f>
        <v>OTT</v>
      </c>
      <c r="P5" s="650" t="str">
        <f>Presentazione!L204</f>
        <v>NOV</v>
      </c>
      <c r="Q5" s="223" t="str">
        <f>Presentazione!M204</f>
        <v>DIC</v>
      </c>
      <c r="R5" s="3"/>
      <c r="S5" s="223" t="s">
        <v>332</v>
      </c>
      <c r="T5" s="1"/>
      <c r="U5" s="435">
        <f>IF(AND(W5&gt;=$U$1,W5&lt;=$U$2),IF(X5='ESTRATTO CONTO'!$E$2,1+COUNTIF(U$4:U4,"&gt;0"),0),0)</f>
        <v>0</v>
      </c>
      <c r="V5" s="417">
        <f>V4+1</f>
        <v>2</v>
      </c>
      <c r="W5" s="509">
        <v>45310</v>
      </c>
      <c r="X5" s="321" t="s">
        <v>573</v>
      </c>
      <c r="Y5" s="905" t="s">
        <v>581</v>
      </c>
      <c r="Z5" s="433">
        <v>50</v>
      </c>
      <c r="AA5" s="356"/>
      <c r="AB5" s="306" t="str">
        <f t="shared" si="0"/>
        <v>Nome ENTE 2-1</v>
      </c>
      <c r="AC5" s="893" t="str">
        <f t="shared" si="1"/>
        <v>CASSA   +</v>
      </c>
      <c r="AD5" s="322" t="s">
        <v>206</v>
      </c>
      <c r="AE5" s="1"/>
      <c r="AF5" s="223">
        <f>IF(ISBLANK(AD5),0,COUNTIF(AF$4:AF4,"&gt;0")+1)</f>
        <v>2</v>
      </c>
      <c r="AG5" s="164">
        <f t="shared" si="2"/>
        <v>45310</v>
      </c>
      <c r="AH5" s="99" t="str">
        <f t="shared" si="3"/>
        <v>CASSA</v>
      </c>
      <c r="AI5" s="99" t="str">
        <f t="shared" si="4"/>
        <v>Versato in contanti acconto GENNAIO</v>
      </c>
      <c r="AJ5" s="170">
        <f t="shared" si="5"/>
        <v>50</v>
      </c>
      <c r="AK5" s="204" t="str">
        <f t="shared" si="6"/>
        <v>Nome ENTE 2</v>
      </c>
      <c r="AL5" s="931">
        <f>IF(ISERROR(AO5),0,IF(AND(AN5&gt;=$U$1,AN5&lt;=$U$2),IF(AO5='ESTRATTO CONTO'!$E$2,1+COUNTIF(AL$4:AL4,"&gt;0")+U$1009,0),0))</f>
        <v>0</v>
      </c>
      <c r="AM5" s="747">
        <f>AM4+1</f>
        <v>2</v>
      </c>
      <c r="AN5" s="164">
        <f>VLOOKUP($AM5,PATRIMONIALE!$AV5:AW$1003,2,FALSE)</f>
        <v>45566</v>
      </c>
      <c r="AO5" s="310" t="str">
        <f>VLOOKUP($AM5,PATRIMONIALE!$AV5:AX$1003,3,FALSE)</f>
        <v>Nome ENTE 3</v>
      </c>
      <c r="AP5" s="310" t="str">
        <f>VLOOKUP($AM5,PATRIMONIALE!$AV5:AY$1003,4,FALSE)</f>
        <v>Pagato in anticipo spesa diretta addebitata all' ente</v>
      </c>
      <c r="AQ5" s="748">
        <f>VLOOKUP($AM5,PATRIMONIALE!$AV5:AZ$1003,5,FALSE)</f>
        <v>-38.42</v>
      </c>
      <c r="AR5" s="1"/>
      <c r="AS5" s="461">
        <f t="shared" si="7"/>
        <v>0</v>
      </c>
      <c r="AT5" s="370"/>
    </row>
    <row r="6" spans="1:46" ht="16.5" customHeight="1">
      <c r="A6" s="3"/>
      <c r="B6" s="1238" t="s">
        <v>244</v>
      </c>
      <c r="C6" s="1238"/>
      <c r="D6" s="1238"/>
      <c r="E6" s="1239"/>
      <c r="F6" s="841">
        <f t="shared" ref="F6:Q6" si="8">IF(AND($J$1045=0,$P$4=$N$1009),0,SUM(F9:F13))</f>
        <v>150</v>
      </c>
      <c r="G6" s="842">
        <f t="shared" si="8"/>
        <v>250</v>
      </c>
      <c r="H6" s="842">
        <f t="shared" si="8"/>
        <v>150</v>
      </c>
      <c r="I6" s="842">
        <f t="shared" si="8"/>
        <v>350</v>
      </c>
      <c r="J6" s="842">
        <f t="shared" si="8"/>
        <v>200</v>
      </c>
      <c r="K6" s="842">
        <f t="shared" si="8"/>
        <v>150</v>
      </c>
      <c r="L6" s="842">
        <f t="shared" si="8"/>
        <v>100</v>
      </c>
      <c r="M6" s="842">
        <f t="shared" si="8"/>
        <v>400</v>
      </c>
      <c r="N6" s="842">
        <f t="shared" si="8"/>
        <v>200</v>
      </c>
      <c r="O6" s="842">
        <f t="shared" si="8"/>
        <v>100</v>
      </c>
      <c r="P6" s="842">
        <f t="shared" si="8"/>
        <v>350</v>
      </c>
      <c r="Q6" s="843">
        <f t="shared" si="8"/>
        <v>200</v>
      </c>
      <c r="R6" s="3"/>
      <c r="S6" s="463">
        <f>SUM(F6:Q6)</f>
        <v>2600</v>
      </c>
      <c r="T6" s="1"/>
      <c r="U6" s="435">
        <f>IF(AND(W6&gt;=$U$1,W6&lt;=$U$2),IF(X6='ESTRATTO CONTO'!$E$2,1+COUNTIF(U$4:U5,"&gt;0"),0),0)</f>
        <v>0</v>
      </c>
      <c r="V6" s="417">
        <f t="shared" ref="V6:V69" si="9">V5+1</f>
        <v>3</v>
      </c>
      <c r="W6" s="509">
        <v>45323</v>
      </c>
      <c r="X6" s="321" t="s">
        <v>574</v>
      </c>
      <c r="Y6" s="905" t="s">
        <v>576</v>
      </c>
      <c r="Z6" s="433">
        <v>100</v>
      </c>
      <c r="AA6" s="356"/>
      <c r="AB6" s="306" t="str">
        <f t="shared" si="0"/>
        <v>Nome ENTE 3-2</v>
      </c>
      <c r="AC6" s="893" t="str">
        <f t="shared" si="1"/>
        <v>CASSA   +</v>
      </c>
      <c r="AD6" s="322" t="s">
        <v>206</v>
      </c>
      <c r="AE6" s="1"/>
      <c r="AF6" s="223">
        <f>IF(ISBLANK(AD6),0,COUNTIF(AF$4:AF5,"&gt;0")+1)</f>
        <v>3</v>
      </c>
      <c r="AG6" s="164">
        <f t="shared" si="2"/>
        <v>45323</v>
      </c>
      <c r="AH6" s="99" t="str">
        <f t="shared" si="3"/>
        <v>CASSA</v>
      </c>
      <c r="AI6" s="99" t="str">
        <f t="shared" si="4"/>
        <v>Ricevuto bonifico quota prestabilita</v>
      </c>
      <c r="AJ6" s="170">
        <f t="shared" si="5"/>
        <v>100</v>
      </c>
      <c r="AK6" s="204" t="str">
        <f t="shared" si="6"/>
        <v>Nome ENTE 3</v>
      </c>
      <c r="AL6" s="1049">
        <f>IF(ISERROR(AO6),0,IF(AND(AN6&gt;=$U$1,AN6&lt;=$U$2),IF(AO6='ESTRATTO CONTO'!$E$2,1+COUNTIF(AL$4:AL5,"&gt;0")+U$1009,0),0))</f>
        <v>0</v>
      </c>
      <c r="AM6" s="747">
        <f t="shared" ref="AM6:AM69" si="10">AM5+1</f>
        <v>3</v>
      </c>
      <c r="AN6" s="164">
        <f>VLOOKUP($AM6,PATRIMONIALE!$AV6:AW$1003,2,FALSE)</f>
        <v>45627</v>
      </c>
      <c r="AO6" s="310" t="str">
        <f>VLOOKUP($AM6,PATRIMONIALE!$AV6:AX$1003,3,FALSE)</f>
        <v>Nome ENTE 2</v>
      </c>
      <c r="AP6" s="310" t="str">
        <f>VLOOKUP($AM6,PATRIMONIALE!$AV6:AY$1003,4,FALSE)</f>
        <v>Pagato in anticipo spesa diretta addebitata all' ente</v>
      </c>
      <c r="AQ6" s="748">
        <f>VLOOKUP($AM6,PATRIMONIALE!$AV6:AZ$1003,5,FALSE)</f>
        <v>-2.17</v>
      </c>
      <c r="AR6" s="1"/>
      <c r="AS6" s="461">
        <f t="shared" si="7"/>
        <v>0</v>
      </c>
      <c r="AT6" s="370"/>
    </row>
    <row r="7" spans="1:46" ht="16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243" t="str">
        <f>Presentazione!$K$26</f>
        <v>EURO</v>
      </c>
      <c r="T7" s="3"/>
      <c r="U7" s="435">
        <f>IF(AND(W7&gt;=$U$1,W7&lt;=$U$2),IF(X7='ESTRATTO CONTO'!$E$2,1+COUNTIF(U$4:U6,"&gt;0"),0),0)</f>
        <v>0</v>
      </c>
      <c r="V7" s="417">
        <f t="shared" si="9"/>
        <v>4</v>
      </c>
      <c r="W7" s="509">
        <v>45336</v>
      </c>
      <c r="X7" s="321" t="s">
        <v>633</v>
      </c>
      <c r="Y7" s="905" t="s">
        <v>577</v>
      </c>
      <c r="Z7" s="433">
        <v>50</v>
      </c>
      <c r="AA7" s="356"/>
      <c r="AB7" s="306" t="str">
        <f t="shared" si="0"/>
        <v>Nome ENTE 4 / sovrascrivi-2</v>
      </c>
      <c r="AC7" s="893" t="str">
        <f t="shared" si="1"/>
        <v>CASSA   +</v>
      </c>
      <c r="AD7" s="895" t="s">
        <v>206</v>
      </c>
      <c r="AE7" s="1"/>
      <c r="AF7" s="223">
        <f>IF(ISBLANK(AD7),0,COUNTIF(AF$4:AF6,"&gt;0")+1)</f>
        <v>4</v>
      </c>
      <c r="AG7" s="164">
        <f t="shared" si="2"/>
        <v>45336</v>
      </c>
      <c r="AH7" s="99" t="str">
        <f t="shared" si="3"/>
        <v>CASSA</v>
      </c>
      <c r="AI7" s="99" t="str">
        <f t="shared" si="4"/>
        <v>Ricevuto bonifico acconto</v>
      </c>
      <c r="AJ7" s="170">
        <f t="shared" si="5"/>
        <v>50</v>
      </c>
      <c r="AK7" s="204" t="str">
        <f t="shared" si="6"/>
        <v>Nome ENTE 4 / sovrascrivi</v>
      </c>
      <c r="AL7" s="1049">
        <f>IF(ISERROR(AO7),0,IF(AND(AN7&gt;=$U$1,AN7&lt;=$U$2),IF(AO7='ESTRATTO CONTO'!$E$2,1+COUNTIF(AL$4:AL6,"&gt;0")+U$1009,0),0))</f>
        <v>0</v>
      </c>
      <c r="AM7" s="747">
        <f t="shared" si="10"/>
        <v>4</v>
      </c>
      <c r="AN7" s="164" t="e">
        <f>VLOOKUP($AM7,PATRIMONIALE!$AV7:AW$1003,2,FALSE)</f>
        <v>#N/A</v>
      </c>
      <c r="AO7" s="310" t="e">
        <f>VLOOKUP($AM7,PATRIMONIALE!$AV7:AX$1003,3,FALSE)</f>
        <v>#N/A</v>
      </c>
      <c r="AP7" s="310" t="e">
        <f>VLOOKUP($AM7,PATRIMONIALE!$AV7:AY$1003,4,FALSE)</f>
        <v>#N/A</v>
      </c>
      <c r="AQ7" s="748" t="e">
        <f>VLOOKUP($AM7,PATRIMONIALE!$AV7:AZ$1003,5,FALSE)</f>
        <v>#N/A</v>
      </c>
      <c r="AR7" s="1"/>
      <c r="AS7" s="461">
        <f t="shared" si="7"/>
        <v>0</v>
      </c>
      <c r="AT7" s="370"/>
    </row>
    <row r="8" spans="1:46" ht="16.5" customHeight="1">
      <c r="A8" s="3"/>
      <c r="B8" s="1242" t="s">
        <v>185</v>
      </c>
      <c r="C8" s="1242"/>
      <c r="D8" s="1242"/>
      <c r="E8" s="1242"/>
      <c r="F8" s="375" t="str">
        <f>Presentazione!B206</f>
        <v>Gennaio</v>
      </c>
      <c r="G8" s="649" t="str">
        <f>Presentazione!C206</f>
        <v>Febbraio</v>
      </c>
      <c r="H8" s="649" t="str">
        <f>Presentazione!D206</f>
        <v>Marzo</v>
      </c>
      <c r="I8" s="649" t="str">
        <f>Presentazione!E206</f>
        <v>Aprile</v>
      </c>
      <c r="J8" s="649" t="str">
        <f>Presentazione!F206</f>
        <v>Maggio</v>
      </c>
      <c r="K8" s="649" t="str">
        <f>Presentazione!G206</f>
        <v>Giugno</v>
      </c>
      <c r="L8" s="649" t="str">
        <f>Presentazione!H206</f>
        <v>Luglio</v>
      </c>
      <c r="M8" s="649" t="str">
        <f>Presentazione!I206</f>
        <v>Agosto</v>
      </c>
      <c r="N8" s="649" t="str">
        <f>Presentazione!J206</f>
        <v>Settembre</v>
      </c>
      <c r="O8" s="649" t="str">
        <f>Presentazione!K206</f>
        <v>Ottobre</v>
      </c>
      <c r="P8" s="649" t="str">
        <f>Presentazione!L206</f>
        <v>Novembre</v>
      </c>
      <c r="Q8" s="375" t="str">
        <f>Presentazione!M206</f>
        <v>Dicembre</v>
      </c>
      <c r="R8" s="3"/>
      <c r="S8" s="1244"/>
      <c r="T8" s="3"/>
      <c r="U8" s="435">
        <f>IF(AND(W8&gt;=$U$1,W8&lt;=$U$2),IF(X8='ESTRATTO CONTO'!$E$2,1+COUNTIF(U$4:U7,"&gt;0"),0),0)</f>
        <v>0</v>
      </c>
      <c r="V8" s="417">
        <f t="shared" si="9"/>
        <v>5</v>
      </c>
      <c r="W8" s="509">
        <v>45349</v>
      </c>
      <c r="X8" s="321" t="s">
        <v>575</v>
      </c>
      <c r="Y8" s="905"/>
      <c r="Z8" s="433">
        <v>100</v>
      </c>
      <c r="AA8" s="356"/>
      <c r="AB8" s="306" t="str">
        <f t="shared" si="0"/>
        <v>Nome ENTE ultimo disponibile-2</v>
      </c>
      <c r="AC8" s="893" t="str">
        <f t="shared" si="1"/>
        <v>CASSA   +</v>
      </c>
      <c r="AD8" s="895" t="s">
        <v>206</v>
      </c>
      <c r="AE8" s="1"/>
      <c r="AF8" s="223">
        <f>IF(ISBLANK(AD8),0,COUNTIF(AF$4:AF7,"&gt;0")+1)</f>
        <v>5</v>
      </c>
      <c r="AG8" s="164">
        <f t="shared" si="2"/>
        <v>45349</v>
      </c>
      <c r="AH8" s="99" t="str">
        <f t="shared" si="3"/>
        <v>CASSA</v>
      </c>
      <c r="AI8" s="99">
        <f t="shared" si="4"/>
        <v>0</v>
      </c>
      <c r="AJ8" s="170">
        <f t="shared" si="5"/>
        <v>100</v>
      </c>
      <c r="AK8" s="204" t="str">
        <f t="shared" si="6"/>
        <v>Nome ENTE ultimo disponibile</v>
      </c>
      <c r="AL8" s="1049">
        <f>IF(ISERROR(AO8),0,IF(AND(AN8&gt;=$U$1,AN8&lt;=$U$2),IF(AO8='ESTRATTO CONTO'!$E$2,1+COUNTIF(AL$4:AL7,"&gt;0")+U$1009,0),0))</f>
        <v>0</v>
      </c>
      <c r="AM8" s="747">
        <f t="shared" si="10"/>
        <v>5</v>
      </c>
      <c r="AN8" s="164" t="e">
        <f>VLOOKUP($AM8,PATRIMONIALE!$AV8:AW$1003,2,FALSE)</f>
        <v>#N/A</v>
      </c>
      <c r="AO8" s="310" t="e">
        <f>VLOOKUP($AM8,PATRIMONIALE!$AV8:AX$1003,3,FALSE)</f>
        <v>#N/A</v>
      </c>
      <c r="AP8" s="310" t="e">
        <f>VLOOKUP($AM8,PATRIMONIALE!$AV8:AY$1003,4,FALSE)</f>
        <v>#N/A</v>
      </c>
      <c r="AQ8" s="748" t="e">
        <f>VLOOKUP($AM8,PATRIMONIALE!$AV8:AZ$1003,5,FALSE)</f>
        <v>#N/A</v>
      </c>
      <c r="AR8" s="1"/>
      <c r="AS8" s="461">
        <f t="shared" si="7"/>
        <v>0</v>
      </c>
      <c r="AT8" s="370"/>
    </row>
    <row r="9" spans="1:46" ht="16.5" customHeight="1">
      <c r="A9" s="520">
        <v>1</v>
      </c>
      <c r="B9" s="1232" t="s">
        <v>572</v>
      </c>
      <c r="C9" s="1233"/>
      <c r="D9" s="1233"/>
      <c r="E9" s="1234"/>
      <c r="F9" s="921">
        <f t="shared" ref="F9:Q13" si="11">SUMIF($AB$4:$AB$1003,CONCATENATE($B9,"-",F$1029,),$Z$4:$Z$1003)</f>
        <v>100</v>
      </c>
      <c r="G9" s="922">
        <f t="shared" si="11"/>
        <v>0</v>
      </c>
      <c r="H9" s="922">
        <f t="shared" si="11"/>
        <v>50</v>
      </c>
      <c r="I9" s="922">
        <f t="shared" si="11"/>
        <v>0</v>
      </c>
      <c r="J9" s="922">
        <f t="shared" si="11"/>
        <v>100</v>
      </c>
      <c r="K9" s="922">
        <f t="shared" si="11"/>
        <v>0</v>
      </c>
      <c r="L9" s="922">
        <f t="shared" si="11"/>
        <v>50</v>
      </c>
      <c r="M9" s="922">
        <f t="shared" si="11"/>
        <v>0</v>
      </c>
      <c r="N9" s="922">
        <f t="shared" si="11"/>
        <v>100</v>
      </c>
      <c r="O9" s="922">
        <f t="shared" si="11"/>
        <v>0</v>
      </c>
      <c r="P9" s="922">
        <f t="shared" si="11"/>
        <v>50</v>
      </c>
      <c r="Q9" s="923">
        <f t="shared" si="11"/>
        <v>0</v>
      </c>
      <c r="R9" s="27"/>
      <c r="S9" s="838">
        <f>SUM(F9:Q9)</f>
        <v>450</v>
      </c>
      <c r="T9" s="274">
        <v>8</v>
      </c>
      <c r="U9" s="435">
        <f>IF(AND(W9&gt;=$U$1,W9&lt;=$U$2),IF(X9='ESTRATTO CONTO'!$E$2,1+COUNTIF(U$4:U8,"&gt;0"),0),0)</f>
        <v>0</v>
      </c>
      <c r="V9" s="417">
        <f t="shared" si="9"/>
        <v>6</v>
      </c>
      <c r="W9" s="509">
        <v>45362</v>
      </c>
      <c r="X9" s="321" t="s">
        <v>572</v>
      </c>
      <c r="Y9" s="905"/>
      <c r="Z9" s="433">
        <v>50</v>
      </c>
      <c r="AA9" s="356"/>
      <c r="AB9" s="306" t="str">
        <f t="shared" si="0"/>
        <v>Nome ENTE 1-3</v>
      </c>
      <c r="AC9" s="893" t="str">
        <f t="shared" si="1"/>
        <v>POSTA C/C nr. 7654321   +</v>
      </c>
      <c r="AD9" s="895" t="s">
        <v>502</v>
      </c>
      <c r="AE9" s="1"/>
      <c r="AF9" s="223">
        <f>IF(ISBLANK(AD9),0,COUNTIF(AF$4:AF8,"&gt;0")+1)</f>
        <v>6</v>
      </c>
      <c r="AG9" s="164">
        <f t="shared" si="2"/>
        <v>45362</v>
      </c>
      <c r="AH9" s="99" t="str">
        <f t="shared" si="3"/>
        <v>POSTA C/C nr. 7654321</v>
      </c>
      <c r="AI9" s="99">
        <f t="shared" si="4"/>
        <v>0</v>
      </c>
      <c r="AJ9" s="170">
        <f t="shared" si="5"/>
        <v>50</v>
      </c>
      <c r="AK9" s="204" t="str">
        <f t="shared" si="6"/>
        <v>Nome ENTE 1</v>
      </c>
      <c r="AL9" s="1049">
        <f>IF(ISERROR(AO9),0,IF(AND(AN9&gt;=$U$1,AN9&lt;=$U$2),IF(AO9='ESTRATTO CONTO'!$E$2,1+COUNTIF(AL$4:AL8,"&gt;0")+U$1009,0),0))</f>
        <v>0</v>
      </c>
      <c r="AM9" s="747">
        <f t="shared" si="10"/>
        <v>6</v>
      </c>
      <c r="AN9" s="164" t="e">
        <f>VLOOKUP($AM9,PATRIMONIALE!$AV9:AW$1003,2,FALSE)</f>
        <v>#N/A</v>
      </c>
      <c r="AO9" s="310" t="e">
        <f>VLOOKUP($AM9,PATRIMONIALE!$AV9:AX$1003,3,FALSE)</f>
        <v>#N/A</v>
      </c>
      <c r="AP9" s="310" t="e">
        <f>VLOOKUP($AM9,PATRIMONIALE!$AV9:AY$1003,4,FALSE)</f>
        <v>#N/A</v>
      </c>
      <c r="AQ9" s="748" t="e">
        <f>VLOOKUP($AM9,PATRIMONIALE!$AV9:AZ$1003,5,FALSE)</f>
        <v>#N/A</v>
      </c>
      <c r="AR9" s="1"/>
      <c r="AS9" s="461">
        <f t="shared" si="7"/>
        <v>0</v>
      </c>
      <c r="AT9" s="370"/>
    </row>
    <row r="10" spans="1:46" ht="16.5" customHeight="1">
      <c r="A10" s="520">
        <v>2</v>
      </c>
      <c r="B10" s="1222" t="s">
        <v>573</v>
      </c>
      <c r="C10" s="1223"/>
      <c r="D10" s="1223"/>
      <c r="E10" s="1224"/>
      <c r="F10" s="924">
        <f t="shared" si="11"/>
        <v>50</v>
      </c>
      <c r="G10" s="925">
        <f t="shared" si="11"/>
        <v>0</v>
      </c>
      <c r="H10" s="925">
        <f t="shared" si="11"/>
        <v>100</v>
      </c>
      <c r="I10" s="925">
        <f t="shared" si="11"/>
        <v>0</v>
      </c>
      <c r="J10" s="925">
        <f t="shared" si="11"/>
        <v>50</v>
      </c>
      <c r="K10" s="925">
        <f t="shared" si="11"/>
        <v>0</v>
      </c>
      <c r="L10" s="925">
        <f t="shared" si="11"/>
        <v>100</v>
      </c>
      <c r="M10" s="925">
        <f t="shared" si="11"/>
        <v>0</v>
      </c>
      <c r="N10" s="925">
        <f t="shared" si="11"/>
        <v>50</v>
      </c>
      <c r="O10" s="925">
        <f t="shared" si="11"/>
        <v>0</v>
      </c>
      <c r="P10" s="925">
        <f t="shared" si="11"/>
        <v>300</v>
      </c>
      <c r="Q10" s="926">
        <f t="shared" si="11"/>
        <v>0</v>
      </c>
      <c r="R10" s="27"/>
      <c r="S10" s="839">
        <f t="shared" ref="S10:S13" si="12">SUM(F10:Q10)</f>
        <v>650</v>
      </c>
      <c r="T10" s="274">
        <v>9</v>
      </c>
      <c r="U10" s="435">
        <f>IF(AND(W10&gt;=$U$1,W10&lt;=$U$2),IF(X10='ESTRATTO CONTO'!$E$2,1+COUNTIF(U$4:U9,"&gt;0"),0),0)</f>
        <v>0</v>
      </c>
      <c r="V10" s="417">
        <f t="shared" si="9"/>
        <v>7</v>
      </c>
      <c r="W10" s="509">
        <v>45375</v>
      </c>
      <c r="X10" s="321" t="s">
        <v>573</v>
      </c>
      <c r="Y10" s="905" t="s">
        <v>605</v>
      </c>
      <c r="Z10" s="433">
        <v>100</v>
      </c>
      <c r="AA10" s="356"/>
      <c r="AB10" s="306" t="str">
        <f t="shared" si="0"/>
        <v>Nome ENTE 2-3</v>
      </c>
      <c r="AC10" s="893" t="str">
        <f t="shared" si="1"/>
        <v>DEBITO 1   +</v>
      </c>
      <c r="AD10" s="895" t="s">
        <v>522</v>
      </c>
      <c r="AE10" s="1"/>
      <c r="AF10" s="223">
        <f>IF(ISBLANK(AD10),0,COUNTIF(AF$4:AF9,"&gt;0")+1)</f>
        <v>7</v>
      </c>
      <c r="AG10" s="164">
        <f t="shared" ref="AG10:AG73" si="13">IF($AF10=0,0,W10)</f>
        <v>45375</v>
      </c>
      <c r="AH10" s="99" t="str">
        <f t="shared" si="3"/>
        <v>DEBITO 1</v>
      </c>
      <c r="AI10" s="99" t="str">
        <f t="shared" ref="AI10:AI73" si="14">IF($AF10=0,0,Y10)</f>
        <v>Ipotesi di ENTRATA monetaria a fronte di un DEBITO</v>
      </c>
      <c r="AJ10" s="170">
        <f t="shared" ref="AJ10:AJ73" si="15">IF($AF10=0,0,IF(RIGHT(AD10)="-",IF(Z10&gt;0,Z10*-1,Z10),Z10))</f>
        <v>100</v>
      </c>
      <c r="AK10" s="204" t="str">
        <f t="shared" si="6"/>
        <v>Nome ENTE 2</v>
      </c>
      <c r="AL10" s="1049">
        <f>IF(ISERROR(AO10),0,IF(AND(AN10&gt;=$U$1,AN10&lt;=$U$2),IF(AO10='ESTRATTO CONTO'!$E$2,1+COUNTIF(AL$4:AL9,"&gt;0")+U$1009,0),0))</f>
        <v>0</v>
      </c>
      <c r="AM10" s="747">
        <f t="shared" si="10"/>
        <v>7</v>
      </c>
      <c r="AN10" s="164" t="e">
        <f>VLOOKUP($AM10,PATRIMONIALE!$AV10:AW$1003,2,FALSE)</f>
        <v>#N/A</v>
      </c>
      <c r="AO10" s="310" t="e">
        <f>VLOOKUP($AM10,PATRIMONIALE!$AV10:AX$1003,3,FALSE)</f>
        <v>#N/A</v>
      </c>
      <c r="AP10" s="310" t="e">
        <f>VLOOKUP($AM10,PATRIMONIALE!$AV10:AY$1003,4,FALSE)</f>
        <v>#N/A</v>
      </c>
      <c r="AQ10" s="748" t="e">
        <f>VLOOKUP($AM10,PATRIMONIALE!$AV10:AZ$1003,5,FALSE)</f>
        <v>#N/A</v>
      </c>
      <c r="AR10" s="1"/>
      <c r="AS10" s="461">
        <f t="shared" si="7"/>
        <v>0</v>
      </c>
      <c r="AT10" s="370"/>
    </row>
    <row r="11" spans="1:46" ht="16.5" customHeight="1">
      <c r="A11" s="520">
        <v>3</v>
      </c>
      <c r="B11" s="1222" t="s">
        <v>574</v>
      </c>
      <c r="C11" s="1223"/>
      <c r="D11" s="1223"/>
      <c r="E11" s="1224"/>
      <c r="F11" s="924">
        <f t="shared" si="11"/>
        <v>0</v>
      </c>
      <c r="G11" s="925">
        <f t="shared" si="11"/>
        <v>100</v>
      </c>
      <c r="H11" s="925">
        <f t="shared" si="11"/>
        <v>0</v>
      </c>
      <c r="I11" s="925">
        <f t="shared" si="11"/>
        <v>50</v>
      </c>
      <c r="J11" s="925">
        <f t="shared" si="11"/>
        <v>0</v>
      </c>
      <c r="K11" s="925">
        <f t="shared" si="11"/>
        <v>100</v>
      </c>
      <c r="L11" s="925">
        <f t="shared" si="11"/>
        <v>0</v>
      </c>
      <c r="M11" s="925">
        <f t="shared" si="11"/>
        <v>300</v>
      </c>
      <c r="N11" s="925">
        <f t="shared" si="11"/>
        <v>0</v>
      </c>
      <c r="O11" s="925">
        <f t="shared" si="11"/>
        <v>-50</v>
      </c>
      <c r="P11" s="925">
        <f t="shared" si="11"/>
        <v>0</v>
      </c>
      <c r="Q11" s="926">
        <f t="shared" si="11"/>
        <v>50</v>
      </c>
      <c r="R11" s="27"/>
      <c r="S11" s="839">
        <f t="shared" si="12"/>
        <v>550</v>
      </c>
      <c r="T11" s="274">
        <v>10</v>
      </c>
      <c r="U11" s="435">
        <f>IF(AND(W11&gt;=$U$1,W11&lt;=$U$2),IF(X11='ESTRATTO CONTO'!$E$2,1+COUNTIF(U$4:U10,"&gt;0"),0),0)</f>
        <v>0</v>
      </c>
      <c r="V11" s="417">
        <f t="shared" si="9"/>
        <v>8</v>
      </c>
      <c r="W11" s="509">
        <v>45388</v>
      </c>
      <c r="X11" s="321" t="s">
        <v>574</v>
      </c>
      <c r="Y11" s="905"/>
      <c r="Z11" s="433">
        <v>50</v>
      </c>
      <c r="AA11" s="356"/>
      <c r="AB11" s="306" t="str">
        <f t="shared" si="0"/>
        <v>Nome ENTE 3-4</v>
      </c>
      <c r="AC11" s="893" t="str">
        <f t="shared" si="1"/>
        <v>RISERVA ACCANTONATA   +</v>
      </c>
      <c r="AD11" s="895" t="s">
        <v>523</v>
      </c>
      <c r="AE11" s="1"/>
      <c r="AF11" s="223">
        <f>IF(ISBLANK(AD11),0,COUNTIF(AF$4:AF10,"&gt;0")+1)</f>
        <v>8</v>
      </c>
      <c r="AG11" s="164">
        <f t="shared" si="13"/>
        <v>45388</v>
      </c>
      <c r="AH11" s="99" t="str">
        <f t="shared" si="3"/>
        <v>RISERVA ACCANTONATA</v>
      </c>
      <c r="AI11" s="99">
        <f t="shared" si="14"/>
        <v>0</v>
      </c>
      <c r="AJ11" s="170">
        <f t="shared" si="15"/>
        <v>50</v>
      </c>
      <c r="AK11" s="204" t="str">
        <f t="shared" si="6"/>
        <v>Nome ENTE 3</v>
      </c>
      <c r="AL11" s="1049">
        <f>IF(ISERROR(AO11),0,IF(AND(AN11&gt;=$U$1,AN11&lt;=$U$2),IF(AO11='ESTRATTO CONTO'!$E$2,1+COUNTIF(AL$4:AL10,"&gt;0")+U$1009,0),0))</f>
        <v>0</v>
      </c>
      <c r="AM11" s="747">
        <f t="shared" si="10"/>
        <v>8</v>
      </c>
      <c r="AN11" s="164" t="e">
        <f>VLOOKUP($AM11,PATRIMONIALE!$AV11:AW$1003,2,FALSE)</f>
        <v>#N/A</v>
      </c>
      <c r="AO11" s="310" t="e">
        <f>VLOOKUP($AM11,PATRIMONIALE!$AV11:AX$1003,3,FALSE)</f>
        <v>#N/A</v>
      </c>
      <c r="AP11" s="310" t="e">
        <f>VLOOKUP($AM11,PATRIMONIALE!$AV11:AY$1003,4,FALSE)</f>
        <v>#N/A</v>
      </c>
      <c r="AQ11" s="748" t="e">
        <f>VLOOKUP($AM11,PATRIMONIALE!$AV11:AZ$1003,5,FALSE)</f>
        <v>#N/A</v>
      </c>
      <c r="AR11" s="1"/>
      <c r="AS11" s="461">
        <f t="shared" si="7"/>
        <v>0</v>
      </c>
      <c r="AT11" s="370"/>
    </row>
    <row r="12" spans="1:46" ht="16.5" customHeight="1">
      <c r="A12" s="520">
        <v>4</v>
      </c>
      <c r="B12" s="1222" t="s">
        <v>633</v>
      </c>
      <c r="C12" s="1223"/>
      <c r="D12" s="1223"/>
      <c r="E12" s="1224"/>
      <c r="F12" s="924">
        <f t="shared" si="11"/>
        <v>0</v>
      </c>
      <c r="G12" s="925">
        <f t="shared" si="11"/>
        <v>50</v>
      </c>
      <c r="H12" s="925">
        <f t="shared" si="11"/>
        <v>0</v>
      </c>
      <c r="I12" s="925">
        <f t="shared" si="11"/>
        <v>300</v>
      </c>
      <c r="J12" s="925">
        <f t="shared" si="11"/>
        <v>0</v>
      </c>
      <c r="K12" s="925">
        <f t="shared" si="11"/>
        <v>50</v>
      </c>
      <c r="L12" s="925">
        <f t="shared" si="11"/>
        <v>0</v>
      </c>
      <c r="M12" s="925">
        <f t="shared" si="11"/>
        <v>100</v>
      </c>
      <c r="N12" s="925">
        <f t="shared" si="11"/>
        <v>0</v>
      </c>
      <c r="O12" s="925">
        <f t="shared" si="11"/>
        <v>50</v>
      </c>
      <c r="P12" s="925">
        <f t="shared" si="11"/>
        <v>0</v>
      </c>
      <c r="Q12" s="926">
        <f t="shared" si="11"/>
        <v>100</v>
      </c>
      <c r="R12" s="27"/>
      <c r="S12" s="839">
        <f t="shared" si="12"/>
        <v>650</v>
      </c>
      <c r="T12" s="274">
        <v>11</v>
      </c>
      <c r="U12" s="435">
        <f>IF(AND(W12&gt;=$U$1,W12&lt;=$U$2),IF(X12='ESTRATTO CONTO'!$E$2,1+COUNTIF(U$4:U11,"&gt;0"),0),0)</f>
        <v>0</v>
      </c>
      <c r="V12" s="417">
        <f t="shared" si="9"/>
        <v>9</v>
      </c>
      <c r="W12" s="509">
        <v>45401</v>
      </c>
      <c r="X12" s="321" t="s">
        <v>633</v>
      </c>
      <c r="Y12" s="905"/>
      <c r="Z12" s="433">
        <v>300</v>
      </c>
      <c r="AA12" s="356"/>
      <c r="AB12" s="306" t="str">
        <f t="shared" si="0"/>
        <v>Nome ENTE 4 / sovrascrivi-4</v>
      </c>
      <c r="AC12" s="893" t="str">
        <f t="shared" si="1"/>
        <v>CASSA   +</v>
      </c>
      <c r="AD12" s="322" t="s">
        <v>206</v>
      </c>
      <c r="AE12" s="1"/>
      <c r="AF12" s="223">
        <f>IF(ISBLANK(AD12),0,COUNTIF(AF$4:AF11,"&gt;0")+1)</f>
        <v>9</v>
      </c>
      <c r="AG12" s="164">
        <f t="shared" si="13"/>
        <v>45401</v>
      </c>
      <c r="AH12" s="99" t="str">
        <f t="shared" si="3"/>
        <v>CASSA</v>
      </c>
      <c r="AI12" s="99">
        <f t="shared" si="14"/>
        <v>0</v>
      </c>
      <c r="AJ12" s="170">
        <f t="shared" si="15"/>
        <v>300</v>
      </c>
      <c r="AK12" s="204" t="str">
        <f t="shared" si="6"/>
        <v>Nome ENTE 4 / sovrascrivi</v>
      </c>
      <c r="AL12" s="1049">
        <f>IF(ISERROR(AO12),0,IF(AND(AN12&gt;=$U$1,AN12&lt;=$U$2),IF(AO12='ESTRATTO CONTO'!$E$2,1+COUNTIF(AL$4:AL11,"&gt;0")+U$1009,0),0))</f>
        <v>0</v>
      </c>
      <c r="AM12" s="747">
        <f t="shared" si="10"/>
        <v>9</v>
      </c>
      <c r="AN12" s="164" t="e">
        <f>VLOOKUP($AM12,PATRIMONIALE!$AV12:AW$1003,2,FALSE)</f>
        <v>#N/A</v>
      </c>
      <c r="AO12" s="310" t="e">
        <f>VLOOKUP($AM12,PATRIMONIALE!$AV12:AX$1003,3,FALSE)</f>
        <v>#N/A</v>
      </c>
      <c r="AP12" s="310" t="e">
        <f>VLOOKUP($AM12,PATRIMONIALE!$AV12:AY$1003,4,FALSE)</f>
        <v>#N/A</v>
      </c>
      <c r="AQ12" s="748" t="e">
        <f>VLOOKUP($AM12,PATRIMONIALE!$AV12:AZ$1003,5,FALSE)</f>
        <v>#N/A</v>
      </c>
      <c r="AR12" s="1"/>
      <c r="AS12" s="461">
        <f t="shared" si="7"/>
        <v>0</v>
      </c>
      <c r="AT12" s="370"/>
    </row>
    <row r="13" spans="1:46" ht="16.5" customHeight="1">
      <c r="A13" s="520">
        <v>5</v>
      </c>
      <c r="B13" s="1247" t="s">
        <v>575</v>
      </c>
      <c r="C13" s="1248"/>
      <c r="D13" s="1248"/>
      <c r="E13" s="1249"/>
      <c r="F13" s="927">
        <f t="shared" si="11"/>
        <v>0</v>
      </c>
      <c r="G13" s="928">
        <f t="shared" si="11"/>
        <v>100</v>
      </c>
      <c r="H13" s="928">
        <f t="shared" si="11"/>
        <v>0</v>
      </c>
      <c r="I13" s="928">
        <f t="shared" si="11"/>
        <v>0</v>
      </c>
      <c r="J13" s="928">
        <f t="shared" si="11"/>
        <v>50</v>
      </c>
      <c r="K13" s="928">
        <f t="shared" si="11"/>
        <v>0</v>
      </c>
      <c r="L13" s="928">
        <f t="shared" si="11"/>
        <v>-50</v>
      </c>
      <c r="M13" s="928">
        <f t="shared" si="11"/>
        <v>0</v>
      </c>
      <c r="N13" s="928">
        <f t="shared" si="11"/>
        <v>50</v>
      </c>
      <c r="O13" s="928">
        <f t="shared" si="11"/>
        <v>100</v>
      </c>
      <c r="P13" s="928">
        <f t="shared" si="11"/>
        <v>0</v>
      </c>
      <c r="Q13" s="929">
        <f t="shared" si="11"/>
        <v>50</v>
      </c>
      <c r="R13" s="27"/>
      <c r="S13" s="840">
        <f t="shared" si="12"/>
        <v>300</v>
      </c>
      <c r="T13" s="274">
        <v>12</v>
      </c>
      <c r="U13" s="435">
        <f>IF(AND(W13&gt;=$U$1,W13&lt;=$U$2),IF(X13='ESTRATTO CONTO'!$E$2,1+COUNTIF(U$4:U12,"&gt;0"),0),0)</f>
        <v>0</v>
      </c>
      <c r="V13" s="417">
        <f t="shared" si="9"/>
        <v>10</v>
      </c>
      <c r="W13" s="509">
        <v>45414</v>
      </c>
      <c r="X13" s="321" t="s">
        <v>575</v>
      </c>
      <c r="Y13" s="905" t="s">
        <v>578</v>
      </c>
      <c r="Z13" s="433">
        <v>50</v>
      </c>
      <c r="AA13" s="356"/>
      <c r="AB13" s="306" t="str">
        <f t="shared" si="0"/>
        <v>Nome ENTE ultimo disponibile-5</v>
      </c>
      <c r="AC13" s="893" t="str">
        <f t="shared" si="1"/>
        <v>BANCA C/C nr. 1234567   +</v>
      </c>
      <c r="AD13" s="322" t="s">
        <v>501</v>
      </c>
      <c r="AE13" s="1"/>
      <c r="AF13" s="223">
        <f>IF(ISBLANK(AD13),0,COUNTIF(AF$4:AF12,"&gt;0")+1)</f>
        <v>10</v>
      </c>
      <c r="AG13" s="164">
        <f t="shared" si="13"/>
        <v>45414</v>
      </c>
      <c r="AH13" s="99" t="str">
        <f t="shared" si="3"/>
        <v>BANCA C/C nr. 1234567</v>
      </c>
      <c r="AI13" s="99" t="str">
        <f t="shared" si="14"/>
        <v>Inserisci liberamente una descrizione</v>
      </c>
      <c r="AJ13" s="170">
        <f t="shared" si="15"/>
        <v>50</v>
      </c>
      <c r="AK13" s="204" t="str">
        <f t="shared" si="6"/>
        <v>Nome ENTE ultimo disponibile</v>
      </c>
      <c r="AL13" s="1049">
        <f>IF(ISERROR(AO13),0,IF(AND(AN13&gt;=$U$1,AN13&lt;=$U$2),IF(AO13='ESTRATTO CONTO'!$E$2,1+COUNTIF(AL$4:AL12,"&gt;0")+U$1009,0),0))</f>
        <v>0</v>
      </c>
      <c r="AM13" s="747">
        <f t="shared" si="10"/>
        <v>10</v>
      </c>
      <c r="AN13" s="164" t="e">
        <f>VLOOKUP($AM13,PATRIMONIALE!$AV13:AW$1003,2,FALSE)</f>
        <v>#N/A</v>
      </c>
      <c r="AO13" s="310" t="e">
        <f>VLOOKUP($AM13,PATRIMONIALE!$AV13:AX$1003,3,FALSE)</f>
        <v>#N/A</v>
      </c>
      <c r="AP13" s="310" t="e">
        <f>VLOOKUP($AM13,PATRIMONIALE!$AV13:AY$1003,4,FALSE)</f>
        <v>#N/A</v>
      </c>
      <c r="AQ13" s="748" t="e">
        <f>VLOOKUP($AM13,PATRIMONIALE!$AV13:AZ$1003,5,FALSE)</f>
        <v>#N/A</v>
      </c>
      <c r="AR13" s="1"/>
      <c r="AS13" s="461">
        <f t="shared" si="7"/>
        <v>0</v>
      </c>
      <c r="AT13" s="370"/>
    </row>
    <row r="14" spans="1:46" ht="16.5" customHeight="1">
      <c r="A14" s="3"/>
      <c r="B14" s="1256">
        <f>A13-COUNTIF(B9:B13,"")</f>
        <v>5</v>
      </c>
      <c r="C14" s="1256"/>
      <c r="D14" s="896"/>
      <c r="E14" s="896"/>
      <c r="F14" s="896"/>
      <c r="G14" s="896"/>
      <c r="H14" s="896"/>
      <c r="I14" s="896"/>
      <c r="J14" s="896"/>
      <c r="K14" s="896"/>
      <c r="L14" s="896"/>
      <c r="M14" s="896"/>
      <c r="N14" s="896"/>
      <c r="O14" s="896"/>
      <c r="P14" s="896"/>
      <c r="Q14" s="896"/>
      <c r="R14" s="896"/>
      <c r="S14" s="896"/>
      <c r="T14" s="27"/>
      <c r="U14" s="435">
        <f>IF(AND(W14&gt;=$U$1,W14&lt;=$U$2),IF(X14='ESTRATTO CONTO'!$E$2,1+COUNTIF(U$4:U13,"&gt;0"),0),0)</f>
        <v>0</v>
      </c>
      <c r="V14" s="417">
        <f t="shared" si="9"/>
        <v>11</v>
      </c>
      <c r="W14" s="509">
        <v>45427</v>
      </c>
      <c r="X14" s="321" t="s">
        <v>572</v>
      </c>
      <c r="Y14" s="905" t="s">
        <v>579</v>
      </c>
      <c r="Z14" s="433">
        <v>100</v>
      </c>
      <c r="AA14" s="356"/>
      <c r="AB14" s="306" t="str">
        <f t="shared" si="0"/>
        <v>Nome ENTE 1-5</v>
      </c>
      <c r="AC14" s="893" t="str">
        <f t="shared" si="1"/>
        <v>POSTA C/C nr. 7654321   +</v>
      </c>
      <c r="AD14" s="322" t="s">
        <v>502</v>
      </c>
      <c r="AE14" s="1"/>
      <c r="AF14" s="223">
        <f>IF(ISBLANK(AD14),0,COUNTIF(AF$4:AF13,"&gt;0")+1)</f>
        <v>11</v>
      </c>
      <c r="AG14" s="164">
        <f t="shared" si="13"/>
        <v>45427</v>
      </c>
      <c r="AH14" s="99" t="str">
        <f t="shared" si="3"/>
        <v>POSTA C/C nr. 7654321</v>
      </c>
      <c r="AI14" s="99" t="str">
        <f t="shared" si="14"/>
        <v>Inserisci come "CONTROCONTO" uno dei conti Patrimoniali</v>
      </c>
      <c r="AJ14" s="170">
        <f t="shared" si="15"/>
        <v>100</v>
      </c>
      <c r="AK14" s="204" t="str">
        <f t="shared" si="6"/>
        <v>Nome ENTE 1</v>
      </c>
      <c r="AL14" s="1049">
        <f>IF(ISERROR(AO14),0,IF(AND(AN14&gt;=$U$1,AN14&lt;=$U$2),IF(AO14='ESTRATTO CONTO'!$E$2,1+COUNTIF(AL$4:AL13,"&gt;0")+U$1009,0),0))</f>
        <v>0</v>
      </c>
      <c r="AM14" s="747">
        <f t="shared" si="10"/>
        <v>11</v>
      </c>
      <c r="AN14" s="164" t="e">
        <f>VLOOKUP($AM14,PATRIMONIALE!$AV14:AW$1003,2,FALSE)</f>
        <v>#N/A</v>
      </c>
      <c r="AO14" s="310" t="e">
        <f>VLOOKUP($AM14,PATRIMONIALE!$AV14:AX$1003,3,FALSE)</f>
        <v>#N/A</v>
      </c>
      <c r="AP14" s="310" t="e">
        <f>VLOOKUP($AM14,PATRIMONIALE!$AV14:AY$1003,4,FALSE)</f>
        <v>#N/A</v>
      </c>
      <c r="AQ14" s="748" t="e">
        <f>VLOOKUP($AM14,PATRIMONIALE!$AV14:AZ$1003,5,FALSE)</f>
        <v>#N/A</v>
      </c>
      <c r="AR14" s="1"/>
      <c r="AS14" s="461">
        <f t="shared" si="7"/>
        <v>0</v>
      </c>
      <c r="AT14" s="370"/>
    </row>
    <row r="15" spans="1:46" ht="16.5" customHeight="1">
      <c r="A15" s="3"/>
      <c r="B15" s="90"/>
      <c r="C15" s="90"/>
      <c r="D15" s="90"/>
      <c r="E15" s="90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7"/>
      <c r="U15" s="435">
        <f>IF(AND(W15&gt;=$U$1,W15&lt;=$U$2),IF(X15='ESTRATTO CONTO'!$E$2,1+COUNTIF(U$4:U14,"&gt;0"),0),0)</f>
        <v>0</v>
      </c>
      <c r="V15" s="417">
        <f t="shared" si="9"/>
        <v>12</v>
      </c>
      <c r="W15" s="509">
        <v>45440</v>
      </c>
      <c r="X15" s="321" t="s">
        <v>573</v>
      </c>
      <c r="Y15" s="905" t="s">
        <v>582</v>
      </c>
      <c r="Z15" s="433">
        <v>50</v>
      </c>
      <c r="AA15" s="356"/>
      <c r="AB15" s="306" t="str">
        <f t="shared" si="0"/>
        <v>Nome ENTE 2-5</v>
      </c>
      <c r="AC15" s="893" t="str">
        <f t="shared" si="1"/>
        <v>BANCA C/C nr. 1234567   +</v>
      </c>
      <c r="AD15" s="895" t="s">
        <v>501</v>
      </c>
      <c r="AE15" s="1"/>
      <c r="AF15" s="223">
        <f>IF(ISBLANK(AD15),0,COUNTIF(AF$4:AF14,"&gt;0")+1)</f>
        <v>12</v>
      </c>
      <c r="AG15" s="164">
        <f t="shared" si="13"/>
        <v>45440</v>
      </c>
      <c r="AH15" s="99" t="str">
        <f t="shared" si="3"/>
        <v>BANCA C/C nr. 1234567</v>
      </c>
      <c r="AI15" s="99" t="str">
        <f t="shared" si="14"/>
        <v>Verifica che ci sia il segno "+" per far "entrare" gli importi nei</v>
      </c>
      <c r="AJ15" s="170">
        <f t="shared" si="15"/>
        <v>50</v>
      </c>
      <c r="AK15" s="204" t="str">
        <f t="shared" si="6"/>
        <v>Nome ENTE 2</v>
      </c>
      <c r="AL15" s="1049">
        <f>IF(ISERROR(AO15),0,IF(AND(AN15&gt;=$U$1,AN15&lt;=$U$2),IF(AO15='ESTRATTO CONTO'!$E$2,1+COUNTIF(AL$4:AL14,"&gt;0")+U$1009,0),0))</f>
        <v>0</v>
      </c>
      <c r="AM15" s="747">
        <f t="shared" si="10"/>
        <v>12</v>
      </c>
      <c r="AN15" s="164" t="e">
        <f>VLOOKUP($AM15,PATRIMONIALE!$AV15:AW$1003,2,FALSE)</f>
        <v>#N/A</v>
      </c>
      <c r="AO15" s="310" t="e">
        <f>VLOOKUP($AM15,PATRIMONIALE!$AV15:AX$1003,3,FALSE)</f>
        <v>#N/A</v>
      </c>
      <c r="AP15" s="310" t="e">
        <f>VLOOKUP($AM15,PATRIMONIALE!$AV15:AY$1003,4,FALSE)</f>
        <v>#N/A</v>
      </c>
      <c r="AQ15" s="748" t="e">
        <f>VLOOKUP($AM15,PATRIMONIALE!$AV15:AZ$1003,5,FALSE)</f>
        <v>#N/A</v>
      </c>
      <c r="AR15" s="1"/>
      <c r="AS15" s="461">
        <f t="shared" si="7"/>
        <v>0</v>
      </c>
      <c r="AT15" s="370"/>
    </row>
    <row r="16" spans="1:46" ht="16.5" customHeight="1">
      <c r="A16" s="1"/>
      <c r="B16" s="46"/>
      <c r="C16" s="46"/>
      <c r="D16" s="46"/>
      <c r="E16" s="47"/>
      <c r="F16" s="48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3"/>
      <c r="U16" s="435">
        <f>IF(AND(W16&gt;=$U$1,W16&lt;=$U$2),IF(X16='ESTRATTO CONTO'!$E$2,1+COUNTIF(U$4:U15,"&gt;0"),0),0)</f>
        <v>0</v>
      </c>
      <c r="V16" s="417">
        <f t="shared" si="9"/>
        <v>13</v>
      </c>
      <c r="W16" s="509">
        <v>45452</v>
      </c>
      <c r="X16" s="321" t="s">
        <v>574</v>
      </c>
      <c r="Y16" s="905" t="s">
        <v>583</v>
      </c>
      <c r="Z16" s="433">
        <v>100</v>
      </c>
      <c r="AA16" s="356"/>
      <c r="AB16" s="306" t="str">
        <f t="shared" si="0"/>
        <v>Nome ENTE 3-6</v>
      </c>
      <c r="AC16" s="893" t="str">
        <f t="shared" si="1"/>
        <v>BANCA C/C nr. 1234567   +</v>
      </c>
      <c r="AD16" s="895" t="s">
        <v>501</v>
      </c>
      <c r="AE16" s="1"/>
      <c r="AF16" s="223">
        <f>IF(ISBLANK(AD16),0,COUNTIF(AF$4:AF15,"&gt;0")+1)</f>
        <v>13</v>
      </c>
      <c r="AG16" s="164">
        <f t="shared" si="13"/>
        <v>45452</v>
      </c>
      <c r="AH16" s="99" t="str">
        <f t="shared" si="3"/>
        <v>BANCA C/C nr. 1234567</v>
      </c>
      <c r="AI16" s="99" t="str">
        <f t="shared" si="14"/>
        <v>fondi del Condominio, oppure il segno "-" per far uscire gli importi.</v>
      </c>
      <c r="AJ16" s="170">
        <f t="shared" si="15"/>
        <v>100</v>
      </c>
      <c r="AK16" s="204" t="str">
        <f t="shared" si="6"/>
        <v>Nome ENTE 3</v>
      </c>
      <c r="AL16" s="1049">
        <f>IF(ISERROR(AO16),0,IF(AND(AN16&gt;=$U$1,AN16&lt;=$U$2),IF(AO16='ESTRATTO CONTO'!$E$2,1+COUNTIF(AL$4:AL15,"&gt;0")+U$1009,0),0))</f>
        <v>0</v>
      </c>
      <c r="AM16" s="747">
        <f t="shared" si="10"/>
        <v>13</v>
      </c>
      <c r="AN16" s="164" t="e">
        <f>VLOOKUP($AM16,PATRIMONIALE!$AV16:AW$1003,2,FALSE)</f>
        <v>#N/A</v>
      </c>
      <c r="AO16" s="310" t="e">
        <f>VLOOKUP($AM16,PATRIMONIALE!$AV16:AX$1003,3,FALSE)</f>
        <v>#N/A</v>
      </c>
      <c r="AP16" s="310" t="e">
        <f>VLOOKUP($AM16,PATRIMONIALE!$AV16:AY$1003,4,FALSE)</f>
        <v>#N/A</v>
      </c>
      <c r="AQ16" s="748" t="e">
        <f>VLOOKUP($AM16,PATRIMONIALE!$AV16:AZ$1003,5,FALSE)</f>
        <v>#N/A</v>
      </c>
      <c r="AR16" s="1"/>
      <c r="AS16" s="461">
        <f t="shared" si="7"/>
        <v>0</v>
      </c>
      <c r="AT16" s="370"/>
    </row>
    <row r="17" spans="1:46" ht="16.5" customHeight="1">
      <c r="A17" s="1"/>
      <c r="B17" s="1255"/>
      <c r="C17" s="1255"/>
      <c r="D17" s="46"/>
      <c r="E17" s="319">
        <v>0.75</v>
      </c>
      <c r="F17" s="836">
        <f t="shared" ref="F17:Q17" si="16">IF(ISERROR($B$21),0,IF(OR(F1017=$E1017,F1017&gt;F1018),F1022,0))</f>
        <v>0</v>
      </c>
      <c r="G17" s="836">
        <f t="shared" si="16"/>
        <v>0</v>
      </c>
      <c r="H17" s="836">
        <f t="shared" si="16"/>
        <v>0</v>
      </c>
      <c r="I17" s="836">
        <f t="shared" si="16"/>
        <v>133.33333333333334</v>
      </c>
      <c r="J17" s="836">
        <f t="shared" si="16"/>
        <v>0</v>
      </c>
      <c r="K17" s="836">
        <f t="shared" si="16"/>
        <v>0</v>
      </c>
      <c r="L17" s="836">
        <f t="shared" si="16"/>
        <v>0</v>
      </c>
      <c r="M17" s="836">
        <f t="shared" si="16"/>
        <v>183.33333333333334</v>
      </c>
      <c r="N17" s="836">
        <f t="shared" si="16"/>
        <v>0</v>
      </c>
      <c r="O17" s="836">
        <f t="shared" si="16"/>
        <v>0</v>
      </c>
      <c r="P17" s="836">
        <f t="shared" si="16"/>
        <v>133.33333333333334</v>
      </c>
      <c r="Q17" s="836">
        <f t="shared" si="16"/>
        <v>0</v>
      </c>
      <c r="R17" s="46"/>
      <c r="S17" s="46"/>
      <c r="T17" s="3"/>
      <c r="U17" s="435">
        <f>IF(AND(W17&gt;=$U$1,W17&lt;=$U$2),IF(X17='ESTRATTO CONTO'!$E$2,1+COUNTIF(U$4:U16,"&gt;0"),0),0)</f>
        <v>0</v>
      </c>
      <c r="V17" s="417">
        <f t="shared" si="9"/>
        <v>14</v>
      </c>
      <c r="W17" s="509">
        <v>45464</v>
      </c>
      <c r="X17" s="321" t="s">
        <v>633</v>
      </c>
      <c r="Y17" s="905"/>
      <c r="Z17" s="433">
        <v>50</v>
      </c>
      <c r="AA17" s="356"/>
      <c r="AB17" s="306" t="str">
        <f t="shared" si="0"/>
        <v>Nome ENTE 4 / sovrascrivi-6</v>
      </c>
      <c r="AC17" s="893" t="str">
        <f t="shared" si="1"/>
        <v>POSTA C/C nr. 7654321   +</v>
      </c>
      <c r="AD17" s="895" t="s">
        <v>502</v>
      </c>
      <c r="AE17" s="1"/>
      <c r="AF17" s="223">
        <f>IF(ISBLANK(AD17),0,COUNTIF(AF$4:AF16,"&gt;0")+1)</f>
        <v>14</v>
      </c>
      <c r="AG17" s="164">
        <f t="shared" si="13"/>
        <v>45464</v>
      </c>
      <c r="AH17" s="99" t="str">
        <f t="shared" si="3"/>
        <v>POSTA C/C nr. 7654321</v>
      </c>
      <c r="AI17" s="99">
        <f t="shared" si="14"/>
        <v>0</v>
      </c>
      <c r="AJ17" s="170">
        <f t="shared" si="15"/>
        <v>50</v>
      </c>
      <c r="AK17" s="204" t="str">
        <f t="shared" si="6"/>
        <v>Nome ENTE 4 / sovrascrivi</v>
      </c>
      <c r="AL17" s="1049">
        <f>IF(ISERROR(AO17),0,IF(AND(AN17&gt;=$U$1,AN17&lt;=$U$2),IF(AO17='ESTRATTO CONTO'!$E$2,1+COUNTIF(AL$4:AL16,"&gt;0")+U$1009,0),0))</f>
        <v>0</v>
      </c>
      <c r="AM17" s="747">
        <f t="shared" si="10"/>
        <v>14</v>
      </c>
      <c r="AN17" s="164" t="e">
        <f>VLOOKUP($AM17,PATRIMONIALE!$AV17:AW$1003,2,FALSE)</f>
        <v>#N/A</v>
      </c>
      <c r="AO17" s="310" t="e">
        <f>VLOOKUP($AM17,PATRIMONIALE!$AV17:AX$1003,3,FALSE)</f>
        <v>#N/A</v>
      </c>
      <c r="AP17" s="310" t="e">
        <f>VLOOKUP($AM17,PATRIMONIALE!$AV17:AY$1003,4,FALSE)</f>
        <v>#N/A</v>
      </c>
      <c r="AQ17" s="748" t="e">
        <f>VLOOKUP($AM17,PATRIMONIALE!$AV17:AZ$1003,5,FALSE)</f>
        <v>#N/A</v>
      </c>
      <c r="AR17" s="1"/>
      <c r="AS17" s="461">
        <f t="shared" si="7"/>
        <v>0</v>
      </c>
      <c r="AT17" s="370"/>
    </row>
    <row r="18" spans="1:46" ht="16.5" customHeight="1">
      <c r="A18" s="1"/>
      <c r="B18" s="46"/>
      <c r="C18" s="46"/>
      <c r="D18" s="46"/>
      <c r="E18" s="319">
        <v>0.5</v>
      </c>
      <c r="F18" s="836">
        <f t="shared" ref="F18:Q18" si="17">IF(ISERROR($B$21),0,IF(F1018=F1019,0,F1018))</f>
        <v>0</v>
      </c>
      <c r="G18" s="836">
        <f t="shared" si="17"/>
        <v>0</v>
      </c>
      <c r="H18" s="836">
        <f t="shared" si="17"/>
        <v>0</v>
      </c>
      <c r="I18" s="836">
        <f t="shared" si="17"/>
        <v>108.33333333333333</v>
      </c>
      <c r="J18" s="836">
        <f t="shared" si="17"/>
        <v>0</v>
      </c>
      <c r="K18" s="836">
        <f t="shared" si="17"/>
        <v>0</v>
      </c>
      <c r="L18" s="836">
        <f t="shared" si="17"/>
        <v>0</v>
      </c>
      <c r="M18" s="836">
        <f t="shared" si="17"/>
        <v>108.33333333333333</v>
      </c>
      <c r="N18" s="836">
        <f t="shared" si="17"/>
        <v>0</v>
      </c>
      <c r="O18" s="836">
        <f t="shared" si="17"/>
        <v>0</v>
      </c>
      <c r="P18" s="836">
        <f t="shared" si="17"/>
        <v>108.33333333333333</v>
      </c>
      <c r="Q18" s="836">
        <f t="shared" si="17"/>
        <v>0</v>
      </c>
      <c r="R18" s="46"/>
      <c r="S18" s="46"/>
      <c r="T18" s="1"/>
      <c r="U18" s="435">
        <f>IF(AND(W18&gt;=$U$1,W18&lt;=$U$2),IF(X18='ESTRATTO CONTO'!$E$2,1+COUNTIF(U$4:U17,"&gt;0"),0),0)</f>
        <v>0</v>
      </c>
      <c r="V18" s="417">
        <f t="shared" si="9"/>
        <v>15</v>
      </c>
      <c r="W18" s="509">
        <v>45476</v>
      </c>
      <c r="X18" s="321" t="s">
        <v>575</v>
      </c>
      <c r="Y18" s="905" t="s">
        <v>606</v>
      </c>
      <c r="Z18" s="433">
        <v>-50</v>
      </c>
      <c r="AA18" s="356"/>
      <c r="AB18" s="306" t="str">
        <f t="shared" si="0"/>
        <v>Nome ENTE ultimo disponibile-7</v>
      </c>
      <c r="AC18" s="893" t="str">
        <f t="shared" si="1"/>
        <v>DEBITO 1   +</v>
      </c>
      <c r="AD18" s="895" t="s">
        <v>522</v>
      </c>
      <c r="AE18" s="1"/>
      <c r="AF18" s="223">
        <f>IF(ISBLANK(AD18),0,COUNTIF(AF$4:AF17,"&gt;0")+1)</f>
        <v>15</v>
      </c>
      <c r="AG18" s="164">
        <f t="shared" si="13"/>
        <v>45476</v>
      </c>
      <c r="AH18" s="99" t="str">
        <f t="shared" si="3"/>
        <v>DEBITO 1</v>
      </c>
      <c r="AI18" s="99" t="str">
        <f t="shared" si="14"/>
        <v>Ipotesi di STORNO parziale di un debito</v>
      </c>
      <c r="AJ18" s="170">
        <f t="shared" si="15"/>
        <v>-50</v>
      </c>
      <c r="AK18" s="204" t="str">
        <f t="shared" si="6"/>
        <v>Nome ENTE ultimo disponibile</v>
      </c>
      <c r="AL18" s="1049">
        <f>IF(ISERROR(AO18),0,IF(AND(AN18&gt;=$U$1,AN18&lt;=$U$2),IF(AO18='ESTRATTO CONTO'!$E$2,1+COUNTIF(AL$4:AL17,"&gt;0")+U$1009,0),0))</f>
        <v>0</v>
      </c>
      <c r="AM18" s="747">
        <f t="shared" si="10"/>
        <v>15</v>
      </c>
      <c r="AN18" s="164" t="e">
        <f>VLOOKUP($AM18,PATRIMONIALE!$AV18:AW$1003,2,FALSE)</f>
        <v>#N/A</v>
      </c>
      <c r="AO18" s="310" t="e">
        <f>VLOOKUP($AM18,PATRIMONIALE!$AV18:AX$1003,3,FALSE)</f>
        <v>#N/A</v>
      </c>
      <c r="AP18" s="310" t="e">
        <f>VLOOKUP($AM18,PATRIMONIALE!$AV18:AY$1003,4,FALSE)</f>
        <v>#N/A</v>
      </c>
      <c r="AQ18" s="748" t="e">
        <f>VLOOKUP($AM18,PATRIMONIALE!$AV18:AZ$1003,5,FALSE)</f>
        <v>#N/A</v>
      </c>
      <c r="AR18" s="1"/>
      <c r="AS18" s="461">
        <f t="shared" si="7"/>
        <v>0</v>
      </c>
      <c r="AT18" s="370"/>
    </row>
    <row r="19" spans="1:46" ht="16.5" customHeight="1">
      <c r="A19" s="1"/>
      <c r="B19" s="46"/>
      <c r="C19" s="46"/>
      <c r="D19" s="46"/>
      <c r="E19" s="319">
        <v>0.25</v>
      </c>
      <c r="F19" s="836">
        <f t="shared" ref="F19:Q19" si="18">IF(ISERROR($B$21),0,IF(F1019=F1020,0,F1019))</f>
        <v>0</v>
      </c>
      <c r="G19" s="836">
        <f t="shared" si="18"/>
        <v>33.333333333333343</v>
      </c>
      <c r="H19" s="836">
        <f t="shared" si="18"/>
        <v>0</v>
      </c>
      <c r="I19" s="836">
        <f t="shared" si="18"/>
        <v>54.166666666666664</v>
      </c>
      <c r="J19" s="836">
        <f t="shared" si="18"/>
        <v>0</v>
      </c>
      <c r="K19" s="836">
        <f t="shared" si="18"/>
        <v>0</v>
      </c>
      <c r="L19" s="836">
        <f t="shared" si="18"/>
        <v>0</v>
      </c>
      <c r="M19" s="836">
        <f t="shared" si="18"/>
        <v>54.166666666666664</v>
      </c>
      <c r="N19" s="836">
        <f t="shared" si="18"/>
        <v>0</v>
      </c>
      <c r="O19" s="836">
        <f t="shared" si="18"/>
        <v>0</v>
      </c>
      <c r="P19" s="836">
        <f t="shared" si="18"/>
        <v>54.166666666666664</v>
      </c>
      <c r="Q19" s="836">
        <f t="shared" si="18"/>
        <v>0</v>
      </c>
      <c r="R19" s="46"/>
      <c r="S19" s="46"/>
      <c r="T19" s="1"/>
      <c r="U19" s="435">
        <f>IF(AND(W19&gt;=$U$1,W19&lt;=$U$2),IF(X19='ESTRATTO CONTO'!$E$2,1+COUNTIF(U$4:U18,"&gt;0"),0),0)</f>
        <v>0</v>
      </c>
      <c r="V19" s="417">
        <f t="shared" si="9"/>
        <v>16</v>
      </c>
      <c r="W19" s="509">
        <v>45488</v>
      </c>
      <c r="X19" s="321" t="s">
        <v>572</v>
      </c>
      <c r="Y19" s="905"/>
      <c r="Z19" s="433">
        <v>50</v>
      </c>
      <c r="AA19" s="356"/>
      <c r="AB19" s="306" t="str">
        <f t="shared" si="0"/>
        <v>Nome ENTE 1-7</v>
      </c>
      <c r="AC19" s="893" t="str">
        <f t="shared" si="1"/>
        <v>RISERVA ACCANTONATA   +</v>
      </c>
      <c r="AD19" s="895" t="s">
        <v>523</v>
      </c>
      <c r="AE19" s="1"/>
      <c r="AF19" s="223">
        <f>IF(ISBLANK(AD19),0,COUNTIF(AF$4:AF18,"&gt;0")+1)</f>
        <v>16</v>
      </c>
      <c r="AG19" s="164">
        <f t="shared" si="13"/>
        <v>45488</v>
      </c>
      <c r="AH19" s="99" t="str">
        <f t="shared" si="3"/>
        <v>RISERVA ACCANTONATA</v>
      </c>
      <c r="AI19" s="99">
        <f t="shared" si="14"/>
        <v>0</v>
      </c>
      <c r="AJ19" s="170">
        <f t="shared" si="15"/>
        <v>50</v>
      </c>
      <c r="AK19" s="204" t="str">
        <f t="shared" si="6"/>
        <v>Nome ENTE 1</v>
      </c>
      <c r="AL19" s="1049">
        <f>IF(ISERROR(AO19),0,IF(AND(AN19&gt;=$U$1,AN19&lt;=$U$2),IF(AO19='ESTRATTO CONTO'!$E$2,1+COUNTIF(AL$4:AL18,"&gt;0")+U$1009,0),0))</f>
        <v>0</v>
      </c>
      <c r="AM19" s="747">
        <f t="shared" si="10"/>
        <v>16</v>
      </c>
      <c r="AN19" s="164" t="e">
        <f>VLOOKUP($AM19,PATRIMONIALE!$AV19:AW$1003,2,FALSE)</f>
        <v>#N/A</v>
      </c>
      <c r="AO19" s="310" t="e">
        <f>VLOOKUP($AM19,PATRIMONIALE!$AV19:AX$1003,3,FALSE)</f>
        <v>#N/A</v>
      </c>
      <c r="AP19" s="310" t="e">
        <f>VLOOKUP($AM19,PATRIMONIALE!$AV19:AY$1003,4,FALSE)</f>
        <v>#N/A</v>
      </c>
      <c r="AQ19" s="748" t="e">
        <f>VLOOKUP($AM19,PATRIMONIALE!$AV19:AZ$1003,5,FALSE)</f>
        <v>#N/A</v>
      </c>
      <c r="AR19" s="1"/>
      <c r="AS19" s="461">
        <f t="shared" si="7"/>
        <v>0</v>
      </c>
      <c r="AT19" s="370"/>
    </row>
    <row r="20" spans="1:46" ht="16.5" customHeight="1">
      <c r="A20" s="1"/>
      <c r="B20" s="1221" t="str">
        <f>CONCATENATE("MEDIA per mese  ",Presentazione!$K$26)</f>
        <v>MEDIA per mese  EURO</v>
      </c>
      <c r="C20" s="1221"/>
      <c r="D20" s="49"/>
      <c r="E20" s="319">
        <v>0.1</v>
      </c>
      <c r="F20" s="836">
        <f t="shared" ref="F20:Q20" si="19">IF(ISERROR($B$21),0,IF(F1020=F1021,0,F1020))</f>
        <v>0</v>
      </c>
      <c r="G20" s="836">
        <f t="shared" si="19"/>
        <v>21.666666666666668</v>
      </c>
      <c r="H20" s="836">
        <f t="shared" si="19"/>
        <v>0</v>
      </c>
      <c r="I20" s="836">
        <f t="shared" si="19"/>
        <v>21.666666666666668</v>
      </c>
      <c r="J20" s="836">
        <f t="shared" si="19"/>
        <v>0</v>
      </c>
      <c r="K20" s="836">
        <f t="shared" si="19"/>
        <v>0</v>
      </c>
      <c r="L20" s="836">
        <f t="shared" si="19"/>
        <v>0</v>
      </c>
      <c r="M20" s="836">
        <f t="shared" si="19"/>
        <v>21.666666666666668</v>
      </c>
      <c r="N20" s="836">
        <f t="shared" si="19"/>
        <v>0</v>
      </c>
      <c r="O20" s="836">
        <f t="shared" si="19"/>
        <v>0</v>
      </c>
      <c r="P20" s="836">
        <f t="shared" si="19"/>
        <v>21.666666666666668</v>
      </c>
      <c r="Q20" s="836">
        <f t="shared" si="19"/>
        <v>0</v>
      </c>
      <c r="R20" s="46"/>
      <c r="S20" s="46"/>
      <c r="T20" s="1"/>
      <c r="U20" s="435">
        <f>IF(AND(W20&gt;=$U$1,W20&lt;=$U$2),IF(X20='ESTRATTO CONTO'!$E$2,1+COUNTIF(U$4:U19,"&gt;0"),0),0)</f>
        <v>0</v>
      </c>
      <c r="V20" s="417">
        <f t="shared" si="9"/>
        <v>17</v>
      </c>
      <c r="W20" s="509">
        <v>45500</v>
      </c>
      <c r="X20" s="321" t="s">
        <v>573</v>
      </c>
      <c r="Y20" s="905"/>
      <c r="Z20" s="433">
        <v>100</v>
      </c>
      <c r="AA20" s="356"/>
      <c r="AB20" s="306" t="str">
        <f t="shared" si="0"/>
        <v>Nome ENTE 2-7</v>
      </c>
      <c r="AC20" s="893" t="str">
        <f t="shared" si="1"/>
        <v>CASSA   +</v>
      </c>
      <c r="AD20" s="322" t="s">
        <v>206</v>
      </c>
      <c r="AE20" s="1"/>
      <c r="AF20" s="223">
        <f>IF(ISBLANK(AD20),0,COUNTIF(AF$4:AF19,"&gt;0")+1)</f>
        <v>17</v>
      </c>
      <c r="AG20" s="164">
        <f t="shared" si="13"/>
        <v>45500</v>
      </c>
      <c r="AH20" s="99" t="str">
        <f t="shared" si="3"/>
        <v>CASSA</v>
      </c>
      <c r="AI20" s="99">
        <f t="shared" si="14"/>
        <v>0</v>
      </c>
      <c r="AJ20" s="170">
        <f t="shared" si="15"/>
        <v>100</v>
      </c>
      <c r="AK20" s="204" t="str">
        <f t="shared" si="6"/>
        <v>Nome ENTE 2</v>
      </c>
      <c r="AL20" s="1049">
        <f>IF(ISERROR(AO20),0,IF(AND(AN20&gt;=$U$1,AN20&lt;=$U$2),IF(AO20='ESTRATTO CONTO'!$E$2,1+COUNTIF(AL$4:AL19,"&gt;0")+U$1009,0),0))</f>
        <v>0</v>
      </c>
      <c r="AM20" s="747">
        <f t="shared" si="10"/>
        <v>17</v>
      </c>
      <c r="AN20" s="164" t="e">
        <f>VLOOKUP($AM20,PATRIMONIALE!$AV20:AW$1003,2,FALSE)</f>
        <v>#N/A</v>
      </c>
      <c r="AO20" s="310" t="e">
        <f>VLOOKUP($AM20,PATRIMONIALE!$AV20:AX$1003,3,FALSE)</f>
        <v>#N/A</v>
      </c>
      <c r="AP20" s="310" t="e">
        <f>VLOOKUP($AM20,PATRIMONIALE!$AV20:AY$1003,4,FALSE)</f>
        <v>#N/A</v>
      </c>
      <c r="AQ20" s="748" t="e">
        <f>VLOOKUP($AM20,PATRIMONIALE!$AV20:AZ$1003,5,FALSE)</f>
        <v>#N/A</v>
      </c>
      <c r="AR20" s="1"/>
      <c r="AS20" s="461">
        <f t="shared" si="7"/>
        <v>0</v>
      </c>
      <c r="AT20" s="370"/>
    </row>
    <row r="21" spans="1:46" ht="16.5" customHeight="1">
      <c r="A21" s="1"/>
      <c r="B21" s="1263">
        <f>IF(S6=0,0,S6/C1020)</f>
        <v>216.66666666666666</v>
      </c>
      <c r="C21" s="1263"/>
      <c r="D21" s="50"/>
      <c r="E21" s="320">
        <v>0.05</v>
      </c>
      <c r="F21" s="837">
        <f t="shared" ref="F21:Q21" si="20">IF(ISERROR($B$21),0,F1021)</f>
        <v>0</v>
      </c>
      <c r="G21" s="837">
        <f t="shared" si="20"/>
        <v>10.833333333333334</v>
      </c>
      <c r="H21" s="837">
        <f t="shared" si="20"/>
        <v>0</v>
      </c>
      <c r="I21" s="837">
        <f t="shared" si="20"/>
        <v>10.833333333333334</v>
      </c>
      <c r="J21" s="837">
        <f t="shared" si="20"/>
        <v>0</v>
      </c>
      <c r="K21" s="837">
        <f t="shared" si="20"/>
        <v>0</v>
      </c>
      <c r="L21" s="837">
        <f t="shared" si="20"/>
        <v>0</v>
      </c>
      <c r="M21" s="837">
        <f t="shared" si="20"/>
        <v>10.833333333333334</v>
      </c>
      <c r="N21" s="837">
        <f t="shared" si="20"/>
        <v>0</v>
      </c>
      <c r="O21" s="837">
        <f t="shared" si="20"/>
        <v>0</v>
      </c>
      <c r="P21" s="837">
        <f t="shared" si="20"/>
        <v>10.833333333333334</v>
      </c>
      <c r="Q21" s="837">
        <f t="shared" si="20"/>
        <v>0</v>
      </c>
      <c r="R21" s="51"/>
      <c r="S21" s="51"/>
      <c r="T21" s="1"/>
      <c r="U21" s="435">
        <f>IF(AND(W21&gt;=$U$1,W21&lt;=$U$2),IF(X21='ESTRATTO CONTO'!$E$2,1+COUNTIF(U$4:U20,"&gt;0"),0),0)</f>
        <v>0</v>
      </c>
      <c r="V21" s="417">
        <f t="shared" si="9"/>
        <v>18</v>
      </c>
      <c r="W21" s="509">
        <v>45512</v>
      </c>
      <c r="X21" s="321" t="s">
        <v>574</v>
      </c>
      <c r="Y21" s="905"/>
      <c r="Z21" s="433">
        <v>300</v>
      </c>
      <c r="AA21" s="356"/>
      <c r="AB21" s="306" t="str">
        <f t="shared" si="0"/>
        <v>Nome ENTE 3-8</v>
      </c>
      <c r="AC21" s="893" t="str">
        <f t="shared" si="1"/>
        <v>CASSA   +</v>
      </c>
      <c r="AD21" s="322" t="s">
        <v>206</v>
      </c>
      <c r="AE21" s="1"/>
      <c r="AF21" s="223">
        <f>IF(ISBLANK(AD21),0,COUNTIF(AF$4:AF20,"&gt;0")+1)</f>
        <v>18</v>
      </c>
      <c r="AG21" s="164">
        <f t="shared" si="13"/>
        <v>45512</v>
      </c>
      <c r="AH21" s="99" t="str">
        <f t="shared" si="3"/>
        <v>CASSA</v>
      </c>
      <c r="AI21" s="99">
        <f t="shared" si="14"/>
        <v>0</v>
      </c>
      <c r="AJ21" s="170">
        <f t="shared" si="15"/>
        <v>300</v>
      </c>
      <c r="AK21" s="204" t="str">
        <f t="shared" si="6"/>
        <v>Nome ENTE 3</v>
      </c>
      <c r="AL21" s="1049">
        <f>IF(ISERROR(AO21),0,IF(AND(AN21&gt;=$U$1,AN21&lt;=$U$2),IF(AO21='ESTRATTO CONTO'!$E$2,1+COUNTIF(AL$4:AL20,"&gt;0")+U$1009,0),0))</f>
        <v>0</v>
      </c>
      <c r="AM21" s="747">
        <f t="shared" si="10"/>
        <v>18</v>
      </c>
      <c r="AN21" s="164" t="e">
        <f>VLOOKUP($AM21,PATRIMONIALE!$AV21:AW$1003,2,FALSE)</f>
        <v>#N/A</v>
      </c>
      <c r="AO21" s="310" t="e">
        <f>VLOOKUP($AM21,PATRIMONIALE!$AV21:AX$1003,3,FALSE)</f>
        <v>#N/A</v>
      </c>
      <c r="AP21" s="310" t="e">
        <f>VLOOKUP($AM21,PATRIMONIALE!$AV21:AY$1003,4,FALSE)</f>
        <v>#N/A</v>
      </c>
      <c r="AQ21" s="748" t="e">
        <f>VLOOKUP($AM21,PATRIMONIALE!$AV21:AZ$1003,5,FALSE)</f>
        <v>#N/A</v>
      </c>
      <c r="AR21" s="1"/>
      <c r="AS21" s="461">
        <f t="shared" si="7"/>
        <v>0</v>
      </c>
      <c r="AT21" s="370"/>
    </row>
    <row r="22" spans="1:46" ht="16.5" customHeight="1">
      <c r="A22" s="1"/>
      <c r="B22" s="1221" t="str">
        <f>CONCATENATE(C1021," ",C1020)</f>
        <v>Mesi conteggiati:  12</v>
      </c>
      <c r="C22" s="1221"/>
      <c r="D22" s="52"/>
      <c r="E22" s="317">
        <f>E21</f>
        <v>0.05</v>
      </c>
      <c r="F22" s="836">
        <f t="shared" ref="F22:Q22" si="21">F1023</f>
        <v>-10.833333333333334</v>
      </c>
      <c r="G22" s="836">
        <f t="shared" si="21"/>
        <v>0</v>
      </c>
      <c r="H22" s="836">
        <f t="shared" si="21"/>
        <v>-10.833333333333334</v>
      </c>
      <c r="I22" s="836">
        <f t="shared" si="21"/>
        <v>0</v>
      </c>
      <c r="J22" s="836">
        <f t="shared" si="21"/>
        <v>-10.833333333333334</v>
      </c>
      <c r="K22" s="836">
        <f t="shared" si="21"/>
        <v>-10.833333333333334</v>
      </c>
      <c r="L22" s="836">
        <f t="shared" si="21"/>
        <v>-10.833333333333334</v>
      </c>
      <c r="M22" s="836">
        <f t="shared" si="21"/>
        <v>0</v>
      </c>
      <c r="N22" s="836">
        <f t="shared" si="21"/>
        <v>-10.833333333333334</v>
      </c>
      <c r="O22" s="836">
        <f t="shared" si="21"/>
        <v>-10.833333333333334</v>
      </c>
      <c r="P22" s="836">
        <f t="shared" si="21"/>
        <v>0</v>
      </c>
      <c r="Q22" s="836">
        <f t="shared" si="21"/>
        <v>-10.833333333333334</v>
      </c>
      <c r="R22" s="53"/>
      <c r="S22" s="53"/>
      <c r="T22" s="1"/>
      <c r="U22" s="435">
        <f>IF(AND(W22&gt;=$U$1,W22&lt;=$U$2),IF(X22='ESTRATTO CONTO'!$E$2,1+COUNTIF(U$4:U21,"&gt;0"),0),0)</f>
        <v>0</v>
      </c>
      <c r="V22" s="417">
        <f t="shared" si="9"/>
        <v>19</v>
      </c>
      <c r="W22" s="509">
        <v>45524</v>
      </c>
      <c r="X22" s="321" t="s">
        <v>633</v>
      </c>
      <c r="Y22" s="905"/>
      <c r="Z22" s="433">
        <v>100</v>
      </c>
      <c r="AA22" s="356"/>
      <c r="AB22" s="306" t="str">
        <f t="shared" si="0"/>
        <v>Nome ENTE 4 / sovrascrivi-8</v>
      </c>
      <c r="AC22" s="893" t="str">
        <f t="shared" si="1"/>
        <v>CASSA   +</v>
      </c>
      <c r="AD22" s="322" t="s">
        <v>206</v>
      </c>
      <c r="AE22" s="1"/>
      <c r="AF22" s="223">
        <f>IF(ISBLANK(AD22),0,COUNTIF(AF$4:AF21,"&gt;0")+1)</f>
        <v>19</v>
      </c>
      <c r="AG22" s="164">
        <f t="shared" si="13"/>
        <v>45524</v>
      </c>
      <c r="AH22" s="99" t="str">
        <f t="shared" si="3"/>
        <v>CASSA</v>
      </c>
      <c r="AI22" s="99">
        <f t="shared" si="14"/>
        <v>0</v>
      </c>
      <c r="AJ22" s="170">
        <f t="shared" si="15"/>
        <v>100</v>
      </c>
      <c r="AK22" s="204" t="str">
        <f t="shared" si="6"/>
        <v>Nome ENTE 4 / sovrascrivi</v>
      </c>
      <c r="AL22" s="1049">
        <f>IF(ISERROR(AO22),0,IF(AND(AN22&gt;=$U$1,AN22&lt;=$U$2),IF(AO22='ESTRATTO CONTO'!$E$2,1+COUNTIF(AL$4:AL21,"&gt;0")+U$1009,0),0))</f>
        <v>0</v>
      </c>
      <c r="AM22" s="747">
        <f t="shared" si="10"/>
        <v>19</v>
      </c>
      <c r="AN22" s="164" t="e">
        <f>VLOOKUP($AM22,PATRIMONIALE!$AV22:AW$1003,2,FALSE)</f>
        <v>#N/A</v>
      </c>
      <c r="AO22" s="310" t="e">
        <f>VLOOKUP($AM22,PATRIMONIALE!$AV22:AX$1003,3,FALSE)</f>
        <v>#N/A</v>
      </c>
      <c r="AP22" s="310" t="e">
        <f>VLOOKUP($AM22,PATRIMONIALE!$AV22:AY$1003,4,FALSE)</f>
        <v>#N/A</v>
      </c>
      <c r="AQ22" s="748" t="e">
        <f>VLOOKUP($AM22,PATRIMONIALE!$AV22:AZ$1003,5,FALSE)</f>
        <v>#N/A</v>
      </c>
      <c r="AR22" s="1"/>
      <c r="AS22" s="461">
        <f t="shared" si="7"/>
        <v>0</v>
      </c>
      <c r="AT22" s="370"/>
    </row>
    <row r="23" spans="1:46" ht="16.5" customHeight="1">
      <c r="A23" s="1"/>
      <c r="B23" s="54"/>
      <c r="C23" s="46"/>
      <c r="D23" s="46"/>
      <c r="E23" s="318">
        <f>E20</f>
        <v>0.1</v>
      </c>
      <c r="F23" s="836">
        <f t="shared" ref="F23:Q23" si="22">IF(F1024=F1023,0,F1024)</f>
        <v>-21.666666666666668</v>
      </c>
      <c r="G23" s="836">
        <f t="shared" si="22"/>
        <v>0</v>
      </c>
      <c r="H23" s="836">
        <f t="shared" si="22"/>
        <v>-21.666666666666668</v>
      </c>
      <c r="I23" s="836">
        <f t="shared" si="22"/>
        <v>0</v>
      </c>
      <c r="J23" s="836">
        <f t="shared" si="22"/>
        <v>-16.666666666666657</v>
      </c>
      <c r="K23" s="836">
        <f t="shared" si="22"/>
        <v>-21.666666666666668</v>
      </c>
      <c r="L23" s="836">
        <f t="shared" si="22"/>
        <v>-21.666666666666668</v>
      </c>
      <c r="M23" s="836">
        <f t="shared" si="22"/>
        <v>0</v>
      </c>
      <c r="N23" s="836">
        <f t="shared" si="22"/>
        <v>-16.666666666666657</v>
      </c>
      <c r="O23" s="836">
        <f t="shared" si="22"/>
        <v>-21.666666666666668</v>
      </c>
      <c r="P23" s="836">
        <f t="shared" si="22"/>
        <v>0</v>
      </c>
      <c r="Q23" s="836">
        <f t="shared" si="22"/>
        <v>-16.666666666666657</v>
      </c>
      <c r="R23" s="46"/>
      <c r="S23" s="46"/>
      <c r="T23" s="1"/>
      <c r="U23" s="435">
        <f>IF(AND(W23&gt;=$U$1,W23&lt;=$U$2),IF(X23='ESTRATTO CONTO'!$E$2,1+COUNTIF(U$4:U22,"&gt;0"),0),0)</f>
        <v>0</v>
      </c>
      <c r="V23" s="417">
        <f t="shared" si="9"/>
        <v>20</v>
      </c>
      <c r="W23" s="509">
        <v>45536</v>
      </c>
      <c r="X23" s="321" t="s">
        <v>575</v>
      </c>
      <c r="Y23" s="905"/>
      <c r="Z23" s="433">
        <v>50</v>
      </c>
      <c r="AA23" s="356"/>
      <c r="AB23" s="306" t="str">
        <f t="shared" si="0"/>
        <v>Nome ENTE ultimo disponibile-9</v>
      </c>
      <c r="AC23" s="893" t="str">
        <f t="shared" si="1"/>
        <v>BANCA C/C nr. 1234567   +</v>
      </c>
      <c r="AD23" s="895" t="s">
        <v>501</v>
      </c>
      <c r="AE23" s="1"/>
      <c r="AF23" s="223">
        <f>IF(ISBLANK(AD23),0,COUNTIF(AF$4:AF22,"&gt;0")+1)</f>
        <v>20</v>
      </c>
      <c r="AG23" s="164">
        <f t="shared" si="13"/>
        <v>45536</v>
      </c>
      <c r="AH23" s="99" t="str">
        <f t="shared" si="3"/>
        <v>BANCA C/C nr. 1234567</v>
      </c>
      <c r="AI23" s="99">
        <f t="shared" si="14"/>
        <v>0</v>
      </c>
      <c r="AJ23" s="170">
        <f t="shared" si="15"/>
        <v>50</v>
      </c>
      <c r="AK23" s="204" t="str">
        <f t="shared" si="6"/>
        <v>Nome ENTE ultimo disponibile</v>
      </c>
      <c r="AL23" s="1049">
        <f>IF(ISERROR(AO23),0,IF(AND(AN23&gt;=$U$1,AN23&lt;=$U$2),IF(AO23='ESTRATTO CONTO'!$E$2,1+COUNTIF(AL$4:AL22,"&gt;0")+U$1009,0),0))</f>
        <v>0</v>
      </c>
      <c r="AM23" s="747">
        <f t="shared" si="10"/>
        <v>20</v>
      </c>
      <c r="AN23" s="164" t="e">
        <f>VLOOKUP($AM23,PATRIMONIALE!$AV23:AW$1003,2,FALSE)</f>
        <v>#N/A</v>
      </c>
      <c r="AO23" s="310" t="e">
        <f>VLOOKUP($AM23,PATRIMONIALE!$AV23:AX$1003,3,FALSE)</f>
        <v>#N/A</v>
      </c>
      <c r="AP23" s="310" t="e">
        <f>VLOOKUP($AM23,PATRIMONIALE!$AV23:AY$1003,4,FALSE)</f>
        <v>#N/A</v>
      </c>
      <c r="AQ23" s="748" t="e">
        <f>VLOOKUP($AM23,PATRIMONIALE!$AV23:AZ$1003,5,FALSE)</f>
        <v>#N/A</v>
      </c>
      <c r="AR23" s="1"/>
      <c r="AS23" s="461">
        <f t="shared" si="7"/>
        <v>0</v>
      </c>
      <c r="AT23" s="370"/>
    </row>
    <row r="24" spans="1:46" ht="16.5" customHeight="1">
      <c r="A24" s="1"/>
      <c r="B24" s="1250" t="s">
        <v>508</v>
      </c>
      <c r="C24" s="1251"/>
      <c r="D24" s="46"/>
      <c r="E24" s="318">
        <f>E19</f>
        <v>0.25</v>
      </c>
      <c r="F24" s="836">
        <f t="shared" ref="F24:Q24" si="23">IF(F1025=F1024,0,F1025)</f>
        <v>-54.166666666666664</v>
      </c>
      <c r="G24" s="836">
        <f t="shared" si="23"/>
        <v>0</v>
      </c>
      <c r="H24" s="836">
        <f t="shared" si="23"/>
        <v>-54.166666666666664</v>
      </c>
      <c r="I24" s="836">
        <f t="shared" si="23"/>
        <v>0</v>
      </c>
      <c r="J24" s="836">
        <f t="shared" si="23"/>
        <v>0</v>
      </c>
      <c r="K24" s="836">
        <f t="shared" si="23"/>
        <v>-54.166666666666664</v>
      </c>
      <c r="L24" s="836">
        <f t="shared" si="23"/>
        <v>-54.166666666666664</v>
      </c>
      <c r="M24" s="836">
        <f t="shared" si="23"/>
        <v>0</v>
      </c>
      <c r="N24" s="836">
        <f t="shared" si="23"/>
        <v>0</v>
      </c>
      <c r="O24" s="836">
        <f t="shared" si="23"/>
        <v>-54.166666666666664</v>
      </c>
      <c r="P24" s="836">
        <f t="shared" si="23"/>
        <v>0</v>
      </c>
      <c r="Q24" s="836">
        <f t="shared" si="23"/>
        <v>0</v>
      </c>
      <c r="R24" s="46"/>
      <c r="S24" s="46"/>
      <c r="T24" s="1"/>
      <c r="U24" s="435">
        <f>IF(AND(W24&gt;=$U$1,W24&lt;=$U$2),IF(X24='ESTRATTO CONTO'!$E$2,1+COUNTIF(U$4:U23,"&gt;0"),0),0)</f>
        <v>0</v>
      </c>
      <c r="V24" s="417">
        <f t="shared" si="9"/>
        <v>21</v>
      </c>
      <c r="W24" s="509">
        <v>45548</v>
      </c>
      <c r="X24" s="905" t="s">
        <v>572</v>
      </c>
      <c r="Y24" s="905"/>
      <c r="Z24" s="433">
        <v>100</v>
      </c>
      <c r="AA24" s="356"/>
      <c r="AB24" s="306" t="str">
        <f t="shared" si="0"/>
        <v>Nome ENTE 1-9</v>
      </c>
      <c r="AC24" s="893" t="str">
        <f t="shared" si="1"/>
        <v>BANCA C/C nr. 1234567   +</v>
      </c>
      <c r="AD24" s="895" t="s">
        <v>501</v>
      </c>
      <c r="AE24" s="1"/>
      <c r="AF24" s="223">
        <f>IF(ISBLANK(AD24),0,COUNTIF(AF$4:AF23,"&gt;0")+1)</f>
        <v>21</v>
      </c>
      <c r="AG24" s="164">
        <f t="shared" si="13"/>
        <v>45548</v>
      </c>
      <c r="AH24" s="99" t="str">
        <f t="shared" si="3"/>
        <v>BANCA C/C nr. 1234567</v>
      </c>
      <c r="AI24" s="99">
        <f t="shared" si="14"/>
        <v>0</v>
      </c>
      <c r="AJ24" s="170">
        <f t="shared" si="15"/>
        <v>100</v>
      </c>
      <c r="AK24" s="204" t="str">
        <f t="shared" si="6"/>
        <v>Nome ENTE 1</v>
      </c>
      <c r="AL24" s="1049">
        <f>IF(ISERROR(AO24),0,IF(AND(AN24&gt;=$U$1,AN24&lt;=$U$2),IF(AO24='ESTRATTO CONTO'!$E$2,1+COUNTIF(AL$4:AL23,"&gt;0")+U$1009,0),0))</f>
        <v>0</v>
      </c>
      <c r="AM24" s="747">
        <f t="shared" si="10"/>
        <v>21</v>
      </c>
      <c r="AN24" s="164" t="e">
        <f>VLOOKUP($AM24,PATRIMONIALE!$AV24:AW$1003,2,FALSE)</f>
        <v>#N/A</v>
      </c>
      <c r="AO24" s="310" t="e">
        <f>VLOOKUP($AM24,PATRIMONIALE!$AV24:AX$1003,3,FALSE)</f>
        <v>#N/A</v>
      </c>
      <c r="AP24" s="310" t="e">
        <f>VLOOKUP($AM24,PATRIMONIALE!$AV24:AY$1003,4,FALSE)</f>
        <v>#N/A</v>
      </c>
      <c r="AQ24" s="748" t="e">
        <f>VLOOKUP($AM24,PATRIMONIALE!$AV24:AZ$1003,5,FALSE)</f>
        <v>#N/A</v>
      </c>
      <c r="AR24" s="1"/>
      <c r="AS24" s="461">
        <f t="shared" si="7"/>
        <v>0</v>
      </c>
      <c r="AT24" s="370"/>
    </row>
    <row r="25" spans="1:46" ht="16.5" customHeight="1">
      <c r="A25" s="1"/>
      <c r="B25" s="1259" t="str">
        <f>CONCATENATE(C1025,"   ",C1026)</f>
        <v>nei REGISTRI:    365</v>
      </c>
      <c r="C25" s="1260"/>
      <c r="D25" s="46"/>
      <c r="E25" s="318">
        <f>E18</f>
        <v>0.5</v>
      </c>
      <c r="F25" s="836">
        <f t="shared" ref="F25:Q25" si="24">IF(F1026=F1025,0,F1026)</f>
        <v>-66.666666666666657</v>
      </c>
      <c r="G25" s="836">
        <f t="shared" si="24"/>
        <v>0</v>
      </c>
      <c r="H25" s="836">
        <f t="shared" si="24"/>
        <v>-66.666666666666657</v>
      </c>
      <c r="I25" s="836">
        <f t="shared" si="24"/>
        <v>0</v>
      </c>
      <c r="J25" s="836">
        <f t="shared" si="24"/>
        <v>0</v>
      </c>
      <c r="K25" s="836">
        <f t="shared" si="24"/>
        <v>-66.666666666666657</v>
      </c>
      <c r="L25" s="836">
        <f t="shared" si="24"/>
        <v>-108.33333333333333</v>
      </c>
      <c r="M25" s="836">
        <f t="shared" si="24"/>
        <v>0</v>
      </c>
      <c r="N25" s="836">
        <f t="shared" si="24"/>
        <v>0</v>
      </c>
      <c r="O25" s="836">
        <f t="shared" si="24"/>
        <v>-108.33333333333333</v>
      </c>
      <c r="P25" s="836">
        <f t="shared" si="24"/>
        <v>0</v>
      </c>
      <c r="Q25" s="836">
        <f t="shared" si="24"/>
        <v>0</v>
      </c>
      <c r="R25" s="46"/>
      <c r="S25" s="46"/>
      <c r="T25" s="1"/>
      <c r="U25" s="435">
        <f>IF(AND(W25&gt;=$U$1,W25&lt;=$U$2),IF(X25='ESTRATTO CONTO'!$E$2,1+COUNTIF(U$4:U24,"&gt;0"),0),0)</f>
        <v>0</v>
      </c>
      <c r="V25" s="417">
        <f t="shared" si="9"/>
        <v>22</v>
      </c>
      <c r="W25" s="509">
        <v>45560</v>
      </c>
      <c r="X25" s="905" t="s">
        <v>573</v>
      </c>
      <c r="Y25" s="905"/>
      <c r="Z25" s="433">
        <v>50</v>
      </c>
      <c r="AA25" s="356"/>
      <c r="AB25" s="306" t="str">
        <f t="shared" si="0"/>
        <v>Nome ENTE 2-9</v>
      </c>
      <c r="AC25" s="893" t="str">
        <f t="shared" si="1"/>
        <v>POSTA C/C nr. 7654321   +</v>
      </c>
      <c r="AD25" s="895" t="s">
        <v>502</v>
      </c>
      <c r="AE25" s="1"/>
      <c r="AF25" s="223">
        <f>IF(ISBLANK(AD25),0,COUNTIF(AF$4:AF24,"&gt;0")+1)</f>
        <v>22</v>
      </c>
      <c r="AG25" s="164">
        <f t="shared" si="13"/>
        <v>45560</v>
      </c>
      <c r="AH25" s="99" t="str">
        <f t="shared" si="3"/>
        <v>POSTA C/C nr. 7654321</v>
      </c>
      <c r="AI25" s="99">
        <f t="shared" si="14"/>
        <v>0</v>
      </c>
      <c r="AJ25" s="170">
        <f t="shared" si="15"/>
        <v>50</v>
      </c>
      <c r="AK25" s="204" t="str">
        <f t="shared" si="6"/>
        <v>Nome ENTE 2</v>
      </c>
      <c r="AL25" s="1049">
        <f>IF(ISERROR(AO25),0,IF(AND(AN25&gt;=$U$1,AN25&lt;=$U$2),IF(AO25='ESTRATTO CONTO'!$E$2,1+COUNTIF(AL$4:AL24,"&gt;0")+U$1009,0),0))</f>
        <v>0</v>
      </c>
      <c r="AM25" s="747">
        <f t="shared" si="10"/>
        <v>22</v>
      </c>
      <c r="AN25" s="164" t="e">
        <f>VLOOKUP($AM25,PATRIMONIALE!$AV25:AW$1003,2,FALSE)</f>
        <v>#N/A</v>
      </c>
      <c r="AO25" s="310" t="e">
        <f>VLOOKUP($AM25,PATRIMONIALE!$AV25:AX$1003,3,FALSE)</f>
        <v>#N/A</v>
      </c>
      <c r="AP25" s="310" t="e">
        <f>VLOOKUP($AM25,PATRIMONIALE!$AV25:AY$1003,4,FALSE)</f>
        <v>#N/A</v>
      </c>
      <c r="AQ25" s="748" t="e">
        <f>VLOOKUP($AM25,PATRIMONIALE!$AV25:AZ$1003,5,FALSE)</f>
        <v>#N/A</v>
      </c>
      <c r="AR25" s="1"/>
      <c r="AS25" s="461">
        <f t="shared" si="7"/>
        <v>0</v>
      </c>
      <c r="AT25" s="370"/>
    </row>
    <row r="26" spans="1:46" ht="16.5" customHeight="1">
      <c r="A26" s="1"/>
      <c r="B26" s="1261" t="s">
        <v>509</v>
      </c>
      <c r="C26" s="1262"/>
      <c r="D26" s="46"/>
      <c r="E26" s="318">
        <f>E17</f>
        <v>0.75</v>
      </c>
      <c r="F26" s="836">
        <f t="shared" ref="F26:Q26" si="25">IF(ISERROR($B$21),0,IF(OR(F1027=$E1027,F1027&lt;F1026),F1022,0))</f>
        <v>0</v>
      </c>
      <c r="G26" s="836">
        <f t="shared" si="25"/>
        <v>0</v>
      </c>
      <c r="H26" s="836">
        <f t="shared" si="25"/>
        <v>0</v>
      </c>
      <c r="I26" s="836">
        <f t="shared" si="25"/>
        <v>0</v>
      </c>
      <c r="J26" s="836">
        <f t="shared" si="25"/>
        <v>0</v>
      </c>
      <c r="K26" s="836">
        <f t="shared" si="25"/>
        <v>0</v>
      </c>
      <c r="L26" s="836">
        <f t="shared" si="25"/>
        <v>-116.66666666666666</v>
      </c>
      <c r="M26" s="836">
        <f t="shared" si="25"/>
        <v>0</v>
      </c>
      <c r="N26" s="836">
        <f t="shared" si="25"/>
        <v>0</v>
      </c>
      <c r="O26" s="836">
        <f t="shared" si="25"/>
        <v>-116.66666666666666</v>
      </c>
      <c r="P26" s="836">
        <f t="shared" si="25"/>
        <v>0</v>
      </c>
      <c r="Q26" s="836">
        <f t="shared" si="25"/>
        <v>0</v>
      </c>
      <c r="R26" s="46"/>
      <c r="S26" s="46"/>
      <c r="T26" s="1"/>
      <c r="U26" s="435">
        <f>IF(AND(W26&gt;=$U$1,W26&lt;=$U$2),IF(X26='ESTRATTO CONTO'!$E$2,1+COUNTIF(U$4:U25,"&gt;0"),0),0)</f>
        <v>0</v>
      </c>
      <c r="V26" s="417">
        <f t="shared" si="9"/>
        <v>23</v>
      </c>
      <c r="W26" s="509">
        <v>45572</v>
      </c>
      <c r="X26" s="905" t="s">
        <v>574</v>
      </c>
      <c r="Y26" s="321" t="s">
        <v>606</v>
      </c>
      <c r="Z26" s="433">
        <v>-50</v>
      </c>
      <c r="AA26" s="356"/>
      <c r="AB26" s="306" t="str">
        <f t="shared" si="0"/>
        <v>Nome ENTE 3-10</v>
      </c>
      <c r="AC26" s="893" t="str">
        <f t="shared" si="1"/>
        <v>DEBITO 1   +</v>
      </c>
      <c r="AD26" s="322" t="s">
        <v>522</v>
      </c>
      <c r="AE26" s="1"/>
      <c r="AF26" s="223">
        <f>IF(ISBLANK(AD26),0,COUNTIF(AF$4:AF25,"&gt;0")+1)</f>
        <v>23</v>
      </c>
      <c r="AG26" s="164">
        <f t="shared" si="13"/>
        <v>45572</v>
      </c>
      <c r="AH26" s="99" t="str">
        <f t="shared" si="3"/>
        <v>DEBITO 1</v>
      </c>
      <c r="AI26" s="99" t="str">
        <f t="shared" si="14"/>
        <v>Ipotesi di STORNO parziale di un debito</v>
      </c>
      <c r="AJ26" s="170">
        <f t="shared" si="15"/>
        <v>-50</v>
      </c>
      <c r="AK26" s="204" t="str">
        <f t="shared" si="6"/>
        <v>Nome ENTE 3</v>
      </c>
      <c r="AL26" s="1049">
        <f>IF(ISERROR(AO26),0,IF(AND(AN26&gt;=$U$1,AN26&lt;=$U$2),IF(AO26='ESTRATTO CONTO'!$E$2,1+COUNTIF(AL$4:AL25,"&gt;0")+U$1009,0),0))</f>
        <v>0</v>
      </c>
      <c r="AM26" s="747">
        <f t="shared" si="10"/>
        <v>23</v>
      </c>
      <c r="AN26" s="164" t="e">
        <f>VLOOKUP($AM26,PATRIMONIALE!$AV26:AW$1003,2,FALSE)</f>
        <v>#N/A</v>
      </c>
      <c r="AO26" s="310" t="e">
        <f>VLOOKUP($AM26,PATRIMONIALE!$AV26:AX$1003,3,FALSE)</f>
        <v>#N/A</v>
      </c>
      <c r="AP26" s="310" t="e">
        <f>VLOOKUP($AM26,PATRIMONIALE!$AV26:AY$1003,4,FALSE)</f>
        <v>#N/A</v>
      </c>
      <c r="AQ26" s="748" t="e">
        <f>VLOOKUP($AM26,PATRIMONIALE!$AV26:AZ$1003,5,FALSE)</f>
        <v>#N/A</v>
      </c>
      <c r="AR26" s="1"/>
      <c r="AS26" s="461">
        <f t="shared" si="7"/>
        <v>0</v>
      </c>
      <c r="AT26" s="370"/>
    </row>
    <row r="27" spans="1:46" ht="16.5" customHeight="1">
      <c r="A27" s="1"/>
      <c r="B27" s="46"/>
      <c r="C27" s="46"/>
      <c r="D27" s="46"/>
      <c r="E27" s="55"/>
      <c r="F27" s="56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46"/>
      <c r="S27" s="46"/>
      <c r="T27" s="1"/>
      <c r="U27" s="435">
        <f>IF(AND(W27&gt;=$U$1,W27&lt;=$U$2),IF(X27='ESTRATTO CONTO'!$E$2,1+COUNTIF(U$4:U26,"&gt;0"),0),0)</f>
        <v>0</v>
      </c>
      <c r="V27" s="417">
        <f t="shared" si="9"/>
        <v>24</v>
      </c>
      <c r="W27" s="509">
        <v>45584</v>
      </c>
      <c r="X27" s="321" t="s">
        <v>633</v>
      </c>
      <c r="Y27" s="905"/>
      <c r="Z27" s="433">
        <v>50</v>
      </c>
      <c r="AA27" s="356"/>
      <c r="AB27" s="306" t="str">
        <f t="shared" si="0"/>
        <v>Nome ENTE 4 / sovrascrivi-10</v>
      </c>
      <c r="AC27" s="893" t="str">
        <f t="shared" si="1"/>
        <v>RISERVA ACCANTONATA   +</v>
      </c>
      <c r="AD27" s="895" t="s">
        <v>523</v>
      </c>
      <c r="AE27" s="1"/>
      <c r="AF27" s="223">
        <f>IF(ISBLANK(AD27),0,COUNTIF(AF$4:AF26,"&gt;0")+1)</f>
        <v>24</v>
      </c>
      <c r="AG27" s="164">
        <f t="shared" si="13"/>
        <v>45584</v>
      </c>
      <c r="AH27" s="99" t="str">
        <f t="shared" si="3"/>
        <v>RISERVA ACCANTONATA</v>
      </c>
      <c r="AI27" s="99">
        <f t="shared" si="14"/>
        <v>0</v>
      </c>
      <c r="AJ27" s="170">
        <f t="shared" si="15"/>
        <v>50</v>
      </c>
      <c r="AK27" s="204" t="str">
        <f t="shared" si="6"/>
        <v>Nome ENTE 4 / sovrascrivi</v>
      </c>
      <c r="AL27" s="1049">
        <f>IF(ISERROR(AO27),0,IF(AND(AN27&gt;=$U$1,AN27&lt;=$U$2),IF(AO27='ESTRATTO CONTO'!$E$2,1+COUNTIF(AL$4:AL26,"&gt;0")+U$1009,0),0))</f>
        <v>0</v>
      </c>
      <c r="AM27" s="747">
        <f t="shared" si="10"/>
        <v>24</v>
      </c>
      <c r="AN27" s="164" t="e">
        <f>VLOOKUP($AM27,PATRIMONIALE!$AV27:AW$1003,2,FALSE)</f>
        <v>#N/A</v>
      </c>
      <c r="AO27" s="310" t="e">
        <f>VLOOKUP($AM27,PATRIMONIALE!$AV27:AX$1003,3,FALSE)</f>
        <v>#N/A</v>
      </c>
      <c r="AP27" s="310" t="e">
        <f>VLOOKUP($AM27,PATRIMONIALE!$AV27:AY$1003,4,FALSE)</f>
        <v>#N/A</v>
      </c>
      <c r="AQ27" s="748" t="e">
        <f>VLOOKUP($AM27,PATRIMONIALE!$AV27:AZ$1003,5,FALSE)</f>
        <v>#N/A</v>
      </c>
      <c r="AR27" s="1"/>
      <c r="AS27" s="461">
        <f t="shared" si="7"/>
        <v>0</v>
      </c>
      <c r="AT27" s="370"/>
    </row>
    <row r="28" spans="1:46" ht="16.5" customHeight="1">
      <c r="A28" s="1"/>
      <c r="B28" s="569"/>
      <c r="C28" s="569"/>
      <c r="D28" s="569"/>
      <c r="E28" s="569"/>
      <c r="F28" s="569"/>
      <c r="G28" s="569"/>
      <c r="H28" s="569"/>
      <c r="I28" s="569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1"/>
      <c r="U28" s="435">
        <f>IF(AND(W28&gt;=$U$1,W28&lt;=$U$2),IF(X28='ESTRATTO CONTO'!$E$2,1+COUNTIF(U$4:U27,"&gt;0"),0),0)</f>
        <v>0</v>
      </c>
      <c r="V28" s="417">
        <f t="shared" si="9"/>
        <v>25</v>
      </c>
      <c r="W28" s="509">
        <v>45596</v>
      </c>
      <c r="X28" s="321" t="s">
        <v>575</v>
      </c>
      <c r="Y28" s="905"/>
      <c r="Z28" s="433">
        <v>100</v>
      </c>
      <c r="AA28" s="356"/>
      <c r="AB28" s="306" t="str">
        <f t="shared" si="0"/>
        <v>Nome ENTE ultimo disponibile-10</v>
      </c>
      <c r="AC28" s="893" t="str">
        <f t="shared" si="1"/>
        <v>CASSA   +</v>
      </c>
      <c r="AD28" s="322" t="s">
        <v>206</v>
      </c>
      <c r="AE28" s="1"/>
      <c r="AF28" s="223">
        <f>IF(ISBLANK(AD28),0,COUNTIF(AF$4:AF27,"&gt;0")+1)</f>
        <v>25</v>
      </c>
      <c r="AG28" s="164">
        <f t="shared" si="13"/>
        <v>45596</v>
      </c>
      <c r="AH28" s="99" t="str">
        <f t="shared" si="3"/>
        <v>CASSA</v>
      </c>
      <c r="AI28" s="99">
        <f t="shared" si="14"/>
        <v>0</v>
      </c>
      <c r="AJ28" s="170">
        <f t="shared" si="15"/>
        <v>100</v>
      </c>
      <c r="AK28" s="204" t="str">
        <f t="shared" si="6"/>
        <v>Nome ENTE ultimo disponibile</v>
      </c>
      <c r="AL28" s="1049">
        <f>IF(ISERROR(AO28),0,IF(AND(AN28&gt;=$U$1,AN28&lt;=$U$2),IF(AO28='ESTRATTO CONTO'!$E$2,1+COUNTIF(AL$4:AL27,"&gt;0")+U$1009,0),0))</f>
        <v>0</v>
      </c>
      <c r="AM28" s="747">
        <f t="shared" si="10"/>
        <v>25</v>
      </c>
      <c r="AN28" s="164" t="e">
        <f>VLOOKUP($AM28,PATRIMONIALE!$AV28:AW$1003,2,FALSE)</f>
        <v>#N/A</v>
      </c>
      <c r="AO28" s="310" t="e">
        <f>VLOOKUP($AM28,PATRIMONIALE!$AV28:AX$1003,3,FALSE)</f>
        <v>#N/A</v>
      </c>
      <c r="AP28" s="310" t="e">
        <f>VLOOKUP($AM28,PATRIMONIALE!$AV28:AY$1003,4,FALSE)</f>
        <v>#N/A</v>
      </c>
      <c r="AQ28" s="748" t="e">
        <f>VLOOKUP($AM28,PATRIMONIALE!$AV28:AZ$1003,5,FALSE)</f>
        <v>#N/A</v>
      </c>
      <c r="AR28" s="1"/>
      <c r="AS28" s="461">
        <f t="shared" si="7"/>
        <v>0</v>
      </c>
      <c r="AT28" s="370"/>
    </row>
    <row r="29" spans="1:46" ht="16.5" customHeight="1">
      <c r="A29" s="1"/>
      <c r="B29" s="46"/>
      <c r="C29" s="46"/>
      <c r="D29" s="46"/>
      <c r="E29" s="55"/>
      <c r="F29" s="56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46"/>
      <c r="S29" s="121" t="s">
        <v>13</v>
      </c>
      <c r="T29" s="1"/>
      <c r="U29" s="435">
        <f>IF(AND(W29&gt;=$U$1,W29&lt;=$U$2),IF(X29='ESTRATTO CONTO'!$E$2,1+COUNTIF(U$4:U28,"&gt;0"),0),0)</f>
        <v>0</v>
      </c>
      <c r="V29" s="417">
        <f t="shared" si="9"/>
        <v>26</v>
      </c>
      <c r="W29" s="509">
        <v>45608</v>
      </c>
      <c r="X29" s="905" t="s">
        <v>572</v>
      </c>
      <c r="Y29" s="905"/>
      <c r="Z29" s="433">
        <v>50</v>
      </c>
      <c r="AA29" s="356"/>
      <c r="AB29" s="306" t="str">
        <f t="shared" si="0"/>
        <v>Nome ENTE 1-11</v>
      </c>
      <c r="AC29" s="893" t="str">
        <f t="shared" si="1"/>
        <v>CASSA   +</v>
      </c>
      <c r="AD29" s="322" t="s">
        <v>206</v>
      </c>
      <c r="AE29" s="1"/>
      <c r="AF29" s="223">
        <f>IF(ISBLANK(AD29),0,COUNTIF(AF$4:AF28,"&gt;0")+1)</f>
        <v>26</v>
      </c>
      <c r="AG29" s="164">
        <f t="shared" si="13"/>
        <v>45608</v>
      </c>
      <c r="AH29" s="99" t="str">
        <f t="shared" si="3"/>
        <v>CASSA</v>
      </c>
      <c r="AI29" s="99">
        <f t="shared" si="14"/>
        <v>0</v>
      </c>
      <c r="AJ29" s="170">
        <f t="shared" si="15"/>
        <v>50</v>
      </c>
      <c r="AK29" s="204" t="str">
        <f t="shared" si="6"/>
        <v>Nome ENTE 1</v>
      </c>
      <c r="AL29" s="1049">
        <f>IF(ISERROR(AO29),0,IF(AND(AN29&gt;=$U$1,AN29&lt;=$U$2),IF(AO29='ESTRATTO CONTO'!$E$2,1+COUNTIF(AL$4:AL28,"&gt;0")+U$1009,0),0))</f>
        <v>0</v>
      </c>
      <c r="AM29" s="747">
        <f t="shared" si="10"/>
        <v>26</v>
      </c>
      <c r="AN29" s="164" t="e">
        <f>VLOOKUP($AM29,PATRIMONIALE!$AV29:AW$1003,2,FALSE)</f>
        <v>#N/A</v>
      </c>
      <c r="AO29" s="310" t="e">
        <f>VLOOKUP($AM29,PATRIMONIALE!$AV29:AX$1003,3,FALSE)</f>
        <v>#N/A</v>
      </c>
      <c r="AP29" s="310" t="e">
        <f>VLOOKUP($AM29,PATRIMONIALE!$AV29:AY$1003,4,FALSE)</f>
        <v>#N/A</v>
      </c>
      <c r="AQ29" s="748" t="e">
        <f>VLOOKUP($AM29,PATRIMONIALE!$AV29:AZ$1003,5,FALSE)</f>
        <v>#N/A</v>
      </c>
      <c r="AR29" s="1"/>
      <c r="AS29" s="461">
        <f t="shared" si="7"/>
        <v>0</v>
      </c>
      <c r="AT29" s="370"/>
    </row>
    <row r="30" spans="1:46" ht="16.5" customHeight="1">
      <c r="A30" s="1"/>
      <c r="B30" s="1220" t="str">
        <f>Presentazione!$C$25</f>
        <v>CONDOMINIO:</v>
      </c>
      <c r="C30" s="1220"/>
      <c r="D30" s="1220"/>
      <c r="E30" s="1257" t="str">
        <f>CONCATENATE(Presentazione!$C$26,"  /  ",Presentazione!$D$28," - ",Presentazione!$D$29)</f>
        <v>Inserisci qui il NOME  /  Via del Condominio - 00000 - ROMA</v>
      </c>
      <c r="F30" s="1257"/>
      <c r="G30" s="1257"/>
      <c r="H30" s="1257"/>
      <c r="I30" s="1257"/>
      <c r="J30" s="1257"/>
      <c r="K30" s="1257"/>
      <c r="L30" s="1257"/>
      <c r="M30" s="1257"/>
      <c r="N30" s="1257"/>
      <c r="O30" s="1257"/>
      <c r="P30" s="1257"/>
      <c r="Q30" s="1257"/>
      <c r="R30" s="51"/>
      <c r="S30" s="661">
        <f>Presentazione!$J$26</f>
        <v>2024</v>
      </c>
      <c r="T30" s="1"/>
      <c r="U30" s="435">
        <f>IF(AND(W30&gt;=$U$1,W30&lt;=$U$2),IF(X30='ESTRATTO CONTO'!$E$2,1+COUNTIF(U$4:U29,"&gt;0"),0),0)</f>
        <v>0</v>
      </c>
      <c r="V30" s="417">
        <f t="shared" si="9"/>
        <v>27</v>
      </c>
      <c r="W30" s="509">
        <v>45620</v>
      </c>
      <c r="X30" s="905" t="s">
        <v>573</v>
      </c>
      <c r="Y30" s="905"/>
      <c r="Z30" s="433">
        <v>300</v>
      </c>
      <c r="AA30" s="356"/>
      <c r="AB30" s="306" t="str">
        <f t="shared" si="0"/>
        <v>Nome ENTE 2-11</v>
      </c>
      <c r="AC30" s="893" t="str">
        <f t="shared" si="1"/>
        <v>CASSA   +</v>
      </c>
      <c r="AD30" s="322" t="s">
        <v>206</v>
      </c>
      <c r="AE30" s="1"/>
      <c r="AF30" s="223">
        <f>IF(ISBLANK(AD30),0,COUNTIF(AF$4:AF29,"&gt;0")+1)</f>
        <v>27</v>
      </c>
      <c r="AG30" s="164">
        <f t="shared" si="13"/>
        <v>45620</v>
      </c>
      <c r="AH30" s="99" t="str">
        <f t="shared" si="3"/>
        <v>CASSA</v>
      </c>
      <c r="AI30" s="99">
        <f t="shared" si="14"/>
        <v>0</v>
      </c>
      <c r="AJ30" s="170">
        <f t="shared" si="15"/>
        <v>300</v>
      </c>
      <c r="AK30" s="204" t="str">
        <f t="shared" si="6"/>
        <v>Nome ENTE 2</v>
      </c>
      <c r="AL30" s="1049">
        <f>IF(ISERROR(AO30),0,IF(AND(AN30&gt;=$U$1,AN30&lt;=$U$2),IF(AO30='ESTRATTO CONTO'!$E$2,1+COUNTIF(AL$4:AL29,"&gt;0")+U$1009,0),0))</f>
        <v>0</v>
      </c>
      <c r="AM30" s="747">
        <f t="shared" si="10"/>
        <v>27</v>
      </c>
      <c r="AN30" s="164" t="e">
        <f>VLOOKUP($AM30,PATRIMONIALE!$AV30:AW$1003,2,FALSE)</f>
        <v>#N/A</v>
      </c>
      <c r="AO30" s="310" t="e">
        <f>VLOOKUP($AM30,PATRIMONIALE!$AV30:AX$1003,3,FALSE)</f>
        <v>#N/A</v>
      </c>
      <c r="AP30" s="310" t="e">
        <f>VLOOKUP($AM30,PATRIMONIALE!$AV30:AY$1003,4,FALSE)</f>
        <v>#N/A</v>
      </c>
      <c r="AQ30" s="748" t="e">
        <f>VLOOKUP($AM30,PATRIMONIALE!$AV30:AZ$1003,5,FALSE)</f>
        <v>#N/A</v>
      </c>
      <c r="AR30" s="1"/>
      <c r="AS30" s="461">
        <f t="shared" si="7"/>
        <v>0</v>
      </c>
      <c r="AT30" s="370"/>
    </row>
    <row r="31" spans="1:46" ht="16.5" customHeight="1">
      <c r="A31" s="1"/>
      <c r="B31" s="1"/>
      <c r="C31" s="1"/>
      <c r="D31" s="569"/>
      <c r="E31" s="569"/>
      <c r="F31" s="569"/>
      <c r="G31" s="569"/>
      <c r="H31" s="569"/>
      <c r="I31" s="1258" t="str">
        <f>Presentazione!$F$10</f>
        <v/>
      </c>
      <c r="J31" s="1258"/>
      <c r="K31" s="1258"/>
      <c r="L31" s="1258"/>
      <c r="M31" s="1258"/>
      <c r="N31" s="1258"/>
      <c r="O31" s="1258"/>
      <c r="P31" s="1258"/>
      <c r="Q31" s="1258"/>
      <c r="R31" s="1258"/>
      <c r="S31" s="1258"/>
      <c r="T31" s="27"/>
      <c r="U31" s="435">
        <f>IF(AND(W31&gt;=$U$1,W31&lt;=$U$2),IF(X31='ESTRATTO CONTO'!$E$2,1+COUNTIF(U$4:U30,"&gt;0"),0),0)</f>
        <v>0</v>
      </c>
      <c r="V31" s="417">
        <f t="shared" si="9"/>
        <v>28</v>
      </c>
      <c r="W31" s="509">
        <v>45632</v>
      </c>
      <c r="X31" s="905" t="s">
        <v>574</v>
      </c>
      <c r="Y31" s="905"/>
      <c r="Z31" s="433">
        <v>50</v>
      </c>
      <c r="AA31" s="356"/>
      <c r="AB31" s="306" t="str">
        <f t="shared" si="0"/>
        <v>Nome ENTE 3-12</v>
      </c>
      <c r="AC31" s="893" t="str">
        <f t="shared" si="1"/>
        <v>BANCA C/C nr. 1234567   +</v>
      </c>
      <c r="AD31" s="322" t="s">
        <v>501</v>
      </c>
      <c r="AE31" s="1"/>
      <c r="AF31" s="223">
        <f>IF(ISBLANK(AD31),0,COUNTIF(AF$4:AF30,"&gt;0")+1)</f>
        <v>28</v>
      </c>
      <c r="AG31" s="164">
        <f t="shared" si="13"/>
        <v>45632</v>
      </c>
      <c r="AH31" s="99" t="str">
        <f t="shared" si="3"/>
        <v>BANCA C/C nr. 1234567</v>
      </c>
      <c r="AI31" s="99">
        <f t="shared" si="14"/>
        <v>0</v>
      </c>
      <c r="AJ31" s="170">
        <f t="shared" si="15"/>
        <v>50</v>
      </c>
      <c r="AK31" s="204" t="str">
        <f t="shared" si="6"/>
        <v>Nome ENTE 3</v>
      </c>
      <c r="AL31" s="1049">
        <f>IF(ISERROR(AO31),0,IF(AND(AN31&gt;=$U$1,AN31&lt;=$U$2),IF(AO31='ESTRATTO CONTO'!$E$2,1+COUNTIF(AL$4:AL30,"&gt;0")+U$1009,0),0))</f>
        <v>0</v>
      </c>
      <c r="AM31" s="747">
        <f t="shared" si="10"/>
        <v>28</v>
      </c>
      <c r="AN31" s="164" t="e">
        <f>VLOOKUP($AM31,PATRIMONIALE!$AV31:AW$1003,2,FALSE)</f>
        <v>#N/A</v>
      </c>
      <c r="AO31" s="310" t="e">
        <f>VLOOKUP($AM31,PATRIMONIALE!$AV31:AX$1003,3,FALSE)</f>
        <v>#N/A</v>
      </c>
      <c r="AP31" s="310" t="e">
        <f>VLOOKUP($AM31,PATRIMONIALE!$AV31:AY$1003,4,FALSE)</f>
        <v>#N/A</v>
      </c>
      <c r="AQ31" s="748" t="e">
        <f>VLOOKUP($AM31,PATRIMONIALE!$AV31:AZ$1003,5,FALSE)</f>
        <v>#N/A</v>
      </c>
      <c r="AR31" s="1"/>
      <c r="AS31" s="461">
        <f t="shared" si="7"/>
        <v>0</v>
      </c>
      <c r="AT31" s="370"/>
    </row>
    <row r="32" spans="1:46" ht="16.5" customHeight="1">
      <c r="A32" s="1"/>
      <c r="B32" s="1230" t="str">
        <f>Presentazione!K155&amp;" - "&amp;Presentazione!B155</f>
        <v>www.marcopiccoli.it - Bilancio Condominiale 4.0.E05 FREE - per EXCEL .xlsx</v>
      </c>
      <c r="C32" s="1230"/>
      <c r="D32" s="1230"/>
      <c r="E32" s="1230"/>
      <c r="F32" s="1230"/>
      <c r="G32" s="1230"/>
      <c r="H32" s="1230"/>
      <c r="I32" s="1231" t="str">
        <f>CONCATENATE(Presentazione!$E$93,"   -   ","P.I./C.F ",COSTI!N66)</f>
        <v>Inserisci qui il NOME   -   P.I./C.F codice fiscale condominio</v>
      </c>
      <c r="J32" s="1231"/>
      <c r="K32" s="1231"/>
      <c r="L32" s="1231"/>
      <c r="M32" s="1231"/>
      <c r="N32" s="1231"/>
      <c r="O32" s="1231"/>
      <c r="P32" s="1231"/>
      <c r="Q32" s="1231"/>
      <c r="R32" s="1231"/>
      <c r="S32" s="1231"/>
      <c r="T32" s="1"/>
      <c r="U32" s="435">
        <f>IF(AND(W32&gt;=$U$1,W32&lt;=$U$2),IF(X32='ESTRATTO CONTO'!$E$2,1+COUNTIF(U$4:U31,"&gt;0"),0),0)</f>
        <v>0</v>
      </c>
      <c r="V32" s="417">
        <f t="shared" si="9"/>
        <v>29</v>
      </c>
      <c r="W32" s="509">
        <v>45644</v>
      </c>
      <c r="X32" s="905" t="s">
        <v>633</v>
      </c>
      <c r="Y32" s="905"/>
      <c r="Z32" s="433">
        <v>100</v>
      </c>
      <c r="AA32" s="356"/>
      <c r="AB32" s="306" t="str">
        <f t="shared" si="0"/>
        <v>Nome ENTE 4 / sovrascrivi-12</v>
      </c>
      <c r="AC32" s="893" t="str">
        <f t="shared" si="1"/>
        <v>BANCA C/C nr. 1234567   +</v>
      </c>
      <c r="AD32" s="322" t="s">
        <v>501</v>
      </c>
      <c r="AE32" s="1"/>
      <c r="AF32" s="223">
        <f>IF(ISBLANK(AD32),0,COUNTIF(AF$4:AF31,"&gt;0")+1)</f>
        <v>29</v>
      </c>
      <c r="AG32" s="164">
        <f t="shared" si="13"/>
        <v>45644</v>
      </c>
      <c r="AH32" s="99" t="str">
        <f t="shared" si="3"/>
        <v>BANCA C/C nr. 1234567</v>
      </c>
      <c r="AI32" s="99">
        <f t="shared" si="14"/>
        <v>0</v>
      </c>
      <c r="AJ32" s="170">
        <f t="shared" si="15"/>
        <v>100</v>
      </c>
      <c r="AK32" s="204" t="str">
        <f t="shared" si="6"/>
        <v>Nome ENTE 4 / sovrascrivi</v>
      </c>
      <c r="AL32" s="1049">
        <f>IF(ISERROR(AO32),0,IF(AND(AN32&gt;=$U$1,AN32&lt;=$U$2),IF(AO32='ESTRATTO CONTO'!$E$2,1+COUNTIF(AL$4:AL31,"&gt;0")+U$1009,0),0))</f>
        <v>0</v>
      </c>
      <c r="AM32" s="747">
        <f t="shared" si="10"/>
        <v>29</v>
      </c>
      <c r="AN32" s="164" t="e">
        <f>VLOOKUP($AM32,PATRIMONIALE!$AV32:AW$1003,2,FALSE)</f>
        <v>#N/A</v>
      </c>
      <c r="AO32" s="310" t="e">
        <f>VLOOKUP($AM32,PATRIMONIALE!$AV32:AX$1003,3,FALSE)</f>
        <v>#N/A</v>
      </c>
      <c r="AP32" s="310" t="e">
        <f>VLOOKUP($AM32,PATRIMONIALE!$AV32:AY$1003,4,FALSE)</f>
        <v>#N/A</v>
      </c>
      <c r="AQ32" s="748" t="e">
        <f>VLOOKUP($AM32,PATRIMONIALE!$AV32:AZ$1003,5,FALSE)</f>
        <v>#N/A</v>
      </c>
      <c r="AR32" s="1"/>
      <c r="AS32" s="461">
        <f t="shared" si="7"/>
        <v>0</v>
      </c>
      <c r="AT32" s="370"/>
    </row>
    <row r="33" spans="1:46" ht="16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435">
        <f>IF(AND(W33&gt;=$U$1,W33&lt;=$U$2),IF(X33='ESTRATTO CONTO'!$E$2,1+COUNTIF(U$4:U32,"&gt;0"),0),0)</f>
        <v>0</v>
      </c>
      <c r="V33" s="417">
        <f t="shared" si="9"/>
        <v>30</v>
      </c>
      <c r="W33" s="509">
        <v>45656</v>
      </c>
      <c r="X33" s="905" t="s">
        <v>575</v>
      </c>
      <c r="Y33" s="905"/>
      <c r="Z33" s="433">
        <v>50</v>
      </c>
      <c r="AA33" s="356"/>
      <c r="AB33" s="306" t="str">
        <f t="shared" si="0"/>
        <v>Nome ENTE ultimo disponibile-12</v>
      </c>
      <c r="AC33" s="893" t="str">
        <f t="shared" si="1"/>
        <v>POSTA C/C nr. 7654321   +</v>
      </c>
      <c r="AD33" s="322" t="s">
        <v>502</v>
      </c>
      <c r="AE33" s="1"/>
      <c r="AF33" s="223">
        <f>IF(ISBLANK(AD33),0,COUNTIF(AF$4:AF32,"&gt;0")+1)</f>
        <v>30</v>
      </c>
      <c r="AG33" s="164">
        <f t="shared" si="13"/>
        <v>45656</v>
      </c>
      <c r="AH33" s="99" t="str">
        <f t="shared" si="3"/>
        <v>POSTA C/C nr. 7654321</v>
      </c>
      <c r="AI33" s="99">
        <f t="shared" si="14"/>
        <v>0</v>
      </c>
      <c r="AJ33" s="170">
        <f t="shared" si="15"/>
        <v>50</v>
      </c>
      <c r="AK33" s="204" t="str">
        <f t="shared" si="6"/>
        <v>Nome ENTE ultimo disponibile</v>
      </c>
      <c r="AL33" s="1049">
        <f>IF(ISERROR(AO33),0,IF(AND(AN33&gt;=$U$1,AN33&lt;=$U$2),IF(AO33='ESTRATTO CONTO'!$E$2,1+COUNTIF(AL$4:AL32,"&gt;0")+U$1009,0),0))</f>
        <v>0</v>
      </c>
      <c r="AM33" s="747">
        <f t="shared" si="10"/>
        <v>30</v>
      </c>
      <c r="AN33" s="164" t="e">
        <f>VLOOKUP($AM33,PATRIMONIALE!$AV33:AW$1003,2,FALSE)</f>
        <v>#N/A</v>
      </c>
      <c r="AO33" s="310" t="e">
        <f>VLOOKUP($AM33,PATRIMONIALE!$AV33:AX$1003,3,FALSE)</f>
        <v>#N/A</v>
      </c>
      <c r="AP33" s="310" t="e">
        <f>VLOOKUP($AM33,PATRIMONIALE!$AV33:AY$1003,4,FALSE)</f>
        <v>#N/A</v>
      </c>
      <c r="AQ33" s="748" t="e">
        <f>VLOOKUP($AM33,PATRIMONIALE!$AV33:AZ$1003,5,FALSE)</f>
        <v>#N/A</v>
      </c>
      <c r="AR33" s="1"/>
      <c r="AS33" s="461">
        <f t="shared" si="7"/>
        <v>0</v>
      </c>
      <c r="AT33" s="370"/>
    </row>
    <row r="34" spans="1:46" ht="16.5" customHeight="1">
      <c r="A34" s="1"/>
      <c r="B34" s="1225" t="str">
        <f>Presentazione!$B$85</f>
        <v>Questo file risulta al momento completamente funzionante ed il sistema rileva tutti i suoi fogli.</v>
      </c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"/>
      <c r="U34" s="435">
        <f>IF(AND(W34&gt;=$U$1,W34&lt;=$U$2),IF(X34='ESTRATTO CONTO'!$E$2,1+COUNTIF(U$4:U33,"&gt;0"),0),0)</f>
        <v>0</v>
      </c>
      <c r="V34" s="417">
        <f t="shared" si="9"/>
        <v>31</v>
      </c>
      <c r="W34" s="509"/>
      <c r="X34" s="905"/>
      <c r="Y34" s="321"/>
      <c r="Z34" s="433"/>
      <c r="AA34" s="356"/>
      <c r="AB34" s="306" t="str">
        <f t="shared" si="0"/>
        <v/>
      </c>
      <c r="AC34" s="893">
        <f t="shared" si="1"/>
        <v>0</v>
      </c>
      <c r="AD34" s="322"/>
      <c r="AE34" s="1"/>
      <c r="AF34" s="223">
        <f>IF(ISBLANK(AD34),0,COUNTIF(AF$4:AF33,"&gt;0")+1)</f>
        <v>0</v>
      </c>
      <c r="AG34" s="164">
        <f t="shared" si="13"/>
        <v>0</v>
      </c>
      <c r="AH34" s="99">
        <f t="shared" si="3"/>
        <v>0</v>
      </c>
      <c r="AI34" s="99">
        <f t="shared" si="14"/>
        <v>0</v>
      </c>
      <c r="AJ34" s="170">
        <f t="shared" si="15"/>
        <v>0</v>
      </c>
      <c r="AK34" s="204">
        <f t="shared" si="6"/>
        <v>0</v>
      </c>
      <c r="AL34" s="1049">
        <f>IF(ISERROR(AO34),0,IF(AND(AN34&gt;=$U$1,AN34&lt;=$U$2),IF(AO34='ESTRATTO CONTO'!$E$2,1+COUNTIF(AL$4:AL33,"&gt;0")+U$1009,0),0))</f>
        <v>0</v>
      </c>
      <c r="AM34" s="747">
        <f t="shared" si="10"/>
        <v>31</v>
      </c>
      <c r="AN34" s="164" t="e">
        <f>VLOOKUP($AM34,PATRIMONIALE!$AV34:AW$1003,2,FALSE)</f>
        <v>#N/A</v>
      </c>
      <c r="AO34" s="310" t="e">
        <f>VLOOKUP($AM34,PATRIMONIALE!$AV34:AX$1003,3,FALSE)</f>
        <v>#N/A</v>
      </c>
      <c r="AP34" s="310" t="e">
        <f>VLOOKUP($AM34,PATRIMONIALE!$AV34:AY$1003,4,FALSE)</f>
        <v>#N/A</v>
      </c>
      <c r="AQ34" s="748" t="e">
        <f>VLOOKUP($AM34,PATRIMONIALE!$AV34:AZ$1003,5,FALSE)</f>
        <v>#N/A</v>
      </c>
      <c r="AR34" s="1"/>
      <c r="AS34" s="461" t="str">
        <f t="shared" si="7"/>
        <v/>
      </c>
      <c r="AT34" s="370"/>
    </row>
    <row r="35" spans="1:46" ht="16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435">
        <f>IF(AND(W35&gt;=$U$1,W35&lt;=$U$2),IF(X35='ESTRATTO CONTO'!$E$2,1+COUNTIF(U$4:U34,"&gt;0"),0),0)</f>
        <v>0</v>
      </c>
      <c r="V35" s="417">
        <f t="shared" si="9"/>
        <v>32</v>
      </c>
      <c r="W35" s="509"/>
      <c r="X35" s="905"/>
      <c r="Y35" s="321"/>
      <c r="Z35" s="433"/>
      <c r="AA35" s="356"/>
      <c r="AB35" s="306" t="str">
        <f t="shared" si="0"/>
        <v/>
      </c>
      <c r="AC35" s="893">
        <f t="shared" si="1"/>
        <v>0</v>
      </c>
      <c r="AD35" s="322"/>
      <c r="AE35" s="1"/>
      <c r="AF35" s="223">
        <f>IF(ISBLANK(AD35),0,COUNTIF(AF$4:AF34,"&gt;0")+1)</f>
        <v>0</v>
      </c>
      <c r="AG35" s="164">
        <f t="shared" si="13"/>
        <v>0</v>
      </c>
      <c r="AH35" s="99">
        <f t="shared" si="3"/>
        <v>0</v>
      </c>
      <c r="AI35" s="99">
        <f t="shared" si="14"/>
        <v>0</v>
      </c>
      <c r="AJ35" s="170">
        <f t="shared" si="15"/>
        <v>0</v>
      </c>
      <c r="AK35" s="204">
        <f t="shared" si="6"/>
        <v>0</v>
      </c>
      <c r="AL35" s="1049">
        <f>IF(ISERROR(AO35),0,IF(AND(AN35&gt;=$U$1,AN35&lt;=$U$2),IF(AO35='ESTRATTO CONTO'!$E$2,1+COUNTIF(AL$4:AL34,"&gt;0")+U$1009,0),0))</f>
        <v>0</v>
      </c>
      <c r="AM35" s="747">
        <f t="shared" si="10"/>
        <v>32</v>
      </c>
      <c r="AN35" s="164" t="e">
        <f>VLOOKUP($AM35,PATRIMONIALE!$AV35:AW$1003,2,FALSE)</f>
        <v>#N/A</v>
      </c>
      <c r="AO35" s="310" t="e">
        <f>VLOOKUP($AM35,PATRIMONIALE!$AV35:AX$1003,3,FALSE)</f>
        <v>#N/A</v>
      </c>
      <c r="AP35" s="310" t="e">
        <f>VLOOKUP($AM35,PATRIMONIALE!$AV35:AY$1003,4,FALSE)</f>
        <v>#N/A</v>
      </c>
      <c r="AQ35" s="748" t="e">
        <f>VLOOKUP($AM35,PATRIMONIALE!$AV35:AZ$1003,5,FALSE)</f>
        <v>#N/A</v>
      </c>
      <c r="AR35" s="1"/>
      <c r="AS35" s="461" t="str">
        <f t="shared" si="7"/>
        <v/>
      </c>
      <c r="AT35" s="370"/>
    </row>
    <row r="36" spans="1:46" ht="16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435">
        <f>IF(AND(W36&gt;=$U$1,W36&lt;=$U$2),IF(X36='ESTRATTO CONTO'!$E$2,1+COUNTIF(U$4:U35,"&gt;0"),0),0)</f>
        <v>0</v>
      </c>
      <c r="V36" s="417">
        <f t="shared" si="9"/>
        <v>33</v>
      </c>
      <c r="W36" s="509"/>
      <c r="X36" s="905"/>
      <c r="Y36" s="321"/>
      <c r="Z36" s="433"/>
      <c r="AA36" s="356"/>
      <c r="AB36" s="306" t="str">
        <f t="shared" si="0"/>
        <v/>
      </c>
      <c r="AC36" s="893">
        <f t="shared" si="1"/>
        <v>0</v>
      </c>
      <c r="AD36" s="322"/>
      <c r="AE36" s="1"/>
      <c r="AF36" s="223">
        <f>IF(ISBLANK(AD36),0,COUNTIF(AF$4:AF35,"&gt;0")+1)</f>
        <v>0</v>
      </c>
      <c r="AG36" s="164">
        <f t="shared" si="13"/>
        <v>0</v>
      </c>
      <c r="AH36" s="99">
        <f t="shared" si="3"/>
        <v>0</v>
      </c>
      <c r="AI36" s="99">
        <f t="shared" si="14"/>
        <v>0</v>
      </c>
      <c r="AJ36" s="170">
        <f t="shared" si="15"/>
        <v>0</v>
      </c>
      <c r="AK36" s="204">
        <f t="shared" si="6"/>
        <v>0</v>
      </c>
      <c r="AL36" s="1049">
        <f>IF(ISERROR(AO36),0,IF(AND(AN36&gt;=$U$1,AN36&lt;=$U$2),IF(AO36='ESTRATTO CONTO'!$E$2,1+COUNTIF(AL$4:AL35,"&gt;0")+U$1009,0),0))</f>
        <v>0</v>
      </c>
      <c r="AM36" s="747">
        <f t="shared" si="10"/>
        <v>33</v>
      </c>
      <c r="AN36" s="164" t="e">
        <f>VLOOKUP($AM36,PATRIMONIALE!$AV36:AW$1003,2,FALSE)</f>
        <v>#N/A</v>
      </c>
      <c r="AO36" s="310" t="e">
        <f>VLOOKUP($AM36,PATRIMONIALE!$AV36:AX$1003,3,FALSE)</f>
        <v>#N/A</v>
      </c>
      <c r="AP36" s="310" t="e">
        <f>VLOOKUP($AM36,PATRIMONIALE!$AV36:AY$1003,4,FALSE)</f>
        <v>#N/A</v>
      </c>
      <c r="AQ36" s="748" t="e">
        <f>VLOOKUP($AM36,PATRIMONIALE!$AV36:AZ$1003,5,FALSE)</f>
        <v>#N/A</v>
      </c>
      <c r="AR36" s="1"/>
      <c r="AS36" s="461" t="str">
        <f t="shared" si="7"/>
        <v/>
      </c>
      <c r="AT36" s="370"/>
    </row>
    <row r="37" spans="1:46" ht="16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435">
        <f>IF(AND(W37&gt;=$U$1,W37&lt;=$U$2),IF(X37='ESTRATTO CONTO'!$E$2,1+COUNTIF(U$4:U36,"&gt;0"),0),0)</f>
        <v>0</v>
      </c>
      <c r="V37" s="417">
        <f t="shared" si="9"/>
        <v>34</v>
      </c>
      <c r="W37" s="509"/>
      <c r="X37" s="905"/>
      <c r="Y37" s="321"/>
      <c r="Z37" s="433"/>
      <c r="AA37" s="356"/>
      <c r="AB37" s="306" t="str">
        <f t="shared" si="0"/>
        <v/>
      </c>
      <c r="AC37" s="893">
        <f t="shared" si="1"/>
        <v>0</v>
      </c>
      <c r="AD37" s="322"/>
      <c r="AE37" s="1"/>
      <c r="AF37" s="223">
        <f>IF(ISBLANK(AD37),0,COUNTIF(AF$4:AF36,"&gt;0")+1)</f>
        <v>0</v>
      </c>
      <c r="AG37" s="164">
        <f t="shared" si="13"/>
        <v>0</v>
      </c>
      <c r="AH37" s="99">
        <f t="shared" si="3"/>
        <v>0</v>
      </c>
      <c r="AI37" s="99">
        <f t="shared" si="14"/>
        <v>0</v>
      </c>
      <c r="AJ37" s="170">
        <f t="shared" si="15"/>
        <v>0</v>
      </c>
      <c r="AK37" s="204">
        <f t="shared" si="6"/>
        <v>0</v>
      </c>
      <c r="AL37" s="1049">
        <f>IF(ISERROR(AO37),0,IF(AND(AN37&gt;=$U$1,AN37&lt;=$U$2),IF(AO37='ESTRATTO CONTO'!$E$2,1+COUNTIF(AL$4:AL36,"&gt;0")+U$1009,0),0))</f>
        <v>0</v>
      </c>
      <c r="AM37" s="747">
        <f t="shared" si="10"/>
        <v>34</v>
      </c>
      <c r="AN37" s="164" t="e">
        <f>VLOOKUP($AM37,PATRIMONIALE!$AV37:AW$1003,2,FALSE)</f>
        <v>#N/A</v>
      </c>
      <c r="AO37" s="310" t="e">
        <f>VLOOKUP($AM37,PATRIMONIALE!$AV37:AX$1003,3,FALSE)</f>
        <v>#N/A</v>
      </c>
      <c r="AP37" s="310" t="e">
        <f>VLOOKUP($AM37,PATRIMONIALE!$AV37:AY$1003,4,FALSE)</f>
        <v>#N/A</v>
      </c>
      <c r="AQ37" s="748" t="e">
        <f>VLOOKUP($AM37,PATRIMONIALE!$AV37:AZ$1003,5,FALSE)</f>
        <v>#N/A</v>
      </c>
      <c r="AR37" s="1"/>
      <c r="AS37" s="461" t="str">
        <f t="shared" si="7"/>
        <v/>
      </c>
      <c r="AT37" s="370"/>
    </row>
    <row r="38" spans="1:46" ht="16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435">
        <f>IF(AND(W38&gt;=$U$1,W38&lt;=$U$2),IF(X38='ESTRATTO CONTO'!$E$2,1+COUNTIF(U$4:U37,"&gt;0"),0),0)</f>
        <v>0</v>
      </c>
      <c r="V38" s="417">
        <f t="shared" si="9"/>
        <v>35</v>
      </c>
      <c r="W38" s="509"/>
      <c r="X38" s="905"/>
      <c r="Y38" s="321"/>
      <c r="Z38" s="433"/>
      <c r="AA38" s="356"/>
      <c r="AB38" s="306" t="str">
        <f t="shared" si="0"/>
        <v/>
      </c>
      <c r="AC38" s="893">
        <f t="shared" si="1"/>
        <v>0</v>
      </c>
      <c r="AD38" s="322"/>
      <c r="AE38" s="1"/>
      <c r="AF38" s="223">
        <f>IF(ISBLANK(AD38),0,COUNTIF(AF$4:AF37,"&gt;0")+1)</f>
        <v>0</v>
      </c>
      <c r="AG38" s="164">
        <f t="shared" si="13"/>
        <v>0</v>
      </c>
      <c r="AH38" s="99">
        <f t="shared" si="3"/>
        <v>0</v>
      </c>
      <c r="AI38" s="99">
        <f t="shared" si="14"/>
        <v>0</v>
      </c>
      <c r="AJ38" s="170">
        <f t="shared" si="15"/>
        <v>0</v>
      </c>
      <c r="AK38" s="204">
        <f t="shared" si="6"/>
        <v>0</v>
      </c>
      <c r="AL38" s="1049">
        <f>IF(ISERROR(AO38),0,IF(AND(AN38&gt;=$U$1,AN38&lt;=$U$2),IF(AO38='ESTRATTO CONTO'!$E$2,1+COUNTIF(AL$4:AL37,"&gt;0")+U$1009,0),0))</f>
        <v>0</v>
      </c>
      <c r="AM38" s="747">
        <f t="shared" si="10"/>
        <v>35</v>
      </c>
      <c r="AN38" s="164" t="e">
        <f>VLOOKUP($AM38,PATRIMONIALE!$AV38:AW$1003,2,FALSE)</f>
        <v>#N/A</v>
      </c>
      <c r="AO38" s="310" t="e">
        <f>VLOOKUP($AM38,PATRIMONIALE!$AV38:AX$1003,3,FALSE)</f>
        <v>#N/A</v>
      </c>
      <c r="AP38" s="310" t="e">
        <f>VLOOKUP($AM38,PATRIMONIALE!$AV38:AY$1003,4,FALSE)</f>
        <v>#N/A</v>
      </c>
      <c r="AQ38" s="748" t="e">
        <f>VLOOKUP($AM38,PATRIMONIALE!$AV38:AZ$1003,5,FALSE)</f>
        <v>#N/A</v>
      </c>
      <c r="AR38" s="1"/>
      <c r="AS38" s="461" t="str">
        <f t="shared" si="7"/>
        <v/>
      </c>
      <c r="AT38" s="370"/>
    </row>
    <row r="39" spans="1:46" ht="16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435">
        <f>IF(AND(W39&gt;=$U$1,W39&lt;=$U$2),IF(X39='ESTRATTO CONTO'!$E$2,1+COUNTIF(U$4:U38,"&gt;0"),0),0)</f>
        <v>0</v>
      </c>
      <c r="V39" s="417">
        <f t="shared" si="9"/>
        <v>36</v>
      </c>
      <c r="W39" s="509"/>
      <c r="X39" s="905"/>
      <c r="Y39" s="321"/>
      <c r="Z39" s="433"/>
      <c r="AA39" s="356"/>
      <c r="AB39" s="306" t="str">
        <f t="shared" si="0"/>
        <v/>
      </c>
      <c r="AC39" s="893">
        <f t="shared" si="1"/>
        <v>0</v>
      </c>
      <c r="AD39" s="322"/>
      <c r="AE39" s="1"/>
      <c r="AF39" s="223">
        <f>IF(ISBLANK(AD39),0,COUNTIF(AF$4:AF38,"&gt;0")+1)</f>
        <v>0</v>
      </c>
      <c r="AG39" s="164">
        <f t="shared" si="13"/>
        <v>0</v>
      </c>
      <c r="AH39" s="99">
        <f t="shared" si="3"/>
        <v>0</v>
      </c>
      <c r="AI39" s="99">
        <f t="shared" si="14"/>
        <v>0</v>
      </c>
      <c r="AJ39" s="170">
        <f t="shared" si="15"/>
        <v>0</v>
      </c>
      <c r="AK39" s="204">
        <f t="shared" si="6"/>
        <v>0</v>
      </c>
      <c r="AL39" s="1049">
        <f>IF(ISERROR(AO39),0,IF(AND(AN39&gt;=$U$1,AN39&lt;=$U$2),IF(AO39='ESTRATTO CONTO'!$E$2,1+COUNTIF(AL$4:AL38,"&gt;0")+U$1009,0),0))</f>
        <v>0</v>
      </c>
      <c r="AM39" s="747">
        <f t="shared" si="10"/>
        <v>36</v>
      </c>
      <c r="AN39" s="164" t="e">
        <f>VLOOKUP($AM39,PATRIMONIALE!$AV39:AW$1003,2,FALSE)</f>
        <v>#N/A</v>
      </c>
      <c r="AO39" s="310" t="e">
        <f>VLOOKUP($AM39,PATRIMONIALE!$AV39:AX$1003,3,FALSE)</f>
        <v>#N/A</v>
      </c>
      <c r="AP39" s="310" t="e">
        <f>VLOOKUP($AM39,PATRIMONIALE!$AV39:AY$1003,4,FALSE)</f>
        <v>#N/A</v>
      </c>
      <c r="AQ39" s="748" t="e">
        <f>VLOOKUP($AM39,PATRIMONIALE!$AV39:AZ$1003,5,FALSE)</f>
        <v>#N/A</v>
      </c>
      <c r="AR39" s="1"/>
      <c r="AS39" s="461" t="str">
        <f t="shared" si="7"/>
        <v/>
      </c>
      <c r="AT39" s="370"/>
    </row>
    <row r="40" spans="1:46" ht="16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435">
        <f>IF(AND(W40&gt;=$U$1,W40&lt;=$U$2),IF(X40='ESTRATTO CONTO'!$E$2,1+COUNTIF(U$4:U39,"&gt;0"),0),0)</f>
        <v>0</v>
      </c>
      <c r="V40" s="417">
        <f t="shared" si="9"/>
        <v>37</v>
      </c>
      <c r="W40" s="509"/>
      <c r="X40" s="905"/>
      <c r="Y40" s="321"/>
      <c r="Z40" s="433"/>
      <c r="AA40" s="356"/>
      <c r="AB40" s="306" t="str">
        <f t="shared" si="0"/>
        <v/>
      </c>
      <c r="AC40" s="893">
        <f t="shared" si="1"/>
        <v>0</v>
      </c>
      <c r="AD40" s="322"/>
      <c r="AE40" s="1"/>
      <c r="AF40" s="223">
        <f>IF(ISBLANK(AD40),0,COUNTIF(AF$4:AF39,"&gt;0")+1)</f>
        <v>0</v>
      </c>
      <c r="AG40" s="164">
        <f t="shared" si="13"/>
        <v>0</v>
      </c>
      <c r="AH40" s="99">
        <f t="shared" si="3"/>
        <v>0</v>
      </c>
      <c r="AI40" s="99">
        <f t="shared" si="14"/>
        <v>0</v>
      </c>
      <c r="AJ40" s="170">
        <f t="shared" si="15"/>
        <v>0</v>
      </c>
      <c r="AK40" s="204">
        <f t="shared" si="6"/>
        <v>0</v>
      </c>
      <c r="AL40" s="1049">
        <f>IF(ISERROR(AO40),0,IF(AND(AN40&gt;=$U$1,AN40&lt;=$U$2),IF(AO40='ESTRATTO CONTO'!$E$2,1+COUNTIF(AL$4:AL39,"&gt;0")+U$1009,0),0))</f>
        <v>0</v>
      </c>
      <c r="AM40" s="747">
        <f t="shared" si="10"/>
        <v>37</v>
      </c>
      <c r="AN40" s="164" t="e">
        <f>VLOOKUP($AM40,PATRIMONIALE!$AV40:AW$1003,2,FALSE)</f>
        <v>#N/A</v>
      </c>
      <c r="AO40" s="310" t="e">
        <f>VLOOKUP($AM40,PATRIMONIALE!$AV40:AX$1003,3,FALSE)</f>
        <v>#N/A</v>
      </c>
      <c r="AP40" s="310" t="e">
        <f>VLOOKUP($AM40,PATRIMONIALE!$AV40:AY$1003,4,FALSE)</f>
        <v>#N/A</v>
      </c>
      <c r="AQ40" s="748" t="e">
        <f>VLOOKUP($AM40,PATRIMONIALE!$AV40:AZ$1003,5,FALSE)</f>
        <v>#N/A</v>
      </c>
      <c r="AR40" s="1"/>
      <c r="AS40" s="461" t="str">
        <f t="shared" si="7"/>
        <v/>
      </c>
      <c r="AT40" s="370"/>
    </row>
    <row r="41" spans="1:46" ht="16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435">
        <f>IF(AND(W41&gt;=$U$1,W41&lt;=$U$2),IF(X41='ESTRATTO CONTO'!$E$2,1+COUNTIF(U$4:U40,"&gt;0"),0),0)</f>
        <v>0</v>
      </c>
      <c r="V41" s="417">
        <f t="shared" si="9"/>
        <v>38</v>
      </c>
      <c r="W41" s="509"/>
      <c r="X41" s="905"/>
      <c r="Y41" s="321"/>
      <c r="Z41" s="433"/>
      <c r="AA41" s="356"/>
      <c r="AB41" s="306" t="str">
        <f t="shared" si="0"/>
        <v/>
      </c>
      <c r="AC41" s="893">
        <f t="shared" si="1"/>
        <v>0</v>
      </c>
      <c r="AD41" s="322"/>
      <c r="AE41" s="1"/>
      <c r="AF41" s="223">
        <f>IF(ISBLANK(AD41),0,COUNTIF(AF$4:AF40,"&gt;0")+1)</f>
        <v>0</v>
      </c>
      <c r="AG41" s="164">
        <f t="shared" si="13"/>
        <v>0</v>
      </c>
      <c r="AH41" s="99">
        <f t="shared" si="3"/>
        <v>0</v>
      </c>
      <c r="AI41" s="99">
        <f t="shared" si="14"/>
        <v>0</v>
      </c>
      <c r="AJ41" s="170">
        <f t="shared" si="15"/>
        <v>0</v>
      </c>
      <c r="AK41" s="204">
        <f t="shared" si="6"/>
        <v>0</v>
      </c>
      <c r="AL41" s="1049">
        <f>IF(ISERROR(AO41),0,IF(AND(AN41&gt;=$U$1,AN41&lt;=$U$2),IF(AO41='ESTRATTO CONTO'!$E$2,1+COUNTIF(AL$4:AL40,"&gt;0")+U$1009,0),0))</f>
        <v>0</v>
      </c>
      <c r="AM41" s="747">
        <f t="shared" si="10"/>
        <v>38</v>
      </c>
      <c r="AN41" s="164" t="e">
        <f>VLOOKUP($AM41,PATRIMONIALE!$AV93:AW$1003,2,FALSE)</f>
        <v>#N/A</v>
      </c>
      <c r="AO41" s="310" t="e">
        <f>VLOOKUP($AM41,PATRIMONIALE!$AV93:AX$1003,3,FALSE)</f>
        <v>#N/A</v>
      </c>
      <c r="AP41" s="310" t="e">
        <f>VLOOKUP($AM41,PATRIMONIALE!$AV93:AY$1003,4,FALSE)</f>
        <v>#N/A</v>
      </c>
      <c r="AQ41" s="748" t="e">
        <f>VLOOKUP($AM41,PATRIMONIALE!$AV93:AZ$1003,5,FALSE)</f>
        <v>#N/A</v>
      </c>
      <c r="AR41" s="1"/>
      <c r="AS41" s="461" t="str">
        <f t="shared" si="7"/>
        <v/>
      </c>
      <c r="AT41" s="370"/>
    </row>
    <row r="42" spans="1:46" ht="16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435">
        <f>IF(AND(W42&gt;=$U$1,W42&lt;=$U$2),IF(X42='ESTRATTO CONTO'!$E$2,1+COUNTIF(U$4:U41,"&gt;0"),0),0)</f>
        <v>0</v>
      </c>
      <c r="V42" s="417">
        <f t="shared" si="9"/>
        <v>39</v>
      </c>
      <c r="W42" s="509"/>
      <c r="X42" s="905"/>
      <c r="Y42" s="321"/>
      <c r="Z42" s="433"/>
      <c r="AA42" s="356"/>
      <c r="AB42" s="306" t="str">
        <f t="shared" si="0"/>
        <v/>
      </c>
      <c r="AC42" s="893">
        <f t="shared" si="1"/>
        <v>0</v>
      </c>
      <c r="AD42" s="322"/>
      <c r="AE42" s="1"/>
      <c r="AF42" s="223">
        <f>IF(ISBLANK(AD42),0,COUNTIF(AF$4:AF41,"&gt;0")+1)</f>
        <v>0</v>
      </c>
      <c r="AG42" s="164">
        <f t="shared" si="13"/>
        <v>0</v>
      </c>
      <c r="AH42" s="99">
        <f t="shared" si="3"/>
        <v>0</v>
      </c>
      <c r="AI42" s="99">
        <f t="shared" si="14"/>
        <v>0</v>
      </c>
      <c r="AJ42" s="170">
        <f t="shared" si="15"/>
        <v>0</v>
      </c>
      <c r="AK42" s="204">
        <f t="shared" si="6"/>
        <v>0</v>
      </c>
      <c r="AL42" s="1049">
        <f>IF(ISERROR(AO42),0,IF(AND(AN42&gt;=$U$1,AN42&lt;=$U$2),IF(AO42='ESTRATTO CONTO'!$E$2,1+COUNTIF(AL$4:AL41,"&gt;0")+U$1009,0),0))</f>
        <v>0</v>
      </c>
      <c r="AM42" s="747">
        <f t="shared" si="10"/>
        <v>39</v>
      </c>
      <c r="AN42" s="164" t="e">
        <f>VLOOKUP($AM42,PATRIMONIALE!$AV94:AW$1003,2,FALSE)</f>
        <v>#N/A</v>
      </c>
      <c r="AO42" s="310" t="e">
        <f>VLOOKUP($AM42,PATRIMONIALE!$AV94:AX$1003,3,FALSE)</f>
        <v>#N/A</v>
      </c>
      <c r="AP42" s="310" t="e">
        <f>VLOOKUP($AM42,PATRIMONIALE!$AV94:AY$1003,4,FALSE)</f>
        <v>#N/A</v>
      </c>
      <c r="AQ42" s="748" t="e">
        <f>VLOOKUP($AM42,PATRIMONIALE!$AV94:AZ$1003,5,FALSE)</f>
        <v>#N/A</v>
      </c>
      <c r="AR42" s="1"/>
      <c r="AS42" s="461" t="str">
        <f t="shared" si="7"/>
        <v/>
      </c>
      <c r="AT42" s="370"/>
    </row>
    <row r="43" spans="1:46" ht="16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435">
        <f>IF(AND(W43&gt;=$U$1,W43&lt;=$U$2),IF(X43='ESTRATTO CONTO'!$E$2,1+COUNTIF(U$4:U42,"&gt;0"),0),0)</f>
        <v>0</v>
      </c>
      <c r="V43" s="417">
        <f t="shared" si="9"/>
        <v>40</v>
      </c>
      <c r="W43" s="509"/>
      <c r="X43" s="905"/>
      <c r="Y43" s="321"/>
      <c r="Z43" s="433"/>
      <c r="AA43" s="356"/>
      <c r="AB43" s="306" t="str">
        <f t="shared" si="0"/>
        <v/>
      </c>
      <c r="AC43" s="893">
        <f t="shared" si="1"/>
        <v>0</v>
      </c>
      <c r="AD43" s="322"/>
      <c r="AE43" s="1"/>
      <c r="AF43" s="223">
        <f>IF(ISBLANK(AD43),0,COUNTIF(AF$4:AF42,"&gt;0")+1)</f>
        <v>0</v>
      </c>
      <c r="AG43" s="164">
        <f t="shared" si="13"/>
        <v>0</v>
      </c>
      <c r="AH43" s="99">
        <f t="shared" si="3"/>
        <v>0</v>
      </c>
      <c r="AI43" s="99">
        <f t="shared" si="14"/>
        <v>0</v>
      </c>
      <c r="AJ43" s="170">
        <f t="shared" si="15"/>
        <v>0</v>
      </c>
      <c r="AK43" s="204">
        <f t="shared" si="6"/>
        <v>0</v>
      </c>
      <c r="AL43" s="1049">
        <f>IF(ISERROR(AO43),0,IF(AND(AN43&gt;=$U$1,AN43&lt;=$U$2),IF(AO43='ESTRATTO CONTO'!$E$2,1+COUNTIF(AL$4:AL42,"&gt;0")+U$1009,0),0))</f>
        <v>0</v>
      </c>
      <c r="AM43" s="747">
        <f t="shared" si="10"/>
        <v>40</v>
      </c>
      <c r="AN43" s="164" t="e">
        <f>VLOOKUP($AM43,PATRIMONIALE!$AV95:AW$1003,2,FALSE)</f>
        <v>#N/A</v>
      </c>
      <c r="AO43" s="310" t="e">
        <f>VLOOKUP($AM43,PATRIMONIALE!$AV95:AX$1003,3,FALSE)</f>
        <v>#N/A</v>
      </c>
      <c r="AP43" s="310" t="e">
        <f>VLOOKUP($AM43,PATRIMONIALE!$AV95:AY$1003,4,FALSE)</f>
        <v>#N/A</v>
      </c>
      <c r="AQ43" s="748" t="e">
        <f>VLOOKUP($AM43,PATRIMONIALE!$AV95:AZ$1003,5,FALSE)</f>
        <v>#N/A</v>
      </c>
      <c r="AR43" s="1"/>
      <c r="AS43" s="461" t="str">
        <f t="shared" si="7"/>
        <v/>
      </c>
      <c r="AT43" s="370"/>
    </row>
    <row r="44" spans="1:46" ht="16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435">
        <f>IF(AND(W44&gt;=$U$1,W44&lt;=$U$2),IF(X44='ESTRATTO CONTO'!$E$2,1+COUNTIF(U$4:U43,"&gt;0"),0),0)</f>
        <v>0</v>
      </c>
      <c r="V44" s="417">
        <f t="shared" si="9"/>
        <v>41</v>
      </c>
      <c r="W44" s="509"/>
      <c r="X44" s="905"/>
      <c r="Y44" s="321"/>
      <c r="Z44" s="433"/>
      <c r="AA44" s="356"/>
      <c r="AB44" s="306" t="str">
        <f t="shared" si="0"/>
        <v/>
      </c>
      <c r="AC44" s="893">
        <f t="shared" si="1"/>
        <v>0</v>
      </c>
      <c r="AD44" s="322"/>
      <c r="AE44" s="1"/>
      <c r="AF44" s="223">
        <f>IF(ISBLANK(AD44),0,COUNTIF(AF$4:AF43,"&gt;0")+1)</f>
        <v>0</v>
      </c>
      <c r="AG44" s="164">
        <f t="shared" si="13"/>
        <v>0</v>
      </c>
      <c r="AH44" s="99">
        <f t="shared" si="3"/>
        <v>0</v>
      </c>
      <c r="AI44" s="99">
        <f t="shared" si="14"/>
        <v>0</v>
      </c>
      <c r="AJ44" s="170">
        <f t="shared" si="15"/>
        <v>0</v>
      </c>
      <c r="AK44" s="204">
        <f t="shared" si="6"/>
        <v>0</v>
      </c>
      <c r="AL44" s="1049">
        <f>IF(ISERROR(AO44),0,IF(AND(AN44&gt;=$U$1,AN44&lt;=$U$2),IF(AO44='ESTRATTO CONTO'!$E$2,1+COUNTIF(AL$4:AL43,"&gt;0")+U$1009,0),0))</f>
        <v>0</v>
      </c>
      <c r="AM44" s="747">
        <f t="shared" si="10"/>
        <v>41</v>
      </c>
      <c r="AN44" s="164" t="e">
        <f>VLOOKUP($AM44,PATRIMONIALE!$AV96:AW$1003,2,FALSE)</f>
        <v>#N/A</v>
      </c>
      <c r="AO44" s="310" t="e">
        <f>VLOOKUP($AM44,PATRIMONIALE!$AV96:AX$1003,3,FALSE)</f>
        <v>#N/A</v>
      </c>
      <c r="AP44" s="310" t="e">
        <f>VLOOKUP($AM44,PATRIMONIALE!$AV96:AY$1003,4,FALSE)</f>
        <v>#N/A</v>
      </c>
      <c r="AQ44" s="748" t="e">
        <f>VLOOKUP($AM44,PATRIMONIALE!$AV96:AZ$1003,5,FALSE)</f>
        <v>#N/A</v>
      </c>
      <c r="AR44" s="1"/>
      <c r="AS44" s="461" t="str">
        <f t="shared" si="7"/>
        <v/>
      </c>
      <c r="AT44" s="370"/>
    </row>
    <row r="45" spans="1:46" ht="16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435">
        <f>IF(AND(W45&gt;=$U$1,W45&lt;=$U$2),IF(X45='ESTRATTO CONTO'!$E$2,1+COUNTIF(U$4:U44,"&gt;0"),0),0)</f>
        <v>0</v>
      </c>
      <c r="V45" s="417">
        <f t="shared" si="9"/>
        <v>42</v>
      </c>
      <c r="W45" s="509"/>
      <c r="X45" s="905"/>
      <c r="Y45" s="321"/>
      <c r="Z45" s="433"/>
      <c r="AA45" s="356"/>
      <c r="AB45" s="306" t="str">
        <f t="shared" si="0"/>
        <v/>
      </c>
      <c r="AC45" s="893">
        <f t="shared" si="1"/>
        <v>0</v>
      </c>
      <c r="AD45" s="322"/>
      <c r="AE45" s="1"/>
      <c r="AF45" s="223">
        <f>IF(ISBLANK(AD45),0,COUNTIF(AF$4:AF44,"&gt;0")+1)</f>
        <v>0</v>
      </c>
      <c r="AG45" s="164">
        <f t="shared" si="13"/>
        <v>0</v>
      </c>
      <c r="AH45" s="99">
        <f t="shared" si="3"/>
        <v>0</v>
      </c>
      <c r="AI45" s="99">
        <f t="shared" si="14"/>
        <v>0</v>
      </c>
      <c r="AJ45" s="170">
        <f t="shared" si="15"/>
        <v>0</v>
      </c>
      <c r="AK45" s="204">
        <f t="shared" si="6"/>
        <v>0</v>
      </c>
      <c r="AL45" s="1049">
        <f>IF(ISERROR(AO45),0,IF(AND(AN45&gt;=$U$1,AN45&lt;=$U$2),IF(AO45='ESTRATTO CONTO'!$E$2,1+COUNTIF(AL$4:AL44,"&gt;0")+U$1009,0),0))</f>
        <v>0</v>
      </c>
      <c r="AM45" s="747">
        <f t="shared" si="10"/>
        <v>42</v>
      </c>
      <c r="AN45" s="164" t="e">
        <f>VLOOKUP($AM45,PATRIMONIALE!$AV97:AW$1003,2,FALSE)</f>
        <v>#N/A</v>
      </c>
      <c r="AO45" s="310" t="e">
        <f>VLOOKUP($AM45,PATRIMONIALE!$AV97:AX$1003,3,FALSE)</f>
        <v>#N/A</v>
      </c>
      <c r="AP45" s="310" t="e">
        <f>VLOOKUP($AM45,PATRIMONIALE!$AV97:AY$1003,4,FALSE)</f>
        <v>#N/A</v>
      </c>
      <c r="AQ45" s="748" t="e">
        <f>VLOOKUP($AM45,PATRIMONIALE!$AV97:AZ$1003,5,FALSE)</f>
        <v>#N/A</v>
      </c>
      <c r="AR45" s="1"/>
      <c r="AS45" s="461" t="str">
        <f t="shared" si="7"/>
        <v/>
      </c>
      <c r="AT45" s="370"/>
    </row>
    <row r="46" spans="1:46" ht="16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435">
        <f>IF(AND(W46&gt;=$U$1,W46&lt;=$U$2),IF(X46='ESTRATTO CONTO'!$E$2,1+COUNTIF(U$4:U45,"&gt;0"),0),0)</f>
        <v>0</v>
      </c>
      <c r="V46" s="417">
        <f t="shared" si="9"/>
        <v>43</v>
      </c>
      <c r="W46" s="509"/>
      <c r="X46" s="905"/>
      <c r="Y46" s="321"/>
      <c r="Z46" s="433"/>
      <c r="AA46" s="356"/>
      <c r="AB46" s="306" t="str">
        <f t="shared" si="0"/>
        <v/>
      </c>
      <c r="AC46" s="893">
        <f t="shared" si="1"/>
        <v>0</v>
      </c>
      <c r="AD46" s="322"/>
      <c r="AE46" s="1"/>
      <c r="AF46" s="223">
        <f>IF(ISBLANK(AD46),0,COUNTIF(AF$4:AF45,"&gt;0")+1)</f>
        <v>0</v>
      </c>
      <c r="AG46" s="164">
        <f t="shared" si="13"/>
        <v>0</v>
      </c>
      <c r="AH46" s="99">
        <f t="shared" si="3"/>
        <v>0</v>
      </c>
      <c r="AI46" s="99">
        <f t="shared" si="14"/>
        <v>0</v>
      </c>
      <c r="AJ46" s="170">
        <f t="shared" si="15"/>
        <v>0</v>
      </c>
      <c r="AK46" s="204">
        <f t="shared" si="6"/>
        <v>0</v>
      </c>
      <c r="AL46" s="1049">
        <f>IF(ISERROR(AO46),0,IF(AND(AN46&gt;=$U$1,AN46&lt;=$U$2),IF(AO46='ESTRATTO CONTO'!$E$2,1+COUNTIF(AL$4:AL45,"&gt;0")+U$1009,0),0))</f>
        <v>0</v>
      </c>
      <c r="AM46" s="747">
        <f t="shared" si="10"/>
        <v>43</v>
      </c>
      <c r="AN46" s="164" t="e">
        <f>VLOOKUP($AM46,PATRIMONIALE!$AV98:AW$1003,2,FALSE)</f>
        <v>#N/A</v>
      </c>
      <c r="AO46" s="310" t="e">
        <f>VLOOKUP($AM46,PATRIMONIALE!$AV98:AX$1003,3,FALSE)</f>
        <v>#N/A</v>
      </c>
      <c r="AP46" s="310" t="e">
        <f>VLOOKUP($AM46,PATRIMONIALE!$AV98:AY$1003,4,FALSE)</f>
        <v>#N/A</v>
      </c>
      <c r="AQ46" s="748" t="e">
        <f>VLOOKUP($AM46,PATRIMONIALE!$AV98:AZ$1003,5,FALSE)</f>
        <v>#N/A</v>
      </c>
      <c r="AR46" s="1"/>
      <c r="AS46" s="461" t="str">
        <f t="shared" si="7"/>
        <v/>
      </c>
      <c r="AT46" s="370"/>
    </row>
    <row r="47" spans="1:46" ht="16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435">
        <f>IF(AND(W47&gt;=$U$1,W47&lt;=$U$2),IF(X47='ESTRATTO CONTO'!$E$2,1+COUNTIF(U$4:U46,"&gt;0"),0),0)</f>
        <v>0</v>
      </c>
      <c r="V47" s="417">
        <f t="shared" si="9"/>
        <v>44</v>
      </c>
      <c r="W47" s="509"/>
      <c r="X47" s="905"/>
      <c r="Y47" s="321"/>
      <c r="Z47" s="433"/>
      <c r="AA47" s="356"/>
      <c r="AB47" s="306" t="str">
        <f t="shared" si="0"/>
        <v/>
      </c>
      <c r="AC47" s="893">
        <f t="shared" si="1"/>
        <v>0</v>
      </c>
      <c r="AD47" s="322"/>
      <c r="AE47" s="1"/>
      <c r="AF47" s="223">
        <f>IF(ISBLANK(AD47),0,COUNTIF(AF$4:AF46,"&gt;0")+1)</f>
        <v>0</v>
      </c>
      <c r="AG47" s="164">
        <f t="shared" si="13"/>
        <v>0</v>
      </c>
      <c r="AH47" s="99">
        <f t="shared" si="3"/>
        <v>0</v>
      </c>
      <c r="AI47" s="99">
        <f t="shared" si="14"/>
        <v>0</v>
      </c>
      <c r="AJ47" s="170">
        <f t="shared" si="15"/>
        <v>0</v>
      </c>
      <c r="AK47" s="204">
        <f t="shared" si="6"/>
        <v>0</v>
      </c>
      <c r="AL47" s="1049">
        <f>IF(ISERROR(AO47),0,IF(AND(AN47&gt;=$U$1,AN47&lt;=$U$2),IF(AO47='ESTRATTO CONTO'!$E$2,1+COUNTIF(AL$4:AL46,"&gt;0")+U$1009,0),0))</f>
        <v>0</v>
      </c>
      <c r="AM47" s="747">
        <f t="shared" si="10"/>
        <v>44</v>
      </c>
      <c r="AN47" s="164" t="e">
        <f>VLOOKUP($AM47,PATRIMONIALE!$AV99:AW$1003,2,FALSE)</f>
        <v>#N/A</v>
      </c>
      <c r="AO47" s="310" t="e">
        <f>VLOOKUP($AM47,PATRIMONIALE!$AV99:AX$1003,3,FALSE)</f>
        <v>#N/A</v>
      </c>
      <c r="AP47" s="310" t="e">
        <f>VLOOKUP($AM47,PATRIMONIALE!$AV99:AY$1003,4,FALSE)</f>
        <v>#N/A</v>
      </c>
      <c r="AQ47" s="748" t="e">
        <f>VLOOKUP($AM47,PATRIMONIALE!$AV99:AZ$1003,5,FALSE)</f>
        <v>#N/A</v>
      </c>
      <c r="AR47" s="1"/>
      <c r="AS47" s="461" t="str">
        <f t="shared" si="7"/>
        <v/>
      </c>
      <c r="AT47" s="370"/>
    </row>
    <row r="48" spans="1:46" ht="16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435">
        <f>IF(AND(W48&gt;=$U$1,W48&lt;=$U$2),IF(X48='ESTRATTO CONTO'!$E$2,1+COUNTIF(U$4:U47,"&gt;0"),0),0)</f>
        <v>0</v>
      </c>
      <c r="V48" s="417">
        <f t="shared" si="9"/>
        <v>45</v>
      </c>
      <c r="W48" s="509"/>
      <c r="X48" s="905"/>
      <c r="Y48" s="321"/>
      <c r="Z48" s="433"/>
      <c r="AA48" s="356"/>
      <c r="AB48" s="306" t="str">
        <f t="shared" si="0"/>
        <v/>
      </c>
      <c r="AC48" s="893">
        <f t="shared" si="1"/>
        <v>0</v>
      </c>
      <c r="AD48" s="322"/>
      <c r="AE48" s="1"/>
      <c r="AF48" s="223">
        <f>IF(ISBLANK(AD48),0,COUNTIF(AF$4:AF47,"&gt;0")+1)</f>
        <v>0</v>
      </c>
      <c r="AG48" s="164">
        <f t="shared" si="13"/>
        <v>0</v>
      </c>
      <c r="AH48" s="99">
        <f t="shared" si="3"/>
        <v>0</v>
      </c>
      <c r="AI48" s="99">
        <f t="shared" si="14"/>
        <v>0</v>
      </c>
      <c r="AJ48" s="170">
        <f t="shared" si="15"/>
        <v>0</v>
      </c>
      <c r="AK48" s="204">
        <f t="shared" si="6"/>
        <v>0</v>
      </c>
      <c r="AL48" s="1049">
        <f>IF(ISERROR(AO48),0,IF(AND(AN48&gt;=$U$1,AN48&lt;=$U$2),IF(AO48='ESTRATTO CONTO'!$E$2,1+COUNTIF(AL$4:AL47,"&gt;0")+U$1009,0),0))</f>
        <v>0</v>
      </c>
      <c r="AM48" s="747">
        <f t="shared" si="10"/>
        <v>45</v>
      </c>
      <c r="AN48" s="164" t="e">
        <f>VLOOKUP($AM48,PATRIMONIALE!$AV100:AW$1003,2,FALSE)</f>
        <v>#N/A</v>
      </c>
      <c r="AO48" s="310" t="e">
        <f>VLOOKUP($AM48,PATRIMONIALE!$AV100:AX$1003,3,FALSE)</f>
        <v>#N/A</v>
      </c>
      <c r="AP48" s="310" t="e">
        <f>VLOOKUP($AM48,PATRIMONIALE!$AV100:AY$1003,4,FALSE)</f>
        <v>#N/A</v>
      </c>
      <c r="AQ48" s="748" t="e">
        <f>VLOOKUP($AM48,PATRIMONIALE!$AV100:AZ$1003,5,FALSE)</f>
        <v>#N/A</v>
      </c>
      <c r="AR48" s="1"/>
      <c r="AS48" s="461" t="str">
        <f t="shared" si="7"/>
        <v/>
      </c>
      <c r="AT48" s="370"/>
    </row>
    <row r="49" spans="1:46" ht="16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435">
        <f>IF(AND(W49&gt;=$U$1,W49&lt;=$U$2),IF(X49='ESTRATTO CONTO'!$E$2,1+COUNTIF(U$4:U48,"&gt;0"),0),0)</f>
        <v>0</v>
      </c>
      <c r="V49" s="417">
        <f t="shared" si="9"/>
        <v>46</v>
      </c>
      <c r="W49" s="509"/>
      <c r="X49" s="905"/>
      <c r="Y49" s="321"/>
      <c r="Z49" s="433"/>
      <c r="AA49" s="356"/>
      <c r="AB49" s="306" t="str">
        <f t="shared" si="0"/>
        <v/>
      </c>
      <c r="AC49" s="893">
        <f t="shared" si="1"/>
        <v>0</v>
      </c>
      <c r="AD49" s="322"/>
      <c r="AE49" s="1"/>
      <c r="AF49" s="223">
        <f>IF(ISBLANK(AD49),0,COUNTIF(AF$4:AF48,"&gt;0")+1)</f>
        <v>0</v>
      </c>
      <c r="AG49" s="164">
        <f t="shared" si="13"/>
        <v>0</v>
      </c>
      <c r="AH49" s="99">
        <f t="shared" si="3"/>
        <v>0</v>
      </c>
      <c r="AI49" s="99">
        <f t="shared" si="14"/>
        <v>0</v>
      </c>
      <c r="AJ49" s="170">
        <f t="shared" si="15"/>
        <v>0</v>
      </c>
      <c r="AK49" s="204">
        <f t="shared" si="6"/>
        <v>0</v>
      </c>
      <c r="AL49" s="1049">
        <f>IF(ISERROR(AO49),0,IF(AND(AN49&gt;=$U$1,AN49&lt;=$U$2),IF(AO49='ESTRATTO CONTO'!$E$2,1+COUNTIF(AL$4:AL48,"&gt;0")+U$1009,0),0))</f>
        <v>0</v>
      </c>
      <c r="AM49" s="747">
        <f t="shared" si="10"/>
        <v>46</v>
      </c>
      <c r="AN49" s="164" t="e">
        <f>VLOOKUP($AM49,PATRIMONIALE!$AV101:AW$1003,2,FALSE)</f>
        <v>#N/A</v>
      </c>
      <c r="AO49" s="310" t="e">
        <f>VLOOKUP($AM49,PATRIMONIALE!$AV101:AX$1003,3,FALSE)</f>
        <v>#N/A</v>
      </c>
      <c r="AP49" s="310" t="e">
        <f>VLOOKUP($AM49,PATRIMONIALE!$AV101:AY$1003,4,FALSE)</f>
        <v>#N/A</v>
      </c>
      <c r="AQ49" s="748" t="e">
        <f>VLOOKUP($AM49,PATRIMONIALE!$AV101:AZ$1003,5,FALSE)</f>
        <v>#N/A</v>
      </c>
      <c r="AR49" s="1"/>
      <c r="AS49" s="461" t="str">
        <f t="shared" si="7"/>
        <v/>
      </c>
      <c r="AT49" s="370"/>
    </row>
    <row r="50" spans="1:46" ht="16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435">
        <f>IF(AND(W50&gt;=$U$1,W50&lt;=$U$2),IF(X50='ESTRATTO CONTO'!$E$2,1+COUNTIF(U$4:U49,"&gt;0"),0),0)</f>
        <v>0</v>
      </c>
      <c r="V50" s="417">
        <f t="shared" si="9"/>
        <v>47</v>
      </c>
      <c r="W50" s="509"/>
      <c r="X50" s="905"/>
      <c r="Y50" s="321"/>
      <c r="Z50" s="433"/>
      <c r="AA50" s="356"/>
      <c r="AB50" s="306" t="str">
        <f t="shared" si="0"/>
        <v/>
      </c>
      <c r="AC50" s="893">
        <f t="shared" si="1"/>
        <v>0</v>
      </c>
      <c r="AD50" s="322"/>
      <c r="AE50" s="1"/>
      <c r="AF50" s="223">
        <f>IF(ISBLANK(AD50),0,COUNTIF(AF$4:AF49,"&gt;0")+1)</f>
        <v>0</v>
      </c>
      <c r="AG50" s="164">
        <f t="shared" si="13"/>
        <v>0</v>
      </c>
      <c r="AH50" s="99">
        <f t="shared" si="3"/>
        <v>0</v>
      </c>
      <c r="AI50" s="99">
        <f t="shared" si="14"/>
        <v>0</v>
      </c>
      <c r="AJ50" s="170">
        <f t="shared" si="15"/>
        <v>0</v>
      </c>
      <c r="AK50" s="204">
        <f t="shared" si="6"/>
        <v>0</v>
      </c>
      <c r="AL50" s="1049">
        <f>IF(ISERROR(AO50),0,IF(AND(AN50&gt;=$U$1,AN50&lt;=$U$2),IF(AO50='ESTRATTO CONTO'!$E$2,1+COUNTIF(AL$4:AL49,"&gt;0")+U$1009,0),0))</f>
        <v>0</v>
      </c>
      <c r="AM50" s="747">
        <f t="shared" si="10"/>
        <v>47</v>
      </c>
      <c r="AN50" s="164" t="e">
        <f>VLOOKUP($AM50,PATRIMONIALE!$AV102:AW$1003,2,FALSE)</f>
        <v>#N/A</v>
      </c>
      <c r="AO50" s="310" t="e">
        <f>VLOOKUP($AM50,PATRIMONIALE!$AV102:AX$1003,3,FALSE)</f>
        <v>#N/A</v>
      </c>
      <c r="AP50" s="310" t="e">
        <f>VLOOKUP($AM50,PATRIMONIALE!$AV102:AY$1003,4,FALSE)</f>
        <v>#N/A</v>
      </c>
      <c r="AQ50" s="748" t="e">
        <f>VLOOKUP($AM50,PATRIMONIALE!$AV102:AZ$1003,5,FALSE)</f>
        <v>#N/A</v>
      </c>
      <c r="AR50" s="1"/>
      <c r="AS50" s="461" t="str">
        <f t="shared" si="7"/>
        <v/>
      </c>
      <c r="AT50" s="370"/>
    </row>
    <row r="51" spans="1:46" ht="16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435">
        <f>IF(AND(W51&gt;=$U$1,W51&lt;=$U$2),IF(X51='ESTRATTO CONTO'!$E$2,1+COUNTIF(U$4:U50,"&gt;0"),0),0)</f>
        <v>0</v>
      </c>
      <c r="V51" s="417">
        <f t="shared" si="9"/>
        <v>48</v>
      </c>
      <c r="W51" s="509"/>
      <c r="X51" s="905"/>
      <c r="Y51" s="905"/>
      <c r="Z51" s="433"/>
      <c r="AA51" s="356"/>
      <c r="AB51" s="306" t="str">
        <f t="shared" si="0"/>
        <v/>
      </c>
      <c r="AC51" s="893">
        <f t="shared" si="1"/>
        <v>0</v>
      </c>
      <c r="AD51" s="322"/>
      <c r="AE51" s="1"/>
      <c r="AF51" s="223">
        <f>IF(ISBLANK(AD51),0,COUNTIF(AF$4:AF50,"&gt;0")+1)</f>
        <v>0</v>
      </c>
      <c r="AG51" s="164">
        <f t="shared" si="13"/>
        <v>0</v>
      </c>
      <c r="AH51" s="99">
        <f t="shared" si="3"/>
        <v>0</v>
      </c>
      <c r="AI51" s="99">
        <f t="shared" si="14"/>
        <v>0</v>
      </c>
      <c r="AJ51" s="170">
        <f t="shared" si="15"/>
        <v>0</v>
      </c>
      <c r="AK51" s="204">
        <f t="shared" si="6"/>
        <v>0</v>
      </c>
      <c r="AL51" s="1049">
        <f>IF(ISERROR(AO51),0,IF(AND(AN51&gt;=$U$1,AN51&lt;=$U$2),IF(AO51='ESTRATTO CONTO'!$E$2,1+COUNTIF(AL$4:AL50,"&gt;0")+U$1009,0),0))</f>
        <v>0</v>
      </c>
      <c r="AM51" s="747">
        <f t="shared" si="10"/>
        <v>48</v>
      </c>
      <c r="AN51" s="164" t="e">
        <f>VLOOKUP($AM51,PATRIMONIALE!$AV103:AW$1003,2,FALSE)</f>
        <v>#N/A</v>
      </c>
      <c r="AO51" s="310" t="e">
        <f>VLOOKUP($AM51,PATRIMONIALE!$AV103:AX$1003,3,FALSE)</f>
        <v>#N/A</v>
      </c>
      <c r="AP51" s="310" t="e">
        <f>VLOOKUP($AM51,PATRIMONIALE!$AV103:AY$1003,4,FALSE)</f>
        <v>#N/A</v>
      </c>
      <c r="AQ51" s="748" t="e">
        <f>VLOOKUP($AM51,PATRIMONIALE!$AV103:AZ$1003,5,FALSE)</f>
        <v>#N/A</v>
      </c>
      <c r="AR51" s="1"/>
      <c r="AS51" s="461" t="str">
        <f t="shared" si="7"/>
        <v/>
      </c>
      <c r="AT51" s="370"/>
    </row>
    <row r="52" spans="1:46" ht="16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435">
        <f>IF(AND(W52&gt;=$U$1,W52&lt;=$U$2),IF(X52='ESTRATTO CONTO'!$E$2,1+COUNTIF(U$4:U51,"&gt;0"),0),0)</f>
        <v>0</v>
      </c>
      <c r="V52" s="417">
        <f t="shared" si="9"/>
        <v>49</v>
      </c>
      <c r="W52" s="509"/>
      <c r="X52" s="905"/>
      <c r="Y52" s="321"/>
      <c r="Z52" s="433"/>
      <c r="AA52" s="356"/>
      <c r="AB52" s="306" t="str">
        <f t="shared" si="0"/>
        <v/>
      </c>
      <c r="AC52" s="893">
        <f t="shared" si="1"/>
        <v>0</v>
      </c>
      <c r="AD52" s="322"/>
      <c r="AE52" s="1"/>
      <c r="AF52" s="223">
        <f>IF(ISBLANK(AD52),0,COUNTIF(AF$4:AF51,"&gt;0")+1)</f>
        <v>0</v>
      </c>
      <c r="AG52" s="164">
        <f t="shared" si="13"/>
        <v>0</v>
      </c>
      <c r="AH52" s="99">
        <f t="shared" si="3"/>
        <v>0</v>
      </c>
      <c r="AI52" s="99">
        <f t="shared" si="14"/>
        <v>0</v>
      </c>
      <c r="AJ52" s="170">
        <f t="shared" si="15"/>
        <v>0</v>
      </c>
      <c r="AK52" s="204">
        <f t="shared" si="6"/>
        <v>0</v>
      </c>
      <c r="AL52" s="1049">
        <f>IF(ISERROR(AO52),0,IF(AND(AN52&gt;=$U$1,AN52&lt;=$U$2),IF(AO52='ESTRATTO CONTO'!$E$2,1+COUNTIF(AL$4:AL51,"&gt;0")+U$1009,0),0))</f>
        <v>0</v>
      </c>
      <c r="AM52" s="747">
        <f t="shared" si="10"/>
        <v>49</v>
      </c>
      <c r="AN52" s="164" t="e">
        <f>VLOOKUP($AM52,PATRIMONIALE!$AV104:AW$1003,2,FALSE)</f>
        <v>#N/A</v>
      </c>
      <c r="AO52" s="310" t="e">
        <f>VLOOKUP($AM52,PATRIMONIALE!$AV104:AX$1003,3,FALSE)</f>
        <v>#N/A</v>
      </c>
      <c r="AP52" s="310" t="e">
        <f>VLOOKUP($AM52,PATRIMONIALE!$AV104:AY$1003,4,FALSE)</f>
        <v>#N/A</v>
      </c>
      <c r="AQ52" s="748" t="e">
        <f>VLOOKUP($AM52,PATRIMONIALE!$AV104:AZ$1003,5,FALSE)</f>
        <v>#N/A</v>
      </c>
      <c r="AR52" s="1"/>
      <c r="AS52" s="461" t="str">
        <f t="shared" si="7"/>
        <v/>
      </c>
      <c r="AT52" s="370"/>
    </row>
    <row r="53" spans="1:46" ht="16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435">
        <f>IF(AND(W53&gt;=$U$1,W53&lt;=$U$2),IF(X53='ESTRATTO CONTO'!$E$2,1+COUNTIF(U$4:U52,"&gt;0"),0),0)</f>
        <v>0</v>
      </c>
      <c r="V53" s="417">
        <f t="shared" si="9"/>
        <v>50</v>
      </c>
      <c r="W53" s="509"/>
      <c r="X53" s="905"/>
      <c r="Y53" s="321"/>
      <c r="Z53" s="433"/>
      <c r="AA53" s="356"/>
      <c r="AB53" s="306" t="str">
        <f t="shared" si="0"/>
        <v/>
      </c>
      <c r="AC53" s="893">
        <f t="shared" si="1"/>
        <v>0</v>
      </c>
      <c r="AD53" s="322"/>
      <c r="AE53" s="1"/>
      <c r="AF53" s="223">
        <f>IF(ISBLANK(AD53),0,COUNTIF(AF$4:AF52,"&gt;0")+1)</f>
        <v>0</v>
      </c>
      <c r="AG53" s="164">
        <f t="shared" si="13"/>
        <v>0</v>
      </c>
      <c r="AH53" s="99">
        <f t="shared" si="3"/>
        <v>0</v>
      </c>
      <c r="AI53" s="99">
        <f t="shared" si="14"/>
        <v>0</v>
      </c>
      <c r="AJ53" s="170">
        <f t="shared" si="15"/>
        <v>0</v>
      </c>
      <c r="AK53" s="204">
        <f t="shared" si="6"/>
        <v>0</v>
      </c>
      <c r="AL53" s="1049">
        <f>IF(ISERROR(AO53),0,IF(AND(AN53&gt;=$U$1,AN53&lt;=$U$2),IF(AO53='ESTRATTO CONTO'!$E$2,1+COUNTIF(AL$4:AL52,"&gt;0")+U$1009,0),0))</f>
        <v>0</v>
      </c>
      <c r="AM53" s="747">
        <f t="shared" si="10"/>
        <v>50</v>
      </c>
      <c r="AN53" s="164" t="e">
        <f>VLOOKUP($AM53,PATRIMONIALE!$AV105:AW$1003,2,FALSE)</f>
        <v>#N/A</v>
      </c>
      <c r="AO53" s="310" t="e">
        <f>VLOOKUP($AM53,PATRIMONIALE!$AV105:AX$1003,3,FALSE)</f>
        <v>#N/A</v>
      </c>
      <c r="AP53" s="310" t="e">
        <f>VLOOKUP($AM53,PATRIMONIALE!$AV105:AY$1003,4,FALSE)</f>
        <v>#N/A</v>
      </c>
      <c r="AQ53" s="748" t="e">
        <f>VLOOKUP($AM53,PATRIMONIALE!$AV105:AZ$1003,5,FALSE)</f>
        <v>#N/A</v>
      </c>
      <c r="AR53" s="1"/>
      <c r="AS53" s="461" t="str">
        <f t="shared" si="7"/>
        <v/>
      </c>
      <c r="AT53" s="370"/>
    </row>
    <row r="54" spans="1:46" ht="16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435">
        <f>IF(AND(W54&gt;=$U$1,W54&lt;=$U$2),IF(X54='ESTRATTO CONTO'!$E$2,1+COUNTIF(U$4:U53,"&gt;0"),0),0)</f>
        <v>0</v>
      </c>
      <c r="V54" s="417">
        <f t="shared" si="9"/>
        <v>51</v>
      </c>
      <c r="W54" s="509"/>
      <c r="X54" s="905"/>
      <c r="Y54" s="321"/>
      <c r="Z54" s="433"/>
      <c r="AA54" s="356"/>
      <c r="AB54" s="306" t="str">
        <f t="shared" si="0"/>
        <v/>
      </c>
      <c r="AC54" s="893">
        <f t="shared" si="1"/>
        <v>0</v>
      </c>
      <c r="AD54" s="322"/>
      <c r="AE54" s="1"/>
      <c r="AF54" s="223">
        <f>IF(ISBLANK(AD54),0,COUNTIF(AF$4:AF53,"&gt;0")+1)</f>
        <v>0</v>
      </c>
      <c r="AG54" s="164">
        <f t="shared" si="13"/>
        <v>0</v>
      </c>
      <c r="AH54" s="99">
        <f t="shared" si="3"/>
        <v>0</v>
      </c>
      <c r="AI54" s="99">
        <f t="shared" si="14"/>
        <v>0</v>
      </c>
      <c r="AJ54" s="170">
        <f t="shared" si="15"/>
        <v>0</v>
      </c>
      <c r="AK54" s="204">
        <f t="shared" si="6"/>
        <v>0</v>
      </c>
      <c r="AL54" s="1049">
        <f>IF(ISERROR(AO54),0,IF(AND(AN54&gt;=$U$1,AN54&lt;=$U$2),IF(AO54='ESTRATTO CONTO'!$E$2,1+COUNTIF(AL$4:AL53,"&gt;0")+U$1009,0),0))</f>
        <v>0</v>
      </c>
      <c r="AM54" s="747">
        <f t="shared" si="10"/>
        <v>51</v>
      </c>
      <c r="AN54" s="164" t="e">
        <f>VLOOKUP($AM54,PATRIMONIALE!$AV106:AW$1003,2,FALSE)</f>
        <v>#N/A</v>
      </c>
      <c r="AO54" s="310" t="e">
        <f>VLOOKUP($AM54,PATRIMONIALE!$AV106:AX$1003,3,FALSE)</f>
        <v>#N/A</v>
      </c>
      <c r="AP54" s="310" t="e">
        <f>VLOOKUP($AM54,PATRIMONIALE!$AV106:AY$1003,4,FALSE)</f>
        <v>#N/A</v>
      </c>
      <c r="AQ54" s="748" t="e">
        <f>VLOOKUP($AM54,PATRIMONIALE!$AV106:AZ$1003,5,FALSE)</f>
        <v>#N/A</v>
      </c>
      <c r="AR54" s="1"/>
      <c r="AS54" s="461" t="str">
        <f t="shared" si="7"/>
        <v/>
      </c>
      <c r="AT54" s="370"/>
    </row>
    <row r="55" spans="1:46" ht="16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435">
        <f>IF(AND(W55&gt;=$U$1,W55&lt;=$U$2),IF(X55='ESTRATTO CONTO'!$E$2,1+COUNTIF(U$4:U54,"&gt;0"),0),0)</f>
        <v>0</v>
      </c>
      <c r="V55" s="417">
        <f t="shared" si="9"/>
        <v>52</v>
      </c>
      <c r="W55" s="509"/>
      <c r="X55" s="905"/>
      <c r="Y55" s="321"/>
      <c r="Z55" s="433"/>
      <c r="AA55" s="356"/>
      <c r="AB55" s="306" t="str">
        <f t="shared" si="0"/>
        <v/>
      </c>
      <c r="AC55" s="893">
        <f t="shared" si="1"/>
        <v>0</v>
      </c>
      <c r="AD55" s="322"/>
      <c r="AE55" s="1"/>
      <c r="AF55" s="223">
        <f>IF(ISBLANK(AD55),0,COUNTIF(AF$4:AF54,"&gt;0")+1)</f>
        <v>0</v>
      </c>
      <c r="AG55" s="164">
        <f t="shared" si="13"/>
        <v>0</v>
      </c>
      <c r="AH55" s="99">
        <f t="shared" si="3"/>
        <v>0</v>
      </c>
      <c r="AI55" s="99">
        <f t="shared" si="14"/>
        <v>0</v>
      </c>
      <c r="AJ55" s="170">
        <f t="shared" si="15"/>
        <v>0</v>
      </c>
      <c r="AK55" s="204">
        <f t="shared" si="6"/>
        <v>0</v>
      </c>
      <c r="AL55" s="1049">
        <f>IF(ISERROR(AO55),0,IF(AND(AN55&gt;=$U$1,AN55&lt;=$U$2),IF(AO55='ESTRATTO CONTO'!$E$2,1+COUNTIF(AL$4:AL54,"&gt;0")+U$1009,0),0))</f>
        <v>0</v>
      </c>
      <c r="AM55" s="747">
        <f t="shared" si="10"/>
        <v>52</v>
      </c>
      <c r="AN55" s="164" t="e">
        <f>VLOOKUP($AM55,PATRIMONIALE!$AV107:AW$1003,2,FALSE)</f>
        <v>#N/A</v>
      </c>
      <c r="AO55" s="310" t="e">
        <f>VLOOKUP($AM55,PATRIMONIALE!$AV107:AX$1003,3,FALSE)</f>
        <v>#N/A</v>
      </c>
      <c r="AP55" s="310" t="e">
        <f>VLOOKUP($AM55,PATRIMONIALE!$AV107:AY$1003,4,FALSE)</f>
        <v>#N/A</v>
      </c>
      <c r="AQ55" s="748" t="e">
        <f>VLOOKUP($AM55,PATRIMONIALE!$AV107:AZ$1003,5,FALSE)</f>
        <v>#N/A</v>
      </c>
      <c r="AR55" s="1"/>
      <c r="AS55" s="461" t="str">
        <f t="shared" si="7"/>
        <v/>
      </c>
      <c r="AT55" s="370"/>
    </row>
    <row r="56" spans="1:46" ht="16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435">
        <f>IF(AND(W56&gt;=$U$1,W56&lt;=$U$2),IF(X56='ESTRATTO CONTO'!$E$2,1+COUNTIF(U$4:U55,"&gt;0"),0),0)</f>
        <v>0</v>
      </c>
      <c r="V56" s="417">
        <f t="shared" si="9"/>
        <v>53</v>
      </c>
      <c r="W56" s="509"/>
      <c r="X56" s="905"/>
      <c r="Y56" s="321"/>
      <c r="Z56" s="433"/>
      <c r="AA56" s="356"/>
      <c r="AB56" s="306" t="str">
        <f t="shared" si="0"/>
        <v/>
      </c>
      <c r="AC56" s="893">
        <f t="shared" si="1"/>
        <v>0</v>
      </c>
      <c r="AD56" s="322"/>
      <c r="AE56" s="1"/>
      <c r="AF56" s="223">
        <f>IF(ISBLANK(AD56),0,COUNTIF(AF$4:AF55,"&gt;0")+1)</f>
        <v>0</v>
      </c>
      <c r="AG56" s="164">
        <f t="shared" si="13"/>
        <v>0</v>
      </c>
      <c r="AH56" s="99">
        <f t="shared" si="3"/>
        <v>0</v>
      </c>
      <c r="AI56" s="99">
        <f t="shared" si="14"/>
        <v>0</v>
      </c>
      <c r="AJ56" s="170">
        <f t="shared" si="15"/>
        <v>0</v>
      </c>
      <c r="AK56" s="204">
        <f t="shared" si="6"/>
        <v>0</v>
      </c>
      <c r="AL56" s="1049">
        <f>IF(ISERROR(AO56),0,IF(AND(AN56&gt;=$U$1,AN56&lt;=$U$2),IF(AO56='ESTRATTO CONTO'!$E$2,1+COUNTIF(AL$4:AL55,"&gt;0")+U$1009,0),0))</f>
        <v>0</v>
      </c>
      <c r="AM56" s="747">
        <f t="shared" si="10"/>
        <v>53</v>
      </c>
      <c r="AN56" s="164" t="e">
        <f>VLOOKUP($AM56,PATRIMONIALE!$AV108:AW$1003,2,FALSE)</f>
        <v>#N/A</v>
      </c>
      <c r="AO56" s="310" t="e">
        <f>VLOOKUP($AM56,PATRIMONIALE!$AV108:AX$1003,3,FALSE)</f>
        <v>#N/A</v>
      </c>
      <c r="AP56" s="310" t="e">
        <f>VLOOKUP($AM56,PATRIMONIALE!$AV108:AY$1003,4,FALSE)</f>
        <v>#N/A</v>
      </c>
      <c r="AQ56" s="748" t="e">
        <f>VLOOKUP($AM56,PATRIMONIALE!$AV108:AZ$1003,5,FALSE)</f>
        <v>#N/A</v>
      </c>
      <c r="AR56" s="1"/>
      <c r="AS56" s="461" t="str">
        <f t="shared" si="7"/>
        <v/>
      </c>
      <c r="AT56" s="370"/>
    </row>
    <row r="57" spans="1:46" ht="16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435">
        <f>IF(AND(W57&gt;=$U$1,W57&lt;=$U$2),IF(X57='ESTRATTO CONTO'!$E$2,1+COUNTIF(U$4:U56,"&gt;0"),0),0)</f>
        <v>0</v>
      </c>
      <c r="V57" s="417">
        <f t="shared" si="9"/>
        <v>54</v>
      </c>
      <c r="W57" s="509"/>
      <c r="X57" s="905"/>
      <c r="Y57" s="321"/>
      <c r="Z57" s="433"/>
      <c r="AA57" s="356"/>
      <c r="AB57" s="306" t="str">
        <f t="shared" si="0"/>
        <v/>
      </c>
      <c r="AC57" s="893">
        <f t="shared" si="1"/>
        <v>0</v>
      </c>
      <c r="AD57" s="322"/>
      <c r="AE57" s="1"/>
      <c r="AF57" s="223">
        <f>IF(ISBLANK(AD57),0,COUNTIF(AF$4:AF56,"&gt;0")+1)</f>
        <v>0</v>
      </c>
      <c r="AG57" s="164">
        <f t="shared" si="13"/>
        <v>0</v>
      </c>
      <c r="AH57" s="99">
        <f t="shared" si="3"/>
        <v>0</v>
      </c>
      <c r="AI57" s="99">
        <f t="shared" si="14"/>
        <v>0</v>
      </c>
      <c r="AJ57" s="170">
        <f t="shared" si="15"/>
        <v>0</v>
      </c>
      <c r="AK57" s="204">
        <f t="shared" si="6"/>
        <v>0</v>
      </c>
      <c r="AL57" s="1049">
        <f>IF(ISERROR(AO57),0,IF(AND(AN57&gt;=$U$1,AN57&lt;=$U$2),IF(AO57='ESTRATTO CONTO'!$E$2,1+COUNTIF(AL$4:AL56,"&gt;0")+U$1009,0),0))</f>
        <v>0</v>
      </c>
      <c r="AM57" s="747">
        <f t="shared" si="10"/>
        <v>54</v>
      </c>
      <c r="AN57" s="164" t="e">
        <f>VLOOKUP($AM57,PATRIMONIALE!$AV109:AW$1003,2,FALSE)</f>
        <v>#N/A</v>
      </c>
      <c r="AO57" s="310" t="e">
        <f>VLOOKUP($AM57,PATRIMONIALE!$AV109:AX$1003,3,FALSE)</f>
        <v>#N/A</v>
      </c>
      <c r="AP57" s="310" t="e">
        <f>VLOOKUP($AM57,PATRIMONIALE!$AV109:AY$1003,4,FALSE)</f>
        <v>#N/A</v>
      </c>
      <c r="AQ57" s="748" t="e">
        <f>VLOOKUP($AM57,PATRIMONIALE!$AV109:AZ$1003,5,FALSE)</f>
        <v>#N/A</v>
      </c>
      <c r="AR57" s="1"/>
      <c r="AS57" s="461" t="str">
        <f t="shared" si="7"/>
        <v/>
      </c>
      <c r="AT57" s="370"/>
    </row>
    <row r="58" spans="1:46" ht="16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435">
        <f>IF(AND(W58&gt;=$U$1,W58&lt;=$U$2),IF(X58='ESTRATTO CONTO'!$E$2,1+COUNTIF(U$4:U57,"&gt;0"),0),0)</f>
        <v>0</v>
      </c>
      <c r="V58" s="417">
        <f t="shared" si="9"/>
        <v>55</v>
      </c>
      <c r="W58" s="509"/>
      <c r="X58" s="905"/>
      <c r="Y58" s="321"/>
      <c r="Z58" s="433"/>
      <c r="AA58" s="356"/>
      <c r="AB58" s="306" t="str">
        <f t="shared" si="0"/>
        <v/>
      </c>
      <c r="AC58" s="893">
        <f t="shared" si="1"/>
        <v>0</v>
      </c>
      <c r="AD58" s="322"/>
      <c r="AE58" s="1"/>
      <c r="AF58" s="223">
        <f>IF(ISBLANK(AD58),0,COUNTIF(AF$4:AF57,"&gt;0")+1)</f>
        <v>0</v>
      </c>
      <c r="AG58" s="164">
        <f t="shared" si="13"/>
        <v>0</v>
      </c>
      <c r="AH58" s="99">
        <f t="shared" si="3"/>
        <v>0</v>
      </c>
      <c r="AI58" s="99">
        <f t="shared" si="14"/>
        <v>0</v>
      </c>
      <c r="AJ58" s="170">
        <f t="shared" si="15"/>
        <v>0</v>
      </c>
      <c r="AK58" s="204">
        <f t="shared" si="6"/>
        <v>0</v>
      </c>
      <c r="AL58" s="1049">
        <f>IF(ISERROR(AO58),0,IF(AND(AN58&gt;=$U$1,AN58&lt;=$U$2),IF(AO58='ESTRATTO CONTO'!$E$2,1+COUNTIF(AL$4:AL57,"&gt;0")+U$1009,0),0))</f>
        <v>0</v>
      </c>
      <c r="AM58" s="747">
        <f t="shared" si="10"/>
        <v>55</v>
      </c>
      <c r="AN58" s="164" t="e">
        <f>VLOOKUP($AM58,PATRIMONIALE!$AV110:AW$1003,2,FALSE)</f>
        <v>#N/A</v>
      </c>
      <c r="AO58" s="310" t="e">
        <f>VLOOKUP($AM58,PATRIMONIALE!$AV110:AX$1003,3,FALSE)</f>
        <v>#N/A</v>
      </c>
      <c r="AP58" s="310" t="e">
        <f>VLOOKUP($AM58,PATRIMONIALE!$AV110:AY$1003,4,FALSE)</f>
        <v>#N/A</v>
      </c>
      <c r="AQ58" s="748" t="e">
        <f>VLOOKUP($AM58,PATRIMONIALE!$AV110:AZ$1003,5,FALSE)</f>
        <v>#N/A</v>
      </c>
      <c r="AR58" s="1"/>
      <c r="AS58" s="461" t="str">
        <f t="shared" si="7"/>
        <v/>
      </c>
      <c r="AT58" s="370"/>
    </row>
    <row r="59" spans="1:46" ht="16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435">
        <f>IF(AND(W59&gt;=$U$1,W59&lt;=$U$2),IF(X59='ESTRATTO CONTO'!$E$2,1+COUNTIF(U$4:U58,"&gt;0"),0),0)</f>
        <v>0</v>
      </c>
      <c r="V59" s="417">
        <f t="shared" si="9"/>
        <v>56</v>
      </c>
      <c r="W59" s="509"/>
      <c r="X59" s="905"/>
      <c r="Y59" s="321"/>
      <c r="Z59" s="433"/>
      <c r="AA59" s="356"/>
      <c r="AB59" s="306" t="str">
        <f t="shared" si="0"/>
        <v/>
      </c>
      <c r="AC59" s="893">
        <f t="shared" si="1"/>
        <v>0</v>
      </c>
      <c r="AD59" s="322"/>
      <c r="AE59" s="1"/>
      <c r="AF59" s="223">
        <f>IF(ISBLANK(AD59),0,COUNTIF(AF$4:AF58,"&gt;0")+1)</f>
        <v>0</v>
      </c>
      <c r="AG59" s="164">
        <f t="shared" si="13"/>
        <v>0</v>
      </c>
      <c r="AH59" s="99">
        <f t="shared" si="3"/>
        <v>0</v>
      </c>
      <c r="AI59" s="99">
        <f t="shared" si="14"/>
        <v>0</v>
      </c>
      <c r="AJ59" s="170">
        <f t="shared" si="15"/>
        <v>0</v>
      </c>
      <c r="AK59" s="204">
        <f t="shared" si="6"/>
        <v>0</v>
      </c>
      <c r="AL59" s="1049">
        <f>IF(ISERROR(AO59),0,IF(AND(AN59&gt;=$U$1,AN59&lt;=$U$2),IF(AO59='ESTRATTO CONTO'!$E$2,1+COUNTIF(AL$4:AL58,"&gt;0")+U$1009,0),0))</f>
        <v>0</v>
      </c>
      <c r="AM59" s="747">
        <f t="shared" si="10"/>
        <v>56</v>
      </c>
      <c r="AN59" s="164" t="e">
        <f>VLOOKUP($AM59,PATRIMONIALE!$AV111:AW$1003,2,FALSE)</f>
        <v>#N/A</v>
      </c>
      <c r="AO59" s="310" t="e">
        <f>VLOOKUP($AM59,PATRIMONIALE!$AV111:AX$1003,3,FALSE)</f>
        <v>#N/A</v>
      </c>
      <c r="AP59" s="310" t="e">
        <f>VLOOKUP($AM59,PATRIMONIALE!$AV111:AY$1003,4,FALSE)</f>
        <v>#N/A</v>
      </c>
      <c r="AQ59" s="748" t="e">
        <f>VLOOKUP($AM59,PATRIMONIALE!$AV111:AZ$1003,5,FALSE)</f>
        <v>#N/A</v>
      </c>
      <c r="AR59" s="1"/>
      <c r="AS59" s="461" t="str">
        <f t="shared" si="7"/>
        <v/>
      </c>
      <c r="AT59" s="370"/>
    </row>
    <row r="60" spans="1:46" ht="16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435">
        <f>IF(AND(W60&gt;=$U$1,W60&lt;=$U$2),IF(X60='ESTRATTO CONTO'!$E$2,1+COUNTIF(U$4:U59,"&gt;0"),0),0)</f>
        <v>0</v>
      </c>
      <c r="V60" s="417">
        <f t="shared" si="9"/>
        <v>57</v>
      </c>
      <c r="W60" s="509"/>
      <c r="X60" s="905"/>
      <c r="Y60" s="321"/>
      <c r="Z60" s="433"/>
      <c r="AA60" s="356"/>
      <c r="AB60" s="306" t="str">
        <f t="shared" si="0"/>
        <v/>
      </c>
      <c r="AC60" s="893">
        <f t="shared" si="1"/>
        <v>0</v>
      </c>
      <c r="AD60" s="322"/>
      <c r="AE60" s="1"/>
      <c r="AF60" s="223">
        <f>IF(ISBLANK(AD60),0,COUNTIF(AF$4:AF59,"&gt;0")+1)</f>
        <v>0</v>
      </c>
      <c r="AG60" s="164">
        <f t="shared" si="13"/>
        <v>0</v>
      </c>
      <c r="AH60" s="99">
        <f t="shared" si="3"/>
        <v>0</v>
      </c>
      <c r="AI60" s="99">
        <f t="shared" si="14"/>
        <v>0</v>
      </c>
      <c r="AJ60" s="170">
        <f t="shared" si="15"/>
        <v>0</v>
      </c>
      <c r="AK60" s="204">
        <f t="shared" si="6"/>
        <v>0</v>
      </c>
      <c r="AL60" s="1049">
        <f>IF(ISERROR(AO60),0,IF(AND(AN60&gt;=$U$1,AN60&lt;=$U$2),IF(AO60='ESTRATTO CONTO'!$E$2,1+COUNTIF(AL$4:AL59,"&gt;0")+U$1009,0),0))</f>
        <v>0</v>
      </c>
      <c r="AM60" s="747">
        <f t="shared" si="10"/>
        <v>57</v>
      </c>
      <c r="AN60" s="164" t="e">
        <f>VLOOKUP($AM60,PATRIMONIALE!$AV112:AW$1003,2,FALSE)</f>
        <v>#N/A</v>
      </c>
      <c r="AO60" s="310" t="e">
        <f>VLOOKUP($AM60,PATRIMONIALE!$AV112:AX$1003,3,FALSE)</f>
        <v>#N/A</v>
      </c>
      <c r="AP60" s="310" t="e">
        <f>VLOOKUP($AM60,PATRIMONIALE!$AV112:AY$1003,4,FALSE)</f>
        <v>#N/A</v>
      </c>
      <c r="AQ60" s="748" t="e">
        <f>VLOOKUP($AM60,PATRIMONIALE!$AV112:AZ$1003,5,FALSE)</f>
        <v>#N/A</v>
      </c>
      <c r="AR60" s="1"/>
      <c r="AS60" s="461" t="str">
        <f t="shared" si="7"/>
        <v/>
      </c>
      <c r="AT60" s="370"/>
    </row>
    <row r="61" spans="1:46" ht="16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435">
        <f>IF(AND(W61&gt;=$U$1,W61&lt;=$U$2),IF(X61='ESTRATTO CONTO'!$E$2,1+COUNTIF(U$4:U60,"&gt;0"),0),0)</f>
        <v>0</v>
      </c>
      <c r="V61" s="417">
        <f t="shared" si="9"/>
        <v>58</v>
      </c>
      <c r="W61" s="509"/>
      <c r="X61" s="905"/>
      <c r="Y61" s="321"/>
      <c r="Z61" s="433"/>
      <c r="AA61" s="356"/>
      <c r="AB61" s="306" t="str">
        <f t="shared" si="0"/>
        <v/>
      </c>
      <c r="AC61" s="893">
        <f t="shared" si="1"/>
        <v>0</v>
      </c>
      <c r="AD61" s="322"/>
      <c r="AE61" s="1"/>
      <c r="AF61" s="223">
        <f>IF(ISBLANK(AD61),0,COUNTIF(AF$4:AF60,"&gt;0")+1)</f>
        <v>0</v>
      </c>
      <c r="AG61" s="164">
        <f t="shared" si="13"/>
        <v>0</v>
      </c>
      <c r="AH61" s="99">
        <f t="shared" si="3"/>
        <v>0</v>
      </c>
      <c r="AI61" s="99">
        <f t="shared" si="14"/>
        <v>0</v>
      </c>
      <c r="AJ61" s="170">
        <f t="shared" si="15"/>
        <v>0</v>
      </c>
      <c r="AK61" s="204">
        <f t="shared" si="6"/>
        <v>0</v>
      </c>
      <c r="AL61" s="1049">
        <f>IF(ISERROR(AO61),0,IF(AND(AN61&gt;=$U$1,AN61&lt;=$U$2),IF(AO61='ESTRATTO CONTO'!$E$2,1+COUNTIF(AL$4:AL60,"&gt;0")+U$1009,0),0))</f>
        <v>0</v>
      </c>
      <c r="AM61" s="747">
        <f t="shared" si="10"/>
        <v>58</v>
      </c>
      <c r="AN61" s="164" t="e">
        <f>VLOOKUP($AM61,PATRIMONIALE!$AV113:AW$1003,2,FALSE)</f>
        <v>#N/A</v>
      </c>
      <c r="AO61" s="310" t="e">
        <f>VLOOKUP($AM61,PATRIMONIALE!$AV113:AX$1003,3,FALSE)</f>
        <v>#N/A</v>
      </c>
      <c r="AP61" s="310" t="e">
        <f>VLOOKUP($AM61,PATRIMONIALE!$AV113:AY$1003,4,FALSE)</f>
        <v>#N/A</v>
      </c>
      <c r="AQ61" s="748" t="e">
        <f>VLOOKUP($AM61,PATRIMONIALE!$AV113:AZ$1003,5,FALSE)</f>
        <v>#N/A</v>
      </c>
      <c r="AR61" s="1"/>
      <c r="AS61" s="461" t="str">
        <f t="shared" si="7"/>
        <v/>
      </c>
      <c r="AT61" s="370"/>
    </row>
    <row r="62" spans="1:46" ht="16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435">
        <f>IF(AND(W62&gt;=$U$1,W62&lt;=$U$2),IF(X62='ESTRATTO CONTO'!$E$2,1+COUNTIF(U$4:U61,"&gt;0"),0),0)</f>
        <v>0</v>
      </c>
      <c r="V62" s="417">
        <f t="shared" si="9"/>
        <v>59</v>
      </c>
      <c r="W62" s="509"/>
      <c r="X62" s="905"/>
      <c r="Y62" s="321"/>
      <c r="Z62" s="433"/>
      <c r="AA62" s="356"/>
      <c r="AB62" s="306" t="str">
        <f t="shared" si="0"/>
        <v/>
      </c>
      <c r="AC62" s="893">
        <f t="shared" si="1"/>
        <v>0</v>
      </c>
      <c r="AD62" s="322"/>
      <c r="AE62" s="1"/>
      <c r="AF62" s="223">
        <f>IF(ISBLANK(AD62),0,COUNTIF(AF$4:AF61,"&gt;0")+1)</f>
        <v>0</v>
      </c>
      <c r="AG62" s="164">
        <f t="shared" si="13"/>
        <v>0</v>
      </c>
      <c r="AH62" s="99">
        <f t="shared" si="3"/>
        <v>0</v>
      </c>
      <c r="AI62" s="99">
        <f t="shared" si="14"/>
        <v>0</v>
      </c>
      <c r="AJ62" s="170">
        <f t="shared" si="15"/>
        <v>0</v>
      </c>
      <c r="AK62" s="204">
        <f t="shared" si="6"/>
        <v>0</v>
      </c>
      <c r="AL62" s="1049">
        <f>IF(ISERROR(AO62),0,IF(AND(AN62&gt;=$U$1,AN62&lt;=$U$2),IF(AO62='ESTRATTO CONTO'!$E$2,1+COUNTIF(AL$4:AL61,"&gt;0")+U$1009,0),0))</f>
        <v>0</v>
      </c>
      <c r="AM62" s="747">
        <f t="shared" si="10"/>
        <v>59</v>
      </c>
      <c r="AN62" s="164" t="e">
        <f>VLOOKUP($AM62,PATRIMONIALE!$AV114:AW$1003,2,FALSE)</f>
        <v>#N/A</v>
      </c>
      <c r="AO62" s="310" t="e">
        <f>VLOOKUP($AM62,PATRIMONIALE!$AV114:AX$1003,3,FALSE)</f>
        <v>#N/A</v>
      </c>
      <c r="AP62" s="310" t="e">
        <f>VLOOKUP($AM62,PATRIMONIALE!$AV114:AY$1003,4,FALSE)</f>
        <v>#N/A</v>
      </c>
      <c r="AQ62" s="748" t="e">
        <f>VLOOKUP($AM62,PATRIMONIALE!$AV114:AZ$1003,5,FALSE)</f>
        <v>#N/A</v>
      </c>
      <c r="AR62" s="1"/>
      <c r="AS62" s="461" t="str">
        <f t="shared" si="7"/>
        <v/>
      </c>
      <c r="AT62" s="370"/>
    </row>
    <row r="63" spans="1:46" ht="16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435">
        <f>IF(AND(W63&gt;=$U$1,W63&lt;=$U$2),IF(X63='ESTRATTO CONTO'!$E$2,1+COUNTIF(U$4:U62,"&gt;0"),0),0)</f>
        <v>0</v>
      </c>
      <c r="V63" s="417">
        <f t="shared" si="9"/>
        <v>60</v>
      </c>
      <c r="W63" s="509"/>
      <c r="X63" s="905"/>
      <c r="Y63" s="321"/>
      <c r="Z63" s="433"/>
      <c r="AA63" s="356"/>
      <c r="AB63" s="306" t="str">
        <f t="shared" si="0"/>
        <v/>
      </c>
      <c r="AC63" s="893">
        <f t="shared" si="1"/>
        <v>0</v>
      </c>
      <c r="AD63" s="322"/>
      <c r="AE63" s="1"/>
      <c r="AF63" s="223">
        <f>IF(ISBLANK(AD63),0,COUNTIF(AF$4:AF62,"&gt;0")+1)</f>
        <v>0</v>
      </c>
      <c r="AG63" s="164">
        <f t="shared" si="13"/>
        <v>0</v>
      </c>
      <c r="AH63" s="99">
        <f t="shared" si="3"/>
        <v>0</v>
      </c>
      <c r="AI63" s="99">
        <f t="shared" si="14"/>
        <v>0</v>
      </c>
      <c r="AJ63" s="170">
        <f t="shared" si="15"/>
        <v>0</v>
      </c>
      <c r="AK63" s="204">
        <f t="shared" si="6"/>
        <v>0</v>
      </c>
      <c r="AL63" s="1049">
        <f>IF(ISERROR(AO63),0,IF(AND(AN63&gt;=$U$1,AN63&lt;=$U$2),IF(AO63='ESTRATTO CONTO'!$E$2,1+COUNTIF(AL$4:AL62,"&gt;0")+U$1009,0),0))</f>
        <v>0</v>
      </c>
      <c r="AM63" s="747">
        <f t="shared" si="10"/>
        <v>60</v>
      </c>
      <c r="AN63" s="164" t="e">
        <f>VLOOKUP($AM63,PATRIMONIALE!$AV115:AW$1003,2,FALSE)</f>
        <v>#N/A</v>
      </c>
      <c r="AO63" s="310" t="e">
        <f>VLOOKUP($AM63,PATRIMONIALE!$AV115:AX$1003,3,FALSE)</f>
        <v>#N/A</v>
      </c>
      <c r="AP63" s="310" t="e">
        <f>VLOOKUP($AM63,PATRIMONIALE!$AV115:AY$1003,4,FALSE)</f>
        <v>#N/A</v>
      </c>
      <c r="AQ63" s="748" t="e">
        <f>VLOOKUP($AM63,PATRIMONIALE!$AV115:AZ$1003,5,FALSE)</f>
        <v>#N/A</v>
      </c>
      <c r="AR63" s="1"/>
      <c r="AS63" s="461" t="str">
        <f t="shared" si="7"/>
        <v/>
      </c>
      <c r="AT63" s="370"/>
    </row>
    <row r="64" spans="1:46" ht="16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435">
        <f>IF(AND(W64&gt;=$U$1,W64&lt;=$U$2),IF(X64='ESTRATTO CONTO'!$E$2,1+COUNTIF(U$4:U63,"&gt;0"),0),0)</f>
        <v>0</v>
      </c>
      <c r="V64" s="417">
        <f t="shared" si="9"/>
        <v>61</v>
      </c>
      <c r="W64" s="509"/>
      <c r="X64" s="321"/>
      <c r="Y64" s="321"/>
      <c r="Z64" s="433"/>
      <c r="AA64" s="356"/>
      <c r="AB64" s="306" t="str">
        <f t="shared" si="0"/>
        <v/>
      </c>
      <c r="AC64" s="893">
        <f t="shared" si="1"/>
        <v>0</v>
      </c>
      <c r="AD64" s="322"/>
      <c r="AE64" s="1"/>
      <c r="AF64" s="223">
        <f>IF(ISBLANK(AD64),0,COUNTIF(AF$4:AF63,"&gt;0")+1)</f>
        <v>0</v>
      </c>
      <c r="AG64" s="164">
        <f t="shared" si="13"/>
        <v>0</v>
      </c>
      <c r="AH64" s="99">
        <f t="shared" si="3"/>
        <v>0</v>
      </c>
      <c r="AI64" s="99">
        <f t="shared" si="14"/>
        <v>0</v>
      </c>
      <c r="AJ64" s="170">
        <f t="shared" si="15"/>
        <v>0</v>
      </c>
      <c r="AK64" s="204">
        <f t="shared" si="6"/>
        <v>0</v>
      </c>
      <c r="AL64" s="1049">
        <f>IF(ISERROR(AO64),0,IF(AND(AN64&gt;=$U$1,AN64&lt;=$U$2),IF(AO64='ESTRATTO CONTO'!$E$2,1+COUNTIF(AL$4:AL63,"&gt;0")+U$1009,0),0))</f>
        <v>0</v>
      </c>
      <c r="AM64" s="747">
        <f t="shared" si="10"/>
        <v>61</v>
      </c>
      <c r="AN64" s="164" t="e">
        <f>VLOOKUP($AM64,PATRIMONIALE!$AV116:AW$1003,2,FALSE)</f>
        <v>#N/A</v>
      </c>
      <c r="AO64" s="310" t="e">
        <f>VLOOKUP($AM64,PATRIMONIALE!$AV116:AX$1003,3,FALSE)</f>
        <v>#N/A</v>
      </c>
      <c r="AP64" s="310" t="e">
        <f>VLOOKUP($AM64,PATRIMONIALE!$AV116:AY$1003,4,FALSE)</f>
        <v>#N/A</v>
      </c>
      <c r="AQ64" s="748" t="e">
        <f>VLOOKUP($AM64,PATRIMONIALE!$AV116:AZ$1003,5,FALSE)</f>
        <v>#N/A</v>
      </c>
      <c r="AR64" s="1"/>
      <c r="AS64" s="461" t="str">
        <f t="shared" si="7"/>
        <v/>
      </c>
      <c r="AT64" s="370"/>
    </row>
    <row r="65" spans="1:46" ht="16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435">
        <f>IF(AND(W65&gt;=$U$1,W65&lt;=$U$2),IF(X65='ESTRATTO CONTO'!$E$2,1+COUNTIF(U$4:U64,"&gt;0"),0),0)</f>
        <v>0</v>
      </c>
      <c r="V65" s="417">
        <f t="shared" si="9"/>
        <v>62</v>
      </c>
      <c r="W65" s="509"/>
      <c r="X65" s="321"/>
      <c r="Y65" s="321"/>
      <c r="Z65" s="433"/>
      <c r="AA65" s="356"/>
      <c r="AB65" s="306" t="str">
        <f t="shared" si="0"/>
        <v/>
      </c>
      <c r="AC65" s="893">
        <f t="shared" si="1"/>
        <v>0</v>
      </c>
      <c r="AD65" s="322"/>
      <c r="AE65" s="1"/>
      <c r="AF65" s="223">
        <f>IF(ISBLANK(AD65),0,COUNTIF(AF$4:AF64,"&gt;0")+1)</f>
        <v>0</v>
      </c>
      <c r="AG65" s="164">
        <f t="shared" si="13"/>
        <v>0</v>
      </c>
      <c r="AH65" s="99">
        <f t="shared" si="3"/>
        <v>0</v>
      </c>
      <c r="AI65" s="99">
        <f t="shared" si="14"/>
        <v>0</v>
      </c>
      <c r="AJ65" s="170">
        <f t="shared" si="15"/>
        <v>0</v>
      </c>
      <c r="AK65" s="204">
        <f t="shared" si="6"/>
        <v>0</v>
      </c>
      <c r="AL65" s="1049">
        <f>IF(ISERROR(AO65),0,IF(AND(AN65&gt;=$U$1,AN65&lt;=$U$2),IF(AO65='ESTRATTO CONTO'!$E$2,1+COUNTIF(AL$4:AL64,"&gt;0")+U$1009,0),0))</f>
        <v>0</v>
      </c>
      <c r="AM65" s="747">
        <f t="shared" si="10"/>
        <v>62</v>
      </c>
      <c r="AN65" s="164" t="e">
        <f>VLOOKUP($AM65,PATRIMONIALE!$AV117:AW$1003,2,FALSE)</f>
        <v>#N/A</v>
      </c>
      <c r="AO65" s="310" t="e">
        <f>VLOOKUP($AM65,PATRIMONIALE!$AV117:AX$1003,3,FALSE)</f>
        <v>#N/A</v>
      </c>
      <c r="AP65" s="310" t="e">
        <f>VLOOKUP($AM65,PATRIMONIALE!$AV117:AY$1003,4,FALSE)</f>
        <v>#N/A</v>
      </c>
      <c r="AQ65" s="748" t="e">
        <f>VLOOKUP($AM65,PATRIMONIALE!$AV117:AZ$1003,5,FALSE)</f>
        <v>#N/A</v>
      </c>
      <c r="AR65" s="1"/>
      <c r="AS65" s="461" t="str">
        <f t="shared" si="7"/>
        <v/>
      </c>
      <c r="AT65" s="370"/>
    </row>
    <row r="66" spans="1:46" ht="16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435">
        <f>IF(AND(W66&gt;=$U$1,W66&lt;=$U$2),IF(X66='ESTRATTO CONTO'!$E$2,1+COUNTIF(U$4:U65,"&gt;0"),0),0)</f>
        <v>0</v>
      </c>
      <c r="V66" s="417">
        <f t="shared" si="9"/>
        <v>63</v>
      </c>
      <c r="W66" s="509"/>
      <c r="X66" s="321"/>
      <c r="Y66" s="321"/>
      <c r="Z66" s="433"/>
      <c r="AA66" s="356"/>
      <c r="AB66" s="306" t="str">
        <f t="shared" si="0"/>
        <v/>
      </c>
      <c r="AC66" s="893">
        <f t="shared" si="1"/>
        <v>0</v>
      </c>
      <c r="AD66" s="322"/>
      <c r="AE66" s="1"/>
      <c r="AF66" s="223">
        <f>IF(ISBLANK(AD66),0,COUNTIF(AF$4:AF65,"&gt;0")+1)</f>
        <v>0</v>
      </c>
      <c r="AG66" s="164">
        <f t="shared" si="13"/>
        <v>0</v>
      </c>
      <c r="AH66" s="99">
        <f t="shared" si="3"/>
        <v>0</v>
      </c>
      <c r="AI66" s="99">
        <f t="shared" si="14"/>
        <v>0</v>
      </c>
      <c r="AJ66" s="170">
        <f t="shared" si="15"/>
        <v>0</v>
      </c>
      <c r="AK66" s="204">
        <f t="shared" si="6"/>
        <v>0</v>
      </c>
      <c r="AL66" s="1049">
        <f>IF(ISERROR(AO66),0,IF(AND(AN66&gt;=$U$1,AN66&lt;=$U$2),IF(AO66='ESTRATTO CONTO'!$E$2,1+COUNTIF(AL$4:AL65,"&gt;0")+U$1009,0),0))</f>
        <v>0</v>
      </c>
      <c r="AM66" s="747">
        <f t="shared" si="10"/>
        <v>63</v>
      </c>
      <c r="AN66" s="164" t="e">
        <f>VLOOKUP($AM66,PATRIMONIALE!$AV118:AW$1003,2,FALSE)</f>
        <v>#N/A</v>
      </c>
      <c r="AO66" s="310" t="e">
        <f>VLOOKUP($AM66,PATRIMONIALE!$AV118:AX$1003,3,FALSE)</f>
        <v>#N/A</v>
      </c>
      <c r="AP66" s="310" t="e">
        <f>VLOOKUP($AM66,PATRIMONIALE!$AV118:AY$1003,4,FALSE)</f>
        <v>#N/A</v>
      </c>
      <c r="AQ66" s="748" t="e">
        <f>VLOOKUP($AM66,PATRIMONIALE!$AV118:AZ$1003,5,FALSE)</f>
        <v>#N/A</v>
      </c>
      <c r="AR66" s="1"/>
      <c r="AS66" s="461" t="str">
        <f t="shared" si="7"/>
        <v/>
      </c>
      <c r="AT66" s="370"/>
    </row>
    <row r="67" spans="1:46" ht="16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435">
        <f>IF(AND(W67&gt;=$U$1,W67&lt;=$U$2),IF(X67='ESTRATTO CONTO'!$E$2,1+COUNTIF(U$4:U66,"&gt;0"),0),0)</f>
        <v>0</v>
      </c>
      <c r="V67" s="417">
        <f t="shared" si="9"/>
        <v>64</v>
      </c>
      <c r="W67" s="509"/>
      <c r="X67" s="321"/>
      <c r="Y67" s="321"/>
      <c r="Z67" s="433"/>
      <c r="AA67" s="356"/>
      <c r="AB67" s="306" t="str">
        <f t="shared" si="0"/>
        <v/>
      </c>
      <c r="AC67" s="893">
        <f t="shared" si="1"/>
        <v>0</v>
      </c>
      <c r="AD67" s="322"/>
      <c r="AE67" s="1"/>
      <c r="AF67" s="223">
        <f>IF(ISBLANK(AD67),0,COUNTIF(AF$4:AF66,"&gt;0")+1)</f>
        <v>0</v>
      </c>
      <c r="AG67" s="164">
        <f t="shared" si="13"/>
        <v>0</v>
      </c>
      <c r="AH67" s="99">
        <f t="shared" si="3"/>
        <v>0</v>
      </c>
      <c r="AI67" s="99">
        <f t="shared" si="14"/>
        <v>0</v>
      </c>
      <c r="AJ67" s="170">
        <f t="shared" si="15"/>
        <v>0</v>
      </c>
      <c r="AK67" s="204">
        <f t="shared" si="6"/>
        <v>0</v>
      </c>
      <c r="AL67" s="1049">
        <f>IF(ISERROR(AO67),0,IF(AND(AN67&gt;=$U$1,AN67&lt;=$U$2),IF(AO67='ESTRATTO CONTO'!$E$2,1+COUNTIF(AL$4:AL66,"&gt;0")+U$1009,0),0))</f>
        <v>0</v>
      </c>
      <c r="AM67" s="747">
        <f t="shared" si="10"/>
        <v>64</v>
      </c>
      <c r="AN67" s="164" t="e">
        <f>VLOOKUP($AM67,PATRIMONIALE!$AV119:AW$1003,2,FALSE)</f>
        <v>#N/A</v>
      </c>
      <c r="AO67" s="310" t="e">
        <f>VLOOKUP($AM67,PATRIMONIALE!$AV119:AX$1003,3,FALSE)</f>
        <v>#N/A</v>
      </c>
      <c r="AP67" s="310" t="e">
        <f>VLOOKUP($AM67,PATRIMONIALE!$AV119:AY$1003,4,FALSE)</f>
        <v>#N/A</v>
      </c>
      <c r="AQ67" s="748" t="e">
        <f>VLOOKUP($AM67,PATRIMONIALE!$AV119:AZ$1003,5,FALSE)</f>
        <v>#N/A</v>
      </c>
      <c r="AR67" s="1"/>
      <c r="AS67" s="461" t="str">
        <f t="shared" si="7"/>
        <v/>
      </c>
      <c r="AT67" s="370"/>
    </row>
    <row r="68" spans="1:46" ht="16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35">
        <f>IF(AND(W68&gt;=$U$1,W68&lt;=$U$2),IF(X68='ESTRATTO CONTO'!$E$2,1+COUNTIF(U$4:U67,"&gt;0"),0),0)</f>
        <v>0</v>
      </c>
      <c r="V68" s="417">
        <f t="shared" si="9"/>
        <v>65</v>
      </c>
      <c r="W68" s="509"/>
      <c r="X68" s="321"/>
      <c r="Y68" s="321"/>
      <c r="Z68" s="433"/>
      <c r="AA68" s="356"/>
      <c r="AB68" s="306" t="str">
        <f t="shared" ref="AB68:AB131" si="26">IF(X68="","",IF(W68&gt;0,IF(AND(W68&gt;=W$1012,W68&lt;=W$1013),CONCATENATE(X68,"-",MONTH(W68)),0),""))</f>
        <v/>
      </c>
      <c r="AC68" s="893">
        <f t="shared" ref="AC68:AC131" si="27">IF(AD68="",0,VLOOKUP(AD68,$AD$1025:$AD$1038,1,FALSE))</f>
        <v>0</v>
      </c>
      <c r="AD68" s="322"/>
      <c r="AE68" s="1"/>
      <c r="AF68" s="223">
        <f>IF(ISBLANK(AD68),0,COUNTIF(AF$4:AF67,"&gt;0")+1)</f>
        <v>0</v>
      </c>
      <c r="AG68" s="164">
        <f t="shared" si="13"/>
        <v>0</v>
      </c>
      <c r="AH68" s="99">
        <f t="shared" ref="AH68:AH131" si="28">IF($AF68=0,0,VLOOKUP(AD68,$AD$1025:$AH$1038,5,FALSE))</f>
        <v>0</v>
      </c>
      <c r="AI68" s="99">
        <f t="shared" si="14"/>
        <v>0</v>
      </c>
      <c r="AJ68" s="170">
        <f t="shared" si="15"/>
        <v>0</v>
      </c>
      <c r="AK68" s="204">
        <f t="shared" ref="AK68:AK131" si="29">X68</f>
        <v>0</v>
      </c>
      <c r="AL68" s="1049">
        <f>IF(ISERROR(AO68),0,IF(AND(AN68&gt;=$U$1,AN68&lt;=$U$2),IF(AO68='ESTRATTO CONTO'!$E$2,1+COUNTIF(AL$4:AL67,"&gt;0")+U$1009,0),0))</f>
        <v>0</v>
      </c>
      <c r="AM68" s="747">
        <f t="shared" si="10"/>
        <v>65</v>
      </c>
      <c r="AN68" s="164" t="e">
        <f>VLOOKUP($AM68,PATRIMONIALE!$AV120:AW$1003,2,FALSE)</f>
        <v>#N/A</v>
      </c>
      <c r="AO68" s="310" t="e">
        <f>VLOOKUP($AM68,PATRIMONIALE!$AV120:AX$1003,3,FALSE)</f>
        <v>#N/A</v>
      </c>
      <c r="AP68" s="310" t="e">
        <f>VLOOKUP($AM68,PATRIMONIALE!$AV120:AY$1003,4,FALSE)</f>
        <v>#N/A</v>
      </c>
      <c r="AQ68" s="748" t="e">
        <f>VLOOKUP($AM68,PATRIMONIALE!$AV120:AZ$1003,5,FALSE)</f>
        <v>#N/A</v>
      </c>
      <c r="AR68" s="1"/>
      <c r="AS68" s="461" t="str">
        <f t="shared" ref="AS68:AS131" si="30">IF(X68="","",IF(ISERROR(VLOOKUP(X68,B$9:E$13,1,FALSE)),1,0))</f>
        <v/>
      </c>
      <c r="AT68" s="370"/>
    </row>
    <row r="69" spans="1:46" ht="16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435">
        <f>IF(AND(W69&gt;=$U$1,W69&lt;=$U$2),IF(X69='ESTRATTO CONTO'!$E$2,1+COUNTIF(U$4:U68,"&gt;0"),0),0)</f>
        <v>0</v>
      </c>
      <c r="V69" s="417">
        <f t="shared" si="9"/>
        <v>66</v>
      </c>
      <c r="W69" s="509"/>
      <c r="X69" s="321"/>
      <c r="Y69" s="321"/>
      <c r="Z69" s="433"/>
      <c r="AA69" s="356"/>
      <c r="AB69" s="306" t="str">
        <f t="shared" si="26"/>
        <v/>
      </c>
      <c r="AC69" s="893">
        <f t="shared" si="27"/>
        <v>0</v>
      </c>
      <c r="AD69" s="322"/>
      <c r="AE69" s="1"/>
      <c r="AF69" s="223">
        <f>IF(ISBLANK(AD69),0,COUNTIF(AF$4:AF68,"&gt;0")+1)</f>
        <v>0</v>
      </c>
      <c r="AG69" s="164">
        <f t="shared" si="13"/>
        <v>0</v>
      </c>
      <c r="AH69" s="99">
        <f t="shared" si="28"/>
        <v>0</v>
      </c>
      <c r="AI69" s="99">
        <f t="shared" si="14"/>
        <v>0</v>
      </c>
      <c r="AJ69" s="170">
        <f t="shared" si="15"/>
        <v>0</v>
      </c>
      <c r="AK69" s="204">
        <f t="shared" si="29"/>
        <v>0</v>
      </c>
      <c r="AL69" s="1049">
        <f>IF(ISERROR(AO69),0,IF(AND(AN69&gt;=$U$1,AN69&lt;=$U$2),IF(AO69='ESTRATTO CONTO'!$E$2,1+COUNTIF(AL$4:AL68,"&gt;0")+U$1009,0),0))</f>
        <v>0</v>
      </c>
      <c r="AM69" s="747">
        <f t="shared" si="10"/>
        <v>66</v>
      </c>
      <c r="AN69" s="164" t="e">
        <f>VLOOKUP($AM69,PATRIMONIALE!$AV121:AW$1003,2,FALSE)</f>
        <v>#N/A</v>
      </c>
      <c r="AO69" s="310" t="e">
        <f>VLOOKUP($AM69,PATRIMONIALE!$AV121:AX$1003,3,FALSE)</f>
        <v>#N/A</v>
      </c>
      <c r="AP69" s="310" t="e">
        <f>VLOOKUP($AM69,PATRIMONIALE!$AV121:AY$1003,4,FALSE)</f>
        <v>#N/A</v>
      </c>
      <c r="AQ69" s="748" t="e">
        <f>VLOOKUP($AM69,PATRIMONIALE!$AV121:AZ$1003,5,FALSE)</f>
        <v>#N/A</v>
      </c>
      <c r="AR69" s="1"/>
      <c r="AS69" s="461" t="str">
        <f t="shared" si="30"/>
        <v/>
      </c>
      <c r="AT69" s="370"/>
    </row>
    <row r="70" spans="1:46" ht="16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35">
        <f>IF(AND(W70&gt;=$U$1,W70&lt;=$U$2),IF(X70='ESTRATTO CONTO'!$E$2,1+COUNTIF(U$4:U69,"&gt;0"),0),0)</f>
        <v>0</v>
      </c>
      <c r="V70" s="417">
        <f t="shared" ref="V70:V133" si="31">V69+1</f>
        <v>67</v>
      </c>
      <c r="W70" s="509"/>
      <c r="X70" s="321"/>
      <c r="Y70" s="321"/>
      <c r="Z70" s="433"/>
      <c r="AA70" s="356"/>
      <c r="AB70" s="306" t="str">
        <f t="shared" si="26"/>
        <v/>
      </c>
      <c r="AC70" s="893">
        <f t="shared" si="27"/>
        <v>0</v>
      </c>
      <c r="AD70" s="322"/>
      <c r="AE70" s="1"/>
      <c r="AF70" s="223">
        <f>IF(ISBLANK(AD70),0,COUNTIF(AF$4:AF69,"&gt;0")+1)</f>
        <v>0</v>
      </c>
      <c r="AG70" s="164">
        <f t="shared" si="13"/>
        <v>0</v>
      </c>
      <c r="AH70" s="99">
        <f t="shared" si="28"/>
        <v>0</v>
      </c>
      <c r="AI70" s="99">
        <f t="shared" si="14"/>
        <v>0</v>
      </c>
      <c r="AJ70" s="170">
        <f t="shared" si="15"/>
        <v>0</v>
      </c>
      <c r="AK70" s="204">
        <f t="shared" si="29"/>
        <v>0</v>
      </c>
      <c r="AL70" s="1049">
        <f>IF(ISERROR(AO70),0,IF(AND(AN70&gt;=$U$1,AN70&lt;=$U$2),IF(AO70='ESTRATTO CONTO'!$E$2,1+COUNTIF(AL$4:AL69,"&gt;0")+U$1009,0),0))</f>
        <v>0</v>
      </c>
      <c r="AM70" s="747">
        <f t="shared" ref="AM70:AM133" si="32">AM69+1</f>
        <v>67</v>
      </c>
      <c r="AN70" s="164" t="e">
        <f>VLOOKUP($AM70,PATRIMONIALE!$AV122:AW$1003,2,FALSE)</f>
        <v>#N/A</v>
      </c>
      <c r="AO70" s="310" t="e">
        <f>VLOOKUP($AM70,PATRIMONIALE!$AV122:AX$1003,3,FALSE)</f>
        <v>#N/A</v>
      </c>
      <c r="AP70" s="310" t="e">
        <f>VLOOKUP($AM70,PATRIMONIALE!$AV122:AY$1003,4,FALSE)</f>
        <v>#N/A</v>
      </c>
      <c r="AQ70" s="748" t="e">
        <f>VLOOKUP($AM70,PATRIMONIALE!$AV122:AZ$1003,5,FALSE)</f>
        <v>#N/A</v>
      </c>
      <c r="AR70" s="1"/>
      <c r="AS70" s="461" t="str">
        <f t="shared" si="30"/>
        <v/>
      </c>
      <c r="AT70" s="370"/>
    </row>
    <row r="71" spans="1:46" ht="16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35">
        <f>IF(AND(W71&gt;=$U$1,W71&lt;=$U$2),IF(X71='ESTRATTO CONTO'!$E$2,1+COUNTIF(U$4:U70,"&gt;0"),0),0)</f>
        <v>0</v>
      </c>
      <c r="V71" s="417">
        <f t="shared" si="31"/>
        <v>68</v>
      </c>
      <c r="W71" s="509"/>
      <c r="X71" s="321"/>
      <c r="Y71" s="321"/>
      <c r="Z71" s="433"/>
      <c r="AA71" s="356"/>
      <c r="AB71" s="306" t="str">
        <f t="shared" si="26"/>
        <v/>
      </c>
      <c r="AC71" s="893">
        <f t="shared" si="27"/>
        <v>0</v>
      </c>
      <c r="AD71" s="322"/>
      <c r="AE71" s="1"/>
      <c r="AF71" s="223">
        <f>IF(ISBLANK(AD71),0,COUNTIF(AF$4:AF70,"&gt;0")+1)</f>
        <v>0</v>
      </c>
      <c r="AG71" s="164">
        <f t="shared" si="13"/>
        <v>0</v>
      </c>
      <c r="AH71" s="99">
        <f t="shared" si="28"/>
        <v>0</v>
      </c>
      <c r="AI71" s="99">
        <f t="shared" si="14"/>
        <v>0</v>
      </c>
      <c r="AJ71" s="170">
        <f t="shared" si="15"/>
        <v>0</v>
      </c>
      <c r="AK71" s="204">
        <f t="shared" si="29"/>
        <v>0</v>
      </c>
      <c r="AL71" s="1049">
        <f>IF(ISERROR(AO71),0,IF(AND(AN71&gt;=$U$1,AN71&lt;=$U$2),IF(AO71='ESTRATTO CONTO'!$E$2,1+COUNTIF(AL$4:AL70,"&gt;0")+U$1009,0),0))</f>
        <v>0</v>
      </c>
      <c r="AM71" s="747">
        <f t="shared" si="32"/>
        <v>68</v>
      </c>
      <c r="AN71" s="164" t="e">
        <f>VLOOKUP($AM71,PATRIMONIALE!$AV123:AW$1003,2,FALSE)</f>
        <v>#N/A</v>
      </c>
      <c r="AO71" s="310" t="e">
        <f>VLOOKUP($AM71,PATRIMONIALE!$AV123:AX$1003,3,FALSE)</f>
        <v>#N/A</v>
      </c>
      <c r="AP71" s="310" t="e">
        <f>VLOOKUP($AM71,PATRIMONIALE!$AV123:AY$1003,4,FALSE)</f>
        <v>#N/A</v>
      </c>
      <c r="AQ71" s="748" t="e">
        <f>VLOOKUP($AM71,PATRIMONIALE!$AV123:AZ$1003,5,FALSE)</f>
        <v>#N/A</v>
      </c>
      <c r="AR71" s="1"/>
      <c r="AS71" s="461" t="str">
        <f t="shared" si="30"/>
        <v/>
      </c>
      <c r="AT71" s="370"/>
    </row>
    <row r="72" spans="1:46" ht="16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435">
        <f>IF(AND(W72&gt;=$U$1,W72&lt;=$U$2),IF(X72='ESTRATTO CONTO'!$E$2,1+COUNTIF(U$4:U71,"&gt;0"),0),0)</f>
        <v>0</v>
      </c>
      <c r="V72" s="417">
        <f t="shared" si="31"/>
        <v>69</v>
      </c>
      <c r="W72" s="509"/>
      <c r="X72" s="321"/>
      <c r="Y72" s="321"/>
      <c r="Z72" s="433"/>
      <c r="AA72" s="356"/>
      <c r="AB72" s="306" t="str">
        <f t="shared" si="26"/>
        <v/>
      </c>
      <c r="AC72" s="893">
        <f t="shared" si="27"/>
        <v>0</v>
      </c>
      <c r="AD72" s="322"/>
      <c r="AE72" s="1"/>
      <c r="AF72" s="223">
        <f>IF(ISBLANK(AD72),0,COUNTIF(AF$4:AF71,"&gt;0")+1)</f>
        <v>0</v>
      </c>
      <c r="AG72" s="164">
        <f t="shared" si="13"/>
        <v>0</v>
      </c>
      <c r="AH72" s="99">
        <f t="shared" si="28"/>
        <v>0</v>
      </c>
      <c r="AI72" s="99">
        <f t="shared" si="14"/>
        <v>0</v>
      </c>
      <c r="AJ72" s="170">
        <f t="shared" si="15"/>
        <v>0</v>
      </c>
      <c r="AK72" s="204">
        <f t="shared" si="29"/>
        <v>0</v>
      </c>
      <c r="AL72" s="1049">
        <f>IF(ISERROR(AO72),0,IF(AND(AN72&gt;=$U$1,AN72&lt;=$U$2),IF(AO72='ESTRATTO CONTO'!$E$2,1+COUNTIF(AL$4:AL71,"&gt;0")+U$1009,0),0))</f>
        <v>0</v>
      </c>
      <c r="AM72" s="747">
        <f t="shared" si="32"/>
        <v>69</v>
      </c>
      <c r="AN72" s="164" t="e">
        <f>VLOOKUP($AM72,PATRIMONIALE!$AV124:AW$1003,2,FALSE)</f>
        <v>#N/A</v>
      </c>
      <c r="AO72" s="310" t="e">
        <f>VLOOKUP($AM72,PATRIMONIALE!$AV124:AX$1003,3,FALSE)</f>
        <v>#N/A</v>
      </c>
      <c r="AP72" s="310" t="e">
        <f>VLOOKUP($AM72,PATRIMONIALE!$AV124:AY$1003,4,FALSE)</f>
        <v>#N/A</v>
      </c>
      <c r="AQ72" s="748" t="e">
        <f>VLOOKUP($AM72,PATRIMONIALE!$AV124:AZ$1003,5,FALSE)</f>
        <v>#N/A</v>
      </c>
      <c r="AR72" s="1"/>
      <c r="AS72" s="461" t="str">
        <f t="shared" si="30"/>
        <v/>
      </c>
      <c r="AT72" s="370"/>
    </row>
    <row r="73" spans="1:46" ht="16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435">
        <f>IF(AND(W73&gt;=$U$1,W73&lt;=$U$2),IF(X73='ESTRATTO CONTO'!$E$2,1+COUNTIF(U$4:U72,"&gt;0"),0),0)</f>
        <v>0</v>
      </c>
      <c r="V73" s="417">
        <f t="shared" si="31"/>
        <v>70</v>
      </c>
      <c r="W73" s="509"/>
      <c r="X73" s="321"/>
      <c r="Y73" s="321"/>
      <c r="Z73" s="433"/>
      <c r="AA73" s="356"/>
      <c r="AB73" s="306" t="str">
        <f t="shared" si="26"/>
        <v/>
      </c>
      <c r="AC73" s="893">
        <f t="shared" si="27"/>
        <v>0</v>
      </c>
      <c r="AD73" s="322"/>
      <c r="AE73" s="1"/>
      <c r="AF73" s="223">
        <f>IF(ISBLANK(AD73),0,COUNTIF(AF$4:AF72,"&gt;0")+1)</f>
        <v>0</v>
      </c>
      <c r="AG73" s="164">
        <f t="shared" si="13"/>
        <v>0</v>
      </c>
      <c r="AH73" s="99">
        <f t="shared" si="28"/>
        <v>0</v>
      </c>
      <c r="AI73" s="99">
        <f t="shared" si="14"/>
        <v>0</v>
      </c>
      <c r="AJ73" s="170">
        <f t="shared" si="15"/>
        <v>0</v>
      </c>
      <c r="AK73" s="204">
        <f t="shared" si="29"/>
        <v>0</v>
      </c>
      <c r="AL73" s="1049">
        <f>IF(ISERROR(AO73),0,IF(AND(AN73&gt;=$U$1,AN73&lt;=$U$2),IF(AO73='ESTRATTO CONTO'!$E$2,1+COUNTIF(AL$4:AL72,"&gt;0")+U$1009,0),0))</f>
        <v>0</v>
      </c>
      <c r="AM73" s="747">
        <f t="shared" si="32"/>
        <v>70</v>
      </c>
      <c r="AN73" s="164" t="e">
        <f>VLOOKUP($AM73,PATRIMONIALE!$AV125:AW$1003,2,FALSE)</f>
        <v>#N/A</v>
      </c>
      <c r="AO73" s="310" t="e">
        <f>VLOOKUP($AM73,PATRIMONIALE!$AV125:AX$1003,3,FALSE)</f>
        <v>#N/A</v>
      </c>
      <c r="AP73" s="310" t="e">
        <f>VLOOKUP($AM73,PATRIMONIALE!$AV125:AY$1003,4,FALSE)</f>
        <v>#N/A</v>
      </c>
      <c r="AQ73" s="748" t="e">
        <f>VLOOKUP($AM73,PATRIMONIALE!$AV125:AZ$1003,5,FALSE)</f>
        <v>#N/A</v>
      </c>
      <c r="AR73" s="1"/>
      <c r="AS73" s="461" t="str">
        <f t="shared" si="30"/>
        <v/>
      </c>
      <c r="AT73" s="370"/>
    </row>
    <row r="74" spans="1:46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435">
        <f>IF(AND(W74&gt;=$U$1,W74&lt;=$U$2),IF(X74='ESTRATTO CONTO'!$E$2,1+COUNTIF(U$4:U73,"&gt;0"),0),0)</f>
        <v>0</v>
      </c>
      <c r="V74" s="417">
        <f t="shared" si="31"/>
        <v>71</v>
      </c>
      <c r="W74" s="509"/>
      <c r="X74" s="321"/>
      <c r="Y74" s="321"/>
      <c r="Z74" s="433"/>
      <c r="AA74" s="356"/>
      <c r="AB74" s="306" t="str">
        <f t="shared" si="26"/>
        <v/>
      </c>
      <c r="AC74" s="893">
        <f t="shared" si="27"/>
        <v>0</v>
      </c>
      <c r="AD74" s="322"/>
      <c r="AE74" s="1"/>
      <c r="AF74" s="223">
        <f>IF(ISBLANK(AD74),0,COUNTIF(AF$4:AF73,"&gt;0")+1)</f>
        <v>0</v>
      </c>
      <c r="AG74" s="164">
        <f t="shared" ref="AG74:AG137" si="33">IF($AF74=0,0,W74)</f>
        <v>0</v>
      </c>
      <c r="AH74" s="99">
        <f t="shared" si="28"/>
        <v>0</v>
      </c>
      <c r="AI74" s="99">
        <f t="shared" ref="AI74:AI137" si="34">IF($AF74=0,0,Y74)</f>
        <v>0</v>
      </c>
      <c r="AJ74" s="170">
        <f t="shared" ref="AJ74:AJ137" si="35">IF($AF74=0,0,IF(RIGHT(AD74)="-",IF(Z74&gt;0,Z74*-1,Z74),Z74))</f>
        <v>0</v>
      </c>
      <c r="AK74" s="204">
        <f t="shared" si="29"/>
        <v>0</v>
      </c>
      <c r="AL74" s="1049">
        <f>IF(ISERROR(AO74),0,IF(AND(AN74&gt;=$U$1,AN74&lt;=$U$2),IF(AO74='ESTRATTO CONTO'!$E$2,1+COUNTIF(AL$4:AL73,"&gt;0")+U$1009,0),0))</f>
        <v>0</v>
      </c>
      <c r="AM74" s="747">
        <f t="shared" si="32"/>
        <v>71</v>
      </c>
      <c r="AN74" s="164" t="e">
        <f>VLOOKUP($AM74,PATRIMONIALE!$AV126:AW$1003,2,FALSE)</f>
        <v>#N/A</v>
      </c>
      <c r="AO74" s="310" t="e">
        <f>VLOOKUP($AM74,PATRIMONIALE!$AV126:AX$1003,3,FALSE)</f>
        <v>#N/A</v>
      </c>
      <c r="AP74" s="310" t="e">
        <f>VLOOKUP($AM74,PATRIMONIALE!$AV126:AY$1003,4,FALSE)</f>
        <v>#N/A</v>
      </c>
      <c r="AQ74" s="748" t="e">
        <f>VLOOKUP($AM74,PATRIMONIALE!$AV126:AZ$1003,5,FALSE)</f>
        <v>#N/A</v>
      </c>
      <c r="AR74" s="1"/>
      <c r="AS74" s="461" t="str">
        <f t="shared" si="30"/>
        <v/>
      </c>
      <c r="AT74" s="370"/>
    </row>
    <row r="75" spans="1:46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35">
        <f>IF(AND(W75&gt;=$U$1,W75&lt;=$U$2),IF(X75='ESTRATTO CONTO'!$E$2,1+COUNTIF(U$4:U74,"&gt;0"),0),0)</f>
        <v>0</v>
      </c>
      <c r="V75" s="417">
        <f t="shared" si="31"/>
        <v>72</v>
      </c>
      <c r="W75" s="509"/>
      <c r="X75" s="321"/>
      <c r="Y75" s="321"/>
      <c r="Z75" s="433"/>
      <c r="AA75" s="356"/>
      <c r="AB75" s="306" t="str">
        <f t="shared" si="26"/>
        <v/>
      </c>
      <c r="AC75" s="893">
        <f t="shared" si="27"/>
        <v>0</v>
      </c>
      <c r="AD75" s="322"/>
      <c r="AE75" s="1"/>
      <c r="AF75" s="223">
        <f>IF(ISBLANK(AD75),0,COUNTIF(AF$4:AF74,"&gt;0")+1)</f>
        <v>0</v>
      </c>
      <c r="AG75" s="164">
        <f t="shared" si="33"/>
        <v>0</v>
      </c>
      <c r="AH75" s="99">
        <f t="shared" si="28"/>
        <v>0</v>
      </c>
      <c r="AI75" s="99">
        <f t="shared" si="34"/>
        <v>0</v>
      </c>
      <c r="AJ75" s="170">
        <f t="shared" si="35"/>
        <v>0</v>
      </c>
      <c r="AK75" s="204">
        <f t="shared" si="29"/>
        <v>0</v>
      </c>
      <c r="AL75" s="1049">
        <f>IF(ISERROR(AO75),0,IF(AND(AN75&gt;=$U$1,AN75&lt;=$U$2),IF(AO75='ESTRATTO CONTO'!$E$2,1+COUNTIF(AL$4:AL74,"&gt;0")+U$1009,0),0))</f>
        <v>0</v>
      </c>
      <c r="AM75" s="747">
        <f t="shared" si="32"/>
        <v>72</v>
      </c>
      <c r="AN75" s="164" t="e">
        <f>VLOOKUP($AM75,PATRIMONIALE!$AV127:AW$1003,2,FALSE)</f>
        <v>#N/A</v>
      </c>
      <c r="AO75" s="310" t="e">
        <f>VLOOKUP($AM75,PATRIMONIALE!$AV127:AX$1003,3,FALSE)</f>
        <v>#N/A</v>
      </c>
      <c r="AP75" s="310" t="e">
        <f>VLOOKUP($AM75,PATRIMONIALE!$AV127:AY$1003,4,FALSE)</f>
        <v>#N/A</v>
      </c>
      <c r="AQ75" s="748" t="e">
        <f>VLOOKUP($AM75,PATRIMONIALE!$AV127:AZ$1003,5,FALSE)</f>
        <v>#N/A</v>
      </c>
      <c r="AR75" s="1"/>
      <c r="AS75" s="461" t="str">
        <f t="shared" si="30"/>
        <v/>
      </c>
      <c r="AT75" s="370"/>
    </row>
    <row r="76" spans="1:46" ht="16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435">
        <f>IF(AND(W76&gt;=$U$1,W76&lt;=$U$2),IF(X76='ESTRATTO CONTO'!$E$2,1+COUNTIF(U$4:U75,"&gt;0"),0),0)</f>
        <v>0</v>
      </c>
      <c r="V76" s="417">
        <f t="shared" si="31"/>
        <v>73</v>
      </c>
      <c r="W76" s="509"/>
      <c r="X76" s="321"/>
      <c r="Y76" s="321"/>
      <c r="Z76" s="433"/>
      <c r="AA76" s="356"/>
      <c r="AB76" s="306" t="str">
        <f t="shared" si="26"/>
        <v/>
      </c>
      <c r="AC76" s="893">
        <f t="shared" si="27"/>
        <v>0</v>
      </c>
      <c r="AD76" s="322"/>
      <c r="AE76" s="1"/>
      <c r="AF76" s="223">
        <f>IF(ISBLANK(AD76),0,COUNTIF(AF$4:AF75,"&gt;0")+1)</f>
        <v>0</v>
      </c>
      <c r="AG76" s="164">
        <f t="shared" si="33"/>
        <v>0</v>
      </c>
      <c r="AH76" s="99">
        <f t="shared" si="28"/>
        <v>0</v>
      </c>
      <c r="AI76" s="99">
        <f t="shared" si="34"/>
        <v>0</v>
      </c>
      <c r="AJ76" s="170">
        <f t="shared" si="35"/>
        <v>0</v>
      </c>
      <c r="AK76" s="204">
        <f t="shared" si="29"/>
        <v>0</v>
      </c>
      <c r="AL76" s="1049">
        <f>IF(ISERROR(AO76),0,IF(AND(AN76&gt;=$U$1,AN76&lt;=$U$2),IF(AO76='ESTRATTO CONTO'!$E$2,1+COUNTIF(AL$4:AL75,"&gt;0")+U$1009,0),0))</f>
        <v>0</v>
      </c>
      <c r="AM76" s="747">
        <f t="shared" si="32"/>
        <v>73</v>
      </c>
      <c r="AN76" s="164" t="e">
        <f>VLOOKUP($AM76,PATRIMONIALE!$AV128:AW$1003,2,FALSE)</f>
        <v>#N/A</v>
      </c>
      <c r="AO76" s="310" t="e">
        <f>VLOOKUP($AM76,PATRIMONIALE!$AV128:AX$1003,3,FALSE)</f>
        <v>#N/A</v>
      </c>
      <c r="AP76" s="310" t="e">
        <f>VLOOKUP($AM76,PATRIMONIALE!$AV128:AY$1003,4,FALSE)</f>
        <v>#N/A</v>
      </c>
      <c r="AQ76" s="748" t="e">
        <f>VLOOKUP($AM76,PATRIMONIALE!$AV128:AZ$1003,5,FALSE)</f>
        <v>#N/A</v>
      </c>
      <c r="AR76" s="1"/>
      <c r="AS76" s="461" t="str">
        <f t="shared" si="30"/>
        <v/>
      </c>
      <c r="AT76" s="370"/>
    </row>
    <row r="77" spans="1:46" ht="16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435">
        <f>IF(AND(W77&gt;=$U$1,W77&lt;=$U$2),IF(X77='ESTRATTO CONTO'!$E$2,1+COUNTIF(U$4:U76,"&gt;0"),0),0)</f>
        <v>0</v>
      </c>
      <c r="V77" s="417">
        <f t="shared" si="31"/>
        <v>74</v>
      </c>
      <c r="W77" s="509"/>
      <c r="X77" s="321"/>
      <c r="Y77" s="321"/>
      <c r="Z77" s="433"/>
      <c r="AA77" s="356"/>
      <c r="AB77" s="306" t="str">
        <f t="shared" si="26"/>
        <v/>
      </c>
      <c r="AC77" s="893">
        <f t="shared" si="27"/>
        <v>0</v>
      </c>
      <c r="AD77" s="322"/>
      <c r="AE77" s="1"/>
      <c r="AF77" s="223">
        <f>IF(ISBLANK(AD77),0,COUNTIF(AF$4:AF76,"&gt;0")+1)</f>
        <v>0</v>
      </c>
      <c r="AG77" s="164">
        <f t="shared" si="33"/>
        <v>0</v>
      </c>
      <c r="AH77" s="99">
        <f t="shared" si="28"/>
        <v>0</v>
      </c>
      <c r="AI77" s="99">
        <f t="shared" si="34"/>
        <v>0</v>
      </c>
      <c r="AJ77" s="170">
        <f t="shared" si="35"/>
        <v>0</v>
      </c>
      <c r="AK77" s="204">
        <f t="shared" si="29"/>
        <v>0</v>
      </c>
      <c r="AL77" s="1049">
        <f>IF(ISERROR(AO77),0,IF(AND(AN77&gt;=$U$1,AN77&lt;=$U$2),IF(AO77='ESTRATTO CONTO'!$E$2,1+COUNTIF(AL$4:AL76,"&gt;0")+U$1009,0),0))</f>
        <v>0</v>
      </c>
      <c r="AM77" s="747">
        <f t="shared" si="32"/>
        <v>74</v>
      </c>
      <c r="AN77" s="164" t="e">
        <f>VLOOKUP($AM77,PATRIMONIALE!$AV129:AW$1003,2,FALSE)</f>
        <v>#N/A</v>
      </c>
      <c r="AO77" s="310" t="e">
        <f>VLOOKUP($AM77,PATRIMONIALE!$AV129:AX$1003,3,FALSE)</f>
        <v>#N/A</v>
      </c>
      <c r="AP77" s="310" t="e">
        <f>VLOOKUP($AM77,PATRIMONIALE!$AV129:AY$1003,4,FALSE)</f>
        <v>#N/A</v>
      </c>
      <c r="AQ77" s="748" t="e">
        <f>VLOOKUP($AM77,PATRIMONIALE!$AV129:AZ$1003,5,FALSE)</f>
        <v>#N/A</v>
      </c>
      <c r="AR77" s="1"/>
      <c r="AS77" s="461" t="str">
        <f t="shared" si="30"/>
        <v/>
      </c>
      <c r="AT77" s="370"/>
    </row>
    <row r="78" spans="1:46" ht="16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435">
        <f>IF(AND(W78&gt;=$U$1,W78&lt;=$U$2),IF(X78='ESTRATTO CONTO'!$E$2,1+COUNTIF(U$4:U77,"&gt;0"),0),0)</f>
        <v>0</v>
      </c>
      <c r="V78" s="417">
        <f t="shared" si="31"/>
        <v>75</v>
      </c>
      <c r="W78" s="509"/>
      <c r="X78" s="321"/>
      <c r="Y78" s="321"/>
      <c r="Z78" s="433"/>
      <c r="AA78" s="356"/>
      <c r="AB78" s="306" t="str">
        <f t="shared" si="26"/>
        <v/>
      </c>
      <c r="AC78" s="893">
        <f t="shared" si="27"/>
        <v>0</v>
      </c>
      <c r="AD78" s="322"/>
      <c r="AE78" s="1"/>
      <c r="AF78" s="223">
        <f>IF(ISBLANK(AD78),0,COUNTIF(AF$4:AF77,"&gt;0")+1)</f>
        <v>0</v>
      </c>
      <c r="AG78" s="164">
        <f t="shared" si="33"/>
        <v>0</v>
      </c>
      <c r="AH78" s="99">
        <f t="shared" si="28"/>
        <v>0</v>
      </c>
      <c r="AI78" s="99">
        <f t="shared" si="34"/>
        <v>0</v>
      </c>
      <c r="AJ78" s="170">
        <f t="shared" si="35"/>
        <v>0</v>
      </c>
      <c r="AK78" s="204">
        <f t="shared" si="29"/>
        <v>0</v>
      </c>
      <c r="AL78" s="1049">
        <f>IF(ISERROR(AO78),0,IF(AND(AN78&gt;=$U$1,AN78&lt;=$U$2),IF(AO78='ESTRATTO CONTO'!$E$2,1+COUNTIF(AL$4:AL77,"&gt;0")+U$1009,0),0))</f>
        <v>0</v>
      </c>
      <c r="AM78" s="747">
        <f t="shared" si="32"/>
        <v>75</v>
      </c>
      <c r="AN78" s="164" t="e">
        <f>VLOOKUP($AM78,PATRIMONIALE!$AV130:AW$1003,2,FALSE)</f>
        <v>#N/A</v>
      </c>
      <c r="AO78" s="310" t="e">
        <f>VLOOKUP($AM78,PATRIMONIALE!$AV130:AX$1003,3,FALSE)</f>
        <v>#N/A</v>
      </c>
      <c r="AP78" s="310" t="e">
        <f>VLOOKUP($AM78,PATRIMONIALE!$AV130:AY$1003,4,FALSE)</f>
        <v>#N/A</v>
      </c>
      <c r="AQ78" s="748" t="e">
        <f>VLOOKUP($AM78,PATRIMONIALE!$AV130:AZ$1003,5,FALSE)</f>
        <v>#N/A</v>
      </c>
      <c r="AR78" s="1"/>
      <c r="AS78" s="461" t="str">
        <f t="shared" si="30"/>
        <v/>
      </c>
      <c r="AT78" s="370"/>
    </row>
    <row r="79" spans="1:46" ht="16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435">
        <f>IF(AND(W79&gt;=$U$1,W79&lt;=$U$2),IF(X79='ESTRATTO CONTO'!$E$2,1+COUNTIF(U$4:U78,"&gt;0"),0),0)</f>
        <v>0</v>
      </c>
      <c r="V79" s="417">
        <f t="shared" si="31"/>
        <v>76</v>
      </c>
      <c r="W79" s="509"/>
      <c r="X79" s="321"/>
      <c r="Y79" s="321"/>
      <c r="Z79" s="433"/>
      <c r="AA79" s="356"/>
      <c r="AB79" s="306" t="str">
        <f t="shared" si="26"/>
        <v/>
      </c>
      <c r="AC79" s="893">
        <f t="shared" si="27"/>
        <v>0</v>
      </c>
      <c r="AD79" s="322"/>
      <c r="AE79" s="1"/>
      <c r="AF79" s="223">
        <f>IF(ISBLANK(AD79),0,COUNTIF(AF$4:AF78,"&gt;0")+1)</f>
        <v>0</v>
      </c>
      <c r="AG79" s="164">
        <f t="shared" si="33"/>
        <v>0</v>
      </c>
      <c r="AH79" s="99">
        <f t="shared" si="28"/>
        <v>0</v>
      </c>
      <c r="AI79" s="99">
        <f t="shared" si="34"/>
        <v>0</v>
      </c>
      <c r="AJ79" s="170">
        <f t="shared" si="35"/>
        <v>0</v>
      </c>
      <c r="AK79" s="204">
        <f t="shared" si="29"/>
        <v>0</v>
      </c>
      <c r="AL79" s="1049">
        <f>IF(ISERROR(AO79),0,IF(AND(AN79&gt;=$U$1,AN79&lt;=$U$2),IF(AO79='ESTRATTO CONTO'!$E$2,1+COUNTIF(AL$4:AL78,"&gt;0")+U$1009,0),0))</f>
        <v>0</v>
      </c>
      <c r="AM79" s="747">
        <f t="shared" si="32"/>
        <v>76</v>
      </c>
      <c r="AN79" s="164" t="e">
        <f>VLOOKUP($AM79,PATRIMONIALE!$AV131:AW$1003,2,FALSE)</f>
        <v>#N/A</v>
      </c>
      <c r="AO79" s="310" t="e">
        <f>VLOOKUP($AM79,PATRIMONIALE!$AV131:AX$1003,3,FALSE)</f>
        <v>#N/A</v>
      </c>
      <c r="AP79" s="310" t="e">
        <f>VLOOKUP($AM79,PATRIMONIALE!$AV131:AY$1003,4,FALSE)</f>
        <v>#N/A</v>
      </c>
      <c r="AQ79" s="748" t="e">
        <f>VLOOKUP($AM79,PATRIMONIALE!$AV131:AZ$1003,5,FALSE)</f>
        <v>#N/A</v>
      </c>
      <c r="AR79" s="1"/>
      <c r="AS79" s="461" t="str">
        <f t="shared" si="30"/>
        <v/>
      </c>
      <c r="AT79" s="370"/>
    </row>
    <row r="80" spans="1:46" ht="16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435">
        <f>IF(AND(W80&gt;=$U$1,W80&lt;=$U$2),IF(X80='ESTRATTO CONTO'!$E$2,1+COUNTIF(U$4:U79,"&gt;0"),0),0)</f>
        <v>0</v>
      </c>
      <c r="V80" s="417">
        <f t="shared" si="31"/>
        <v>77</v>
      </c>
      <c r="W80" s="509"/>
      <c r="X80" s="321"/>
      <c r="Y80" s="321"/>
      <c r="Z80" s="433"/>
      <c r="AA80" s="356"/>
      <c r="AB80" s="306" t="str">
        <f t="shared" si="26"/>
        <v/>
      </c>
      <c r="AC80" s="893">
        <f t="shared" si="27"/>
        <v>0</v>
      </c>
      <c r="AD80" s="322"/>
      <c r="AE80" s="1"/>
      <c r="AF80" s="223">
        <f>IF(ISBLANK(AD80),0,COUNTIF(AF$4:AF79,"&gt;0")+1)</f>
        <v>0</v>
      </c>
      <c r="AG80" s="164">
        <f t="shared" si="33"/>
        <v>0</v>
      </c>
      <c r="AH80" s="99">
        <f t="shared" si="28"/>
        <v>0</v>
      </c>
      <c r="AI80" s="99">
        <f t="shared" si="34"/>
        <v>0</v>
      </c>
      <c r="AJ80" s="170">
        <f t="shared" si="35"/>
        <v>0</v>
      </c>
      <c r="AK80" s="204">
        <f t="shared" si="29"/>
        <v>0</v>
      </c>
      <c r="AL80" s="1049">
        <f>IF(ISERROR(AO80),0,IF(AND(AN80&gt;=$U$1,AN80&lt;=$U$2),IF(AO80='ESTRATTO CONTO'!$E$2,1+COUNTIF(AL$4:AL79,"&gt;0")+U$1009,0),0))</f>
        <v>0</v>
      </c>
      <c r="AM80" s="747">
        <f t="shared" si="32"/>
        <v>77</v>
      </c>
      <c r="AN80" s="164" t="e">
        <f>VLOOKUP($AM80,PATRIMONIALE!$AV132:AW$1003,2,FALSE)</f>
        <v>#N/A</v>
      </c>
      <c r="AO80" s="310" t="e">
        <f>VLOOKUP($AM80,PATRIMONIALE!$AV132:AX$1003,3,FALSE)</f>
        <v>#N/A</v>
      </c>
      <c r="AP80" s="310" t="e">
        <f>VLOOKUP($AM80,PATRIMONIALE!$AV132:AY$1003,4,FALSE)</f>
        <v>#N/A</v>
      </c>
      <c r="AQ80" s="748" t="e">
        <f>VLOOKUP($AM80,PATRIMONIALE!$AV132:AZ$1003,5,FALSE)</f>
        <v>#N/A</v>
      </c>
      <c r="AR80" s="1"/>
      <c r="AS80" s="461" t="str">
        <f t="shared" si="30"/>
        <v/>
      </c>
      <c r="AT80" s="370"/>
    </row>
    <row r="81" spans="1:46" ht="16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435">
        <f>IF(AND(W81&gt;=$U$1,W81&lt;=$U$2),IF(X81='ESTRATTO CONTO'!$E$2,1+COUNTIF(U$4:U80,"&gt;0"),0),0)</f>
        <v>0</v>
      </c>
      <c r="V81" s="417">
        <f t="shared" si="31"/>
        <v>78</v>
      </c>
      <c r="W81" s="509"/>
      <c r="X81" s="321"/>
      <c r="Y81" s="321"/>
      <c r="Z81" s="433"/>
      <c r="AA81" s="356"/>
      <c r="AB81" s="306" t="str">
        <f t="shared" si="26"/>
        <v/>
      </c>
      <c r="AC81" s="893">
        <f t="shared" si="27"/>
        <v>0</v>
      </c>
      <c r="AD81" s="322"/>
      <c r="AE81" s="1"/>
      <c r="AF81" s="223">
        <f>IF(ISBLANK(AD81),0,COUNTIF(AF$4:AF80,"&gt;0")+1)</f>
        <v>0</v>
      </c>
      <c r="AG81" s="164">
        <f t="shared" si="33"/>
        <v>0</v>
      </c>
      <c r="AH81" s="99">
        <f t="shared" si="28"/>
        <v>0</v>
      </c>
      <c r="AI81" s="99">
        <f t="shared" si="34"/>
        <v>0</v>
      </c>
      <c r="AJ81" s="170">
        <f t="shared" si="35"/>
        <v>0</v>
      </c>
      <c r="AK81" s="204">
        <f t="shared" si="29"/>
        <v>0</v>
      </c>
      <c r="AL81" s="1049">
        <f>IF(ISERROR(AO81),0,IF(AND(AN81&gt;=$U$1,AN81&lt;=$U$2),IF(AO81='ESTRATTO CONTO'!$E$2,1+COUNTIF(AL$4:AL80,"&gt;0")+U$1009,0),0))</f>
        <v>0</v>
      </c>
      <c r="AM81" s="747">
        <f t="shared" si="32"/>
        <v>78</v>
      </c>
      <c r="AN81" s="164" t="e">
        <f>VLOOKUP($AM81,PATRIMONIALE!$AV133:AW$1003,2,FALSE)</f>
        <v>#N/A</v>
      </c>
      <c r="AO81" s="310" t="e">
        <f>VLOOKUP($AM81,PATRIMONIALE!$AV133:AX$1003,3,FALSE)</f>
        <v>#N/A</v>
      </c>
      <c r="AP81" s="310" t="e">
        <f>VLOOKUP($AM81,PATRIMONIALE!$AV133:AY$1003,4,FALSE)</f>
        <v>#N/A</v>
      </c>
      <c r="AQ81" s="748" t="e">
        <f>VLOOKUP($AM81,PATRIMONIALE!$AV133:AZ$1003,5,FALSE)</f>
        <v>#N/A</v>
      </c>
      <c r="AR81" s="1"/>
      <c r="AS81" s="461" t="str">
        <f t="shared" si="30"/>
        <v/>
      </c>
      <c r="AT81" s="370"/>
    </row>
    <row r="82" spans="1:46" ht="16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435">
        <f>IF(AND(W82&gt;=$U$1,W82&lt;=$U$2),IF(X82='ESTRATTO CONTO'!$E$2,1+COUNTIF(U$4:U81,"&gt;0"),0),0)</f>
        <v>0</v>
      </c>
      <c r="V82" s="417">
        <f t="shared" si="31"/>
        <v>79</v>
      </c>
      <c r="W82" s="509"/>
      <c r="X82" s="321"/>
      <c r="Y82" s="321"/>
      <c r="Z82" s="433"/>
      <c r="AA82" s="356"/>
      <c r="AB82" s="306" t="str">
        <f t="shared" si="26"/>
        <v/>
      </c>
      <c r="AC82" s="893">
        <f t="shared" si="27"/>
        <v>0</v>
      </c>
      <c r="AD82" s="322"/>
      <c r="AE82" s="1"/>
      <c r="AF82" s="223">
        <f>IF(ISBLANK(AD82),0,COUNTIF(AF$4:AF81,"&gt;0")+1)</f>
        <v>0</v>
      </c>
      <c r="AG82" s="164">
        <f t="shared" si="33"/>
        <v>0</v>
      </c>
      <c r="AH82" s="99">
        <f t="shared" si="28"/>
        <v>0</v>
      </c>
      <c r="AI82" s="99">
        <f t="shared" si="34"/>
        <v>0</v>
      </c>
      <c r="AJ82" s="170">
        <f t="shared" si="35"/>
        <v>0</v>
      </c>
      <c r="AK82" s="204">
        <f t="shared" si="29"/>
        <v>0</v>
      </c>
      <c r="AL82" s="1049">
        <f>IF(ISERROR(AO82),0,IF(AND(AN82&gt;=$U$1,AN82&lt;=$U$2),IF(AO82='ESTRATTO CONTO'!$E$2,1+COUNTIF(AL$4:AL81,"&gt;0")+U$1009,0),0))</f>
        <v>0</v>
      </c>
      <c r="AM82" s="747">
        <f t="shared" si="32"/>
        <v>79</v>
      </c>
      <c r="AN82" s="164" t="e">
        <f>VLOOKUP($AM82,PATRIMONIALE!$AV134:AW$1003,2,FALSE)</f>
        <v>#N/A</v>
      </c>
      <c r="AO82" s="310" t="e">
        <f>VLOOKUP($AM82,PATRIMONIALE!$AV134:AX$1003,3,FALSE)</f>
        <v>#N/A</v>
      </c>
      <c r="AP82" s="310" t="e">
        <f>VLOOKUP($AM82,PATRIMONIALE!$AV134:AY$1003,4,FALSE)</f>
        <v>#N/A</v>
      </c>
      <c r="AQ82" s="748" t="e">
        <f>VLOOKUP($AM82,PATRIMONIALE!$AV134:AZ$1003,5,FALSE)</f>
        <v>#N/A</v>
      </c>
      <c r="AR82" s="1"/>
      <c r="AS82" s="461" t="str">
        <f t="shared" si="30"/>
        <v/>
      </c>
      <c r="AT82" s="370"/>
    </row>
    <row r="83" spans="1:46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435">
        <f>IF(AND(W83&gt;=$U$1,W83&lt;=$U$2),IF(X83='ESTRATTO CONTO'!$E$2,1+COUNTIF(U$4:U82,"&gt;0"),0),0)</f>
        <v>0</v>
      </c>
      <c r="V83" s="417">
        <f t="shared" si="31"/>
        <v>80</v>
      </c>
      <c r="W83" s="509"/>
      <c r="X83" s="321"/>
      <c r="Y83" s="321"/>
      <c r="Z83" s="433"/>
      <c r="AA83" s="356"/>
      <c r="AB83" s="306" t="str">
        <f t="shared" si="26"/>
        <v/>
      </c>
      <c r="AC83" s="893">
        <f t="shared" si="27"/>
        <v>0</v>
      </c>
      <c r="AD83" s="322"/>
      <c r="AE83" s="1"/>
      <c r="AF83" s="223">
        <f>IF(ISBLANK(AD83),0,COUNTIF(AF$4:AF82,"&gt;0")+1)</f>
        <v>0</v>
      </c>
      <c r="AG83" s="164">
        <f t="shared" si="33"/>
        <v>0</v>
      </c>
      <c r="AH83" s="99">
        <f t="shared" si="28"/>
        <v>0</v>
      </c>
      <c r="AI83" s="99">
        <f t="shared" si="34"/>
        <v>0</v>
      </c>
      <c r="AJ83" s="170">
        <f t="shared" si="35"/>
        <v>0</v>
      </c>
      <c r="AK83" s="204">
        <f t="shared" si="29"/>
        <v>0</v>
      </c>
      <c r="AL83" s="1049">
        <f>IF(ISERROR(AO83),0,IF(AND(AN83&gt;=$U$1,AN83&lt;=$U$2),IF(AO83='ESTRATTO CONTO'!$E$2,1+COUNTIF(AL$4:AL82,"&gt;0")+U$1009,0),0))</f>
        <v>0</v>
      </c>
      <c r="AM83" s="747">
        <f t="shared" si="32"/>
        <v>80</v>
      </c>
      <c r="AN83" s="164" t="e">
        <f>VLOOKUP($AM83,PATRIMONIALE!$AV135:AW$1003,2,FALSE)</f>
        <v>#N/A</v>
      </c>
      <c r="AO83" s="310" t="e">
        <f>VLOOKUP($AM83,PATRIMONIALE!$AV135:AX$1003,3,FALSE)</f>
        <v>#N/A</v>
      </c>
      <c r="AP83" s="310" t="e">
        <f>VLOOKUP($AM83,PATRIMONIALE!$AV135:AY$1003,4,FALSE)</f>
        <v>#N/A</v>
      </c>
      <c r="AQ83" s="748" t="e">
        <f>VLOOKUP($AM83,PATRIMONIALE!$AV135:AZ$1003,5,FALSE)</f>
        <v>#N/A</v>
      </c>
      <c r="AR83" s="1"/>
      <c r="AS83" s="461" t="str">
        <f t="shared" si="30"/>
        <v/>
      </c>
      <c r="AT83" s="370"/>
    </row>
    <row r="84" spans="1:46" ht="16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435">
        <f>IF(AND(W84&gt;=$U$1,W84&lt;=$U$2),IF(X84='ESTRATTO CONTO'!$E$2,1+COUNTIF(U$4:U83,"&gt;0"),0),0)</f>
        <v>0</v>
      </c>
      <c r="V84" s="417">
        <f t="shared" si="31"/>
        <v>81</v>
      </c>
      <c r="W84" s="509"/>
      <c r="X84" s="321"/>
      <c r="Y84" s="321"/>
      <c r="Z84" s="433"/>
      <c r="AA84" s="356"/>
      <c r="AB84" s="306" t="str">
        <f t="shared" si="26"/>
        <v/>
      </c>
      <c r="AC84" s="893">
        <f t="shared" si="27"/>
        <v>0</v>
      </c>
      <c r="AD84" s="322"/>
      <c r="AE84" s="1"/>
      <c r="AF84" s="223">
        <f>IF(ISBLANK(AD84),0,COUNTIF(AF$4:AF83,"&gt;0")+1)</f>
        <v>0</v>
      </c>
      <c r="AG84" s="164">
        <f t="shared" si="33"/>
        <v>0</v>
      </c>
      <c r="AH84" s="99">
        <f t="shared" si="28"/>
        <v>0</v>
      </c>
      <c r="AI84" s="99">
        <f t="shared" si="34"/>
        <v>0</v>
      </c>
      <c r="AJ84" s="170">
        <f t="shared" si="35"/>
        <v>0</v>
      </c>
      <c r="AK84" s="204">
        <f t="shared" si="29"/>
        <v>0</v>
      </c>
      <c r="AL84" s="1049">
        <f>IF(ISERROR(AO84),0,IF(AND(AN84&gt;=$U$1,AN84&lt;=$U$2),IF(AO84='ESTRATTO CONTO'!$E$2,1+COUNTIF(AL$4:AL83,"&gt;0")+U$1009,0),0))</f>
        <v>0</v>
      </c>
      <c r="AM84" s="747">
        <f t="shared" si="32"/>
        <v>81</v>
      </c>
      <c r="AN84" s="164" t="e">
        <f>VLOOKUP($AM84,PATRIMONIALE!$AV136:AW$1003,2,FALSE)</f>
        <v>#N/A</v>
      </c>
      <c r="AO84" s="310" t="e">
        <f>VLOOKUP($AM84,PATRIMONIALE!$AV136:AX$1003,3,FALSE)</f>
        <v>#N/A</v>
      </c>
      <c r="AP84" s="310" t="e">
        <f>VLOOKUP($AM84,PATRIMONIALE!$AV136:AY$1003,4,FALSE)</f>
        <v>#N/A</v>
      </c>
      <c r="AQ84" s="748" t="e">
        <f>VLOOKUP($AM84,PATRIMONIALE!$AV136:AZ$1003,5,FALSE)</f>
        <v>#N/A</v>
      </c>
      <c r="AR84" s="1"/>
      <c r="AS84" s="461" t="str">
        <f t="shared" si="30"/>
        <v/>
      </c>
      <c r="AT84" s="370"/>
    </row>
    <row r="85" spans="1:46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435">
        <f>IF(AND(W85&gt;=$U$1,W85&lt;=$U$2),IF(X85='ESTRATTO CONTO'!$E$2,1+COUNTIF(U$4:U84,"&gt;0"),0),0)</f>
        <v>0</v>
      </c>
      <c r="V85" s="417">
        <f t="shared" si="31"/>
        <v>82</v>
      </c>
      <c r="W85" s="509"/>
      <c r="X85" s="321"/>
      <c r="Y85" s="321"/>
      <c r="Z85" s="433"/>
      <c r="AA85" s="356"/>
      <c r="AB85" s="306" t="str">
        <f t="shared" si="26"/>
        <v/>
      </c>
      <c r="AC85" s="893">
        <f t="shared" si="27"/>
        <v>0</v>
      </c>
      <c r="AD85" s="322"/>
      <c r="AE85" s="1"/>
      <c r="AF85" s="223">
        <f>IF(ISBLANK(AD85),0,COUNTIF(AF$4:AF84,"&gt;0")+1)</f>
        <v>0</v>
      </c>
      <c r="AG85" s="164">
        <f t="shared" si="33"/>
        <v>0</v>
      </c>
      <c r="AH85" s="99">
        <f t="shared" si="28"/>
        <v>0</v>
      </c>
      <c r="AI85" s="99">
        <f t="shared" si="34"/>
        <v>0</v>
      </c>
      <c r="AJ85" s="170">
        <f t="shared" si="35"/>
        <v>0</v>
      </c>
      <c r="AK85" s="204">
        <f t="shared" si="29"/>
        <v>0</v>
      </c>
      <c r="AL85" s="1049">
        <f>IF(ISERROR(AO85),0,IF(AND(AN85&gt;=$U$1,AN85&lt;=$U$2),IF(AO85='ESTRATTO CONTO'!$E$2,1+COUNTIF(AL$4:AL84,"&gt;0")+U$1009,0),0))</f>
        <v>0</v>
      </c>
      <c r="AM85" s="747">
        <f t="shared" si="32"/>
        <v>82</v>
      </c>
      <c r="AN85" s="164" t="e">
        <f>VLOOKUP($AM85,PATRIMONIALE!$AV137:AW$1003,2,FALSE)</f>
        <v>#N/A</v>
      </c>
      <c r="AO85" s="310" t="e">
        <f>VLOOKUP($AM85,PATRIMONIALE!$AV137:AX$1003,3,FALSE)</f>
        <v>#N/A</v>
      </c>
      <c r="AP85" s="310" t="e">
        <f>VLOOKUP($AM85,PATRIMONIALE!$AV137:AY$1003,4,FALSE)</f>
        <v>#N/A</v>
      </c>
      <c r="AQ85" s="748" t="e">
        <f>VLOOKUP($AM85,PATRIMONIALE!$AV137:AZ$1003,5,FALSE)</f>
        <v>#N/A</v>
      </c>
      <c r="AR85" s="1"/>
      <c r="AS85" s="461" t="str">
        <f t="shared" si="30"/>
        <v/>
      </c>
      <c r="AT85" s="370"/>
    </row>
    <row r="86" spans="1:46" ht="16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435">
        <f>IF(AND(W86&gt;=$U$1,W86&lt;=$U$2),IF(X86='ESTRATTO CONTO'!$E$2,1+COUNTIF(U$4:U85,"&gt;0"),0),0)</f>
        <v>0</v>
      </c>
      <c r="V86" s="417">
        <f t="shared" si="31"/>
        <v>83</v>
      </c>
      <c r="W86" s="509"/>
      <c r="X86" s="321"/>
      <c r="Y86" s="321"/>
      <c r="Z86" s="433"/>
      <c r="AA86" s="356"/>
      <c r="AB86" s="306" t="str">
        <f t="shared" si="26"/>
        <v/>
      </c>
      <c r="AC86" s="893">
        <f t="shared" si="27"/>
        <v>0</v>
      </c>
      <c r="AD86" s="322"/>
      <c r="AE86" s="1"/>
      <c r="AF86" s="223">
        <f>IF(ISBLANK(AD86),0,COUNTIF(AF$4:AF85,"&gt;0")+1)</f>
        <v>0</v>
      </c>
      <c r="AG86" s="164">
        <f t="shared" si="33"/>
        <v>0</v>
      </c>
      <c r="AH86" s="99">
        <f t="shared" si="28"/>
        <v>0</v>
      </c>
      <c r="AI86" s="99">
        <f t="shared" si="34"/>
        <v>0</v>
      </c>
      <c r="AJ86" s="170">
        <f t="shared" si="35"/>
        <v>0</v>
      </c>
      <c r="AK86" s="204">
        <f t="shared" si="29"/>
        <v>0</v>
      </c>
      <c r="AL86" s="1049">
        <f>IF(ISERROR(AO86),0,IF(AND(AN86&gt;=$U$1,AN86&lt;=$U$2),IF(AO86='ESTRATTO CONTO'!$E$2,1+COUNTIF(AL$4:AL85,"&gt;0")+U$1009,0),0))</f>
        <v>0</v>
      </c>
      <c r="AM86" s="747">
        <f t="shared" si="32"/>
        <v>83</v>
      </c>
      <c r="AN86" s="164" t="e">
        <f>VLOOKUP($AM86,PATRIMONIALE!$AV138:AW$1003,2,FALSE)</f>
        <v>#N/A</v>
      </c>
      <c r="AO86" s="310" t="e">
        <f>VLOOKUP($AM86,PATRIMONIALE!$AV138:AX$1003,3,FALSE)</f>
        <v>#N/A</v>
      </c>
      <c r="AP86" s="310" t="e">
        <f>VLOOKUP($AM86,PATRIMONIALE!$AV138:AY$1003,4,FALSE)</f>
        <v>#N/A</v>
      </c>
      <c r="AQ86" s="748" t="e">
        <f>VLOOKUP($AM86,PATRIMONIALE!$AV138:AZ$1003,5,FALSE)</f>
        <v>#N/A</v>
      </c>
      <c r="AR86" s="1"/>
      <c r="AS86" s="461" t="str">
        <f t="shared" si="30"/>
        <v/>
      </c>
      <c r="AT86" s="370"/>
    </row>
    <row r="87" spans="1:46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435">
        <f>IF(AND(W87&gt;=$U$1,W87&lt;=$U$2),IF(X87='ESTRATTO CONTO'!$E$2,1+COUNTIF(U$4:U86,"&gt;0"),0),0)</f>
        <v>0</v>
      </c>
      <c r="V87" s="417">
        <f t="shared" si="31"/>
        <v>84</v>
      </c>
      <c r="W87" s="509"/>
      <c r="X87" s="321"/>
      <c r="Y87" s="321"/>
      <c r="Z87" s="433"/>
      <c r="AA87" s="356"/>
      <c r="AB87" s="306" t="str">
        <f t="shared" si="26"/>
        <v/>
      </c>
      <c r="AC87" s="893">
        <f t="shared" si="27"/>
        <v>0</v>
      </c>
      <c r="AD87" s="322"/>
      <c r="AE87" s="1"/>
      <c r="AF87" s="223">
        <f>IF(ISBLANK(AD87),0,COUNTIF(AF$4:AF86,"&gt;0")+1)</f>
        <v>0</v>
      </c>
      <c r="AG87" s="164">
        <f t="shared" si="33"/>
        <v>0</v>
      </c>
      <c r="AH87" s="99">
        <f t="shared" si="28"/>
        <v>0</v>
      </c>
      <c r="AI87" s="99">
        <f t="shared" si="34"/>
        <v>0</v>
      </c>
      <c r="AJ87" s="170">
        <f t="shared" si="35"/>
        <v>0</v>
      </c>
      <c r="AK87" s="204">
        <f t="shared" si="29"/>
        <v>0</v>
      </c>
      <c r="AL87" s="1049">
        <f>IF(ISERROR(AO87),0,IF(AND(AN87&gt;=$U$1,AN87&lt;=$U$2),IF(AO87='ESTRATTO CONTO'!$E$2,1+COUNTIF(AL$4:AL86,"&gt;0")+U$1009,0),0))</f>
        <v>0</v>
      </c>
      <c r="AM87" s="747">
        <f t="shared" si="32"/>
        <v>84</v>
      </c>
      <c r="AN87" s="164" t="e">
        <f>VLOOKUP($AM87,PATRIMONIALE!$AV139:AW$1003,2,FALSE)</f>
        <v>#N/A</v>
      </c>
      <c r="AO87" s="310" t="e">
        <f>VLOOKUP($AM87,PATRIMONIALE!$AV139:AX$1003,3,FALSE)</f>
        <v>#N/A</v>
      </c>
      <c r="AP87" s="310" t="e">
        <f>VLOOKUP($AM87,PATRIMONIALE!$AV139:AY$1003,4,FALSE)</f>
        <v>#N/A</v>
      </c>
      <c r="AQ87" s="748" t="e">
        <f>VLOOKUP($AM87,PATRIMONIALE!$AV139:AZ$1003,5,FALSE)</f>
        <v>#N/A</v>
      </c>
      <c r="AR87" s="1"/>
      <c r="AS87" s="461" t="str">
        <f t="shared" si="30"/>
        <v/>
      </c>
      <c r="AT87" s="370"/>
    </row>
    <row r="88" spans="1:46" ht="16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435">
        <f>IF(AND(W88&gt;=$U$1,W88&lt;=$U$2),IF(X88='ESTRATTO CONTO'!$E$2,1+COUNTIF(U$4:U87,"&gt;0"),0),0)</f>
        <v>0</v>
      </c>
      <c r="V88" s="417">
        <f t="shared" si="31"/>
        <v>85</v>
      </c>
      <c r="W88" s="509"/>
      <c r="X88" s="321"/>
      <c r="Y88" s="321"/>
      <c r="Z88" s="433"/>
      <c r="AA88" s="356"/>
      <c r="AB88" s="306" t="str">
        <f t="shared" si="26"/>
        <v/>
      </c>
      <c r="AC88" s="893">
        <f t="shared" si="27"/>
        <v>0</v>
      </c>
      <c r="AD88" s="322"/>
      <c r="AE88" s="1"/>
      <c r="AF88" s="223">
        <f>IF(ISBLANK(AD88),0,COUNTIF(AF$4:AF87,"&gt;0")+1)</f>
        <v>0</v>
      </c>
      <c r="AG88" s="164">
        <f t="shared" si="33"/>
        <v>0</v>
      </c>
      <c r="AH88" s="99">
        <f t="shared" si="28"/>
        <v>0</v>
      </c>
      <c r="AI88" s="99">
        <f t="shared" si="34"/>
        <v>0</v>
      </c>
      <c r="AJ88" s="170">
        <f t="shared" si="35"/>
        <v>0</v>
      </c>
      <c r="AK88" s="204">
        <f t="shared" si="29"/>
        <v>0</v>
      </c>
      <c r="AL88" s="1049">
        <f>IF(ISERROR(AO88),0,IF(AND(AN88&gt;=$U$1,AN88&lt;=$U$2),IF(AO88='ESTRATTO CONTO'!$E$2,1+COUNTIF(AL$4:AL87,"&gt;0")+U$1009,0),0))</f>
        <v>0</v>
      </c>
      <c r="AM88" s="747">
        <f t="shared" si="32"/>
        <v>85</v>
      </c>
      <c r="AN88" s="164" t="e">
        <f>VLOOKUP($AM88,PATRIMONIALE!$AV140:AW$1003,2,FALSE)</f>
        <v>#N/A</v>
      </c>
      <c r="AO88" s="310" t="e">
        <f>VLOOKUP($AM88,PATRIMONIALE!$AV140:AX$1003,3,FALSE)</f>
        <v>#N/A</v>
      </c>
      <c r="AP88" s="310" t="e">
        <f>VLOOKUP($AM88,PATRIMONIALE!$AV140:AY$1003,4,FALSE)</f>
        <v>#N/A</v>
      </c>
      <c r="AQ88" s="748" t="e">
        <f>VLOOKUP($AM88,PATRIMONIALE!$AV140:AZ$1003,5,FALSE)</f>
        <v>#N/A</v>
      </c>
      <c r="AR88" s="1"/>
      <c r="AS88" s="461" t="str">
        <f t="shared" si="30"/>
        <v/>
      </c>
      <c r="AT88" s="370"/>
    </row>
    <row r="89" spans="1:46" ht="16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435">
        <f>IF(AND(W89&gt;=$U$1,W89&lt;=$U$2),IF(X89='ESTRATTO CONTO'!$E$2,1+COUNTIF(U$4:U88,"&gt;0"),0),0)</f>
        <v>0</v>
      </c>
      <c r="V89" s="417">
        <f t="shared" si="31"/>
        <v>86</v>
      </c>
      <c r="W89" s="509"/>
      <c r="X89" s="321"/>
      <c r="Y89" s="321"/>
      <c r="Z89" s="433"/>
      <c r="AA89" s="356"/>
      <c r="AB89" s="306" t="str">
        <f t="shared" si="26"/>
        <v/>
      </c>
      <c r="AC89" s="893">
        <f t="shared" si="27"/>
        <v>0</v>
      </c>
      <c r="AD89" s="322"/>
      <c r="AE89" s="1"/>
      <c r="AF89" s="223">
        <f>IF(ISBLANK(AD89),0,COUNTIF(AF$4:AF88,"&gt;0")+1)</f>
        <v>0</v>
      </c>
      <c r="AG89" s="164">
        <f t="shared" si="33"/>
        <v>0</v>
      </c>
      <c r="AH89" s="99">
        <f t="shared" si="28"/>
        <v>0</v>
      </c>
      <c r="AI89" s="99">
        <f t="shared" si="34"/>
        <v>0</v>
      </c>
      <c r="AJ89" s="170">
        <f t="shared" si="35"/>
        <v>0</v>
      </c>
      <c r="AK89" s="204">
        <f t="shared" si="29"/>
        <v>0</v>
      </c>
      <c r="AL89" s="1049">
        <f>IF(ISERROR(AO89),0,IF(AND(AN89&gt;=$U$1,AN89&lt;=$U$2),IF(AO89='ESTRATTO CONTO'!$E$2,1+COUNTIF(AL$4:AL88,"&gt;0")+U$1009,0),0))</f>
        <v>0</v>
      </c>
      <c r="AM89" s="747">
        <f t="shared" si="32"/>
        <v>86</v>
      </c>
      <c r="AN89" s="164" t="e">
        <f>VLOOKUP($AM89,PATRIMONIALE!$AV141:AW$1003,2,FALSE)</f>
        <v>#N/A</v>
      </c>
      <c r="AO89" s="310" t="e">
        <f>VLOOKUP($AM89,PATRIMONIALE!$AV141:AX$1003,3,FALSE)</f>
        <v>#N/A</v>
      </c>
      <c r="AP89" s="310" t="e">
        <f>VLOOKUP($AM89,PATRIMONIALE!$AV141:AY$1003,4,FALSE)</f>
        <v>#N/A</v>
      </c>
      <c r="AQ89" s="748" t="e">
        <f>VLOOKUP($AM89,PATRIMONIALE!$AV141:AZ$1003,5,FALSE)</f>
        <v>#N/A</v>
      </c>
      <c r="AR89" s="1"/>
      <c r="AS89" s="461" t="str">
        <f t="shared" si="30"/>
        <v/>
      </c>
      <c r="AT89" s="370"/>
    </row>
    <row r="90" spans="1:46" ht="16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435">
        <f>IF(AND(W90&gt;=$U$1,W90&lt;=$U$2),IF(X90='ESTRATTO CONTO'!$E$2,1+COUNTIF(U$4:U89,"&gt;0"),0),0)</f>
        <v>0</v>
      </c>
      <c r="V90" s="417">
        <f t="shared" si="31"/>
        <v>87</v>
      </c>
      <c r="W90" s="509"/>
      <c r="X90" s="321"/>
      <c r="Y90" s="321"/>
      <c r="Z90" s="433"/>
      <c r="AA90" s="356"/>
      <c r="AB90" s="306" t="str">
        <f t="shared" si="26"/>
        <v/>
      </c>
      <c r="AC90" s="893">
        <f t="shared" si="27"/>
        <v>0</v>
      </c>
      <c r="AD90" s="322"/>
      <c r="AE90" s="1"/>
      <c r="AF90" s="223">
        <f>IF(ISBLANK(AD90),0,COUNTIF(AF$4:AF89,"&gt;0")+1)</f>
        <v>0</v>
      </c>
      <c r="AG90" s="164">
        <f t="shared" si="33"/>
        <v>0</v>
      </c>
      <c r="AH90" s="99">
        <f t="shared" si="28"/>
        <v>0</v>
      </c>
      <c r="AI90" s="99">
        <f t="shared" si="34"/>
        <v>0</v>
      </c>
      <c r="AJ90" s="170">
        <f t="shared" si="35"/>
        <v>0</v>
      </c>
      <c r="AK90" s="204">
        <f t="shared" si="29"/>
        <v>0</v>
      </c>
      <c r="AL90" s="1049">
        <f>IF(ISERROR(AO90),0,IF(AND(AN90&gt;=$U$1,AN90&lt;=$U$2),IF(AO90='ESTRATTO CONTO'!$E$2,1+COUNTIF(AL$4:AL89,"&gt;0")+U$1009,0),0))</f>
        <v>0</v>
      </c>
      <c r="AM90" s="747">
        <f t="shared" si="32"/>
        <v>87</v>
      </c>
      <c r="AN90" s="164" t="e">
        <f>VLOOKUP($AM90,PATRIMONIALE!$AV142:AW$1003,2,FALSE)</f>
        <v>#N/A</v>
      </c>
      <c r="AO90" s="310" t="e">
        <f>VLOOKUP($AM90,PATRIMONIALE!$AV142:AX$1003,3,FALSE)</f>
        <v>#N/A</v>
      </c>
      <c r="AP90" s="310" t="e">
        <f>VLOOKUP($AM90,PATRIMONIALE!$AV142:AY$1003,4,FALSE)</f>
        <v>#N/A</v>
      </c>
      <c r="AQ90" s="748" t="e">
        <f>VLOOKUP($AM90,PATRIMONIALE!$AV142:AZ$1003,5,FALSE)</f>
        <v>#N/A</v>
      </c>
      <c r="AR90" s="1"/>
      <c r="AS90" s="461" t="str">
        <f t="shared" si="30"/>
        <v/>
      </c>
      <c r="AT90" s="370"/>
    </row>
    <row r="91" spans="1:46" ht="16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435">
        <f>IF(AND(W91&gt;=$U$1,W91&lt;=$U$2),IF(X91='ESTRATTO CONTO'!$E$2,1+COUNTIF(U$4:U90,"&gt;0"),0),0)</f>
        <v>0</v>
      </c>
      <c r="V91" s="417">
        <f t="shared" si="31"/>
        <v>88</v>
      </c>
      <c r="W91" s="509"/>
      <c r="X91" s="321"/>
      <c r="Y91" s="321"/>
      <c r="Z91" s="433"/>
      <c r="AA91" s="356"/>
      <c r="AB91" s="306" t="str">
        <f t="shared" si="26"/>
        <v/>
      </c>
      <c r="AC91" s="893">
        <f t="shared" si="27"/>
        <v>0</v>
      </c>
      <c r="AD91" s="322"/>
      <c r="AE91" s="1"/>
      <c r="AF91" s="223">
        <f>IF(ISBLANK(AD91),0,COUNTIF(AF$4:AF90,"&gt;0")+1)</f>
        <v>0</v>
      </c>
      <c r="AG91" s="164">
        <f t="shared" si="33"/>
        <v>0</v>
      </c>
      <c r="AH91" s="99">
        <f t="shared" si="28"/>
        <v>0</v>
      </c>
      <c r="AI91" s="99">
        <f t="shared" si="34"/>
        <v>0</v>
      </c>
      <c r="AJ91" s="170">
        <f t="shared" si="35"/>
        <v>0</v>
      </c>
      <c r="AK91" s="204">
        <f t="shared" si="29"/>
        <v>0</v>
      </c>
      <c r="AL91" s="1049">
        <f>IF(ISERROR(AO91),0,IF(AND(AN91&gt;=$U$1,AN91&lt;=$U$2),IF(AO91='ESTRATTO CONTO'!$E$2,1+COUNTIF(AL$4:AL90,"&gt;0")+U$1009,0),0))</f>
        <v>0</v>
      </c>
      <c r="AM91" s="747">
        <f t="shared" si="32"/>
        <v>88</v>
      </c>
      <c r="AN91" s="164" t="e">
        <f>VLOOKUP($AM91,PATRIMONIALE!$AV143:AW$1003,2,FALSE)</f>
        <v>#N/A</v>
      </c>
      <c r="AO91" s="310" t="e">
        <f>VLOOKUP($AM91,PATRIMONIALE!$AV143:AX$1003,3,FALSE)</f>
        <v>#N/A</v>
      </c>
      <c r="AP91" s="310" t="e">
        <f>VLOOKUP($AM91,PATRIMONIALE!$AV143:AY$1003,4,FALSE)</f>
        <v>#N/A</v>
      </c>
      <c r="AQ91" s="748" t="e">
        <f>VLOOKUP($AM91,PATRIMONIALE!$AV143:AZ$1003,5,FALSE)</f>
        <v>#N/A</v>
      </c>
      <c r="AR91" s="1"/>
      <c r="AS91" s="461" t="str">
        <f t="shared" si="30"/>
        <v/>
      </c>
      <c r="AT91" s="370"/>
    </row>
    <row r="92" spans="1:46" ht="16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435">
        <f>IF(AND(W92&gt;=$U$1,W92&lt;=$U$2),IF(X92='ESTRATTO CONTO'!$E$2,1+COUNTIF(U$4:U91,"&gt;0"),0),0)</f>
        <v>0</v>
      </c>
      <c r="V92" s="417">
        <f t="shared" si="31"/>
        <v>89</v>
      </c>
      <c r="W92" s="509"/>
      <c r="X92" s="321"/>
      <c r="Y92" s="321"/>
      <c r="Z92" s="433"/>
      <c r="AA92" s="356"/>
      <c r="AB92" s="306" t="str">
        <f t="shared" si="26"/>
        <v/>
      </c>
      <c r="AC92" s="893">
        <f t="shared" si="27"/>
        <v>0</v>
      </c>
      <c r="AD92" s="322"/>
      <c r="AE92" s="1"/>
      <c r="AF92" s="223">
        <f>IF(ISBLANK(AD92),0,COUNTIF(AF$4:AF91,"&gt;0")+1)</f>
        <v>0</v>
      </c>
      <c r="AG92" s="164">
        <f t="shared" si="33"/>
        <v>0</v>
      </c>
      <c r="AH92" s="99">
        <f t="shared" si="28"/>
        <v>0</v>
      </c>
      <c r="AI92" s="99">
        <f t="shared" si="34"/>
        <v>0</v>
      </c>
      <c r="AJ92" s="170">
        <f t="shared" si="35"/>
        <v>0</v>
      </c>
      <c r="AK92" s="204">
        <f t="shared" si="29"/>
        <v>0</v>
      </c>
      <c r="AL92" s="1049">
        <f>IF(ISERROR(AO92),0,IF(AND(AN92&gt;=$U$1,AN92&lt;=$U$2),IF(AO92='ESTRATTO CONTO'!$E$2,1+COUNTIF(AL$4:AL91,"&gt;0")+U$1009,0),0))</f>
        <v>0</v>
      </c>
      <c r="AM92" s="747">
        <f t="shared" si="32"/>
        <v>89</v>
      </c>
      <c r="AN92" s="164" t="e">
        <f>VLOOKUP($AM92,PATRIMONIALE!$AV144:AW$1003,2,FALSE)</f>
        <v>#N/A</v>
      </c>
      <c r="AO92" s="310" t="e">
        <f>VLOOKUP($AM92,PATRIMONIALE!$AV144:AX$1003,3,FALSE)</f>
        <v>#N/A</v>
      </c>
      <c r="AP92" s="310" t="e">
        <f>VLOOKUP($AM92,PATRIMONIALE!$AV144:AY$1003,4,FALSE)</f>
        <v>#N/A</v>
      </c>
      <c r="AQ92" s="748" t="e">
        <f>VLOOKUP($AM92,PATRIMONIALE!$AV144:AZ$1003,5,FALSE)</f>
        <v>#N/A</v>
      </c>
      <c r="AR92" s="1"/>
      <c r="AS92" s="461" t="str">
        <f t="shared" si="30"/>
        <v/>
      </c>
      <c r="AT92" s="370"/>
    </row>
    <row r="93" spans="1:46" ht="16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435">
        <f>IF(AND(W93&gt;=$U$1,W93&lt;=$U$2),IF(X93='ESTRATTO CONTO'!$E$2,1+COUNTIF(U$4:U92,"&gt;0"),0),0)</f>
        <v>0</v>
      </c>
      <c r="V93" s="417">
        <f t="shared" si="31"/>
        <v>90</v>
      </c>
      <c r="W93" s="509"/>
      <c r="X93" s="321"/>
      <c r="Y93" s="321"/>
      <c r="Z93" s="433"/>
      <c r="AA93" s="356"/>
      <c r="AB93" s="306" t="str">
        <f t="shared" si="26"/>
        <v/>
      </c>
      <c r="AC93" s="893">
        <f t="shared" si="27"/>
        <v>0</v>
      </c>
      <c r="AD93" s="322"/>
      <c r="AE93" s="1"/>
      <c r="AF93" s="223">
        <f>IF(ISBLANK(AD93),0,COUNTIF(AF$4:AF92,"&gt;0")+1)</f>
        <v>0</v>
      </c>
      <c r="AG93" s="164">
        <f t="shared" si="33"/>
        <v>0</v>
      </c>
      <c r="AH93" s="99">
        <f t="shared" si="28"/>
        <v>0</v>
      </c>
      <c r="AI93" s="99">
        <f t="shared" si="34"/>
        <v>0</v>
      </c>
      <c r="AJ93" s="170">
        <f t="shared" si="35"/>
        <v>0</v>
      </c>
      <c r="AK93" s="204">
        <f t="shared" si="29"/>
        <v>0</v>
      </c>
      <c r="AL93" s="1049">
        <f>IF(ISERROR(AO93),0,IF(AND(AN93&gt;=$U$1,AN93&lt;=$U$2),IF(AO93='ESTRATTO CONTO'!$E$2,1+COUNTIF(AL$4:AL92,"&gt;0")+U$1009,0),0))</f>
        <v>0</v>
      </c>
      <c r="AM93" s="747">
        <f t="shared" si="32"/>
        <v>90</v>
      </c>
      <c r="AN93" s="164" t="e">
        <f>VLOOKUP($AM93,PATRIMONIALE!$AV145:AW$1003,2,FALSE)</f>
        <v>#N/A</v>
      </c>
      <c r="AO93" s="310" t="e">
        <f>VLOOKUP($AM93,PATRIMONIALE!$AV145:AX$1003,3,FALSE)</f>
        <v>#N/A</v>
      </c>
      <c r="AP93" s="310" t="e">
        <f>VLOOKUP($AM93,PATRIMONIALE!$AV145:AY$1003,4,FALSE)</f>
        <v>#N/A</v>
      </c>
      <c r="AQ93" s="748" t="e">
        <f>VLOOKUP($AM93,PATRIMONIALE!$AV145:AZ$1003,5,FALSE)</f>
        <v>#N/A</v>
      </c>
      <c r="AR93" s="1"/>
      <c r="AS93" s="461" t="str">
        <f t="shared" si="30"/>
        <v/>
      </c>
      <c r="AT93" s="370"/>
    </row>
    <row r="94" spans="1:46" ht="16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435">
        <f>IF(AND(W94&gt;=$U$1,W94&lt;=$U$2),IF(X94='ESTRATTO CONTO'!$E$2,1+COUNTIF(U$4:U93,"&gt;0"),0),0)</f>
        <v>0</v>
      </c>
      <c r="V94" s="417">
        <f t="shared" si="31"/>
        <v>91</v>
      </c>
      <c r="W94" s="509"/>
      <c r="X94" s="321"/>
      <c r="Y94" s="321"/>
      <c r="Z94" s="433"/>
      <c r="AA94" s="356"/>
      <c r="AB94" s="306" t="str">
        <f t="shared" si="26"/>
        <v/>
      </c>
      <c r="AC94" s="893">
        <f t="shared" si="27"/>
        <v>0</v>
      </c>
      <c r="AD94" s="322"/>
      <c r="AE94" s="1"/>
      <c r="AF94" s="223">
        <f>IF(ISBLANK(AD94),0,COUNTIF(AF$4:AF93,"&gt;0")+1)</f>
        <v>0</v>
      </c>
      <c r="AG94" s="164">
        <f t="shared" si="33"/>
        <v>0</v>
      </c>
      <c r="AH94" s="99">
        <f t="shared" si="28"/>
        <v>0</v>
      </c>
      <c r="AI94" s="99">
        <f t="shared" si="34"/>
        <v>0</v>
      </c>
      <c r="AJ94" s="170">
        <f t="shared" si="35"/>
        <v>0</v>
      </c>
      <c r="AK94" s="204">
        <f t="shared" si="29"/>
        <v>0</v>
      </c>
      <c r="AL94" s="1049">
        <f>IF(ISERROR(AO94),0,IF(AND(AN94&gt;=$U$1,AN94&lt;=$U$2),IF(AO94='ESTRATTO CONTO'!$E$2,1+COUNTIF(AL$4:AL93,"&gt;0")+U$1009,0),0))</f>
        <v>0</v>
      </c>
      <c r="AM94" s="747">
        <f t="shared" si="32"/>
        <v>91</v>
      </c>
      <c r="AN94" s="164" t="e">
        <f>VLOOKUP($AM94,PATRIMONIALE!$AV146:AW$1003,2,FALSE)</f>
        <v>#N/A</v>
      </c>
      <c r="AO94" s="310" t="e">
        <f>VLOOKUP($AM94,PATRIMONIALE!$AV146:AX$1003,3,FALSE)</f>
        <v>#N/A</v>
      </c>
      <c r="AP94" s="310" t="e">
        <f>VLOOKUP($AM94,PATRIMONIALE!$AV146:AY$1003,4,FALSE)</f>
        <v>#N/A</v>
      </c>
      <c r="AQ94" s="748" t="e">
        <f>VLOOKUP($AM94,PATRIMONIALE!$AV146:AZ$1003,5,FALSE)</f>
        <v>#N/A</v>
      </c>
      <c r="AR94" s="1"/>
      <c r="AS94" s="461" t="str">
        <f t="shared" si="30"/>
        <v/>
      </c>
      <c r="AT94" s="370"/>
    </row>
    <row r="95" spans="1:46" ht="16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435">
        <f>IF(AND(W95&gt;=$U$1,W95&lt;=$U$2),IF(X95='ESTRATTO CONTO'!$E$2,1+COUNTIF(U$4:U94,"&gt;0"),0),0)</f>
        <v>0</v>
      </c>
      <c r="V95" s="417">
        <f t="shared" si="31"/>
        <v>92</v>
      </c>
      <c r="W95" s="509"/>
      <c r="X95" s="321"/>
      <c r="Y95" s="321"/>
      <c r="Z95" s="433"/>
      <c r="AA95" s="356"/>
      <c r="AB95" s="306" t="str">
        <f t="shared" si="26"/>
        <v/>
      </c>
      <c r="AC95" s="893">
        <f t="shared" si="27"/>
        <v>0</v>
      </c>
      <c r="AD95" s="322"/>
      <c r="AE95" s="1"/>
      <c r="AF95" s="223">
        <f>IF(ISBLANK(AD95),0,COUNTIF(AF$4:AF94,"&gt;0")+1)</f>
        <v>0</v>
      </c>
      <c r="AG95" s="164">
        <f t="shared" si="33"/>
        <v>0</v>
      </c>
      <c r="AH95" s="99">
        <f t="shared" si="28"/>
        <v>0</v>
      </c>
      <c r="AI95" s="99">
        <f t="shared" si="34"/>
        <v>0</v>
      </c>
      <c r="AJ95" s="170">
        <f t="shared" si="35"/>
        <v>0</v>
      </c>
      <c r="AK95" s="204">
        <f t="shared" si="29"/>
        <v>0</v>
      </c>
      <c r="AL95" s="1049">
        <f>IF(ISERROR(AO95),0,IF(AND(AN95&gt;=$U$1,AN95&lt;=$U$2),IF(AO95='ESTRATTO CONTO'!$E$2,1+COUNTIF(AL$4:AL94,"&gt;0")+U$1009,0),0))</f>
        <v>0</v>
      </c>
      <c r="AM95" s="747">
        <f t="shared" si="32"/>
        <v>92</v>
      </c>
      <c r="AN95" s="164" t="e">
        <f>VLOOKUP($AM95,PATRIMONIALE!$AV147:AW$1003,2,FALSE)</f>
        <v>#N/A</v>
      </c>
      <c r="AO95" s="310" t="e">
        <f>VLOOKUP($AM95,PATRIMONIALE!$AV147:AX$1003,3,FALSE)</f>
        <v>#N/A</v>
      </c>
      <c r="AP95" s="310" t="e">
        <f>VLOOKUP($AM95,PATRIMONIALE!$AV147:AY$1003,4,FALSE)</f>
        <v>#N/A</v>
      </c>
      <c r="AQ95" s="748" t="e">
        <f>VLOOKUP($AM95,PATRIMONIALE!$AV147:AZ$1003,5,FALSE)</f>
        <v>#N/A</v>
      </c>
      <c r="AR95" s="1"/>
      <c r="AS95" s="461" t="str">
        <f t="shared" si="30"/>
        <v/>
      </c>
      <c r="AT95" s="370"/>
    </row>
    <row r="96" spans="1:46" ht="16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435">
        <f>IF(AND(W96&gt;=$U$1,W96&lt;=$U$2),IF(X96='ESTRATTO CONTO'!$E$2,1+COUNTIF(U$4:U95,"&gt;0"),0),0)</f>
        <v>0</v>
      </c>
      <c r="V96" s="417">
        <f t="shared" si="31"/>
        <v>93</v>
      </c>
      <c r="W96" s="509"/>
      <c r="X96" s="321"/>
      <c r="Y96" s="321"/>
      <c r="Z96" s="433"/>
      <c r="AA96" s="356"/>
      <c r="AB96" s="306" t="str">
        <f t="shared" si="26"/>
        <v/>
      </c>
      <c r="AC96" s="893">
        <f t="shared" si="27"/>
        <v>0</v>
      </c>
      <c r="AD96" s="322"/>
      <c r="AE96" s="1"/>
      <c r="AF96" s="223">
        <f>IF(ISBLANK(AD96),0,COUNTIF(AF$4:AF95,"&gt;0")+1)</f>
        <v>0</v>
      </c>
      <c r="AG96" s="164">
        <f t="shared" si="33"/>
        <v>0</v>
      </c>
      <c r="AH96" s="99">
        <f t="shared" si="28"/>
        <v>0</v>
      </c>
      <c r="AI96" s="99">
        <f t="shared" si="34"/>
        <v>0</v>
      </c>
      <c r="AJ96" s="170">
        <f t="shared" si="35"/>
        <v>0</v>
      </c>
      <c r="AK96" s="204">
        <f t="shared" si="29"/>
        <v>0</v>
      </c>
      <c r="AL96" s="1049">
        <f>IF(ISERROR(AO96),0,IF(AND(AN96&gt;=$U$1,AN96&lt;=$U$2),IF(AO96='ESTRATTO CONTO'!$E$2,1+COUNTIF(AL$4:AL95,"&gt;0")+U$1009,0),0))</f>
        <v>0</v>
      </c>
      <c r="AM96" s="747">
        <f t="shared" si="32"/>
        <v>93</v>
      </c>
      <c r="AN96" s="164" t="e">
        <f>VLOOKUP($AM96,PATRIMONIALE!$AV148:AW$1003,2,FALSE)</f>
        <v>#N/A</v>
      </c>
      <c r="AO96" s="310" t="e">
        <f>VLOOKUP($AM96,PATRIMONIALE!$AV148:AX$1003,3,FALSE)</f>
        <v>#N/A</v>
      </c>
      <c r="AP96" s="310" t="e">
        <f>VLOOKUP($AM96,PATRIMONIALE!$AV148:AY$1003,4,FALSE)</f>
        <v>#N/A</v>
      </c>
      <c r="AQ96" s="748" t="e">
        <f>VLOOKUP($AM96,PATRIMONIALE!$AV148:AZ$1003,5,FALSE)</f>
        <v>#N/A</v>
      </c>
      <c r="AR96" s="1"/>
      <c r="AS96" s="461" t="str">
        <f t="shared" si="30"/>
        <v/>
      </c>
      <c r="AT96" s="370"/>
    </row>
    <row r="97" spans="1:46" ht="16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435">
        <f>IF(AND(W97&gt;=$U$1,W97&lt;=$U$2),IF(X97='ESTRATTO CONTO'!$E$2,1+COUNTIF(U$4:U96,"&gt;0"),0),0)</f>
        <v>0</v>
      </c>
      <c r="V97" s="417">
        <f t="shared" si="31"/>
        <v>94</v>
      </c>
      <c r="W97" s="509"/>
      <c r="X97" s="321"/>
      <c r="Y97" s="321"/>
      <c r="Z97" s="433"/>
      <c r="AA97" s="356"/>
      <c r="AB97" s="306" t="str">
        <f t="shared" si="26"/>
        <v/>
      </c>
      <c r="AC97" s="893">
        <f t="shared" si="27"/>
        <v>0</v>
      </c>
      <c r="AD97" s="322"/>
      <c r="AE97" s="1"/>
      <c r="AF97" s="223">
        <f>IF(ISBLANK(AD97),0,COUNTIF(AF$4:AF96,"&gt;0")+1)</f>
        <v>0</v>
      </c>
      <c r="AG97" s="164">
        <f t="shared" si="33"/>
        <v>0</v>
      </c>
      <c r="AH97" s="99">
        <f t="shared" si="28"/>
        <v>0</v>
      </c>
      <c r="AI97" s="99">
        <f t="shared" si="34"/>
        <v>0</v>
      </c>
      <c r="AJ97" s="170">
        <f t="shared" si="35"/>
        <v>0</v>
      </c>
      <c r="AK97" s="204">
        <f t="shared" si="29"/>
        <v>0</v>
      </c>
      <c r="AL97" s="1049">
        <f>IF(ISERROR(AO97),0,IF(AND(AN97&gt;=$U$1,AN97&lt;=$U$2),IF(AO97='ESTRATTO CONTO'!$E$2,1+COUNTIF(AL$4:AL96,"&gt;0")+U$1009,0),0))</f>
        <v>0</v>
      </c>
      <c r="AM97" s="747">
        <f t="shared" si="32"/>
        <v>94</v>
      </c>
      <c r="AN97" s="164" t="e">
        <f>VLOOKUP($AM97,PATRIMONIALE!$AV149:AW$1003,2,FALSE)</f>
        <v>#N/A</v>
      </c>
      <c r="AO97" s="310" t="e">
        <f>VLOOKUP($AM97,PATRIMONIALE!$AV149:AX$1003,3,FALSE)</f>
        <v>#N/A</v>
      </c>
      <c r="AP97" s="310" t="e">
        <f>VLOOKUP($AM97,PATRIMONIALE!$AV149:AY$1003,4,FALSE)</f>
        <v>#N/A</v>
      </c>
      <c r="AQ97" s="748" t="e">
        <f>VLOOKUP($AM97,PATRIMONIALE!$AV149:AZ$1003,5,FALSE)</f>
        <v>#N/A</v>
      </c>
      <c r="AR97" s="1"/>
      <c r="AS97" s="461" t="str">
        <f t="shared" si="30"/>
        <v/>
      </c>
      <c r="AT97" s="370"/>
    </row>
    <row r="98" spans="1:46" ht="16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435">
        <f>IF(AND(W98&gt;=$U$1,W98&lt;=$U$2),IF(X98='ESTRATTO CONTO'!$E$2,1+COUNTIF(U$4:U97,"&gt;0"),0),0)</f>
        <v>0</v>
      </c>
      <c r="V98" s="417">
        <f t="shared" si="31"/>
        <v>95</v>
      </c>
      <c r="W98" s="509"/>
      <c r="X98" s="321"/>
      <c r="Y98" s="321"/>
      <c r="Z98" s="433"/>
      <c r="AA98" s="356"/>
      <c r="AB98" s="306" t="str">
        <f t="shared" si="26"/>
        <v/>
      </c>
      <c r="AC98" s="893">
        <f t="shared" si="27"/>
        <v>0</v>
      </c>
      <c r="AD98" s="322"/>
      <c r="AE98" s="1"/>
      <c r="AF98" s="223">
        <f>IF(ISBLANK(AD98),0,COUNTIF(AF$4:AF97,"&gt;0")+1)</f>
        <v>0</v>
      </c>
      <c r="AG98" s="164">
        <f t="shared" si="33"/>
        <v>0</v>
      </c>
      <c r="AH98" s="99">
        <f t="shared" si="28"/>
        <v>0</v>
      </c>
      <c r="AI98" s="99">
        <f t="shared" si="34"/>
        <v>0</v>
      </c>
      <c r="AJ98" s="170">
        <f t="shared" si="35"/>
        <v>0</v>
      </c>
      <c r="AK98" s="204">
        <f t="shared" si="29"/>
        <v>0</v>
      </c>
      <c r="AL98" s="1049">
        <f>IF(ISERROR(AO98),0,IF(AND(AN98&gt;=$U$1,AN98&lt;=$U$2),IF(AO98='ESTRATTO CONTO'!$E$2,1+COUNTIF(AL$4:AL97,"&gt;0")+U$1009,0),0))</f>
        <v>0</v>
      </c>
      <c r="AM98" s="747">
        <f t="shared" si="32"/>
        <v>95</v>
      </c>
      <c r="AN98" s="164" t="e">
        <f>VLOOKUP($AM98,PATRIMONIALE!$AV150:AW$1003,2,FALSE)</f>
        <v>#N/A</v>
      </c>
      <c r="AO98" s="310" t="e">
        <f>VLOOKUP($AM98,PATRIMONIALE!$AV150:AX$1003,3,FALSE)</f>
        <v>#N/A</v>
      </c>
      <c r="AP98" s="310" t="e">
        <f>VLOOKUP($AM98,PATRIMONIALE!$AV150:AY$1003,4,FALSE)</f>
        <v>#N/A</v>
      </c>
      <c r="AQ98" s="748" t="e">
        <f>VLOOKUP($AM98,PATRIMONIALE!$AV150:AZ$1003,5,FALSE)</f>
        <v>#N/A</v>
      </c>
      <c r="AR98" s="1"/>
      <c r="AS98" s="461" t="str">
        <f t="shared" si="30"/>
        <v/>
      </c>
      <c r="AT98" s="370"/>
    </row>
    <row r="99" spans="1:46" ht="16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435">
        <f>IF(AND(W99&gt;=$U$1,W99&lt;=$U$2),IF(X99='ESTRATTO CONTO'!$E$2,1+COUNTIF(U$4:U98,"&gt;0"),0),0)</f>
        <v>0</v>
      </c>
      <c r="V99" s="417">
        <f t="shared" si="31"/>
        <v>96</v>
      </c>
      <c r="W99" s="509"/>
      <c r="X99" s="321"/>
      <c r="Y99" s="321"/>
      <c r="Z99" s="433"/>
      <c r="AA99" s="356"/>
      <c r="AB99" s="306" t="str">
        <f t="shared" si="26"/>
        <v/>
      </c>
      <c r="AC99" s="893">
        <f t="shared" si="27"/>
        <v>0</v>
      </c>
      <c r="AD99" s="322"/>
      <c r="AE99" s="1"/>
      <c r="AF99" s="223">
        <f>IF(ISBLANK(AD99),0,COUNTIF(AF$4:AF98,"&gt;0")+1)</f>
        <v>0</v>
      </c>
      <c r="AG99" s="164">
        <f t="shared" si="33"/>
        <v>0</v>
      </c>
      <c r="AH99" s="99">
        <f t="shared" si="28"/>
        <v>0</v>
      </c>
      <c r="AI99" s="99">
        <f t="shared" si="34"/>
        <v>0</v>
      </c>
      <c r="AJ99" s="170">
        <f t="shared" si="35"/>
        <v>0</v>
      </c>
      <c r="AK99" s="204">
        <f t="shared" si="29"/>
        <v>0</v>
      </c>
      <c r="AL99" s="1049">
        <f>IF(ISERROR(AO99),0,IF(AND(AN99&gt;=$U$1,AN99&lt;=$U$2),IF(AO99='ESTRATTO CONTO'!$E$2,1+COUNTIF(AL$4:AL98,"&gt;0")+U$1009,0),0))</f>
        <v>0</v>
      </c>
      <c r="AM99" s="747">
        <f t="shared" si="32"/>
        <v>96</v>
      </c>
      <c r="AN99" s="164" t="e">
        <f>VLOOKUP($AM99,PATRIMONIALE!$AV151:AW$1003,2,FALSE)</f>
        <v>#N/A</v>
      </c>
      <c r="AO99" s="310" t="e">
        <f>VLOOKUP($AM99,PATRIMONIALE!$AV151:AX$1003,3,FALSE)</f>
        <v>#N/A</v>
      </c>
      <c r="AP99" s="310" t="e">
        <f>VLOOKUP($AM99,PATRIMONIALE!$AV151:AY$1003,4,FALSE)</f>
        <v>#N/A</v>
      </c>
      <c r="AQ99" s="748" t="e">
        <f>VLOOKUP($AM99,PATRIMONIALE!$AV151:AZ$1003,5,FALSE)</f>
        <v>#N/A</v>
      </c>
      <c r="AR99" s="1"/>
      <c r="AS99" s="461" t="str">
        <f t="shared" si="30"/>
        <v/>
      </c>
      <c r="AT99" s="370"/>
    </row>
    <row r="100" spans="1:46" ht="16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435">
        <f>IF(AND(W100&gt;=$U$1,W100&lt;=$U$2),IF(X100='ESTRATTO CONTO'!$E$2,1+COUNTIF(U$4:U99,"&gt;0"),0),0)</f>
        <v>0</v>
      </c>
      <c r="V100" s="417">
        <f t="shared" si="31"/>
        <v>97</v>
      </c>
      <c r="W100" s="509"/>
      <c r="X100" s="321"/>
      <c r="Y100" s="321"/>
      <c r="Z100" s="433"/>
      <c r="AA100" s="356"/>
      <c r="AB100" s="306" t="str">
        <f t="shared" si="26"/>
        <v/>
      </c>
      <c r="AC100" s="893">
        <f t="shared" si="27"/>
        <v>0</v>
      </c>
      <c r="AD100" s="322"/>
      <c r="AE100" s="1"/>
      <c r="AF100" s="223">
        <f>IF(ISBLANK(AD100),0,COUNTIF(AF$4:AF99,"&gt;0")+1)</f>
        <v>0</v>
      </c>
      <c r="AG100" s="164">
        <f t="shared" si="33"/>
        <v>0</v>
      </c>
      <c r="AH100" s="99">
        <f t="shared" si="28"/>
        <v>0</v>
      </c>
      <c r="AI100" s="99">
        <f t="shared" si="34"/>
        <v>0</v>
      </c>
      <c r="AJ100" s="170">
        <f t="shared" si="35"/>
        <v>0</v>
      </c>
      <c r="AK100" s="204">
        <f t="shared" si="29"/>
        <v>0</v>
      </c>
      <c r="AL100" s="1049">
        <f>IF(ISERROR(AO100),0,IF(AND(AN100&gt;=$U$1,AN100&lt;=$U$2),IF(AO100='ESTRATTO CONTO'!$E$2,1+COUNTIF(AL$4:AL99,"&gt;0")+U$1009,0),0))</f>
        <v>0</v>
      </c>
      <c r="AM100" s="747">
        <f t="shared" si="32"/>
        <v>97</v>
      </c>
      <c r="AN100" s="164" t="e">
        <f>VLOOKUP($AM100,PATRIMONIALE!$AV152:AW$1003,2,FALSE)</f>
        <v>#N/A</v>
      </c>
      <c r="AO100" s="310" t="e">
        <f>VLOOKUP($AM100,PATRIMONIALE!$AV152:AX$1003,3,FALSE)</f>
        <v>#N/A</v>
      </c>
      <c r="AP100" s="310" t="e">
        <f>VLOOKUP($AM100,PATRIMONIALE!$AV152:AY$1003,4,FALSE)</f>
        <v>#N/A</v>
      </c>
      <c r="AQ100" s="748" t="e">
        <f>VLOOKUP($AM100,PATRIMONIALE!$AV152:AZ$1003,5,FALSE)</f>
        <v>#N/A</v>
      </c>
      <c r="AR100" s="1"/>
      <c r="AS100" s="461" t="str">
        <f t="shared" si="30"/>
        <v/>
      </c>
      <c r="AT100" s="370"/>
    </row>
    <row r="101" spans="1:46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435">
        <f>IF(AND(W101&gt;=$U$1,W101&lt;=$U$2),IF(X101='ESTRATTO CONTO'!$E$2,1+COUNTIF(U$4:U100,"&gt;0"),0),0)</f>
        <v>0</v>
      </c>
      <c r="V101" s="417">
        <f t="shared" si="31"/>
        <v>98</v>
      </c>
      <c r="W101" s="509"/>
      <c r="X101" s="321"/>
      <c r="Y101" s="321"/>
      <c r="Z101" s="433"/>
      <c r="AA101" s="356"/>
      <c r="AB101" s="306" t="str">
        <f t="shared" si="26"/>
        <v/>
      </c>
      <c r="AC101" s="893">
        <f t="shared" si="27"/>
        <v>0</v>
      </c>
      <c r="AD101" s="322"/>
      <c r="AE101" s="1"/>
      <c r="AF101" s="223">
        <f>IF(ISBLANK(AD101),0,COUNTIF(AF$4:AF100,"&gt;0")+1)</f>
        <v>0</v>
      </c>
      <c r="AG101" s="164">
        <f t="shared" si="33"/>
        <v>0</v>
      </c>
      <c r="AH101" s="99">
        <f t="shared" si="28"/>
        <v>0</v>
      </c>
      <c r="AI101" s="99">
        <f t="shared" si="34"/>
        <v>0</v>
      </c>
      <c r="AJ101" s="170">
        <f t="shared" si="35"/>
        <v>0</v>
      </c>
      <c r="AK101" s="204">
        <f t="shared" si="29"/>
        <v>0</v>
      </c>
      <c r="AL101" s="1049">
        <f>IF(ISERROR(AO101),0,IF(AND(AN101&gt;=$U$1,AN101&lt;=$U$2),IF(AO101='ESTRATTO CONTO'!$E$2,1+COUNTIF(AL$4:AL100,"&gt;0")+U$1009,0),0))</f>
        <v>0</v>
      </c>
      <c r="AM101" s="747">
        <f t="shared" si="32"/>
        <v>98</v>
      </c>
      <c r="AN101" s="164" t="e">
        <f>VLOOKUP($AM101,PATRIMONIALE!$AV153:AW$1003,2,FALSE)</f>
        <v>#N/A</v>
      </c>
      <c r="AO101" s="310" t="e">
        <f>VLOOKUP($AM101,PATRIMONIALE!$AV153:AX$1003,3,FALSE)</f>
        <v>#N/A</v>
      </c>
      <c r="AP101" s="310" t="e">
        <f>VLOOKUP($AM101,PATRIMONIALE!$AV153:AY$1003,4,FALSE)</f>
        <v>#N/A</v>
      </c>
      <c r="AQ101" s="748" t="e">
        <f>VLOOKUP($AM101,PATRIMONIALE!$AV153:AZ$1003,5,FALSE)</f>
        <v>#N/A</v>
      </c>
      <c r="AR101" s="1"/>
      <c r="AS101" s="461" t="str">
        <f t="shared" si="30"/>
        <v/>
      </c>
      <c r="AT101" s="370"/>
    </row>
    <row r="102" spans="1:46" ht="16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435">
        <f>IF(AND(W102&gt;=$U$1,W102&lt;=$U$2),IF(X102='ESTRATTO CONTO'!$E$2,1+COUNTIF(U$4:U101,"&gt;0"),0),0)</f>
        <v>0</v>
      </c>
      <c r="V102" s="417">
        <f t="shared" si="31"/>
        <v>99</v>
      </c>
      <c r="W102" s="509"/>
      <c r="X102" s="321"/>
      <c r="Y102" s="321"/>
      <c r="Z102" s="433"/>
      <c r="AA102" s="356"/>
      <c r="AB102" s="306" t="str">
        <f t="shared" si="26"/>
        <v/>
      </c>
      <c r="AC102" s="893">
        <f t="shared" si="27"/>
        <v>0</v>
      </c>
      <c r="AD102" s="322"/>
      <c r="AE102" s="1"/>
      <c r="AF102" s="223">
        <f>IF(ISBLANK(AD102),0,COUNTIF(AF$4:AF101,"&gt;0")+1)</f>
        <v>0</v>
      </c>
      <c r="AG102" s="164">
        <f t="shared" si="33"/>
        <v>0</v>
      </c>
      <c r="AH102" s="99">
        <f t="shared" si="28"/>
        <v>0</v>
      </c>
      <c r="AI102" s="99">
        <f t="shared" si="34"/>
        <v>0</v>
      </c>
      <c r="AJ102" s="170">
        <f t="shared" si="35"/>
        <v>0</v>
      </c>
      <c r="AK102" s="204">
        <f t="shared" si="29"/>
        <v>0</v>
      </c>
      <c r="AL102" s="1049">
        <f>IF(ISERROR(AO102),0,IF(AND(AN102&gt;=$U$1,AN102&lt;=$U$2),IF(AO102='ESTRATTO CONTO'!$E$2,1+COUNTIF(AL$4:AL101,"&gt;0")+U$1009,0),0))</f>
        <v>0</v>
      </c>
      <c r="AM102" s="747">
        <f t="shared" si="32"/>
        <v>99</v>
      </c>
      <c r="AN102" s="164" t="e">
        <f>VLOOKUP($AM102,PATRIMONIALE!$AV154:AW$1003,2,FALSE)</f>
        <v>#N/A</v>
      </c>
      <c r="AO102" s="310" t="e">
        <f>VLOOKUP($AM102,PATRIMONIALE!$AV154:AX$1003,3,FALSE)</f>
        <v>#N/A</v>
      </c>
      <c r="AP102" s="310" t="e">
        <f>VLOOKUP($AM102,PATRIMONIALE!$AV154:AY$1003,4,FALSE)</f>
        <v>#N/A</v>
      </c>
      <c r="AQ102" s="748" t="e">
        <f>VLOOKUP($AM102,PATRIMONIALE!$AV154:AZ$1003,5,FALSE)</f>
        <v>#N/A</v>
      </c>
      <c r="AR102" s="1"/>
      <c r="AS102" s="461" t="str">
        <f t="shared" si="30"/>
        <v/>
      </c>
      <c r="AT102" s="370"/>
    </row>
    <row r="103" spans="1:46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435">
        <f>IF(AND(W103&gt;=$U$1,W103&lt;=$U$2),IF(X103='ESTRATTO CONTO'!$E$2,1+COUNTIF(U$4:U102,"&gt;0"),0),0)</f>
        <v>0</v>
      </c>
      <c r="V103" s="417">
        <f t="shared" si="31"/>
        <v>100</v>
      </c>
      <c r="W103" s="509"/>
      <c r="X103" s="321"/>
      <c r="Y103" s="321"/>
      <c r="Z103" s="433"/>
      <c r="AA103" s="356"/>
      <c r="AB103" s="306" t="str">
        <f t="shared" si="26"/>
        <v/>
      </c>
      <c r="AC103" s="893">
        <f t="shared" si="27"/>
        <v>0</v>
      </c>
      <c r="AD103" s="322"/>
      <c r="AE103" s="1"/>
      <c r="AF103" s="223">
        <f>IF(ISBLANK(AD103),0,COUNTIF(AF$4:AF102,"&gt;0")+1)</f>
        <v>0</v>
      </c>
      <c r="AG103" s="164">
        <f t="shared" si="33"/>
        <v>0</v>
      </c>
      <c r="AH103" s="99">
        <f t="shared" si="28"/>
        <v>0</v>
      </c>
      <c r="AI103" s="99">
        <f t="shared" si="34"/>
        <v>0</v>
      </c>
      <c r="AJ103" s="170">
        <f t="shared" si="35"/>
        <v>0</v>
      </c>
      <c r="AK103" s="204">
        <f t="shared" si="29"/>
        <v>0</v>
      </c>
      <c r="AL103" s="1049">
        <f>IF(ISERROR(AO103),0,IF(AND(AN103&gt;=$U$1,AN103&lt;=$U$2),IF(AO103='ESTRATTO CONTO'!$E$2,1+COUNTIF(AL$4:AL102,"&gt;0")+U$1009,0),0))</f>
        <v>0</v>
      </c>
      <c r="AM103" s="747">
        <f t="shared" si="32"/>
        <v>100</v>
      </c>
      <c r="AN103" s="164" t="e">
        <f>VLOOKUP($AM103,PATRIMONIALE!$AV155:AW$1003,2,FALSE)</f>
        <v>#N/A</v>
      </c>
      <c r="AO103" s="310" t="e">
        <f>VLOOKUP($AM103,PATRIMONIALE!$AV155:AX$1003,3,FALSE)</f>
        <v>#N/A</v>
      </c>
      <c r="AP103" s="310" t="e">
        <f>VLOOKUP($AM103,PATRIMONIALE!$AV155:AY$1003,4,FALSE)</f>
        <v>#N/A</v>
      </c>
      <c r="AQ103" s="748" t="e">
        <f>VLOOKUP($AM103,PATRIMONIALE!$AV155:AZ$1003,5,FALSE)</f>
        <v>#N/A</v>
      </c>
      <c r="AR103" s="1"/>
      <c r="AS103" s="461" t="str">
        <f t="shared" si="30"/>
        <v/>
      </c>
      <c r="AT103" s="370"/>
    </row>
    <row r="104" spans="1:46" ht="16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435">
        <f>IF(AND(W104&gt;=$U$1,W104&lt;=$U$2),IF(X104='ESTRATTO CONTO'!$E$2,1+COUNTIF(U$4:U103,"&gt;0"),0),0)</f>
        <v>0</v>
      </c>
      <c r="V104" s="417">
        <f t="shared" si="31"/>
        <v>101</v>
      </c>
      <c r="W104" s="509"/>
      <c r="X104" s="321"/>
      <c r="Y104" s="321"/>
      <c r="Z104" s="433"/>
      <c r="AA104" s="356"/>
      <c r="AB104" s="306" t="str">
        <f t="shared" si="26"/>
        <v/>
      </c>
      <c r="AC104" s="893">
        <f t="shared" si="27"/>
        <v>0</v>
      </c>
      <c r="AD104" s="322"/>
      <c r="AE104" s="1"/>
      <c r="AF104" s="223">
        <f>IF(ISBLANK(AD104),0,COUNTIF(AF$4:AF103,"&gt;0")+1)</f>
        <v>0</v>
      </c>
      <c r="AG104" s="164">
        <f t="shared" si="33"/>
        <v>0</v>
      </c>
      <c r="AH104" s="99">
        <f t="shared" si="28"/>
        <v>0</v>
      </c>
      <c r="AI104" s="99">
        <f t="shared" si="34"/>
        <v>0</v>
      </c>
      <c r="AJ104" s="170">
        <f t="shared" si="35"/>
        <v>0</v>
      </c>
      <c r="AK104" s="204">
        <f t="shared" si="29"/>
        <v>0</v>
      </c>
      <c r="AL104" s="1049">
        <f>IF(ISERROR(AO104),0,IF(AND(AN104&gt;=$U$1,AN104&lt;=$U$2),IF(AO104='ESTRATTO CONTO'!$E$2,1+COUNTIF(AL$4:AL103,"&gt;0")+U$1009,0),0))</f>
        <v>0</v>
      </c>
      <c r="AM104" s="747">
        <f t="shared" si="32"/>
        <v>101</v>
      </c>
      <c r="AN104" s="164" t="e">
        <f>VLOOKUP($AM104,PATRIMONIALE!$AV156:AW$1003,2,FALSE)</f>
        <v>#N/A</v>
      </c>
      <c r="AO104" s="310" t="e">
        <f>VLOOKUP($AM104,PATRIMONIALE!$AV156:AX$1003,3,FALSE)</f>
        <v>#N/A</v>
      </c>
      <c r="AP104" s="310" t="e">
        <f>VLOOKUP($AM104,PATRIMONIALE!$AV156:AY$1003,4,FALSE)</f>
        <v>#N/A</v>
      </c>
      <c r="AQ104" s="748" t="e">
        <f>VLOOKUP($AM104,PATRIMONIALE!$AV156:AZ$1003,5,FALSE)</f>
        <v>#N/A</v>
      </c>
      <c r="AR104" s="1"/>
      <c r="AS104" s="461" t="str">
        <f t="shared" si="30"/>
        <v/>
      </c>
      <c r="AT104" s="370"/>
    </row>
    <row r="105" spans="1:46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435">
        <f>IF(AND(W105&gt;=$U$1,W105&lt;=$U$2),IF(X105='ESTRATTO CONTO'!$E$2,1+COUNTIF(U$4:U104,"&gt;0"),0),0)</f>
        <v>0</v>
      </c>
      <c r="V105" s="417">
        <f t="shared" si="31"/>
        <v>102</v>
      </c>
      <c r="W105" s="509"/>
      <c r="X105" s="321"/>
      <c r="Y105" s="321"/>
      <c r="Z105" s="433"/>
      <c r="AA105" s="356"/>
      <c r="AB105" s="306" t="str">
        <f t="shared" si="26"/>
        <v/>
      </c>
      <c r="AC105" s="893">
        <f t="shared" si="27"/>
        <v>0</v>
      </c>
      <c r="AD105" s="322"/>
      <c r="AE105" s="1"/>
      <c r="AF105" s="223">
        <f>IF(ISBLANK(AD105),0,COUNTIF(AF$4:AF104,"&gt;0")+1)</f>
        <v>0</v>
      </c>
      <c r="AG105" s="164">
        <f t="shared" si="33"/>
        <v>0</v>
      </c>
      <c r="AH105" s="99">
        <f t="shared" si="28"/>
        <v>0</v>
      </c>
      <c r="AI105" s="99">
        <f t="shared" si="34"/>
        <v>0</v>
      </c>
      <c r="AJ105" s="170">
        <f t="shared" si="35"/>
        <v>0</v>
      </c>
      <c r="AK105" s="204">
        <f t="shared" si="29"/>
        <v>0</v>
      </c>
      <c r="AL105" s="1049">
        <f>IF(ISERROR(AO105),0,IF(AND(AN105&gt;=$U$1,AN105&lt;=$U$2),IF(AO105='ESTRATTO CONTO'!$E$2,1+COUNTIF(AL$4:AL104,"&gt;0")+U$1009,0),0))</f>
        <v>0</v>
      </c>
      <c r="AM105" s="747">
        <f t="shared" si="32"/>
        <v>102</v>
      </c>
      <c r="AN105" s="164" t="e">
        <f>VLOOKUP($AM105,PATRIMONIALE!$AV157:AW$1003,2,FALSE)</f>
        <v>#N/A</v>
      </c>
      <c r="AO105" s="310" t="e">
        <f>VLOOKUP($AM105,PATRIMONIALE!$AV157:AX$1003,3,FALSE)</f>
        <v>#N/A</v>
      </c>
      <c r="AP105" s="310" t="e">
        <f>VLOOKUP($AM105,PATRIMONIALE!$AV157:AY$1003,4,FALSE)</f>
        <v>#N/A</v>
      </c>
      <c r="AQ105" s="748" t="e">
        <f>VLOOKUP($AM105,PATRIMONIALE!$AV157:AZ$1003,5,FALSE)</f>
        <v>#N/A</v>
      </c>
      <c r="AR105" s="1"/>
      <c r="AS105" s="461" t="str">
        <f t="shared" si="30"/>
        <v/>
      </c>
      <c r="AT105" s="370"/>
    </row>
    <row r="106" spans="1:46" ht="16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435">
        <f>IF(AND(W106&gt;=$U$1,W106&lt;=$U$2),IF(X106='ESTRATTO CONTO'!$E$2,1+COUNTIF(U$4:U105,"&gt;0"),0),0)</f>
        <v>0</v>
      </c>
      <c r="V106" s="417">
        <f t="shared" si="31"/>
        <v>103</v>
      </c>
      <c r="W106" s="509"/>
      <c r="X106" s="321"/>
      <c r="Y106" s="321"/>
      <c r="Z106" s="433"/>
      <c r="AA106" s="356"/>
      <c r="AB106" s="306" t="str">
        <f t="shared" si="26"/>
        <v/>
      </c>
      <c r="AC106" s="893">
        <f t="shared" si="27"/>
        <v>0</v>
      </c>
      <c r="AD106" s="322"/>
      <c r="AE106" s="1"/>
      <c r="AF106" s="223">
        <f>IF(ISBLANK(AD106),0,COUNTIF(AF$4:AF105,"&gt;0")+1)</f>
        <v>0</v>
      </c>
      <c r="AG106" s="164">
        <f t="shared" si="33"/>
        <v>0</v>
      </c>
      <c r="AH106" s="99">
        <f t="shared" si="28"/>
        <v>0</v>
      </c>
      <c r="AI106" s="99">
        <f t="shared" si="34"/>
        <v>0</v>
      </c>
      <c r="AJ106" s="170">
        <f t="shared" si="35"/>
        <v>0</v>
      </c>
      <c r="AK106" s="204">
        <f t="shared" si="29"/>
        <v>0</v>
      </c>
      <c r="AL106" s="1049">
        <f>IF(ISERROR(AO106),0,IF(AND(AN106&gt;=$U$1,AN106&lt;=$U$2),IF(AO106='ESTRATTO CONTO'!$E$2,1+COUNTIF(AL$4:AL105,"&gt;0")+U$1009,0),0))</f>
        <v>0</v>
      </c>
      <c r="AM106" s="747">
        <f t="shared" si="32"/>
        <v>103</v>
      </c>
      <c r="AN106" s="164" t="e">
        <f>VLOOKUP($AM106,PATRIMONIALE!$AV158:AW$1003,2,FALSE)</f>
        <v>#N/A</v>
      </c>
      <c r="AO106" s="310" t="e">
        <f>VLOOKUP($AM106,PATRIMONIALE!$AV158:AX$1003,3,FALSE)</f>
        <v>#N/A</v>
      </c>
      <c r="AP106" s="310" t="e">
        <f>VLOOKUP($AM106,PATRIMONIALE!$AV158:AY$1003,4,FALSE)</f>
        <v>#N/A</v>
      </c>
      <c r="AQ106" s="748" t="e">
        <f>VLOOKUP($AM106,PATRIMONIALE!$AV158:AZ$1003,5,FALSE)</f>
        <v>#N/A</v>
      </c>
      <c r="AR106" s="1"/>
      <c r="AS106" s="461" t="str">
        <f t="shared" si="30"/>
        <v/>
      </c>
      <c r="AT106" s="370"/>
    </row>
    <row r="107" spans="1:46" ht="16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435">
        <f>IF(AND(W107&gt;=$U$1,W107&lt;=$U$2),IF(X107='ESTRATTO CONTO'!$E$2,1+COUNTIF(U$4:U106,"&gt;0"),0),0)</f>
        <v>0</v>
      </c>
      <c r="V107" s="417">
        <f t="shared" si="31"/>
        <v>104</v>
      </c>
      <c r="W107" s="509"/>
      <c r="X107" s="321"/>
      <c r="Y107" s="321"/>
      <c r="Z107" s="433"/>
      <c r="AA107" s="356"/>
      <c r="AB107" s="306" t="str">
        <f t="shared" si="26"/>
        <v/>
      </c>
      <c r="AC107" s="893">
        <f t="shared" si="27"/>
        <v>0</v>
      </c>
      <c r="AD107" s="322"/>
      <c r="AE107" s="1"/>
      <c r="AF107" s="223">
        <f>IF(ISBLANK(AD107),0,COUNTIF(AF$4:AF106,"&gt;0")+1)</f>
        <v>0</v>
      </c>
      <c r="AG107" s="164">
        <f t="shared" si="33"/>
        <v>0</v>
      </c>
      <c r="AH107" s="99">
        <f t="shared" si="28"/>
        <v>0</v>
      </c>
      <c r="AI107" s="99">
        <f t="shared" si="34"/>
        <v>0</v>
      </c>
      <c r="AJ107" s="170">
        <f t="shared" si="35"/>
        <v>0</v>
      </c>
      <c r="AK107" s="204">
        <f t="shared" si="29"/>
        <v>0</v>
      </c>
      <c r="AL107" s="1049">
        <f>IF(ISERROR(AO107),0,IF(AND(AN107&gt;=$U$1,AN107&lt;=$U$2),IF(AO107='ESTRATTO CONTO'!$E$2,1+COUNTIF(AL$4:AL106,"&gt;0")+U$1009,0),0))</f>
        <v>0</v>
      </c>
      <c r="AM107" s="747">
        <f t="shared" si="32"/>
        <v>104</v>
      </c>
      <c r="AN107" s="164" t="e">
        <f>VLOOKUP($AM107,PATRIMONIALE!$AV159:AW$1003,2,FALSE)</f>
        <v>#N/A</v>
      </c>
      <c r="AO107" s="310" t="e">
        <f>VLOOKUP($AM107,PATRIMONIALE!$AV159:AX$1003,3,FALSE)</f>
        <v>#N/A</v>
      </c>
      <c r="AP107" s="310" t="e">
        <f>VLOOKUP($AM107,PATRIMONIALE!$AV159:AY$1003,4,FALSE)</f>
        <v>#N/A</v>
      </c>
      <c r="AQ107" s="748" t="e">
        <f>VLOOKUP($AM107,PATRIMONIALE!$AV159:AZ$1003,5,FALSE)</f>
        <v>#N/A</v>
      </c>
      <c r="AR107" s="1"/>
      <c r="AS107" s="461" t="str">
        <f t="shared" si="30"/>
        <v/>
      </c>
      <c r="AT107" s="370"/>
    </row>
    <row r="108" spans="1:46" ht="16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435">
        <f>IF(AND(W108&gt;=$U$1,W108&lt;=$U$2),IF(X108='ESTRATTO CONTO'!$E$2,1+COUNTIF(U$4:U107,"&gt;0"),0),0)</f>
        <v>0</v>
      </c>
      <c r="V108" s="417">
        <f t="shared" si="31"/>
        <v>105</v>
      </c>
      <c r="W108" s="509"/>
      <c r="X108" s="321"/>
      <c r="Y108" s="321"/>
      <c r="Z108" s="433"/>
      <c r="AA108" s="356"/>
      <c r="AB108" s="306" t="str">
        <f t="shared" si="26"/>
        <v/>
      </c>
      <c r="AC108" s="893">
        <f t="shared" si="27"/>
        <v>0</v>
      </c>
      <c r="AD108" s="322"/>
      <c r="AE108" s="1"/>
      <c r="AF108" s="223">
        <f>IF(ISBLANK(AD108),0,COUNTIF(AF$4:AF107,"&gt;0")+1)</f>
        <v>0</v>
      </c>
      <c r="AG108" s="164">
        <f t="shared" si="33"/>
        <v>0</v>
      </c>
      <c r="AH108" s="99">
        <f t="shared" si="28"/>
        <v>0</v>
      </c>
      <c r="AI108" s="99">
        <f t="shared" si="34"/>
        <v>0</v>
      </c>
      <c r="AJ108" s="170">
        <f t="shared" si="35"/>
        <v>0</v>
      </c>
      <c r="AK108" s="204">
        <f t="shared" si="29"/>
        <v>0</v>
      </c>
      <c r="AL108" s="1049">
        <f>IF(ISERROR(AO108),0,IF(AND(AN108&gt;=$U$1,AN108&lt;=$U$2),IF(AO108='ESTRATTO CONTO'!$E$2,1+COUNTIF(AL$4:AL107,"&gt;0")+U$1009,0),0))</f>
        <v>0</v>
      </c>
      <c r="AM108" s="747">
        <f t="shared" si="32"/>
        <v>105</v>
      </c>
      <c r="AN108" s="164" t="e">
        <f>VLOOKUP($AM108,PATRIMONIALE!$AV160:AW$1003,2,FALSE)</f>
        <v>#N/A</v>
      </c>
      <c r="AO108" s="310" t="e">
        <f>VLOOKUP($AM108,PATRIMONIALE!$AV160:AX$1003,3,FALSE)</f>
        <v>#N/A</v>
      </c>
      <c r="AP108" s="310" t="e">
        <f>VLOOKUP($AM108,PATRIMONIALE!$AV160:AY$1003,4,FALSE)</f>
        <v>#N/A</v>
      </c>
      <c r="AQ108" s="748" t="e">
        <f>VLOOKUP($AM108,PATRIMONIALE!$AV160:AZ$1003,5,FALSE)</f>
        <v>#N/A</v>
      </c>
      <c r="AR108" s="1"/>
      <c r="AS108" s="461" t="str">
        <f t="shared" si="30"/>
        <v/>
      </c>
      <c r="AT108" s="370"/>
    </row>
    <row r="109" spans="1:46" ht="16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435">
        <f>IF(AND(W109&gt;=$U$1,W109&lt;=$U$2),IF(X109='ESTRATTO CONTO'!$E$2,1+COUNTIF(U$4:U108,"&gt;0"),0),0)</f>
        <v>0</v>
      </c>
      <c r="V109" s="417">
        <f t="shared" si="31"/>
        <v>106</v>
      </c>
      <c r="W109" s="509"/>
      <c r="X109" s="321"/>
      <c r="Y109" s="321"/>
      <c r="Z109" s="433"/>
      <c r="AA109" s="356"/>
      <c r="AB109" s="306" t="str">
        <f t="shared" si="26"/>
        <v/>
      </c>
      <c r="AC109" s="893">
        <f t="shared" si="27"/>
        <v>0</v>
      </c>
      <c r="AD109" s="322"/>
      <c r="AE109" s="1"/>
      <c r="AF109" s="223">
        <f>IF(ISBLANK(AD109),0,COUNTIF(AF$4:AF108,"&gt;0")+1)</f>
        <v>0</v>
      </c>
      <c r="AG109" s="164">
        <f t="shared" si="33"/>
        <v>0</v>
      </c>
      <c r="AH109" s="99">
        <f t="shared" si="28"/>
        <v>0</v>
      </c>
      <c r="AI109" s="99">
        <f t="shared" si="34"/>
        <v>0</v>
      </c>
      <c r="AJ109" s="170">
        <f t="shared" si="35"/>
        <v>0</v>
      </c>
      <c r="AK109" s="204">
        <f t="shared" si="29"/>
        <v>0</v>
      </c>
      <c r="AL109" s="1049">
        <f>IF(ISERROR(AO109),0,IF(AND(AN109&gt;=$U$1,AN109&lt;=$U$2),IF(AO109='ESTRATTO CONTO'!$E$2,1+COUNTIF(AL$4:AL108,"&gt;0")+U$1009,0),0))</f>
        <v>0</v>
      </c>
      <c r="AM109" s="747">
        <f t="shared" si="32"/>
        <v>106</v>
      </c>
      <c r="AN109" s="164" t="e">
        <f>VLOOKUP($AM109,PATRIMONIALE!$AV161:AW$1003,2,FALSE)</f>
        <v>#N/A</v>
      </c>
      <c r="AO109" s="310" t="e">
        <f>VLOOKUP($AM109,PATRIMONIALE!$AV161:AX$1003,3,FALSE)</f>
        <v>#N/A</v>
      </c>
      <c r="AP109" s="310" t="e">
        <f>VLOOKUP($AM109,PATRIMONIALE!$AV161:AY$1003,4,FALSE)</f>
        <v>#N/A</v>
      </c>
      <c r="AQ109" s="748" t="e">
        <f>VLOOKUP($AM109,PATRIMONIALE!$AV161:AZ$1003,5,FALSE)</f>
        <v>#N/A</v>
      </c>
      <c r="AR109" s="1"/>
      <c r="AS109" s="461" t="str">
        <f t="shared" si="30"/>
        <v/>
      </c>
      <c r="AT109" s="370"/>
    </row>
    <row r="110" spans="1:46" ht="16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435">
        <f>IF(AND(W110&gt;=$U$1,W110&lt;=$U$2),IF(X110='ESTRATTO CONTO'!$E$2,1+COUNTIF(U$4:U109,"&gt;0"),0),0)</f>
        <v>0</v>
      </c>
      <c r="V110" s="417">
        <f t="shared" si="31"/>
        <v>107</v>
      </c>
      <c r="W110" s="509"/>
      <c r="X110" s="321"/>
      <c r="Y110" s="321"/>
      <c r="Z110" s="433"/>
      <c r="AA110" s="356"/>
      <c r="AB110" s="306" t="str">
        <f t="shared" si="26"/>
        <v/>
      </c>
      <c r="AC110" s="893">
        <f t="shared" si="27"/>
        <v>0</v>
      </c>
      <c r="AD110" s="322"/>
      <c r="AE110" s="1"/>
      <c r="AF110" s="223">
        <f>IF(ISBLANK(AD110),0,COUNTIF(AF$4:AF109,"&gt;0")+1)</f>
        <v>0</v>
      </c>
      <c r="AG110" s="164">
        <f t="shared" si="33"/>
        <v>0</v>
      </c>
      <c r="AH110" s="99">
        <f t="shared" si="28"/>
        <v>0</v>
      </c>
      <c r="AI110" s="99">
        <f t="shared" si="34"/>
        <v>0</v>
      </c>
      <c r="AJ110" s="170">
        <f t="shared" si="35"/>
        <v>0</v>
      </c>
      <c r="AK110" s="204">
        <f t="shared" si="29"/>
        <v>0</v>
      </c>
      <c r="AL110" s="1049">
        <f>IF(ISERROR(AO110),0,IF(AND(AN110&gt;=$U$1,AN110&lt;=$U$2),IF(AO110='ESTRATTO CONTO'!$E$2,1+COUNTIF(AL$4:AL109,"&gt;0")+U$1009,0),0))</f>
        <v>0</v>
      </c>
      <c r="AM110" s="747">
        <f t="shared" si="32"/>
        <v>107</v>
      </c>
      <c r="AN110" s="164" t="e">
        <f>VLOOKUP($AM110,PATRIMONIALE!$AV162:AW$1003,2,FALSE)</f>
        <v>#N/A</v>
      </c>
      <c r="AO110" s="310" t="e">
        <f>VLOOKUP($AM110,PATRIMONIALE!$AV162:AX$1003,3,FALSE)</f>
        <v>#N/A</v>
      </c>
      <c r="AP110" s="310" t="e">
        <f>VLOOKUP($AM110,PATRIMONIALE!$AV162:AY$1003,4,FALSE)</f>
        <v>#N/A</v>
      </c>
      <c r="AQ110" s="748" t="e">
        <f>VLOOKUP($AM110,PATRIMONIALE!$AV162:AZ$1003,5,FALSE)</f>
        <v>#N/A</v>
      </c>
      <c r="AR110" s="1"/>
      <c r="AS110" s="461" t="str">
        <f t="shared" si="30"/>
        <v/>
      </c>
      <c r="AT110" s="370"/>
    </row>
    <row r="111" spans="1:46" ht="16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435">
        <f>IF(AND(W111&gt;=$U$1,W111&lt;=$U$2),IF(X111='ESTRATTO CONTO'!$E$2,1+COUNTIF(U$4:U110,"&gt;0"),0),0)</f>
        <v>0</v>
      </c>
      <c r="V111" s="417">
        <f t="shared" si="31"/>
        <v>108</v>
      </c>
      <c r="W111" s="509"/>
      <c r="X111" s="321"/>
      <c r="Y111" s="321"/>
      <c r="Z111" s="433"/>
      <c r="AA111" s="356"/>
      <c r="AB111" s="306" t="str">
        <f t="shared" si="26"/>
        <v/>
      </c>
      <c r="AC111" s="893">
        <f t="shared" si="27"/>
        <v>0</v>
      </c>
      <c r="AD111" s="322"/>
      <c r="AE111" s="1"/>
      <c r="AF111" s="223">
        <f>IF(ISBLANK(AD111),0,COUNTIF(AF$4:AF110,"&gt;0")+1)</f>
        <v>0</v>
      </c>
      <c r="AG111" s="164">
        <f t="shared" si="33"/>
        <v>0</v>
      </c>
      <c r="AH111" s="99">
        <f t="shared" si="28"/>
        <v>0</v>
      </c>
      <c r="AI111" s="99">
        <f t="shared" si="34"/>
        <v>0</v>
      </c>
      <c r="AJ111" s="170">
        <f t="shared" si="35"/>
        <v>0</v>
      </c>
      <c r="AK111" s="204">
        <f t="shared" si="29"/>
        <v>0</v>
      </c>
      <c r="AL111" s="1049">
        <f>IF(ISERROR(AO111),0,IF(AND(AN111&gt;=$U$1,AN111&lt;=$U$2),IF(AO111='ESTRATTO CONTO'!$E$2,1+COUNTIF(AL$4:AL110,"&gt;0")+U$1009,0),0))</f>
        <v>0</v>
      </c>
      <c r="AM111" s="747">
        <f t="shared" si="32"/>
        <v>108</v>
      </c>
      <c r="AN111" s="164" t="e">
        <f>VLOOKUP($AM111,PATRIMONIALE!$AV163:AW$1003,2,FALSE)</f>
        <v>#N/A</v>
      </c>
      <c r="AO111" s="310" t="e">
        <f>VLOOKUP($AM111,PATRIMONIALE!$AV163:AX$1003,3,FALSE)</f>
        <v>#N/A</v>
      </c>
      <c r="AP111" s="310" t="e">
        <f>VLOOKUP($AM111,PATRIMONIALE!$AV163:AY$1003,4,FALSE)</f>
        <v>#N/A</v>
      </c>
      <c r="AQ111" s="748" t="e">
        <f>VLOOKUP($AM111,PATRIMONIALE!$AV163:AZ$1003,5,FALSE)</f>
        <v>#N/A</v>
      </c>
      <c r="AR111" s="1"/>
      <c r="AS111" s="461" t="str">
        <f t="shared" si="30"/>
        <v/>
      </c>
      <c r="AT111" s="370"/>
    </row>
    <row r="112" spans="1:46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435">
        <f>IF(AND(W112&gt;=$U$1,W112&lt;=$U$2),IF(X112='ESTRATTO CONTO'!$E$2,1+COUNTIF(U$4:U111,"&gt;0"),0),0)</f>
        <v>0</v>
      </c>
      <c r="V112" s="417">
        <f t="shared" si="31"/>
        <v>109</v>
      </c>
      <c r="W112" s="509"/>
      <c r="X112" s="321"/>
      <c r="Y112" s="321"/>
      <c r="Z112" s="433"/>
      <c r="AA112" s="356"/>
      <c r="AB112" s="306" t="str">
        <f t="shared" si="26"/>
        <v/>
      </c>
      <c r="AC112" s="893">
        <f t="shared" si="27"/>
        <v>0</v>
      </c>
      <c r="AD112" s="322"/>
      <c r="AE112" s="1"/>
      <c r="AF112" s="223">
        <f>IF(ISBLANK(AD112),0,COUNTIF(AF$4:AF111,"&gt;0")+1)</f>
        <v>0</v>
      </c>
      <c r="AG112" s="164">
        <f t="shared" si="33"/>
        <v>0</v>
      </c>
      <c r="AH112" s="99">
        <f t="shared" si="28"/>
        <v>0</v>
      </c>
      <c r="AI112" s="99">
        <f t="shared" si="34"/>
        <v>0</v>
      </c>
      <c r="AJ112" s="170">
        <f t="shared" si="35"/>
        <v>0</v>
      </c>
      <c r="AK112" s="204">
        <f t="shared" si="29"/>
        <v>0</v>
      </c>
      <c r="AL112" s="1049">
        <f>IF(ISERROR(AO112),0,IF(AND(AN112&gt;=$U$1,AN112&lt;=$U$2),IF(AO112='ESTRATTO CONTO'!$E$2,1+COUNTIF(AL$4:AL111,"&gt;0")+U$1009,0),0))</f>
        <v>0</v>
      </c>
      <c r="AM112" s="747">
        <f t="shared" si="32"/>
        <v>109</v>
      </c>
      <c r="AN112" s="164" t="e">
        <f>VLOOKUP($AM112,PATRIMONIALE!$AV164:AW$1003,2,FALSE)</f>
        <v>#N/A</v>
      </c>
      <c r="AO112" s="310" t="e">
        <f>VLOOKUP($AM112,PATRIMONIALE!$AV164:AX$1003,3,FALSE)</f>
        <v>#N/A</v>
      </c>
      <c r="AP112" s="310" t="e">
        <f>VLOOKUP($AM112,PATRIMONIALE!$AV164:AY$1003,4,FALSE)</f>
        <v>#N/A</v>
      </c>
      <c r="AQ112" s="748" t="e">
        <f>VLOOKUP($AM112,PATRIMONIALE!$AV164:AZ$1003,5,FALSE)</f>
        <v>#N/A</v>
      </c>
      <c r="AR112" s="1"/>
      <c r="AS112" s="461" t="str">
        <f t="shared" si="30"/>
        <v/>
      </c>
      <c r="AT112" s="370"/>
    </row>
    <row r="113" spans="1:46" ht="16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435">
        <f>IF(AND(W113&gt;=$U$1,W113&lt;=$U$2),IF(X113='ESTRATTO CONTO'!$E$2,1+COUNTIF(U$4:U112,"&gt;0"),0),0)</f>
        <v>0</v>
      </c>
      <c r="V113" s="417">
        <f t="shared" si="31"/>
        <v>110</v>
      </c>
      <c r="W113" s="509"/>
      <c r="X113" s="321"/>
      <c r="Y113" s="321"/>
      <c r="Z113" s="433"/>
      <c r="AA113" s="356"/>
      <c r="AB113" s="306" t="str">
        <f t="shared" si="26"/>
        <v/>
      </c>
      <c r="AC113" s="893">
        <f t="shared" si="27"/>
        <v>0</v>
      </c>
      <c r="AD113" s="322"/>
      <c r="AE113" s="1"/>
      <c r="AF113" s="223">
        <f>IF(ISBLANK(AD113),0,COUNTIF(AF$4:AF112,"&gt;0")+1)</f>
        <v>0</v>
      </c>
      <c r="AG113" s="164">
        <f t="shared" si="33"/>
        <v>0</v>
      </c>
      <c r="AH113" s="99">
        <f t="shared" si="28"/>
        <v>0</v>
      </c>
      <c r="AI113" s="99">
        <f t="shared" si="34"/>
        <v>0</v>
      </c>
      <c r="AJ113" s="170">
        <f t="shared" si="35"/>
        <v>0</v>
      </c>
      <c r="AK113" s="204">
        <f t="shared" si="29"/>
        <v>0</v>
      </c>
      <c r="AL113" s="1049">
        <f>IF(ISERROR(AO113),0,IF(AND(AN113&gt;=$U$1,AN113&lt;=$U$2),IF(AO113='ESTRATTO CONTO'!$E$2,1+COUNTIF(AL$4:AL112,"&gt;0")+U$1009,0),0))</f>
        <v>0</v>
      </c>
      <c r="AM113" s="747">
        <f t="shared" si="32"/>
        <v>110</v>
      </c>
      <c r="AN113" s="164" t="e">
        <f>VLOOKUP($AM113,PATRIMONIALE!$AV165:AW$1003,2,FALSE)</f>
        <v>#N/A</v>
      </c>
      <c r="AO113" s="310" t="e">
        <f>VLOOKUP($AM113,PATRIMONIALE!$AV165:AX$1003,3,FALSE)</f>
        <v>#N/A</v>
      </c>
      <c r="AP113" s="310" t="e">
        <f>VLOOKUP($AM113,PATRIMONIALE!$AV165:AY$1003,4,FALSE)</f>
        <v>#N/A</v>
      </c>
      <c r="AQ113" s="748" t="e">
        <f>VLOOKUP($AM113,PATRIMONIALE!$AV165:AZ$1003,5,FALSE)</f>
        <v>#N/A</v>
      </c>
      <c r="AR113" s="1"/>
      <c r="AS113" s="461" t="str">
        <f t="shared" si="30"/>
        <v/>
      </c>
      <c r="AT113" s="370"/>
    </row>
    <row r="114" spans="1:46" ht="16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435">
        <f>IF(AND(W114&gt;=$U$1,W114&lt;=$U$2),IF(X114='ESTRATTO CONTO'!$E$2,1+COUNTIF(U$4:U113,"&gt;0"),0),0)</f>
        <v>0</v>
      </c>
      <c r="V114" s="417">
        <f t="shared" si="31"/>
        <v>111</v>
      </c>
      <c r="W114" s="509"/>
      <c r="X114" s="321"/>
      <c r="Y114" s="321"/>
      <c r="Z114" s="433"/>
      <c r="AA114" s="356"/>
      <c r="AB114" s="306" t="str">
        <f t="shared" si="26"/>
        <v/>
      </c>
      <c r="AC114" s="893">
        <f t="shared" si="27"/>
        <v>0</v>
      </c>
      <c r="AD114" s="322"/>
      <c r="AE114" s="1"/>
      <c r="AF114" s="223">
        <f>IF(ISBLANK(AD114),0,COUNTIF(AF$4:AF113,"&gt;0")+1)</f>
        <v>0</v>
      </c>
      <c r="AG114" s="164">
        <f t="shared" si="33"/>
        <v>0</v>
      </c>
      <c r="AH114" s="99">
        <f t="shared" si="28"/>
        <v>0</v>
      </c>
      <c r="AI114" s="99">
        <f t="shared" si="34"/>
        <v>0</v>
      </c>
      <c r="AJ114" s="170">
        <f t="shared" si="35"/>
        <v>0</v>
      </c>
      <c r="AK114" s="204">
        <f t="shared" si="29"/>
        <v>0</v>
      </c>
      <c r="AL114" s="1049">
        <f>IF(ISERROR(AO114),0,IF(AND(AN114&gt;=$U$1,AN114&lt;=$U$2),IF(AO114='ESTRATTO CONTO'!$E$2,1+COUNTIF(AL$4:AL113,"&gt;0")+U$1009,0),0))</f>
        <v>0</v>
      </c>
      <c r="AM114" s="747">
        <f t="shared" si="32"/>
        <v>111</v>
      </c>
      <c r="AN114" s="164" t="e">
        <f>VLOOKUP($AM114,PATRIMONIALE!$AV166:AW$1003,2,FALSE)</f>
        <v>#N/A</v>
      </c>
      <c r="AO114" s="310" t="e">
        <f>VLOOKUP($AM114,PATRIMONIALE!$AV166:AX$1003,3,FALSE)</f>
        <v>#N/A</v>
      </c>
      <c r="AP114" s="310" t="e">
        <f>VLOOKUP($AM114,PATRIMONIALE!$AV166:AY$1003,4,FALSE)</f>
        <v>#N/A</v>
      </c>
      <c r="AQ114" s="748" t="e">
        <f>VLOOKUP($AM114,PATRIMONIALE!$AV166:AZ$1003,5,FALSE)</f>
        <v>#N/A</v>
      </c>
      <c r="AR114" s="1"/>
      <c r="AS114" s="461" t="str">
        <f t="shared" si="30"/>
        <v/>
      </c>
      <c r="AT114" s="370"/>
    </row>
    <row r="115" spans="1:46" ht="16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435">
        <f>IF(AND(W115&gt;=$U$1,W115&lt;=$U$2),IF(X115='ESTRATTO CONTO'!$E$2,1+COUNTIF(U$4:U114,"&gt;0"),0),0)</f>
        <v>0</v>
      </c>
      <c r="V115" s="417">
        <f t="shared" si="31"/>
        <v>112</v>
      </c>
      <c r="W115" s="509"/>
      <c r="X115" s="321"/>
      <c r="Y115" s="321"/>
      <c r="Z115" s="433"/>
      <c r="AA115" s="356"/>
      <c r="AB115" s="306" t="str">
        <f t="shared" si="26"/>
        <v/>
      </c>
      <c r="AC115" s="893">
        <f t="shared" si="27"/>
        <v>0</v>
      </c>
      <c r="AD115" s="322"/>
      <c r="AE115" s="1"/>
      <c r="AF115" s="223">
        <f>IF(ISBLANK(AD115),0,COUNTIF(AF$4:AF114,"&gt;0")+1)</f>
        <v>0</v>
      </c>
      <c r="AG115" s="164">
        <f t="shared" si="33"/>
        <v>0</v>
      </c>
      <c r="AH115" s="99">
        <f t="shared" si="28"/>
        <v>0</v>
      </c>
      <c r="AI115" s="99">
        <f t="shared" si="34"/>
        <v>0</v>
      </c>
      <c r="AJ115" s="170">
        <f t="shared" si="35"/>
        <v>0</v>
      </c>
      <c r="AK115" s="204">
        <f t="shared" si="29"/>
        <v>0</v>
      </c>
      <c r="AL115" s="1049">
        <f>IF(ISERROR(AO115),0,IF(AND(AN115&gt;=$U$1,AN115&lt;=$U$2),IF(AO115='ESTRATTO CONTO'!$E$2,1+COUNTIF(AL$4:AL114,"&gt;0")+U$1009,0),0))</f>
        <v>0</v>
      </c>
      <c r="AM115" s="747">
        <f t="shared" si="32"/>
        <v>112</v>
      </c>
      <c r="AN115" s="164" t="e">
        <f>VLOOKUP($AM115,PATRIMONIALE!$AV167:AW$1003,2,FALSE)</f>
        <v>#N/A</v>
      </c>
      <c r="AO115" s="310" t="e">
        <f>VLOOKUP($AM115,PATRIMONIALE!$AV167:AX$1003,3,FALSE)</f>
        <v>#N/A</v>
      </c>
      <c r="AP115" s="310" t="e">
        <f>VLOOKUP($AM115,PATRIMONIALE!$AV167:AY$1003,4,FALSE)</f>
        <v>#N/A</v>
      </c>
      <c r="AQ115" s="748" t="e">
        <f>VLOOKUP($AM115,PATRIMONIALE!$AV167:AZ$1003,5,FALSE)</f>
        <v>#N/A</v>
      </c>
      <c r="AR115" s="1"/>
      <c r="AS115" s="461" t="str">
        <f t="shared" si="30"/>
        <v/>
      </c>
      <c r="AT115" s="370"/>
    </row>
    <row r="116" spans="1:46" ht="16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435">
        <f>IF(AND(W116&gt;=$U$1,W116&lt;=$U$2),IF(X116='ESTRATTO CONTO'!$E$2,1+COUNTIF(U$4:U115,"&gt;0"),0),0)</f>
        <v>0</v>
      </c>
      <c r="V116" s="417">
        <f t="shared" si="31"/>
        <v>113</v>
      </c>
      <c r="W116" s="509"/>
      <c r="X116" s="321"/>
      <c r="Y116" s="321"/>
      <c r="Z116" s="433"/>
      <c r="AA116" s="356"/>
      <c r="AB116" s="306" t="str">
        <f t="shared" si="26"/>
        <v/>
      </c>
      <c r="AC116" s="893">
        <f t="shared" si="27"/>
        <v>0</v>
      </c>
      <c r="AD116" s="322"/>
      <c r="AE116" s="1"/>
      <c r="AF116" s="223">
        <f>IF(ISBLANK(AD116),0,COUNTIF(AF$4:AF115,"&gt;0")+1)</f>
        <v>0</v>
      </c>
      <c r="AG116" s="164">
        <f t="shared" si="33"/>
        <v>0</v>
      </c>
      <c r="AH116" s="99">
        <f t="shared" si="28"/>
        <v>0</v>
      </c>
      <c r="AI116" s="99">
        <f t="shared" si="34"/>
        <v>0</v>
      </c>
      <c r="AJ116" s="170">
        <f t="shared" si="35"/>
        <v>0</v>
      </c>
      <c r="AK116" s="204">
        <f t="shared" si="29"/>
        <v>0</v>
      </c>
      <c r="AL116" s="1049">
        <f>IF(ISERROR(AO116),0,IF(AND(AN116&gt;=$U$1,AN116&lt;=$U$2),IF(AO116='ESTRATTO CONTO'!$E$2,1+COUNTIF(AL$4:AL115,"&gt;0")+U$1009,0),0))</f>
        <v>0</v>
      </c>
      <c r="AM116" s="747">
        <f t="shared" si="32"/>
        <v>113</v>
      </c>
      <c r="AN116" s="164" t="e">
        <f>VLOOKUP($AM116,PATRIMONIALE!$AV168:AW$1003,2,FALSE)</f>
        <v>#N/A</v>
      </c>
      <c r="AO116" s="310" t="e">
        <f>VLOOKUP($AM116,PATRIMONIALE!$AV168:AX$1003,3,FALSE)</f>
        <v>#N/A</v>
      </c>
      <c r="AP116" s="310" t="e">
        <f>VLOOKUP($AM116,PATRIMONIALE!$AV168:AY$1003,4,FALSE)</f>
        <v>#N/A</v>
      </c>
      <c r="AQ116" s="748" t="e">
        <f>VLOOKUP($AM116,PATRIMONIALE!$AV168:AZ$1003,5,FALSE)</f>
        <v>#N/A</v>
      </c>
      <c r="AR116" s="1"/>
      <c r="AS116" s="461" t="str">
        <f t="shared" si="30"/>
        <v/>
      </c>
      <c r="AT116" s="370"/>
    </row>
    <row r="117" spans="1:46" ht="16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435">
        <f>IF(AND(W117&gt;=$U$1,W117&lt;=$U$2),IF(X117='ESTRATTO CONTO'!$E$2,1+COUNTIF(U$4:U116,"&gt;0"),0),0)</f>
        <v>0</v>
      </c>
      <c r="V117" s="417">
        <f t="shared" si="31"/>
        <v>114</v>
      </c>
      <c r="W117" s="509"/>
      <c r="X117" s="321"/>
      <c r="Y117" s="321"/>
      <c r="Z117" s="433"/>
      <c r="AA117" s="356"/>
      <c r="AB117" s="306" t="str">
        <f t="shared" si="26"/>
        <v/>
      </c>
      <c r="AC117" s="893">
        <f t="shared" si="27"/>
        <v>0</v>
      </c>
      <c r="AD117" s="322"/>
      <c r="AE117" s="1"/>
      <c r="AF117" s="223">
        <f>IF(ISBLANK(AD117),0,COUNTIF(AF$4:AF116,"&gt;0")+1)</f>
        <v>0</v>
      </c>
      <c r="AG117" s="164">
        <f t="shared" si="33"/>
        <v>0</v>
      </c>
      <c r="AH117" s="99">
        <f t="shared" si="28"/>
        <v>0</v>
      </c>
      <c r="AI117" s="99">
        <f t="shared" si="34"/>
        <v>0</v>
      </c>
      <c r="AJ117" s="170">
        <f t="shared" si="35"/>
        <v>0</v>
      </c>
      <c r="AK117" s="204">
        <f t="shared" si="29"/>
        <v>0</v>
      </c>
      <c r="AL117" s="1049">
        <f>IF(ISERROR(AO117),0,IF(AND(AN117&gt;=$U$1,AN117&lt;=$U$2),IF(AO117='ESTRATTO CONTO'!$E$2,1+COUNTIF(AL$4:AL116,"&gt;0")+U$1009,0),0))</f>
        <v>0</v>
      </c>
      <c r="AM117" s="747">
        <f t="shared" si="32"/>
        <v>114</v>
      </c>
      <c r="AN117" s="164" t="e">
        <f>VLOOKUP($AM117,PATRIMONIALE!$AV169:AW$1003,2,FALSE)</f>
        <v>#N/A</v>
      </c>
      <c r="AO117" s="310" t="e">
        <f>VLOOKUP($AM117,PATRIMONIALE!$AV169:AX$1003,3,FALSE)</f>
        <v>#N/A</v>
      </c>
      <c r="AP117" s="310" t="e">
        <f>VLOOKUP($AM117,PATRIMONIALE!$AV169:AY$1003,4,FALSE)</f>
        <v>#N/A</v>
      </c>
      <c r="AQ117" s="748" t="e">
        <f>VLOOKUP($AM117,PATRIMONIALE!$AV169:AZ$1003,5,FALSE)</f>
        <v>#N/A</v>
      </c>
      <c r="AR117" s="1"/>
      <c r="AS117" s="461" t="str">
        <f t="shared" si="30"/>
        <v/>
      </c>
      <c r="AT117" s="370"/>
    </row>
    <row r="118" spans="1:46" ht="16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435">
        <f>IF(AND(W118&gt;=$U$1,W118&lt;=$U$2),IF(X118='ESTRATTO CONTO'!$E$2,1+COUNTIF(U$4:U117,"&gt;0"),0),0)</f>
        <v>0</v>
      </c>
      <c r="V118" s="417">
        <f t="shared" si="31"/>
        <v>115</v>
      </c>
      <c r="W118" s="509"/>
      <c r="X118" s="321"/>
      <c r="Y118" s="321"/>
      <c r="Z118" s="433"/>
      <c r="AA118" s="356"/>
      <c r="AB118" s="306" t="str">
        <f t="shared" si="26"/>
        <v/>
      </c>
      <c r="AC118" s="893">
        <f t="shared" si="27"/>
        <v>0</v>
      </c>
      <c r="AD118" s="322"/>
      <c r="AE118" s="1"/>
      <c r="AF118" s="223">
        <f>IF(ISBLANK(AD118),0,COUNTIF(AF$4:AF117,"&gt;0")+1)</f>
        <v>0</v>
      </c>
      <c r="AG118" s="164">
        <f t="shared" si="33"/>
        <v>0</v>
      </c>
      <c r="AH118" s="99">
        <f t="shared" si="28"/>
        <v>0</v>
      </c>
      <c r="AI118" s="99">
        <f t="shared" si="34"/>
        <v>0</v>
      </c>
      <c r="AJ118" s="170">
        <f t="shared" si="35"/>
        <v>0</v>
      </c>
      <c r="AK118" s="204">
        <f t="shared" si="29"/>
        <v>0</v>
      </c>
      <c r="AL118" s="1049">
        <f>IF(ISERROR(AO118),0,IF(AND(AN118&gt;=$U$1,AN118&lt;=$U$2),IF(AO118='ESTRATTO CONTO'!$E$2,1+COUNTIF(AL$4:AL117,"&gt;0")+U$1009,0),0))</f>
        <v>0</v>
      </c>
      <c r="AM118" s="747">
        <f t="shared" si="32"/>
        <v>115</v>
      </c>
      <c r="AN118" s="164" t="e">
        <f>VLOOKUP($AM118,PATRIMONIALE!$AV170:AW$1003,2,FALSE)</f>
        <v>#N/A</v>
      </c>
      <c r="AO118" s="310" t="e">
        <f>VLOOKUP($AM118,PATRIMONIALE!$AV170:AX$1003,3,FALSE)</f>
        <v>#N/A</v>
      </c>
      <c r="AP118" s="310" t="e">
        <f>VLOOKUP($AM118,PATRIMONIALE!$AV170:AY$1003,4,FALSE)</f>
        <v>#N/A</v>
      </c>
      <c r="AQ118" s="748" t="e">
        <f>VLOOKUP($AM118,PATRIMONIALE!$AV170:AZ$1003,5,FALSE)</f>
        <v>#N/A</v>
      </c>
      <c r="AR118" s="1"/>
      <c r="AS118" s="461" t="str">
        <f t="shared" si="30"/>
        <v/>
      </c>
      <c r="AT118" s="370"/>
    </row>
    <row r="119" spans="1:46" ht="16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435">
        <f>IF(AND(W119&gt;=$U$1,W119&lt;=$U$2),IF(X119='ESTRATTO CONTO'!$E$2,1+COUNTIF(U$4:U118,"&gt;0"),0),0)</f>
        <v>0</v>
      </c>
      <c r="V119" s="417">
        <f t="shared" si="31"/>
        <v>116</v>
      </c>
      <c r="W119" s="509"/>
      <c r="X119" s="321"/>
      <c r="Y119" s="321"/>
      <c r="Z119" s="433"/>
      <c r="AA119" s="356"/>
      <c r="AB119" s="306" t="str">
        <f t="shared" si="26"/>
        <v/>
      </c>
      <c r="AC119" s="893">
        <f t="shared" si="27"/>
        <v>0</v>
      </c>
      <c r="AD119" s="322"/>
      <c r="AE119" s="1"/>
      <c r="AF119" s="223">
        <f>IF(ISBLANK(AD119),0,COUNTIF(AF$4:AF118,"&gt;0")+1)</f>
        <v>0</v>
      </c>
      <c r="AG119" s="164">
        <f t="shared" si="33"/>
        <v>0</v>
      </c>
      <c r="AH119" s="99">
        <f t="shared" si="28"/>
        <v>0</v>
      </c>
      <c r="AI119" s="99">
        <f t="shared" si="34"/>
        <v>0</v>
      </c>
      <c r="AJ119" s="170">
        <f t="shared" si="35"/>
        <v>0</v>
      </c>
      <c r="AK119" s="204">
        <f t="shared" si="29"/>
        <v>0</v>
      </c>
      <c r="AL119" s="1049">
        <f>IF(ISERROR(AO119),0,IF(AND(AN119&gt;=$U$1,AN119&lt;=$U$2),IF(AO119='ESTRATTO CONTO'!$E$2,1+COUNTIF(AL$4:AL118,"&gt;0")+U$1009,0),0))</f>
        <v>0</v>
      </c>
      <c r="AM119" s="747">
        <f t="shared" si="32"/>
        <v>116</v>
      </c>
      <c r="AN119" s="164" t="e">
        <f>VLOOKUP($AM119,PATRIMONIALE!$AV171:AW$1003,2,FALSE)</f>
        <v>#N/A</v>
      </c>
      <c r="AO119" s="310" t="e">
        <f>VLOOKUP($AM119,PATRIMONIALE!$AV171:AX$1003,3,FALSE)</f>
        <v>#N/A</v>
      </c>
      <c r="AP119" s="310" t="e">
        <f>VLOOKUP($AM119,PATRIMONIALE!$AV171:AY$1003,4,FALSE)</f>
        <v>#N/A</v>
      </c>
      <c r="AQ119" s="748" t="e">
        <f>VLOOKUP($AM119,PATRIMONIALE!$AV171:AZ$1003,5,FALSE)</f>
        <v>#N/A</v>
      </c>
      <c r="AR119" s="1"/>
      <c r="AS119" s="461" t="str">
        <f t="shared" si="30"/>
        <v/>
      </c>
      <c r="AT119" s="370"/>
    </row>
    <row r="120" spans="1:46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435">
        <f>IF(AND(W120&gt;=$U$1,W120&lt;=$U$2),IF(X120='ESTRATTO CONTO'!$E$2,1+COUNTIF(U$4:U119,"&gt;0"),0),0)</f>
        <v>0</v>
      </c>
      <c r="V120" s="417">
        <f t="shared" si="31"/>
        <v>117</v>
      </c>
      <c r="W120" s="509"/>
      <c r="X120" s="321"/>
      <c r="Y120" s="321"/>
      <c r="Z120" s="433"/>
      <c r="AA120" s="356"/>
      <c r="AB120" s="306" t="str">
        <f t="shared" si="26"/>
        <v/>
      </c>
      <c r="AC120" s="893">
        <f t="shared" si="27"/>
        <v>0</v>
      </c>
      <c r="AD120" s="322"/>
      <c r="AE120" s="1"/>
      <c r="AF120" s="223">
        <f>IF(ISBLANK(AD120),0,COUNTIF(AF$4:AF119,"&gt;0")+1)</f>
        <v>0</v>
      </c>
      <c r="AG120" s="164">
        <f t="shared" si="33"/>
        <v>0</v>
      </c>
      <c r="AH120" s="99">
        <f t="shared" si="28"/>
        <v>0</v>
      </c>
      <c r="AI120" s="99">
        <f t="shared" si="34"/>
        <v>0</v>
      </c>
      <c r="AJ120" s="170">
        <f t="shared" si="35"/>
        <v>0</v>
      </c>
      <c r="AK120" s="204">
        <f t="shared" si="29"/>
        <v>0</v>
      </c>
      <c r="AL120" s="1049">
        <f>IF(ISERROR(AO120),0,IF(AND(AN120&gt;=$U$1,AN120&lt;=$U$2),IF(AO120='ESTRATTO CONTO'!$E$2,1+COUNTIF(AL$4:AL119,"&gt;0")+U$1009,0),0))</f>
        <v>0</v>
      </c>
      <c r="AM120" s="747">
        <f t="shared" si="32"/>
        <v>117</v>
      </c>
      <c r="AN120" s="164" t="e">
        <f>VLOOKUP($AM120,PATRIMONIALE!$AV172:AW$1003,2,FALSE)</f>
        <v>#N/A</v>
      </c>
      <c r="AO120" s="310" t="e">
        <f>VLOOKUP($AM120,PATRIMONIALE!$AV172:AX$1003,3,FALSE)</f>
        <v>#N/A</v>
      </c>
      <c r="AP120" s="310" t="e">
        <f>VLOOKUP($AM120,PATRIMONIALE!$AV172:AY$1003,4,FALSE)</f>
        <v>#N/A</v>
      </c>
      <c r="AQ120" s="748" t="e">
        <f>VLOOKUP($AM120,PATRIMONIALE!$AV172:AZ$1003,5,FALSE)</f>
        <v>#N/A</v>
      </c>
      <c r="AR120" s="1"/>
      <c r="AS120" s="461" t="str">
        <f t="shared" si="30"/>
        <v/>
      </c>
      <c r="AT120" s="370"/>
    </row>
    <row r="121" spans="1:46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435">
        <f>IF(AND(W121&gt;=$U$1,W121&lt;=$U$2),IF(X121='ESTRATTO CONTO'!$E$2,1+COUNTIF(U$4:U120,"&gt;0"),0),0)</f>
        <v>0</v>
      </c>
      <c r="V121" s="417">
        <f t="shared" si="31"/>
        <v>118</v>
      </c>
      <c r="W121" s="509"/>
      <c r="X121" s="321"/>
      <c r="Y121" s="321"/>
      <c r="Z121" s="433"/>
      <c r="AA121" s="356"/>
      <c r="AB121" s="306" t="str">
        <f t="shared" si="26"/>
        <v/>
      </c>
      <c r="AC121" s="893">
        <f t="shared" si="27"/>
        <v>0</v>
      </c>
      <c r="AD121" s="322"/>
      <c r="AE121" s="1"/>
      <c r="AF121" s="223">
        <f>IF(ISBLANK(AD121),0,COUNTIF(AF$4:AF120,"&gt;0")+1)</f>
        <v>0</v>
      </c>
      <c r="AG121" s="164">
        <f t="shared" si="33"/>
        <v>0</v>
      </c>
      <c r="AH121" s="99">
        <f t="shared" si="28"/>
        <v>0</v>
      </c>
      <c r="AI121" s="99">
        <f t="shared" si="34"/>
        <v>0</v>
      </c>
      <c r="AJ121" s="170">
        <f t="shared" si="35"/>
        <v>0</v>
      </c>
      <c r="AK121" s="204">
        <f t="shared" si="29"/>
        <v>0</v>
      </c>
      <c r="AL121" s="1049">
        <f>IF(ISERROR(AO121),0,IF(AND(AN121&gt;=$U$1,AN121&lt;=$U$2),IF(AO121='ESTRATTO CONTO'!$E$2,1+COUNTIF(AL$4:AL120,"&gt;0")+U$1009,0),0))</f>
        <v>0</v>
      </c>
      <c r="AM121" s="747">
        <f t="shared" si="32"/>
        <v>118</v>
      </c>
      <c r="AN121" s="164" t="e">
        <f>VLOOKUP($AM121,PATRIMONIALE!$AV173:AW$1003,2,FALSE)</f>
        <v>#N/A</v>
      </c>
      <c r="AO121" s="310" t="e">
        <f>VLOOKUP($AM121,PATRIMONIALE!$AV173:AX$1003,3,FALSE)</f>
        <v>#N/A</v>
      </c>
      <c r="AP121" s="310" t="e">
        <f>VLOOKUP($AM121,PATRIMONIALE!$AV173:AY$1003,4,FALSE)</f>
        <v>#N/A</v>
      </c>
      <c r="AQ121" s="748" t="e">
        <f>VLOOKUP($AM121,PATRIMONIALE!$AV173:AZ$1003,5,FALSE)</f>
        <v>#N/A</v>
      </c>
      <c r="AR121" s="1"/>
      <c r="AS121" s="461" t="str">
        <f t="shared" si="30"/>
        <v/>
      </c>
      <c r="AT121" s="370"/>
    </row>
    <row r="122" spans="1:46" ht="16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435">
        <f>IF(AND(W122&gt;=$U$1,W122&lt;=$U$2),IF(X122='ESTRATTO CONTO'!$E$2,1+COUNTIF(U$4:U121,"&gt;0"),0),0)</f>
        <v>0</v>
      </c>
      <c r="V122" s="417">
        <f t="shared" si="31"/>
        <v>119</v>
      </c>
      <c r="W122" s="509"/>
      <c r="X122" s="321"/>
      <c r="Y122" s="321"/>
      <c r="Z122" s="433"/>
      <c r="AA122" s="356"/>
      <c r="AB122" s="306" t="str">
        <f t="shared" si="26"/>
        <v/>
      </c>
      <c r="AC122" s="893">
        <f t="shared" si="27"/>
        <v>0</v>
      </c>
      <c r="AD122" s="322"/>
      <c r="AE122" s="1"/>
      <c r="AF122" s="223">
        <f>IF(ISBLANK(AD122),0,COUNTIF(AF$4:AF121,"&gt;0")+1)</f>
        <v>0</v>
      </c>
      <c r="AG122" s="164">
        <f t="shared" si="33"/>
        <v>0</v>
      </c>
      <c r="AH122" s="99">
        <f t="shared" si="28"/>
        <v>0</v>
      </c>
      <c r="AI122" s="99">
        <f t="shared" si="34"/>
        <v>0</v>
      </c>
      <c r="AJ122" s="170">
        <f t="shared" si="35"/>
        <v>0</v>
      </c>
      <c r="AK122" s="204">
        <f t="shared" si="29"/>
        <v>0</v>
      </c>
      <c r="AL122" s="1049">
        <f>IF(ISERROR(AO122),0,IF(AND(AN122&gt;=$U$1,AN122&lt;=$U$2),IF(AO122='ESTRATTO CONTO'!$E$2,1+COUNTIF(AL$4:AL121,"&gt;0")+U$1009,0),0))</f>
        <v>0</v>
      </c>
      <c r="AM122" s="747">
        <f t="shared" si="32"/>
        <v>119</v>
      </c>
      <c r="AN122" s="164" t="e">
        <f>VLOOKUP($AM122,PATRIMONIALE!$AV174:AW$1003,2,FALSE)</f>
        <v>#N/A</v>
      </c>
      <c r="AO122" s="310" t="e">
        <f>VLOOKUP($AM122,PATRIMONIALE!$AV174:AX$1003,3,FALSE)</f>
        <v>#N/A</v>
      </c>
      <c r="AP122" s="310" t="e">
        <f>VLOOKUP($AM122,PATRIMONIALE!$AV174:AY$1003,4,FALSE)</f>
        <v>#N/A</v>
      </c>
      <c r="AQ122" s="748" t="e">
        <f>VLOOKUP($AM122,PATRIMONIALE!$AV174:AZ$1003,5,FALSE)</f>
        <v>#N/A</v>
      </c>
      <c r="AR122" s="1"/>
      <c r="AS122" s="461" t="str">
        <f t="shared" si="30"/>
        <v/>
      </c>
      <c r="AT122" s="370"/>
    </row>
    <row r="123" spans="1:46" ht="16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435">
        <f>IF(AND(W123&gt;=$U$1,W123&lt;=$U$2),IF(X123='ESTRATTO CONTO'!$E$2,1+COUNTIF(U$4:U122,"&gt;0"),0),0)</f>
        <v>0</v>
      </c>
      <c r="V123" s="417">
        <f t="shared" si="31"/>
        <v>120</v>
      </c>
      <c r="W123" s="509"/>
      <c r="X123" s="321"/>
      <c r="Y123" s="321"/>
      <c r="Z123" s="433"/>
      <c r="AA123" s="356"/>
      <c r="AB123" s="306" t="str">
        <f t="shared" si="26"/>
        <v/>
      </c>
      <c r="AC123" s="893">
        <f t="shared" si="27"/>
        <v>0</v>
      </c>
      <c r="AD123" s="322"/>
      <c r="AE123" s="1"/>
      <c r="AF123" s="223">
        <f>IF(ISBLANK(AD123),0,COUNTIF(AF$4:AF122,"&gt;0")+1)</f>
        <v>0</v>
      </c>
      <c r="AG123" s="164">
        <f t="shared" si="33"/>
        <v>0</v>
      </c>
      <c r="AH123" s="99">
        <f t="shared" si="28"/>
        <v>0</v>
      </c>
      <c r="AI123" s="99">
        <f t="shared" si="34"/>
        <v>0</v>
      </c>
      <c r="AJ123" s="170">
        <f t="shared" si="35"/>
        <v>0</v>
      </c>
      <c r="AK123" s="204">
        <f t="shared" si="29"/>
        <v>0</v>
      </c>
      <c r="AL123" s="1049">
        <f>IF(ISERROR(AO123),0,IF(AND(AN123&gt;=$U$1,AN123&lt;=$U$2),IF(AO123='ESTRATTO CONTO'!$E$2,1+COUNTIF(AL$4:AL122,"&gt;0")+U$1009,0),0))</f>
        <v>0</v>
      </c>
      <c r="AM123" s="747">
        <f t="shared" si="32"/>
        <v>120</v>
      </c>
      <c r="AN123" s="164" t="e">
        <f>VLOOKUP($AM123,PATRIMONIALE!$AV175:AW$1003,2,FALSE)</f>
        <v>#N/A</v>
      </c>
      <c r="AO123" s="310" t="e">
        <f>VLOOKUP($AM123,PATRIMONIALE!$AV175:AX$1003,3,FALSE)</f>
        <v>#N/A</v>
      </c>
      <c r="AP123" s="310" t="e">
        <f>VLOOKUP($AM123,PATRIMONIALE!$AV175:AY$1003,4,FALSE)</f>
        <v>#N/A</v>
      </c>
      <c r="AQ123" s="748" t="e">
        <f>VLOOKUP($AM123,PATRIMONIALE!$AV175:AZ$1003,5,FALSE)</f>
        <v>#N/A</v>
      </c>
      <c r="AR123" s="1"/>
      <c r="AS123" s="461" t="str">
        <f t="shared" si="30"/>
        <v/>
      </c>
      <c r="AT123" s="370"/>
    </row>
    <row r="124" spans="1:46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435">
        <f>IF(AND(W124&gt;=$U$1,W124&lt;=$U$2),IF(X124='ESTRATTO CONTO'!$E$2,1+COUNTIF(U$4:U123,"&gt;0"),0),0)</f>
        <v>0</v>
      </c>
      <c r="V124" s="417">
        <f t="shared" si="31"/>
        <v>121</v>
      </c>
      <c r="W124" s="509"/>
      <c r="X124" s="321"/>
      <c r="Y124" s="321"/>
      <c r="Z124" s="433"/>
      <c r="AA124" s="356"/>
      <c r="AB124" s="306" t="str">
        <f t="shared" si="26"/>
        <v/>
      </c>
      <c r="AC124" s="893">
        <f t="shared" si="27"/>
        <v>0</v>
      </c>
      <c r="AD124" s="322"/>
      <c r="AE124" s="1"/>
      <c r="AF124" s="223">
        <f>IF(ISBLANK(AD124),0,COUNTIF(AF$4:AF123,"&gt;0")+1)</f>
        <v>0</v>
      </c>
      <c r="AG124" s="164">
        <f t="shared" si="33"/>
        <v>0</v>
      </c>
      <c r="AH124" s="99">
        <f t="shared" si="28"/>
        <v>0</v>
      </c>
      <c r="AI124" s="99">
        <f t="shared" si="34"/>
        <v>0</v>
      </c>
      <c r="AJ124" s="170">
        <f t="shared" si="35"/>
        <v>0</v>
      </c>
      <c r="AK124" s="204">
        <f t="shared" si="29"/>
        <v>0</v>
      </c>
      <c r="AL124" s="1049">
        <f>IF(ISERROR(AO124),0,IF(AND(AN124&gt;=$U$1,AN124&lt;=$U$2),IF(AO124='ESTRATTO CONTO'!$E$2,1+COUNTIF(AL$4:AL123,"&gt;0")+U$1009,0),0))</f>
        <v>0</v>
      </c>
      <c r="AM124" s="747">
        <f t="shared" si="32"/>
        <v>121</v>
      </c>
      <c r="AN124" s="164" t="e">
        <f>VLOOKUP($AM124,PATRIMONIALE!$AV176:AW$1003,2,FALSE)</f>
        <v>#N/A</v>
      </c>
      <c r="AO124" s="310" t="e">
        <f>VLOOKUP($AM124,PATRIMONIALE!$AV176:AX$1003,3,FALSE)</f>
        <v>#N/A</v>
      </c>
      <c r="AP124" s="310" t="e">
        <f>VLOOKUP($AM124,PATRIMONIALE!$AV176:AY$1003,4,FALSE)</f>
        <v>#N/A</v>
      </c>
      <c r="AQ124" s="748" t="e">
        <f>VLOOKUP($AM124,PATRIMONIALE!$AV176:AZ$1003,5,FALSE)</f>
        <v>#N/A</v>
      </c>
      <c r="AR124" s="1"/>
      <c r="AS124" s="461" t="str">
        <f t="shared" si="30"/>
        <v/>
      </c>
      <c r="AT124" s="370"/>
    </row>
    <row r="125" spans="1:46" ht="16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435">
        <f>IF(AND(W125&gt;=$U$1,W125&lt;=$U$2),IF(X125='ESTRATTO CONTO'!$E$2,1+COUNTIF(U$4:U124,"&gt;0"),0),0)</f>
        <v>0</v>
      </c>
      <c r="V125" s="417">
        <f t="shared" si="31"/>
        <v>122</v>
      </c>
      <c r="W125" s="509"/>
      <c r="X125" s="321"/>
      <c r="Y125" s="321"/>
      <c r="Z125" s="433"/>
      <c r="AA125" s="356"/>
      <c r="AB125" s="306" t="str">
        <f t="shared" si="26"/>
        <v/>
      </c>
      <c r="AC125" s="893">
        <f t="shared" si="27"/>
        <v>0</v>
      </c>
      <c r="AD125" s="322"/>
      <c r="AE125" s="1"/>
      <c r="AF125" s="223">
        <f>IF(ISBLANK(AD125),0,COUNTIF(AF$4:AF124,"&gt;0")+1)</f>
        <v>0</v>
      </c>
      <c r="AG125" s="164">
        <f t="shared" si="33"/>
        <v>0</v>
      </c>
      <c r="AH125" s="99">
        <f t="shared" si="28"/>
        <v>0</v>
      </c>
      <c r="AI125" s="99">
        <f t="shared" si="34"/>
        <v>0</v>
      </c>
      <c r="AJ125" s="170">
        <f t="shared" si="35"/>
        <v>0</v>
      </c>
      <c r="AK125" s="204">
        <f t="shared" si="29"/>
        <v>0</v>
      </c>
      <c r="AL125" s="1049">
        <f>IF(ISERROR(AO125),0,IF(AND(AN125&gt;=$U$1,AN125&lt;=$U$2),IF(AO125='ESTRATTO CONTO'!$E$2,1+COUNTIF(AL$4:AL124,"&gt;0")+U$1009,0),0))</f>
        <v>0</v>
      </c>
      <c r="AM125" s="747">
        <f t="shared" si="32"/>
        <v>122</v>
      </c>
      <c r="AN125" s="164" t="e">
        <f>VLOOKUP($AM125,PATRIMONIALE!$AV177:AW$1003,2,FALSE)</f>
        <v>#N/A</v>
      </c>
      <c r="AO125" s="310" t="e">
        <f>VLOOKUP($AM125,PATRIMONIALE!$AV177:AX$1003,3,FALSE)</f>
        <v>#N/A</v>
      </c>
      <c r="AP125" s="310" t="e">
        <f>VLOOKUP($AM125,PATRIMONIALE!$AV177:AY$1003,4,FALSE)</f>
        <v>#N/A</v>
      </c>
      <c r="AQ125" s="748" t="e">
        <f>VLOOKUP($AM125,PATRIMONIALE!$AV177:AZ$1003,5,FALSE)</f>
        <v>#N/A</v>
      </c>
      <c r="AR125" s="1"/>
      <c r="AS125" s="461" t="str">
        <f t="shared" si="30"/>
        <v/>
      </c>
      <c r="AT125" s="370"/>
    </row>
    <row r="126" spans="1:46" ht="16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435">
        <f>IF(AND(W126&gt;=$U$1,W126&lt;=$U$2),IF(X126='ESTRATTO CONTO'!$E$2,1+COUNTIF(U$4:U125,"&gt;0"),0),0)</f>
        <v>0</v>
      </c>
      <c r="V126" s="417">
        <f t="shared" si="31"/>
        <v>123</v>
      </c>
      <c r="W126" s="509"/>
      <c r="X126" s="321"/>
      <c r="Y126" s="321"/>
      <c r="Z126" s="433"/>
      <c r="AA126" s="356"/>
      <c r="AB126" s="306" t="str">
        <f t="shared" si="26"/>
        <v/>
      </c>
      <c r="AC126" s="893">
        <f t="shared" si="27"/>
        <v>0</v>
      </c>
      <c r="AD126" s="322"/>
      <c r="AE126" s="1"/>
      <c r="AF126" s="223">
        <f>IF(ISBLANK(AD126),0,COUNTIF(AF$4:AF125,"&gt;0")+1)</f>
        <v>0</v>
      </c>
      <c r="AG126" s="164">
        <f t="shared" si="33"/>
        <v>0</v>
      </c>
      <c r="AH126" s="99">
        <f t="shared" si="28"/>
        <v>0</v>
      </c>
      <c r="AI126" s="99">
        <f t="shared" si="34"/>
        <v>0</v>
      </c>
      <c r="AJ126" s="170">
        <f t="shared" si="35"/>
        <v>0</v>
      </c>
      <c r="AK126" s="204">
        <f t="shared" si="29"/>
        <v>0</v>
      </c>
      <c r="AL126" s="1049">
        <f>IF(ISERROR(AO126),0,IF(AND(AN126&gt;=$U$1,AN126&lt;=$U$2),IF(AO126='ESTRATTO CONTO'!$E$2,1+COUNTIF(AL$4:AL125,"&gt;0")+U$1009,0),0))</f>
        <v>0</v>
      </c>
      <c r="AM126" s="747">
        <f t="shared" si="32"/>
        <v>123</v>
      </c>
      <c r="AN126" s="164" t="e">
        <f>VLOOKUP($AM126,PATRIMONIALE!$AV178:AW$1003,2,FALSE)</f>
        <v>#N/A</v>
      </c>
      <c r="AO126" s="310" t="e">
        <f>VLOOKUP($AM126,PATRIMONIALE!$AV178:AX$1003,3,FALSE)</f>
        <v>#N/A</v>
      </c>
      <c r="AP126" s="310" t="e">
        <f>VLOOKUP($AM126,PATRIMONIALE!$AV178:AY$1003,4,FALSE)</f>
        <v>#N/A</v>
      </c>
      <c r="AQ126" s="748" t="e">
        <f>VLOOKUP($AM126,PATRIMONIALE!$AV178:AZ$1003,5,FALSE)</f>
        <v>#N/A</v>
      </c>
      <c r="AR126" s="1"/>
      <c r="AS126" s="461" t="str">
        <f t="shared" si="30"/>
        <v/>
      </c>
      <c r="AT126" s="370"/>
    </row>
    <row r="127" spans="1:46" ht="16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435">
        <f>IF(AND(W127&gt;=$U$1,W127&lt;=$U$2),IF(X127='ESTRATTO CONTO'!$E$2,1+COUNTIF(U$4:U126,"&gt;0"),0),0)</f>
        <v>0</v>
      </c>
      <c r="V127" s="417">
        <f t="shared" si="31"/>
        <v>124</v>
      </c>
      <c r="W127" s="509"/>
      <c r="X127" s="321"/>
      <c r="Y127" s="321"/>
      <c r="Z127" s="433"/>
      <c r="AA127" s="356"/>
      <c r="AB127" s="306" t="str">
        <f t="shared" si="26"/>
        <v/>
      </c>
      <c r="AC127" s="893">
        <f t="shared" si="27"/>
        <v>0</v>
      </c>
      <c r="AD127" s="322"/>
      <c r="AE127" s="1"/>
      <c r="AF127" s="223">
        <f>IF(ISBLANK(AD127),0,COUNTIF(AF$4:AF126,"&gt;0")+1)</f>
        <v>0</v>
      </c>
      <c r="AG127" s="164">
        <f t="shared" si="33"/>
        <v>0</v>
      </c>
      <c r="AH127" s="99">
        <f t="shared" si="28"/>
        <v>0</v>
      </c>
      <c r="AI127" s="99">
        <f t="shared" si="34"/>
        <v>0</v>
      </c>
      <c r="AJ127" s="170">
        <f t="shared" si="35"/>
        <v>0</v>
      </c>
      <c r="AK127" s="204">
        <f t="shared" si="29"/>
        <v>0</v>
      </c>
      <c r="AL127" s="1049">
        <f>IF(ISERROR(AO127),0,IF(AND(AN127&gt;=$U$1,AN127&lt;=$U$2),IF(AO127='ESTRATTO CONTO'!$E$2,1+COUNTIF(AL$4:AL126,"&gt;0")+U$1009,0),0))</f>
        <v>0</v>
      </c>
      <c r="AM127" s="747">
        <f t="shared" si="32"/>
        <v>124</v>
      </c>
      <c r="AN127" s="164" t="e">
        <f>VLOOKUP($AM127,PATRIMONIALE!$AV179:AW$1003,2,FALSE)</f>
        <v>#N/A</v>
      </c>
      <c r="AO127" s="310" t="e">
        <f>VLOOKUP($AM127,PATRIMONIALE!$AV179:AX$1003,3,FALSE)</f>
        <v>#N/A</v>
      </c>
      <c r="AP127" s="310" t="e">
        <f>VLOOKUP($AM127,PATRIMONIALE!$AV179:AY$1003,4,FALSE)</f>
        <v>#N/A</v>
      </c>
      <c r="AQ127" s="748" t="e">
        <f>VLOOKUP($AM127,PATRIMONIALE!$AV179:AZ$1003,5,FALSE)</f>
        <v>#N/A</v>
      </c>
      <c r="AR127" s="1"/>
      <c r="AS127" s="461" t="str">
        <f t="shared" si="30"/>
        <v/>
      </c>
      <c r="AT127" s="370"/>
    </row>
    <row r="128" spans="1:46" ht="16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435">
        <f>IF(AND(W128&gt;=$U$1,W128&lt;=$U$2),IF(X128='ESTRATTO CONTO'!$E$2,1+COUNTIF(U$4:U127,"&gt;0"),0),0)</f>
        <v>0</v>
      </c>
      <c r="V128" s="417">
        <f t="shared" si="31"/>
        <v>125</v>
      </c>
      <c r="W128" s="509"/>
      <c r="X128" s="321"/>
      <c r="Y128" s="321"/>
      <c r="Z128" s="433"/>
      <c r="AA128" s="356"/>
      <c r="AB128" s="306" t="str">
        <f t="shared" si="26"/>
        <v/>
      </c>
      <c r="AC128" s="893">
        <f t="shared" si="27"/>
        <v>0</v>
      </c>
      <c r="AD128" s="322"/>
      <c r="AE128" s="1"/>
      <c r="AF128" s="223">
        <f>IF(ISBLANK(AD128),0,COUNTIF(AF$4:AF127,"&gt;0")+1)</f>
        <v>0</v>
      </c>
      <c r="AG128" s="164">
        <f t="shared" si="33"/>
        <v>0</v>
      </c>
      <c r="AH128" s="99">
        <f t="shared" si="28"/>
        <v>0</v>
      </c>
      <c r="AI128" s="99">
        <f t="shared" si="34"/>
        <v>0</v>
      </c>
      <c r="AJ128" s="170">
        <f t="shared" si="35"/>
        <v>0</v>
      </c>
      <c r="AK128" s="204">
        <f t="shared" si="29"/>
        <v>0</v>
      </c>
      <c r="AL128" s="1049">
        <f>IF(ISERROR(AO128),0,IF(AND(AN128&gt;=$U$1,AN128&lt;=$U$2),IF(AO128='ESTRATTO CONTO'!$E$2,1+COUNTIF(AL$4:AL127,"&gt;0")+U$1009,0),0))</f>
        <v>0</v>
      </c>
      <c r="AM128" s="747">
        <f t="shared" si="32"/>
        <v>125</v>
      </c>
      <c r="AN128" s="164" t="e">
        <f>VLOOKUP($AM128,PATRIMONIALE!$AV180:AW$1003,2,FALSE)</f>
        <v>#N/A</v>
      </c>
      <c r="AO128" s="310" t="e">
        <f>VLOOKUP($AM128,PATRIMONIALE!$AV180:AX$1003,3,FALSE)</f>
        <v>#N/A</v>
      </c>
      <c r="AP128" s="310" t="e">
        <f>VLOOKUP($AM128,PATRIMONIALE!$AV180:AY$1003,4,FALSE)</f>
        <v>#N/A</v>
      </c>
      <c r="AQ128" s="748" t="e">
        <f>VLOOKUP($AM128,PATRIMONIALE!$AV180:AZ$1003,5,FALSE)</f>
        <v>#N/A</v>
      </c>
      <c r="AR128" s="1"/>
      <c r="AS128" s="461" t="str">
        <f t="shared" si="30"/>
        <v/>
      </c>
      <c r="AT128" s="370"/>
    </row>
    <row r="129" spans="1:46" ht="16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435">
        <f>IF(AND(W129&gt;=$U$1,W129&lt;=$U$2),IF(X129='ESTRATTO CONTO'!$E$2,1+COUNTIF(U$4:U128,"&gt;0"),0),0)</f>
        <v>0</v>
      </c>
      <c r="V129" s="417">
        <f t="shared" si="31"/>
        <v>126</v>
      </c>
      <c r="W129" s="509"/>
      <c r="X129" s="321"/>
      <c r="Y129" s="321"/>
      <c r="Z129" s="433"/>
      <c r="AA129" s="356"/>
      <c r="AB129" s="306" t="str">
        <f t="shared" si="26"/>
        <v/>
      </c>
      <c r="AC129" s="893">
        <f t="shared" si="27"/>
        <v>0</v>
      </c>
      <c r="AD129" s="322"/>
      <c r="AE129" s="1"/>
      <c r="AF129" s="223">
        <f>IF(ISBLANK(AD129),0,COUNTIF(AF$4:AF128,"&gt;0")+1)</f>
        <v>0</v>
      </c>
      <c r="AG129" s="164">
        <f t="shared" si="33"/>
        <v>0</v>
      </c>
      <c r="AH129" s="99">
        <f t="shared" si="28"/>
        <v>0</v>
      </c>
      <c r="AI129" s="99">
        <f t="shared" si="34"/>
        <v>0</v>
      </c>
      <c r="AJ129" s="170">
        <f t="shared" si="35"/>
        <v>0</v>
      </c>
      <c r="AK129" s="204">
        <f t="shared" si="29"/>
        <v>0</v>
      </c>
      <c r="AL129" s="1049">
        <f>IF(ISERROR(AO129),0,IF(AND(AN129&gt;=$U$1,AN129&lt;=$U$2),IF(AO129='ESTRATTO CONTO'!$E$2,1+COUNTIF(AL$4:AL128,"&gt;0")+U$1009,0),0))</f>
        <v>0</v>
      </c>
      <c r="AM129" s="747">
        <f t="shared" si="32"/>
        <v>126</v>
      </c>
      <c r="AN129" s="164" t="e">
        <f>VLOOKUP($AM129,PATRIMONIALE!$AV181:AW$1003,2,FALSE)</f>
        <v>#N/A</v>
      </c>
      <c r="AO129" s="310" t="e">
        <f>VLOOKUP($AM129,PATRIMONIALE!$AV181:AX$1003,3,FALSE)</f>
        <v>#N/A</v>
      </c>
      <c r="AP129" s="310" t="e">
        <f>VLOOKUP($AM129,PATRIMONIALE!$AV181:AY$1003,4,FALSE)</f>
        <v>#N/A</v>
      </c>
      <c r="AQ129" s="748" t="e">
        <f>VLOOKUP($AM129,PATRIMONIALE!$AV181:AZ$1003,5,FALSE)</f>
        <v>#N/A</v>
      </c>
      <c r="AR129" s="1"/>
      <c r="AS129" s="461" t="str">
        <f t="shared" si="30"/>
        <v/>
      </c>
      <c r="AT129" s="370"/>
    </row>
    <row r="130" spans="1:46" ht="16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435">
        <f>IF(AND(W130&gt;=$U$1,W130&lt;=$U$2),IF(X130='ESTRATTO CONTO'!$E$2,1+COUNTIF(U$4:U129,"&gt;0"),0),0)</f>
        <v>0</v>
      </c>
      <c r="V130" s="417">
        <f t="shared" si="31"/>
        <v>127</v>
      </c>
      <c r="W130" s="509"/>
      <c r="X130" s="321"/>
      <c r="Y130" s="321"/>
      <c r="Z130" s="433"/>
      <c r="AA130" s="356"/>
      <c r="AB130" s="306" t="str">
        <f t="shared" si="26"/>
        <v/>
      </c>
      <c r="AC130" s="893">
        <f t="shared" si="27"/>
        <v>0</v>
      </c>
      <c r="AD130" s="322"/>
      <c r="AE130" s="1"/>
      <c r="AF130" s="223">
        <f>IF(ISBLANK(AD130),0,COUNTIF(AF$4:AF129,"&gt;0")+1)</f>
        <v>0</v>
      </c>
      <c r="AG130" s="164">
        <f t="shared" si="33"/>
        <v>0</v>
      </c>
      <c r="AH130" s="99">
        <f t="shared" si="28"/>
        <v>0</v>
      </c>
      <c r="AI130" s="99">
        <f t="shared" si="34"/>
        <v>0</v>
      </c>
      <c r="AJ130" s="170">
        <f t="shared" si="35"/>
        <v>0</v>
      </c>
      <c r="AK130" s="204">
        <f t="shared" si="29"/>
        <v>0</v>
      </c>
      <c r="AL130" s="1049">
        <f>IF(ISERROR(AO130),0,IF(AND(AN130&gt;=$U$1,AN130&lt;=$U$2),IF(AO130='ESTRATTO CONTO'!$E$2,1+COUNTIF(AL$4:AL129,"&gt;0")+U$1009,0),0))</f>
        <v>0</v>
      </c>
      <c r="AM130" s="747">
        <f t="shared" si="32"/>
        <v>127</v>
      </c>
      <c r="AN130" s="164" t="e">
        <f>VLOOKUP($AM130,PATRIMONIALE!$AV182:AW$1003,2,FALSE)</f>
        <v>#N/A</v>
      </c>
      <c r="AO130" s="310" t="e">
        <f>VLOOKUP($AM130,PATRIMONIALE!$AV182:AX$1003,3,FALSE)</f>
        <v>#N/A</v>
      </c>
      <c r="AP130" s="310" t="e">
        <f>VLOOKUP($AM130,PATRIMONIALE!$AV182:AY$1003,4,FALSE)</f>
        <v>#N/A</v>
      </c>
      <c r="AQ130" s="748" t="e">
        <f>VLOOKUP($AM130,PATRIMONIALE!$AV182:AZ$1003,5,FALSE)</f>
        <v>#N/A</v>
      </c>
      <c r="AR130" s="1"/>
      <c r="AS130" s="461" t="str">
        <f t="shared" si="30"/>
        <v/>
      </c>
      <c r="AT130" s="370"/>
    </row>
    <row r="131" spans="1:46" ht="16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435">
        <f>IF(AND(W131&gt;=$U$1,W131&lt;=$U$2),IF(X131='ESTRATTO CONTO'!$E$2,1+COUNTIF(U$4:U130,"&gt;0"),0),0)</f>
        <v>0</v>
      </c>
      <c r="V131" s="417">
        <f t="shared" si="31"/>
        <v>128</v>
      </c>
      <c r="W131" s="509"/>
      <c r="X131" s="321"/>
      <c r="Y131" s="321"/>
      <c r="Z131" s="433"/>
      <c r="AA131" s="356"/>
      <c r="AB131" s="306" t="str">
        <f t="shared" si="26"/>
        <v/>
      </c>
      <c r="AC131" s="893">
        <f t="shared" si="27"/>
        <v>0</v>
      </c>
      <c r="AD131" s="322"/>
      <c r="AE131" s="1"/>
      <c r="AF131" s="223">
        <f>IF(ISBLANK(AD131),0,COUNTIF(AF$4:AF130,"&gt;0")+1)</f>
        <v>0</v>
      </c>
      <c r="AG131" s="164">
        <f t="shared" si="33"/>
        <v>0</v>
      </c>
      <c r="AH131" s="99">
        <f t="shared" si="28"/>
        <v>0</v>
      </c>
      <c r="AI131" s="99">
        <f t="shared" si="34"/>
        <v>0</v>
      </c>
      <c r="AJ131" s="170">
        <f t="shared" si="35"/>
        <v>0</v>
      </c>
      <c r="AK131" s="204">
        <f t="shared" si="29"/>
        <v>0</v>
      </c>
      <c r="AL131" s="1049">
        <f>IF(ISERROR(AO131),0,IF(AND(AN131&gt;=$U$1,AN131&lt;=$U$2),IF(AO131='ESTRATTO CONTO'!$E$2,1+COUNTIF(AL$4:AL130,"&gt;0")+U$1009,0),0))</f>
        <v>0</v>
      </c>
      <c r="AM131" s="747">
        <f t="shared" si="32"/>
        <v>128</v>
      </c>
      <c r="AN131" s="164" t="e">
        <f>VLOOKUP($AM131,PATRIMONIALE!$AV183:AW$1003,2,FALSE)</f>
        <v>#N/A</v>
      </c>
      <c r="AO131" s="310" t="e">
        <f>VLOOKUP($AM131,PATRIMONIALE!$AV183:AX$1003,3,FALSE)</f>
        <v>#N/A</v>
      </c>
      <c r="AP131" s="310" t="e">
        <f>VLOOKUP($AM131,PATRIMONIALE!$AV183:AY$1003,4,FALSE)</f>
        <v>#N/A</v>
      </c>
      <c r="AQ131" s="748" t="e">
        <f>VLOOKUP($AM131,PATRIMONIALE!$AV183:AZ$1003,5,FALSE)</f>
        <v>#N/A</v>
      </c>
      <c r="AR131" s="1"/>
      <c r="AS131" s="461" t="str">
        <f t="shared" si="30"/>
        <v/>
      </c>
      <c r="AT131" s="370"/>
    </row>
    <row r="132" spans="1:46" ht="16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435">
        <f>IF(AND(W132&gt;=$U$1,W132&lt;=$U$2),IF(X132='ESTRATTO CONTO'!$E$2,1+COUNTIF(U$4:U131,"&gt;0"),0),0)</f>
        <v>0</v>
      </c>
      <c r="V132" s="417">
        <f t="shared" si="31"/>
        <v>129</v>
      </c>
      <c r="W132" s="509"/>
      <c r="X132" s="321"/>
      <c r="Y132" s="321"/>
      <c r="Z132" s="433"/>
      <c r="AA132" s="356"/>
      <c r="AB132" s="306" t="str">
        <f t="shared" ref="AB132:AB195" si="36">IF(X132="","",IF(W132&gt;0,IF(AND(W132&gt;=W$1012,W132&lt;=W$1013),CONCATENATE(X132,"-",MONTH(W132)),0),""))</f>
        <v/>
      </c>
      <c r="AC132" s="893">
        <f t="shared" ref="AC132:AC195" si="37">IF(AD132="",0,VLOOKUP(AD132,$AD$1025:$AD$1038,1,FALSE))</f>
        <v>0</v>
      </c>
      <c r="AD132" s="322"/>
      <c r="AE132" s="1"/>
      <c r="AF132" s="223">
        <f>IF(ISBLANK(AD132),0,COUNTIF(AF$4:AF131,"&gt;0")+1)</f>
        <v>0</v>
      </c>
      <c r="AG132" s="164">
        <f t="shared" si="33"/>
        <v>0</v>
      </c>
      <c r="AH132" s="99">
        <f t="shared" ref="AH132:AH195" si="38">IF($AF132=0,0,VLOOKUP(AD132,$AD$1025:$AH$1038,5,FALSE))</f>
        <v>0</v>
      </c>
      <c r="AI132" s="99">
        <f t="shared" si="34"/>
        <v>0</v>
      </c>
      <c r="AJ132" s="170">
        <f t="shared" si="35"/>
        <v>0</v>
      </c>
      <c r="AK132" s="204">
        <f t="shared" ref="AK132:AK195" si="39">X132</f>
        <v>0</v>
      </c>
      <c r="AL132" s="1049">
        <f>IF(ISERROR(AO132),0,IF(AND(AN132&gt;=$U$1,AN132&lt;=$U$2),IF(AO132='ESTRATTO CONTO'!$E$2,1+COUNTIF(AL$4:AL131,"&gt;0")+U$1009,0),0))</f>
        <v>0</v>
      </c>
      <c r="AM132" s="747">
        <f t="shared" si="32"/>
        <v>129</v>
      </c>
      <c r="AN132" s="164" t="e">
        <f>VLOOKUP($AM132,PATRIMONIALE!$AV184:AW$1003,2,FALSE)</f>
        <v>#N/A</v>
      </c>
      <c r="AO132" s="310" t="e">
        <f>VLOOKUP($AM132,PATRIMONIALE!$AV184:AX$1003,3,FALSE)</f>
        <v>#N/A</v>
      </c>
      <c r="AP132" s="310" t="e">
        <f>VLOOKUP($AM132,PATRIMONIALE!$AV184:AY$1003,4,FALSE)</f>
        <v>#N/A</v>
      </c>
      <c r="AQ132" s="748" t="e">
        <f>VLOOKUP($AM132,PATRIMONIALE!$AV184:AZ$1003,5,FALSE)</f>
        <v>#N/A</v>
      </c>
      <c r="AR132" s="1"/>
      <c r="AS132" s="461" t="str">
        <f t="shared" ref="AS132:AS195" si="40">IF(X132="","",IF(ISERROR(VLOOKUP(X132,B$9:E$13,1,FALSE)),1,0))</f>
        <v/>
      </c>
      <c r="AT132" s="370"/>
    </row>
    <row r="133" spans="1:46" ht="16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435">
        <f>IF(AND(W133&gt;=$U$1,W133&lt;=$U$2),IF(X133='ESTRATTO CONTO'!$E$2,1+COUNTIF(U$4:U132,"&gt;0"),0),0)</f>
        <v>0</v>
      </c>
      <c r="V133" s="417">
        <f t="shared" si="31"/>
        <v>130</v>
      </c>
      <c r="W133" s="509"/>
      <c r="X133" s="321"/>
      <c r="Y133" s="321"/>
      <c r="Z133" s="433"/>
      <c r="AA133" s="356"/>
      <c r="AB133" s="306" t="str">
        <f t="shared" si="36"/>
        <v/>
      </c>
      <c r="AC133" s="893">
        <f t="shared" si="37"/>
        <v>0</v>
      </c>
      <c r="AD133" s="322"/>
      <c r="AE133" s="1"/>
      <c r="AF133" s="223">
        <f>IF(ISBLANK(AD133),0,COUNTIF(AF$4:AF132,"&gt;0")+1)</f>
        <v>0</v>
      </c>
      <c r="AG133" s="164">
        <f t="shared" si="33"/>
        <v>0</v>
      </c>
      <c r="AH133" s="99">
        <f t="shared" si="38"/>
        <v>0</v>
      </c>
      <c r="AI133" s="99">
        <f t="shared" si="34"/>
        <v>0</v>
      </c>
      <c r="AJ133" s="170">
        <f t="shared" si="35"/>
        <v>0</v>
      </c>
      <c r="AK133" s="204">
        <f t="shared" si="39"/>
        <v>0</v>
      </c>
      <c r="AL133" s="1049">
        <f>IF(ISERROR(AO133),0,IF(AND(AN133&gt;=$U$1,AN133&lt;=$U$2),IF(AO133='ESTRATTO CONTO'!$E$2,1+COUNTIF(AL$4:AL132,"&gt;0")+U$1009,0),0))</f>
        <v>0</v>
      </c>
      <c r="AM133" s="747">
        <f t="shared" si="32"/>
        <v>130</v>
      </c>
      <c r="AN133" s="164" t="e">
        <f>VLOOKUP($AM133,PATRIMONIALE!$AV185:AW$1003,2,FALSE)</f>
        <v>#N/A</v>
      </c>
      <c r="AO133" s="310" t="e">
        <f>VLOOKUP($AM133,PATRIMONIALE!$AV185:AX$1003,3,FALSE)</f>
        <v>#N/A</v>
      </c>
      <c r="AP133" s="310" t="e">
        <f>VLOOKUP($AM133,PATRIMONIALE!$AV185:AY$1003,4,FALSE)</f>
        <v>#N/A</v>
      </c>
      <c r="AQ133" s="748" t="e">
        <f>VLOOKUP($AM133,PATRIMONIALE!$AV185:AZ$1003,5,FALSE)</f>
        <v>#N/A</v>
      </c>
      <c r="AR133" s="1"/>
      <c r="AS133" s="461" t="str">
        <f t="shared" si="40"/>
        <v/>
      </c>
      <c r="AT133" s="370"/>
    </row>
    <row r="134" spans="1:46" ht="16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435">
        <f>IF(AND(W134&gt;=$U$1,W134&lt;=$U$2),IF(X134='ESTRATTO CONTO'!$E$2,1+COUNTIF(U$4:U133,"&gt;0"),0),0)</f>
        <v>0</v>
      </c>
      <c r="V134" s="417">
        <f t="shared" ref="V134:V197" si="41">V133+1</f>
        <v>131</v>
      </c>
      <c r="W134" s="509"/>
      <c r="X134" s="321"/>
      <c r="Y134" s="321"/>
      <c r="Z134" s="433"/>
      <c r="AA134" s="356"/>
      <c r="AB134" s="306" t="str">
        <f t="shared" si="36"/>
        <v/>
      </c>
      <c r="AC134" s="893">
        <f t="shared" si="37"/>
        <v>0</v>
      </c>
      <c r="AD134" s="322"/>
      <c r="AE134" s="1"/>
      <c r="AF134" s="223">
        <f>IF(ISBLANK(AD134),0,COUNTIF(AF$4:AF133,"&gt;0")+1)</f>
        <v>0</v>
      </c>
      <c r="AG134" s="164">
        <f t="shared" si="33"/>
        <v>0</v>
      </c>
      <c r="AH134" s="99">
        <f t="shared" si="38"/>
        <v>0</v>
      </c>
      <c r="AI134" s="99">
        <f t="shared" si="34"/>
        <v>0</v>
      </c>
      <c r="AJ134" s="170">
        <f t="shared" si="35"/>
        <v>0</v>
      </c>
      <c r="AK134" s="204">
        <f t="shared" si="39"/>
        <v>0</v>
      </c>
      <c r="AL134" s="1049">
        <f>IF(ISERROR(AO134),0,IF(AND(AN134&gt;=$U$1,AN134&lt;=$U$2),IF(AO134='ESTRATTO CONTO'!$E$2,1+COUNTIF(AL$4:AL133,"&gt;0")+U$1009,0),0))</f>
        <v>0</v>
      </c>
      <c r="AM134" s="747">
        <f t="shared" ref="AM134:AM197" si="42">AM133+1</f>
        <v>131</v>
      </c>
      <c r="AN134" s="164" t="e">
        <f>VLOOKUP($AM134,PATRIMONIALE!$AV186:AW$1003,2,FALSE)</f>
        <v>#N/A</v>
      </c>
      <c r="AO134" s="310" t="e">
        <f>VLOOKUP($AM134,PATRIMONIALE!$AV186:AX$1003,3,FALSE)</f>
        <v>#N/A</v>
      </c>
      <c r="AP134" s="310" t="e">
        <f>VLOOKUP($AM134,PATRIMONIALE!$AV186:AY$1003,4,FALSE)</f>
        <v>#N/A</v>
      </c>
      <c r="AQ134" s="748" t="e">
        <f>VLOOKUP($AM134,PATRIMONIALE!$AV186:AZ$1003,5,FALSE)</f>
        <v>#N/A</v>
      </c>
      <c r="AR134" s="1"/>
      <c r="AS134" s="461" t="str">
        <f t="shared" si="40"/>
        <v/>
      </c>
      <c r="AT134" s="370"/>
    </row>
    <row r="135" spans="1:46" ht="16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435">
        <f>IF(AND(W135&gt;=$U$1,W135&lt;=$U$2),IF(X135='ESTRATTO CONTO'!$E$2,1+COUNTIF(U$4:U134,"&gt;0"),0),0)</f>
        <v>0</v>
      </c>
      <c r="V135" s="417">
        <f t="shared" si="41"/>
        <v>132</v>
      </c>
      <c r="W135" s="509"/>
      <c r="X135" s="321"/>
      <c r="Y135" s="321"/>
      <c r="Z135" s="433"/>
      <c r="AA135" s="356"/>
      <c r="AB135" s="306" t="str">
        <f t="shared" si="36"/>
        <v/>
      </c>
      <c r="AC135" s="893">
        <f t="shared" si="37"/>
        <v>0</v>
      </c>
      <c r="AD135" s="322"/>
      <c r="AE135" s="1"/>
      <c r="AF135" s="223">
        <f>IF(ISBLANK(AD135),0,COUNTIF(AF$4:AF134,"&gt;0")+1)</f>
        <v>0</v>
      </c>
      <c r="AG135" s="164">
        <f t="shared" si="33"/>
        <v>0</v>
      </c>
      <c r="AH135" s="99">
        <f t="shared" si="38"/>
        <v>0</v>
      </c>
      <c r="AI135" s="99">
        <f t="shared" si="34"/>
        <v>0</v>
      </c>
      <c r="AJ135" s="170">
        <f t="shared" si="35"/>
        <v>0</v>
      </c>
      <c r="AK135" s="204">
        <f t="shared" si="39"/>
        <v>0</v>
      </c>
      <c r="AL135" s="1049">
        <f>IF(ISERROR(AO135),0,IF(AND(AN135&gt;=$U$1,AN135&lt;=$U$2),IF(AO135='ESTRATTO CONTO'!$E$2,1+COUNTIF(AL$4:AL134,"&gt;0")+U$1009,0),0))</f>
        <v>0</v>
      </c>
      <c r="AM135" s="747">
        <f t="shared" si="42"/>
        <v>132</v>
      </c>
      <c r="AN135" s="164" t="e">
        <f>VLOOKUP($AM135,PATRIMONIALE!$AV187:AW$1003,2,FALSE)</f>
        <v>#N/A</v>
      </c>
      <c r="AO135" s="310" t="e">
        <f>VLOOKUP($AM135,PATRIMONIALE!$AV187:AX$1003,3,FALSE)</f>
        <v>#N/A</v>
      </c>
      <c r="AP135" s="310" t="e">
        <f>VLOOKUP($AM135,PATRIMONIALE!$AV187:AY$1003,4,FALSE)</f>
        <v>#N/A</v>
      </c>
      <c r="AQ135" s="748" t="e">
        <f>VLOOKUP($AM135,PATRIMONIALE!$AV187:AZ$1003,5,FALSE)</f>
        <v>#N/A</v>
      </c>
      <c r="AR135" s="1"/>
      <c r="AS135" s="461" t="str">
        <f t="shared" si="40"/>
        <v/>
      </c>
      <c r="AT135" s="370"/>
    </row>
    <row r="136" spans="1:46" ht="16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435">
        <f>IF(AND(W136&gt;=$U$1,W136&lt;=$U$2),IF(X136='ESTRATTO CONTO'!$E$2,1+COUNTIF(U$4:U135,"&gt;0"),0),0)</f>
        <v>0</v>
      </c>
      <c r="V136" s="417">
        <f t="shared" si="41"/>
        <v>133</v>
      </c>
      <c r="W136" s="509"/>
      <c r="X136" s="321"/>
      <c r="Y136" s="321"/>
      <c r="Z136" s="433"/>
      <c r="AA136" s="356"/>
      <c r="AB136" s="306" t="str">
        <f t="shared" si="36"/>
        <v/>
      </c>
      <c r="AC136" s="893">
        <f t="shared" si="37"/>
        <v>0</v>
      </c>
      <c r="AD136" s="322"/>
      <c r="AE136" s="1"/>
      <c r="AF136" s="223">
        <f>IF(ISBLANK(AD136),0,COUNTIF(AF$4:AF135,"&gt;0")+1)</f>
        <v>0</v>
      </c>
      <c r="AG136" s="164">
        <f t="shared" si="33"/>
        <v>0</v>
      </c>
      <c r="AH136" s="99">
        <f t="shared" si="38"/>
        <v>0</v>
      </c>
      <c r="AI136" s="99">
        <f t="shared" si="34"/>
        <v>0</v>
      </c>
      <c r="AJ136" s="170">
        <f t="shared" si="35"/>
        <v>0</v>
      </c>
      <c r="AK136" s="204">
        <f t="shared" si="39"/>
        <v>0</v>
      </c>
      <c r="AL136" s="1049">
        <f>IF(ISERROR(AO136),0,IF(AND(AN136&gt;=$U$1,AN136&lt;=$U$2),IF(AO136='ESTRATTO CONTO'!$E$2,1+COUNTIF(AL$4:AL135,"&gt;0")+U$1009,0),0))</f>
        <v>0</v>
      </c>
      <c r="AM136" s="747">
        <f t="shared" si="42"/>
        <v>133</v>
      </c>
      <c r="AN136" s="164" t="e">
        <f>VLOOKUP($AM136,PATRIMONIALE!$AV188:AW$1003,2,FALSE)</f>
        <v>#N/A</v>
      </c>
      <c r="AO136" s="310" t="e">
        <f>VLOOKUP($AM136,PATRIMONIALE!$AV188:AX$1003,3,FALSE)</f>
        <v>#N/A</v>
      </c>
      <c r="AP136" s="310" t="e">
        <f>VLOOKUP($AM136,PATRIMONIALE!$AV188:AY$1003,4,FALSE)</f>
        <v>#N/A</v>
      </c>
      <c r="AQ136" s="748" t="e">
        <f>VLOOKUP($AM136,PATRIMONIALE!$AV188:AZ$1003,5,FALSE)</f>
        <v>#N/A</v>
      </c>
      <c r="AR136" s="1"/>
      <c r="AS136" s="461" t="str">
        <f t="shared" si="40"/>
        <v/>
      </c>
      <c r="AT136" s="370"/>
    </row>
    <row r="137" spans="1:46" ht="16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435">
        <f>IF(AND(W137&gt;=$U$1,W137&lt;=$U$2),IF(X137='ESTRATTO CONTO'!$E$2,1+COUNTIF(U$4:U136,"&gt;0"),0),0)</f>
        <v>0</v>
      </c>
      <c r="V137" s="417">
        <f t="shared" si="41"/>
        <v>134</v>
      </c>
      <c r="W137" s="509"/>
      <c r="X137" s="321"/>
      <c r="Y137" s="321"/>
      <c r="Z137" s="433"/>
      <c r="AA137" s="356"/>
      <c r="AB137" s="306" t="str">
        <f t="shared" si="36"/>
        <v/>
      </c>
      <c r="AC137" s="893">
        <f t="shared" si="37"/>
        <v>0</v>
      </c>
      <c r="AD137" s="322"/>
      <c r="AE137" s="1"/>
      <c r="AF137" s="223">
        <f>IF(ISBLANK(AD137),0,COUNTIF(AF$4:AF136,"&gt;0")+1)</f>
        <v>0</v>
      </c>
      <c r="AG137" s="164">
        <f t="shared" si="33"/>
        <v>0</v>
      </c>
      <c r="AH137" s="99">
        <f t="shared" si="38"/>
        <v>0</v>
      </c>
      <c r="AI137" s="99">
        <f t="shared" si="34"/>
        <v>0</v>
      </c>
      <c r="AJ137" s="170">
        <f t="shared" si="35"/>
        <v>0</v>
      </c>
      <c r="AK137" s="204">
        <f t="shared" si="39"/>
        <v>0</v>
      </c>
      <c r="AL137" s="1049">
        <f>IF(ISERROR(AO137),0,IF(AND(AN137&gt;=$U$1,AN137&lt;=$U$2),IF(AO137='ESTRATTO CONTO'!$E$2,1+COUNTIF(AL$4:AL136,"&gt;0")+U$1009,0),0))</f>
        <v>0</v>
      </c>
      <c r="AM137" s="747">
        <f t="shared" si="42"/>
        <v>134</v>
      </c>
      <c r="AN137" s="164" t="e">
        <f>VLOOKUP($AM137,PATRIMONIALE!$AV189:AW$1003,2,FALSE)</f>
        <v>#N/A</v>
      </c>
      <c r="AO137" s="310" t="e">
        <f>VLOOKUP($AM137,PATRIMONIALE!$AV189:AX$1003,3,FALSE)</f>
        <v>#N/A</v>
      </c>
      <c r="AP137" s="310" t="e">
        <f>VLOOKUP($AM137,PATRIMONIALE!$AV189:AY$1003,4,FALSE)</f>
        <v>#N/A</v>
      </c>
      <c r="AQ137" s="748" t="e">
        <f>VLOOKUP($AM137,PATRIMONIALE!$AV189:AZ$1003,5,FALSE)</f>
        <v>#N/A</v>
      </c>
      <c r="AR137" s="1"/>
      <c r="AS137" s="461" t="str">
        <f t="shared" si="40"/>
        <v/>
      </c>
      <c r="AT137" s="370"/>
    </row>
    <row r="138" spans="1:46" ht="16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435">
        <f>IF(AND(W138&gt;=$U$1,W138&lt;=$U$2),IF(X138='ESTRATTO CONTO'!$E$2,1+COUNTIF(U$4:U137,"&gt;0"),0),0)</f>
        <v>0</v>
      </c>
      <c r="V138" s="417">
        <f t="shared" si="41"/>
        <v>135</v>
      </c>
      <c r="W138" s="509"/>
      <c r="X138" s="321"/>
      <c r="Y138" s="321"/>
      <c r="Z138" s="433"/>
      <c r="AA138" s="356"/>
      <c r="AB138" s="306" t="str">
        <f t="shared" si="36"/>
        <v/>
      </c>
      <c r="AC138" s="893">
        <f t="shared" si="37"/>
        <v>0</v>
      </c>
      <c r="AD138" s="322"/>
      <c r="AE138" s="1"/>
      <c r="AF138" s="223">
        <f>IF(ISBLANK(AD138),0,COUNTIF(AF$4:AF137,"&gt;0")+1)</f>
        <v>0</v>
      </c>
      <c r="AG138" s="164">
        <f t="shared" ref="AG138:AG201" si="43">IF($AF138=0,0,W138)</f>
        <v>0</v>
      </c>
      <c r="AH138" s="99">
        <f t="shared" si="38"/>
        <v>0</v>
      </c>
      <c r="AI138" s="99">
        <f t="shared" ref="AI138:AI201" si="44">IF($AF138=0,0,Y138)</f>
        <v>0</v>
      </c>
      <c r="AJ138" s="170">
        <f t="shared" ref="AJ138:AJ201" si="45">IF($AF138=0,0,IF(RIGHT(AD138)="-",IF(Z138&gt;0,Z138*-1,Z138),Z138))</f>
        <v>0</v>
      </c>
      <c r="AK138" s="204">
        <f t="shared" si="39"/>
        <v>0</v>
      </c>
      <c r="AL138" s="1049">
        <f>IF(ISERROR(AO138),0,IF(AND(AN138&gt;=$U$1,AN138&lt;=$U$2),IF(AO138='ESTRATTO CONTO'!$E$2,1+COUNTIF(AL$4:AL137,"&gt;0")+U$1009,0),0))</f>
        <v>0</v>
      </c>
      <c r="AM138" s="747">
        <f t="shared" si="42"/>
        <v>135</v>
      </c>
      <c r="AN138" s="164" t="e">
        <f>VLOOKUP($AM138,PATRIMONIALE!$AV190:AW$1003,2,FALSE)</f>
        <v>#N/A</v>
      </c>
      <c r="AO138" s="310" t="e">
        <f>VLOOKUP($AM138,PATRIMONIALE!$AV190:AX$1003,3,FALSE)</f>
        <v>#N/A</v>
      </c>
      <c r="AP138" s="310" t="e">
        <f>VLOOKUP($AM138,PATRIMONIALE!$AV190:AY$1003,4,FALSE)</f>
        <v>#N/A</v>
      </c>
      <c r="AQ138" s="748" t="e">
        <f>VLOOKUP($AM138,PATRIMONIALE!$AV190:AZ$1003,5,FALSE)</f>
        <v>#N/A</v>
      </c>
      <c r="AR138" s="1"/>
      <c r="AS138" s="461" t="str">
        <f t="shared" si="40"/>
        <v/>
      </c>
      <c r="AT138" s="370"/>
    </row>
    <row r="139" spans="1:46" ht="16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435">
        <f>IF(AND(W139&gt;=$U$1,W139&lt;=$U$2),IF(X139='ESTRATTO CONTO'!$E$2,1+COUNTIF(U$4:U138,"&gt;0"),0),0)</f>
        <v>0</v>
      </c>
      <c r="V139" s="417">
        <f t="shared" si="41"/>
        <v>136</v>
      </c>
      <c r="W139" s="509"/>
      <c r="X139" s="321"/>
      <c r="Y139" s="321"/>
      <c r="Z139" s="433"/>
      <c r="AA139" s="356"/>
      <c r="AB139" s="306" t="str">
        <f t="shared" si="36"/>
        <v/>
      </c>
      <c r="AC139" s="893">
        <f t="shared" si="37"/>
        <v>0</v>
      </c>
      <c r="AD139" s="322"/>
      <c r="AE139" s="1"/>
      <c r="AF139" s="223">
        <f>IF(ISBLANK(AD139),0,COUNTIF(AF$4:AF138,"&gt;0")+1)</f>
        <v>0</v>
      </c>
      <c r="AG139" s="164">
        <f t="shared" si="43"/>
        <v>0</v>
      </c>
      <c r="AH139" s="99">
        <f t="shared" si="38"/>
        <v>0</v>
      </c>
      <c r="AI139" s="99">
        <f t="shared" si="44"/>
        <v>0</v>
      </c>
      <c r="AJ139" s="170">
        <f t="shared" si="45"/>
        <v>0</v>
      </c>
      <c r="AK139" s="204">
        <f t="shared" si="39"/>
        <v>0</v>
      </c>
      <c r="AL139" s="1049">
        <f>IF(ISERROR(AO139),0,IF(AND(AN139&gt;=$U$1,AN139&lt;=$U$2),IF(AO139='ESTRATTO CONTO'!$E$2,1+COUNTIF(AL$4:AL138,"&gt;0")+U$1009,0),0))</f>
        <v>0</v>
      </c>
      <c r="AM139" s="747">
        <f t="shared" si="42"/>
        <v>136</v>
      </c>
      <c r="AN139" s="164" t="e">
        <f>VLOOKUP($AM139,PATRIMONIALE!$AV191:AW$1003,2,FALSE)</f>
        <v>#N/A</v>
      </c>
      <c r="AO139" s="310" t="e">
        <f>VLOOKUP($AM139,PATRIMONIALE!$AV191:AX$1003,3,FALSE)</f>
        <v>#N/A</v>
      </c>
      <c r="AP139" s="310" t="e">
        <f>VLOOKUP($AM139,PATRIMONIALE!$AV191:AY$1003,4,FALSE)</f>
        <v>#N/A</v>
      </c>
      <c r="AQ139" s="748" t="e">
        <f>VLOOKUP($AM139,PATRIMONIALE!$AV191:AZ$1003,5,FALSE)</f>
        <v>#N/A</v>
      </c>
      <c r="AR139" s="1"/>
      <c r="AS139" s="461" t="str">
        <f t="shared" si="40"/>
        <v/>
      </c>
      <c r="AT139" s="370"/>
    </row>
    <row r="140" spans="1:46" ht="16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435">
        <f>IF(AND(W140&gt;=$U$1,W140&lt;=$U$2),IF(X140='ESTRATTO CONTO'!$E$2,1+COUNTIF(U$4:U139,"&gt;0"),0),0)</f>
        <v>0</v>
      </c>
      <c r="V140" s="417">
        <f t="shared" si="41"/>
        <v>137</v>
      </c>
      <c r="W140" s="509"/>
      <c r="X140" s="321"/>
      <c r="Y140" s="321"/>
      <c r="Z140" s="433"/>
      <c r="AA140" s="356"/>
      <c r="AB140" s="306" t="str">
        <f t="shared" si="36"/>
        <v/>
      </c>
      <c r="AC140" s="893">
        <f t="shared" si="37"/>
        <v>0</v>
      </c>
      <c r="AD140" s="322"/>
      <c r="AE140" s="1"/>
      <c r="AF140" s="223">
        <f>IF(ISBLANK(AD140),0,COUNTIF(AF$4:AF139,"&gt;0")+1)</f>
        <v>0</v>
      </c>
      <c r="AG140" s="164">
        <f t="shared" si="43"/>
        <v>0</v>
      </c>
      <c r="AH140" s="99">
        <f t="shared" si="38"/>
        <v>0</v>
      </c>
      <c r="AI140" s="99">
        <f t="shared" si="44"/>
        <v>0</v>
      </c>
      <c r="AJ140" s="170">
        <f t="shared" si="45"/>
        <v>0</v>
      </c>
      <c r="AK140" s="204">
        <f t="shared" si="39"/>
        <v>0</v>
      </c>
      <c r="AL140" s="1049">
        <f>IF(ISERROR(AO140),0,IF(AND(AN140&gt;=$U$1,AN140&lt;=$U$2),IF(AO140='ESTRATTO CONTO'!$E$2,1+COUNTIF(AL$4:AL139,"&gt;0")+U$1009,0),0))</f>
        <v>0</v>
      </c>
      <c r="AM140" s="747">
        <f t="shared" si="42"/>
        <v>137</v>
      </c>
      <c r="AN140" s="164" t="e">
        <f>VLOOKUP($AM140,PATRIMONIALE!$AV192:AW$1003,2,FALSE)</f>
        <v>#N/A</v>
      </c>
      <c r="AO140" s="310" t="e">
        <f>VLOOKUP($AM140,PATRIMONIALE!$AV192:AX$1003,3,FALSE)</f>
        <v>#N/A</v>
      </c>
      <c r="AP140" s="310" t="e">
        <f>VLOOKUP($AM140,PATRIMONIALE!$AV192:AY$1003,4,FALSE)</f>
        <v>#N/A</v>
      </c>
      <c r="AQ140" s="748" t="e">
        <f>VLOOKUP($AM140,PATRIMONIALE!$AV192:AZ$1003,5,FALSE)</f>
        <v>#N/A</v>
      </c>
      <c r="AR140" s="1"/>
      <c r="AS140" s="461" t="str">
        <f t="shared" si="40"/>
        <v/>
      </c>
      <c r="AT140" s="370"/>
    </row>
    <row r="141" spans="1:46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435">
        <f>IF(AND(W141&gt;=$U$1,W141&lt;=$U$2),IF(X141='ESTRATTO CONTO'!$E$2,1+COUNTIF(U$4:U140,"&gt;0"),0),0)</f>
        <v>0</v>
      </c>
      <c r="V141" s="417">
        <f t="shared" si="41"/>
        <v>138</v>
      </c>
      <c r="W141" s="509"/>
      <c r="X141" s="321"/>
      <c r="Y141" s="321"/>
      <c r="Z141" s="433"/>
      <c r="AA141" s="356"/>
      <c r="AB141" s="306" t="str">
        <f t="shared" si="36"/>
        <v/>
      </c>
      <c r="AC141" s="893">
        <f t="shared" si="37"/>
        <v>0</v>
      </c>
      <c r="AD141" s="322"/>
      <c r="AE141" s="1"/>
      <c r="AF141" s="223">
        <f>IF(ISBLANK(AD141),0,COUNTIF(AF$4:AF140,"&gt;0")+1)</f>
        <v>0</v>
      </c>
      <c r="AG141" s="164">
        <f t="shared" si="43"/>
        <v>0</v>
      </c>
      <c r="AH141" s="99">
        <f t="shared" si="38"/>
        <v>0</v>
      </c>
      <c r="AI141" s="99">
        <f t="shared" si="44"/>
        <v>0</v>
      </c>
      <c r="AJ141" s="170">
        <f t="shared" si="45"/>
        <v>0</v>
      </c>
      <c r="AK141" s="204">
        <f t="shared" si="39"/>
        <v>0</v>
      </c>
      <c r="AL141" s="1049">
        <f>IF(ISERROR(AO141),0,IF(AND(AN141&gt;=$U$1,AN141&lt;=$U$2),IF(AO141='ESTRATTO CONTO'!$E$2,1+COUNTIF(AL$4:AL140,"&gt;0")+U$1009,0),0))</f>
        <v>0</v>
      </c>
      <c r="AM141" s="747">
        <f t="shared" si="42"/>
        <v>138</v>
      </c>
      <c r="AN141" s="164" t="e">
        <f>VLOOKUP($AM141,PATRIMONIALE!$AV193:AW$1003,2,FALSE)</f>
        <v>#N/A</v>
      </c>
      <c r="AO141" s="310" t="e">
        <f>VLOOKUP($AM141,PATRIMONIALE!$AV193:AX$1003,3,FALSE)</f>
        <v>#N/A</v>
      </c>
      <c r="AP141" s="310" t="e">
        <f>VLOOKUP($AM141,PATRIMONIALE!$AV193:AY$1003,4,FALSE)</f>
        <v>#N/A</v>
      </c>
      <c r="AQ141" s="748" t="e">
        <f>VLOOKUP($AM141,PATRIMONIALE!$AV193:AZ$1003,5,FALSE)</f>
        <v>#N/A</v>
      </c>
      <c r="AR141" s="1"/>
      <c r="AS141" s="461" t="str">
        <f t="shared" si="40"/>
        <v/>
      </c>
      <c r="AT141" s="370"/>
    </row>
    <row r="142" spans="1:46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435">
        <f>IF(AND(W142&gt;=$U$1,W142&lt;=$U$2),IF(X142='ESTRATTO CONTO'!$E$2,1+COUNTIF(U$4:U141,"&gt;0"),0),0)</f>
        <v>0</v>
      </c>
      <c r="V142" s="417">
        <f t="shared" si="41"/>
        <v>139</v>
      </c>
      <c r="W142" s="509"/>
      <c r="X142" s="321"/>
      <c r="Y142" s="321"/>
      <c r="Z142" s="433"/>
      <c r="AA142" s="356"/>
      <c r="AB142" s="306" t="str">
        <f t="shared" si="36"/>
        <v/>
      </c>
      <c r="AC142" s="893">
        <f t="shared" si="37"/>
        <v>0</v>
      </c>
      <c r="AD142" s="322"/>
      <c r="AE142" s="1"/>
      <c r="AF142" s="223">
        <f>IF(ISBLANK(AD142),0,COUNTIF(AF$4:AF141,"&gt;0")+1)</f>
        <v>0</v>
      </c>
      <c r="AG142" s="164">
        <f t="shared" si="43"/>
        <v>0</v>
      </c>
      <c r="AH142" s="99">
        <f t="shared" si="38"/>
        <v>0</v>
      </c>
      <c r="AI142" s="99">
        <f t="shared" si="44"/>
        <v>0</v>
      </c>
      <c r="AJ142" s="170">
        <f t="shared" si="45"/>
        <v>0</v>
      </c>
      <c r="AK142" s="204">
        <f t="shared" si="39"/>
        <v>0</v>
      </c>
      <c r="AL142" s="1049">
        <f>IF(ISERROR(AO142),0,IF(AND(AN142&gt;=$U$1,AN142&lt;=$U$2),IF(AO142='ESTRATTO CONTO'!$E$2,1+COUNTIF(AL$4:AL141,"&gt;0")+U$1009,0),0))</f>
        <v>0</v>
      </c>
      <c r="AM142" s="747">
        <f t="shared" si="42"/>
        <v>139</v>
      </c>
      <c r="AN142" s="164" t="e">
        <f>VLOOKUP($AM142,PATRIMONIALE!$AV194:AW$1003,2,FALSE)</f>
        <v>#N/A</v>
      </c>
      <c r="AO142" s="310" t="e">
        <f>VLOOKUP($AM142,PATRIMONIALE!$AV194:AX$1003,3,FALSE)</f>
        <v>#N/A</v>
      </c>
      <c r="AP142" s="310" t="e">
        <f>VLOOKUP($AM142,PATRIMONIALE!$AV194:AY$1003,4,FALSE)</f>
        <v>#N/A</v>
      </c>
      <c r="AQ142" s="748" t="e">
        <f>VLOOKUP($AM142,PATRIMONIALE!$AV194:AZ$1003,5,FALSE)</f>
        <v>#N/A</v>
      </c>
      <c r="AR142" s="1"/>
      <c r="AS142" s="461" t="str">
        <f t="shared" si="40"/>
        <v/>
      </c>
      <c r="AT142" s="370"/>
    </row>
    <row r="143" spans="1:46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435">
        <f>IF(AND(W143&gt;=$U$1,W143&lt;=$U$2),IF(X143='ESTRATTO CONTO'!$E$2,1+COUNTIF(U$4:U142,"&gt;0"),0),0)</f>
        <v>0</v>
      </c>
      <c r="V143" s="417">
        <f t="shared" si="41"/>
        <v>140</v>
      </c>
      <c r="W143" s="509"/>
      <c r="X143" s="321"/>
      <c r="Y143" s="321"/>
      <c r="Z143" s="433"/>
      <c r="AA143" s="356"/>
      <c r="AB143" s="306" t="str">
        <f t="shared" si="36"/>
        <v/>
      </c>
      <c r="AC143" s="893">
        <f t="shared" si="37"/>
        <v>0</v>
      </c>
      <c r="AD143" s="322"/>
      <c r="AE143" s="1"/>
      <c r="AF143" s="223">
        <f>IF(ISBLANK(AD143),0,COUNTIF(AF$4:AF142,"&gt;0")+1)</f>
        <v>0</v>
      </c>
      <c r="AG143" s="164">
        <f t="shared" si="43"/>
        <v>0</v>
      </c>
      <c r="AH143" s="99">
        <f t="shared" si="38"/>
        <v>0</v>
      </c>
      <c r="AI143" s="99">
        <f t="shared" si="44"/>
        <v>0</v>
      </c>
      <c r="AJ143" s="170">
        <f t="shared" si="45"/>
        <v>0</v>
      </c>
      <c r="AK143" s="204">
        <f t="shared" si="39"/>
        <v>0</v>
      </c>
      <c r="AL143" s="1049">
        <f>IF(ISERROR(AO143),0,IF(AND(AN143&gt;=$U$1,AN143&lt;=$U$2),IF(AO143='ESTRATTO CONTO'!$E$2,1+COUNTIF(AL$4:AL142,"&gt;0")+U$1009,0),0))</f>
        <v>0</v>
      </c>
      <c r="AM143" s="747">
        <f t="shared" si="42"/>
        <v>140</v>
      </c>
      <c r="AN143" s="164" t="e">
        <f>VLOOKUP($AM143,PATRIMONIALE!$AV195:AW$1003,2,FALSE)</f>
        <v>#N/A</v>
      </c>
      <c r="AO143" s="310" t="e">
        <f>VLOOKUP($AM143,PATRIMONIALE!$AV195:AX$1003,3,FALSE)</f>
        <v>#N/A</v>
      </c>
      <c r="AP143" s="310" t="e">
        <f>VLOOKUP($AM143,PATRIMONIALE!$AV195:AY$1003,4,FALSE)</f>
        <v>#N/A</v>
      </c>
      <c r="AQ143" s="748" t="e">
        <f>VLOOKUP($AM143,PATRIMONIALE!$AV195:AZ$1003,5,FALSE)</f>
        <v>#N/A</v>
      </c>
      <c r="AR143" s="1"/>
      <c r="AS143" s="461" t="str">
        <f t="shared" si="40"/>
        <v/>
      </c>
      <c r="AT143" s="370"/>
    </row>
    <row r="144" spans="1:46" ht="16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435">
        <f>IF(AND(W144&gt;=$U$1,W144&lt;=$U$2),IF(X144='ESTRATTO CONTO'!$E$2,1+COUNTIF(U$4:U143,"&gt;0"),0),0)</f>
        <v>0</v>
      </c>
      <c r="V144" s="417">
        <f t="shared" si="41"/>
        <v>141</v>
      </c>
      <c r="W144" s="509"/>
      <c r="X144" s="321"/>
      <c r="Y144" s="321"/>
      <c r="Z144" s="433"/>
      <c r="AA144" s="356"/>
      <c r="AB144" s="306" t="str">
        <f t="shared" si="36"/>
        <v/>
      </c>
      <c r="AC144" s="893">
        <f t="shared" si="37"/>
        <v>0</v>
      </c>
      <c r="AD144" s="322"/>
      <c r="AE144" s="1"/>
      <c r="AF144" s="223">
        <f>IF(ISBLANK(AD144),0,COUNTIF(AF$4:AF143,"&gt;0")+1)</f>
        <v>0</v>
      </c>
      <c r="AG144" s="164">
        <f t="shared" si="43"/>
        <v>0</v>
      </c>
      <c r="AH144" s="99">
        <f t="shared" si="38"/>
        <v>0</v>
      </c>
      <c r="AI144" s="99">
        <f t="shared" si="44"/>
        <v>0</v>
      </c>
      <c r="AJ144" s="170">
        <f t="shared" si="45"/>
        <v>0</v>
      </c>
      <c r="AK144" s="204">
        <f t="shared" si="39"/>
        <v>0</v>
      </c>
      <c r="AL144" s="1049">
        <f>IF(ISERROR(AO144),0,IF(AND(AN144&gt;=$U$1,AN144&lt;=$U$2),IF(AO144='ESTRATTO CONTO'!$E$2,1+COUNTIF(AL$4:AL143,"&gt;0")+U$1009,0),0))</f>
        <v>0</v>
      </c>
      <c r="AM144" s="747">
        <f t="shared" si="42"/>
        <v>141</v>
      </c>
      <c r="AN144" s="164" t="e">
        <f>VLOOKUP($AM144,PATRIMONIALE!$AV196:AW$1003,2,FALSE)</f>
        <v>#N/A</v>
      </c>
      <c r="AO144" s="310" t="e">
        <f>VLOOKUP($AM144,PATRIMONIALE!$AV196:AX$1003,3,FALSE)</f>
        <v>#N/A</v>
      </c>
      <c r="AP144" s="310" t="e">
        <f>VLOOKUP($AM144,PATRIMONIALE!$AV196:AY$1003,4,FALSE)</f>
        <v>#N/A</v>
      </c>
      <c r="AQ144" s="748" t="e">
        <f>VLOOKUP($AM144,PATRIMONIALE!$AV196:AZ$1003,5,FALSE)</f>
        <v>#N/A</v>
      </c>
      <c r="AR144" s="1"/>
      <c r="AS144" s="461" t="str">
        <f t="shared" si="40"/>
        <v/>
      </c>
      <c r="AT144" s="370"/>
    </row>
    <row r="145" spans="1:46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435">
        <f>IF(AND(W145&gt;=$U$1,W145&lt;=$U$2),IF(X145='ESTRATTO CONTO'!$E$2,1+COUNTIF(U$4:U144,"&gt;0"),0),0)</f>
        <v>0</v>
      </c>
      <c r="V145" s="417">
        <f t="shared" si="41"/>
        <v>142</v>
      </c>
      <c r="W145" s="509"/>
      <c r="X145" s="321"/>
      <c r="Y145" s="321"/>
      <c r="Z145" s="433"/>
      <c r="AA145" s="356"/>
      <c r="AB145" s="306" t="str">
        <f t="shared" si="36"/>
        <v/>
      </c>
      <c r="AC145" s="893">
        <f t="shared" si="37"/>
        <v>0</v>
      </c>
      <c r="AD145" s="322"/>
      <c r="AE145" s="1"/>
      <c r="AF145" s="223">
        <f>IF(ISBLANK(AD145),0,COUNTIF(AF$4:AF144,"&gt;0")+1)</f>
        <v>0</v>
      </c>
      <c r="AG145" s="164">
        <f t="shared" si="43"/>
        <v>0</v>
      </c>
      <c r="AH145" s="99">
        <f t="shared" si="38"/>
        <v>0</v>
      </c>
      <c r="AI145" s="99">
        <f t="shared" si="44"/>
        <v>0</v>
      </c>
      <c r="AJ145" s="170">
        <f t="shared" si="45"/>
        <v>0</v>
      </c>
      <c r="AK145" s="204">
        <f t="shared" si="39"/>
        <v>0</v>
      </c>
      <c r="AL145" s="1049">
        <f>IF(ISERROR(AO145),0,IF(AND(AN145&gt;=$U$1,AN145&lt;=$U$2),IF(AO145='ESTRATTO CONTO'!$E$2,1+COUNTIF(AL$4:AL144,"&gt;0")+U$1009,0),0))</f>
        <v>0</v>
      </c>
      <c r="AM145" s="747">
        <f t="shared" si="42"/>
        <v>142</v>
      </c>
      <c r="AN145" s="164" t="e">
        <f>VLOOKUP($AM145,PATRIMONIALE!$AV197:AW$1003,2,FALSE)</f>
        <v>#N/A</v>
      </c>
      <c r="AO145" s="310" t="e">
        <f>VLOOKUP($AM145,PATRIMONIALE!$AV197:AX$1003,3,FALSE)</f>
        <v>#N/A</v>
      </c>
      <c r="AP145" s="310" t="e">
        <f>VLOOKUP($AM145,PATRIMONIALE!$AV197:AY$1003,4,FALSE)</f>
        <v>#N/A</v>
      </c>
      <c r="AQ145" s="748" t="e">
        <f>VLOOKUP($AM145,PATRIMONIALE!$AV197:AZ$1003,5,FALSE)</f>
        <v>#N/A</v>
      </c>
      <c r="AR145" s="1"/>
      <c r="AS145" s="461" t="str">
        <f t="shared" si="40"/>
        <v/>
      </c>
      <c r="AT145" s="370"/>
    </row>
    <row r="146" spans="1:46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435">
        <f>IF(AND(W146&gt;=$U$1,W146&lt;=$U$2),IF(X146='ESTRATTO CONTO'!$E$2,1+COUNTIF(U$4:U145,"&gt;0"),0),0)</f>
        <v>0</v>
      </c>
      <c r="V146" s="417">
        <f t="shared" si="41"/>
        <v>143</v>
      </c>
      <c r="W146" s="509"/>
      <c r="X146" s="321"/>
      <c r="Y146" s="321"/>
      <c r="Z146" s="433"/>
      <c r="AA146" s="356"/>
      <c r="AB146" s="306" t="str">
        <f t="shared" si="36"/>
        <v/>
      </c>
      <c r="AC146" s="893">
        <f t="shared" si="37"/>
        <v>0</v>
      </c>
      <c r="AD146" s="322"/>
      <c r="AE146" s="1"/>
      <c r="AF146" s="223">
        <f>IF(ISBLANK(AD146),0,COUNTIF(AF$4:AF145,"&gt;0")+1)</f>
        <v>0</v>
      </c>
      <c r="AG146" s="164">
        <f t="shared" si="43"/>
        <v>0</v>
      </c>
      <c r="AH146" s="99">
        <f t="shared" si="38"/>
        <v>0</v>
      </c>
      <c r="AI146" s="99">
        <f t="shared" si="44"/>
        <v>0</v>
      </c>
      <c r="AJ146" s="170">
        <f t="shared" si="45"/>
        <v>0</v>
      </c>
      <c r="AK146" s="204">
        <f t="shared" si="39"/>
        <v>0</v>
      </c>
      <c r="AL146" s="1049">
        <f>IF(ISERROR(AO146),0,IF(AND(AN146&gt;=$U$1,AN146&lt;=$U$2),IF(AO146='ESTRATTO CONTO'!$E$2,1+COUNTIF(AL$4:AL145,"&gt;0")+U$1009,0),0))</f>
        <v>0</v>
      </c>
      <c r="AM146" s="747">
        <f t="shared" si="42"/>
        <v>143</v>
      </c>
      <c r="AN146" s="164" t="e">
        <f>VLOOKUP($AM146,PATRIMONIALE!$AV198:AW$1003,2,FALSE)</f>
        <v>#N/A</v>
      </c>
      <c r="AO146" s="310" t="e">
        <f>VLOOKUP($AM146,PATRIMONIALE!$AV198:AX$1003,3,FALSE)</f>
        <v>#N/A</v>
      </c>
      <c r="AP146" s="310" t="e">
        <f>VLOOKUP($AM146,PATRIMONIALE!$AV198:AY$1003,4,FALSE)</f>
        <v>#N/A</v>
      </c>
      <c r="AQ146" s="748" t="e">
        <f>VLOOKUP($AM146,PATRIMONIALE!$AV198:AZ$1003,5,FALSE)</f>
        <v>#N/A</v>
      </c>
      <c r="AR146" s="1"/>
      <c r="AS146" s="461" t="str">
        <f t="shared" si="40"/>
        <v/>
      </c>
      <c r="AT146" s="370"/>
    </row>
    <row r="147" spans="1:46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435">
        <f>IF(AND(W147&gt;=$U$1,W147&lt;=$U$2),IF(X147='ESTRATTO CONTO'!$E$2,1+COUNTIF(U$4:U146,"&gt;0"),0),0)</f>
        <v>0</v>
      </c>
      <c r="V147" s="417">
        <f t="shared" si="41"/>
        <v>144</v>
      </c>
      <c r="W147" s="509"/>
      <c r="X147" s="321"/>
      <c r="Y147" s="321"/>
      <c r="Z147" s="433"/>
      <c r="AA147" s="356"/>
      <c r="AB147" s="306" t="str">
        <f t="shared" si="36"/>
        <v/>
      </c>
      <c r="AC147" s="893">
        <f t="shared" si="37"/>
        <v>0</v>
      </c>
      <c r="AD147" s="322"/>
      <c r="AE147" s="1"/>
      <c r="AF147" s="223">
        <f>IF(ISBLANK(AD147),0,COUNTIF(AF$4:AF146,"&gt;0")+1)</f>
        <v>0</v>
      </c>
      <c r="AG147" s="164">
        <f t="shared" si="43"/>
        <v>0</v>
      </c>
      <c r="AH147" s="99">
        <f t="shared" si="38"/>
        <v>0</v>
      </c>
      <c r="AI147" s="99">
        <f t="shared" si="44"/>
        <v>0</v>
      </c>
      <c r="AJ147" s="170">
        <f t="shared" si="45"/>
        <v>0</v>
      </c>
      <c r="AK147" s="204">
        <f t="shared" si="39"/>
        <v>0</v>
      </c>
      <c r="AL147" s="1049">
        <f>IF(ISERROR(AO147),0,IF(AND(AN147&gt;=$U$1,AN147&lt;=$U$2),IF(AO147='ESTRATTO CONTO'!$E$2,1+COUNTIF(AL$4:AL146,"&gt;0")+U$1009,0),0))</f>
        <v>0</v>
      </c>
      <c r="AM147" s="747">
        <f t="shared" si="42"/>
        <v>144</v>
      </c>
      <c r="AN147" s="164" t="e">
        <f>VLOOKUP($AM147,PATRIMONIALE!$AV199:AW$1003,2,FALSE)</f>
        <v>#N/A</v>
      </c>
      <c r="AO147" s="310" t="e">
        <f>VLOOKUP($AM147,PATRIMONIALE!$AV199:AX$1003,3,FALSE)</f>
        <v>#N/A</v>
      </c>
      <c r="AP147" s="310" t="e">
        <f>VLOOKUP($AM147,PATRIMONIALE!$AV199:AY$1003,4,FALSE)</f>
        <v>#N/A</v>
      </c>
      <c r="AQ147" s="748" t="e">
        <f>VLOOKUP($AM147,PATRIMONIALE!$AV199:AZ$1003,5,FALSE)</f>
        <v>#N/A</v>
      </c>
      <c r="AR147" s="1"/>
      <c r="AS147" s="461" t="str">
        <f t="shared" si="40"/>
        <v/>
      </c>
      <c r="AT147" s="370"/>
    </row>
    <row r="148" spans="1:46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435">
        <f>IF(AND(W148&gt;=$U$1,W148&lt;=$U$2),IF(X148='ESTRATTO CONTO'!$E$2,1+COUNTIF(U$4:U147,"&gt;0"),0),0)</f>
        <v>0</v>
      </c>
      <c r="V148" s="417">
        <f t="shared" si="41"/>
        <v>145</v>
      </c>
      <c r="W148" s="509"/>
      <c r="X148" s="321"/>
      <c r="Y148" s="321"/>
      <c r="Z148" s="433"/>
      <c r="AA148" s="356"/>
      <c r="AB148" s="306" t="str">
        <f t="shared" si="36"/>
        <v/>
      </c>
      <c r="AC148" s="893">
        <f t="shared" si="37"/>
        <v>0</v>
      </c>
      <c r="AD148" s="322"/>
      <c r="AE148" s="1"/>
      <c r="AF148" s="223">
        <f>IF(ISBLANK(AD148),0,COUNTIF(AF$4:AF147,"&gt;0")+1)</f>
        <v>0</v>
      </c>
      <c r="AG148" s="164">
        <f t="shared" si="43"/>
        <v>0</v>
      </c>
      <c r="AH148" s="99">
        <f t="shared" si="38"/>
        <v>0</v>
      </c>
      <c r="AI148" s="99">
        <f t="shared" si="44"/>
        <v>0</v>
      </c>
      <c r="AJ148" s="170">
        <f t="shared" si="45"/>
        <v>0</v>
      </c>
      <c r="AK148" s="204">
        <f t="shared" si="39"/>
        <v>0</v>
      </c>
      <c r="AL148" s="1049">
        <f>IF(ISERROR(AO148),0,IF(AND(AN148&gt;=$U$1,AN148&lt;=$U$2),IF(AO148='ESTRATTO CONTO'!$E$2,1+COUNTIF(AL$4:AL147,"&gt;0")+U$1009,0),0))</f>
        <v>0</v>
      </c>
      <c r="AM148" s="747">
        <f t="shared" si="42"/>
        <v>145</v>
      </c>
      <c r="AN148" s="164" t="e">
        <f>VLOOKUP($AM148,PATRIMONIALE!$AV200:AW$1003,2,FALSE)</f>
        <v>#N/A</v>
      </c>
      <c r="AO148" s="310" t="e">
        <f>VLOOKUP($AM148,PATRIMONIALE!$AV200:AX$1003,3,FALSE)</f>
        <v>#N/A</v>
      </c>
      <c r="AP148" s="310" t="e">
        <f>VLOOKUP($AM148,PATRIMONIALE!$AV200:AY$1003,4,FALSE)</f>
        <v>#N/A</v>
      </c>
      <c r="AQ148" s="748" t="e">
        <f>VLOOKUP($AM148,PATRIMONIALE!$AV200:AZ$1003,5,FALSE)</f>
        <v>#N/A</v>
      </c>
      <c r="AR148" s="1"/>
      <c r="AS148" s="461" t="str">
        <f t="shared" si="40"/>
        <v/>
      </c>
      <c r="AT148" s="370"/>
    </row>
    <row r="149" spans="1:46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435">
        <f>IF(AND(W149&gt;=$U$1,W149&lt;=$U$2),IF(X149='ESTRATTO CONTO'!$E$2,1+COUNTIF(U$4:U148,"&gt;0"),0),0)</f>
        <v>0</v>
      </c>
      <c r="V149" s="417">
        <f t="shared" si="41"/>
        <v>146</v>
      </c>
      <c r="W149" s="509"/>
      <c r="X149" s="321"/>
      <c r="Y149" s="321"/>
      <c r="Z149" s="433"/>
      <c r="AA149" s="356"/>
      <c r="AB149" s="306" t="str">
        <f t="shared" si="36"/>
        <v/>
      </c>
      <c r="AC149" s="893">
        <f t="shared" si="37"/>
        <v>0</v>
      </c>
      <c r="AD149" s="322"/>
      <c r="AE149" s="1"/>
      <c r="AF149" s="223">
        <f>IF(ISBLANK(AD149),0,COUNTIF(AF$4:AF148,"&gt;0")+1)</f>
        <v>0</v>
      </c>
      <c r="AG149" s="164">
        <f t="shared" si="43"/>
        <v>0</v>
      </c>
      <c r="AH149" s="99">
        <f t="shared" si="38"/>
        <v>0</v>
      </c>
      <c r="AI149" s="99">
        <f t="shared" si="44"/>
        <v>0</v>
      </c>
      <c r="AJ149" s="170">
        <f t="shared" si="45"/>
        <v>0</v>
      </c>
      <c r="AK149" s="204">
        <f t="shared" si="39"/>
        <v>0</v>
      </c>
      <c r="AL149" s="1049">
        <f>IF(ISERROR(AO149),0,IF(AND(AN149&gt;=$U$1,AN149&lt;=$U$2),IF(AO149='ESTRATTO CONTO'!$E$2,1+COUNTIF(AL$4:AL148,"&gt;0")+U$1009,0),0))</f>
        <v>0</v>
      </c>
      <c r="AM149" s="747">
        <f t="shared" si="42"/>
        <v>146</v>
      </c>
      <c r="AN149" s="164" t="e">
        <f>VLOOKUP($AM149,PATRIMONIALE!$AV201:AW$1003,2,FALSE)</f>
        <v>#N/A</v>
      </c>
      <c r="AO149" s="310" t="e">
        <f>VLOOKUP($AM149,PATRIMONIALE!$AV201:AX$1003,3,FALSE)</f>
        <v>#N/A</v>
      </c>
      <c r="AP149" s="310" t="e">
        <f>VLOOKUP($AM149,PATRIMONIALE!$AV201:AY$1003,4,FALSE)</f>
        <v>#N/A</v>
      </c>
      <c r="AQ149" s="748" t="e">
        <f>VLOOKUP($AM149,PATRIMONIALE!$AV201:AZ$1003,5,FALSE)</f>
        <v>#N/A</v>
      </c>
      <c r="AR149" s="1"/>
      <c r="AS149" s="461" t="str">
        <f t="shared" si="40"/>
        <v/>
      </c>
      <c r="AT149" s="370"/>
    </row>
    <row r="150" spans="1:46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435">
        <f>IF(AND(W150&gt;=$U$1,W150&lt;=$U$2),IF(X150='ESTRATTO CONTO'!$E$2,1+COUNTIF(U$4:U149,"&gt;0"),0),0)</f>
        <v>0</v>
      </c>
      <c r="V150" s="417">
        <f t="shared" si="41"/>
        <v>147</v>
      </c>
      <c r="W150" s="509"/>
      <c r="X150" s="321"/>
      <c r="Y150" s="321"/>
      <c r="Z150" s="433"/>
      <c r="AA150" s="356"/>
      <c r="AB150" s="306" t="str">
        <f t="shared" si="36"/>
        <v/>
      </c>
      <c r="AC150" s="893">
        <f t="shared" si="37"/>
        <v>0</v>
      </c>
      <c r="AD150" s="322"/>
      <c r="AE150" s="1"/>
      <c r="AF150" s="223">
        <f>IF(ISBLANK(AD150),0,COUNTIF(AF$4:AF149,"&gt;0")+1)</f>
        <v>0</v>
      </c>
      <c r="AG150" s="164">
        <f t="shared" si="43"/>
        <v>0</v>
      </c>
      <c r="AH150" s="99">
        <f t="shared" si="38"/>
        <v>0</v>
      </c>
      <c r="AI150" s="99">
        <f t="shared" si="44"/>
        <v>0</v>
      </c>
      <c r="AJ150" s="170">
        <f t="shared" si="45"/>
        <v>0</v>
      </c>
      <c r="AK150" s="204">
        <f t="shared" si="39"/>
        <v>0</v>
      </c>
      <c r="AL150" s="1049">
        <f>IF(ISERROR(AO150),0,IF(AND(AN150&gt;=$U$1,AN150&lt;=$U$2),IF(AO150='ESTRATTO CONTO'!$E$2,1+COUNTIF(AL$4:AL149,"&gt;0")+U$1009,0),0))</f>
        <v>0</v>
      </c>
      <c r="AM150" s="747">
        <f t="shared" si="42"/>
        <v>147</v>
      </c>
      <c r="AN150" s="164" t="e">
        <f>VLOOKUP($AM150,PATRIMONIALE!$AV202:AW$1003,2,FALSE)</f>
        <v>#N/A</v>
      </c>
      <c r="AO150" s="310" t="e">
        <f>VLOOKUP($AM150,PATRIMONIALE!$AV202:AX$1003,3,FALSE)</f>
        <v>#N/A</v>
      </c>
      <c r="AP150" s="310" t="e">
        <f>VLOOKUP($AM150,PATRIMONIALE!$AV202:AY$1003,4,FALSE)</f>
        <v>#N/A</v>
      </c>
      <c r="AQ150" s="748" t="e">
        <f>VLOOKUP($AM150,PATRIMONIALE!$AV202:AZ$1003,5,FALSE)</f>
        <v>#N/A</v>
      </c>
      <c r="AR150" s="1"/>
      <c r="AS150" s="461" t="str">
        <f t="shared" si="40"/>
        <v/>
      </c>
      <c r="AT150" s="370"/>
    </row>
    <row r="151" spans="1:46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435">
        <f>IF(AND(W151&gt;=$U$1,W151&lt;=$U$2),IF(X151='ESTRATTO CONTO'!$E$2,1+COUNTIF(U$4:U150,"&gt;0"),0),0)</f>
        <v>0</v>
      </c>
      <c r="V151" s="417">
        <f t="shared" si="41"/>
        <v>148</v>
      </c>
      <c r="W151" s="509"/>
      <c r="X151" s="321"/>
      <c r="Y151" s="321"/>
      <c r="Z151" s="433"/>
      <c r="AA151" s="356"/>
      <c r="AB151" s="306" t="str">
        <f t="shared" si="36"/>
        <v/>
      </c>
      <c r="AC151" s="893">
        <f t="shared" si="37"/>
        <v>0</v>
      </c>
      <c r="AD151" s="322"/>
      <c r="AE151" s="1"/>
      <c r="AF151" s="223">
        <f>IF(ISBLANK(AD151),0,COUNTIF(AF$4:AF150,"&gt;0")+1)</f>
        <v>0</v>
      </c>
      <c r="AG151" s="164">
        <f t="shared" si="43"/>
        <v>0</v>
      </c>
      <c r="AH151" s="99">
        <f t="shared" si="38"/>
        <v>0</v>
      </c>
      <c r="AI151" s="99">
        <f t="shared" si="44"/>
        <v>0</v>
      </c>
      <c r="AJ151" s="170">
        <f t="shared" si="45"/>
        <v>0</v>
      </c>
      <c r="AK151" s="204">
        <f t="shared" si="39"/>
        <v>0</v>
      </c>
      <c r="AL151" s="1049">
        <f>IF(ISERROR(AO151),0,IF(AND(AN151&gt;=$U$1,AN151&lt;=$U$2),IF(AO151='ESTRATTO CONTO'!$E$2,1+COUNTIF(AL$4:AL150,"&gt;0")+U$1009,0),0))</f>
        <v>0</v>
      </c>
      <c r="AM151" s="747">
        <f t="shared" si="42"/>
        <v>148</v>
      </c>
      <c r="AN151" s="164" t="e">
        <f>VLOOKUP($AM151,PATRIMONIALE!$AV203:AW$1003,2,FALSE)</f>
        <v>#N/A</v>
      </c>
      <c r="AO151" s="310" t="e">
        <f>VLOOKUP($AM151,PATRIMONIALE!$AV203:AX$1003,3,FALSE)</f>
        <v>#N/A</v>
      </c>
      <c r="AP151" s="310" t="e">
        <f>VLOOKUP($AM151,PATRIMONIALE!$AV203:AY$1003,4,FALSE)</f>
        <v>#N/A</v>
      </c>
      <c r="AQ151" s="748" t="e">
        <f>VLOOKUP($AM151,PATRIMONIALE!$AV203:AZ$1003,5,FALSE)</f>
        <v>#N/A</v>
      </c>
      <c r="AR151" s="1"/>
      <c r="AS151" s="461" t="str">
        <f t="shared" si="40"/>
        <v/>
      </c>
      <c r="AT151" s="370"/>
    </row>
    <row r="152" spans="1:46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435">
        <f>IF(AND(W152&gt;=$U$1,W152&lt;=$U$2),IF(X152='ESTRATTO CONTO'!$E$2,1+COUNTIF(U$4:U151,"&gt;0"),0),0)</f>
        <v>0</v>
      </c>
      <c r="V152" s="417">
        <f t="shared" si="41"/>
        <v>149</v>
      </c>
      <c r="W152" s="509"/>
      <c r="X152" s="321"/>
      <c r="Y152" s="321"/>
      <c r="Z152" s="433"/>
      <c r="AA152" s="356"/>
      <c r="AB152" s="306" t="str">
        <f t="shared" si="36"/>
        <v/>
      </c>
      <c r="AC152" s="893">
        <f t="shared" si="37"/>
        <v>0</v>
      </c>
      <c r="AD152" s="322"/>
      <c r="AE152" s="1"/>
      <c r="AF152" s="223">
        <f>IF(ISBLANK(AD152),0,COUNTIF(AF$4:AF151,"&gt;0")+1)</f>
        <v>0</v>
      </c>
      <c r="AG152" s="164">
        <f t="shared" si="43"/>
        <v>0</v>
      </c>
      <c r="AH152" s="99">
        <f t="shared" si="38"/>
        <v>0</v>
      </c>
      <c r="AI152" s="99">
        <f t="shared" si="44"/>
        <v>0</v>
      </c>
      <c r="AJ152" s="170">
        <f t="shared" si="45"/>
        <v>0</v>
      </c>
      <c r="AK152" s="204">
        <f t="shared" si="39"/>
        <v>0</v>
      </c>
      <c r="AL152" s="1049">
        <f>IF(ISERROR(AO152),0,IF(AND(AN152&gt;=$U$1,AN152&lt;=$U$2),IF(AO152='ESTRATTO CONTO'!$E$2,1+COUNTIF(AL$4:AL151,"&gt;0")+U$1009,0),0))</f>
        <v>0</v>
      </c>
      <c r="AM152" s="747">
        <f t="shared" si="42"/>
        <v>149</v>
      </c>
      <c r="AN152" s="164" t="e">
        <f>VLOOKUP($AM152,PATRIMONIALE!$AV204:AW$1003,2,FALSE)</f>
        <v>#N/A</v>
      </c>
      <c r="AO152" s="310" t="e">
        <f>VLOOKUP($AM152,PATRIMONIALE!$AV204:AX$1003,3,FALSE)</f>
        <v>#N/A</v>
      </c>
      <c r="AP152" s="310" t="e">
        <f>VLOOKUP($AM152,PATRIMONIALE!$AV204:AY$1003,4,FALSE)</f>
        <v>#N/A</v>
      </c>
      <c r="AQ152" s="748" t="e">
        <f>VLOOKUP($AM152,PATRIMONIALE!$AV204:AZ$1003,5,FALSE)</f>
        <v>#N/A</v>
      </c>
      <c r="AR152" s="1"/>
      <c r="AS152" s="461" t="str">
        <f t="shared" si="40"/>
        <v/>
      </c>
      <c r="AT152" s="370"/>
    </row>
    <row r="153" spans="1:46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435">
        <f>IF(AND(W153&gt;=$U$1,W153&lt;=$U$2),IF(X153='ESTRATTO CONTO'!$E$2,1+COUNTIF(U$4:U152,"&gt;0"),0),0)</f>
        <v>0</v>
      </c>
      <c r="V153" s="417">
        <f t="shared" si="41"/>
        <v>150</v>
      </c>
      <c r="W153" s="509"/>
      <c r="X153" s="321"/>
      <c r="Y153" s="321"/>
      <c r="Z153" s="433"/>
      <c r="AA153" s="356"/>
      <c r="AB153" s="306" t="str">
        <f t="shared" si="36"/>
        <v/>
      </c>
      <c r="AC153" s="893">
        <f t="shared" si="37"/>
        <v>0</v>
      </c>
      <c r="AD153" s="322"/>
      <c r="AE153" s="1"/>
      <c r="AF153" s="223">
        <f>IF(ISBLANK(AD153),0,COUNTIF(AF$4:AF152,"&gt;0")+1)</f>
        <v>0</v>
      </c>
      <c r="AG153" s="164">
        <f t="shared" si="43"/>
        <v>0</v>
      </c>
      <c r="AH153" s="99">
        <f t="shared" si="38"/>
        <v>0</v>
      </c>
      <c r="AI153" s="99">
        <f t="shared" si="44"/>
        <v>0</v>
      </c>
      <c r="AJ153" s="170">
        <f t="shared" si="45"/>
        <v>0</v>
      </c>
      <c r="AK153" s="204">
        <f t="shared" si="39"/>
        <v>0</v>
      </c>
      <c r="AL153" s="1049">
        <f>IF(ISERROR(AO153),0,IF(AND(AN153&gt;=$U$1,AN153&lt;=$U$2),IF(AO153='ESTRATTO CONTO'!$E$2,1+COUNTIF(AL$4:AL152,"&gt;0")+U$1009,0),0))</f>
        <v>0</v>
      </c>
      <c r="AM153" s="747">
        <f t="shared" si="42"/>
        <v>150</v>
      </c>
      <c r="AN153" s="164" t="e">
        <f>VLOOKUP($AM153,PATRIMONIALE!$AV205:AW$1003,2,FALSE)</f>
        <v>#N/A</v>
      </c>
      <c r="AO153" s="310" t="e">
        <f>VLOOKUP($AM153,PATRIMONIALE!$AV205:AX$1003,3,FALSE)</f>
        <v>#N/A</v>
      </c>
      <c r="AP153" s="310" t="e">
        <f>VLOOKUP($AM153,PATRIMONIALE!$AV205:AY$1003,4,FALSE)</f>
        <v>#N/A</v>
      </c>
      <c r="AQ153" s="748" t="e">
        <f>VLOOKUP($AM153,PATRIMONIALE!$AV205:AZ$1003,5,FALSE)</f>
        <v>#N/A</v>
      </c>
      <c r="AR153" s="1"/>
      <c r="AS153" s="461" t="str">
        <f t="shared" si="40"/>
        <v/>
      </c>
      <c r="AT153" s="370"/>
    </row>
    <row r="154" spans="1:46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435">
        <f>IF(AND(W154&gt;=$U$1,W154&lt;=$U$2),IF(X154='ESTRATTO CONTO'!$E$2,1+COUNTIF(U$4:U153,"&gt;0"),0),0)</f>
        <v>0</v>
      </c>
      <c r="V154" s="417">
        <f t="shared" si="41"/>
        <v>151</v>
      </c>
      <c r="W154" s="509"/>
      <c r="X154" s="321"/>
      <c r="Y154" s="321"/>
      <c r="Z154" s="433"/>
      <c r="AA154" s="356"/>
      <c r="AB154" s="306" t="str">
        <f t="shared" si="36"/>
        <v/>
      </c>
      <c r="AC154" s="893">
        <f t="shared" si="37"/>
        <v>0</v>
      </c>
      <c r="AD154" s="322"/>
      <c r="AE154" s="1"/>
      <c r="AF154" s="223">
        <f>IF(ISBLANK(AD154),0,COUNTIF(AF$4:AF153,"&gt;0")+1)</f>
        <v>0</v>
      </c>
      <c r="AG154" s="164">
        <f t="shared" si="43"/>
        <v>0</v>
      </c>
      <c r="AH154" s="99">
        <f t="shared" si="38"/>
        <v>0</v>
      </c>
      <c r="AI154" s="99">
        <f t="shared" si="44"/>
        <v>0</v>
      </c>
      <c r="AJ154" s="170">
        <f t="shared" si="45"/>
        <v>0</v>
      </c>
      <c r="AK154" s="204">
        <f t="shared" si="39"/>
        <v>0</v>
      </c>
      <c r="AL154" s="1049">
        <f>IF(ISERROR(AO154),0,IF(AND(AN154&gt;=$U$1,AN154&lt;=$U$2),IF(AO154='ESTRATTO CONTO'!$E$2,1+COUNTIF(AL$4:AL153,"&gt;0")+U$1009,0),0))</f>
        <v>0</v>
      </c>
      <c r="AM154" s="747">
        <f t="shared" si="42"/>
        <v>151</v>
      </c>
      <c r="AN154" s="164" t="e">
        <f>VLOOKUP($AM154,PATRIMONIALE!$AV206:AW$1003,2,FALSE)</f>
        <v>#N/A</v>
      </c>
      <c r="AO154" s="310" t="e">
        <f>VLOOKUP($AM154,PATRIMONIALE!$AV206:AX$1003,3,FALSE)</f>
        <v>#N/A</v>
      </c>
      <c r="AP154" s="310" t="e">
        <f>VLOOKUP($AM154,PATRIMONIALE!$AV206:AY$1003,4,FALSE)</f>
        <v>#N/A</v>
      </c>
      <c r="AQ154" s="748" t="e">
        <f>VLOOKUP($AM154,PATRIMONIALE!$AV206:AZ$1003,5,FALSE)</f>
        <v>#N/A</v>
      </c>
      <c r="AR154" s="1"/>
      <c r="AS154" s="461" t="str">
        <f t="shared" si="40"/>
        <v/>
      </c>
      <c r="AT154" s="370"/>
    </row>
    <row r="155" spans="1:46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435">
        <f>IF(AND(W155&gt;=$U$1,W155&lt;=$U$2),IF(X155='ESTRATTO CONTO'!$E$2,1+COUNTIF(U$4:U154,"&gt;0"),0),0)</f>
        <v>0</v>
      </c>
      <c r="V155" s="417">
        <f t="shared" si="41"/>
        <v>152</v>
      </c>
      <c r="W155" s="509"/>
      <c r="X155" s="321"/>
      <c r="Y155" s="321"/>
      <c r="Z155" s="433"/>
      <c r="AA155" s="356"/>
      <c r="AB155" s="306" t="str">
        <f t="shared" si="36"/>
        <v/>
      </c>
      <c r="AC155" s="893">
        <f t="shared" si="37"/>
        <v>0</v>
      </c>
      <c r="AD155" s="322"/>
      <c r="AE155" s="1"/>
      <c r="AF155" s="223">
        <f>IF(ISBLANK(AD155),0,COUNTIF(AF$4:AF154,"&gt;0")+1)</f>
        <v>0</v>
      </c>
      <c r="AG155" s="164">
        <f t="shared" si="43"/>
        <v>0</v>
      </c>
      <c r="AH155" s="99">
        <f t="shared" si="38"/>
        <v>0</v>
      </c>
      <c r="AI155" s="99">
        <f t="shared" si="44"/>
        <v>0</v>
      </c>
      <c r="AJ155" s="170">
        <f t="shared" si="45"/>
        <v>0</v>
      </c>
      <c r="AK155" s="204">
        <f t="shared" si="39"/>
        <v>0</v>
      </c>
      <c r="AL155" s="1049">
        <f>IF(ISERROR(AO155),0,IF(AND(AN155&gt;=$U$1,AN155&lt;=$U$2),IF(AO155='ESTRATTO CONTO'!$E$2,1+COUNTIF(AL$4:AL154,"&gt;0")+U$1009,0),0))</f>
        <v>0</v>
      </c>
      <c r="AM155" s="747">
        <f t="shared" si="42"/>
        <v>152</v>
      </c>
      <c r="AN155" s="164" t="e">
        <f>VLOOKUP($AM155,PATRIMONIALE!$AV207:AW$1003,2,FALSE)</f>
        <v>#N/A</v>
      </c>
      <c r="AO155" s="310" t="e">
        <f>VLOOKUP($AM155,PATRIMONIALE!$AV207:AX$1003,3,FALSE)</f>
        <v>#N/A</v>
      </c>
      <c r="AP155" s="310" t="e">
        <f>VLOOKUP($AM155,PATRIMONIALE!$AV207:AY$1003,4,FALSE)</f>
        <v>#N/A</v>
      </c>
      <c r="AQ155" s="748" t="e">
        <f>VLOOKUP($AM155,PATRIMONIALE!$AV207:AZ$1003,5,FALSE)</f>
        <v>#N/A</v>
      </c>
      <c r="AR155" s="1"/>
      <c r="AS155" s="461" t="str">
        <f t="shared" si="40"/>
        <v/>
      </c>
      <c r="AT155" s="370"/>
    </row>
    <row r="156" spans="1:46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435">
        <f>IF(AND(W156&gt;=$U$1,W156&lt;=$U$2),IF(X156='ESTRATTO CONTO'!$E$2,1+COUNTIF(U$4:U155,"&gt;0"),0),0)</f>
        <v>0</v>
      </c>
      <c r="V156" s="417">
        <f t="shared" si="41"/>
        <v>153</v>
      </c>
      <c r="W156" s="509"/>
      <c r="X156" s="321"/>
      <c r="Y156" s="321"/>
      <c r="Z156" s="433"/>
      <c r="AA156" s="356"/>
      <c r="AB156" s="306" t="str">
        <f t="shared" si="36"/>
        <v/>
      </c>
      <c r="AC156" s="893">
        <f t="shared" si="37"/>
        <v>0</v>
      </c>
      <c r="AD156" s="322"/>
      <c r="AE156" s="1"/>
      <c r="AF156" s="223">
        <f>IF(ISBLANK(AD156),0,COUNTIF(AF$4:AF155,"&gt;0")+1)</f>
        <v>0</v>
      </c>
      <c r="AG156" s="164">
        <f t="shared" si="43"/>
        <v>0</v>
      </c>
      <c r="AH156" s="99">
        <f t="shared" si="38"/>
        <v>0</v>
      </c>
      <c r="AI156" s="99">
        <f t="shared" si="44"/>
        <v>0</v>
      </c>
      <c r="AJ156" s="170">
        <f t="shared" si="45"/>
        <v>0</v>
      </c>
      <c r="AK156" s="204">
        <f t="shared" si="39"/>
        <v>0</v>
      </c>
      <c r="AL156" s="1049">
        <f>IF(ISERROR(AO156),0,IF(AND(AN156&gt;=$U$1,AN156&lt;=$U$2),IF(AO156='ESTRATTO CONTO'!$E$2,1+COUNTIF(AL$4:AL155,"&gt;0")+U$1009,0),0))</f>
        <v>0</v>
      </c>
      <c r="AM156" s="747">
        <f t="shared" si="42"/>
        <v>153</v>
      </c>
      <c r="AN156" s="164" t="e">
        <f>VLOOKUP($AM156,PATRIMONIALE!$AV208:AW$1003,2,FALSE)</f>
        <v>#N/A</v>
      </c>
      <c r="AO156" s="310" t="e">
        <f>VLOOKUP($AM156,PATRIMONIALE!$AV208:AX$1003,3,FALSE)</f>
        <v>#N/A</v>
      </c>
      <c r="AP156" s="310" t="e">
        <f>VLOOKUP($AM156,PATRIMONIALE!$AV208:AY$1003,4,FALSE)</f>
        <v>#N/A</v>
      </c>
      <c r="AQ156" s="748" t="e">
        <f>VLOOKUP($AM156,PATRIMONIALE!$AV208:AZ$1003,5,FALSE)</f>
        <v>#N/A</v>
      </c>
      <c r="AR156" s="1"/>
      <c r="AS156" s="461" t="str">
        <f t="shared" si="40"/>
        <v/>
      </c>
      <c r="AT156" s="370"/>
    </row>
    <row r="157" spans="1:46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435">
        <f>IF(AND(W157&gt;=$U$1,W157&lt;=$U$2),IF(X157='ESTRATTO CONTO'!$E$2,1+COUNTIF(U$4:U156,"&gt;0"),0),0)</f>
        <v>0</v>
      </c>
      <c r="V157" s="417">
        <f t="shared" si="41"/>
        <v>154</v>
      </c>
      <c r="W157" s="509"/>
      <c r="X157" s="321"/>
      <c r="Y157" s="321"/>
      <c r="Z157" s="433"/>
      <c r="AA157" s="356"/>
      <c r="AB157" s="306" t="str">
        <f t="shared" si="36"/>
        <v/>
      </c>
      <c r="AC157" s="893">
        <f t="shared" si="37"/>
        <v>0</v>
      </c>
      <c r="AD157" s="322"/>
      <c r="AE157" s="1"/>
      <c r="AF157" s="223">
        <f>IF(ISBLANK(AD157),0,COUNTIF(AF$4:AF156,"&gt;0")+1)</f>
        <v>0</v>
      </c>
      <c r="AG157" s="164">
        <f t="shared" si="43"/>
        <v>0</v>
      </c>
      <c r="AH157" s="99">
        <f t="shared" si="38"/>
        <v>0</v>
      </c>
      <c r="AI157" s="99">
        <f t="shared" si="44"/>
        <v>0</v>
      </c>
      <c r="AJ157" s="170">
        <f t="shared" si="45"/>
        <v>0</v>
      </c>
      <c r="AK157" s="204">
        <f t="shared" si="39"/>
        <v>0</v>
      </c>
      <c r="AL157" s="1049">
        <f>IF(ISERROR(AO157),0,IF(AND(AN157&gt;=$U$1,AN157&lt;=$U$2),IF(AO157='ESTRATTO CONTO'!$E$2,1+COUNTIF(AL$4:AL156,"&gt;0")+U$1009,0),0))</f>
        <v>0</v>
      </c>
      <c r="AM157" s="747">
        <f t="shared" si="42"/>
        <v>154</v>
      </c>
      <c r="AN157" s="164" t="e">
        <f>VLOOKUP($AM157,PATRIMONIALE!$AV209:AW$1003,2,FALSE)</f>
        <v>#N/A</v>
      </c>
      <c r="AO157" s="310" t="e">
        <f>VLOOKUP($AM157,PATRIMONIALE!$AV209:AX$1003,3,FALSE)</f>
        <v>#N/A</v>
      </c>
      <c r="AP157" s="310" t="e">
        <f>VLOOKUP($AM157,PATRIMONIALE!$AV209:AY$1003,4,FALSE)</f>
        <v>#N/A</v>
      </c>
      <c r="AQ157" s="748" t="e">
        <f>VLOOKUP($AM157,PATRIMONIALE!$AV209:AZ$1003,5,FALSE)</f>
        <v>#N/A</v>
      </c>
      <c r="AR157" s="1"/>
      <c r="AS157" s="461" t="str">
        <f t="shared" si="40"/>
        <v/>
      </c>
      <c r="AT157" s="370"/>
    </row>
    <row r="158" spans="1:46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435">
        <f>IF(AND(W158&gt;=$U$1,W158&lt;=$U$2),IF(X158='ESTRATTO CONTO'!$E$2,1+COUNTIF(U$4:U157,"&gt;0"),0),0)</f>
        <v>0</v>
      </c>
      <c r="V158" s="417">
        <f t="shared" si="41"/>
        <v>155</v>
      </c>
      <c r="W158" s="509"/>
      <c r="X158" s="321"/>
      <c r="Y158" s="321"/>
      <c r="Z158" s="433"/>
      <c r="AA158" s="356"/>
      <c r="AB158" s="306" t="str">
        <f t="shared" si="36"/>
        <v/>
      </c>
      <c r="AC158" s="893">
        <f t="shared" si="37"/>
        <v>0</v>
      </c>
      <c r="AD158" s="322"/>
      <c r="AE158" s="1"/>
      <c r="AF158" s="223">
        <f>IF(ISBLANK(AD158),0,COUNTIF(AF$4:AF157,"&gt;0")+1)</f>
        <v>0</v>
      </c>
      <c r="AG158" s="164">
        <f t="shared" si="43"/>
        <v>0</v>
      </c>
      <c r="AH158" s="99">
        <f t="shared" si="38"/>
        <v>0</v>
      </c>
      <c r="AI158" s="99">
        <f t="shared" si="44"/>
        <v>0</v>
      </c>
      <c r="AJ158" s="170">
        <f t="shared" si="45"/>
        <v>0</v>
      </c>
      <c r="AK158" s="204">
        <f t="shared" si="39"/>
        <v>0</v>
      </c>
      <c r="AL158" s="1049">
        <f>IF(ISERROR(AO158),0,IF(AND(AN158&gt;=$U$1,AN158&lt;=$U$2),IF(AO158='ESTRATTO CONTO'!$E$2,1+COUNTIF(AL$4:AL157,"&gt;0")+U$1009,0),0))</f>
        <v>0</v>
      </c>
      <c r="AM158" s="747">
        <f t="shared" si="42"/>
        <v>155</v>
      </c>
      <c r="AN158" s="164" t="e">
        <f>VLOOKUP($AM158,PATRIMONIALE!$AV210:AW$1003,2,FALSE)</f>
        <v>#N/A</v>
      </c>
      <c r="AO158" s="310" t="e">
        <f>VLOOKUP($AM158,PATRIMONIALE!$AV210:AX$1003,3,FALSE)</f>
        <v>#N/A</v>
      </c>
      <c r="AP158" s="310" t="e">
        <f>VLOOKUP($AM158,PATRIMONIALE!$AV210:AY$1003,4,FALSE)</f>
        <v>#N/A</v>
      </c>
      <c r="AQ158" s="748" t="e">
        <f>VLOOKUP($AM158,PATRIMONIALE!$AV210:AZ$1003,5,FALSE)</f>
        <v>#N/A</v>
      </c>
      <c r="AR158" s="1"/>
      <c r="AS158" s="461" t="str">
        <f t="shared" si="40"/>
        <v/>
      </c>
      <c r="AT158" s="370"/>
    </row>
    <row r="159" spans="1:46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435">
        <f>IF(AND(W159&gt;=$U$1,W159&lt;=$U$2),IF(X159='ESTRATTO CONTO'!$E$2,1+COUNTIF(U$4:U158,"&gt;0"),0),0)</f>
        <v>0</v>
      </c>
      <c r="V159" s="417">
        <f t="shared" si="41"/>
        <v>156</v>
      </c>
      <c r="W159" s="509"/>
      <c r="X159" s="321"/>
      <c r="Y159" s="321"/>
      <c r="Z159" s="433"/>
      <c r="AA159" s="356"/>
      <c r="AB159" s="306" t="str">
        <f t="shared" si="36"/>
        <v/>
      </c>
      <c r="AC159" s="893">
        <f t="shared" si="37"/>
        <v>0</v>
      </c>
      <c r="AD159" s="322"/>
      <c r="AE159" s="1"/>
      <c r="AF159" s="223">
        <f>IF(ISBLANK(AD159),0,COUNTIF(AF$4:AF158,"&gt;0")+1)</f>
        <v>0</v>
      </c>
      <c r="AG159" s="164">
        <f t="shared" si="43"/>
        <v>0</v>
      </c>
      <c r="AH159" s="99">
        <f t="shared" si="38"/>
        <v>0</v>
      </c>
      <c r="AI159" s="99">
        <f t="shared" si="44"/>
        <v>0</v>
      </c>
      <c r="AJ159" s="170">
        <f t="shared" si="45"/>
        <v>0</v>
      </c>
      <c r="AK159" s="204">
        <f t="shared" si="39"/>
        <v>0</v>
      </c>
      <c r="AL159" s="1049">
        <f>IF(ISERROR(AO159),0,IF(AND(AN159&gt;=$U$1,AN159&lt;=$U$2),IF(AO159='ESTRATTO CONTO'!$E$2,1+COUNTIF(AL$4:AL158,"&gt;0")+U$1009,0),0))</f>
        <v>0</v>
      </c>
      <c r="AM159" s="747">
        <f t="shared" si="42"/>
        <v>156</v>
      </c>
      <c r="AN159" s="164" t="e">
        <f>VLOOKUP($AM159,PATRIMONIALE!$AV211:AW$1003,2,FALSE)</f>
        <v>#N/A</v>
      </c>
      <c r="AO159" s="310" t="e">
        <f>VLOOKUP($AM159,PATRIMONIALE!$AV211:AX$1003,3,FALSE)</f>
        <v>#N/A</v>
      </c>
      <c r="AP159" s="310" t="e">
        <f>VLOOKUP($AM159,PATRIMONIALE!$AV211:AY$1003,4,FALSE)</f>
        <v>#N/A</v>
      </c>
      <c r="AQ159" s="748" t="e">
        <f>VLOOKUP($AM159,PATRIMONIALE!$AV211:AZ$1003,5,FALSE)</f>
        <v>#N/A</v>
      </c>
      <c r="AR159" s="1"/>
      <c r="AS159" s="461" t="str">
        <f t="shared" si="40"/>
        <v/>
      </c>
      <c r="AT159" s="370"/>
    </row>
    <row r="160" spans="1:46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435">
        <f>IF(AND(W160&gt;=$U$1,W160&lt;=$U$2),IF(X160='ESTRATTO CONTO'!$E$2,1+COUNTIF(U$4:U159,"&gt;0"),0),0)</f>
        <v>0</v>
      </c>
      <c r="V160" s="417">
        <f t="shared" si="41"/>
        <v>157</v>
      </c>
      <c r="W160" s="509"/>
      <c r="X160" s="321"/>
      <c r="Y160" s="321"/>
      <c r="Z160" s="433"/>
      <c r="AA160" s="356"/>
      <c r="AB160" s="306" t="str">
        <f t="shared" si="36"/>
        <v/>
      </c>
      <c r="AC160" s="893">
        <f t="shared" si="37"/>
        <v>0</v>
      </c>
      <c r="AD160" s="322"/>
      <c r="AE160" s="1"/>
      <c r="AF160" s="223">
        <f>IF(ISBLANK(AD160),0,COUNTIF(AF$4:AF159,"&gt;0")+1)</f>
        <v>0</v>
      </c>
      <c r="AG160" s="164">
        <f t="shared" si="43"/>
        <v>0</v>
      </c>
      <c r="AH160" s="99">
        <f t="shared" si="38"/>
        <v>0</v>
      </c>
      <c r="AI160" s="99">
        <f t="shared" si="44"/>
        <v>0</v>
      </c>
      <c r="AJ160" s="170">
        <f t="shared" si="45"/>
        <v>0</v>
      </c>
      <c r="AK160" s="204">
        <f t="shared" si="39"/>
        <v>0</v>
      </c>
      <c r="AL160" s="1049">
        <f>IF(ISERROR(AO160),0,IF(AND(AN160&gt;=$U$1,AN160&lt;=$U$2),IF(AO160='ESTRATTO CONTO'!$E$2,1+COUNTIF(AL$4:AL159,"&gt;0")+U$1009,0),0))</f>
        <v>0</v>
      </c>
      <c r="AM160" s="747">
        <f t="shared" si="42"/>
        <v>157</v>
      </c>
      <c r="AN160" s="164" t="e">
        <f>VLOOKUP($AM160,PATRIMONIALE!$AV212:AW$1003,2,FALSE)</f>
        <v>#N/A</v>
      </c>
      <c r="AO160" s="310" t="e">
        <f>VLOOKUP($AM160,PATRIMONIALE!$AV212:AX$1003,3,FALSE)</f>
        <v>#N/A</v>
      </c>
      <c r="AP160" s="310" t="e">
        <f>VLOOKUP($AM160,PATRIMONIALE!$AV212:AY$1003,4,FALSE)</f>
        <v>#N/A</v>
      </c>
      <c r="AQ160" s="748" t="e">
        <f>VLOOKUP($AM160,PATRIMONIALE!$AV212:AZ$1003,5,FALSE)</f>
        <v>#N/A</v>
      </c>
      <c r="AR160" s="1"/>
      <c r="AS160" s="461" t="str">
        <f t="shared" si="40"/>
        <v/>
      </c>
      <c r="AT160" s="370"/>
    </row>
    <row r="161" spans="1:46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435">
        <f>IF(AND(W161&gt;=$U$1,W161&lt;=$U$2),IF(X161='ESTRATTO CONTO'!$E$2,1+COUNTIF(U$4:U160,"&gt;0"),0),0)</f>
        <v>0</v>
      </c>
      <c r="V161" s="417">
        <f t="shared" si="41"/>
        <v>158</v>
      </c>
      <c r="W161" s="509"/>
      <c r="X161" s="321"/>
      <c r="Y161" s="321"/>
      <c r="Z161" s="433"/>
      <c r="AA161" s="356"/>
      <c r="AB161" s="306" t="str">
        <f t="shared" si="36"/>
        <v/>
      </c>
      <c r="AC161" s="893">
        <f t="shared" si="37"/>
        <v>0</v>
      </c>
      <c r="AD161" s="322"/>
      <c r="AE161" s="1"/>
      <c r="AF161" s="223">
        <f>IF(ISBLANK(AD161),0,COUNTIF(AF$4:AF160,"&gt;0")+1)</f>
        <v>0</v>
      </c>
      <c r="AG161" s="164">
        <f t="shared" si="43"/>
        <v>0</v>
      </c>
      <c r="AH161" s="99">
        <f t="shared" si="38"/>
        <v>0</v>
      </c>
      <c r="AI161" s="99">
        <f t="shared" si="44"/>
        <v>0</v>
      </c>
      <c r="AJ161" s="170">
        <f t="shared" si="45"/>
        <v>0</v>
      </c>
      <c r="AK161" s="204">
        <f t="shared" si="39"/>
        <v>0</v>
      </c>
      <c r="AL161" s="1049">
        <f>IF(ISERROR(AO161),0,IF(AND(AN161&gt;=$U$1,AN161&lt;=$U$2),IF(AO161='ESTRATTO CONTO'!$E$2,1+COUNTIF(AL$4:AL160,"&gt;0")+U$1009,0),0))</f>
        <v>0</v>
      </c>
      <c r="AM161" s="747">
        <f t="shared" si="42"/>
        <v>158</v>
      </c>
      <c r="AN161" s="164" t="e">
        <f>VLOOKUP($AM161,PATRIMONIALE!$AV213:AW$1003,2,FALSE)</f>
        <v>#N/A</v>
      </c>
      <c r="AO161" s="310" t="e">
        <f>VLOOKUP($AM161,PATRIMONIALE!$AV213:AX$1003,3,FALSE)</f>
        <v>#N/A</v>
      </c>
      <c r="AP161" s="310" t="e">
        <f>VLOOKUP($AM161,PATRIMONIALE!$AV213:AY$1003,4,FALSE)</f>
        <v>#N/A</v>
      </c>
      <c r="AQ161" s="748" t="e">
        <f>VLOOKUP($AM161,PATRIMONIALE!$AV213:AZ$1003,5,FALSE)</f>
        <v>#N/A</v>
      </c>
      <c r="AR161" s="1"/>
      <c r="AS161" s="461" t="str">
        <f t="shared" si="40"/>
        <v/>
      </c>
      <c r="AT161" s="370"/>
    </row>
    <row r="162" spans="1:46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435">
        <f>IF(AND(W162&gt;=$U$1,W162&lt;=$U$2),IF(X162='ESTRATTO CONTO'!$E$2,1+COUNTIF(U$4:U161,"&gt;0"),0),0)</f>
        <v>0</v>
      </c>
      <c r="V162" s="417">
        <f t="shared" si="41"/>
        <v>159</v>
      </c>
      <c r="W162" s="509"/>
      <c r="X162" s="321"/>
      <c r="Y162" s="321"/>
      <c r="Z162" s="433"/>
      <c r="AA162" s="356"/>
      <c r="AB162" s="306" t="str">
        <f t="shared" si="36"/>
        <v/>
      </c>
      <c r="AC162" s="893">
        <f t="shared" si="37"/>
        <v>0</v>
      </c>
      <c r="AD162" s="322"/>
      <c r="AE162" s="1"/>
      <c r="AF162" s="223">
        <f>IF(ISBLANK(AD162),0,COUNTIF(AF$4:AF161,"&gt;0")+1)</f>
        <v>0</v>
      </c>
      <c r="AG162" s="164">
        <f t="shared" si="43"/>
        <v>0</v>
      </c>
      <c r="AH162" s="99">
        <f t="shared" si="38"/>
        <v>0</v>
      </c>
      <c r="AI162" s="99">
        <f t="shared" si="44"/>
        <v>0</v>
      </c>
      <c r="AJ162" s="170">
        <f t="shared" si="45"/>
        <v>0</v>
      </c>
      <c r="AK162" s="204">
        <f t="shared" si="39"/>
        <v>0</v>
      </c>
      <c r="AL162" s="1049">
        <f>IF(ISERROR(AO162),0,IF(AND(AN162&gt;=$U$1,AN162&lt;=$U$2),IF(AO162='ESTRATTO CONTO'!$E$2,1+COUNTIF(AL$4:AL161,"&gt;0")+U$1009,0),0))</f>
        <v>0</v>
      </c>
      <c r="AM162" s="747">
        <f t="shared" si="42"/>
        <v>159</v>
      </c>
      <c r="AN162" s="164" t="e">
        <f>VLOOKUP($AM162,PATRIMONIALE!$AV214:AW$1003,2,FALSE)</f>
        <v>#N/A</v>
      </c>
      <c r="AO162" s="310" t="e">
        <f>VLOOKUP($AM162,PATRIMONIALE!$AV214:AX$1003,3,FALSE)</f>
        <v>#N/A</v>
      </c>
      <c r="AP162" s="310" t="e">
        <f>VLOOKUP($AM162,PATRIMONIALE!$AV214:AY$1003,4,FALSE)</f>
        <v>#N/A</v>
      </c>
      <c r="AQ162" s="748" t="e">
        <f>VLOOKUP($AM162,PATRIMONIALE!$AV214:AZ$1003,5,FALSE)</f>
        <v>#N/A</v>
      </c>
      <c r="AR162" s="1"/>
      <c r="AS162" s="461" t="str">
        <f t="shared" si="40"/>
        <v/>
      </c>
      <c r="AT162" s="370"/>
    </row>
    <row r="163" spans="1:46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435">
        <f>IF(AND(W163&gt;=$U$1,W163&lt;=$U$2),IF(X163='ESTRATTO CONTO'!$E$2,1+COUNTIF(U$4:U162,"&gt;0"),0),0)</f>
        <v>0</v>
      </c>
      <c r="V163" s="417">
        <f t="shared" si="41"/>
        <v>160</v>
      </c>
      <c r="W163" s="509"/>
      <c r="X163" s="321"/>
      <c r="Y163" s="321"/>
      <c r="Z163" s="433"/>
      <c r="AA163" s="356"/>
      <c r="AB163" s="306" t="str">
        <f t="shared" si="36"/>
        <v/>
      </c>
      <c r="AC163" s="893">
        <f t="shared" si="37"/>
        <v>0</v>
      </c>
      <c r="AD163" s="322"/>
      <c r="AE163" s="1"/>
      <c r="AF163" s="223">
        <f>IF(ISBLANK(AD163),0,COUNTIF(AF$4:AF162,"&gt;0")+1)</f>
        <v>0</v>
      </c>
      <c r="AG163" s="164">
        <f t="shared" si="43"/>
        <v>0</v>
      </c>
      <c r="AH163" s="99">
        <f t="shared" si="38"/>
        <v>0</v>
      </c>
      <c r="AI163" s="99">
        <f t="shared" si="44"/>
        <v>0</v>
      </c>
      <c r="AJ163" s="170">
        <f t="shared" si="45"/>
        <v>0</v>
      </c>
      <c r="AK163" s="204">
        <f t="shared" si="39"/>
        <v>0</v>
      </c>
      <c r="AL163" s="1049">
        <f>IF(ISERROR(AO163),0,IF(AND(AN163&gt;=$U$1,AN163&lt;=$U$2),IF(AO163='ESTRATTO CONTO'!$E$2,1+COUNTIF(AL$4:AL162,"&gt;0")+U$1009,0),0))</f>
        <v>0</v>
      </c>
      <c r="AM163" s="747">
        <f t="shared" si="42"/>
        <v>160</v>
      </c>
      <c r="AN163" s="164" t="e">
        <f>VLOOKUP($AM163,PATRIMONIALE!$AV215:AW$1003,2,FALSE)</f>
        <v>#N/A</v>
      </c>
      <c r="AO163" s="310" t="e">
        <f>VLOOKUP($AM163,PATRIMONIALE!$AV215:AX$1003,3,FALSE)</f>
        <v>#N/A</v>
      </c>
      <c r="AP163" s="310" t="e">
        <f>VLOOKUP($AM163,PATRIMONIALE!$AV215:AY$1003,4,FALSE)</f>
        <v>#N/A</v>
      </c>
      <c r="AQ163" s="748" t="e">
        <f>VLOOKUP($AM163,PATRIMONIALE!$AV215:AZ$1003,5,FALSE)</f>
        <v>#N/A</v>
      </c>
      <c r="AR163" s="1"/>
      <c r="AS163" s="461" t="str">
        <f t="shared" si="40"/>
        <v/>
      </c>
      <c r="AT163" s="370"/>
    </row>
    <row r="164" spans="1:46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435">
        <f>IF(AND(W164&gt;=$U$1,W164&lt;=$U$2),IF(X164='ESTRATTO CONTO'!$E$2,1+COUNTIF(U$4:U163,"&gt;0"),0),0)</f>
        <v>0</v>
      </c>
      <c r="V164" s="417">
        <f t="shared" si="41"/>
        <v>161</v>
      </c>
      <c r="W164" s="509"/>
      <c r="X164" s="321"/>
      <c r="Y164" s="321"/>
      <c r="Z164" s="433"/>
      <c r="AA164" s="356"/>
      <c r="AB164" s="306" t="str">
        <f t="shared" si="36"/>
        <v/>
      </c>
      <c r="AC164" s="893">
        <f t="shared" si="37"/>
        <v>0</v>
      </c>
      <c r="AD164" s="322"/>
      <c r="AE164" s="1"/>
      <c r="AF164" s="223">
        <f>IF(ISBLANK(AD164),0,COUNTIF(AF$4:AF163,"&gt;0")+1)</f>
        <v>0</v>
      </c>
      <c r="AG164" s="164">
        <f t="shared" si="43"/>
        <v>0</v>
      </c>
      <c r="AH164" s="99">
        <f t="shared" si="38"/>
        <v>0</v>
      </c>
      <c r="AI164" s="99">
        <f t="shared" si="44"/>
        <v>0</v>
      </c>
      <c r="AJ164" s="170">
        <f t="shared" si="45"/>
        <v>0</v>
      </c>
      <c r="AK164" s="204">
        <f t="shared" si="39"/>
        <v>0</v>
      </c>
      <c r="AL164" s="1049">
        <f>IF(ISERROR(AO164),0,IF(AND(AN164&gt;=$U$1,AN164&lt;=$U$2),IF(AO164='ESTRATTO CONTO'!$E$2,1+COUNTIF(AL$4:AL163,"&gt;0")+U$1009,0),0))</f>
        <v>0</v>
      </c>
      <c r="AM164" s="747">
        <f t="shared" si="42"/>
        <v>161</v>
      </c>
      <c r="AN164" s="164" t="e">
        <f>VLOOKUP($AM164,PATRIMONIALE!$AV216:AW$1003,2,FALSE)</f>
        <v>#N/A</v>
      </c>
      <c r="AO164" s="310" t="e">
        <f>VLOOKUP($AM164,PATRIMONIALE!$AV216:AX$1003,3,FALSE)</f>
        <v>#N/A</v>
      </c>
      <c r="AP164" s="310" t="e">
        <f>VLOOKUP($AM164,PATRIMONIALE!$AV216:AY$1003,4,FALSE)</f>
        <v>#N/A</v>
      </c>
      <c r="AQ164" s="748" t="e">
        <f>VLOOKUP($AM164,PATRIMONIALE!$AV216:AZ$1003,5,FALSE)</f>
        <v>#N/A</v>
      </c>
      <c r="AR164" s="1"/>
      <c r="AS164" s="461" t="str">
        <f t="shared" si="40"/>
        <v/>
      </c>
      <c r="AT164" s="370"/>
    </row>
    <row r="165" spans="1:46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435">
        <f>IF(AND(W165&gt;=$U$1,W165&lt;=$U$2),IF(X165='ESTRATTO CONTO'!$E$2,1+COUNTIF(U$4:U164,"&gt;0"),0),0)</f>
        <v>0</v>
      </c>
      <c r="V165" s="417">
        <f t="shared" si="41"/>
        <v>162</v>
      </c>
      <c r="W165" s="509"/>
      <c r="X165" s="321"/>
      <c r="Y165" s="321"/>
      <c r="Z165" s="433"/>
      <c r="AA165" s="356"/>
      <c r="AB165" s="306" t="str">
        <f t="shared" si="36"/>
        <v/>
      </c>
      <c r="AC165" s="893">
        <f t="shared" si="37"/>
        <v>0</v>
      </c>
      <c r="AD165" s="322"/>
      <c r="AE165" s="1"/>
      <c r="AF165" s="223">
        <f>IF(ISBLANK(AD165),0,COUNTIF(AF$4:AF164,"&gt;0")+1)</f>
        <v>0</v>
      </c>
      <c r="AG165" s="164">
        <f t="shared" si="43"/>
        <v>0</v>
      </c>
      <c r="AH165" s="99">
        <f t="shared" si="38"/>
        <v>0</v>
      </c>
      <c r="AI165" s="99">
        <f t="shared" si="44"/>
        <v>0</v>
      </c>
      <c r="AJ165" s="170">
        <f t="shared" si="45"/>
        <v>0</v>
      </c>
      <c r="AK165" s="204">
        <f t="shared" si="39"/>
        <v>0</v>
      </c>
      <c r="AL165" s="1049">
        <f>IF(ISERROR(AO165),0,IF(AND(AN165&gt;=$U$1,AN165&lt;=$U$2),IF(AO165='ESTRATTO CONTO'!$E$2,1+COUNTIF(AL$4:AL164,"&gt;0")+U$1009,0),0))</f>
        <v>0</v>
      </c>
      <c r="AM165" s="747">
        <f t="shared" si="42"/>
        <v>162</v>
      </c>
      <c r="AN165" s="164" t="e">
        <f>VLOOKUP($AM165,PATRIMONIALE!$AV217:AW$1003,2,FALSE)</f>
        <v>#N/A</v>
      </c>
      <c r="AO165" s="310" t="e">
        <f>VLOOKUP($AM165,PATRIMONIALE!$AV217:AX$1003,3,FALSE)</f>
        <v>#N/A</v>
      </c>
      <c r="AP165" s="310" t="e">
        <f>VLOOKUP($AM165,PATRIMONIALE!$AV217:AY$1003,4,FALSE)</f>
        <v>#N/A</v>
      </c>
      <c r="AQ165" s="748" t="e">
        <f>VLOOKUP($AM165,PATRIMONIALE!$AV217:AZ$1003,5,FALSE)</f>
        <v>#N/A</v>
      </c>
      <c r="AR165" s="1"/>
      <c r="AS165" s="461" t="str">
        <f t="shared" si="40"/>
        <v/>
      </c>
      <c r="AT165" s="370"/>
    </row>
    <row r="166" spans="1:46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435">
        <f>IF(AND(W166&gt;=$U$1,W166&lt;=$U$2),IF(X166='ESTRATTO CONTO'!$E$2,1+COUNTIF(U$4:U165,"&gt;0"),0),0)</f>
        <v>0</v>
      </c>
      <c r="V166" s="417">
        <f t="shared" si="41"/>
        <v>163</v>
      </c>
      <c r="W166" s="509"/>
      <c r="X166" s="321"/>
      <c r="Y166" s="321"/>
      <c r="Z166" s="433"/>
      <c r="AA166" s="356"/>
      <c r="AB166" s="306" t="str">
        <f t="shared" si="36"/>
        <v/>
      </c>
      <c r="AC166" s="893">
        <f t="shared" si="37"/>
        <v>0</v>
      </c>
      <c r="AD166" s="322"/>
      <c r="AE166" s="1"/>
      <c r="AF166" s="223">
        <f>IF(ISBLANK(AD166),0,COUNTIF(AF$4:AF165,"&gt;0")+1)</f>
        <v>0</v>
      </c>
      <c r="AG166" s="164">
        <f t="shared" si="43"/>
        <v>0</v>
      </c>
      <c r="AH166" s="99">
        <f t="shared" si="38"/>
        <v>0</v>
      </c>
      <c r="AI166" s="99">
        <f t="shared" si="44"/>
        <v>0</v>
      </c>
      <c r="AJ166" s="170">
        <f t="shared" si="45"/>
        <v>0</v>
      </c>
      <c r="AK166" s="204">
        <f t="shared" si="39"/>
        <v>0</v>
      </c>
      <c r="AL166" s="1049">
        <f>IF(ISERROR(AO166),0,IF(AND(AN166&gt;=$U$1,AN166&lt;=$U$2),IF(AO166='ESTRATTO CONTO'!$E$2,1+COUNTIF(AL$4:AL165,"&gt;0")+U$1009,0),0))</f>
        <v>0</v>
      </c>
      <c r="AM166" s="747">
        <f t="shared" si="42"/>
        <v>163</v>
      </c>
      <c r="AN166" s="164" t="e">
        <f>VLOOKUP($AM166,PATRIMONIALE!$AV218:AW$1003,2,FALSE)</f>
        <v>#N/A</v>
      </c>
      <c r="AO166" s="310" t="e">
        <f>VLOOKUP($AM166,PATRIMONIALE!$AV218:AX$1003,3,FALSE)</f>
        <v>#N/A</v>
      </c>
      <c r="AP166" s="310" t="e">
        <f>VLOOKUP($AM166,PATRIMONIALE!$AV218:AY$1003,4,FALSE)</f>
        <v>#N/A</v>
      </c>
      <c r="AQ166" s="748" t="e">
        <f>VLOOKUP($AM166,PATRIMONIALE!$AV218:AZ$1003,5,FALSE)</f>
        <v>#N/A</v>
      </c>
      <c r="AR166" s="1"/>
      <c r="AS166" s="461" t="str">
        <f t="shared" si="40"/>
        <v/>
      </c>
      <c r="AT166" s="370"/>
    </row>
    <row r="167" spans="1:46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435">
        <f>IF(AND(W167&gt;=$U$1,W167&lt;=$U$2),IF(X167='ESTRATTO CONTO'!$E$2,1+COUNTIF(U$4:U166,"&gt;0"),0),0)</f>
        <v>0</v>
      </c>
      <c r="V167" s="417">
        <f t="shared" si="41"/>
        <v>164</v>
      </c>
      <c r="W167" s="509"/>
      <c r="X167" s="321"/>
      <c r="Y167" s="321"/>
      <c r="Z167" s="433"/>
      <c r="AA167" s="356"/>
      <c r="AB167" s="306" t="str">
        <f t="shared" si="36"/>
        <v/>
      </c>
      <c r="AC167" s="893">
        <f t="shared" si="37"/>
        <v>0</v>
      </c>
      <c r="AD167" s="322"/>
      <c r="AE167" s="1"/>
      <c r="AF167" s="223">
        <f>IF(ISBLANK(AD167),0,COUNTIF(AF$4:AF166,"&gt;0")+1)</f>
        <v>0</v>
      </c>
      <c r="AG167" s="164">
        <f t="shared" si="43"/>
        <v>0</v>
      </c>
      <c r="AH167" s="99">
        <f t="shared" si="38"/>
        <v>0</v>
      </c>
      <c r="AI167" s="99">
        <f t="shared" si="44"/>
        <v>0</v>
      </c>
      <c r="AJ167" s="170">
        <f t="shared" si="45"/>
        <v>0</v>
      </c>
      <c r="AK167" s="204">
        <f t="shared" si="39"/>
        <v>0</v>
      </c>
      <c r="AL167" s="1049">
        <f>IF(ISERROR(AO167),0,IF(AND(AN167&gt;=$U$1,AN167&lt;=$U$2),IF(AO167='ESTRATTO CONTO'!$E$2,1+COUNTIF(AL$4:AL166,"&gt;0")+U$1009,0),0))</f>
        <v>0</v>
      </c>
      <c r="AM167" s="747">
        <f t="shared" si="42"/>
        <v>164</v>
      </c>
      <c r="AN167" s="164" t="e">
        <f>VLOOKUP($AM167,PATRIMONIALE!$AV219:AW$1003,2,FALSE)</f>
        <v>#N/A</v>
      </c>
      <c r="AO167" s="310" t="e">
        <f>VLOOKUP($AM167,PATRIMONIALE!$AV219:AX$1003,3,FALSE)</f>
        <v>#N/A</v>
      </c>
      <c r="AP167" s="310" t="e">
        <f>VLOOKUP($AM167,PATRIMONIALE!$AV219:AY$1003,4,FALSE)</f>
        <v>#N/A</v>
      </c>
      <c r="AQ167" s="748" t="e">
        <f>VLOOKUP($AM167,PATRIMONIALE!$AV219:AZ$1003,5,FALSE)</f>
        <v>#N/A</v>
      </c>
      <c r="AR167" s="1"/>
      <c r="AS167" s="461" t="str">
        <f t="shared" si="40"/>
        <v/>
      </c>
      <c r="AT167" s="370"/>
    </row>
    <row r="168" spans="1:46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435">
        <f>IF(AND(W168&gt;=$U$1,W168&lt;=$U$2),IF(X168='ESTRATTO CONTO'!$E$2,1+COUNTIF(U$4:U167,"&gt;0"),0),0)</f>
        <v>0</v>
      </c>
      <c r="V168" s="417">
        <f t="shared" si="41"/>
        <v>165</v>
      </c>
      <c r="W168" s="509"/>
      <c r="X168" s="321"/>
      <c r="Y168" s="321"/>
      <c r="Z168" s="433"/>
      <c r="AA168" s="356"/>
      <c r="AB168" s="306" t="str">
        <f t="shared" si="36"/>
        <v/>
      </c>
      <c r="AC168" s="893">
        <f t="shared" si="37"/>
        <v>0</v>
      </c>
      <c r="AD168" s="322"/>
      <c r="AE168" s="1"/>
      <c r="AF168" s="223">
        <f>IF(ISBLANK(AD168),0,COUNTIF(AF$4:AF167,"&gt;0")+1)</f>
        <v>0</v>
      </c>
      <c r="AG168" s="164">
        <f t="shared" si="43"/>
        <v>0</v>
      </c>
      <c r="AH168" s="99">
        <f t="shared" si="38"/>
        <v>0</v>
      </c>
      <c r="AI168" s="99">
        <f t="shared" si="44"/>
        <v>0</v>
      </c>
      <c r="AJ168" s="170">
        <f t="shared" si="45"/>
        <v>0</v>
      </c>
      <c r="AK168" s="204">
        <f t="shared" si="39"/>
        <v>0</v>
      </c>
      <c r="AL168" s="1049">
        <f>IF(ISERROR(AO168),0,IF(AND(AN168&gt;=$U$1,AN168&lt;=$U$2),IF(AO168='ESTRATTO CONTO'!$E$2,1+COUNTIF(AL$4:AL167,"&gt;0")+U$1009,0),0))</f>
        <v>0</v>
      </c>
      <c r="AM168" s="747">
        <f t="shared" si="42"/>
        <v>165</v>
      </c>
      <c r="AN168" s="164" t="e">
        <f>VLOOKUP($AM168,PATRIMONIALE!$AV220:AW$1003,2,FALSE)</f>
        <v>#N/A</v>
      </c>
      <c r="AO168" s="310" t="e">
        <f>VLOOKUP($AM168,PATRIMONIALE!$AV220:AX$1003,3,FALSE)</f>
        <v>#N/A</v>
      </c>
      <c r="AP168" s="310" t="e">
        <f>VLOOKUP($AM168,PATRIMONIALE!$AV220:AY$1003,4,FALSE)</f>
        <v>#N/A</v>
      </c>
      <c r="AQ168" s="748" t="e">
        <f>VLOOKUP($AM168,PATRIMONIALE!$AV220:AZ$1003,5,FALSE)</f>
        <v>#N/A</v>
      </c>
      <c r="AR168" s="1"/>
      <c r="AS168" s="461" t="str">
        <f t="shared" si="40"/>
        <v/>
      </c>
      <c r="AT168" s="370"/>
    </row>
    <row r="169" spans="1:46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435">
        <f>IF(AND(W169&gt;=$U$1,W169&lt;=$U$2),IF(X169='ESTRATTO CONTO'!$E$2,1+COUNTIF(U$4:U168,"&gt;0"),0),0)</f>
        <v>0</v>
      </c>
      <c r="V169" s="417">
        <f t="shared" si="41"/>
        <v>166</v>
      </c>
      <c r="W169" s="509"/>
      <c r="X169" s="321"/>
      <c r="Y169" s="321"/>
      <c r="Z169" s="433"/>
      <c r="AA169" s="356"/>
      <c r="AB169" s="306" t="str">
        <f t="shared" si="36"/>
        <v/>
      </c>
      <c r="AC169" s="893">
        <f t="shared" si="37"/>
        <v>0</v>
      </c>
      <c r="AD169" s="322"/>
      <c r="AE169" s="1"/>
      <c r="AF169" s="223">
        <f>IF(ISBLANK(AD169),0,COUNTIF(AF$4:AF168,"&gt;0")+1)</f>
        <v>0</v>
      </c>
      <c r="AG169" s="164">
        <f t="shared" si="43"/>
        <v>0</v>
      </c>
      <c r="AH169" s="99">
        <f t="shared" si="38"/>
        <v>0</v>
      </c>
      <c r="AI169" s="99">
        <f t="shared" si="44"/>
        <v>0</v>
      </c>
      <c r="AJ169" s="170">
        <f t="shared" si="45"/>
        <v>0</v>
      </c>
      <c r="AK169" s="204">
        <f t="shared" si="39"/>
        <v>0</v>
      </c>
      <c r="AL169" s="1049">
        <f>IF(ISERROR(AO169),0,IF(AND(AN169&gt;=$U$1,AN169&lt;=$U$2),IF(AO169='ESTRATTO CONTO'!$E$2,1+COUNTIF(AL$4:AL168,"&gt;0")+U$1009,0),0))</f>
        <v>0</v>
      </c>
      <c r="AM169" s="747">
        <f t="shared" si="42"/>
        <v>166</v>
      </c>
      <c r="AN169" s="164" t="e">
        <f>VLOOKUP($AM169,PATRIMONIALE!$AV221:AW$1003,2,FALSE)</f>
        <v>#N/A</v>
      </c>
      <c r="AO169" s="310" t="e">
        <f>VLOOKUP($AM169,PATRIMONIALE!$AV221:AX$1003,3,FALSE)</f>
        <v>#N/A</v>
      </c>
      <c r="AP169" s="310" t="e">
        <f>VLOOKUP($AM169,PATRIMONIALE!$AV221:AY$1003,4,FALSE)</f>
        <v>#N/A</v>
      </c>
      <c r="AQ169" s="748" t="e">
        <f>VLOOKUP($AM169,PATRIMONIALE!$AV221:AZ$1003,5,FALSE)</f>
        <v>#N/A</v>
      </c>
      <c r="AR169" s="1"/>
      <c r="AS169" s="461" t="str">
        <f t="shared" si="40"/>
        <v/>
      </c>
      <c r="AT169" s="370"/>
    </row>
    <row r="170" spans="1:46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435">
        <f>IF(AND(W170&gt;=$U$1,W170&lt;=$U$2),IF(X170='ESTRATTO CONTO'!$E$2,1+COUNTIF(U$4:U169,"&gt;0"),0),0)</f>
        <v>0</v>
      </c>
      <c r="V170" s="417">
        <f t="shared" si="41"/>
        <v>167</v>
      </c>
      <c r="W170" s="509"/>
      <c r="X170" s="321"/>
      <c r="Y170" s="321"/>
      <c r="Z170" s="433"/>
      <c r="AA170" s="356"/>
      <c r="AB170" s="306" t="str">
        <f t="shared" si="36"/>
        <v/>
      </c>
      <c r="AC170" s="893">
        <f t="shared" si="37"/>
        <v>0</v>
      </c>
      <c r="AD170" s="322"/>
      <c r="AE170" s="1"/>
      <c r="AF170" s="223">
        <f>IF(ISBLANK(AD170),0,COUNTIF(AF$4:AF169,"&gt;0")+1)</f>
        <v>0</v>
      </c>
      <c r="AG170" s="164">
        <f t="shared" si="43"/>
        <v>0</v>
      </c>
      <c r="AH170" s="99">
        <f t="shared" si="38"/>
        <v>0</v>
      </c>
      <c r="AI170" s="99">
        <f t="shared" si="44"/>
        <v>0</v>
      </c>
      <c r="AJ170" s="170">
        <f t="shared" si="45"/>
        <v>0</v>
      </c>
      <c r="AK170" s="204">
        <f t="shared" si="39"/>
        <v>0</v>
      </c>
      <c r="AL170" s="1049">
        <f>IF(ISERROR(AO170),0,IF(AND(AN170&gt;=$U$1,AN170&lt;=$U$2),IF(AO170='ESTRATTO CONTO'!$E$2,1+COUNTIF(AL$4:AL169,"&gt;0")+U$1009,0),0))</f>
        <v>0</v>
      </c>
      <c r="AM170" s="747">
        <f t="shared" si="42"/>
        <v>167</v>
      </c>
      <c r="AN170" s="164" t="e">
        <f>VLOOKUP($AM170,PATRIMONIALE!$AV222:AW$1003,2,FALSE)</f>
        <v>#N/A</v>
      </c>
      <c r="AO170" s="310" t="e">
        <f>VLOOKUP($AM170,PATRIMONIALE!$AV222:AX$1003,3,FALSE)</f>
        <v>#N/A</v>
      </c>
      <c r="AP170" s="310" t="e">
        <f>VLOOKUP($AM170,PATRIMONIALE!$AV222:AY$1003,4,FALSE)</f>
        <v>#N/A</v>
      </c>
      <c r="AQ170" s="748" t="e">
        <f>VLOOKUP($AM170,PATRIMONIALE!$AV222:AZ$1003,5,FALSE)</f>
        <v>#N/A</v>
      </c>
      <c r="AR170" s="1"/>
      <c r="AS170" s="461" t="str">
        <f t="shared" si="40"/>
        <v/>
      </c>
      <c r="AT170" s="370"/>
    </row>
    <row r="171" spans="1:46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435">
        <f>IF(AND(W171&gt;=$U$1,W171&lt;=$U$2),IF(X171='ESTRATTO CONTO'!$E$2,1+COUNTIF(U$4:U170,"&gt;0"),0),0)</f>
        <v>0</v>
      </c>
      <c r="V171" s="417">
        <f t="shared" si="41"/>
        <v>168</v>
      </c>
      <c r="W171" s="509"/>
      <c r="X171" s="321"/>
      <c r="Y171" s="321"/>
      <c r="Z171" s="433"/>
      <c r="AA171" s="356"/>
      <c r="AB171" s="306" t="str">
        <f t="shared" si="36"/>
        <v/>
      </c>
      <c r="AC171" s="893">
        <f t="shared" si="37"/>
        <v>0</v>
      </c>
      <c r="AD171" s="322"/>
      <c r="AE171" s="1"/>
      <c r="AF171" s="223">
        <f>IF(ISBLANK(AD171),0,COUNTIF(AF$4:AF170,"&gt;0")+1)</f>
        <v>0</v>
      </c>
      <c r="AG171" s="164">
        <f t="shared" si="43"/>
        <v>0</v>
      </c>
      <c r="AH171" s="99">
        <f t="shared" si="38"/>
        <v>0</v>
      </c>
      <c r="AI171" s="99">
        <f t="shared" si="44"/>
        <v>0</v>
      </c>
      <c r="AJ171" s="170">
        <f t="shared" si="45"/>
        <v>0</v>
      </c>
      <c r="AK171" s="204">
        <f t="shared" si="39"/>
        <v>0</v>
      </c>
      <c r="AL171" s="1049">
        <f>IF(ISERROR(AO171),0,IF(AND(AN171&gt;=$U$1,AN171&lt;=$U$2),IF(AO171='ESTRATTO CONTO'!$E$2,1+COUNTIF(AL$4:AL170,"&gt;0")+U$1009,0),0))</f>
        <v>0</v>
      </c>
      <c r="AM171" s="747">
        <f t="shared" si="42"/>
        <v>168</v>
      </c>
      <c r="AN171" s="164" t="e">
        <f>VLOOKUP($AM171,PATRIMONIALE!$AV223:AW$1003,2,FALSE)</f>
        <v>#N/A</v>
      </c>
      <c r="AO171" s="310" t="e">
        <f>VLOOKUP($AM171,PATRIMONIALE!$AV223:AX$1003,3,FALSE)</f>
        <v>#N/A</v>
      </c>
      <c r="AP171" s="310" t="e">
        <f>VLOOKUP($AM171,PATRIMONIALE!$AV223:AY$1003,4,FALSE)</f>
        <v>#N/A</v>
      </c>
      <c r="AQ171" s="748" t="e">
        <f>VLOOKUP($AM171,PATRIMONIALE!$AV223:AZ$1003,5,FALSE)</f>
        <v>#N/A</v>
      </c>
      <c r="AR171" s="1"/>
      <c r="AS171" s="461" t="str">
        <f t="shared" si="40"/>
        <v/>
      </c>
      <c r="AT171" s="370"/>
    </row>
    <row r="172" spans="1:46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435">
        <f>IF(AND(W172&gt;=$U$1,W172&lt;=$U$2),IF(X172='ESTRATTO CONTO'!$E$2,1+COUNTIF(U$4:U171,"&gt;0"),0),0)</f>
        <v>0</v>
      </c>
      <c r="V172" s="417">
        <f t="shared" si="41"/>
        <v>169</v>
      </c>
      <c r="W172" s="509"/>
      <c r="X172" s="321"/>
      <c r="Y172" s="321"/>
      <c r="Z172" s="433"/>
      <c r="AA172" s="356"/>
      <c r="AB172" s="306" t="str">
        <f t="shared" si="36"/>
        <v/>
      </c>
      <c r="AC172" s="893">
        <f t="shared" si="37"/>
        <v>0</v>
      </c>
      <c r="AD172" s="322"/>
      <c r="AE172" s="1"/>
      <c r="AF172" s="223">
        <f>IF(ISBLANK(AD172),0,COUNTIF(AF$4:AF171,"&gt;0")+1)</f>
        <v>0</v>
      </c>
      <c r="AG172" s="164">
        <f t="shared" si="43"/>
        <v>0</v>
      </c>
      <c r="AH172" s="99">
        <f t="shared" si="38"/>
        <v>0</v>
      </c>
      <c r="AI172" s="99">
        <f t="shared" si="44"/>
        <v>0</v>
      </c>
      <c r="AJ172" s="170">
        <f t="shared" si="45"/>
        <v>0</v>
      </c>
      <c r="AK172" s="204">
        <f t="shared" si="39"/>
        <v>0</v>
      </c>
      <c r="AL172" s="1049">
        <f>IF(ISERROR(AO172),0,IF(AND(AN172&gt;=$U$1,AN172&lt;=$U$2),IF(AO172='ESTRATTO CONTO'!$E$2,1+COUNTIF(AL$4:AL171,"&gt;0")+U$1009,0),0))</f>
        <v>0</v>
      </c>
      <c r="AM172" s="747">
        <f t="shared" si="42"/>
        <v>169</v>
      </c>
      <c r="AN172" s="164" t="e">
        <f>VLOOKUP($AM172,PATRIMONIALE!$AV224:AW$1003,2,FALSE)</f>
        <v>#N/A</v>
      </c>
      <c r="AO172" s="310" t="e">
        <f>VLOOKUP($AM172,PATRIMONIALE!$AV224:AX$1003,3,FALSE)</f>
        <v>#N/A</v>
      </c>
      <c r="AP172" s="310" t="e">
        <f>VLOOKUP($AM172,PATRIMONIALE!$AV224:AY$1003,4,FALSE)</f>
        <v>#N/A</v>
      </c>
      <c r="AQ172" s="748" t="e">
        <f>VLOOKUP($AM172,PATRIMONIALE!$AV224:AZ$1003,5,FALSE)</f>
        <v>#N/A</v>
      </c>
      <c r="AR172" s="1"/>
      <c r="AS172" s="461" t="str">
        <f t="shared" si="40"/>
        <v/>
      </c>
      <c r="AT172" s="370"/>
    </row>
    <row r="173" spans="1:46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435">
        <f>IF(AND(W173&gt;=$U$1,W173&lt;=$U$2),IF(X173='ESTRATTO CONTO'!$E$2,1+COUNTIF(U$4:U172,"&gt;0"),0),0)</f>
        <v>0</v>
      </c>
      <c r="V173" s="417">
        <f t="shared" si="41"/>
        <v>170</v>
      </c>
      <c r="W173" s="509"/>
      <c r="X173" s="321"/>
      <c r="Y173" s="321"/>
      <c r="Z173" s="433"/>
      <c r="AA173" s="356"/>
      <c r="AB173" s="306" t="str">
        <f t="shared" si="36"/>
        <v/>
      </c>
      <c r="AC173" s="893">
        <f t="shared" si="37"/>
        <v>0</v>
      </c>
      <c r="AD173" s="322"/>
      <c r="AE173" s="1"/>
      <c r="AF173" s="223">
        <f>IF(ISBLANK(AD173),0,COUNTIF(AF$4:AF172,"&gt;0")+1)</f>
        <v>0</v>
      </c>
      <c r="AG173" s="164">
        <f t="shared" si="43"/>
        <v>0</v>
      </c>
      <c r="AH173" s="99">
        <f t="shared" si="38"/>
        <v>0</v>
      </c>
      <c r="AI173" s="99">
        <f t="shared" si="44"/>
        <v>0</v>
      </c>
      <c r="AJ173" s="170">
        <f t="shared" si="45"/>
        <v>0</v>
      </c>
      <c r="AK173" s="204">
        <f t="shared" si="39"/>
        <v>0</v>
      </c>
      <c r="AL173" s="1049">
        <f>IF(ISERROR(AO173),0,IF(AND(AN173&gt;=$U$1,AN173&lt;=$U$2),IF(AO173='ESTRATTO CONTO'!$E$2,1+COUNTIF(AL$4:AL172,"&gt;0")+U$1009,0),0))</f>
        <v>0</v>
      </c>
      <c r="AM173" s="747">
        <f t="shared" si="42"/>
        <v>170</v>
      </c>
      <c r="AN173" s="164" t="e">
        <f>VLOOKUP($AM173,PATRIMONIALE!$AV225:AW$1003,2,FALSE)</f>
        <v>#N/A</v>
      </c>
      <c r="AO173" s="310" t="e">
        <f>VLOOKUP($AM173,PATRIMONIALE!$AV225:AX$1003,3,FALSE)</f>
        <v>#N/A</v>
      </c>
      <c r="AP173" s="310" t="e">
        <f>VLOOKUP($AM173,PATRIMONIALE!$AV225:AY$1003,4,FALSE)</f>
        <v>#N/A</v>
      </c>
      <c r="AQ173" s="748" t="e">
        <f>VLOOKUP($AM173,PATRIMONIALE!$AV225:AZ$1003,5,FALSE)</f>
        <v>#N/A</v>
      </c>
      <c r="AR173" s="1"/>
      <c r="AS173" s="461" t="str">
        <f t="shared" si="40"/>
        <v/>
      </c>
      <c r="AT173" s="370"/>
    </row>
    <row r="174" spans="1:46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435">
        <f>IF(AND(W174&gt;=$U$1,W174&lt;=$U$2),IF(X174='ESTRATTO CONTO'!$E$2,1+COUNTIF(U$4:U173,"&gt;0"),0),0)</f>
        <v>0</v>
      </c>
      <c r="V174" s="417">
        <f t="shared" si="41"/>
        <v>171</v>
      </c>
      <c r="W174" s="509"/>
      <c r="X174" s="321"/>
      <c r="Y174" s="321"/>
      <c r="Z174" s="433"/>
      <c r="AA174" s="356"/>
      <c r="AB174" s="306" t="str">
        <f t="shared" si="36"/>
        <v/>
      </c>
      <c r="AC174" s="893">
        <f t="shared" si="37"/>
        <v>0</v>
      </c>
      <c r="AD174" s="322"/>
      <c r="AE174" s="1"/>
      <c r="AF174" s="223">
        <f>IF(ISBLANK(AD174),0,COUNTIF(AF$4:AF173,"&gt;0")+1)</f>
        <v>0</v>
      </c>
      <c r="AG174" s="164">
        <f t="shared" si="43"/>
        <v>0</v>
      </c>
      <c r="AH174" s="99">
        <f t="shared" si="38"/>
        <v>0</v>
      </c>
      <c r="AI174" s="99">
        <f t="shared" si="44"/>
        <v>0</v>
      </c>
      <c r="AJ174" s="170">
        <f t="shared" si="45"/>
        <v>0</v>
      </c>
      <c r="AK174" s="204">
        <f t="shared" si="39"/>
        <v>0</v>
      </c>
      <c r="AL174" s="1049">
        <f>IF(ISERROR(AO174),0,IF(AND(AN174&gt;=$U$1,AN174&lt;=$U$2),IF(AO174='ESTRATTO CONTO'!$E$2,1+COUNTIF(AL$4:AL173,"&gt;0")+U$1009,0),0))</f>
        <v>0</v>
      </c>
      <c r="AM174" s="747">
        <f t="shared" si="42"/>
        <v>171</v>
      </c>
      <c r="AN174" s="164" t="e">
        <f>VLOOKUP($AM174,PATRIMONIALE!$AV226:AW$1003,2,FALSE)</f>
        <v>#N/A</v>
      </c>
      <c r="AO174" s="310" t="e">
        <f>VLOOKUP($AM174,PATRIMONIALE!$AV226:AX$1003,3,FALSE)</f>
        <v>#N/A</v>
      </c>
      <c r="AP174" s="310" t="e">
        <f>VLOOKUP($AM174,PATRIMONIALE!$AV226:AY$1003,4,FALSE)</f>
        <v>#N/A</v>
      </c>
      <c r="AQ174" s="748" t="e">
        <f>VLOOKUP($AM174,PATRIMONIALE!$AV226:AZ$1003,5,FALSE)</f>
        <v>#N/A</v>
      </c>
      <c r="AR174" s="1"/>
      <c r="AS174" s="461" t="str">
        <f t="shared" si="40"/>
        <v/>
      </c>
      <c r="AT174" s="370"/>
    </row>
    <row r="175" spans="1:46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435">
        <f>IF(AND(W175&gt;=$U$1,W175&lt;=$U$2),IF(X175='ESTRATTO CONTO'!$E$2,1+COUNTIF(U$4:U174,"&gt;0"),0),0)</f>
        <v>0</v>
      </c>
      <c r="V175" s="417">
        <f t="shared" si="41"/>
        <v>172</v>
      </c>
      <c r="W175" s="509"/>
      <c r="X175" s="321"/>
      <c r="Y175" s="321"/>
      <c r="Z175" s="433"/>
      <c r="AA175" s="356"/>
      <c r="AB175" s="306" t="str">
        <f t="shared" si="36"/>
        <v/>
      </c>
      <c r="AC175" s="893">
        <f t="shared" si="37"/>
        <v>0</v>
      </c>
      <c r="AD175" s="322"/>
      <c r="AE175" s="1"/>
      <c r="AF175" s="223">
        <f>IF(ISBLANK(AD175),0,COUNTIF(AF$4:AF174,"&gt;0")+1)</f>
        <v>0</v>
      </c>
      <c r="AG175" s="164">
        <f t="shared" si="43"/>
        <v>0</v>
      </c>
      <c r="AH175" s="99">
        <f t="shared" si="38"/>
        <v>0</v>
      </c>
      <c r="AI175" s="99">
        <f t="shared" si="44"/>
        <v>0</v>
      </c>
      <c r="AJ175" s="170">
        <f t="shared" si="45"/>
        <v>0</v>
      </c>
      <c r="AK175" s="204">
        <f t="shared" si="39"/>
        <v>0</v>
      </c>
      <c r="AL175" s="1049">
        <f>IF(ISERROR(AO175),0,IF(AND(AN175&gt;=$U$1,AN175&lt;=$U$2),IF(AO175='ESTRATTO CONTO'!$E$2,1+COUNTIF(AL$4:AL174,"&gt;0")+U$1009,0),0))</f>
        <v>0</v>
      </c>
      <c r="AM175" s="747">
        <f t="shared" si="42"/>
        <v>172</v>
      </c>
      <c r="AN175" s="164" t="e">
        <f>VLOOKUP($AM175,PATRIMONIALE!$AV227:AW$1003,2,FALSE)</f>
        <v>#N/A</v>
      </c>
      <c r="AO175" s="310" t="e">
        <f>VLOOKUP($AM175,PATRIMONIALE!$AV227:AX$1003,3,FALSE)</f>
        <v>#N/A</v>
      </c>
      <c r="AP175" s="310" t="e">
        <f>VLOOKUP($AM175,PATRIMONIALE!$AV227:AY$1003,4,FALSE)</f>
        <v>#N/A</v>
      </c>
      <c r="AQ175" s="748" t="e">
        <f>VLOOKUP($AM175,PATRIMONIALE!$AV227:AZ$1003,5,FALSE)</f>
        <v>#N/A</v>
      </c>
      <c r="AR175" s="1"/>
      <c r="AS175" s="461" t="str">
        <f t="shared" si="40"/>
        <v/>
      </c>
      <c r="AT175" s="370"/>
    </row>
    <row r="176" spans="1:46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435">
        <f>IF(AND(W176&gt;=$U$1,W176&lt;=$U$2),IF(X176='ESTRATTO CONTO'!$E$2,1+COUNTIF(U$4:U175,"&gt;0"),0),0)</f>
        <v>0</v>
      </c>
      <c r="V176" s="417">
        <f t="shared" si="41"/>
        <v>173</v>
      </c>
      <c r="W176" s="509"/>
      <c r="X176" s="321"/>
      <c r="Y176" s="321"/>
      <c r="Z176" s="433"/>
      <c r="AA176" s="356"/>
      <c r="AB176" s="306" t="str">
        <f t="shared" si="36"/>
        <v/>
      </c>
      <c r="AC176" s="893">
        <f t="shared" si="37"/>
        <v>0</v>
      </c>
      <c r="AD176" s="322"/>
      <c r="AE176" s="1"/>
      <c r="AF176" s="223">
        <f>IF(ISBLANK(AD176),0,COUNTIF(AF$4:AF175,"&gt;0")+1)</f>
        <v>0</v>
      </c>
      <c r="AG176" s="164">
        <f t="shared" si="43"/>
        <v>0</v>
      </c>
      <c r="AH176" s="99">
        <f t="shared" si="38"/>
        <v>0</v>
      </c>
      <c r="AI176" s="99">
        <f t="shared" si="44"/>
        <v>0</v>
      </c>
      <c r="AJ176" s="170">
        <f t="shared" si="45"/>
        <v>0</v>
      </c>
      <c r="AK176" s="204">
        <f t="shared" si="39"/>
        <v>0</v>
      </c>
      <c r="AL176" s="1049">
        <f>IF(ISERROR(AO176),0,IF(AND(AN176&gt;=$U$1,AN176&lt;=$U$2),IF(AO176='ESTRATTO CONTO'!$E$2,1+COUNTIF(AL$4:AL175,"&gt;0")+U$1009,0),0))</f>
        <v>0</v>
      </c>
      <c r="AM176" s="747">
        <f t="shared" si="42"/>
        <v>173</v>
      </c>
      <c r="AN176" s="164" t="e">
        <f>VLOOKUP($AM176,PATRIMONIALE!$AV228:AW$1003,2,FALSE)</f>
        <v>#N/A</v>
      </c>
      <c r="AO176" s="310" t="e">
        <f>VLOOKUP($AM176,PATRIMONIALE!$AV228:AX$1003,3,FALSE)</f>
        <v>#N/A</v>
      </c>
      <c r="AP176" s="310" t="e">
        <f>VLOOKUP($AM176,PATRIMONIALE!$AV228:AY$1003,4,FALSE)</f>
        <v>#N/A</v>
      </c>
      <c r="AQ176" s="748" t="e">
        <f>VLOOKUP($AM176,PATRIMONIALE!$AV228:AZ$1003,5,FALSE)</f>
        <v>#N/A</v>
      </c>
      <c r="AR176" s="1"/>
      <c r="AS176" s="461" t="str">
        <f t="shared" si="40"/>
        <v/>
      </c>
      <c r="AT176" s="370"/>
    </row>
    <row r="177" spans="1:46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435">
        <f>IF(AND(W177&gt;=$U$1,W177&lt;=$U$2),IF(X177='ESTRATTO CONTO'!$E$2,1+COUNTIF(U$4:U176,"&gt;0"),0),0)</f>
        <v>0</v>
      </c>
      <c r="V177" s="417">
        <f t="shared" si="41"/>
        <v>174</v>
      </c>
      <c r="W177" s="509"/>
      <c r="X177" s="321"/>
      <c r="Y177" s="321"/>
      <c r="Z177" s="433"/>
      <c r="AA177" s="356"/>
      <c r="AB177" s="306" t="str">
        <f t="shared" si="36"/>
        <v/>
      </c>
      <c r="AC177" s="893">
        <f t="shared" si="37"/>
        <v>0</v>
      </c>
      <c r="AD177" s="322"/>
      <c r="AE177" s="1"/>
      <c r="AF177" s="223">
        <f>IF(ISBLANK(AD177),0,COUNTIF(AF$4:AF176,"&gt;0")+1)</f>
        <v>0</v>
      </c>
      <c r="AG177" s="164">
        <f t="shared" si="43"/>
        <v>0</v>
      </c>
      <c r="AH177" s="99">
        <f t="shared" si="38"/>
        <v>0</v>
      </c>
      <c r="AI177" s="99">
        <f t="shared" si="44"/>
        <v>0</v>
      </c>
      <c r="AJ177" s="170">
        <f t="shared" si="45"/>
        <v>0</v>
      </c>
      <c r="AK177" s="204">
        <f t="shared" si="39"/>
        <v>0</v>
      </c>
      <c r="AL177" s="1049">
        <f>IF(ISERROR(AO177),0,IF(AND(AN177&gt;=$U$1,AN177&lt;=$U$2),IF(AO177='ESTRATTO CONTO'!$E$2,1+COUNTIF(AL$4:AL176,"&gt;0")+U$1009,0),0))</f>
        <v>0</v>
      </c>
      <c r="AM177" s="747">
        <f t="shared" si="42"/>
        <v>174</v>
      </c>
      <c r="AN177" s="164" t="e">
        <f>VLOOKUP($AM177,PATRIMONIALE!$AV229:AW$1003,2,FALSE)</f>
        <v>#N/A</v>
      </c>
      <c r="AO177" s="310" t="e">
        <f>VLOOKUP($AM177,PATRIMONIALE!$AV229:AX$1003,3,FALSE)</f>
        <v>#N/A</v>
      </c>
      <c r="AP177" s="310" t="e">
        <f>VLOOKUP($AM177,PATRIMONIALE!$AV229:AY$1003,4,FALSE)</f>
        <v>#N/A</v>
      </c>
      <c r="AQ177" s="748" t="e">
        <f>VLOOKUP($AM177,PATRIMONIALE!$AV229:AZ$1003,5,FALSE)</f>
        <v>#N/A</v>
      </c>
      <c r="AR177" s="1"/>
      <c r="AS177" s="461" t="str">
        <f t="shared" si="40"/>
        <v/>
      </c>
      <c r="AT177" s="370"/>
    </row>
    <row r="178" spans="1:46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435">
        <f>IF(AND(W178&gt;=$U$1,W178&lt;=$U$2),IF(X178='ESTRATTO CONTO'!$E$2,1+COUNTIF(U$4:U177,"&gt;0"),0),0)</f>
        <v>0</v>
      </c>
      <c r="V178" s="417">
        <f t="shared" si="41"/>
        <v>175</v>
      </c>
      <c r="W178" s="509"/>
      <c r="X178" s="321"/>
      <c r="Y178" s="321"/>
      <c r="Z178" s="433"/>
      <c r="AA178" s="356"/>
      <c r="AB178" s="306" t="str">
        <f t="shared" si="36"/>
        <v/>
      </c>
      <c r="AC178" s="893">
        <f t="shared" si="37"/>
        <v>0</v>
      </c>
      <c r="AD178" s="322"/>
      <c r="AE178" s="1"/>
      <c r="AF178" s="223">
        <f>IF(ISBLANK(AD178),0,COUNTIF(AF$4:AF177,"&gt;0")+1)</f>
        <v>0</v>
      </c>
      <c r="AG178" s="164">
        <f t="shared" si="43"/>
        <v>0</v>
      </c>
      <c r="AH178" s="99">
        <f t="shared" si="38"/>
        <v>0</v>
      </c>
      <c r="AI178" s="99">
        <f t="shared" si="44"/>
        <v>0</v>
      </c>
      <c r="AJ178" s="170">
        <f t="shared" si="45"/>
        <v>0</v>
      </c>
      <c r="AK178" s="204">
        <f t="shared" si="39"/>
        <v>0</v>
      </c>
      <c r="AL178" s="1049">
        <f>IF(ISERROR(AO178),0,IF(AND(AN178&gt;=$U$1,AN178&lt;=$U$2),IF(AO178='ESTRATTO CONTO'!$E$2,1+COUNTIF(AL$4:AL177,"&gt;0")+U$1009,0),0))</f>
        <v>0</v>
      </c>
      <c r="AM178" s="747">
        <f t="shared" si="42"/>
        <v>175</v>
      </c>
      <c r="AN178" s="164" t="e">
        <f>VLOOKUP($AM178,PATRIMONIALE!$AV230:AW$1003,2,FALSE)</f>
        <v>#N/A</v>
      </c>
      <c r="AO178" s="310" t="e">
        <f>VLOOKUP($AM178,PATRIMONIALE!$AV230:AX$1003,3,FALSE)</f>
        <v>#N/A</v>
      </c>
      <c r="AP178" s="310" t="e">
        <f>VLOOKUP($AM178,PATRIMONIALE!$AV230:AY$1003,4,FALSE)</f>
        <v>#N/A</v>
      </c>
      <c r="AQ178" s="748" t="e">
        <f>VLOOKUP($AM178,PATRIMONIALE!$AV230:AZ$1003,5,FALSE)</f>
        <v>#N/A</v>
      </c>
      <c r="AR178" s="1"/>
      <c r="AS178" s="461" t="str">
        <f t="shared" si="40"/>
        <v/>
      </c>
      <c r="AT178" s="370"/>
    </row>
    <row r="179" spans="1:46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435">
        <f>IF(AND(W179&gt;=$U$1,W179&lt;=$U$2),IF(X179='ESTRATTO CONTO'!$E$2,1+COUNTIF(U$4:U178,"&gt;0"),0),0)</f>
        <v>0</v>
      </c>
      <c r="V179" s="417">
        <f t="shared" si="41"/>
        <v>176</v>
      </c>
      <c r="W179" s="509"/>
      <c r="X179" s="321"/>
      <c r="Y179" s="321"/>
      <c r="Z179" s="433"/>
      <c r="AA179" s="356"/>
      <c r="AB179" s="306" t="str">
        <f t="shared" si="36"/>
        <v/>
      </c>
      <c r="AC179" s="893">
        <f t="shared" si="37"/>
        <v>0</v>
      </c>
      <c r="AD179" s="322"/>
      <c r="AE179" s="1"/>
      <c r="AF179" s="223">
        <f>IF(ISBLANK(AD179),0,COUNTIF(AF$4:AF178,"&gt;0")+1)</f>
        <v>0</v>
      </c>
      <c r="AG179" s="164">
        <f t="shared" si="43"/>
        <v>0</v>
      </c>
      <c r="AH179" s="99">
        <f t="shared" si="38"/>
        <v>0</v>
      </c>
      <c r="AI179" s="99">
        <f t="shared" si="44"/>
        <v>0</v>
      </c>
      <c r="AJ179" s="170">
        <f t="shared" si="45"/>
        <v>0</v>
      </c>
      <c r="AK179" s="204">
        <f t="shared" si="39"/>
        <v>0</v>
      </c>
      <c r="AL179" s="1049">
        <f>IF(ISERROR(AO179),0,IF(AND(AN179&gt;=$U$1,AN179&lt;=$U$2),IF(AO179='ESTRATTO CONTO'!$E$2,1+COUNTIF(AL$4:AL178,"&gt;0")+U$1009,0),0))</f>
        <v>0</v>
      </c>
      <c r="AM179" s="747">
        <f t="shared" si="42"/>
        <v>176</v>
      </c>
      <c r="AN179" s="164" t="e">
        <f>VLOOKUP($AM179,PATRIMONIALE!$AV231:AW$1003,2,FALSE)</f>
        <v>#N/A</v>
      </c>
      <c r="AO179" s="310" t="e">
        <f>VLOOKUP($AM179,PATRIMONIALE!$AV231:AX$1003,3,FALSE)</f>
        <v>#N/A</v>
      </c>
      <c r="AP179" s="310" t="e">
        <f>VLOOKUP($AM179,PATRIMONIALE!$AV231:AY$1003,4,FALSE)</f>
        <v>#N/A</v>
      </c>
      <c r="AQ179" s="748" t="e">
        <f>VLOOKUP($AM179,PATRIMONIALE!$AV231:AZ$1003,5,FALSE)</f>
        <v>#N/A</v>
      </c>
      <c r="AR179" s="1"/>
      <c r="AS179" s="461" t="str">
        <f t="shared" si="40"/>
        <v/>
      </c>
      <c r="AT179" s="370"/>
    </row>
    <row r="180" spans="1:46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435">
        <f>IF(AND(W180&gt;=$U$1,W180&lt;=$U$2),IF(X180='ESTRATTO CONTO'!$E$2,1+COUNTIF(U$4:U179,"&gt;0"),0),0)</f>
        <v>0</v>
      </c>
      <c r="V180" s="417">
        <f t="shared" si="41"/>
        <v>177</v>
      </c>
      <c r="W180" s="509"/>
      <c r="X180" s="321"/>
      <c r="Y180" s="321"/>
      <c r="Z180" s="433"/>
      <c r="AA180" s="356"/>
      <c r="AB180" s="306" t="str">
        <f t="shared" si="36"/>
        <v/>
      </c>
      <c r="AC180" s="893">
        <f t="shared" si="37"/>
        <v>0</v>
      </c>
      <c r="AD180" s="322"/>
      <c r="AE180" s="1"/>
      <c r="AF180" s="223">
        <f>IF(ISBLANK(AD180),0,COUNTIF(AF$4:AF179,"&gt;0")+1)</f>
        <v>0</v>
      </c>
      <c r="AG180" s="164">
        <f t="shared" si="43"/>
        <v>0</v>
      </c>
      <c r="AH180" s="99">
        <f t="shared" si="38"/>
        <v>0</v>
      </c>
      <c r="AI180" s="99">
        <f t="shared" si="44"/>
        <v>0</v>
      </c>
      <c r="AJ180" s="170">
        <f t="shared" si="45"/>
        <v>0</v>
      </c>
      <c r="AK180" s="204">
        <f t="shared" si="39"/>
        <v>0</v>
      </c>
      <c r="AL180" s="1049">
        <f>IF(ISERROR(AO180),0,IF(AND(AN180&gt;=$U$1,AN180&lt;=$U$2),IF(AO180='ESTRATTO CONTO'!$E$2,1+COUNTIF(AL$4:AL179,"&gt;0")+U$1009,0),0))</f>
        <v>0</v>
      </c>
      <c r="AM180" s="747">
        <f t="shared" si="42"/>
        <v>177</v>
      </c>
      <c r="AN180" s="164" t="e">
        <f>VLOOKUP($AM180,PATRIMONIALE!$AV232:AW$1003,2,FALSE)</f>
        <v>#N/A</v>
      </c>
      <c r="AO180" s="310" t="e">
        <f>VLOOKUP($AM180,PATRIMONIALE!$AV232:AX$1003,3,FALSE)</f>
        <v>#N/A</v>
      </c>
      <c r="AP180" s="310" t="e">
        <f>VLOOKUP($AM180,PATRIMONIALE!$AV232:AY$1003,4,FALSE)</f>
        <v>#N/A</v>
      </c>
      <c r="AQ180" s="748" t="e">
        <f>VLOOKUP($AM180,PATRIMONIALE!$AV232:AZ$1003,5,FALSE)</f>
        <v>#N/A</v>
      </c>
      <c r="AR180" s="1"/>
      <c r="AS180" s="461" t="str">
        <f t="shared" si="40"/>
        <v/>
      </c>
      <c r="AT180" s="370"/>
    </row>
    <row r="181" spans="1:46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435">
        <f>IF(AND(W181&gt;=$U$1,W181&lt;=$U$2),IF(X181='ESTRATTO CONTO'!$E$2,1+COUNTIF(U$4:U180,"&gt;0"),0),0)</f>
        <v>0</v>
      </c>
      <c r="V181" s="417">
        <f t="shared" si="41"/>
        <v>178</v>
      </c>
      <c r="W181" s="509"/>
      <c r="X181" s="321"/>
      <c r="Y181" s="321"/>
      <c r="Z181" s="433"/>
      <c r="AA181" s="356"/>
      <c r="AB181" s="306" t="str">
        <f t="shared" si="36"/>
        <v/>
      </c>
      <c r="AC181" s="893">
        <f t="shared" si="37"/>
        <v>0</v>
      </c>
      <c r="AD181" s="322"/>
      <c r="AE181" s="1"/>
      <c r="AF181" s="223">
        <f>IF(ISBLANK(AD181),0,COUNTIF(AF$4:AF180,"&gt;0")+1)</f>
        <v>0</v>
      </c>
      <c r="AG181" s="164">
        <f t="shared" si="43"/>
        <v>0</v>
      </c>
      <c r="AH181" s="99">
        <f t="shared" si="38"/>
        <v>0</v>
      </c>
      <c r="AI181" s="99">
        <f t="shared" si="44"/>
        <v>0</v>
      </c>
      <c r="AJ181" s="170">
        <f t="shared" si="45"/>
        <v>0</v>
      </c>
      <c r="AK181" s="204">
        <f t="shared" si="39"/>
        <v>0</v>
      </c>
      <c r="AL181" s="1049">
        <f>IF(ISERROR(AO181),0,IF(AND(AN181&gt;=$U$1,AN181&lt;=$U$2),IF(AO181='ESTRATTO CONTO'!$E$2,1+COUNTIF(AL$4:AL180,"&gt;0")+U$1009,0),0))</f>
        <v>0</v>
      </c>
      <c r="AM181" s="747">
        <f t="shared" si="42"/>
        <v>178</v>
      </c>
      <c r="AN181" s="164" t="e">
        <f>VLOOKUP($AM181,PATRIMONIALE!$AV233:AW$1003,2,FALSE)</f>
        <v>#N/A</v>
      </c>
      <c r="AO181" s="310" t="e">
        <f>VLOOKUP($AM181,PATRIMONIALE!$AV233:AX$1003,3,FALSE)</f>
        <v>#N/A</v>
      </c>
      <c r="AP181" s="310" t="e">
        <f>VLOOKUP($AM181,PATRIMONIALE!$AV233:AY$1003,4,FALSE)</f>
        <v>#N/A</v>
      </c>
      <c r="AQ181" s="748" t="e">
        <f>VLOOKUP($AM181,PATRIMONIALE!$AV233:AZ$1003,5,FALSE)</f>
        <v>#N/A</v>
      </c>
      <c r="AR181" s="1"/>
      <c r="AS181" s="461" t="str">
        <f t="shared" si="40"/>
        <v/>
      </c>
      <c r="AT181" s="370"/>
    </row>
    <row r="182" spans="1:46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435">
        <f>IF(AND(W182&gt;=$U$1,W182&lt;=$U$2),IF(X182='ESTRATTO CONTO'!$E$2,1+COUNTIF(U$4:U181,"&gt;0"),0),0)</f>
        <v>0</v>
      </c>
      <c r="V182" s="417">
        <f t="shared" si="41"/>
        <v>179</v>
      </c>
      <c r="W182" s="509"/>
      <c r="X182" s="321"/>
      <c r="Y182" s="321"/>
      <c r="Z182" s="433"/>
      <c r="AA182" s="356"/>
      <c r="AB182" s="306" t="str">
        <f t="shared" si="36"/>
        <v/>
      </c>
      <c r="AC182" s="893">
        <f t="shared" si="37"/>
        <v>0</v>
      </c>
      <c r="AD182" s="322"/>
      <c r="AE182" s="1"/>
      <c r="AF182" s="223">
        <f>IF(ISBLANK(AD182),0,COUNTIF(AF$4:AF181,"&gt;0")+1)</f>
        <v>0</v>
      </c>
      <c r="AG182" s="164">
        <f t="shared" si="43"/>
        <v>0</v>
      </c>
      <c r="AH182" s="99">
        <f t="shared" si="38"/>
        <v>0</v>
      </c>
      <c r="AI182" s="99">
        <f t="shared" si="44"/>
        <v>0</v>
      </c>
      <c r="AJ182" s="170">
        <f t="shared" si="45"/>
        <v>0</v>
      </c>
      <c r="AK182" s="204">
        <f t="shared" si="39"/>
        <v>0</v>
      </c>
      <c r="AL182" s="1049">
        <f>IF(ISERROR(AO182),0,IF(AND(AN182&gt;=$U$1,AN182&lt;=$U$2),IF(AO182='ESTRATTO CONTO'!$E$2,1+COUNTIF(AL$4:AL181,"&gt;0")+U$1009,0),0))</f>
        <v>0</v>
      </c>
      <c r="AM182" s="747">
        <f t="shared" si="42"/>
        <v>179</v>
      </c>
      <c r="AN182" s="164" t="e">
        <f>VLOOKUP($AM182,PATRIMONIALE!$AV234:AW$1003,2,FALSE)</f>
        <v>#N/A</v>
      </c>
      <c r="AO182" s="310" t="e">
        <f>VLOOKUP($AM182,PATRIMONIALE!$AV234:AX$1003,3,FALSE)</f>
        <v>#N/A</v>
      </c>
      <c r="AP182" s="310" t="e">
        <f>VLOOKUP($AM182,PATRIMONIALE!$AV234:AY$1003,4,FALSE)</f>
        <v>#N/A</v>
      </c>
      <c r="AQ182" s="748" t="e">
        <f>VLOOKUP($AM182,PATRIMONIALE!$AV234:AZ$1003,5,FALSE)</f>
        <v>#N/A</v>
      </c>
      <c r="AR182" s="1"/>
      <c r="AS182" s="461" t="str">
        <f t="shared" si="40"/>
        <v/>
      </c>
      <c r="AT182" s="370"/>
    </row>
    <row r="183" spans="1:46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435">
        <f>IF(AND(W183&gt;=$U$1,W183&lt;=$U$2),IF(X183='ESTRATTO CONTO'!$E$2,1+COUNTIF(U$4:U182,"&gt;0"),0),0)</f>
        <v>0</v>
      </c>
      <c r="V183" s="417">
        <f t="shared" si="41"/>
        <v>180</v>
      </c>
      <c r="W183" s="509"/>
      <c r="X183" s="321"/>
      <c r="Y183" s="321"/>
      <c r="Z183" s="433"/>
      <c r="AA183" s="356"/>
      <c r="AB183" s="306" t="str">
        <f t="shared" si="36"/>
        <v/>
      </c>
      <c r="AC183" s="893">
        <f t="shared" si="37"/>
        <v>0</v>
      </c>
      <c r="AD183" s="322"/>
      <c r="AE183" s="1"/>
      <c r="AF183" s="223">
        <f>IF(ISBLANK(AD183),0,COUNTIF(AF$4:AF182,"&gt;0")+1)</f>
        <v>0</v>
      </c>
      <c r="AG183" s="164">
        <f t="shared" si="43"/>
        <v>0</v>
      </c>
      <c r="AH183" s="99">
        <f t="shared" si="38"/>
        <v>0</v>
      </c>
      <c r="AI183" s="99">
        <f t="shared" si="44"/>
        <v>0</v>
      </c>
      <c r="AJ183" s="170">
        <f t="shared" si="45"/>
        <v>0</v>
      </c>
      <c r="AK183" s="204">
        <f t="shared" si="39"/>
        <v>0</v>
      </c>
      <c r="AL183" s="1049">
        <f>IF(ISERROR(AO183),0,IF(AND(AN183&gt;=$U$1,AN183&lt;=$U$2),IF(AO183='ESTRATTO CONTO'!$E$2,1+COUNTIF(AL$4:AL182,"&gt;0")+U$1009,0),0))</f>
        <v>0</v>
      </c>
      <c r="AM183" s="747">
        <f t="shared" si="42"/>
        <v>180</v>
      </c>
      <c r="AN183" s="164" t="e">
        <f>VLOOKUP($AM183,PATRIMONIALE!$AV235:AW$1003,2,FALSE)</f>
        <v>#N/A</v>
      </c>
      <c r="AO183" s="310" t="e">
        <f>VLOOKUP($AM183,PATRIMONIALE!$AV235:AX$1003,3,FALSE)</f>
        <v>#N/A</v>
      </c>
      <c r="AP183" s="310" t="e">
        <f>VLOOKUP($AM183,PATRIMONIALE!$AV235:AY$1003,4,FALSE)</f>
        <v>#N/A</v>
      </c>
      <c r="AQ183" s="748" t="e">
        <f>VLOOKUP($AM183,PATRIMONIALE!$AV235:AZ$1003,5,FALSE)</f>
        <v>#N/A</v>
      </c>
      <c r="AR183" s="1"/>
      <c r="AS183" s="461" t="str">
        <f t="shared" si="40"/>
        <v/>
      </c>
      <c r="AT183" s="370"/>
    </row>
    <row r="184" spans="1:46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435">
        <f>IF(AND(W184&gt;=$U$1,W184&lt;=$U$2),IF(X184='ESTRATTO CONTO'!$E$2,1+COUNTIF(U$4:U183,"&gt;0"),0),0)</f>
        <v>0</v>
      </c>
      <c r="V184" s="417">
        <f t="shared" si="41"/>
        <v>181</v>
      </c>
      <c r="W184" s="509"/>
      <c r="X184" s="321"/>
      <c r="Y184" s="321"/>
      <c r="Z184" s="433"/>
      <c r="AA184" s="356"/>
      <c r="AB184" s="306" t="str">
        <f t="shared" si="36"/>
        <v/>
      </c>
      <c r="AC184" s="893">
        <f t="shared" si="37"/>
        <v>0</v>
      </c>
      <c r="AD184" s="322"/>
      <c r="AE184" s="1"/>
      <c r="AF184" s="223">
        <f>IF(ISBLANK(AD184),0,COUNTIF(AF$4:AF183,"&gt;0")+1)</f>
        <v>0</v>
      </c>
      <c r="AG184" s="164">
        <f t="shared" si="43"/>
        <v>0</v>
      </c>
      <c r="AH184" s="99">
        <f t="shared" si="38"/>
        <v>0</v>
      </c>
      <c r="AI184" s="99">
        <f t="shared" si="44"/>
        <v>0</v>
      </c>
      <c r="AJ184" s="170">
        <f t="shared" si="45"/>
        <v>0</v>
      </c>
      <c r="AK184" s="204">
        <f t="shared" si="39"/>
        <v>0</v>
      </c>
      <c r="AL184" s="1049">
        <f>IF(ISERROR(AO184),0,IF(AND(AN184&gt;=$U$1,AN184&lt;=$U$2),IF(AO184='ESTRATTO CONTO'!$E$2,1+COUNTIF(AL$4:AL183,"&gt;0")+U$1009,0),0))</f>
        <v>0</v>
      </c>
      <c r="AM184" s="747">
        <f t="shared" si="42"/>
        <v>181</v>
      </c>
      <c r="AN184" s="164" t="e">
        <f>VLOOKUP($AM184,PATRIMONIALE!$AV236:AW$1003,2,FALSE)</f>
        <v>#N/A</v>
      </c>
      <c r="AO184" s="310" t="e">
        <f>VLOOKUP($AM184,PATRIMONIALE!$AV236:AX$1003,3,FALSE)</f>
        <v>#N/A</v>
      </c>
      <c r="AP184" s="310" t="e">
        <f>VLOOKUP($AM184,PATRIMONIALE!$AV236:AY$1003,4,FALSE)</f>
        <v>#N/A</v>
      </c>
      <c r="AQ184" s="748" t="e">
        <f>VLOOKUP($AM184,PATRIMONIALE!$AV236:AZ$1003,5,FALSE)</f>
        <v>#N/A</v>
      </c>
      <c r="AR184" s="1"/>
      <c r="AS184" s="461" t="str">
        <f t="shared" si="40"/>
        <v/>
      </c>
      <c r="AT184" s="370"/>
    </row>
    <row r="185" spans="1:46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435">
        <f>IF(AND(W185&gt;=$U$1,W185&lt;=$U$2),IF(X185='ESTRATTO CONTO'!$E$2,1+COUNTIF(U$4:U184,"&gt;0"),0),0)</f>
        <v>0</v>
      </c>
      <c r="V185" s="417">
        <f t="shared" si="41"/>
        <v>182</v>
      </c>
      <c r="W185" s="509"/>
      <c r="X185" s="321"/>
      <c r="Y185" s="321"/>
      <c r="Z185" s="433"/>
      <c r="AA185" s="356"/>
      <c r="AB185" s="306" t="str">
        <f t="shared" si="36"/>
        <v/>
      </c>
      <c r="AC185" s="893">
        <f t="shared" si="37"/>
        <v>0</v>
      </c>
      <c r="AD185" s="322"/>
      <c r="AE185" s="1"/>
      <c r="AF185" s="223">
        <f>IF(ISBLANK(AD185),0,COUNTIF(AF$4:AF184,"&gt;0")+1)</f>
        <v>0</v>
      </c>
      <c r="AG185" s="164">
        <f t="shared" si="43"/>
        <v>0</v>
      </c>
      <c r="AH185" s="99">
        <f t="shared" si="38"/>
        <v>0</v>
      </c>
      <c r="AI185" s="99">
        <f t="shared" si="44"/>
        <v>0</v>
      </c>
      <c r="AJ185" s="170">
        <f t="shared" si="45"/>
        <v>0</v>
      </c>
      <c r="AK185" s="204">
        <f t="shared" si="39"/>
        <v>0</v>
      </c>
      <c r="AL185" s="1049">
        <f>IF(ISERROR(AO185),0,IF(AND(AN185&gt;=$U$1,AN185&lt;=$U$2),IF(AO185='ESTRATTO CONTO'!$E$2,1+COUNTIF(AL$4:AL184,"&gt;0")+U$1009,0),0))</f>
        <v>0</v>
      </c>
      <c r="AM185" s="747">
        <f t="shared" si="42"/>
        <v>182</v>
      </c>
      <c r="AN185" s="164" t="e">
        <f>VLOOKUP($AM185,PATRIMONIALE!$AV237:AW$1003,2,FALSE)</f>
        <v>#N/A</v>
      </c>
      <c r="AO185" s="310" t="e">
        <f>VLOOKUP($AM185,PATRIMONIALE!$AV237:AX$1003,3,FALSE)</f>
        <v>#N/A</v>
      </c>
      <c r="AP185" s="310" t="e">
        <f>VLOOKUP($AM185,PATRIMONIALE!$AV237:AY$1003,4,FALSE)</f>
        <v>#N/A</v>
      </c>
      <c r="AQ185" s="748" t="e">
        <f>VLOOKUP($AM185,PATRIMONIALE!$AV237:AZ$1003,5,FALSE)</f>
        <v>#N/A</v>
      </c>
      <c r="AR185" s="1"/>
      <c r="AS185" s="461" t="str">
        <f t="shared" si="40"/>
        <v/>
      </c>
      <c r="AT185" s="370"/>
    </row>
    <row r="186" spans="1:46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435">
        <f>IF(AND(W186&gt;=$U$1,W186&lt;=$U$2),IF(X186='ESTRATTO CONTO'!$E$2,1+COUNTIF(U$4:U185,"&gt;0"),0),0)</f>
        <v>0</v>
      </c>
      <c r="V186" s="417">
        <f t="shared" si="41"/>
        <v>183</v>
      </c>
      <c r="W186" s="509"/>
      <c r="X186" s="321"/>
      <c r="Y186" s="321"/>
      <c r="Z186" s="433"/>
      <c r="AA186" s="356"/>
      <c r="AB186" s="306" t="str">
        <f t="shared" si="36"/>
        <v/>
      </c>
      <c r="AC186" s="893">
        <f t="shared" si="37"/>
        <v>0</v>
      </c>
      <c r="AD186" s="322"/>
      <c r="AE186" s="1"/>
      <c r="AF186" s="223">
        <f>IF(ISBLANK(AD186),0,COUNTIF(AF$4:AF185,"&gt;0")+1)</f>
        <v>0</v>
      </c>
      <c r="AG186" s="164">
        <f t="shared" si="43"/>
        <v>0</v>
      </c>
      <c r="AH186" s="99">
        <f t="shared" si="38"/>
        <v>0</v>
      </c>
      <c r="AI186" s="99">
        <f t="shared" si="44"/>
        <v>0</v>
      </c>
      <c r="AJ186" s="170">
        <f t="shared" si="45"/>
        <v>0</v>
      </c>
      <c r="AK186" s="204">
        <f t="shared" si="39"/>
        <v>0</v>
      </c>
      <c r="AL186" s="1049">
        <f>IF(ISERROR(AO186),0,IF(AND(AN186&gt;=$U$1,AN186&lt;=$U$2),IF(AO186='ESTRATTO CONTO'!$E$2,1+COUNTIF(AL$4:AL185,"&gt;0")+U$1009,0),0))</f>
        <v>0</v>
      </c>
      <c r="AM186" s="747">
        <f t="shared" si="42"/>
        <v>183</v>
      </c>
      <c r="AN186" s="164" t="e">
        <f>VLOOKUP($AM186,PATRIMONIALE!$AV238:AW$1003,2,FALSE)</f>
        <v>#N/A</v>
      </c>
      <c r="AO186" s="310" t="e">
        <f>VLOOKUP($AM186,PATRIMONIALE!$AV238:AX$1003,3,FALSE)</f>
        <v>#N/A</v>
      </c>
      <c r="AP186" s="310" t="e">
        <f>VLOOKUP($AM186,PATRIMONIALE!$AV238:AY$1003,4,FALSE)</f>
        <v>#N/A</v>
      </c>
      <c r="AQ186" s="748" t="e">
        <f>VLOOKUP($AM186,PATRIMONIALE!$AV238:AZ$1003,5,FALSE)</f>
        <v>#N/A</v>
      </c>
      <c r="AR186" s="1"/>
      <c r="AS186" s="461" t="str">
        <f t="shared" si="40"/>
        <v/>
      </c>
      <c r="AT186" s="370"/>
    </row>
    <row r="187" spans="1:46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435">
        <f>IF(AND(W187&gt;=$U$1,W187&lt;=$U$2),IF(X187='ESTRATTO CONTO'!$E$2,1+COUNTIF(U$4:U186,"&gt;0"),0),0)</f>
        <v>0</v>
      </c>
      <c r="V187" s="417">
        <f t="shared" si="41"/>
        <v>184</v>
      </c>
      <c r="W187" s="509"/>
      <c r="X187" s="321"/>
      <c r="Y187" s="321"/>
      <c r="Z187" s="433"/>
      <c r="AA187" s="356"/>
      <c r="AB187" s="306" t="str">
        <f t="shared" si="36"/>
        <v/>
      </c>
      <c r="AC187" s="893">
        <f t="shared" si="37"/>
        <v>0</v>
      </c>
      <c r="AD187" s="322"/>
      <c r="AE187" s="1"/>
      <c r="AF187" s="223">
        <f>IF(ISBLANK(AD187),0,COUNTIF(AF$4:AF186,"&gt;0")+1)</f>
        <v>0</v>
      </c>
      <c r="AG187" s="164">
        <f t="shared" si="43"/>
        <v>0</v>
      </c>
      <c r="AH187" s="99">
        <f t="shared" si="38"/>
        <v>0</v>
      </c>
      <c r="AI187" s="99">
        <f t="shared" si="44"/>
        <v>0</v>
      </c>
      <c r="AJ187" s="170">
        <f t="shared" si="45"/>
        <v>0</v>
      </c>
      <c r="AK187" s="204">
        <f t="shared" si="39"/>
        <v>0</v>
      </c>
      <c r="AL187" s="1049">
        <f>IF(ISERROR(AO187),0,IF(AND(AN187&gt;=$U$1,AN187&lt;=$U$2),IF(AO187='ESTRATTO CONTO'!$E$2,1+COUNTIF(AL$4:AL186,"&gt;0")+U$1009,0),0))</f>
        <v>0</v>
      </c>
      <c r="AM187" s="747">
        <f t="shared" si="42"/>
        <v>184</v>
      </c>
      <c r="AN187" s="164" t="e">
        <f>VLOOKUP($AM187,PATRIMONIALE!$AV239:AW$1003,2,FALSE)</f>
        <v>#N/A</v>
      </c>
      <c r="AO187" s="310" t="e">
        <f>VLOOKUP($AM187,PATRIMONIALE!$AV239:AX$1003,3,FALSE)</f>
        <v>#N/A</v>
      </c>
      <c r="AP187" s="310" t="e">
        <f>VLOOKUP($AM187,PATRIMONIALE!$AV239:AY$1003,4,FALSE)</f>
        <v>#N/A</v>
      </c>
      <c r="AQ187" s="748" t="e">
        <f>VLOOKUP($AM187,PATRIMONIALE!$AV239:AZ$1003,5,FALSE)</f>
        <v>#N/A</v>
      </c>
      <c r="AR187" s="1"/>
      <c r="AS187" s="461" t="str">
        <f t="shared" si="40"/>
        <v/>
      </c>
      <c r="AT187" s="370"/>
    </row>
    <row r="188" spans="1:46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435">
        <f>IF(AND(W188&gt;=$U$1,W188&lt;=$U$2),IF(X188='ESTRATTO CONTO'!$E$2,1+COUNTIF(U$4:U187,"&gt;0"),0),0)</f>
        <v>0</v>
      </c>
      <c r="V188" s="417">
        <f t="shared" si="41"/>
        <v>185</v>
      </c>
      <c r="W188" s="509"/>
      <c r="X188" s="321"/>
      <c r="Y188" s="321"/>
      <c r="Z188" s="433"/>
      <c r="AA188" s="356"/>
      <c r="AB188" s="306" t="str">
        <f t="shared" si="36"/>
        <v/>
      </c>
      <c r="AC188" s="893">
        <f t="shared" si="37"/>
        <v>0</v>
      </c>
      <c r="AD188" s="322"/>
      <c r="AE188" s="1"/>
      <c r="AF188" s="223">
        <f>IF(ISBLANK(AD188),0,COUNTIF(AF$4:AF187,"&gt;0")+1)</f>
        <v>0</v>
      </c>
      <c r="AG188" s="164">
        <f t="shared" si="43"/>
        <v>0</v>
      </c>
      <c r="AH188" s="99">
        <f t="shared" si="38"/>
        <v>0</v>
      </c>
      <c r="AI188" s="99">
        <f t="shared" si="44"/>
        <v>0</v>
      </c>
      <c r="AJ188" s="170">
        <f t="shared" si="45"/>
        <v>0</v>
      </c>
      <c r="AK188" s="204">
        <f t="shared" si="39"/>
        <v>0</v>
      </c>
      <c r="AL188" s="1049">
        <f>IF(ISERROR(AO188),0,IF(AND(AN188&gt;=$U$1,AN188&lt;=$U$2),IF(AO188='ESTRATTO CONTO'!$E$2,1+COUNTIF(AL$4:AL187,"&gt;0")+U$1009,0),0))</f>
        <v>0</v>
      </c>
      <c r="AM188" s="747">
        <f t="shared" si="42"/>
        <v>185</v>
      </c>
      <c r="AN188" s="164" t="e">
        <f>VLOOKUP($AM188,PATRIMONIALE!$AV240:AW$1003,2,FALSE)</f>
        <v>#N/A</v>
      </c>
      <c r="AO188" s="310" t="e">
        <f>VLOOKUP($AM188,PATRIMONIALE!$AV240:AX$1003,3,FALSE)</f>
        <v>#N/A</v>
      </c>
      <c r="AP188" s="310" t="e">
        <f>VLOOKUP($AM188,PATRIMONIALE!$AV240:AY$1003,4,FALSE)</f>
        <v>#N/A</v>
      </c>
      <c r="AQ188" s="748" t="e">
        <f>VLOOKUP($AM188,PATRIMONIALE!$AV240:AZ$1003,5,FALSE)</f>
        <v>#N/A</v>
      </c>
      <c r="AR188" s="1"/>
      <c r="AS188" s="461" t="str">
        <f t="shared" si="40"/>
        <v/>
      </c>
      <c r="AT188" s="370"/>
    </row>
    <row r="189" spans="1:46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435">
        <f>IF(AND(W189&gt;=$U$1,W189&lt;=$U$2),IF(X189='ESTRATTO CONTO'!$E$2,1+COUNTIF(U$4:U188,"&gt;0"),0),0)</f>
        <v>0</v>
      </c>
      <c r="V189" s="417">
        <f t="shared" si="41"/>
        <v>186</v>
      </c>
      <c r="W189" s="509"/>
      <c r="X189" s="321"/>
      <c r="Y189" s="321"/>
      <c r="Z189" s="433"/>
      <c r="AA189" s="356"/>
      <c r="AB189" s="306" t="str">
        <f t="shared" si="36"/>
        <v/>
      </c>
      <c r="AC189" s="893">
        <f t="shared" si="37"/>
        <v>0</v>
      </c>
      <c r="AD189" s="322"/>
      <c r="AE189" s="1"/>
      <c r="AF189" s="223">
        <f>IF(ISBLANK(AD189),0,COUNTIF(AF$4:AF188,"&gt;0")+1)</f>
        <v>0</v>
      </c>
      <c r="AG189" s="164">
        <f t="shared" si="43"/>
        <v>0</v>
      </c>
      <c r="AH189" s="99">
        <f t="shared" si="38"/>
        <v>0</v>
      </c>
      <c r="AI189" s="99">
        <f t="shared" si="44"/>
        <v>0</v>
      </c>
      <c r="AJ189" s="170">
        <f t="shared" si="45"/>
        <v>0</v>
      </c>
      <c r="AK189" s="204">
        <f t="shared" si="39"/>
        <v>0</v>
      </c>
      <c r="AL189" s="1049">
        <f>IF(ISERROR(AO189),0,IF(AND(AN189&gt;=$U$1,AN189&lt;=$U$2),IF(AO189='ESTRATTO CONTO'!$E$2,1+COUNTIF(AL$4:AL188,"&gt;0")+U$1009,0),0))</f>
        <v>0</v>
      </c>
      <c r="AM189" s="747">
        <f t="shared" si="42"/>
        <v>186</v>
      </c>
      <c r="AN189" s="164" t="e">
        <f>VLOOKUP($AM189,PATRIMONIALE!$AV241:AW$1003,2,FALSE)</f>
        <v>#N/A</v>
      </c>
      <c r="AO189" s="310" t="e">
        <f>VLOOKUP($AM189,PATRIMONIALE!$AV241:AX$1003,3,FALSE)</f>
        <v>#N/A</v>
      </c>
      <c r="AP189" s="310" t="e">
        <f>VLOOKUP($AM189,PATRIMONIALE!$AV241:AY$1003,4,FALSE)</f>
        <v>#N/A</v>
      </c>
      <c r="AQ189" s="748" t="e">
        <f>VLOOKUP($AM189,PATRIMONIALE!$AV241:AZ$1003,5,FALSE)</f>
        <v>#N/A</v>
      </c>
      <c r="AR189" s="1"/>
      <c r="AS189" s="461" t="str">
        <f t="shared" si="40"/>
        <v/>
      </c>
      <c r="AT189" s="370"/>
    </row>
    <row r="190" spans="1:46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435">
        <f>IF(AND(W190&gt;=$U$1,W190&lt;=$U$2),IF(X190='ESTRATTO CONTO'!$E$2,1+COUNTIF(U$4:U189,"&gt;0"),0),0)</f>
        <v>0</v>
      </c>
      <c r="V190" s="417">
        <f t="shared" si="41"/>
        <v>187</v>
      </c>
      <c r="W190" s="509"/>
      <c r="X190" s="321"/>
      <c r="Y190" s="321"/>
      <c r="Z190" s="433"/>
      <c r="AA190" s="356"/>
      <c r="AB190" s="306" t="str">
        <f t="shared" si="36"/>
        <v/>
      </c>
      <c r="AC190" s="893">
        <f t="shared" si="37"/>
        <v>0</v>
      </c>
      <c r="AD190" s="322"/>
      <c r="AE190" s="1"/>
      <c r="AF190" s="223">
        <f>IF(ISBLANK(AD190),0,COUNTIF(AF$4:AF189,"&gt;0")+1)</f>
        <v>0</v>
      </c>
      <c r="AG190" s="164">
        <f t="shared" si="43"/>
        <v>0</v>
      </c>
      <c r="AH190" s="99">
        <f t="shared" si="38"/>
        <v>0</v>
      </c>
      <c r="AI190" s="99">
        <f t="shared" si="44"/>
        <v>0</v>
      </c>
      <c r="AJ190" s="170">
        <f t="shared" si="45"/>
        <v>0</v>
      </c>
      <c r="AK190" s="204">
        <f t="shared" si="39"/>
        <v>0</v>
      </c>
      <c r="AL190" s="1049">
        <f>IF(ISERROR(AO190),0,IF(AND(AN190&gt;=$U$1,AN190&lt;=$U$2),IF(AO190='ESTRATTO CONTO'!$E$2,1+COUNTIF(AL$4:AL189,"&gt;0")+U$1009,0),0))</f>
        <v>0</v>
      </c>
      <c r="AM190" s="747">
        <f t="shared" si="42"/>
        <v>187</v>
      </c>
      <c r="AN190" s="164" t="e">
        <f>VLOOKUP($AM190,PATRIMONIALE!$AV242:AW$1003,2,FALSE)</f>
        <v>#N/A</v>
      </c>
      <c r="AO190" s="310" t="e">
        <f>VLOOKUP($AM190,PATRIMONIALE!$AV242:AX$1003,3,FALSE)</f>
        <v>#N/A</v>
      </c>
      <c r="AP190" s="310" t="e">
        <f>VLOOKUP($AM190,PATRIMONIALE!$AV242:AY$1003,4,FALSE)</f>
        <v>#N/A</v>
      </c>
      <c r="AQ190" s="748" t="e">
        <f>VLOOKUP($AM190,PATRIMONIALE!$AV242:AZ$1003,5,FALSE)</f>
        <v>#N/A</v>
      </c>
      <c r="AR190" s="1"/>
      <c r="AS190" s="461" t="str">
        <f t="shared" si="40"/>
        <v/>
      </c>
      <c r="AT190" s="370"/>
    </row>
    <row r="191" spans="1:46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435">
        <f>IF(AND(W191&gt;=$U$1,W191&lt;=$U$2),IF(X191='ESTRATTO CONTO'!$E$2,1+COUNTIF(U$4:U190,"&gt;0"),0),0)</f>
        <v>0</v>
      </c>
      <c r="V191" s="417">
        <f t="shared" si="41"/>
        <v>188</v>
      </c>
      <c r="W191" s="509"/>
      <c r="X191" s="321"/>
      <c r="Y191" s="321"/>
      <c r="Z191" s="433"/>
      <c r="AA191" s="356"/>
      <c r="AB191" s="306" t="str">
        <f t="shared" si="36"/>
        <v/>
      </c>
      <c r="AC191" s="893">
        <f t="shared" si="37"/>
        <v>0</v>
      </c>
      <c r="AD191" s="322"/>
      <c r="AE191" s="1"/>
      <c r="AF191" s="223">
        <f>IF(ISBLANK(AD191),0,COUNTIF(AF$4:AF190,"&gt;0")+1)</f>
        <v>0</v>
      </c>
      <c r="AG191" s="164">
        <f t="shared" si="43"/>
        <v>0</v>
      </c>
      <c r="AH191" s="99">
        <f t="shared" si="38"/>
        <v>0</v>
      </c>
      <c r="AI191" s="99">
        <f t="shared" si="44"/>
        <v>0</v>
      </c>
      <c r="AJ191" s="170">
        <f t="shared" si="45"/>
        <v>0</v>
      </c>
      <c r="AK191" s="204">
        <f t="shared" si="39"/>
        <v>0</v>
      </c>
      <c r="AL191" s="1049">
        <f>IF(ISERROR(AO191),0,IF(AND(AN191&gt;=$U$1,AN191&lt;=$U$2),IF(AO191='ESTRATTO CONTO'!$E$2,1+COUNTIF(AL$4:AL190,"&gt;0")+U$1009,0),0))</f>
        <v>0</v>
      </c>
      <c r="AM191" s="747">
        <f t="shared" si="42"/>
        <v>188</v>
      </c>
      <c r="AN191" s="164" t="e">
        <f>VLOOKUP($AM191,PATRIMONIALE!$AV243:AW$1003,2,FALSE)</f>
        <v>#N/A</v>
      </c>
      <c r="AO191" s="310" t="e">
        <f>VLOOKUP($AM191,PATRIMONIALE!$AV243:AX$1003,3,FALSE)</f>
        <v>#N/A</v>
      </c>
      <c r="AP191" s="310" t="e">
        <f>VLOOKUP($AM191,PATRIMONIALE!$AV243:AY$1003,4,FALSE)</f>
        <v>#N/A</v>
      </c>
      <c r="AQ191" s="748" t="e">
        <f>VLOOKUP($AM191,PATRIMONIALE!$AV243:AZ$1003,5,FALSE)</f>
        <v>#N/A</v>
      </c>
      <c r="AR191" s="1"/>
      <c r="AS191" s="461" t="str">
        <f t="shared" si="40"/>
        <v/>
      </c>
      <c r="AT191" s="370"/>
    </row>
    <row r="192" spans="1:46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435">
        <f>IF(AND(W192&gt;=$U$1,W192&lt;=$U$2),IF(X192='ESTRATTO CONTO'!$E$2,1+COUNTIF(U$4:U191,"&gt;0"),0),0)</f>
        <v>0</v>
      </c>
      <c r="V192" s="417">
        <f t="shared" si="41"/>
        <v>189</v>
      </c>
      <c r="W192" s="509"/>
      <c r="X192" s="321"/>
      <c r="Y192" s="321"/>
      <c r="Z192" s="433"/>
      <c r="AA192" s="356"/>
      <c r="AB192" s="306" t="str">
        <f t="shared" si="36"/>
        <v/>
      </c>
      <c r="AC192" s="893">
        <f t="shared" si="37"/>
        <v>0</v>
      </c>
      <c r="AD192" s="322"/>
      <c r="AE192" s="1"/>
      <c r="AF192" s="223">
        <f>IF(ISBLANK(AD192),0,COUNTIF(AF$4:AF191,"&gt;0")+1)</f>
        <v>0</v>
      </c>
      <c r="AG192" s="164">
        <f t="shared" si="43"/>
        <v>0</v>
      </c>
      <c r="AH192" s="99">
        <f t="shared" si="38"/>
        <v>0</v>
      </c>
      <c r="AI192" s="99">
        <f t="shared" si="44"/>
        <v>0</v>
      </c>
      <c r="AJ192" s="170">
        <f t="shared" si="45"/>
        <v>0</v>
      </c>
      <c r="AK192" s="204">
        <f t="shared" si="39"/>
        <v>0</v>
      </c>
      <c r="AL192" s="1049">
        <f>IF(ISERROR(AO192),0,IF(AND(AN192&gt;=$U$1,AN192&lt;=$U$2),IF(AO192='ESTRATTO CONTO'!$E$2,1+COUNTIF(AL$4:AL191,"&gt;0")+U$1009,0),0))</f>
        <v>0</v>
      </c>
      <c r="AM192" s="747">
        <f t="shared" si="42"/>
        <v>189</v>
      </c>
      <c r="AN192" s="164" t="e">
        <f>VLOOKUP($AM192,PATRIMONIALE!$AV244:AW$1003,2,FALSE)</f>
        <v>#N/A</v>
      </c>
      <c r="AO192" s="310" t="e">
        <f>VLOOKUP($AM192,PATRIMONIALE!$AV244:AX$1003,3,FALSE)</f>
        <v>#N/A</v>
      </c>
      <c r="AP192" s="310" t="e">
        <f>VLOOKUP($AM192,PATRIMONIALE!$AV244:AY$1003,4,FALSE)</f>
        <v>#N/A</v>
      </c>
      <c r="AQ192" s="748" t="e">
        <f>VLOOKUP($AM192,PATRIMONIALE!$AV244:AZ$1003,5,FALSE)</f>
        <v>#N/A</v>
      </c>
      <c r="AR192" s="1"/>
      <c r="AS192" s="461" t="str">
        <f t="shared" si="40"/>
        <v/>
      </c>
      <c r="AT192" s="370"/>
    </row>
    <row r="193" spans="1:46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435">
        <f>IF(AND(W193&gt;=$U$1,W193&lt;=$U$2),IF(X193='ESTRATTO CONTO'!$E$2,1+COUNTIF(U$4:U192,"&gt;0"),0),0)</f>
        <v>0</v>
      </c>
      <c r="V193" s="417">
        <f t="shared" si="41"/>
        <v>190</v>
      </c>
      <c r="W193" s="509"/>
      <c r="X193" s="321"/>
      <c r="Y193" s="321"/>
      <c r="Z193" s="433"/>
      <c r="AA193" s="356"/>
      <c r="AB193" s="306" t="str">
        <f t="shared" si="36"/>
        <v/>
      </c>
      <c r="AC193" s="893">
        <f t="shared" si="37"/>
        <v>0</v>
      </c>
      <c r="AD193" s="322"/>
      <c r="AE193" s="1"/>
      <c r="AF193" s="223">
        <f>IF(ISBLANK(AD193),0,COUNTIF(AF$4:AF192,"&gt;0")+1)</f>
        <v>0</v>
      </c>
      <c r="AG193" s="164">
        <f t="shared" si="43"/>
        <v>0</v>
      </c>
      <c r="AH193" s="99">
        <f t="shared" si="38"/>
        <v>0</v>
      </c>
      <c r="AI193" s="99">
        <f t="shared" si="44"/>
        <v>0</v>
      </c>
      <c r="AJ193" s="170">
        <f t="shared" si="45"/>
        <v>0</v>
      </c>
      <c r="AK193" s="204">
        <f t="shared" si="39"/>
        <v>0</v>
      </c>
      <c r="AL193" s="1049">
        <f>IF(ISERROR(AO193),0,IF(AND(AN193&gt;=$U$1,AN193&lt;=$U$2),IF(AO193='ESTRATTO CONTO'!$E$2,1+COUNTIF(AL$4:AL192,"&gt;0")+U$1009,0),0))</f>
        <v>0</v>
      </c>
      <c r="AM193" s="747">
        <f t="shared" si="42"/>
        <v>190</v>
      </c>
      <c r="AN193" s="164" t="e">
        <f>VLOOKUP($AM193,PATRIMONIALE!$AV245:AW$1003,2,FALSE)</f>
        <v>#N/A</v>
      </c>
      <c r="AO193" s="310" t="e">
        <f>VLOOKUP($AM193,PATRIMONIALE!$AV245:AX$1003,3,FALSE)</f>
        <v>#N/A</v>
      </c>
      <c r="AP193" s="310" t="e">
        <f>VLOOKUP($AM193,PATRIMONIALE!$AV245:AY$1003,4,FALSE)</f>
        <v>#N/A</v>
      </c>
      <c r="AQ193" s="748" t="e">
        <f>VLOOKUP($AM193,PATRIMONIALE!$AV245:AZ$1003,5,FALSE)</f>
        <v>#N/A</v>
      </c>
      <c r="AR193" s="1"/>
      <c r="AS193" s="461" t="str">
        <f t="shared" si="40"/>
        <v/>
      </c>
      <c r="AT193" s="370"/>
    </row>
    <row r="194" spans="1:46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435">
        <f>IF(AND(W194&gt;=$U$1,W194&lt;=$U$2),IF(X194='ESTRATTO CONTO'!$E$2,1+COUNTIF(U$4:U193,"&gt;0"),0),0)</f>
        <v>0</v>
      </c>
      <c r="V194" s="417">
        <f t="shared" si="41"/>
        <v>191</v>
      </c>
      <c r="W194" s="509"/>
      <c r="X194" s="321"/>
      <c r="Y194" s="321"/>
      <c r="Z194" s="433"/>
      <c r="AA194" s="356"/>
      <c r="AB194" s="306" t="str">
        <f t="shared" si="36"/>
        <v/>
      </c>
      <c r="AC194" s="893">
        <f t="shared" si="37"/>
        <v>0</v>
      </c>
      <c r="AD194" s="322"/>
      <c r="AE194" s="1"/>
      <c r="AF194" s="223">
        <f>IF(ISBLANK(AD194),0,COUNTIF(AF$4:AF193,"&gt;0")+1)</f>
        <v>0</v>
      </c>
      <c r="AG194" s="164">
        <f t="shared" si="43"/>
        <v>0</v>
      </c>
      <c r="AH194" s="99">
        <f t="shared" si="38"/>
        <v>0</v>
      </c>
      <c r="AI194" s="99">
        <f t="shared" si="44"/>
        <v>0</v>
      </c>
      <c r="AJ194" s="170">
        <f t="shared" si="45"/>
        <v>0</v>
      </c>
      <c r="AK194" s="204">
        <f t="shared" si="39"/>
        <v>0</v>
      </c>
      <c r="AL194" s="1049">
        <f>IF(ISERROR(AO194),0,IF(AND(AN194&gt;=$U$1,AN194&lt;=$U$2),IF(AO194='ESTRATTO CONTO'!$E$2,1+COUNTIF(AL$4:AL193,"&gt;0")+U$1009,0),0))</f>
        <v>0</v>
      </c>
      <c r="AM194" s="747">
        <f t="shared" si="42"/>
        <v>191</v>
      </c>
      <c r="AN194" s="164" t="e">
        <f>VLOOKUP($AM194,PATRIMONIALE!$AV246:AW$1003,2,FALSE)</f>
        <v>#N/A</v>
      </c>
      <c r="AO194" s="310" t="e">
        <f>VLOOKUP($AM194,PATRIMONIALE!$AV246:AX$1003,3,FALSE)</f>
        <v>#N/A</v>
      </c>
      <c r="AP194" s="310" t="e">
        <f>VLOOKUP($AM194,PATRIMONIALE!$AV246:AY$1003,4,FALSE)</f>
        <v>#N/A</v>
      </c>
      <c r="AQ194" s="748" t="e">
        <f>VLOOKUP($AM194,PATRIMONIALE!$AV246:AZ$1003,5,FALSE)</f>
        <v>#N/A</v>
      </c>
      <c r="AR194" s="1"/>
      <c r="AS194" s="461" t="str">
        <f t="shared" si="40"/>
        <v/>
      </c>
      <c r="AT194" s="370"/>
    </row>
    <row r="195" spans="1:46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435">
        <f>IF(AND(W195&gt;=$U$1,W195&lt;=$U$2),IF(X195='ESTRATTO CONTO'!$E$2,1+COUNTIF(U$4:U194,"&gt;0"),0),0)</f>
        <v>0</v>
      </c>
      <c r="V195" s="417">
        <f t="shared" si="41"/>
        <v>192</v>
      </c>
      <c r="W195" s="509"/>
      <c r="X195" s="321"/>
      <c r="Y195" s="321"/>
      <c r="Z195" s="433"/>
      <c r="AA195" s="356"/>
      <c r="AB195" s="306" t="str">
        <f t="shared" si="36"/>
        <v/>
      </c>
      <c r="AC195" s="893">
        <f t="shared" si="37"/>
        <v>0</v>
      </c>
      <c r="AD195" s="322"/>
      <c r="AE195" s="1"/>
      <c r="AF195" s="223">
        <f>IF(ISBLANK(AD195),0,COUNTIF(AF$4:AF194,"&gt;0")+1)</f>
        <v>0</v>
      </c>
      <c r="AG195" s="164">
        <f t="shared" si="43"/>
        <v>0</v>
      </c>
      <c r="AH195" s="99">
        <f t="shared" si="38"/>
        <v>0</v>
      </c>
      <c r="AI195" s="99">
        <f t="shared" si="44"/>
        <v>0</v>
      </c>
      <c r="AJ195" s="170">
        <f t="shared" si="45"/>
        <v>0</v>
      </c>
      <c r="AK195" s="204">
        <f t="shared" si="39"/>
        <v>0</v>
      </c>
      <c r="AL195" s="1049">
        <f>IF(ISERROR(AO195),0,IF(AND(AN195&gt;=$U$1,AN195&lt;=$U$2),IF(AO195='ESTRATTO CONTO'!$E$2,1+COUNTIF(AL$4:AL194,"&gt;0")+U$1009,0),0))</f>
        <v>0</v>
      </c>
      <c r="AM195" s="747">
        <f t="shared" si="42"/>
        <v>192</v>
      </c>
      <c r="AN195" s="164" t="e">
        <f>VLOOKUP($AM195,PATRIMONIALE!$AV247:AW$1003,2,FALSE)</f>
        <v>#N/A</v>
      </c>
      <c r="AO195" s="310" t="e">
        <f>VLOOKUP($AM195,PATRIMONIALE!$AV247:AX$1003,3,FALSE)</f>
        <v>#N/A</v>
      </c>
      <c r="AP195" s="310" t="e">
        <f>VLOOKUP($AM195,PATRIMONIALE!$AV247:AY$1003,4,FALSE)</f>
        <v>#N/A</v>
      </c>
      <c r="AQ195" s="748" t="e">
        <f>VLOOKUP($AM195,PATRIMONIALE!$AV247:AZ$1003,5,FALSE)</f>
        <v>#N/A</v>
      </c>
      <c r="AR195" s="1"/>
      <c r="AS195" s="461" t="str">
        <f t="shared" si="40"/>
        <v/>
      </c>
      <c r="AT195" s="370"/>
    </row>
    <row r="196" spans="1:46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435">
        <f>IF(AND(W196&gt;=$U$1,W196&lt;=$U$2),IF(X196='ESTRATTO CONTO'!$E$2,1+COUNTIF(U$4:U195,"&gt;0"),0),0)</f>
        <v>0</v>
      </c>
      <c r="V196" s="417">
        <f t="shared" si="41"/>
        <v>193</v>
      </c>
      <c r="W196" s="509"/>
      <c r="X196" s="321"/>
      <c r="Y196" s="321"/>
      <c r="Z196" s="433"/>
      <c r="AA196" s="356"/>
      <c r="AB196" s="306" t="str">
        <f t="shared" ref="AB196:AB259" si="46">IF(X196="","",IF(W196&gt;0,IF(AND(W196&gt;=W$1012,W196&lt;=W$1013),CONCATENATE(X196,"-",MONTH(W196)),0),""))</f>
        <v/>
      </c>
      <c r="AC196" s="893">
        <f t="shared" ref="AC196:AC259" si="47">IF(AD196="",0,VLOOKUP(AD196,$AD$1025:$AD$1038,1,FALSE))</f>
        <v>0</v>
      </c>
      <c r="AD196" s="322"/>
      <c r="AE196" s="1"/>
      <c r="AF196" s="223">
        <f>IF(ISBLANK(AD196),0,COUNTIF(AF$4:AF195,"&gt;0")+1)</f>
        <v>0</v>
      </c>
      <c r="AG196" s="164">
        <f t="shared" si="43"/>
        <v>0</v>
      </c>
      <c r="AH196" s="99">
        <f t="shared" ref="AH196:AH259" si="48">IF($AF196=0,0,VLOOKUP(AD196,$AD$1025:$AH$1038,5,FALSE))</f>
        <v>0</v>
      </c>
      <c r="AI196" s="99">
        <f t="shared" si="44"/>
        <v>0</v>
      </c>
      <c r="AJ196" s="170">
        <f t="shared" si="45"/>
        <v>0</v>
      </c>
      <c r="AK196" s="204">
        <f t="shared" ref="AK196:AK259" si="49">X196</f>
        <v>0</v>
      </c>
      <c r="AL196" s="1049">
        <f>IF(ISERROR(AO196),0,IF(AND(AN196&gt;=$U$1,AN196&lt;=$U$2),IF(AO196='ESTRATTO CONTO'!$E$2,1+COUNTIF(AL$4:AL195,"&gt;0")+U$1009,0),0))</f>
        <v>0</v>
      </c>
      <c r="AM196" s="747">
        <f t="shared" si="42"/>
        <v>193</v>
      </c>
      <c r="AN196" s="164" t="e">
        <f>VLOOKUP($AM196,PATRIMONIALE!$AV248:AW$1003,2,FALSE)</f>
        <v>#N/A</v>
      </c>
      <c r="AO196" s="310" t="e">
        <f>VLOOKUP($AM196,PATRIMONIALE!$AV248:AX$1003,3,FALSE)</f>
        <v>#N/A</v>
      </c>
      <c r="AP196" s="310" t="e">
        <f>VLOOKUP($AM196,PATRIMONIALE!$AV248:AY$1003,4,FALSE)</f>
        <v>#N/A</v>
      </c>
      <c r="AQ196" s="748" t="e">
        <f>VLOOKUP($AM196,PATRIMONIALE!$AV248:AZ$1003,5,FALSE)</f>
        <v>#N/A</v>
      </c>
      <c r="AR196" s="1"/>
      <c r="AS196" s="461" t="str">
        <f t="shared" ref="AS196:AS259" si="50">IF(X196="","",IF(ISERROR(VLOOKUP(X196,B$9:E$13,1,FALSE)),1,0))</f>
        <v/>
      </c>
      <c r="AT196" s="370"/>
    </row>
    <row r="197" spans="1:46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435">
        <f>IF(AND(W197&gt;=$U$1,W197&lt;=$U$2),IF(X197='ESTRATTO CONTO'!$E$2,1+COUNTIF(U$4:U196,"&gt;0"),0),0)</f>
        <v>0</v>
      </c>
      <c r="V197" s="417">
        <f t="shared" si="41"/>
        <v>194</v>
      </c>
      <c r="W197" s="509"/>
      <c r="X197" s="321"/>
      <c r="Y197" s="321"/>
      <c r="Z197" s="433"/>
      <c r="AA197" s="356"/>
      <c r="AB197" s="306" t="str">
        <f t="shared" si="46"/>
        <v/>
      </c>
      <c r="AC197" s="893">
        <f t="shared" si="47"/>
        <v>0</v>
      </c>
      <c r="AD197" s="322"/>
      <c r="AE197" s="1"/>
      <c r="AF197" s="223">
        <f>IF(ISBLANK(AD197),0,COUNTIF(AF$4:AF196,"&gt;0")+1)</f>
        <v>0</v>
      </c>
      <c r="AG197" s="164">
        <f t="shared" si="43"/>
        <v>0</v>
      </c>
      <c r="AH197" s="99">
        <f t="shared" si="48"/>
        <v>0</v>
      </c>
      <c r="AI197" s="99">
        <f t="shared" si="44"/>
        <v>0</v>
      </c>
      <c r="AJ197" s="170">
        <f t="shared" si="45"/>
        <v>0</v>
      </c>
      <c r="AK197" s="204">
        <f t="shared" si="49"/>
        <v>0</v>
      </c>
      <c r="AL197" s="1049">
        <f>IF(ISERROR(AO197),0,IF(AND(AN197&gt;=$U$1,AN197&lt;=$U$2),IF(AO197='ESTRATTO CONTO'!$E$2,1+COUNTIF(AL$4:AL196,"&gt;0")+U$1009,0),0))</f>
        <v>0</v>
      </c>
      <c r="AM197" s="747">
        <f t="shared" si="42"/>
        <v>194</v>
      </c>
      <c r="AN197" s="164" t="e">
        <f>VLOOKUP($AM197,PATRIMONIALE!$AV249:AW$1003,2,FALSE)</f>
        <v>#N/A</v>
      </c>
      <c r="AO197" s="310" t="e">
        <f>VLOOKUP($AM197,PATRIMONIALE!$AV249:AX$1003,3,FALSE)</f>
        <v>#N/A</v>
      </c>
      <c r="AP197" s="310" t="e">
        <f>VLOOKUP($AM197,PATRIMONIALE!$AV249:AY$1003,4,FALSE)</f>
        <v>#N/A</v>
      </c>
      <c r="AQ197" s="748" t="e">
        <f>VLOOKUP($AM197,PATRIMONIALE!$AV249:AZ$1003,5,FALSE)</f>
        <v>#N/A</v>
      </c>
      <c r="AR197" s="1"/>
      <c r="AS197" s="461" t="str">
        <f t="shared" si="50"/>
        <v/>
      </c>
      <c r="AT197" s="370"/>
    </row>
    <row r="198" spans="1:46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435">
        <f>IF(AND(W198&gt;=$U$1,W198&lt;=$U$2),IF(X198='ESTRATTO CONTO'!$E$2,1+COUNTIF(U$4:U197,"&gt;0"),0),0)</f>
        <v>0</v>
      </c>
      <c r="V198" s="417">
        <f t="shared" ref="V198:V261" si="51">V197+1</f>
        <v>195</v>
      </c>
      <c r="W198" s="509"/>
      <c r="X198" s="321"/>
      <c r="Y198" s="321"/>
      <c r="Z198" s="433"/>
      <c r="AA198" s="356"/>
      <c r="AB198" s="306" t="str">
        <f t="shared" si="46"/>
        <v/>
      </c>
      <c r="AC198" s="893">
        <f t="shared" si="47"/>
        <v>0</v>
      </c>
      <c r="AD198" s="322"/>
      <c r="AE198" s="1"/>
      <c r="AF198" s="223">
        <f>IF(ISBLANK(AD198),0,COUNTIF(AF$4:AF197,"&gt;0")+1)</f>
        <v>0</v>
      </c>
      <c r="AG198" s="164">
        <f t="shared" si="43"/>
        <v>0</v>
      </c>
      <c r="AH198" s="99">
        <f t="shared" si="48"/>
        <v>0</v>
      </c>
      <c r="AI198" s="99">
        <f t="shared" si="44"/>
        <v>0</v>
      </c>
      <c r="AJ198" s="170">
        <f t="shared" si="45"/>
        <v>0</v>
      </c>
      <c r="AK198" s="204">
        <f t="shared" si="49"/>
        <v>0</v>
      </c>
      <c r="AL198" s="1049">
        <f>IF(ISERROR(AO198),0,IF(AND(AN198&gt;=$U$1,AN198&lt;=$U$2),IF(AO198='ESTRATTO CONTO'!$E$2,1+COUNTIF(AL$4:AL197,"&gt;0")+U$1009,0),0))</f>
        <v>0</v>
      </c>
      <c r="AM198" s="747">
        <f t="shared" ref="AM198:AM261" si="52">AM197+1</f>
        <v>195</v>
      </c>
      <c r="AN198" s="164" t="e">
        <f>VLOOKUP($AM198,PATRIMONIALE!$AV250:AW$1003,2,FALSE)</f>
        <v>#N/A</v>
      </c>
      <c r="AO198" s="310" t="e">
        <f>VLOOKUP($AM198,PATRIMONIALE!$AV250:AX$1003,3,FALSE)</f>
        <v>#N/A</v>
      </c>
      <c r="AP198" s="310" t="e">
        <f>VLOOKUP($AM198,PATRIMONIALE!$AV250:AY$1003,4,FALSE)</f>
        <v>#N/A</v>
      </c>
      <c r="AQ198" s="748" t="e">
        <f>VLOOKUP($AM198,PATRIMONIALE!$AV250:AZ$1003,5,FALSE)</f>
        <v>#N/A</v>
      </c>
      <c r="AR198" s="1"/>
      <c r="AS198" s="461" t="str">
        <f t="shared" si="50"/>
        <v/>
      </c>
      <c r="AT198" s="370"/>
    </row>
    <row r="199" spans="1:46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435">
        <f>IF(AND(W199&gt;=$U$1,W199&lt;=$U$2),IF(X199='ESTRATTO CONTO'!$E$2,1+COUNTIF(U$4:U198,"&gt;0"),0),0)</f>
        <v>0</v>
      </c>
      <c r="V199" s="417">
        <f t="shared" si="51"/>
        <v>196</v>
      </c>
      <c r="W199" s="509"/>
      <c r="X199" s="321"/>
      <c r="Y199" s="321"/>
      <c r="Z199" s="433"/>
      <c r="AA199" s="356"/>
      <c r="AB199" s="306" t="str">
        <f t="shared" si="46"/>
        <v/>
      </c>
      <c r="AC199" s="893">
        <f t="shared" si="47"/>
        <v>0</v>
      </c>
      <c r="AD199" s="322"/>
      <c r="AE199" s="1"/>
      <c r="AF199" s="223">
        <f>IF(ISBLANK(AD199),0,COUNTIF(AF$4:AF198,"&gt;0")+1)</f>
        <v>0</v>
      </c>
      <c r="AG199" s="164">
        <f t="shared" si="43"/>
        <v>0</v>
      </c>
      <c r="AH199" s="99">
        <f t="shared" si="48"/>
        <v>0</v>
      </c>
      <c r="AI199" s="99">
        <f t="shared" si="44"/>
        <v>0</v>
      </c>
      <c r="AJ199" s="170">
        <f t="shared" si="45"/>
        <v>0</v>
      </c>
      <c r="AK199" s="204">
        <f t="shared" si="49"/>
        <v>0</v>
      </c>
      <c r="AL199" s="1049">
        <f>IF(ISERROR(AO199),0,IF(AND(AN199&gt;=$U$1,AN199&lt;=$U$2),IF(AO199='ESTRATTO CONTO'!$E$2,1+COUNTIF(AL$4:AL198,"&gt;0")+U$1009,0),0))</f>
        <v>0</v>
      </c>
      <c r="AM199" s="747">
        <f t="shared" si="52"/>
        <v>196</v>
      </c>
      <c r="AN199" s="164" t="e">
        <f>VLOOKUP($AM199,PATRIMONIALE!$AV251:AW$1003,2,FALSE)</f>
        <v>#N/A</v>
      </c>
      <c r="AO199" s="310" t="e">
        <f>VLOOKUP($AM199,PATRIMONIALE!$AV251:AX$1003,3,FALSE)</f>
        <v>#N/A</v>
      </c>
      <c r="AP199" s="310" t="e">
        <f>VLOOKUP($AM199,PATRIMONIALE!$AV251:AY$1003,4,FALSE)</f>
        <v>#N/A</v>
      </c>
      <c r="AQ199" s="748" t="e">
        <f>VLOOKUP($AM199,PATRIMONIALE!$AV251:AZ$1003,5,FALSE)</f>
        <v>#N/A</v>
      </c>
      <c r="AR199" s="1"/>
      <c r="AS199" s="461" t="str">
        <f t="shared" si="50"/>
        <v/>
      </c>
      <c r="AT199" s="370"/>
    </row>
    <row r="200" spans="1:46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435">
        <f>IF(AND(W200&gt;=$U$1,W200&lt;=$U$2),IF(X200='ESTRATTO CONTO'!$E$2,1+COUNTIF(U$4:U199,"&gt;0"),0),0)</f>
        <v>0</v>
      </c>
      <c r="V200" s="417">
        <f t="shared" si="51"/>
        <v>197</v>
      </c>
      <c r="W200" s="509"/>
      <c r="X200" s="321"/>
      <c r="Y200" s="321"/>
      <c r="Z200" s="433"/>
      <c r="AA200" s="356"/>
      <c r="AB200" s="306" t="str">
        <f t="shared" si="46"/>
        <v/>
      </c>
      <c r="AC200" s="893">
        <f t="shared" si="47"/>
        <v>0</v>
      </c>
      <c r="AD200" s="322"/>
      <c r="AE200" s="1"/>
      <c r="AF200" s="223">
        <f>IF(ISBLANK(AD200),0,COUNTIF(AF$4:AF199,"&gt;0")+1)</f>
        <v>0</v>
      </c>
      <c r="AG200" s="164">
        <f t="shared" si="43"/>
        <v>0</v>
      </c>
      <c r="AH200" s="99">
        <f t="shared" si="48"/>
        <v>0</v>
      </c>
      <c r="AI200" s="99">
        <f t="shared" si="44"/>
        <v>0</v>
      </c>
      <c r="AJ200" s="170">
        <f t="shared" si="45"/>
        <v>0</v>
      </c>
      <c r="AK200" s="204">
        <f t="shared" si="49"/>
        <v>0</v>
      </c>
      <c r="AL200" s="1049">
        <f>IF(ISERROR(AO200),0,IF(AND(AN200&gt;=$U$1,AN200&lt;=$U$2),IF(AO200='ESTRATTO CONTO'!$E$2,1+COUNTIF(AL$4:AL199,"&gt;0")+U$1009,0),0))</f>
        <v>0</v>
      </c>
      <c r="AM200" s="747">
        <f t="shared" si="52"/>
        <v>197</v>
      </c>
      <c r="AN200" s="164" t="e">
        <f>VLOOKUP($AM200,PATRIMONIALE!$AV252:AW$1003,2,FALSE)</f>
        <v>#N/A</v>
      </c>
      <c r="AO200" s="310" t="e">
        <f>VLOOKUP($AM200,PATRIMONIALE!$AV252:AX$1003,3,FALSE)</f>
        <v>#N/A</v>
      </c>
      <c r="AP200" s="310" t="e">
        <f>VLOOKUP($AM200,PATRIMONIALE!$AV252:AY$1003,4,FALSE)</f>
        <v>#N/A</v>
      </c>
      <c r="AQ200" s="748" t="e">
        <f>VLOOKUP($AM200,PATRIMONIALE!$AV252:AZ$1003,5,FALSE)</f>
        <v>#N/A</v>
      </c>
      <c r="AR200" s="1"/>
      <c r="AS200" s="461" t="str">
        <f t="shared" si="50"/>
        <v/>
      </c>
      <c r="AT200" s="370"/>
    </row>
    <row r="201" spans="1:46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435">
        <f>IF(AND(W201&gt;=$U$1,W201&lt;=$U$2),IF(X201='ESTRATTO CONTO'!$E$2,1+COUNTIF(U$4:U200,"&gt;0"),0),0)</f>
        <v>0</v>
      </c>
      <c r="V201" s="417">
        <f t="shared" si="51"/>
        <v>198</v>
      </c>
      <c r="W201" s="509"/>
      <c r="X201" s="321"/>
      <c r="Y201" s="321"/>
      <c r="Z201" s="433"/>
      <c r="AA201" s="356"/>
      <c r="AB201" s="306" t="str">
        <f t="shared" si="46"/>
        <v/>
      </c>
      <c r="AC201" s="893">
        <f t="shared" si="47"/>
        <v>0</v>
      </c>
      <c r="AD201" s="322"/>
      <c r="AE201" s="1"/>
      <c r="AF201" s="223">
        <f>IF(ISBLANK(AD201),0,COUNTIF(AF$4:AF200,"&gt;0")+1)</f>
        <v>0</v>
      </c>
      <c r="AG201" s="164">
        <f t="shared" si="43"/>
        <v>0</v>
      </c>
      <c r="AH201" s="99">
        <f t="shared" si="48"/>
        <v>0</v>
      </c>
      <c r="AI201" s="99">
        <f t="shared" si="44"/>
        <v>0</v>
      </c>
      <c r="AJ201" s="170">
        <f t="shared" si="45"/>
        <v>0</v>
      </c>
      <c r="AK201" s="204">
        <f t="shared" si="49"/>
        <v>0</v>
      </c>
      <c r="AL201" s="1049">
        <f>IF(ISERROR(AO201),0,IF(AND(AN201&gt;=$U$1,AN201&lt;=$U$2),IF(AO201='ESTRATTO CONTO'!$E$2,1+COUNTIF(AL$4:AL200,"&gt;0")+U$1009,0),0))</f>
        <v>0</v>
      </c>
      <c r="AM201" s="747">
        <f t="shared" si="52"/>
        <v>198</v>
      </c>
      <c r="AN201" s="164" t="e">
        <f>VLOOKUP($AM201,PATRIMONIALE!$AV253:AW$1003,2,FALSE)</f>
        <v>#N/A</v>
      </c>
      <c r="AO201" s="310" t="e">
        <f>VLOOKUP($AM201,PATRIMONIALE!$AV253:AX$1003,3,FALSE)</f>
        <v>#N/A</v>
      </c>
      <c r="AP201" s="310" t="e">
        <f>VLOOKUP($AM201,PATRIMONIALE!$AV253:AY$1003,4,FALSE)</f>
        <v>#N/A</v>
      </c>
      <c r="AQ201" s="748" t="e">
        <f>VLOOKUP($AM201,PATRIMONIALE!$AV253:AZ$1003,5,FALSE)</f>
        <v>#N/A</v>
      </c>
      <c r="AR201" s="1"/>
      <c r="AS201" s="461" t="str">
        <f t="shared" si="50"/>
        <v/>
      </c>
      <c r="AT201" s="370"/>
    </row>
    <row r="202" spans="1:46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435">
        <f>IF(AND(W202&gt;=$U$1,W202&lt;=$U$2),IF(X202='ESTRATTO CONTO'!$E$2,1+COUNTIF(U$4:U201,"&gt;0"),0),0)</f>
        <v>0</v>
      </c>
      <c r="V202" s="417">
        <f t="shared" si="51"/>
        <v>199</v>
      </c>
      <c r="W202" s="509"/>
      <c r="X202" s="321"/>
      <c r="Y202" s="321"/>
      <c r="Z202" s="433"/>
      <c r="AA202" s="356"/>
      <c r="AB202" s="306" t="str">
        <f t="shared" si="46"/>
        <v/>
      </c>
      <c r="AC202" s="893">
        <f t="shared" si="47"/>
        <v>0</v>
      </c>
      <c r="AD202" s="322"/>
      <c r="AE202" s="1"/>
      <c r="AF202" s="223">
        <f>IF(ISBLANK(AD202),0,COUNTIF(AF$4:AF201,"&gt;0")+1)</f>
        <v>0</v>
      </c>
      <c r="AG202" s="164">
        <f t="shared" ref="AG202:AG265" si="53">IF($AF202=0,0,W202)</f>
        <v>0</v>
      </c>
      <c r="AH202" s="99">
        <f t="shared" si="48"/>
        <v>0</v>
      </c>
      <c r="AI202" s="99">
        <f t="shared" ref="AI202:AI265" si="54">IF($AF202=0,0,Y202)</f>
        <v>0</v>
      </c>
      <c r="AJ202" s="170">
        <f t="shared" ref="AJ202:AJ265" si="55">IF($AF202=0,0,IF(RIGHT(AD202)="-",IF(Z202&gt;0,Z202*-1,Z202),Z202))</f>
        <v>0</v>
      </c>
      <c r="AK202" s="204">
        <f t="shared" si="49"/>
        <v>0</v>
      </c>
      <c r="AL202" s="1049">
        <f>IF(ISERROR(AO202),0,IF(AND(AN202&gt;=$U$1,AN202&lt;=$U$2),IF(AO202='ESTRATTO CONTO'!$E$2,1+COUNTIF(AL$4:AL201,"&gt;0")+U$1009,0),0))</f>
        <v>0</v>
      </c>
      <c r="AM202" s="747">
        <f t="shared" si="52"/>
        <v>199</v>
      </c>
      <c r="AN202" s="164" t="e">
        <f>VLOOKUP($AM202,PATRIMONIALE!$AV254:AW$1003,2,FALSE)</f>
        <v>#N/A</v>
      </c>
      <c r="AO202" s="310" t="e">
        <f>VLOOKUP($AM202,PATRIMONIALE!$AV254:AX$1003,3,FALSE)</f>
        <v>#N/A</v>
      </c>
      <c r="AP202" s="310" t="e">
        <f>VLOOKUP($AM202,PATRIMONIALE!$AV254:AY$1003,4,FALSE)</f>
        <v>#N/A</v>
      </c>
      <c r="AQ202" s="748" t="e">
        <f>VLOOKUP($AM202,PATRIMONIALE!$AV254:AZ$1003,5,FALSE)</f>
        <v>#N/A</v>
      </c>
      <c r="AR202" s="1"/>
      <c r="AS202" s="461" t="str">
        <f t="shared" si="50"/>
        <v/>
      </c>
      <c r="AT202" s="370"/>
    </row>
    <row r="203" spans="1:46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435">
        <f>IF(AND(W203&gt;=$U$1,W203&lt;=$U$2),IF(X203='ESTRATTO CONTO'!$E$2,1+COUNTIF(U$4:U202,"&gt;0"),0),0)</f>
        <v>0</v>
      </c>
      <c r="V203" s="417">
        <f t="shared" si="51"/>
        <v>200</v>
      </c>
      <c r="W203" s="509"/>
      <c r="X203" s="321"/>
      <c r="Y203" s="321"/>
      <c r="Z203" s="433"/>
      <c r="AA203" s="356"/>
      <c r="AB203" s="306" t="str">
        <f t="shared" si="46"/>
        <v/>
      </c>
      <c r="AC203" s="893">
        <f t="shared" si="47"/>
        <v>0</v>
      </c>
      <c r="AD203" s="322"/>
      <c r="AE203" s="1"/>
      <c r="AF203" s="223">
        <f>IF(ISBLANK(AD203),0,COUNTIF(AF$4:AF202,"&gt;0")+1)</f>
        <v>0</v>
      </c>
      <c r="AG203" s="164">
        <f t="shared" si="53"/>
        <v>0</v>
      </c>
      <c r="AH203" s="99">
        <f t="shared" si="48"/>
        <v>0</v>
      </c>
      <c r="AI203" s="99">
        <f t="shared" si="54"/>
        <v>0</v>
      </c>
      <c r="AJ203" s="170">
        <f t="shared" si="55"/>
        <v>0</v>
      </c>
      <c r="AK203" s="204">
        <f t="shared" si="49"/>
        <v>0</v>
      </c>
      <c r="AL203" s="1049">
        <f>IF(ISERROR(AO203),0,IF(AND(AN203&gt;=$U$1,AN203&lt;=$U$2),IF(AO203='ESTRATTO CONTO'!$E$2,1+COUNTIF(AL$4:AL202,"&gt;0")+U$1009,0),0))</f>
        <v>0</v>
      </c>
      <c r="AM203" s="747">
        <f t="shared" si="52"/>
        <v>200</v>
      </c>
      <c r="AN203" s="164" t="e">
        <f>VLOOKUP($AM203,PATRIMONIALE!$AV255:AW$1003,2,FALSE)</f>
        <v>#N/A</v>
      </c>
      <c r="AO203" s="310" t="e">
        <f>VLOOKUP($AM203,PATRIMONIALE!$AV255:AX$1003,3,FALSE)</f>
        <v>#N/A</v>
      </c>
      <c r="AP203" s="310" t="e">
        <f>VLOOKUP($AM203,PATRIMONIALE!$AV255:AY$1003,4,FALSE)</f>
        <v>#N/A</v>
      </c>
      <c r="AQ203" s="748" t="e">
        <f>VLOOKUP($AM203,PATRIMONIALE!$AV255:AZ$1003,5,FALSE)</f>
        <v>#N/A</v>
      </c>
      <c r="AR203" s="1"/>
      <c r="AS203" s="461" t="str">
        <f t="shared" si="50"/>
        <v/>
      </c>
      <c r="AT203" s="370"/>
    </row>
    <row r="204" spans="1:46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435">
        <f>IF(AND(W204&gt;=$U$1,W204&lt;=$U$2),IF(X204='ESTRATTO CONTO'!$E$2,1+COUNTIF(U$4:U203,"&gt;0"),0),0)</f>
        <v>0</v>
      </c>
      <c r="V204" s="417">
        <f t="shared" si="51"/>
        <v>201</v>
      </c>
      <c r="W204" s="509"/>
      <c r="X204" s="321"/>
      <c r="Y204" s="321"/>
      <c r="Z204" s="433"/>
      <c r="AA204" s="356"/>
      <c r="AB204" s="306" t="str">
        <f t="shared" si="46"/>
        <v/>
      </c>
      <c r="AC204" s="893">
        <f t="shared" si="47"/>
        <v>0</v>
      </c>
      <c r="AD204" s="322"/>
      <c r="AE204" s="1"/>
      <c r="AF204" s="223">
        <f>IF(ISBLANK(AD204),0,COUNTIF(AF$4:AF203,"&gt;0")+1)</f>
        <v>0</v>
      </c>
      <c r="AG204" s="164">
        <f t="shared" si="53"/>
        <v>0</v>
      </c>
      <c r="AH204" s="99">
        <f t="shared" si="48"/>
        <v>0</v>
      </c>
      <c r="AI204" s="99">
        <f t="shared" si="54"/>
        <v>0</v>
      </c>
      <c r="AJ204" s="170">
        <f t="shared" si="55"/>
        <v>0</v>
      </c>
      <c r="AK204" s="204">
        <f t="shared" si="49"/>
        <v>0</v>
      </c>
      <c r="AL204" s="1049">
        <f>IF(ISERROR(AO204),0,IF(AND(AN204&gt;=$U$1,AN204&lt;=$U$2),IF(AO204='ESTRATTO CONTO'!$E$2,1+COUNTIF(AL$4:AL203,"&gt;0")+U$1009,0),0))</f>
        <v>0</v>
      </c>
      <c r="AM204" s="747">
        <f t="shared" si="52"/>
        <v>201</v>
      </c>
      <c r="AN204" s="164" t="e">
        <f>VLOOKUP($AM204,PATRIMONIALE!$AV256:AW$1003,2,FALSE)</f>
        <v>#N/A</v>
      </c>
      <c r="AO204" s="310" t="e">
        <f>VLOOKUP($AM204,PATRIMONIALE!$AV256:AX$1003,3,FALSE)</f>
        <v>#N/A</v>
      </c>
      <c r="AP204" s="310" t="e">
        <f>VLOOKUP($AM204,PATRIMONIALE!$AV256:AY$1003,4,FALSE)</f>
        <v>#N/A</v>
      </c>
      <c r="AQ204" s="748" t="e">
        <f>VLOOKUP($AM204,PATRIMONIALE!$AV256:AZ$1003,5,FALSE)</f>
        <v>#N/A</v>
      </c>
      <c r="AR204" s="1"/>
      <c r="AS204" s="461" t="str">
        <f t="shared" si="50"/>
        <v/>
      </c>
      <c r="AT204" s="370"/>
    </row>
    <row r="205" spans="1:46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435">
        <f>IF(AND(W205&gt;=$U$1,W205&lt;=$U$2),IF(X205='ESTRATTO CONTO'!$E$2,1+COUNTIF(U$4:U204,"&gt;0"),0),0)</f>
        <v>0</v>
      </c>
      <c r="V205" s="417">
        <f t="shared" si="51"/>
        <v>202</v>
      </c>
      <c r="W205" s="509"/>
      <c r="X205" s="321"/>
      <c r="Y205" s="321"/>
      <c r="Z205" s="433"/>
      <c r="AA205" s="356"/>
      <c r="AB205" s="306" t="str">
        <f t="shared" si="46"/>
        <v/>
      </c>
      <c r="AC205" s="893">
        <f t="shared" si="47"/>
        <v>0</v>
      </c>
      <c r="AD205" s="322"/>
      <c r="AE205" s="1"/>
      <c r="AF205" s="223">
        <f>IF(ISBLANK(AD205),0,COUNTIF(AF$4:AF204,"&gt;0")+1)</f>
        <v>0</v>
      </c>
      <c r="AG205" s="164">
        <f t="shared" si="53"/>
        <v>0</v>
      </c>
      <c r="AH205" s="99">
        <f t="shared" si="48"/>
        <v>0</v>
      </c>
      <c r="AI205" s="99">
        <f t="shared" si="54"/>
        <v>0</v>
      </c>
      <c r="AJ205" s="170">
        <f t="shared" si="55"/>
        <v>0</v>
      </c>
      <c r="AK205" s="204">
        <f t="shared" si="49"/>
        <v>0</v>
      </c>
      <c r="AL205" s="1049">
        <f>IF(ISERROR(AO205),0,IF(AND(AN205&gt;=$U$1,AN205&lt;=$U$2),IF(AO205='ESTRATTO CONTO'!$E$2,1+COUNTIF(AL$4:AL204,"&gt;0")+U$1009,0),0))</f>
        <v>0</v>
      </c>
      <c r="AM205" s="747">
        <f t="shared" si="52"/>
        <v>202</v>
      </c>
      <c r="AN205" s="164" t="e">
        <f>VLOOKUP($AM205,PATRIMONIALE!$AV257:AW$1003,2,FALSE)</f>
        <v>#N/A</v>
      </c>
      <c r="AO205" s="310" t="e">
        <f>VLOOKUP($AM205,PATRIMONIALE!$AV257:AX$1003,3,FALSE)</f>
        <v>#N/A</v>
      </c>
      <c r="AP205" s="310" t="e">
        <f>VLOOKUP($AM205,PATRIMONIALE!$AV257:AY$1003,4,FALSE)</f>
        <v>#N/A</v>
      </c>
      <c r="AQ205" s="748" t="e">
        <f>VLOOKUP($AM205,PATRIMONIALE!$AV257:AZ$1003,5,FALSE)</f>
        <v>#N/A</v>
      </c>
      <c r="AR205" s="1"/>
      <c r="AS205" s="461" t="str">
        <f t="shared" si="50"/>
        <v/>
      </c>
      <c r="AT205" s="370"/>
    </row>
    <row r="206" spans="1:46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435">
        <f>IF(AND(W206&gt;=$U$1,W206&lt;=$U$2),IF(X206='ESTRATTO CONTO'!$E$2,1+COUNTIF(U$4:U205,"&gt;0"),0),0)</f>
        <v>0</v>
      </c>
      <c r="V206" s="417">
        <f t="shared" si="51"/>
        <v>203</v>
      </c>
      <c r="W206" s="509"/>
      <c r="X206" s="321"/>
      <c r="Y206" s="321"/>
      <c r="Z206" s="433"/>
      <c r="AA206" s="356"/>
      <c r="AB206" s="306" t="str">
        <f t="shared" si="46"/>
        <v/>
      </c>
      <c r="AC206" s="893">
        <f t="shared" si="47"/>
        <v>0</v>
      </c>
      <c r="AD206" s="322"/>
      <c r="AE206" s="1"/>
      <c r="AF206" s="223">
        <f>IF(ISBLANK(AD206),0,COUNTIF(AF$4:AF205,"&gt;0")+1)</f>
        <v>0</v>
      </c>
      <c r="AG206" s="164">
        <f t="shared" si="53"/>
        <v>0</v>
      </c>
      <c r="AH206" s="99">
        <f t="shared" si="48"/>
        <v>0</v>
      </c>
      <c r="AI206" s="99">
        <f t="shared" si="54"/>
        <v>0</v>
      </c>
      <c r="AJ206" s="170">
        <f t="shared" si="55"/>
        <v>0</v>
      </c>
      <c r="AK206" s="204">
        <f t="shared" si="49"/>
        <v>0</v>
      </c>
      <c r="AL206" s="1049">
        <f>IF(ISERROR(AO206),0,IF(AND(AN206&gt;=$U$1,AN206&lt;=$U$2),IF(AO206='ESTRATTO CONTO'!$E$2,1+COUNTIF(AL$4:AL205,"&gt;0")+U$1009,0),0))</f>
        <v>0</v>
      </c>
      <c r="AM206" s="747">
        <f t="shared" si="52"/>
        <v>203</v>
      </c>
      <c r="AN206" s="164" t="e">
        <f>VLOOKUP($AM206,PATRIMONIALE!$AV258:AW$1003,2,FALSE)</f>
        <v>#N/A</v>
      </c>
      <c r="AO206" s="310" t="e">
        <f>VLOOKUP($AM206,PATRIMONIALE!$AV258:AX$1003,3,FALSE)</f>
        <v>#N/A</v>
      </c>
      <c r="AP206" s="310" t="e">
        <f>VLOOKUP($AM206,PATRIMONIALE!$AV258:AY$1003,4,FALSE)</f>
        <v>#N/A</v>
      </c>
      <c r="AQ206" s="748" t="e">
        <f>VLOOKUP($AM206,PATRIMONIALE!$AV258:AZ$1003,5,FALSE)</f>
        <v>#N/A</v>
      </c>
      <c r="AR206" s="1"/>
      <c r="AS206" s="461" t="str">
        <f t="shared" si="50"/>
        <v/>
      </c>
      <c r="AT206" s="370"/>
    </row>
    <row r="207" spans="1:46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435">
        <f>IF(AND(W207&gt;=$U$1,W207&lt;=$U$2),IF(X207='ESTRATTO CONTO'!$E$2,1+COUNTIF(U$4:U206,"&gt;0"),0),0)</f>
        <v>0</v>
      </c>
      <c r="V207" s="417">
        <f t="shared" si="51"/>
        <v>204</v>
      </c>
      <c r="W207" s="509"/>
      <c r="X207" s="321"/>
      <c r="Y207" s="321"/>
      <c r="Z207" s="433"/>
      <c r="AA207" s="356"/>
      <c r="AB207" s="306" t="str">
        <f t="shared" si="46"/>
        <v/>
      </c>
      <c r="AC207" s="893">
        <f t="shared" si="47"/>
        <v>0</v>
      </c>
      <c r="AD207" s="322"/>
      <c r="AE207" s="1"/>
      <c r="AF207" s="223">
        <f>IF(ISBLANK(AD207),0,COUNTIF(AF$4:AF206,"&gt;0")+1)</f>
        <v>0</v>
      </c>
      <c r="AG207" s="164">
        <f t="shared" si="53"/>
        <v>0</v>
      </c>
      <c r="AH207" s="99">
        <f t="shared" si="48"/>
        <v>0</v>
      </c>
      <c r="AI207" s="99">
        <f t="shared" si="54"/>
        <v>0</v>
      </c>
      <c r="AJ207" s="170">
        <f t="shared" si="55"/>
        <v>0</v>
      </c>
      <c r="AK207" s="204">
        <f t="shared" si="49"/>
        <v>0</v>
      </c>
      <c r="AL207" s="1049">
        <f>IF(ISERROR(AO207),0,IF(AND(AN207&gt;=$U$1,AN207&lt;=$U$2),IF(AO207='ESTRATTO CONTO'!$E$2,1+COUNTIF(AL$4:AL206,"&gt;0")+U$1009,0),0))</f>
        <v>0</v>
      </c>
      <c r="AM207" s="747">
        <f t="shared" si="52"/>
        <v>204</v>
      </c>
      <c r="AN207" s="164" t="e">
        <f>VLOOKUP($AM207,PATRIMONIALE!$AV259:AW$1003,2,FALSE)</f>
        <v>#N/A</v>
      </c>
      <c r="AO207" s="310" t="e">
        <f>VLOOKUP($AM207,PATRIMONIALE!$AV259:AX$1003,3,FALSE)</f>
        <v>#N/A</v>
      </c>
      <c r="AP207" s="310" t="e">
        <f>VLOOKUP($AM207,PATRIMONIALE!$AV259:AY$1003,4,FALSE)</f>
        <v>#N/A</v>
      </c>
      <c r="AQ207" s="748" t="e">
        <f>VLOOKUP($AM207,PATRIMONIALE!$AV259:AZ$1003,5,FALSE)</f>
        <v>#N/A</v>
      </c>
      <c r="AR207" s="1"/>
      <c r="AS207" s="461" t="str">
        <f t="shared" si="50"/>
        <v/>
      </c>
      <c r="AT207" s="370"/>
    </row>
    <row r="208" spans="1:46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435">
        <f>IF(AND(W208&gt;=$U$1,W208&lt;=$U$2),IF(X208='ESTRATTO CONTO'!$E$2,1+COUNTIF(U$4:U207,"&gt;0"),0),0)</f>
        <v>0</v>
      </c>
      <c r="V208" s="417">
        <f t="shared" si="51"/>
        <v>205</v>
      </c>
      <c r="W208" s="509"/>
      <c r="X208" s="321"/>
      <c r="Y208" s="321"/>
      <c r="Z208" s="433"/>
      <c r="AA208" s="356"/>
      <c r="AB208" s="306" t="str">
        <f t="shared" si="46"/>
        <v/>
      </c>
      <c r="AC208" s="893">
        <f t="shared" si="47"/>
        <v>0</v>
      </c>
      <c r="AD208" s="322"/>
      <c r="AE208" s="1"/>
      <c r="AF208" s="223">
        <f>IF(ISBLANK(AD208),0,COUNTIF(AF$4:AF207,"&gt;0")+1)</f>
        <v>0</v>
      </c>
      <c r="AG208" s="164">
        <f t="shared" si="53"/>
        <v>0</v>
      </c>
      <c r="AH208" s="99">
        <f t="shared" si="48"/>
        <v>0</v>
      </c>
      <c r="AI208" s="99">
        <f t="shared" si="54"/>
        <v>0</v>
      </c>
      <c r="AJ208" s="170">
        <f t="shared" si="55"/>
        <v>0</v>
      </c>
      <c r="AK208" s="204">
        <f t="shared" si="49"/>
        <v>0</v>
      </c>
      <c r="AL208" s="1049">
        <f>IF(ISERROR(AO208),0,IF(AND(AN208&gt;=$U$1,AN208&lt;=$U$2),IF(AO208='ESTRATTO CONTO'!$E$2,1+COUNTIF(AL$4:AL207,"&gt;0")+U$1009,0),0))</f>
        <v>0</v>
      </c>
      <c r="AM208" s="747">
        <f t="shared" si="52"/>
        <v>205</v>
      </c>
      <c r="AN208" s="164" t="e">
        <f>VLOOKUP($AM208,PATRIMONIALE!$AV260:AW$1003,2,FALSE)</f>
        <v>#N/A</v>
      </c>
      <c r="AO208" s="310" t="e">
        <f>VLOOKUP($AM208,PATRIMONIALE!$AV260:AX$1003,3,FALSE)</f>
        <v>#N/A</v>
      </c>
      <c r="AP208" s="310" t="e">
        <f>VLOOKUP($AM208,PATRIMONIALE!$AV260:AY$1003,4,FALSE)</f>
        <v>#N/A</v>
      </c>
      <c r="AQ208" s="748" t="e">
        <f>VLOOKUP($AM208,PATRIMONIALE!$AV260:AZ$1003,5,FALSE)</f>
        <v>#N/A</v>
      </c>
      <c r="AR208" s="1"/>
      <c r="AS208" s="461" t="str">
        <f t="shared" si="50"/>
        <v/>
      </c>
      <c r="AT208" s="370"/>
    </row>
    <row r="209" spans="1:46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435">
        <f>IF(AND(W209&gt;=$U$1,W209&lt;=$U$2),IF(X209='ESTRATTO CONTO'!$E$2,1+COUNTIF(U$4:U208,"&gt;0"),0),0)</f>
        <v>0</v>
      </c>
      <c r="V209" s="417">
        <f t="shared" si="51"/>
        <v>206</v>
      </c>
      <c r="W209" s="509"/>
      <c r="X209" s="321"/>
      <c r="Y209" s="321"/>
      <c r="Z209" s="433"/>
      <c r="AA209" s="356"/>
      <c r="AB209" s="306" t="str">
        <f t="shared" si="46"/>
        <v/>
      </c>
      <c r="AC209" s="893">
        <f t="shared" si="47"/>
        <v>0</v>
      </c>
      <c r="AD209" s="322"/>
      <c r="AE209" s="1"/>
      <c r="AF209" s="223">
        <f>IF(ISBLANK(AD209),0,COUNTIF(AF$4:AF208,"&gt;0")+1)</f>
        <v>0</v>
      </c>
      <c r="AG209" s="164">
        <f t="shared" si="53"/>
        <v>0</v>
      </c>
      <c r="AH209" s="99">
        <f t="shared" si="48"/>
        <v>0</v>
      </c>
      <c r="AI209" s="99">
        <f t="shared" si="54"/>
        <v>0</v>
      </c>
      <c r="AJ209" s="170">
        <f t="shared" si="55"/>
        <v>0</v>
      </c>
      <c r="AK209" s="204">
        <f t="shared" si="49"/>
        <v>0</v>
      </c>
      <c r="AL209" s="1049">
        <f>IF(ISERROR(AO209),0,IF(AND(AN209&gt;=$U$1,AN209&lt;=$U$2),IF(AO209='ESTRATTO CONTO'!$E$2,1+COUNTIF(AL$4:AL208,"&gt;0")+U$1009,0),0))</f>
        <v>0</v>
      </c>
      <c r="AM209" s="747">
        <f t="shared" si="52"/>
        <v>206</v>
      </c>
      <c r="AN209" s="164" t="e">
        <f>VLOOKUP($AM209,PATRIMONIALE!$AV261:AW$1003,2,FALSE)</f>
        <v>#N/A</v>
      </c>
      <c r="AO209" s="310" t="e">
        <f>VLOOKUP($AM209,PATRIMONIALE!$AV261:AX$1003,3,FALSE)</f>
        <v>#N/A</v>
      </c>
      <c r="AP209" s="310" t="e">
        <f>VLOOKUP($AM209,PATRIMONIALE!$AV261:AY$1003,4,FALSE)</f>
        <v>#N/A</v>
      </c>
      <c r="AQ209" s="748" t="e">
        <f>VLOOKUP($AM209,PATRIMONIALE!$AV261:AZ$1003,5,FALSE)</f>
        <v>#N/A</v>
      </c>
      <c r="AR209" s="1"/>
      <c r="AS209" s="461" t="str">
        <f t="shared" si="50"/>
        <v/>
      </c>
      <c r="AT209" s="370"/>
    </row>
    <row r="210" spans="1:46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435">
        <f>IF(AND(W210&gt;=$U$1,W210&lt;=$U$2),IF(X210='ESTRATTO CONTO'!$E$2,1+COUNTIF(U$4:U209,"&gt;0"),0),0)</f>
        <v>0</v>
      </c>
      <c r="V210" s="417">
        <f t="shared" si="51"/>
        <v>207</v>
      </c>
      <c r="W210" s="509"/>
      <c r="X210" s="321"/>
      <c r="Y210" s="321"/>
      <c r="Z210" s="433"/>
      <c r="AA210" s="356"/>
      <c r="AB210" s="306" t="str">
        <f t="shared" si="46"/>
        <v/>
      </c>
      <c r="AC210" s="893">
        <f t="shared" si="47"/>
        <v>0</v>
      </c>
      <c r="AD210" s="322"/>
      <c r="AE210" s="1"/>
      <c r="AF210" s="223">
        <f>IF(ISBLANK(AD210),0,COUNTIF(AF$4:AF209,"&gt;0")+1)</f>
        <v>0</v>
      </c>
      <c r="AG210" s="164">
        <f t="shared" si="53"/>
        <v>0</v>
      </c>
      <c r="AH210" s="99">
        <f t="shared" si="48"/>
        <v>0</v>
      </c>
      <c r="AI210" s="99">
        <f t="shared" si="54"/>
        <v>0</v>
      </c>
      <c r="AJ210" s="170">
        <f t="shared" si="55"/>
        <v>0</v>
      </c>
      <c r="AK210" s="204">
        <f t="shared" si="49"/>
        <v>0</v>
      </c>
      <c r="AL210" s="1049">
        <f>IF(ISERROR(AO210),0,IF(AND(AN210&gt;=$U$1,AN210&lt;=$U$2),IF(AO210='ESTRATTO CONTO'!$E$2,1+COUNTIF(AL$4:AL209,"&gt;0")+U$1009,0),0))</f>
        <v>0</v>
      </c>
      <c r="AM210" s="747">
        <f t="shared" si="52"/>
        <v>207</v>
      </c>
      <c r="AN210" s="164" t="e">
        <f>VLOOKUP($AM210,PATRIMONIALE!$AV262:AW$1003,2,FALSE)</f>
        <v>#N/A</v>
      </c>
      <c r="AO210" s="310" t="e">
        <f>VLOOKUP($AM210,PATRIMONIALE!$AV262:AX$1003,3,FALSE)</f>
        <v>#N/A</v>
      </c>
      <c r="AP210" s="310" t="e">
        <f>VLOOKUP($AM210,PATRIMONIALE!$AV262:AY$1003,4,FALSE)</f>
        <v>#N/A</v>
      </c>
      <c r="AQ210" s="748" t="e">
        <f>VLOOKUP($AM210,PATRIMONIALE!$AV262:AZ$1003,5,FALSE)</f>
        <v>#N/A</v>
      </c>
      <c r="AR210" s="1"/>
      <c r="AS210" s="461" t="str">
        <f t="shared" si="50"/>
        <v/>
      </c>
      <c r="AT210" s="370"/>
    </row>
    <row r="211" spans="1:46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435">
        <f>IF(AND(W211&gt;=$U$1,W211&lt;=$U$2),IF(X211='ESTRATTO CONTO'!$E$2,1+COUNTIF(U$4:U210,"&gt;0"),0),0)</f>
        <v>0</v>
      </c>
      <c r="V211" s="417">
        <f t="shared" si="51"/>
        <v>208</v>
      </c>
      <c r="W211" s="509"/>
      <c r="X211" s="321"/>
      <c r="Y211" s="321"/>
      <c r="Z211" s="433"/>
      <c r="AA211" s="356"/>
      <c r="AB211" s="306" t="str">
        <f t="shared" si="46"/>
        <v/>
      </c>
      <c r="AC211" s="893">
        <f t="shared" si="47"/>
        <v>0</v>
      </c>
      <c r="AD211" s="322"/>
      <c r="AE211" s="1"/>
      <c r="AF211" s="223">
        <f>IF(ISBLANK(AD211),0,COUNTIF(AF$4:AF210,"&gt;0")+1)</f>
        <v>0</v>
      </c>
      <c r="AG211" s="164">
        <f t="shared" si="53"/>
        <v>0</v>
      </c>
      <c r="AH211" s="99">
        <f t="shared" si="48"/>
        <v>0</v>
      </c>
      <c r="AI211" s="99">
        <f t="shared" si="54"/>
        <v>0</v>
      </c>
      <c r="AJ211" s="170">
        <f t="shared" si="55"/>
        <v>0</v>
      </c>
      <c r="AK211" s="204">
        <f t="shared" si="49"/>
        <v>0</v>
      </c>
      <c r="AL211" s="1049">
        <f>IF(ISERROR(AO211),0,IF(AND(AN211&gt;=$U$1,AN211&lt;=$U$2),IF(AO211='ESTRATTO CONTO'!$E$2,1+COUNTIF(AL$4:AL210,"&gt;0")+U$1009,0),0))</f>
        <v>0</v>
      </c>
      <c r="AM211" s="747">
        <f t="shared" si="52"/>
        <v>208</v>
      </c>
      <c r="AN211" s="164" t="e">
        <f>VLOOKUP($AM211,PATRIMONIALE!$AV263:AW$1003,2,FALSE)</f>
        <v>#N/A</v>
      </c>
      <c r="AO211" s="310" t="e">
        <f>VLOOKUP($AM211,PATRIMONIALE!$AV263:AX$1003,3,FALSE)</f>
        <v>#N/A</v>
      </c>
      <c r="AP211" s="310" t="e">
        <f>VLOOKUP($AM211,PATRIMONIALE!$AV263:AY$1003,4,FALSE)</f>
        <v>#N/A</v>
      </c>
      <c r="AQ211" s="748" t="e">
        <f>VLOOKUP($AM211,PATRIMONIALE!$AV263:AZ$1003,5,FALSE)</f>
        <v>#N/A</v>
      </c>
      <c r="AR211" s="1"/>
      <c r="AS211" s="461" t="str">
        <f t="shared" si="50"/>
        <v/>
      </c>
      <c r="AT211" s="370"/>
    </row>
    <row r="212" spans="1:46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435">
        <f>IF(AND(W212&gt;=$U$1,W212&lt;=$U$2),IF(X212='ESTRATTO CONTO'!$E$2,1+COUNTIF(U$4:U211,"&gt;0"),0),0)</f>
        <v>0</v>
      </c>
      <c r="V212" s="417">
        <f t="shared" si="51"/>
        <v>209</v>
      </c>
      <c r="W212" s="509"/>
      <c r="X212" s="321"/>
      <c r="Y212" s="321"/>
      <c r="Z212" s="433"/>
      <c r="AA212" s="356"/>
      <c r="AB212" s="306" t="str">
        <f t="shared" si="46"/>
        <v/>
      </c>
      <c r="AC212" s="893">
        <f t="shared" si="47"/>
        <v>0</v>
      </c>
      <c r="AD212" s="322"/>
      <c r="AE212" s="1"/>
      <c r="AF212" s="223">
        <f>IF(ISBLANK(AD212),0,COUNTIF(AF$4:AF211,"&gt;0")+1)</f>
        <v>0</v>
      </c>
      <c r="AG212" s="164">
        <f t="shared" si="53"/>
        <v>0</v>
      </c>
      <c r="AH212" s="99">
        <f t="shared" si="48"/>
        <v>0</v>
      </c>
      <c r="AI212" s="99">
        <f t="shared" si="54"/>
        <v>0</v>
      </c>
      <c r="AJ212" s="170">
        <f t="shared" si="55"/>
        <v>0</v>
      </c>
      <c r="AK212" s="204">
        <f t="shared" si="49"/>
        <v>0</v>
      </c>
      <c r="AL212" s="1049">
        <f>IF(ISERROR(AO212),0,IF(AND(AN212&gt;=$U$1,AN212&lt;=$U$2),IF(AO212='ESTRATTO CONTO'!$E$2,1+COUNTIF(AL$4:AL211,"&gt;0")+U$1009,0),0))</f>
        <v>0</v>
      </c>
      <c r="AM212" s="747">
        <f t="shared" si="52"/>
        <v>209</v>
      </c>
      <c r="AN212" s="164" t="e">
        <f>VLOOKUP($AM212,PATRIMONIALE!$AV264:AW$1003,2,FALSE)</f>
        <v>#N/A</v>
      </c>
      <c r="AO212" s="310" t="e">
        <f>VLOOKUP($AM212,PATRIMONIALE!$AV264:AX$1003,3,FALSE)</f>
        <v>#N/A</v>
      </c>
      <c r="AP212" s="310" t="e">
        <f>VLOOKUP($AM212,PATRIMONIALE!$AV264:AY$1003,4,FALSE)</f>
        <v>#N/A</v>
      </c>
      <c r="AQ212" s="748" t="e">
        <f>VLOOKUP($AM212,PATRIMONIALE!$AV264:AZ$1003,5,FALSE)</f>
        <v>#N/A</v>
      </c>
      <c r="AR212" s="1"/>
      <c r="AS212" s="461" t="str">
        <f t="shared" si="50"/>
        <v/>
      </c>
      <c r="AT212" s="370"/>
    </row>
    <row r="213" spans="1:46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435">
        <f>IF(AND(W213&gt;=$U$1,W213&lt;=$U$2),IF(X213='ESTRATTO CONTO'!$E$2,1+COUNTIF(U$4:U212,"&gt;0"),0),0)</f>
        <v>0</v>
      </c>
      <c r="V213" s="417">
        <f t="shared" si="51"/>
        <v>210</v>
      </c>
      <c r="W213" s="509"/>
      <c r="X213" s="321"/>
      <c r="Y213" s="321"/>
      <c r="Z213" s="433"/>
      <c r="AA213" s="356"/>
      <c r="AB213" s="306" t="str">
        <f t="shared" si="46"/>
        <v/>
      </c>
      <c r="AC213" s="893">
        <f t="shared" si="47"/>
        <v>0</v>
      </c>
      <c r="AD213" s="322"/>
      <c r="AE213" s="1"/>
      <c r="AF213" s="223">
        <f>IF(ISBLANK(AD213),0,COUNTIF(AF$4:AF212,"&gt;0")+1)</f>
        <v>0</v>
      </c>
      <c r="AG213" s="164">
        <f t="shared" si="53"/>
        <v>0</v>
      </c>
      <c r="AH213" s="99">
        <f t="shared" si="48"/>
        <v>0</v>
      </c>
      <c r="AI213" s="99">
        <f t="shared" si="54"/>
        <v>0</v>
      </c>
      <c r="AJ213" s="170">
        <f t="shared" si="55"/>
        <v>0</v>
      </c>
      <c r="AK213" s="204">
        <f t="shared" si="49"/>
        <v>0</v>
      </c>
      <c r="AL213" s="1049">
        <f>IF(ISERROR(AO213),0,IF(AND(AN213&gt;=$U$1,AN213&lt;=$U$2),IF(AO213='ESTRATTO CONTO'!$E$2,1+COUNTIF(AL$4:AL212,"&gt;0")+U$1009,0),0))</f>
        <v>0</v>
      </c>
      <c r="AM213" s="747">
        <f t="shared" si="52"/>
        <v>210</v>
      </c>
      <c r="AN213" s="164" t="e">
        <f>VLOOKUP($AM213,PATRIMONIALE!$AV265:AW$1003,2,FALSE)</f>
        <v>#N/A</v>
      </c>
      <c r="AO213" s="310" t="e">
        <f>VLOOKUP($AM213,PATRIMONIALE!$AV265:AX$1003,3,FALSE)</f>
        <v>#N/A</v>
      </c>
      <c r="AP213" s="310" t="e">
        <f>VLOOKUP($AM213,PATRIMONIALE!$AV265:AY$1003,4,FALSE)</f>
        <v>#N/A</v>
      </c>
      <c r="AQ213" s="748" t="e">
        <f>VLOOKUP($AM213,PATRIMONIALE!$AV265:AZ$1003,5,FALSE)</f>
        <v>#N/A</v>
      </c>
      <c r="AR213" s="1"/>
      <c r="AS213" s="461" t="str">
        <f t="shared" si="50"/>
        <v/>
      </c>
      <c r="AT213" s="370"/>
    </row>
    <row r="214" spans="1:46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435">
        <f>IF(AND(W214&gt;=$U$1,W214&lt;=$U$2),IF(X214='ESTRATTO CONTO'!$E$2,1+COUNTIF(U$4:U213,"&gt;0"),0),0)</f>
        <v>0</v>
      </c>
      <c r="V214" s="417">
        <f t="shared" si="51"/>
        <v>211</v>
      </c>
      <c r="W214" s="509"/>
      <c r="X214" s="321"/>
      <c r="Y214" s="321"/>
      <c r="Z214" s="433"/>
      <c r="AA214" s="356"/>
      <c r="AB214" s="306" t="str">
        <f t="shared" si="46"/>
        <v/>
      </c>
      <c r="AC214" s="893">
        <f t="shared" si="47"/>
        <v>0</v>
      </c>
      <c r="AD214" s="322"/>
      <c r="AE214" s="1"/>
      <c r="AF214" s="223">
        <f>IF(ISBLANK(AD214),0,COUNTIF(AF$4:AF213,"&gt;0")+1)</f>
        <v>0</v>
      </c>
      <c r="AG214" s="164">
        <f t="shared" si="53"/>
        <v>0</v>
      </c>
      <c r="AH214" s="99">
        <f t="shared" si="48"/>
        <v>0</v>
      </c>
      <c r="AI214" s="99">
        <f t="shared" si="54"/>
        <v>0</v>
      </c>
      <c r="AJ214" s="170">
        <f t="shared" si="55"/>
        <v>0</v>
      </c>
      <c r="AK214" s="204">
        <f t="shared" si="49"/>
        <v>0</v>
      </c>
      <c r="AL214" s="1049">
        <f>IF(ISERROR(AO214),0,IF(AND(AN214&gt;=$U$1,AN214&lt;=$U$2),IF(AO214='ESTRATTO CONTO'!$E$2,1+COUNTIF(AL$4:AL213,"&gt;0")+U$1009,0),0))</f>
        <v>0</v>
      </c>
      <c r="AM214" s="747">
        <f t="shared" si="52"/>
        <v>211</v>
      </c>
      <c r="AN214" s="164" t="e">
        <f>VLOOKUP($AM214,PATRIMONIALE!$AV266:AW$1003,2,FALSE)</f>
        <v>#N/A</v>
      </c>
      <c r="AO214" s="310" t="e">
        <f>VLOOKUP($AM214,PATRIMONIALE!$AV266:AX$1003,3,FALSE)</f>
        <v>#N/A</v>
      </c>
      <c r="AP214" s="310" t="e">
        <f>VLOOKUP($AM214,PATRIMONIALE!$AV266:AY$1003,4,FALSE)</f>
        <v>#N/A</v>
      </c>
      <c r="AQ214" s="748" t="e">
        <f>VLOOKUP($AM214,PATRIMONIALE!$AV266:AZ$1003,5,FALSE)</f>
        <v>#N/A</v>
      </c>
      <c r="AR214" s="1"/>
      <c r="AS214" s="461" t="str">
        <f t="shared" si="50"/>
        <v/>
      </c>
      <c r="AT214" s="370"/>
    </row>
    <row r="215" spans="1:46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435">
        <f>IF(AND(W215&gt;=$U$1,W215&lt;=$U$2),IF(X215='ESTRATTO CONTO'!$E$2,1+COUNTIF(U$4:U214,"&gt;0"),0),0)</f>
        <v>0</v>
      </c>
      <c r="V215" s="417">
        <f t="shared" si="51"/>
        <v>212</v>
      </c>
      <c r="W215" s="509"/>
      <c r="X215" s="321"/>
      <c r="Y215" s="321"/>
      <c r="Z215" s="433"/>
      <c r="AA215" s="356"/>
      <c r="AB215" s="306" t="str">
        <f t="shared" si="46"/>
        <v/>
      </c>
      <c r="AC215" s="893">
        <f t="shared" si="47"/>
        <v>0</v>
      </c>
      <c r="AD215" s="322"/>
      <c r="AE215" s="1"/>
      <c r="AF215" s="223">
        <f>IF(ISBLANK(AD215),0,COUNTIF(AF$4:AF214,"&gt;0")+1)</f>
        <v>0</v>
      </c>
      <c r="AG215" s="164">
        <f t="shared" si="53"/>
        <v>0</v>
      </c>
      <c r="AH215" s="99">
        <f t="shared" si="48"/>
        <v>0</v>
      </c>
      <c r="AI215" s="99">
        <f t="shared" si="54"/>
        <v>0</v>
      </c>
      <c r="AJ215" s="170">
        <f t="shared" si="55"/>
        <v>0</v>
      </c>
      <c r="AK215" s="204">
        <f t="shared" si="49"/>
        <v>0</v>
      </c>
      <c r="AL215" s="1049">
        <f>IF(ISERROR(AO215),0,IF(AND(AN215&gt;=$U$1,AN215&lt;=$U$2),IF(AO215='ESTRATTO CONTO'!$E$2,1+COUNTIF(AL$4:AL214,"&gt;0")+U$1009,0),0))</f>
        <v>0</v>
      </c>
      <c r="AM215" s="747">
        <f t="shared" si="52"/>
        <v>212</v>
      </c>
      <c r="AN215" s="164" t="e">
        <f>VLOOKUP($AM215,PATRIMONIALE!$AV267:AW$1003,2,FALSE)</f>
        <v>#N/A</v>
      </c>
      <c r="AO215" s="310" t="e">
        <f>VLOOKUP($AM215,PATRIMONIALE!$AV267:AX$1003,3,FALSE)</f>
        <v>#N/A</v>
      </c>
      <c r="AP215" s="310" t="e">
        <f>VLOOKUP($AM215,PATRIMONIALE!$AV267:AY$1003,4,FALSE)</f>
        <v>#N/A</v>
      </c>
      <c r="AQ215" s="748" t="e">
        <f>VLOOKUP($AM215,PATRIMONIALE!$AV267:AZ$1003,5,FALSE)</f>
        <v>#N/A</v>
      </c>
      <c r="AR215" s="1"/>
      <c r="AS215" s="461" t="str">
        <f t="shared" si="50"/>
        <v/>
      </c>
      <c r="AT215" s="370"/>
    </row>
    <row r="216" spans="1:46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435">
        <f>IF(AND(W216&gt;=$U$1,W216&lt;=$U$2),IF(X216='ESTRATTO CONTO'!$E$2,1+COUNTIF(U$4:U215,"&gt;0"),0),0)</f>
        <v>0</v>
      </c>
      <c r="V216" s="417">
        <f t="shared" si="51"/>
        <v>213</v>
      </c>
      <c r="W216" s="509"/>
      <c r="X216" s="321"/>
      <c r="Y216" s="321"/>
      <c r="Z216" s="433"/>
      <c r="AA216" s="356"/>
      <c r="AB216" s="306" t="str">
        <f t="shared" si="46"/>
        <v/>
      </c>
      <c r="AC216" s="893">
        <f t="shared" si="47"/>
        <v>0</v>
      </c>
      <c r="AD216" s="322"/>
      <c r="AE216" s="1"/>
      <c r="AF216" s="223">
        <f>IF(ISBLANK(AD216),0,COUNTIF(AF$4:AF215,"&gt;0")+1)</f>
        <v>0</v>
      </c>
      <c r="AG216" s="164">
        <f t="shared" si="53"/>
        <v>0</v>
      </c>
      <c r="AH216" s="99">
        <f t="shared" si="48"/>
        <v>0</v>
      </c>
      <c r="AI216" s="99">
        <f t="shared" si="54"/>
        <v>0</v>
      </c>
      <c r="AJ216" s="170">
        <f t="shared" si="55"/>
        <v>0</v>
      </c>
      <c r="AK216" s="204">
        <f t="shared" si="49"/>
        <v>0</v>
      </c>
      <c r="AL216" s="1049">
        <f>IF(ISERROR(AO216),0,IF(AND(AN216&gt;=$U$1,AN216&lt;=$U$2),IF(AO216='ESTRATTO CONTO'!$E$2,1+COUNTIF(AL$4:AL215,"&gt;0")+U$1009,0),0))</f>
        <v>0</v>
      </c>
      <c r="AM216" s="747">
        <f t="shared" si="52"/>
        <v>213</v>
      </c>
      <c r="AN216" s="164" t="e">
        <f>VLOOKUP($AM216,PATRIMONIALE!$AV268:AW$1003,2,FALSE)</f>
        <v>#N/A</v>
      </c>
      <c r="AO216" s="310" t="e">
        <f>VLOOKUP($AM216,PATRIMONIALE!$AV268:AX$1003,3,FALSE)</f>
        <v>#N/A</v>
      </c>
      <c r="AP216" s="310" t="e">
        <f>VLOOKUP($AM216,PATRIMONIALE!$AV268:AY$1003,4,FALSE)</f>
        <v>#N/A</v>
      </c>
      <c r="AQ216" s="748" t="e">
        <f>VLOOKUP($AM216,PATRIMONIALE!$AV268:AZ$1003,5,FALSE)</f>
        <v>#N/A</v>
      </c>
      <c r="AR216" s="1"/>
      <c r="AS216" s="461" t="str">
        <f t="shared" si="50"/>
        <v/>
      </c>
      <c r="AT216" s="370"/>
    </row>
    <row r="217" spans="1:46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435">
        <f>IF(AND(W217&gt;=$U$1,W217&lt;=$U$2),IF(X217='ESTRATTO CONTO'!$E$2,1+COUNTIF(U$4:U216,"&gt;0"),0),0)</f>
        <v>0</v>
      </c>
      <c r="V217" s="417">
        <f t="shared" si="51"/>
        <v>214</v>
      </c>
      <c r="W217" s="509"/>
      <c r="X217" s="321"/>
      <c r="Y217" s="321"/>
      <c r="Z217" s="433"/>
      <c r="AA217" s="356"/>
      <c r="AB217" s="306" t="str">
        <f t="shared" si="46"/>
        <v/>
      </c>
      <c r="AC217" s="893">
        <f t="shared" si="47"/>
        <v>0</v>
      </c>
      <c r="AD217" s="322"/>
      <c r="AE217" s="1"/>
      <c r="AF217" s="223">
        <f>IF(ISBLANK(AD217),0,COUNTIF(AF$4:AF216,"&gt;0")+1)</f>
        <v>0</v>
      </c>
      <c r="AG217" s="164">
        <f t="shared" si="53"/>
        <v>0</v>
      </c>
      <c r="AH217" s="99">
        <f t="shared" si="48"/>
        <v>0</v>
      </c>
      <c r="AI217" s="99">
        <f t="shared" si="54"/>
        <v>0</v>
      </c>
      <c r="AJ217" s="170">
        <f t="shared" si="55"/>
        <v>0</v>
      </c>
      <c r="AK217" s="204">
        <f t="shared" si="49"/>
        <v>0</v>
      </c>
      <c r="AL217" s="1049">
        <f>IF(ISERROR(AO217),0,IF(AND(AN217&gt;=$U$1,AN217&lt;=$U$2),IF(AO217='ESTRATTO CONTO'!$E$2,1+COUNTIF(AL$4:AL216,"&gt;0")+U$1009,0),0))</f>
        <v>0</v>
      </c>
      <c r="AM217" s="747">
        <f t="shared" si="52"/>
        <v>214</v>
      </c>
      <c r="AN217" s="164" t="e">
        <f>VLOOKUP($AM217,PATRIMONIALE!$AV269:AW$1003,2,FALSE)</f>
        <v>#N/A</v>
      </c>
      <c r="AO217" s="310" t="e">
        <f>VLOOKUP($AM217,PATRIMONIALE!$AV269:AX$1003,3,FALSE)</f>
        <v>#N/A</v>
      </c>
      <c r="AP217" s="310" t="e">
        <f>VLOOKUP($AM217,PATRIMONIALE!$AV269:AY$1003,4,FALSE)</f>
        <v>#N/A</v>
      </c>
      <c r="AQ217" s="748" t="e">
        <f>VLOOKUP($AM217,PATRIMONIALE!$AV269:AZ$1003,5,FALSE)</f>
        <v>#N/A</v>
      </c>
      <c r="AR217" s="1"/>
      <c r="AS217" s="461" t="str">
        <f t="shared" si="50"/>
        <v/>
      </c>
      <c r="AT217" s="370"/>
    </row>
    <row r="218" spans="1:46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435">
        <f>IF(AND(W218&gt;=$U$1,W218&lt;=$U$2),IF(X218='ESTRATTO CONTO'!$E$2,1+COUNTIF(U$4:U217,"&gt;0"),0),0)</f>
        <v>0</v>
      </c>
      <c r="V218" s="417">
        <f t="shared" si="51"/>
        <v>215</v>
      </c>
      <c r="W218" s="509"/>
      <c r="X218" s="321"/>
      <c r="Y218" s="321"/>
      <c r="Z218" s="433"/>
      <c r="AA218" s="356"/>
      <c r="AB218" s="306" t="str">
        <f t="shared" si="46"/>
        <v/>
      </c>
      <c r="AC218" s="893">
        <f t="shared" si="47"/>
        <v>0</v>
      </c>
      <c r="AD218" s="322"/>
      <c r="AE218" s="1"/>
      <c r="AF218" s="223">
        <f>IF(ISBLANK(AD218),0,COUNTIF(AF$4:AF217,"&gt;0")+1)</f>
        <v>0</v>
      </c>
      <c r="AG218" s="164">
        <f t="shared" si="53"/>
        <v>0</v>
      </c>
      <c r="AH218" s="99">
        <f t="shared" si="48"/>
        <v>0</v>
      </c>
      <c r="AI218" s="99">
        <f t="shared" si="54"/>
        <v>0</v>
      </c>
      <c r="AJ218" s="170">
        <f t="shared" si="55"/>
        <v>0</v>
      </c>
      <c r="AK218" s="204">
        <f t="shared" si="49"/>
        <v>0</v>
      </c>
      <c r="AL218" s="1049">
        <f>IF(ISERROR(AO218),0,IF(AND(AN218&gt;=$U$1,AN218&lt;=$U$2),IF(AO218='ESTRATTO CONTO'!$E$2,1+COUNTIF(AL$4:AL217,"&gt;0")+U$1009,0),0))</f>
        <v>0</v>
      </c>
      <c r="AM218" s="747">
        <f t="shared" si="52"/>
        <v>215</v>
      </c>
      <c r="AN218" s="164" t="e">
        <f>VLOOKUP($AM218,PATRIMONIALE!$AV270:AW$1003,2,FALSE)</f>
        <v>#N/A</v>
      </c>
      <c r="AO218" s="310" t="e">
        <f>VLOOKUP($AM218,PATRIMONIALE!$AV270:AX$1003,3,FALSE)</f>
        <v>#N/A</v>
      </c>
      <c r="AP218" s="310" t="e">
        <f>VLOOKUP($AM218,PATRIMONIALE!$AV270:AY$1003,4,FALSE)</f>
        <v>#N/A</v>
      </c>
      <c r="AQ218" s="748" t="e">
        <f>VLOOKUP($AM218,PATRIMONIALE!$AV270:AZ$1003,5,FALSE)</f>
        <v>#N/A</v>
      </c>
      <c r="AR218" s="1"/>
      <c r="AS218" s="461" t="str">
        <f t="shared" si="50"/>
        <v/>
      </c>
      <c r="AT218" s="370"/>
    </row>
    <row r="219" spans="1:46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435">
        <f>IF(AND(W219&gt;=$U$1,W219&lt;=$U$2),IF(X219='ESTRATTO CONTO'!$E$2,1+COUNTIF(U$4:U218,"&gt;0"),0),0)</f>
        <v>0</v>
      </c>
      <c r="V219" s="417">
        <f t="shared" si="51"/>
        <v>216</v>
      </c>
      <c r="W219" s="509"/>
      <c r="X219" s="321"/>
      <c r="Y219" s="321"/>
      <c r="Z219" s="433"/>
      <c r="AA219" s="356"/>
      <c r="AB219" s="306" t="str">
        <f t="shared" si="46"/>
        <v/>
      </c>
      <c r="AC219" s="893">
        <f t="shared" si="47"/>
        <v>0</v>
      </c>
      <c r="AD219" s="322"/>
      <c r="AE219" s="1"/>
      <c r="AF219" s="223">
        <f>IF(ISBLANK(AD219),0,COUNTIF(AF$4:AF218,"&gt;0")+1)</f>
        <v>0</v>
      </c>
      <c r="AG219" s="164">
        <f t="shared" si="53"/>
        <v>0</v>
      </c>
      <c r="AH219" s="99">
        <f t="shared" si="48"/>
        <v>0</v>
      </c>
      <c r="AI219" s="99">
        <f t="shared" si="54"/>
        <v>0</v>
      </c>
      <c r="AJ219" s="170">
        <f t="shared" si="55"/>
        <v>0</v>
      </c>
      <c r="AK219" s="204">
        <f t="shared" si="49"/>
        <v>0</v>
      </c>
      <c r="AL219" s="1049">
        <f>IF(ISERROR(AO219),0,IF(AND(AN219&gt;=$U$1,AN219&lt;=$U$2),IF(AO219='ESTRATTO CONTO'!$E$2,1+COUNTIF(AL$4:AL218,"&gt;0")+U$1009,0),0))</f>
        <v>0</v>
      </c>
      <c r="AM219" s="747">
        <f t="shared" si="52"/>
        <v>216</v>
      </c>
      <c r="AN219" s="164" t="e">
        <f>VLOOKUP($AM219,PATRIMONIALE!$AV271:AW$1003,2,FALSE)</f>
        <v>#N/A</v>
      </c>
      <c r="AO219" s="310" t="e">
        <f>VLOOKUP($AM219,PATRIMONIALE!$AV271:AX$1003,3,FALSE)</f>
        <v>#N/A</v>
      </c>
      <c r="AP219" s="310" t="e">
        <f>VLOOKUP($AM219,PATRIMONIALE!$AV271:AY$1003,4,FALSE)</f>
        <v>#N/A</v>
      </c>
      <c r="AQ219" s="748" t="e">
        <f>VLOOKUP($AM219,PATRIMONIALE!$AV271:AZ$1003,5,FALSE)</f>
        <v>#N/A</v>
      </c>
      <c r="AR219" s="1"/>
      <c r="AS219" s="461" t="str">
        <f t="shared" si="50"/>
        <v/>
      </c>
      <c r="AT219" s="370"/>
    </row>
    <row r="220" spans="1:46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435">
        <f>IF(AND(W220&gt;=$U$1,W220&lt;=$U$2),IF(X220='ESTRATTO CONTO'!$E$2,1+COUNTIF(U$4:U219,"&gt;0"),0),0)</f>
        <v>0</v>
      </c>
      <c r="V220" s="417">
        <f t="shared" si="51"/>
        <v>217</v>
      </c>
      <c r="W220" s="509"/>
      <c r="X220" s="321"/>
      <c r="Y220" s="321"/>
      <c r="Z220" s="433"/>
      <c r="AA220" s="356"/>
      <c r="AB220" s="306" t="str">
        <f t="shared" si="46"/>
        <v/>
      </c>
      <c r="AC220" s="893">
        <f t="shared" si="47"/>
        <v>0</v>
      </c>
      <c r="AD220" s="322"/>
      <c r="AE220" s="1"/>
      <c r="AF220" s="223">
        <f>IF(ISBLANK(AD220),0,COUNTIF(AF$4:AF219,"&gt;0")+1)</f>
        <v>0</v>
      </c>
      <c r="AG220" s="164">
        <f t="shared" si="53"/>
        <v>0</v>
      </c>
      <c r="AH220" s="99">
        <f t="shared" si="48"/>
        <v>0</v>
      </c>
      <c r="AI220" s="99">
        <f t="shared" si="54"/>
        <v>0</v>
      </c>
      <c r="AJ220" s="170">
        <f t="shared" si="55"/>
        <v>0</v>
      </c>
      <c r="AK220" s="204">
        <f t="shared" si="49"/>
        <v>0</v>
      </c>
      <c r="AL220" s="1049">
        <f>IF(ISERROR(AO220),0,IF(AND(AN220&gt;=$U$1,AN220&lt;=$U$2),IF(AO220='ESTRATTO CONTO'!$E$2,1+COUNTIF(AL$4:AL219,"&gt;0")+U$1009,0),0))</f>
        <v>0</v>
      </c>
      <c r="AM220" s="747">
        <f t="shared" si="52"/>
        <v>217</v>
      </c>
      <c r="AN220" s="164" t="e">
        <f>VLOOKUP($AM220,PATRIMONIALE!$AV272:AW$1003,2,FALSE)</f>
        <v>#N/A</v>
      </c>
      <c r="AO220" s="310" t="e">
        <f>VLOOKUP($AM220,PATRIMONIALE!$AV272:AX$1003,3,FALSE)</f>
        <v>#N/A</v>
      </c>
      <c r="AP220" s="310" t="e">
        <f>VLOOKUP($AM220,PATRIMONIALE!$AV272:AY$1003,4,FALSE)</f>
        <v>#N/A</v>
      </c>
      <c r="AQ220" s="748" t="e">
        <f>VLOOKUP($AM220,PATRIMONIALE!$AV272:AZ$1003,5,FALSE)</f>
        <v>#N/A</v>
      </c>
      <c r="AR220" s="1"/>
      <c r="AS220" s="461" t="str">
        <f t="shared" si="50"/>
        <v/>
      </c>
      <c r="AT220" s="370"/>
    </row>
    <row r="221" spans="1:46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435">
        <f>IF(AND(W221&gt;=$U$1,W221&lt;=$U$2),IF(X221='ESTRATTO CONTO'!$E$2,1+COUNTIF(U$4:U220,"&gt;0"),0),0)</f>
        <v>0</v>
      </c>
      <c r="V221" s="417">
        <f t="shared" si="51"/>
        <v>218</v>
      </c>
      <c r="W221" s="509"/>
      <c r="X221" s="321"/>
      <c r="Y221" s="321"/>
      <c r="Z221" s="433"/>
      <c r="AA221" s="356"/>
      <c r="AB221" s="306" t="str">
        <f t="shared" si="46"/>
        <v/>
      </c>
      <c r="AC221" s="893">
        <f t="shared" si="47"/>
        <v>0</v>
      </c>
      <c r="AD221" s="322"/>
      <c r="AE221" s="1"/>
      <c r="AF221" s="223">
        <f>IF(ISBLANK(AD221),0,COUNTIF(AF$4:AF220,"&gt;0")+1)</f>
        <v>0</v>
      </c>
      <c r="AG221" s="164">
        <f t="shared" si="53"/>
        <v>0</v>
      </c>
      <c r="AH221" s="99">
        <f t="shared" si="48"/>
        <v>0</v>
      </c>
      <c r="AI221" s="99">
        <f t="shared" si="54"/>
        <v>0</v>
      </c>
      <c r="AJ221" s="170">
        <f t="shared" si="55"/>
        <v>0</v>
      </c>
      <c r="AK221" s="204">
        <f t="shared" si="49"/>
        <v>0</v>
      </c>
      <c r="AL221" s="1049">
        <f>IF(ISERROR(AO221),0,IF(AND(AN221&gt;=$U$1,AN221&lt;=$U$2),IF(AO221='ESTRATTO CONTO'!$E$2,1+COUNTIF(AL$4:AL220,"&gt;0")+U$1009,0),0))</f>
        <v>0</v>
      </c>
      <c r="AM221" s="747">
        <f t="shared" si="52"/>
        <v>218</v>
      </c>
      <c r="AN221" s="164" t="e">
        <f>VLOOKUP($AM221,PATRIMONIALE!$AV273:AW$1003,2,FALSE)</f>
        <v>#N/A</v>
      </c>
      <c r="AO221" s="310" t="e">
        <f>VLOOKUP($AM221,PATRIMONIALE!$AV273:AX$1003,3,FALSE)</f>
        <v>#N/A</v>
      </c>
      <c r="AP221" s="310" t="e">
        <f>VLOOKUP($AM221,PATRIMONIALE!$AV273:AY$1003,4,FALSE)</f>
        <v>#N/A</v>
      </c>
      <c r="AQ221" s="748" t="e">
        <f>VLOOKUP($AM221,PATRIMONIALE!$AV273:AZ$1003,5,FALSE)</f>
        <v>#N/A</v>
      </c>
      <c r="AR221" s="1"/>
      <c r="AS221" s="461" t="str">
        <f t="shared" si="50"/>
        <v/>
      </c>
      <c r="AT221" s="370"/>
    </row>
    <row r="222" spans="1:46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435">
        <f>IF(AND(W222&gt;=$U$1,W222&lt;=$U$2),IF(X222='ESTRATTO CONTO'!$E$2,1+COUNTIF(U$4:U221,"&gt;0"),0),0)</f>
        <v>0</v>
      </c>
      <c r="V222" s="417">
        <f t="shared" si="51"/>
        <v>219</v>
      </c>
      <c r="W222" s="509"/>
      <c r="X222" s="321"/>
      <c r="Y222" s="321"/>
      <c r="Z222" s="433"/>
      <c r="AA222" s="356"/>
      <c r="AB222" s="306" t="str">
        <f t="shared" si="46"/>
        <v/>
      </c>
      <c r="AC222" s="893">
        <f t="shared" si="47"/>
        <v>0</v>
      </c>
      <c r="AD222" s="322"/>
      <c r="AE222" s="1"/>
      <c r="AF222" s="223">
        <f>IF(ISBLANK(AD222),0,COUNTIF(AF$4:AF221,"&gt;0")+1)</f>
        <v>0</v>
      </c>
      <c r="AG222" s="164">
        <f t="shared" si="53"/>
        <v>0</v>
      </c>
      <c r="AH222" s="99">
        <f t="shared" si="48"/>
        <v>0</v>
      </c>
      <c r="AI222" s="99">
        <f t="shared" si="54"/>
        <v>0</v>
      </c>
      <c r="AJ222" s="170">
        <f t="shared" si="55"/>
        <v>0</v>
      </c>
      <c r="AK222" s="204">
        <f t="shared" si="49"/>
        <v>0</v>
      </c>
      <c r="AL222" s="1049">
        <f>IF(ISERROR(AO222),0,IF(AND(AN222&gt;=$U$1,AN222&lt;=$U$2),IF(AO222='ESTRATTO CONTO'!$E$2,1+COUNTIF(AL$4:AL221,"&gt;0")+U$1009,0),0))</f>
        <v>0</v>
      </c>
      <c r="AM222" s="747">
        <f t="shared" si="52"/>
        <v>219</v>
      </c>
      <c r="AN222" s="164" t="e">
        <f>VLOOKUP($AM222,PATRIMONIALE!$AV274:AW$1003,2,FALSE)</f>
        <v>#N/A</v>
      </c>
      <c r="AO222" s="310" t="e">
        <f>VLOOKUP($AM222,PATRIMONIALE!$AV274:AX$1003,3,FALSE)</f>
        <v>#N/A</v>
      </c>
      <c r="AP222" s="310" t="e">
        <f>VLOOKUP($AM222,PATRIMONIALE!$AV274:AY$1003,4,FALSE)</f>
        <v>#N/A</v>
      </c>
      <c r="AQ222" s="748" t="e">
        <f>VLOOKUP($AM222,PATRIMONIALE!$AV274:AZ$1003,5,FALSE)</f>
        <v>#N/A</v>
      </c>
      <c r="AR222" s="1"/>
      <c r="AS222" s="461" t="str">
        <f t="shared" si="50"/>
        <v/>
      </c>
      <c r="AT222" s="370"/>
    </row>
    <row r="223" spans="1:46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435">
        <f>IF(AND(W223&gt;=$U$1,W223&lt;=$U$2),IF(X223='ESTRATTO CONTO'!$E$2,1+COUNTIF(U$4:U222,"&gt;0"),0),0)</f>
        <v>0</v>
      </c>
      <c r="V223" s="417">
        <f t="shared" si="51"/>
        <v>220</v>
      </c>
      <c r="W223" s="509"/>
      <c r="X223" s="321"/>
      <c r="Y223" s="321"/>
      <c r="Z223" s="433"/>
      <c r="AA223" s="356"/>
      <c r="AB223" s="306" t="str">
        <f t="shared" si="46"/>
        <v/>
      </c>
      <c r="AC223" s="893">
        <f t="shared" si="47"/>
        <v>0</v>
      </c>
      <c r="AD223" s="322"/>
      <c r="AE223" s="1"/>
      <c r="AF223" s="223">
        <f>IF(ISBLANK(AD223),0,COUNTIF(AF$4:AF222,"&gt;0")+1)</f>
        <v>0</v>
      </c>
      <c r="AG223" s="164">
        <f t="shared" si="53"/>
        <v>0</v>
      </c>
      <c r="AH223" s="99">
        <f t="shared" si="48"/>
        <v>0</v>
      </c>
      <c r="AI223" s="99">
        <f t="shared" si="54"/>
        <v>0</v>
      </c>
      <c r="AJ223" s="170">
        <f t="shared" si="55"/>
        <v>0</v>
      </c>
      <c r="AK223" s="204">
        <f t="shared" si="49"/>
        <v>0</v>
      </c>
      <c r="AL223" s="1049">
        <f>IF(ISERROR(AO223),0,IF(AND(AN223&gt;=$U$1,AN223&lt;=$U$2),IF(AO223='ESTRATTO CONTO'!$E$2,1+COUNTIF(AL$4:AL222,"&gt;0")+U$1009,0),0))</f>
        <v>0</v>
      </c>
      <c r="AM223" s="747">
        <f t="shared" si="52"/>
        <v>220</v>
      </c>
      <c r="AN223" s="164" t="e">
        <f>VLOOKUP($AM223,PATRIMONIALE!$AV275:AW$1003,2,FALSE)</f>
        <v>#N/A</v>
      </c>
      <c r="AO223" s="310" t="e">
        <f>VLOOKUP($AM223,PATRIMONIALE!$AV275:AX$1003,3,FALSE)</f>
        <v>#N/A</v>
      </c>
      <c r="AP223" s="310" t="e">
        <f>VLOOKUP($AM223,PATRIMONIALE!$AV275:AY$1003,4,FALSE)</f>
        <v>#N/A</v>
      </c>
      <c r="AQ223" s="748" t="e">
        <f>VLOOKUP($AM223,PATRIMONIALE!$AV275:AZ$1003,5,FALSE)</f>
        <v>#N/A</v>
      </c>
      <c r="AR223" s="1"/>
      <c r="AS223" s="461" t="str">
        <f t="shared" si="50"/>
        <v/>
      </c>
      <c r="AT223" s="370"/>
    </row>
    <row r="224" spans="1:46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435">
        <f>IF(AND(W224&gt;=$U$1,W224&lt;=$U$2),IF(X224='ESTRATTO CONTO'!$E$2,1+COUNTIF(U$4:U223,"&gt;0"),0),0)</f>
        <v>0</v>
      </c>
      <c r="V224" s="417">
        <f t="shared" si="51"/>
        <v>221</v>
      </c>
      <c r="W224" s="509"/>
      <c r="X224" s="321"/>
      <c r="Y224" s="321"/>
      <c r="Z224" s="433"/>
      <c r="AA224" s="356"/>
      <c r="AB224" s="306" t="str">
        <f t="shared" si="46"/>
        <v/>
      </c>
      <c r="AC224" s="893">
        <f t="shared" si="47"/>
        <v>0</v>
      </c>
      <c r="AD224" s="322"/>
      <c r="AE224" s="1"/>
      <c r="AF224" s="223">
        <f>IF(ISBLANK(AD224),0,COUNTIF(AF$4:AF223,"&gt;0")+1)</f>
        <v>0</v>
      </c>
      <c r="AG224" s="164">
        <f t="shared" si="53"/>
        <v>0</v>
      </c>
      <c r="AH224" s="99">
        <f t="shared" si="48"/>
        <v>0</v>
      </c>
      <c r="AI224" s="99">
        <f t="shared" si="54"/>
        <v>0</v>
      </c>
      <c r="AJ224" s="170">
        <f t="shared" si="55"/>
        <v>0</v>
      </c>
      <c r="AK224" s="204">
        <f t="shared" si="49"/>
        <v>0</v>
      </c>
      <c r="AL224" s="1049">
        <f>IF(ISERROR(AO224),0,IF(AND(AN224&gt;=$U$1,AN224&lt;=$U$2),IF(AO224='ESTRATTO CONTO'!$E$2,1+COUNTIF(AL$4:AL223,"&gt;0")+U$1009,0),0))</f>
        <v>0</v>
      </c>
      <c r="AM224" s="747">
        <f t="shared" si="52"/>
        <v>221</v>
      </c>
      <c r="AN224" s="164" t="e">
        <f>VLOOKUP($AM224,PATRIMONIALE!$AV276:AW$1003,2,FALSE)</f>
        <v>#N/A</v>
      </c>
      <c r="AO224" s="310" t="e">
        <f>VLOOKUP($AM224,PATRIMONIALE!$AV276:AX$1003,3,FALSE)</f>
        <v>#N/A</v>
      </c>
      <c r="AP224" s="310" t="e">
        <f>VLOOKUP($AM224,PATRIMONIALE!$AV276:AY$1003,4,FALSE)</f>
        <v>#N/A</v>
      </c>
      <c r="AQ224" s="748" t="e">
        <f>VLOOKUP($AM224,PATRIMONIALE!$AV276:AZ$1003,5,FALSE)</f>
        <v>#N/A</v>
      </c>
      <c r="AR224" s="1"/>
      <c r="AS224" s="461" t="str">
        <f t="shared" si="50"/>
        <v/>
      </c>
      <c r="AT224" s="370"/>
    </row>
    <row r="225" spans="1:46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435">
        <f>IF(AND(W225&gt;=$U$1,W225&lt;=$U$2),IF(X225='ESTRATTO CONTO'!$E$2,1+COUNTIF(U$4:U224,"&gt;0"),0),0)</f>
        <v>0</v>
      </c>
      <c r="V225" s="417">
        <f t="shared" si="51"/>
        <v>222</v>
      </c>
      <c r="W225" s="509"/>
      <c r="X225" s="321"/>
      <c r="Y225" s="321"/>
      <c r="Z225" s="433"/>
      <c r="AA225" s="356"/>
      <c r="AB225" s="306" t="str">
        <f t="shared" si="46"/>
        <v/>
      </c>
      <c r="AC225" s="893">
        <f t="shared" si="47"/>
        <v>0</v>
      </c>
      <c r="AD225" s="322"/>
      <c r="AE225" s="1"/>
      <c r="AF225" s="223">
        <f>IF(ISBLANK(AD225),0,COUNTIF(AF$4:AF224,"&gt;0")+1)</f>
        <v>0</v>
      </c>
      <c r="AG225" s="164">
        <f t="shared" si="53"/>
        <v>0</v>
      </c>
      <c r="AH225" s="99">
        <f t="shared" si="48"/>
        <v>0</v>
      </c>
      <c r="AI225" s="99">
        <f t="shared" si="54"/>
        <v>0</v>
      </c>
      <c r="AJ225" s="170">
        <f t="shared" si="55"/>
        <v>0</v>
      </c>
      <c r="AK225" s="204">
        <f t="shared" si="49"/>
        <v>0</v>
      </c>
      <c r="AL225" s="1049">
        <f>IF(ISERROR(AO225),0,IF(AND(AN225&gt;=$U$1,AN225&lt;=$U$2),IF(AO225='ESTRATTO CONTO'!$E$2,1+COUNTIF(AL$4:AL224,"&gt;0")+U$1009,0),0))</f>
        <v>0</v>
      </c>
      <c r="AM225" s="747">
        <f t="shared" si="52"/>
        <v>222</v>
      </c>
      <c r="AN225" s="164" t="e">
        <f>VLOOKUP($AM225,PATRIMONIALE!$AV277:AW$1003,2,FALSE)</f>
        <v>#N/A</v>
      </c>
      <c r="AO225" s="310" t="e">
        <f>VLOOKUP($AM225,PATRIMONIALE!$AV277:AX$1003,3,FALSE)</f>
        <v>#N/A</v>
      </c>
      <c r="AP225" s="310" t="e">
        <f>VLOOKUP($AM225,PATRIMONIALE!$AV277:AY$1003,4,FALSE)</f>
        <v>#N/A</v>
      </c>
      <c r="AQ225" s="748" t="e">
        <f>VLOOKUP($AM225,PATRIMONIALE!$AV277:AZ$1003,5,FALSE)</f>
        <v>#N/A</v>
      </c>
      <c r="AR225" s="1"/>
      <c r="AS225" s="461" t="str">
        <f t="shared" si="50"/>
        <v/>
      </c>
      <c r="AT225" s="370"/>
    </row>
    <row r="226" spans="1:46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435">
        <f>IF(AND(W226&gt;=$U$1,W226&lt;=$U$2),IF(X226='ESTRATTO CONTO'!$E$2,1+COUNTIF(U$4:U225,"&gt;0"),0),0)</f>
        <v>0</v>
      </c>
      <c r="V226" s="417">
        <f t="shared" si="51"/>
        <v>223</v>
      </c>
      <c r="W226" s="509"/>
      <c r="X226" s="321"/>
      <c r="Y226" s="321"/>
      <c r="Z226" s="433"/>
      <c r="AA226" s="356"/>
      <c r="AB226" s="306" t="str">
        <f t="shared" si="46"/>
        <v/>
      </c>
      <c r="AC226" s="893">
        <f t="shared" si="47"/>
        <v>0</v>
      </c>
      <c r="AD226" s="322"/>
      <c r="AE226" s="1"/>
      <c r="AF226" s="223">
        <f>IF(ISBLANK(AD226),0,COUNTIF(AF$4:AF225,"&gt;0")+1)</f>
        <v>0</v>
      </c>
      <c r="AG226" s="164">
        <f t="shared" si="53"/>
        <v>0</v>
      </c>
      <c r="AH226" s="99">
        <f t="shared" si="48"/>
        <v>0</v>
      </c>
      <c r="AI226" s="99">
        <f t="shared" si="54"/>
        <v>0</v>
      </c>
      <c r="AJ226" s="170">
        <f t="shared" si="55"/>
        <v>0</v>
      </c>
      <c r="AK226" s="204">
        <f t="shared" si="49"/>
        <v>0</v>
      </c>
      <c r="AL226" s="1049">
        <f>IF(ISERROR(AO226),0,IF(AND(AN226&gt;=$U$1,AN226&lt;=$U$2),IF(AO226='ESTRATTO CONTO'!$E$2,1+COUNTIF(AL$4:AL225,"&gt;0")+U$1009,0),0))</f>
        <v>0</v>
      </c>
      <c r="AM226" s="747">
        <f t="shared" si="52"/>
        <v>223</v>
      </c>
      <c r="AN226" s="164" t="e">
        <f>VLOOKUP($AM226,PATRIMONIALE!$AV278:AW$1003,2,FALSE)</f>
        <v>#N/A</v>
      </c>
      <c r="AO226" s="310" t="e">
        <f>VLOOKUP($AM226,PATRIMONIALE!$AV278:AX$1003,3,FALSE)</f>
        <v>#N/A</v>
      </c>
      <c r="AP226" s="310" t="e">
        <f>VLOOKUP($AM226,PATRIMONIALE!$AV278:AY$1003,4,FALSE)</f>
        <v>#N/A</v>
      </c>
      <c r="AQ226" s="748" t="e">
        <f>VLOOKUP($AM226,PATRIMONIALE!$AV278:AZ$1003,5,FALSE)</f>
        <v>#N/A</v>
      </c>
      <c r="AR226" s="1"/>
      <c r="AS226" s="461" t="str">
        <f t="shared" si="50"/>
        <v/>
      </c>
      <c r="AT226" s="370"/>
    </row>
    <row r="227" spans="1:46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435">
        <f>IF(AND(W227&gt;=$U$1,W227&lt;=$U$2),IF(X227='ESTRATTO CONTO'!$E$2,1+COUNTIF(U$4:U226,"&gt;0"),0),0)</f>
        <v>0</v>
      </c>
      <c r="V227" s="417">
        <f t="shared" si="51"/>
        <v>224</v>
      </c>
      <c r="W227" s="509"/>
      <c r="X227" s="321"/>
      <c r="Y227" s="321"/>
      <c r="Z227" s="433"/>
      <c r="AA227" s="356"/>
      <c r="AB227" s="306" t="str">
        <f t="shared" si="46"/>
        <v/>
      </c>
      <c r="AC227" s="893">
        <f t="shared" si="47"/>
        <v>0</v>
      </c>
      <c r="AD227" s="322"/>
      <c r="AE227" s="1"/>
      <c r="AF227" s="223">
        <f>IF(ISBLANK(AD227),0,COUNTIF(AF$4:AF226,"&gt;0")+1)</f>
        <v>0</v>
      </c>
      <c r="AG227" s="164">
        <f t="shared" si="53"/>
        <v>0</v>
      </c>
      <c r="AH227" s="99">
        <f t="shared" si="48"/>
        <v>0</v>
      </c>
      <c r="AI227" s="99">
        <f t="shared" si="54"/>
        <v>0</v>
      </c>
      <c r="AJ227" s="170">
        <f t="shared" si="55"/>
        <v>0</v>
      </c>
      <c r="AK227" s="204">
        <f t="shared" si="49"/>
        <v>0</v>
      </c>
      <c r="AL227" s="1049">
        <f>IF(ISERROR(AO227),0,IF(AND(AN227&gt;=$U$1,AN227&lt;=$U$2),IF(AO227='ESTRATTO CONTO'!$E$2,1+COUNTIF(AL$4:AL226,"&gt;0")+U$1009,0),0))</f>
        <v>0</v>
      </c>
      <c r="AM227" s="747">
        <f t="shared" si="52"/>
        <v>224</v>
      </c>
      <c r="AN227" s="164" t="e">
        <f>VLOOKUP($AM227,PATRIMONIALE!$AV279:AW$1003,2,FALSE)</f>
        <v>#N/A</v>
      </c>
      <c r="AO227" s="310" t="e">
        <f>VLOOKUP($AM227,PATRIMONIALE!$AV279:AX$1003,3,FALSE)</f>
        <v>#N/A</v>
      </c>
      <c r="AP227" s="310" t="e">
        <f>VLOOKUP($AM227,PATRIMONIALE!$AV279:AY$1003,4,FALSE)</f>
        <v>#N/A</v>
      </c>
      <c r="AQ227" s="748" t="e">
        <f>VLOOKUP($AM227,PATRIMONIALE!$AV279:AZ$1003,5,FALSE)</f>
        <v>#N/A</v>
      </c>
      <c r="AR227" s="1"/>
      <c r="AS227" s="461" t="str">
        <f t="shared" si="50"/>
        <v/>
      </c>
      <c r="AT227" s="370"/>
    </row>
    <row r="228" spans="1:46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435">
        <f>IF(AND(W228&gt;=$U$1,W228&lt;=$U$2),IF(X228='ESTRATTO CONTO'!$E$2,1+COUNTIF(U$4:U227,"&gt;0"),0),0)</f>
        <v>0</v>
      </c>
      <c r="V228" s="417">
        <f t="shared" si="51"/>
        <v>225</v>
      </c>
      <c r="W228" s="509"/>
      <c r="X228" s="321"/>
      <c r="Y228" s="321"/>
      <c r="Z228" s="433"/>
      <c r="AA228" s="356"/>
      <c r="AB228" s="306" t="str">
        <f t="shared" si="46"/>
        <v/>
      </c>
      <c r="AC228" s="893">
        <f t="shared" si="47"/>
        <v>0</v>
      </c>
      <c r="AD228" s="322"/>
      <c r="AE228" s="1"/>
      <c r="AF228" s="223">
        <f>IF(ISBLANK(AD228),0,COUNTIF(AF$4:AF227,"&gt;0")+1)</f>
        <v>0</v>
      </c>
      <c r="AG228" s="164">
        <f t="shared" si="53"/>
        <v>0</v>
      </c>
      <c r="AH228" s="99">
        <f t="shared" si="48"/>
        <v>0</v>
      </c>
      <c r="AI228" s="99">
        <f t="shared" si="54"/>
        <v>0</v>
      </c>
      <c r="AJ228" s="170">
        <f t="shared" si="55"/>
        <v>0</v>
      </c>
      <c r="AK228" s="204">
        <f t="shared" si="49"/>
        <v>0</v>
      </c>
      <c r="AL228" s="1049">
        <f>IF(ISERROR(AO228),0,IF(AND(AN228&gt;=$U$1,AN228&lt;=$U$2),IF(AO228='ESTRATTO CONTO'!$E$2,1+COUNTIF(AL$4:AL227,"&gt;0")+U$1009,0),0))</f>
        <v>0</v>
      </c>
      <c r="AM228" s="747">
        <f t="shared" si="52"/>
        <v>225</v>
      </c>
      <c r="AN228" s="164" t="e">
        <f>VLOOKUP($AM228,PATRIMONIALE!$AV280:AW$1003,2,FALSE)</f>
        <v>#N/A</v>
      </c>
      <c r="AO228" s="310" t="e">
        <f>VLOOKUP($AM228,PATRIMONIALE!$AV280:AX$1003,3,FALSE)</f>
        <v>#N/A</v>
      </c>
      <c r="AP228" s="310" t="e">
        <f>VLOOKUP($AM228,PATRIMONIALE!$AV280:AY$1003,4,FALSE)</f>
        <v>#N/A</v>
      </c>
      <c r="AQ228" s="748" t="e">
        <f>VLOOKUP($AM228,PATRIMONIALE!$AV280:AZ$1003,5,FALSE)</f>
        <v>#N/A</v>
      </c>
      <c r="AR228" s="1"/>
      <c r="AS228" s="461" t="str">
        <f t="shared" si="50"/>
        <v/>
      </c>
      <c r="AT228" s="370"/>
    </row>
    <row r="229" spans="1:46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435">
        <f>IF(AND(W229&gt;=$U$1,W229&lt;=$U$2),IF(X229='ESTRATTO CONTO'!$E$2,1+COUNTIF(U$4:U228,"&gt;0"),0),0)</f>
        <v>0</v>
      </c>
      <c r="V229" s="417">
        <f t="shared" si="51"/>
        <v>226</v>
      </c>
      <c r="W229" s="509"/>
      <c r="X229" s="321"/>
      <c r="Y229" s="321"/>
      <c r="Z229" s="433"/>
      <c r="AA229" s="356"/>
      <c r="AB229" s="306" t="str">
        <f t="shared" si="46"/>
        <v/>
      </c>
      <c r="AC229" s="893">
        <f t="shared" si="47"/>
        <v>0</v>
      </c>
      <c r="AD229" s="322"/>
      <c r="AE229" s="1"/>
      <c r="AF229" s="223">
        <f>IF(ISBLANK(AD229),0,COUNTIF(AF$4:AF228,"&gt;0")+1)</f>
        <v>0</v>
      </c>
      <c r="AG229" s="164">
        <f t="shared" si="53"/>
        <v>0</v>
      </c>
      <c r="AH229" s="99">
        <f t="shared" si="48"/>
        <v>0</v>
      </c>
      <c r="AI229" s="99">
        <f t="shared" si="54"/>
        <v>0</v>
      </c>
      <c r="AJ229" s="170">
        <f t="shared" si="55"/>
        <v>0</v>
      </c>
      <c r="AK229" s="204">
        <f t="shared" si="49"/>
        <v>0</v>
      </c>
      <c r="AL229" s="1049">
        <f>IF(ISERROR(AO229),0,IF(AND(AN229&gt;=$U$1,AN229&lt;=$U$2),IF(AO229='ESTRATTO CONTO'!$E$2,1+COUNTIF(AL$4:AL228,"&gt;0")+U$1009,0),0))</f>
        <v>0</v>
      </c>
      <c r="AM229" s="747">
        <f t="shared" si="52"/>
        <v>226</v>
      </c>
      <c r="AN229" s="164" t="e">
        <f>VLOOKUP($AM229,PATRIMONIALE!$AV281:AW$1003,2,FALSE)</f>
        <v>#N/A</v>
      </c>
      <c r="AO229" s="310" t="e">
        <f>VLOOKUP($AM229,PATRIMONIALE!$AV281:AX$1003,3,FALSE)</f>
        <v>#N/A</v>
      </c>
      <c r="AP229" s="310" t="e">
        <f>VLOOKUP($AM229,PATRIMONIALE!$AV281:AY$1003,4,FALSE)</f>
        <v>#N/A</v>
      </c>
      <c r="AQ229" s="748" t="e">
        <f>VLOOKUP($AM229,PATRIMONIALE!$AV281:AZ$1003,5,FALSE)</f>
        <v>#N/A</v>
      </c>
      <c r="AR229" s="1"/>
      <c r="AS229" s="461" t="str">
        <f t="shared" si="50"/>
        <v/>
      </c>
      <c r="AT229" s="370"/>
    </row>
    <row r="230" spans="1:46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435">
        <f>IF(AND(W230&gt;=$U$1,W230&lt;=$U$2),IF(X230='ESTRATTO CONTO'!$E$2,1+COUNTIF(U$4:U229,"&gt;0"),0),0)</f>
        <v>0</v>
      </c>
      <c r="V230" s="417">
        <f t="shared" si="51"/>
        <v>227</v>
      </c>
      <c r="W230" s="509"/>
      <c r="X230" s="321"/>
      <c r="Y230" s="321"/>
      <c r="Z230" s="433"/>
      <c r="AA230" s="356"/>
      <c r="AB230" s="306" t="str">
        <f t="shared" si="46"/>
        <v/>
      </c>
      <c r="AC230" s="893">
        <f t="shared" si="47"/>
        <v>0</v>
      </c>
      <c r="AD230" s="322"/>
      <c r="AE230" s="1"/>
      <c r="AF230" s="223">
        <f>IF(ISBLANK(AD230),0,COUNTIF(AF$4:AF229,"&gt;0")+1)</f>
        <v>0</v>
      </c>
      <c r="AG230" s="164">
        <f t="shared" si="53"/>
        <v>0</v>
      </c>
      <c r="AH230" s="99">
        <f t="shared" si="48"/>
        <v>0</v>
      </c>
      <c r="AI230" s="99">
        <f t="shared" si="54"/>
        <v>0</v>
      </c>
      <c r="AJ230" s="170">
        <f t="shared" si="55"/>
        <v>0</v>
      </c>
      <c r="AK230" s="204">
        <f t="shared" si="49"/>
        <v>0</v>
      </c>
      <c r="AL230" s="1049">
        <f>IF(ISERROR(AO230),0,IF(AND(AN230&gt;=$U$1,AN230&lt;=$U$2),IF(AO230='ESTRATTO CONTO'!$E$2,1+COUNTIF(AL$4:AL229,"&gt;0")+U$1009,0),0))</f>
        <v>0</v>
      </c>
      <c r="AM230" s="747">
        <f t="shared" si="52"/>
        <v>227</v>
      </c>
      <c r="AN230" s="164" t="e">
        <f>VLOOKUP($AM230,PATRIMONIALE!$AV282:AW$1003,2,FALSE)</f>
        <v>#N/A</v>
      </c>
      <c r="AO230" s="310" t="e">
        <f>VLOOKUP($AM230,PATRIMONIALE!$AV282:AX$1003,3,FALSE)</f>
        <v>#N/A</v>
      </c>
      <c r="AP230" s="310" t="e">
        <f>VLOOKUP($AM230,PATRIMONIALE!$AV282:AY$1003,4,FALSE)</f>
        <v>#N/A</v>
      </c>
      <c r="AQ230" s="748" t="e">
        <f>VLOOKUP($AM230,PATRIMONIALE!$AV282:AZ$1003,5,FALSE)</f>
        <v>#N/A</v>
      </c>
      <c r="AR230" s="1"/>
      <c r="AS230" s="461" t="str">
        <f t="shared" si="50"/>
        <v/>
      </c>
      <c r="AT230" s="370"/>
    </row>
    <row r="231" spans="1:46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435">
        <f>IF(AND(W231&gt;=$U$1,W231&lt;=$U$2),IF(X231='ESTRATTO CONTO'!$E$2,1+COUNTIF(U$4:U230,"&gt;0"),0),0)</f>
        <v>0</v>
      </c>
      <c r="V231" s="417">
        <f t="shared" si="51"/>
        <v>228</v>
      </c>
      <c r="W231" s="509"/>
      <c r="X231" s="321"/>
      <c r="Y231" s="321"/>
      <c r="Z231" s="433"/>
      <c r="AA231" s="356"/>
      <c r="AB231" s="306" t="str">
        <f t="shared" si="46"/>
        <v/>
      </c>
      <c r="AC231" s="893">
        <f t="shared" si="47"/>
        <v>0</v>
      </c>
      <c r="AD231" s="322"/>
      <c r="AE231" s="1"/>
      <c r="AF231" s="223">
        <f>IF(ISBLANK(AD231),0,COUNTIF(AF$4:AF230,"&gt;0")+1)</f>
        <v>0</v>
      </c>
      <c r="AG231" s="164">
        <f t="shared" si="53"/>
        <v>0</v>
      </c>
      <c r="AH231" s="99">
        <f t="shared" si="48"/>
        <v>0</v>
      </c>
      <c r="AI231" s="99">
        <f t="shared" si="54"/>
        <v>0</v>
      </c>
      <c r="AJ231" s="170">
        <f t="shared" si="55"/>
        <v>0</v>
      </c>
      <c r="AK231" s="204">
        <f t="shared" si="49"/>
        <v>0</v>
      </c>
      <c r="AL231" s="1049">
        <f>IF(ISERROR(AO231),0,IF(AND(AN231&gt;=$U$1,AN231&lt;=$U$2),IF(AO231='ESTRATTO CONTO'!$E$2,1+COUNTIF(AL$4:AL230,"&gt;0")+U$1009,0),0))</f>
        <v>0</v>
      </c>
      <c r="AM231" s="747">
        <f t="shared" si="52"/>
        <v>228</v>
      </c>
      <c r="AN231" s="164" t="e">
        <f>VLOOKUP($AM231,PATRIMONIALE!$AV283:AW$1003,2,FALSE)</f>
        <v>#N/A</v>
      </c>
      <c r="AO231" s="310" t="e">
        <f>VLOOKUP($AM231,PATRIMONIALE!$AV283:AX$1003,3,FALSE)</f>
        <v>#N/A</v>
      </c>
      <c r="AP231" s="310" t="e">
        <f>VLOOKUP($AM231,PATRIMONIALE!$AV283:AY$1003,4,FALSE)</f>
        <v>#N/A</v>
      </c>
      <c r="AQ231" s="748" t="e">
        <f>VLOOKUP($AM231,PATRIMONIALE!$AV283:AZ$1003,5,FALSE)</f>
        <v>#N/A</v>
      </c>
      <c r="AR231" s="1"/>
      <c r="AS231" s="461" t="str">
        <f t="shared" si="50"/>
        <v/>
      </c>
      <c r="AT231" s="370"/>
    </row>
    <row r="232" spans="1:46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435">
        <f>IF(AND(W232&gt;=$U$1,W232&lt;=$U$2),IF(X232='ESTRATTO CONTO'!$E$2,1+COUNTIF(U$4:U231,"&gt;0"),0),0)</f>
        <v>0</v>
      </c>
      <c r="V232" s="417">
        <f t="shared" si="51"/>
        <v>229</v>
      </c>
      <c r="W232" s="509"/>
      <c r="X232" s="321"/>
      <c r="Y232" s="321"/>
      <c r="Z232" s="433"/>
      <c r="AA232" s="356"/>
      <c r="AB232" s="306" t="str">
        <f t="shared" si="46"/>
        <v/>
      </c>
      <c r="AC232" s="893">
        <f t="shared" si="47"/>
        <v>0</v>
      </c>
      <c r="AD232" s="322"/>
      <c r="AE232" s="1"/>
      <c r="AF232" s="223">
        <f>IF(ISBLANK(AD232),0,COUNTIF(AF$4:AF231,"&gt;0")+1)</f>
        <v>0</v>
      </c>
      <c r="AG232" s="164">
        <f t="shared" si="53"/>
        <v>0</v>
      </c>
      <c r="AH232" s="99">
        <f t="shared" si="48"/>
        <v>0</v>
      </c>
      <c r="AI232" s="99">
        <f t="shared" si="54"/>
        <v>0</v>
      </c>
      <c r="AJ232" s="170">
        <f t="shared" si="55"/>
        <v>0</v>
      </c>
      <c r="AK232" s="204">
        <f t="shared" si="49"/>
        <v>0</v>
      </c>
      <c r="AL232" s="1049">
        <f>IF(ISERROR(AO232),0,IF(AND(AN232&gt;=$U$1,AN232&lt;=$U$2),IF(AO232='ESTRATTO CONTO'!$E$2,1+COUNTIF(AL$4:AL231,"&gt;0")+U$1009,0),0))</f>
        <v>0</v>
      </c>
      <c r="AM232" s="747">
        <f t="shared" si="52"/>
        <v>229</v>
      </c>
      <c r="AN232" s="164" t="e">
        <f>VLOOKUP($AM232,PATRIMONIALE!$AV284:AW$1003,2,FALSE)</f>
        <v>#N/A</v>
      </c>
      <c r="AO232" s="310" t="e">
        <f>VLOOKUP($AM232,PATRIMONIALE!$AV284:AX$1003,3,FALSE)</f>
        <v>#N/A</v>
      </c>
      <c r="AP232" s="310" t="e">
        <f>VLOOKUP($AM232,PATRIMONIALE!$AV284:AY$1003,4,FALSE)</f>
        <v>#N/A</v>
      </c>
      <c r="AQ232" s="748" t="e">
        <f>VLOOKUP($AM232,PATRIMONIALE!$AV284:AZ$1003,5,FALSE)</f>
        <v>#N/A</v>
      </c>
      <c r="AR232" s="1"/>
      <c r="AS232" s="461" t="str">
        <f t="shared" si="50"/>
        <v/>
      </c>
      <c r="AT232" s="370"/>
    </row>
    <row r="233" spans="1:46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435">
        <f>IF(AND(W233&gt;=$U$1,W233&lt;=$U$2),IF(X233='ESTRATTO CONTO'!$E$2,1+COUNTIF(U$4:U232,"&gt;0"),0),0)</f>
        <v>0</v>
      </c>
      <c r="V233" s="417">
        <f t="shared" si="51"/>
        <v>230</v>
      </c>
      <c r="W233" s="509"/>
      <c r="X233" s="321"/>
      <c r="Y233" s="321"/>
      <c r="Z233" s="433"/>
      <c r="AA233" s="356"/>
      <c r="AB233" s="306" t="str">
        <f t="shared" si="46"/>
        <v/>
      </c>
      <c r="AC233" s="893">
        <f t="shared" si="47"/>
        <v>0</v>
      </c>
      <c r="AD233" s="322"/>
      <c r="AE233" s="1"/>
      <c r="AF233" s="223">
        <f>IF(ISBLANK(AD233),0,COUNTIF(AF$4:AF232,"&gt;0")+1)</f>
        <v>0</v>
      </c>
      <c r="AG233" s="164">
        <f t="shared" si="53"/>
        <v>0</v>
      </c>
      <c r="AH233" s="99">
        <f t="shared" si="48"/>
        <v>0</v>
      </c>
      <c r="AI233" s="99">
        <f t="shared" si="54"/>
        <v>0</v>
      </c>
      <c r="AJ233" s="170">
        <f t="shared" si="55"/>
        <v>0</v>
      </c>
      <c r="AK233" s="204">
        <f t="shared" si="49"/>
        <v>0</v>
      </c>
      <c r="AL233" s="1049">
        <f>IF(ISERROR(AO233),0,IF(AND(AN233&gt;=$U$1,AN233&lt;=$U$2),IF(AO233='ESTRATTO CONTO'!$E$2,1+COUNTIF(AL$4:AL232,"&gt;0")+U$1009,0),0))</f>
        <v>0</v>
      </c>
      <c r="AM233" s="747">
        <f t="shared" si="52"/>
        <v>230</v>
      </c>
      <c r="AN233" s="164" t="e">
        <f>VLOOKUP($AM233,PATRIMONIALE!$AV285:AW$1003,2,FALSE)</f>
        <v>#N/A</v>
      </c>
      <c r="AO233" s="310" t="e">
        <f>VLOOKUP($AM233,PATRIMONIALE!$AV285:AX$1003,3,FALSE)</f>
        <v>#N/A</v>
      </c>
      <c r="AP233" s="310" t="e">
        <f>VLOOKUP($AM233,PATRIMONIALE!$AV285:AY$1003,4,FALSE)</f>
        <v>#N/A</v>
      </c>
      <c r="AQ233" s="748" t="e">
        <f>VLOOKUP($AM233,PATRIMONIALE!$AV285:AZ$1003,5,FALSE)</f>
        <v>#N/A</v>
      </c>
      <c r="AR233" s="1"/>
      <c r="AS233" s="461" t="str">
        <f t="shared" si="50"/>
        <v/>
      </c>
      <c r="AT233" s="370"/>
    </row>
    <row r="234" spans="1:46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435">
        <f>IF(AND(W234&gt;=$U$1,W234&lt;=$U$2),IF(X234='ESTRATTO CONTO'!$E$2,1+COUNTIF(U$4:U233,"&gt;0"),0),0)</f>
        <v>0</v>
      </c>
      <c r="V234" s="417">
        <f t="shared" si="51"/>
        <v>231</v>
      </c>
      <c r="W234" s="509"/>
      <c r="X234" s="321"/>
      <c r="Y234" s="321"/>
      <c r="Z234" s="433"/>
      <c r="AA234" s="356"/>
      <c r="AB234" s="306" t="str">
        <f t="shared" si="46"/>
        <v/>
      </c>
      <c r="AC234" s="893">
        <f t="shared" si="47"/>
        <v>0</v>
      </c>
      <c r="AD234" s="322"/>
      <c r="AE234" s="1"/>
      <c r="AF234" s="223">
        <f>IF(ISBLANK(AD234),0,COUNTIF(AF$4:AF233,"&gt;0")+1)</f>
        <v>0</v>
      </c>
      <c r="AG234" s="164">
        <f t="shared" si="53"/>
        <v>0</v>
      </c>
      <c r="AH234" s="99">
        <f t="shared" si="48"/>
        <v>0</v>
      </c>
      <c r="AI234" s="99">
        <f t="shared" si="54"/>
        <v>0</v>
      </c>
      <c r="AJ234" s="170">
        <f t="shared" si="55"/>
        <v>0</v>
      </c>
      <c r="AK234" s="204">
        <f t="shared" si="49"/>
        <v>0</v>
      </c>
      <c r="AL234" s="1049">
        <f>IF(ISERROR(AO234),0,IF(AND(AN234&gt;=$U$1,AN234&lt;=$U$2),IF(AO234='ESTRATTO CONTO'!$E$2,1+COUNTIF(AL$4:AL233,"&gt;0")+U$1009,0),0))</f>
        <v>0</v>
      </c>
      <c r="AM234" s="747">
        <f t="shared" si="52"/>
        <v>231</v>
      </c>
      <c r="AN234" s="164" t="e">
        <f>VLOOKUP($AM234,PATRIMONIALE!$AV286:AW$1003,2,FALSE)</f>
        <v>#N/A</v>
      </c>
      <c r="AO234" s="310" t="e">
        <f>VLOOKUP($AM234,PATRIMONIALE!$AV286:AX$1003,3,FALSE)</f>
        <v>#N/A</v>
      </c>
      <c r="AP234" s="310" t="e">
        <f>VLOOKUP($AM234,PATRIMONIALE!$AV286:AY$1003,4,FALSE)</f>
        <v>#N/A</v>
      </c>
      <c r="AQ234" s="748" t="e">
        <f>VLOOKUP($AM234,PATRIMONIALE!$AV286:AZ$1003,5,FALSE)</f>
        <v>#N/A</v>
      </c>
      <c r="AR234" s="1"/>
      <c r="AS234" s="461" t="str">
        <f t="shared" si="50"/>
        <v/>
      </c>
      <c r="AT234" s="370"/>
    </row>
    <row r="235" spans="1:46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435">
        <f>IF(AND(W235&gt;=$U$1,W235&lt;=$U$2),IF(X235='ESTRATTO CONTO'!$E$2,1+COUNTIF(U$4:U234,"&gt;0"),0),0)</f>
        <v>0</v>
      </c>
      <c r="V235" s="417">
        <f t="shared" si="51"/>
        <v>232</v>
      </c>
      <c r="W235" s="509"/>
      <c r="X235" s="321"/>
      <c r="Y235" s="321"/>
      <c r="Z235" s="433"/>
      <c r="AA235" s="356"/>
      <c r="AB235" s="306" t="str">
        <f t="shared" si="46"/>
        <v/>
      </c>
      <c r="AC235" s="893">
        <f t="shared" si="47"/>
        <v>0</v>
      </c>
      <c r="AD235" s="322"/>
      <c r="AE235" s="1"/>
      <c r="AF235" s="223">
        <f>IF(ISBLANK(AD235),0,COUNTIF(AF$4:AF234,"&gt;0")+1)</f>
        <v>0</v>
      </c>
      <c r="AG235" s="164">
        <f t="shared" si="53"/>
        <v>0</v>
      </c>
      <c r="AH235" s="99">
        <f t="shared" si="48"/>
        <v>0</v>
      </c>
      <c r="AI235" s="99">
        <f t="shared" si="54"/>
        <v>0</v>
      </c>
      <c r="AJ235" s="170">
        <f t="shared" si="55"/>
        <v>0</v>
      </c>
      <c r="AK235" s="204">
        <f t="shared" si="49"/>
        <v>0</v>
      </c>
      <c r="AL235" s="1049">
        <f>IF(ISERROR(AO235),0,IF(AND(AN235&gt;=$U$1,AN235&lt;=$U$2),IF(AO235='ESTRATTO CONTO'!$E$2,1+COUNTIF(AL$4:AL234,"&gt;0")+U$1009,0),0))</f>
        <v>0</v>
      </c>
      <c r="AM235" s="747">
        <f t="shared" si="52"/>
        <v>232</v>
      </c>
      <c r="AN235" s="164" t="e">
        <f>VLOOKUP($AM235,PATRIMONIALE!$AV287:AW$1003,2,FALSE)</f>
        <v>#N/A</v>
      </c>
      <c r="AO235" s="310" t="e">
        <f>VLOOKUP($AM235,PATRIMONIALE!$AV287:AX$1003,3,FALSE)</f>
        <v>#N/A</v>
      </c>
      <c r="AP235" s="310" t="e">
        <f>VLOOKUP($AM235,PATRIMONIALE!$AV287:AY$1003,4,FALSE)</f>
        <v>#N/A</v>
      </c>
      <c r="AQ235" s="748" t="e">
        <f>VLOOKUP($AM235,PATRIMONIALE!$AV287:AZ$1003,5,FALSE)</f>
        <v>#N/A</v>
      </c>
      <c r="AR235" s="1"/>
      <c r="AS235" s="461" t="str">
        <f t="shared" si="50"/>
        <v/>
      </c>
      <c r="AT235" s="370"/>
    </row>
    <row r="236" spans="1:46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435">
        <f>IF(AND(W236&gt;=$U$1,W236&lt;=$U$2),IF(X236='ESTRATTO CONTO'!$E$2,1+COUNTIF(U$4:U235,"&gt;0"),0),0)</f>
        <v>0</v>
      </c>
      <c r="V236" s="417">
        <f t="shared" si="51"/>
        <v>233</v>
      </c>
      <c r="W236" s="509"/>
      <c r="X236" s="321"/>
      <c r="Y236" s="321"/>
      <c r="Z236" s="433"/>
      <c r="AA236" s="356"/>
      <c r="AB236" s="306" t="str">
        <f t="shared" si="46"/>
        <v/>
      </c>
      <c r="AC236" s="893">
        <f t="shared" si="47"/>
        <v>0</v>
      </c>
      <c r="AD236" s="322"/>
      <c r="AE236" s="1"/>
      <c r="AF236" s="223">
        <f>IF(ISBLANK(AD236),0,COUNTIF(AF$4:AF235,"&gt;0")+1)</f>
        <v>0</v>
      </c>
      <c r="AG236" s="164">
        <f t="shared" si="53"/>
        <v>0</v>
      </c>
      <c r="AH236" s="99">
        <f t="shared" si="48"/>
        <v>0</v>
      </c>
      <c r="AI236" s="99">
        <f t="shared" si="54"/>
        <v>0</v>
      </c>
      <c r="AJ236" s="170">
        <f t="shared" si="55"/>
        <v>0</v>
      </c>
      <c r="AK236" s="204">
        <f t="shared" si="49"/>
        <v>0</v>
      </c>
      <c r="AL236" s="1049">
        <f>IF(ISERROR(AO236),0,IF(AND(AN236&gt;=$U$1,AN236&lt;=$U$2),IF(AO236='ESTRATTO CONTO'!$E$2,1+COUNTIF(AL$4:AL235,"&gt;0")+U$1009,0),0))</f>
        <v>0</v>
      </c>
      <c r="AM236" s="747">
        <f t="shared" si="52"/>
        <v>233</v>
      </c>
      <c r="AN236" s="164" t="e">
        <f>VLOOKUP($AM236,PATRIMONIALE!$AV288:AW$1003,2,FALSE)</f>
        <v>#N/A</v>
      </c>
      <c r="AO236" s="310" t="e">
        <f>VLOOKUP($AM236,PATRIMONIALE!$AV288:AX$1003,3,FALSE)</f>
        <v>#N/A</v>
      </c>
      <c r="AP236" s="310" t="e">
        <f>VLOOKUP($AM236,PATRIMONIALE!$AV288:AY$1003,4,FALSE)</f>
        <v>#N/A</v>
      </c>
      <c r="AQ236" s="748" t="e">
        <f>VLOOKUP($AM236,PATRIMONIALE!$AV288:AZ$1003,5,FALSE)</f>
        <v>#N/A</v>
      </c>
      <c r="AR236" s="1"/>
      <c r="AS236" s="461" t="str">
        <f t="shared" si="50"/>
        <v/>
      </c>
      <c r="AT236" s="370"/>
    </row>
    <row r="237" spans="1:46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435">
        <f>IF(AND(W237&gt;=$U$1,W237&lt;=$U$2),IF(X237='ESTRATTO CONTO'!$E$2,1+COUNTIF(U$4:U236,"&gt;0"),0),0)</f>
        <v>0</v>
      </c>
      <c r="V237" s="417">
        <f t="shared" si="51"/>
        <v>234</v>
      </c>
      <c r="W237" s="509"/>
      <c r="X237" s="321"/>
      <c r="Y237" s="321"/>
      <c r="Z237" s="433"/>
      <c r="AA237" s="356"/>
      <c r="AB237" s="306" t="str">
        <f t="shared" si="46"/>
        <v/>
      </c>
      <c r="AC237" s="893">
        <f t="shared" si="47"/>
        <v>0</v>
      </c>
      <c r="AD237" s="322"/>
      <c r="AE237" s="1"/>
      <c r="AF237" s="223">
        <f>IF(ISBLANK(AD237),0,COUNTIF(AF$4:AF236,"&gt;0")+1)</f>
        <v>0</v>
      </c>
      <c r="AG237" s="164">
        <f t="shared" si="53"/>
        <v>0</v>
      </c>
      <c r="AH237" s="99">
        <f t="shared" si="48"/>
        <v>0</v>
      </c>
      <c r="AI237" s="99">
        <f t="shared" si="54"/>
        <v>0</v>
      </c>
      <c r="AJ237" s="170">
        <f t="shared" si="55"/>
        <v>0</v>
      </c>
      <c r="AK237" s="204">
        <f t="shared" si="49"/>
        <v>0</v>
      </c>
      <c r="AL237" s="1049">
        <f>IF(ISERROR(AO237),0,IF(AND(AN237&gt;=$U$1,AN237&lt;=$U$2),IF(AO237='ESTRATTO CONTO'!$E$2,1+COUNTIF(AL$4:AL236,"&gt;0")+U$1009,0),0))</f>
        <v>0</v>
      </c>
      <c r="AM237" s="747">
        <f t="shared" si="52"/>
        <v>234</v>
      </c>
      <c r="AN237" s="164" t="e">
        <f>VLOOKUP($AM237,PATRIMONIALE!$AV289:AW$1003,2,FALSE)</f>
        <v>#N/A</v>
      </c>
      <c r="AO237" s="310" t="e">
        <f>VLOOKUP($AM237,PATRIMONIALE!$AV289:AX$1003,3,FALSE)</f>
        <v>#N/A</v>
      </c>
      <c r="AP237" s="310" t="e">
        <f>VLOOKUP($AM237,PATRIMONIALE!$AV289:AY$1003,4,FALSE)</f>
        <v>#N/A</v>
      </c>
      <c r="AQ237" s="748" t="e">
        <f>VLOOKUP($AM237,PATRIMONIALE!$AV289:AZ$1003,5,FALSE)</f>
        <v>#N/A</v>
      </c>
      <c r="AR237" s="1"/>
      <c r="AS237" s="461" t="str">
        <f t="shared" si="50"/>
        <v/>
      </c>
      <c r="AT237" s="370"/>
    </row>
    <row r="238" spans="1:46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435">
        <f>IF(AND(W238&gt;=$U$1,W238&lt;=$U$2),IF(X238='ESTRATTO CONTO'!$E$2,1+COUNTIF(U$4:U237,"&gt;0"),0),0)</f>
        <v>0</v>
      </c>
      <c r="V238" s="417">
        <f t="shared" si="51"/>
        <v>235</v>
      </c>
      <c r="W238" s="509"/>
      <c r="X238" s="321"/>
      <c r="Y238" s="321"/>
      <c r="Z238" s="433"/>
      <c r="AA238" s="356"/>
      <c r="AB238" s="306" t="str">
        <f t="shared" si="46"/>
        <v/>
      </c>
      <c r="AC238" s="893">
        <f t="shared" si="47"/>
        <v>0</v>
      </c>
      <c r="AD238" s="322"/>
      <c r="AE238" s="1"/>
      <c r="AF238" s="223">
        <f>IF(ISBLANK(AD238),0,COUNTIF(AF$4:AF237,"&gt;0")+1)</f>
        <v>0</v>
      </c>
      <c r="AG238" s="164">
        <f t="shared" si="53"/>
        <v>0</v>
      </c>
      <c r="AH238" s="99">
        <f t="shared" si="48"/>
        <v>0</v>
      </c>
      <c r="AI238" s="99">
        <f t="shared" si="54"/>
        <v>0</v>
      </c>
      <c r="AJ238" s="170">
        <f t="shared" si="55"/>
        <v>0</v>
      </c>
      <c r="AK238" s="204">
        <f t="shared" si="49"/>
        <v>0</v>
      </c>
      <c r="AL238" s="1049">
        <f>IF(ISERROR(AO238),0,IF(AND(AN238&gt;=$U$1,AN238&lt;=$U$2),IF(AO238='ESTRATTO CONTO'!$E$2,1+COUNTIF(AL$4:AL237,"&gt;0")+U$1009,0),0))</f>
        <v>0</v>
      </c>
      <c r="AM238" s="747">
        <f t="shared" si="52"/>
        <v>235</v>
      </c>
      <c r="AN238" s="164" t="e">
        <f>VLOOKUP($AM238,PATRIMONIALE!$AV290:AW$1003,2,FALSE)</f>
        <v>#N/A</v>
      </c>
      <c r="AO238" s="310" t="e">
        <f>VLOOKUP($AM238,PATRIMONIALE!$AV290:AX$1003,3,FALSE)</f>
        <v>#N/A</v>
      </c>
      <c r="AP238" s="310" t="e">
        <f>VLOOKUP($AM238,PATRIMONIALE!$AV290:AY$1003,4,FALSE)</f>
        <v>#N/A</v>
      </c>
      <c r="AQ238" s="748" t="e">
        <f>VLOOKUP($AM238,PATRIMONIALE!$AV290:AZ$1003,5,FALSE)</f>
        <v>#N/A</v>
      </c>
      <c r="AR238" s="1"/>
      <c r="AS238" s="461" t="str">
        <f t="shared" si="50"/>
        <v/>
      </c>
      <c r="AT238" s="370"/>
    </row>
    <row r="239" spans="1:46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435">
        <f>IF(AND(W239&gt;=$U$1,W239&lt;=$U$2),IF(X239='ESTRATTO CONTO'!$E$2,1+COUNTIF(U$4:U238,"&gt;0"),0),0)</f>
        <v>0</v>
      </c>
      <c r="V239" s="417">
        <f t="shared" si="51"/>
        <v>236</v>
      </c>
      <c r="W239" s="509"/>
      <c r="X239" s="321"/>
      <c r="Y239" s="321"/>
      <c r="Z239" s="433"/>
      <c r="AA239" s="356"/>
      <c r="AB239" s="306" t="str">
        <f t="shared" si="46"/>
        <v/>
      </c>
      <c r="AC239" s="893">
        <f t="shared" si="47"/>
        <v>0</v>
      </c>
      <c r="AD239" s="322"/>
      <c r="AE239" s="1"/>
      <c r="AF239" s="223">
        <f>IF(ISBLANK(AD239),0,COUNTIF(AF$4:AF238,"&gt;0")+1)</f>
        <v>0</v>
      </c>
      <c r="AG239" s="164">
        <f t="shared" si="53"/>
        <v>0</v>
      </c>
      <c r="AH239" s="99">
        <f t="shared" si="48"/>
        <v>0</v>
      </c>
      <c r="AI239" s="99">
        <f t="shared" si="54"/>
        <v>0</v>
      </c>
      <c r="AJ239" s="170">
        <f t="shared" si="55"/>
        <v>0</v>
      </c>
      <c r="AK239" s="204">
        <f t="shared" si="49"/>
        <v>0</v>
      </c>
      <c r="AL239" s="1049">
        <f>IF(ISERROR(AO239),0,IF(AND(AN239&gt;=$U$1,AN239&lt;=$U$2),IF(AO239='ESTRATTO CONTO'!$E$2,1+COUNTIF(AL$4:AL238,"&gt;0")+U$1009,0),0))</f>
        <v>0</v>
      </c>
      <c r="AM239" s="747">
        <f t="shared" si="52"/>
        <v>236</v>
      </c>
      <c r="AN239" s="164" t="e">
        <f>VLOOKUP($AM239,PATRIMONIALE!$AV291:AW$1003,2,FALSE)</f>
        <v>#N/A</v>
      </c>
      <c r="AO239" s="310" t="e">
        <f>VLOOKUP($AM239,PATRIMONIALE!$AV291:AX$1003,3,FALSE)</f>
        <v>#N/A</v>
      </c>
      <c r="AP239" s="310" t="e">
        <f>VLOOKUP($AM239,PATRIMONIALE!$AV291:AY$1003,4,FALSE)</f>
        <v>#N/A</v>
      </c>
      <c r="AQ239" s="748" t="e">
        <f>VLOOKUP($AM239,PATRIMONIALE!$AV291:AZ$1003,5,FALSE)</f>
        <v>#N/A</v>
      </c>
      <c r="AR239" s="1"/>
      <c r="AS239" s="461" t="str">
        <f t="shared" si="50"/>
        <v/>
      </c>
      <c r="AT239" s="370"/>
    </row>
    <row r="240" spans="1:46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435">
        <f>IF(AND(W240&gt;=$U$1,W240&lt;=$U$2),IF(X240='ESTRATTO CONTO'!$E$2,1+COUNTIF(U$4:U239,"&gt;0"),0),0)</f>
        <v>0</v>
      </c>
      <c r="V240" s="417">
        <f t="shared" si="51"/>
        <v>237</v>
      </c>
      <c r="W240" s="509"/>
      <c r="X240" s="321"/>
      <c r="Y240" s="321"/>
      <c r="Z240" s="433"/>
      <c r="AA240" s="356"/>
      <c r="AB240" s="306" t="str">
        <f t="shared" si="46"/>
        <v/>
      </c>
      <c r="AC240" s="893">
        <f t="shared" si="47"/>
        <v>0</v>
      </c>
      <c r="AD240" s="322"/>
      <c r="AE240" s="1"/>
      <c r="AF240" s="223">
        <f>IF(ISBLANK(AD240),0,COUNTIF(AF$4:AF239,"&gt;0")+1)</f>
        <v>0</v>
      </c>
      <c r="AG240" s="164">
        <f t="shared" si="53"/>
        <v>0</v>
      </c>
      <c r="AH240" s="99">
        <f t="shared" si="48"/>
        <v>0</v>
      </c>
      <c r="AI240" s="99">
        <f t="shared" si="54"/>
        <v>0</v>
      </c>
      <c r="AJ240" s="170">
        <f t="shared" si="55"/>
        <v>0</v>
      </c>
      <c r="AK240" s="204">
        <f t="shared" si="49"/>
        <v>0</v>
      </c>
      <c r="AL240" s="1049">
        <f>IF(ISERROR(AO240),0,IF(AND(AN240&gt;=$U$1,AN240&lt;=$U$2),IF(AO240='ESTRATTO CONTO'!$E$2,1+COUNTIF(AL$4:AL239,"&gt;0")+U$1009,0),0))</f>
        <v>0</v>
      </c>
      <c r="AM240" s="747">
        <f t="shared" si="52"/>
        <v>237</v>
      </c>
      <c r="AN240" s="164" t="e">
        <f>VLOOKUP($AM240,PATRIMONIALE!$AV292:AW$1003,2,FALSE)</f>
        <v>#N/A</v>
      </c>
      <c r="AO240" s="310" t="e">
        <f>VLOOKUP($AM240,PATRIMONIALE!$AV292:AX$1003,3,FALSE)</f>
        <v>#N/A</v>
      </c>
      <c r="AP240" s="310" t="e">
        <f>VLOOKUP($AM240,PATRIMONIALE!$AV292:AY$1003,4,FALSE)</f>
        <v>#N/A</v>
      </c>
      <c r="AQ240" s="748" t="e">
        <f>VLOOKUP($AM240,PATRIMONIALE!$AV292:AZ$1003,5,FALSE)</f>
        <v>#N/A</v>
      </c>
      <c r="AR240" s="1"/>
      <c r="AS240" s="461" t="str">
        <f t="shared" si="50"/>
        <v/>
      </c>
      <c r="AT240" s="370"/>
    </row>
    <row r="241" spans="1:46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435">
        <f>IF(AND(W241&gt;=$U$1,W241&lt;=$U$2),IF(X241='ESTRATTO CONTO'!$E$2,1+COUNTIF(U$4:U240,"&gt;0"),0),0)</f>
        <v>0</v>
      </c>
      <c r="V241" s="417">
        <f t="shared" si="51"/>
        <v>238</v>
      </c>
      <c r="W241" s="509"/>
      <c r="X241" s="321"/>
      <c r="Y241" s="321"/>
      <c r="Z241" s="433"/>
      <c r="AA241" s="356"/>
      <c r="AB241" s="306" t="str">
        <f t="shared" si="46"/>
        <v/>
      </c>
      <c r="AC241" s="893">
        <f t="shared" si="47"/>
        <v>0</v>
      </c>
      <c r="AD241" s="322"/>
      <c r="AE241" s="1"/>
      <c r="AF241" s="223">
        <f>IF(ISBLANK(AD241),0,COUNTIF(AF$4:AF240,"&gt;0")+1)</f>
        <v>0</v>
      </c>
      <c r="AG241" s="164">
        <f t="shared" si="53"/>
        <v>0</v>
      </c>
      <c r="AH241" s="99">
        <f t="shared" si="48"/>
        <v>0</v>
      </c>
      <c r="AI241" s="99">
        <f t="shared" si="54"/>
        <v>0</v>
      </c>
      <c r="AJ241" s="170">
        <f t="shared" si="55"/>
        <v>0</v>
      </c>
      <c r="AK241" s="204">
        <f t="shared" si="49"/>
        <v>0</v>
      </c>
      <c r="AL241" s="1049">
        <f>IF(ISERROR(AO241),0,IF(AND(AN241&gt;=$U$1,AN241&lt;=$U$2),IF(AO241='ESTRATTO CONTO'!$E$2,1+COUNTIF(AL$4:AL240,"&gt;0")+U$1009,0),0))</f>
        <v>0</v>
      </c>
      <c r="AM241" s="747">
        <f t="shared" si="52"/>
        <v>238</v>
      </c>
      <c r="AN241" s="164" t="e">
        <f>VLOOKUP($AM241,PATRIMONIALE!$AV293:AW$1003,2,FALSE)</f>
        <v>#N/A</v>
      </c>
      <c r="AO241" s="310" t="e">
        <f>VLOOKUP($AM241,PATRIMONIALE!$AV293:AX$1003,3,FALSE)</f>
        <v>#N/A</v>
      </c>
      <c r="AP241" s="310" t="e">
        <f>VLOOKUP($AM241,PATRIMONIALE!$AV293:AY$1003,4,FALSE)</f>
        <v>#N/A</v>
      </c>
      <c r="AQ241" s="748" t="e">
        <f>VLOOKUP($AM241,PATRIMONIALE!$AV293:AZ$1003,5,FALSE)</f>
        <v>#N/A</v>
      </c>
      <c r="AR241" s="1"/>
      <c r="AS241" s="461" t="str">
        <f t="shared" si="50"/>
        <v/>
      </c>
      <c r="AT241" s="370"/>
    </row>
    <row r="242" spans="1:46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435">
        <f>IF(AND(W242&gt;=$U$1,W242&lt;=$U$2),IF(X242='ESTRATTO CONTO'!$E$2,1+COUNTIF(U$4:U241,"&gt;0"),0),0)</f>
        <v>0</v>
      </c>
      <c r="V242" s="417">
        <f t="shared" si="51"/>
        <v>239</v>
      </c>
      <c r="W242" s="509"/>
      <c r="X242" s="321"/>
      <c r="Y242" s="321"/>
      <c r="Z242" s="433"/>
      <c r="AA242" s="356"/>
      <c r="AB242" s="306" t="str">
        <f t="shared" si="46"/>
        <v/>
      </c>
      <c r="AC242" s="893">
        <f t="shared" si="47"/>
        <v>0</v>
      </c>
      <c r="AD242" s="322"/>
      <c r="AE242" s="1"/>
      <c r="AF242" s="223">
        <f>IF(ISBLANK(AD242),0,COUNTIF(AF$4:AF241,"&gt;0")+1)</f>
        <v>0</v>
      </c>
      <c r="AG242" s="164">
        <f t="shared" si="53"/>
        <v>0</v>
      </c>
      <c r="AH242" s="99">
        <f t="shared" si="48"/>
        <v>0</v>
      </c>
      <c r="AI242" s="99">
        <f t="shared" si="54"/>
        <v>0</v>
      </c>
      <c r="AJ242" s="170">
        <f t="shared" si="55"/>
        <v>0</v>
      </c>
      <c r="AK242" s="204">
        <f t="shared" si="49"/>
        <v>0</v>
      </c>
      <c r="AL242" s="1049">
        <f>IF(ISERROR(AO242),0,IF(AND(AN242&gt;=$U$1,AN242&lt;=$U$2),IF(AO242='ESTRATTO CONTO'!$E$2,1+COUNTIF(AL$4:AL241,"&gt;0")+U$1009,0),0))</f>
        <v>0</v>
      </c>
      <c r="AM242" s="747">
        <f t="shared" si="52"/>
        <v>239</v>
      </c>
      <c r="AN242" s="164" t="e">
        <f>VLOOKUP($AM242,PATRIMONIALE!$AV294:AW$1003,2,FALSE)</f>
        <v>#N/A</v>
      </c>
      <c r="AO242" s="310" t="e">
        <f>VLOOKUP($AM242,PATRIMONIALE!$AV294:AX$1003,3,FALSE)</f>
        <v>#N/A</v>
      </c>
      <c r="AP242" s="310" t="e">
        <f>VLOOKUP($AM242,PATRIMONIALE!$AV294:AY$1003,4,FALSE)</f>
        <v>#N/A</v>
      </c>
      <c r="AQ242" s="748" t="e">
        <f>VLOOKUP($AM242,PATRIMONIALE!$AV294:AZ$1003,5,FALSE)</f>
        <v>#N/A</v>
      </c>
      <c r="AR242" s="1"/>
      <c r="AS242" s="461" t="str">
        <f t="shared" si="50"/>
        <v/>
      </c>
      <c r="AT242" s="370"/>
    </row>
    <row r="243" spans="1:46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435">
        <f>IF(AND(W243&gt;=$U$1,W243&lt;=$U$2),IF(X243='ESTRATTO CONTO'!$E$2,1+COUNTIF(U$4:U242,"&gt;0"),0),0)</f>
        <v>0</v>
      </c>
      <c r="V243" s="417">
        <f t="shared" si="51"/>
        <v>240</v>
      </c>
      <c r="W243" s="509"/>
      <c r="X243" s="321"/>
      <c r="Y243" s="321"/>
      <c r="Z243" s="433"/>
      <c r="AA243" s="356"/>
      <c r="AB243" s="306" t="str">
        <f t="shared" si="46"/>
        <v/>
      </c>
      <c r="AC243" s="893">
        <f t="shared" si="47"/>
        <v>0</v>
      </c>
      <c r="AD243" s="322"/>
      <c r="AE243" s="1"/>
      <c r="AF243" s="223">
        <f>IF(ISBLANK(AD243),0,COUNTIF(AF$4:AF242,"&gt;0")+1)</f>
        <v>0</v>
      </c>
      <c r="AG243" s="164">
        <f t="shared" si="53"/>
        <v>0</v>
      </c>
      <c r="AH243" s="99">
        <f t="shared" si="48"/>
        <v>0</v>
      </c>
      <c r="AI243" s="99">
        <f t="shared" si="54"/>
        <v>0</v>
      </c>
      <c r="AJ243" s="170">
        <f t="shared" si="55"/>
        <v>0</v>
      </c>
      <c r="AK243" s="204">
        <f t="shared" si="49"/>
        <v>0</v>
      </c>
      <c r="AL243" s="1049">
        <f>IF(ISERROR(AO243),0,IF(AND(AN243&gt;=$U$1,AN243&lt;=$U$2),IF(AO243='ESTRATTO CONTO'!$E$2,1+COUNTIF(AL$4:AL242,"&gt;0")+U$1009,0),0))</f>
        <v>0</v>
      </c>
      <c r="AM243" s="747">
        <f t="shared" si="52"/>
        <v>240</v>
      </c>
      <c r="AN243" s="164" t="e">
        <f>VLOOKUP($AM243,PATRIMONIALE!$AV295:AW$1003,2,FALSE)</f>
        <v>#N/A</v>
      </c>
      <c r="AO243" s="310" t="e">
        <f>VLOOKUP($AM243,PATRIMONIALE!$AV295:AX$1003,3,FALSE)</f>
        <v>#N/A</v>
      </c>
      <c r="AP243" s="310" t="e">
        <f>VLOOKUP($AM243,PATRIMONIALE!$AV295:AY$1003,4,FALSE)</f>
        <v>#N/A</v>
      </c>
      <c r="AQ243" s="748" t="e">
        <f>VLOOKUP($AM243,PATRIMONIALE!$AV295:AZ$1003,5,FALSE)</f>
        <v>#N/A</v>
      </c>
      <c r="AR243" s="1"/>
      <c r="AS243" s="461" t="str">
        <f t="shared" si="50"/>
        <v/>
      </c>
      <c r="AT243" s="370"/>
    </row>
    <row r="244" spans="1:46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435">
        <f>IF(AND(W244&gt;=$U$1,W244&lt;=$U$2),IF(X244='ESTRATTO CONTO'!$E$2,1+COUNTIF(U$4:U243,"&gt;0"),0),0)</f>
        <v>0</v>
      </c>
      <c r="V244" s="417">
        <f t="shared" si="51"/>
        <v>241</v>
      </c>
      <c r="W244" s="509"/>
      <c r="X244" s="321"/>
      <c r="Y244" s="321"/>
      <c r="Z244" s="433"/>
      <c r="AA244" s="356"/>
      <c r="AB244" s="306" t="str">
        <f t="shared" si="46"/>
        <v/>
      </c>
      <c r="AC244" s="893">
        <f t="shared" si="47"/>
        <v>0</v>
      </c>
      <c r="AD244" s="322"/>
      <c r="AE244" s="1"/>
      <c r="AF244" s="223">
        <f>IF(ISBLANK(AD244),0,COUNTIF(AF$4:AF243,"&gt;0")+1)</f>
        <v>0</v>
      </c>
      <c r="AG244" s="164">
        <f t="shared" si="53"/>
        <v>0</v>
      </c>
      <c r="AH244" s="99">
        <f t="shared" si="48"/>
        <v>0</v>
      </c>
      <c r="AI244" s="99">
        <f t="shared" si="54"/>
        <v>0</v>
      </c>
      <c r="AJ244" s="170">
        <f t="shared" si="55"/>
        <v>0</v>
      </c>
      <c r="AK244" s="204">
        <f t="shared" si="49"/>
        <v>0</v>
      </c>
      <c r="AL244" s="1049">
        <f>IF(ISERROR(AO244),0,IF(AND(AN244&gt;=$U$1,AN244&lt;=$U$2),IF(AO244='ESTRATTO CONTO'!$E$2,1+COUNTIF(AL$4:AL243,"&gt;0")+U$1009,0),0))</f>
        <v>0</v>
      </c>
      <c r="AM244" s="747">
        <f t="shared" si="52"/>
        <v>241</v>
      </c>
      <c r="AN244" s="164" t="e">
        <f>VLOOKUP($AM244,PATRIMONIALE!$AV296:AW$1003,2,FALSE)</f>
        <v>#N/A</v>
      </c>
      <c r="AO244" s="310" t="e">
        <f>VLOOKUP($AM244,PATRIMONIALE!$AV296:AX$1003,3,FALSE)</f>
        <v>#N/A</v>
      </c>
      <c r="AP244" s="310" t="e">
        <f>VLOOKUP($AM244,PATRIMONIALE!$AV296:AY$1003,4,FALSE)</f>
        <v>#N/A</v>
      </c>
      <c r="AQ244" s="748" t="e">
        <f>VLOOKUP($AM244,PATRIMONIALE!$AV296:AZ$1003,5,FALSE)</f>
        <v>#N/A</v>
      </c>
      <c r="AR244" s="1"/>
      <c r="AS244" s="461" t="str">
        <f t="shared" si="50"/>
        <v/>
      </c>
      <c r="AT244" s="370"/>
    </row>
    <row r="245" spans="1:46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435">
        <f>IF(AND(W245&gt;=$U$1,W245&lt;=$U$2),IF(X245='ESTRATTO CONTO'!$E$2,1+COUNTIF(U$4:U244,"&gt;0"),0),0)</f>
        <v>0</v>
      </c>
      <c r="V245" s="417">
        <f t="shared" si="51"/>
        <v>242</v>
      </c>
      <c r="W245" s="509"/>
      <c r="X245" s="321"/>
      <c r="Y245" s="321"/>
      <c r="Z245" s="433"/>
      <c r="AA245" s="356"/>
      <c r="AB245" s="306" t="str">
        <f t="shared" si="46"/>
        <v/>
      </c>
      <c r="AC245" s="893">
        <f t="shared" si="47"/>
        <v>0</v>
      </c>
      <c r="AD245" s="322"/>
      <c r="AE245" s="1"/>
      <c r="AF245" s="223">
        <f>IF(ISBLANK(AD245),0,COUNTIF(AF$4:AF244,"&gt;0")+1)</f>
        <v>0</v>
      </c>
      <c r="AG245" s="164">
        <f t="shared" si="53"/>
        <v>0</v>
      </c>
      <c r="AH245" s="99">
        <f t="shared" si="48"/>
        <v>0</v>
      </c>
      <c r="AI245" s="99">
        <f t="shared" si="54"/>
        <v>0</v>
      </c>
      <c r="AJ245" s="170">
        <f t="shared" si="55"/>
        <v>0</v>
      </c>
      <c r="AK245" s="204">
        <f t="shared" si="49"/>
        <v>0</v>
      </c>
      <c r="AL245" s="1049">
        <f>IF(ISERROR(AO245),0,IF(AND(AN245&gt;=$U$1,AN245&lt;=$U$2),IF(AO245='ESTRATTO CONTO'!$E$2,1+COUNTIF(AL$4:AL244,"&gt;0")+U$1009,0),0))</f>
        <v>0</v>
      </c>
      <c r="AM245" s="747">
        <f t="shared" si="52"/>
        <v>242</v>
      </c>
      <c r="AN245" s="164" t="e">
        <f>VLOOKUP($AM245,PATRIMONIALE!$AV297:AW$1003,2,FALSE)</f>
        <v>#N/A</v>
      </c>
      <c r="AO245" s="310" t="e">
        <f>VLOOKUP($AM245,PATRIMONIALE!$AV297:AX$1003,3,FALSE)</f>
        <v>#N/A</v>
      </c>
      <c r="AP245" s="310" t="e">
        <f>VLOOKUP($AM245,PATRIMONIALE!$AV297:AY$1003,4,FALSE)</f>
        <v>#N/A</v>
      </c>
      <c r="AQ245" s="748" t="e">
        <f>VLOOKUP($AM245,PATRIMONIALE!$AV297:AZ$1003,5,FALSE)</f>
        <v>#N/A</v>
      </c>
      <c r="AR245" s="1"/>
      <c r="AS245" s="461" t="str">
        <f t="shared" si="50"/>
        <v/>
      </c>
      <c r="AT245" s="370"/>
    </row>
    <row r="246" spans="1:46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435">
        <f>IF(AND(W246&gt;=$U$1,W246&lt;=$U$2),IF(X246='ESTRATTO CONTO'!$E$2,1+COUNTIF(U$4:U245,"&gt;0"),0),0)</f>
        <v>0</v>
      </c>
      <c r="V246" s="417">
        <f t="shared" si="51"/>
        <v>243</v>
      </c>
      <c r="W246" s="509"/>
      <c r="X246" s="321"/>
      <c r="Y246" s="321"/>
      <c r="Z246" s="433"/>
      <c r="AA246" s="356"/>
      <c r="AB246" s="306" t="str">
        <f t="shared" si="46"/>
        <v/>
      </c>
      <c r="AC246" s="893">
        <f t="shared" si="47"/>
        <v>0</v>
      </c>
      <c r="AD246" s="322"/>
      <c r="AE246" s="1"/>
      <c r="AF246" s="223">
        <f>IF(ISBLANK(AD246),0,COUNTIF(AF$4:AF245,"&gt;0")+1)</f>
        <v>0</v>
      </c>
      <c r="AG246" s="164">
        <f t="shared" si="53"/>
        <v>0</v>
      </c>
      <c r="AH246" s="99">
        <f t="shared" si="48"/>
        <v>0</v>
      </c>
      <c r="AI246" s="99">
        <f t="shared" si="54"/>
        <v>0</v>
      </c>
      <c r="AJ246" s="170">
        <f t="shared" si="55"/>
        <v>0</v>
      </c>
      <c r="AK246" s="204">
        <f t="shared" si="49"/>
        <v>0</v>
      </c>
      <c r="AL246" s="1049">
        <f>IF(ISERROR(AO246),0,IF(AND(AN246&gt;=$U$1,AN246&lt;=$U$2),IF(AO246='ESTRATTO CONTO'!$E$2,1+COUNTIF(AL$4:AL245,"&gt;0")+U$1009,0),0))</f>
        <v>0</v>
      </c>
      <c r="AM246" s="747">
        <f t="shared" si="52"/>
        <v>243</v>
      </c>
      <c r="AN246" s="164" t="e">
        <f>VLOOKUP($AM246,PATRIMONIALE!$AV298:AW$1003,2,FALSE)</f>
        <v>#N/A</v>
      </c>
      <c r="AO246" s="310" t="e">
        <f>VLOOKUP($AM246,PATRIMONIALE!$AV298:AX$1003,3,FALSE)</f>
        <v>#N/A</v>
      </c>
      <c r="AP246" s="310" t="e">
        <f>VLOOKUP($AM246,PATRIMONIALE!$AV298:AY$1003,4,FALSE)</f>
        <v>#N/A</v>
      </c>
      <c r="AQ246" s="748" t="e">
        <f>VLOOKUP($AM246,PATRIMONIALE!$AV298:AZ$1003,5,FALSE)</f>
        <v>#N/A</v>
      </c>
      <c r="AR246" s="1"/>
      <c r="AS246" s="461" t="str">
        <f t="shared" si="50"/>
        <v/>
      </c>
      <c r="AT246" s="370"/>
    </row>
    <row r="247" spans="1:46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435">
        <f>IF(AND(W247&gt;=$U$1,W247&lt;=$U$2),IF(X247='ESTRATTO CONTO'!$E$2,1+COUNTIF(U$4:U246,"&gt;0"),0),0)</f>
        <v>0</v>
      </c>
      <c r="V247" s="417">
        <f t="shared" si="51"/>
        <v>244</v>
      </c>
      <c r="W247" s="509"/>
      <c r="X247" s="321"/>
      <c r="Y247" s="321"/>
      <c r="Z247" s="433"/>
      <c r="AA247" s="356"/>
      <c r="AB247" s="306" t="str">
        <f t="shared" si="46"/>
        <v/>
      </c>
      <c r="AC247" s="893">
        <f t="shared" si="47"/>
        <v>0</v>
      </c>
      <c r="AD247" s="322"/>
      <c r="AE247" s="1"/>
      <c r="AF247" s="223">
        <f>IF(ISBLANK(AD247),0,COUNTIF(AF$4:AF246,"&gt;0")+1)</f>
        <v>0</v>
      </c>
      <c r="AG247" s="164">
        <f t="shared" si="53"/>
        <v>0</v>
      </c>
      <c r="AH247" s="99">
        <f t="shared" si="48"/>
        <v>0</v>
      </c>
      <c r="AI247" s="99">
        <f t="shared" si="54"/>
        <v>0</v>
      </c>
      <c r="AJ247" s="170">
        <f t="shared" si="55"/>
        <v>0</v>
      </c>
      <c r="AK247" s="204">
        <f t="shared" si="49"/>
        <v>0</v>
      </c>
      <c r="AL247" s="1049">
        <f>IF(ISERROR(AO247),0,IF(AND(AN247&gt;=$U$1,AN247&lt;=$U$2),IF(AO247='ESTRATTO CONTO'!$E$2,1+COUNTIF(AL$4:AL246,"&gt;0")+U$1009,0),0))</f>
        <v>0</v>
      </c>
      <c r="AM247" s="747">
        <f t="shared" si="52"/>
        <v>244</v>
      </c>
      <c r="AN247" s="164" t="e">
        <f>VLOOKUP($AM247,PATRIMONIALE!$AV299:AW$1003,2,FALSE)</f>
        <v>#N/A</v>
      </c>
      <c r="AO247" s="310" t="e">
        <f>VLOOKUP($AM247,PATRIMONIALE!$AV299:AX$1003,3,FALSE)</f>
        <v>#N/A</v>
      </c>
      <c r="AP247" s="310" t="e">
        <f>VLOOKUP($AM247,PATRIMONIALE!$AV299:AY$1003,4,FALSE)</f>
        <v>#N/A</v>
      </c>
      <c r="AQ247" s="748" t="e">
        <f>VLOOKUP($AM247,PATRIMONIALE!$AV299:AZ$1003,5,FALSE)</f>
        <v>#N/A</v>
      </c>
      <c r="AR247" s="1"/>
      <c r="AS247" s="461" t="str">
        <f t="shared" si="50"/>
        <v/>
      </c>
      <c r="AT247" s="370"/>
    </row>
    <row r="248" spans="1:46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435">
        <f>IF(AND(W248&gt;=$U$1,W248&lt;=$U$2),IF(X248='ESTRATTO CONTO'!$E$2,1+COUNTIF(U$4:U247,"&gt;0"),0),0)</f>
        <v>0</v>
      </c>
      <c r="V248" s="417">
        <f t="shared" si="51"/>
        <v>245</v>
      </c>
      <c r="W248" s="509"/>
      <c r="X248" s="321"/>
      <c r="Y248" s="321"/>
      <c r="Z248" s="433"/>
      <c r="AA248" s="356"/>
      <c r="AB248" s="306" t="str">
        <f t="shared" si="46"/>
        <v/>
      </c>
      <c r="AC248" s="893">
        <f t="shared" si="47"/>
        <v>0</v>
      </c>
      <c r="AD248" s="322"/>
      <c r="AE248" s="1"/>
      <c r="AF248" s="223">
        <f>IF(ISBLANK(AD248),0,COUNTIF(AF$4:AF247,"&gt;0")+1)</f>
        <v>0</v>
      </c>
      <c r="AG248" s="164">
        <f t="shared" si="53"/>
        <v>0</v>
      </c>
      <c r="AH248" s="99">
        <f t="shared" si="48"/>
        <v>0</v>
      </c>
      <c r="AI248" s="99">
        <f t="shared" si="54"/>
        <v>0</v>
      </c>
      <c r="AJ248" s="170">
        <f t="shared" si="55"/>
        <v>0</v>
      </c>
      <c r="AK248" s="204">
        <f t="shared" si="49"/>
        <v>0</v>
      </c>
      <c r="AL248" s="1049">
        <f>IF(ISERROR(AO248),0,IF(AND(AN248&gt;=$U$1,AN248&lt;=$U$2),IF(AO248='ESTRATTO CONTO'!$E$2,1+COUNTIF(AL$4:AL247,"&gt;0")+U$1009,0),0))</f>
        <v>0</v>
      </c>
      <c r="AM248" s="747">
        <f t="shared" si="52"/>
        <v>245</v>
      </c>
      <c r="AN248" s="164" t="e">
        <f>VLOOKUP($AM248,PATRIMONIALE!$AV300:AW$1003,2,FALSE)</f>
        <v>#N/A</v>
      </c>
      <c r="AO248" s="310" t="e">
        <f>VLOOKUP($AM248,PATRIMONIALE!$AV300:AX$1003,3,FALSE)</f>
        <v>#N/A</v>
      </c>
      <c r="AP248" s="310" t="e">
        <f>VLOOKUP($AM248,PATRIMONIALE!$AV300:AY$1003,4,FALSE)</f>
        <v>#N/A</v>
      </c>
      <c r="AQ248" s="748" t="e">
        <f>VLOOKUP($AM248,PATRIMONIALE!$AV300:AZ$1003,5,FALSE)</f>
        <v>#N/A</v>
      </c>
      <c r="AR248" s="1"/>
      <c r="AS248" s="461" t="str">
        <f t="shared" si="50"/>
        <v/>
      </c>
      <c r="AT248" s="370"/>
    </row>
    <row r="249" spans="1:46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435">
        <f>IF(AND(W249&gt;=$U$1,W249&lt;=$U$2),IF(X249='ESTRATTO CONTO'!$E$2,1+COUNTIF(U$4:U248,"&gt;0"),0),0)</f>
        <v>0</v>
      </c>
      <c r="V249" s="417">
        <f t="shared" si="51"/>
        <v>246</v>
      </c>
      <c r="W249" s="509"/>
      <c r="X249" s="321"/>
      <c r="Y249" s="321"/>
      <c r="Z249" s="433"/>
      <c r="AA249" s="356"/>
      <c r="AB249" s="306" t="str">
        <f t="shared" si="46"/>
        <v/>
      </c>
      <c r="AC249" s="893">
        <f t="shared" si="47"/>
        <v>0</v>
      </c>
      <c r="AD249" s="322"/>
      <c r="AE249" s="1"/>
      <c r="AF249" s="223">
        <f>IF(ISBLANK(AD249),0,COUNTIF(AF$4:AF248,"&gt;0")+1)</f>
        <v>0</v>
      </c>
      <c r="AG249" s="164">
        <f t="shared" si="53"/>
        <v>0</v>
      </c>
      <c r="AH249" s="99">
        <f t="shared" si="48"/>
        <v>0</v>
      </c>
      <c r="AI249" s="99">
        <f t="shared" si="54"/>
        <v>0</v>
      </c>
      <c r="AJ249" s="170">
        <f t="shared" si="55"/>
        <v>0</v>
      </c>
      <c r="AK249" s="204">
        <f t="shared" si="49"/>
        <v>0</v>
      </c>
      <c r="AL249" s="1049">
        <f>IF(ISERROR(AO249),0,IF(AND(AN249&gt;=$U$1,AN249&lt;=$U$2),IF(AO249='ESTRATTO CONTO'!$E$2,1+COUNTIF(AL$4:AL248,"&gt;0")+U$1009,0),0))</f>
        <v>0</v>
      </c>
      <c r="AM249" s="747">
        <f t="shared" si="52"/>
        <v>246</v>
      </c>
      <c r="AN249" s="164" t="e">
        <f>VLOOKUP($AM249,PATRIMONIALE!$AV301:AW$1003,2,FALSE)</f>
        <v>#N/A</v>
      </c>
      <c r="AO249" s="310" t="e">
        <f>VLOOKUP($AM249,PATRIMONIALE!$AV301:AX$1003,3,FALSE)</f>
        <v>#N/A</v>
      </c>
      <c r="AP249" s="310" t="e">
        <f>VLOOKUP($AM249,PATRIMONIALE!$AV301:AY$1003,4,FALSE)</f>
        <v>#N/A</v>
      </c>
      <c r="AQ249" s="748" t="e">
        <f>VLOOKUP($AM249,PATRIMONIALE!$AV301:AZ$1003,5,FALSE)</f>
        <v>#N/A</v>
      </c>
      <c r="AR249" s="1"/>
      <c r="AS249" s="461" t="str">
        <f t="shared" si="50"/>
        <v/>
      </c>
      <c r="AT249" s="370"/>
    </row>
    <row r="250" spans="1:46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435">
        <f>IF(AND(W250&gt;=$U$1,W250&lt;=$U$2),IF(X250='ESTRATTO CONTO'!$E$2,1+COUNTIF(U$4:U249,"&gt;0"),0),0)</f>
        <v>0</v>
      </c>
      <c r="V250" s="417">
        <f t="shared" si="51"/>
        <v>247</v>
      </c>
      <c r="W250" s="509"/>
      <c r="X250" s="321"/>
      <c r="Y250" s="321"/>
      <c r="Z250" s="433"/>
      <c r="AA250" s="356"/>
      <c r="AB250" s="306" t="str">
        <f t="shared" si="46"/>
        <v/>
      </c>
      <c r="AC250" s="893">
        <f t="shared" si="47"/>
        <v>0</v>
      </c>
      <c r="AD250" s="322"/>
      <c r="AE250" s="1"/>
      <c r="AF250" s="223">
        <f>IF(ISBLANK(AD250),0,COUNTIF(AF$4:AF249,"&gt;0")+1)</f>
        <v>0</v>
      </c>
      <c r="AG250" s="164">
        <f t="shared" si="53"/>
        <v>0</v>
      </c>
      <c r="AH250" s="99">
        <f t="shared" si="48"/>
        <v>0</v>
      </c>
      <c r="AI250" s="99">
        <f t="shared" si="54"/>
        <v>0</v>
      </c>
      <c r="AJ250" s="170">
        <f t="shared" si="55"/>
        <v>0</v>
      </c>
      <c r="AK250" s="204">
        <f t="shared" si="49"/>
        <v>0</v>
      </c>
      <c r="AL250" s="1049">
        <f>IF(ISERROR(AO250),0,IF(AND(AN250&gt;=$U$1,AN250&lt;=$U$2),IF(AO250='ESTRATTO CONTO'!$E$2,1+COUNTIF(AL$4:AL249,"&gt;0")+U$1009,0),0))</f>
        <v>0</v>
      </c>
      <c r="AM250" s="747">
        <f t="shared" si="52"/>
        <v>247</v>
      </c>
      <c r="AN250" s="164" t="e">
        <f>VLOOKUP($AM250,PATRIMONIALE!$AV302:AW$1003,2,FALSE)</f>
        <v>#N/A</v>
      </c>
      <c r="AO250" s="310" t="e">
        <f>VLOOKUP($AM250,PATRIMONIALE!$AV302:AX$1003,3,FALSE)</f>
        <v>#N/A</v>
      </c>
      <c r="AP250" s="310" t="e">
        <f>VLOOKUP($AM250,PATRIMONIALE!$AV302:AY$1003,4,FALSE)</f>
        <v>#N/A</v>
      </c>
      <c r="AQ250" s="748" t="e">
        <f>VLOOKUP($AM250,PATRIMONIALE!$AV302:AZ$1003,5,FALSE)</f>
        <v>#N/A</v>
      </c>
      <c r="AR250" s="1"/>
      <c r="AS250" s="461" t="str">
        <f t="shared" si="50"/>
        <v/>
      </c>
      <c r="AT250" s="370"/>
    </row>
    <row r="251" spans="1:46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435">
        <f>IF(AND(W251&gt;=$U$1,W251&lt;=$U$2),IF(X251='ESTRATTO CONTO'!$E$2,1+COUNTIF(U$4:U250,"&gt;0"),0),0)</f>
        <v>0</v>
      </c>
      <c r="V251" s="417">
        <f t="shared" si="51"/>
        <v>248</v>
      </c>
      <c r="W251" s="509"/>
      <c r="X251" s="321"/>
      <c r="Y251" s="321"/>
      <c r="Z251" s="433"/>
      <c r="AA251" s="356"/>
      <c r="AB251" s="306" t="str">
        <f t="shared" si="46"/>
        <v/>
      </c>
      <c r="AC251" s="893">
        <f t="shared" si="47"/>
        <v>0</v>
      </c>
      <c r="AD251" s="322"/>
      <c r="AE251" s="1"/>
      <c r="AF251" s="223">
        <f>IF(ISBLANK(AD251),0,COUNTIF(AF$4:AF250,"&gt;0")+1)</f>
        <v>0</v>
      </c>
      <c r="AG251" s="164">
        <f t="shared" si="53"/>
        <v>0</v>
      </c>
      <c r="AH251" s="99">
        <f t="shared" si="48"/>
        <v>0</v>
      </c>
      <c r="AI251" s="99">
        <f t="shared" si="54"/>
        <v>0</v>
      </c>
      <c r="AJ251" s="170">
        <f t="shared" si="55"/>
        <v>0</v>
      </c>
      <c r="AK251" s="204">
        <f t="shared" si="49"/>
        <v>0</v>
      </c>
      <c r="AL251" s="1049">
        <f>IF(ISERROR(AO251),0,IF(AND(AN251&gt;=$U$1,AN251&lt;=$U$2),IF(AO251='ESTRATTO CONTO'!$E$2,1+COUNTIF(AL$4:AL250,"&gt;0")+U$1009,0),0))</f>
        <v>0</v>
      </c>
      <c r="AM251" s="747">
        <f t="shared" si="52"/>
        <v>248</v>
      </c>
      <c r="AN251" s="164" t="e">
        <f>VLOOKUP($AM251,PATRIMONIALE!$AV303:AW$1003,2,FALSE)</f>
        <v>#N/A</v>
      </c>
      <c r="AO251" s="310" t="e">
        <f>VLOOKUP($AM251,PATRIMONIALE!$AV303:AX$1003,3,FALSE)</f>
        <v>#N/A</v>
      </c>
      <c r="AP251" s="310" t="e">
        <f>VLOOKUP($AM251,PATRIMONIALE!$AV303:AY$1003,4,FALSE)</f>
        <v>#N/A</v>
      </c>
      <c r="AQ251" s="748" t="e">
        <f>VLOOKUP($AM251,PATRIMONIALE!$AV303:AZ$1003,5,FALSE)</f>
        <v>#N/A</v>
      </c>
      <c r="AR251" s="1"/>
      <c r="AS251" s="461" t="str">
        <f t="shared" si="50"/>
        <v/>
      </c>
      <c r="AT251" s="370"/>
    </row>
    <row r="252" spans="1:46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435">
        <f>IF(AND(W252&gt;=$U$1,W252&lt;=$U$2),IF(X252='ESTRATTO CONTO'!$E$2,1+COUNTIF(U$4:U251,"&gt;0"),0),0)</f>
        <v>0</v>
      </c>
      <c r="V252" s="417">
        <f t="shared" si="51"/>
        <v>249</v>
      </c>
      <c r="W252" s="509"/>
      <c r="X252" s="321"/>
      <c r="Y252" s="321"/>
      <c r="Z252" s="433"/>
      <c r="AA252" s="356"/>
      <c r="AB252" s="306" t="str">
        <f t="shared" si="46"/>
        <v/>
      </c>
      <c r="AC252" s="893">
        <f t="shared" si="47"/>
        <v>0</v>
      </c>
      <c r="AD252" s="322"/>
      <c r="AE252" s="1"/>
      <c r="AF252" s="223">
        <f>IF(ISBLANK(AD252),0,COUNTIF(AF$4:AF251,"&gt;0")+1)</f>
        <v>0</v>
      </c>
      <c r="AG252" s="164">
        <f t="shared" si="53"/>
        <v>0</v>
      </c>
      <c r="AH252" s="99">
        <f t="shared" si="48"/>
        <v>0</v>
      </c>
      <c r="AI252" s="99">
        <f t="shared" si="54"/>
        <v>0</v>
      </c>
      <c r="AJ252" s="170">
        <f t="shared" si="55"/>
        <v>0</v>
      </c>
      <c r="AK252" s="204">
        <f t="shared" si="49"/>
        <v>0</v>
      </c>
      <c r="AL252" s="1049">
        <f>IF(ISERROR(AO252),0,IF(AND(AN252&gt;=$U$1,AN252&lt;=$U$2),IF(AO252='ESTRATTO CONTO'!$E$2,1+COUNTIF(AL$4:AL251,"&gt;0")+U$1009,0),0))</f>
        <v>0</v>
      </c>
      <c r="AM252" s="747">
        <f t="shared" si="52"/>
        <v>249</v>
      </c>
      <c r="AN252" s="164" t="e">
        <f>VLOOKUP($AM252,PATRIMONIALE!$AV304:AW$1003,2,FALSE)</f>
        <v>#N/A</v>
      </c>
      <c r="AO252" s="310" t="e">
        <f>VLOOKUP($AM252,PATRIMONIALE!$AV304:AX$1003,3,FALSE)</f>
        <v>#N/A</v>
      </c>
      <c r="AP252" s="310" t="e">
        <f>VLOOKUP($AM252,PATRIMONIALE!$AV304:AY$1003,4,FALSE)</f>
        <v>#N/A</v>
      </c>
      <c r="AQ252" s="748" t="e">
        <f>VLOOKUP($AM252,PATRIMONIALE!$AV304:AZ$1003,5,FALSE)</f>
        <v>#N/A</v>
      </c>
      <c r="AR252" s="1"/>
      <c r="AS252" s="461" t="str">
        <f t="shared" si="50"/>
        <v/>
      </c>
      <c r="AT252" s="370"/>
    </row>
    <row r="253" spans="1:46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435">
        <f>IF(AND(W253&gt;=$U$1,W253&lt;=$U$2),IF(X253='ESTRATTO CONTO'!$E$2,1+COUNTIF(U$4:U252,"&gt;0"),0),0)</f>
        <v>0</v>
      </c>
      <c r="V253" s="417">
        <f t="shared" si="51"/>
        <v>250</v>
      </c>
      <c r="W253" s="509"/>
      <c r="X253" s="321"/>
      <c r="Y253" s="321"/>
      <c r="Z253" s="433"/>
      <c r="AA253" s="356"/>
      <c r="AB253" s="306" t="str">
        <f t="shared" si="46"/>
        <v/>
      </c>
      <c r="AC253" s="893">
        <f t="shared" si="47"/>
        <v>0</v>
      </c>
      <c r="AD253" s="322"/>
      <c r="AE253" s="1"/>
      <c r="AF253" s="223">
        <f>IF(ISBLANK(AD253),0,COUNTIF(AF$4:AF252,"&gt;0")+1)</f>
        <v>0</v>
      </c>
      <c r="AG253" s="164">
        <f t="shared" si="53"/>
        <v>0</v>
      </c>
      <c r="AH253" s="99">
        <f t="shared" si="48"/>
        <v>0</v>
      </c>
      <c r="AI253" s="99">
        <f t="shared" si="54"/>
        <v>0</v>
      </c>
      <c r="AJ253" s="170">
        <f t="shared" si="55"/>
        <v>0</v>
      </c>
      <c r="AK253" s="204">
        <f t="shared" si="49"/>
        <v>0</v>
      </c>
      <c r="AL253" s="1049">
        <f>IF(ISERROR(AO253),0,IF(AND(AN253&gt;=$U$1,AN253&lt;=$U$2),IF(AO253='ESTRATTO CONTO'!$E$2,1+COUNTIF(AL$4:AL252,"&gt;0")+U$1009,0),0))</f>
        <v>0</v>
      </c>
      <c r="AM253" s="747">
        <f t="shared" si="52"/>
        <v>250</v>
      </c>
      <c r="AN253" s="164" t="e">
        <f>VLOOKUP($AM253,PATRIMONIALE!$AV305:AW$1003,2,FALSE)</f>
        <v>#N/A</v>
      </c>
      <c r="AO253" s="310" t="e">
        <f>VLOOKUP($AM253,PATRIMONIALE!$AV305:AX$1003,3,FALSE)</f>
        <v>#N/A</v>
      </c>
      <c r="AP253" s="310" t="e">
        <f>VLOOKUP($AM253,PATRIMONIALE!$AV305:AY$1003,4,FALSE)</f>
        <v>#N/A</v>
      </c>
      <c r="AQ253" s="748" t="e">
        <f>VLOOKUP($AM253,PATRIMONIALE!$AV305:AZ$1003,5,FALSE)</f>
        <v>#N/A</v>
      </c>
      <c r="AR253" s="1"/>
      <c r="AS253" s="461" t="str">
        <f t="shared" si="50"/>
        <v/>
      </c>
      <c r="AT253" s="370"/>
    </row>
    <row r="254" spans="1:46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435">
        <f>IF(AND(W254&gt;=$U$1,W254&lt;=$U$2),IF(X254='ESTRATTO CONTO'!$E$2,1+COUNTIF(U$4:U253,"&gt;0"),0),0)</f>
        <v>0</v>
      </c>
      <c r="V254" s="417">
        <f t="shared" si="51"/>
        <v>251</v>
      </c>
      <c r="W254" s="509"/>
      <c r="X254" s="321"/>
      <c r="Y254" s="321"/>
      <c r="Z254" s="433"/>
      <c r="AA254" s="356"/>
      <c r="AB254" s="306" t="str">
        <f t="shared" si="46"/>
        <v/>
      </c>
      <c r="AC254" s="893">
        <f t="shared" si="47"/>
        <v>0</v>
      </c>
      <c r="AD254" s="322"/>
      <c r="AE254" s="1"/>
      <c r="AF254" s="223">
        <f>IF(ISBLANK(AD254),0,COUNTIF(AF$4:AF253,"&gt;0")+1)</f>
        <v>0</v>
      </c>
      <c r="AG254" s="164">
        <f t="shared" si="53"/>
        <v>0</v>
      </c>
      <c r="AH254" s="99">
        <f t="shared" si="48"/>
        <v>0</v>
      </c>
      <c r="AI254" s="99">
        <f t="shared" si="54"/>
        <v>0</v>
      </c>
      <c r="AJ254" s="170">
        <f t="shared" si="55"/>
        <v>0</v>
      </c>
      <c r="AK254" s="204">
        <f t="shared" si="49"/>
        <v>0</v>
      </c>
      <c r="AL254" s="1049">
        <f>IF(ISERROR(AO254),0,IF(AND(AN254&gt;=$U$1,AN254&lt;=$U$2),IF(AO254='ESTRATTO CONTO'!$E$2,1+COUNTIF(AL$4:AL253,"&gt;0")+U$1009,0),0))</f>
        <v>0</v>
      </c>
      <c r="AM254" s="747">
        <f t="shared" si="52"/>
        <v>251</v>
      </c>
      <c r="AN254" s="164" t="e">
        <f>VLOOKUP($AM254,PATRIMONIALE!$AV306:AW$1003,2,FALSE)</f>
        <v>#N/A</v>
      </c>
      <c r="AO254" s="310" t="e">
        <f>VLOOKUP($AM254,PATRIMONIALE!$AV306:AX$1003,3,FALSE)</f>
        <v>#N/A</v>
      </c>
      <c r="AP254" s="310" t="e">
        <f>VLOOKUP($AM254,PATRIMONIALE!$AV306:AY$1003,4,FALSE)</f>
        <v>#N/A</v>
      </c>
      <c r="AQ254" s="748" t="e">
        <f>VLOOKUP($AM254,PATRIMONIALE!$AV306:AZ$1003,5,FALSE)</f>
        <v>#N/A</v>
      </c>
      <c r="AR254" s="1"/>
      <c r="AS254" s="461" t="str">
        <f t="shared" si="50"/>
        <v/>
      </c>
      <c r="AT254" s="370"/>
    </row>
    <row r="255" spans="1:46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435">
        <f>IF(AND(W255&gt;=$U$1,W255&lt;=$U$2),IF(X255='ESTRATTO CONTO'!$E$2,1+COUNTIF(U$4:U254,"&gt;0"),0),0)</f>
        <v>0</v>
      </c>
      <c r="V255" s="417">
        <f t="shared" si="51"/>
        <v>252</v>
      </c>
      <c r="W255" s="509"/>
      <c r="X255" s="321"/>
      <c r="Y255" s="321"/>
      <c r="Z255" s="433"/>
      <c r="AA255" s="356"/>
      <c r="AB255" s="306" t="str">
        <f t="shared" si="46"/>
        <v/>
      </c>
      <c r="AC255" s="893">
        <f t="shared" si="47"/>
        <v>0</v>
      </c>
      <c r="AD255" s="322"/>
      <c r="AE255" s="1"/>
      <c r="AF255" s="223">
        <f>IF(ISBLANK(AD255),0,COUNTIF(AF$4:AF254,"&gt;0")+1)</f>
        <v>0</v>
      </c>
      <c r="AG255" s="164">
        <f t="shared" si="53"/>
        <v>0</v>
      </c>
      <c r="AH255" s="99">
        <f t="shared" si="48"/>
        <v>0</v>
      </c>
      <c r="AI255" s="99">
        <f t="shared" si="54"/>
        <v>0</v>
      </c>
      <c r="AJ255" s="170">
        <f t="shared" si="55"/>
        <v>0</v>
      </c>
      <c r="AK255" s="204">
        <f t="shared" si="49"/>
        <v>0</v>
      </c>
      <c r="AL255" s="1049">
        <f>IF(ISERROR(AO255),0,IF(AND(AN255&gt;=$U$1,AN255&lt;=$U$2),IF(AO255='ESTRATTO CONTO'!$E$2,1+COUNTIF(AL$4:AL254,"&gt;0")+U$1009,0),0))</f>
        <v>0</v>
      </c>
      <c r="AM255" s="747">
        <f t="shared" si="52"/>
        <v>252</v>
      </c>
      <c r="AN255" s="164" t="e">
        <f>VLOOKUP($AM255,PATRIMONIALE!$AV307:AW$1003,2,FALSE)</f>
        <v>#N/A</v>
      </c>
      <c r="AO255" s="310" t="e">
        <f>VLOOKUP($AM255,PATRIMONIALE!$AV307:AX$1003,3,FALSE)</f>
        <v>#N/A</v>
      </c>
      <c r="AP255" s="310" t="e">
        <f>VLOOKUP($AM255,PATRIMONIALE!$AV307:AY$1003,4,FALSE)</f>
        <v>#N/A</v>
      </c>
      <c r="AQ255" s="748" t="e">
        <f>VLOOKUP($AM255,PATRIMONIALE!$AV307:AZ$1003,5,FALSE)</f>
        <v>#N/A</v>
      </c>
      <c r="AR255" s="1"/>
      <c r="AS255" s="461" t="str">
        <f t="shared" si="50"/>
        <v/>
      </c>
      <c r="AT255" s="370"/>
    </row>
    <row r="256" spans="1:46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435">
        <f>IF(AND(W256&gt;=$U$1,W256&lt;=$U$2),IF(X256='ESTRATTO CONTO'!$E$2,1+COUNTIF(U$4:U255,"&gt;0"),0),0)</f>
        <v>0</v>
      </c>
      <c r="V256" s="417">
        <f t="shared" si="51"/>
        <v>253</v>
      </c>
      <c r="W256" s="509"/>
      <c r="X256" s="321"/>
      <c r="Y256" s="321"/>
      <c r="Z256" s="433"/>
      <c r="AA256" s="356"/>
      <c r="AB256" s="306" t="str">
        <f t="shared" si="46"/>
        <v/>
      </c>
      <c r="AC256" s="893">
        <f t="shared" si="47"/>
        <v>0</v>
      </c>
      <c r="AD256" s="322"/>
      <c r="AE256" s="1"/>
      <c r="AF256" s="223">
        <f>IF(ISBLANK(AD256),0,COUNTIF(AF$4:AF255,"&gt;0")+1)</f>
        <v>0</v>
      </c>
      <c r="AG256" s="164">
        <f t="shared" si="53"/>
        <v>0</v>
      </c>
      <c r="AH256" s="99">
        <f t="shared" si="48"/>
        <v>0</v>
      </c>
      <c r="AI256" s="99">
        <f t="shared" si="54"/>
        <v>0</v>
      </c>
      <c r="AJ256" s="170">
        <f t="shared" si="55"/>
        <v>0</v>
      </c>
      <c r="AK256" s="204">
        <f t="shared" si="49"/>
        <v>0</v>
      </c>
      <c r="AL256" s="1049">
        <f>IF(ISERROR(AO256),0,IF(AND(AN256&gt;=$U$1,AN256&lt;=$U$2),IF(AO256='ESTRATTO CONTO'!$E$2,1+COUNTIF(AL$4:AL255,"&gt;0")+U$1009,0),0))</f>
        <v>0</v>
      </c>
      <c r="AM256" s="747">
        <f t="shared" si="52"/>
        <v>253</v>
      </c>
      <c r="AN256" s="164" t="e">
        <f>VLOOKUP($AM256,PATRIMONIALE!$AV308:AW$1003,2,FALSE)</f>
        <v>#N/A</v>
      </c>
      <c r="AO256" s="310" t="e">
        <f>VLOOKUP($AM256,PATRIMONIALE!$AV308:AX$1003,3,FALSE)</f>
        <v>#N/A</v>
      </c>
      <c r="AP256" s="310" t="e">
        <f>VLOOKUP($AM256,PATRIMONIALE!$AV308:AY$1003,4,FALSE)</f>
        <v>#N/A</v>
      </c>
      <c r="AQ256" s="748" t="e">
        <f>VLOOKUP($AM256,PATRIMONIALE!$AV308:AZ$1003,5,FALSE)</f>
        <v>#N/A</v>
      </c>
      <c r="AR256" s="1"/>
      <c r="AS256" s="461" t="str">
        <f t="shared" si="50"/>
        <v/>
      </c>
      <c r="AT256" s="370"/>
    </row>
    <row r="257" spans="1:46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435">
        <f>IF(AND(W257&gt;=$U$1,W257&lt;=$U$2),IF(X257='ESTRATTO CONTO'!$E$2,1+COUNTIF(U$4:U256,"&gt;0"),0),0)</f>
        <v>0</v>
      </c>
      <c r="V257" s="417">
        <f t="shared" si="51"/>
        <v>254</v>
      </c>
      <c r="W257" s="509"/>
      <c r="X257" s="321"/>
      <c r="Y257" s="321"/>
      <c r="Z257" s="433"/>
      <c r="AA257" s="356"/>
      <c r="AB257" s="306" t="str">
        <f t="shared" si="46"/>
        <v/>
      </c>
      <c r="AC257" s="893">
        <f t="shared" si="47"/>
        <v>0</v>
      </c>
      <c r="AD257" s="322"/>
      <c r="AE257" s="1"/>
      <c r="AF257" s="223">
        <f>IF(ISBLANK(AD257),0,COUNTIF(AF$4:AF256,"&gt;0")+1)</f>
        <v>0</v>
      </c>
      <c r="AG257" s="164">
        <f t="shared" si="53"/>
        <v>0</v>
      </c>
      <c r="AH257" s="99">
        <f t="shared" si="48"/>
        <v>0</v>
      </c>
      <c r="AI257" s="99">
        <f t="shared" si="54"/>
        <v>0</v>
      </c>
      <c r="AJ257" s="170">
        <f t="shared" si="55"/>
        <v>0</v>
      </c>
      <c r="AK257" s="204">
        <f t="shared" si="49"/>
        <v>0</v>
      </c>
      <c r="AL257" s="1049">
        <f>IF(ISERROR(AO257),0,IF(AND(AN257&gt;=$U$1,AN257&lt;=$U$2),IF(AO257='ESTRATTO CONTO'!$E$2,1+COUNTIF(AL$4:AL256,"&gt;0")+U$1009,0),0))</f>
        <v>0</v>
      </c>
      <c r="AM257" s="747">
        <f t="shared" si="52"/>
        <v>254</v>
      </c>
      <c r="AN257" s="164" t="e">
        <f>VLOOKUP($AM257,PATRIMONIALE!$AV309:AW$1003,2,FALSE)</f>
        <v>#N/A</v>
      </c>
      <c r="AO257" s="310" t="e">
        <f>VLOOKUP($AM257,PATRIMONIALE!$AV309:AX$1003,3,FALSE)</f>
        <v>#N/A</v>
      </c>
      <c r="AP257" s="310" t="e">
        <f>VLOOKUP($AM257,PATRIMONIALE!$AV309:AY$1003,4,FALSE)</f>
        <v>#N/A</v>
      </c>
      <c r="AQ257" s="748" t="e">
        <f>VLOOKUP($AM257,PATRIMONIALE!$AV309:AZ$1003,5,FALSE)</f>
        <v>#N/A</v>
      </c>
      <c r="AR257" s="1"/>
      <c r="AS257" s="461" t="str">
        <f t="shared" si="50"/>
        <v/>
      </c>
      <c r="AT257" s="370"/>
    </row>
    <row r="258" spans="1:46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435">
        <f>IF(AND(W258&gt;=$U$1,W258&lt;=$U$2),IF(X258='ESTRATTO CONTO'!$E$2,1+COUNTIF(U$4:U257,"&gt;0"),0),0)</f>
        <v>0</v>
      </c>
      <c r="V258" s="417">
        <f t="shared" si="51"/>
        <v>255</v>
      </c>
      <c r="W258" s="509"/>
      <c r="X258" s="321"/>
      <c r="Y258" s="321"/>
      <c r="Z258" s="433"/>
      <c r="AA258" s="356"/>
      <c r="AB258" s="306" t="str">
        <f t="shared" si="46"/>
        <v/>
      </c>
      <c r="AC258" s="893">
        <f t="shared" si="47"/>
        <v>0</v>
      </c>
      <c r="AD258" s="322"/>
      <c r="AE258" s="1"/>
      <c r="AF258" s="223">
        <f>IF(ISBLANK(AD258),0,COUNTIF(AF$4:AF257,"&gt;0")+1)</f>
        <v>0</v>
      </c>
      <c r="AG258" s="164">
        <f t="shared" si="53"/>
        <v>0</v>
      </c>
      <c r="AH258" s="99">
        <f t="shared" si="48"/>
        <v>0</v>
      </c>
      <c r="AI258" s="99">
        <f t="shared" si="54"/>
        <v>0</v>
      </c>
      <c r="AJ258" s="170">
        <f t="shared" si="55"/>
        <v>0</v>
      </c>
      <c r="AK258" s="204">
        <f t="shared" si="49"/>
        <v>0</v>
      </c>
      <c r="AL258" s="1049">
        <f>IF(ISERROR(AO258),0,IF(AND(AN258&gt;=$U$1,AN258&lt;=$U$2),IF(AO258='ESTRATTO CONTO'!$E$2,1+COUNTIF(AL$4:AL257,"&gt;0")+U$1009,0),0))</f>
        <v>0</v>
      </c>
      <c r="AM258" s="747">
        <f t="shared" si="52"/>
        <v>255</v>
      </c>
      <c r="AN258" s="164" t="e">
        <f>VLOOKUP($AM258,PATRIMONIALE!$AV310:AW$1003,2,FALSE)</f>
        <v>#N/A</v>
      </c>
      <c r="AO258" s="310" t="e">
        <f>VLOOKUP($AM258,PATRIMONIALE!$AV310:AX$1003,3,FALSE)</f>
        <v>#N/A</v>
      </c>
      <c r="AP258" s="310" t="e">
        <f>VLOOKUP($AM258,PATRIMONIALE!$AV310:AY$1003,4,FALSE)</f>
        <v>#N/A</v>
      </c>
      <c r="AQ258" s="748" t="e">
        <f>VLOOKUP($AM258,PATRIMONIALE!$AV310:AZ$1003,5,FALSE)</f>
        <v>#N/A</v>
      </c>
      <c r="AR258" s="1"/>
      <c r="AS258" s="461" t="str">
        <f t="shared" si="50"/>
        <v/>
      </c>
      <c r="AT258" s="370"/>
    </row>
    <row r="259" spans="1:46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435">
        <f>IF(AND(W259&gt;=$U$1,W259&lt;=$U$2),IF(X259='ESTRATTO CONTO'!$E$2,1+COUNTIF(U$4:U258,"&gt;0"),0),0)</f>
        <v>0</v>
      </c>
      <c r="V259" s="417">
        <f t="shared" si="51"/>
        <v>256</v>
      </c>
      <c r="W259" s="509"/>
      <c r="X259" s="321"/>
      <c r="Y259" s="321"/>
      <c r="Z259" s="433"/>
      <c r="AA259" s="356"/>
      <c r="AB259" s="306" t="str">
        <f t="shared" si="46"/>
        <v/>
      </c>
      <c r="AC259" s="893">
        <f t="shared" si="47"/>
        <v>0</v>
      </c>
      <c r="AD259" s="322"/>
      <c r="AE259" s="1"/>
      <c r="AF259" s="223">
        <f>IF(ISBLANK(AD259),0,COUNTIF(AF$4:AF258,"&gt;0")+1)</f>
        <v>0</v>
      </c>
      <c r="AG259" s="164">
        <f t="shared" si="53"/>
        <v>0</v>
      </c>
      <c r="AH259" s="99">
        <f t="shared" si="48"/>
        <v>0</v>
      </c>
      <c r="AI259" s="99">
        <f t="shared" si="54"/>
        <v>0</v>
      </c>
      <c r="AJ259" s="170">
        <f t="shared" si="55"/>
        <v>0</v>
      </c>
      <c r="AK259" s="204">
        <f t="shared" si="49"/>
        <v>0</v>
      </c>
      <c r="AL259" s="1049">
        <f>IF(ISERROR(AO259),0,IF(AND(AN259&gt;=$U$1,AN259&lt;=$U$2),IF(AO259='ESTRATTO CONTO'!$E$2,1+COUNTIF(AL$4:AL258,"&gt;0")+U$1009,0),0))</f>
        <v>0</v>
      </c>
      <c r="AM259" s="747">
        <f t="shared" si="52"/>
        <v>256</v>
      </c>
      <c r="AN259" s="164" t="e">
        <f>VLOOKUP($AM259,PATRIMONIALE!$AV311:AW$1003,2,FALSE)</f>
        <v>#N/A</v>
      </c>
      <c r="AO259" s="310" t="e">
        <f>VLOOKUP($AM259,PATRIMONIALE!$AV311:AX$1003,3,FALSE)</f>
        <v>#N/A</v>
      </c>
      <c r="AP259" s="310" t="e">
        <f>VLOOKUP($AM259,PATRIMONIALE!$AV311:AY$1003,4,FALSE)</f>
        <v>#N/A</v>
      </c>
      <c r="AQ259" s="748" t="e">
        <f>VLOOKUP($AM259,PATRIMONIALE!$AV311:AZ$1003,5,FALSE)</f>
        <v>#N/A</v>
      </c>
      <c r="AR259" s="1"/>
      <c r="AS259" s="461" t="str">
        <f t="shared" si="50"/>
        <v/>
      </c>
      <c r="AT259" s="370"/>
    </row>
    <row r="260" spans="1:46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435">
        <f>IF(AND(W260&gt;=$U$1,W260&lt;=$U$2),IF(X260='ESTRATTO CONTO'!$E$2,1+COUNTIF(U$4:U259,"&gt;0"),0),0)</f>
        <v>0</v>
      </c>
      <c r="V260" s="417">
        <f t="shared" si="51"/>
        <v>257</v>
      </c>
      <c r="W260" s="509"/>
      <c r="X260" s="321"/>
      <c r="Y260" s="321"/>
      <c r="Z260" s="433"/>
      <c r="AA260" s="356"/>
      <c r="AB260" s="306" t="str">
        <f t="shared" ref="AB260:AB323" si="56">IF(X260="","",IF(W260&gt;0,IF(AND(W260&gt;=W$1012,W260&lt;=W$1013),CONCATENATE(X260,"-",MONTH(W260)),0),""))</f>
        <v/>
      </c>
      <c r="AC260" s="893">
        <f t="shared" ref="AC260:AC323" si="57">IF(AD260="",0,VLOOKUP(AD260,$AD$1025:$AD$1038,1,FALSE))</f>
        <v>0</v>
      </c>
      <c r="AD260" s="322"/>
      <c r="AE260" s="1"/>
      <c r="AF260" s="223">
        <f>IF(ISBLANK(AD260),0,COUNTIF(AF$4:AF259,"&gt;0")+1)</f>
        <v>0</v>
      </c>
      <c r="AG260" s="164">
        <f t="shared" si="53"/>
        <v>0</v>
      </c>
      <c r="AH260" s="99">
        <f t="shared" ref="AH260:AH323" si="58">IF($AF260=0,0,VLOOKUP(AD260,$AD$1025:$AH$1038,5,FALSE))</f>
        <v>0</v>
      </c>
      <c r="AI260" s="99">
        <f t="shared" si="54"/>
        <v>0</v>
      </c>
      <c r="AJ260" s="170">
        <f t="shared" si="55"/>
        <v>0</v>
      </c>
      <c r="AK260" s="204">
        <f t="shared" ref="AK260:AK323" si="59">X260</f>
        <v>0</v>
      </c>
      <c r="AL260" s="1049">
        <f>IF(ISERROR(AO260),0,IF(AND(AN260&gt;=$U$1,AN260&lt;=$U$2),IF(AO260='ESTRATTO CONTO'!$E$2,1+COUNTIF(AL$4:AL259,"&gt;0")+U$1009,0),0))</f>
        <v>0</v>
      </c>
      <c r="AM260" s="747">
        <f t="shared" si="52"/>
        <v>257</v>
      </c>
      <c r="AN260" s="164" t="e">
        <f>VLOOKUP($AM260,PATRIMONIALE!$AV312:AW$1003,2,FALSE)</f>
        <v>#N/A</v>
      </c>
      <c r="AO260" s="310" t="e">
        <f>VLOOKUP($AM260,PATRIMONIALE!$AV312:AX$1003,3,FALSE)</f>
        <v>#N/A</v>
      </c>
      <c r="AP260" s="310" t="e">
        <f>VLOOKUP($AM260,PATRIMONIALE!$AV312:AY$1003,4,FALSE)</f>
        <v>#N/A</v>
      </c>
      <c r="AQ260" s="748" t="e">
        <f>VLOOKUP($AM260,PATRIMONIALE!$AV312:AZ$1003,5,FALSE)</f>
        <v>#N/A</v>
      </c>
      <c r="AR260" s="1"/>
      <c r="AS260" s="461" t="str">
        <f t="shared" ref="AS260:AS323" si="60">IF(X260="","",IF(ISERROR(VLOOKUP(X260,B$9:E$13,1,FALSE)),1,0))</f>
        <v/>
      </c>
      <c r="AT260" s="370"/>
    </row>
    <row r="261" spans="1:46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435">
        <f>IF(AND(W261&gt;=$U$1,W261&lt;=$U$2),IF(X261='ESTRATTO CONTO'!$E$2,1+COUNTIF(U$4:U260,"&gt;0"),0),0)</f>
        <v>0</v>
      </c>
      <c r="V261" s="417">
        <f t="shared" si="51"/>
        <v>258</v>
      </c>
      <c r="W261" s="509"/>
      <c r="X261" s="321"/>
      <c r="Y261" s="321"/>
      <c r="Z261" s="433"/>
      <c r="AA261" s="356"/>
      <c r="AB261" s="306" t="str">
        <f t="shared" si="56"/>
        <v/>
      </c>
      <c r="AC261" s="893">
        <f t="shared" si="57"/>
        <v>0</v>
      </c>
      <c r="AD261" s="322"/>
      <c r="AE261" s="1"/>
      <c r="AF261" s="223">
        <f>IF(ISBLANK(AD261),0,COUNTIF(AF$4:AF260,"&gt;0")+1)</f>
        <v>0</v>
      </c>
      <c r="AG261" s="164">
        <f t="shared" si="53"/>
        <v>0</v>
      </c>
      <c r="AH261" s="99">
        <f t="shared" si="58"/>
        <v>0</v>
      </c>
      <c r="AI261" s="99">
        <f t="shared" si="54"/>
        <v>0</v>
      </c>
      <c r="AJ261" s="170">
        <f t="shared" si="55"/>
        <v>0</v>
      </c>
      <c r="AK261" s="204">
        <f t="shared" si="59"/>
        <v>0</v>
      </c>
      <c r="AL261" s="1049">
        <f>IF(ISERROR(AO261),0,IF(AND(AN261&gt;=$U$1,AN261&lt;=$U$2),IF(AO261='ESTRATTO CONTO'!$E$2,1+COUNTIF(AL$4:AL260,"&gt;0")+U$1009,0),0))</f>
        <v>0</v>
      </c>
      <c r="AM261" s="747">
        <f t="shared" si="52"/>
        <v>258</v>
      </c>
      <c r="AN261" s="164" t="e">
        <f>VLOOKUP($AM261,PATRIMONIALE!$AV313:AW$1003,2,FALSE)</f>
        <v>#N/A</v>
      </c>
      <c r="AO261" s="310" t="e">
        <f>VLOOKUP($AM261,PATRIMONIALE!$AV313:AX$1003,3,FALSE)</f>
        <v>#N/A</v>
      </c>
      <c r="AP261" s="310" t="e">
        <f>VLOOKUP($AM261,PATRIMONIALE!$AV313:AY$1003,4,FALSE)</f>
        <v>#N/A</v>
      </c>
      <c r="AQ261" s="748" t="e">
        <f>VLOOKUP($AM261,PATRIMONIALE!$AV313:AZ$1003,5,FALSE)</f>
        <v>#N/A</v>
      </c>
      <c r="AR261" s="1"/>
      <c r="AS261" s="461" t="str">
        <f t="shared" si="60"/>
        <v/>
      </c>
      <c r="AT261" s="370"/>
    </row>
    <row r="262" spans="1:46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435">
        <f>IF(AND(W262&gt;=$U$1,W262&lt;=$U$2),IF(X262='ESTRATTO CONTO'!$E$2,1+COUNTIF(U$4:U261,"&gt;0"),0),0)</f>
        <v>0</v>
      </c>
      <c r="V262" s="417">
        <f t="shared" ref="V262:V325" si="61">V261+1</f>
        <v>259</v>
      </c>
      <c r="W262" s="509"/>
      <c r="X262" s="321"/>
      <c r="Y262" s="321"/>
      <c r="Z262" s="433"/>
      <c r="AA262" s="356"/>
      <c r="AB262" s="306" t="str">
        <f t="shared" si="56"/>
        <v/>
      </c>
      <c r="AC262" s="893">
        <f t="shared" si="57"/>
        <v>0</v>
      </c>
      <c r="AD262" s="322"/>
      <c r="AE262" s="1"/>
      <c r="AF262" s="223">
        <f>IF(ISBLANK(AD262),0,COUNTIF(AF$4:AF261,"&gt;0")+1)</f>
        <v>0</v>
      </c>
      <c r="AG262" s="164">
        <f t="shared" si="53"/>
        <v>0</v>
      </c>
      <c r="AH262" s="99">
        <f t="shared" si="58"/>
        <v>0</v>
      </c>
      <c r="AI262" s="99">
        <f t="shared" si="54"/>
        <v>0</v>
      </c>
      <c r="AJ262" s="170">
        <f t="shared" si="55"/>
        <v>0</v>
      </c>
      <c r="AK262" s="204">
        <f t="shared" si="59"/>
        <v>0</v>
      </c>
      <c r="AL262" s="1049">
        <f>IF(ISERROR(AO262),0,IF(AND(AN262&gt;=$U$1,AN262&lt;=$U$2),IF(AO262='ESTRATTO CONTO'!$E$2,1+COUNTIF(AL$4:AL261,"&gt;0")+U$1009,0),0))</f>
        <v>0</v>
      </c>
      <c r="AM262" s="747">
        <f t="shared" ref="AM262:AM325" si="62">AM261+1</f>
        <v>259</v>
      </c>
      <c r="AN262" s="164" t="e">
        <f>VLOOKUP($AM262,PATRIMONIALE!$AV314:AW$1003,2,FALSE)</f>
        <v>#N/A</v>
      </c>
      <c r="AO262" s="310" t="e">
        <f>VLOOKUP($AM262,PATRIMONIALE!$AV314:AX$1003,3,FALSE)</f>
        <v>#N/A</v>
      </c>
      <c r="AP262" s="310" t="e">
        <f>VLOOKUP($AM262,PATRIMONIALE!$AV314:AY$1003,4,FALSE)</f>
        <v>#N/A</v>
      </c>
      <c r="AQ262" s="748" t="e">
        <f>VLOOKUP($AM262,PATRIMONIALE!$AV314:AZ$1003,5,FALSE)</f>
        <v>#N/A</v>
      </c>
      <c r="AR262" s="1"/>
      <c r="AS262" s="461" t="str">
        <f t="shared" si="60"/>
        <v/>
      </c>
      <c r="AT262" s="370"/>
    </row>
    <row r="263" spans="1:46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435">
        <f>IF(AND(W263&gt;=$U$1,W263&lt;=$U$2),IF(X263='ESTRATTO CONTO'!$E$2,1+COUNTIF(U$4:U262,"&gt;0"),0),0)</f>
        <v>0</v>
      </c>
      <c r="V263" s="417">
        <f t="shared" si="61"/>
        <v>260</v>
      </c>
      <c r="W263" s="509"/>
      <c r="X263" s="321"/>
      <c r="Y263" s="321"/>
      <c r="Z263" s="433"/>
      <c r="AA263" s="356"/>
      <c r="AB263" s="306" t="str">
        <f t="shared" si="56"/>
        <v/>
      </c>
      <c r="AC263" s="893">
        <f t="shared" si="57"/>
        <v>0</v>
      </c>
      <c r="AD263" s="322"/>
      <c r="AE263" s="1"/>
      <c r="AF263" s="223">
        <f>IF(ISBLANK(AD263),0,COUNTIF(AF$4:AF262,"&gt;0")+1)</f>
        <v>0</v>
      </c>
      <c r="AG263" s="164">
        <f t="shared" si="53"/>
        <v>0</v>
      </c>
      <c r="AH263" s="99">
        <f t="shared" si="58"/>
        <v>0</v>
      </c>
      <c r="AI263" s="99">
        <f t="shared" si="54"/>
        <v>0</v>
      </c>
      <c r="AJ263" s="170">
        <f t="shared" si="55"/>
        <v>0</v>
      </c>
      <c r="AK263" s="204">
        <f t="shared" si="59"/>
        <v>0</v>
      </c>
      <c r="AL263" s="1049">
        <f>IF(ISERROR(AO263),0,IF(AND(AN263&gt;=$U$1,AN263&lt;=$U$2),IF(AO263='ESTRATTO CONTO'!$E$2,1+COUNTIF(AL$4:AL262,"&gt;0")+U$1009,0),0))</f>
        <v>0</v>
      </c>
      <c r="AM263" s="747">
        <f t="shared" si="62"/>
        <v>260</v>
      </c>
      <c r="AN263" s="164" t="e">
        <f>VLOOKUP($AM263,PATRIMONIALE!$AV315:AW$1003,2,FALSE)</f>
        <v>#N/A</v>
      </c>
      <c r="AO263" s="310" t="e">
        <f>VLOOKUP($AM263,PATRIMONIALE!$AV315:AX$1003,3,FALSE)</f>
        <v>#N/A</v>
      </c>
      <c r="AP263" s="310" t="e">
        <f>VLOOKUP($AM263,PATRIMONIALE!$AV315:AY$1003,4,FALSE)</f>
        <v>#N/A</v>
      </c>
      <c r="AQ263" s="748" t="e">
        <f>VLOOKUP($AM263,PATRIMONIALE!$AV315:AZ$1003,5,FALSE)</f>
        <v>#N/A</v>
      </c>
      <c r="AR263" s="1"/>
      <c r="AS263" s="461" t="str">
        <f t="shared" si="60"/>
        <v/>
      </c>
      <c r="AT263" s="370"/>
    </row>
    <row r="264" spans="1:46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435">
        <f>IF(AND(W264&gt;=$U$1,W264&lt;=$U$2),IF(X264='ESTRATTO CONTO'!$E$2,1+COUNTIF(U$4:U263,"&gt;0"),0),0)</f>
        <v>0</v>
      </c>
      <c r="V264" s="417">
        <f t="shared" si="61"/>
        <v>261</v>
      </c>
      <c r="W264" s="509"/>
      <c r="X264" s="321"/>
      <c r="Y264" s="321"/>
      <c r="Z264" s="433"/>
      <c r="AA264" s="356"/>
      <c r="AB264" s="306" t="str">
        <f t="shared" si="56"/>
        <v/>
      </c>
      <c r="AC264" s="893">
        <f t="shared" si="57"/>
        <v>0</v>
      </c>
      <c r="AD264" s="322"/>
      <c r="AE264" s="1"/>
      <c r="AF264" s="223">
        <f>IF(ISBLANK(AD264),0,COUNTIF(AF$4:AF263,"&gt;0")+1)</f>
        <v>0</v>
      </c>
      <c r="AG264" s="164">
        <f t="shared" si="53"/>
        <v>0</v>
      </c>
      <c r="AH264" s="99">
        <f t="shared" si="58"/>
        <v>0</v>
      </c>
      <c r="AI264" s="99">
        <f t="shared" si="54"/>
        <v>0</v>
      </c>
      <c r="AJ264" s="170">
        <f t="shared" si="55"/>
        <v>0</v>
      </c>
      <c r="AK264" s="204">
        <f t="shared" si="59"/>
        <v>0</v>
      </c>
      <c r="AL264" s="1049">
        <f>IF(ISERROR(AO264),0,IF(AND(AN264&gt;=$U$1,AN264&lt;=$U$2),IF(AO264='ESTRATTO CONTO'!$E$2,1+COUNTIF(AL$4:AL263,"&gt;0")+U$1009,0),0))</f>
        <v>0</v>
      </c>
      <c r="AM264" s="747">
        <f t="shared" si="62"/>
        <v>261</v>
      </c>
      <c r="AN264" s="164" t="e">
        <f>VLOOKUP($AM264,PATRIMONIALE!$AV316:AW$1003,2,FALSE)</f>
        <v>#N/A</v>
      </c>
      <c r="AO264" s="310" t="e">
        <f>VLOOKUP($AM264,PATRIMONIALE!$AV316:AX$1003,3,FALSE)</f>
        <v>#N/A</v>
      </c>
      <c r="AP264" s="310" t="e">
        <f>VLOOKUP($AM264,PATRIMONIALE!$AV316:AY$1003,4,FALSE)</f>
        <v>#N/A</v>
      </c>
      <c r="AQ264" s="748" t="e">
        <f>VLOOKUP($AM264,PATRIMONIALE!$AV316:AZ$1003,5,FALSE)</f>
        <v>#N/A</v>
      </c>
      <c r="AR264" s="1"/>
      <c r="AS264" s="461" t="str">
        <f t="shared" si="60"/>
        <v/>
      </c>
      <c r="AT264" s="370"/>
    </row>
    <row r="265" spans="1:46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435">
        <f>IF(AND(W265&gt;=$U$1,W265&lt;=$U$2),IF(X265='ESTRATTO CONTO'!$E$2,1+COUNTIF(U$4:U264,"&gt;0"),0),0)</f>
        <v>0</v>
      </c>
      <c r="V265" s="417">
        <f t="shared" si="61"/>
        <v>262</v>
      </c>
      <c r="W265" s="509"/>
      <c r="X265" s="321"/>
      <c r="Y265" s="321"/>
      <c r="Z265" s="433"/>
      <c r="AA265" s="356"/>
      <c r="AB265" s="306" t="str">
        <f t="shared" si="56"/>
        <v/>
      </c>
      <c r="AC265" s="893">
        <f t="shared" si="57"/>
        <v>0</v>
      </c>
      <c r="AD265" s="322"/>
      <c r="AE265" s="1"/>
      <c r="AF265" s="223">
        <f>IF(ISBLANK(AD265),0,COUNTIF(AF$4:AF264,"&gt;0")+1)</f>
        <v>0</v>
      </c>
      <c r="AG265" s="164">
        <f t="shared" si="53"/>
        <v>0</v>
      </c>
      <c r="AH265" s="99">
        <f t="shared" si="58"/>
        <v>0</v>
      </c>
      <c r="AI265" s="99">
        <f t="shared" si="54"/>
        <v>0</v>
      </c>
      <c r="AJ265" s="170">
        <f t="shared" si="55"/>
        <v>0</v>
      </c>
      <c r="AK265" s="204">
        <f t="shared" si="59"/>
        <v>0</v>
      </c>
      <c r="AL265" s="1049">
        <f>IF(ISERROR(AO265),0,IF(AND(AN265&gt;=$U$1,AN265&lt;=$U$2),IF(AO265='ESTRATTO CONTO'!$E$2,1+COUNTIF(AL$4:AL264,"&gt;0")+U$1009,0),0))</f>
        <v>0</v>
      </c>
      <c r="AM265" s="747">
        <f t="shared" si="62"/>
        <v>262</v>
      </c>
      <c r="AN265" s="164" t="e">
        <f>VLOOKUP($AM265,PATRIMONIALE!$AV317:AW$1003,2,FALSE)</f>
        <v>#N/A</v>
      </c>
      <c r="AO265" s="310" t="e">
        <f>VLOOKUP($AM265,PATRIMONIALE!$AV317:AX$1003,3,FALSE)</f>
        <v>#N/A</v>
      </c>
      <c r="AP265" s="310" t="e">
        <f>VLOOKUP($AM265,PATRIMONIALE!$AV317:AY$1003,4,FALSE)</f>
        <v>#N/A</v>
      </c>
      <c r="AQ265" s="748" t="e">
        <f>VLOOKUP($AM265,PATRIMONIALE!$AV317:AZ$1003,5,FALSE)</f>
        <v>#N/A</v>
      </c>
      <c r="AR265" s="1"/>
      <c r="AS265" s="461" t="str">
        <f t="shared" si="60"/>
        <v/>
      </c>
      <c r="AT265" s="370"/>
    </row>
    <row r="266" spans="1:46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435">
        <f>IF(AND(W266&gt;=$U$1,W266&lt;=$U$2),IF(X266='ESTRATTO CONTO'!$E$2,1+COUNTIF(U$4:U265,"&gt;0"),0),0)</f>
        <v>0</v>
      </c>
      <c r="V266" s="417">
        <f t="shared" si="61"/>
        <v>263</v>
      </c>
      <c r="W266" s="509"/>
      <c r="X266" s="321"/>
      <c r="Y266" s="321"/>
      <c r="Z266" s="433"/>
      <c r="AA266" s="356"/>
      <c r="AB266" s="306" t="str">
        <f t="shared" si="56"/>
        <v/>
      </c>
      <c r="AC266" s="893">
        <f t="shared" si="57"/>
        <v>0</v>
      </c>
      <c r="AD266" s="322"/>
      <c r="AE266" s="1"/>
      <c r="AF266" s="223">
        <f>IF(ISBLANK(AD266),0,COUNTIF(AF$4:AF265,"&gt;0")+1)</f>
        <v>0</v>
      </c>
      <c r="AG266" s="164">
        <f t="shared" ref="AG266:AG329" si="63">IF($AF266=0,0,W266)</f>
        <v>0</v>
      </c>
      <c r="AH266" s="99">
        <f t="shared" si="58"/>
        <v>0</v>
      </c>
      <c r="AI266" s="99">
        <f t="shared" ref="AI266:AI329" si="64">IF($AF266=0,0,Y266)</f>
        <v>0</v>
      </c>
      <c r="AJ266" s="170">
        <f t="shared" ref="AJ266:AJ329" si="65">IF($AF266=0,0,IF(RIGHT(AD266)="-",IF(Z266&gt;0,Z266*-1,Z266),Z266))</f>
        <v>0</v>
      </c>
      <c r="AK266" s="204">
        <f t="shared" si="59"/>
        <v>0</v>
      </c>
      <c r="AL266" s="1049">
        <f>IF(ISERROR(AO266),0,IF(AND(AN266&gt;=$U$1,AN266&lt;=$U$2),IF(AO266='ESTRATTO CONTO'!$E$2,1+COUNTIF(AL$4:AL265,"&gt;0")+U$1009,0),0))</f>
        <v>0</v>
      </c>
      <c r="AM266" s="747">
        <f t="shared" si="62"/>
        <v>263</v>
      </c>
      <c r="AN266" s="164" t="e">
        <f>VLOOKUP($AM266,PATRIMONIALE!$AV318:AW$1003,2,FALSE)</f>
        <v>#N/A</v>
      </c>
      <c r="AO266" s="310" t="e">
        <f>VLOOKUP($AM266,PATRIMONIALE!$AV318:AX$1003,3,FALSE)</f>
        <v>#N/A</v>
      </c>
      <c r="AP266" s="310" t="e">
        <f>VLOOKUP($AM266,PATRIMONIALE!$AV318:AY$1003,4,FALSE)</f>
        <v>#N/A</v>
      </c>
      <c r="AQ266" s="748" t="e">
        <f>VLOOKUP($AM266,PATRIMONIALE!$AV318:AZ$1003,5,FALSE)</f>
        <v>#N/A</v>
      </c>
      <c r="AR266" s="1"/>
      <c r="AS266" s="461" t="str">
        <f t="shared" si="60"/>
        <v/>
      </c>
      <c r="AT266" s="370"/>
    </row>
    <row r="267" spans="1:46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435">
        <f>IF(AND(W267&gt;=$U$1,W267&lt;=$U$2),IF(X267='ESTRATTO CONTO'!$E$2,1+COUNTIF(U$4:U266,"&gt;0"),0),0)</f>
        <v>0</v>
      </c>
      <c r="V267" s="417">
        <f t="shared" si="61"/>
        <v>264</v>
      </c>
      <c r="W267" s="509"/>
      <c r="X267" s="321"/>
      <c r="Y267" s="321"/>
      <c r="Z267" s="433"/>
      <c r="AA267" s="356"/>
      <c r="AB267" s="306" t="str">
        <f t="shared" si="56"/>
        <v/>
      </c>
      <c r="AC267" s="893">
        <f t="shared" si="57"/>
        <v>0</v>
      </c>
      <c r="AD267" s="322"/>
      <c r="AE267" s="1"/>
      <c r="AF267" s="223">
        <f>IF(ISBLANK(AD267),0,COUNTIF(AF$4:AF266,"&gt;0")+1)</f>
        <v>0</v>
      </c>
      <c r="AG267" s="164">
        <f t="shared" si="63"/>
        <v>0</v>
      </c>
      <c r="AH267" s="99">
        <f t="shared" si="58"/>
        <v>0</v>
      </c>
      <c r="AI267" s="99">
        <f t="shared" si="64"/>
        <v>0</v>
      </c>
      <c r="AJ267" s="170">
        <f t="shared" si="65"/>
        <v>0</v>
      </c>
      <c r="AK267" s="204">
        <f t="shared" si="59"/>
        <v>0</v>
      </c>
      <c r="AL267" s="1049">
        <f>IF(ISERROR(AO267),0,IF(AND(AN267&gt;=$U$1,AN267&lt;=$U$2),IF(AO267='ESTRATTO CONTO'!$E$2,1+COUNTIF(AL$4:AL266,"&gt;0")+U$1009,0),0))</f>
        <v>0</v>
      </c>
      <c r="AM267" s="747">
        <f t="shared" si="62"/>
        <v>264</v>
      </c>
      <c r="AN267" s="164" t="e">
        <f>VLOOKUP($AM267,PATRIMONIALE!$AV319:AW$1003,2,FALSE)</f>
        <v>#N/A</v>
      </c>
      <c r="AO267" s="310" t="e">
        <f>VLOOKUP($AM267,PATRIMONIALE!$AV319:AX$1003,3,FALSE)</f>
        <v>#N/A</v>
      </c>
      <c r="AP267" s="310" t="e">
        <f>VLOOKUP($AM267,PATRIMONIALE!$AV319:AY$1003,4,FALSE)</f>
        <v>#N/A</v>
      </c>
      <c r="AQ267" s="748" t="e">
        <f>VLOOKUP($AM267,PATRIMONIALE!$AV319:AZ$1003,5,FALSE)</f>
        <v>#N/A</v>
      </c>
      <c r="AR267" s="1"/>
      <c r="AS267" s="461" t="str">
        <f t="shared" si="60"/>
        <v/>
      </c>
      <c r="AT267" s="370"/>
    </row>
    <row r="268" spans="1:46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435">
        <f>IF(AND(W268&gt;=$U$1,W268&lt;=$U$2),IF(X268='ESTRATTO CONTO'!$E$2,1+COUNTIF(U$4:U267,"&gt;0"),0),0)</f>
        <v>0</v>
      </c>
      <c r="V268" s="417">
        <f t="shared" si="61"/>
        <v>265</v>
      </c>
      <c r="W268" s="509"/>
      <c r="X268" s="321"/>
      <c r="Y268" s="321"/>
      <c r="Z268" s="433"/>
      <c r="AA268" s="356"/>
      <c r="AB268" s="306" t="str">
        <f t="shared" si="56"/>
        <v/>
      </c>
      <c r="AC268" s="893">
        <f t="shared" si="57"/>
        <v>0</v>
      </c>
      <c r="AD268" s="322"/>
      <c r="AE268" s="1"/>
      <c r="AF268" s="223">
        <f>IF(ISBLANK(AD268),0,COUNTIF(AF$4:AF267,"&gt;0")+1)</f>
        <v>0</v>
      </c>
      <c r="AG268" s="164">
        <f t="shared" si="63"/>
        <v>0</v>
      </c>
      <c r="AH268" s="99">
        <f t="shared" si="58"/>
        <v>0</v>
      </c>
      <c r="AI268" s="99">
        <f t="shared" si="64"/>
        <v>0</v>
      </c>
      <c r="AJ268" s="170">
        <f t="shared" si="65"/>
        <v>0</v>
      </c>
      <c r="AK268" s="204">
        <f t="shared" si="59"/>
        <v>0</v>
      </c>
      <c r="AL268" s="1049">
        <f>IF(ISERROR(AO268),0,IF(AND(AN268&gt;=$U$1,AN268&lt;=$U$2),IF(AO268='ESTRATTO CONTO'!$E$2,1+COUNTIF(AL$4:AL267,"&gt;0")+U$1009,0),0))</f>
        <v>0</v>
      </c>
      <c r="AM268" s="747">
        <f t="shared" si="62"/>
        <v>265</v>
      </c>
      <c r="AN268" s="164" t="e">
        <f>VLOOKUP($AM268,PATRIMONIALE!$AV320:AW$1003,2,FALSE)</f>
        <v>#N/A</v>
      </c>
      <c r="AO268" s="310" t="e">
        <f>VLOOKUP($AM268,PATRIMONIALE!$AV320:AX$1003,3,FALSE)</f>
        <v>#N/A</v>
      </c>
      <c r="AP268" s="310" t="e">
        <f>VLOOKUP($AM268,PATRIMONIALE!$AV320:AY$1003,4,FALSE)</f>
        <v>#N/A</v>
      </c>
      <c r="AQ268" s="748" t="e">
        <f>VLOOKUP($AM268,PATRIMONIALE!$AV320:AZ$1003,5,FALSE)</f>
        <v>#N/A</v>
      </c>
      <c r="AR268" s="1"/>
      <c r="AS268" s="461" t="str">
        <f t="shared" si="60"/>
        <v/>
      </c>
      <c r="AT268" s="370"/>
    </row>
    <row r="269" spans="1:46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435">
        <f>IF(AND(W269&gt;=$U$1,W269&lt;=$U$2),IF(X269='ESTRATTO CONTO'!$E$2,1+COUNTIF(U$4:U268,"&gt;0"),0),0)</f>
        <v>0</v>
      </c>
      <c r="V269" s="417">
        <f t="shared" si="61"/>
        <v>266</v>
      </c>
      <c r="W269" s="509"/>
      <c r="X269" s="321"/>
      <c r="Y269" s="321"/>
      <c r="Z269" s="433"/>
      <c r="AA269" s="356"/>
      <c r="AB269" s="306" t="str">
        <f t="shared" si="56"/>
        <v/>
      </c>
      <c r="AC269" s="893">
        <f t="shared" si="57"/>
        <v>0</v>
      </c>
      <c r="AD269" s="322"/>
      <c r="AE269" s="1"/>
      <c r="AF269" s="223">
        <f>IF(ISBLANK(AD269),0,COUNTIF(AF$4:AF268,"&gt;0")+1)</f>
        <v>0</v>
      </c>
      <c r="AG269" s="164">
        <f t="shared" si="63"/>
        <v>0</v>
      </c>
      <c r="AH269" s="99">
        <f t="shared" si="58"/>
        <v>0</v>
      </c>
      <c r="AI269" s="99">
        <f t="shared" si="64"/>
        <v>0</v>
      </c>
      <c r="AJ269" s="170">
        <f t="shared" si="65"/>
        <v>0</v>
      </c>
      <c r="AK269" s="204">
        <f t="shared" si="59"/>
        <v>0</v>
      </c>
      <c r="AL269" s="1049">
        <f>IF(ISERROR(AO269),0,IF(AND(AN269&gt;=$U$1,AN269&lt;=$U$2),IF(AO269='ESTRATTO CONTO'!$E$2,1+COUNTIF(AL$4:AL268,"&gt;0")+U$1009,0),0))</f>
        <v>0</v>
      </c>
      <c r="AM269" s="747">
        <f t="shared" si="62"/>
        <v>266</v>
      </c>
      <c r="AN269" s="164" t="e">
        <f>VLOOKUP($AM269,PATRIMONIALE!$AV321:AW$1003,2,FALSE)</f>
        <v>#N/A</v>
      </c>
      <c r="AO269" s="310" t="e">
        <f>VLOOKUP($AM269,PATRIMONIALE!$AV321:AX$1003,3,FALSE)</f>
        <v>#N/A</v>
      </c>
      <c r="AP269" s="310" t="e">
        <f>VLOOKUP($AM269,PATRIMONIALE!$AV321:AY$1003,4,FALSE)</f>
        <v>#N/A</v>
      </c>
      <c r="AQ269" s="748" t="e">
        <f>VLOOKUP($AM269,PATRIMONIALE!$AV321:AZ$1003,5,FALSE)</f>
        <v>#N/A</v>
      </c>
      <c r="AR269" s="1"/>
      <c r="AS269" s="461" t="str">
        <f t="shared" si="60"/>
        <v/>
      </c>
      <c r="AT269" s="370"/>
    </row>
    <row r="270" spans="1:46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435">
        <f>IF(AND(W270&gt;=$U$1,W270&lt;=$U$2),IF(X270='ESTRATTO CONTO'!$E$2,1+COUNTIF(U$4:U269,"&gt;0"),0),0)</f>
        <v>0</v>
      </c>
      <c r="V270" s="417">
        <f t="shared" si="61"/>
        <v>267</v>
      </c>
      <c r="W270" s="509"/>
      <c r="X270" s="321"/>
      <c r="Y270" s="321"/>
      <c r="Z270" s="433"/>
      <c r="AA270" s="356"/>
      <c r="AB270" s="306" t="str">
        <f t="shared" si="56"/>
        <v/>
      </c>
      <c r="AC270" s="893">
        <f t="shared" si="57"/>
        <v>0</v>
      </c>
      <c r="AD270" s="322"/>
      <c r="AE270" s="1"/>
      <c r="AF270" s="223">
        <f>IF(ISBLANK(AD270),0,COUNTIF(AF$4:AF269,"&gt;0")+1)</f>
        <v>0</v>
      </c>
      <c r="AG270" s="164">
        <f t="shared" si="63"/>
        <v>0</v>
      </c>
      <c r="AH270" s="99">
        <f t="shared" si="58"/>
        <v>0</v>
      </c>
      <c r="AI270" s="99">
        <f t="shared" si="64"/>
        <v>0</v>
      </c>
      <c r="AJ270" s="170">
        <f t="shared" si="65"/>
        <v>0</v>
      </c>
      <c r="AK270" s="204">
        <f t="shared" si="59"/>
        <v>0</v>
      </c>
      <c r="AL270" s="1049">
        <f>IF(ISERROR(AO270),0,IF(AND(AN270&gt;=$U$1,AN270&lt;=$U$2),IF(AO270='ESTRATTO CONTO'!$E$2,1+COUNTIF(AL$4:AL269,"&gt;0")+U$1009,0),0))</f>
        <v>0</v>
      </c>
      <c r="AM270" s="747">
        <f t="shared" si="62"/>
        <v>267</v>
      </c>
      <c r="AN270" s="164" t="e">
        <f>VLOOKUP($AM270,PATRIMONIALE!$AV322:AW$1003,2,FALSE)</f>
        <v>#N/A</v>
      </c>
      <c r="AO270" s="310" t="e">
        <f>VLOOKUP($AM270,PATRIMONIALE!$AV322:AX$1003,3,FALSE)</f>
        <v>#N/A</v>
      </c>
      <c r="AP270" s="310" t="e">
        <f>VLOOKUP($AM270,PATRIMONIALE!$AV322:AY$1003,4,FALSE)</f>
        <v>#N/A</v>
      </c>
      <c r="AQ270" s="748" t="e">
        <f>VLOOKUP($AM270,PATRIMONIALE!$AV322:AZ$1003,5,FALSE)</f>
        <v>#N/A</v>
      </c>
      <c r="AR270" s="1"/>
      <c r="AS270" s="461" t="str">
        <f t="shared" si="60"/>
        <v/>
      </c>
      <c r="AT270" s="370"/>
    </row>
    <row r="271" spans="1:46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435">
        <f>IF(AND(W271&gt;=$U$1,W271&lt;=$U$2),IF(X271='ESTRATTO CONTO'!$E$2,1+COUNTIF(U$4:U270,"&gt;0"),0),0)</f>
        <v>0</v>
      </c>
      <c r="V271" s="417">
        <f t="shared" si="61"/>
        <v>268</v>
      </c>
      <c r="W271" s="509"/>
      <c r="X271" s="321"/>
      <c r="Y271" s="321"/>
      <c r="Z271" s="433"/>
      <c r="AA271" s="356"/>
      <c r="AB271" s="306" t="str">
        <f t="shared" si="56"/>
        <v/>
      </c>
      <c r="AC271" s="893">
        <f t="shared" si="57"/>
        <v>0</v>
      </c>
      <c r="AD271" s="322"/>
      <c r="AE271" s="1"/>
      <c r="AF271" s="223">
        <f>IF(ISBLANK(AD271),0,COUNTIF(AF$4:AF270,"&gt;0")+1)</f>
        <v>0</v>
      </c>
      <c r="AG271" s="164">
        <f t="shared" si="63"/>
        <v>0</v>
      </c>
      <c r="AH271" s="99">
        <f t="shared" si="58"/>
        <v>0</v>
      </c>
      <c r="AI271" s="99">
        <f t="shared" si="64"/>
        <v>0</v>
      </c>
      <c r="AJ271" s="170">
        <f t="shared" si="65"/>
        <v>0</v>
      </c>
      <c r="AK271" s="204">
        <f t="shared" si="59"/>
        <v>0</v>
      </c>
      <c r="AL271" s="1049">
        <f>IF(ISERROR(AO271),0,IF(AND(AN271&gt;=$U$1,AN271&lt;=$U$2),IF(AO271='ESTRATTO CONTO'!$E$2,1+COUNTIF(AL$4:AL270,"&gt;0")+U$1009,0),0))</f>
        <v>0</v>
      </c>
      <c r="AM271" s="747">
        <f t="shared" si="62"/>
        <v>268</v>
      </c>
      <c r="AN271" s="164" t="e">
        <f>VLOOKUP($AM271,PATRIMONIALE!$AV323:AW$1003,2,FALSE)</f>
        <v>#N/A</v>
      </c>
      <c r="AO271" s="310" t="e">
        <f>VLOOKUP($AM271,PATRIMONIALE!$AV323:AX$1003,3,FALSE)</f>
        <v>#N/A</v>
      </c>
      <c r="AP271" s="310" t="e">
        <f>VLOOKUP($AM271,PATRIMONIALE!$AV323:AY$1003,4,FALSE)</f>
        <v>#N/A</v>
      </c>
      <c r="AQ271" s="748" t="e">
        <f>VLOOKUP($AM271,PATRIMONIALE!$AV323:AZ$1003,5,FALSE)</f>
        <v>#N/A</v>
      </c>
      <c r="AR271" s="1"/>
      <c r="AS271" s="461" t="str">
        <f t="shared" si="60"/>
        <v/>
      </c>
      <c r="AT271" s="370"/>
    </row>
    <row r="272" spans="1:46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435">
        <f>IF(AND(W272&gt;=$U$1,W272&lt;=$U$2),IF(X272='ESTRATTO CONTO'!$E$2,1+COUNTIF(U$4:U271,"&gt;0"),0),0)</f>
        <v>0</v>
      </c>
      <c r="V272" s="417">
        <f t="shared" si="61"/>
        <v>269</v>
      </c>
      <c r="W272" s="509"/>
      <c r="X272" s="321"/>
      <c r="Y272" s="321"/>
      <c r="Z272" s="433"/>
      <c r="AA272" s="356"/>
      <c r="AB272" s="306" t="str">
        <f t="shared" si="56"/>
        <v/>
      </c>
      <c r="AC272" s="893">
        <f t="shared" si="57"/>
        <v>0</v>
      </c>
      <c r="AD272" s="322"/>
      <c r="AE272" s="1"/>
      <c r="AF272" s="223">
        <f>IF(ISBLANK(AD272),0,COUNTIF(AF$4:AF271,"&gt;0")+1)</f>
        <v>0</v>
      </c>
      <c r="AG272" s="164">
        <f t="shared" si="63"/>
        <v>0</v>
      </c>
      <c r="AH272" s="99">
        <f t="shared" si="58"/>
        <v>0</v>
      </c>
      <c r="AI272" s="99">
        <f t="shared" si="64"/>
        <v>0</v>
      </c>
      <c r="AJ272" s="170">
        <f t="shared" si="65"/>
        <v>0</v>
      </c>
      <c r="AK272" s="204">
        <f t="shared" si="59"/>
        <v>0</v>
      </c>
      <c r="AL272" s="1049">
        <f>IF(ISERROR(AO272),0,IF(AND(AN272&gt;=$U$1,AN272&lt;=$U$2),IF(AO272='ESTRATTO CONTO'!$E$2,1+COUNTIF(AL$4:AL271,"&gt;0")+U$1009,0),0))</f>
        <v>0</v>
      </c>
      <c r="AM272" s="747">
        <f t="shared" si="62"/>
        <v>269</v>
      </c>
      <c r="AN272" s="164" t="e">
        <f>VLOOKUP($AM272,PATRIMONIALE!$AV324:AW$1003,2,FALSE)</f>
        <v>#N/A</v>
      </c>
      <c r="AO272" s="310" t="e">
        <f>VLOOKUP($AM272,PATRIMONIALE!$AV324:AX$1003,3,FALSE)</f>
        <v>#N/A</v>
      </c>
      <c r="AP272" s="310" t="e">
        <f>VLOOKUP($AM272,PATRIMONIALE!$AV324:AY$1003,4,FALSE)</f>
        <v>#N/A</v>
      </c>
      <c r="AQ272" s="748" t="e">
        <f>VLOOKUP($AM272,PATRIMONIALE!$AV324:AZ$1003,5,FALSE)</f>
        <v>#N/A</v>
      </c>
      <c r="AR272" s="1"/>
      <c r="AS272" s="461" t="str">
        <f t="shared" si="60"/>
        <v/>
      </c>
      <c r="AT272" s="370"/>
    </row>
    <row r="273" spans="1:46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435">
        <f>IF(AND(W273&gt;=$U$1,W273&lt;=$U$2),IF(X273='ESTRATTO CONTO'!$E$2,1+COUNTIF(U$4:U272,"&gt;0"),0),0)</f>
        <v>0</v>
      </c>
      <c r="V273" s="417">
        <f t="shared" si="61"/>
        <v>270</v>
      </c>
      <c r="W273" s="509"/>
      <c r="X273" s="321"/>
      <c r="Y273" s="321"/>
      <c r="Z273" s="433"/>
      <c r="AA273" s="356"/>
      <c r="AB273" s="306" t="str">
        <f t="shared" si="56"/>
        <v/>
      </c>
      <c r="AC273" s="893">
        <f t="shared" si="57"/>
        <v>0</v>
      </c>
      <c r="AD273" s="322"/>
      <c r="AE273" s="1"/>
      <c r="AF273" s="223">
        <f>IF(ISBLANK(AD273),0,COUNTIF(AF$4:AF272,"&gt;0")+1)</f>
        <v>0</v>
      </c>
      <c r="AG273" s="164">
        <f t="shared" si="63"/>
        <v>0</v>
      </c>
      <c r="AH273" s="99">
        <f t="shared" si="58"/>
        <v>0</v>
      </c>
      <c r="AI273" s="99">
        <f t="shared" si="64"/>
        <v>0</v>
      </c>
      <c r="AJ273" s="170">
        <f t="shared" si="65"/>
        <v>0</v>
      </c>
      <c r="AK273" s="204">
        <f t="shared" si="59"/>
        <v>0</v>
      </c>
      <c r="AL273" s="1049">
        <f>IF(ISERROR(AO273),0,IF(AND(AN273&gt;=$U$1,AN273&lt;=$U$2),IF(AO273='ESTRATTO CONTO'!$E$2,1+COUNTIF(AL$4:AL272,"&gt;0")+U$1009,0),0))</f>
        <v>0</v>
      </c>
      <c r="AM273" s="747">
        <f t="shared" si="62"/>
        <v>270</v>
      </c>
      <c r="AN273" s="164" t="e">
        <f>VLOOKUP($AM273,PATRIMONIALE!$AV325:AW$1003,2,FALSE)</f>
        <v>#N/A</v>
      </c>
      <c r="AO273" s="310" t="e">
        <f>VLOOKUP($AM273,PATRIMONIALE!$AV325:AX$1003,3,FALSE)</f>
        <v>#N/A</v>
      </c>
      <c r="AP273" s="310" t="e">
        <f>VLOOKUP($AM273,PATRIMONIALE!$AV325:AY$1003,4,FALSE)</f>
        <v>#N/A</v>
      </c>
      <c r="AQ273" s="748" t="e">
        <f>VLOOKUP($AM273,PATRIMONIALE!$AV325:AZ$1003,5,FALSE)</f>
        <v>#N/A</v>
      </c>
      <c r="AR273" s="1"/>
      <c r="AS273" s="461" t="str">
        <f t="shared" si="60"/>
        <v/>
      </c>
      <c r="AT273" s="370"/>
    </row>
    <row r="274" spans="1:46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435">
        <f>IF(AND(W274&gt;=$U$1,W274&lt;=$U$2),IF(X274='ESTRATTO CONTO'!$E$2,1+COUNTIF(U$4:U273,"&gt;0"),0),0)</f>
        <v>0</v>
      </c>
      <c r="V274" s="417">
        <f t="shared" si="61"/>
        <v>271</v>
      </c>
      <c r="W274" s="509"/>
      <c r="X274" s="321"/>
      <c r="Y274" s="321"/>
      <c r="Z274" s="433"/>
      <c r="AA274" s="356"/>
      <c r="AB274" s="306" t="str">
        <f t="shared" si="56"/>
        <v/>
      </c>
      <c r="AC274" s="893">
        <f t="shared" si="57"/>
        <v>0</v>
      </c>
      <c r="AD274" s="322"/>
      <c r="AE274" s="1"/>
      <c r="AF274" s="223">
        <f>IF(ISBLANK(AD274),0,COUNTIF(AF$4:AF273,"&gt;0")+1)</f>
        <v>0</v>
      </c>
      <c r="AG274" s="164">
        <f t="shared" si="63"/>
        <v>0</v>
      </c>
      <c r="AH274" s="99">
        <f t="shared" si="58"/>
        <v>0</v>
      </c>
      <c r="AI274" s="99">
        <f t="shared" si="64"/>
        <v>0</v>
      </c>
      <c r="AJ274" s="170">
        <f t="shared" si="65"/>
        <v>0</v>
      </c>
      <c r="AK274" s="204">
        <f t="shared" si="59"/>
        <v>0</v>
      </c>
      <c r="AL274" s="1049">
        <f>IF(ISERROR(AO274),0,IF(AND(AN274&gt;=$U$1,AN274&lt;=$U$2),IF(AO274='ESTRATTO CONTO'!$E$2,1+COUNTIF(AL$4:AL273,"&gt;0")+U$1009,0),0))</f>
        <v>0</v>
      </c>
      <c r="AM274" s="747">
        <f t="shared" si="62"/>
        <v>271</v>
      </c>
      <c r="AN274" s="164" t="e">
        <f>VLOOKUP($AM274,PATRIMONIALE!$AV326:AW$1003,2,FALSE)</f>
        <v>#N/A</v>
      </c>
      <c r="AO274" s="310" t="e">
        <f>VLOOKUP($AM274,PATRIMONIALE!$AV326:AX$1003,3,FALSE)</f>
        <v>#N/A</v>
      </c>
      <c r="AP274" s="310" t="e">
        <f>VLOOKUP($AM274,PATRIMONIALE!$AV326:AY$1003,4,FALSE)</f>
        <v>#N/A</v>
      </c>
      <c r="AQ274" s="748" t="e">
        <f>VLOOKUP($AM274,PATRIMONIALE!$AV326:AZ$1003,5,FALSE)</f>
        <v>#N/A</v>
      </c>
      <c r="AR274" s="1"/>
      <c r="AS274" s="461" t="str">
        <f t="shared" si="60"/>
        <v/>
      </c>
      <c r="AT274" s="370"/>
    </row>
    <row r="275" spans="1:46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435">
        <f>IF(AND(W275&gt;=$U$1,W275&lt;=$U$2),IF(X275='ESTRATTO CONTO'!$E$2,1+COUNTIF(U$4:U274,"&gt;0"),0),0)</f>
        <v>0</v>
      </c>
      <c r="V275" s="417">
        <f t="shared" si="61"/>
        <v>272</v>
      </c>
      <c r="W275" s="509"/>
      <c r="X275" s="321"/>
      <c r="Y275" s="321"/>
      <c r="Z275" s="433"/>
      <c r="AA275" s="356"/>
      <c r="AB275" s="306" t="str">
        <f t="shared" si="56"/>
        <v/>
      </c>
      <c r="AC275" s="893">
        <f t="shared" si="57"/>
        <v>0</v>
      </c>
      <c r="AD275" s="322"/>
      <c r="AE275" s="1"/>
      <c r="AF275" s="223">
        <f>IF(ISBLANK(AD275),0,COUNTIF(AF$4:AF274,"&gt;0")+1)</f>
        <v>0</v>
      </c>
      <c r="AG275" s="164">
        <f t="shared" si="63"/>
        <v>0</v>
      </c>
      <c r="AH275" s="99">
        <f t="shared" si="58"/>
        <v>0</v>
      </c>
      <c r="AI275" s="99">
        <f t="shared" si="64"/>
        <v>0</v>
      </c>
      <c r="AJ275" s="170">
        <f t="shared" si="65"/>
        <v>0</v>
      </c>
      <c r="AK275" s="204">
        <f t="shared" si="59"/>
        <v>0</v>
      </c>
      <c r="AL275" s="1049">
        <f>IF(ISERROR(AO275),0,IF(AND(AN275&gt;=$U$1,AN275&lt;=$U$2),IF(AO275='ESTRATTO CONTO'!$E$2,1+COUNTIF(AL$4:AL274,"&gt;0")+U$1009,0),0))</f>
        <v>0</v>
      </c>
      <c r="AM275" s="747">
        <f t="shared" si="62"/>
        <v>272</v>
      </c>
      <c r="AN275" s="164" t="e">
        <f>VLOOKUP($AM275,PATRIMONIALE!$AV327:AW$1003,2,FALSE)</f>
        <v>#N/A</v>
      </c>
      <c r="AO275" s="310" t="e">
        <f>VLOOKUP($AM275,PATRIMONIALE!$AV327:AX$1003,3,FALSE)</f>
        <v>#N/A</v>
      </c>
      <c r="AP275" s="310" t="e">
        <f>VLOOKUP($AM275,PATRIMONIALE!$AV327:AY$1003,4,FALSE)</f>
        <v>#N/A</v>
      </c>
      <c r="AQ275" s="748" t="e">
        <f>VLOOKUP($AM275,PATRIMONIALE!$AV327:AZ$1003,5,FALSE)</f>
        <v>#N/A</v>
      </c>
      <c r="AR275" s="1"/>
      <c r="AS275" s="461" t="str">
        <f t="shared" si="60"/>
        <v/>
      </c>
      <c r="AT275" s="370"/>
    </row>
    <row r="276" spans="1:46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435">
        <f>IF(AND(W276&gt;=$U$1,W276&lt;=$U$2),IF(X276='ESTRATTO CONTO'!$E$2,1+COUNTIF(U$4:U275,"&gt;0"),0),0)</f>
        <v>0</v>
      </c>
      <c r="V276" s="417">
        <f t="shared" si="61"/>
        <v>273</v>
      </c>
      <c r="W276" s="509"/>
      <c r="X276" s="321"/>
      <c r="Y276" s="321"/>
      <c r="Z276" s="433"/>
      <c r="AA276" s="356"/>
      <c r="AB276" s="306" t="str">
        <f t="shared" si="56"/>
        <v/>
      </c>
      <c r="AC276" s="893">
        <f t="shared" si="57"/>
        <v>0</v>
      </c>
      <c r="AD276" s="322"/>
      <c r="AE276" s="1"/>
      <c r="AF276" s="223">
        <f>IF(ISBLANK(AD276),0,COUNTIF(AF$4:AF275,"&gt;0")+1)</f>
        <v>0</v>
      </c>
      <c r="AG276" s="164">
        <f t="shared" si="63"/>
        <v>0</v>
      </c>
      <c r="AH276" s="99">
        <f t="shared" si="58"/>
        <v>0</v>
      </c>
      <c r="AI276" s="99">
        <f t="shared" si="64"/>
        <v>0</v>
      </c>
      <c r="AJ276" s="170">
        <f t="shared" si="65"/>
        <v>0</v>
      </c>
      <c r="AK276" s="204">
        <f t="shared" si="59"/>
        <v>0</v>
      </c>
      <c r="AL276" s="1049">
        <f>IF(ISERROR(AO276),0,IF(AND(AN276&gt;=$U$1,AN276&lt;=$U$2),IF(AO276='ESTRATTO CONTO'!$E$2,1+COUNTIF(AL$4:AL275,"&gt;0")+U$1009,0),0))</f>
        <v>0</v>
      </c>
      <c r="AM276" s="747">
        <f t="shared" si="62"/>
        <v>273</v>
      </c>
      <c r="AN276" s="164" t="e">
        <f>VLOOKUP($AM276,PATRIMONIALE!$AV328:AW$1003,2,FALSE)</f>
        <v>#N/A</v>
      </c>
      <c r="AO276" s="310" t="e">
        <f>VLOOKUP($AM276,PATRIMONIALE!$AV328:AX$1003,3,FALSE)</f>
        <v>#N/A</v>
      </c>
      <c r="AP276" s="310" t="e">
        <f>VLOOKUP($AM276,PATRIMONIALE!$AV328:AY$1003,4,FALSE)</f>
        <v>#N/A</v>
      </c>
      <c r="AQ276" s="748" t="e">
        <f>VLOOKUP($AM276,PATRIMONIALE!$AV328:AZ$1003,5,FALSE)</f>
        <v>#N/A</v>
      </c>
      <c r="AR276" s="1"/>
      <c r="AS276" s="461" t="str">
        <f t="shared" si="60"/>
        <v/>
      </c>
      <c r="AT276" s="370"/>
    </row>
    <row r="277" spans="1:46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435">
        <f>IF(AND(W277&gt;=$U$1,W277&lt;=$U$2),IF(X277='ESTRATTO CONTO'!$E$2,1+COUNTIF(U$4:U276,"&gt;0"),0),0)</f>
        <v>0</v>
      </c>
      <c r="V277" s="417">
        <f t="shared" si="61"/>
        <v>274</v>
      </c>
      <c r="W277" s="509"/>
      <c r="X277" s="321"/>
      <c r="Y277" s="321"/>
      <c r="Z277" s="433"/>
      <c r="AA277" s="356"/>
      <c r="AB277" s="306" t="str">
        <f t="shared" si="56"/>
        <v/>
      </c>
      <c r="AC277" s="893">
        <f t="shared" si="57"/>
        <v>0</v>
      </c>
      <c r="AD277" s="322"/>
      <c r="AE277" s="1"/>
      <c r="AF277" s="223">
        <f>IF(ISBLANK(AD277),0,COUNTIF(AF$4:AF276,"&gt;0")+1)</f>
        <v>0</v>
      </c>
      <c r="AG277" s="164">
        <f t="shared" si="63"/>
        <v>0</v>
      </c>
      <c r="AH277" s="99">
        <f t="shared" si="58"/>
        <v>0</v>
      </c>
      <c r="AI277" s="99">
        <f t="shared" si="64"/>
        <v>0</v>
      </c>
      <c r="AJ277" s="170">
        <f t="shared" si="65"/>
        <v>0</v>
      </c>
      <c r="AK277" s="204">
        <f t="shared" si="59"/>
        <v>0</v>
      </c>
      <c r="AL277" s="1049">
        <f>IF(ISERROR(AO277),0,IF(AND(AN277&gt;=$U$1,AN277&lt;=$U$2),IF(AO277='ESTRATTO CONTO'!$E$2,1+COUNTIF(AL$4:AL276,"&gt;0")+U$1009,0),0))</f>
        <v>0</v>
      </c>
      <c r="AM277" s="747">
        <f t="shared" si="62"/>
        <v>274</v>
      </c>
      <c r="AN277" s="164" t="e">
        <f>VLOOKUP($AM277,PATRIMONIALE!$AV329:AW$1003,2,FALSE)</f>
        <v>#N/A</v>
      </c>
      <c r="AO277" s="310" t="e">
        <f>VLOOKUP($AM277,PATRIMONIALE!$AV329:AX$1003,3,FALSE)</f>
        <v>#N/A</v>
      </c>
      <c r="AP277" s="310" t="e">
        <f>VLOOKUP($AM277,PATRIMONIALE!$AV329:AY$1003,4,FALSE)</f>
        <v>#N/A</v>
      </c>
      <c r="AQ277" s="748" t="e">
        <f>VLOOKUP($AM277,PATRIMONIALE!$AV329:AZ$1003,5,FALSE)</f>
        <v>#N/A</v>
      </c>
      <c r="AR277" s="1"/>
      <c r="AS277" s="461" t="str">
        <f t="shared" si="60"/>
        <v/>
      </c>
      <c r="AT277" s="370"/>
    </row>
    <row r="278" spans="1:46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435">
        <f>IF(AND(W278&gt;=$U$1,W278&lt;=$U$2),IF(X278='ESTRATTO CONTO'!$E$2,1+COUNTIF(U$4:U277,"&gt;0"),0),0)</f>
        <v>0</v>
      </c>
      <c r="V278" s="417">
        <f t="shared" si="61"/>
        <v>275</v>
      </c>
      <c r="W278" s="509"/>
      <c r="X278" s="321"/>
      <c r="Y278" s="321"/>
      <c r="Z278" s="433"/>
      <c r="AA278" s="356"/>
      <c r="AB278" s="306" t="str">
        <f t="shared" si="56"/>
        <v/>
      </c>
      <c r="AC278" s="893">
        <f t="shared" si="57"/>
        <v>0</v>
      </c>
      <c r="AD278" s="322"/>
      <c r="AE278" s="1"/>
      <c r="AF278" s="223">
        <f>IF(ISBLANK(AD278),0,COUNTIF(AF$4:AF277,"&gt;0")+1)</f>
        <v>0</v>
      </c>
      <c r="AG278" s="164">
        <f t="shared" si="63"/>
        <v>0</v>
      </c>
      <c r="AH278" s="99">
        <f t="shared" si="58"/>
        <v>0</v>
      </c>
      <c r="AI278" s="99">
        <f t="shared" si="64"/>
        <v>0</v>
      </c>
      <c r="AJ278" s="170">
        <f t="shared" si="65"/>
        <v>0</v>
      </c>
      <c r="AK278" s="204">
        <f t="shared" si="59"/>
        <v>0</v>
      </c>
      <c r="AL278" s="1049">
        <f>IF(ISERROR(AO278),0,IF(AND(AN278&gt;=$U$1,AN278&lt;=$U$2),IF(AO278='ESTRATTO CONTO'!$E$2,1+COUNTIF(AL$4:AL277,"&gt;0")+U$1009,0),0))</f>
        <v>0</v>
      </c>
      <c r="AM278" s="747">
        <f t="shared" si="62"/>
        <v>275</v>
      </c>
      <c r="AN278" s="164" t="e">
        <f>VLOOKUP($AM278,PATRIMONIALE!$AV330:AW$1003,2,FALSE)</f>
        <v>#N/A</v>
      </c>
      <c r="AO278" s="310" t="e">
        <f>VLOOKUP($AM278,PATRIMONIALE!$AV330:AX$1003,3,FALSE)</f>
        <v>#N/A</v>
      </c>
      <c r="AP278" s="310" t="e">
        <f>VLOOKUP($AM278,PATRIMONIALE!$AV330:AY$1003,4,FALSE)</f>
        <v>#N/A</v>
      </c>
      <c r="AQ278" s="748" t="e">
        <f>VLOOKUP($AM278,PATRIMONIALE!$AV330:AZ$1003,5,FALSE)</f>
        <v>#N/A</v>
      </c>
      <c r="AR278" s="1"/>
      <c r="AS278" s="461" t="str">
        <f t="shared" si="60"/>
        <v/>
      </c>
      <c r="AT278" s="370"/>
    </row>
    <row r="279" spans="1:46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435">
        <f>IF(AND(W279&gt;=$U$1,W279&lt;=$U$2),IF(X279='ESTRATTO CONTO'!$E$2,1+COUNTIF(U$4:U278,"&gt;0"),0),0)</f>
        <v>0</v>
      </c>
      <c r="V279" s="417">
        <f t="shared" si="61"/>
        <v>276</v>
      </c>
      <c r="W279" s="509"/>
      <c r="X279" s="321"/>
      <c r="Y279" s="321"/>
      <c r="Z279" s="433"/>
      <c r="AA279" s="356"/>
      <c r="AB279" s="306" t="str">
        <f t="shared" si="56"/>
        <v/>
      </c>
      <c r="AC279" s="893">
        <f t="shared" si="57"/>
        <v>0</v>
      </c>
      <c r="AD279" s="322"/>
      <c r="AE279" s="1"/>
      <c r="AF279" s="223">
        <f>IF(ISBLANK(AD279),0,COUNTIF(AF$4:AF278,"&gt;0")+1)</f>
        <v>0</v>
      </c>
      <c r="AG279" s="164">
        <f t="shared" si="63"/>
        <v>0</v>
      </c>
      <c r="AH279" s="99">
        <f t="shared" si="58"/>
        <v>0</v>
      </c>
      <c r="AI279" s="99">
        <f t="shared" si="64"/>
        <v>0</v>
      </c>
      <c r="AJ279" s="170">
        <f t="shared" si="65"/>
        <v>0</v>
      </c>
      <c r="AK279" s="204">
        <f t="shared" si="59"/>
        <v>0</v>
      </c>
      <c r="AL279" s="1049">
        <f>IF(ISERROR(AO279),0,IF(AND(AN279&gt;=$U$1,AN279&lt;=$U$2),IF(AO279='ESTRATTO CONTO'!$E$2,1+COUNTIF(AL$4:AL278,"&gt;0")+U$1009,0),0))</f>
        <v>0</v>
      </c>
      <c r="AM279" s="747">
        <f t="shared" si="62"/>
        <v>276</v>
      </c>
      <c r="AN279" s="164" t="e">
        <f>VLOOKUP($AM279,PATRIMONIALE!$AV331:AW$1003,2,FALSE)</f>
        <v>#N/A</v>
      </c>
      <c r="AO279" s="310" t="e">
        <f>VLOOKUP($AM279,PATRIMONIALE!$AV331:AX$1003,3,FALSE)</f>
        <v>#N/A</v>
      </c>
      <c r="AP279" s="310" t="e">
        <f>VLOOKUP($AM279,PATRIMONIALE!$AV331:AY$1003,4,FALSE)</f>
        <v>#N/A</v>
      </c>
      <c r="AQ279" s="748" t="e">
        <f>VLOOKUP($AM279,PATRIMONIALE!$AV331:AZ$1003,5,FALSE)</f>
        <v>#N/A</v>
      </c>
      <c r="AR279" s="1"/>
      <c r="AS279" s="461" t="str">
        <f t="shared" si="60"/>
        <v/>
      </c>
      <c r="AT279" s="370"/>
    </row>
    <row r="280" spans="1:46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435">
        <f>IF(AND(W280&gt;=$U$1,W280&lt;=$U$2),IF(X280='ESTRATTO CONTO'!$E$2,1+COUNTIF(U$4:U279,"&gt;0"),0),0)</f>
        <v>0</v>
      </c>
      <c r="V280" s="417">
        <f t="shared" si="61"/>
        <v>277</v>
      </c>
      <c r="W280" s="509"/>
      <c r="X280" s="321"/>
      <c r="Y280" s="321"/>
      <c r="Z280" s="433"/>
      <c r="AA280" s="356"/>
      <c r="AB280" s="306" t="str">
        <f t="shared" si="56"/>
        <v/>
      </c>
      <c r="AC280" s="893">
        <f t="shared" si="57"/>
        <v>0</v>
      </c>
      <c r="AD280" s="322"/>
      <c r="AE280" s="1"/>
      <c r="AF280" s="223">
        <f>IF(ISBLANK(AD280),0,COUNTIF(AF$4:AF279,"&gt;0")+1)</f>
        <v>0</v>
      </c>
      <c r="AG280" s="164">
        <f t="shared" si="63"/>
        <v>0</v>
      </c>
      <c r="AH280" s="99">
        <f t="shared" si="58"/>
        <v>0</v>
      </c>
      <c r="AI280" s="99">
        <f t="shared" si="64"/>
        <v>0</v>
      </c>
      <c r="AJ280" s="170">
        <f t="shared" si="65"/>
        <v>0</v>
      </c>
      <c r="AK280" s="204">
        <f t="shared" si="59"/>
        <v>0</v>
      </c>
      <c r="AL280" s="1049">
        <f>IF(ISERROR(AO280),0,IF(AND(AN280&gt;=$U$1,AN280&lt;=$U$2),IF(AO280='ESTRATTO CONTO'!$E$2,1+COUNTIF(AL$4:AL279,"&gt;0")+U$1009,0),0))</f>
        <v>0</v>
      </c>
      <c r="AM280" s="747">
        <f t="shared" si="62"/>
        <v>277</v>
      </c>
      <c r="AN280" s="164" t="e">
        <f>VLOOKUP($AM280,PATRIMONIALE!$AV332:AW$1003,2,FALSE)</f>
        <v>#N/A</v>
      </c>
      <c r="AO280" s="310" t="e">
        <f>VLOOKUP($AM280,PATRIMONIALE!$AV332:AX$1003,3,FALSE)</f>
        <v>#N/A</v>
      </c>
      <c r="AP280" s="310" t="e">
        <f>VLOOKUP($AM280,PATRIMONIALE!$AV332:AY$1003,4,FALSE)</f>
        <v>#N/A</v>
      </c>
      <c r="AQ280" s="748" t="e">
        <f>VLOOKUP($AM280,PATRIMONIALE!$AV332:AZ$1003,5,FALSE)</f>
        <v>#N/A</v>
      </c>
      <c r="AR280" s="1"/>
      <c r="AS280" s="461" t="str">
        <f t="shared" si="60"/>
        <v/>
      </c>
      <c r="AT280" s="370"/>
    </row>
    <row r="281" spans="1:46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435">
        <f>IF(AND(W281&gt;=$U$1,W281&lt;=$U$2),IF(X281='ESTRATTO CONTO'!$E$2,1+COUNTIF(U$4:U280,"&gt;0"),0),0)</f>
        <v>0</v>
      </c>
      <c r="V281" s="417">
        <f t="shared" si="61"/>
        <v>278</v>
      </c>
      <c r="W281" s="509"/>
      <c r="X281" s="321"/>
      <c r="Y281" s="321"/>
      <c r="Z281" s="433"/>
      <c r="AA281" s="356"/>
      <c r="AB281" s="306" t="str">
        <f t="shared" si="56"/>
        <v/>
      </c>
      <c r="AC281" s="893">
        <f t="shared" si="57"/>
        <v>0</v>
      </c>
      <c r="AD281" s="322"/>
      <c r="AE281" s="1"/>
      <c r="AF281" s="223">
        <f>IF(ISBLANK(AD281),0,COUNTIF(AF$4:AF280,"&gt;0")+1)</f>
        <v>0</v>
      </c>
      <c r="AG281" s="164">
        <f t="shared" si="63"/>
        <v>0</v>
      </c>
      <c r="AH281" s="99">
        <f t="shared" si="58"/>
        <v>0</v>
      </c>
      <c r="AI281" s="99">
        <f t="shared" si="64"/>
        <v>0</v>
      </c>
      <c r="AJ281" s="170">
        <f t="shared" si="65"/>
        <v>0</v>
      </c>
      <c r="AK281" s="204">
        <f t="shared" si="59"/>
        <v>0</v>
      </c>
      <c r="AL281" s="1049">
        <f>IF(ISERROR(AO281),0,IF(AND(AN281&gt;=$U$1,AN281&lt;=$U$2),IF(AO281='ESTRATTO CONTO'!$E$2,1+COUNTIF(AL$4:AL280,"&gt;0")+U$1009,0),0))</f>
        <v>0</v>
      </c>
      <c r="AM281" s="747">
        <f t="shared" si="62"/>
        <v>278</v>
      </c>
      <c r="AN281" s="164" t="e">
        <f>VLOOKUP($AM281,PATRIMONIALE!$AV333:AW$1003,2,FALSE)</f>
        <v>#N/A</v>
      </c>
      <c r="AO281" s="310" t="e">
        <f>VLOOKUP($AM281,PATRIMONIALE!$AV333:AX$1003,3,FALSE)</f>
        <v>#N/A</v>
      </c>
      <c r="AP281" s="310" t="e">
        <f>VLOOKUP($AM281,PATRIMONIALE!$AV333:AY$1003,4,FALSE)</f>
        <v>#N/A</v>
      </c>
      <c r="AQ281" s="748" t="e">
        <f>VLOOKUP($AM281,PATRIMONIALE!$AV333:AZ$1003,5,FALSE)</f>
        <v>#N/A</v>
      </c>
      <c r="AR281" s="1"/>
      <c r="AS281" s="461" t="str">
        <f t="shared" si="60"/>
        <v/>
      </c>
      <c r="AT281" s="370"/>
    </row>
    <row r="282" spans="1:46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435">
        <f>IF(AND(W282&gt;=$U$1,W282&lt;=$U$2),IF(X282='ESTRATTO CONTO'!$E$2,1+COUNTIF(U$4:U281,"&gt;0"),0),0)</f>
        <v>0</v>
      </c>
      <c r="V282" s="417">
        <f t="shared" si="61"/>
        <v>279</v>
      </c>
      <c r="W282" s="509"/>
      <c r="X282" s="321"/>
      <c r="Y282" s="321"/>
      <c r="Z282" s="433"/>
      <c r="AA282" s="356"/>
      <c r="AB282" s="306" t="str">
        <f t="shared" si="56"/>
        <v/>
      </c>
      <c r="AC282" s="893">
        <f t="shared" si="57"/>
        <v>0</v>
      </c>
      <c r="AD282" s="322"/>
      <c r="AE282" s="1"/>
      <c r="AF282" s="223">
        <f>IF(ISBLANK(AD282),0,COUNTIF(AF$4:AF281,"&gt;0")+1)</f>
        <v>0</v>
      </c>
      <c r="AG282" s="164">
        <f t="shared" si="63"/>
        <v>0</v>
      </c>
      <c r="AH282" s="99">
        <f t="shared" si="58"/>
        <v>0</v>
      </c>
      <c r="AI282" s="99">
        <f t="shared" si="64"/>
        <v>0</v>
      </c>
      <c r="AJ282" s="170">
        <f t="shared" si="65"/>
        <v>0</v>
      </c>
      <c r="AK282" s="204">
        <f t="shared" si="59"/>
        <v>0</v>
      </c>
      <c r="AL282" s="1049">
        <f>IF(ISERROR(AO282),0,IF(AND(AN282&gt;=$U$1,AN282&lt;=$U$2),IF(AO282='ESTRATTO CONTO'!$E$2,1+COUNTIF(AL$4:AL281,"&gt;0")+U$1009,0),0))</f>
        <v>0</v>
      </c>
      <c r="AM282" s="747">
        <f t="shared" si="62"/>
        <v>279</v>
      </c>
      <c r="AN282" s="164" t="e">
        <f>VLOOKUP($AM282,PATRIMONIALE!$AV334:AW$1003,2,FALSE)</f>
        <v>#N/A</v>
      </c>
      <c r="AO282" s="310" t="e">
        <f>VLOOKUP($AM282,PATRIMONIALE!$AV334:AX$1003,3,FALSE)</f>
        <v>#N/A</v>
      </c>
      <c r="AP282" s="310" t="e">
        <f>VLOOKUP($AM282,PATRIMONIALE!$AV334:AY$1003,4,FALSE)</f>
        <v>#N/A</v>
      </c>
      <c r="AQ282" s="748" t="e">
        <f>VLOOKUP($AM282,PATRIMONIALE!$AV334:AZ$1003,5,FALSE)</f>
        <v>#N/A</v>
      </c>
      <c r="AR282" s="1"/>
      <c r="AS282" s="461" t="str">
        <f t="shared" si="60"/>
        <v/>
      </c>
      <c r="AT282" s="370"/>
    </row>
    <row r="283" spans="1:46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435">
        <f>IF(AND(W283&gt;=$U$1,W283&lt;=$U$2),IF(X283='ESTRATTO CONTO'!$E$2,1+COUNTIF(U$4:U282,"&gt;0"),0),0)</f>
        <v>0</v>
      </c>
      <c r="V283" s="417">
        <f t="shared" si="61"/>
        <v>280</v>
      </c>
      <c r="W283" s="509"/>
      <c r="X283" s="321"/>
      <c r="Y283" s="321"/>
      <c r="Z283" s="433"/>
      <c r="AA283" s="356"/>
      <c r="AB283" s="306" t="str">
        <f t="shared" si="56"/>
        <v/>
      </c>
      <c r="AC283" s="893">
        <f t="shared" si="57"/>
        <v>0</v>
      </c>
      <c r="AD283" s="322"/>
      <c r="AE283" s="1"/>
      <c r="AF283" s="223">
        <f>IF(ISBLANK(AD283),0,COUNTIF(AF$4:AF282,"&gt;0")+1)</f>
        <v>0</v>
      </c>
      <c r="AG283" s="164">
        <f t="shared" si="63"/>
        <v>0</v>
      </c>
      <c r="AH283" s="99">
        <f t="shared" si="58"/>
        <v>0</v>
      </c>
      <c r="AI283" s="99">
        <f t="shared" si="64"/>
        <v>0</v>
      </c>
      <c r="AJ283" s="170">
        <f t="shared" si="65"/>
        <v>0</v>
      </c>
      <c r="AK283" s="204">
        <f t="shared" si="59"/>
        <v>0</v>
      </c>
      <c r="AL283" s="1049">
        <f>IF(ISERROR(AO283),0,IF(AND(AN283&gt;=$U$1,AN283&lt;=$U$2),IF(AO283='ESTRATTO CONTO'!$E$2,1+COUNTIF(AL$4:AL282,"&gt;0")+U$1009,0),0))</f>
        <v>0</v>
      </c>
      <c r="AM283" s="747">
        <f t="shared" si="62"/>
        <v>280</v>
      </c>
      <c r="AN283" s="164" t="e">
        <f>VLOOKUP($AM283,PATRIMONIALE!$AV335:AW$1003,2,FALSE)</f>
        <v>#N/A</v>
      </c>
      <c r="AO283" s="310" t="e">
        <f>VLOOKUP($AM283,PATRIMONIALE!$AV335:AX$1003,3,FALSE)</f>
        <v>#N/A</v>
      </c>
      <c r="AP283" s="310" t="e">
        <f>VLOOKUP($AM283,PATRIMONIALE!$AV335:AY$1003,4,FALSE)</f>
        <v>#N/A</v>
      </c>
      <c r="AQ283" s="748" t="e">
        <f>VLOOKUP($AM283,PATRIMONIALE!$AV335:AZ$1003,5,FALSE)</f>
        <v>#N/A</v>
      </c>
      <c r="AR283" s="1"/>
      <c r="AS283" s="461" t="str">
        <f t="shared" si="60"/>
        <v/>
      </c>
      <c r="AT283" s="370"/>
    </row>
    <row r="284" spans="1:46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435">
        <f>IF(AND(W284&gt;=$U$1,W284&lt;=$U$2),IF(X284='ESTRATTO CONTO'!$E$2,1+COUNTIF(U$4:U283,"&gt;0"),0),0)</f>
        <v>0</v>
      </c>
      <c r="V284" s="417">
        <f t="shared" si="61"/>
        <v>281</v>
      </c>
      <c r="W284" s="509"/>
      <c r="X284" s="321"/>
      <c r="Y284" s="321"/>
      <c r="Z284" s="433"/>
      <c r="AA284" s="356"/>
      <c r="AB284" s="306" t="str">
        <f t="shared" si="56"/>
        <v/>
      </c>
      <c r="AC284" s="893">
        <f t="shared" si="57"/>
        <v>0</v>
      </c>
      <c r="AD284" s="322"/>
      <c r="AE284" s="1"/>
      <c r="AF284" s="223">
        <f>IF(ISBLANK(AD284),0,COUNTIF(AF$4:AF283,"&gt;0")+1)</f>
        <v>0</v>
      </c>
      <c r="AG284" s="164">
        <f t="shared" si="63"/>
        <v>0</v>
      </c>
      <c r="AH284" s="99">
        <f t="shared" si="58"/>
        <v>0</v>
      </c>
      <c r="AI284" s="99">
        <f t="shared" si="64"/>
        <v>0</v>
      </c>
      <c r="AJ284" s="170">
        <f t="shared" si="65"/>
        <v>0</v>
      </c>
      <c r="AK284" s="204">
        <f t="shared" si="59"/>
        <v>0</v>
      </c>
      <c r="AL284" s="1049">
        <f>IF(ISERROR(AO284),0,IF(AND(AN284&gt;=$U$1,AN284&lt;=$U$2),IF(AO284='ESTRATTO CONTO'!$E$2,1+COUNTIF(AL$4:AL283,"&gt;0")+U$1009,0),0))</f>
        <v>0</v>
      </c>
      <c r="AM284" s="747">
        <f t="shared" si="62"/>
        <v>281</v>
      </c>
      <c r="AN284" s="164" t="e">
        <f>VLOOKUP($AM284,PATRIMONIALE!$AV336:AW$1003,2,FALSE)</f>
        <v>#N/A</v>
      </c>
      <c r="AO284" s="310" t="e">
        <f>VLOOKUP($AM284,PATRIMONIALE!$AV336:AX$1003,3,FALSE)</f>
        <v>#N/A</v>
      </c>
      <c r="AP284" s="310" t="e">
        <f>VLOOKUP($AM284,PATRIMONIALE!$AV336:AY$1003,4,FALSE)</f>
        <v>#N/A</v>
      </c>
      <c r="AQ284" s="748" t="e">
        <f>VLOOKUP($AM284,PATRIMONIALE!$AV336:AZ$1003,5,FALSE)</f>
        <v>#N/A</v>
      </c>
      <c r="AR284" s="1"/>
      <c r="AS284" s="461" t="str">
        <f t="shared" si="60"/>
        <v/>
      </c>
      <c r="AT284" s="370"/>
    </row>
    <row r="285" spans="1:46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435">
        <f>IF(AND(W285&gt;=$U$1,W285&lt;=$U$2),IF(X285='ESTRATTO CONTO'!$E$2,1+COUNTIF(U$4:U284,"&gt;0"),0),0)</f>
        <v>0</v>
      </c>
      <c r="V285" s="417">
        <f t="shared" si="61"/>
        <v>282</v>
      </c>
      <c r="W285" s="509"/>
      <c r="X285" s="321"/>
      <c r="Y285" s="321"/>
      <c r="Z285" s="433"/>
      <c r="AA285" s="356"/>
      <c r="AB285" s="306" t="str">
        <f t="shared" si="56"/>
        <v/>
      </c>
      <c r="AC285" s="893">
        <f t="shared" si="57"/>
        <v>0</v>
      </c>
      <c r="AD285" s="322"/>
      <c r="AE285" s="1"/>
      <c r="AF285" s="223">
        <f>IF(ISBLANK(AD285),0,COUNTIF(AF$4:AF284,"&gt;0")+1)</f>
        <v>0</v>
      </c>
      <c r="AG285" s="164">
        <f t="shared" si="63"/>
        <v>0</v>
      </c>
      <c r="AH285" s="99">
        <f t="shared" si="58"/>
        <v>0</v>
      </c>
      <c r="AI285" s="99">
        <f t="shared" si="64"/>
        <v>0</v>
      </c>
      <c r="AJ285" s="170">
        <f t="shared" si="65"/>
        <v>0</v>
      </c>
      <c r="AK285" s="204">
        <f t="shared" si="59"/>
        <v>0</v>
      </c>
      <c r="AL285" s="1049">
        <f>IF(ISERROR(AO285),0,IF(AND(AN285&gt;=$U$1,AN285&lt;=$U$2),IF(AO285='ESTRATTO CONTO'!$E$2,1+COUNTIF(AL$4:AL284,"&gt;0")+U$1009,0),0))</f>
        <v>0</v>
      </c>
      <c r="AM285" s="747">
        <f t="shared" si="62"/>
        <v>282</v>
      </c>
      <c r="AN285" s="164" t="e">
        <f>VLOOKUP($AM285,PATRIMONIALE!$AV337:AW$1003,2,FALSE)</f>
        <v>#N/A</v>
      </c>
      <c r="AO285" s="310" t="e">
        <f>VLOOKUP($AM285,PATRIMONIALE!$AV337:AX$1003,3,FALSE)</f>
        <v>#N/A</v>
      </c>
      <c r="AP285" s="310" t="e">
        <f>VLOOKUP($AM285,PATRIMONIALE!$AV337:AY$1003,4,FALSE)</f>
        <v>#N/A</v>
      </c>
      <c r="AQ285" s="748" t="e">
        <f>VLOOKUP($AM285,PATRIMONIALE!$AV337:AZ$1003,5,FALSE)</f>
        <v>#N/A</v>
      </c>
      <c r="AR285" s="1"/>
      <c r="AS285" s="461" t="str">
        <f t="shared" si="60"/>
        <v/>
      </c>
      <c r="AT285" s="370"/>
    </row>
    <row r="286" spans="1:46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435">
        <f>IF(AND(W286&gt;=$U$1,W286&lt;=$U$2),IF(X286='ESTRATTO CONTO'!$E$2,1+COUNTIF(U$4:U285,"&gt;0"),0),0)</f>
        <v>0</v>
      </c>
      <c r="V286" s="417">
        <f t="shared" si="61"/>
        <v>283</v>
      </c>
      <c r="W286" s="509"/>
      <c r="X286" s="321"/>
      <c r="Y286" s="321"/>
      <c r="Z286" s="433"/>
      <c r="AA286" s="356"/>
      <c r="AB286" s="306" t="str">
        <f t="shared" si="56"/>
        <v/>
      </c>
      <c r="AC286" s="893">
        <f t="shared" si="57"/>
        <v>0</v>
      </c>
      <c r="AD286" s="322"/>
      <c r="AE286" s="1"/>
      <c r="AF286" s="223">
        <f>IF(ISBLANK(AD286),0,COUNTIF(AF$4:AF285,"&gt;0")+1)</f>
        <v>0</v>
      </c>
      <c r="AG286" s="164">
        <f t="shared" si="63"/>
        <v>0</v>
      </c>
      <c r="AH286" s="99">
        <f t="shared" si="58"/>
        <v>0</v>
      </c>
      <c r="AI286" s="99">
        <f t="shared" si="64"/>
        <v>0</v>
      </c>
      <c r="AJ286" s="170">
        <f t="shared" si="65"/>
        <v>0</v>
      </c>
      <c r="AK286" s="204">
        <f t="shared" si="59"/>
        <v>0</v>
      </c>
      <c r="AL286" s="1049">
        <f>IF(ISERROR(AO286),0,IF(AND(AN286&gt;=$U$1,AN286&lt;=$U$2),IF(AO286='ESTRATTO CONTO'!$E$2,1+COUNTIF(AL$4:AL285,"&gt;0")+U$1009,0),0))</f>
        <v>0</v>
      </c>
      <c r="AM286" s="747">
        <f t="shared" si="62"/>
        <v>283</v>
      </c>
      <c r="AN286" s="164" t="e">
        <f>VLOOKUP($AM286,PATRIMONIALE!$AV338:AW$1003,2,FALSE)</f>
        <v>#N/A</v>
      </c>
      <c r="AO286" s="310" t="e">
        <f>VLOOKUP($AM286,PATRIMONIALE!$AV338:AX$1003,3,FALSE)</f>
        <v>#N/A</v>
      </c>
      <c r="AP286" s="310" t="e">
        <f>VLOOKUP($AM286,PATRIMONIALE!$AV338:AY$1003,4,FALSE)</f>
        <v>#N/A</v>
      </c>
      <c r="AQ286" s="748" t="e">
        <f>VLOOKUP($AM286,PATRIMONIALE!$AV338:AZ$1003,5,FALSE)</f>
        <v>#N/A</v>
      </c>
      <c r="AR286" s="1"/>
      <c r="AS286" s="461" t="str">
        <f t="shared" si="60"/>
        <v/>
      </c>
      <c r="AT286" s="370"/>
    </row>
    <row r="287" spans="1:46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435">
        <f>IF(AND(W287&gt;=$U$1,W287&lt;=$U$2),IF(X287='ESTRATTO CONTO'!$E$2,1+COUNTIF(U$4:U286,"&gt;0"),0),0)</f>
        <v>0</v>
      </c>
      <c r="V287" s="417">
        <f t="shared" si="61"/>
        <v>284</v>
      </c>
      <c r="W287" s="509"/>
      <c r="X287" s="321"/>
      <c r="Y287" s="321"/>
      <c r="Z287" s="433"/>
      <c r="AA287" s="356"/>
      <c r="AB287" s="306" t="str">
        <f t="shared" si="56"/>
        <v/>
      </c>
      <c r="AC287" s="893">
        <f t="shared" si="57"/>
        <v>0</v>
      </c>
      <c r="AD287" s="322"/>
      <c r="AE287" s="1"/>
      <c r="AF287" s="223">
        <f>IF(ISBLANK(AD287),0,COUNTIF(AF$4:AF286,"&gt;0")+1)</f>
        <v>0</v>
      </c>
      <c r="AG287" s="164">
        <f t="shared" si="63"/>
        <v>0</v>
      </c>
      <c r="AH287" s="99">
        <f t="shared" si="58"/>
        <v>0</v>
      </c>
      <c r="AI287" s="99">
        <f t="shared" si="64"/>
        <v>0</v>
      </c>
      <c r="AJ287" s="170">
        <f t="shared" si="65"/>
        <v>0</v>
      </c>
      <c r="AK287" s="204">
        <f t="shared" si="59"/>
        <v>0</v>
      </c>
      <c r="AL287" s="1049">
        <f>IF(ISERROR(AO287),0,IF(AND(AN287&gt;=$U$1,AN287&lt;=$U$2),IF(AO287='ESTRATTO CONTO'!$E$2,1+COUNTIF(AL$4:AL286,"&gt;0")+U$1009,0),0))</f>
        <v>0</v>
      </c>
      <c r="AM287" s="747">
        <f t="shared" si="62"/>
        <v>284</v>
      </c>
      <c r="AN287" s="164" t="e">
        <f>VLOOKUP($AM287,PATRIMONIALE!$AV339:AW$1003,2,FALSE)</f>
        <v>#N/A</v>
      </c>
      <c r="AO287" s="310" t="e">
        <f>VLOOKUP($AM287,PATRIMONIALE!$AV339:AX$1003,3,FALSE)</f>
        <v>#N/A</v>
      </c>
      <c r="AP287" s="310" t="e">
        <f>VLOOKUP($AM287,PATRIMONIALE!$AV339:AY$1003,4,FALSE)</f>
        <v>#N/A</v>
      </c>
      <c r="AQ287" s="748" t="e">
        <f>VLOOKUP($AM287,PATRIMONIALE!$AV339:AZ$1003,5,FALSE)</f>
        <v>#N/A</v>
      </c>
      <c r="AR287" s="1"/>
      <c r="AS287" s="461" t="str">
        <f t="shared" si="60"/>
        <v/>
      </c>
      <c r="AT287" s="370"/>
    </row>
    <row r="288" spans="1:46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435">
        <f>IF(AND(W288&gt;=$U$1,W288&lt;=$U$2),IF(X288='ESTRATTO CONTO'!$E$2,1+COUNTIF(U$4:U287,"&gt;0"),0),0)</f>
        <v>0</v>
      </c>
      <c r="V288" s="417">
        <f t="shared" si="61"/>
        <v>285</v>
      </c>
      <c r="W288" s="509"/>
      <c r="X288" s="321"/>
      <c r="Y288" s="321"/>
      <c r="Z288" s="433"/>
      <c r="AA288" s="356"/>
      <c r="AB288" s="306" t="str">
        <f t="shared" si="56"/>
        <v/>
      </c>
      <c r="AC288" s="893">
        <f t="shared" si="57"/>
        <v>0</v>
      </c>
      <c r="AD288" s="322"/>
      <c r="AE288" s="1"/>
      <c r="AF288" s="223">
        <f>IF(ISBLANK(AD288),0,COUNTIF(AF$4:AF287,"&gt;0")+1)</f>
        <v>0</v>
      </c>
      <c r="AG288" s="164">
        <f t="shared" si="63"/>
        <v>0</v>
      </c>
      <c r="AH288" s="99">
        <f t="shared" si="58"/>
        <v>0</v>
      </c>
      <c r="AI288" s="99">
        <f t="shared" si="64"/>
        <v>0</v>
      </c>
      <c r="AJ288" s="170">
        <f t="shared" si="65"/>
        <v>0</v>
      </c>
      <c r="AK288" s="204">
        <f t="shared" si="59"/>
        <v>0</v>
      </c>
      <c r="AL288" s="1049">
        <f>IF(ISERROR(AO288),0,IF(AND(AN288&gt;=$U$1,AN288&lt;=$U$2),IF(AO288='ESTRATTO CONTO'!$E$2,1+COUNTIF(AL$4:AL287,"&gt;0")+U$1009,0),0))</f>
        <v>0</v>
      </c>
      <c r="AM288" s="747">
        <f t="shared" si="62"/>
        <v>285</v>
      </c>
      <c r="AN288" s="164" t="e">
        <f>VLOOKUP($AM288,PATRIMONIALE!$AV340:AW$1003,2,FALSE)</f>
        <v>#N/A</v>
      </c>
      <c r="AO288" s="310" t="e">
        <f>VLOOKUP($AM288,PATRIMONIALE!$AV340:AX$1003,3,FALSE)</f>
        <v>#N/A</v>
      </c>
      <c r="AP288" s="310" t="e">
        <f>VLOOKUP($AM288,PATRIMONIALE!$AV340:AY$1003,4,FALSE)</f>
        <v>#N/A</v>
      </c>
      <c r="AQ288" s="748" t="e">
        <f>VLOOKUP($AM288,PATRIMONIALE!$AV340:AZ$1003,5,FALSE)</f>
        <v>#N/A</v>
      </c>
      <c r="AR288" s="1"/>
      <c r="AS288" s="461" t="str">
        <f t="shared" si="60"/>
        <v/>
      </c>
      <c r="AT288" s="370"/>
    </row>
    <row r="289" spans="1:46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435">
        <f>IF(AND(W289&gt;=$U$1,W289&lt;=$U$2),IF(X289='ESTRATTO CONTO'!$E$2,1+COUNTIF(U$4:U288,"&gt;0"),0),0)</f>
        <v>0</v>
      </c>
      <c r="V289" s="417">
        <f t="shared" si="61"/>
        <v>286</v>
      </c>
      <c r="W289" s="509"/>
      <c r="X289" s="321"/>
      <c r="Y289" s="321"/>
      <c r="Z289" s="433"/>
      <c r="AA289" s="356"/>
      <c r="AB289" s="306" t="str">
        <f t="shared" si="56"/>
        <v/>
      </c>
      <c r="AC289" s="893">
        <f t="shared" si="57"/>
        <v>0</v>
      </c>
      <c r="AD289" s="322"/>
      <c r="AE289" s="1"/>
      <c r="AF289" s="223">
        <f>IF(ISBLANK(AD289),0,COUNTIF(AF$4:AF288,"&gt;0")+1)</f>
        <v>0</v>
      </c>
      <c r="AG289" s="164">
        <f t="shared" si="63"/>
        <v>0</v>
      </c>
      <c r="AH289" s="99">
        <f t="shared" si="58"/>
        <v>0</v>
      </c>
      <c r="AI289" s="99">
        <f t="shared" si="64"/>
        <v>0</v>
      </c>
      <c r="AJ289" s="170">
        <f t="shared" si="65"/>
        <v>0</v>
      </c>
      <c r="AK289" s="204">
        <f t="shared" si="59"/>
        <v>0</v>
      </c>
      <c r="AL289" s="1049">
        <f>IF(ISERROR(AO289),0,IF(AND(AN289&gt;=$U$1,AN289&lt;=$U$2),IF(AO289='ESTRATTO CONTO'!$E$2,1+COUNTIF(AL$4:AL288,"&gt;0")+U$1009,0),0))</f>
        <v>0</v>
      </c>
      <c r="AM289" s="747">
        <f t="shared" si="62"/>
        <v>286</v>
      </c>
      <c r="AN289" s="164" t="e">
        <f>VLOOKUP($AM289,PATRIMONIALE!$AV341:AW$1003,2,FALSE)</f>
        <v>#N/A</v>
      </c>
      <c r="AO289" s="310" t="e">
        <f>VLOOKUP($AM289,PATRIMONIALE!$AV341:AX$1003,3,FALSE)</f>
        <v>#N/A</v>
      </c>
      <c r="AP289" s="310" t="e">
        <f>VLOOKUP($AM289,PATRIMONIALE!$AV341:AY$1003,4,FALSE)</f>
        <v>#N/A</v>
      </c>
      <c r="AQ289" s="748" t="e">
        <f>VLOOKUP($AM289,PATRIMONIALE!$AV341:AZ$1003,5,FALSE)</f>
        <v>#N/A</v>
      </c>
      <c r="AR289" s="1"/>
      <c r="AS289" s="461" t="str">
        <f t="shared" si="60"/>
        <v/>
      </c>
      <c r="AT289" s="370"/>
    </row>
    <row r="290" spans="1:46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435">
        <f>IF(AND(W290&gt;=$U$1,W290&lt;=$U$2),IF(X290='ESTRATTO CONTO'!$E$2,1+COUNTIF(U$4:U289,"&gt;0"),0),0)</f>
        <v>0</v>
      </c>
      <c r="V290" s="417">
        <f t="shared" si="61"/>
        <v>287</v>
      </c>
      <c r="W290" s="509"/>
      <c r="X290" s="321"/>
      <c r="Y290" s="321"/>
      <c r="Z290" s="433"/>
      <c r="AA290" s="356"/>
      <c r="AB290" s="306" t="str">
        <f t="shared" si="56"/>
        <v/>
      </c>
      <c r="AC290" s="893">
        <f t="shared" si="57"/>
        <v>0</v>
      </c>
      <c r="AD290" s="322"/>
      <c r="AE290" s="1"/>
      <c r="AF290" s="223">
        <f>IF(ISBLANK(AD290),0,COUNTIF(AF$4:AF289,"&gt;0")+1)</f>
        <v>0</v>
      </c>
      <c r="AG290" s="164">
        <f t="shared" si="63"/>
        <v>0</v>
      </c>
      <c r="AH290" s="99">
        <f t="shared" si="58"/>
        <v>0</v>
      </c>
      <c r="AI290" s="99">
        <f t="shared" si="64"/>
        <v>0</v>
      </c>
      <c r="AJ290" s="170">
        <f t="shared" si="65"/>
        <v>0</v>
      </c>
      <c r="AK290" s="204">
        <f t="shared" si="59"/>
        <v>0</v>
      </c>
      <c r="AL290" s="1049">
        <f>IF(ISERROR(AO290),0,IF(AND(AN290&gt;=$U$1,AN290&lt;=$U$2),IF(AO290='ESTRATTO CONTO'!$E$2,1+COUNTIF(AL$4:AL289,"&gt;0")+U$1009,0),0))</f>
        <v>0</v>
      </c>
      <c r="AM290" s="747">
        <f t="shared" si="62"/>
        <v>287</v>
      </c>
      <c r="AN290" s="164" t="e">
        <f>VLOOKUP($AM290,PATRIMONIALE!$AV342:AW$1003,2,FALSE)</f>
        <v>#N/A</v>
      </c>
      <c r="AO290" s="310" t="e">
        <f>VLOOKUP($AM290,PATRIMONIALE!$AV342:AX$1003,3,FALSE)</f>
        <v>#N/A</v>
      </c>
      <c r="AP290" s="310" t="e">
        <f>VLOOKUP($AM290,PATRIMONIALE!$AV342:AY$1003,4,FALSE)</f>
        <v>#N/A</v>
      </c>
      <c r="AQ290" s="748" t="e">
        <f>VLOOKUP($AM290,PATRIMONIALE!$AV342:AZ$1003,5,FALSE)</f>
        <v>#N/A</v>
      </c>
      <c r="AR290" s="1"/>
      <c r="AS290" s="461" t="str">
        <f t="shared" si="60"/>
        <v/>
      </c>
      <c r="AT290" s="370"/>
    </row>
    <row r="291" spans="1:46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435">
        <f>IF(AND(W291&gt;=$U$1,W291&lt;=$U$2),IF(X291='ESTRATTO CONTO'!$E$2,1+COUNTIF(U$4:U290,"&gt;0"),0),0)</f>
        <v>0</v>
      </c>
      <c r="V291" s="417">
        <f t="shared" si="61"/>
        <v>288</v>
      </c>
      <c r="W291" s="509"/>
      <c r="X291" s="321"/>
      <c r="Y291" s="321"/>
      <c r="Z291" s="433"/>
      <c r="AA291" s="356"/>
      <c r="AB291" s="306" t="str">
        <f t="shared" si="56"/>
        <v/>
      </c>
      <c r="AC291" s="893">
        <f t="shared" si="57"/>
        <v>0</v>
      </c>
      <c r="AD291" s="322"/>
      <c r="AE291" s="1"/>
      <c r="AF291" s="223">
        <f>IF(ISBLANK(AD291),0,COUNTIF(AF$4:AF290,"&gt;0")+1)</f>
        <v>0</v>
      </c>
      <c r="AG291" s="164">
        <f t="shared" si="63"/>
        <v>0</v>
      </c>
      <c r="AH291" s="99">
        <f t="shared" si="58"/>
        <v>0</v>
      </c>
      <c r="AI291" s="99">
        <f t="shared" si="64"/>
        <v>0</v>
      </c>
      <c r="AJ291" s="170">
        <f t="shared" si="65"/>
        <v>0</v>
      </c>
      <c r="AK291" s="204">
        <f t="shared" si="59"/>
        <v>0</v>
      </c>
      <c r="AL291" s="1049">
        <f>IF(ISERROR(AO291),0,IF(AND(AN291&gt;=$U$1,AN291&lt;=$U$2),IF(AO291='ESTRATTO CONTO'!$E$2,1+COUNTIF(AL$4:AL290,"&gt;0")+U$1009,0),0))</f>
        <v>0</v>
      </c>
      <c r="AM291" s="747">
        <f t="shared" si="62"/>
        <v>288</v>
      </c>
      <c r="AN291" s="164" t="e">
        <f>VLOOKUP($AM291,PATRIMONIALE!$AV343:AW$1003,2,FALSE)</f>
        <v>#N/A</v>
      </c>
      <c r="AO291" s="310" t="e">
        <f>VLOOKUP($AM291,PATRIMONIALE!$AV343:AX$1003,3,FALSE)</f>
        <v>#N/A</v>
      </c>
      <c r="AP291" s="310" t="e">
        <f>VLOOKUP($AM291,PATRIMONIALE!$AV343:AY$1003,4,FALSE)</f>
        <v>#N/A</v>
      </c>
      <c r="AQ291" s="748" t="e">
        <f>VLOOKUP($AM291,PATRIMONIALE!$AV343:AZ$1003,5,FALSE)</f>
        <v>#N/A</v>
      </c>
      <c r="AR291" s="1"/>
      <c r="AS291" s="461" t="str">
        <f t="shared" si="60"/>
        <v/>
      </c>
      <c r="AT291" s="370"/>
    </row>
    <row r="292" spans="1:46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435">
        <f>IF(AND(W292&gt;=$U$1,W292&lt;=$U$2),IF(X292='ESTRATTO CONTO'!$E$2,1+COUNTIF(U$4:U291,"&gt;0"),0),0)</f>
        <v>0</v>
      </c>
      <c r="V292" s="417">
        <f t="shared" si="61"/>
        <v>289</v>
      </c>
      <c r="W292" s="509"/>
      <c r="X292" s="321"/>
      <c r="Y292" s="321"/>
      <c r="Z292" s="433"/>
      <c r="AA292" s="356"/>
      <c r="AB292" s="306" t="str">
        <f t="shared" si="56"/>
        <v/>
      </c>
      <c r="AC292" s="893">
        <f t="shared" si="57"/>
        <v>0</v>
      </c>
      <c r="AD292" s="322"/>
      <c r="AE292" s="1"/>
      <c r="AF292" s="223">
        <f>IF(ISBLANK(AD292),0,COUNTIF(AF$4:AF291,"&gt;0")+1)</f>
        <v>0</v>
      </c>
      <c r="AG292" s="164">
        <f t="shared" si="63"/>
        <v>0</v>
      </c>
      <c r="AH292" s="99">
        <f t="shared" si="58"/>
        <v>0</v>
      </c>
      <c r="AI292" s="99">
        <f t="shared" si="64"/>
        <v>0</v>
      </c>
      <c r="AJ292" s="170">
        <f t="shared" si="65"/>
        <v>0</v>
      </c>
      <c r="AK292" s="204">
        <f t="shared" si="59"/>
        <v>0</v>
      </c>
      <c r="AL292" s="1049">
        <f>IF(ISERROR(AO292),0,IF(AND(AN292&gt;=$U$1,AN292&lt;=$U$2),IF(AO292='ESTRATTO CONTO'!$E$2,1+COUNTIF(AL$4:AL291,"&gt;0")+U$1009,0),0))</f>
        <v>0</v>
      </c>
      <c r="AM292" s="747">
        <f t="shared" si="62"/>
        <v>289</v>
      </c>
      <c r="AN292" s="164" t="e">
        <f>VLOOKUP($AM292,PATRIMONIALE!$AV344:AW$1003,2,FALSE)</f>
        <v>#N/A</v>
      </c>
      <c r="AO292" s="310" t="e">
        <f>VLOOKUP($AM292,PATRIMONIALE!$AV344:AX$1003,3,FALSE)</f>
        <v>#N/A</v>
      </c>
      <c r="AP292" s="310" t="e">
        <f>VLOOKUP($AM292,PATRIMONIALE!$AV344:AY$1003,4,FALSE)</f>
        <v>#N/A</v>
      </c>
      <c r="AQ292" s="748" t="e">
        <f>VLOOKUP($AM292,PATRIMONIALE!$AV344:AZ$1003,5,FALSE)</f>
        <v>#N/A</v>
      </c>
      <c r="AR292" s="1"/>
      <c r="AS292" s="461" t="str">
        <f t="shared" si="60"/>
        <v/>
      </c>
      <c r="AT292" s="370"/>
    </row>
    <row r="293" spans="1:46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435">
        <f>IF(AND(W293&gt;=$U$1,W293&lt;=$U$2),IF(X293='ESTRATTO CONTO'!$E$2,1+COUNTIF(U$4:U292,"&gt;0"),0),0)</f>
        <v>0</v>
      </c>
      <c r="V293" s="417">
        <f t="shared" si="61"/>
        <v>290</v>
      </c>
      <c r="W293" s="509"/>
      <c r="X293" s="321"/>
      <c r="Y293" s="321"/>
      <c r="Z293" s="433"/>
      <c r="AA293" s="356"/>
      <c r="AB293" s="306" t="str">
        <f t="shared" si="56"/>
        <v/>
      </c>
      <c r="AC293" s="893">
        <f t="shared" si="57"/>
        <v>0</v>
      </c>
      <c r="AD293" s="322"/>
      <c r="AE293" s="1"/>
      <c r="AF293" s="223">
        <f>IF(ISBLANK(AD293),0,COUNTIF(AF$4:AF292,"&gt;0")+1)</f>
        <v>0</v>
      </c>
      <c r="AG293" s="164">
        <f t="shared" si="63"/>
        <v>0</v>
      </c>
      <c r="AH293" s="99">
        <f t="shared" si="58"/>
        <v>0</v>
      </c>
      <c r="AI293" s="99">
        <f t="shared" si="64"/>
        <v>0</v>
      </c>
      <c r="AJ293" s="170">
        <f t="shared" si="65"/>
        <v>0</v>
      </c>
      <c r="AK293" s="204">
        <f t="shared" si="59"/>
        <v>0</v>
      </c>
      <c r="AL293" s="1049">
        <f>IF(ISERROR(AO293),0,IF(AND(AN293&gt;=$U$1,AN293&lt;=$U$2),IF(AO293='ESTRATTO CONTO'!$E$2,1+COUNTIF(AL$4:AL292,"&gt;0")+U$1009,0),0))</f>
        <v>0</v>
      </c>
      <c r="AM293" s="747">
        <f t="shared" si="62"/>
        <v>290</v>
      </c>
      <c r="AN293" s="164" t="e">
        <f>VLOOKUP($AM293,PATRIMONIALE!$AV345:AW$1003,2,FALSE)</f>
        <v>#N/A</v>
      </c>
      <c r="AO293" s="310" t="e">
        <f>VLOOKUP($AM293,PATRIMONIALE!$AV345:AX$1003,3,FALSE)</f>
        <v>#N/A</v>
      </c>
      <c r="AP293" s="310" t="e">
        <f>VLOOKUP($AM293,PATRIMONIALE!$AV345:AY$1003,4,FALSE)</f>
        <v>#N/A</v>
      </c>
      <c r="AQ293" s="748" t="e">
        <f>VLOOKUP($AM293,PATRIMONIALE!$AV345:AZ$1003,5,FALSE)</f>
        <v>#N/A</v>
      </c>
      <c r="AR293" s="1"/>
      <c r="AS293" s="461" t="str">
        <f t="shared" si="60"/>
        <v/>
      </c>
      <c r="AT293" s="370"/>
    </row>
    <row r="294" spans="1:46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435">
        <f>IF(AND(W294&gt;=$U$1,W294&lt;=$U$2),IF(X294='ESTRATTO CONTO'!$E$2,1+COUNTIF(U$4:U293,"&gt;0"),0),0)</f>
        <v>0</v>
      </c>
      <c r="V294" s="417">
        <f t="shared" si="61"/>
        <v>291</v>
      </c>
      <c r="W294" s="509"/>
      <c r="X294" s="321"/>
      <c r="Y294" s="321"/>
      <c r="Z294" s="433"/>
      <c r="AA294" s="356"/>
      <c r="AB294" s="306" t="str">
        <f t="shared" si="56"/>
        <v/>
      </c>
      <c r="AC294" s="893">
        <f t="shared" si="57"/>
        <v>0</v>
      </c>
      <c r="AD294" s="322"/>
      <c r="AE294" s="1"/>
      <c r="AF294" s="223">
        <f>IF(ISBLANK(AD294),0,COUNTIF(AF$4:AF293,"&gt;0")+1)</f>
        <v>0</v>
      </c>
      <c r="AG294" s="164">
        <f t="shared" si="63"/>
        <v>0</v>
      </c>
      <c r="AH294" s="99">
        <f t="shared" si="58"/>
        <v>0</v>
      </c>
      <c r="AI294" s="99">
        <f t="shared" si="64"/>
        <v>0</v>
      </c>
      <c r="AJ294" s="170">
        <f t="shared" si="65"/>
        <v>0</v>
      </c>
      <c r="AK294" s="204">
        <f t="shared" si="59"/>
        <v>0</v>
      </c>
      <c r="AL294" s="1049">
        <f>IF(ISERROR(AO294),0,IF(AND(AN294&gt;=$U$1,AN294&lt;=$U$2),IF(AO294='ESTRATTO CONTO'!$E$2,1+COUNTIF(AL$4:AL293,"&gt;0")+U$1009,0),0))</f>
        <v>0</v>
      </c>
      <c r="AM294" s="747">
        <f t="shared" si="62"/>
        <v>291</v>
      </c>
      <c r="AN294" s="164" t="e">
        <f>VLOOKUP($AM294,PATRIMONIALE!$AV346:AW$1003,2,FALSE)</f>
        <v>#N/A</v>
      </c>
      <c r="AO294" s="310" t="e">
        <f>VLOOKUP($AM294,PATRIMONIALE!$AV346:AX$1003,3,FALSE)</f>
        <v>#N/A</v>
      </c>
      <c r="AP294" s="310" t="e">
        <f>VLOOKUP($AM294,PATRIMONIALE!$AV346:AY$1003,4,FALSE)</f>
        <v>#N/A</v>
      </c>
      <c r="AQ294" s="748" t="e">
        <f>VLOOKUP($AM294,PATRIMONIALE!$AV346:AZ$1003,5,FALSE)</f>
        <v>#N/A</v>
      </c>
      <c r="AR294" s="1"/>
      <c r="AS294" s="461" t="str">
        <f t="shared" si="60"/>
        <v/>
      </c>
      <c r="AT294" s="370"/>
    </row>
    <row r="295" spans="1:46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435">
        <f>IF(AND(W295&gt;=$U$1,W295&lt;=$U$2),IF(X295='ESTRATTO CONTO'!$E$2,1+COUNTIF(U$4:U294,"&gt;0"),0),0)</f>
        <v>0</v>
      </c>
      <c r="V295" s="417">
        <f t="shared" si="61"/>
        <v>292</v>
      </c>
      <c r="W295" s="509"/>
      <c r="X295" s="321"/>
      <c r="Y295" s="321"/>
      <c r="Z295" s="433"/>
      <c r="AA295" s="356"/>
      <c r="AB295" s="306" t="str">
        <f t="shared" si="56"/>
        <v/>
      </c>
      <c r="AC295" s="893">
        <f t="shared" si="57"/>
        <v>0</v>
      </c>
      <c r="AD295" s="322"/>
      <c r="AE295" s="1"/>
      <c r="AF295" s="223">
        <f>IF(ISBLANK(AD295),0,COUNTIF(AF$4:AF294,"&gt;0")+1)</f>
        <v>0</v>
      </c>
      <c r="AG295" s="164">
        <f t="shared" si="63"/>
        <v>0</v>
      </c>
      <c r="AH295" s="99">
        <f t="shared" si="58"/>
        <v>0</v>
      </c>
      <c r="AI295" s="99">
        <f t="shared" si="64"/>
        <v>0</v>
      </c>
      <c r="AJ295" s="170">
        <f t="shared" si="65"/>
        <v>0</v>
      </c>
      <c r="AK295" s="204">
        <f t="shared" si="59"/>
        <v>0</v>
      </c>
      <c r="AL295" s="1049">
        <f>IF(ISERROR(AO295),0,IF(AND(AN295&gt;=$U$1,AN295&lt;=$U$2),IF(AO295='ESTRATTO CONTO'!$E$2,1+COUNTIF(AL$4:AL294,"&gt;0")+U$1009,0),0))</f>
        <v>0</v>
      </c>
      <c r="AM295" s="747">
        <f t="shared" si="62"/>
        <v>292</v>
      </c>
      <c r="AN295" s="164" t="e">
        <f>VLOOKUP($AM295,PATRIMONIALE!$AV347:AW$1003,2,FALSE)</f>
        <v>#N/A</v>
      </c>
      <c r="AO295" s="310" t="e">
        <f>VLOOKUP($AM295,PATRIMONIALE!$AV347:AX$1003,3,FALSE)</f>
        <v>#N/A</v>
      </c>
      <c r="AP295" s="310" t="e">
        <f>VLOOKUP($AM295,PATRIMONIALE!$AV347:AY$1003,4,FALSE)</f>
        <v>#N/A</v>
      </c>
      <c r="AQ295" s="748" t="e">
        <f>VLOOKUP($AM295,PATRIMONIALE!$AV347:AZ$1003,5,FALSE)</f>
        <v>#N/A</v>
      </c>
      <c r="AR295" s="1"/>
      <c r="AS295" s="461" t="str">
        <f t="shared" si="60"/>
        <v/>
      </c>
      <c r="AT295" s="370"/>
    </row>
    <row r="296" spans="1:46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435">
        <f>IF(AND(W296&gt;=$U$1,W296&lt;=$U$2),IF(X296='ESTRATTO CONTO'!$E$2,1+COUNTIF(U$4:U295,"&gt;0"),0),0)</f>
        <v>0</v>
      </c>
      <c r="V296" s="417">
        <f t="shared" si="61"/>
        <v>293</v>
      </c>
      <c r="W296" s="509"/>
      <c r="X296" s="321"/>
      <c r="Y296" s="321"/>
      <c r="Z296" s="433"/>
      <c r="AA296" s="356"/>
      <c r="AB296" s="306" t="str">
        <f t="shared" si="56"/>
        <v/>
      </c>
      <c r="AC296" s="893">
        <f t="shared" si="57"/>
        <v>0</v>
      </c>
      <c r="AD296" s="322"/>
      <c r="AE296" s="1"/>
      <c r="AF296" s="223">
        <f>IF(ISBLANK(AD296),0,COUNTIF(AF$4:AF295,"&gt;0")+1)</f>
        <v>0</v>
      </c>
      <c r="AG296" s="164">
        <f t="shared" si="63"/>
        <v>0</v>
      </c>
      <c r="AH296" s="99">
        <f t="shared" si="58"/>
        <v>0</v>
      </c>
      <c r="AI296" s="99">
        <f t="shared" si="64"/>
        <v>0</v>
      </c>
      <c r="AJ296" s="170">
        <f t="shared" si="65"/>
        <v>0</v>
      </c>
      <c r="AK296" s="204">
        <f t="shared" si="59"/>
        <v>0</v>
      </c>
      <c r="AL296" s="1049">
        <f>IF(ISERROR(AO296),0,IF(AND(AN296&gt;=$U$1,AN296&lt;=$U$2),IF(AO296='ESTRATTO CONTO'!$E$2,1+COUNTIF(AL$4:AL295,"&gt;0")+U$1009,0),0))</f>
        <v>0</v>
      </c>
      <c r="AM296" s="747">
        <f t="shared" si="62"/>
        <v>293</v>
      </c>
      <c r="AN296" s="164" t="e">
        <f>VLOOKUP($AM296,PATRIMONIALE!$AV348:AW$1003,2,FALSE)</f>
        <v>#N/A</v>
      </c>
      <c r="AO296" s="310" t="e">
        <f>VLOOKUP($AM296,PATRIMONIALE!$AV348:AX$1003,3,FALSE)</f>
        <v>#N/A</v>
      </c>
      <c r="AP296" s="310" t="e">
        <f>VLOOKUP($AM296,PATRIMONIALE!$AV348:AY$1003,4,FALSE)</f>
        <v>#N/A</v>
      </c>
      <c r="AQ296" s="748" t="e">
        <f>VLOOKUP($AM296,PATRIMONIALE!$AV348:AZ$1003,5,FALSE)</f>
        <v>#N/A</v>
      </c>
      <c r="AR296" s="1"/>
      <c r="AS296" s="461" t="str">
        <f t="shared" si="60"/>
        <v/>
      </c>
      <c r="AT296" s="370"/>
    </row>
    <row r="297" spans="1:46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435">
        <f>IF(AND(W297&gt;=$U$1,W297&lt;=$U$2),IF(X297='ESTRATTO CONTO'!$E$2,1+COUNTIF(U$4:U296,"&gt;0"),0),0)</f>
        <v>0</v>
      </c>
      <c r="V297" s="417">
        <f t="shared" si="61"/>
        <v>294</v>
      </c>
      <c r="W297" s="509"/>
      <c r="X297" s="321"/>
      <c r="Y297" s="321"/>
      <c r="Z297" s="433"/>
      <c r="AA297" s="356"/>
      <c r="AB297" s="306" t="str">
        <f t="shared" si="56"/>
        <v/>
      </c>
      <c r="AC297" s="893">
        <f t="shared" si="57"/>
        <v>0</v>
      </c>
      <c r="AD297" s="322"/>
      <c r="AE297" s="1"/>
      <c r="AF297" s="223">
        <f>IF(ISBLANK(AD297),0,COUNTIF(AF$4:AF296,"&gt;0")+1)</f>
        <v>0</v>
      </c>
      <c r="AG297" s="164">
        <f t="shared" si="63"/>
        <v>0</v>
      </c>
      <c r="AH297" s="99">
        <f t="shared" si="58"/>
        <v>0</v>
      </c>
      <c r="AI297" s="99">
        <f t="shared" si="64"/>
        <v>0</v>
      </c>
      <c r="AJ297" s="170">
        <f t="shared" si="65"/>
        <v>0</v>
      </c>
      <c r="AK297" s="204">
        <f t="shared" si="59"/>
        <v>0</v>
      </c>
      <c r="AL297" s="1049">
        <f>IF(ISERROR(AO297),0,IF(AND(AN297&gt;=$U$1,AN297&lt;=$U$2),IF(AO297='ESTRATTO CONTO'!$E$2,1+COUNTIF(AL$4:AL296,"&gt;0")+U$1009,0),0))</f>
        <v>0</v>
      </c>
      <c r="AM297" s="747">
        <f t="shared" si="62"/>
        <v>294</v>
      </c>
      <c r="AN297" s="164" t="e">
        <f>VLOOKUP($AM297,PATRIMONIALE!$AV349:AW$1003,2,FALSE)</f>
        <v>#N/A</v>
      </c>
      <c r="AO297" s="310" t="e">
        <f>VLOOKUP($AM297,PATRIMONIALE!$AV349:AX$1003,3,FALSE)</f>
        <v>#N/A</v>
      </c>
      <c r="AP297" s="310" t="e">
        <f>VLOOKUP($AM297,PATRIMONIALE!$AV349:AY$1003,4,FALSE)</f>
        <v>#N/A</v>
      </c>
      <c r="AQ297" s="748" t="e">
        <f>VLOOKUP($AM297,PATRIMONIALE!$AV349:AZ$1003,5,FALSE)</f>
        <v>#N/A</v>
      </c>
      <c r="AR297" s="1"/>
      <c r="AS297" s="461" t="str">
        <f t="shared" si="60"/>
        <v/>
      </c>
      <c r="AT297" s="370"/>
    </row>
    <row r="298" spans="1:46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435">
        <f>IF(AND(W298&gt;=$U$1,W298&lt;=$U$2),IF(X298='ESTRATTO CONTO'!$E$2,1+COUNTIF(U$4:U297,"&gt;0"),0),0)</f>
        <v>0</v>
      </c>
      <c r="V298" s="417">
        <f t="shared" si="61"/>
        <v>295</v>
      </c>
      <c r="W298" s="509"/>
      <c r="X298" s="321"/>
      <c r="Y298" s="321"/>
      <c r="Z298" s="433"/>
      <c r="AA298" s="356"/>
      <c r="AB298" s="306" t="str">
        <f t="shared" si="56"/>
        <v/>
      </c>
      <c r="AC298" s="893">
        <f t="shared" si="57"/>
        <v>0</v>
      </c>
      <c r="AD298" s="322"/>
      <c r="AE298" s="1"/>
      <c r="AF298" s="223">
        <f>IF(ISBLANK(AD298),0,COUNTIF(AF$4:AF297,"&gt;0")+1)</f>
        <v>0</v>
      </c>
      <c r="AG298" s="164">
        <f t="shared" si="63"/>
        <v>0</v>
      </c>
      <c r="AH298" s="99">
        <f t="shared" si="58"/>
        <v>0</v>
      </c>
      <c r="AI298" s="99">
        <f t="shared" si="64"/>
        <v>0</v>
      </c>
      <c r="AJ298" s="170">
        <f t="shared" si="65"/>
        <v>0</v>
      </c>
      <c r="AK298" s="204">
        <f t="shared" si="59"/>
        <v>0</v>
      </c>
      <c r="AL298" s="1049">
        <f>IF(ISERROR(AO298),0,IF(AND(AN298&gt;=$U$1,AN298&lt;=$U$2),IF(AO298='ESTRATTO CONTO'!$E$2,1+COUNTIF(AL$4:AL297,"&gt;0")+U$1009,0),0))</f>
        <v>0</v>
      </c>
      <c r="AM298" s="747">
        <f t="shared" si="62"/>
        <v>295</v>
      </c>
      <c r="AN298" s="164" t="e">
        <f>VLOOKUP($AM298,PATRIMONIALE!$AV350:AW$1003,2,FALSE)</f>
        <v>#N/A</v>
      </c>
      <c r="AO298" s="310" t="e">
        <f>VLOOKUP($AM298,PATRIMONIALE!$AV350:AX$1003,3,FALSE)</f>
        <v>#N/A</v>
      </c>
      <c r="AP298" s="310" t="e">
        <f>VLOOKUP($AM298,PATRIMONIALE!$AV350:AY$1003,4,FALSE)</f>
        <v>#N/A</v>
      </c>
      <c r="AQ298" s="748" t="e">
        <f>VLOOKUP($AM298,PATRIMONIALE!$AV350:AZ$1003,5,FALSE)</f>
        <v>#N/A</v>
      </c>
      <c r="AR298" s="1"/>
      <c r="AS298" s="461" t="str">
        <f t="shared" si="60"/>
        <v/>
      </c>
      <c r="AT298" s="370"/>
    </row>
    <row r="299" spans="1:46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435">
        <f>IF(AND(W299&gt;=$U$1,W299&lt;=$U$2),IF(X299='ESTRATTO CONTO'!$E$2,1+COUNTIF(U$4:U298,"&gt;0"),0),0)</f>
        <v>0</v>
      </c>
      <c r="V299" s="417">
        <f t="shared" si="61"/>
        <v>296</v>
      </c>
      <c r="W299" s="509"/>
      <c r="X299" s="321"/>
      <c r="Y299" s="321"/>
      <c r="Z299" s="433"/>
      <c r="AA299" s="356"/>
      <c r="AB299" s="306" t="str">
        <f t="shared" si="56"/>
        <v/>
      </c>
      <c r="AC299" s="893">
        <f t="shared" si="57"/>
        <v>0</v>
      </c>
      <c r="AD299" s="322"/>
      <c r="AE299" s="1"/>
      <c r="AF299" s="223">
        <f>IF(ISBLANK(AD299),0,COUNTIF(AF$4:AF298,"&gt;0")+1)</f>
        <v>0</v>
      </c>
      <c r="AG299" s="164">
        <f t="shared" si="63"/>
        <v>0</v>
      </c>
      <c r="AH299" s="99">
        <f t="shared" si="58"/>
        <v>0</v>
      </c>
      <c r="AI299" s="99">
        <f t="shared" si="64"/>
        <v>0</v>
      </c>
      <c r="AJ299" s="170">
        <f t="shared" si="65"/>
        <v>0</v>
      </c>
      <c r="AK299" s="204">
        <f t="shared" si="59"/>
        <v>0</v>
      </c>
      <c r="AL299" s="1049">
        <f>IF(ISERROR(AO299),0,IF(AND(AN299&gt;=$U$1,AN299&lt;=$U$2),IF(AO299='ESTRATTO CONTO'!$E$2,1+COUNTIF(AL$4:AL298,"&gt;0")+U$1009,0),0))</f>
        <v>0</v>
      </c>
      <c r="AM299" s="747">
        <f t="shared" si="62"/>
        <v>296</v>
      </c>
      <c r="AN299" s="164" t="e">
        <f>VLOOKUP($AM299,PATRIMONIALE!$AV351:AW$1003,2,FALSE)</f>
        <v>#N/A</v>
      </c>
      <c r="AO299" s="310" t="e">
        <f>VLOOKUP($AM299,PATRIMONIALE!$AV351:AX$1003,3,FALSE)</f>
        <v>#N/A</v>
      </c>
      <c r="AP299" s="310" t="e">
        <f>VLOOKUP($AM299,PATRIMONIALE!$AV351:AY$1003,4,FALSE)</f>
        <v>#N/A</v>
      </c>
      <c r="AQ299" s="748" t="e">
        <f>VLOOKUP($AM299,PATRIMONIALE!$AV351:AZ$1003,5,FALSE)</f>
        <v>#N/A</v>
      </c>
      <c r="AR299" s="1"/>
      <c r="AS299" s="461" t="str">
        <f t="shared" si="60"/>
        <v/>
      </c>
      <c r="AT299" s="370"/>
    </row>
    <row r="300" spans="1:46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435">
        <f>IF(AND(W300&gt;=$U$1,W300&lt;=$U$2),IF(X300='ESTRATTO CONTO'!$E$2,1+COUNTIF(U$4:U299,"&gt;0"),0),0)</f>
        <v>0</v>
      </c>
      <c r="V300" s="417">
        <f t="shared" si="61"/>
        <v>297</v>
      </c>
      <c r="W300" s="509"/>
      <c r="X300" s="321"/>
      <c r="Y300" s="321"/>
      <c r="Z300" s="433"/>
      <c r="AA300" s="356"/>
      <c r="AB300" s="306" t="str">
        <f t="shared" si="56"/>
        <v/>
      </c>
      <c r="AC300" s="893">
        <f t="shared" si="57"/>
        <v>0</v>
      </c>
      <c r="AD300" s="322"/>
      <c r="AE300" s="1"/>
      <c r="AF300" s="223">
        <f>IF(ISBLANK(AD300),0,COUNTIF(AF$4:AF299,"&gt;0")+1)</f>
        <v>0</v>
      </c>
      <c r="AG300" s="164">
        <f t="shared" si="63"/>
        <v>0</v>
      </c>
      <c r="AH300" s="99">
        <f t="shared" si="58"/>
        <v>0</v>
      </c>
      <c r="AI300" s="99">
        <f t="shared" si="64"/>
        <v>0</v>
      </c>
      <c r="AJ300" s="170">
        <f t="shared" si="65"/>
        <v>0</v>
      </c>
      <c r="AK300" s="204">
        <f t="shared" si="59"/>
        <v>0</v>
      </c>
      <c r="AL300" s="1049">
        <f>IF(ISERROR(AO300),0,IF(AND(AN300&gt;=$U$1,AN300&lt;=$U$2),IF(AO300='ESTRATTO CONTO'!$E$2,1+COUNTIF(AL$4:AL299,"&gt;0")+U$1009,0),0))</f>
        <v>0</v>
      </c>
      <c r="AM300" s="747">
        <f t="shared" si="62"/>
        <v>297</v>
      </c>
      <c r="AN300" s="164" t="e">
        <f>VLOOKUP($AM300,PATRIMONIALE!$AV352:AW$1003,2,FALSE)</f>
        <v>#N/A</v>
      </c>
      <c r="AO300" s="310" t="e">
        <f>VLOOKUP($AM300,PATRIMONIALE!$AV352:AX$1003,3,FALSE)</f>
        <v>#N/A</v>
      </c>
      <c r="AP300" s="310" t="e">
        <f>VLOOKUP($AM300,PATRIMONIALE!$AV352:AY$1003,4,FALSE)</f>
        <v>#N/A</v>
      </c>
      <c r="AQ300" s="748" t="e">
        <f>VLOOKUP($AM300,PATRIMONIALE!$AV352:AZ$1003,5,FALSE)</f>
        <v>#N/A</v>
      </c>
      <c r="AR300" s="1"/>
      <c r="AS300" s="461" t="str">
        <f t="shared" si="60"/>
        <v/>
      </c>
      <c r="AT300" s="370"/>
    </row>
    <row r="301" spans="1:46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435">
        <f>IF(AND(W301&gt;=$U$1,W301&lt;=$U$2),IF(X301='ESTRATTO CONTO'!$E$2,1+COUNTIF(U$4:U300,"&gt;0"),0),0)</f>
        <v>0</v>
      </c>
      <c r="V301" s="417">
        <f t="shared" si="61"/>
        <v>298</v>
      </c>
      <c r="W301" s="509"/>
      <c r="X301" s="321"/>
      <c r="Y301" s="321"/>
      <c r="Z301" s="433"/>
      <c r="AA301" s="356"/>
      <c r="AB301" s="306" t="str">
        <f t="shared" si="56"/>
        <v/>
      </c>
      <c r="AC301" s="893">
        <f t="shared" si="57"/>
        <v>0</v>
      </c>
      <c r="AD301" s="322"/>
      <c r="AE301" s="1"/>
      <c r="AF301" s="223">
        <f>IF(ISBLANK(AD301),0,COUNTIF(AF$4:AF300,"&gt;0")+1)</f>
        <v>0</v>
      </c>
      <c r="AG301" s="164">
        <f t="shared" si="63"/>
        <v>0</v>
      </c>
      <c r="AH301" s="99">
        <f t="shared" si="58"/>
        <v>0</v>
      </c>
      <c r="AI301" s="99">
        <f t="shared" si="64"/>
        <v>0</v>
      </c>
      <c r="AJ301" s="170">
        <f t="shared" si="65"/>
        <v>0</v>
      </c>
      <c r="AK301" s="204">
        <f t="shared" si="59"/>
        <v>0</v>
      </c>
      <c r="AL301" s="1049">
        <f>IF(ISERROR(AO301),0,IF(AND(AN301&gt;=$U$1,AN301&lt;=$U$2),IF(AO301='ESTRATTO CONTO'!$E$2,1+COUNTIF(AL$4:AL300,"&gt;0")+U$1009,0),0))</f>
        <v>0</v>
      </c>
      <c r="AM301" s="747">
        <f t="shared" si="62"/>
        <v>298</v>
      </c>
      <c r="AN301" s="164" t="e">
        <f>VLOOKUP($AM301,PATRIMONIALE!$AV353:AW$1003,2,FALSE)</f>
        <v>#N/A</v>
      </c>
      <c r="AO301" s="310" t="e">
        <f>VLOOKUP($AM301,PATRIMONIALE!$AV353:AX$1003,3,FALSE)</f>
        <v>#N/A</v>
      </c>
      <c r="AP301" s="310" t="e">
        <f>VLOOKUP($AM301,PATRIMONIALE!$AV353:AY$1003,4,FALSE)</f>
        <v>#N/A</v>
      </c>
      <c r="AQ301" s="748" t="e">
        <f>VLOOKUP($AM301,PATRIMONIALE!$AV353:AZ$1003,5,FALSE)</f>
        <v>#N/A</v>
      </c>
      <c r="AR301" s="1"/>
      <c r="AS301" s="461" t="str">
        <f t="shared" si="60"/>
        <v/>
      </c>
      <c r="AT301" s="370"/>
    </row>
    <row r="302" spans="1:46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435">
        <f>IF(AND(W302&gt;=$U$1,W302&lt;=$U$2),IF(X302='ESTRATTO CONTO'!$E$2,1+COUNTIF(U$4:U301,"&gt;0"),0),0)</f>
        <v>0</v>
      </c>
      <c r="V302" s="417">
        <f t="shared" si="61"/>
        <v>299</v>
      </c>
      <c r="W302" s="509"/>
      <c r="X302" s="321"/>
      <c r="Y302" s="321"/>
      <c r="Z302" s="433"/>
      <c r="AA302" s="356"/>
      <c r="AB302" s="306" t="str">
        <f t="shared" si="56"/>
        <v/>
      </c>
      <c r="AC302" s="893">
        <f t="shared" si="57"/>
        <v>0</v>
      </c>
      <c r="AD302" s="322"/>
      <c r="AE302" s="1"/>
      <c r="AF302" s="223">
        <f>IF(ISBLANK(AD302),0,COUNTIF(AF$4:AF301,"&gt;0")+1)</f>
        <v>0</v>
      </c>
      <c r="AG302" s="164">
        <f t="shared" si="63"/>
        <v>0</v>
      </c>
      <c r="AH302" s="99">
        <f t="shared" si="58"/>
        <v>0</v>
      </c>
      <c r="AI302" s="99">
        <f t="shared" si="64"/>
        <v>0</v>
      </c>
      <c r="AJ302" s="170">
        <f t="shared" si="65"/>
        <v>0</v>
      </c>
      <c r="AK302" s="204">
        <f t="shared" si="59"/>
        <v>0</v>
      </c>
      <c r="AL302" s="1049">
        <f>IF(ISERROR(AO302),0,IF(AND(AN302&gt;=$U$1,AN302&lt;=$U$2),IF(AO302='ESTRATTO CONTO'!$E$2,1+COUNTIF(AL$4:AL301,"&gt;0")+U$1009,0),0))</f>
        <v>0</v>
      </c>
      <c r="AM302" s="747">
        <f t="shared" si="62"/>
        <v>299</v>
      </c>
      <c r="AN302" s="164" t="e">
        <f>VLOOKUP($AM302,PATRIMONIALE!$AV354:AW$1003,2,FALSE)</f>
        <v>#N/A</v>
      </c>
      <c r="AO302" s="310" t="e">
        <f>VLOOKUP($AM302,PATRIMONIALE!$AV354:AX$1003,3,FALSE)</f>
        <v>#N/A</v>
      </c>
      <c r="AP302" s="310" t="e">
        <f>VLOOKUP($AM302,PATRIMONIALE!$AV354:AY$1003,4,FALSE)</f>
        <v>#N/A</v>
      </c>
      <c r="AQ302" s="748" t="e">
        <f>VLOOKUP($AM302,PATRIMONIALE!$AV354:AZ$1003,5,FALSE)</f>
        <v>#N/A</v>
      </c>
      <c r="AR302" s="1"/>
      <c r="AS302" s="461" t="str">
        <f t="shared" si="60"/>
        <v/>
      </c>
      <c r="AT302" s="370"/>
    </row>
    <row r="303" spans="1:46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435">
        <f>IF(AND(W303&gt;=$U$1,W303&lt;=$U$2),IF(X303='ESTRATTO CONTO'!$E$2,1+COUNTIF(U$4:U302,"&gt;0"),0),0)</f>
        <v>0</v>
      </c>
      <c r="V303" s="417">
        <f t="shared" si="61"/>
        <v>300</v>
      </c>
      <c r="W303" s="509"/>
      <c r="X303" s="321"/>
      <c r="Y303" s="321"/>
      <c r="Z303" s="433"/>
      <c r="AA303" s="356"/>
      <c r="AB303" s="306" t="str">
        <f t="shared" si="56"/>
        <v/>
      </c>
      <c r="AC303" s="893">
        <f t="shared" si="57"/>
        <v>0</v>
      </c>
      <c r="AD303" s="322"/>
      <c r="AE303" s="1"/>
      <c r="AF303" s="223">
        <f>IF(ISBLANK(AD303),0,COUNTIF(AF$4:AF302,"&gt;0")+1)</f>
        <v>0</v>
      </c>
      <c r="AG303" s="164">
        <f t="shared" si="63"/>
        <v>0</v>
      </c>
      <c r="AH303" s="99">
        <f t="shared" si="58"/>
        <v>0</v>
      </c>
      <c r="AI303" s="99">
        <f t="shared" si="64"/>
        <v>0</v>
      </c>
      <c r="AJ303" s="170">
        <f t="shared" si="65"/>
        <v>0</v>
      </c>
      <c r="AK303" s="204">
        <f t="shared" si="59"/>
        <v>0</v>
      </c>
      <c r="AL303" s="1049">
        <f>IF(ISERROR(AO303),0,IF(AND(AN303&gt;=$U$1,AN303&lt;=$U$2),IF(AO303='ESTRATTO CONTO'!$E$2,1+COUNTIF(AL$4:AL302,"&gt;0")+U$1009,0),0))</f>
        <v>0</v>
      </c>
      <c r="AM303" s="747">
        <f t="shared" si="62"/>
        <v>300</v>
      </c>
      <c r="AN303" s="164" t="e">
        <f>VLOOKUP($AM303,PATRIMONIALE!$AV355:AW$1003,2,FALSE)</f>
        <v>#N/A</v>
      </c>
      <c r="AO303" s="310" t="e">
        <f>VLOOKUP($AM303,PATRIMONIALE!$AV355:AX$1003,3,FALSE)</f>
        <v>#N/A</v>
      </c>
      <c r="AP303" s="310" t="e">
        <f>VLOOKUP($AM303,PATRIMONIALE!$AV355:AY$1003,4,FALSE)</f>
        <v>#N/A</v>
      </c>
      <c r="AQ303" s="748" t="e">
        <f>VLOOKUP($AM303,PATRIMONIALE!$AV355:AZ$1003,5,FALSE)</f>
        <v>#N/A</v>
      </c>
      <c r="AR303" s="1"/>
      <c r="AS303" s="461" t="str">
        <f t="shared" si="60"/>
        <v/>
      </c>
      <c r="AT303" s="370"/>
    </row>
    <row r="304" spans="1:46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435">
        <f>IF(AND(W304&gt;=$U$1,W304&lt;=$U$2),IF(X304='ESTRATTO CONTO'!$E$2,1+COUNTIF(U$4:U303,"&gt;0"),0),0)</f>
        <v>0</v>
      </c>
      <c r="V304" s="417">
        <f t="shared" si="61"/>
        <v>301</v>
      </c>
      <c r="W304" s="509"/>
      <c r="X304" s="321"/>
      <c r="Y304" s="321"/>
      <c r="Z304" s="433"/>
      <c r="AA304" s="356"/>
      <c r="AB304" s="306" t="str">
        <f t="shared" si="56"/>
        <v/>
      </c>
      <c r="AC304" s="893">
        <f t="shared" si="57"/>
        <v>0</v>
      </c>
      <c r="AD304" s="322"/>
      <c r="AE304" s="1"/>
      <c r="AF304" s="223">
        <f>IF(ISBLANK(AD304),0,COUNTIF(AF$4:AF303,"&gt;0")+1)</f>
        <v>0</v>
      </c>
      <c r="AG304" s="164">
        <f t="shared" si="63"/>
        <v>0</v>
      </c>
      <c r="AH304" s="99">
        <f t="shared" si="58"/>
        <v>0</v>
      </c>
      <c r="AI304" s="99">
        <f t="shared" si="64"/>
        <v>0</v>
      </c>
      <c r="AJ304" s="170">
        <f t="shared" si="65"/>
        <v>0</v>
      </c>
      <c r="AK304" s="204">
        <f t="shared" si="59"/>
        <v>0</v>
      </c>
      <c r="AL304" s="1049">
        <f>IF(ISERROR(AO304),0,IF(AND(AN304&gt;=$U$1,AN304&lt;=$U$2),IF(AO304='ESTRATTO CONTO'!$E$2,1+COUNTIF(AL$4:AL303,"&gt;0")+U$1009,0),0))</f>
        <v>0</v>
      </c>
      <c r="AM304" s="747">
        <f t="shared" si="62"/>
        <v>301</v>
      </c>
      <c r="AN304" s="164" t="e">
        <f>VLOOKUP($AM304,PATRIMONIALE!$AV356:AW$1003,2,FALSE)</f>
        <v>#N/A</v>
      </c>
      <c r="AO304" s="310" t="e">
        <f>VLOOKUP($AM304,PATRIMONIALE!$AV356:AX$1003,3,FALSE)</f>
        <v>#N/A</v>
      </c>
      <c r="AP304" s="310" t="e">
        <f>VLOOKUP($AM304,PATRIMONIALE!$AV356:AY$1003,4,FALSE)</f>
        <v>#N/A</v>
      </c>
      <c r="AQ304" s="748" t="e">
        <f>VLOOKUP($AM304,PATRIMONIALE!$AV356:AZ$1003,5,FALSE)</f>
        <v>#N/A</v>
      </c>
      <c r="AR304" s="1"/>
      <c r="AS304" s="461" t="str">
        <f t="shared" si="60"/>
        <v/>
      </c>
      <c r="AT304" s="370"/>
    </row>
    <row r="305" spans="1:46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435">
        <f>IF(AND(W305&gt;=$U$1,W305&lt;=$U$2),IF(X305='ESTRATTO CONTO'!$E$2,1+COUNTIF(U$4:U304,"&gt;0"),0),0)</f>
        <v>0</v>
      </c>
      <c r="V305" s="417">
        <f t="shared" si="61"/>
        <v>302</v>
      </c>
      <c r="W305" s="509"/>
      <c r="X305" s="321"/>
      <c r="Y305" s="321"/>
      <c r="Z305" s="433"/>
      <c r="AA305" s="356"/>
      <c r="AB305" s="306" t="str">
        <f t="shared" si="56"/>
        <v/>
      </c>
      <c r="AC305" s="893">
        <f t="shared" si="57"/>
        <v>0</v>
      </c>
      <c r="AD305" s="322"/>
      <c r="AE305" s="1"/>
      <c r="AF305" s="223">
        <f>IF(ISBLANK(AD305),0,COUNTIF(AF$4:AF304,"&gt;0")+1)</f>
        <v>0</v>
      </c>
      <c r="AG305" s="164">
        <f t="shared" si="63"/>
        <v>0</v>
      </c>
      <c r="AH305" s="99">
        <f t="shared" si="58"/>
        <v>0</v>
      </c>
      <c r="AI305" s="99">
        <f t="shared" si="64"/>
        <v>0</v>
      </c>
      <c r="AJ305" s="170">
        <f t="shared" si="65"/>
        <v>0</v>
      </c>
      <c r="AK305" s="204">
        <f t="shared" si="59"/>
        <v>0</v>
      </c>
      <c r="AL305" s="1049">
        <f>IF(ISERROR(AO305),0,IF(AND(AN305&gt;=$U$1,AN305&lt;=$U$2),IF(AO305='ESTRATTO CONTO'!$E$2,1+COUNTIF(AL$4:AL304,"&gt;0")+U$1009,0),0))</f>
        <v>0</v>
      </c>
      <c r="AM305" s="747">
        <f t="shared" si="62"/>
        <v>302</v>
      </c>
      <c r="AN305" s="164" t="e">
        <f>VLOOKUP($AM305,PATRIMONIALE!$AV357:AW$1003,2,FALSE)</f>
        <v>#N/A</v>
      </c>
      <c r="AO305" s="310" t="e">
        <f>VLOOKUP($AM305,PATRIMONIALE!$AV357:AX$1003,3,FALSE)</f>
        <v>#N/A</v>
      </c>
      <c r="AP305" s="310" t="e">
        <f>VLOOKUP($AM305,PATRIMONIALE!$AV357:AY$1003,4,FALSE)</f>
        <v>#N/A</v>
      </c>
      <c r="AQ305" s="748" t="e">
        <f>VLOOKUP($AM305,PATRIMONIALE!$AV357:AZ$1003,5,FALSE)</f>
        <v>#N/A</v>
      </c>
      <c r="AR305" s="1"/>
      <c r="AS305" s="461" t="str">
        <f t="shared" si="60"/>
        <v/>
      </c>
      <c r="AT305" s="370"/>
    </row>
    <row r="306" spans="1:46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435">
        <f>IF(AND(W306&gt;=$U$1,W306&lt;=$U$2),IF(X306='ESTRATTO CONTO'!$E$2,1+COUNTIF(U$4:U305,"&gt;0"),0),0)</f>
        <v>0</v>
      </c>
      <c r="V306" s="417">
        <f t="shared" si="61"/>
        <v>303</v>
      </c>
      <c r="W306" s="509"/>
      <c r="X306" s="321"/>
      <c r="Y306" s="321"/>
      <c r="Z306" s="433"/>
      <c r="AA306" s="356"/>
      <c r="AB306" s="306" t="str">
        <f t="shared" si="56"/>
        <v/>
      </c>
      <c r="AC306" s="893">
        <f t="shared" si="57"/>
        <v>0</v>
      </c>
      <c r="AD306" s="322"/>
      <c r="AE306" s="1"/>
      <c r="AF306" s="223">
        <f>IF(ISBLANK(AD306),0,COUNTIF(AF$4:AF305,"&gt;0")+1)</f>
        <v>0</v>
      </c>
      <c r="AG306" s="164">
        <f t="shared" si="63"/>
        <v>0</v>
      </c>
      <c r="AH306" s="99">
        <f t="shared" si="58"/>
        <v>0</v>
      </c>
      <c r="AI306" s="99">
        <f t="shared" si="64"/>
        <v>0</v>
      </c>
      <c r="AJ306" s="170">
        <f t="shared" si="65"/>
        <v>0</v>
      </c>
      <c r="AK306" s="204">
        <f t="shared" si="59"/>
        <v>0</v>
      </c>
      <c r="AL306" s="1049">
        <f>IF(ISERROR(AO306),0,IF(AND(AN306&gt;=$U$1,AN306&lt;=$U$2),IF(AO306='ESTRATTO CONTO'!$E$2,1+COUNTIF(AL$4:AL305,"&gt;0")+U$1009,0),0))</f>
        <v>0</v>
      </c>
      <c r="AM306" s="747">
        <f t="shared" si="62"/>
        <v>303</v>
      </c>
      <c r="AN306" s="164" t="e">
        <f>VLOOKUP($AM306,PATRIMONIALE!$AV358:AW$1003,2,FALSE)</f>
        <v>#N/A</v>
      </c>
      <c r="AO306" s="310" t="e">
        <f>VLOOKUP($AM306,PATRIMONIALE!$AV358:AX$1003,3,FALSE)</f>
        <v>#N/A</v>
      </c>
      <c r="AP306" s="310" t="e">
        <f>VLOOKUP($AM306,PATRIMONIALE!$AV358:AY$1003,4,FALSE)</f>
        <v>#N/A</v>
      </c>
      <c r="AQ306" s="748" t="e">
        <f>VLOOKUP($AM306,PATRIMONIALE!$AV358:AZ$1003,5,FALSE)</f>
        <v>#N/A</v>
      </c>
      <c r="AR306" s="1"/>
      <c r="AS306" s="461" t="str">
        <f t="shared" si="60"/>
        <v/>
      </c>
      <c r="AT306" s="370"/>
    </row>
    <row r="307" spans="1:46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435">
        <f>IF(AND(W307&gt;=$U$1,W307&lt;=$U$2),IF(X307='ESTRATTO CONTO'!$E$2,1+COUNTIF(U$4:U306,"&gt;0"),0),0)</f>
        <v>0</v>
      </c>
      <c r="V307" s="417">
        <f t="shared" si="61"/>
        <v>304</v>
      </c>
      <c r="W307" s="509"/>
      <c r="X307" s="321"/>
      <c r="Y307" s="321"/>
      <c r="Z307" s="433"/>
      <c r="AA307" s="356"/>
      <c r="AB307" s="306" t="str">
        <f t="shared" si="56"/>
        <v/>
      </c>
      <c r="AC307" s="893">
        <f t="shared" si="57"/>
        <v>0</v>
      </c>
      <c r="AD307" s="322"/>
      <c r="AE307" s="1"/>
      <c r="AF307" s="223">
        <f>IF(ISBLANK(AD307),0,COUNTIF(AF$4:AF306,"&gt;0")+1)</f>
        <v>0</v>
      </c>
      <c r="AG307" s="164">
        <f t="shared" si="63"/>
        <v>0</v>
      </c>
      <c r="AH307" s="99">
        <f t="shared" si="58"/>
        <v>0</v>
      </c>
      <c r="AI307" s="99">
        <f t="shared" si="64"/>
        <v>0</v>
      </c>
      <c r="AJ307" s="170">
        <f t="shared" si="65"/>
        <v>0</v>
      </c>
      <c r="AK307" s="204">
        <f t="shared" si="59"/>
        <v>0</v>
      </c>
      <c r="AL307" s="1049">
        <f>IF(ISERROR(AO307),0,IF(AND(AN307&gt;=$U$1,AN307&lt;=$U$2),IF(AO307='ESTRATTO CONTO'!$E$2,1+COUNTIF(AL$4:AL306,"&gt;0")+U$1009,0),0))</f>
        <v>0</v>
      </c>
      <c r="AM307" s="747">
        <f t="shared" si="62"/>
        <v>304</v>
      </c>
      <c r="AN307" s="164" t="e">
        <f>VLOOKUP($AM307,PATRIMONIALE!$AV359:AW$1003,2,FALSE)</f>
        <v>#N/A</v>
      </c>
      <c r="AO307" s="310" t="e">
        <f>VLOOKUP($AM307,PATRIMONIALE!$AV359:AX$1003,3,FALSE)</f>
        <v>#N/A</v>
      </c>
      <c r="AP307" s="310" t="e">
        <f>VLOOKUP($AM307,PATRIMONIALE!$AV359:AY$1003,4,FALSE)</f>
        <v>#N/A</v>
      </c>
      <c r="AQ307" s="748" t="e">
        <f>VLOOKUP($AM307,PATRIMONIALE!$AV359:AZ$1003,5,FALSE)</f>
        <v>#N/A</v>
      </c>
      <c r="AR307" s="1"/>
      <c r="AS307" s="461" t="str">
        <f t="shared" si="60"/>
        <v/>
      </c>
      <c r="AT307" s="370"/>
    </row>
    <row r="308" spans="1:46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435">
        <f>IF(AND(W308&gt;=$U$1,W308&lt;=$U$2),IF(X308='ESTRATTO CONTO'!$E$2,1+COUNTIF(U$4:U307,"&gt;0"),0),0)</f>
        <v>0</v>
      </c>
      <c r="V308" s="417">
        <f t="shared" si="61"/>
        <v>305</v>
      </c>
      <c r="W308" s="509"/>
      <c r="X308" s="321"/>
      <c r="Y308" s="321"/>
      <c r="Z308" s="433"/>
      <c r="AA308" s="356"/>
      <c r="AB308" s="306" t="str">
        <f t="shared" si="56"/>
        <v/>
      </c>
      <c r="AC308" s="893">
        <f t="shared" si="57"/>
        <v>0</v>
      </c>
      <c r="AD308" s="322"/>
      <c r="AE308" s="1"/>
      <c r="AF308" s="223">
        <f>IF(ISBLANK(AD308),0,COUNTIF(AF$4:AF307,"&gt;0")+1)</f>
        <v>0</v>
      </c>
      <c r="AG308" s="164">
        <f t="shared" si="63"/>
        <v>0</v>
      </c>
      <c r="AH308" s="99">
        <f t="shared" si="58"/>
        <v>0</v>
      </c>
      <c r="AI308" s="99">
        <f t="shared" si="64"/>
        <v>0</v>
      </c>
      <c r="AJ308" s="170">
        <f t="shared" si="65"/>
        <v>0</v>
      </c>
      <c r="AK308" s="204">
        <f t="shared" si="59"/>
        <v>0</v>
      </c>
      <c r="AL308" s="1049">
        <f>IF(ISERROR(AO308),0,IF(AND(AN308&gt;=$U$1,AN308&lt;=$U$2),IF(AO308='ESTRATTO CONTO'!$E$2,1+COUNTIF(AL$4:AL307,"&gt;0")+U$1009,0),0))</f>
        <v>0</v>
      </c>
      <c r="AM308" s="747">
        <f t="shared" si="62"/>
        <v>305</v>
      </c>
      <c r="AN308" s="164" t="e">
        <f>VLOOKUP($AM308,PATRIMONIALE!$AV360:AW$1003,2,FALSE)</f>
        <v>#N/A</v>
      </c>
      <c r="AO308" s="310" t="e">
        <f>VLOOKUP($AM308,PATRIMONIALE!$AV360:AX$1003,3,FALSE)</f>
        <v>#N/A</v>
      </c>
      <c r="AP308" s="310" t="e">
        <f>VLOOKUP($AM308,PATRIMONIALE!$AV360:AY$1003,4,FALSE)</f>
        <v>#N/A</v>
      </c>
      <c r="AQ308" s="748" t="e">
        <f>VLOOKUP($AM308,PATRIMONIALE!$AV360:AZ$1003,5,FALSE)</f>
        <v>#N/A</v>
      </c>
      <c r="AR308" s="1"/>
      <c r="AS308" s="461" t="str">
        <f t="shared" si="60"/>
        <v/>
      </c>
      <c r="AT308" s="370"/>
    </row>
    <row r="309" spans="1:46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435">
        <f>IF(AND(W309&gt;=$U$1,W309&lt;=$U$2),IF(X309='ESTRATTO CONTO'!$E$2,1+COUNTIF(U$4:U308,"&gt;0"),0),0)</f>
        <v>0</v>
      </c>
      <c r="V309" s="417">
        <f t="shared" si="61"/>
        <v>306</v>
      </c>
      <c r="W309" s="509"/>
      <c r="X309" s="321"/>
      <c r="Y309" s="321"/>
      <c r="Z309" s="433"/>
      <c r="AA309" s="356"/>
      <c r="AB309" s="306" t="str">
        <f t="shared" si="56"/>
        <v/>
      </c>
      <c r="AC309" s="893">
        <f t="shared" si="57"/>
        <v>0</v>
      </c>
      <c r="AD309" s="322"/>
      <c r="AE309" s="1"/>
      <c r="AF309" s="223">
        <f>IF(ISBLANK(AD309),0,COUNTIF(AF$4:AF308,"&gt;0")+1)</f>
        <v>0</v>
      </c>
      <c r="AG309" s="164">
        <f t="shared" si="63"/>
        <v>0</v>
      </c>
      <c r="AH309" s="99">
        <f t="shared" si="58"/>
        <v>0</v>
      </c>
      <c r="AI309" s="99">
        <f t="shared" si="64"/>
        <v>0</v>
      </c>
      <c r="AJ309" s="170">
        <f t="shared" si="65"/>
        <v>0</v>
      </c>
      <c r="AK309" s="204">
        <f t="shared" si="59"/>
        <v>0</v>
      </c>
      <c r="AL309" s="1049">
        <f>IF(ISERROR(AO309),0,IF(AND(AN309&gt;=$U$1,AN309&lt;=$U$2),IF(AO309='ESTRATTO CONTO'!$E$2,1+COUNTIF(AL$4:AL308,"&gt;0")+U$1009,0),0))</f>
        <v>0</v>
      </c>
      <c r="AM309" s="747">
        <f t="shared" si="62"/>
        <v>306</v>
      </c>
      <c r="AN309" s="164" t="e">
        <f>VLOOKUP($AM309,PATRIMONIALE!$AV361:AW$1003,2,FALSE)</f>
        <v>#N/A</v>
      </c>
      <c r="AO309" s="310" t="e">
        <f>VLOOKUP($AM309,PATRIMONIALE!$AV361:AX$1003,3,FALSE)</f>
        <v>#N/A</v>
      </c>
      <c r="AP309" s="310" t="e">
        <f>VLOOKUP($AM309,PATRIMONIALE!$AV361:AY$1003,4,FALSE)</f>
        <v>#N/A</v>
      </c>
      <c r="AQ309" s="748" t="e">
        <f>VLOOKUP($AM309,PATRIMONIALE!$AV361:AZ$1003,5,FALSE)</f>
        <v>#N/A</v>
      </c>
      <c r="AR309" s="1"/>
      <c r="AS309" s="461" t="str">
        <f t="shared" si="60"/>
        <v/>
      </c>
      <c r="AT309" s="370"/>
    </row>
    <row r="310" spans="1:46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435">
        <f>IF(AND(W310&gt;=$U$1,W310&lt;=$U$2),IF(X310='ESTRATTO CONTO'!$E$2,1+COUNTIF(U$4:U309,"&gt;0"),0),0)</f>
        <v>0</v>
      </c>
      <c r="V310" s="417">
        <f t="shared" si="61"/>
        <v>307</v>
      </c>
      <c r="W310" s="509"/>
      <c r="X310" s="321"/>
      <c r="Y310" s="321"/>
      <c r="Z310" s="433"/>
      <c r="AA310" s="356"/>
      <c r="AB310" s="306" t="str">
        <f t="shared" si="56"/>
        <v/>
      </c>
      <c r="AC310" s="893">
        <f t="shared" si="57"/>
        <v>0</v>
      </c>
      <c r="AD310" s="322"/>
      <c r="AE310" s="1"/>
      <c r="AF310" s="223">
        <f>IF(ISBLANK(AD310),0,COUNTIF(AF$4:AF309,"&gt;0")+1)</f>
        <v>0</v>
      </c>
      <c r="AG310" s="164">
        <f t="shared" si="63"/>
        <v>0</v>
      </c>
      <c r="AH310" s="99">
        <f t="shared" si="58"/>
        <v>0</v>
      </c>
      <c r="AI310" s="99">
        <f t="shared" si="64"/>
        <v>0</v>
      </c>
      <c r="AJ310" s="170">
        <f t="shared" si="65"/>
        <v>0</v>
      </c>
      <c r="AK310" s="204">
        <f t="shared" si="59"/>
        <v>0</v>
      </c>
      <c r="AL310" s="1049">
        <f>IF(ISERROR(AO310),0,IF(AND(AN310&gt;=$U$1,AN310&lt;=$U$2),IF(AO310='ESTRATTO CONTO'!$E$2,1+COUNTIF(AL$4:AL309,"&gt;0")+U$1009,0),0))</f>
        <v>0</v>
      </c>
      <c r="AM310" s="747">
        <f t="shared" si="62"/>
        <v>307</v>
      </c>
      <c r="AN310" s="164" t="e">
        <f>VLOOKUP($AM310,PATRIMONIALE!$AV362:AW$1003,2,FALSE)</f>
        <v>#N/A</v>
      </c>
      <c r="AO310" s="310" t="e">
        <f>VLOOKUP($AM310,PATRIMONIALE!$AV362:AX$1003,3,FALSE)</f>
        <v>#N/A</v>
      </c>
      <c r="AP310" s="310" t="e">
        <f>VLOOKUP($AM310,PATRIMONIALE!$AV362:AY$1003,4,FALSE)</f>
        <v>#N/A</v>
      </c>
      <c r="AQ310" s="748" t="e">
        <f>VLOOKUP($AM310,PATRIMONIALE!$AV362:AZ$1003,5,FALSE)</f>
        <v>#N/A</v>
      </c>
      <c r="AR310" s="1"/>
      <c r="AS310" s="461" t="str">
        <f t="shared" si="60"/>
        <v/>
      </c>
      <c r="AT310" s="370"/>
    </row>
    <row r="311" spans="1:46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435">
        <f>IF(AND(W311&gt;=$U$1,W311&lt;=$U$2),IF(X311='ESTRATTO CONTO'!$E$2,1+COUNTIF(U$4:U310,"&gt;0"),0),0)</f>
        <v>0</v>
      </c>
      <c r="V311" s="417">
        <f t="shared" si="61"/>
        <v>308</v>
      </c>
      <c r="W311" s="509"/>
      <c r="X311" s="321"/>
      <c r="Y311" s="321"/>
      <c r="Z311" s="433"/>
      <c r="AA311" s="356"/>
      <c r="AB311" s="306" t="str">
        <f t="shared" si="56"/>
        <v/>
      </c>
      <c r="AC311" s="893">
        <f t="shared" si="57"/>
        <v>0</v>
      </c>
      <c r="AD311" s="322"/>
      <c r="AE311" s="1"/>
      <c r="AF311" s="223">
        <f>IF(ISBLANK(AD311),0,COUNTIF(AF$4:AF310,"&gt;0")+1)</f>
        <v>0</v>
      </c>
      <c r="AG311" s="164">
        <f t="shared" si="63"/>
        <v>0</v>
      </c>
      <c r="AH311" s="99">
        <f t="shared" si="58"/>
        <v>0</v>
      </c>
      <c r="AI311" s="99">
        <f t="shared" si="64"/>
        <v>0</v>
      </c>
      <c r="AJ311" s="170">
        <f t="shared" si="65"/>
        <v>0</v>
      </c>
      <c r="AK311" s="204">
        <f t="shared" si="59"/>
        <v>0</v>
      </c>
      <c r="AL311" s="1049">
        <f>IF(ISERROR(AO311),0,IF(AND(AN311&gt;=$U$1,AN311&lt;=$U$2),IF(AO311='ESTRATTO CONTO'!$E$2,1+COUNTIF(AL$4:AL310,"&gt;0")+U$1009,0),0))</f>
        <v>0</v>
      </c>
      <c r="AM311" s="747">
        <f t="shared" si="62"/>
        <v>308</v>
      </c>
      <c r="AN311" s="164" t="e">
        <f>VLOOKUP($AM311,PATRIMONIALE!$AV363:AW$1003,2,FALSE)</f>
        <v>#N/A</v>
      </c>
      <c r="AO311" s="310" t="e">
        <f>VLOOKUP($AM311,PATRIMONIALE!$AV363:AX$1003,3,FALSE)</f>
        <v>#N/A</v>
      </c>
      <c r="AP311" s="310" t="e">
        <f>VLOOKUP($AM311,PATRIMONIALE!$AV363:AY$1003,4,FALSE)</f>
        <v>#N/A</v>
      </c>
      <c r="AQ311" s="748" t="e">
        <f>VLOOKUP($AM311,PATRIMONIALE!$AV363:AZ$1003,5,FALSE)</f>
        <v>#N/A</v>
      </c>
      <c r="AR311" s="1"/>
      <c r="AS311" s="461" t="str">
        <f t="shared" si="60"/>
        <v/>
      </c>
      <c r="AT311" s="370"/>
    </row>
    <row r="312" spans="1:46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435">
        <f>IF(AND(W312&gt;=$U$1,W312&lt;=$U$2),IF(X312='ESTRATTO CONTO'!$E$2,1+COUNTIF(U$4:U311,"&gt;0"),0),0)</f>
        <v>0</v>
      </c>
      <c r="V312" s="417">
        <f t="shared" si="61"/>
        <v>309</v>
      </c>
      <c r="W312" s="509"/>
      <c r="X312" s="321"/>
      <c r="Y312" s="321"/>
      <c r="Z312" s="433"/>
      <c r="AA312" s="356"/>
      <c r="AB312" s="306" t="str">
        <f t="shared" si="56"/>
        <v/>
      </c>
      <c r="AC312" s="893">
        <f t="shared" si="57"/>
        <v>0</v>
      </c>
      <c r="AD312" s="322"/>
      <c r="AE312" s="1"/>
      <c r="AF312" s="223">
        <f>IF(ISBLANK(AD312),0,COUNTIF(AF$4:AF311,"&gt;0")+1)</f>
        <v>0</v>
      </c>
      <c r="AG312" s="164">
        <f t="shared" si="63"/>
        <v>0</v>
      </c>
      <c r="AH312" s="99">
        <f t="shared" si="58"/>
        <v>0</v>
      </c>
      <c r="AI312" s="99">
        <f t="shared" si="64"/>
        <v>0</v>
      </c>
      <c r="AJ312" s="170">
        <f t="shared" si="65"/>
        <v>0</v>
      </c>
      <c r="AK312" s="204">
        <f t="shared" si="59"/>
        <v>0</v>
      </c>
      <c r="AL312" s="1049">
        <f>IF(ISERROR(AO312),0,IF(AND(AN312&gt;=$U$1,AN312&lt;=$U$2),IF(AO312='ESTRATTO CONTO'!$E$2,1+COUNTIF(AL$4:AL311,"&gt;0")+U$1009,0),0))</f>
        <v>0</v>
      </c>
      <c r="AM312" s="747">
        <f t="shared" si="62"/>
        <v>309</v>
      </c>
      <c r="AN312" s="164" t="e">
        <f>VLOOKUP($AM312,PATRIMONIALE!$AV364:AW$1003,2,FALSE)</f>
        <v>#N/A</v>
      </c>
      <c r="AO312" s="310" t="e">
        <f>VLOOKUP($AM312,PATRIMONIALE!$AV364:AX$1003,3,FALSE)</f>
        <v>#N/A</v>
      </c>
      <c r="AP312" s="310" t="e">
        <f>VLOOKUP($AM312,PATRIMONIALE!$AV364:AY$1003,4,FALSE)</f>
        <v>#N/A</v>
      </c>
      <c r="AQ312" s="748" t="e">
        <f>VLOOKUP($AM312,PATRIMONIALE!$AV364:AZ$1003,5,FALSE)</f>
        <v>#N/A</v>
      </c>
      <c r="AR312" s="1"/>
      <c r="AS312" s="461" t="str">
        <f t="shared" si="60"/>
        <v/>
      </c>
      <c r="AT312" s="370"/>
    </row>
    <row r="313" spans="1:46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435">
        <f>IF(AND(W313&gt;=$U$1,W313&lt;=$U$2),IF(X313='ESTRATTO CONTO'!$E$2,1+COUNTIF(U$4:U312,"&gt;0"),0),0)</f>
        <v>0</v>
      </c>
      <c r="V313" s="417">
        <f t="shared" si="61"/>
        <v>310</v>
      </c>
      <c r="W313" s="509"/>
      <c r="X313" s="321"/>
      <c r="Y313" s="321"/>
      <c r="Z313" s="433"/>
      <c r="AA313" s="356"/>
      <c r="AB313" s="306" t="str">
        <f t="shared" si="56"/>
        <v/>
      </c>
      <c r="AC313" s="893">
        <f t="shared" si="57"/>
        <v>0</v>
      </c>
      <c r="AD313" s="322"/>
      <c r="AE313" s="1"/>
      <c r="AF313" s="223">
        <f>IF(ISBLANK(AD313),0,COUNTIF(AF$4:AF312,"&gt;0")+1)</f>
        <v>0</v>
      </c>
      <c r="AG313" s="164">
        <f t="shared" si="63"/>
        <v>0</v>
      </c>
      <c r="AH313" s="99">
        <f t="shared" si="58"/>
        <v>0</v>
      </c>
      <c r="AI313" s="99">
        <f t="shared" si="64"/>
        <v>0</v>
      </c>
      <c r="AJ313" s="170">
        <f t="shared" si="65"/>
        <v>0</v>
      </c>
      <c r="AK313" s="204">
        <f t="shared" si="59"/>
        <v>0</v>
      </c>
      <c r="AL313" s="1049">
        <f>IF(ISERROR(AO313),0,IF(AND(AN313&gt;=$U$1,AN313&lt;=$U$2),IF(AO313='ESTRATTO CONTO'!$E$2,1+COUNTIF(AL$4:AL312,"&gt;0")+U$1009,0),0))</f>
        <v>0</v>
      </c>
      <c r="AM313" s="747">
        <f t="shared" si="62"/>
        <v>310</v>
      </c>
      <c r="AN313" s="164" t="e">
        <f>VLOOKUP($AM313,PATRIMONIALE!$AV365:AW$1003,2,FALSE)</f>
        <v>#N/A</v>
      </c>
      <c r="AO313" s="310" t="e">
        <f>VLOOKUP($AM313,PATRIMONIALE!$AV365:AX$1003,3,FALSE)</f>
        <v>#N/A</v>
      </c>
      <c r="AP313" s="310" t="e">
        <f>VLOOKUP($AM313,PATRIMONIALE!$AV365:AY$1003,4,FALSE)</f>
        <v>#N/A</v>
      </c>
      <c r="AQ313" s="748" t="e">
        <f>VLOOKUP($AM313,PATRIMONIALE!$AV365:AZ$1003,5,FALSE)</f>
        <v>#N/A</v>
      </c>
      <c r="AR313" s="1"/>
      <c r="AS313" s="461" t="str">
        <f t="shared" si="60"/>
        <v/>
      </c>
      <c r="AT313" s="370"/>
    </row>
    <row r="314" spans="1:46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435">
        <f>IF(AND(W314&gt;=$U$1,W314&lt;=$U$2),IF(X314='ESTRATTO CONTO'!$E$2,1+COUNTIF(U$4:U313,"&gt;0"),0),0)</f>
        <v>0</v>
      </c>
      <c r="V314" s="417">
        <f t="shared" si="61"/>
        <v>311</v>
      </c>
      <c r="W314" s="509"/>
      <c r="X314" s="321"/>
      <c r="Y314" s="321"/>
      <c r="Z314" s="433"/>
      <c r="AA314" s="356"/>
      <c r="AB314" s="306" t="str">
        <f t="shared" si="56"/>
        <v/>
      </c>
      <c r="AC314" s="893">
        <f t="shared" si="57"/>
        <v>0</v>
      </c>
      <c r="AD314" s="322"/>
      <c r="AE314" s="1"/>
      <c r="AF314" s="223">
        <f>IF(ISBLANK(AD314),0,COUNTIF(AF$4:AF313,"&gt;0")+1)</f>
        <v>0</v>
      </c>
      <c r="AG314" s="164">
        <f t="shared" si="63"/>
        <v>0</v>
      </c>
      <c r="AH314" s="99">
        <f t="shared" si="58"/>
        <v>0</v>
      </c>
      <c r="AI314" s="99">
        <f t="shared" si="64"/>
        <v>0</v>
      </c>
      <c r="AJ314" s="170">
        <f t="shared" si="65"/>
        <v>0</v>
      </c>
      <c r="AK314" s="204">
        <f t="shared" si="59"/>
        <v>0</v>
      </c>
      <c r="AL314" s="1049">
        <f>IF(ISERROR(AO314),0,IF(AND(AN314&gt;=$U$1,AN314&lt;=$U$2),IF(AO314='ESTRATTO CONTO'!$E$2,1+COUNTIF(AL$4:AL313,"&gt;0")+U$1009,0),0))</f>
        <v>0</v>
      </c>
      <c r="AM314" s="747">
        <f t="shared" si="62"/>
        <v>311</v>
      </c>
      <c r="AN314" s="164" t="e">
        <f>VLOOKUP($AM314,PATRIMONIALE!$AV366:AW$1003,2,FALSE)</f>
        <v>#N/A</v>
      </c>
      <c r="AO314" s="310" t="e">
        <f>VLOOKUP($AM314,PATRIMONIALE!$AV366:AX$1003,3,FALSE)</f>
        <v>#N/A</v>
      </c>
      <c r="AP314" s="310" t="e">
        <f>VLOOKUP($AM314,PATRIMONIALE!$AV366:AY$1003,4,FALSE)</f>
        <v>#N/A</v>
      </c>
      <c r="AQ314" s="748" t="e">
        <f>VLOOKUP($AM314,PATRIMONIALE!$AV366:AZ$1003,5,FALSE)</f>
        <v>#N/A</v>
      </c>
      <c r="AR314" s="1"/>
      <c r="AS314" s="461" t="str">
        <f t="shared" si="60"/>
        <v/>
      </c>
      <c r="AT314" s="370"/>
    </row>
    <row r="315" spans="1:46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435">
        <f>IF(AND(W315&gt;=$U$1,W315&lt;=$U$2),IF(X315='ESTRATTO CONTO'!$E$2,1+COUNTIF(U$4:U314,"&gt;0"),0),0)</f>
        <v>0</v>
      </c>
      <c r="V315" s="417">
        <f t="shared" si="61"/>
        <v>312</v>
      </c>
      <c r="W315" s="509"/>
      <c r="X315" s="321"/>
      <c r="Y315" s="321"/>
      <c r="Z315" s="433"/>
      <c r="AA315" s="356"/>
      <c r="AB315" s="306" t="str">
        <f t="shared" si="56"/>
        <v/>
      </c>
      <c r="AC315" s="893">
        <f t="shared" si="57"/>
        <v>0</v>
      </c>
      <c r="AD315" s="322"/>
      <c r="AE315" s="1"/>
      <c r="AF315" s="223">
        <f>IF(ISBLANK(AD315),0,COUNTIF(AF$4:AF314,"&gt;0")+1)</f>
        <v>0</v>
      </c>
      <c r="AG315" s="164">
        <f t="shared" si="63"/>
        <v>0</v>
      </c>
      <c r="AH315" s="99">
        <f t="shared" si="58"/>
        <v>0</v>
      </c>
      <c r="AI315" s="99">
        <f t="shared" si="64"/>
        <v>0</v>
      </c>
      <c r="AJ315" s="170">
        <f t="shared" si="65"/>
        <v>0</v>
      </c>
      <c r="AK315" s="204">
        <f t="shared" si="59"/>
        <v>0</v>
      </c>
      <c r="AL315" s="1049">
        <f>IF(ISERROR(AO315),0,IF(AND(AN315&gt;=$U$1,AN315&lt;=$U$2),IF(AO315='ESTRATTO CONTO'!$E$2,1+COUNTIF(AL$4:AL314,"&gt;0")+U$1009,0),0))</f>
        <v>0</v>
      </c>
      <c r="AM315" s="747">
        <f t="shared" si="62"/>
        <v>312</v>
      </c>
      <c r="AN315" s="164" t="e">
        <f>VLOOKUP($AM315,PATRIMONIALE!$AV367:AW$1003,2,FALSE)</f>
        <v>#N/A</v>
      </c>
      <c r="AO315" s="310" t="e">
        <f>VLOOKUP($AM315,PATRIMONIALE!$AV367:AX$1003,3,FALSE)</f>
        <v>#N/A</v>
      </c>
      <c r="AP315" s="310" t="e">
        <f>VLOOKUP($AM315,PATRIMONIALE!$AV367:AY$1003,4,FALSE)</f>
        <v>#N/A</v>
      </c>
      <c r="AQ315" s="748" t="e">
        <f>VLOOKUP($AM315,PATRIMONIALE!$AV367:AZ$1003,5,FALSE)</f>
        <v>#N/A</v>
      </c>
      <c r="AR315" s="1"/>
      <c r="AS315" s="461" t="str">
        <f t="shared" si="60"/>
        <v/>
      </c>
      <c r="AT315" s="370"/>
    </row>
    <row r="316" spans="1:46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435">
        <f>IF(AND(W316&gt;=$U$1,W316&lt;=$U$2),IF(X316='ESTRATTO CONTO'!$E$2,1+COUNTIF(U$4:U315,"&gt;0"),0),0)</f>
        <v>0</v>
      </c>
      <c r="V316" s="417">
        <f t="shared" si="61"/>
        <v>313</v>
      </c>
      <c r="W316" s="509"/>
      <c r="X316" s="321"/>
      <c r="Y316" s="321"/>
      <c r="Z316" s="433"/>
      <c r="AA316" s="356"/>
      <c r="AB316" s="306" t="str">
        <f t="shared" si="56"/>
        <v/>
      </c>
      <c r="AC316" s="893">
        <f t="shared" si="57"/>
        <v>0</v>
      </c>
      <c r="AD316" s="322"/>
      <c r="AE316" s="1"/>
      <c r="AF316" s="223">
        <f>IF(ISBLANK(AD316),0,COUNTIF(AF$4:AF315,"&gt;0")+1)</f>
        <v>0</v>
      </c>
      <c r="AG316" s="164">
        <f t="shared" si="63"/>
        <v>0</v>
      </c>
      <c r="AH316" s="99">
        <f t="shared" si="58"/>
        <v>0</v>
      </c>
      <c r="AI316" s="99">
        <f t="shared" si="64"/>
        <v>0</v>
      </c>
      <c r="AJ316" s="170">
        <f t="shared" si="65"/>
        <v>0</v>
      </c>
      <c r="AK316" s="204">
        <f t="shared" si="59"/>
        <v>0</v>
      </c>
      <c r="AL316" s="1049">
        <f>IF(ISERROR(AO316),0,IF(AND(AN316&gt;=$U$1,AN316&lt;=$U$2),IF(AO316='ESTRATTO CONTO'!$E$2,1+COUNTIF(AL$4:AL315,"&gt;0")+U$1009,0),0))</f>
        <v>0</v>
      </c>
      <c r="AM316" s="747">
        <f t="shared" si="62"/>
        <v>313</v>
      </c>
      <c r="AN316" s="164" t="e">
        <f>VLOOKUP($AM316,PATRIMONIALE!$AV368:AW$1003,2,FALSE)</f>
        <v>#N/A</v>
      </c>
      <c r="AO316" s="310" t="e">
        <f>VLOOKUP($AM316,PATRIMONIALE!$AV368:AX$1003,3,FALSE)</f>
        <v>#N/A</v>
      </c>
      <c r="AP316" s="310" t="e">
        <f>VLOOKUP($AM316,PATRIMONIALE!$AV368:AY$1003,4,FALSE)</f>
        <v>#N/A</v>
      </c>
      <c r="AQ316" s="748" t="e">
        <f>VLOOKUP($AM316,PATRIMONIALE!$AV368:AZ$1003,5,FALSE)</f>
        <v>#N/A</v>
      </c>
      <c r="AR316" s="1"/>
      <c r="AS316" s="461" t="str">
        <f t="shared" si="60"/>
        <v/>
      </c>
      <c r="AT316" s="370"/>
    </row>
    <row r="317" spans="1:46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435">
        <f>IF(AND(W317&gt;=$U$1,W317&lt;=$U$2),IF(X317='ESTRATTO CONTO'!$E$2,1+COUNTIF(U$4:U316,"&gt;0"),0),0)</f>
        <v>0</v>
      </c>
      <c r="V317" s="417">
        <f t="shared" si="61"/>
        <v>314</v>
      </c>
      <c r="W317" s="509"/>
      <c r="X317" s="321"/>
      <c r="Y317" s="321"/>
      <c r="Z317" s="433"/>
      <c r="AA317" s="356"/>
      <c r="AB317" s="306" t="str">
        <f t="shared" si="56"/>
        <v/>
      </c>
      <c r="AC317" s="893">
        <f t="shared" si="57"/>
        <v>0</v>
      </c>
      <c r="AD317" s="322"/>
      <c r="AE317" s="1"/>
      <c r="AF317" s="223">
        <f>IF(ISBLANK(AD317),0,COUNTIF(AF$4:AF316,"&gt;0")+1)</f>
        <v>0</v>
      </c>
      <c r="AG317" s="164">
        <f t="shared" si="63"/>
        <v>0</v>
      </c>
      <c r="AH317" s="99">
        <f t="shared" si="58"/>
        <v>0</v>
      </c>
      <c r="AI317" s="99">
        <f t="shared" si="64"/>
        <v>0</v>
      </c>
      <c r="AJ317" s="170">
        <f t="shared" si="65"/>
        <v>0</v>
      </c>
      <c r="AK317" s="204">
        <f t="shared" si="59"/>
        <v>0</v>
      </c>
      <c r="AL317" s="1049">
        <f>IF(ISERROR(AO317),0,IF(AND(AN317&gt;=$U$1,AN317&lt;=$U$2),IF(AO317='ESTRATTO CONTO'!$E$2,1+COUNTIF(AL$4:AL316,"&gt;0")+U$1009,0),0))</f>
        <v>0</v>
      </c>
      <c r="AM317" s="747">
        <f t="shared" si="62"/>
        <v>314</v>
      </c>
      <c r="AN317" s="164" t="e">
        <f>VLOOKUP($AM317,PATRIMONIALE!$AV369:AW$1003,2,FALSE)</f>
        <v>#N/A</v>
      </c>
      <c r="AO317" s="310" t="e">
        <f>VLOOKUP($AM317,PATRIMONIALE!$AV369:AX$1003,3,FALSE)</f>
        <v>#N/A</v>
      </c>
      <c r="AP317" s="310" t="e">
        <f>VLOOKUP($AM317,PATRIMONIALE!$AV369:AY$1003,4,FALSE)</f>
        <v>#N/A</v>
      </c>
      <c r="AQ317" s="748" t="e">
        <f>VLOOKUP($AM317,PATRIMONIALE!$AV369:AZ$1003,5,FALSE)</f>
        <v>#N/A</v>
      </c>
      <c r="AR317" s="1"/>
      <c r="AS317" s="461" t="str">
        <f t="shared" si="60"/>
        <v/>
      </c>
      <c r="AT317" s="370"/>
    </row>
    <row r="318" spans="1:46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435">
        <f>IF(AND(W318&gt;=$U$1,W318&lt;=$U$2),IF(X318='ESTRATTO CONTO'!$E$2,1+COUNTIF(U$4:U317,"&gt;0"),0),0)</f>
        <v>0</v>
      </c>
      <c r="V318" s="417">
        <f t="shared" si="61"/>
        <v>315</v>
      </c>
      <c r="W318" s="509"/>
      <c r="X318" s="321"/>
      <c r="Y318" s="321"/>
      <c r="Z318" s="433"/>
      <c r="AA318" s="356"/>
      <c r="AB318" s="306" t="str">
        <f t="shared" si="56"/>
        <v/>
      </c>
      <c r="AC318" s="893">
        <f t="shared" si="57"/>
        <v>0</v>
      </c>
      <c r="AD318" s="322"/>
      <c r="AE318" s="1"/>
      <c r="AF318" s="223">
        <f>IF(ISBLANK(AD318),0,COUNTIF(AF$4:AF317,"&gt;0")+1)</f>
        <v>0</v>
      </c>
      <c r="AG318" s="164">
        <f t="shared" si="63"/>
        <v>0</v>
      </c>
      <c r="AH318" s="99">
        <f t="shared" si="58"/>
        <v>0</v>
      </c>
      <c r="AI318" s="99">
        <f t="shared" si="64"/>
        <v>0</v>
      </c>
      <c r="AJ318" s="170">
        <f t="shared" si="65"/>
        <v>0</v>
      </c>
      <c r="AK318" s="204">
        <f t="shared" si="59"/>
        <v>0</v>
      </c>
      <c r="AL318" s="1049">
        <f>IF(ISERROR(AO318),0,IF(AND(AN318&gt;=$U$1,AN318&lt;=$U$2),IF(AO318='ESTRATTO CONTO'!$E$2,1+COUNTIF(AL$4:AL317,"&gt;0")+U$1009,0),0))</f>
        <v>0</v>
      </c>
      <c r="AM318" s="747">
        <f t="shared" si="62"/>
        <v>315</v>
      </c>
      <c r="AN318" s="164" t="e">
        <f>VLOOKUP($AM318,PATRIMONIALE!$AV370:AW$1003,2,FALSE)</f>
        <v>#N/A</v>
      </c>
      <c r="AO318" s="310" t="e">
        <f>VLOOKUP($AM318,PATRIMONIALE!$AV370:AX$1003,3,FALSE)</f>
        <v>#N/A</v>
      </c>
      <c r="AP318" s="310" t="e">
        <f>VLOOKUP($AM318,PATRIMONIALE!$AV370:AY$1003,4,FALSE)</f>
        <v>#N/A</v>
      </c>
      <c r="AQ318" s="748" t="e">
        <f>VLOOKUP($AM318,PATRIMONIALE!$AV370:AZ$1003,5,FALSE)</f>
        <v>#N/A</v>
      </c>
      <c r="AR318" s="1"/>
      <c r="AS318" s="461" t="str">
        <f t="shared" si="60"/>
        <v/>
      </c>
      <c r="AT318" s="370"/>
    </row>
    <row r="319" spans="1:46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435">
        <f>IF(AND(W319&gt;=$U$1,W319&lt;=$U$2),IF(X319='ESTRATTO CONTO'!$E$2,1+COUNTIF(U$4:U318,"&gt;0"),0),0)</f>
        <v>0</v>
      </c>
      <c r="V319" s="417">
        <f t="shared" si="61"/>
        <v>316</v>
      </c>
      <c r="W319" s="509"/>
      <c r="X319" s="321"/>
      <c r="Y319" s="321"/>
      <c r="Z319" s="433"/>
      <c r="AA319" s="356"/>
      <c r="AB319" s="306" t="str">
        <f t="shared" si="56"/>
        <v/>
      </c>
      <c r="AC319" s="893">
        <f t="shared" si="57"/>
        <v>0</v>
      </c>
      <c r="AD319" s="322"/>
      <c r="AE319" s="1"/>
      <c r="AF319" s="223">
        <f>IF(ISBLANK(AD319),0,COUNTIF(AF$4:AF318,"&gt;0")+1)</f>
        <v>0</v>
      </c>
      <c r="AG319" s="164">
        <f t="shared" si="63"/>
        <v>0</v>
      </c>
      <c r="AH319" s="99">
        <f t="shared" si="58"/>
        <v>0</v>
      </c>
      <c r="AI319" s="99">
        <f t="shared" si="64"/>
        <v>0</v>
      </c>
      <c r="AJ319" s="170">
        <f t="shared" si="65"/>
        <v>0</v>
      </c>
      <c r="AK319" s="204">
        <f t="shared" si="59"/>
        <v>0</v>
      </c>
      <c r="AL319" s="1049">
        <f>IF(ISERROR(AO319),0,IF(AND(AN319&gt;=$U$1,AN319&lt;=$U$2),IF(AO319='ESTRATTO CONTO'!$E$2,1+COUNTIF(AL$4:AL318,"&gt;0")+U$1009,0),0))</f>
        <v>0</v>
      </c>
      <c r="AM319" s="747">
        <f t="shared" si="62"/>
        <v>316</v>
      </c>
      <c r="AN319" s="164" t="e">
        <f>VLOOKUP($AM319,PATRIMONIALE!$AV371:AW$1003,2,FALSE)</f>
        <v>#N/A</v>
      </c>
      <c r="AO319" s="310" t="e">
        <f>VLOOKUP($AM319,PATRIMONIALE!$AV371:AX$1003,3,FALSE)</f>
        <v>#N/A</v>
      </c>
      <c r="AP319" s="310" t="e">
        <f>VLOOKUP($AM319,PATRIMONIALE!$AV371:AY$1003,4,FALSE)</f>
        <v>#N/A</v>
      </c>
      <c r="AQ319" s="748" t="e">
        <f>VLOOKUP($AM319,PATRIMONIALE!$AV371:AZ$1003,5,FALSE)</f>
        <v>#N/A</v>
      </c>
      <c r="AR319" s="1"/>
      <c r="AS319" s="461" t="str">
        <f t="shared" si="60"/>
        <v/>
      </c>
      <c r="AT319" s="370"/>
    </row>
    <row r="320" spans="1:46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435">
        <f>IF(AND(W320&gt;=$U$1,W320&lt;=$U$2),IF(X320='ESTRATTO CONTO'!$E$2,1+COUNTIF(U$4:U319,"&gt;0"),0),0)</f>
        <v>0</v>
      </c>
      <c r="V320" s="417">
        <f t="shared" si="61"/>
        <v>317</v>
      </c>
      <c r="W320" s="509"/>
      <c r="X320" s="321"/>
      <c r="Y320" s="321"/>
      <c r="Z320" s="433"/>
      <c r="AA320" s="356"/>
      <c r="AB320" s="306" t="str">
        <f t="shared" si="56"/>
        <v/>
      </c>
      <c r="AC320" s="893">
        <f t="shared" si="57"/>
        <v>0</v>
      </c>
      <c r="AD320" s="322"/>
      <c r="AE320" s="1"/>
      <c r="AF320" s="223">
        <f>IF(ISBLANK(AD320),0,COUNTIF(AF$4:AF319,"&gt;0")+1)</f>
        <v>0</v>
      </c>
      <c r="AG320" s="164">
        <f t="shared" si="63"/>
        <v>0</v>
      </c>
      <c r="AH320" s="99">
        <f t="shared" si="58"/>
        <v>0</v>
      </c>
      <c r="AI320" s="99">
        <f t="shared" si="64"/>
        <v>0</v>
      </c>
      <c r="AJ320" s="170">
        <f t="shared" si="65"/>
        <v>0</v>
      </c>
      <c r="AK320" s="204">
        <f t="shared" si="59"/>
        <v>0</v>
      </c>
      <c r="AL320" s="1049">
        <f>IF(ISERROR(AO320),0,IF(AND(AN320&gt;=$U$1,AN320&lt;=$U$2),IF(AO320='ESTRATTO CONTO'!$E$2,1+COUNTIF(AL$4:AL319,"&gt;0")+U$1009,0),0))</f>
        <v>0</v>
      </c>
      <c r="AM320" s="747">
        <f t="shared" si="62"/>
        <v>317</v>
      </c>
      <c r="AN320" s="164" t="e">
        <f>VLOOKUP($AM320,PATRIMONIALE!$AV372:AW$1003,2,FALSE)</f>
        <v>#N/A</v>
      </c>
      <c r="AO320" s="310" t="e">
        <f>VLOOKUP($AM320,PATRIMONIALE!$AV372:AX$1003,3,FALSE)</f>
        <v>#N/A</v>
      </c>
      <c r="AP320" s="310" t="e">
        <f>VLOOKUP($AM320,PATRIMONIALE!$AV372:AY$1003,4,FALSE)</f>
        <v>#N/A</v>
      </c>
      <c r="AQ320" s="748" t="e">
        <f>VLOOKUP($AM320,PATRIMONIALE!$AV372:AZ$1003,5,FALSE)</f>
        <v>#N/A</v>
      </c>
      <c r="AR320" s="1"/>
      <c r="AS320" s="461" t="str">
        <f t="shared" si="60"/>
        <v/>
      </c>
      <c r="AT320" s="370"/>
    </row>
    <row r="321" spans="1:46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435">
        <f>IF(AND(W321&gt;=$U$1,W321&lt;=$U$2),IF(X321='ESTRATTO CONTO'!$E$2,1+COUNTIF(U$4:U320,"&gt;0"),0),0)</f>
        <v>0</v>
      </c>
      <c r="V321" s="417">
        <f t="shared" si="61"/>
        <v>318</v>
      </c>
      <c r="W321" s="509"/>
      <c r="X321" s="321"/>
      <c r="Y321" s="321"/>
      <c r="Z321" s="433"/>
      <c r="AA321" s="356"/>
      <c r="AB321" s="306" t="str">
        <f t="shared" si="56"/>
        <v/>
      </c>
      <c r="AC321" s="893">
        <f t="shared" si="57"/>
        <v>0</v>
      </c>
      <c r="AD321" s="322"/>
      <c r="AE321" s="1"/>
      <c r="AF321" s="223">
        <f>IF(ISBLANK(AD321),0,COUNTIF(AF$4:AF320,"&gt;0")+1)</f>
        <v>0</v>
      </c>
      <c r="AG321" s="164">
        <f t="shared" si="63"/>
        <v>0</v>
      </c>
      <c r="AH321" s="99">
        <f t="shared" si="58"/>
        <v>0</v>
      </c>
      <c r="AI321" s="99">
        <f t="shared" si="64"/>
        <v>0</v>
      </c>
      <c r="AJ321" s="170">
        <f t="shared" si="65"/>
        <v>0</v>
      </c>
      <c r="AK321" s="204">
        <f t="shared" si="59"/>
        <v>0</v>
      </c>
      <c r="AL321" s="1049">
        <f>IF(ISERROR(AO321),0,IF(AND(AN321&gt;=$U$1,AN321&lt;=$U$2),IF(AO321='ESTRATTO CONTO'!$E$2,1+COUNTIF(AL$4:AL320,"&gt;0")+U$1009,0),0))</f>
        <v>0</v>
      </c>
      <c r="AM321" s="747">
        <f t="shared" si="62"/>
        <v>318</v>
      </c>
      <c r="AN321" s="164" t="e">
        <f>VLOOKUP($AM321,PATRIMONIALE!$AV373:AW$1003,2,FALSE)</f>
        <v>#N/A</v>
      </c>
      <c r="AO321" s="310" t="e">
        <f>VLOOKUP($AM321,PATRIMONIALE!$AV373:AX$1003,3,FALSE)</f>
        <v>#N/A</v>
      </c>
      <c r="AP321" s="310" t="e">
        <f>VLOOKUP($AM321,PATRIMONIALE!$AV373:AY$1003,4,FALSE)</f>
        <v>#N/A</v>
      </c>
      <c r="AQ321" s="748" t="e">
        <f>VLOOKUP($AM321,PATRIMONIALE!$AV373:AZ$1003,5,FALSE)</f>
        <v>#N/A</v>
      </c>
      <c r="AR321" s="1"/>
      <c r="AS321" s="461" t="str">
        <f t="shared" si="60"/>
        <v/>
      </c>
      <c r="AT321" s="370"/>
    </row>
    <row r="322" spans="1:46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435">
        <f>IF(AND(W322&gt;=$U$1,W322&lt;=$U$2),IF(X322='ESTRATTO CONTO'!$E$2,1+COUNTIF(U$4:U321,"&gt;0"),0),0)</f>
        <v>0</v>
      </c>
      <c r="V322" s="417">
        <f t="shared" si="61"/>
        <v>319</v>
      </c>
      <c r="W322" s="509"/>
      <c r="X322" s="321"/>
      <c r="Y322" s="321"/>
      <c r="Z322" s="433"/>
      <c r="AA322" s="356"/>
      <c r="AB322" s="306" t="str">
        <f t="shared" si="56"/>
        <v/>
      </c>
      <c r="AC322" s="893">
        <f t="shared" si="57"/>
        <v>0</v>
      </c>
      <c r="AD322" s="322"/>
      <c r="AE322" s="1"/>
      <c r="AF322" s="223">
        <f>IF(ISBLANK(AD322),0,COUNTIF(AF$4:AF321,"&gt;0")+1)</f>
        <v>0</v>
      </c>
      <c r="AG322" s="164">
        <f t="shared" si="63"/>
        <v>0</v>
      </c>
      <c r="AH322" s="99">
        <f t="shared" si="58"/>
        <v>0</v>
      </c>
      <c r="AI322" s="99">
        <f t="shared" si="64"/>
        <v>0</v>
      </c>
      <c r="AJ322" s="170">
        <f t="shared" si="65"/>
        <v>0</v>
      </c>
      <c r="AK322" s="204">
        <f t="shared" si="59"/>
        <v>0</v>
      </c>
      <c r="AL322" s="1049">
        <f>IF(ISERROR(AO322),0,IF(AND(AN322&gt;=$U$1,AN322&lt;=$U$2),IF(AO322='ESTRATTO CONTO'!$E$2,1+COUNTIF(AL$4:AL321,"&gt;0")+U$1009,0),0))</f>
        <v>0</v>
      </c>
      <c r="AM322" s="747">
        <f t="shared" si="62"/>
        <v>319</v>
      </c>
      <c r="AN322" s="164" t="e">
        <f>VLOOKUP($AM322,PATRIMONIALE!$AV374:AW$1003,2,FALSE)</f>
        <v>#N/A</v>
      </c>
      <c r="AO322" s="310" t="e">
        <f>VLOOKUP($AM322,PATRIMONIALE!$AV374:AX$1003,3,FALSE)</f>
        <v>#N/A</v>
      </c>
      <c r="AP322" s="310" t="e">
        <f>VLOOKUP($AM322,PATRIMONIALE!$AV374:AY$1003,4,FALSE)</f>
        <v>#N/A</v>
      </c>
      <c r="AQ322" s="748" t="e">
        <f>VLOOKUP($AM322,PATRIMONIALE!$AV374:AZ$1003,5,FALSE)</f>
        <v>#N/A</v>
      </c>
      <c r="AR322" s="1"/>
      <c r="AS322" s="461" t="str">
        <f t="shared" si="60"/>
        <v/>
      </c>
      <c r="AT322" s="370"/>
    </row>
    <row r="323" spans="1:46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435">
        <f>IF(AND(W323&gt;=$U$1,W323&lt;=$U$2),IF(X323='ESTRATTO CONTO'!$E$2,1+COUNTIF(U$4:U322,"&gt;0"),0),0)</f>
        <v>0</v>
      </c>
      <c r="V323" s="417">
        <f t="shared" si="61"/>
        <v>320</v>
      </c>
      <c r="W323" s="509"/>
      <c r="X323" s="321"/>
      <c r="Y323" s="321"/>
      <c r="Z323" s="433"/>
      <c r="AA323" s="356"/>
      <c r="AB323" s="306" t="str">
        <f t="shared" si="56"/>
        <v/>
      </c>
      <c r="AC323" s="893">
        <f t="shared" si="57"/>
        <v>0</v>
      </c>
      <c r="AD323" s="322"/>
      <c r="AE323" s="1"/>
      <c r="AF323" s="223">
        <f>IF(ISBLANK(AD323),0,COUNTIF(AF$4:AF322,"&gt;0")+1)</f>
        <v>0</v>
      </c>
      <c r="AG323" s="164">
        <f t="shared" si="63"/>
        <v>0</v>
      </c>
      <c r="AH323" s="99">
        <f t="shared" si="58"/>
        <v>0</v>
      </c>
      <c r="AI323" s="99">
        <f t="shared" si="64"/>
        <v>0</v>
      </c>
      <c r="AJ323" s="170">
        <f t="shared" si="65"/>
        <v>0</v>
      </c>
      <c r="AK323" s="204">
        <f t="shared" si="59"/>
        <v>0</v>
      </c>
      <c r="AL323" s="1049">
        <f>IF(ISERROR(AO323),0,IF(AND(AN323&gt;=$U$1,AN323&lt;=$U$2),IF(AO323='ESTRATTO CONTO'!$E$2,1+COUNTIF(AL$4:AL322,"&gt;0")+U$1009,0),0))</f>
        <v>0</v>
      </c>
      <c r="AM323" s="747">
        <f t="shared" si="62"/>
        <v>320</v>
      </c>
      <c r="AN323" s="164" t="e">
        <f>VLOOKUP($AM323,PATRIMONIALE!$AV375:AW$1003,2,FALSE)</f>
        <v>#N/A</v>
      </c>
      <c r="AO323" s="310" t="e">
        <f>VLOOKUP($AM323,PATRIMONIALE!$AV375:AX$1003,3,FALSE)</f>
        <v>#N/A</v>
      </c>
      <c r="AP323" s="310" t="e">
        <f>VLOOKUP($AM323,PATRIMONIALE!$AV375:AY$1003,4,FALSE)</f>
        <v>#N/A</v>
      </c>
      <c r="AQ323" s="748" t="e">
        <f>VLOOKUP($AM323,PATRIMONIALE!$AV375:AZ$1003,5,FALSE)</f>
        <v>#N/A</v>
      </c>
      <c r="AR323" s="1"/>
      <c r="AS323" s="461" t="str">
        <f t="shared" si="60"/>
        <v/>
      </c>
      <c r="AT323" s="370"/>
    </row>
    <row r="324" spans="1:46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435">
        <f>IF(AND(W324&gt;=$U$1,W324&lt;=$U$2),IF(X324='ESTRATTO CONTO'!$E$2,1+COUNTIF(U$4:U323,"&gt;0"),0),0)</f>
        <v>0</v>
      </c>
      <c r="V324" s="417">
        <f t="shared" si="61"/>
        <v>321</v>
      </c>
      <c r="W324" s="509"/>
      <c r="X324" s="321"/>
      <c r="Y324" s="321"/>
      <c r="Z324" s="433"/>
      <c r="AA324" s="356"/>
      <c r="AB324" s="306" t="str">
        <f t="shared" ref="AB324:AB387" si="66">IF(X324="","",IF(W324&gt;0,IF(AND(W324&gt;=W$1012,W324&lt;=W$1013),CONCATENATE(X324,"-",MONTH(W324)),0),""))</f>
        <v/>
      </c>
      <c r="AC324" s="893">
        <f t="shared" ref="AC324:AC387" si="67">IF(AD324="",0,VLOOKUP(AD324,$AD$1025:$AD$1038,1,FALSE))</f>
        <v>0</v>
      </c>
      <c r="AD324" s="322"/>
      <c r="AE324" s="1"/>
      <c r="AF324" s="223">
        <f>IF(ISBLANK(AD324),0,COUNTIF(AF$4:AF323,"&gt;0")+1)</f>
        <v>0</v>
      </c>
      <c r="AG324" s="164">
        <f t="shared" si="63"/>
        <v>0</v>
      </c>
      <c r="AH324" s="99">
        <f t="shared" ref="AH324:AH387" si="68">IF($AF324=0,0,VLOOKUP(AD324,$AD$1025:$AH$1038,5,FALSE))</f>
        <v>0</v>
      </c>
      <c r="AI324" s="99">
        <f t="shared" si="64"/>
        <v>0</v>
      </c>
      <c r="AJ324" s="170">
        <f t="shared" si="65"/>
        <v>0</v>
      </c>
      <c r="AK324" s="204">
        <f t="shared" ref="AK324:AK387" si="69">X324</f>
        <v>0</v>
      </c>
      <c r="AL324" s="1049">
        <f>IF(ISERROR(AO324),0,IF(AND(AN324&gt;=$U$1,AN324&lt;=$U$2),IF(AO324='ESTRATTO CONTO'!$E$2,1+COUNTIF(AL$4:AL323,"&gt;0")+U$1009,0),0))</f>
        <v>0</v>
      </c>
      <c r="AM324" s="747">
        <f t="shared" si="62"/>
        <v>321</v>
      </c>
      <c r="AN324" s="164" t="e">
        <f>VLOOKUP($AM324,PATRIMONIALE!$AV376:AW$1003,2,FALSE)</f>
        <v>#N/A</v>
      </c>
      <c r="AO324" s="310" t="e">
        <f>VLOOKUP($AM324,PATRIMONIALE!$AV376:AX$1003,3,FALSE)</f>
        <v>#N/A</v>
      </c>
      <c r="AP324" s="310" t="e">
        <f>VLOOKUP($AM324,PATRIMONIALE!$AV376:AY$1003,4,FALSE)</f>
        <v>#N/A</v>
      </c>
      <c r="AQ324" s="748" t="e">
        <f>VLOOKUP($AM324,PATRIMONIALE!$AV376:AZ$1003,5,FALSE)</f>
        <v>#N/A</v>
      </c>
      <c r="AR324" s="1"/>
      <c r="AS324" s="461" t="str">
        <f t="shared" ref="AS324:AS387" si="70">IF(X324="","",IF(ISERROR(VLOOKUP(X324,B$9:E$13,1,FALSE)),1,0))</f>
        <v/>
      </c>
      <c r="AT324" s="370"/>
    </row>
    <row r="325" spans="1:46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435">
        <f>IF(AND(W325&gt;=$U$1,W325&lt;=$U$2),IF(X325='ESTRATTO CONTO'!$E$2,1+COUNTIF(U$4:U324,"&gt;0"),0),0)</f>
        <v>0</v>
      </c>
      <c r="V325" s="417">
        <f t="shared" si="61"/>
        <v>322</v>
      </c>
      <c r="W325" s="509"/>
      <c r="X325" s="321"/>
      <c r="Y325" s="321"/>
      <c r="Z325" s="433"/>
      <c r="AA325" s="356"/>
      <c r="AB325" s="306" t="str">
        <f t="shared" si="66"/>
        <v/>
      </c>
      <c r="AC325" s="893">
        <f t="shared" si="67"/>
        <v>0</v>
      </c>
      <c r="AD325" s="322"/>
      <c r="AE325" s="1"/>
      <c r="AF325" s="223">
        <f>IF(ISBLANK(AD325),0,COUNTIF(AF$4:AF324,"&gt;0")+1)</f>
        <v>0</v>
      </c>
      <c r="AG325" s="164">
        <f t="shared" si="63"/>
        <v>0</v>
      </c>
      <c r="AH325" s="99">
        <f t="shared" si="68"/>
        <v>0</v>
      </c>
      <c r="AI325" s="99">
        <f t="shared" si="64"/>
        <v>0</v>
      </c>
      <c r="AJ325" s="170">
        <f t="shared" si="65"/>
        <v>0</v>
      </c>
      <c r="AK325" s="204">
        <f t="shared" si="69"/>
        <v>0</v>
      </c>
      <c r="AL325" s="1049">
        <f>IF(ISERROR(AO325),0,IF(AND(AN325&gt;=$U$1,AN325&lt;=$U$2),IF(AO325='ESTRATTO CONTO'!$E$2,1+COUNTIF(AL$4:AL324,"&gt;0")+U$1009,0),0))</f>
        <v>0</v>
      </c>
      <c r="AM325" s="747">
        <f t="shared" si="62"/>
        <v>322</v>
      </c>
      <c r="AN325" s="164" t="e">
        <f>VLOOKUP($AM325,PATRIMONIALE!$AV377:AW$1003,2,FALSE)</f>
        <v>#N/A</v>
      </c>
      <c r="AO325" s="310" t="e">
        <f>VLOOKUP($AM325,PATRIMONIALE!$AV377:AX$1003,3,FALSE)</f>
        <v>#N/A</v>
      </c>
      <c r="AP325" s="310" t="e">
        <f>VLOOKUP($AM325,PATRIMONIALE!$AV377:AY$1003,4,FALSE)</f>
        <v>#N/A</v>
      </c>
      <c r="AQ325" s="748" t="e">
        <f>VLOOKUP($AM325,PATRIMONIALE!$AV377:AZ$1003,5,FALSE)</f>
        <v>#N/A</v>
      </c>
      <c r="AR325" s="1"/>
      <c r="AS325" s="461" t="str">
        <f t="shared" si="70"/>
        <v/>
      </c>
      <c r="AT325" s="370"/>
    </row>
    <row r="326" spans="1:46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435">
        <f>IF(AND(W326&gt;=$U$1,W326&lt;=$U$2),IF(X326='ESTRATTO CONTO'!$E$2,1+COUNTIF(U$4:U325,"&gt;0"),0),0)</f>
        <v>0</v>
      </c>
      <c r="V326" s="417">
        <f t="shared" ref="V326:V389" si="71">V325+1</f>
        <v>323</v>
      </c>
      <c r="W326" s="509"/>
      <c r="X326" s="321"/>
      <c r="Y326" s="321"/>
      <c r="Z326" s="433"/>
      <c r="AA326" s="356"/>
      <c r="AB326" s="306" t="str">
        <f t="shared" si="66"/>
        <v/>
      </c>
      <c r="AC326" s="893">
        <f t="shared" si="67"/>
        <v>0</v>
      </c>
      <c r="AD326" s="322"/>
      <c r="AE326" s="1"/>
      <c r="AF326" s="223">
        <f>IF(ISBLANK(AD326),0,COUNTIF(AF$4:AF325,"&gt;0")+1)</f>
        <v>0</v>
      </c>
      <c r="AG326" s="164">
        <f t="shared" si="63"/>
        <v>0</v>
      </c>
      <c r="AH326" s="99">
        <f t="shared" si="68"/>
        <v>0</v>
      </c>
      <c r="AI326" s="99">
        <f t="shared" si="64"/>
        <v>0</v>
      </c>
      <c r="AJ326" s="170">
        <f t="shared" si="65"/>
        <v>0</v>
      </c>
      <c r="AK326" s="204">
        <f t="shared" si="69"/>
        <v>0</v>
      </c>
      <c r="AL326" s="1049">
        <f>IF(ISERROR(AO326),0,IF(AND(AN326&gt;=$U$1,AN326&lt;=$U$2),IF(AO326='ESTRATTO CONTO'!$E$2,1+COUNTIF(AL$4:AL325,"&gt;0")+U$1009,0),0))</f>
        <v>0</v>
      </c>
      <c r="AM326" s="747">
        <f t="shared" ref="AM326:AM389" si="72">AM325+1</f>
        <v>323</v>
      </c>
      <c r="AN326" s="164" t="e">
        <f>VLOOKUP($AM326,PATRIMONIALE!$AV378:AW$1003,2,FALSE)</f>
        <v>#N/A</v>
      </c>
      <c r="AO326" s="310" t="e">
        <f>VLOOKUP($AM326,PATRIMONIALE!$AV378:AX$1003,3,FALSE)</f>
        <v>#N/A</v>
      </c>
      <c r="AP326" s="310" t="e">
        <f>VLOOKUP($AM326,PATRIMONIALE!$AV378:AY$1003,4,FALSE)</f>
        <v>#N/A</v>
      </c>
      <c r="AQ326" s="748" t="e">
        <f>VLOOKUP($AM326,PATRIMONIALE!$AV378:AZ$1003,5,FALSE)</f>
        <v>#N/A</v>
      </c>
      <c r="AR326" s="1"/>
      <c r="AS326" s="461" t="str">
        <f t="shared" si="70"/>
        <v/>
      </c>
      <c r="AT326" s="370"/>
    </row>
    <row r="327" spans="1:46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435">
        <f>IF(AND(W327&gt;=$U$1,W327&lt;=$U$2),IF(X327='ESTRATTO CONTO'!$E$2,1+COUNTIF(U$4:U326,"&gt;0"),0),0)</f>
        <v>0</v>
      </c>
      <c r="V327" s="417">
        <f t="shared" si="71"/>
        <v>324</v>
      </c>
      <c r="W327" s="509"/>
      <c r="X327" s="321"/>
      <c r="Y327" s="321"/>
      <c r="Z327" s="433"/>
      <c r="AA327" s="356"/>
      <c r="AB327" s="306" t="str">
        <f t="shared" si="66"/>
        <v/>
      </c>
      <c r="AC327" s="893">
        <f t="shared" si="67"/>
        <v>0</v>
      </c>
      <c r="AD327" s="322"/>
      <c r="AE327" s="1"/>
      <c r="AF327" s="223">
        <f>IF(ISBLANK(AD327),0,COUNTIF(AF$4:AF326,"&gt;0")+1)</f>
        <v>0</v>
      </c>
      <c r="AG327" s="164">
        <f t="shared" si="63"/>
        <v>0</v>
      </c>
      <c r="AH327" s="99">
        <f t="shared" si="68"/>
        <v>0</v>
      </c>
      <c r="AI327" s="99">
        <f t="shared" si="64"/>
        <v>0</v>
      </c>
      <c r="AJ327" s="170">
        <f t="shared" si="65"/>
        <v>0</v>
      </c>
      <c r="AK327" s="204">
        <f t="shared" si="69"/>
        <v>0</v>
      </c>
      <c r="AL327" s="1049">
        <f>IF(ISERROR(AO327),0,IF(AND(AN327&gt;=$U$1,AN327&lt;=$U$2),IF(AO327='ESTRATTO CONTO'!$E$2,1+COUNTIF(AL$4:AL326,"&gt;0")+U$1009,0),0))</f>
        <v>0</v>
      </c>
      <c r="AM327" s="747">
        <f t="shared" si="72"/>
        <v>324</v>
      </c>
      <c r="AN327" s="164" t="e">
        <f>VLOOKUP($AM327,PATRIMONIALE!$AV379:AW$1003,2,FALSE)</f>
        <v>#N/A</v>
      </c>
      <c r="AO327" s="310" t="e">
        <f>VLOOKUP($AM327,PATRIMONIALE!$AV379:AX$1003,3,FALSE)</f>
        <v>#N/A</v>
      </c>
      <c r="AP327" s="310" t="e">
        <f>VLOOKUP($AM327,PATRIMONIALE!$AV379:AY$1003,4,FALSE)</f>
        <v>#N/A</v>
      </c>
      <c r="AQ327" s="748" t="e">
        <f>VLOOKUP($AM327,PATRIMONIALE!$AV379:AZ$1003,5,FALSE)</f>
        <v>#N/A</v>
      </c>
      <c r="AR327" s="1"/>
      <c r="AS327" s="461" t="str">
        <f t="shared" si="70"/>
        <v/>
      </c>
      <c r="AT327" s="370"/>
    </row>
    <row r="328" spans="1:46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435">
        <f>IF(AND(W328&gt;=$U$1,W328&lt;=$U$2),IF(X328='ESTRATTO CONTO'!$E$2,1+COUNTIF(U$4:U327,"&gt;0"),0),0)</f>
        <v>0</v>
      </c>
      <c r="V328" s="417">
        <f t="shared" si="71"/>
        <v>325</v>
      </c>
      <c r="W328" s="509"/>
      <c r="X328" s="321"/>
      <c r="Y328" s="321"/>
      <c r="Z328" s="433"/>
      <c r="AA328" s="356"/>
      <c r="AB328" s="306" t="str">
        <f t="shared" si="66"/>
        <v/>
      </c>
      <c r="AC328" s="893">
        <f t="shared" si="67"/>
        <v>0</v>
      </c>
      <c r="AD328" s="322"/>
      <c r="AE328" s="1"/>
      <c r="AF328" s="223">
        <f>IF(ISBLANK(AD328),0,COUNTIF(AF$4:AF327,"&gt;0")+1)</f>
        <v>0</v>
      </c>
      <c r="AG328" s="164">
        <f t="shared" si="63"/>
        <v>0</v>
      </c>
      <c r="AH328" s="99">
        <f t="shared" si="68"/>
        <v>0</v>
      </c>
      <c r="AI328" s="99">
        <f t="shared" si="64"/>
        <v>0</v>
      </c>
      <c r="AJ328" s="170">
        <f t="shared" si="65"/>
        <v>0</v>
      </c>
      <c r="AK328" s="204">
        <f t="shared" si="69"/>
        <v>0</v>
      </c>
      <c r="AL328" s="1049">
        <f>IF(ISERROR(AO328),0,IF(AND(AN328&gt;=$U$1,AN328&lt;=$U$2),IF(AO328='ESTRATTO CONTO'!$E$2,1+COUNTIF(AL$4:AL327,"&gt;0")+U$1009,0),0))</f>
        <v>0</v>
      </c>
      <c r="AM328" s="747">
        <f t="shared" si="72"/>
        <v>325</v>
      </c>
      <c r="AN328" s="164" t="e">
        <f>VLOOKUP($AM328,PATRIMONIALE!$AV380:AW$1003,2,FALSE)</f>
        <v>#N/A</v>
      </c>
      <c r="AO328" s="310" t="e">
        <f>VLOOKUP($AM328,PATRIMONIALE!$AV380:AX$1003,3,FALSE)</f>
        <v>#N/A</v>
      </c>
      <c r="AP328" s="310" t="e">
        <f>VLOOKUP($AM328,PATRIMONIALE!$AV380:AY$1003,4,FALSE)</f>
        <v>#N/A</v>
      </c>
      <c r="AQ328" s="748" t="e">
        <f>VLOOKUP($AM328,PATRIMONIALE!$AV380:AZ$1003,5,FALSE)</f>
        <v>#N/A</v>
      </c>
      <c r="AR328" s="1"/>
      <c r="AS328" s="461" t="str">
        <f t="shared" si="70"/>
        <v/>
      </c>
      <c r="AT328" s="370"/>
    </row>
    <row r="329" spans="1:46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435">
        <f>IF(AND(W329&gt;=$U$1,W329&lt;=$U$2),IF(X329='ESTRATTO CONTO'!$E$2,1+COUNTIF(U$4:U328,"&gt;0"),0),0)</f>
        <v>0</v>
      </c>
      <c r="V329" s="417">
        <f t="shared" si="71"/>
        <v>326</v>
      </c>
      <c r="W329" s="509"/>
      <c r="X329" s="321"/>
      <c r="Y329" s="321"/>
      <c r="Z329" s="433"/>
      <c r="AA329" s="356"/>
      <c r="AB329" s="306" t="str">
        <f t="shared" si="66"/>
        <v/>
      </c>
      <c r="AC329" s="893">
        <f t="shared" si="67"/>
        <v>0</v>
      </c>
      <c r="AD329" s="322"/>
      <c r="AE329" s="1"/>
      <c r="AF329" s="223">
        <f>IF(ISBLANK(AD329),0,COUNTIF(AF$4:AF328,"&gt;0")+1)</f>
        <v>0</v>
      </c>
      <c r="AG329" s="164">
        <f t="shared" si="63"/>
        <v>0</v>
      </c>
      <c r="AH329" s="99">
        <f t="shared" si="68"/>
        <v>0</v>
      </c>
      <c r="AI329" s="99">
        <f t="shared" si="64"/>
        <v>0</v>
      </c>
      <c r="AJ329" s="170">
        <f t="shared" si="65"/>
        <v>0</v>
      </c>
      <c r="AK329" s="204">
        <f t="shared" si="69"/>
        <v>0</v>
      </c>
      <c r="AL329" s="1049">
        <f>IF(ISERROR(AO329),0,IF(AND(AN329&gt;=$U$1,AN329&lt;=$U$2),IF(AO329='ESTRATTO CONTO'!$E$2,1+COUNTIF(AL$4:AL328,"&gt;0")+U$1009,0),0))</f>
        <v>0</v>
      </c>
      <c r="AM329" s="747">
        <f t="shared" si="72"/>
        <v>326</v>
      </c>
      <c r="AN329" s="164" t="e">
        <f>VLOOKUP($AM329,PATRIMONIALE!$AV381:AW$1003,2,FALSE)</f>
        <v>#N/A</v>
      </c>
      <c r="AO329" s="310" t="e">
        <f>VLOOKUP($AM329,PATRIMONIALE!$AV381:AX$1003,3,FALSE)</f>
        <v>#N/A</v>
      </c>
      <c r="AP329" s="310" t="e">
        <f>VLOOKUP($AM329,PATRIMONIALE!$AV381:AY$1003,4,FALSE)</f>
        <v>#N/A</v>
      </c>
      <c r="AQ329" s="748" t="e">
        <f>VLOOKUP($AM329,PATRIMONIALE!$AV381:AZ$1003,5,FALSE)</f>
        <v>#N/A</v>
      </c>
      <c r="AR329" s="1"/>
      <c r="AS329" s="461" t="str">
        <f t="shared" si="70"/>
        <v/>
      </c>
      <c r="AT329" s="370"/>
    </row>
    <row r="330" spans="1:46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435">
        <f>IF(AND(W330&gt;=$U$1,W330&lt;=$U$2),IF(X330='ESTRATTO CONTO'!$E$2,1+COUNTIF(U$4:U329,"&gt;0"),0),0)</f>
        <v>0</v>
      </c>
      <c r="V330" s="417">
        <f t="shared" si="71"/>
        <v>327</v>
      </c>
      <c r="W330" s="509"/>
      <c r="X330" s="321"/>
      <c r="Y330" s="321"/>
      <c r="Z330" s="433"/>
      <c r="AA330" s="356"/>
      <c r="AB330" s="306" t="str">
        <f t="shared" si="66"/>
        <v/>
      </c>
      <c r="AC330" s="893">
        <f t="shared" si="67"/>
        <v>0</v>
      </c>
      <c r="AD330" s="322"/>
      <c r="AE330" s="1"/>
      <c r="AF330" s="223">
        <f>IF(ISBLANK(AD330),0,COUNTIF(AF$4:AF329,"&gt;0")+1)</f>
        <v>0</v>
      </c>
      <c r="AG330" s="164">
        <f t="shared" ref="AG330:AG393" si="73">IF($AF330=0,0,W330)</f>
        <v>0</v>
      </c>
      <c r="AH330" s="99">
        <f t="shared" si="68"/>
        <v>0</v>
      </c>
      <c r="AI330" s="99">
        <f t="shared" ref="AI330:AI393" si="74">IF($AF330=0,0,Y330)</f>
        <v>0</v>
      </c>
      <c r="AJ330" s="170">
        <f t="shared" ref="AJ330:AJ393" si="75">IF($AF330=0,0,IF(RIGHT(AD330)="-",IF(Z330&gt;0,Z330*-1,Z330),Z330))</f>
        <v>0</v>
      </c>
      <c r="AK330" s="204">
        <f t="shared" si="69"/>
        <v>0</v>
      </c>
      <c r="AL330" s="1049">
        <f>IF(ISERROR(AO330),0,IF(AND(AN330&gt;=$U$1,AN330&lt;=$U$2),IF(AO330='ESTRATTO CONTO'!$E$2,1+COUNTIF(AL$4:AL329,"&gt;0")+U$1009,0),0))</f>
        <v>0</v>
      </c>
      <c r="AM330" s="747">
        <f t="shared" si="72"/>
        <v>327</v>
      </c>
      <c r="AN330" s="164" t="e">
        <f>VLOOKUP($AM330,PATRIMONIALE!$AV382:AW$1003,2,FALSE)</f>
        <v>#N/A</v>
      </c>
      <c r="AO330" s="310" t="e">
        <f>VLOOKUP($AM330,PATRIMONIALE!$AV382:AX$1003,3,FALSE)</f>
        <v>#N/A</v>
      </c>
      <c r="AP330" s="310" t="e">
        <f>VLOOKUP($AM330,PATRIMONIALE!$AV382:AY$1003,4,FALSE)</f>
        <v>#N/A</v>
      </c>
      <c r="AQ330" s="748" t="e">
        <f>VLOOKUP($AM330,PATRIMONIALE!$AV382:AZ$1003,5,FALSE)</f>
        <v>#N/A</v>
      </c>
      <c r="AR330" s="1"/>
      <c r="AS330" s="461" t="str">
        <f t="shared" si="70"/>
        <v/>
      </c>
      <c r="AT330" s="370"/>
    </row>
    <row r="331" spans="1:46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435">
        <f>IF(AND(W331&gt;=$U$1,W331&lt;=$U$2),IF(X331='ESTRATTO CONTO'!$E$2,1+COUNTIF(U$4:U330,"&gt;0"),0),0)</f>
        <v>0</v>
      </c>
      <c r="V331" s="417">
        <f t="shared" si="71"/>
        <v>328</v>
      </c>
      <c r="W331" s="509"/>
      <c r="X331" s="321"/>
      <c r="Y331" s="321"/>
      <c r="Z331" s="433"/>
      <c r="AA331" s="356"/>
      <c r="AB331" s="306" t="str">
        <f t="shared" si="66"/>
        <v/>
      </c>
      <c r="AC331" s="893">
        <f t="shared" si="67"/>
        <v>0</v>
      </c>
      <c r="AD331" s="322"/>
      <c r="AE331" s="1"/>
      <c r="AF331" s="223">
        <f>IF(ISBLANK(AD331),0,COUNTIF(AF$4:AF330,"&gt;0")+1)</f>
        <v>0</v>
      </c>
      <c r="AG331" s="164">
        <f t="shared" si="73"/>
        <v>0</v>
      </c>
      <c r="AH331" s="99">
        <f t="shared" si="68"/>
        <v>0</v>
      </c>
      <c r="AI331" s="99">
        <f t="shared" si="74"/>
        <v>0</v>
      </c>
      <c r="AJ331" s="170">
        <f t="shared" si="75"/>
        <v>0</v>
      </c>
      <c r="AK331" s="204">
        <f t="shared" si="69"/>
        <v>0</v>
      </c>
      <c r="AL331" s="1049">
        <f>IF(ISERROR(AO331),0,IF(AND(AN331&gt;=$U$1,AN331&lt;=$U$2),IF(AO331='ESTRATTO CONTO'!$E$2,1+COUNTIF(AL$4:AL330,"&gt;0")+U$1009,0),0))</f>
        <v>0</v>
      </c>
      <c r="AM331" s="747">
        <f t="shared" si="72"/>
        <v>328</v>
      </c>
      <c r="AN331" s="164" t="e">
        <f>VLOOKUP($AM331,PATRIMONIALE!$AV383:AW$1003,2,FALSE)</f>
        <v>#N/A</v>
      </c>
      <c r="AO331" s="310" t="e">
        <f>VLOOKUP($AM331,PATRIMONIALE!$AV383:AX$1003,3,FALSE)</f>
        <v>#N/A</v>
      </c>
      <c r="AP331" s="310" t="e">
        <f>VLOOKUP($AM331,PATRIMONIALE!$AV383:AY$1003,4,FALSE)</f>
        <v>#N/A</v>
      </c>
      <c r="AQ331" s="748" t="e">
        <f>VLOOKUP($AM331,PATRIMONIALE!$AV383:AZ$1003,5,FALSE)</f>
        <v>#N/A</v>
      </c>
      <c r="AR331" s="1"/>
      <c r="AS331" s="461" t="str">
        <f t="shared" si="70"/>
        <v/>
      </c>
      <c r="AT331" s="370"/>
    </row>
    <row r="332" spans="1:46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435">
        <f>IF(AND(W332&gt;=$U$1,W332&lt;=$U$2),IF(X332='ESTRATTO CONTO'!$E$2,1+COUNTIF(U$4:U331,"&gt;0"),0),0)</f>
        <v>0</v>
      </c>
      <c r="V332" s="417">
        <f t="shared" si="71"/>
        <v>329</v>
      </c>
      <c r="W332" s="509"/>
      <c r="X332" s="321"/>
      <c r="Y332" s="321"/>
      <c r="Z332" s="433"/>
      <c r="AA332" s="356"/>
      <c r="AB332" s="306" t="str">
        <f t="shared" si="66"/>
        <v/>
      </c>
      <c r="AC332" s="893">
        <f t="shared" si="67"/>
        <v>0</v>
      </c>
      <c r="AD332" s="322"/>
      <c r="AE332" s="1"/>
      <c r="AF332" s="223">
        <f>IF(ISBLANK(AD332),0,COUNTIF(AF$4:AF331,"&gt;0")+1)</f>
        <v>0</v>
      </c>
      <c r="AG332" s="164">
        <f t="shared" si="73"/>
        <v>0</v>
      </c>
      <c r="AH332" s="99">
        <f t="shared" si="68"/>
        <v>0</v>
      </c>
      <c r="AI332" s="99">
        <f t="shared" si="74"/>
        <v>0</v>
      </c>
      <c r="AJ332" s="170">
        <f t="shared" si="75"/>
        <v>0</v>
      </c>
      <c r="AK332" s="204">
        <f t="shared" si="69"/>
        <v>0</v>
      </c>
      <c r="AL332" s="1049">
        <f>IF(ISERROR(AO332),0,IF(AND(AN332&gt;=$U$1,AN332&lt;=$U$2),IF(AO332='ESTRATTO CONTO'!$E$2,1+COUNTIF(AL$4:AL331,"&gt;0")+U$1009,0),0))</f>
        <v>0</v>
      </c>
      <c r="AM332" s="747">
        <f t="shared" si="72"/>
        <v>329</v>
      </c>
      <c r="AN332" s="164" t="e">
        <f>VLOOKUP($AM332,PATRIMONIALE!$AV384:AW$1003,2,FALSE)</f>
        <v>#N/A</v>
      </c>
      <c r="AO332" s="310" t="e">
        <f>VLOOKUP($AM332,PATRIMONIALE!$AV384:AX$1003,3,FALSE)</f>
        <v>#N/A</v>
      </c>
      <c r="AP332" s="310" t="e">
        <f>VLOOKUP($AM332,PATRIMONIALE!$AV384:AY$1003,4,FALSE)</f>
        <v>#N/A</v>
      </c>
      <c r="AQ332" s="748" t="e">
        <f>VLOOKUP($AM332,PATRIMONIALE!$AV384:AZ$1003,5,FALSE)</f>
        <v>#N/A</v>
      </c>
      <c r="AR332" s="1"/>
      <c r="AS332" s="461" t="str">
        <f t="shared" si="70"/>
        <v/>
      </c>
      <c r="AT332" s="370"/>
    </row>
    <row r="333" spans="1:46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435">
        <f>IF(AND(W333&gt;=$U$1,W333&lt;=$U$2),IF(X333='ESTRATTO CONTO'!$E$2,1+COUNTIF(U$4:U332,"&gt;0"),0),0)</f>
        <v>0</v>
      </c>
      <c r="V333" s="417">
        <f t="shared" si="71"/>
        <v>330</v>
      </c>
      <c r="W333" s="509"/>
      <c r="X333" s="321"/>
      <c r="Y333" s="321"/>
      <c r="Z333" s="433"/>
      <c r="AA333" s="356"/>
      <c r="AB333" s="306" t="str">
        <f t="shared" si="66"/>
        <v/>
      </c>
      <c r="AC333" s="893">
        <f t="shared" si="67"/>
        <v>0</v>
      </c>
      <c r="AD333" s="322"/>
      <c r="AE333" s="1"/>
      <c r="AF333" s="223">
        <f>IF(ISBLANK(AD333),0,COUNTIF(AF$4:AF332,"&gt;0")+1)</f>
        <v>0</v>
      </c>
      <c r="AG333" s="164">
        <f t="shared" si="73"/>
        <v>0</v>
      </c>
      <c r="AH333" s="99">
        <f t="shared" si="68"/>
        <v>0</v>
      </c>
      <c r="AI333" s="99">
        <f t="shared" si="74"/>
        <v>0</v>
      </c>
      <c r="AJ333" s="170">
        <f t="shared" si="75"/>
        <v>0</v>
      </c>
      <c r="AK333" s="204">
        <f t="shared" si="69"/>
        <v>0</v>
      </c>
      <c r="AL333" s="1049">
        <f>IF(ISERROR(AO333),0,IF(AND(AN333&gt;=$U$1,AN333&lt;=$U$2),IF(AO333='ESTRATTO CONTO'!$E$2,1+COUNTIF(AL$4:AL332,"&gt;0")+U$1009,0),0))</f>
        <v>0</v>
      </c>
      <c r="AM333" s="747">
        <f t="shared" si="72"/>
        <v>330</v>
      </c>
      <c r="AN333" s="164" t="e">
        <f>VLOOKUP($AM333,PATRIMONIALE!$AV385:AW$1003,2,FALSE)</f>
        <v>#N/A</v>
      </c>
      <c r="AO333" s="310" t="e">
        <f>VLOOKUP($AM333,PATRIMONIALE!$AV385:AX$1003,3,FALSE)</f>
        <v>#N/A</v>
      </c>
      <c r="AP333" s="310" t="e">
        <f>VLOOKUP($AM333,PATRIMONIALE!$AV385:AY$1003,4,FALSE)</f>
        <v>#N/A</v>
      </c>
      <c r="AQ333" s="748" t="e">
        <f>VLOOKUP($AM333,PATRIMONIALE!$AV385:AZ$1003,5,FALSE)</f>
        <v>#N/A</v>
      </c>
      <c r="AR333" s="1"/>
      <c r="AS333" s="461" t="str">
        <f t="shared" si="70"/>
        <v/>
      </c>
      <c r="AT333" s="370"/>
    </row>
    <row r="334" spans="1:46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435">
        <f>IF(AND(W334&gt;=$U$1,W334&lt;=$U$2),IF(X334='ESTRATTO CONTO'!$E$2,1+COUNTIF(U$4:U333,"&gt;0"),0),0)</f>
        <v>0</v>
      </c>
      <c r="V334" s="417">
        <f t="shared" si="71"/>
        <v>331</v>
      </c>
      <c r="W334" s="509"/>
      <c r="X334" s="321"/>
      <c r="Y334" s="321"/>
      <c r="Z334" s="433"/>
      <c r="AA334" s="356"/>
      <c r="AB334" s="306" t="str">
        <f t="shared" si="66"/>
        <v/>
      </c>
      <c r="AC334" s="893">
        <f t="shared" si="67"/>
        <v>0</v>
      </c>
      <c r="AD334" s="322"/>
      <c r="AE334" s="1"/>
      <c r="AF334" s="223">
        <f>IF(ISBLANK(AD334),0,COUNTIF(AF$4:AF333,"&gt;0")+1)</f>
        <v>0</v>
      </c>
      <c r="AG334" s="164">
        <f t="shared" si="73"/>
        <v>0</v>
      </c>
      <c r="AH334" s="99">
        <f t="shared" si="68"/>
        <v>0</v>
      </c>
      <c r="AI334" s="99">
        <f t="shared" si="74"/>
        <v>0</v>
      </c>
      <c r="AJ334" s="170">
        <f t="shared" si="75"/>
        <v>0</v>
      </c>
      <c r="AK334" s="204">
        <f t="shared" si="69"/>
        <v>0</v>
      </c>
      <c r="AL334" s="1049">
        <f>IF(ISERROR(AO334),0,IF(AND(AN334&gt;=$U$1,AN334&lt;=$U$2),IF(AO334='ESTRATTO CONTO'!$E$2,1+COUNTIF(AL$4:AL333,"&gt;0")+U$1009,0),0))</f>
        <v>0</v>
      </c>
      <c r="AM334" s="747">
        <f t="shared" si="72"/>
        <v>331</v>
      </c>
      <c r="AN334" s="164" t="e">
        <f>VLOOKUP($AM334,PATRIMONIALE!$AV386:AW$1003,2,FALSE)</f>
        <v>#N/A</v>
      </c>
      <c r="AO334" s="310" t="e">
        <f>VLOOKUP($AM334,PATRIMONIALE!$AV386:AX$1003,3,FALSE)</f>
        <v>#N/A</v>
      </c>
      <c r="AP334" s="310" t="e">
        <f>VLOOKUP($AM334,PATRIMONIALE!$AV386:AY$1003,4,FALSE)</f>
        <v>#N/A</v>
      </c>
      <c r="AQ334" s="748" t="e">
        <f>VLOOKUP($AM334,PATRIMONIALE!$AV386:AZ$1003,5,FALSE)</f>
        <v>#N/A</v>
      </c>
      <c r="AR334" s="1"/>
      <c r="AS334" s="461" t="str">
        <f t="shared" si="70"/>
        <v/>
      </c>
      <c r="AT334" s="370"/>
    </row>
    <row r="335" spans="1:46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435">
        <f>IF(AND(W335&gt;=$U$1,W335&lt;=$U$2),IF(X335='ESTRATTO CONTO'!$E$2,1+COUNTIF(U$4:U334,"&gt;0"),0),0)</f>
        <v>0</v>
      </c>
      <c r="V335" s="417">
        <f t="shared" si="71"/>
        <v>332</v>
      </c>
      <c r="W335" s="509"/>
      <c r="X335" s="321"/>
      <c r="Y335" s="321"/>
      <c r="Z335" s="433"/>
      <c r="AA335" s="356"/>
      <c r="AB335" s="306" t="str">
        <f t="shared" si="66"/>
        <v/>
      </c>
      <c r="AC335" s="893">
        <f t="shared" si="67"/>
        <v>0</v>
      </c>
      <c r="AD335" s="322"/>
      <c r="AE335" s="1"/>
      <c r="AF335" s="223">
        <f>IF(ISBLANK(AD335),0,COUNTIF(AF$4:AF334,"&gt;0")+1)</f>
        <v>0</v>
      </c>
      <c r="AG335" s="164">
        <f t="shared" si="73"/>
        <v>0</v>
      </c>
      <c r="AH335" s="99">
        <f t="shared" si="68"/>
        <v>0</v>
      </c>
      <c r="AI335" s="99">
        <f t="shared" si="74"/>
        <v>0</v>
      </c>
      <c r="AJ335" s="170">
        <f t="shared" si="75"/>
        <v>0</v>
      </c>
      <c r="AK335" s="204">
        <f t="shared" si="69"/>
        <v>0</v>
      </c>
      <c r="AL335" s="1049">
        <f>IF(ISERROR(AO335),0,IF(AND(AN335&gt;=$U$1,AN335&lt;=$U$2),IF(AO335='ESTRATTO CONTO'!$E$2,1+COUNTIF(AL$4:AL334,"&gt;0")+U$1009,0),0))</f>
        <v>0</v>
      </c>
      <c r="AM335" s="747">
        <f t="shared" si="72"/>
        <v>332</v>
      </c>
      <c r="AN335" s="164" t="e">
        <f>VLOOKUP($AM335,PATRIMONIALE!$AV387:AW$1003,2,FALSE)</f>
        <v>#N/A</v>
      </c>
      <c r="AO335" s="310" t="e">
        <f>VLOOKUP($AM335,PATRIMONIALE!$AV387:AX$1003,3,FALSE)</f>
        <v>#N/A</v>
      </c>
      <c r="AP335" s="310" t="e">
        <f>VLOOKUP($AM335,PATRIMONIALE!$AV387:AY$1003,4,FALSE)</f>
        <v>#N/A</v>
      </c>
      <c r="AQ335" s="748" t="e">
        <f>VLOOKUP($AM335,PATRIMONIALE!$AV387:AZ$1003,5,FALSE)</f>
        <v>#N/A</v>
      </c>
      <c r="AR335" s="1"/>
      <c r="AS335" s="461" t="str">
        <f t="shared" si="70"/>
        <v/>
      </c>
      <c r="AT335" s="370"/>
    </row>
    <row r="336" spans="1:46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435">
        <f>IF(AND(W336&gt;=$U$1,W336&lt;=$U$2),IF(X336='ESTRATTO CONTO'!$E$2,1+COUNTIF(U$4:U335,"&gt;0"),0),0)</f>
        <v>0</v>
      </c>
      <c r="V336" s="417">
        <f t="shared" si="71"/>
        <v>333</v>
      </c>
      <c r="W336" s="509"/>
      <c r="X336" s="321"/>
      <c r="Y336" s="321"/>
      <c r="Z336" s="433"/>
      <c r="AA336" s="356"/>
      <c r="AB336" s="306" t="str">
        <f t="shared" si="66"/>
        <v/>
      </c>
      <c r="AC336" s="893">
        <f t="shared" si="67"/>
        <v>0</v>
      </c>
      <c r="AD336" s="322"/>
      <c r="AE336" s="1"/>
      <c r="AF336" s="223">
        <f>IF(ISBLANK(AD336),0,COUNTIF(AF$4:AF335,"&gt;0")+1)</f>
        <v>0</v>
      </c>
      <c r="AG336" s="164">
        <f t="shared" si="73"/>
        <v>0</v>
      </c>
      <c r="AH336" s="99">
        <f t="shared" si="68"/>
        <v>0</v>
      </c>
      <c r="AI336" s="99">
        <f t="shared" si="74"/>
        <v>0</v>
      </c>
      <c r="AJ336" s="170">
        <f t="shared" si="75"/>
        <v>0</v>
      </c>
      <c r="AK336" s="204">
        <f t="shared" si="69"/>
        <v>0</v>
      </c>
      <c r="AL336" s="1049">
        <f>IF(ISERROR(AO336),0,IF(AND(AN336&gt;=$U$1,AN336&lt;=$U$2),IF(AO336='ESTRATTO CONTO'!$E$2,1+COUNTIF(AL$4:AL335,"&gt;0")+U$1009,0),0))</f>
        <v>0</v>
      </c>
      <c r="AM336" s="747">
        <f t="shared" si="72"/>
        <v>333</v>
      </c>
      <c r="AN336" s="164" t="e">
        <f>VLOOKUP($AM336,PATRIMONIALE!$AV388:AW$1003,2,FALSE)</f>
        <v>#N/A</v>
      </c>
      <c r="AO336" s="310" t="e">
        <f>VLOOKUP($AM336,PATRIMONIALE!$AV388:AX$1003,3,FALSE)</f>
        <v>#N/A</v>
      </c>
      <c r="AP336" s="310" t="e">
        <f>VLOOKUP($AM336,PATRIMONIALE!$AV388:AY$1003,4,FALSE)</f>
        <v>#N/A</v>
      </c>
      <c r="AQ336" s="748" t="e">
        <f>VLOOKUP($AM336,PATRIMONIALE!$AV388:AZ$1003,5,FALSE)</f>
        <v>#N/A</v>
      </c>
      <c r="AR336" s="1"/>
      <c r="AS336" s="461" t="str">
        <f t="shared" si="70"/>
        <v/>
      </c>
      <c r="AT336" s="370"/>
    </row>
    <row r="337" spans="1:46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435">
        <f>IF(AND(W337&gt;=$U$1,W337&lt;=$U$2),IF(X337='ESTRATTO CONTO'!$E$2,1+COUNTIF(U$4:U336,"&gt;0"),0),0)</f>
        <v>0</v>
      </c>
      <c r="V337" s="417">
        <f t="shared" si="71"/>
        <v>334</v>
      </c>
      <c r="W337" s="509"/>
      <c r="X337" s="321"/>
      <c r="Y337" s="321"/>
      <c r="Z337" s="433"/>
      <c r="AA337" s="356"/>
      <c r="AB337" s="306" t="str">
        <f t="shared" si="66"/>
        <v/>
      </c>
      <c r="AC337" s="893">
        <f t="shared" si="67"/>
        <v>0</v>
      </c>
      <c r="AD337" s="322"/>
      <c r="AE337" s="1"/>
      <c r="AF337" s="223">
        <f>IF(ISBLANK(AD337),0,COUNTIF(AF$4:AF336,"&gt;0")+1)</f>
        <v>0</v>
      </c>
      <c r="AG337" s="164">
        <f t="shared" si="73"/>
        <v>0</v>
      </c>
      <c r="AH337" s="99">
        <f t="shared" si="68"/>
        <v>0</v>
      </c>
      <c r="AI337" s="99">
        <f t="shared" si="74"/>
        <v>0</v>
      </c>
      <c r="AJ337" s="170">
        <f t="shared" si="75"/>
        <v>0</v>
      </c>
      <c r="AK337" s="204">
        <f t="shared" si="69"/>
        <v>0</v>
      </c>
      <c r="AL337" s="1049">
        <f>IF(ISERROR(AO337),0,IF(AND(AN337&gt;=$U$1,AN337&lt;=$U$2),IF(AO337='ESTRATTO CONTO'!$E$2,1+COUNTIF(AL$4:AL336,"&gt;0")+U$1009,0),0))</f>
        <v>0</v>
      </c>
      <c r="AM337" s="747">
        <f t="shared" si="72"/>
        <v>334</v>
      </c>
      <c r="AN337" s="164" t="e">
        <f>VLOOKUP($AM337,PATRIMONIALE!$AV389:AW$1003,2,FALSE)</f>
        <v>#N/A</v>
      </c>
      <c r="AO337" s="310" t="e">
        <f>VLOOKUP($AM337,PATRIMONIALE!$AV389:AX$1003,3,FALSE)</f>
        <v>#N/A</v>
      </c>
      <c r="AP337" s="310" t="e">
        <f>VLOOKUP($AM337,PATRIMONIALE!$AV389:AY$1003,4,FALSE)</f>
        <v>#N/A</v>
      </c>
      <c r="AQ337" s="748" t="e">
        <f>VLOOKUP($AM337,PATRIMONIALE!$AV389:AZ$1003,5,FALSE)</f>
        <v>#N/A</v>
      </c>
      <c r="AR337" s="1"/>
      <c r="AS337" s="461" t="str">
        <f t="shared" si="70"/>
        <v/>
      </c>
      <c r="AT337" s="370"/>
    </row>
    <row r="338" spans="1:46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435">
        <f>IF(AND(W338&gt;=$U$1,W338&lt;=$U$2),IF(X338='ESTRATTO CONTO'!$E$2,1+COUNTIF(U$4:U337,"&gt;0"),0),0)</f>
        <v>0</v>
      </c>
      <c r="V338" s="417">
        <f t="shared" si="71"/>
        <v>335</v>
      </c>
      <c r="W338" s="509"/>
      <c r="X338" s="321"/>
      <c r="Y338" s="321"/>
      <c r="Z338" s="433"/>
      <c r="AA338" s="356"/>
      <c r="AB338" s="306" t="str">
        <f t="shared" si="66"/>
        <v/>
      </c>
      <c r="AC338" s="893">
        <f t="shared" si="67"/>
        <v>0</v>
      </c>
      <c r="AD338" s="322"/>
      <c r="AE338" s="1"/>
      <c r="AF338" s="223">
        <f>IF(ISBLANK(AD338),0,COUNTIF(AF$4:AF337,"&gt;0")+1)</f>
        <v>0</v>
      </c>
      <c r="AG338" s="164">
        <f t="shared" si="73"/>
        <v>0</v>
      </c>
      <c r="AH338" s="99">
        <f t="shared" si="68"/>
        <v>0</v>
      </c>
      <c r="AI338" s="99">
        <f t="shared" si="74"/>
        <v>0</v>
      </c>
      <c r="AJ338" s="170">
        <f t="shared" si="75"/>
        <v>0</v>
      </c>
      <c r="AK338" s="204">
        <f t="shared" si="69"/>
        <v>0</v>
      </c>
      <c r="AL338" s="1049">
        <f>IF(ISERROR(AO338),0,IF(AND(AN338&gt;=$U$1,AN338&lt;=$U$2),IF(AO338='ESTRATTO CONTO'!$E$2,1+COUNTIF(AL$4:AL337,"&gt;0")+U$1009,0),0))</f>
        <v>0</v>
      </c>
      <c r="AM338" s="747">
        <f t="shared" si="72"/>
        <v>335</v>
      </c>
      <c r="AN338" s="164" t="e">
        <f>VLOOKUP($AM338,PATRIMONIALE!$AV390:AW$1003,2,FALSE)</f>
        <v>#N/A</v>
      </c>
      <c r="AO338" s="310" t="e">
        <f>VLOOKUP($AM338,PATRIMONIALE!$AV390:AX$1003,3,FALSE)</f>
        <v>#N/A</v>
      </c>
      <c r="AP338" s="310" t="e">
        <f>VLOOKUP($AM338,PATRIMONIALE!$AV390:AY$1003,4,FALSE)</f>
        <v>#N/A</v>
      </c>
      <c r="AQ338" s="748" t="e">
        <f>VLOOKUP($AM338,PATRIMONIALE!$AV390:AZ$1003,5,FALSE)</f>
        <v>#N/A</v>
      </c>
      <c r="AR338" s="1"/>
      <c r="AS338" s="461" t="str">
        <f t="shared" si="70"/>
        <v/>
      </c>
      <c r="AT338" s="370"/>
    </row>
    <row r="339" spans="1:46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435">
        <f>IF(AND(W339&gt;=$U$1,W339&lt;=$U$2),IF(X339='ESTRATTO CONTO'!$E$2,1+COUNTIF(U$4:U338,"&gt;0"),0),0)</f>
        <v>0</v>
      </c>
      <c r="V339" s="417">
        <f t="shared" si="71"/>
        <v>336</v>
      </c>
      <c r="W339" s="509"/>
      <c r="X339" s="321"/>
      <c r="Y339" s="321"/>
      <c r="Z339" s="433"/>
      <c r="AA339" s="356"/>
      <c r="AB339" s="306" t="str">
        <f t="shared" si="66"/>
        <v/>
      </c>
      <c r="AC339" s="893">
        <f t="shared" si="67"/>
        <v>0</v>
      </c>
      <c r="AD339" s="322"/>
      <c r="AE339" s="1"/>
      <c r="AF339" s="223">
        <f>IF(ISBLANK(AD339),0,COUNTIF(AF$4:AF338,"&gt;0")+1)</f>
        <v>0</v>
      </c>
      <c r="AG339" s="164">
        <f t="shared" si="73"/>
        <v>0</v>
      </c>
      <c r="AH339" s="99">
        <f t="shared" si="68"/>
        <v>0</v>
      </c>
      <c r="AI339" s="99">
        <f t="shared" si="74"/>
        <v>0</v>
      </c>
      <c r="AJ339" s="170">
        <f t="shared" si="75"/>
        <v>0</v>
      </c>
      <c r="AK339" s="204">
        <f t="shared" si="69"/>
        <v>0</v>
      </c>
      <c r="AL339" s="1049">
        <f>IF(ISERROR(AO339),0,IF(AND(AN339&gt;=$U$1,AN339&lt;=$U$2),IF(AO339='ESTRATTO CONTO'!$E$2,1+COUNTIF(AL$4:AL338,"&gt;0")+U$1009,0),0))</f>
        <v>0</v>
      </c>
      <c r="AM339" s="747">
        <f t="shared" si="72"/>
        <v>336</v>
      </c>
      <c r="AN339" s="164" t="e">
        <f>VLOOKUP($AM339,PATRIMONIALE!$AV391:AW$1003,2,FALSE)</f>
        <v>#N/A</v>
      </c>
      <c r="AO339" s="310" t="e">
        <f>VLOOKUP($AM339,PATRIMONIALE!$AV391:AX$1003,3,FALSE)</f>
        <v>#N/A</v>
      </c>
      <c r="AP339" s="310" t="e">
        <f>VLOOKUP($AM339,PATRIMONIALE!$AV391:AY$1003,4,FALSE)</f>
        <v>#N/A</v>
      </c>
      <c r="AQ339" s="748" t="e">
        <f>VLOOKUP($AM339,PATRIMONIALE!$AV391:AZ$1003,5,FALSE)</f>
        <v>#N/A</v>
      </c>
      <c r="AR339" s="1"/>
      <c r="AS339" s="461" t="str">
        <f t="shared" si="70"/>
        <v/>
      </c>
      <c r="AT339" s="370"/>
    </row>
    <row r="340" spans="1:46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435">
        <f>IF(AND(W340&gt;=$U$1,W340&lt;=$U$2),IF(X340='ESTRATTO CONTO'!$E$2,1+COUNTIF(U$4:U339,"&gt;0"),0),0)</f>
        <v>0</v>
      </c>
      <c r="V340" s="417">
        <f t="shared" si="71"/>
        <v>337</v>
      </c>
      <c r="W340" s="509"/>
      <c r="X340" s="321"/>
      <c r="Y340" s="321"/>
      <c r="Z340" s="433"/>
      <c r="AA340" s="356"/>
      <c r="AB340" s="306" t="str">
        <f t="shared" si="66"/>
        <v/>
      </c>
      <c r="AC340" s="893">
        <f t="shared" si="67"/>
        <v>0</v>
      </c>
      <c r="AD340" s="322"/>
      <c r="AE340" s="1"/>
      <c r="AF340" s="223">
        <f>IF(ISBLANK(AD340),0,COUNTIF(AF$4:AF339,"&gt;0")+1)</f>
        <v>0</v>
      </c>
      <c r="AG340" s="164">
        <f t="shared" si="73"/>
        <v>0</v>
      </c>
      <c r="AH340" s="99">
        <f t="shared" si="68"/>
        <v>0</v>
      </c>
      <c r="AI340" s="99">
        <f t="shared" si="74"/>
        <v>0</v>
      </c>
      <c r="AJ340" s="170">
        <f t="shared" si="75"/>
        <v>0</v>
      </c>
      <c r="AK340" s="204">
        <f t="shared" si="69"/>
        <v>0</v>
      </c>
      <c r="AL340" s="1049">
        <f>IF(ISERROR(AO340),0,IF(AND(AN340&gt;=$U$1,AN340&lt;=$U$2),IF(AO340='ESTRATTO CONTO'!$E$2,1+COUNTIF(AL$4:AL339,"&gt;0")+U$1009,0),0))</f>
        <v>0</v>
      </c>
      <c r="AM340" s="747">
        <f t="shared" si="72"/>
        <v>337</v>
      </c>
      <c r="AN340" s="164" t="e">
        <f>VLOOKUP($AM340,PATRIMONIALE!$AV392:AW$1003,2,FALSE)</f>
        <v>#N/A</v>
      </c>
      <c r="AO340" s="310" t="e">
        <f>VLOOKUP($AM340,PATRIMONIALE!$AV392:AX$1003,3,FALSE)</f>
        <v>#N/A</v>
      </c>
      <c r="AP340" s="310" t="e">
        <f>VLOOKUP($AM340,PATRIMONIALE!$AV392:AY$1003,4,FALSE)</f>
        <v>#N/A</v>
      </c>
      <c r="AQ340" s="748" t="e">
        <f>VLOOKUP($AM340,PATRIMONIALE!$AV392:AZ$1003,5,FALSE)</f>
        <v>#N/A</v>
      </c>
      <c r="AR340" s="1"/>
      <c r="AS340" s="461" t="str">
        <f t="shared" si="70"/>
        <v/>
      </c>
      <c r="AT340" s="370"/>
    </row>
    <row r="341" spans="1:46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435">
        <f>IF(AND(W341&gt;=$U$1,W341&lt;=$U$2),IF(X341='ESTRATTO CONTO'!$E$2,1+COUNTIF(U$4:U340,"&gt;0"),0),0)</f>
        <v>0</v>
      </c>
      <c r="V341" s="417">
        <f t="shared" si="71"/>
        <v>338</v>
      </c>
      <c r="W341" s="509"/>
      <c r="X341" s="321"/>
      <c r="Y341" s="321"/>
      <c r="Z341" s="433"/>
      <c r="AA341" s="356"/>
      <c r="AB341" s="306" t="str">
        <f t="shared" si="66"/>
        <v/>
      </c>
      <c r="AC341" s="893">
        <f t="shared" si="67"/>
        <v>0</v>
      </c>
      <c r="AD341" s="322"/>
      <c r="AE341" s="1"/>
      <c r="AF341" s="223">
        <f>IF(ISBLANK(AD341),0,COUNTIF(AF$4:AF340,"&gt;0")+1)</f>
        <v>0</v>
      </c>
      <c r="AG341" s="164">
        <f t="shared" si="73"/>
        <v>0</v>
      </c>
      <c r="AH341" s="99">
        <f t="shared" si="68"/>
        <v>0</v>
      </c>
      <c r="AI341" s="99">
        <f t="shared" si="74"/>
        <v>0</v>
      </c>
      <c r="AJ341" s="170">
        <f t="shared" si="75"/>
        <v>0</v>
      </c>
      <c r="AK341" s="204">
        <f t="shared" si="69"/>
        <v>0</v>
      </c>
      <c r="AL341" s="1049">
        <f>IF(ISERROR(AO341),0,IF(AND(AN341&gt;=$U$1,AN341&lt;=$U$2),IF(AO341='ESTRATTO CONTO'!$E$2,1+COUNTIF(AL$4:AL340,"&gt;0")+U$1009,0),0))</f>
        <v>0</v>
      </c>
      <c r="AM341" s="747">
        <f t="shared" si="72"/>
        <v>338</v>
      </c>
      <c r="AN341" s="164" t="e">
        <f>VLOOKUP($AM341,PATRIMONIALE!$AV393:AW$1003,2,FALSE)</f>
        <v>#N/A</v>
      </c>
      <c r="AO341" s="310" t="e">
        <f>VLOOKUP($AM341,PATRIMONIALE!$AV393:AX$1003,3,FALSE)</f>
        <v>#N/A</v>
      </c>
      <c r="AP341" s="310" t="e">
        <f>VLOOKUP($AM341,PATRIMONIALE!$AV393:AY$1003,4,FALSE)</f>
        <v>#N/A</v>
      </c>
      <c r="AQ341" s="748" t="e">
        <f>VLOOKUP($AM341,PATRIMONIALE!$AV393:AZ$1003,5,FALSE)</f>
        <v>#N/A</v>
      </c>
      <c r="AR341" s="1"/>
      <c r="AS341" s="461" t="str">
        <f t="shared" si="70"/>
        <v/>
      </c>
      <c r="AT341" s="370"/>
    </row>
    <row r="342" spans="1:46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435">
        <f>IF(AND(W342&gt;=$U$1,W342&lt;=$U$2),IF(X342='ESTRATTO CONTO'!$E$2,1+COUNTIF(U$4:U341,"&gt;0"),0),0)</f>
        <v>0</v>
      </c>
      <c r="V342" s="417">
        <f t="shared" si="71"/>
        <v>339</v>
      </c>
      <c r="W342" s="509"/>
      <c r="X342" s="321"/>
      <c r="Y342" s="321"/>
      <c r="Z342" s="433"/>
      <c r="AA342" s="356"/>
      <c r="AB342" s="306" t="str">
        <f t="shared" si="66"/>
        <v/>
      </c>
      <c r="AC342" s="893">
        <f t="shared" si="67"/>
        <v>0</v>
      </c>
      <c r="AD342" s="322"/>
      <c r="AE342" s="1"/>
      <c r="AF342" s="223">
        <f>IF(ISBLANK(AD342),0,COUNTIF(AF$4:AF341,"&gt;0")+1)</f>
        <v>0</v>
      </c>
      <c r="AG342" s="164">
        <f t="shared" si="73"/>
        <v>0</v>
      </c>
      <c r="AH342" s="99">
        <f t="shared" si="68"/>
        <v>0</v>
      </c>
      <c r="AI342" s="99">
        <f t="shared" si="74"/>
        <v>0</v>
      </c>
      <c r="AJ342" s="170">
        <f t="shared" si="75"/>
        <v>0</v>
      </c>
      <c r="AK342" s="204">
        <f t="shared" si="69"/>
        <v>0</v>
      </c>
      <c r="AL342" s="1049">
        <f>IF(ISERROR(AO342),0,IF(AND(AN342&gt;=$U$1,AN342&lt;=$U$2),IF(AO342='ESTRATTO CONTO'!$E$2,1+COUNTIF(AL$4:AL341,"&gt;0")+U$1009,0),0))</f>
        <v>0</v>
      </c>
      <c r="AM342" s="747">
        <f t="shared" si="72"/>
        <v>339</v>
      </c>
      <c r="AN342" s="164" t="e">
        <f>VLOOKUP($AM342,PATRIMONIALE!$AV394:AW$1003,2,FALSE)</f>
        <v>#N/A</v>
      </c>
      <c r="AO342" s="310" t="e">
        <f>VLOOKUP($AM342,PATRIMONIALE!$AV394:AX$1003,3,FALSE)</f>
        <v>#N/A</v>
      </c>
      <c r="AP342" s="310" t="e">
        <f>VLOOKUP($AM342,PATRIMONIALE!$AV394:AY$1003,4,FALSE)</f>
        <v>#N/A</v>
      </c>
      <c r="AQ342" s="748" t="e">
        <f>VLOOKUP($AM342,PATRIMONIALE!$AV394:AZ$1003,5,FALSE)</f>
        <v>#N/A</v>
      </c>
      <c r="AR342" s="1"/>
      <c r="AS342" s="461" t="str">
        <f t="shared" si="70"/>
        <v/>
      </c>
      <c r="AT342" s="370"/>
    </row>
    <row r="343" spans="1:46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435">
        <f>IF(AND(W343&gt;=$U$1,W343&lt;=$U$2),IF(X343='ESTRATTO CONTO'!$E$2,1+COUNTIF(U$4:U342,"&gt;0"),0),0)</f>
        <v>0</v>
      </c>
      <c r="V343" s="417">
        <f t="shared" si="71"/>
        <v>340</v>
      </c>
      <c r="W343" s="509"/>
      <c r="X343" s="321"/>
      <c r="Y343" s="321"/>
      <c r="Z343" s="433"/>
      <c r="AA343" s="356"/>
      <c r="AB343" s="306" t="str">
        <f t="shared" si="66"/>
        <v/>
      </c>
      <c r="AC343" s="893">
        <f t="shared" si="67"/>
        <v>0</v>
      </c>
      <c r="AD343" s="322"/>
      <c r="AE343" s="1"/>
      <c r="AF343" s="223">
        <f>IF(ISBLANK(AD343),0,COUNTIF(AF$4:AF342,"&gt;0")+1)</f>
        <v>0</v>
      </c>
      <c r="AG343" s="164">
        <f t="shared" si="73"/>
        <v>0</v>
      </c>
      <c r="AH343" s="99">
        <f t="shared" si="68"/>
        <v>0</v>
      </c>
      <c r="AI343" s="99">
        <f t="shared" si="74"/>
        <v>0</v>
      </c>
      <c r="AJ343" s="170">
        <f t="shared" si="75"/>
        <v>0</v>
      </c>
      <c r="AK343" s="204">
        <f t="shared" si="69"/>
        <v>0</v>
      </c>
      <c r="AL343" s="1049">
        <f>IF(ISERROR(AO343),0,IF(AND(AN343&gt;=$U$1,AN343&lt;=$U$2),IF(AO343='ESTRATTO CONTO'!$E$2,1+COUNTIF(AL$4:AL342,"&gt;0")+U$1009,0),0))</f>
        <v>0</v>
      </c>
      <c r="AM343" s="747">
        <f t="shared" si="72"/>
        <v>340</v>
      </c>
      <c r="AN343" s="164" t="e">
        <f>VLOOKUP($AM343,PATRIMONIALE!$AV395:AW$1003,2,FALSE)</f>
        <v>#N/A</v>
      </c>
      <c r="AO343" s="310" t="e">
        <f>VLOOKUP($AM343,PATRIMONIALE!$AV395:AX$1003,3,FALSE)</f>
        <v>#N/A</v>
      </c>
      <c r="AP343" s="310" t="e">
        <f>VLOOKUP($AM343,PATRIMONIALE!$AV395:AY$1003,4,FALSE)</f>
        <v>#N/A</v>
      </c>
      <c r="AQ343" s="748" t="e">
        <f>VLOOKUP($AM343,PATRIMONIALE!$AV395:AZ$1003,5,FALSE)</f>
        <v>#N/A</v>
      </c>
      <c r="AR343" s="1"/>
      <c r="AS343" s="461" t="str">
        <f t="shared" si="70"/>
        <v/>
      </c>
      <c r="AT343" s="370"/>
    </row>
    <row r="344" spans="1:46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435">
        <f>IF(AND(W344&gt;=$U$1,W344&lt;=$U$2),IF(X344='ESTRATTO CONTO'!$E$2,1+COUNTIF(U$4:U343,"&gt;0"),0),0)</f>
        <v>0</v>
      </c>
      <c r="V344" s="417">
        <f t="shared" si="71"/>
        <v>341</v>
      </c>
      <c r="W344" s="509"/>
      <c r="X344" s="321"/>
      <c r="Y344" s="321"/>
      <c r="Z344" s="433"/>
      <c r="AA344" s="356"/>
      <c r="AB344" s="306" t="str">
        <f t="shared" si="66"/>
        <v/>
      </c>
      <c r="AC344" s="893">
        <f t="shared" si="67"/>
        <v>0</v>
      </c>
      <c r="AD344" s="322"/>
      <c r="AE344" s="1"/>
      <c r="AF344" s="223">
        <f>IF(ISBLANK(AD344),0,COUNTIF(AF$4:AF343,"&gt;0")+1)</f>
        <v>0</v>
      </c>
      <c r="AG344" s="164">
        <f t="shared" si="73"/>
        <v>0</v>
      </c>
      <c r="AH344" s="99">
        <f t="shared" si="68"/>
        <v>0</v>
      </c>
      <c r="AI344" s="99">
        <f t="shared" si="74"/>
        <v>0</v>
      </c>
      <c r="AJ344" s="170">
        <f t="shared" si="75"/>
        <v>0</v>
      </c>
      <c r="AK344" s="204">
        <f t="shared" si="69"/>
        <v>0</v>
      </c>
      <c r="AL344" s="1049">
        <f>IF(ISERROR(AO344),0,IF(AND(AN344&gt;=$U$1,AN344&lt;=$U$2),IF(AO344='ESTRATTO CONTO'!$E$2,1+COUNTIF(AL$4:AL343,"&gt;0")+U$1009,0),0))</f>
        <v>0</v>
      </c>
      <c r="AM344" s="747">
        <f t="shared" si="72"/>
        <v>341</v>
      </c>
      <c r="AN344" s="164" t="e">
        <f>VLOOKUP($AM344,PATRIMONIALE!$AV396:AW$1003,2,FALSE)</f>
        <v>#N/A</v>
      </c>
      <c r="AO344" s="310" t="e">
        <f>VLOOKUP($AM344,PATRIMONIALE!$AV396:AX$1003,3,FALSE)</f>
        <v>#N/A</v>
      </c>
      <c r="AP344" s="310" t="e">
        <f>VLOOKUP($AM344,PATRIMONIALE!$AV396:AY$1003,4,FALSE)</f>
        <v>#N/A</v>
      </c>
      <c r="AQ344" s="748" t="e">
        <f>VLOOKUP($AM344,PATRIMONIALE!$AV396:AZ$1003,5,FALSE)</f>
        <v>#N/A</v>
      </c>
      <c r="AR344" s="1"/>
      <c r="AS344" s="461" t="str">
        <f t="shared" si="70"/>
        <v/>
      </c>
      <c r="AT344" s="370"/>
    </row>
    <row r="345" spans="1:46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435">
        <f>IF(AND(W345&gt;=$U$1,W345&lt;=$U$2),IF(X345='ESTRATTO CONTO'!$E$2,1+COUNTIF(U$4:U344,"&gt;0"),0),0)</f>
        <v>0</v>
      </c>
      <c r="V345" s="417">
        <f t="shared" si="71"/>
        <v>342</v>
      </c>
      <c r="W345" s="509"/>
      <c r="X345" s="321"/>
      <c r="Y345" s="321"/>
      <c r="Z345" s="433"/>
      <c r="AA345" s="356"/>
      <c r="AB345" s="306" t="str">
        <f t="shared" si="66"/>
        <v/>
      </c>
      <c r="AC345" s="893">
        <f t="shared" si="67"/>
        <v>0</v>
      </c>
      <c r="AD345" s="322"/>
      <c r="AE345" s="1"/>
      <c r="AF345" s="223">
        <f>IF(ISBLANK(AD345),0,COUNTIF(AF$4:AF344,"&gt;0")+1)</f>
        <v>0</v>
      </c>
      <c r="AG345" s="164">
        <f t="shared" si="73"/>
        <v>0</v>
      </c>
      <c r="AH345" s="99">
        <f t="shared" si="68"/>
        <v>0</v>
      </c>
      <c r="AI345" s="99">
        <f t="shared" si="74"/>
        <v>0</v>
      </c>
      <c r="AJ345" s="170">
        <f t="shared" si="75"/>
        <v>0</v>
      </c>
      <c r="AK345" s="204">
        <f t="shared" si="69"/>
        <v>0</v>
      </c>
      <c r="AL345" s="1049">
        <f>IF(ISERROR(AO345),0,IF(AND(AN345&gt;=$U$1,AN345&lt;=$U$2),IF(AO345='ESTRATTO CONTO'!$E$2,1+COUNTIF(AL$4:AL344,"&gt;0")+U$1009,0),0))</f>
        <v>0</v>
      </c>
      <c r="AM345" s="747">
        <f t="shared" si="72"/>
        <v>342</v>
      </c>
      <c r="AN345" s="164" t="e">
        <f>VLOOKUP($AM345,PATRIMONIALE!$AV397:AW$1003,2,FALSE)</f>
        <v>#N/A</v>
      </c>
      <c r="AO345" s="310" t="e">
        <f>VLOOKUP($AM345,PATRIMONIALE!$AV397:AX$1003,3,FALSE)</f>
        <v>#N/A</v>
      </c>
      <c r="AP345" s="310" t="e">
        <f>VLOOKUP($AM345,PATRIMONIALE!$AV397:AY$1003,4,FALSE)</f>
        <v>#N/A</v>
      </c>
      <c r="AQ345" s="748" t="e">
        <f>VLOOKUP($AM345,PATRIMONIALE!$AV397:AZ$1003,5,FALSE)</f>
        <v>#N/A</v>
      </c>
      <c r="AR345" s="1"/>
      <c r="AS345" s="461" t="str">
        <f t="shared" si="70"/>
        <v/>
      </c>
      <c r="AT345" s="370"/>
    </row>
    <row r="346" spans="1:46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435">
        <f>IF(AND(W346&gt;=$U$1,W346&lt;=$U$2),IF(X346='ESTRATTO CONTO'!$E$2,1+COUNTIF(U$4:U345,"&gt;0"),0),0)</f>
        <v>0</v>
      </c>
      <c r="V346" s="417">
        <f t="shared" si="71"/>
        <v>343</v>
      </c>
      <c r="W346" s="509"/>
      <c r="X346" s="321"/>
      <c r="Y346" s="321"/>
      <c r="Z346" s="433"/>
      <c r="AA346" s="356"/>
      <c r="AB346" s="306" t="str">
        <f t="shared" si="66"/>
        <v/>
      </c>
      <c r="AC346" s="893">
        <f t="shared" si="67"/>
        <v>0</v>
      </c>
      <c r="AD346" s="322"/>
      <c r="AE346" s="1"/>
      <c r="AF346" s="223">
        <f>IF(ISBLANK(AD346),0,COUNTIF(AF$4:AF345,"&gt;0")+1)</f>
        <v>0</v>
      </c>
      <c r="AG346" s="164">
        <f t="shared" si="73"/>
        <v>0</v>
      </c>
      <c r="AH346" s="99">
        <f t="shared" si="68"/>
        <v>0</v>
      </c>
      <c r="AI346" s="99">
        <f t="shared" si="74"/>
        <v>0</v>
      </c>
      <c r="AJ346" s="170">
        <f t="shared" si="75"/>
        <v>0</v>
      </c>
      <c r="AK346" s="204">
        <f t="shared" si="69"/>
        <v>0</v>
      </c>
      <c r="AL346" s="1049">
        <f>IF(ISERROR(AO346),0,IF(AND(AN346&gt;=$U$1,AN346&lt;=$U$2),IF(AO346='ESTRATTO CONTO'!$E$2,1+COUNTIF(AL$4:AL345,"&gt;0")+U$1009,0),0))</f>
        <v>0</v>
      </c>
      <c r="AM346" s="747">
        <f t="shared" si="72"/>
        <v>343</v>
      </c>
      <c r="AN346" s="164" t="e">
        <f>VLOOKUP($AM346,PATRIMONIALE!$AV398:AW$1003,2,FALSE)</f>
        <v>#N/A</v>
      </c>
      <c r="AO346" s="310" t="e">
        <f>VLOOKUP($AM346,PATRIMONIALE!$AV398:AX$1003,3,FALSE)</f>
        <v>#N/A</v>
      </c>
      <c r="AP346" s="310" t="e">
        <f>VLOOKUP($AM346,PATRIMONIALE!$AV398:AY$1003,4,FALSE)</f>
        <v>#N/A</v>
      </c>
      <c r="AQ346" s="748" t="e">
        <f>VLOOKUP($AM346,PATRIMONIALE!$AV398:AZ$1003,5,FALSE)</f>
        <v>#N/A</v>
      </c>
      <c r="AR346" s="1"/>
      <c r="AS346" s="461" t="str">
        <f t="shared" si="70"/>
        <v/>
      </c>
      <c r="AT346" s="370"/>
    </row>
    <row r="347" spans="1:46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435">
        <f>IF(AND(W347&gt;=$U$1,W347&lt;=$U$2),IF(X347='ESTRATTO CONTO'!$E$2,1+COUNTIF(U$4:U346,"&gt;0"),0),0)</f>
        <v>0</v>
      </c>
      <c r="V347" s="417">
        <f t="shared" si="71"/>
        <v>344</v>
      </c>
      <c r="W347" s="509"/>
      <c r="X347" s="321"/>
      <c r="Y347" s="321"/>
      <c r="Z347" s="433"/>
      <c r="AA347" s="356"/>
      <c r="AB347" s="306" t="str">
        <f t="shared" si="66"/>
        <v/>
      </c>
      <c r="AC347" s="893">
        <f t="shared" si="67"/>
        <v>0</v>
      </c>
      <c r="AD347" s="322"/>
      <c r="AE347" s="1"/>
      <c r="AF347" s="223">
        <f>IF(ISBLANK(AD347),0,COUNTIF(AF$4:AF346,"&gt;0")+1)</f>
        <v>0</v>
      </c>
      <c r="AG347" s="164">
        <f t="shared" si="73"/>
        <v>0</v>
      </c>
      <c r="AH347" s="99">
        <f t="shared" si="68"/>
        <v>0</v>
      </c>
      <c r="AI347" s="99">
        <f t="shared" si="74"/>
        <v>0</v>
      </c>
      <c r="AJ347" s="170">
        <f t="shared" si="75"/>
        <v>0</v>
      </c>
      <c r="AK347" s="204">
        <f t="shared" si="69"/>
        <v>0</v>
      </c>
      <c r="AL347" s="1049">
        <f>IF(ISERROR(AO347),0,IF(AND(AN347&gt;=$U$1,AN347&lt;=$U$2),IF(AO347='ESTRATTO CONTO'!$E$2,1+COUNTIF(AL$4:AL346,"&gt;0")+U$1009,0),0))</f>
        <v>0</v>
      </c>
      <c r="AM347" s="747">
        <f t="shared" si="72"/>
        <v>344</v>
      </c>
      <c r="AN347" s="164" t="e">
        <f>VLOOKUP($AM347,PATRIMONIALE!$AV399:AW$1003,2,FALSE)</f>
        <v>#N/A</v>
      </c>
      <c r="AO347" s="310" t="e">
        <f>VLOOKUP($AM347,PATRIMONIALE!$AV399:AX$1003,3,FALSE)</f>
        <v>#N/A</v>
      </c>
      <c r="AP347" s="310" t="e">
        <f>VLOOKUP($AM347,PATRIMONIALE!$AV399:AY$1003,4,FALSE)</f>
        <v>#N/A</v>
      </c>
      <c r="AQ347" s="748" t="e">
        <f>VLOOKUP($AM347,PATRIMONIALE!$AV399:AZ$1003,5,FALSE)</f>
        <v>#N/A</v>
      </c>
      <c r="AR347" s="1"/>
      <c r="AS347" s="461" t="str">
        <f t="shared" si="70"/>
        <v/>
      </c>
      <c r="AT347" s="370"/>
    </row>
    <row r="348" spans="1:46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435">
        <f>IF(AND(W348&gt;=$U$1,W348&lt;=$U$2),IF(X348='ESTRATTO CONTO'!$E$2,1+COUNTIF(U$4:U347,"&gt;0"),0),0)</f>
        <v>0</v>
      </c>
      <c r="V348" s="417">
        <f t="shared" si="71"/>
        <v>345</v>
      </c>
      <c r="W348" s="509"/>
      <c r="X348" s="321"/>
      <c r="Y348" s="321"/>
      <c r="Z348" s="433"/>
      <c r="AA348" s="356"/>
      <c r="AB348" s="306" t="str">
        <f t="shared" si="66"/>
        <v/>
      </c>
      <c r="AC348" s="893">
        <f t="shared" si="67"/>
        <v>0</v>
      </c>
      <c r="AD348" s="322"/>
      <c r="AE348" s="1"/>
      <c r="AF348" s="223">
        <f>IF(ISBLANK(AD348),0,COUNTIF(AF$4:AF347,"&gt;0")+1)</f>
        <v>0</v>
      </c>
      <c r="AG348" s="164">
        <f t="shared" si="73"/>
        <v>0</v>
      </c>
      <c r="AH348" s="99">
        <f t="shared" si="68"/>
        <v>0</v>
      </c>
      <c r="AI348" s="99">
        <f t="shared" si="74"/>
        <v>0</v>
      </c>
      <c r="AJ348" s="170">
        <f t="shared" si="75"/>
        <v>0</v>
      </c>
      <c r="AK348" s="204">
        <f t="shared" si="69"/>
        <v>0</v>
      </c>
      <c r="AL348" s="1049">
        <f>IF(ISERROR(AO348),0,IF(AND(AN348&gt;=$U$1,AN348&lt;=$U$2),IF(AO348='ESTRATTO CONTO'!$E$2,1+COUNTIF(AL$4:AL347,"&gt;0")+U$1009,0),0))</f>
        <v>0</v>
      </c>
      <c r="AM348" s="747">
        <f t="shared" si="72"/>
        <v>345</v>
      </c>
      <c r="AN348" s="164" t="e">
        <f>VLOOKUP($AM348,PATRIMONIALE!$AV400:AW$1003,2,FALSE)</f>
        <v>#N/A</v>
      </c>
      <c r="AO348" s="310" t="e">
        <f>VLOOKUP($AM348,PATRIMONIALE!$AV400:AX$1003,3,FALSE)</f>
        <v>#N/A</v>
      </c>
      <c r="AP348" s="310" t="e">
        <f>VLOOKUP($AM348,PATRIMONIALE!$AV400:AY$1003,4,FALSE)</f>
        <v>#N/A</v>
      </c>
      <c r="AQ348" s="748" t="e">
        <f>VLOOKUP($AM348,PATRIMONIALE!$AV400:AZ$1003,5,FALSE)</f>
        <v>#N/A</v>
      </c>
      <c r="AR348" s="1"/>
      <c r="AS348" s="461" t="str">
        <f t="shared" si="70"/>
        <v/>
      </c>
      <c r="AT348" s="370"/>
    </row>
    <row r="349" spans="1:46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435">
        <f>IF(AND(W349&gt;=$U$1,W349&lt;=$U$2),IF(X349='ESTRATTO CONTO'!$E$2,1+COUNTIF(U$4:U348,"&gt;0"),0),0)</f>
        <v>0</v>
      </c>
      <c r="V349" s="417">
        <f t="shared" si="71"/>
        <v>346</v>
      </c>
      <c r="W349" s="509"/>
      <c r="X349" s="321"/>
      <c r="Y349" s="321"/>
      <c r="Z349" s="433"/>
      <c r="AA349" s="356"/>
      <c r="AB349" s="306" t="str">
        <f t="shared" si="66"/>
        <v/>
      </c>
      <c r="AC349" s="893">
        <f t="shared" si="67"/>
        <v>0</v>
      </c>
      <c r="AD349" s="322"/>
      <c r="AE349" s="1"/>
      <c r="AF349" s="223">
        <f>IF(ISBLANK(AD349),0,COUNTIF(AF$4:AF348,"&gt;0")+1)</f>
        <v>0</v>
      </c>
      <c r="AG349" s="164">
        <f t="shared" si="73"/>
        <v>0</v>
      </c>
      <c r="AH349" s="99">
        <f t="shared" si="68"/>
        <v>0</v>
      </c>
      <c r="AI349" s="99">
        <f t="shared" si="74"/>
        <v>0</v>
      </c>
      <c r="AJ349" s="170">
        <f t="shared" si="75"/>
        <v>0</v>
      </c>
      <c r="AK349" s="204">
        <f t="shared" si="69"/>
        <v>0</v>
      </c>
      <c r="AL349" s="1049">
        <f>IF(ISERROR(AO349),0,IF(AND(AN349&gt;=$U$1,AN349&lt;=$U$2),IF(AO349='ESTRATTO CONTO'!$E$2,1+COUNTIF(AL$4:AL348,"&gt;0")+U$1009,0),0))</f>
        <v>0</v>
      </c>
      <c r="AM349" s="747">
        <f t="shared" si="72"/>
        <v>346</v>
      </c>
      <c r="AN349" s="164" t="e">
        <f>VLOOKUP($AM349,PATRIMONIALE!$AV401:AW$1003,2,FALSE)</f>
        <v>#N/A</v>
      </c>
      <c r="AO349" s="310" t="e">
        <f>VLOOKUP($AM349,PATRIMONIALE!$AV401:AX$1003,3,FALSE)</f>
        <v>#N/A</v>
      </c>
      <c r="AP349" s="310" t="e">
        <f>VLOOKUP($AM349,PATRIMONIALE!$AV401:AY$1003,4,FALSE)</f>
        <v>#N/A</v>
      </c>
      <c r="AQ349" s="748" t="e">
        <f>VLOOKUP($AM349,PATRIMONIALE!$AV401:AZ$1003,5,FALSE)</f>
        <v>#N/A</v>
      </c>
      <c r="AR349" s="1"/>
      <c r="AS349" s="461" t="str">
        <f t="shared" si="70"/>
        <v/>
      </c>
      <c r="AT349" s="370"/>
    </row>
    <row r="350" spans="1:46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435">
        <f>IF(AND(W350&gt;=$U$1,W350&lt;=$U$2),IF(X350='ESTRATTO CONTO'!$E$2,1+COUNTIF(U$4:U349,"&gt;0"),0),0)</f>
        <v>0</v>
      </c>
      <c r="V350" s="417">
        <f t="shared" si="71"/>
        <v>347</v>
      </c>
      <c r="W350" s="509"/>
      <c r="X350" s="321"/>
      <c r="Y350" s="321"/>
      <c r="Z350" s="433"/>
      <c r="AA350" s="356"/>
      <c r="AB350" s="306" t="str">
        <f t="shared" si="66"/>
        <v/>
      </c>
      <c r="AC350" s="893">
        <f t="shared" si="67"/>
        <v>0</v>
      </c>
      <c r="AD350" s="322"/>
      <c r="AE350" s="1"/>
      <c r="AF350" s="223">
        <f>IF(ISBLANK(AD350),0,COUNTIF(AF$4:AF349,"&gt;0")+1)</f>
        <v>0</v>
      </c>
      <c r="AG350" s="164">
        <f t="shared" si="73"/>
        <v>0</v>
      </c>
      <c r="AH350" s="99">
        <f t="shared" si="68"/>
        <v>0</v>
      </c>
      <c r="AI350" s="99">
        <f t="shared" si="74"/>
        <v>0</v>
      </c>
      <c r="AJ350" s="170">
        <f t="shared" si="75"/>
        <v>0</v>
      </c>
      <c r="AK350" s="204">
        <f t="shared" si="69"/>
        <v>0</v>
      </c>
      <c r="AL350" s="1049">
        <f>IF(ISERROR(AO350),0,IF(AND(AN350&gt;=$U$1,AN350&lt;=$U$2),IF(AO350='ESTRATTO CONTO'!$E$2,1+COUNTIF(AL$4:AL349,"&gt;0")+U$1009,0),0))</f>
        <v>0</v>
      </c>
      <c r="AM350" s="747">
        <f t="shared" si="72"/>
        <v>347</v>
      </c>
      <c r="AN350" s="164" t="e">
        <f>VLOOKUP($AM350,PATRIMONIALE!$AV402:AW$1003,2,FALSE)</f>
        <v>#N/A</v>
      </c>
      <c r="AO350" s="310" t="e">
        <f>VLOOKUP($AM350,PATRIMONIALE!$AV402:AX$1003,3,FALSE)</f>
        <v>#N/A</v>
      </c>
      <c r="AP350" s="310" t="e">
        <f>VLOOKUP($AM350,PATRIMONIALE!$AV402:AY$1003,4,FALSE)</f>
        <v>#N/A</v>
      </c>
      <c r="AQ350" s="748" t="e">
        <f>VLOOKUP($AM350,PATRIMONIALE!$AV402:AZ$1003,5,FALSE)</f>
        <v>#N/A</v>
      </c>
      <c r="AR350" s="1"/>
      <c r="AS350" s="461" t="str">
        <f t="shared" si="70"/>
        <v/>
      </c>
      <c r="AT350" s="370"/>
    </row>
    <row r="351" spans="1:46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435">
        <f>IF(AND(W351&gt;=$U$1,W351&lt;=$U$2),IF(X351='ESTRATTO CONTO'!$E$2,1+COUNTIF(U$4:U350,"&gt;0"),0),0)</f>
        <v>0</v>
      </c>
      <c r="V351" s="417">
        <f t="shared" si="71"/>
        <v>348</v>
      </c>
      <c r="W351" s="509"/>
      <c r="X351" s="321"/>
      <c r="Y351" s="321"/>
      <c r="Z351" s="433"/>
      <c r="AA351" s="356"/>
      <c r="AB351" s="306" t="str">
        <f t="shared" si="66"/>
        <v/>
      </c>
      <c r="AC351" s="893">
        <f t="shared" si="67"/>
        <v>0</v>
      </c>
      <c r="AD351" s="322"/>
      <c r="AE351" s="1"/>
      <c r="AF351" s="223">
        <f>IF(ISBLANK(AD351),0,COUNTIF(AF$4:AF350,"&gt;0")+1)</f>
        <v>0</v>
      </c>
      <c r="AG351" s="164">
        <f t="shared" si="73"/>
        <v>0</v>
      </c>
      <c r="AH351" s="99">
        <f t="shared" si="68"/>
        <v>0</v>
      </c>
      <c r="AI351" s="99">
        <f t="shared" si="74"/>
        <v>0</v>
      </c>
      <c r="AJ351" s="170">
        <f t="shared" si="75"/>
        <v>0</v>
      </c>
      <c r="AK351" s="204">
        <f t="shared" si="69"/>
        <v>0</v>
      </c>
      <c r="AL351" s="1049">
        <f>IF(ISERROR(AO351),0,IF(AND(AN351&gt;=$U$1,AN351&lt;=$U$2),IF(AO351='ESTRATTO CONTO'!$E$2,1+COUNTIF(AL$4:AL350,"&gt;0")+U$1009,0),0))</f>
        <v>0</v>
      </c>
      <c r="AM351" s="747">
        <f t="shared" si="72"/>
        <v>348</v>
      </c>
      <c r="AN351" s="164" t="e">
        <f>VLOOKUP($AM351,PATRIMONIALE!$AV403:AW$1003,2,FALSE)</f>
        <v>#N/A</v>
      </c>
      <c r="AO351" s="310" t="e">
        <f>VLOOKUP($AM351,PATRIMONIALE!$AV403:AX$1003,3,FALSE)</f>
        <v>#N/A</v>
      </c>
      <c r="AP351" s="310" t="e">
        <f>VLOOKUP($AM351,PATRIMONIALE!$AV403:AY$1003,4,FALSE)</f>
        <v>#N/A</v>
      </c>
      <c r="AQ351" s="748" t="e">
        <f>VLOOKUP($AM351,PATRIMONIALE!$AV403:AZ$1003,5,FALSE)</f>
        <v>#N/A</v>
      </c>
      <c r="AR351" s="1"/>
      <c r="AS351" s="461" t="str">
        <f t="shared" si="70"/>
        <v/>
      </c>
      <c r="AT351" s="370"/>
    </row>
    <row r="352" spans="1:46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435">
        <f>IF(AND(W352&gt;=$U$1,W352&lt;=$U$2),IF(X352='ESTRATTO CONTO'!$E$2,1+COUNTIF(U$4:U351,"&gt;0"),0),0)</f>
        <v>0</v>
      </c>
      <c r="V352" s="417">
        <f t="shared" si="71"/>
        <v>349</v>
      </c>
      <c r="W352" s="509"/>
      <c r="X352" s="321"/>
      <c r="Y352" s="321"/>
      <c r="Z352" s="433"/>
      <c r="AA352" s="356"/>
      <c r="AB352" s="306" t="str">
        <f t="shared" si="66"/>
        <v/>
      </c>
      <c r="AC352" s="893">
        <f t="shared" si="67"/>
        <v>0</v>
      </c>
      <c r="AD352" s="322"/>
      <c r="AE352" s="1"/>
      <c r="AF352" s="223">
        <f>IF(ISBLANK(AD352),0,COUNTIF(AF$4:AF351,"&gt;0")+1)</f>
        <v>0</v>
      </c>
      <c r="AG352" s="164">
        <f t="shared" si="73"/>
        <v>0</v>
      </c>
      <c r="AH352" s="99">
        <f t="shared" si="68"/>
        <v>0</v>
      </c>
      <c r="AI352" s="99">
        <f t="shared" si="74"/>
        <v>0</v>
      </c>
      <c r="AJ352" s="170">
        <f t="shared" si="75"/>
        <v>0</v>
      </c>
      <c r="AK352" s="204">
        <f t="shared" si="69"/>
        <v>0</v>
      </c>
      <c r="AL352" s="1049">
        <f>IF(ISERROR(AO352),0,IF(AND(AN352&gt;=$U$1,AN352&lt;=$U$2),IF(AO352='ESTRATTO CONTO'!$E$2,1+COUNTIF(AL$4:AL351,"&gt;0")+U$1009,0),0))</f>
        <v>0</v>
      </c>
      <c r="AM352" s="747">
        <f t="shared" si="72"/>
        <v>349</v>
      </c>
      <c r="AN352" s="164" t="e">
        <f>VLOOKUP($AM352,PATRIMONIALE!$AV404:AW$1003,2,FALSE)</f>
        <v>#N/A</v>
      </c>
      <c r="AO352" s="310" t="e">
        <f>VLOOKUP($AM352,PATRIMONIALE!$AV404:AX$1003,3,FALSE)</f>
        <v>#N/A</v>
      </c>
      <c r="AP352" s="310" t="e">
        <f>VLOOKUP($AM352,PATRIMONIALE!$AV404:AY$1003,4,FALSE)</f>
        <v>#N/A</v>
      </c>
      <c r="AQ352" s="748" t="e">
        <f>VLOOKUP($AM352,PATRIMONIALE!$AV404:AZ$1003,5,FALSE)</f>
        <v>#N/A</v>
      </c>
      <c r="AR352" s="1"/>
      <c r="AS352" s="461" t="str">
        <f t="shared" si="70"/>
        <v/>
      </c>
      <c r="AT352" s="370"/>
    </row>
    <row r="353" spans="1:46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435">
        <f>IF(AND(W353&gt;=$U$1,W353&lt;=$U$2),IF(X353='ESTRATTO CONTO'!$E$2,1+COUNTIF(U$4:U352,"&gt;0"),0),0)</f>
        <v>0</v>
      </c>
      <c r="V353" s="417">
        <f t="shared" si="71"/>
        <v>350</v>
      </c>
      <c r="W353" s="509"/>
      <c r="X353" s="321"/>
      <c r="Y353" s="321"/>
      <c r="Z353" s="433"/>
      <c r="AA353" s="356"/>
      <c r="AB353" s="306" t="str">
        <f t="shared" si="66"/>
        <v/>
      </c>
      <c r="AC353" s="893">
        <f t="shared" si="67"/>
        <v>0</v>
      </c>
      <c r="AD353" s="322"/>
      <c r="AE353" s="1"/>
      <c r="AF353" s="223">
        <f>IF(ISBLANK(AD353),0,COUNTIF(AF$4:AF352,"&gt;0")+1)</f>
        <v>0</v>
      </c>
      <c r="AG353" s="164">
        <f t="shared" si="73"/>
        <v>0</v>
      </c>
      <c r="AH353" s="99">
        <f t="shared" si="68"/>
        <v>0</v>
      </c>
      <c r="AI353" s="99">
        <f t="shared" si="74"/>
        <v>0</v>
      </c>
      <c r="AJ353" s="170">
        <f t="shared" si="75"/>
        <v>0</v>
      </c>
      <c r="AK353" s="204">
        <f t="shared" si="69"/>
        <v>0</v>
      </c>
      <c r="AL353" s="1049">
        <f>IF(ISERROR(AO353),0,IF(AND(AN353&gt;=$U$1,AN353&lt;=$U$2),IF(AO353='ESTRATTO CONTO'!$E$2,1+COUNTIF(AL$4:AL352,"&gt;0")+U$1009,0),0))</f>
        <v>0</v>
      </c>
      <c r="AM353" s="747">
        <f t="shared" si="72"/>
        <v>350</v>
      </c>
      <c r="AN353" s="164" t="e">
        <f>VLOOKUP($AM353,PATRIMONIALE!$AV405:AW$1003,2,FALSE)</f>
        <v>#N/A</v>
      </c>
      <c r="AO353" s="310" t="e">
        <f>VLOOKUP($AM353,PATRIMONIALE!$AV405:AX$1003,3,FALSE)</f>
        <v>#N/A</v>
      </c>
      <c r="AP353" s="310" t="e">
        <f>VLOOKUP($AM353,PATRIMONIALE!$AV405:AY$1003,4,FALSE)</f>
        <v>#N/A</v>
      </c>
      <c r="AQ353" s="748" t="e">
        <f>VLOOKUP($AM353,PATRIMONIALE!$AV405:AZ$1003,5,FALSE)</f>
        <v>#N/A</v>
      </c>
      <c r="AR353" s="1"/>
      <c r="AS353" s="461" t="str">
        <f t="shared" si="70"/>
        <v/>
      </c>
      <c r="AT353" s="370"/>
    </row>
    <row r="354" spans="1:46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435">
        <f>IF(AND(W354&gt;=$U$1,W354&lt;=$U$2),IF(X354='ESTRATTO CONTO'!$E$2,1+COUNTIF(U$4:U353,"&gt;0"),0),0)</f>
        <v>0</v>
      </c>
      <c r="V354" s="417">
        <f t="shared" si="71"/>
        <v>351</v>
      </c>
      <c r="W354" s="509"/>
      <c r="X354" s="321"/>
      <c r="Y354" s="321"/>
      <c r="Z354" s="433"/>
      <c r="AA354" s="356"/>
      <c r="AB354" s="306" t="str">
        <f t="shared" si="66"/>
        <v/>
      </c>
      <c r="AC354" s="893">
        <f t="shared" si="67"/>
        <v>0</v>
      </c>
      <c r="AD354" s="322"/>
      <c r="AE354" s="1"/>
      <c r="AF354" s="223">
        <f>IF(ISBLANK(AD354),0,COUNTIF(AF$4:AF353,"&gt;0")+1)</f>
        <v>0</v>
      </c>
      <c r="AG354" s="164">
        <f t="shared" si="73"/>
        <v>0</v>
      </c>
      <c r="AH354" s="99">
        <f t="shared" si="68"/>
        <v>0</v>
      </c>
      <c r="AI354" s="99">
        <f t="shared" si="74"/>
        <v>0</v>
      </c>
      <c r="AJ354" s="170">
        <f t="shared" si="75"/>
        <v>0</v>
      </c>
      <c r="AK354" s="204">
        <f t="shared" si="69"/>
        <v>0</v>
      </c>
      <c r="AL354" s="1049">
        <f>IF(ISERROR(AO354),0,IF(AND(AN354&gt;=$U$1,AN354&lt;=$U$2),IF(AO354='ESTRATTO CONTO'!$E$2,1+COUNTIF(AL$4:AL353,"&gt;0")+U$1009,0),0))</f>
        <v>0</v>
      </c>
      <c r="AM354" s="747">
        <f t="shared" si="72"/>
        <v>351</v>
      </c>
      <c r="AN354" s="164" t="e">
        <f>VLOOKUP($AM354,PATRIMONIALE!$AV406:AW$1003,2,FALSE)</f>
        <v>#N/A</v>
      </c>
      <c r="AO354" s="310" t="e">
        <f>VLOOKUP($AM354,PATRIMONIALE!$AV406:AX$1003,3,FALSE)</f>
        <v>#N/A</v>
      </c>
      <c r="AP354" s="310" t="e">
        <f>VLOOKUP($AM354,PATRIMONIALE!$AV406:AY$1003,4,FALSE)</f>
        <v>#N/A</v>
      </c>
      <c r="AQ354" s="748" t="e">
        <f>VLOOKUP($AM354,PATRIMONIALE!$AV406:AZ$1003,5,FALSE)</f>
        <v>#N/A</v>
      </c>
      <c r="AR354" s="1"/>
      <c r="AS354" s="461" t="str">
        <f t="shared" si="70"/>
        <v/>
      </c>
      <c r="AT354" s="370"/>
    </row>
    <row r="355" spans="1:46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435">
        <f>IF(AND(W355&gt;=$U$1,W355&lt;=$U$2),IF(X355='ESTRATTO CONTO'!$E$2,1+COUNTIF(U$4:U354,"&gt;0"),0),0)</f>
        <v>0</v>
      </c>
      <c r="V355" s="417">
        <f t="shared" si="71"/>
        <v>352</v>
      </c>
      <c r="W355" s="509"/>
      <c r="X355" s="321"/>
      <c r="Y355" s="321"/>
      <c r="Z355" s="433"/>
      <c r="AA355" s="356"/>
      <c r="AB355" s="306" t="str">
        <f t="shared" si="66"/>
        <v/>
      </c>
      <c r="AC355" s="893">
        <f t="shared" si="67"/>
        <v>0</v>
      </c>
      <c r="AD355" s="322"/>
      <c r="AE355" s="1"/>
      <c r="AF355" s="223">
        <f>IF(ISBLANK(AD355),0,COUNTIF(AF$4:AF354,"&gt;0")+1)</f>
        <v>0</v>
      </c>
      <c r="AG355" s="164">
        <f t="shared" si="73"/>
        <v>0</v>
      </c>
      <c r="AH355" s="99">
        <f t="shared" si="68"/>
        <v>0</v>
      </c>
      <c r="AI355" s="99">
        <f t="shared" si="74"/>
        <v>0</v>
      </c>
      <c r="AJ355" s="170">
        <f t="shared" si="75"/>
        <v>0</v>
      </c>
      <c r="AK355" s="204">
        <f t="shared" si="69"/>
        <v>0</v>
      </c>
      <c r="AL355" s="1049">
        <f>IF(ISERROR(AO355),0,IF(AND(AN355&gt;=$U$1,AN355&lt;=$U$2),IF(AO355='ESTRATTO CONTO'!$E$2,1+COUNTIF(AL$4:AL354,"&gt;0")+U$1009,0),0))</f>
        <v>0</v>
      </c>
      <c r="AM355" s="747">
        <f t="shared" si="72"/>
        <v>352</v>
      </c>
      <c r="AN355" s="164" t="e">
        <f>VLOOKUP($AM355,PATRIMONIALE!$AV407:AW$1003,2,FALSE)</f>
        <v>#N/A</v>
      </c>
      <c r="AO355" s="310" t="e">
        <f>VLOOKUP($AM355,PATRIMONIALE!$AV407:AX$1003,3,FALSE)</f>
        <v>#N/A</v>
      </c>
      <c r="AP355" s="310" t="e">
        <f>VLOOKUP($AM355,PATRIMONIALE!$AV407:AY$1003,4,FALSE)</f>
        <v>#N/A</v>
      </c>
      <c r="AQ355" s="748" t="e">
        <f>VLOOKUP($AM355,PATRIMONIALE!$AV407:AZ$1003,5,FALSE)</f>
        <v>#N/A</v>
      </c>
      <c r="AR355" s="1"/>
      <c r="AS355" s="461" t="str">
        <f t="shared" si="70"/>
        <v/>
      </c>
      <c r="AT355" s="370"/>
    </row>
    <row r="356" spans="1:46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435">
        <f>IF(AND(W356&gt;=$U$1,W356&lt;=$U$2),IF(X356='ESTRATTO CONTO'!$E$2,1+COUNTIF(U$4:U355,"&gt;0"),0),0)</f>
        <v>0</v>
      </c>
      <c r="V356" s="417">
        <f t="shared" si="71"/>
        <v>353</v>
      </c>
      <c r="W356" s="509"/>
      <c r="X356" s="321"/>
      <c r="Y356" s="321"/>
      <c r="Z356" s="433"/>
      <c r="AA356" s="356"/>
      <c r="AB356" s="306" t="str">
        <f t="shared" si="66"/>
        <v/>
      </c>
      <c r="AC356" s="893">
        <f t="shared" si="67"/>
        <v>0</v>
      </c>
      <c r="AD356" s="322"/>
      <c r="AE356" s="1"/>
      <c r="AF356" s="223">
        <f>IF(ISBLANK(AD356),0,COUNTIF(AF$4:AF355,"&gt;0")+1)</f>
        <v>0</v>
      </c>
      <c r="AG356" s="164">
        <f t="shared" si="73"/>
        <v>0</v>
      </c>
      <c r="AH356" s="99">
        <f t="shared" si="68"/>
        <v>0</v>
      </c>
      <c r="AI356" s="99">
        <f t="shared" si="74"/>
        <v>0</v>
      </c>
      <c r="AJ356" s="170">
        <f t="shared" si="75"/>
        <v>0</v>
      </c>
      <c r="AK356" s="204">
        <f t="shared" si="69"/>
        <v>0</v>
      </c>
      <c r="AL356" s="1049">
        <f>IF(ISERROR(AO356),0,IF(AND(AN356&gt;=$U$1,AN356&lt;=$U$2),IF(AO356='ESTRATTO CONTO'!$E$2,1+COUNTIF(AL$4:AL355,"&gt;0")+U$1009,0),0))</f>
        <v>0</v>
      </c>
      <c r="AM356" s="747">
        <f t="shared" si="72"/>
        <v>353</v>
      </c>
      <c r="AN356" s="164" t="e">
        <f>VLOOKUP($AM356,PATRIMONIALE!$AV408:AW$1003,2,FALSE)</f>
        <v>#N/A</v>
      </c>
      <c r="AO356" s="310" t="e">
        <f>VLOOKUP($AM356,PATRIMONIALE!$AV408:AX$1003,3,FALSE)</f>
        <v>#N/A</v>
      </c>
      <c r="AP356" s="310" t="e">
        <f>VLOOKUP($AM356,PATRIMONIALE!$AV408:AY$1003,4,FALSE)</f>
        <v>#N/A</v>
      </c>
      <c r="AQ356" s="748" t="e">
        <f>VLOOKUP($AM356,PATRIMONIALE!$AV408:AZ$1003,5,FALSE)</f>
        <v>#N/A</v>
      </c>
      <c r="AR356" s="1"/>
      <c r="AS356" s="461" t="str">
        <f t="shared" si="70"/>
        <v/>
      </c>
      <c r="AT356" s="370"/>
    </row>
    <row r="357" spans="1:46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435">
        <f>IF(AND(W357&gt;=$U$1,W357&lt;=$U$2),IF(X357='ESTRATTO CONTO'!$E$2,1+COUNTIF(U$4:U356,"&gt;0"),0),0)</f>
        <v>0</v>
      </c>
      <c r="V357" s="417">
        <f t="shared" si="71"/>
        <v>354</v>
      </c>
      <c r="W357" s="509"/>
      <c r="X357" s="321"/>
      <c r="Y357" s="321"/>
      <c r="Z357" s="433"/>
      <c r="AA357" s="356"/>
      <c r="AB357" s="306" t="str">
        <f t="shared" si="66"/>
        <v/>
      </c>
      <c r="AC357" s="893">
        <f t="shared" si="67"/>
        <v>0</v>
      </c>
      <c r="AD357" s="322"/>
      <c r="AE357" s="1"/>
      <c r="AF357" s="223">
        <f>IF(ISBLANK(AD357),0,COUNTIF(AF$4:AF356,"&gt;0")+1)</f>
        <v>0</v>
      </c>
      <c r="AG357" s="164">
        <f t="shared" si="73"/>
        <v>0</v>
      </c>
      <c r="AH357" s="99">
        <f t="shared" si="68"/>
        <v>0</v>
      </c>
      <c r="AI357" s="99">
        <f t="shared" si="74"/>
        <v>0</v>
      </c>
      <c r="AJ357" s="170">
        <f t="shared" si="75"/>
        <v>0</v>
      </c>
      <c r="AK357" s="204">
        <f t="shared" si="69"/>
        <v>0</v>
      </c>
      <c r="AL357" s="1049">
        <f>IF(ISERROR(AO357),0,IF(AND(AN357&gt;=$U$1,AN357&lt;=$U$2),IF(AO357='ESTRATTO CONTO'!$E$2,1+COUNTIF(AL$4:AL356,"&gt;0")+U$1009,0),0))</f>
        <v>0</v>
      </c>
      <c r="AM357" s="747">
        <f t="shared" si="72"/>
        <v>354</v>
      </c>
      <c r="AN357" s="164" t="e">
        <f>VLOOKUP($AM357,PATRIMONIALE!$AV409:AW$1003,2,FALSE)</f>
        <v>#N/A</v>
      </c>
      <c r="AO357" s="310" t="e">
        <f>VLOOKUP($AM357,PATRIMONIALE!$AV409:AX$1003,3,FALSE)</f>
        <v>#N/A</v>
      </c>
      <c r="AP357" s="310" t="e">
        <f>VLOOKUP($AM357,PATRIMONIALE!$AV409:AY$1003,4,FALSE)</f>
        <v>#N/A</v>
      </c>
      <c r="AQ357" s="748" t="e">
        <f>VLOOKUP($AM357,PATRIMONIALE!$AV409:AZ$1003,5,FALSE)</f>
        <v>#N/A</v>
      </c>
      <c r="AR357" s="1"/>
      <c r="AS357" s="461" t="str">
        <f t="shared" si="70"/>
        <v/>
      </c>
      <c r="AT357" s="370"/>
    </row>
    <row r="358" spans="1:46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435">
        <f>IF(AND(W358&gt;=$U$1,W358&lt;=$U$2),IF(X358='ESTRATTO CONTO'!$E$2,1+COUNTIF(U$4:U357,"&gt;0"),0),0)</f>
        <v>0</v>
      </c>
      <c r="V358" s="417">
        <f t="shared" si="71"/>
        <v>355</v>
      </c>
      <c r="W358" s="509"/>
      <c r="X358" s="321"/>
      <c r="Y358" s="321"/>
      <c r="Z358" s="433"/>
      <c r="AA358" s="356"/>
      <c r="AB358" s="306" t="str">
        <f t="shared" si="66"/>
        <v/>
      </c>
      <c r="AC358" s="893">
        <f t="shared" si="67"/>
        <v>0</v>
      </c>
      <c r="AD358" s="322"/>
      <c r="AE358" s="1"/>
      <c r="AF358" s="223">
        <f>IF(ISBLANK(AD358),0,COUNTIF(AF$4:AF357,"&gt;0")+1)</f>
        <v>0</v>
      </c>
      <c r="AG358" s="164">
        <f t="shared" si="73"/>
        <v>0</v>
      </c>
      <c r="AH358" s="99">
        <f t="shared" si="68"/>
        <v>0</v>
      </c>
      <c r="AI358" s="99">
        <f t="shared" si="74"/>
        <v>0</v>
      </c>
      <c r="AJ358" s="170">
        <f t="shared" si="75"/>
        <v>0</v>
      </c>
      <c r="AK358" s="204">
        <f t="shared" si="69"/>
        <v>0</v>
      </c>
      <c r="AL358" s="1049">
        <f>IF(ISERROR(AO358),0,IF(AND(AN358&gt;=$U$1,AN358&lt;=$U$2),IF(AO358='ESTRATTO CONTO'!$E$2,1+COUNTIF(AL$4:AL357,"&gt;0")+U$1009,0),0))</f>
        <v>0</v>
      </c>
      <c r="AM358" s="747">
        <f t="shared" si="72"/>
        <v>355</v>
      </c>
      <c r="AN358" s="164" t="e">
        <f>VLOOKUP($AM358,PATRIMONIALE!$AV410:AW$1003,2,FALSE)</f>
        <v>#N/A</v>
      </c>
      <c r="AO358" s="310" t="e">
        <f>VLOOKUP($AM358,PATRIMONIALE!$AV410:AX$1003,3,FALSE)</f>
        <v>#N/A</v>
      </c>
      <c r="AP358" s="310" t="e">
        <f>VLOOKUP($AM358,PATRIMONIALE!$AV410:AY$1003,4,FALSE)</f>
        <v>#N/A</v>
      </c>
      <c r="AQ358" s="748" t="e">
        <f>VLOOKUP($AM358,PATRIMONIALE!$AV410:AZ$1003,5,FALSE)</f>
        <v>#N/A</v>
      </c>
      <c r="AR358" s="1"/>
      <c r="AS358" s="461" t="str">
        <f t="shared" si="70"/>
        <v/>
      </c>
      <c r="AT358" s="370"/>
    </row>
    <row r="359" spans="1:46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435">
        <f>IF(AND(W359&gt;=$U$1,W359&lt;=$U$2),IF(X359='ESTRATTO CONTO'!$E$2,1+COUNTIF(U$4:U358,"&gt;0"),0),0)</f>
        <v>0</v>
      </c>
      <c r="V359" s="417">
        <f t="shared" si="71"/>
        <v>356</v>
      </c>
      <c r="W359" s="509"/>
      <c r="X359" s="321"/>
      <c r="Y359" s="321"/>
      <c r="Z359" s="433"/>
      <c r="AA359" s="356"/>
      <c r="AB359" s="306" t="str">
        <f t="shared" si="66"/>
        <v/>
      </c>
      <c r="AC359" s="893">
        <f t="shared" si="67"/>
        <v>0</v>
      </c>
      <c r="AD359" s="322"/>
      <c r="AE359" s="1"/>
      <c r="AF359" s="223">
        <f>IF(ISBLANK(AD359),0,COUNTIF(AF$4:AF358,"&gt;0")+1)</f>
        <v>0</v>
      </c>
      <c r="AG359" s="164">
        <f t="shared" si="73"/>
        <v>0</v>
      </c>
      <c r="AH359" s="99">
        <f t="shared" si="68"/>
        <v>0</v>
      </c>
      <c r="AI359" s="99">
        <f t="shared" si="74"/>
        <v>0</v>
      </c>
      <c r="AJ359" s="170">
        <f t="shared" si="75"/>
        <v>0</v>
      </c>
      <c r="AK359" s="204">
        <f t="shared" si="69"/>
        <v>0</v>
      </c>
      <c r="AL359" s="1049">
        <f>IF(ISERROR(AO359),0,IF(AND(AN359&gt;=$U$1,AN359&lt;=$U$2),IF(AO359='ESTRATTO CONTO'!$E$2,1+COUNTIF(AL$4:AL358,"&gt;0")+U$1009,0),0))</f>
        <v>0</v>
      </c>
      <c r="AM359" s="747">
        <f t="shared" si="72"/>
        <v>356</v>
      </c>
      <c r="AN359" s="164" t="e">
        <f>VLOOKUP($AM359,PATRIMONIALE!$AV411:AW$1003,2,FALSE)</f>
        <v>#N/A</v>
      </c>
      <c r="AO359" s="310" t="e">
        <f>VLOOKUP($AM359,PATRIMONIALE!$AV411:AX$1003,3,FALSE)</f>
        <v>#N/A</v>
      </c>
      <c r="AP359" s="310" t="e">
        <f>VLOOKUP($AM359,PATRIMONIALE!$AV411:AY$1003,4,FALSE)</f>
        <v>#N/A</v>
      </c>
      <c r="AQ359" s="748" t="e">
        <f>VLOOKUP($AM359,PATRIMONIALE!$AV411:AZ$1003,5,FALSE)</f>
        <v>#N/A</v>
      </c>
      <c r="AR359" s="1"/>
      <c r="AS359" s="461" t="str">
        <f t="shared" si="70"/>
        <v/>
      </c>
      <c r="AT359" s="370"/>
    </row>
    <row r="360" spans="1:46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435">
        <f>IF(AND(W360&gt;=$U$1,W360&lt;=$U$2),IF(X360='ESTRATTO CONTO'!$E$2,1+COUNTIF(U$4:U359,"&gt;0"),0),0)</f>
        <v>0</v>
      </c>
      <c r="V360" s="417">
        <f t="shared" si="71"/>
        <v>357</v>
      </c>
      <c r="W360" s="509"/>
      <c r="X360" s="321"/>
      <c r="Y360" s="321"/>
      <c r="Z360" s="433"/>
      <c r="AA360" s="356"/>
      <c r="AB360" s="306" t="str">
        <f t="shared" si="66"/>
        <v/>
      </c>
      <c r="AC360" s="893">
        <f t="shared" si="67"/>
        <v>0</v>
      </c>
      <c r="AD360" s="322"/>
      <c r="AE360" s="1"/>
      <c r="AF360" s="223">
        <f>IF(ISBLANK(AD360),0,COUNTIF(AF$4:AF359,"&gt;0")+1)</f>
        <v>0</v>
      </c>
      <c r="AG360" s="164">
        <f t="shared" si="73"/>
        <v>0</v>
      </c>
      <c r="AH360" s="99">
        <f t="shared" si="68"/>
        <v>0</v>
      </c>
      <c r="AI360" s="99">
        <f t="shared" si="74"/>
        <v>0</v>
      </c>
      <c r="AJ360" s="170">
        <f t="shared" si="75"/>
        <v>0</v>
      </c>
      <c r="AK360" s="204">
        <f t="shared" si="69"/>
        <v>0</v>
      </c>
      <c r="AL360" s="1049">
        <f>IF(ISERROR(AO360),0,IF(AND(AN360&gt;=$U$1,AN360&lt;=$U$2),IF(AO360='ESTRATTO CONTO'!$E$2,1+COUNTIF(AL$4:AL359,"&gt;0")+U$1009,0),0))</f>
        <v>0</v>
      </c>
      <c r="AM360" s="747">
        <f t="shared" si="72"/>
        <v>357</v>
      </c>
      <c r="AN360" s="164" t="e">
        <f>VLOOKUP($AM360,PATRIMONIALE!$AV412:AW$1003,2,FALSE)</f>
        <v>#N/A</v>
      </c>
      <c r="AO360" s="310" t="e">
        <f>VLOOKUP($AM360,PATRIMONIALE!$AV412:AX$1003,3,FALSE)</f>
        <v>#N/A</v>
      </c>
      <c r="AP360" s="310" t="e">
        <f>VLOOKUP($AM360,PATRIMONIALE!$AV412:AY$1003,4,FALSE)</f>
        <v>#N/A</v>
      </c>
      <c r="AQ360" s="748" t="e">
        <f>VLOOKUP($AM360,PATRIMONIALE!$AV412:AZ$1003,5,FALSE)</f>
        <v>#N/A</v>
      </c>
      <c r="AR360" s="1"/>
      <c r="AS360" s="461" t="str">
        <f t="shared" si="70"/>
        <v/>
      </c>
      <c r="AT360" s="370"/>
    </row>
    <row r="361" spans="1:46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435">
        <f>IF(AND(W361&gt;=$U$1,W361&lt;=$U$2),IF(X361='ESTRATTO CONTO'!$E$2,1+COUNTIF(U$4:U360,"&gt;0"),0),0)</f>
        <v>0</v>
      </c>
      <c r="V361" s="417">
        <f t="shared" si="71"/>
        <v>358</v>
      </c>
      <c r="W361" s="509"/>
      <c r="X361" s="321"/>
      <c r="Y361" s="321"/>
      <c r="Z361" s="433"/>
      <c r="AA361" s="356"/>
      <c r="AB361" s="306" t="str">
        <f t="shared" si="66"/>
        <v/>
      </c>
      <c r="AC361" s="893">
        <f t="shared" si="67"/>
        <v>0</v>
      </c>
      <c r="AD361" s="322"/>
      <c r="AE361" s="1"/>
      <c r="AF361" s="223">
        <f>IF(ISBLANK(AD361),0,COUNTIF(AF$4:AF360,"&gt;0")+1)</f>
        <v>0</v>
      </c>
      <c r="AG361" s="164">
        <f t="shared" si="73"/>
        <v>0</v>
      </c>
      <c r="AH361" s="99">
        <f t="shared" si="68"/>
        <v>0</v>
      </c>
      <c r="AI361" s="99">
        <f t="shared" si="74"/>
        <v>0</v>
      </c>
      <c r="AJ361" s="170">
        <f t="shared" si="75"/>
        <v>0</v>
      </c>
      <c r="AK361" s="204">
        <f t="shared" si="69"/>
        <v>0</v>
      </c>
      <c r="AL361" s="1049">
        <f>IF(ISERROR(AO361),0,IF(AND(AN361&gt;=$U$1,AN361&lt;=$U$2),IF(AO361='ESTRATTO CONTO'!$E$2,1+COUNTIF(AL$4:AL360,"&gt;0")+U$1009,0),0))</f>
        <v>0</v>
      </c>
      <c r="AM361" s="747">
        <f t="shared" si="72"/>
        <v>358</v>
      </c>
      <c r="AN361" s="164" t="e">
        <f>VLOOKUP($AM361,PATRIMONIALE!$AV413:AW$1003,2,FALSE)</f>
        <v>#N/A</v>
      </c>
      <c r="AO361" s="310" t="e">
        <f>VLOOKUP($AM361,PATRIMONIALE!$AV413:AX$1003,3,FALSE)</f>
        <v>#N/A</v>
      </c>
      <c r="AP361" s="310" t="e">
        <f>VLOOKUP($AM361,PATRIMONIALE!$AV413:AY$1003,4,FALSE)</f>
        <v>#N/A</v>
      </c>
      <c r="AQ361" s="748" t="e">
        <f>VLOOKUP($AM361,PATRIMONIALE!$AV413:AZ$1003,5,FALSE)</f>
        <v>#N/A</v>
      </c>
      <c r="AR361" s="1"/>
      <c r="AS361" s="461" t="str">
        <f t="shared" si="70"/>
        <v/>
      </c>
      <c r="AT361" s="370"/>
    </row>
    <row r="362" spans="1:46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435">
        <f>IF(AND(W362&gt;=$U$1,W362&lt;=$U$2),IF(X362='ESTRATTO CONTO'!$E$2,1+COUNTIF(U$4:U361,"&gt;0"),0),0)</f>
        <v>0</v>
      </c>
      <c r="V362" s="417">
        <f t="shared" si="71"/>
        <v>359</v>
      </c>
      <c r="W362" s="509"/>
      <c r="X362" s="321"/>
      <c r="Y362" s="321"/>
      <c r="Z362" s="433"/>
      <c r="AA362" s="356"/>
      <c r="AB362" s="306" t="str">
        <f t="shared" si="66"/>
        <v/>
      </c>
      <c r="AC362" s="893">
        <f t="shared" si="67"/>
        <v>0</v>
      </c>
      <c r="AD362" s="322"/>
      <c r="AE362" s="1"/>
      <c r="AF362" s="223">
        <f>IF(ISBLANK(AD362),0,COUNTIF(AF$4:AF361,"&gt;0")+1)</f>
        <v>0</v>
      </c>
      <c r="AG362" s="164">
        <f t="shared" si="73"/>
        <v>0</v>
      </c>
      <c r="AH362" s="99">
        <f t="shared" si="68"/>
        <v>0</v>
      </c>
      <c r="AI362" s="99">
        <f t="shared" si="74"/>
        <v>0</v>
      </c>
      <c r="AJ362" s="170">
        <f t="shared" si="75"/>
        <v>0</v>
      </c>
      <c r="AK362" s="204">
        <f t="shared" si="69"/>
        <v>0</v>
      </c>
      <c r="AL362" s="1049">
        <f>IF(ISERROR(AO362),0,IF(AND(AN362&gt;=$U$1,AN362&lt;=$U$2),IF(AO362='ESTRATTO CONTO'!$E$2,1+COUNTIF(AL$4:AL361,"&gt;0")+U$1009,0),0))</f>
        <v>0</v>
      </c>
      <c r="AM362" s="747">
        <f t="shared" si="72"/>
        <v>359</v>
      </c>
      <c r="AN362" s="164" t="e">
        <f>VLOOKUP($AM362,PATRIMONIALE!$AV414:AW$1003,2,FALSE)</f>
        <v>#N/A</v>
      </c>
      <c r="AO362" s="310" t="e">
        <f>VLOOKUP($AM362,PATRIMONIALE!$AV414:AX$1003,3,FALSE)</f>
        <v>#N/A</v>
      </c>
      <c r="AP362" s="310" t="e">
        <f>VLOOKUP($AM362,PATRIMONIALE!$AV414:AY$1003,4,FALSE)</f>
        <v>#N/A</v>
      </c>
      <c r="AQ362" s="748" t="e">
        <f>VLOOKUP($AM362,PATRIMONIALE!$AV414:AZ$1003,5,FALSE)</f>
        <v>#N/A</v>
      </c>
      <c r="AR362" s="1"/>
      <c r="AS362" s="461" t="str">
        <f t="shared" si="70"/>
        <v/>
      </c>
      <c r="AT362" s="370"/>
    </row>
    <row r="363" spans="1:46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435">
        <f>IF(AND(W363&gt;=$U$1,W363&lt;=$U$2),IF(X363='ESTRATTO CONTO'!$E$2,1+COUNTIF(U$4:U362,"&gt;0"),0),0)</f>
        <v>0</v>
      </c>
      <c r="V363" s="417">
        <f t="shared" si="71"/>
        <v>360</v>
      </c>
      <c r="W363" s="509"/>
      <c r="X363" s="321"/>
      <c r="Y363" s="321"/>
      <c r="Z363" s="433"/>
      <c r="AA363" s="356"/>
      <c r="AB363" s="306" t="str">
        <f t="shared" si="66"/>
        <v/>
      </c>
      <c r="AC363" s="893">
        <f t="shared" si="67"/>
        <v>0</v>
      </c>
      <c r="AD363" s="322"/>
      <c r="AE363" s="1"/>
      <c r="AF363" s="223">
        <f>IF(ISBLANK(AD363),0,COUNTIF(AF$4:AF362,"&gt;0")+1)</f>
        <v>0</v>
      </c>
      <c r="AG363" s="164">
        <f t="shared" si="73"/>
        <v>0</v>
      </c>
      <c r="AH363" s="99">
        <f t="shared" si="68"/>
        <v>0</v>
      </c>
      <c r="AI363" s="99">
        <f t="shared" si="74"/>
        <v>0</v>
      </c>
      <c r="AJ363" s="170">
        <f t="shared" si="75"/>
        <v>0</v>
      </c>
      <c r="AK363" s="204">
        <f t="shared" si="69"/>
        <v>0</v>
      </c>
      <c r="AL363" s="1049">
        <f>IF(ISERROR(AO363),0,IF(AND(AN363&gt;=$U$1,AN363&lt;=$U$2),IF(AO363='ESTRATTO CONTO'!$E$2,1+COUNTIF(AL$4:AL362,"&gt;0")+U$1009,0),0))</f>
        <v>0</v>
      </c>
      <c r="AM363" s="747">
        <f t="shared" si="72"/>
        <v>360</v>
      </c>
      <c r="AN363" s="164" t="e">
        <f>VLOOKUP($AM363,PATRIMONIALE!$AV415:AW$1003,2,FALSE)</f>
        <v>#N/A</v>
      </c>
      <c r="AO363" s="310" t="e">
        <f>VLOOKUP($AM363,PATRIMONIALE!$AV415:AX$1003,3,FALSE)</f>
        <v>#N/A</v>
      </c>
      <c r="AP363" s="310" t="e">
        <f>VLOOKUP($AM363,PATRIMONIALE!$AV415:AY$1003,4,FALSE)</f>
        <v>#N/A</v>
      </c>
      <c r="AQ363" s="748" t="e">
        <f>VLOOKUP($AM363,PATRIMONIALE!$AV415:AZ$1003,5,FALSE)</f>
        <v>#N/A</v>
      </c>
      <c r="AR363" s="1"/>
      <c r="AS363" s="461" t="str">
        <f t="shared" si="70"/>
        <v/>
      </c>
      <c r="AT363" s="370"/>
    </row>
    <row r="364" spans="1:46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435">
        <f>IF(AND(W364&gt;=$U$1,W364&lt;=$U$2),IF(X364='ESTRATTO CONTO'!$E$2,1+COUNTIF(U$4:U363,"&gt;0"),0),0)</f>
        <v>0</v>
      </c>
      <c r="V364" s="417">
        <f t="shared" si="71"/>
        <v>361</v>
      </c>
      <c r="W364" s="509"/>
      <c r="X364" s="321"/>
      <c r="Y364" s="321"/>
      <c r="Z364" s="433"/>
      <c r="AA364" s="356"/>
      <c r="AB364" s="306" t="str">
        <f t="shared" si="66"/>
        <v/>
      </c>
      <c r="AC364" s="893">
        <f t="shared" si="67"/>
        <v>0</v>
      </c>
      <c r="AD364" s="322"/>
      <c r="AE364" s="1"/>
      <c r="AF364" s="223">
        <f>IF(ISBLANK(AD364),0,COUNTIF(AF$4:AF363,"&gt;0")+1)</f>
        <v>0</v>
      </c>
      <c r="AG364" s="164">
        <f t="shared" si="73"/>
        <v>0</v>
      </c>
      <c r="AH364" s="99">
        <f t="shared" si="68"/>
        <v>0</v>
      </c>
      <c r="AI364" s="99">
        <f t="shared" si="74"/>
        <v>0</v>
      </c>
      <c r="AJ364" s="170">
        <f t="shared" si="75"/>
        <v>0</v>
      </c>
      <c r="AK364" s="204">
        <f t="shared" si="69"/>
        <v>0</v>
      </c>
      <c r="AL364" s="1049">
        <f>IF(ISERROR(AO364),0,IF(AND(AN364&gt;=$U$1,AN364&lt;=$U$2),IF(AO364='ESTRATTO CONTO'!$E$2,1+COUNTIF(AL$4:AL363,"&gt;0")+U$1009,0),0))</f>
        <v>0</v>
      </c>
      <c r="AM364" s="747">
        <f t="shared" si="72"/>
        <v>361</v>
      </c>
      <c r="AN364" s="164" t="e">
        <f>VLOOKUP($AM364,PATRIMONIALE!$AV416:AW$1003,2,FALSE)</f>
        <v>#N/A</v>
      </c>
      <c r="AO364" s="310" t="e">
        <f>VLOOKUP($AM364,PATRIMONIALE!$AV416:AX$1003,3,FALSE)</f>
        <v>#N/A</v>
      </c>
      <c r="AP364" s="310" t="e">
        <f>VLOOKUP($AM364,PATRIMONIALE!$AV416:AY$1003,4,FALSE)</f>
        <v>#N/A</v>
      </c>
      <c r="AQ364" s="748" t="e">
        <f>VLOOKUP($AM364,PATRIMONIALE!$AV416:AZ$1003,5,FALSE)</f>
        <v>#N/A</v>
      </c>
      <c r="AR364" s="1"/>
      <c r="AS364" s="461" t="str">
        <f t="shared" si="70"/>
        <v/>
      </c>
      <c r="AT364" s="370"/>
    </row>
    <row r="365" spans="1:46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435">
        <f>IF(AND(W365&gt;=$U$1,W365&lt;=$U$2),IF(X365='ESTRATTO CONTO'!$E$2,1+COUNTIF(U$4:U364,"&gt;0"),0),0)</f>
        <v>0</v>
      </c>
      <c r="V365" s="417">
        <f t="shared" si="71"/>
        <v>362</v>
      </c>
      <c r="W365" s="509"/>
      <c r="X365" s="321"/>
      <c r="Y365" s="321"/>
      <c r="Z365" s="433"/>
      <c r="AA365" s="356"/>
      <c r="AB365" s="306" t="str">
        <f t="shared" si="66"/>
        <v/>
      </c>
      <c r="AC365" s="893">
        <f t="shared" si="67"/>
        <v>0</v>
      </c>
      <c r="AD365" s="322"/>
      <c r="AE365" s="1"/>
      <c r="AF365" s="223">
        <f>IF(ISBLANK(AD365),0,COUNTIF(AF$4:AF364,"&gt;0")+1)</f>
        <v>0</v>
      </c>
      <c r="AG365" s="164">
        <f t="shared" si="73"/>
        <v>0</v>
      </c>
      <c r="AH365" s="99">
        <f t="shared" si="68"/>
        <v>0</v>
      </c>
      <c r="AI365" s="99">
        <f t="shared" si="74"/>
        <v>0</v>
      </c>
      <c r="AJ365" s="170">
        <f t="shared" si="75"/>
        <v>0</v>
      </c>
      <c r="AK365" s="204">
        <f t="shared" si="69"/>
        <v>0</v>
      </c>
      <c r="AL365" s="1049">
        <f>IF(ISERROR(AO365),0,IF(AND(AN365&gt;=$U$1,AN365&lt;=$U$2),IF(AO365='ESTRATTO CONTO'!$E$2,1+COUNTIF(AL$4:AL364,"&gt;0")+U$1009,0),0))</f>
        <v>0</v>
      </c>
      <c r="AM365" s="747">
        <f t="shared" si="72"/>
        <v>362</v>
      </c>
      <c r="AN365" s="164" t="e">
        <f>VLOOKUP($AM365,PATRIMONIALE!$AV417:AW$1003,2,FALSE)</f>
        <v>#N/A</v>
      </c>
      <c r="AO365" s="310" t="e">
        <f>VLOOKUP($AM365,PATRIMONIALE!$AV417:AX$1003,3,FALSE)</f>
        <v>#N/A</v>
      </c>
      <c r="AP365" s="310" t="e">
        <f>VLOOKUP($AM365,PATRIMONIALE!$AV417:AY$1003,4,FALSE)</f>
        <v>#N/A</v>
      </c>
      <c r="AQ365" s="748" t="e">
        <f>VLOOKUP($AM365,PATRIMONIALE!$AV417:AZ$1003,5,FALSE)</f>
        <v>#N/A</v>
      </c>
      <c r="AR365" s="1"/>
      <c r="AS365" s="461" t="str">
        <f t="shared" si="70"/>
        <v/>
      </c>
      <c r="AT365" s="370"/>
    </row>
    <row r="366" spans="1:46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435">
        <f>IF(AND(W366&gt;=$U$1,W366&lt;=$U$2),IF(X366='ESTRATTO CONTO'!$E$2,1+COUNTIF(U$4:U365,"&gt;0"),0),0)</f>
        <v>0</v>
      </c>
      <c r="V366" s="417">
        <f t="shared" si="71"/>
        <v>363</v>
      </c>
      <c r="W366" s="509"/>
      <c r="X366" s="321"/>
      <c r="Y366" s="321"/>
      <c r="Z366" s="433"/>
      <c r="AA366" s="356"/>
      <c r="AB366" s="306" t="str">
        <f t="shared" si="66"/>
        <v/>
      </c>
      <c r="AC366" s="893">
        <f t="shared" si="67"/>
        <v>0</v>
      </c>
      <c r="AD366" s="322"/>
      <c r="AE366" s="1"/>
      <c r="AF366" s="223">
        <f>IF(ISBLANK(AD366),0,COUNTIF(AF$4:AF365,"&gt;0")+1)</f>
        <v>0</v>
      </c>
      <c r="AG366" s="164">
        <f t="shared" si="73"/>
        <v>0</v>
      </c>
      <c r="AH366" s="99">
        <f t="shared" si="68"/>
        <v>0</v>
      </c>
      <c r="AI366" s="99">
        <f t="shared" si="74"/>
        <v>0</v>
      </c>
      <c r="AJ366" s="170">
        <f t="shared" si="75"/>
        <v>0</v>
      </c>
      <c r="AK366" s="204">
        <f t="shared" si="69"/>
        <v>0</v>
      </c>
      <c r="AL366" s="1049">
        <f>IF(ISERROR(AO366),0,IF(AND(AN366&gt;=$U$1,AN366&lt;=$U$2),IF(AO366='ESTRATTO CONTO'!$E$2,1+COUNTIF(AL$4:AL365,"&gt;0")+U$1009,0),0))</f>
        <v>0</v>
      </c>
      <c r="AM366" s="747">
        <f t="shared" si="72"/>
        <v>363</v>
      </c>
      <c r="AN366" s="164" t="e">
        <f>VLOOKUP($AM366,PATRIMONIALE!$AV418:AW$1003,2,FALSE)</f>
        <v>#N/A</v>
      </c>
      <c r="AO366" s="310" t="e">
        <f>VLOOKUP($AM366,PATRIMONIALE!$AV418:AX$1003,3,FALSE)</f>
        <v>#N/A</v>
      </c>
      <c r="AP366" s="310" t="e">
        <f>VLOOKUP($AM366,PATRIMONIALE!$AV418:AY$1003,4,FALSE)</f>
        <v>#N/A</v>
      </c>
      <c r="AQ366" s="748" t="e">
        <f>VLOOKUP($AM366,PATRIMONIALE!$AV418:AZ$1003,5,FALSE)</f>
        <v>#N/A</v>
      </c>
      <c r="AR366" s="1"/>
      <c r="AS366" s="461" t="str">
        <f t="shared" si="70"/>
        <v/>
      </c>
      <c r="AT366" s="370"/>
    </row>
    <row r="367" spans="1:46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435">
        <f>IF(AND(W367&gt;=$U$1,W367&lt;=$U$2),IF(X367='ESTRATTO CONTO'!$E$2,1+COUNTIF(U$4:U366,"&gt;0"),0),0)</f>
        <v>0</v>
      </c>
      <c r="V367" s="417">
        <f t="shared" si="71"/>
        <v>364</v>
      </c>
      <c r="W367" s="509"/>
      <c r="X367" s="321"/>
      <c r="Y367" s="321"/>
      <c r="Z367" s="433"/>
      <c r="AA367" s="356"/>
      <c r="AB367" s="306" t="str">
        <f t="shared" si="66"/>
        <v/>
      </c>
      <c r="AC367" s="893">
        <f t="shared" si="67"/>
        <v>0</v>
      </c>
      <c r="AD367" s="322"/>
      <c r="AE367" s="1"/>
      <c r="AF367" s="223">
        <f>IF(ISBLANK(AD367),0,COUNTIF(AF$4:AF366,"&gt;0")+1)</f>
        <v>0</v>
      </c>
      <c r="AG367" s="164">
        <f t="shared" si="73"/>
        <v>0</v>
      </c>
      <c r="AH367" s="99">
        <f t="shared" si="68"/>
        <v>0</v>
      </c>
      <c r="AI367" s="99">
        <f t="shared" si="74"/>
        <v>0</v>
      </c>
      <c r="AJ367" s="170">
        <f t="shared" si="75"/>
        <v>0</v>
      </c>
      <c r="AK367" s="204">
        <f t="shared" si="69"/>
        <v>0</v>
      </c>
      <c r="AL367" s="1049">
        <f>IF(ISERROR(AO367),0,IF(AND(AN367&gt;=$U$1,AN367&lt;=$U$2),IF(AO367='ESTRATTO CONTO'!$E$2,1+COUNTIF(AL$4:AL366,"&gt;0")+U$1009,0),0))</f>
        <v>0</v>
      </c>
      <c r="AM367" s="747">
        <f t="shared" si="72"/>
        <v>364</v>
      </c>
      <c r="AN367" s="164" t="e">
        <f>VLOOKUP($AM367,PATRIMONIALE!$AV419:AW$1003,2,FALSE)</f>
        <v>#N/A</v>
      </c>
      <c r="AO367" s="310" t="e">
        <f>VLOOKUP($AM367,PATRIMONIALE!$AV419:AX$1003,3,FALSE)</f>
        <v>#N/A</v>
      </c>
      <c r="AP367" s="310" t="e">
        <f>VLOOKUP($AM367,PATRIMONIALE!$AV419:AY$1003,4,FALSE)</f>
        <v>#N/A</v>
      </c>
      <c r="AQ367" s="748" t="e">
        <f>VLOOKUP($AM367,PATRIMONIALE!$AV419:AZ$1003,5,FALSE)</f>
        <v>#N/A</v>
      </c>
      <c r="AR367" s="1"/>
      <c r="AS367" s="461" t="str">
        <f t="shared" si="70"/>
        <v/>
      </c>
      <c r="AT367" s="370"/>
    </row>
    <row r="368" spans="1:46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435">
        <f>IF(AND(W368&gt;=$U$1,W368&lt;=$U$2),IF(X368='ESTRATTO CONTO'!$E$2,1+COUNTIF(U$4:U367,"&gt;0"),0),0)</f>
        <v>0</v>
      </c>
      <c r="V368" s="417">
        <f t="shared" si="71"/>
        <v>365</v>
      </c>
      <c r="W368" s="509"/>
      <c r="X368" s="321"/>
      <c r="Y368" s="321"/>
      <c r="Z368" s="433"/>
      <c r="AA368" s="356"/>
      <c r="AB368" s="306" t="str">
        <f t="shared" si="66"/>
        <v/>
      </c>
      <c r="AC368" s="893">
        <f t="shared" si="67"/>
        <v>0</v>
      </c>
      <c r="AD368" s="322"/>
      <c r="AE368" s="1"/>
      <c r="AF368" s="223">
        <f>IF(ISBLANK(AD368),0,COUNTIF(AF$4:AF367,"&gt;0")+1)</f>
        <v>0</v>
      </c>
      <c r="AG368" s="164">
        <f t="shared" si="73"/>
        <v>0</v>
      </c>
      <c r="AH368" s="99">
        <f t="shared" si="68"/>
        <v>0</v>
      </c>
      <c r="AI368" s="99">
        <f t="shared" si="74"/>
        <v>0</v>
      </c>
      <c r="AJ368" s="170">
        <f t="shared" si="75"/>
        <v>0</v>
      </c>
      <c r="AK368" s="204">
        <f t="shared" si="69"/>
        <v>0</v>
      </c>
      <c r="AL368" s="1049">
        <f>IF(ISERROR(AO368),0,IF(AND(AN368&gt;=$U$1,AN368&lt;=$U$2),IF(AO368='ESTRATTO CONTO'!$E$2,1+COUNTIF(AL$4:AL367,"&gt;0")+U$1009,0),0))</f>
        <v>0</v>
      </c>
      <c r="AM368" s="747">
        <f t="shared" si="72"/>
        <v>365</v>
      </c>
      <c r="AN368" s="164" t="e">
        <f>VLOOKUP($AM368,PATRIMONIALE!$AV420:AW$1003,2,FALSE)</f>
        <v>#N/A</v>
      </c>
      <c r="AO368" s="310" t="e">
        <f>VLOOKUP($AM368,PATRIMONIALE!$AV420:AX$1003,3,FALSE)</f>
        <v>#N/A</v>
      </c>
      <c r="AP368" s="310" t="e">
        <f>VLOOKUP($AM368,PATRIMONIALE!$AV420:AY$1003,4,FALSE)</f>
        <v>#N/A</v>
      </c>
      <c r="AQ368" s="748" t="e">
        <f>VLOOKUP($AM368,PATRIMONIALE!$AV420:AZ$1003,5,FALSE)</f>
        <v>#N/A</v>
      </c>
      <c r="AR368" s="1"/>
      <c r="AS368" s="461" t="str">
        <f t="shared" si="70"/>
        <v/>
      </c>
      <c r="AT368" s="370"/>
    </row>
    <row r="369" spans="1:46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435">
        <f>IF(AND(W369&gt;=$U$1,W369&lt;=$U$2),IF(X369='ESTRATTO CONTO'!$E$2,1+COUNTIF(U$4:U368,"&gt;0"),0),0)</f>
        <v>0</v>
      </c>
      <c r="V369" s="417">
        <f t="shared" si="71"/>
        <v>366</v>
      </c>
      <c r="W369" s="509"/>
      <c r="X369" s="321"/>
      <c r="Y369" s="321"/>
      <c r="Z369" s="433"/>
      <c r="AA369" s="356"/>
      <c r="AB369" s="306" t="str">
        <f t="shared" si="66"/>
        <v/>
      </c>
      <c r="AC369" s="893">
        <f t="shared" si="67"/>
        <v>0</v>
      </c>
      <c r="AD369" s="322"/>
      <c r="AE369" s="1"/>
      <c r="AF369" s="223">
        <f>IF(ISBLANK(AD369),0,COUNTIF(AF$4:AF368,"&gt;0")+1)</f>
        <v>0</v>
      </c>
      <c r="AG369" s="164">
        <f t="shared" si="73"/>
        <v>0</v>
      </c>
      <c r="AH369" s="99">
        <f t="shared" si="68"/>
        <v>0</v>
      </c>
      <c r="AI369" s="99">
        <f t="shared" si="74"/>
        <v>0</v>
      </c>
      <c r="AJ369" s="170">
        <f t="shared" si="75"/>
        <v>0</v>
      </c>
      <c r="AK369" s="204">
        <f t="shared" si="69"/>
        <v>0</v>
      </c>
      <c r="AL369" s="1049">
        <f>IF(ISERROR(AO369),0,IF(AND(AN369&gt;=$U$1,AN369&lt;=$U$2),IF(AO369='ESTRATTO CONTO'!$E$2,1+COUNTIF(AL$4:AL368,"&gt;0")+U$1009,0),0))</f>
        <v>0</v>
      </c>
      <c r="AM369" s="747">
        <f t="shared" si="72"/>
        <v>366</v>
      </c>
      <c r="AN369" s="164" t="e">
        <f>VLOOKUP($AM369,PATRIMONIALE!$AV421:AW$1003,2,FALSE)</f>
        <v>#N/A</v>
      </c>
      <c r="AO369" s="310" t="e">
        <f>VLOOKUP($AM369,PATRIMONIALE!$AV421:AX$1003,3,FALSE)</f>
        <v>#N/A</v>
      </c>
      <c r="AP369" s="310" t="e">
        <f>VLOOKUP($AM369,PATRIMONIALE!$AV421:AY$1003,4,FALSE)</f>
        <v>#N/A</v>
      </c>
      <c r="AQ369" s="748" t="e">
        <f>VLOOKUP($AM369,PATRIMONIALE!$AV421:AZ$1003,5,FALSE)</f>
        <v>#N/A</v>
      </c>
      <c r="AR369" s="1"/>
      <c r="AS369" s="461" t="str">
        <f t="shared" si="70"/>
        <v/>
      </c>
      <c r="AT369" s="370"/>
    </row>
    <row r="370" spans="1:46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435">
        <f>IF(AND(W370&gt;=$U$1,W370&lt;=$U$2),IF(X370='ESTRATTO CONTO'!$E$2,1+COUNTIF(U$4:U369,"&gt;0"),0),0)</f>
        <v>0</v>
      </c>
      <c r="V370" s="417">
        <f t="shared" si="71"/>
        <v>367</v>
      </c>
      <c r="W370" s="509"/>
      <c r="X370" s="321"/>
      <c r="Y370" s="321"/>
      <c r="Z370" s="433"/>
      <c r="AA370" s="356"/>
      <c r="AB370" s="306" t="str">
        <f t="shared" si="66"/>
        <v/>
      </c>
      <c r="AC370" s="893">
        <f t="shared" si="67"/>
        <v>0</v>
      </c>
      <c r="AD370" s="322"/>
      <c r="AE370" s="1"/>
      <c r="AF370" s="223">
        <f>IF(ISBLANK(AD370),0,COUNTIF(AF$4:AF369,"&gt;0")+1)</f>
        <v>0</v>
      </c>
      <c r="AG370" s="164">
        <f t="shared" si="73"/>
        <v>0</v>
      </c>
      <c r="AH370" s="99">
        <f t="shared" si="68"/>
        <v>0</v>
      </c>
      <c r="AI370" s="99">
        <f t="shared" si="74"/>
        <v>0</v>
      </c>
      <c r="AJ370" s="170">
        <f t="shared" si="75"/>
        <v>0</v>
      </c>
      <c r="AK370" s="204">
        <f t="shared" si="69"/>
        <v>0</v>
      </c>
      <c r="AL370" s="1049">
        <f>IF(ISERROR(AO370),0,IF(AND(AN370&gt;=$U$1,AN370&lt;=$U$2),IF(AO370='ESTRATTO CONTO'!$E$2,1+COUNTIF(AL$4:AL369,"&gt;0")+U$1009,0),0))</f>
        <v>0</v>
      </c>
      <c r="AM370" s="747">
        <f t="shared" si="72"/>
        <v>367</v>
      </c>
      <c r="AN370" s="164" t="e">
        <f>VLOOKUP($AM370,PATRIMONIALE!$AV422:AW$1003,2,FALSE)</f>
        <v>#N/A</v>
      </c>
      <c r="AO370" s="310" t="e">
        <f>VLOOKUP($AM370,PATRIMONIALE!$AV422:AX$1003,3,FALSE)</f>
        <v>#N/A</v>
      </c>
      <c r="AP370" s="310" t="e">
        <f>VLOOKUP($AM370,PATRIMONIALE!$AV422:AY$1003,4,FALSE)</f>
        <v>#N/A</v>
      </c>
      <c r="AQ370" s="748" t="e">
        <f>VLOOKUP($AM370,PATRIMONIALE!$AV422:AZ$1003,5,FALSE)</f>
        <v>#N/A</v>
      </c>
      <c r="AR370" s="1"/>
      <c r="AS370" s="461" t="str">
        <f t="shared" si="70"/>
        <v/>
      </c>
      <c r="AT370" s="370"/>
    </row>
    <row r="371" spans="1:46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435">
        <f>IF(AND(W371&gt;=$U$1,W371&lt;=$U$2),IF(X371='ESTRATTO CONTO'!$E$2,1+COUNTIF(U$4:U370,"&gt;0"),0),0)</f>
        <v>0</v>
      </c>
      <c r="V371" s="417">
        <f t="shared" si="71"/>
        <v>368</v>
      </c>
      <c r="W371" s="509"/>
      <c r="X371" s="321"/>
      <c r="Y371" s="321"/>
      <c r="Z371" s="433"/>
      <c r="AA371" s="356"/>
      <c r="AB371" s="306" t="str">
        <f t="shared" si="66"/>
        <v/>
      </c>
      <c r="AC371" s="893">
        <f t="shared" si="67"/>
        <v>0</v>
      </c>
      <c r="AD371" s="322"/>
      <c r="AE371" s="1"/>
      <c r="AF371" s="223">
        <f>IF(ISBLANK(AD371),0,COUNTIF(AF$4:AF370,"&gt;0")+1)</f>
        <v>0</v>
      </c>
      <c r="AG371" s="164">
        <f t="shared" si="73"/>
        <v>0</v>
      </c>
      <c r="AH371" s="99">
        <f t="shared" si="68"/>
        <v>0</v>
      </c>
      <c r="AI371" s="99">
        <f t="shared" si="74"/>
        <v>0</v>
      </c>
      <c r="AJ371" s="170">
        <f t="shared" si="75"/>
        <v>0</v>
      </c>
      <c r="AK371" s="204">
        <f t="shared" si="69"/>
        <v>0</v>
      </c>
      <c r="AL371" s="1049">
        <f>IF(ISERROR(AO371),0,IF(AND(AN371&gt;=$U$1,AN371&lt;=$U$2),IF(AO371='ESTRATTO CONTO'!$E$2,1+COUNTIF(AL$4:AL370,"&gt;0")+U$1009,0),0))</f>
        <v>0</v>
      </c>
      <c r="AM371" s="747">
        <f t="shared" si="72"/>
        <v>368</v>
      </c>
      <c r="AN371" s="164" t="e">
        <f>VLOOKUP($AM371,PATRIMONIALE!$AV423:AW$1003,2,FALSE)</f>
        <v>#N/A</v>
      </c>
      <c r="AO371" s="310" t="e">
        <f>VLOOKUP($AM371,PATRIMONIALE!$AV423:AX$1003,3,FALSE)</f>
        <v>#N/A</v>
      </c>
      <c r="AP371" s="310" t="e">
        <f>VLOOKUP($AM371,PATRIMONIALE!$AV423:AY$1003,4,FALSE)</f>
        <v>#N/A</v>
      </c>
      <c r="AQ371" s="748" t="e">
        <f>VLOOKUP($AM371,PATRIMONIALE!$AV423:AZ$1003,5,FALSE)</f>
        <v>#N/A</v>
      </c>
      <c r="AR371" s="1"/>
      <c r="AS371" s="461" t="str">
        <f t="shared" si="70"/>
        <v/>
      </c>
      <c r="AT371" s="370"/>
    </row>
    <row r="372" spans="1:46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435">
        <f>IF(AND(W372&gt;=$U$1,W372&lt;=$U$2),IF(X372='ESTRATTO CONTO'!$E$2,1+COUNTIF(U$4:U371,"&gt;0"),0),0)</f>
        <v>0</v>
      </c>
      <c r="V372" s="417">
        <f t="shared" si="71"/>
        <v>369</v>
      </c>
      <c r="W372" s="509"/>
      <c r="X372" s="321"/>
      <c r="Y372" s="321"/>
      <c r="Z372" s="433"/>
      <c r="AA372" s="356"/>
      <c r="AB372" s="306" t="str">
        <f t="shared" si="66"/>
        <v/>
      </c>
      <c r="AC372" s="893">
        <f t="shared" si="67"/>
        <v>0</v>
      </c>
      <c r="AD372" s="322"/>
      <c r="AE372" s="1"/>
      <c r="AF372" s="223">
        <f>IF(ISBLANK(AD372),0,COUNTIF(AF$4:AF371,"&gt;0")+1)</f>
        <v>0</v>
      </c>
      <c r="AG372" s="164">
        <f t="shared" si="73"/>
        <v>0</v>
      </c>
      <c r="AH372" s="99">
        <f t="shared" si="68"/>
        <v>0</v>
      </c>
      <c r="AI372" s="99">
        <f t="shared" si="74"/>
        <v>0</v>
      </c>
      <c r="AJ372" s="170">
        <f t="shared" si="75"/>
        <v>0</v>
      </c>
      <c r="AK372" s="204">
        <f t="shared" si="69"/>
        <v>0</v>
      </c>
      <c r="AL372" s="1049">
        <f>IF(ISERROR(AO372),0,IF(AND(AN372&gt;=$U$1,AN372&lt;=$U$2),IF(AO372='ESTRATTO CONTO'!$E$2,1+COUNTIF(AL$4:AL371,"&gt;0")+U$1009,0),0))</f>
        <v>0</v>
      </c>
      <c r="AM372" s="747">
        <f t="shared" si="72"/>
        <v>369</v>
      </c>
      <c r="AN372" s="164" t="e">
        <f>VLOOKUP($AM372,PATRIMONIALE!$AV424:AW$1003,2,FALSE)</f>
        <v>#N/A</v>
      </c>
      <c r="AO372" s="310" t="e">
        <f>VLOOKUP($AM372,PATRIMONIALE!$AV424:AX$1003,3,FALSE)</f>
        <v>#N/A</v>
      </c>
      <c r="AP372" s="310" t="e">
        <f>VLOOKUP($AM372,PATRIMONIALE!$AV424:AY$1003,4,FALSE)</f>
        <v>#N/A</v>
      </c>
      <c r="AQ372" s="748" t="e">
        <f>VLOOKUP($AM372,PATRIMONIALE!$AV424:AZ$1003,5,FALSE)</f>
        <v>#N/A</v>
      </c>
      <c r="AR372" s="1"/>
      <c r="AS372" s="461" t="str">
        <f t="shared" si="70"/>
        <v/>
      </c>
      <c r="AT372" s="370"/>
    </row>
    <row r="373" spans="1:46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435">
        <f>IF(AND(W373&gt;=$U$1,W373&lt;=$U$2),IF(X373='ESTRATTO CONTO'!$E$2,1+COUNTIF(U$4:U372,"&gt;0"),0),0)</f>
        <v>0</v>
      </c>
      <c r="V373" s="417">
        <f t="shared" si="71"/>
        <v>370</v>
      </c>
      <c r="W373" s="509"/>
      <c r="X373" s="321"/>
      <c r="Y373" s="321"/>
      <c r="Z373" s="433"/>
      <c r="AA373" s="356"/>
      <c r="AB373" s="306" t="str">
        <f t="shared" si="66"/>
        <v/>
      </c>
      <c r="AC373" s="893">
        <f t="shared" si="67"/>
        <v>0</v>
      </c>
      <c r="AD373" s="322"/>
      <c r="AE373" s="1"/>
      <c r="AF373" s="223">
        <f>IF(ISBLANK(AD373),0,COUNTIF(AF$4:AF372,"&gt;0")+1)</f>
        <v>0</v>
      </c>
      <c r="AG373" s="164">
        <f t="shared" si="73"/>
        <v>0</v>
      </c>
      <c r="AH373" s="99">
        <f t="shared" si="68"/>
        <v>0</v>
      </c>
      <c r="AI373" s="99">
        <f t="shared" si="74"/>
        <v>0</v>
      </c>
      <c r="AJ373" s="170">
        <f t="shared" si="75"/>
        <v>0</v>
      </c>
      <c r="AK373" s="204">
        <f t="shared" si="69"/>
        <v>0</v>
      </c>
      <c r="AL373" s="1049">
        <f>IF(ISERROR(AO373),0,IF(AND(AN373&gt;=$U$1,AN373&lt;=$U$2),IF(AO373='ESTRATTO CONTO'!$E$2,1+COUNTIF(AL$4:AL372,"&gt;0")+U$1009,0),0))</f>
        <v>0</v>
      </c>
      <c r="AM373" s="747">
        <f t="shared" si="72"/>
        <v>370</v>
      </c>
      <c r="AN373" s="164" t="e">
        <f>VLOOKUP($AM373,PATRIMONIALE!$AV425:AW$1003,2,FALSE)</f>
        <v>#N/A</v>
      </c>
      <c r="AO373" s="310" t="e">
        <f>VLOOKUP($AM373,PATRIMONIALE!$AV425:AX$1003,3,FALSE)</f>
        <v>#N/A</v>
      </c>
      <c r="AP373" s="310" t="e">
        <f>VLOOKUP($AM373,PATRIMONIALE!$AV425:AY$1003,4,FALSE)</f>
        <v>#N/A</v>
      </c>
      <c r="AQ373" s="748" t="e">
        <f>VLOOKUP($AM373,PATRIMONIALE!$AV425:AZ$1003,5,FALSE)</f>
        <v>#N/A</v>
      </c>
      <c r="AR373" s="1"/>
      <c r="AS373" s="461" t="str">
        <f t="shared" si="70"/>
        <v/>
      </c>
      <c r="AT373" s="370"/>
    </row>
    <row r="374" spans="1:46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435">
        <f>IF(AND(W374&gt;=$U$1,W374&lt;=$U$2),IF(X374='ESTRATTO CONTO'!$E$2,1+COUNTIF(U$4:U373,"&gt;0"),0),0)</f>
        <v>0</v>
      </c>
      <c r="V374" s="417">
        <f t="shared" si="71"/>
        <v>371</v>
      </c>
      <c r="W374" s="509"/>
      <c r="X374" s="321"/>
      <c r="Y374" s="321"/>
      <c r="Z374" s="433"/>
      <c r="AA374" s="356"/>
      <c r="AB374" s="306" t="str">
        <f t="shared" si="66"/>
        <v/>
      </c>
      <c r="AC374" s="893">
        <f t="shared" si="67"/>
        <v>0</v>
      </c>
      <c r="AD374" s="322"/>
      <c r="AE374" s="1"/>
      <c r="AF374" s="223">
        <f>IF(ISBLANK(AD374),0,COUNTIF(AF$4:AF373,"&gt;0")+1)</f>
        <v>0</v>
      </c>
      <c r="AG374" s="164">
        <f t="shared" si="73"/>
        <v>0</v>
      </c>
      <c r="AH374" s="99">
        <f t="shared" si="68"/>
        <v>0</v>
      </c>
      <c r="AI374" s="99">
        <f t="shared" si="74"/>
        <v>0</v>
      </c>
      <c r="AJ374" s="170">
        <f t="shared" si="75"/>
        <v>0</v>
      </c>
      <c r="AK374" s="204">
        <f t="shared" si="69"/>
        <v>0</v>
      </c>
      <c r="AL374" s="1049">
        <f>IF(ISERROR(AO374),0,IF(AND(AN374&gt;=$U$1,AN374&lt;=$U$2),IF(AO374='ESTRATTO CONTO'!$E$2,1+COUNTIF(AL$4:AL373,"&gt;0")+U$1009,0),0))</f>
        <v>0</v>
      </c>
      <c r="AM374" s="747">
        <f t="shared" si="72"/>
        <v>371</v>
      </c>
      <c r="AN374" s="164" t="e">
        <f>VLOOKUP($AM374,PATRIMONIALE!$AV426:AW$1003,2,FALSE)</f>
        <v>#N/A</v>
      </c>
      <c r="AO374" s="310" t="e">
        <f>VLOOKUP($AM374,PATRIMONIALE!$AV426:AX$1003,3,FALSE)</f>
        <v>#N/A</v>
      </c>
      <c r="AP374" s="310" t="e">
        <f>VLOOKUP($AM374,PATRIMONIALE!$AV426:AY$1003,4,FALSE)</f>
        <v>#N/A</v>
      </c>
      <c r="AQ374" s="748" t="e">
        <f>VLOOKUP($AM374,PATRIMONIALE!$AV426:AZ$1003,5,FALSE)</f>
        <v>#N/A</v>
      </c>
      <c r="AR374" s="1"/>
      <c r="AS374" s="461" t="str">
        <f t="shared" si="70"/>
        <v/>
      </c>
      <c r="AT374" s="370"/>
    </row>
    <row r="375" spans="1:46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435">
        <f>IF(AND(W375&gt;=$U$1,W375&lt;=$U$2),IF(X375='ESTRATTO CONTO'!$E$2,1+COUNTIF(U$4:U374,"&gt;0"),0),0)</f>
        <v>0</v>
      </c>
      <c r="V375" s="417">
        <f t="shared" si="71"/>
        <v>372</v>
      </c>
      <c r="W375" s="509"/>
      <c r="X375" s="321"/>
      <c r="Y375" s="321"/>
      <c r="Z375" s="433"/>
      <c r="AA375" s="356"/>
      <c r="AB375" s="306" t="str">
        <f t="shared" si="66"/>
        <v/>
      </c>
      <c r="AC375" s="893">
        <f t="shared" si="67"/>
        <v>0</v>
      </c>
      <c r="AD375" s="322"/>
      <c r="AE375" s="1"/>
      <c r="AF375" s="223">
        <f>IF(ISBLANK(AD375),0,COUNTIF(AF$4:AF374,"&gt;0")+1)</f>
        <v>0</v>
      </c>
      <c r="AG375" s="164">
        <f t="shared" si="73"/>
        <v>0</v>
      </c>
      <c r="AH375" s="99">
        <f t="shared" si="68"/>
        <v>0</v>
      </c>
      <c r="AI375" s="99">
        <f t="shared" si="74"/>
        <v>0</v>
      </c>
      <c r="AJ375" s="170">
        <f t="shared" si="75"/>
        <v>0</v>
      </c>
      <c r="AK375" s="204">
        <f t="shared" si="69"/>
        <v>0</v>
      </c>
      <c r="AL375" s="1049">
        <f>IF(ISERROR(AO375),0,IF(AND(AN375&gt;=$U$1,AN375&lt;=$U$2),IF(AO375='ESTRATTO CONTO'!$E$2,1+COUNTIF(AL$4:AL374,"&gt;0")+U$1009,0),0))</f>
        <v>0</v>
      </c>
      <c r="AM375" s="747">
        <f t="shared" si="72"/>
        <v>372</v>
      </c>
      <c r="AN375" s="164" t="e">
        <f>VLOOKUP($AM375,PATRIMONIALE!$AV427:AW$1003,2,FALSE)</f>
        <v>#N/A</v>
      </c>
      <c r="AO375" s="310" t="e">
        <f>VLOOKUP($AM375,PATRIMONIALE!$AV427:AX$1003,3,FALSE)</f>
        <v>#N/A</v>
      </c>
      <c r="AP375" s="310" t="e">
        <f>VLOOKUP($AM375,PATRIMONIALE!$AV427:AY$1003,4,FALSE)</f>
        <v>#N/A</v>
      </c>
      <c r="AQ375" s="748" t="e">
        <f>VLOOKUP($AM375,PATRIMONIALE!$AV427:AZ$1003,5,FALSE)</f>
        <v>#N/A</v>
      </c>
      <c r="AR375" s="1"/>
      <c r="AS375" s="461" t="str">
        <f t="shared" si="70"/>
        <v/>
      </c>
      <c r="AT375" s="370"/>
    </row>
    <row r="376" spans="1:46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435">
        <f>IF(AND(W376&gt;=$U$1,W376&lt;=$U$2),IF(X376='ESTRATTO CONTO'!$E$2,1+COUNTIF(U$4:U375,"&gt;0"),0),0)</f>
        <v>0</v>
      </c>
      <c r="V376" s="417">
        <f t="shared" si="71"/>
        <v>373</v>
      </c>
      <c r="W376" s="509"/>
      <c r="X376" s="321"/>
      <c r="Y376" s="321"/>
      <c r="Z376" s="433"/>
      <c r="AA376" s="356"/>
      <c r="AB376" s="306" t="str">
        <f t="shared" si="66"/>
        <v/>
      </c>
      <c r="AC376" s="893">
        <f t="shared" si="67"/>
        <v>0</v>
      </c>
      <c r="AD376" s="322"/>
      <c r="AE376" s="1"/>
      <c r="AF376" s="223">
        <f>IF(ISBLANK(AD376),0,COUNTIF(AF$4:AF375,"&gt;0")+1)</f>
        <v>0</v>
      </c>
      <c r="AG376" s="164">
        <f t="shared" si="73"/>
        <v>0</v>
      </c>
      <c r="AH376" s="99">
        <f t="shared" si="68"/>
        <v>0</v>
      </c>
      <c r="AI376" s="99">
        <f t="shared" si="74"/>
        <v>0</v>
      </c>
      <c r="AJ376" s="170">
        <f t="shared" si="75"/>
        <v>0</v>
      </c>
      <c r="AK376" s="204">
        <f t="shared" si="69"/>
        <v>0</v>
      </c>
      <c r="AL376" s="1049">
        <f>IF(ISERROR(AO376),0,IF(AND(AN376&gt;=$U$1,AN376&lt;=$U$2),IF(AO376='ESTRATTO CONTO'!$E$2,1+COUNTIF(AL$4:AL375,"&gt;0")+U$1009,0),0))</f>
        <v>0</v>
      </c>
      <c r="AM376" s="747">
        <f t="shared" si="72"/>
        <v>373</v>
      </c>
      <c r="AN376" s="164" t="e">
        <f>VLOOKUP($AM376,PATRIMONIALE!$AV428:AW$1003,2,FALSE)</f>
        <v>#N/A</v>
      </c>
      <c r="AO376" s="310" t="e">
        <f>VLOOKUP($AM376,PATRIMONIALE!$AV428:AX$1003,3,FALSE)</f>
        <v>#N/A</v>
      </c>
      <c r="AP376" s="310" t="e">
        <f>VLOOKUP($AM376,PATRIMONIALE!$AV428:AY$1003,4,FALSE)</f>
        <v>#N/A</v>
      </c>
      <c r="AQ376" s="748" t="e">
        <f>VLOOKUP($AM376,PATRIMONIALE!$AV428:AZ$1003,5,FALSE)</f>
        <v>#N/A</v>
      </c>
      <c r="AR376" s="1"/>
      <c r="AS376" s="461" t="str">
        <f t="shared" si="70"/>
        <v/>
      </c>
      <c r="AT376" s="370"/>
    </row>
    <row r="377" spans="1:46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435">
        <f>IF(AND(W377&gt;=$U$1,W377&lt;=$U$2),IF(X377='ESTRATTO CONTO'!$E$2,1+COUNTIF(U$4:U376,"&gt;0"),0),0)</f>
        <v>0</v>
      </c>
      <c r="V377" s="417">
        <f t="shared" si="71"/>
        <v>374</v>
      </c>
      <c r="W377" s="509"/>
      <c r="X377" s="321"/>
      <c r="Y377" s="321"/>
      <c r="Z377" s="433"/>
      <c r="AA377" s="356"/>
      <c r="AB377" s="306" t="str">
        <f t="shared" si="66"/>
        <v/>
      </c>
      <c r="AC377" s="893">
        <f t="shared" si="67"/>
        <v>0</v>
      </c>
      <c r="AD377" s="322"/>
      <c r="AE377" s="1"/>
      <c r="AF377" s="223">
        <f>IF(ISBLANK(AD377),0,COUNTIF(AF$4:AF376,"&gt;0")+1)</f>
        <v>0</v>
      </c>
      <c r="AG377" s="164">
        <f t="shared" si="73"/>
        <v>0</v>
      </c>
      <c r="AH377" s="99">
        <f t="shared" si="68"/>
        <v>0</v>
      </c>
      <c r="AI377" s="99">
        <f t="shared" si="74"/>
        <v>0</v>
      </c>
      <c r="AJ377" s="170">
        <f t="shared" si="75"/>
        <v>0</v>
      </c>
      <c r="AK377" s="204">
        <f t="shared" si="69"/>
        <v>0</v>
      </c>
      <c r="AL377" s="1049">
        <f>IF(ISERROR(AO377),0,IF(AND(AN377&gt;=$U$1,AN377&lt;=$U$2),IF(AO377='ESTRATTO CONTO'!$E$2,1+COUNTIF(AL$4:AL376,"&gt;0")+U$1009,0),0))</f>
        <v>0</v>
      </c>
      <c r="AM377" s="747">
        <f t="shared" si="72"/>
        <v>374</v>
      </c>
      <c r="AN377" s="164" t="e">
        <f>VLOOKUP($AM377,PATRIMONIALE!$AV429:AW$1003,2,FALSE)</f>
        <v>#N/A</v>
      </c>
      <c r="AO377" s="310" t="e">
        <f>VLOOKUP($AM377,PATRIMONIALE!$AV429:AX$1003,3,FALSE)</f>
        <v>#N/A</v>
      </c>
      <c r="AP377" s="310" t="e">
        <f>VLOOKUP($AM377,PATRIMONIALE!$AV429:AY$1003,4,FALSE)</f>
        <v>#N/A</v>
      </c>
      <c r="AQ377" s="748" t="e">
        <f>VLOOKUP($AM377,PATRIMONIALE!$AV429:AZ$1003,5,FALSE)</f>
        <v>#N/A</v>
      </c>
      <c r="AR377" s="1"/>
      <c r="AS377" s="461" t="str">
        <f t="shared" si="70"/>
        <v/>
      </c>
      <c r="AT377" s="370"/>
    </row>
    <row r="378" spans="1:46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435">
        <f>IF(AND(W378&gt;=$U$1,W378&lt;=$U$2),IF(X378='ESTRATTO CONTO'!$E$2,1+COUNTIF(U$4:U377,"&gt;0"),0),0)</f>
        <v>0</v>
      </c>
      <c r="V378" s="417">
        <f t="shared" si="71"/>
        <v>375</v>
      </c>
      <c r="W378" s="509"/>
      <c r="X378" s="321"/>
      <c r="Y378" s="321"/>
      <c r="Z378" s="433"/>
      <c r="AA378" s="356"/>
      <c r="AB378" s="306" t="str">
        <f t="shared" si="66"/>
        <v/>
      </c>
      <c r="AC378" s="893">
        <f t="shared" si="67"/>
        <v>0</v>
      </c>
      <c r="AD378" s="322"/>
      <c r="AE378" s="1"/>
      <c r="AF378" s="223">
        <f>IF(ISBLANK(AD378),0,COUNTIF(AF$4:AF377,"&gt;0")+1)</f>
        <v>0</v>
      </c>
      <c r="AG378" s="164">
        <f t="shared" si="73"/>
        <v>0</v>
      </c>
      <c r="AH378" s="99">
        <f t="shared" si="68"/>
        <v>0</v>
      </c>
      <c r="AI378" s="99">
        <f t="shared" si="74"/>
        <v>0</v>
      </c>
      <c r="AJ378" s="170">
        <f t="shared" si="75"/>
        <v>0</v>
      </c>
      <c r="AK378" s="204">
        <f t="shared" si="69"/>
        <v>0</v>
      </c>
      <c r="AL378" s="1049">
        <f>IF(ISERROR(AO378),0,IF(AND(AN378&gt;=$U$1,AN378&lt;=$U$2),IF(AO378='ESTRATTO CONTO'!$E$2,1+COUNTIF(AL$4:AL377,"&gt;0")+U$1009,0),0))</f>
        <v>0</v>
      </c>
      <c r="AM378" s="747">
        <f t="shared" si="72"/>
        <v>375</v>
      </c>
      <c r="AN378" s="164" t="e">
        <f>VLOOKUP($AM378,PATRIMONIALE!$AV430:AW$1003,2,FALSE)</f>
        <v>#N/A</v>
      </c>
      <c r="AO378" s="310" t="e">
        <f>VLOOKUP($AM378,PATRIMONIALE!$AV430:AX$1003,3,FALSE)</f>
        <v>#N/A</v>
      </c>
      <c r="AP378" s="310" t="e">
        <f>VLOOKUP($AM378,PATRIMONIALE!$AV430:AY$1003,4,FALSE)</f>
        <v>#N/A</v>
      </c>
      <c r="AQ378" s="748" t="e">
        <f>VLOOKUP($AM378,PATRIMONIALE!$AV430:AZ$1003,5,FALSE)</f>
        <v>#N/A</v>
      </c>
      <c r="AR378" s="1"/>
      <c r="AS378" s="461" t="str">
        <f t="shared" si="70"/>
        <v/>
      </c>
      <c r="AT378" s="370"/>
    </row>
    <row r="379" spans="1:46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435">
        <f>IF(AND(W379&gt;=$U$1,W379&lt;=$U$2),IF(X379='ESTRATTO CONTO'!$E$2,1+COUNTIF(U$4:U378,"&gt;0"),0),0)</f>
        <v>0</v>
      </c>
      <c r="V379" s="417">
        <f t="shared" si="71"/>
        <v>376</v>
      </c>
      <c r="W379" s="509"/>
      <c r="X379" s="321"/>
      <c r="Y379" s="321"/>
      <c r="Z379" s="433"/>
      <c r="AA379" s="356"/>
      <c r="AB379" s="306" t="str">
        <f t="shared" si="66"/>
        <v/>
      </c>
      <c r="AC379" s="893">
        <f t="shared" si="67"/>
        <v>0</v>
      </c>
      <c r="AD379" s="322"/>
      <c r="AE379" s="1"/>
      <c r="AF379" s="223">
        <f>IF(ISBLANK(AD379),0,COUNTIF(AF$4:AF378,"&gt;0")+1)</f>
        <v>0</v>
      </c>
      <c r="AG379" s="164">
        <f t="shared" si="73"/>
        <v>0</v>
      </c>
      <c r="AH379" s="99">
        <f t="shared" si="68"/>
        <v>0</v>
      </c>
      <c r="AI379" s="99">
        <f t="shared" si="74"/>
        <v>0</v>
      </c>
      <c r="AJ379" s="170">
        <f t="shared" si="75"/>
        <v>0</v>
      </c>
      <c r="AK379" s="204">
        <f t="shared" si="69"/>
        <v>0</v>
      </c>
      <c r="AL379" s="1049">
        <f>IF(ISERROR(AO379),0,IF(AND(AN379&gt;=$U$1,AN379&lt;=$U$2),IF(AO379='ESTRATTO CONTO'!$E$2,1+COUNTIF(AL$4:AL378,"&gt;0")+U$1009,0),0))</f>
        <v>0</v>
      </c>
      <c r="AM379" s="747">
        <f t="shared" si="72"/>
        <v>376</v>
      </c>
      <c r="AN379" s="164" t="e">
        <f>VLOOKUP($AM379,PATRIMONIALE!$AV431:AW$1003,2,FALSE)</f>
        <v>#N/A</v>
      </c>
      <c r="AO379" s="310" t="e">
        <f>VLOOKUP($AM379,PATRIMONIALE!$AV431:AX$1003,3,FALSE)</f>
        <v>#N/A</v>
      </c>
      <c r="AP379" s="310" t="e">
        <f>VLOOKUP($AM379,PATRIMONIALE!$AV431:AY$1003,4,FALSE)</f>
        <v>#N/A</v>
      </c>
      <c r="AQ379" s="748" t="e">
        <f>VLOOKUP($AM379,PATRIMONIALE!$AV431:AZ$1003,5,FALSE)</f>
        <v>#N/A</v>
      </c>
      <c r="AR379" s="1"/>
      <c r="AS379" s="461" t="str">
        <f t="shared" si="70"/>
        <v/>
      </c>
      <c r="AT379" s="370"/>
    </row>
    <row r="380" spans="1:46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435">
        <f>IF(AND(W380&gt;=$U$1,W380&lt;=$U$2),IF(X380='ESTRATTO CONTO'!$E$2,1+COUNTIF(U$4:U379,"&gt;0"),0),0)</f>
        <v>0</v>
      </c>
      <c r="V380" s="417">
        <f t="shared" si="71"/>
        <v>377</v>
      </c>
      <c r="W380" s="509"/>
      <c r="X380" s="321"/>
      <c r="Y380" s="321"/>
      <c r="Z380" s="433"/>
      <c r="AA380" s="356"/>
      <c r="AB380" s="306" t="str">
        <f t="shared" si="66"/>
        <v/>
      </c>
      <c r="AC380" s="893">
        <f t="shared" si="67"/>
        <v>0</v>
      </c>
      <c r="AD380" s="322"/>
      <c r="AE380" s="1"/>
      <c r="AF380" s="223">
        <f>IF(ISBLANK(AD380),0,COUNTIF(AF$4:AF379,"&gt;0")+1)</f>
        <v>0</v>
      </c>
      <c r="AG380" s="164">
        <f t="shared" si="73"/>
        <v>0</v>
      </c>
      <c r="AH380" s="99">
        <f t="shared" si="68"/>
        <v>0</v>
      </c>
      <c r="AI380" s="99">
        <f t="shared" si="74"/>
        <v>0</v>
      </c>
      <c r="AJ380" s="170">
        <f t="shared" si="75"/>
        <v>0</v>
      </c>
      <c r="AK380" s="204">
        <f t="shared" si="69"/>
        <v>0</v>
      </c>
      <c r="AL380" s="1049">
        <f>IF(ISERROR(AO380),0,IF(AND(AN380&gt;=$U$1,AN380&lt;=$U$2),IF(AO380='ESTRATTO CONTO'!$E$2,1+COUNTIF(AL$4:AL379,"&gt;0")+U$1009,0),0))</f>
        <v>0</v>
      </c>
      <c r="AM380" s="747">
        <f t="shared" si="72"/>
        <v>377</v>
      </c>
      <c r="AN380" s="164" t="e">
        <f>VLOOKUP($AM380,PATRIMONIALE!$AV432:AW$1003,2,FALSE)</f>
        <v>#N/A</v>
      </c>
      <c r="AO380" s="310" t="e">
        <f>VLOOKUP($AM380,PATRIMONIALE!$AV432:AX$1003,3,FALSE)</f>
        <v>#N/A</v>
      </c>
      <c r="AP380" s="310" t="e">
        <f>VLOOKUP($AM380,PATRIMONIALE!$AV432:AY$1003,4,FALSE)</f>
        <v>#N/A</v>
      </c>
      <c r="AQ380" s="748" t="e">
        <f>VLOOKUP($AM380,PATRIMONIALE!$AV432:AZ$1003,5,FALSE)</f>
        <v>#N/A</v>
      </c>
      <c r="AR380" s="1"/>
      <c r="AS380" s="461" t="str">
        <f t="shared" si="70"/>
        <v/>
      </c>
      <c r="AT380" s="370"/>
    </row>
    <row r="381" spans="1:46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435">
        <f>IF(AND(W381&gt;=$U$1,W381&lt;=$U$2),IF(X381='ESTRATTO CONTO'!$E$2,1+COUNTIF(U$4:U380,"&gt;0"),0),0)</f>
        <v>0</v>
      </c>
      <c r="V381" s="417">
        <f t="shared" si="71"/>
        <v>378</v>
      </c>
      <c r="W381" s="509"/>
      <c r="X381" s="321"/>
      <c r="Y381" s="321"/>
      <c r="Z381" s="433"/>
      <c r="AA381" s="356"/>
      <c r="AB381" s="306" t="str">
        <f t="shared" si="66"/>
        <v/>
      </c>
      <c r="AC381" s="893">
        <f t="shared" si="67"/>
        <v>0</v>
      </c>
      <c r="AD381" s="322"/>
      <c r="AE381" s="1"/>
      <c r="AF381" s="223">
        <f>IF(ISBLANK(AD381),0,COUNTIF(AF$4:AF380,"&gt;0")+1)</f>
        <v>0</v>
      </c>
      <c r="AG381" s="164">
        <f t="shared" si="73"/>
        <v>0</v>
      </c>
      <c r="AH381" s="99">
        <f t="shared" si="68"/>
        <v>0</v>
      </c>
      <c r="AI381" s="99">
        <f t="shared" si="74"/>
        <v>0</v>
      </c>
      <c r="AJ381" s="170">
        <f t="shared" si="75"/>
        <v>0</v>
      </c>
      <c r="AK381" s="204">
        <f t="shared" si="69"/>
        <v>0</v>
      </c>
      <c r="AL381" s="1049">
        <f>IF(ISERROR(AO381),0,IF(AND(AN381&gt;=$U$1,AN381&lt;=$U$2),IF(AO381='ESTRATTO CONTO'!$E$2,1+COUNTIF(AL$4:AL380,"&gt;0")+U$1009,0),0))</f>
        <v>0</v>
      </c>
      <c r="AM381" s="747">
        <f t="shared" si="72"/>
        <v>378</v>
      </c>
      <c r="AN381" s="164" t="e">
        <f>VLOOKUP($AM381,PATRIMONIALE!$AV433:AW$1003,2,FALSE)</f>
        <v>#N/A</v>
      </c>
      <c r="AO381" s="310" t="e">
        <f>VLOOKUP($AM381,PATRIMONIALE!$AV433:AX$1003,3,FALSE)</f>
        <v>#N/A</v>
      </c>
      <c r="AP381" s="310" t="e">
        <f>VLOOKUP($AM381,PATRIMONIALE!$AV433:AY$1003,4,FALSE)</f>
        <v>#N/A</v>
      </c>
      <c r="AQ381" s="748" t="e">
        <f>VLOOKUP($AM381,PATRIMONIALE!$AV433:AZ$1003,5,FALSE)</f>
        <v>#N/A</v>
      </c>
      <c r="AR381" s="1"/>
      <c r="AS381" s="461" t="str">
        <f t="shared" si="70"/>
        <v/>
      </c>
      <c r="AT381" s="370"/>
    </row>
    <row r="382" spans="1:46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435">
        <f>IF(AND(W382&gt;=$U$1,W382&lt;=$U$2),IF(X382='ESTRATTO CONTO'!$E$2,1+COUNTIF(U$4:U381,"&gt;0"),0),0)</f>
        <v>0</v>
      </c>
      <c r="V382" s="417">
        <f t="shared" si="71"/>
        <v>379</v>
      </c>
      <c r="W382" s="509"/>
      <c r="X382" s="321"/>
      <c r="Y382" s="321"/>
      <c r="Z382" s="433"/>
      <c r="AA382" s="356"/>
      <c r="AB382" s="306" t="str">
        <f t="shared" si="66"/>
        <v/>
      </c>
      <c r="AC382" s="893">
        <f t="shared" si="67"/>
        <v>0</v>
      </c>
      <c r="AD382" s="322"/>
      <c r="AE382" s="1"/>
      <c r="AF382" s="223">
        <f>IF(ISBLANK(AD382),0,COUNTIF(AF$4:AF381,"&gt;0")+1)</f>
        <v>0</v>
      </c>
      <c r="AG382" s="164">
        <f t="shared" si="73"/>
        <v>0</v>
      </c>
      <c r="AH382" s="99">
        <f t="shared" si="68"/>
        <v>0</v>
      </c>
      <c r="AI382" s="99">
        <f t="shared" si="74"/>
        <v>0</v>
      </c>
      <c r="AJ382" s="170">
        <f t="shared" si="75"/>
        <v>0</v>
      </c>
      <c r="AK382" s="204">
        <f t="shared" si="69"/>
        <v>0</v>
      </c>
      <c r="AL382" s="1049">
        <f>IF(ISERROR(AO382),0,IF(AND(AN382&gt;=$U$1,AN382&lt;=$U$2),IF(AO382='ESTRATTO CONTO'!$E$2,1+COUNTIF(AL$4:AL381,"&gt;0")+U$1009,0),0))</f>
        <v>0</v>
      </c>
      <c r="AM382" s="747">
        <f t="shared" si="72"/>
        <v>379</v>
      </c>
      <c r="AN382" s="164" t="e">
        <f>VLOOKUP($AM382,PATRIMONIALE!$AV434:AW$1003,2,FALSE)</f>
        <v>#N/A</v>
      </c>
      <c r="AO382" s="310" t="e">
        <f>VLOOKUP($AM382,PATRIMONIALE!$AV434:AX$1003,3,FALSE)</f>
        <v>#N/A</v>
      </c>
      <c r="AP382" s="310" t="e">
        <f>VLOOKUP($AM382,PATRIMONIALE!$AV434:AY$1003,4,FALSE)</f>
        <v>#N/A</v>
      </c>
      <c r="AQ382" s="748" t="e">
        <f>VLOOKUP($AM382,PATRIMONIALE!$AV434:AZ$1003,5,FALSE)</f>
        <v>#N/A</v>
      </c>
      <c r="AR382" s="1"/>
      <c r="AS382" s="461" t="str">
        <f t="shared" si="70"/>
        <v/>
      </c>
      <c r="AT382" s="370"/>
    </row>
    <row r="383" spans="1:46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435">
        <f>IF(AND(W383&gt;=$U$1,W383&lt;=$U$2),IF(X383='ESTRATTO CONTO'!$E$2,1+COUNTIF(U$4:U382,"&gt;0"),0),0)</f>
        <v>0</v>
      </c>
      <c r="V383" s="417">
        <f t="shared" si="71"/>
        <v>380</v>
      </c>
      <c r="W383" s="509"/>
      <c r="X383" s="321"/>
      <c r="Y383" s="321"/>
      <c r="Z383" s="433"/>
      <c r="AA383" s="356"/>
      <c r="AB383" s="306" t="str">
        <f t="shared" si="66"/>
        <v/>
      </c>
      <c r="AC383" s="893">
        <f t="shared" si="67"/>
        <v>0</v>
      </c>
      <c r="AD383" s="322"/>
      <c r="AE383" s="1"/>
      <c r="AF383" s="223">
        <f>IF(ISBLANK(AD383),0,COUNTIF(AF$4:AF382,"&gt;0")+1)</f>
        <v>0</v>
      </c>
      <c r="AG383" s="164">
        <f t="shared" si="73"/>
        <v>0</v>
      </c>
      <c r="AH383" s="99">
        <f t="shared" si="68"/>
        <v>0</v>
      </c>
      <c r="AI383" s="99">
        <f t="shared" si="74"/>
        <v>0</v>
      </c>
      <c r="AJ383" s="170">
        <f t="shared" si="75"/>
        <v>0</v>
      </c>
      <c r="AK383" s="204">
        <f t="shared" si="69"/>
        <v>0</v>
      </c>
      <c r="AL383" s="1049">
        <f>IF(ISERROR(AO383),0,IF(AND(AN383&gt;=$U$1,AN383&lt;=$U$2),IF(AO383='ESTRATTO CONTO'!$E$2,1+COUNTIF(AL$4:AL382,"&gt;0")+U$1009,0),0))</f>
        <v>0</v>
      </c>
      <c r="AM383" s="747">
        <f t="shared" si="72"/>
        <v>380</v>
      </c>
      <c r="AN383" s="164" t="e">
        <f>VLOOKUP($AM383,PATRIMONIALE!$AV435:AW$1003,2,FALSE)</f>
        <v>#N/A</v>
      </c>
      <c r="AO383" s="310" t="e">
        <f>VLOOKUP($AM383,PATRIMONIALE!$AV435:AX$1003,3,FALSE)</f>
        <v>#N/A</v>
      </c>
      <c r="AP383" s="310" t="e">
        <f>VLOOKUP($AM383,PATRIMONIALE!$AV435:AY$1003,4,FALSE)</f>
        <v>#N/A</v>
      </c>
      <c r="AQ383" s="748" t="e">
        <f>VLOOKUP($AM383,PATRIMONIALE!$AV435:AZ$1003,5,FALSE)</f>
        <v>#N/A</v>
      </c>
      <c r="AR383" s="1"/>
      <c r="AS383" s="461" t="str">
        <f t="shared" si="70"/>
        <v/>
      </c>
      <c r="AT383" s="370"/>
    </row>
    <row r="384" spans="1:46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435">
        <f>IF(AND(W384&gt;=$U$1,W384&lt;=$U$2),IF(X384='ESTRATTO CONTO'!$E$2,1+COUNTIF(U$4:U383,"&gt;0"),0),0)</f>
        <v>0</v>
      </c>
      <c r="V384" s="417">
        <f t="shared" si="71"/>
        <v>381</v>
      </c>
      <c r="W384" s="509"/>
      <c r="X384" s="321"/>
      <c r="Y384" s="321"/>
      <c r="Z384" s="433"/>
      <c r="AA384" s="356"/>
      <c r="AB384" s="306" t="str">
        <f t="shared" si="66"/>
        <v/>
      </c>
      <c r="AC384" s="893">
        <f t="shared" si="67"/>
        <v>0</v>
      </c>
      <c r="AD384" s="322"/>
      <c r="AE384" s="1"/>
      <c r="AF384" s="223">
        <f>IF(ISBLANK(AD384),0,COUNTIF(AF$4:AF383,"&gt;0")+1)</f>
        <v>0</v>
      </c>
      <c r="AG384" s="164">
        <f t="shared" si="73"/>
        <v>0</v>
      </c>
      <c r="AH384" s="99">
        <f t="shared" si="68"/>
        <v>0</v>
      </c>
      <c r="AI384" s="99">
        <f t="shared" si="74"/>
        <v>0</v>
      </c>
      <c r="AJ384" s="170">
        <f t="shared" si="75"/>
        <v>0</v>
      </c>
      <c r="AK384" s="204">
        <f t="shared" si="69"/>
        <v>0</v>
      </c>
      <c r="AL384" s="1049">
        <f>IF(ISERROR(AO384),0,IF(AND(AN384&gt;=$U$1,AN384&lt;=$U$2),IF(AO384='ESTRATTO CONTO'!$E$2,1+COUNTIF(AL$4:AL383,"&gt;0")+U$1009,0),0))</f>
        <v>0</v>
      </c>
      <c r="AM384" s="747">
        <f t="shared" si="72"/>
        <v>381</v>
      </c>
      <c r="AN384" s="164" t="e">
        <f>VLOOKUP($AM384,PATRIMONIALE!$AV436:AW$1003,2,FALSE)</f>
        <v>#N/A</v>
      </c>
      <c r="AO384" s="310" t="e">
        <f>VLOOKUP($AM384,PATRIMONIALE!$AV436:AX$1003,3,FALSE)</f>
        <v>#N/A</v>
      </c>
      <c r="AP384" s="310" t="e">
        <f>VLOOKUP($AM384,PATRIMONIALE!$AV436:AY$1003,4,FALSE)</f>
        <v>#N/A</v>
      </c>
      <c r="AQ384" s="748" t="e">
        <f>VLOOKUP($AM384,PATRIMONIALE!$AV436:AZ$1003,5,FALSE)</f>
        <v>#N/A</v>
      </c>
      <c r="AR384" s="1"/>
      <c r="AS384" s="461" t="str">
        <f t="shared" si="70"/>
        <v/>
      </c>
      <c r="AT384" s="370"/>
    </row>
    <row r="385" spans="1:46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435">
        <f>IF(AND(W385&gt;=$U$1,W385&lt;=$U$2),IF(X385='ESTRATTO CONTO'!$E$2,1+COUNTIF(U$4:U384,"&gt;0"),0),0)</f>
        <v>0</v>
      </c>
      <c r="V385" s="417">
        <f t="shared" si="71"/>
        <v>382</v>
      </c>
      <c r="W385" s="509"/>
      <c r="X385" s="321"/>
      <c r="Y385" s="321"/>
      <c r="Z385" s="433"/>
      <c r="AA385" s="356"/>
      <c r="AB385" s="306" t="str">
        <f t="shared" si="66"/>
        <v/>
      </c>
      <c r="AC385" s="893">
        <f t="shared" si="67"/>
        <v>0</v>
      </c>
      <c r="AD385" s="322"/>
      <c r="AE385" s="1"/>
      <c r="AF385" s="223">
        <f>IF(ISBLANK(AD385),0,COUNTIF(AF$4:AF384,"&gt;0")+1)</f>
        <v>0</v>
      </c>
      <c r="AG385" s="164">
        <f t="shared" si="73"/>
        <v>0</v>
      </c>
      <c r="AH385" s="99">
        <f t="shared" si="68"/>
        <v>0</v>
      </c>
      <c r="AI385" s="99">
        <f t="shared" si="74"/>
        <v>0</v>
      </c>
      <c r="AJ385" s="170">
        <f t="shared" si="75"/>
        <v>0</v>
      </c>
      <c r="AK385" s="204">
        <f t="shared" si="69"/>
        <v>0</v>
      </c>
      <c r="AL385" s="1049">
        <f>IF(ISERROR(AO385),0,IF(AND(AN385&gt;=$U$1,AN385&lt;=$U$2),IF(AO385='ESTRATTO CONTO'!$E$2,1+COUNTIF(AL$4:AL384,"&gt;0")+U$1009,0),0))</f>
        <v>0</v>
      </c>
      <c r="AM385" s="747">
        <f t="shared" si="72"/>
        <v>382</v>
      </c>
      <c r="AN385" s="164" t="e">
        <f>VLOOKUP($AM385,PATRIMONIALE!$AV437:AW$1003,2,FALSE)</f>
        <v>#N/A</v>
      </c>
      <c r="AO385" s="310" t="e">
        <f>VLOOKUP($AM385,PATRIMONIALE!$AV437:AX$1003,3,FALSE)</f>
        <v>#N/A</v>
      </c>
      <c r="AP385" s="310" t="e">
        <f>VLOOKUP($AM385,PATRIMONIALE!$AV437:AY$1003,4,FALSE)</f>
        <v>#N/A</v>
      </c>
      <c r="AQ385" s="748" t="e">
        <f>VLOOKUP($AM385,PATRIMONIALE!$AV437:AZ$1003,5,FALSE)</f>
        <v>#N/A</v>
      </c>
      <c r="AR385" s="1"/>
      <c r="AS385" s="461" t="str">
        <f t="shared" si="70"/>
        <v/>
      </c>
      <c r="AT385" s="370"/>
    </row>
    <row r="386" spans="1:46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435">
        <f>IF(AND(W386&gt;=$U$1,W386&lt;=$U$2),IF(X386='ESTRATTO CONTO'!$E$2,1+COUNTIF(U$4:U385,"&gt;0"),0),0)</f>
        <v>0</v>
      </c>
      <c r="V386" s="417">
        <f t="shared" si="71"/>
        <v>383</v>
      </c>
      <c r="W386" s="509"/>
      <c r="X386" s="321"/>
      <c r="Y386" s="321"/>
      <c r="Z386" s="433"/>
      <c r="AA386" s="356"/>
      <c r="AB386" s="306" t="str">
        <f t="shared" si="66"/>
        <v/>
      </c>
      <c r="AC386" s="893">
        <f t="shared" si="67"/>
        <v>0</v>
      </c>
      <c r="AD386" s="322"/>
      <c r="AE386" s="1"/>
      <c r="AF386" s="223">
        <f>IF(ISBLANK(AD386),0,COUNTIF(AF$4:AF385,"&gt;0")+1)</f>
        <v>0</v>
      </c>
      <c r="AG386" s="164">
        <f t="shared" si="73"/>
        <v>0</v>
      </c>
      <c r="AH386" s="99">
        <f t="shared" si="68"/>
        <v>0</v>
      </c>
      <c r="AI386" s="99">
        <f t="shared" si="74"/>
        <v>0</v>
      </c>
      <c r="AJ386" s="170">
        <f t="shared" si="75"/>
        <v>0</v>
      </c>
      <c r="AK386" s="204">
        <f t="shared" si="69"/>
        <v>0</v>
      </c>
      <c r="AL386" s="1049">
        <f>IF(ISERROR(AO386),0,IF(AND(AN386&gt;=$U$1,AN386&lt;=$U$2),IF(AO386='ESTRATTO CONTO'!$E$2,1+COUNTIF(AL$4:AL385,"&gt;0")+U$1009,0),0))</f>
        <v>0</v>
      </c>
      <c r="AM386" s="747">
        <f t="shared" si="72"/>
        <v>383</v>
      </c>
      <c r="AN386" s="164" t="e">
        <f>VLOOKUP($AM386,PATRIMONIALE!$AV438:AW$1003,2,FALSE)</f>
        <v>#N/A</v>
      </c>
      <c r="AO386" s="310" t="e">
        <f>VLOOKUP($AM386,PATRIMONIALE!$AV438:AX$1003,3,FALSE)</f>
        <v>#N/A</v>
      </c>
      <c r="AP386" s="310" t="e">
        <f>VLOOKUP($AM386,PATRIMONIALE!$AV438:AY$1003,4,FALSE)</f>
        <v>#N/A</v>
      </c>
      <c r="AQ386" s="748" t="e">
        <f>VLOOKUP($AM386,PATRIMONIALE!$AV438:AZ$1003,5,FALSE)</f>
        <v>#N/A</v>
      </c>
      <c r="AR386" s="1"/>
      <c r="AS386" s="461" t="str">
        <f t="shared" si="70"/>
        <v/>
      </c>
      <c r="AT386" s="370"/>
    </row>
    <row r="387" spans="1:46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435">
        <f>IF(AND(W387&gt;=$U$1,W387&lt;=$U$2),IF(X387='ESTRATTO CONTO'!$E$2,1+COUNTIF(U$4:U386,"&gt;0"),0),0)</f>
        <v>0</v>
      </c>
      <c r="V387" s="417">
        <f t="shared" si="71"/>
        <v>384</v>
      </c>
      <c r="W387" s="509"/>
      <c r="X387" s="321"/>
      <c r="Y387" s="321"/>
      <c r="Z387" s="433"/>
      <c r="AA387" s="356"/>
      <c r="AB387" s="306" t="str">
        <f t="shared" si="66"/>
        <v/>
      </c>
      <c r="AC387" s="893">
        <f t="shared" si="67"/>
        <v>0</v>
      </c>
      <c r="AD387" s="322"/>
      <c r="AE387" s="1"/>
      <c r="AF387" s="223">
        <f>IF(ISBLANK(AD387),0,COUNTIF(AF$4:AF386,"&gt;0")+1)</f>
        <v>0</v>
      </c>
      <c r="AG387" s="164">
        <f t="shared" si="73"/>
        <v>0</v>
      </c>
      <c r="AH387" s="99">
        <f t="shared" si="68"/>
        <v>0</v>
      </c>
      <c r="AI387" s="99">
        <f t="shared" si="74"/>
        <v>0</v>
      </c>
      <c r="AJ387" s="170">
        <f t="shared" si="75"/>
        <v>0</v>
      </c>
      <c r="AK387" s="204">
        <f t="shared" si="69"/>
        <v>0</v>
      </c>
      <c r="AL387" s="1049">
        <f>IF(ISERROR(AO387),0,IF(AND(AN387&gt;=$U$1,AN387&lt;=$U$2),IF(AO387='ESTRATTO CONTO'!$E$2,1+COUNTIF(AL$4:AL386,"&gt;0")+U$1009,0),0))</f>
        <v>0</v>
      </c>
      <c r="AM387" s="747">
        <f t="shared" si="72"/>
        <v>384</v>
      </c>
      <c r="AN387" s="164" t="e">
        <f>VLOOKUP($AM387,PATRIMONIALE!$AV439:AW$1003,2,FALSE)</f>
        <v>#N/A</v>
      </c>
      <c r="AO387" s="310" t="e">
        <f>VLOOKUP($AM387,PATRIMONIALE!$AV439:AX$1003,3,FALSE)</f>
        <v>#N/A</v>
      </c>
      <c r="AP387" s="310" t="e">
        <f>VLOOKUP($AM387,PATRIMONIALE!$AV439:AY$1003,4,FALSE)</f>
        <v>#N/A</v>
      </c>
      <c r="AQ387" s="748" t="e">
        <f>VLOOKUP($AM387,PATRIMONIALE!$AV439:AZ$1003,5,FALSE)</f>
        <v>#N/A</v>
      </c>
      <c r="AR387" s="1"/>
      <c r="AS387" s="461" t="str">
        <f t="shared" si="70"/>
        <v/>
      </c>
      <c r="AT387" s="370"/>
    </row>
    <row r="388" spans="1:46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435">
        <f>IF(AND(W388&gt;=$U$1,W388&lt;=$U$2),IF(X388='ESTRATTO CONTO'!$E$2,1+COUNTIF(U$4:U387,"&gt;0"),0),0)</f>
        <v>0</v>
      </c>
      <c r="V388" s="417">
        <f t="shared" si="71"/>
        <v>385</v>
      </c>
      <c r="W388" s="509"/>
      <c r="X388" s="321"/>
      <c r="Y388" s="321"/>
      <c r="Z388" s="433"/>
      <c r="AA388" s="356"/>
      <c r="AB388" s="306" t="str">
        <f t="shared" ref="AB388:AB451" si="76">IF(X388="","",IF(W388&gt;0,IF(AND(W388&gt;=W$1012,W388&lt;=W$1013),CONCATENATE(X388,"-",MONTH(W388)),0),""))</f>
        <v/>
      </c>
      <c r="AC388" s="893">
        <f t="shared" ref="AC388:AC451" si="77">IF(AD388="",0,VLOOKUP(AD388,$AD$1025:$AD$1038,1,FALSE))</f>
        <v>0</v>
      </c>
      <c r="AD388" s="322"/>
      <c r="AE388" s="1"/>
      <c r="AF388" s="223">
        <f>IF(ISBLANK(AD388),0,COUNTIF(AF$4:AF387,"&gt;0")+1)</f>
        <v>0</v>
      </c>
      <c r="AG388" s="164">
        <f t="shared" si="73"/>
        <v>0</v>
      </c>
      <c r="AH388" s="99">
        <f t="shared" ref="AH388:AH451" si="78">IF($AF388=0,0,VLOOKUP(AD388,$AD$1025:$AH$1038,5,FALSE))</f>
        <v>0</v>
      </c>
      <c r="AI388" s="99">
        <f t="shared" si="74"/>
        <v>0</v>
      </c>
      <c r="AJ388" s="170">
        <f t="shared" si="75"/>
        <v>0</v>
      </c>
      <c r="AK388" s="204">
        <f t="shared" ref="AK388:AK451" si="79">X388</f>
        <v>0</v>
      </c>
      <c r="AL388" s="1049">
        <f>IF(ISERROR(AO388),0,IF(AND(AN388&gt;=$U$1,AN388&lt;=$U$2),IF(AO388='ESTRATTO CONTO'!$E$2,1+COUNTIF(AL$4:AL387,"&gt;0")+U$1009,0),0))</f>
        <v>0</v>
      </c>
      <c r="AM388" s="747">
        <f t="shared" si="72"/>
        <v>385</v>
      </c>
      <c r="AN388" s="164" t="e">
        <f>VLOOKUP($AM388,PATRIMONIALE!$AV440:AW$1003,2,FALSE)</f>
        <v>#N/A</v>
      </c>
      <c r="AO388" s="310" t="e">
        <f>VLOOKUP($AM388,PATRIMONIALE!$AV440:AX$1003,3,FALSE)</f>
        <v>#N/A</v>
      </c>
      <c r="AP388" s="310" t="e">
        <f>VLOOKUP($AM388,PATRIMONIALE!$AV440:AY$1003,4,FALSE)</f>
        <v>#N/A</v>
      </c>
      <c r="AQ388" s="748" t="e">
        <f>VLOOKUP($AM388,PATRIMONIALE!$AV440:AZ$1003,5,FALSE)</f>
        <v>#N/A</v>
      </c>
      <c r="AR388" s="1"/>
      <c r="AS388" s="461" t="str">
        <f t="shared" ref="AS388:AS451" si="80">IF(X388="","",IF(ISERROR(VLOOKUP(X388,B$9:E$13,1,FALSE)),1,0))</f>
        <v/>
      </c>
      <c r="AT388" s="370"/>
    </row>
    <row r="389" spans="1:46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435">
        <f>IF(AND(W389&gt;=$U$1,W389&lt;=$U$2),IF(X389='ESTRATTO CONTO'!$E$2,1+COUNTIF(U$4:U388,"&gt;0"),0),0)</f>
        <v>0</v>
      </c>
      <c r="V389" s="417">
        <f t="shared" si="71"/>
        <v>386</v>
      </c>
      <c r="W389" s="509"/>
      <c r="X389" s="321"/>
      <c r="Y389" s="321"/>
      <c r="Z389" s="433"/>
      <c r="AA389" s="356"/>
      <c r="AB389" s="306" t="str">
        <f t="shared" si="76"/>
        <v/>
      </c>
      <c r="AC389" s="893">
        <f t="shared" si="77"/>
        <v>0</v>
      </c>
      <c r="AD389" s="322"/>
      <c r="AE389" s="1"/>
      <c r="AF389" s="223">
        <f>IF(ISBLANK(AD389),0,COUNTIF(AF$4:AF388,"&gt;0")+1)</f>
        <v>0</v>
      </c>
      <c r="AG389" s="164">
        <f t="shared" si="73"/>
        <v>0</v>
      </c>
      <c r="AH389" s="99">
        <f t="shared" si="78"/>
        <v>0</v>
      </c>
      <c r="AI389" s="99">
        <f t="shared" si="74"/>
        <v>0</v>
      </c>
      <c r="AJ389" s="170">
        <f t="shared" si="75"/>
        <v>0</v>
      </c>
      <c r="AK389" s="204">
        <f t="shared" si="79"/>
        <v>0</v>
      </c>
      <c r="AL389" s="1049">
        <f>IF(ISERROR(AO389),0,IF(AND(AN389&gt;=$U$1,AN389&lt;=$U$2),IF(AO389='ESTRATTO CONTO'!$E$2,1+COUNTIF(AL$4:AL388,"&gt;0")+U$1009,0),0))</f>
        <v>0</v>
      </c>
      <c r="AM389" s="747">
        <f t="shared" si="72"/>
        <v>386</v>
      </c>
      <c r="AN389" s="164" t="e">
        <f>VLOOKUP($AM389,PATRIMONIALE!$AV441:AW$1003,2,FALSE)</f>
        <v>#N/A</v>
      </c>
      <c r="AO389" s="310" t="e">
        <f>VLOOKUP($AM389,PATRIMONIALE!$AV441:AX$1003,3,FALSE)</f>
        <v>#N/A</v>
      </c>
      <c r="AP389" s="310" t="e">
        <f>VLOOKUP($AM389,PATRIMONIALE!$AV441:AY$1003,4,FALSE)</f>
        <v>#N/A</v>
      </c>
      <c r="AQ389" s="748" t="e">
        <f>VLOOKUP($AM389,PATRIMONIALE!$AV441:AZ$1003,5,FALSE)</f>
        <v>#N/A</v>
      </c>
      <c r="AR389" s="1"/>
      <c r="AS389" s="461" t="str">
        <f t="shared" si="80"/>
        <v/>
      </c>
      <c r="AT389" s="370"/>
    </row>
    <row r="390" spans="1:46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435">
        <f>IF(AND(W390&gt;=$U$1,W390&lt;=$U$2),IF(X390='ESTRATTO CONTO'!$E$2,1+COUNTIF(U$4:U389,"&gt;0"),0),0)</f>
        <v>0</v>
      </c>
      <c r="V390" s="417">
        <f t="shared" ref="V390:V453" si="81">V389+1</f>
        <v>387</v>
      </c>
      <c r="W390" s="509"/>
      <c r="X390" s="321"/>
      <c r="Y390" s="321"/>
      <c r="Z390" s="433"/>
      <c r="AA390" s="356"/>
      <c r="AB390" s="306" t="str">
        <f t="shared" si="76"/>
        <v/>
      </c>
      <c r="AC390" s="893">
        <f t="shared" si="77"/>
        <v>0</v>
      </c>
      <c r="AD390" s="322"/>
      <c r="AE390" s="1"/>
      <c r="AF390" s="223">
        <f>IF(ISBLANK(AD390),0,COUNTIF(AF$4:AF389,"&gt;0")+1)</f>
        <v>0</v>
      </c>
      <c r="AG390" s="164">
        <f t="shared" si="73"/>
        <v>0</v>
      </c>
      <c r="AH390" s="99">
        <f t="shared" si="78"/>
        <v>0</v>
      </c>
      <c r="AI390" s="99">
        <f t="shared" si="74"/>
        <v>0</v>
      </c>
      <c r="AJ390" s="170">
        <f t="shared" si="75"/>
        <v>0</v>
      </c>
      <c r="AK390" s="204">
        <f t="shared" si="79"/>
        <v>0</v>
      </c>
      <c r="AL390" s="1049">
        <f>IF(ISERROR(AO390),0,IF(AND(AN390&gt;=$U$1,AN390&lt;=$U$2),IF(AO390='ESTRATTO CONTO'!$E$2,1+COUNTIF(AL$4:AL389,"&gt;0")+U$1009,0),0))</f>
        <v>0</v>
      </c>
      <c r="AM390" s="747">
        <f t="shared" ref="AM390:AM453" si="82">AM389+1</f>
        <v>387</v>
      </c>
      <c r="AN390" s="164" t="e">
        <f>VLOOKUP($AM390,PATRIMONIALE!$AV442:AW$1003,2,FALSE)</f>
        <v>#N/A</v>
      </c>
      <c r="AO390" s="310" t="e">
        <f>VLOOKUP($AM390,PATRIMONIALE!$AV442:AX$1003,3,FALSE)</f>
        <v>#N/A</v>
      </c>
      <c r="AP390" s="310" t="e">
        <f>VLOOKUP($AM390,PATRIMONIALE!$AV442:AY$1003,4,FALSE)</f>
        <v>#N/A</v>
      </c>
      <c r="AQ390" s="748" t="e">
        <f>VLOOKUP($AM390,PATRIMONIALE!$AV442:AZ$1003,5,FALSE)</f>
        <v>#N/A</v>
      </c>
      <c r="AR390" s="1"/>
      <c r="AS390" s="461" t="str">
        <f t="shared" si="80"/>
        <v/>
      </c>
      <c r="AT390" s="370"/>
    </row>
    <row r="391" spans="1:46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435">
        <f>IF(AND(W391&gt;=$U$1,W391&lt;=$U$2),IF(X391='ESTRATTO CONTO'!$E$2,1+COUNTIF(U$4:U390,"&gt;0"),0),0)</f>
        <v>0</v>
      </c>
      <c r="V391" s="417">
        <f t="shared" si="81"/>
        <v>388</v>
      </c>
      <c r="W391" s="509"/>
      <c r="X391" s="321"/>
      <c r="Y391" s="321"/>
      <c r="Z391" s="433"/>
      <c r="AA391" s="356"/>
      <c r="AB391" s="306" t="str">
        <f t="shared" si="76"/>
        <v/>
      </c>
      <c r="AC391" s="893">
        <f t="shared" si="77"/>
        <v>0</v>
      </c>
      <c r="AD391" s="322"/>
      <c r="AE391" s="1"/>
      <c r="AF391" s="223">
        <f>IF(ISBLANK(AD391),0,COUNTIF(AF$4:AF390,"&gt;0")+1)</f>
        <v>0</v>
      </c>
      <c r="AG391" s="164">
        <f t="shared" si="73"/>
        <v>0</v>
      </c>
      <c r="AH391" s="99">
        <f t="shared" si="78"/>
        <v>0</v>
      </c>
      <c r="AI391" s="99">
        <f t="shared" si="74"/>
        <v>0</v>
      </c>
      <c r="AJ391" s="170">
        <f t="shared" si="75"/>
        <v>0</v>
      </c>
      <c r="AK391" s="204">
        <f t="shared" si="79"/>
        <v>0</v>
      </c>
      <c r="AL391" s="1049">
        <f>IF(ISERROR(AO391),0,IF(AND(AN391&gt;=$U$1,AN391&lt;=$U$2),IF(AO391='ESTRATTO CONTO'!$E$2,1+COUNTIF(AL$4:AL390,"&gt;0")+U$1009,0),0))</f>
        <v>0</v>
      </c>
      <c r="AM391" s="747">
        <f t="shared" si="82"/>
        <v>388</v>
      </c>
      <c r="AN391" s="164" t="e">
        <f>VLOOKUP($AM391,PATRIMONIALE!$AV443:AW$1003,2,FALSE)</f>
        <v>#N/A</v>
      </c>
      <c r="AO391" s="310" t="e">
        <f>VLOOKUP($AM391,PATRIMONIALE!$AV443:AX$1003,3,FALSE)</f>
        <v>#N/A</v>
      </c>
      <c r="AP391" s="310" t="e">
        <f>VLOOKUP($AM391,PATRIMONIALE!$AV443:AY$1003,4,FALSE)</f>
        <v>#N/A</v>
      </c>
      <c r="AQ391" s="748" t="e">
        <f>VLOOKUP($AM391,PATRIMONIALE!$AV443:AZ$1003,5,FALSE)</f>
        <v>#N/A</v>
      </c>
      <c r="AR391" s="1"/>
      <c r="AS391" s="461" t="str">
        <f t="shared" si="80"/>
        <v/>
      </c>
      <c r="AT391" s="370"/>
    </row>
    <row r="392" spans="1:46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435">
        <f>IF(AND(W392&gt;=$U$1,W392&lt;=$U$2),IF(X392='ESTRATTO CONTO'!$E$2,1+COUNTIF(U$4:U391,"&gt;0"),0),0)</f>
        <v>0</v>
      </c>
      <c r="V392" s="417">
        <f t="shared" si="81"/>
        <v>389</v>
      </c>
      <c r="W392" s="509"/>
      <c r="X392" s="321"/>
      <c r="Y392" s="321"/>
      <c r="Z392" s="433"/>
      <c r="AA392" s="356"/>
      <c r="AB392" s="306" t="str">
        <f t="shared" si="76"/>
        <v/>
      </c>
      <c r="AC392" s="893">
        <f t="shared" si="77"/>
        <v>0</v>
      </c>
      <c r="AD392" s="322"/>
      <c r="AE392" s="1"/>
      <c r="AF392" s="223">
        <f>IF(ISBLANK(AD392),0,COUNTIF(AF$4:AF391,"&gt;0")+1)</f>
        <v>0</v>
      </c>
      <c r="AG392" s="164">
        <f t="shared" si="73"/>
        <v>0</v>
      </c>
      <c r="AH392" s="99">
        <f t="shared" si="78"/>
        <v>0</v>
      </c>
      <c r="AI392" s="99">
        <f t="shared" si="74"/>
        <v>0</v>
      </c>
      <c r="AJ392" s="170">
        <f t="shared" si="75"/>
        <v>0</v>
      </c>
      <c r="AK392" s="204">
        <f t="shared" si="79"/>
        <v>0</v>
      </c>
      <c r="AL392" s="1049">
        <f>IF(ISERROR(AO392),0,IF(AND(AN392&gt;=$U$1,AN392&lt;=$U$2),IF(AO392='ESTRATTO CONTO'!$E$2,1+COUNTIF(AL$4:AL391,"&gt;0")+U$1009,0),0))</f>
        <v>0</v>
      </c>
      <c r="AM392" s="747">
        <f t="shared" si="82"/>
        <v>389</v>
      </c>
      <c r="AN392" s="164" t="e">
        <f>VLOOKUP($AM392,PATRIMONIALE!$AV444:AW$1003,2,FALSE)</f>
        <v>#N/A</v>
      </c>
      <c r="AO392" s="310" t="e">
        <f>VLOOKUP($AM392,PATRIMONIALE!$AV444:AX$1003,3,FALSE)</f>
        <v>#N/A</v>
      </c>
      <c r="AP392" s="310" t="e">
        <f>VLOOKUP($AM392,PATRIMONIALE!$AV444:AY$1003,4,FALSE)</f>
        <v>#N/A</v>
      </c>
      <c r="AQ392" s="748" t="e">
        <f>VLOOKUP($AM392,PATRIMONIALE!$AV444:AZ$1003,5,FALSE)</f>
        <v>#N/A</v>
      </c>
      <c r="AR392" s="1"/>
      <c r="AS392" s="461" t="str">
        <f t="shared" si="80"/>
        <v/>
      </c>
      <c r="AT392" s="370"/>
    </row>
    <row r="393" spans="1:46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435">
        <f>IF(AND(W393&gt;=$U$1,W393&lt;=$U$2),IF(X393='ESTRATTO CONTO'!$E$2,1+COUNTIF(U$4:U392,"&gt;0"),0),0)</f>
        <v>0</v>
      </c>
      <c r="V393" s="417">
        <f t="shared" si="81"/>
        <v>390</v>
      </c>
      <c r="W393" s="509"/>
      <c r="X393" s="321"/>
      <c r="Y393" s="321"/>
      <c r="Z393" s="433"/>
      <c r="AA393" s="356"/>
      <c r="AB393" s="306" t="str">
        <f t="shared" si="76"/>
        <v/>
      </c>
      <c r="AC393" s="893">
        <f t="shared" si="77"/>
        <v>0</v>
      </c>
      <c r="AD393" s="322"/>
      <c r="AE393" s="1"/>
      <c r="AF393" s="223">
        <f>IF(ISBLANK(AD393),0,COUNTIF(AF$4:AF392,"&gt;0")+1)</f>
        <v>0</v>
      </c>
      <c r="AG393" s="164">
        <f t="shared" si="73"/>
        <v>0</v>
      </c>
      <c r="AH393" s="99">
        <f t="shared" si="78"/>
        <v>0</v>
      </c>
      <c r="AI393" s="99">
        <f t="shared" si="74"/>
        <v>0</v>
      </c>
      <c r="AJ393" s="170">
        <f t="shared" si="75"/>
        <v>0</v>
      </c>
      <c r="AK393" s="204">
        <f t="shared" si="79"/>
        <v>0</v>
      </c>
      <c r="AL393" s="1049">
        <f>IF(ISERROR(AO393),0,IF(AND(AN393&gt;=$U$1,AN393&lt;=$U$2),IF(AO393='ESTRATTO CONTO'!$E$2,1+COUNTIF(AL$4:AL392,"&gt;0")+U$1009,0),0))</f>
        <v>0</v>
      </c>
      <c r="AM393" s="747">
        <f t="shared" si="82"/>
        <v>390</v>
      </c>
      <c r="AN393" s="164" t="e">
        <f>VLOOKUP($AM393,PATRIMONIALE!$AV445:AW$1003,2,FALSE)</f>
        <v>#N/A</v>
      </c>
      <c r="AO393" s="310" t="e">
        <f>VLOOKUP($AM393,PATRIMONIALE!$AV445:AX$1003,3,FALSE)</f>
        <v>#N/A</v>
      </c>
      <c r="AP393" s="310" t="e">
        <f>VLOOKUP($AM393,PATRIMONIALE!$AV445:AY$1003,4,FALSE)</f>
        <v>#N/A</v>
      </c>
      <c r="AQ393" s="748" t="e">
        <f>VLOOKUP($AM393,PATRIMONIALE!$AV445:AZ$1003,5,FALSE)</f>
        <v>#N/A</v>
      </c>
      <c r="AR393" s="1"/>
      <c r="AS393" s="461" t="str">
        <f t="shared" si="80"/>
        <v/>
      </c>
      <c r="AT393" s="370"/>
    </row>
    <row r="394" spans="1:46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435">
        <f>IF(AND(W394&gt;=$U$1,W394&lt;=$U$2),IF(X394='ESTRATTO CONTO'!$E$2,1+COUNTIF(U$4:U393,"&gt;0"),0),0)</f>
        <v>0</v>
      </c>
      <c r="V394" s="417">
        <f t="shared" si="81"/>
        <v>391</v>
      </c>
      <c r="W394" s="509"/>
      <c r="X394" s="321"/>
      <c r="Y394" s="321"/>
      <c r="Z394" s="433"/>
      <c r="AA394" s="356"/>
      <c r="AB394" s="306" t="str">
        <f t="shared" si="76"/>
        <v/>
      </c>
      <c r="AC394" s="893">
        <f t="shared" si="77"/>
        <v>0</v>
      </c>
      <c r="AD394" s="322"/>
      <c r="AE394" s="1"/>
      <c r="AF394" s="223">
        <f>IF(ISBLANK(AD394),0,COUNTIF(AF$4:AF393,"&gt;0")+1)</f>
        <v>0</v>
      </c>
      <c r="AG394" s="164">
        <f t="shared" ref="AG394:AG457" si="83">IF($AF394=0,0,W394)</f>
        <v>0</v>
      </c>
      <c r="AH394" s="99">
        <f t="shared" si="78"/>
        <v>0</v>
      </c>
      <c r="AI394" s="99">
        <f t="shared" ref="AI394:AI457" si="84">IF($AF394=0,0,Y394)</f>
        <v>0</v>
      </c>
      <c r="AJ394" s="170">
        <f t="shared" ref="AJ394:AJ457" si="85">IF($AF394=0,0,IF(RIGHT(AD394)="-",IF(Z394&gt;0,Z394*-1,Z394),Z394))</f>
        <v>0</v>
      </c>
      <c r="AK394" s="204">
        <f t="shared" si="79"/>
        <v>0</v>
      </c>
      <c r="AL394" s="1049">
        <f>IF(ISERROR(AO394),0,IF(AND(AN394&gt;=$U$1,AN394&lt;=$U$2),IF(AO394='ESTRATTO CONTO'!$E$2,1+COUNTIF(AL$4:AL393,"&gt;0")+U$1009,0),0))</f>
        <v>0</v>
      </c>
      <c r="AM394" s="747">
        <f t="shared" si="82"/>
        <v>391</v>
      </c>
      <c r="AN394" s="164" t="e">
        <f>VLOOKUP($AM394,PATRIMONIALE!$AV446:AW$1003,2,FALSE)</f>
        <v>#N/A</v>
      </c>
      <c r="AO394" s="310" t="e">
        <f>VLOOKUP($AM394,PATRIMONIALE!$AV446:AX$1003,3,FALSE)</f>
        <v>#N/A</v>
      </c>
      <c r="AP394" s="310" t="e">
        <f>VLOOKUP($AM394,PATRIMONIALE!$AV446:AY$1003,4,FALSE)</f>
        <v>#N/A</v>
      </c>
      <c r="AQ394" s="748" t="e">
        <f>VLOOKUP($AM394,PATRIMONIALE!$AV446:AZ$1003,5,FALSE)</f>
        <v>#N/A</v>
      </c>
      <c r="AR394" s="1"/>
      <c r="AS394" s="461" t="str">
        <f t="shared" si="80"/>
        <v/>
      </c>
      <c r="AT394" s="370"/>
    </row>
    <row r="395" spans="1:46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435">
        <f>IF(AND(W395&gt;=$U$1,W395&lt;=$U$2),IF(X395='ESTRATTO CONTO'!$E$2,1+COUNTIF(U$4:U394,"&gt;0"),0),0)</f>
        <v>0</v>
      </c>
      <c r="V395" s="417">
        <f t="shared" si="81"/>
        <v>392</v>
      </c>
      <c r="W395" s="509"/>
      <c r="X395" s="321"/>
      <c r="Y395" s="321"/>
      <c r="Z395" s="433"/>
      <c r="AA395" s="356"/>
      <c r="AB395" s="306" t="str">
        <f t="shared" si="76"/>
        <v/>
      </c>
      <c r="AC395" s="893">
        <f t="shared" si="77"/>
        <v>0</v>
      </c>
      <c r="AD395" s="322"/>
      <c r="AE395" s="1"/>
      <c r="AF395" s="223">
        <f>IF(ISBLANK(AD395),0,COUNTIF(AF$4:AF394,"&gt;0")+1)</f>
        <v>0</v>
      </c>
      <c r="AG395" s="164">
        <f t="shared" si="83"/>
        <v>0</v>
      </c>
      <c r="AH395" s="99">
        <f t="shared" si="78"/>
        <v>0</v>
      </c>
      <c r="AI395" s="99">
        <f t="shared" si="84"/>
        <v>0</v>
      </c>
      <c r="AJ395" s="170">
        <f t="shared" si="85"/>
        <v>0</v>
      </c>
      <c r="AK395" s="204">
        <f t="shared" si="79"/>
        <v>0</v>
      </c>
      <c r="AL395" s="1049">
        <f>IF(ISERROR(AO395),0,IF(AND(AN395&gt;=$U$1,AN395&lt;=$U$2),IF(AO395='ESTRATTO CONTO'!$E$2,1+COUNTIF(AL$4:AL394,"&gt;0")+U$1009,0),0))</f>
        <v>0</v>
      </c>
      <c r="AM395" s="747">
        <f t="shared" si="82"/>
        <v>392</v>
      </c>
      <c r="AN395" s="164" t="e">
        <f>VLOOKUP($AM395,PATRIMONIALE!$AV447:AW$1003,2,FALSE)</f>
        <v>#N/A</v>
      </c>
      <c r="AO395" s="310" t="e">
        <f>VLOOKUP($AM395,PATRIMONIALE!$AV447:AX$1003,3,FALSE)</f>
        <v>#N/A</v>
      </c>
      <c r="AP395" s="310" t="e">
        <f>VLOOKUP($AM395,PATRIMONIALE!$AV447:AY$1003,4,FALSE)</f>
        <v>#N/A</v>
      </c>
      <c r="AQ395" s="748" t="e">
        <f>VLOOKUP($AM395,PATRIMONIALE!$AV447:AZ$1003,5,FALSE)</f>
        <v>#N/A</v>
      </c>
      <c r="AR395" s="1"/>
      <c r="AS395" s="461" t="str">
        <f t="shared" si="80"/>
        <v/>
      </c>
      <c r="AT395" s="370"/>
    </row>
    <row r="396" spans="1:46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435">
        <f>IF(AND(W396&gt;=$U$1,W396&lt;=$U$2),IF(X396='ESTRATTO CONTO'!$E$2,1+COUNTIF(U$4:U395,"&gt;0"),0),0)</f>
        <v>0</v>
      </c>
      <c r="V396" s="417">
        <f t="shared" si="81"/>
        <v>393</v>
      </c>
      <c r="W396" s="509"/>
      <c r="X396" s="321"/>
      <c r="Y396" s="321"/>
      <c r="Z396" s="433"/>
      <c r="AA396" s="356"/>
      <c r="AB396" s="306" t="str">
        <f t="shared" si="76"/>
        <v/>
      </c>
      <c r="AC396" s="893">
        <f t="shared" si="77"/>
        <v>0</v>
      </c>
      <c r="AD396" s="322"/>
      <c r="AE396" s="1"/>
      <c r="AF396" s="223">
        <f>IF(ISBLANK(AD396),0,COUNTIF(AF$4:AF395,"&gt;0")+1)</f>
        <v>0</v>
      </c>
      <c r="AG396" s="164">
        <f t="shared" si="83"/>
        <v>0</v>
      </c>
      <c r="AH396" s="99">
        <f t="shared" si="78"/>
        <v>0</v>
      </c>
      <c r="AI396" s="99">
        <f t="shared" si="84"/>
        <v>0</v>
      </c>
      <c r="AJ396" s="170">
        <f t="shared" si="85"/>
        <v>0</v>
      </c>
      <c r="AK396" s="204">
        <f t="shared" si="79"/>
        <v>0</v>
      </c>
      <c r="AL396" s="1049">
        <f>IF(ISERROR(AO396),0,IF(AND(AN396&gt;=$U$1,AN396&lt;=$U$2),IF(AO396='ESTRATTO CONTO'!$E$2,1+COUNTIF(AL$4:AL395,"&gt;0")+U$1009,0),0))</f>
        <v>0</v>
      </c>
      <c r="AM396" s="747">
        <f t="shared" si="82"/>
        <v>393</v>
      </c>
      <c r="AN396" s="164" t="e">
        <f>VLOOKUP($AM396,PATRIMONIALE!$AV448:AW$1003,2,FALSE)</f>
        <v>#N/A</v>
      </c>
      <c r="AO396" s="310" t="e">
        <f>VLOOKUP($AM396,PATRIMONIALE!$AV448:AX$1003,3,FALSE)</f>
        <v>#N/A</v>
      </c>
      <c r="AP396" s="310" t="e">
        <f>VLOOKUP($AM396,PATRIMONIALE!$AV448:AY$1003,4,FALSE)</f>
        <v>#N/A</v>
      </c>
      <c r="AQ396" s="748" t="e">
        <f>VLOOKUP($AM396,PATRIMONIALE!$AV448:AZ$1003,5,FALSE)</f>
        <v>#N/A</v>
      </c>
      <c r="AR396" s="1"/>
      <c r="AS396" s="461" t="str">
        <f t="shared" si="80"/>
        <v/>
      </c>
      <c r="AT396" s="370"/>
    </row>
    <row r="397" spans="1:46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435">
        <f>IF(AND(W397&gt;=$U$1,W397&lt;=$U$2),IF(X397='ESTRATTO CONTO'!$E$2,1+COUNTIF(U$4:U396,"&gt;0"),0),0)</f>
        <v>0</v>
      </c>
      <c r="V397" s="417">
        <f t="shared" si="81"/>
        <v>394</v>
      </c>
      <c r="W397" s="509"/>
      <c r="X397" s="321"/>
      <c r="Y397" s="321"/>
      <c r="Z397" s="433"/>
      <c r="AA397" s="356"/>
      <c r="AB397" s="306" t="str">
        <f t="shared" si="76"/>
        <v/>
      </c>
      <c r="AC397" s="893">
        <f t="shared" si="77"/>
        <v>0</v>
      </c>
      <c r="AD397" s="322"/>
      <c r="AE397" s="1"/>
      <c r="AF397" s="223">
        <f>IF(ISBLANK(AD397),0,COUNTIF(AF$4:AF396,"&gt;0")+1)</f>
        <v>0</v>
      </c>
      <c r="AG397" s="164">
        <f t="shared" si="83"/>
        <v>0</v>
      </c>
      <c r="AH397" s="99">
        <f t="shared" si="78"/>
        <v>0</v>
      </c>
      <c r="AI397" s="99">
        <f t="shared" si="84"/>
        <v>0</v>
      </c>
      <c r="AJ397" s="170">
        <f t="shared" si="85"/>
        <v>0</v>
      </c>
      <c r="AK397" s="204">
        <f t="shared" si="79"/>
        <v>0</v>
      </c>
      <c r="AL397" s="1049">
        <f>IF(ISERROR(AO397),0,IF(AND(AN397&gt;=$U$1,AN397&lt;=$U$2),IF(AO397='ESTRATTO CONTO'!$E$2,1+COUNTIF(AL$4:AL396,"&gt;0")+U$1009,0),0))</f>
        <v>0</v>
      </c>
      <c r="AM397" s="747">
        <f t="shared" si="82"/>
        <v>394</v>
      </c>
      <c r="AN397" s="164" t="e">
        <f>VLOOKUP($AM397,PATRIMONIALE!$AV449:AW$1003,2,FALSE)</f>
        <v>#N/A</v>
      </c>
      <c r="AO397" s="310" t="e">
        <f>VLOOKUP($AM397,PATRIMONIALE!$AV449:AX$1003,3,FALSE)</f>
        <v>#N/A</v>
      </c>
      <c r="AP397" s="310" t="e">
        <f>VLOOKUP($AM397,PATRIMONIALE!$AV449:AY$1003,4,FALSE)</f>
        <v>#N/A</v>
      </c>
      <c r="AQ397" s="748" t="e">
        <f>VLOOKUP($AM397,PATRIMONIALE!$AV449:AZ$1003,5,FALSE)</f>
        <v>#N/A</v>
      </c>
      <c r="AR397" s="1"/>
      <c r="AS397" s="461" t="str">
        <f t="shared" si="80"/>
        <v/>
      </c>
      <c r="AT397" s="370"/>
    </row>
    <row r="398" spans="1:46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435">
        <f>IF(AND(W398&gt;=$U$1,W398&lt;=$U$2),IF(X398='ESTRATTO CONTO'!$E$2,1+COUNTIF(U$4:U397,"&gt;0"),0),0)</f>
        <v>0</v>
      </c>
      <c r="V398" s="417">
        <f t="shared" si="81"/>
        <v>395</v>
      </c>
      <c r="W398" s="509"/>
      <c r="X398" s="321"/>
      <c r="Y398" s="321"/>
      <c r="Z398" s="433"/>
      <c r="AA398" s="356"/>
      <c r="AB398" s="306" t="str">
        <f t="shared" si="76"/>
        <v/>
      </c>
      <c r="AC398" s="893">
        <f t="shared" si="77"/>
        <v>0</v>
      </c>
      <c r="AD398" s="322"/>
      <c r="AE398" s="1"/>
      <c r="AF398" s="223">
        <f>IF(ISBLANK(AD398),0,COUNTIF(AF$4:AF397,"&gt;0")+1)</f>
        <v>0</v>
      </c>
      <c r="AG398" s="164">
        <f t="shared" si="83"/>
        <v>0</v>
      </c>
      <c r="AH398" s="99">
        <f t="shared" si="78"/>
        <v>0</v>
      </c>
      <c r="AI398" s="99">
        <f t="shared" si="84"/>
        <v>0</v>
      </c>
      <c r="AJ398" s="170">
        <f t="shared" si="85"/>
        <v>0</v>
      </c>
      <c r="AK398" s="204">
        <f t="shared" si="79"/>
        <v>0</v>
      </c>
      <c r="AL398" s="1049">
        <f>IF(ISERROR(AO398),0,IF(AND(AN398&gt;=$U$1,AN398&lt;=$U$2),IF(AO398='ESTRATTO CONTO'!$E$2,1+COUNTIF(AL$4:AL397,"&gt;0")+U$1009,0),0))</f>
        <v>0</v>
      </c>
      <c r="AM398" s="747">
        <f t="shared" si="82"/>
        <v>395</v>
      </c>
      <c r="AN398" s="164" t="e">
        <f>VLOOKUP($AM398,PATRIMONIALE!$AV450:AW$1003,2,FALSE)</f>
        <v>#N/A</v>
      </c>
      <c r="AO398" s="310" t="e">
        <f>VLOOKUP($AM398,PATRIMONIALE!$AV450:AX$1003,3,FALSE)</f>
        <v>#N/A</v>
      </c>
      <c r="AP398" s="310" t="e">
        <f>VLOOKUP($AM398,PATRIMONIALE!$AV450:AY$1003,4,FALSE)</f>
        <v>#N/A</v>
      </c>
      <c r="AQ398" s="748" t="e">
        <f>VLOOKUP($AM398,PATRIMONIALE!$AV450:AZ$1003,5,FALSE)</f>
        <v>#N/A</v>
      </c>
      <c r="AR398" s="1"/>
      <c r="AS398" s="461" t="str">
        <f t="shared" si="80"/>
        <v/>
      </c>
      <c r="AT398" s="370"/>
    </row>
    <row r="399" spans="1:46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435">
        <f>IF(AND(W399&gt;=$U$1,W399&lt;=$U$2),IF(X399='ESTRATTO CONTO'!$E$2,1+COUNTIF(U$4:U398,"&gt;0"),0),0)</f>
        <v>0</v>
      </c>
      <c r="V399" s="417">
        <f t="shared" si="81"/>
        <v>396</v>
      </c>
      <c r="W399" s="509"/>
      <c r="X399" s="321"/>
      <c r="Y399" s="321"/>
      <c r="Z399" s="433"/>
      <c r="AA399" s="356"/>
      <c r="AB399" s="306" t="str">
        <f t="shared" si="76"/>
        <v/>
      </c>
      <c r="AC399" s="893">
        <f t="shared" si="77"/>
        <v>0</v>
      </c>
      <c r="AD399" s="322"/>
      <c r="AE399" s="1"/>
      <c r="AF399" s="223">
        <f>IF(ISBLANK(AD399),0,COUNTIF(AF$4:AF398,"&gt;0")+1)</f>
        <v>0</v>
      </c>
      <c r="AG399" s="164">
        <f t="shared" si="83"/>
        <v>0</v>
      </c>
      <c r="AH399" s="99">
        <f t="shared" si="78"/>
        <v>0</v>
      </c>
      <c r="AI399" s="99">
        <f t="shared" si="84"/>
        <v>0</v>
      </c>
      <c r="AJ399" s="170">
        <f t="shared" si="85"/>
        <v>0</v>
      </c>
      <c r="AK399" s="204">
        <f t="shared" si="79"/>
        <v>0</v>
      </c>
      <c r="AL399" s="1049">
        <f>IF(ISERROR(AO399),0,IF(AND(AN399&gt;=$U$1,AN399&lt;=$U$2),IF(AO399='ESTRATTO CONTO'!$E$2,1+COUNTIF(AL$4:AL398,"&gt;0")+U$1009,0),0))</f>
        <v>0</v>
      </c>
      <c r="AM399" s="747">
        <f t="shared" si="82"/>
        <v>396</v>
      </c>
      <c r="AN399" s="164" t="e">
        <f>VLOOKUP($AM399,PATRIMONIALE!$AV451:AW$1003,2,FALSE)</f>
        <v>#N/A</v>
      </c>
      <c r="AO399" s="310" t="e">
        <f>VLOOKUP($AM399,PATRIMONIALE!$AV451:AX$1003,3,FALSE)</f>
        <v>#N/A</v>
      </c>
      <c r="AP399" s="310" t="e">
        <f>VLOOKUP($AM399,PATRIMONIALE!$AV451:AY$1003,4,FALSE)</f>
        <v>#N/A</v>
      </c>
      <c r="AQ399" s="748" t="e">
        <f>VLOOKUP($AM399,PATRIMONIALE!$AV451:AZ$1003,5,FALSE)</f>
        <v>#N/A</v>
      </c>
      <c r="AR399" s="1"/>
      <c r="AS399" s="461" t="str">
        <f t="shared" si="80"/>
        <v/>
      </c>
      <c r="AT399" s="370"/>
    </row>
    <row r="400" spans="1:46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435">
        <f>IF(AND(W400&gt;=$U$1,W400&lt;=$U$2),IF(X400='ESTRATTO CONTO'!$E$2,1+COUNTIF(U$4:U399,"&gt;0"),0),0)</f>
        <v>0</v>
      </c>
      <c r="V400" s="417">
        <f t="shared" si="81"/>
        <v>397</v>
      </c>
      <c r="W400" s="509"/>
      <c r="X400" s="321"/>
      <c r="Y400" s="321"/>
      <c r="Z400" s="433"/>
      <c r="AA400" s="356"/>
      <c r="AB400" s="306" t="str">
        <f t="shared" si="76"/>
        <v/>
      </c>
      <c r="AC400" s="893">
        <f t="shared" si="77"/>
        <v>0</v>
      </c>
      <c r="AD400" s="322"/>
      <c r="AE400" s="1"/>
      <c r="AF400" s="223">
        <f>IF(ISBLANK(AD400),0,COUNTIF(AF$4:AF399,"&gt;0")+1)</f>
        <v>0</v>
      </c>
      <c r="AG400" s="164">
        <f t="shared" si="83"/>
        <v>0</v>
      </c>
      <c r="AH400" s="99">
        <f t="shared" si="78"/>
        <v>0</v>
      </c>
      <c r="AI400" s="99">
        <f t="shared" si="84"/>
        <v>0</v>
      </c>
      <c r="AJ400" s="170">
        <f t="shared" si="85"/>
        <v>0</v>
      </c>
      <c r="AK400" s="204">
        <f t="shared" si="79"/>
        <v>0</v>
      </c>
      <c r="AL400" s="1049">
        <f>IF(ISERROR(AO400),0,IF(AND(AN400&gt;=$U$1,AN400&lt;=$U$2),IF(AO400='ESTRATTO CONTO'!$E$2,1+COUNTIF(AL$4:AL399,"&gt;0")+U$1009,0),0))</f>
        <v>0</v>
      </c>
      <c r="AM400" s="747">
        <f t="shared" si="82"/>
        <v>397</v>
      </c>
      <c r="AN400" s="164" t="e">
        <f>VLOOKUP($AM400,PATRIMONIALE!$AV452:AW$1003,2,FALSE)</f>
        <v>#N/A</v>
      </c>
      <c r="AO400" s="310" t="e">
        <f>VLOOKUP($AM400,PATRIMONIALE!$AV452:AX$1003,3,FALSE)</f>
        <v>#N/A</v>
      </c>
      <c r="AP400" s="310" t="e">
        <f>VLOOKUP($AM400,PATRIMONIALE!$AV452:AY$1003,4,FALSE)</f>
        <v>#N/A</v>
      </c>
      <c r="AQ400" s="748" t="e">
        <f>VLOOKUP($AM400,PATRIMONIALE!$AV452:AZ$1003,5,FALSE)</f>
        <v>#N/A</v>
      </c>
      <c r="AR400" s="1"/>
      <c r="AS400" s="461" t="str">
        <f t="shared" si="80"/>
        <v/>
      </c>
      <c r="AT400" s="370"/>
    </row>
    <row r="401" spans="1:46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435">
        <f>IF(AND(W401&gt;=$U$1,W401&lt;=$U$2),IF(X401='ESTRATTO CONTO'!$E$2,1+COUNTIF(U$4:U400,"&gt;0"),0),0)</f>
        <v>0</v>
      </c>
      <c r="V401" s="417">
        <f t="shared" si="81"/>
        <v>398</v>
      </c>
      <c r="W401" s="509"/>
      <c r="X401" s="321"/>
      <c r="Y401" s="321"/>
      <c r="Z401" s="433"/>
      <c r="AA401" s="356"/>
      <c r="AB401" s="306" t="str">
        <f t="shared" si="76"/>
        <v/>
      </c>
      <c r="AC401" s="893">
        <f t="shared" si="77"/>
        <v>0</v>
      </c>
      <c r="AD401" s="322"/>
      <c r="AE401" s="1"/>
      <c r="AF401" s="223">
        <f>IF(ISBLANK(AD401),0,COUNTIF(AF$4:AF400,"&gt;0")+1)</f>
        <v>0</v>
      </c>
      <c r="AG401" s="164">
        <f t="shared" si="83"/>
        <v>0</v>
      </c>
      <c r="AH401" s="99">
        <f t="shared" si="78"/>
        <v>0</v>
      </c>
      <c r="AI401" s="99">
        <f t="shared" si="84"/>
        <v>0</v>
      </c>
      <c r="AJ401" s="170">
        <f t="shared" si="85"/>
        <v>0</v>
      </c>
      <c r="AK401" s="204">
        <f t="shared" si="79"/>
        <v>0</v>
      </c>
      <c r="AL401" s="1049">
        <f>IF(ISERROR(AO401),0,IF(AND(AN401&gt;=$U$1,AN401&lt;=$U$2),IF(AO401='ESTRATTO CONTO'!$E$2,1+COUNTIF(AL$4:AL400,"&gt;0")+U$1009,0),0))</f>
        <v>0</v>
      </c>
      <c r="AM401" s="747">
        <f t="shared" si="82"/>
        <v>398</v>
      </c>
      <c r="AN401" s="164" t="e">
        <f>VLOOKUP($AM401,PATRIMONIALE!$AV453:AW$1003,2,FALSE)</f>
        <v>#N/A</v>
      </c>
      <c r="AO401" s="310" t="e">
        <f>VLOOKUP($AM401,PATRIMONIALE!$AV453:AX$1003,3,FALSE)</f>
        <v>#N/A</v>
      </c>
      <c r="AP401" s="310" t="e">
        <f>VLOOKUP($AM401,PATRIMONIALE!$AV453:AY$1003,4,FALSE)</f>
        <v>#N/A</v>
      </c>
      <c r="AQ401" s="748" t="e">
        <f>VLOOKUP($AM401,PATRIMONIALE!$AV453:AZ$1003,5,FALSE)</f>
        <v>#N/A</v>
      </c>
      <c r="AR401" s="1"/>
      <c r="AS401" s="461" t="str">
        <f t="shared" si="80"/>
        <v/>
      </c>
      <c r="AT401" s="370"/>
    </row>
    <row r="402" spans="1:46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435">
        <f>IF(AND(W402&gt;=$U$1,W402&lt;=$U$2),IF(X402='ESTRATTO CONTO'!$E$2,1+COUNTIF(U$4:U401,"&gt;0"),0),0)</f>
        <v>0</v>
      </c>
      <c r="V402" s="417">
        <f t="shared" si="81"/>
        <v>399</v>
      </c>
      <c r="W402" s="509"/>
      <c r="X402" s="321"/>
      <c r="Y402" s="321"/>
      <c r="Z402" s="433"/>
      <c r="AA402" s="356"/>
      <c r="AB402" s="306" t="str">
        <f t="shared" si="76"/>
        <v/>
      </c>
      <c r="AC402" s="893">
        <f t="shared" si="77"/>
        <v>0</v>
      </c>
      <c r="AD402" s="322"/>
      <c r="AE402" s="1"/>
      <c r="AF402" s="223">
        <f>IF(ISBLANK(AD402),0,COUNTIF(AF$4:AF401,"&gt;0")+1)</f>
        <v>0</v>
      </c>
      <c r="AG402" s="164">
        <f t="shared" si="83"/>
        <v>0</v>
      </c>
      <c r="AH402" s="99">
        <f t="shared" si="78"/>
        <v>0</v>
      </c>
      <c r="AI402" s="99">
        <f t="shared" si="84"/>
        <v>0</v>
      </c>
      <c r="AJ402" s="170">
        <f t="shared" si="85"/>
        <v>0</v>
      </c>
      <c r="AK402" s="204">
        <f t="shared" si="79"/>
        <v>0</v>
      </c>
      <c r="AL402" s="1049">
        <f>IF(ISERROR(AO402),0,IF(AND(AN402&gt;=$U$1,AN402&lt;=$U$2),IF(AO402='ESTRATTO CONTO'!$E$2,1+COUNTIF(AL$4:AL401,"&gt;0")+U$1009,0),0))</f>
        <v>0</v>
      </c>
      <c r="AM402" s="747">
        <f t="shared" si="82"/>
        <v>399</v>
      </c>
      <c r="AN402" s="164" t="e">
        <f>VLOOKUP($AM402,PATRIMONIALE!$AV454:AW$1003,2,FALSE)</f>
        <v>#N/A</v>
      </c>
      <c r="AO402" s="310" t="e">
        <f>VLOOKUP($AM402,PATRIMONIALE!$AV454:AX$1003,3,FALSE)</f>
        <v>#N/A</v>
      </c>
      <c r="AP402" s="310" t="e">
        <f>VLOOKUP($AM402,PATRIMONIALE!$AV454:AY$1003,4,FALSE)</f>
        <v>#N/A</v>
      </c>
      <c r="AQ402" s="748" t="e">
        <f>VLOOKUP($AM402,PATRIMONIALE!$AV454:AZ$1003,5,FALSE)</f>
        <v>#N/A</v>
      </c>
      <c r="AR402" s="1"/>
      <c r="AS402" s="461" t="str">
        <f t="shared" si="80"/>
        <v/>
      </c>
      <c r="AT402" s="370"/>
    </row>
    <row r="403" spans="1:46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435">
        <f>IF(AND(W403&gt;=$U$1,W403&lt;=$U$2),IF(X403='ESTRATTO CONTO'!$E$2,1+COUNTIF(U$4:U402,"&gt;0"),0),0)</f>
        <v>0</v>
      </c>
      <c r="V403" s="417">
        <f t="shared" si="81"/>
        <v>400</v>
      </c>
      <c r="W403" s="509"/>
      <c r="X403" s="321"/>
      <c r="Y403" s="321"/>
      <c r="Z403" s="433"/>
      <c r="AA403" s="356"/>
      <c r="AB403" s="306" t="str">
        <f t="shared" si="76"/>
        <v/>
      </c>
      <c r="AC403" s="893">
        <f t="shared" si="77"/>
        <v>0</v>
      </c>
      <c r="AD403" s="322"/>
      <c r="AE403" s="1"/>
      <c r="AF403" s="223">
        <f>IF(ISBLANK(AD403),0,COUNTIF(AF$4:AF402,"&gt;0")+1)</f>
        <v>0</v>
      </c>
      <c r="AG403" s="164">
        <f t="shared" si="83"/>
        <v>0</v>
      </c>
      <c r="AH403" s="99">
        <f t="shared" si="78"/>
        <v>0</v>
      </c>
      <c r="AI403" s="99">
        <f t="shared" si="84"/>
        <v>0</v>
      </c>
      <c r="AJ403" s="170">
        <f t="shared" si="85"/>
        <v>0</v>
      </c>
      <c r="AK403" s="204">
        <f t="shared" si="79"/>
        <v>0</v>
      </c>
      <c r="AL403" s="1049">
        <f>IF(ISERROR(AO403),0,IF(AND(AN403&gt;=$U$1,AN403&lt;=$U$2),IF(AO403='ESTRATTO CONTO'!$E$2,1+COUNTIF(AL$4:AL402,"&gt;0")+U$1009,0),0))</f>
        <v>0</v>
      </c>
      <c r="AM403" s="747">
        <f t="shared" si="82"/>
        <v>400</v>
      </c>
      <c r="AN403" s="164" t="e">
        <f>VLOOKUP($AM403,PATRIMONIALE!$AV455:AW$1003,2,FALSE)</f>
        <v>#N/A</v>
      </c>
      <c r="AO403" s="310" t="e">
        <f>VLOOKUP($AM403,PATRIMONIALE!$AV455:AX$1003,3,FALSE)</f>
        <v>#N/A</v>
      </c>
      <c r="AP403" s="310" t="e">
        <f>VLOOKUP($AM403,PATRIMONIALE!$AV455:AY$1003,4,FALSE)</f>
        <v>#N/A</v>
      </c>
      <c r="AQ403" s="748" t="e">
        <f>VLOOKUP($AM403,PATRIMONIALE!$AV455:AZ$1003,5,FALSE)</f>
        <v>#N/A</v>
      </c>
      <c r="AR403" s="1"/>
      <c r="AS403" s="461" t="str">
        <f t="shared" si="80"/>
        <v/>
      </c>
      <c r="AT403" s="370"/>
    </row>
    <row r="404" spans="1:46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435">
        <f>IF(AND(W404&gt;=$U$1,W404&lt;=$U$2),IF(X404='ESTRATTO CONTO'!$E$2,1+COUNTIF(U$4:U403,"&gt;0"),0),0)</f>
        <v>0</v>
      </c>
      <c r="V404" s="417">
        <f t="shared" si="81"/>
        <v>401</v>
      </c>
      <c r="W404" s="509"/>
      <c r="X404" s="321"/>
      <c r="Y404" s="321"/>
      <c r="Z404" s="433"/>
      <c r="AA404" s="356"/>
      <c r="AB404" s="306" t="str">
        <f t="shared" si="76"/>
        <v/>
      </c>
      <c r="AC404" s="893">
        <f t="shared" si="77"/>
        <v>0</v>
      </c>
      <c r="AD404" s="322"/>
      <c r="AE404" s="1"/>
      <c r="AF404" s="223">
        <f>IF(ISBLANK(AD404),0,COUNTIF(AF$4:AF403,"&gt;0")+1)</f>
        <v>0</v>
      </c>
      <c r="AG404" s="164">
        <f t="shared" si="83"/>
        <v>0</v>
      </c>
      <c r="AH404" s="99">
        <f t="shared" si="78"/>
        <v>0</v>
      </c>
      <c r="AI404" s="99">
        <f t="shared" si="84"/>
        <v>0</v>
      </c>
      <c r="AJ404" s="170">
        <f t="shared" si="85"/>
        <v>0</v>
      </c>
      <c r="AK404" s="204">
        <f t="shared" si="79"/>
        <v>0</v>
      </c>
      <c r="AL404" s="1049">
        <f>IF(ISERROR(AO404),0,IF(AND(AN404&gt;=$U$1,AN404&lt;=$U$2),IF(AO404='ESTRATTO CONTO'!$E$2,1+COUNTIF(AL$4:AL403,"&gt;0")+U$1009,0),0))</f>
        <v>0</v>
      </c>
      <c r="AM404" s="747">
        <f t="shared" si="82"/>
        <v>401</v>
      </c>
      <c r="AN404" s="164" t="e">
        <f>VLOOKUP($AM404,PATRIMONIALE!$AV456:AW$1003,2,FALSE)</f>
        <v>#N/A</v>
      </c>
      <c r="AO404" s="310" t="e">
        <f>VLOOKUP($AM404,PATRIMONIALE!$AV456:AX$1003,3,FALSE)</f>
        <v>#N/A</v>
      </c>
      <c r="AP404" s="310" t="e">
        <f>VLOOKUP($AM404,PATRIMONIALE!$AV456:AY$1003,4,FALSE)</f>
        <v>#N/A</v>
      </c>
      <c r="AQ404" s="748" t="e">
        <f>VLOOKUP($AM404,PATRIMONIALE!$AV456:AZ$1003,5,FALSE)</f>
        <v>#N/A</v>
      </c>
      <c r="AR404" s="1"/>
      <c r="AS404" s="461" t="str">
        <f t="shared" si="80"/>
        <v/>
      </c>
      <c r="AT404" s="370"/>
    </row>
    <row r="405" spans="1:46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435">
        <f>IF(AND(W405&gt;=$U$1,W405&lt;=$U$2),IF(X405='ESTRATTO CONTO'!$E$2,1+COUNTIF(U$4:U404,"&gt;0"),0),0)</f>
        <v>0</v>
      </c>
      <c r="V405" s="417">
        <f t="shared" si="81"/>
        <v>402</v>
      </c>
      <c r="W405" s="509"/>
      <c r="X405" s="321"/>
      <c r="Y405" s="321"/>
      <c r="Z405" s="433"/>
      <c r="AA405" s="356"/>
      <c r="AB405" s="306" t="str">
        <f t="shared" si="76"/>
        <v/>
      </c>
      <c r="AC405" s="893">
        <f t="shared" si="77"/>
        <v>0</v>
      </c>
      <c r="AD405" s="322"/>
      <c r="AE405" s="1"/>
      <c r="AF405" s="223">
        <f>IF(ISBLANK(AD405),0,COUNTIF(AF$4:AF404,"&gt;0")+1)</f>
        <v>0</v>
      </c>
      <c r="AG405" s="164">
        <f t="shared" si="83"/>
        <v>0</v>
      </c>
      <c r="AH405" s="99">
        <f t="shared" si="78"/>
        <v>0</v>
      </c>
      <c r="AI405" s="99">
        <f t="shared" si="84"/>
        <v>0</v>
      </c>
      <c r="AJ405" s="170">
        <f t="shared" si="85"/>
        <v>0</v>
      </c>
      <c r="AK405" s="204">
        <f t="shared" si="79"/>
        <v>0</v>
      </c>
      <c r="AL405" s="1049">
        <f>IF(ISERROR(AO405),0,IF(AND(AN405&gt;=$U$1,AN405&lt;=$U$2),IF(AO405='ESTRATTO CONTO'!$E$2,1+COUNTIF(AL$4:AL404,"&gt;0")+U$1009,0),0))</f>
        <v>0</v>
      </c>
      <c r="AM405" s="747">
        <f t="shared" si="82"/>
        <v>402</v>
      </c>
      <c r="AN405" s="164" t="e">
        <f>VLOOKUP($AM405,PATRIMONIALE!$AV457:AW$1003,2,FALSE)</f>
        <v>#N/A</v>
      </c>
      <c r="AO405" s="310" t="e">
        <f>VLOOKUP($AM405,PATRIMONIALE!$AV457:AX$1003,3,FALSE)</f>
        <v>#N/A</v>
      </c>
      <c r="AP405" s="310" t="e">
        <f>VLOOKUP($AM405,PATRIMONIALE!$AV457:AY$1003,4,FALSE)</f>
        <v>#N/A</v>
      </c>
      <c r="AQ405" s="748" t="e">
        <f>VLOOKUP($AM405,PATRIMONIALE!$AV457:AZ$1003,5,FALSE)</f>
        <v>#N/A</v>
      </c>
      <c r="AR405" s="1"/>
      <c r="AS405" s="461" t="str">
        <f t="shared" si="80"/>
        <v/>
      </c>
      <c r="AT405" s="370"/>
    </row>
    <row r="406" spans="1:46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435">
        <f>IF(AND(W406&gt;=$U$1,W406&lt;=$U$2),IF(X406='ESTRATTO CONTO'!$E$2,1+COUNTIF(U$4:U405,"&gt;0"),0),0)</f>
        <v>0</v>
      </c>
      <c r="V406" s="417">
        <f t="shared" si="81"/>
        <v>403</v>
      </c>
      <c r="W406" s="509"/>
      <c r="X406" s="321"/>
      <c r="Y406" s="321"/>
      <c r="Z406" s="433"/>
      <c r="AA406" s="356"/>
      <c r="AB406" s="306" t="str">
        <f t="shared" si="76"/>
        <v/>
      </c>
      <c r="AC406" s="893">
        <f t="shared" si="77"/>
        <v>0</v>
      </c>
      <c r="AD406" s="322"/>
      <c r="AE406" s="1"/>
      <c r="AF406" s="223">
        <f>IF(ISBLANK(AD406),0,COUNTIF(AF$4:AF405,"&gt;0")+1)</f>
        <v>0</v>
      </c>
      <c r="AG406" s="164">
        <f t="shared" si="83"/>
        <v>0</v>
      </c>
      <c r="AH406" s="99">
        <f t="shared" si="78"/>
        <v>0</v>
      </c>
      <c r="AI406" s="99">
        <f t="shared" si="84"/>
        <v>0</v>
      </c>
      <c r="AJ406" s="170">
        <f t="shared" si="85"/>
        <v>0</v>
      </c>
      <c r="AK406" s="204">
        <f t="shared" si="79"/>
        <v>0</v>
      </c>
      <c r="AL406" s="1049">
        <f>IF(ISERROR(AO406),0,IF(AND(AN406&gt;=$U$1,AN406&lt;=$U$2),IF(AO406='ESTRATTO CONTO'!$E$2,1+COUNTIF(AL$4:AL405,"&gt;0")+U$1009,0),0))</f>
        <v>0</v>
      </c>
      <c r="AM406" s="747">
        <f t="shared" si="82"/>
        <v>403</v>
      </c>
      <c r="AN406" s="164" t="e">
        <f>VLOOKUP($AM406,PATRIMONIALE!$AV458:AW$1003,2,FALSE)</f>
        <v>#N/A</v>
      </c>
      <c r="AO406" s="310" t="e">
        <f>VLOOKUP($AM406,PATRIMONIALE!$AV458:AX$1003,3,FALSE)</f>
        <v>#N/A</v>
      </c>
      <c r="AP406" s="310" t="e">
        <f>VLOOKUP($AM406,PATRIMONIALE!$AV458:AY$1003,4,FALSE)</f>
        <v>#N/A</v>
      </c>
      <c r="AQ406" s="748" t="e">
        <f>VLOOKUP($AM406,PATRIMONIALE!$AV458:AZ$1003,5,FALSE)</f>
        <v>#N/A</v>
      </c>
      <c r="AR406" s="1"/>
      <c r="AS406" s="461" t="str">
        <f t="shared" si="80"/>
        <v/>
      </c>
      <c r="AT406" s="370"/>
    </row>
    <row r="407" spans="1:46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435">
        <f>IF(AND(W407&gt;=$U$1,W407&lt;=$U$2),IF(X407='ESTRATTO CONTO'!$E$2,1+COUNTIF(U$4:U406,"&gt;0"),0),0)</f>
        <v>0</v>
      </c>
      <c r="V407" s="417">
        <f t="shared" si="81"/>
        <v>404</v>
      </c>
      <c r="W407" s="509"/>
      <c r="X407" s="321"/>
      <c r="Y407" s="321"/>
      <c r="Z407" s="433"/>
      <c r="AA407" s="356"/>
      <c r="AB407" s="306" t="str">
        <f t="shared" si="76"/>
        <v/>
      </c>
      <c r="AC407" s="893">
        <f t="shared" si="77"/>
        <v>0</v>
      </c>
      <c r="AD407" s="322"/>
      <c r="AE407" s="1"/>
      <c r="AF407" s="223">
        <f>IF(ISBLANK(AD407),0,COUNTIF(AF$4:AF406,"&gt;0")+1)</f>
        <v>0</v>
      </c>
      <c r="AG407" s="164">
        <f t="shared" si="83"/>
        <v>0</v>
      </c>
      <c r="AH407" s="99">
        <f t="shared" si="78"/>
        <v>0</v>
      </c>
      <c r="AI407" s="99">
        <f t="shared" si="84"/>
        <v>0</v>
      </c>
      <c r="AJ407" s="170">
        <f t="shared" si="85"/>
        <v>0</v>
      </c>
      <c r="AK407" s="204">
        <f t="shared" si="79"/>
        <v>0</v>
      </c>
      <c r="AL407" s="1049">
        <f>IF(ISERROR(AO407),0,IF(AND(AN407&gt;=$U$1,AN407&lt;=$U$2),IF(AO407='ESTRATTO CONTO'!$E$2,1+COUNTIF(AL$4:AL406,"&gt;0")+U$1009,0),0))</f>
        <v>0</v>
      </c>
      <c r="AM407" s="747">
        <f t="shared" si="82"/>
        <v>404</v>
      </c>
      <c r="AN407" s="164" t="e">
        <f>VLOOKUP($AM407,PATRIMONIALE!$AV459:AW$1003,2,FALSE)</f>
        <v>#N/A</v>
      </c>
      <c r="AO407" s="310" t="e">
        <f>VLOOKUP($AM407,PATRIMONIALE!$AV459:AX$1003,3,FALSE)</f>
        <v>#N/A</v>
      </c>
      <c r="AP407" s="310" t="e">
        <f>VLOOKUP($AM407,PATRIMONIALE!$AV459:AY$1003,4,FALSE)</f>
        <v>#N/A</v>
      </c>
      <c r="AQ407" s="748" t="e">
        <f>VLOOKUP($AM407,PATRIMONIALE!$AV459:AZ$1003,5,FALSE)</f>
        <v>#N/A</v>
      </c>
      <c r="AR407" s="1"/>
      <c r="AS407" s="461" t="str">
        <f t="shared" si="80"/>
        <v/>
      </c>
      <c r="AT407" s="370"/>
    </row>
    <row r="408" spans="1:46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435">
        <f>IF(AND(W408&gt;=$U$1,W408&lt;=$U$2),IF(X408='ESTRATTO CONTO'!$E$2,1+COUNTIF(U$4:U407,"&gt;0"),0),0)</f>
        <v>0</v>
      </c>
      <c r="V408" s="417">
        <f t="shared" si="81"/>
        <v>405</v>
      </c>
      <c r="W408" s="509"/>
      <c r="X408" s="321"/>
      <c r="Y408" s="321"/>
      <c r="Z408" s="433"/>
      <c r="AA408" s="356"/>
      <c r="AB408" s="306" t="str">
        <f t="shared" si="76"/>
        <v/>
      </c>
      <c r="AC408" s="893">
        <f t="shared" si="77"/>
        <v>0</v>
      </c>
      <c r="AD408" s="322"/>
      <c r="AE408" s="1"/>
      <c r="AF408" s="223">
        <f>IF(ISBLANK(AD408),0,COUNTIF(AF$4:AF407,"&gt;0")+1)</f>
        <v>0</v>
      </c>
      <c r="AG408" s="164">
        <f t="shared" si="83"/>
        <v>0</v>
      </c>
      <c r="AH408" s="99">
        <f t="shared" si="78"/>
        <v>0</v>
      </c>
      <c r="AI408" s="99">
        <f t="shared" si="84"/>
        <v>0</v>
      </c>
      <c r="AJ408" s="170">
        <f t="shared" si="85"/>
        <v>0</v>
      </c>
      <c r="AK408" s="204">
        <f t="shared" si="79"/>
        <v>0</v>
      </c>
      <c r="AL408" s="1049">
        <f>IF(ISERROR(AO408),0,IF(AND(AN408&gt;=$U$1,AN408&lt;=$U$2),IF(AO408='ESTRATTO CONTO'!$E$2,1+COUNTIF(AL$4:AL407,"&gt;0")+U$1009,0),0))</f>
        <v>0</v>
      </c>
      <c r="AM408" s="747">
        <f t="shared" si="82"/>
        <v>405</v>
      </c>
      <c r="AN408" s="164" t="e">
        <f>VLOOKUP($AM408,PATRIMONIALE!$AV460:AW$1003,2,FALSE)</f>
        <v>#N/A</v>
      </c>
      <c r="AO408" s="310" t="e">
        <f>VLOOKUP($AM408,PATRIMONIALE!$AV460:AX$1003,3,FALSE)</f>
        <v>#N/A</v>
      </c>
      <c r="AP408" s="310" t="e">
        <f>VLOOKUP($AM408,PATRIMONIALE!$AV460:AY$1003,4,FALSE)</f>
        <v>#N/A</v>
      </c>
      <c r="AQ408" s="748" t="e">
        <f>VLOOKUP($AM408,PATRIMONIALE!$AV460:AZ$1003,5,FALSE)</f>
        <v>#N/A</v>
      </c>
      <c r="AR408" s="1"/>
      <c r="AS408" s="461" t="str">
        <f t="shared" si="80"/>
        <v/>
      </c>
      <c r="AT408" s="370"/>
    </row>
    <row r="409" spans="1:46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435">
        <f>IF(AND(W409&gt;=$U$1,W409&lt;=$U$2),IF(X409='ESTRATTO CONTO'!$E$2,1+COUNTIF(U$4:U408,"&gt;0"),0),0)</f>
        <v>0</v>
      </c>
      <c r="V409" s="417">
        <f t="shared" si="81"/>
        <v>406</v>
      </c>
      <c r="W409" s="509"/>
      <c r="X409" s="321"/>
      <c r="Y409" s="321"/>
      <c r="Z409" s="433"/>
      <c r="AA409" s="356"/>
      <c r="AB409" s="306" t="str">
        <f t="shared" si="76"/>
        <v/>
      </c>
      <c r="AC409" s="893">
        <f t="shared" si="77"/>
        <v>0</v>
      </c>
      <c r="AD409" s="322"/>
      <c r="AE409" s="1"/>
      <c r="AF409" s="223">
        <f>IF(ISBLANK(AD409),0,COUNTIF(AF$4:AF408,"&gt;0")+1)</f>
        <v>0</v>
      </c>
      <c r="AG409" s="164">
        <f t="shared" si="83"/>
        <v>0</v>
      </c>
      <c r="AH409" s="99">
        <f t="shared" si="78"/>
        <v>0</v>
      </c>
      <c r="AI409" s="99">
        <f t="shared" si="84"/>
        <v>0</v>
      </c>
      <c r="AJ409" s="170">
        <f t="shared" si="85"/>
        <v>0</v>
      </c>
      <c r="AK409" s="204">
        <f t="shared" si="79"/>
        <v>0</v>
      </c>
      <c r="AL409" s="1049">
        <f>IF(ISERROR(AO409),0,IF(AND(AN409&gt;=$U$1,AN409&lt;=$U$2),IF(AO409='ESTRATTO CONTO'!$E$2,1+COUNTIF(AL$4:AL408,"&gt;0")+U$1009,0),0))</f>
        <v>0</v>
      </c>
      <c r="AM409" s="747">
        <f t="shared" si="82"/>
        <v>406</v>
      </c>
      <c r="AN409" s="164" t="e">
        <f>VLOOKUP($AM409,PATRIMONIALE!$AV461:AW$1003,2,FALSE)</f>
        <v>#N/A</v>
      </c>
      <c r="AO409" s="310" t="e">
        <f>VLOOKUP($AM409,PATRIMONIALE!$AV461:AX$1003,3,FALSE)</f>
        <v>#N/A</v>
      </c>
      <c r="AP409" s="310" t="e">
        <f>VLOOKUP($AM409,PATRIMONIALE!$AV461:AY$1003,4,FALSE)</f>
        <v>#N/A</v>
      </c>
      <c r="AQ409" s="748" t="e">
        <f>VLOOKUP($AM409,PATRIMONIALE!$AV461:AZ$1003,5,FALSE)</f>
        <v>#N/A</v>
      </c>
      <c r="AR409" s="1"/>
      <c r="AS409" s="461" t="str">
        <f t="shared" si="80"/>
        <v/>
      </c>
      <c r="AT409" s="370"/>
    </row>
    <row r="410" spans="1:46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435">
        <f>IF(AND(W410&gt;=$U$1,W410&lt;=$U$2),IF(X410='ESTRATTO CONTO'!$E$2,1+COUNTIF(U$4:U409,"&gt;0"),0),0)</f>
        <v>0</v>
      </c>
      <c r="V410" s="417">
        <f t="shared" si="81"/>
        <v>407</v>
      </c>
      <c r="W410" s="509"/>
      <c r="X410" s="321"/>
      <c r="Y410" s="321"/>
      <c r="Z410" s="433"/>
      <c r="AA410" s="356"/>
      <c r="AB410" s="306" t="str">
        <f t="shared" si="76"/>
        <v/>
      </c>
      <c r="AC410" s="893">
        <f t="shared" si="77"/>
        <v>0</v>
      </c>
      <c r="AD410" s="322"/>
      <c r="AE410" s="1"/>
      <c r="AF410" s="223">
        <f>IF(ISBLANK(AD410),0,COUNTIF(AF$4:AF409,"&gt;0")+1)</f>
        <v>0</v>
      </c>
      <c r="AG410" s="164">
        <f t="shared" si="83"/>
        <v>0</v>
      </c>
      <c r="AH410" s="99">
        <f t="shared" si="78"/>
        <v>0</v>
      </c>
      <c r="AI410" s="99">
        <f t="shared" si="84"/>
        <v>0</v>
      </c>
      <c r="AJ410" s="170">
        <f t="shared" si="85"/>
        <v>0</v>
      </c>
      <c r="AK410" s="204">
        <f t="shared" si="79"/>
        <v>0</v>
      </c>
      <c r="AL410" s="1049">
        <f>IF(ISERROR(AO410),0,IF(AND(AN410&gt;=$U$1,AN410&lt;=$U$2),IF(AO410='ESTRATTO CONTO'!$E$2,1+COUNTIF(AL$4:AL409,"&gt;0")+U$1009,0),0))</f>
        <v>0</v>
      </c>
      <c r="AM410" s="747">
        <f t="shared" si="82"/>
        <v>407</v>
      </c>
      <c r="AN410" s="164" t="e">
        <f>VLOOKUP($AM410,PATRIMONIALE!$AV462:AW$1003,2,FALSE)</f>
        <v>#N/A</v>
      </c>
      <c r="AO410" s="310" t="e">
        <f>VLOOKUP($AM410,PATRIMONIALE!$AV462:AX$1003,3,FALSE)</f>
        <v>#N/A</v>
      </c>
      <c r="AP410" s="310" t="e">
        <f>VLOOKUP($AM410,PATRIMONIALE!$AV462:AY$1003,4,FALSE)</f>
        <v>#N/A</v>
      </c>
      <c r="AQ410" s="748" t="e">
        <f>VLOOKUP($AM410,PATRIMONIALE!$AV462:AZ$1003,5,FALSE)</f>
        <v>#N/A</v>
      </c>
      <c r="AR410" s="1"/>
      <c r="AS410" s="461" t="str">
        <f t="shared" si="80"/>
        <v/>
      </c>
      <c r="AT410" s="370"/>
    </row>
    <row r="411" spans="1:46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435">
        <f>IF(AND(W411&gt;=$U$1,W411&lt;=$U$2),IF(X411='ESTRATTO CONTO'!$E$2,1+COUNTIF(U$4:U410,"&gt;0"),0),0)</f>
        <v>0</v>
      </c>
      <c r="V411" s="417">
        <f t="shared" si="81"/>
        <v>408</v>
      </c>
      <c r="W411" s="509"/>
      <c r="X411" s="321"/>
      <c r="Y411" s="321"/>
      <c r="Z411" s="433"/>
      <c r="AA411" s="356"/>
      <c r="AB411" s="306" t="str">
        <f t="shared" si="76"/>
        <v/>
      </c>
      <c r="AC411" s="893">
        <f t="shared" si="77"/>
        <v>0</v>
      </c>
      <c r="AD411" s="322"/>
      <c r="AE411" s="1"/>
      <c r="AF411" s="223">
        <f>IF(ISBLANK(AD411),0,COUNTIF(AF$4:AF410,"&gt;0")+1)</f>
        <v>0</v>
      </c>
      <c r="AG411" s="164">
        <f t="shared" si="83"/>
        <v>0</v>
      </c>
      <c r="AH411" s="99">
        <f t="shared" si="78"/>
        <v>0</v>
      </c>
      <c r="AI411" s="99">
        <f t="shared" si="84"/>
        <v>0</v>
      </c>
      <c r="AJ411" s="170">
        <f t="shared" si="85"/>
        <v>0</v>
      </c>
      <c r="AK411" s="204">
        <f t="shared" si="79"/>
        <v>0</v>
      </c>
      <c r="AL411" s="1049">
        <f>IF(ISERROR(AO411),0,IF(AND(AN411&gt;=$U$1,AN411&lt;=$U$2),IF(AO411='ESTRATTO CONTO'!$E$2,1+COUNTIF(AL$4:AL410,"&gt;0")+U$1009,0),0))</f>
        <v>0</v>
      </c>
      <c r="AM411" s="747">
        <f t="shared" si="82"/>
        <v>408</v>
      </c>
      <c r="AN411" s="164" t="e">
        <f>VLOOKUP($AM411,PATRIMONIALE!$AV463:AW$1003,2,FALSE)</f>
        <v>#N/A</v>
      </c>
      <c r="AO411" s="310" t="e">
        <f>VLOOKUP($AM411,PATRIMONIALE!$AV463:AX$1003,3,FALSE)</f>
        <v>#N/A</v>
      </c>
      <c r="AP411" s="310" t="e">
        <f>VLOOKUP($AM411,PATRIMONIALE!$AV463:AY$1003,4,FALSE)</f>
        <v>#N/A</v>
      </c>
      <c r="AQ411" s="748" t="e">
        <f>VLOOKUP($AM411,PATRIMONIALE!$AV463:AZ$1003,5,FALSE)</f>
        <v>#N/A</v>
      </c>
      <c r="AR411" s="1"/>
      <c r="AS411" s="461" t="str">
        <f t="shared" si="80"/>
        <v/>
      </c>
      <c r="AT411" s="370"/>
    </row>
    <row r="412" spans="1:46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435">
        <f>IF(AND(W412&gt;=$U$1,W412&lt;=$U$2),IF(X412='ESTRATTO CONTO'!$E$2,1+COUNTIF(U$4:U411,"&gt;0"),0),0)</f>
        <v>0</v>
      </c>
      <c r="V412" s="417">
        <f t="shared" si="81"/>
        <v>409</v>
      </c>
      <c r="W412" s="509"/>
      <c r="X412" s="321"/>
      <c r="Y412" s="321"/>
      <c r="Z412" s="433"/>
      <c r="AA412" s="356"/>
      <c r="AB412" s="306" t="str">
        <f t="shared" si="76"/>
        <v/>
      </c>
      <c r="AC412" s="893">
        <f t="shared" si="77"/>
        <v>0</v>
      </c>
      <c r="AD412" s="322"/>
      <c r="AE412" s="1"/>
      <c r="AF412" s="223">
        <f>IF(ISBLANK(AD412),0,COUNTIF(AF$4:AF411,"&gt;0")+1)</f>
        <v>0</v>
      </c>
      <c r="AG412" s="164">
        <f t="shared" si="83"/>
        <v>0</v>
      </c>
      <c r="AH412" s="99">
        <f t="shared" si="78"/>
        <v>0</v>
      </c>
      <c r="AI412" s="99">
        <f t="shared" si="84"/>
        <v>0</v>
      </c>
      <c r="AJ412" s="170">
        <f t="shared" si="85"/>
        <v>0</v>
      </c>
      <c r="AK412" s="204">
        <f t="shared" si="79"/>
        <v>0</v>
      </c>
      <c r="AL412" s="1049">
        <f>IF(ISERROR(AO412),0,IF(AND(AN412&gt;=$U$1,AN412&lt;=$U$2),IF(AO412='ESTRATTO CONTO'!$E$2,1+COUNTIF(AL$4:AL411,"&gt;0")+U$1009,0),0))</f>
        <v>0</v>
      </c>
      <c r="AM412" s="747">
        <f t="shared" si="82"/>
        <v>409</v>
      </c>
      <c r="AN412" s="164" t="e">
        <f>VLOOKUP($AM412,PATRIMONIALE!$AV464:AW$1003,2,FALSE)</f>
        <v>#N/A</v>
      </c>
      <c r="AO412" s="310" t="e">
        <f>VLOOKUP($AM412,PATRIMONIALE!$AV464:AX$1003,3,FALSE)</f>
        <v>#N/A</v>
      </c>
      <c r="AP412" s="310" t="e">
        <f>VLOOKUP($AM412,PATRIMONIALE!$AV464:AY$1003,4,FALSE)</f>
        <v>#N/A</v>
      </c>
      <c r="AQ412" s="748" t="e">
        <f>VLOOKUP($AM412,PATRIMONIALE!$AV464:AZ$1003,5,FALSE)</f>
        <v>#N/A</v>
      </c>
      <c r="AR412" s="1"/>
      <c r="AS412" s="461" t="str">
        <f t="shared" si="80"/>
        <v/>
      </c>
      <c r="AT412" s="370"/>
    </row>
    <row r="413" spans="1:46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435">
        <f>IF(AND(W413&gt;=$U$1,W413&lt;=$U$2),IF(X413='ESTRATTO CONTO'!$E$2,1+COUNTIF(U$4:U412,"&gt;0"),0),0)</f>
        <v>0</v>
      </c>
      <c r="V413" s="417">
        <f t="shared" si="81"/>
        <v>410</v>
      </c>
      <c r="W413" s="509"/>
      <c r="X413" s="321"/>
      <c r="Y413" s="321"/>
      <c r="Z413" s="433"/>
      <c r="AA413" s="356"/>
      <c r="AB413" s="306" t="str">
        <f t="shared" si="76"/>
        <v/>
      </c>
      <c r="AC413" s="893">
        <f t="shared" si="77"/>
        <v>0</v>
      </c>
      <c r="AD413" s="322"/>
      <c r="AE413" s="1"/>
      <c r="AF413" s="223">
        <f>IF(ISBLANK(AD413),0,COUNTIF(AF$4:AF412,"&gt;0")+1)</f>
        <v>0</v>
      </c>
      <c r="AG413" s="164">
        <f t="shared" si="83"/>
        <v>0</v>
      </c>
      <c r="AH413" s="99">
        <f t="shared" si="78"/>
        <v>0</v>
      </c>
      <c r="AI413" s="99">
        <f t="shared" si="84"/>
        <v>0</v>
      </c>
      <c r="AJ413" s="170">
        <f t="shared" si="85"/>
        <v>0</v>
      </c>
      <c r="AK413" s="204">
        <f t="shared" si="79"/>
        <v>0</v>
      </c>
      <c r="AL413" s="1049">
        <f>IF(ISERROR(AO413),0,IF(AND(AN413&gt;=$U$1,AN413&lt;=$U$2),IF(AO413='ESTRATTO CONTO'!$E$2,1+COUNTIF(AL$4:AL412,"&gt;0")+U$1009,0),0))</f>
        <v>0</v>
      </c>
      <c r="AM413" s="747">
        <f t="shared" si="82"/>
        <v>410</v>
      </c>
      <c r="AN413" s="164" t="e">
        <f>VLOOKUP($AM413,PATRIMONIALE!$AV465:AW$1003,2,FALSE)</f>
        <v>#N/A</v>
      </c>
      <c r="AO413" s="310" t="e">
        <f>VLOOKUP($AM413,PATRIMONIALE!$AV465:AX$1003,3,FALSE)</f>
        <v>#N/A</v>
      </c>
      <c r="AP413" s="310" t="e">
        <f>VLOOKUP($AM413,PATRIMONIALE!$AV465:AY$1003,4,FALSE)</f>
        <v>#N/A</v>
      </c>
      <c r="AQ413" s="748" t="e">
        <f>VLOOKUP($AM413,PATRIMONIALE!$AV465:AZ$1003,5,FALSE)</f>
        <v>#N/A</v>
      </c>
      <c r="AR413" s="1"/>
      <c r="AS413" s="461" t="str">
        <f t="shared" si="80"/>
        <v/>
      </c>
      <c r="AT413" s="370"/>
    </row>
    <row r="414" spans="1:46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435">
        <f>IF(AND(W414&gt;=$U$1,W414&lt;=$U$2),IF(X414='ESTRATTO CONTO'!$E$2,1+COUNTIF(U$4:U413,"&gt;0"),0),0)</f>
        <v>0</v>
      </c>
      <c r="V414" s="417">
        <f t="shared" si="81"/>
        <v>411</v>
      </c>
      <c r="W414" s="509"/>
      <c r="X414" s="321"/>
      <c r="Y414" s="321"/>
      <c r="Z414" s="433"/>
      <c r="AA414" s="356"/>
      <c r="AB414" s="306" t="str">
        <f t="shared" si="76"/>
        <v/>
      </c>
      <c r="AC414" s="893">
        <f t="shared" si="77"/>
        <v>0</v>
      </c>
      <c r="AD414" s="322"/>
      <c r="AE414" s="1"/>
      <c r="AF414" s="223">
        <f>IF(ISBLANK(AD414),0,COUNTIF(AF$4:AF413,"&gt;0")+1)</f>
        <v>0</v>
      </c>
      <c r="AG414" s="164">
        <f t="shared" si="83"/>
        <v>0</v>
      </c>
      <c r="AH414" s="99">
        <f t="shared" si="78"/>
        <v>0</v>
      </c>
      <c r="AI414" s="99">
        <f t="shared" si="84"/>
        <v>0</v>
      </c>
      <c r="AJ414" s="170">
        <f t="shared" si="85"/>
        <v>0</v>
      </c>
      <c r="AK414" s="204">
        <f t="shared" si="79"/>
        <v>0</v>
      </c>
      <c r="AL414" s="1049">
        <f>IF(ISERROR(AO414),0,IF(AND(AN414&gt;=$U$1,AN414&lt;=$U$2),IF(AO414='ESTRATTO CONTO'!$E$2,1+COUNTIF(AL$4:AL413,"&gt;0")+U$1009,0),0))</f>
        <v>0</v>
      </c>
      <c r="AM414" s="747">
        <f t="shared" si="82"/>
        <v>411</v>
      </c>
      <c r="AN414" s="164" t="e">
        <f>VLOOKUP($AM414,PATRIMONIALE!$AV466:AW$1003,2,FALSE)</f>
        <v>#N/A</v>
      </c>
      <c r="AO414" s="310" t="e">
        <f>VLOOKUP($AM414,PATRIMONIALE!$AV466:AX$1003,3,FALSE)</f>
        <v>#N/A</v>
      </c>
      <c r="AP414" s="310" t="e">
        <f>VLOOKUP($AM414,PATRIMONIALE!$AV466:AY$1003,4,FALSE)</f>
        <v>#N/A</v>
      </c>
      <c r="AQ414" s="748" t="e">
        <f>VLOOKUP($AM414,PATRIMONIALE!$AV466:AZ$1003,5,FALSE)</f>
        <v>#N/A</v>
      </c>
      <c r="AR414" s="1"/>
      <c r="AS414" s="461" t="str">
        <f t="shared" si="80"/>
        <v/>
      </c>
      <c r="AT414" s="370"/>
    </row>
    <row r="415" spans="1:46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435">
        <f>IF(AND(W415&gt;=$U$1,W415&lt;=$U$2),IF(X415='ESTRATTO CONTO'!$E$2,1+COUNTIF(U$4:U414,"&gt;0"),0),0)</f>
        <v>0</v>
      </c>
      <c r="V415" s="417">
        <f t="shared" si="81"/>
        <v>412</v>
      </c>
      <c r="W415" s="509"/>
      <c r="X415" s="321"/>
      <c r="Y415" s="321"/>
      <c r="Z415" s="433"/>
      <c r="AA415" s="356"/>
      <c r="AB415" s="306" t="str">
        <f t="shared" si="76"/>
        <v/>
      </c>
      <c r="AC415" s="893">
        <f t="shared" si="77"/>
        <v>0</v>
      </c>
      <c r="AD415" s="322"/>
      <c r="AE415" s="1"/>
      <c r="AF415" s="223">
        <f>IF(ISBLANK(AD415),0,COUNTIF(AF$4:AF414,"&gt;0")+1)</f>
        <v>0</v>
      </c>
      <c r="AG415" s="164">
        <f t="shared" si="83"/>
        <v>0</v>
      </c>
      <c r="AH415" s="99">
        <f t="shared" si="78"/>
        <v>0</v>
      </c>
      <c r="AI415" s="99">
        <f t="shared" si="84"/>
        <v>0</v>
      </c>
      <c r="AJ415" s="170">
        <f t="shared" si="85"/>
        <v>0</v>
      </c>
      <c r="AK415" s="204">
        <f t="shared" si="79"/>
        <v>0</v>
      </c>
      <c r="AL415" s="1049">
        <f>IF(ISERROR(AO415),0,IF(AND(AN415&gt;=$U$1,AN415&lt;=$U$2),IF(AO415='ESTRATTO CONTO'!$E$2,1+COUNTIF(AL$4:AL414,"&gt;0")+U$1009,0),0))</f>
        <v>0</v>
      </c>
      <c r="AM415" s="747">
        <f t="shared" si="82"/>
        <v>412</v>
      </c>
      <c r="AN415" s="164" t="e">
        <f>VLOOKUP($AM415,PATRIMONIALE!$AV467:AW$1003,2,FALSE)</f>
        <v>#N/A</v>
      </c>
      <c r="AO415" s="310" t="e">
        <f>VLOOKUP($AM415,PATRIMONIALE!$AV467:AX$1003,3,FALSE)</f>
        <v>#N/A</v>
      </c>
      <c r="AP415" s="310" t="e">
        <f>VLOOKUP($AM415,PATRIMONIALE!$AV467:AY$1003,4,FALSE)</f>
        <v>#N/A</v>
      </c>
      <c r="AQ415" s="748" t="e">
        <f>VLOOKUP($AM415,PATRIMONIALE!$AV467:AZ$1003,5,FALSE)</f>
        <v>#N/A</v>
      </c>
      <c r="AR415" s="1"/>
      <c r="AS415" s="461" t="str">
        <f t="shared" si="80"/>
        <v/>
      </c>
      <c r="AT415" s="370"/>
    </row>
    <row r="416" spans="1:46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435">
        <f>IF(AND(W416&gt;=$U$1,W416&lt;=$U$2),IF(X416='ESTRATTO CONTO'!$E$2,1+COUNTIF(U$4:U415,"&gt;0"),0),0)</f>
        <v>0</v>
      </c>
      <c r="V416" s="417">
        <f t="shared" si="81"/>
        <v>413</v>
      </c>
      <c r="W416" s="509"/>
      <c r="X416" s="321"/>
      <c r="Y416" s="321"/>
      <c r="Z416" s="433"/>
      <c r="AA416" s="356"/>
      <c r="AB416" s="306" t="str">
        <f t="shared" si="76"/>
        <v/>
      </c>
      <c r="AC416" s="893">
        <f t="shared" si="77"/>
        <v>0</v>
      </c>
      <c r="AD416" s="322"/>
      <c r="AE416" s="1"/>
      <c r="AF416" s="223">
        <f>IF(ISBLANK(AD416),0,COUNTIF(AF$4:AF415,"&gt;0")+1)</f>
        <v>0</v>
      </c>
      <c r="AG416" s="164">
        <f t="shared" si="83"/>
        <v>0</v>
      </c>
      <c r="AH416" s="99">
        <f t="shared" si="78"/>
        <v>0</v>
      </c>
      <c r="AI416" s="99">
        <f t="shared" si="84"/>
        <v>0</v>
      </c>
      <c r="AJ416" s="170">
        <f t="shared" si="85"/>
        <v>0</v>
      </c>
      <c r="AK416" s="204">
        <f t="shared" si="79"/>
        <v>0</v>
      </c>
      <c r="AL416" s="1049">
        <f>IF(ISERROR(AO416),0,IF(AND(AN416&gt;=$U$1,AN416&lt;=$U$2),IF(AO416='ESTRATTO CONTO'!$E$2,1+COUNTIF(AL$4:AL415,"&gt;0")+U$1009,0),0))</f>
        <v>0</v>
      </c>
      <c r="AM416" s="747">
        <f t="shared" si="82"/>
        <v>413</v>
      </c>
      <c r="AN416" s="164" t="e">
        <f>VLOOKUP($AM416,PATRIMONIALE!$AV468:AW$1003,2,FALSE)</f>
        <v>#N/A</v>
      </c>
      <c r="AO416" s="310" t="e">
        <f>VLOOKUP($AM416,PATRIMONIALE!$AV468:AX$1003,3,FALSE)</f>
        <v>#N/A</v>
      </c>
      <c r="AP416" s="310" t="e">
        <f>VLOOKUP($AM416,PATRIMONIALE!$AV468:AY$1003,4,FALSE)</f>
        <v>#N/A</v>
      </c>
      <c r="AQ416" s="748" t="e">
        <f>VLOOKUP($AM416,PATRIMONIALE!$AV468:AZ$1003,5,FALSE)</f>
        <v>#N/A</v>
      </c>
      <c r="AR416" s="1"/>
      <c r="AS416" s="461" t="str">
        <f t="shared" si="80"/>
        <v/>
      </c>
      <c r="AT416" s="370"/>
    </row>
    <row r="417" spans="1:46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435">
        <f>IF(AND(W417&gt;=$U$1,W417&lt;=$U$2),IF(X417='ESTRATTO CONTO'!$E$2,1+COUNTIF(U$4:U416,"&gt;0"),0),0)</f>
        <v>0</v>
      </c>
      <c r="V417" s="417">
        <f t="shared" si="81"/>
        <v>414</v>
      </c>
      <c r="W417" s="509"/>
      <c r="X417" s="321"/>
      <c r="Y417" s="321"/>
      <c r="Z417" s="433"/>
      <c r="AA417" s="356"/>
      <c r="AB417" s="306" t="str">
        <f t="shared" si="76"/>
        <v/>
      </c>
      <c r="AC417" s="893">
        <f t="shared" si="77"/>
        <v>0</v>
      </c>
      <c r="AD417" s="322"/>
      <c r="AE417" s="1"/>
      <c r="AF417" s="223">
        <f>IF(ISBLANK(AD417),0,COUNTIF(AF$4:AF416,"&gt;0")+1)</f>
        <v>0</v>
      </c>
      <c r="AG417" s="164">
        <f t="shared" si="83"/>
        <v>0</v>
      </c>
      <c r="AH417" s="99">
        <f t="shared" si="78"/>
        <v>0</v>
      </c>
      <c r="AI417" s="99">
        <f t="shared" si="84"/>
        <v>0</v>
      </c>
      <c r="AJ417" s="170">
        <f t="shared" si="85"/>
        <v>0</v>
      </c>
      <c r="AK417" s="204">
        <f t="shared" si="79"/>
        <v>0</v>
      </c>
      <c r="AL417" s="1049">
        <f>IF(ISERROR(AO417),0,IF(AND(AN417&gt;=$U$1,AN417&lt;=$U$2),IF(AO417='ESTRATTO CONTO'!$E$2,1+COUNTIF(AL$4:AL416,"&gt;0")+U$1009,0),0))</f>
        <v>0</v>
      </c>
      <c r="AM417" s="747">
        <f t="shared" si="82"/>
        <v>414</v>
      </c>
      <c r="AN417" s="164" t="e">
        <f>VLOOKUP($AM417,PATRIMONIALE!$AV469:AW$1003,2,FALSE)</f>
        <v>#N/A</v>
      </c>
      <c r="AO417" s="310" t="e">
        <f>VLOOKUP($AM417,PATRIMONIALE!$AV469:AX$1003,3,FALSE)</f>
        <v>#N/A</v>
      </c>
      <c r="AP417" s="310" t="e">
        <f>VLOOKUP($AM417,PATRIMONIALE!$AV469:AY$1003,4,FALSE)</f>
        <v>#N/A</v>
      </c>
      <c r="AQ417" s="748" t="e">
        <f>VLOOKUP($AM417,PATRIMONIALE!$AV469:AZ$1003,5,FALSE)</f>
        <v>#N/A</v>
      </c>
      <c r="AR417" s="1"/>
      <c r="AS417" s="461" t="str">
        <f t="shared" si="80"/>
        <v/>
      </c>
      <c r="AT417" s="370"/>
    </row>
    <row r="418" spans="1:46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435">
        <f>IF(AND(W418&gt;=$U$1,W418&lt;=$U$2),IF(X418='ESTRATTO CONTO'!$E$2,1+COUNTIF(U$4:U417,"&gt;0"),0),0)</f>
        <v>0</v>
      </c>
      <c r="V418" s="417">
        <f t="shared" si="81"/>
        <v>415</v>
      </c>
      <c r="W418" s="509"/>
      <c r="X418" s="321"/>
      <c r="Y418" s="321"/>
      <c r="Z418" s="433"/>
      <c r="AA418" s="356"/>
      <c r="AB418" s="306" t="str">
        <f t="shared" si="76"/>
        <v/>
      </c>
      <c r="AC418" s="893">
        <f t="shared" si="77"/>
        <v>0</v>
      </c>
      <c r="AD418" s="322"/>
      <c r="AE418" s="1"/>
      <c r="AF418" s="223">
        <f>IF(ISBLANK(AD418),0,COUNTIF(AF$4:AF417,"&gt;0")+1)</f>
        <v>0</v>
      </c>
      <c r="AG418" s="164">
        <f t="shared" si="83"/>
        <v>0</v>
      </c>
      <c r="AH418" s="99">
        <f t="shared" si="78"/>
        <v>0</v>
      </c>
      <c r="AI418" s="99">
        <f t="shared" si="84"/>
        <v>0</v>
      </c>
      <c r="AJ418" s="170">
        <f t="shared" si="85"/>
        <v>0</v>
      </c>
      <c r="AK418" s="204">
        <f t="shared" si="79"/>
        <v>0</v>
      </c>
      <c r="AL418" s="1049">
        <f>IF(ISERROR(AO418),0,IF(AND(AN418&gt;=$U$1,AN418&lt;=$U$2),IF(AO418='ESTRATTO CONTO'!$E$2,1+COUNTIF(AL$4:AL417,"&gt;0")+U$1009,0),0))</f>
        <v>0</v>
      </c>
      <c r="AM418" s="747">
        <f t="shared" si="82"/>
        <v>415</v>
      </c>
      <c r="AN418" s="164" t="e">
        <f>VLOOKUP($AM418,PATRIMONIALE!$AV470:AW$1003,2,FALSE)</f>
        <v>#N/A</v>
      </c>
      <c r="AO418" s="310" t="e">
        <f>VLOOKUP($AM418,PATRIMONIALE!$AV470:AX$1003,3,FALSE)</f>
        <v>#N/A</v>
      </c>
      <c r="AP418" s="310" t="e">
        <f>VLOOKUP($AM418,PATRIMONIALE!$AV470:AY$1003,4,FALSE)</f>
        <v>#N/A</v>
      </c>
      <c r="AQ418" s="748" t="e">
        <f>VLOOKUP($AM418,PATRIMONIALE!$AV470:AZ$1003,5,FALSE)</f>
        <v>#N/A</v>
      </c>
      <c r="AR418" s="1"/>
      <c r="AS418" s="461" t="str">
        <f t="shared" si="80"/>
        <v/>
      </c>
      <c r="AT418" s="370"/>
    </row>
    <row r="419" spans="1:46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435">
        <f>IF(AND(W419&gt;=$U$1,W419&lt;=$U$2),IF(X419='ESTRATTO CONTO'!$E$2,1+COUNTIF(U$4:U418,"&gt;0"),0),0)</f>
        <v>0</v>
      </c>
      <c r="V419" s="417">
        <f t="shared" si="81"/>
        <v>416</v>
      </c>
      <c r="W419" s="509"/>
      <c r="X419" s="321"/>
      <c r="Y419" s="321"/>
      <c r="Z419" s="433"/>
      <c r="AA419" s="356"/>
      <c r="AB419" s="306" t="str">
        <f t="shared" si="76"/>
        <v/>
      </c>
      <c r="AC419" s="893">
        <f t="shared" si="77"/>
        <v>0</v>
      </c>
      <c r="AD419" s="322"/>
      <c r="AE419" s="1"/>
      <c r="AF419" s="223">
        <f>IF(ISBLANK(AD419),0,COUNTIF(AF$4:AF418,"&gt;0")+1)</f>
        <v>0</v>
      </c>
      <c r="AG419" s="164">
        <f t="shared" si="83"/>
        <v>0</v>
      </c>
      <c r="AH419" s="99">
        <f t="shared" si="78"/>
        <v>0</v>
      </c>
      <c r="AI419" s="99">
        <f t="shared" si="84"/>
        <v>0</v>
      </c>
      <c r="AJ419" s="170">
        <f t="shared" si="85"/>
        <v>0</v>
      </c>
      <c r="AK419" s="204">
        <f t="shared" si="79"/>
        <v>0</v>
      </c>
      <c r="AL419" s="1049">
        <f>IF(ISERROR(AO419),0,IF(AND(AN419&gt;=$U$1,AN419&lt;=$U$2),IF(AO419='ESTRATTO CONTO'!$E$2,1+COUNTIF(AL$4:AL418,"&gt;0")+U$1009,0),0))</f>
        <v>0</v>
      </c>
      <c r="AM419" s="747">
        <f t="shared" si="82"/>
        <v>416</v>
      </c>
      <c r="AN419" s="164" t="e">
        <f>VLOOKUP($AM419,PATRIMONIALE!$AV471:AW$1003,2,FALSE)</f>
        <v>#N/A</v>
      </c>
      <c r="AO419" s="310" t="e">
        <f>VLOOKUP($AM419,PATRIMONIALE!$AV471:AX$1003,3,FALSE)</f>
        <v>#N/A</v>
      </c>
      <c r="AP419" s="310" t="e">
        <f>VLOOKUP($AM419,PATRIMONIALE!$AV471:AY$1003,4,FALSE)</f>
        <v>#N/A</v>
      </c>
      <c r="AQ419" s="748" t="e">
        <f>VLOOKUP($AM419,PATRIMONIALE!$AV471:AZ$1003,5,FALSE)</f>
        <v>#N/A</v>
      </c>
      <c r="AR419" s="1"/>
      <c r="AS419" s="461" t="str">
        <f t="shared" si="80"/>
        <v/>
      </c>
      <c r="AT419" s="370"/>
    </row>
    <row r="420" spans="1:46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435">
        <f>IF(AND(W420&gt;=$U$1,W420&lt;=$U$2),IF(X420='ESTRATTO CONTO'!$E$2,1+COUNTIF(U$4:U419,"&gt;0"),0),0)</f>
        <v>0</v>
      </c>
      <c r="V420" s="417">
        <f t="shared" si="81"/>
        <v>417</v>
      </c>
      <c r="W420" s="509"/>
      <c r="X420" s="321"/>
      <c r="Y420" s="321"/>
      <c r="Z420" s="433"/>
      <c r="AA420" s="356"/>
      <c r="AB420" s="306" t="str">
        <f t="shared" si="76"/>
        <v/>
      </c>
      <c r="AC420" s="893">
        <f t="shared" si="77"/>
        <v>0</v>
      </c>
      <c r="AD420" s="322"/>
      <c r="AE420" s="1"/>
      <c r="AF420" s="223">
        <f>IF(ISBLANK(AD420),0,COUNTIF(AF$4:AF419,"&gt;0")+1)</f>
        <v>0</v>
      </c>
      <c r="AG420" s="164">
        <f t="shared" si="83"/>
        <v>0</v>
      </c>
      <c r="AH420" s="99">
        <f t="shared" si="78"/>
        <v>0</v>
      </c>
      <c r="AI420" s="99">
        <f t="shared" si="84"/>
        <v>0</v>
      </c>
      <c r="AJ420" s="170">
        <f t="shared" si="85"/>
        <v>0</v>
      </c>
      <c r="AK420" s="204">
        <f t="shared" si="79"/>
        <v>0</v>
      </c>
      <c r="AL420" s="1049">
        <f>IF(ISERROR(AO420),0,IF(AND(AN420&gt;=$U$1,AN420&lt;=$U$2),IF(AO420='ESTRATTO CONTO'!$E$2,1+COUNTIF(AL$4:AL419,"&gt;0")+U$1009,0),0))</f>
        <v>0</v>
      </c>
      <c r="AM420" s="747">
        <f t="shared" si="82"/>
        <v>417</v>
      </c>
      <c r="AN420" s="164" t="e">
        <f>VLOOKUP($AM420,PATRIMONIALE!$AV472:AW$1003,2,FALSE)</f>
        <v>#N/A</v>
      </c>
      <c r="AO420" s="310" t="e">
        <f>VLOOKUP($AM420,PATRIMONIALE!$AV472:AX$1003,3,FALSE)</f>
        <v>#N/A</v>
      </c>
      <c r="AP420" s="310" t="e">
        <f>VLOOKUP($AM420,PATRIMONIALE!$AV472:AY$1003,4,FALSE)</f>
        <v>#N/A</v>
      </c>
      <c r="AQ420" s="748" t="e">
        <f>VLOOKUP($AM420,PATRIMONIALE!$AV472:AZ$1003,5,FALSE)</f>
        <v>#N/A</v>
      </c>
      <c r="AR420" s="1"/>
      <c r="AS420" s="461" t="str">
        <f t="shared" si="80"/>
        <v/>
      </c>
      <c r="AT420" s="370"/>
    </row>
    <row r="421" spans="1:46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435">
        <f>IF(AND(W421&gt;=$U$1,W421&lt;=$U$2),IF(X421='ESTRATTO CONTO'!$E$2,1+COUNTIF(U$4:U420,"&gt;0"),0),0)</f>
        <v>0</v>
      </c>
      <c r="V421" s="417">
        <f t="shared" si="81"/>
        <v>418</v>
      </c>
      <c r="W421" s="509"/>
      <c r="X421" s="321"/>
      <c r="Y421" s="321"/>
      <c r="Z421" s="433"/>
      <c r="AA421" s="356"/>
      <c r="AB421" s="306" t="str">
        <f t="shared" si="76"/>
        <v/>
      </c>
      <c r="AC421" s="893">
        <f t="shared" si="77"/>
        <v>0</v>
      </c>
      <c r="AD421" s="322"/>
      <c r="AE421" s="1"/>
      <c r="AF421" s="223">
        <f>IF(ISBLANK(AD421),0,COUNTIF(AF$4:AF420,"&gt;0")+1)</f>
        <v>0</v>
      </c>
      <c r="AG421" s="164">
        <f t="shared" si="83"/>
        <v>0</v>
      </c>
      <c r="AH421" s="99">
        <f t="shared" si="78"/>
        <v>0</v>
      </c>
      <c r="AI421" s="99">
        <f t="shared" si="84"/>
        <v>0</v>
      </c>
      <c r="AJ421" s="170">
        <f t="shared" si="85"/>
        <v>0</v>
      </c>
      <c r="AK421" s="204">
        <f t="shared" si="79"/>
        <v>0</v>
      </c>
      <c r="AL421" s="1049">
        <f>IF(ISERROR(AO421),0,IF(AND(AN421&gt;=$U$1,AN421&lt;=$U$2),IF(AO421='ESTRATTO CONTO'!$E$2,1+COUNTIF(AL$4:AL420,"&gt;0")+U$1009,0),0))</f>
        <v>0</v>
      </c>
      <c r="AM421" s="747">
        <f t="shared" si="82"/>
        <v>418</v>
      </c>
      <c r="AN421" s="164" t="e">
        <f>VLOOKUP($AM421,PATRIMONIALE!$AV473:AW$1003,2,FALSE)</f>
        <v>#N/A</v>
      </c>
      <c r="AO421" s="310" t="e">
        <f>VLOOKUP($AM421,PATRIMONIALE!$AV473:AX$1003,3,FALSE)</f>
        <v>#N/A</v>
      </c>
      <c r="AP421" s="310" t="e">
        <f>VLOOKUP($AM421,PATRIMONIALE!$AV473:AY$1003,4,FALSE)</f>
        <v>#N/A</v>
      </c>
      <c r="AQ421" s="748" t="e">
        <f>VLOOKUP($AM421,PATRIMONIALE!$AV473:AZ$1003,5,FALSE)</f>
        <v>#N/A</v>
      </c>
      <c r="AR421" s="1"/>
      <c r="AS421" s="461" t="str">
        <f t="shared" si="80"/>
        <v/>
      </c>
      <c r="AT421" s="370"/>
    </row>
    <row r="422" spans="1:46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435">
        <f>IF(AND(W422&gt;=$U$1,W422&lt;=$U$2),IF(X422='ESTRATTO CONTO'!$E$2,1+COUNTIF(U$4:U421,"&gt;0"),0),0)</f>
        <v>0</v>
      </c>
      <c r="V422" s="417">
        <f t="shared" si="81"/>
        <v>419</v>
      </c>
      <c r="W422" s="509"/>
      <c r="X422" s="321"/>
      <c r="Y422" s="321"/>
      <c r="Z422" s="433"/>
      <c r="AA422" s="356"/>
      <c r="AB422" s="306" t="str">
        <f t="shared" si="76"/>
        <v/>
      </c>
      <c r="AC422" s="893">
        <f t="shared" si="77"/>
        <v>0</v>
      </c>
      <c r="AD422" s="322"/>
      <c r="AE422" s="1"/>
      <c r="AF422" s="223">
        <f>IF(ISBLANK(AD422),0,COUNTIF(AF$4:AF421,"&gt;0")+1)</f>
        <v>0</v>
      </c>
      <c r="AG422" s="164">
        <f t="shared" si="83"/>
        <v>0</v>
      </c>
      <c r="AH422" s="99">
        <f t="shared" si="78"/>
        <v>0</v>
      </c>
      <c r="AI422" s="99">
        <f t="shared" si="84"/>
        <v>0</v>
      </c>
      <c r="AJ422" s="170">
        <f t="shared" si="85"/>
        <v>0</v>
      </c>
      <c r="AK422" s="204">
        <f t="shared" si="79"/>
        <v>0</v>
      </c>
      <c r="AL422" s="1049">
        <f>IF(ISERROR(AO422),0,IF(AND(AN422&gt;=$U$1,AN422&lt;=$U$2),IF(AO422='ESTRATTO CONTO'!$E$2,1+COUNTIF(AL$4:AL421,"&gt;0")+U$1009,0),0))</f>
        <v>0</v>
      </c>
      <c r="AM422" s="747">
        <f t="shared" si="82"/>
        <v>419</v>
      </c>
      <c r="AN422" s="164" t="e">
        <f>VLOOKUP($AM422,PATRIMONIALE!$AV474:AW$1003,2,FALSE)</f>
        <v>#N/A</v>
      </c>
      <c r="AO422" s="310" t="e">
        <f>VLOOKUP($AM422,PATRIMONIALE!$AV474:AX$1003,3,FALSE)</f>
        <v>#N/A</v>
      </c>
      <c r="AP422" s="310" t="e">
        <f>VLOOKUP($AM422,PATRIMONIALE!$AV474:AY$1003,4,FALSE)</f>
        <v>#N/A</v>
      </c>
      <c r="AQ422" s="748" t="e">
        <f>VLOOKUP($AM422,PATRIMONIALE!$AV474:AZ$1003,5,FALSE)</f>
        <v>#N/A</v>
      </c>
      <c r="AR422" s="1"/>
      <c r="AS422" s="461" t="str">
        <f t="shared" si="80"/>
        <v/>
      </c>
      <c r="AT422" s="370"/>
    </row>
    <row r="423" spans="1:46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435">
        <f>IF(AND(W423&gt;=$U$1,W423&lt;=$U$2),IF(X423='ESTRATTO CONTO'!$E$2,1+COUNTIF(U$4:U422,"&gt;0"),0),0)</f>
        <v>0</v>
      </c>
      <c r="V423" s="417">
        <f t="shared" si="81"/>
        <v>420</v>
      </c>
      <c r="W423" s="509"/>
      <c r="X423" s="321"/>
      <c r="Y423" s="321"/>
      <c r="Z423" s="433"/>
      <c r="AA423" s="356"/>
      <c r="AB423" s="306" t="str">
        <f t="shared" si="76"/>
        <v/>
      </c>
      <c r="AC423" s="893">
        <f t="shared" si="77"/>
        <v>0</v>
      </c>
      <c r="AD423" s="322"/>
      <c r="AE423" s="1"/>
      <c r="AF423" s="223">
        <f>IF(ISBLANK(AD423),0,COUNTIF(AF$4:AF422,"&gt;0")+1)</f>
        <v>0</v>
      </c>
      <c r="AG423" s="164">
        <f t="shared" si="83"/>
        <v>0</v>
      </c>
      <c r="AH423" s="99">
        <f t="shared" si="78"/>
        <v>0</v>
      </c>
      <c r="AI423" s="99">
        <f t="shared" si="84"/>
        <v>0</v>
      </c>
      <c r="AJ423" s="170">
        <f t="shared" si="85"/>
        <v>0</v>
      </c>
      <c r="AK423" s="204">
        <f t="shared" si="79"/>
        <v>0</v>
      </c>
      <c r="AL423" s="1049">
        <f>IF(ISERROR(AO423),0,IF(AND(AN423&gt;=$U$1,AN423&lt;=$U$2),IF(AO423='ESTRATTO CONTO'!$E$2,1+COUNTIF(AL$4:AL422,"&gt;0")+U$1009,0),0))</f>
        <v>0</v>
      </c>
      <c r="AM423" s="747">
        <f t="shared" si="82"/>
        <v>420</v>
      </c>
      <c r="AN423" s="164" t="e">
        <f>VLOOKUP($AM423,PATRIMONIALE!$AV475:AW$1003,2,FALSE)</f>
        <v>#N/A</v>
      </c>
      <c r="AO423" s="310" t="e">
        <f>VLOOKUP($AM423,PATRIMONIALE!$AV475:AX$1003,3,FALSE)</f>
        <v>#N/A</v>
      </c>
      <c r="AP423" s="310" t="e">
        <f>VLOOKUP($AM423,PATRIMONIALE!$AV475:AY$1003,4,FALSE)</f>
        <v>#N/A</v>
      </c>
      <c r="AQ423" s="748" t="e">
        <f>VLOOKUP($AM423,PATRIMONIALE!$AV475:AZ$1003,5,FALSE)</f>
        <v>#N/A</v>
      </c>
      <c r="AR423" s="1"/>
      <c r="AS423" s="461" t="str">
        <f t="shared" si="80"/>
        <v/>
      </c>
      <c r="AT423" s="370"/>
    </row>
    <row r="424" spans="1:46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435">
        <f>IF(AND(W424&gt;=$U$1,W424&lt;=$U$2),IF(X424='ESTRATTO CONTO'!$E$2,1+COUNTIF(U$4:U423,"&gt;0"),0),0)</f>
        <v>0</v>
      </c>
      <c r="V424" s="417">
        <f t="shared" si="81"/>
        <v>421</v>
      </c>
      <c r="W424" s="509"/>
      <c r="X424" s="321"/>
      <c r="Y424" s="321"/>
      <c r="Z424" s="433"/>
      <c r="AA424" s="356"/>
      <c r="AB424" s="306" t="str">
        <f t="shared" si="76"/>
        <v/>
      </c>
      <c r="AC424" s="893">
        <f t="shared" si="77"/>
        <v>0</v>
      </c>
      <c r="AD424" s="322"/>
      <c r="AE424" s="1"/>
      <c r="AF424" s="223">
        <f>IF(ISBLANK(AD424),0,COUNTIF(AF$4:AF423,"&gt;0")+1)</f>
        <v>0</v>
      </c>
      <c r="AG424" s="164">
        <f t="shared" si="83"/>
        <v>0</v>
      </c>
      <c r="AH424" s="99">
        <f t="shared" si="78"/>
        <v>0</v>
      </c>
      <c r="AI424" s="99">
        <f t="shared" si="84"/>
        <v>0</v>
      </c>
      <c r="AJ424" s="170">
        <f t="shared" si="85"/>
        <v>0</v>
      </c>
      <c r="AK424" s="204">
        <f t="shared" si="79"/>
        <v>0</v>
      </c>
      <c r="AL424" s="1049">
        <f>IF(ISERROR(AO424),0,IF(AND(AN424&gt;=$U$1,AN424&lt;=$U$2),IF(AO424='ESTRATTO CONTO'!$E$2,1+COUNTIF(AL$4:AL423,"&gt;0")+U$1009,0),0))</f>
        <v>0</v>
      </c>
      <c r="AM424" s="747">
        <f t="shared" si="82"/>
        <v>421</v>
      </c>
      <c r="AN424" s="164" t="e">
        <f>VLOOKUP($AM424,PATRIMONIALE!$AV476:AW$1003,2,FALSE)</f>
        <v>#N/A</v>
      </c>
      <c r="AO424" s="310" t="e">
        <f>VLOOKUP($AM424,PATRIMONIALE!$AV476:AX$1003,3,FALSE)</f>
        <v>#N/A</v>
      </c>
      <c r="AP424" s="310" t="e">
        <f>VLOOKUP($AM424,PATRIMONIALE!$AV476:AY$1003,4,FALSE)</f>
        <v>#N/A</v>
      </c>
      <c r="AQ424" s="748" t="e">
        <f>VLOOKUP($AM424,PATRIMONIALE!$AV476:AZ$1003,5,FALSE)</f>
        <v>#N/A</v>
      </c>
      <c r="AR424" s="1"/>
      <c r="AS424" s="461" t="str">
        <f t="shared" si="80"/>
        <v/>
      </c>
      <c r="AT424" s="370"/>
    </row>
    <row r="425" spans="1:46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435">
        <f>IF(AND(W425&gt;=$U$1,W425&lt;=$U$2),IF(X425='ESTRATTO CONTO'!$E$2,1+COUNTIF(U$4:U424,"&gt;0"),0),0)</f>
        <v>0</v>
      </c>
      <c r="V425" s="417">
        <f t="shared" si="81"/>
        <v>422</v>
      </c>
      <c r="W425" s="509"/>
      <c r="X425" s="321"/>
      <c r="Y425" s="321"/>
      <c r="Z425" s="433"/>
      <c r="AA425" s="356"/>
      <c r="AB425" s="306" t="str">
        <f t="shared" si="76"/>
        <v/>
      </c>
      <c r="AC425" s="893">
        <f t="shared" si="77"/>
        <v>0</v>
      </c>
      <c r="AD425" s="322"/>
      <c r="AE425" s="1"/>
      <c r="AF425" s="223">
        <f>IF(ISBLANK(AD425),0,COUNTIF(AF$4:AF424,"&gt;0")+1)</f>
        <v>0</v>
      </c>
      <c r="AG425" s="164">
        <f t="shared" si="83"/>
        <v>0</v>
      </c>
      <c r="AH425" s="99">
        <f t="shared" si="78"/>
        <v>0</v>
      </c>
      <c r="AI425" s="99">
        <f t="shared" si="84"/>
        <v>0</v>
      </c>
      <c r="AJ425" s="170">
        <f t="shared" si="85"/>
        <v>0</v>
      </c>
      <c r="AK425" s="204">
        <f t="shared" si="79"/>
        <v>0</v>
      </c>
      <c r="AL425" s="1049">
        <f>IF(ISERROR(AO425),0,IF(AND(AN425&gt;=$U$1,AN425&lt;=$U$2),IF(AO425='ESTRATTO CONTO'!$E$2,1+COUNTIF(AL$4:AL424,"&gt;0")+U$1009,0),0))</f>
        <v>0</v>
      </c>
      <c r="AM425" s="747">
        <f t="shared" si="82"/>
        <v>422</v>
      </c>
      <c r="AN425" s="164" t="e">
        <f>VLOOKUP($AM425,PATRIMONIALE!$AV477:AW$1003,2,FALSE)</f>
        <v>#N/A</v>
      </c>
      <c r="AO425" s="310" t="e">
        <f>VLOOKUP($AM425,PATRIMONIALE!$AV477:AX$1003,3,FALSE)</f>
        <v>#N/A</v>
      </c>
      <c r="AP425" s="310" t="e">
        <f>VLOOKUP($AM425,PATRIMONIALE!$AV477:AY$1003,4,FALSE)</f>
        <v>#N/A</v>
      </c>
      <c r="AQ425" s="748" t="e">
        <f>VLOOKUP($AM425,PATRIMONIALE!$AV477:AZ$1003,5,FALSE)</f>
        <v>#N/A</v>
      </c>
      <c r="AR425" s="1"/>
      <c r="AS425" s="461" t="str">
        <f t="shared" si="80"/>
        <v/>
      </c>
      <c r="AT425" s="370"/>
    </row>
    <row r="426" spans="1:46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435">
        <f>IF(AND(W426&gt;=$U$1,W426&lt;=$U$2),IF(X426='ESTRATTO CONTO'!$E$2,1+COUNTIF(U$4:U425,"&gt;0"),0),0)</f>
        <v>0</v>
      </c>
      <c r="V426" s="417">
        <f t="shared" si="81"/>
        <v>423</v>
      </c>
      <c r="W426" s="509"/>
      <c r="X426" s="321"/>
      <c r="Y426" s="321"/>
      <c r="Z426" s="433"/>
      <c r="AA426" s="356"/>
      <c r="AB426" s="306" t="str">
        <f t="shared" si="76"/>
        <v/>
      </c>
      <c r="AC426" s="893">
        <f t="shared" si="77"/>
        <v>0</v>
      </c>
      <c r="AD426" s="322"/>
      <c r="AE426" s="1"/>
      <c r="AF426" s="223">
        <f>IF(ISBLANK(AD426),0,COUNTIF(AF$4:AF425,"&gt;0")+1)</f>
        <v>0</v>
      </c>
      <c r="AG426" s="164">
        <f t="shared" si="83"/>
        <v>0</v>
      </c>
      <c r="AH426" s="99">
        <f t="shared" si="78"/>
        <v>0</v>
      </c>
      <c r="AI426" s="99">
        <f t="shared" si="84"/>
        <v>0</v>
      </c>
      <c r="AJ426" s="170">
        <f t="shared" si="85"/>
        <v>0</v>
      </c>
      <c r="AK426" s="204">
        <f t="shared" si="79"/>
        <v>0</v>
      </c>
      <c r="AL426" s="1049">
        <f>IF(ISERROR(AO426),0,IF(AND(AN426&gt;=$U$1,AN426&lt;=$U$2),IF(AO426='ESTRATTO CONTO'!$E$2,1+COUNTIF(AL$4:AL425,"&gt;0")+U$1009,0),0))</f>
        <v>0</v>
      </c>
      <c r="AM426" s="747">
        <f t="shared" si="82"/>
        <v>423</v>
      </c>
      <c r="AN426" s="164" t="e">
        <f>VLOOKUP($AM426,PATRIMONIALE!$AV478:AW$1003,2,FALSE)</f>
        <v>#N/A</v>
      </c>
      <c r="AO426" s="310" t="e">
        <f>VLOOKUP($AM426,PATRIMONIALE!$AV478:AX$1003,3,FALSE)</f>
        <v>#N/A</v>
      </c>
      <c r="AP426" s="310" t="e">
        <f>VLOOKUP($AM426,PATRIMONIALE!$AV478:AY$1003,4,FALSE)</f>
        <v>#N/A</v>
      </c>
      <c r="AQ426" s="748" t="e">
        <f>VLOOKUP($AM426,PATRIMONIALE!$AV478:AZ$1003,5,FALSE)</f>
        <v>#N/A</v>
      </c>
      <c r="AR426" s="1"/>
      <c r="AS426" s="461" t="str">
        <f t="shared" si="80"/>
        <v/>
      </c>
      <c r="AT426" s="370"/>
    </row>
    <row r="427" spans="1:46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435">
        <f>IF(AND(W427&gt;=$U$1,W427&lt;=$U$2),IF(X427='ESTRATTO CONTO'!$E$2,1+COUNTIF(U$4:U426,"&gt;0"),0),0)</f>
        <v>0</v>
      </c>
      <c r="V427" s="417">
        <f t="shared" si="81"/>
        <v>424</v>
      </c>
      <c r="W427" s="509"/>
      <c r="X427" s="321"/>
      <c r="Y427" s="321"/>
      <c r="Z427" s="433"/>
      <c r="AA427" s="356"/>
      <c r="AB427" s="306" t="str">
        <f t="shared" si="76"/>
        <v/>
      </c>
      <c r="AC427" s="893">
        <f t="shared" si="77"/>
        <v>0</v>
      </c>
      <c r="AD427" s="322"/>
      <c r="AE427" s="1"/>
      <c r="AF427" s="223">
        <f>IF(ISBLANK(AD427),0,COUNTIF(AF$4:AF426,"&gt;0")+1)</f>
        <v>0</v>
      </c>
      <c r="AG427" s="164">
        <f t="shared" si="83"/>
        <v>0</v>
      </c>
      <c r="AH427" s="99">
        <f t="shared" si="78"/>
        <v>0</v>
      </c>
      <c r="AI427" s="99">
        <f t="shared" si="84"/>
        <v>0</v>
      </c>
      <c r="AJ427" s="170">
        <f t="shared" si="85"/>
        <v>0</v>
      </c>
      <c r="AK427" s="204">
        <f t="shared" si="79"/>
        <v>0</v>
      </c>
      <c r="AL427" s="1049">
        <f>IF(ISERROR(AO427),0,IF(AND(AN427&gt;=$U$1,AN427&lt;=$U$2),IF(AO427='ESTRATTO CONTO'!$E$2,1+COUNTIF(AL$4:AL426,"&gt;0")+U$1009,0),0))</f>
        <v>0</v>
      </c>
      <c r="AM427" s="747">
        <f t="shared" si="82"/>
        <v>424</v>
      </c>
      <c r="AN427" s="164" t="e">
        <f>VLOOKUP($AM427,PATRIMONIALE!$AV479:AW$1003,2,FALSE)</f>
        <v>#N/A</v>
      </c>
      <c r="AO427" s="310" t="e">
        <f>VLOOKUP($AM427,PATRIMONIALE!$AV479:AX$1003,3,FALSE)</f>
        <v>#N/A</v>
      </c>
      <c r="AP427" s="310" t="e">
        <f>VLOOKUP($AM427,PATRIMONIALE!$AV479:AY$1003,4,FALSE)</f>
        <v>#N/A</v>
      </c>
      <c r="AQ427" s="748" t="e">
        <f>VLOOKUP($AM427,PATRIMONIALE!$AV479:AZ$1003,5,FALSE)</f>
        <v>#N/A</v>
      </c>
      <c r="AR427" s="1"/>
      <c r="AS427" s="461" t="str">
        <f t="shared" si="80"/>
        <v/>
      </c>
      <c r="AT427" s="370"/>
    </row>
    <row r="428" spans="1:46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435">
        <f>IF(AND(W428&gt;=$U$1,W428&lt;=$U$2),IF(X428='ESTRATTO CONTO'!$E$2,1+COUNTIF(U$4:U427,"&gt;0"),0),0)</f>
        <v>0</v>
      </c>
      <c r="V428" s="417">
        <f t="shared" si="81"/>
        <v>425</v>
      </c>
      <c r="W428" s="509"/>
      <c r="X428" s="321"/>
      <c r="Y428" s="321"/>
      <c r="Z428" s="433"/>
      <c r="AA428" s="356"/>
      <c r="AB428" s="306" t="str">
        <f t="shared" si="76"/>
        <v/>
      </c>
      <c r="AC428" s="893">
        <f t="shared" si="77"/>
        <v>0</v>
      </c>
      <c r="AD428" s="322"/>
      <c r="AE428" s="1"/>
      <c r="AF428" s="223">
        <f>IF(ISBLANK(AD428),0,COUNTIF(AF$4:AF427,"&gt;0")+1)</f>
        <v>0</v>
      </c>
      <c r="AG428" s="164">
        <f t="shared" si="83"/>
        <v>0</v>
      </c>
      <c r="AH428" s="99">
        <f t="shared" si="78"/>
        <v>0</v>
      </c>
      <c r="AI428" s="99">
        <f t="shared" si="84"/>
        <v>0</v>
      </c>
      <c r="AJ428" s="170">
        <f t="shared" si="85"/>
        <v>0</v>
      </c>
      <c r="AK428" s="204">
        <f t="shared" si="79"/>
        <v>0</v>
      </c>
      <c r="AL428" s="1049">
        <f>IF(ISERROR(AO428),0,IF(AND(AN428&gt;=$U$1,AN428&lt;=$U$2),IF(AO428='ESTRATTO CONTO'!$E$2,1+COUNTIF(AL$4:AL427,"&gt;0")+U$1009,0),0))</f>
        <v>0</v>
      </c>
      <c r="AM428" s="747">
        <f t="shared" si="82"/>
        <v>425</v>
      </c>
      <c r="AN428" s="164" t="e">
        <f>VLOOKUP($AM428,PATRIMONIALE!$AV480:AW$1003,2,FALSE)</f>
        <v>#N/A</v>
      </c>
      <c r="AO428" s="310" t="e">
        <f>VLOOKUP($AM428,PATRIMONIALE!$AV480:AX$1003,3,FALSE)</f>
        <v>#N/A</v>
      </c>
      <c r="AP428" s="310" t="e">
        <f>VLOOKUP($AM428,PATRIMONIALE!$AV480:AY$1003,4,FALSE)</f>
        <v>#N/A</v>
      </c>
      <c r="AQ428" s="748" t="e">
        <f>VLOOKUP($AM428,PATRIMONIALE!$AV480:AZ$1003,5,FALSE)</f>
        <v>#N/A</v>
      </c>
      <c r="AR428" s="1"/>
      <c r="AS428" s="461" t="str">
        <f t="shared" si="80"/>
        <v/>
      </c>
      <c r="AT428" s="370"/>
    </row>
    <row r="429" spans="1:46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435">
        <f>IF(AND(W429&gt;=$U$1,W429&lt;=$U$2),IF(X429='ESTRATTO CONTO'!$E$2,1+COUNTIF(U$4:U428,"&gt;0"),0),0)</f>
        <v>0</v>
      </c>
      <c r="V429" s="417">
        <f t="shared" si="81"/>
        <v>426</v>
      </c>
      <c r="W429" s="509"/>
      <c r="X429" s="321"/>
      <c r="Y429" s="321"/>
      <c r="Z429" s="433"/>
      <c r="AA429" s="356"/>
      <c r="AB429" s="306" t="str">
        <f t="shared" si="76"/>
        <v/>
      </c>
      <c r="AC429" s="893">
        <f t="shared" si="77"/>
        <v>0</v>
      </c>
      <c r="AD429" s="322"/>
      <c r="AE429" s="1"/>
      <c r="AF429" s="223">
        <f>IF(ISBLANK(AD429),0,COUNTIF(AF$4:AF428,"&gt;0")+1)</f>
        <v>0</v>
      </c>
      <c r="AG429" s="164">
        <f t="shared" si="83"/>
        <v>0</v>
      </c>
      <c r="AH429" s="99">
        <f t="shared" si="78"/>
        <v>0</v>
      </c>
      <c r="AI429" s="99">
        <f t="shared" si="84"/>
        <v>0</v>
      </c>
      <c r="AJ429" s="170">
        <f t="shared" si="85"/>
        <v>0</v>
      </c>
      <c r="AK429" s="204">
        <f t="shared" si="79"/>
        <v>0</v>
      </c>
      <c r="AL429" s="1049">
        <f>IF(ISERROR(AO429),0,IF(AND(AN429&gt;=$U$1,AN429&lt;=$U$2),IF(AO429='ESTRATTO CONTO'!$E$2,1+COUNTIF(AL$4:AL428,"&gt;0")+U$1009,0),0))</f>
        <v>0</v>
      </c>
      <c r="AM429" s="747">
        <f t="shared" si="82"/>
        <v>426</v>
      </c>
      <c r="AN429" s="164" t="e">
        <f>VLOOKUP($AM429,PATRIMONIALE!$AV481:AW$1003,2,FALSE)</f>
        <v>#N/A</v>
      </c>
      <c r="AO429" s="310" t="e">
        <f>VLOOKUP($AM429,PATRIMONIALE!$AV481:AX$1003,3,FALSE)</f>
        <v>#N/A</v>
      </c>
      <c r="AP429" s="310" t="e">
        <f>VLOOKUP($AM429,PATRIMONIALE!$AV481:AY$1003,4,FALSE)</f>
        <v>#N/A</v>
      </c>
      <c r="AQ429" s="748" t="e">
        <f>VLOOKUP($AM429,PATRIMONIALE!$AV481:AZ$1003,5,FALSE)</f>
        <v>#N/A</v>
      </c>
      <c r="AR429" s="1"/>
      <c r="AS429" s="461" t="str">
        <f t="shared" si="80"/>
        <v/>
      </c>
      <c r="AT429" s="370"/>
    </row>
    <row r="430" spans="1:46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435">
        <f>IF(AND(W430&gt;=$U$1,W430&lt;=$U$2),IF(X430='ESTRATTO CONTO'!$E$2,1+COUNTIF(U$4:U429,"&gt;0"),0),0)</f>
        <v>0</v>
      </c>
      <c r="V430" s="417">
        <f t="shared" si="81"/>
        <v>427</v>
      </c>
      <c r="W430" s="509"/>
      <c r="X430" s="321"/>
      <c r="Y430" s="321"/>
      <c r="Z430" s="433"/>
      <c r="AA430" s="356"/>
      <c r="AB430" s="306" t="str">
        <f t="shared" si="76"/>
        <v/>
      </c>
      <c r="AC430" s="893">
        <f t="shared" si="77"/>
        <v>0</v>
      </c>
      <c r="AD430" s="322"/>
      <c r="AE430" s="1"/>
      <c r="AF430" s="223">
        <f>IF(ISBLANK(AD430),0,COUNTIF(AF$4:AF429,"&gt;0")+1)</f>
        <v>0</v>
      </c>
      <c r="AG430" s="164">
        <f t="shared" si="83"/>
        <v>0</v>
      </c>
      <c r="AH430" s="99">
        <f t="shared" si="78"/>
        <v>0</v>
      </c>
      <c r="AI430" s="99">
        <f t="shared" si="84"/>
        <v>0</v>
      </c>
      <c r="AJ430" s="170">
        <f t="shared" si="85"/>
        <v>0</v>
      </c>
      <c r="AK430" s="204">
        <f t="shared" si="79"/>
        <v>0</v>
      </c>
      <c r="AL430" s="1049">
        <f>IF(ISERROR(AO430),0,IF(AND(AN430&gt;=$U$1,AN430&lt;=$U$2),IF(AO430='ESTRATTO CONTO'!$E$2,1+COUNTIF(AL$4:AL429,"&gt;0")+U$1009,0),0))</f>
        <v>0</v>
      </c>
      <c r="AM430" s="747">
        <f t="shared" si="82"/>
        <v>427</v>
      </c>
      <c r="AN430" s="164" t="e">
        <f>VLOOKUP($AM430,PATRIMONIALE!$AV482:AW$1003,2,FALSE)</f>
        <v>#N/A</v>
      </c>
      <c r="AO430" s="310" t="e">
        <f>VLOOKUP($AM430,PATRIMONIALE!$AV482:AX$1003,3,FALSE)</f>
        <v>#N/A</v>
      </c>
      <c r="AP430" s="310" t="e">
        <f>VLOOKUP($AM430,PATRIMONIALE!$AV482:AY$1003,4,FALSE)</f>
        <v>#N/A</v>
      </c>
      <c r="AQ430" s="748" t="e">
        <f>VLOOKUP($AM430,PATRIMONIALE!$AV482:AZ$1003,5,FALSE)</f>
        <v>#N/A</v>
      </c>
      <c r="AR430" s="1"/>
      <c r="AS430" s="461" t="str">
        <f t="shared" si="80"/>
        <v/>
      </c>
      <c r="AT430" s="370"/>
    </row>
    <row r="431" spans="1:46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435">
        <f>IF(AND(W431&gt;=$U$1,W431&lt;=$U$2),IF(X431='ESTRATTO CONTO'!$E$2,1+COUNTIF(U$4:U430,"&gt;0"),0),0)</f>
        <v>0</v>
      </c>
      <c r="V431" s="417">
        <f t="shared" si="81"/>
        <v>428</v>
      </c>
      <c r="W431" s="509"/>
      <c r="X431" s="321"/>
      <c r="Y431" s="321"/>
      <c r="Z431" s="433"/>
      <c r="AA431" s="356"/>
      <c r="AB431" s="306" t="str">
        <f t="shared" si="76"/>
        <v/>
      </c>
      <c r="AC431" s="893">
        <f t="shared" si="77"/>
        <v>0</v>
      </c>
      <c r="AD431" s="322"/>
      <c r="AE431" s="1"/>
      <c r="AF431" s="223">
        <f>IF(ISBLANK(AD431),0,COUNTIF(AF$4:AF430,"&gt;0")+1)</f>
        <v>0</v>
      </c>
      <c r="AG431" s="164">
        <f t="shared" si="83"/>
        <v>0</v>
      </c>
      <c r="AH431" s="99">
        <f t="shared" si="78"/>
        <v>0</v>
      </c>
      <c r="AI431" s="99">
        <f t="shared" si="84"/>
        <v>0</v>
      </c>
      <c r="AJ431" s="170">
        <f t="shared" si="85"/>
        <v>0</v>
      </c>
      <c r="AK431" s="204">
        <f t="shared" si="79"/>
        <v>0</v>
      </c>
      <c r="AL431" s="1049">
        <f>IF(ISERROR(AO431),0,IF(AND(AN431&gt;=$U$1,AN431&lt;=$U$2),IF(AO431='ESTRATTO CONTO'!$E$2,1+COUNTIF(AL$4:AL430,"&gt;0")+U$1009,0),0))</f>
        <v>0</v>
      </c>
      <c r="AM431" s="747">
        <f t="shared" si="82"/>
        <v>428</v>
      </c>
      <c r="AN431" s="164" t="e">
        <f>VLOOKUP($AM431,PATRIMONIALE!$AV483:AW$1003,2,FALSE)</f>
        <v>#N/A</v>
      </c>
      <c r="AO431" s="310" t="e">
        <f>VLOOKUP($AM431,PATRIMONIALE!$AV483:AX$1003,3,FALSE)</f>
        <v>#N/A</v>
      </c>
      <c r="AP431" s="310" t="e">
        <f>VLOOKUP($AM431,PATRIMONIALE!$AV483:AY$1003,4,FALSE)</f>
        <v>#N/A</v>
      </c>
      <c r="AQ431" s="748" t="e">
        <f>VLOOKUP($AM431,PATRIMONIALE!$AV483:AZ$1003,5,FALSE)</f>
        <v>#N/A</v>
      </c>
      <c r="AR431" s="1"/>
      <c r="AS431" s="461" t="str">
        <f t="shared" si="80"/>
        <v/>
      </c>
      <c r="AT431" s="370"/>
    </row>
    <row r="432" spans="1:46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435">
        <f>IF(AND(W432&gt;=$U$1,W432&lt;=$U$2),IF(X432='ESTRATTO CONTO'!$E$2,1+COUNTIF(U$4:U431,"&gt;0"),0),0)</f>
        <v>0</v>
      </c>
      <c r="V432" s="417">
        <f t="shared" si="81"/>
        <v>429</v>
      </c>
      <c r="W432" s="509"/>
      <c r="X432" s="321"/>
      <c r="Y432" s="321"/>
      <c r="Z432" s="433"/>
      <c r="AA432" s="356"/>
      <c r="AB432" s="306" t="str">
        <f t="shared" si="76"/>
        <v/>
      </c>
      <c r="AC432" s="893">
        <f t="shared" si="77"/>
        <v>0</v>
      </c>
      <c r="AD432" s="322"/>
      <c r="AE432" s="1"/>
      <c r="AF432" s="223">
        <f>IF(ISBLANK(AD432),0,COUNTIF(AF$4:AF431,"&gt;0")+1)</f>
        <v>0</v>
      </c>
      <c r="AG432" s="164">
        <f t="shared" si="83"/>
        <v>0</v>
      </c>
      <c r="AH432" s="99">
        <f t="shared" si="78"/>
        <v>0</v>
      </c>
      <c r="AI432" s="99">
        <f t="shared" si="84"/>
        <v>0</v>
      </c>
      <c r="AJ432" s="170">
        <f t="shared" si="85"/>
        <v>0</v>
      </c>
      <c r="AK432" s="204">
        <f t="shared" si="79"/>
        <v>0</v>
      </c>
      <c r="AL432" s="1049">
        <f>IF(ISERROR(AO432),0,IF(AND(AN432&gt;=$U$1,AN432&lt;=$U$2),IF(AO432='ESTRATTO CONTO'!$E$2,1+COUNTIF(AL$4:AL431,"&gt;0")+U$1009,0),0))</f>
        <v>0</v>
      </c>
      <c r="AM432" s="747">
        <f t="shared" si="82"/>
        <v>429</v>
      </c>
      <c r="AN432" s="164" t="e">
        <f>VLOOKUP($AM432,PATRIMONIALE!$AV484:AW$1003,2,FALSE)</f>
        <v>#N/A</v>
      </c>
      <c r="AO432" s="310" t="e">
        <f>VLOOKUP($AM432,PATRIMONIALE!$AV484:AX$1003,3,FALSE)</f>
        <v>#N/A</v>
      </c>
      <c r="AP432" s="310" t="e">
        <f>VLOOKUP($AM432,PATRIMONIALE!$AV484:AY$1003,4,FALSE)</f>
        <v>#N/A</v>
      </c>
      <c r="AQ432" s="748" t="e">
        <f>VLOOKUP($AM432,PATRIMONIALE!$AV484:AZ$1003,5,FALSE)</f>
        <v>#N/A</v>
      </c>
      <c r="AR432" s="1"/>
      <c r="AS432" s="461" t="str">
        <f t="shared" si="80"/>
        <v/>
      </c>
      <c r="AT432" s="370"/>
    </row>
    <row r="433" spans="1:46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435">
        <f>IF(AND(W433&gt;=$U$1,W433&lt;=$U$2),IF(X433='ESTRATTO CONTO'!$E$2,1+COUNTIF(U$4:U432,"&gt;0"),0),0)</f>
        <v>0</v>
      </c>
      <c r="V433" s="417">
        <f t="shared" si="81"/>
        <v>430</v>
      </c>
      <c r="W433" s="509"/>
      <c r="X433" s="321"/>
      <c r="Y433" s="321"/>
      <c r="Z433" s="433"/>
      <c r="AA433" s="356"/>
      <c r="AB433" s="306" t="str">
        <f t="shared" si="76"/>
        <v/>
      </c>
      <c r="AC433" s="893">
        <f t="shared" si="77"/>
        <v>0</v>
      </c>
      <c r="AD433" s="322"/>
      <c r="AE433" s="1"/>
      <c r="AF433" s="223">
        <f>IF(ISBLANK(AD433),0,COUNTIF(AF$4:AF432,"&gt;0")+1)</f>
        <v>0</v>
      </c>
      <c r="AG433" s="164">
        <f t="shared" si="83"/>
        <v>0</v>
      </c>
      <c r="AH433" s="99">
        <f t="shared" si="78"/>
        <v>0</v>
      </c>
      <c r="AI433" s="99">
        <f t="shared" si="84"/>
        <v>0</v>
      </c>
      <c r="AJ433" s="170">
        <f t="shared" si="85"/>
        <v>0</v>
      </c>
      <c r="AK433" s="204">
        <f t="shared" si="79"/>
        <v>0</v>
      </c>
      <c r="AL433" s="1049">
        <f>IF(ISERROR(AO433),0,IF(AND(AN433&gt;=$U$1,AN433&lt;=$U$2),IF(AO433='ESTRATTO CONTO'!$E$2,1+COUNTIF(AL$4:AL432,"&gt;0")+U$1009,0),0))</f>
        <v>0</v>
      </c>
      <c r="AM433" s="747">
        <f t="shared" si="82"/>
        <v>430</v>
      </c>
      <c r="AN433" s="164" t="e">
        <f>VLOOKUP($AM433,PATRIMONIALE!$AV485:AW$1003,2,FALSE)</f>
        <v>#N/A</v>
      </c>
      <c r="AO433" s="310" t="e">
        <f>VLOOKUP($AM433,PATRIMONIALE!$AV485:AX$1003,3,FALSE)</f>
        <v>#N/A</v>
      </c>
      <c r="AP433" s="310" t="e">
        <f>VLOOKUP($AM433,PATRIMONIALE!$AV485:AY$1003,4,FALSE)</f>
        <v>#N/A</v>
      </c>
      <c r="AQ433" s="748" t="e">
        <f>VLOOKUP($AM433,PATRIMONIALE!$AV485:AZ$1003,5,FALSE)</f>
        <v>#N/A</v>
      </c>
      <c r="AR433" s="1"/>
      <c r="AS433" s="461" t="str">
        <f t="shared" si="80"/>
        <v/>
      </c>
      <c r="AT433" s="370"/>
    </row>
    <row r="434" spans="1:46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435">
        <f>IF(AND(W434&gt;=$U$1,W434&lt;=$U$2),IF(X434='ESTRATTO CONTO'!$E$2,1+COUNTIF(U$4:U433,"&gt;0"),0),0)</f>
        <v>0</v>
      </c>
      <c r="V434" s="417">
        <f t="shared" si="81"/>
        <v>431</v>
      </c>
      <c r="W434" s="509"/>
      <c r="X434" s="321"/>
      <c r="Y434" s="321"/>
      <c r="Z434" s="433"/>
      <c r="AA434" s="356"/>
      <c r="AB434" s="306" t="str">
        <f t="shared" si="76"/>
        <v/>
      </c>
      <c r="AC434" s="893">
        <f t="shared" si="77"/>
        <v>0</v>
      </c>
      <c r="AD434" s="322"/>
      <c r="AE434" s="1"/>
      <c r="AF434" s="223">
        <f>IF(ISBLANK(AD434),0,COUNTIF(AF$4:AF433,"&gt;0")+1)</f>
        <v>0</v>
      </c>
      <c r="AG434" s="164">
        <f t="shared" si="83"/>
        <v>0</v>
      </c>
      <c r="AH434" s="99">
        <f t="shared" si="78"/>
        <v>0</v>
      </c>
      <c r="AI434" s="99">
        <f t="shared" si="84"/>
        <v>0</v>
      </c>
      <c r="AJ434" s="170">
        <f t="shared" si="85"/>
        <v>0</v>
      </c>
      <c r="AK434" s="204">
        <f t="shared" si="79"/>
        <v>0</v>
      </c>
      <c r="AL434" s="1049">
        <f>IF(ISERROR(AO434),0,IF(AND(AN434&gt;=$U$1,AN434&lt;=$U$2),IF(AO434='ESTRATTO CONTO'!$E$2,1+COUNTIF(AL$4:AL433,"&gt;0")+U$1009,0),0))</f>
        <v>0</v>
      </c>
      <c r="AM434" s="747">
        <f t="shared" si="82"/>
        <v>431</v>
      </c>
      <c r="AN434" s="164" t="e">
        <f>VLOOKUP($AM434,PATRIMONIALE!$AV486:AW$1003,2,FALSE)</f>
        <v>#N/A</v>
      </c>
      <c r="AO434" s="310" t="e">
        <f>VLOOKUP($AM434,PATRIMONIALE!$AV486:AX$1003,3,FALSE)</f>
        <v>#N/A</v>
      </c>
      <c r="AP434" s="310" t="e">
        <f>VLOOKUP($AM434,PATRIMONIALE!$AV486:AY$1003,4,FALSE)</f>
        <v>#N/A</v>
      </c>
      <c r="AQ434" s="748" t="e">
        <f>VLOOKUP($AM434,PATRIMONIALE!$AV486:AZ$1003,5,FALSE)</f>
        <v>#N/A</v>
      </c>
      <c r="AR434" s="1"/>
      <c r="AS434" s="461" t="str">
        <f t="shared" si="80"/>
        <v/>
      </c>
      <c r="AT434" s="370"/>
    </row>
    <row r="435" spans="1:46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435">
        <f>IF(AND(W435&gt;=$U$1,W435&lt;=$U$2),IF(X435='ESTRATTO CONTO'!$E$2,1+COUNTIF(U$4:U434,"&gt;0"),0),0)</f>
        <v>0</v>
      </c>
      <c r="V435" s="417">
        <f t="shared" si="81"/>
        <v>432</v>
      </c>
      <c r="W435" s="509"/>
      <c r="X435" s="321"/>
      <c r="Y435" s="321"/>
      <c r="Z435" s="433"/>
      <c r="AA435" s="356"/>
      <c r="AB435" s="306" t="str">
        <f t="shared" si="76"/>
        <v/>
      </c>
      <c r="AC435" s="893">
        <f t="shared" si="77"/>
        <v>0</v>
      </c>
      <c r="AD435" s="322"/>
      <c r="AE435" s="1"/>
      <c r="AF435" s="223">
        <f>IF(ISBLANK(AD435),0,COUNTIF(AF$4:AF434,"&gt;0")+1)</f>
        <v>0</v>
      </c>
      <c r="AG435" s="164">
        <f t="shared" si="83"/>
        <v>0</v>
      </c>
      <c r="AH435" s="99">
        <f t="shared" si="78"/>
        <v>0</v>
      </c>
      <c r="AI435" s="99">
        <f t="shared" si="84"/>
        <v>0</v>
      </c>
      <c r="AJ435" s="170">
        <f t="shared" si="85"/>
        <v>0</v>
      </c>
      <c r="AK435" s="204">
        <f t="shared" si="79"/>
        <v>0</v>
      </c>
      <c r="AL435" s="1049">
        <f>IF(ISERROR(AO435),0,IF(AND(AN435&gt;=$U$1,AN435&lt;=$U$2),IF(AO435='ESTRATTO CONTO'!$E$2,1+COUNTIF(AL$4:AL434,"&gt;0")+U$1009,0),0))</f>
        <v>0</v>
      </c>
      <c r="AM435" s="747">
        <f t="shared" si="82"/>
        <v>432</v>
      </c>
      <c r="AN435" s="164" t="e">
        <f>VLOOKUP($AM435,PATRIMONIALE!$AV487:AW$1003,2,FALSE)</f>
        <v>#N/A</v>
      </c>
      <c r="AO435" s="310" t="e">
        <f>VLOOKUP($AM435,PATRIMONIALE!$AV487:AX$1003,3,FALSE)</f>
        <v>#N/A</v>
      </c>
      <c r="AP435" s="310" t="e">
        <f>VLOOKUP($AM435,PATRIMONIALE!$AV487:AY$1003,4,FALSE)</f>
        <v>#N/A</v>
      </c>
      <c r="AQ435" s="748" t="e">
        <f>VLOOKUP($AM435,PATRIMONIALE!$AV487:AZ$1003,5,FALSE)</f>
        <v>#N/A</v>
      </c>
      <c r="AR435" s="1"/>
      <c r="AS435" s="461" t="str">
        <f t="shared" si="80"/>
        <v/>
      </c>
      <c r="AT435" s="370"/>
    </row>
    <row r="436" spans="1:46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435">
        <f>IF(AND(W436&gt;=$U$1,W436&lt;=$U$2),IF(X436='ESTRATTO CONTO'!$E$2,1+COUNTIF(U$4:U435,"&gt;0"),0),0)</f>
        <v>0</v>
      </c>
      <c r="V436" s="417">
        <f t="shared" si="81"/>
        <v>433</v>
      </c>
      <c r="W436" s="509"/>
      <c r="X436" s="321"/>
      <c r="Y436" s="321"/>
      <c r="Z436" s="433"/>
      <c r="AA436" s="356"/>
      <c r="AB436" s="306" t="str">
        <f t="shared" si="76"/>
        <v/>
      </c>
      <c r="AC436" s="893">
        <f t="shared" si="77"/>
        <v>0</v>
      </c>
      <c r="AD436" s="322"/>
      <c r="AE436" s="1"/>
      <c r="AF436" s="223">
        <f>IF(ISBLANK(AD436),0,COUNTIF(AF$4:AF435,"&gt;0")+1)</f>
        <v>0</v>
      </c>
      <c r="AG436" s="164">
        <f t="shared" si="83"/>
        <v>0</v>
      </c>
      <c r="AH436" s="99">
        <f t="shared" si="78"/>
        <v>0</v>
      </c>
      <c r="AI436" s="99">
        <f t="shared" si="84"/>
        <v>0</v>
      </c>
      <c r="AJ436" s="170">
        <f t="shared" si="85"/>
        <v>0</v>
      </c>
      <c r="AK436" s="204">
        <f t="shared" si="79"/>
        <v>0</v>
      </c>
      <c r="AL436" s="1049">
        <f>IF(ISERROR(AO436),0,IF(AND(AN436&gt;=$U$1,AN436&lt;=$U$2),IF(AO436='ESTRATTO CONTO'!$E$2,1+COUNTIF(AL$4:AL435,"&gt;0")+U$1009,0),0))</f>
        <v>0</v>
      </c>
      <c r="AM436" s="747">
        <f t="shared" si="82"/>
        <v>433</v>
      </c>
      <c r="AN436" s="164" t="e">
        <f>VLOOKUP($AM436,PATRIMONIALE!$AV488:AW$1003,2,FALSE)</f>
        <v>#N/A</v>
      </c>
      <c r="AO436" s="310" t="e">
        <f>VLOOKUP($AM436,PATRIMONIALE!$AV488:AX$1003,3,FALSE)</f>
        <v>#N/A</v>
      </c>
      <c r="AP436" s="310" t="e">
        <f>VLOOKUP($AM436,PATRIMONIALE!$AV488:AY$1003,4,FALSE)</f>
        <v>#N/A</v>
      </c>
      <c r="AQ436" s="748" t="e">
        <f>VLOOKUP($AM436,PATRIMONIALE!$AV488:AZ$1003,5,FALSE)</f>
        <v>#N/A</v>
      </c>
      <c r="AR436" s="1"/>
      <c r="AS436" s="461" t="str">
        <f t="shared" si="80"/>
        <v/>
      </c>
      <c r="AT436" s="370"/>
    </row>
    <row r="437" spans="1:46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435">
        <f>IF(AND(W437&gt;=$U$1,W437&lt;=$U$2),IF(X437='ESTRATTO CONTO'!$E$2,1+COUNTIF(U$4:U436,"&gt;0"),0),0)</f>
        <v>0</v>
      </c>
      <c r="V437" s="417">
        <f t="shared" si="81"/>
        <v>434</v>
      </c>
      <c r="W437" s="509"/>
      <c r="X437" s="321"/>
      <c r="Y437" s="321"/>
      <c r="Z437" s="433"/>
      <c r="AA437" s="356"/>
      <c r="AB437" s="306" t="str">
        <f t="shared" si="76"/>
        <v/>
      </c>
      <c r="AC437" s="893">
        <f t="shared" si="77"/>
        <v>0</v>
      </c>
      <c r="AD437" s="322"/>
      <c r="AE437" s="1"/>
      <c r="AF437" s="223">
        <f>IF(ISBLANK(AD437),0,COUNTIF(AF$4:AF436,"&gt;0")+1)</f>
        <v>0</v>
      </c>
      <c r="AG437" s="164">
        <f t="shared" si="83"/>
        <v>0</v>
      </c>
      <c r="AH437" s="99">
        <f t="shared" si="78"/>
        <v>0</v>
      </c>
      <c r="AI437" s="99">
        <f t="shared" si="84"/>
        <v>0</v>
      </c>
      <c r="AJ437" s="170">
        <f t="shared" si="85"/>
        <v>0</v>
      </c>
      <c r="AK437" s="204">
        <f t="shared" si="79"/>
        <v>0</v>
      </c>
      <c r="AL437" s="1049">
        <f>IF(ISERROR(AO437),0,IF(AND(AN437&gt;=$U$1,AN437&lt;=$U$2),IF(AO437='ESTRATTO CONTO'!$E$2,1+COUNTIF(AL$4:AL436,"&gt;0")+U$1009,0),0))</f>
        <v>0</v>
      </c>
      <c r="AM437" s="747">
        <f t="shared" si="82"/>
        <v>434</v>
      </c>
      <c r="AN437" s="164" t="e">
        <f>VLOOKUP($AM437,PATRIMONIALE!$AV489:AW$1003,2,FALSE)</f>
        <v>#N/A</v>
      </c>
      <c r="AO437" s="310" t="e">
        <f>VLOOKUP($AM437,PATRIMONIALE!$AV489:AX$1003,3,FALSE)</f>
        <v>#N/A</v>
      </c>
      <c r="AP437" s="310" t="e">
        <f>VLOOKUP($AM437,PATRIMONIALE!$AV489:AY$1003,4,FALSE)</f>
        <v>#N/A</v>
      </c>
      <c r="AQ437" s="748" t="e">
        <f>VLOOKUP($AM437,PATRIMONIALE!$AV489:AZ$1003,5,FALSE)</f>
        <v>#N/A</v>
      </c>
      <c r="AR437" s="1"/>
      <c r="AS437" s="461" t="str">
        <f t="shared" si="80"/>
        <v/>
      </c>
      <c r="AT437" s="370"/>
    </row>
    <row r="438" spans="1:46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435">
        <f>IF(AND(W438&gt;=$U$1,W438&lt;=$U$2),IF(X438='ESTRATTO CONTO'!$E$2,1+COUNTIF(U$4:U437,"&gt;0"),0),0)</f>
        <v>0</v>
      </c>
      <c r="V438" s="417">
        <f t="shared" si="81"/>
        <v>435</v>
      </c>
      <c r="W438" s="509"/>
      <c r="X438" s="321"/>
      <c r="Y438" s="321"/>
      <c r="Z438" s="433"/>
      <c r="AA438" s="356"/>
      <c r="AB438" s="306" t="str">
        <f t="shared" si="76"/>
        <v/>
      </c>
      <c r="AC438" s="893">
        <f t="shared" si="77"/>
        <v>0</v>
      </c>
      <c r="AD438" s="322"/>
      <c r="AE438" s="1"/>
      <c r="AF438" s="223">
        <f>IF(ISBLANK(AD438),0,COUNTIF(AF$4:AF437,"&gt;0")+1)</f>
        <v>0</v>
      </c>
      <c r="AG438" s="164">
        <f t="shared" si="83"/>
        <v>0</v>
      </c>
      <c r="AH438" s="99">
        <f t="shared" si="78"/>
        <v>0</v>
      </c>
      <c r="AI438" s="99">
        <f t="shared" si="84"/>
        <v>0</v>
      </c>
      <c r="AJ438" s="170">
        <f t="shared" si="85"/>
        <v>0</v>
      </c>
      <c r="AK438" s="204">
        <f t="shared" si="79"/>
        <v>0</v>
      </c>
      <c r="AL438" s="1049">
        <f>IF(ISERROR(AO438),0,IF(AND(AN438&gt;=$U$1,AN438&lt;=$U$2),IF(AO438='ESTRATTO CONTO'!$E$2,1+COUNTIF(AL$4:AL437,"&gt;0")+U$1009,0),0))</f>
        <v>0</v>
      </c>
      <c r="AM438" s="747">
        <f t="shared" si="82"/>
        <v>435</v>
      </c>
      <c r="AN438" s="164" t="e">
        <f>VLOOKUP($AM438,PATRIMONIALE!$AV490:AW$1003,2,FALSE)</f>
        <v>#N/A</v>
      </c>
      <c r="AO438" s="310" t="e">
        <f>VLOOKUP($AM438,PATRIMONIALE!$AV490:AX$1003,3,FALSE)</f>
        <v>#N/A</v>
      </c>
      <c r="AP438" s="310" t="e">
        <f>VLOOKUP($AM438,PATRIMONIALE!$AV490:AY$1003,4,FALSE)</f>
        <v>#N/A</v>
      </c>
      <c r="AQ438" s="748" t="e">
        <f>VLOOKUP($AM438,PATRIMONIALE!$AV490:AZ$1003,5,FALSE)</f>
        <v>#N/A</v>
      </c>
      <c r="AR438" s="1"/>
      <c r="AS438" s="461" t="str">
        <f t="shared" si="80"/>
        <v/>
      </c>
      <c r="AT438" s="370"/>
    </row>
    <row r="439" spans="1:46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435">
        <f>IF(AND(W439&gt;=$U$1,W439&lt;=$U$2),IF(X439='ESTRATTO CONTO'!$E$2,1+COUNTIF(U$4:U438,"&gt;0"),0),0)</f>
        <v>0</v>
      </c>
      <c r="V439" s="417">
        <f t="shared" si="81"/>
        <v>436</v>
      </c>
      <c r="W439" s="509"/>
      <c r="X439" s="321"/>
      <c r="Y439" s="321"/>
      <c r="Z439" s="433"/>
      <c r="AA439" s="356"/>
      <c r="AB439" s="306" t="str">
        <f t="shared" si="76"/>
        <v/>
      </c>
      <c r="AC439" s="893">
        <f t="shared" si="77"/>
        <v>0</v>
      </c>
      <c r="AD439" s="322"/>
      <c r="AE439" s="1"/>
      <c r="AF439" s="223">
        <f>IF(ISBLANK(AD439),0,COUNTIF(AF$4:AF438,"&gt;0")+1)</f>
        <v>0</v>
      </c>
      <c r="AG439" s="164">
        <f t="shared" si="83"/>
        <v>0</v>
      </c>
      <c r="AH439" s="99">
        <f t="shared" si="78"/>
        <v>0</v>
      </c>
      <c r="AI439" s="99">
        <f t="shared" si="84"/>
        <v>0</v>
      </c>
      <c r="AJ439" s="170">
        <f t="shared" si="85"/>
        <v>0</v>
      </c>
      <c r="AK439" s="204">
        <f t="shared" si="79"/>
        <v>0</v>
      </c>
      <c r="AL439" s="1049">
        <f>IF(ISERROR(AO439),0,IF(AND(AN439&gt;=$U$1,AN439&lt;=$U$2),IF(AO439='ESTRATTO CONTO'!$E$2,1+COUNTIF(AL$4:AL438,"&gt;0")+U$1009,0),0))</f>
        <v>0</v>
      </c>
      <c r="AM439" s="747">
        <f t="shared" si="82"/>
        <v>436</v>
      </c>
      <c r="AN439" s="164" t="e">
        <f>VLOOKUP($AM439,PATRIMONIALE!$AV491:AW$1003,2,FALSE)</f>
        <v>#N/A</v>
      </c>
      <c r="AO439" s="310" t="e">
        <f>VLOOKUP($AM439,PATRIMONIALE!$AV491:AX$1003,3,FALSE)</f>
        <v>#N/A</v>
      </c>
      <c r="AP439" s="310" t="e">
        <f>VLOOKUP($AM439,PATRIMONIALE!$AV491:AY$1003,4,FALSE)</f>
        <v>#N/A</v>
      </c>
      <c r="AQ439" s="748" t="e">
        <f>VLOOKUP($AM439,PATRIMONIALE!$AV491:AZ$1003,5,FALSE)</f>
        <v>#N/A</v>
      </c>
      <c r="AR439" s="1"/>
      <c r="AS439" s="461" t="str">
        <f t="shared" si="80"/>
        <v/>
      </c>
      <c r="AT439" s="370"/>
    </row>
    <row r="440" spans="1:46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435">
        <f>IF(AND(W440&gt;=$U$1,W440&lt;=$U$2),IF(X440='ESTRATTO CONTO'!$E$2,1+COUNTIF(U$4:U439,"&gt;0"),0),0)</f>
        <v>0</v>
      </c>
      <c r="V440" s="417">
        <f t="shared" si="81"/>
        <v>437</v>
      </c>
      <c r="W440" s="509"/>
      <c r="X440" s="321"/>
      <c r="Y440" s="321"/>
      <c r="Z440" s="433"/>
      <c r="AA440" s="356"/>
      <c r="AB440" s="306" t="str">
        <f t="shared" si="76"/>
        <v/>
      </c>
      <c r="AC440" s="893">
        <f t="shared" si="77"/>
        <v>0</v>
      </c>
      <c r="AD440" s="322"/>
      <c r="AE440" s="1"/>
      <c r="AF440" s="223">
        <f>IF(ISBLANK(AD440),0,COUNTIF(AF$4:AF439,"&gt;0")+1)</f>
        <v>0</v>
      </c>
      <c r="AG440" s="164">
        <f t="shared" si="83"/>
        <v>0</v>
      </c>
      <c r="AH440" s="99">
        <f t="shared" si="78"/>
        <v>0</v>
      </c>
      <c r="AI440" s="99">
        <f t="shared" si="84"/>
        <v>0</v>
      </c>
      <c r="AJ440" s="170">
        <f t="shared" si="85"/>
        <v>0</v>
      </c>
      <c r="AK440" s="204">
        <f t="shared" si="79"/>
        <v>0</v>
      </c>
      <c r="AL440" s="1049">
        <f>IF(ISERROR(AO440),0,IF(AND(AN440&gt;=$U$1,AN440&lt;=$U$2),IF(AO440='ESTRATTO CONTO'!$E$2,1+COUNTIF(AL$4:AL439,"&gt;0")+U$1009,0),0))</f>
        <v>0</v>
      </c>
      <c r="AM440" s="747">
        <f t="shared" si="82"/>
        <v>437</v>
      </c>
      <c r="AN440" s="164" t="e">
        <f>VLOOKUP($AM440,PATRIMONIALE!$AV492:AW$1003,2,FALSE)</f>
        <v>#N/A</v>
      </c>
      <c r="AO440" s="310" t="e">
        <f>VLOOKUP($AM440,PATRIMONIALE!$AV492:AX$1003,3,FALSE)</f>
        <v>#N/A</v>
      </c>
      <c r="AP440" s="310" t="e">
        <f>VLOOKUP($AM440,PATRIMONIALE!$AV492:AY$1003,4,FALSE)</f>
        <v>#N/A</v>
      </c>
      <c r="AQ440" s="748" t="e">
        <f>VLOOKUP($AM440,PATRIMONIALE!$AV492:AZ$1003,5,FALSE)</f>
        <v>#N/A</v>
      </c>
      <c r="AR440" s="1"/>
      <c r="AS440" s="461" t="str">
        <f t="shared" si="80"/>
        <v/>
      </c>
      <c r="AT440" s="370"/>
    </row>
    <row r="441" spans="1:46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435">
        <f>IF(AND(W441&gt;=$U$1,W441&lt;=$U$2),IF(X441='ESTRATTO CONTO'!$E$2,1+COUNTIF(U$4:U440,"&gt;0"),0),0)</f>
        <v>0</v>
      </c>
      <c r="V441" s="417">
        <f t="shared" si="81"/>
        <v>438</v>
      </c>
      <c r="W441" s="509"/>
      <c r="X441" s="321"/>
      <c r="Y441" s="321"/>
      <c r="Z441" s="433"/>
      <c r="AA441" s="356"/>
      <c r="AB441" s="306" t="str">
        <f t="shared" si="76"/>
        <v/>
      </c>
      <c r="AC441" s="893">
        <f t="shared" si="77"/>
        <v>0</v>
      </c>
      <c r="AD441" s="322"/>
      <c r="AE441" s="1"/>
      <c r="AF441" s="223">
        <f>IF(ISBLANK(AD441),0,COUNTIF(AF$4:AF440,"&gt;0")+1)</f>
        <v>0</v>
      </c>
      <c r="AG441" s="164">
        <f t="shared" si="83"/>
        <v>0</v>
      </c>
      <c r="AH441" s="99">
        <f t="shared" si="78"/>
        <v>0</v>
      </c>
      <c r="AI441" s="99">
        <f t="shared" si="84"/>
        <v>0</v>
      </c>
      <c r="AJ441" s="170">
        <f t="shared" si="85"/>
        <v>0</v>
      </c>
      <c r="AK441" s="204">
        <f t="shared" si="79"/>
        <v>0</v>
      </c>
      <c r="AL441" s="1049">
        <f>IF(ISERROR(AO441),0,IF(AND(AN441&gt;=$U$1,AN441&lt;=$U$2),IF(AO441='ESTRATTO CONTO'!$E$2,1+COUNTIF(AL$4:AL440,"&gt;0")+U$1009,0),0))</f>
        <v>0</v>
      </c>
      <c r="AM441" s="747">
        <f t="shared" si="82"/>
        <v>438</v>
      </c>
      <c r="AN441" s="164" t="e">
        <f>VLOOKUP($AM441,PATRIMONIALE!$AV493:AW$1003,2,FALSE)</f>
        <v>#N/A</v>
      </c>
      <c r="AO441" s="310" t="e">
        <f>VLOOKUP($AM441,PATRIMONIALE!$AV493:AX$1003,3,FALSE)</f>
        <v>#N/A</v>
      </c>
      <c r="AP441" s="310" t="e">
        <f>VLOOKUP($AM441,PATRIMONIALE!$AV493:AY$1003,4,FALSE)</f>
        <v>#N/A</v>
      </c>
      <c r="AQ441" s="748" t="e">
        <f>VLOOKUP($AM441,PATRIMONIALE!$AV493:AZ$1003,5,FALSE)</f>
        <v>#N/A</v>
      </c>
      <c r="AR441" s="1"/>
      <c r="AS441" s="461" t="str">
        <f t="shared" si="80"/>
        <v/>
      </c>
      <c r="AT441" s="370"/>
    </row>
    <row r="442" spans="1:46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435">
        <f>IF(AND(W442&gt;=$U$1,W442&lt;=$U$2),IF(X442='ESTRATTO CONTO'!$E$2,1+COUNTIF(U$4:U441,"&gt;0"),0),0)</f>
        <v>0</v>
      </c>
      <c r="V442" s="417">
        <f t="shared" si="81"/>
        <v>439</v>
      </c>
      <c r="W442" s="509"/>
      <c r="X442" s="321"/>
      <c r="Y442" s="321"/>
      <c r="Z442" s="433"/>
      <c r="AA442" s="356"/>
      <c r="AB442" s="306" t="str">
        <f t="shared" si="76"/>
        <v/>
      </c>
      <c r="AC442" s="893">
        <f t="shared" si="77"/>
        <v>0</v>
      </c>
      <c r="AD442" s="322"/>
      <c r="AE442" s="1"/>
      <c r="AF442" s="223">
        <f>IF(ISBLANK(AD442),0,COUNTIF(AF$4:AF441,"&gt;0")+1)</f>
        <v>0</v>
      </c>
      <c r="AG442" s="164">
        <f t="shared" si="83"/>
        <v>0</v>
      </c>
      <c r="AH442" s="99">
        <f t="shared" si="78"/>
        <v>0</v>
      </c>
      <c r="AI442" s="99">
        <f t="shared" si="84"/>
        <v>0</v>
      </c>
      <c r="AJ442" s="170">
        <f t="shared" si="85"/>
        <v>0</v>
      </c>
      <c r="AK442" s="204">
        <f t="shared" si="79"/>
        <v>0</v>
      </c>
      <c r="AL442" s="1049">
        <f>IF(ISERROR(AO442),0,IF(AND(AN442&gt;=$U$1,AN442&lt;=$U$2),IF(AO442='ESTRATTO CONTO'!$E$2,1+COUNTIF(AL$4:AL441,"&gt;0")+U$1009,0),0))</f>
        <v>0</v>
      </c>
      <c r="AM442" s="747">
        <f t="shared" si="82"/>
        <v>439</v>
      </c>
      <c r="AN442" s="164" t="e">
        <f>VLOOKUP($AM442,PATRIMONIALE!$AV494:AW$1003,2,FALSE)</f>
        <v>#N/A</v>
      </c>
      <c r="AO442" s="310" t="e">
        <f>VLOOKUP($AM442,PATRIMONIALE!$AV494:AX$1003,3,FALSE)</f>
        <v>#N/A</v>
      </c>
      <c r="AP442" s="310" t="e">
        <f>VLOOKUP($AM442,PATRIMONIALE!$AV494:AY$1003,4,FALSE)</f>
        <v>#N/A</v>
      </c>
      <c r="AQ442" s="748" t="e">
        <f>VLOOKUP($AM442,PATRIMONIALE!$AV494:AZ$1003,5,FALSE)</f>
        <v>#N/A</v>
      </c>
      <c r="AR442" s="1"/>
      <c r="AS442" s="461" t="str">
        <f t="shared" si="80"/>
        <v/>
      </c>
      <c r="AT442" s="370"/>
    </row>
    <row r="443" spans="1:46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435">
        <f>IF(AND(W443&gt;=$U$1,W443&lt;=$U$2),IF(X443='ESTRATTO CONTO'!$E$2,1+COUNTIF(U$4:U442,"&gt;0"),0),0)</f>
        <v>0</v>
      </c>
      <c r="V443" s="417">
        <f t="shared" si="81"/>
        <v>440</v>
      </c>
      <c r="W443" s="509"/>
      <c r="X443" s="321"/>
      <c r="Y443" s="321"/>
      <c r="Z443" s="433"/>
      <c r="AA443" s="356"/>
      <c r="AB443" s="306" t="str">
        <f t="shared" si="76"/>
        <v/>
      </c>
      <c r="AC443" s="893">
        <f t="shared" si="77"/>
        <v>0</v>
      </c>
      <c r="AD443" s="322"/>
      <c r="AE443" s="1"/>
      <c r="AF443" s="223">
        <f>IF(ISBLANK(AD443),0,COUNTIF(AF$4:AF442,"&gt;0")+1)</f>
        <v>0</v>
      </c>
      <c r="AG443" s="164">
        <f t="shared" si="83"/>
        <v>0</v>
      </c>
      <c r="AH443" s="99">
        <f t="shared" si="78"/>
        <v>0</v>
      </c>
      <c r="AI443" s="99">
        <f t="shared" si="84"/>
        <v>0</v>
      </c>
      <c r="AJ443" s="170">
        <f t="shared" si="85"/>
        <v>0</v>
      </c>
      <c r="AK443" s="204">
        <f t="shared" si="79"/>
        <v>0</v>
      </c>
      <c r="AL443" s="1049">
        <f>IF(ISERROR(AO443),0,IF(AND(AN443&gt;=$U$1,AN443&lt;=$U$2),IF(AO443='ESTRATTO CONTO'!$E$2,1+COUNTIF(AL$4:AL442,"&gt;0")+U$1009,0),0))</f>
        <v>0</v>
      </c>
      <c r="AM443" s="747">
        <f t="shared" si="82"/>
        <v>440</v>
      </c>
      <c r="AN443" s="164" t="e">
        <f>VLOOKUP($AM443,PATRIMONIALE!$AV495:AW$1003,2,FALSE)</f>
        <v>#N/A</v>
      </c>
      <c r="AO443" s="310" t="e">
        <f>VLOOKUP($AM443,PATRIMONIALE!$AV495:AX$1003,3,FALSE)</f>
        <v>#N/A</v>
      </c>
      <c r="AP443" s="310" t="e">
        <f>VLOOKUP($AM443,PATRIMONIALE!$AV495:AY$1003,4,FALSE)</f>
        <v>#N/A</v>
      </c>
      <c r="AQ443" s="748" t="e">
        <f>VLOOKUP($AM443,PATRIMONIALE!$AV495:AZ$1003,5,FALSE)</f>
        <v>#N/A</v>
      </c>
      <c r="AR443" s="1"/>
      <c r="AS443" s="461" t="str">
        <f t="shared" si="80"/>
        <v/>
      </c>
      <c r="AT443" s="370"/>
    </row>
    <row r="444" spans="1:46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435">
        <f>IF(AND(W444&gt;=$U$1,W444&lt;=$U$2),IF(X444='ESTRATTO CONTO'!$E$2,1+COUNTIF(U$4:U443,"&gt;0"),0),0)</f>
        <v>0</v>
      </c>
      <c r="V444" s="417">
        <f t="shared" si="81"/>
        <v>441</v>
      </c>
      <c r="W444" s="509"/>
      <c r="X444" s="321"/>
      <c r="Y444" s="321"/>
      <c r="Z444" s="433"/>
      <c r="AA444" s="356"/>
      <c r="AB444" s="306" t="str">
        <f t="shared" si="76"/>
        <v/>
      </c>
      <c r="AC444" s="893">
        <f t="shared" si="77"/>
        <v>0</v>
      </c>
      <c r="AD444" s="322"/>
      <c r="AE444" s="1"/>
      <c r="AF444" s="223">
        <f>IF(ISBLANK(AD444),0,COUNTIF(AF$4:AF443,"&gt;0")+1)</f>
        <v>0</v>
      </c>
      <c r="AG444" s="164">
        <f t="shared" si="83"/>
        <v>0</v>
      </c>
      <c r="AH444" s="99">
        <f t="shared" si="78"/>
        <v>0</v>
      </c>
      <c r="AI444" s="99">
        <f t="shared" si="84"/>
        <v>0</v>
      </c>
      <c r="AJ444" s="170">
        <f t="shared" si="85"/>
        <v>0</v>
      </c>
      <c r="AK444" s="204">
        <f t="shared" si="79"/>
        <v>0</v>
      </c>
      <c r="AL444" s="1049">
        <f>IF(ISERROR(AO444),0,IF(AND(AN444&gt;=$U$1,AN444&lt;=$U$2),IF(AO444='ESTRATTO CONTO'!$E$2,1+COUNTIF(AL$4:AL443,"&gt;0")+U$1009,0),0))</f>
        <v>0</v>
      </c>
      <c r="AM444" s="747">
        <f t="shared" si="82"/>
        <v>441</v>
      </c>
      <c r="AN444" s="164" t="e">
        <f>VLOOKUP($AM444,PATRIMONIALE!$AV496:AW$1003,2,FALSE)</f>
        <v>#N/A</v>
      </c>
      <c r="AO444" s="310" t="e">
        <f>VLOOKUP($AM444,PATRIMONIALE!$AV496:AX$1003,3,FALSE)</f>
        <v>#N/A</v>
      </c>
      <c r="AP444" s="310" t="e">
        <f>VLOOKUP($AM444,PATRIMONIALE!$AV496:AY$1003,4,FALSE)</f>
        <v>#N/A</v>
      </c>
      <c r="AQ444" s="748" t="e">
        <f>VLOOKUP($AM444,PATRIMONIALE!$AV496:AZ$1003,5,FALSE)</f>
        <v>#N/A</v>
      </c>
      <c r="AR444" s="1"/>
      <c r="AS444" s="461" t="str">
        <f t="shared" si="80"/>
        <v/>
      </c>
      <c r="AT444" s="370"/>
    </row>
    <row r="445" spans="1:46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435">
        <f>IF(AND(W445&gt;=$U$1,W445&lt;=$U$2),IF(X445='ESTRATTO CONTO'!$E$2,1+COUNTIF(U$4:U444,"&gt;0"),0),0)</f>
        <v>0</v>
      </c>
      <c r="V445" s="417">
        <f t="shared" si="81"/>
        <v>442</v>
      </c>
      <c r="W445" s="509"/>
      <c r="X445" s="321"/>
      <c r="Y445" s="321"/>
      <c r="Z445" s="433"/>
      <c r="AA445" s="356"/>
      <c r="AB445" s="306" t="str">
        <f t="shared" si="76"/>
        <v/>
      </c>
      <c r="AC445" s="893">
        <f t="shared" si="77"/>
        <v>0</v>
      </c>
      <c r="AD445" s="322"/>
      <c r="AE445" s="1"/>
      <c r="AF445" s="223">
        <f>IF(ISBLANK(AD445),0,COUNTIF(AF$4:AF444,"&gt;0")+1)</f>
        <v>0</v>
      </c>
      <c r="AG445" s="164">
        <f t="shared" si="83"/>
        <v>0</v>
      </c>
      <c r="AH445" s="99">
        <f t="shared" si="78"/>
        <v>0</v>
      </c>
      <c r="AI445" s="99">
        <f t="shared" si="84"/>
        <v>0</v>
      </c>
      <c r="AJ445" s="170">
        <f t="shared" si="85"/>
        <v>0</v>
      </c>
      <c r="AK445" s="204">
        <f t="shared" si="79"/>
        <v>0</v>
      </c>
      <c r="AL445" s="1049">
        <f>IF(ISERROR(AO445),0,IF(AND(AN445&gt;=$U$1,AN445&lt;=$U$2),IF(AO445='ESTRATTO CONTO'!$E$2,1+COUNTIF(AL$4:AL444,"&gt;0")+U$1009,0),0))</f>
        <v>0</v>
      </c>
      <c r="AM445" s="747">
        <f t="shared" si="82"/>
        <v>442</v>
      </c>
      <c r="AN445" s="164" t="e">
        <f>VLOOKUP($AM445,PATRIMONIALE!$AV497:AW$1003,2,FALSE)</f>
        <v>#N/A</v>
      </c>
      <c r="AO445" s="310" t="e">
        <f>VLOOKUP($AM445,PATRIMONIALE!$AV497:AX$1003,3,FALSE)</f>
        <v>#N/A</v>
      </c>
      <c r="AP445" s="310" t="e">
        <f>VLOOKUP($AM445,PATRIMONIALE!$AV497:AY$1003,4,FALSE)</f>
        <v>#N/A</v>
      </c>
      <c r="AQ445" s="748" t="e">
        <f>VLOOKUP($AM445,PATRIMONIALE!$AV497:AZ$1003,5,FALSE)</f>
        <v>#N/A</v>
      </c>
      <c r="AR445" s="1"/>
      <c r="AS445" s="461" t="str">
        <f t="shared" si="80"/>
        <v/>
      </c>
      <c r="AT445" s="370"/>
    </row>
    <row r="446" spans="1:46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435">
        <f>IF(AND(W446&gt;=$U$1,W446&lt;=$U$2),IF(X446='ESTRATTO CONTO'!$E$2,1+COUNTIF(U$4:U445,"&gt;0"),0),0)</f>
        <v>0</v>
      </c>
      <c r="V446" s="417">
        <f t="shared" si="81"/>
        <v>443</v>
      </c>
      <c r="W446" s="509"/>
      <c r="X446" s="321"/>
      <c r="Y446" s="321"/>
      <c r="Z446" s="433"/>
      <c r="AA446" s="356"/>
      <c r="AB446" s="306" t="str">
        <f t="shared" si="76"/>
        <v/>
      </c>
      <c r="AC446" s="893">
        <f t="shared" si="77"/>
        <v>0</v>
      </c>
      <c r="AD446" s="322"/>
      <c r="AE446" s="1"/>
      <c r="AF446" s="223">
        <f>IF(ISBLANK(AD446),0,COUNTIF(AF$4:AF445,"&gt;0")+1)</f>
        <v>0</v>
      </c>
      <c r="AG446" s="164">
        <f t="shared" si="83"/>
        <v>0</v>
      </c>
      <c r="AH446" s="99">
        <f t="shared" si="78"/>
        <v>0</v>
      </c>
      <c r="AI446" s="99">
        <f t="shared" si="84"/>
        <v>0</v>
      </c>
      <c r="AJ446" s="170">
        <f t="shared" si="85"/>
        <v>0</v>
      </c>
      <c r="AK446" s="204">
        <f t="shared" si="79"/>
        <v>0</v>
      </c>
      <c r="AL446" s="1049">
        <f>IF(ISERROR(AO446),0,IF(AND(AN446&gt;=$U$1,AN446&lt;=$U$2),IF(AO446='ESTRATTO CONTO'!$E$2,1+COUNTIF(AL$4:AL445,"&gt;0")+U$1009,0),0))</f>
        <v>0</v>
      </c>
      <c r="AM446" s="747">
        <f t="shared" si="82"/>
        <v>443</v>
      </c>
      <c r="AN446" s="164" t="e">
        <f>VLOOKUP($AM446,PATRIMONIALE!$AV498:AW$1003,2,FALSE)</f>
        <v>#N/A</v>
      </c>
      <c r="AO446" s="310" t="e">
        <f>VLOOKUP($AM446,PATRIMONIALE!$AV498:AX$1003,3,FALSE)</f>
        <v>#N/A</v>
      </c>
      <c r="AP446" s="310" t="e">
        <f>VLOOKUP($AM446,PATRIMONIALE!$AV498:AY$1003,4,FALSE)</f>
        <v>#N/A</v>
      </c>
      <c r="AQ446" s="748" t="e">
        <f>VLOOKUP($AM446,PATRIMONIALE!$AV498:AZ$1003,5,FALSE)</f>
        <v>#N/A</v>
      </c>
      <c r="AR446" s="1"/>
      <c r="AS446" s="461" t="str">
        <f t="shared" si="80"/>
        <v/>
      </c>
      <c r="AT446" s="370"/>
    </row>
    <row r="447" spans="1:46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435">
        <f>IF(AND(W447&gt;=$U$1,W447&lt;=$U$2),IF(X447='ESTRATTO CONTO'!$E$2,1+COUNTIF(U$4:U446,"&gt;0"),0),0)</f>
        <v>0</v>
      </c>
      <c r="V447" s="417">
        <f t="shared" si="81"/>
        <v>444</v>
      </c>
      <c r="W447" s="509"/>
      <c r="X447" s="321"/>
      <c r="Y447" s="321"/>
      <c r="Z447" s="433"/>
      <c r="AA447" s="356"/>
      <c r="AB447" s="306" t="str">
        <f t="shared" si="76"/>
        <v/>
      </c>
      <c r="AC447" s="893">
        <f t="shared" si="77"/>
        <v>0</v>
      </c>
      <c r="AD447" s="322"/>
      <c r="AE447" s="1"/>
      <c r="AF447" s="223">
        <f>IF(ISBLANK(AD447),0,COUNTIF(AF$4:AF446,"&gt;0")+1)</f>
        <v>0</v>
      </c>
      <c r="AG447" s="164">
        <f t="shared" si="83"/>
        <v>0</v>
      </c>
      <c r="AH447" s="99">
        <f t="shared" si="78"/>
        <v>0</v>
      </c>
      <c r="AI447" s="99">
        <f t="shared" si="84"/>
        <v>0</v>
      </c>
      <c r="AJ447" s="170">
        <f t="shared" si="85"/>
        <v>0</v>
      </c>
      <c r="AK447" s="204">
        <f t="shared" si="79"/>
        <v>0</v>
      </c>
      <c r="AL447" s="1049">
        <f>IF(ISERROR(AO447),0,IF(AND(AN447&gt;=$U$1,AN447&lt;=$U$2),IF(AO447='ESTRATTO CONTO'!$E$2,1+COUNTIF(AL$4:AL446,"&gt;0")+U$1009,0),0))</f>
        <v>0</v>
      </c>
      <c r="AM447" s="747">
        <f t="shared" si="82"/>
        <v>444</v>
      </c>
      <c r="AN447" s="164" t="e">
        <f>VLOOKUP($AM447,PATRIMONIALE!$AV499:AW$1003,2,FALSE)</f>
        <v>#N/A</v>
      </c>
      <c r="AO447" s="310" t="e">
        <f>VLOOKUP($AM447,PATRIMONIALE!$AV499:AX$1003,3,FALSE)</f>
        <v>#N/A</v>
      </c>
      <c r="AP447" s="310" t="e">
        <f>VLOOKUP($AM447,PATRIMONIALE!$AV499:AY$1003,4,FALSE)</f>
        <v>#N/A</v>
      </c>
      <c r="AQ447" s="748" t="e">
        <f>VLOOKUP($AM447,PATRIMONIALE!$AV499:AZ$1003,5,FALSE)</f>
        <v>#N/A</v>
      </c>
      <c r="AR447" s="1"/>
      <c r="AS447" s="461" t="str">
        <f t="shared" si="80"/>
        <v/>
      </c>
      <c r="AT447" s="370"/>
    </row>
    <row r="448" spans="1:46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435">
        <f>IF(AND(W448&gt;=$U$1,W448&lt;=$U$2),IF(X448='ESTRATTO CONTO'!$E$2,1+COUNTIF(U$4:U447,"&gt;0"),0),0)</f>
        <v>0</v>
      </c>
      <c r="V448" s="417">
        <f t="shared" si="81"/>
        <v>445</v>
      </c>
      <c r="W448" s="509"/>
      <c r="X448" s="321"/>
      <c r="Y448" s="321"/>
      <c r="Z448" s="433"/>
      <c r="AA448" s="356"/>
      <c r="AB448" s="306" t="str">
        <f t="shared" si="76"/>
        <v/>
      </c>
      <c r="AC448" s="893">
        <f t="shared" si="77"/>
        <v>0</v>
      </c>
      <c r="AD448" s="322"/>
      <c r="AE448" s="1"/>
      <c r="AF448" s="223">
        <f>IF(ISBLANK(AD448),0,COUNTIF(AF$4:AF447,"&gt;0")+1)</f>
        <v>0</v>
      </c>
      <c r="AG448" s="164">
        <f t="shared" si="83"/>
        <v>0</v>
      </c>
      <c r="AH448" s="99">
        <f t="shared" si="78"/>
        <v>0</v>
      </c>
      <c r="AI448" s="99">
        <f t="shared" si="84"/>
        <v>0</v>
      </c>
      <c r="AJ448" s="170">
        <f t="shared" si="85"/>
        <v>0</v>
      </c>
      <c r="AK448" s="204">
        <f t="shared" si="79"/>
        <v>0</v>
      </c>
      <c r="AL448" s="1049">
        <f>IF(ISERROR(AO448),0,IF(AND(AN448&gt;=$U$1,AN448&lt;=$U$2),IF(AO448='ESTRATTO CONTO'!$E$2,1+COUNTIF(AL$4:AL447,"&gt;0")+U$1009,0),0))</f>
        <v>0</v>
      </c>
      <c r="AM448" s="747">
        <f t="shared" si="82"/>
        <v>445</v>
      </c>
      <c r="AN448" s="164" t="e">
        <f>VLOOKUP($AM448,PATRIMONIALE!$AV500:AW$1003,2,FALSE)</f>
        <v>#N/A</v>
      </c>
      <c r="AO448" s="310" t="e">
        <f>VLOOKUP($AM448,PATRIMONIALE!$AV500:AX$1003,3,FALSE)</f>
        <v>#N/A</v>
      </c>
      <c r="AP448" s="310" t="e">
        <f>VLOOKUP($AM448,PATRIMONIALE!$AV500:AY$1003,4,FALSE)</f>
        <v>#N/A</v>
      </c>
      <c r="AQ448" s="748" t="e">
        <f>VLOOKUP($AM448,PATRIMONIALE!$AV500:AZ$1003,5,FALSE)</f>
        <v>#N/A</v>
      </c>
      <c r="AR448" s="1"/>
      <c r="AS448" s="461" t="str">
        <f t="shared" si="80"/>
        <v/>
      </c>
      <c r="AT448" s="370"/>
    </row>
    <row r="449" spans="1:46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435">
        <f>IF(AND(W449&gt;=$U$1,W449&lt;=$U$2),IF(X449='ESTRATTO CONTO'!$E$2,1+COUNTIF(U$4:U448,"&gt;0"),0),0)</f>
        <v>0</v>
      </c>
      <c r="V449" s="417">
        <f t="shared" si="81"/>
        <v>446</v>
      </c>
      <c r="W449" s="509"/>
      <c r="X449" s="321"/>
      <c r="Y449" s="321"/>
      <c r="Z449" s="433"/>
      <c r="AA449" s="356"/>
      <c r="AB449" s="306" t="str">
        <f t="shared" si="76"/>
        <v/>
      </c>
      <c r="AC449" s="893">
        <f t="shared" si="77"/>
        <v>0</v>
      </c>
      <c r="AD449" s="322"/>
      <c r="AE449" s="1"/>
      <c r="AF449" s="223">
        <f>IF(ISBLANK(AD449),0,COUNTIF(AF$4:AF448,"&gt;0")+1)</f>
        <v>0</v>
      </c>
      <c r="AG449" s="164">
        <f t="shared" si="83"/>
        <v>0</v>
      </c>
      <c r="AH449" s="99">
        <f t="shared" si="78"/>
        <v>0</v>
      </c>
      <c r="AI449" s="99">
        <f t="shared" si="84"/>
        <v>0</v>
      </c>
      <c r="AJ449" s="170">
        <f t="shared" si="85"/>
        <v>0</v>
      </c>
      <c r="AK449" s="204">
        <f t="shared" si="79"/>
        <v>0</v>
      </c>
      <c r="AL449" s="1049">
        <f>IF(ISERROR(AO449),0,IF(AND(AN449&gt;=$U$1,AN449&lt;=$U$2),IF(AO449='ESTRATTO CONTO'!$E$2,1+COUNTIF(AL$4:AL448,"&gt;0")+U$1009,0),0))</f>
        <v>0</v>
      </c>
      <c r="AM449" s="747">
        <f t="shared" si="82"/>
        <v>446</v>
      </c>
      <c r="AN449" s="164" t="e">
        <f>VLOOKUP($AM449,PATRIMONIALE!$AV501:AW$1003,2,FALSE)</f>
        <v>#N/A</v>
      </c>
      <c r="AO449" s="310" t="e">
        <f>VLOOKUP($AM449,PATRIMONIALE!$AV501:AX$1003,3,FALSE)</f>
        <v>#N/A</v>
      </c>
      <c r="AP449" s="310" t="e">
        <f>VLOOKUP($AM449,PATRIMONIALE!$AV501:AY$1003,4,FALSE)</f>
        <v>#N/A</v>
      </c>
      <c r="AQ449" s="748" t="e">
        <f>VLOOKUP($AM449,PATRIMONIALE!$AV501:AZ$1003,5,FALSE)</f>
        <v>#N/A</v>
      </c>
      <c r="AR449" s="1"/>
      <c r="AS449" s="461" t="str">
        <f t="shared" si="80"/>
        <v/>
      </c>
      <c r="AT449" s="370"/>
    </row>
    <row r="450" spans="1:46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435">
        <f>IF(AND(W450&gt;=$U$1,W450&lt;=$U$2),IF(X450='ESTRATTO CONTO'!$E$2,1+COUNTIF(U$4:U449,"&gt;0"),0),0)</f>
        <v>0</v>
      </c>
      <c r="V450" s="417">
        <f t="shared" si="81"/>
        <v>447</v>
      </c>
      <c r="W450" s="509"/>
      <c r="X450" s="321"/>
      <c r="Y450" s="321"/>
      <c r="Z450" s="433"/>
      <c r="AA450" s="356"/>
      <c r="AB450" s="306" t="str">
        <f t="shared" si="76"/>
        <v/>
      </c>
      <c r="AC450" s="893">
        <f t="shared" si="77"/>
        <v>0</v>
      </c>
      <c r="AD450" s="322"/>
      <c r="AE450" s="1"/>
      <c r="AF450" s="223">
        <f>IF(ISBLANK(AD450),0,COUNTIF(AF$4:AF449,"&gt;0")+1)</f>
        <v>0</v>
      </c>
      <c r="AG450" s="164">
        <f t="shared" si="83"/>
        <v>0</v>
      </c>
      <c r="AH450" s="99">
        <f t="shared" si="78"/>
        <v>0</v>
      </c>
      <c r="AI450" s="99">
        <f t="shared" si="84"/>
        <v>0</v>
      </c>
      <c r="AJ450" s="170">
        <f t="shared" si="85"/>
        <v>0</v>
      </c>
      <c r="AK450" s="204">
        <f t="shared" si="79"/>
        <v>0</v>
      </c>
      <c r="AL450" s="1049">
        <f>IF(ISERROR(AO450),0,IF(AND(AN450&gt;=$U$1,AN450&lt;=$U$2),IF(AO450='ESTRATTO CONTO'!$E$2,1+COUNTIF(AL$4:AL449,"&gt;0")+U$1009,0),0))</f>
        <v>0</v>
      </c>
      <c r="AM450" s="747">
        <f t="shared" si="82"/>
        <v>447</v>
      </c>
      <c r="AN450" s="164" t="e">
        <f>VLOOKUP($AM450,PATRIMONIALE!$AV502:AW$1003,2,FALSE)</f>
        <v>#N/A</v>
      </c>
      <c r="AO450" s="310" t="e">
        <f>VLOOKUP($AM450,PATRIMONIALE!$AV502:AX$1003,3,FALSE)</f>
        <v>#N/A</v>
      </c>
      <c r="AP450" s="310" t="e">
        <f>VLOOKUP($AM450,PATRIMONIALE!$AV502:AY$1003,4,FALSE)</f>
        <v>#N/A</v>
      </c>
      <c r="AQ450" s="748" t="e">
        <f>VLOOKUP($AM450,PATRIMONIALE!$AV502:AZ$1003,5,FALSE)</f>
        <v>#N/A</v>
      </c>
      <c r="AR450" s="1"/>
      <c r="AS450" s="461" t="str">
        <f t="shared" si="80"/>
        <v/>
      </c>
      <c r="AT450" s="370"/>
    </row>
    <row r="451" spans="1:46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435">
        <f>IF(AND(W451&gt;=$U$1,W451&lt;=$U$2),IF(X451='ESTRATTO CONTO'!$E$2,1+COUNTIF(U$4:U450,"&gt;0"),0),0)</f>
        <v>0</v>
      </c>
      <c r="V451" s="417">
        <f t="shared" si="81"/>
        <v>448</v>
      </c>
      <c r="W451" s="509"/>
      <c r="X451" s="321"/>
      <c r="Y451" s="321"/>
      <c r="Z451" s="433"/>
      <c r="AA451" s="356"/>
      <c r="AB451" s="306" t="str">
        <f t="shared" si="76"/>
        <v/>
      </c>
      <c r="AC451" s="893">
        <f t="shared" si="77"/>
        <v>0</v>
      </c>
      <c r="AD451" s="322"/>
      <c r="AE451" s="1"/>
      <c r="AF451" s="223">
        <f>IF(ISBLANK(AD451),0,COUNTIF(AF$4:AF450,"&gt;0")+1)</f>
        <v>0</v>
      </c>
      <c r="AG451" s="164">
        <f t="shared" si="83"/>
        <v>0</v>
      </c>
      <c r="AH451" s="99">
        <f t="shared" si="78"/>
        <v>0</v>
      </c>
      <c r="AI451" s="99">
        <f t="shared" si="84"/>
        <v>0</v>
      </c>
      <c r="AJ451" s="170">
        <f t="shared" si="85"/>
        <v>0</v>
      </c>
      <c r="AK451" s="204">
        <f t="shared" si="79"/>
        <v>0</v>
      </c>
      <c r="AL451" s="1049">
        <f>IF(ISERROR(AO451),0,IF(AND(AN451&gt;=$U$1,AN451&lt;=$U$2),IF(AO451='ESTRATTO CONTO'!$E$2,1+COUNTIF(AL$4:AL450,"&gt;0")+U$1009,0),0))</f>
        <v>0</v>
      </c>
      <c r="AM451" s="747">
        <f t="shared" si="82"/>
        <v>448</v>
      </c>
      <c r="AN451" s="164" t="e">
        <f>VLOOKUP($AM451,PATRIMONIALE!$AV503:AW$1003,2,FALSE)</f>
        <v>#N/A</v>
      </c>
      <c r="AO451" s="310" t="e">
        <f>VLOOKUP($AM451,PATRIMONIALE!$AV503:AX$1003,3,FALSE)</f>
        <v>#N/A</v>
      </c>
      <c r="AP451" s="310" t="e">
        <f>VLOOKUP($AM451,PATRIMONIALE!$AV503:AY$1003,4,FALSE)</f>
        <v>#N/A</v>
      </c>
      <c r="AQ451" s="748" t="e">
        <f>VLOOKUP($AM451,PATRIMONIALE!$AV503:AZ$1003,5,FALSE)</f>
        <v>#N/A</v>
      </c>
      <c r="AR451" s="1"/>
      <c r="AS451" s="461" t="str">
        <f t="shared" si="80"/>
        <v/>
      </c>
      <c r="AT451" s="370"/>
    </row>
    <row r="452" spans="1:46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435">
        <f>IF(AND(W452&gt;=$U$1,W452&lt;=$U$2),IF(X452='ESTRATTO CONTO'!$E$2,1+COUNTIF(U$4:U451,"&gt;0"),0),0)</f>
        <v>0</v>
      </c>
      <c r="V452" s="417">
        <f t="shared" si="81"/>
        <v>449</v>
      </c>
      <c r="W452" s="509"/>
      <c r="X452" s="321"/>
      <c r="Y452" s="321"/>
      <c r="Z452" s="433"/>
      <c r="AA452" s="356"/>
      <c r="AB452" s="306" t="str">
        <f t="shared" ref="AB452:AB515" si="86">IF(X452="","",IF(W452&gt;0,IF(AND(W452&gt;=W$1012,W452&lt;=W$1013),CONCATENATE(X452,"-",MONTH(W452)),0),""))</f>
        <v/>
      </c>
      <c r="AC452" s="893">
        <f t="shared" ref="AC452:AC515" si="87">IF(AD452="",0,VLOOKUP(AD452,$AD$1025:$AD$1038,1,FALSE))</f>
        <v>0</v>
      </c>
      <c r="AD452" s="322"/>
      <c r="AE452" s="1"/>
      <c r="AF452" s="223">
        <f>IF(ISBLANK(AD452),0,COUNTIF(AF$4:AF451,"&gt;0")+1)</f>
        <v>0</v>
      </c>
      <c r="AG452" s="164">
        <f t="shared" si="83"/>
        <v>0</v>
      </c>
      <c r="AH452" s="99">
        <f t="shared" ref="AH452:AH515" si="88">IF($AF452=0,0,VLOOKUP(AD452,$AD$1025:$AH$1038,5,FALSE))</f>
        <v>0</v>
      </c>
      <c r="AI452" s="99">
        <f t="shared" si="84"/>
        <v>0</v>
      </c>
      <c r="AJ452" s="170">
        <f t="shared" si="85"/>
        <v>0</v>
      </c>
      <c r="AK452" s="204">
        <f t="shared" ref="AK452:AK515" si="89">X452</f>
        <v>0</v>
      </c>
      <c r="AL452" s="1049">
        <f>IF(ISERROR(AO452),0,IF(AND(AN452&gt;=$U$1,AN452&lt;=$U$2),IF(AO452='ESTRATTO CONTO'!$E$2,1+COUNTIF(AL$4:AL451,"&gt;0")+U$1009,0),0))</f>
        <v>0</v>
      </c>
      <c r="AM452" s="747">
        <f t="shared" si="82"/>
        <v>449</v>
      </c>
      <c r="AN452" s="164" t="e">
        <f>VLOOKUP($AM452,PATRIMONIALE!$AV504:AW$1003,2,FALSE)</f>
        <v>#N/A</v>
      </c>
      <c r="AO452" s="310" t="e">
        <f>VLOOKUP($AM452,PATRIMONIALE!$AV504:AX$1003,3,FALSE)</f>
        <v>#N/A</v>
      </c>
      <c r="AP452" s="310" t="e">
        <f>VLOOKUP($AM452,PATRIMONIALE!$AV504:AY$1003,4,FALSE)</f>
        <v>#N/A</v>
      </c>
      <c r="AQ452" s="748" t="e">
        <f>VLOOKUP($AM452,PATRIMONIALE!$AV504:AZ$1003,5,FALSE)</f>
        <v>#N/A</v>
      </c>
      <c r="AR452" s="1"/>
      <c r="AS452" s="461" t="str">
        <f t="shared" ref="AS452:AS515" si="90">IF(X452="","",IF(ISERROR(VLOOKUP(X452,B$9:E$13,1,FALSE)),1,0))</f>
        <v/>
      </c>
      <c r="AT452" s="370"/>
    </row>
    <row r="453" spans="1:46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435">
        <f>IF(AND(W453&gt;=$U$1,W453&lt;=$U$2),IF(X453='ESTRATTO CONTO'!$E$2,1+COUNTIF(U$4:U452,"&gt;0"),0),0)</f>
        <v>0</v>
      </c>
      <c r="V453" s="417">
        <f t="shared" si="81"/>
        <v>450</v>
      </c>
      <c r="W453" s="509"/>
      <c r="X453" s="321"/>
      <c r="Y453" s="321"/>
      <c r="Z453" s="433"/>
      <c r="AA453" s="356"/>
      <c r="AB453" s="306" t="str">
        <f t="shared" si="86"/>
        <v/>
      </c>
      <c r="AC453" s="893">
        <f t="shared" si="87"/>
        <v>0</v>
      </c>
      <c r="AD453" s="322"/>
      <c r="AE453" s="1"/>
      <c r="AF453" s="223">
        <f>IF(ISBLANK(AD453),0,COUNTIF(AF$4:AF452,"&gt;0")+1)</f>
        <v>0</v>
      </c>
      <c r="AG453" s="164">
        <f t="shared" si="83"/>
        <v>0</v>
      </c>
      <c r="AH453" s="99">
        <f t="shared" si="88"/>
        <v>0</v>
      </c>
      <c r="AI453" s="99">
        <f t="shared" si="84"/>
        <v>0</v>
      </c>
      <c r="AJ453" s="170">
        <f t="shared" si="85"/>
        <v>0</v>
      </c>
      <c r="AK453" s="204">
        <f t="shared" si="89"/>
        <v>0</v>
      </c>
      <c r="AL453" s="1049">
        <f>IF(ISERROR(AO453),0,IF(AND(AN453&gt;=$U$1,AN453&lt;=$U$2),IF(AO453='ESTRATTO CONTO'!$E$2,1+COUNTIF(AL$4:AL452,"&gt;0")+U$1009,0),0))</f>
        <v>0</v>
      </c>
      <c r="AM453" s="747">
        <f t="shared" si="82"/>
        <v>450</v>
      </c>
      <c r="AN453" s="164" t="e">
        <f>VLOOKUP($AM453,PATRIMONIALE!$AV505:AW$1003,2,FALSE)</f>
        <v>#N/A</v>
      </c>
      <c r="AO453" s="310" t="e">
        <f>VLOOKUP($AM453,PATRIMONIALE!$AV505:AX$1003,3,FALSE)</f>
        <v>#N/A</v>
      </c>
      <c r="AP453" s="310" t="e">
        <f>VLOOKUP($AM453,PATRIMONIALE!$AV505:AY$1003,4,FALSE)</f>
        <v>#N/A</v>
      </c>
      <c r="AQ453" s="748" t="e">
        <f>VLOOKUP($AM453,PATRIMONIALE!$AV505:AZ$1003,5,FALSE)</f>
        <v>#N/A</v>
      </c>
      <c r="AR453" s="1"/>
      <c r="AS453" s="461" t="str">
        <f t="shared" si="90"/>
        <v/>
      </c>
      <c r="AT453" s="370"/>
    </row>
    <row r="454" spans="1:46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435">
        <f>IF(AND(W454&gt;=$U$1,W454&lt;=$U$2),IF(X454='ESTRATTO CONTO'!$E$2,1+COUNTIF(U$4:U453,"&gt;0"),0),0)</f>
        <v>0</v>
      </c>
      <c r="V454" s="417">
        <f t="shared" ref="V454:V517" si="91">V453+1</f>
        <v>451</v>
      </c>
      <c r="W454" s="509"/>
      <c r="X454" s="321"/>
      <c r="Y454" s="321"/>
      <c r="Z454" s="433"/>
      <c r="AA454" s="356"/>
      <c r="AB454" s="306" t="str">
        <f t="shared" si="86"/>
        <v/>
      </c>
      <c r="AC454" s="893">
        <f t="shared" si="87"/>
        <v>0</v>
      </c>
      <c r="AD454" s="322"/>
      <c r="AE454" s="1"/>
      <c r="AF454" s="223">
        <f>IF(ISBLANK(AD454),0,COUNTIF(AF$4:AF453,"&gt;0")+1)</f>
        <v>0</v>
      </c>
      <c r="AG454" s="164">
        <f t="shared" si="83"/>
        <v>0</v>
      </c>
      <c r="AH454" s="99">
        <f t="shared" si="88"/>
        <v>0</v>
      </c>
      <c r="AI454" s="99">
        <f t="shared" si="84"/>
        <v>0</v>
      </c>
      <c r="AJ454" s="170">
        <f t="shared" si="85"/>
        <v>0</v>
      </c>
      <c r="AK454" s="204">
        <f t="shared" si="89"/>
        <v>0</v>
      </c>
      <c r="AL454" s="1049">
        <f>IF(ISERROR(AO454),0,IF(AND(AN454&gt;=$U$1,AN454&lt;=$U$2),IF(AO454='ESTRATTO CONTO'!$E$2,1+COUNTIF(AL$4:AL453,"&gt;0")+U$1009,0),0))</f>
        <v>0</v>
      </c>
      <c r="AM454" s="747">
        <f t="shared" ref="AM454:AM517" si="92">AM453+1</f>
        <v>451</v>
      </c>
      <c r="AN454" s="164" t="e">
        <f>VLOOKUP($AM454,PATRIMONIALE!$AV506:AW$1003,2,FALSE)</f>
        <v>#N/A</v>
      </c>
      <c r="AO454" s="310" t="e">
        <f>VLOOKUP($AM454,PATRIMONIALE!$AV506:AX$1003,3,FALSE)</f>
        <v>#N/A</v>
      </c>
      <c r="AP454" s="310" t="e">
        <f>VLOOKUP($AM454,PATRIMONIALE!$AV506:AY$1003,4,FALSE)</f>
        <v>#N/A</v>
      </c>
      <c r="AQ454" s="748" t="e">
        <f>VLOOKUP($AM454,PATRIMONIALE!$AV506:AZ$1003,5,FALSE)</f>
        <v>#N/A</v>
      </c>
      <c r="AR454" s="1"/>
      <c r="AS454" s="461" t="str">
        <f t="shared" si="90"/>
        <v/>
      </c>
      <c r="AT454" s="370"/>
    </row>
    <row r="455" spans="1:46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435">
        <f>IF(AND(W455&gt;=$U$1,W455&lt;=$U$2),IF(X455='ESTRATTO CONTO'!$E$2,1+COUNTIF(U$4:U454,"&gt;0"),0),0)</f>
        <v>0</v>
      </c>
      <c r="V455" s="417">
        <f t="shared" si="91"/>
        <v>452</v>
      </c>
      <c r="W455" s="509"/>
      <c r="X455" s="321"/>
      <c r="Y455" s="321"/>
      <c r="Z455" s="433"/>
      <c r="AA455" s="356"/>
      <c r="AB455" s="306" t="str">
        <f t="shared" si="86"/>
        <v/>
      </c>
      <c r="AC455" s="893">
        <f t="shared" si="87"/>
        <v>0</v>
      </c>
      <c r="AD455" s="322"/>
      <c r="AE455" s="1"/>
      <c r="AF455" s="223">
        <f>IF(ISBLANK(AD455),0,COUNTIF(AF$4:AF454,"&gt;0")+1)</f>
        <v>0</v>
      </c>
      <c r="AG455" s="164">
        <f t="shared" si="83"/>
        <v>0</v>
      </c>
      <c r="AH455" s="99">
        <f t="shared" si="88"/>
        <v>0</v>
      </c>
      <c r="AI455" s="99">
        <f t="shared" si="84"/>
        <v>0</v>
      </c>
      <c r="AJ455" s="170">
        <f t="shared" si="85"/>
        <v>0</v>
      </c>
      <c r="AK455" s="204">
        <f t="shared" si="89"/>
        <v>0</v>
      </c>
      <c r="AL455" s="1049">
        <f>IF(ISERROR(AO455),0,IF(AND(AN455&gt;=$U$1,AN455&lt;=$U$2),IF(AO455='ESTRATTO CONTO'!$E$2,1+COUNTIF(AL$4:AL454,"&gt;0")+U$1009,0),0))</f>
        <v>0</v>
      </c>
      <c r="AM455" s="747">
        <f t="shared" si="92"/>
        <v>452</v>
      </c>
      <c r="AN455" s="164" t="e">
        <f>VLOOKUP($AM455,PATRIMONIALE!$AV507:AW$1003,2,FALSE)</f>
        <v>#N/A</v>
      </c>
      <c r="AO455" s="310" t="e">
        <f>VLOOKUP($AM455,PATRIMONIALE!$AV507:AX$1003,3,FALSE)</f>
        <v>#N/A</v>
      </c>
      <c r="AP455" s="310" t="e">
        <f>VLOOKUP($AM455,PATRIMONIALE!$AV507:AY$1003,4,FALSE)</f>
        <v>#N/A</v>
      </c>
      <c r="AQ455" s="748" t="e">
        <f>VLOOKUP($AM455,PATRIMONIALE!$AV507:AZ$1003,5,FALSE)</f>
        <v>#N/A</v>
      </c>
      <c r="AR455" s="1"/>
      <c r="AS455" s="461" t="str">
        <f t="shared" si="90"/>
        <v/>
      </c>
      <c r="AT455" s="370"/>
    </row>
    <row r="456" spans="1:46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435">
        <f>IF(AND(W456&gt;=$U$1,W456&lt;=$U$2),IF(X456='ESTRATTO CONTO'!$E$2,1+COUNTIF(U$4:U455,"&gt;0"),0),0)</f>
        <v>0</v>
      </c>
      <c r="V456" s="417">
        <f t="shared" si="91"/>
        <v>453</v>
      </c>
      <c r="W456" s="509"/>
      <c r="X456" s="321"/>
      <c r="Y456" s="321"/>
      <c r="Z456" s="433"/>
      <c r="AA456" s="356"/>
      <c r="AB456" s="306" t="str">
        <f t="shared" si="86"/>
        <v/>
      </c>
      <c r="AC456" s="893">
        <f t="shared" si="87"/>
        <v>0</v>
      </c>
      <c r="AD456" s="322"/>
      <c r="AE456" s="1"/>
      <c r="AF456" s="223">
        <f>IF(ISBLANK(AD456),0,COUNTIF(AF$4:AF455,"&gt;0")+1)</f>
        <v>0</v>
      </c>
      <c r="AG456" s="164">
        <f t="shared" si="83"/>
        <v>0</v>
      </c>
      <c r="AH456" s="99">
        <f t="shared" si="88"/>
        <v>0</v>
      </c>
      <c r="AI456" s="99">
        <f t="shared" si="84"/>
        <v>0</v>
      </c>
      <c r="AJ456" s="170">
        <f t="shared" si="85"/>
        <v>0</v>
      </c>
      <c r="AK456" s="204">
        <f t="shared" si="89"/>
        <v>0</v>
      </c>
      <c r="AL456" s="1049">
        <f>IF(ISERROR(AO456),0,IF(AND(AN456&gt;=$U$1,AN456&lt;=$U$2),IF(AO456='ESTRATTO CONTO'!$E$2,1+COUNTIF(AL$4:AL455,"&gt;0")+U$1009,0),0))</f>
        <v>0</v>
      </c>
      <c r="AM456" s="747">
        <f t="shared" si="92"/>
        <v>453</v>
      </c>
      <c r="AN456" s="164" t="e">
        <f>VLOOKUP($AM456,PATRIMONIALE!$AV508:AW$1003,2,FALSE)</f>
        <v>#N/A</v>
      </c>
      <c r="AO456" s="310" t="e">
        <f>VLOOKUP($AM456,PATRIMONIALE!$AV508:AX$1003,3,FALSE)</f>
        <v>#N/A</v>
      </c>
      <c r="AP456" s="310" t="e">
        <f>VLOOKUP($AM456,PATRIMONIALE!$AV508:AY$1003,4,FALSE)</f>
        <v>#N/A</v>
      </c>
      <c r="AQ456" s="748" t="e">
        <f>VLOOKUP($AM456,PATRIMONIALE!$AV508:AZ$1003,5,FALSE)</f>
        <v>#N/A</v>
      </c>
      <c r="AR456" s="1"/>
      <c r="AS456" s="461" t="str">
        <f t="shared" si="90"/>
        <v/>
      </c>
      <c r="AT456" s="370"/>
    </row>
    <row r="457" spans="1:46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435">
        <f>IF(AND(W457&gt;=$U$1,W457&lt;=$U$2),IF(X457='ESTRATTO CONTO'!$E$2,1+COUNTIF(U$4:U456,"&gt;0"),0),0)</f>
        <v>0</v>
      </c>
      <c r="V457" s="417">
        <f t="shared" si="91"/>
        <v>454</v>
      </c>
      <c r="W457" s="509"/>
      <c r="X457" s="321"/>
      <c r="Y457" s="321"/>
      <c r="Z457" s="433"/>
      <c r="AA457" s="356"/>
      <c r="AB457" s="306" t="str">
        <f t="shared" si="86"/>
        <v/>
      </c>
      <c r="AC457" s="893">
        <f t="shared" si="87"/>
        <v>0</v>
      </c>
      <c r="AD457" s="322"/>
      <c r="AE457" s="1"/>
      <c r="AF457" s="223">
        <f>IF(ISBLANK(AD457),0,COUNTIF(AF$4:AF456,"&gt;0")+1)</f>
        <v>0</v>
      </c>
      <c r="AG457" s="164">
        <f t="shared" si="83"/>
        <v>0</v>
      </c>
      <c r="AH457" s="99">
        <f t="shared" si="88"/>
        <v>0</v>
      </c>
      <c r="AI457" s="99">
        <f t="shared" si="84"/>
        <v>0</v>
      </c>
      <c r="AJ457" s="170">
        <f t="shared" si="85"/>
        <v>0</v>
      </c>
      <c r="AK457" s="204">
        <f t="shared" si="89"/>
        <v>0</v>
      </c>
      <c r="AL457" s="1049">
        <f>IF(ISERROR(AO457),0,IF(AND(AN457&gt;=$U$1,AN457&lt;=$U$2),IF(AO457='ESTRATTO CONTO'!$E$2,1+COUNTIF(AL$4:AL456,"&gt;0")+U$1009,0),0))</f>
        <v>0</v>
      </c>
      <c r="AM457" s="747">
        <f t="shared" si="92"/>
        <v>454</v>
      </c>
      <c r="AN457" s="164" t="e">
        <f>VLOOKUP($AM457,PATRIMONIALE!$AV509:AW$1003,2,FALSE)</f>
        <v>#N/A</v>
      </c>
      <c r="AO457" s="310" t="e">
        <f>VLOOKUP($AM457,PATRIMONIALE!$AV509:AX$1003,3,FALSE)</f>
        <v>#N/A</v>
      </c>
      <c r="AP457" s="310" t="e">
        <f>VLOOKUP($AM457,PATRIMONIALE!$AV509:AY$1003,4,FALSE)</f>
        <v>#N/A</v>
      </c>
      <c r="AQ457" s="748" t="e">
        <f>VLOOKUP($AM457,PATRIMONIALE!$AV509:AZ$1003,5,FALSE)</f>
        <v>#N/A</v>
      </c>
      <c r="AR457" s="1"/>
      <c r="AS457" s="461" t="str">
        <f t="shared" si="90"/>
        <v/>
      </c>
      <c r="AT457" s="370"/>
    </row>
    <row r="458" spans="1:46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435">
        <f>IF(AND(W458&gt;=$U$1,W458&lt;=$U$2),IF(X458='ESTRATTO CONTO'!$E$2,1+COUNTIF(U$4:U457,"&gt;0"),0),0)</f>
        <v>0</v>
      </c>
      <c r="V458" s="417">
        <f t="shared" si="91"/>
        <v>455</v>
      </c>
      <c r="W458" s="509"/>
      <c r="X458" s="321"/>
      <c r="Y458" s="321"/>
      <c r="Z458" s="433"/>
      <c r="AA458" s="356"/>
      <c r="AB458" s="306" t="str">
        <f t="shared" si="86"/>
        <v/>
      </c>
      <c r="AC458" s="893">
        <f t="shared" si="87"/>
        <v>0</v>
      </c>
      <c r="AD458" s="322"/>
      <c r="AE458" s="1"/>
      <c r="AF458" s="223">
        <f>IF(ISBLANK(AD458),0,COUNTIF(AF$4:AF457,"&gt;0")+1)</f>
        <v>0</v>
      </c>
      <c r="AG458" s="164">
        <f t="shared" ref="AG458:AG521" si="93">IF($AF458=0,0,W458)</f>
        <v>0</v>
      </c>
      <c r="AH458" s="99">
        <f t="shared" si="88"/>
        <v>0</v>
      </c>
      <c r="AI458" s="99">
        <f t="shared" ref="AI458:AI521" si="94">IF($AF458=0,0,Y458)</f>
        <v>0</v>
      </c>
      <c r="AJ458" s="170">
        <f t="shared" ref="AJ458:AJ521" si="95">IF($AF458=0,0,IF(RIGHT(AD458)="-",IF(Z458&gt;0,Z458*-1,Z458),Z458))</f>
        <v>0</v>
      </c>
      <c r="AK458" s="204">
        <f t="shared" si="89"/>
        <v>0</v>
      </c>
      <c r="AL458" s="1049">
        <f>IF(ISERROR(AO458),0,IF(AND(AN458&gt;=$U$1,AN458&lt;=$U$2),IF(AO458='ESTRATTO CONTO'!$E$2,1+COUNTIF(AL$4:AL457,"&gt;0")+U$1009,0),0))</f>
        <v>0</v>
      </c>
      <c r="AM458" s="747">
        <f t="shared" si="92"/>
        <v>455</v>
      </c>
      <c r="AN458" s="164" t="e">
        <f>VLOOKUP($AM458,PATRIMONIALE!$AV510:AW$1003,2,FALSE)</f>
        <v>#N/A</v>
      </c>
      <c r="AO458" s="310" t="e">
        <f>VLOOKUP($AM458,PATRIMONIALE!$AV510:AX$1003,3,FALSE)</f>
        <v>#N/A</v>
      </c>
      <c r="AP458" s="310" t="e">
        <f>VLOOKUP($AM458,PATRIMONIALE!$AV510:AY$1003,4,FALSE)</f>
        <v>#N/A</v>
      </c>
      <c r="AQ458" s="748" t="e">
        <f>VLOOKUP($AM458,PATRIMONIALE!$AV510:AZ$1003,5,FALSE)</f>
        <v>#N/A</v>
      </c>
      <c r="AR458" s="1"/>
      <c r="AS458" s="461" t="str">
        <f t="shared" si="90"/>
        <v/>
      </c>
      <c r="AT458" s="370"/>
    </row>
    <row r="459" spans="1:46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435">
        <f>IF(AND(W459&gt;=$U$1,W459&lt;=$U$2),IF(X459='ESTRATTO CONTO'!$E$2,1+COUNTIF(U$4:U458,"&gt;0"),0),0)</f>
        <v>0</v>
      </c>
      <c r="V459" s="417">
        <f t="shared" si="91"/>
        <v>456</v>
      </c>
      <c r="W459" s="509"/>
      <c r="X459" s="321"/>
      <c r="Y459" s="321"/>
      <c r="Z459" s="433"/>
      <c r="AA459" s="356"/>
      <c r="AB459" s="306" t="str">
        <f t="shared" si="86"/>
        <v/>
      </c>
      <c r="AC459" s="893">
        <f t="shared" si="87"/>
        <v>0</v>
      </c>
      <c r="AD459" s="322"/>
      <c r="AE459" s="1"/>
      <c r="AF459" s="223">
        <f>IF(ISBLANK(AD459),0,COUNTIF(AF$4:AF458,"&gt;0")+1)</f>
        <v>0</v>
      </c>
      <c r="AG459" s="164">
        <f t="shared" si="93"/>
        <v>0</v>
      </c>
      <c r="AH459" s="99">
        <f t="shared" si="88"/>
        <v>0</v>
      </c>
      <c r="AI459" s="99">
        <f t="shared" si="94"/>
        <v>0</v>
      </c>
      <c r="AJ459" s="170">
        <f t="shared" si="95"/>
        <v>0</v>
      </c>
      <c r="AK459" s="204">
        <f t="shared" si="89"/>
        <v>0</v>
      </c>
      <c r="AL459" s="1049">
        <f>IF(ISERROR(AO459),0,IF(AND(AN459&gt;=$U$1,AN459&lt;=$U$2),IF(AO459='ESTRATTO CONTO'!$E$2,1+COUNTIF(AL$4:AL458,"&gt;0")+U$1009,0),0))</f>
        <v>0</v>
      </c>
      <c r="AM459" s="747">
        <f t="shared" si="92"/>
        <v>456</v>
      </c>
      <c r="AN459" s="164" t="e">
        <f>VLOOKUP($AM459,PATRIMONIALE!$AV511:AW$1003,2,FALSE)</f>
        <v>#N/A</v>
      </c>
      <c r="AO459" s="310" t="e">
        <f>VLOOKUP($AM459,PATRIMONIALE!$AV511:AX$1003,3,FALSE)</f>
        <v>#N/A</v>
      </c>
      <c r="AP459" s="310" t="e">
        <f>VLOOKUP($AM459,PATRIMONIALE!$AV511:AY$1003,4,FALSE)</f>
        <v>#N/A</v>
      </c>
      <c r="AQ459" s="748" t="e">
        <f>VLOOKUP($AM459,PATRIMONIALE!$AV511:AZ$1003,5,FALSE)</f>
        <v>#N/A</v>
      </c>
      <c r="AR459" s="1"/>
      <c r="AS459" s="461" t="str">
        <f t="shared" si="90"/>
        <v/>
      </c>
      <c r="AT459" s="370"/>
    </row>
    <row r="460" spans="1:46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435">
        <f>IF(AND(W460&gt;=$U$1,W460&lt;=$U$2),IF(X460='ESTRATTO CONTO'!$E$2,1+COUNTIF(U$4:U459,"&gt;0"),0),0)</f>
        <v>0</v>
      </c>
      <c r="V460" s="417">
        <f t="shared" si="91"/>
        <v>457</v>
      </c>
      <c r="W460" s="509"/>
      <c r="X460" s="321"/>
      <c r="Y460" s="321"/>
      <c r="Z460" s="433"/>
      <c r="AA460" s="356"/>
      <c r="AB460" s="306" t="str">
        <f t="shared" si="86"/>
        <v/>
      </c>
      <c r="AC460" s="893">
        <f t="shared" si="87"/>
        <v>0</v>
      </c>
      <c r="AD460" s="322"/>
      <c r="AE460" s="1"/>
      <c r="AF460" s="223">
        <f>IF(ISBLANK(AD460),0,COUNTIF(AF$4:AF459,"&gt;0")+1)</f>
        <v>0</v>
      </c>
      <c r="AG460" s="164">
        <f t="shared" si="93"/>
        <v>0</v>
      </c>
      <c r="AH460" s="99">
        <f t="shared" si="88"/>
        <v>0</v>
      </c>
      <c r="AI460" s="99">
        <f t="shared" si="94"/>
        <v>0</v>
      </c>
      <c r="AJ460" s="170">
        <f t="shared" si="95"/>
        <v>0</v>
      </c>
      <c r="AK460" s="204">
        <f t="shared" si="89"/>
        <v>0</v>
      </c>
      <c r="AL460" s="1049">
        <f>IF(ISERROR(AO460),0,IF(AND(AN460&gt;=$U$1,AN460&lt;=$U$2),IF(AO460='ESTRATTO CONTO'!$E$2,1+COUNTIF(AL$4:AL459,"&gt;0")+U$1009,0),0))</f>
        <v>0</v>
      </c>
      <c r="AM460" s="747">
        <f t="shared" si="92"/>
        <v>457</v>
      </c>
      <c r="AN460" s="164" t="e">
        <f>VLOOKUP($AM460,PATRIMONIALE!$AV512:AW$1003,2,FALSE)</f>
        <v>#N/A</v>
      </c>
      <c r="AO460" s="310" t="e">
        <f>VLOOKUP($AM460,PATRIMONIALE!$AV512:AX$1003,3,FALSE)</f>
        <v>#N/A</v>
      </c>
      <c r="AP460" s="310" t="e">
        <f>VLOOKUP($AM460,PATRIMONIALE!$AV512:AY$1003,4,FALSE)</f>
        <v>#N/A</v>
      </c>
      <c r="AQ460" s="748" t="e">
        <f>VLOOKUP($AM460,PATRIMONIALE!$AV512:AZ$1003,5,FALSE)</f>
        <v>#N/A</v>
      </c>
      <c r="AR460" s="1"/>
      <c r="AS460" s="461" t="str">
        <f t="shared" si="90"/>
        <v/>
      </c>
      <c r="AT460" s="370"/>
    </row>
    <row r="461" spans="1:46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435">
        <f>IF(AND(W461&gt;=$U$1,W461&lt;=$U$2),IF(X461='ESTRATTO CONTO'!$E$2,1+COUNTIF(U$4:U460,"&gt;0"),0),0)</f>
        <v>0</v>
      </c>
      <c r="V461" s="417">
        <f t="shared" si="91"/>
        <v>458</v>
      </c>
      <c r="W461" s="509"/>
      <c r="X461" s="321"/>
      <c r="Y461" s="321"/>
      <c r="Z461" s="433"/>
      <c r="AA461" s="356"/>
      <c r="AB461" s="306" t="str">
        <f t="shared" si="86"/>
        <v/>
      </c>
      <c r="AC461" s="893">
        <f t="shared" si="87"/>
        <v>0</v>
      </c>
      <c r="AD461" s="322"/>
      <c r="AE461" s="1"/>
      <c r="AF461" s="223">
        <f>IF(ISBLANK(AD461),0,COUNTIF(AF$4:AF460,"&gt;0")+1)</f>
        <v>0</v>
      </c>
      <c r="AG461" s="164">
        <f t="shared" si="93"/>
        <v>0</v>
      </c>
      <c r="AH461" s="99">
        <f t="shared" si="88"/>
        <v>0</v>
      </c>
      <c r="AI461" s="99">
        <f t="shared" si="94"/>
        <v>0</v>
      </c>
      <c r="AJ461" s="170">
        <f t="shared" si="95"/>
        <v>0</v>
      </c>
      <c r="AK461" s="204">
        <f t="shared" si="89"/>
        <v>0</v>
      </c>
      <c r="AL461" s="1049">
        <f>IF(ISERROR(AO461),0,IF(AND(AN461&gt;=$U$1,AN461&lt;=$U$2),IF(AO461='ESTRATTO CONTO'!$E$2,1+COUNTIF(AL$4:AL460,"&gt;0")+U$1009,0),0))</f>
        <v>0</v>
      </c>
      <c r="AM461" s="747">
        <f t="shared" si="92"/>
        <v>458</v>
      </c>
      <c r="AN461" s="164" t="e">
        <f>VLOOKUP($AM461,PATRIMONIALE!$AV513:AW$1003,2,FALSE)</f>
        <v>#N/A</v>
      </c>
      <c r="AO461" s="310" t="e">
        <f>VLOOKUP($AM461,PATRIMONIALE!$AV513:AX$1003,3,FALSE)</f>
        <v>#N/A</v>
      </c>
      <c r="AP461" s="310" t="e">
        <f>VLOOKUP($AM461,PATRIMONIALE!$AV513:AY$1003,4,FALSE)</f>
        <v>#N/A</v>
      </c>
      <c r="AQ461" s="748" t="e">
        <f>VLOOKUP($AM461,PATRIMONIALE!$AV513:AZ$1003,5,FALSE)</f>
        <v>#N/A</v>
      </c>
      <c r="AR461" s="1"/>
      <c r="AS461" s="461" t="str">
        <f t="shared" si="90"/>
        <v/>
      </c>
      <c r="AT461" s="370"/>
    </row>
    <row r="462" spans="1:46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435">
        <f>IF(AND(W462&gt;=$U$1,W462&lt;=$U$2),IF(X462='ESTRATTO CONTO'!$E$2,1+COUNTIF(U$4:U461,"&gt;0"),0),0)</f>
        <v>0</v>
      </c>
      <c r="V462" s="417">
        <f t="shared" si="91"/>
        <v>459</v>
      </c>
      <c r="W462" s="509"/>
      <c r="X462" s="321"/>
      <c r="Y462" s="321"/>
      <c r="Z462" s="433"/>
      <c r="AA462" s="356"/>
      <c r="AB462" s="306" t="str">
        <f t="shared" si="86"/>
        <v/>
      </c>
      <c r="AC462" s="893">
        <f t="shared" si="87"/>
        <v>0</v>
      </c>
      <c r="AD462" s="322"/>
      <c r="AE462" s="1"/>
      <c r="AF462" s="223">
        <f>IF(ISBLANK(AD462),0,COUNTIF(AF$4:AF461,"&gt;0")+1)</f>
        <v>0</v>
      </c>
      <c r="AG462" s="164">
        <f t="shared" si="93"/>
        <v>0</v>
      </c>
      <c r="AH462" s="99">
        <f t="shared" si="88"/>
        <v>0</v>
      </c>
      <c r="AI462" s="99">
        <f t="shared" si="94"/>
        <v>0</v>
      </c>
      <c r="AJ462" s="170">
        <f t="shared" si="95"/>
        <v>0</v>
      </c>
      <c r="AK462" s="204">
        <f t="shared" si="89"/>
        <v>0</v>
      </c>
      <c r="AL462" s="1049">
        <f>IF(ISERROR(AO462),0,IF(AND(AN462&gt;=$U$1,AN462&lt;=$U$2),IF(AO462='ESTRATTO CONTO'!$E$2,1+COUNTIF(AL$4:AL461,"&gt;0")+U$1009,0),0))</f>
        <v>0</v>
      </c>
      <c r="AM462" s="747">
        <f t="shared" si="92"/>
        <v>459</v>
      </c>
      <c r="AN462" s="164" t="e">
        <f>VLOOKUP($AM462,PATRIMONIALE!$AV514:AW$1003,2,FALSE)</f>
        <v>#N/A</v>
      </c>
      <c r="AO462" s="310" t="e">
        <f>VLOOKUP($AM462,PATRIMONIALE!$AV514:AX$1003,3,FALSE)</f>
        <v>#N/A</v>
      </c>
      <c r="AP462" s="310" t="e">
        <f>VLOOKUP($AM462,PATRIMONIALE!$AV514:AY$1003,4,FALSE)</f>
        <v>#N/A</v>
      </c>
      <c r="AQ462" s="748" t="e">
        <f>VLOOKUP($AM462,PATRIMONIALE!$AV514:AZ$1003,5,FALSE)</f>
        <v>#N/A</v>
      </c>
      <c r="AR462" s="1"/>
      <c r="AS462" s="461" t="str">
        <f t="shared" si="90"/>
        <v/>
      </c>
      <c r="AT462" s="370"/>
    </row>
    <row r="463" spans="1:46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435">
        <f>IF(AND(W463&gt;=$U$1,W463&lt;=$U$2),IF(X463='ESTRATTO CONTO'!$E$2,1+COUNTIF(U$4:U462,"&gt;0"),0),0)</f>
        <v>0</v>
      </c>
      <c r="V463" s="417">
        <f t="shared" si="91"/>
        <v>460</v>
      </c>
      <c r="W463" s="509"/>
      <c r="X463" s="321"/>
      <c r="Y463" s="321"/>
      <c r="Z463" s="433"/>
      <c r="AA463" s="356"/>
      <c r="AB463" s="306" t="str">
        <f t="shared" si="86"/>
        <v/>
      </c>
      <c r="AC463" s="893">
        <f t="shared" si="87"/>
        <v>0</v>
      </c>
      <c r="AD463" s="322"/>
      <c r="AE463" s="1"/>
      <c r="AF463" s="223">
        <f>IF(ISBLANK(AD463),0,COUNTIF(AF$4:AF462,"&gt;0")+1)</f>
        <v>0</v>
      </c>
      <c r="AG463" s="164">
        <f t="shared" si="93"/>
        <v>0</v>
      </c>
      <c r="AH463" s="99">
        <f t="shared" si="88"/>
        <v>0</v>
      </c>
      <c r="AI463" s="99">
        <f t="shared" si="94"/>
        <v>0</v>
      </c>
      <c r="AJ463" s="170">
        <f t="shared" si="95"/>
        <v>0</v>
      </c>
      <c r="AK463" s="204">
        <f t="shared" si="89"/>
        <v>0</v>
      </c>
      <c r="AL463" s="1049">
        <f>IF(ISERROR(AO463),0,IF(AND(AN463&gt;=$U$1,AN463&lt;=$U$2),IF(AO463='ESTRATTO CONTO'!$E$2,1+COUNTIF(AL$4:AL462,"&gt;0")+U$1009,0),0))</f>
        <v>0</v>
      </c>
      <c r="AM463" s="747">
        <f t="shared" si="92"/>
        <v>460</v>
      </c>
      <c r="AN463" s="164" t="e">
        <f>VLOOKUP($AM463,PATRIMONIALE!$AV515:AW$1003,2,FALSE)</f>
        <v>#N/A</v>
      </c>
      <c r="AO463" s="310" t="e">
        <f>VLOOKUP($AM463,PATRIMONIALE!$AV515:AX$1003,3,FALSE)</f>
        <v>#N/A</v>
      </c>
      <c r="AP463" s="310" t="e">
        <f>VLOOKUP($AM463,PATRIMONIALE!$AV515:AY$1003,4,FALSE)</f>
        <v>#N/A</v>
      </c>
      <c r="AQ463" s="748" t="e">
        <f>VLOOKUP($AM463,PATRIMONIALE!$AV515:AZ$1003,5,FALSE)</f>
        <v>#N/A</v>
      </c>
      <c r="AR463" s="1"/>
      <c r="AS463" s="461" t="str">
        <f t="shared" si="90"/>
        <v/>
      </c>
      <c r="AT463" s="370"/>
    </row>
    <row r="464" spans="1:46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435">
        <f>IF(AND(W464&gt;=$U$1,W464&lt;=$U$2),IF(X464='ESTRATTO CONTO'!$E$2,1+COUNTIF(U$4:U463,"&gt;0"),0),0)</f>
        <v>0</v>
      </c>
      <c r="V464" s="417">
        <f t="shared" si="91"/>
        <v>461</v>
      </c>
      <c r="W464" s="509"/>
      <c r="X464" s="321"/>
      <c r="Y464" s="321"/>
      <c r="Z464" s="433"/>
      <c r="AA464" s="356"/>
      <c r="AB464" s="306" t="str">
        <f t="shared" si="86"/>
        <v/>
      </c>
      <c r="AC464" s="893">
        <f t="shared" si="87"/>
        <v>0</v>
      </c>
      <c r="AD464" s="322"/>
      <c r="AE464" s="1"/>
      <c r="AF464" s="223">
        <f>IF(ISBLANK(AD464),0,COUNTIF(AF$4:AF463,"&gt;0")+1)</f>
        <v>0</v>
      </c>
      <c r="AG464" s="164">
        <f t="shared" si="93"/>
        <v>0</v>
      </c>
      <c r="AH464" s="99">
        <f t="shared" si="88"/>
        <v>0</v>
      </c>
      <c r="AI464" s="99">
        <f t="shared" si="94"/>
        <v>0</v>
      </c>
      <c r="AJ464" s="170">
        <f t="shared" si="95"/>
        <v>0</v>
      </c>
      <c r="AK464" s="204">
        <f t="shared" si="89"/>
        <v>0</v>
      </c>
      <c r="AL464" s="1049">
        <f>IF(ISERROR(AO464),0,IF(AND(AN464&gt;=$U$1,AN464&lt;=$U$2),IF(AO464='ESTRATTO CONTO'!$E$2,1+COUNTIF(AL$4:AL463,"&gt;0")+U$1009,0),0))</f>
        <v>0</v>
      </c>
      <c r="AM464" s="747">
        <f t="shared" si="92"/>
        <v>461</v>
      </c>
      <c r="AN464" s="164" t="e">
        <f>VLOOKUP($AM464,PATRIMONIALE!$AV516:AW$1003,2,FALSE)</f>
        <v>#N/A</v>
      </c>
      <c r="AO464" s="310" t="e">
        <f>VLOOKUP($AM464,PATRIMONIALE!$AV516:AX$1003,3,FALSE)</f>
        <v>#N/A</v>
      </c>
      <c r="AP464" s="310" t="e">
        <f>VLOOKUP($AM464,PATRIMONIALE!$AV516:AY$1003,4,FALSE)</f>
        <v>#N/A</v>
      </c>
      <c r="AQ464" s="748" t="e">
        <f>VLOOKUP($AM464,PATRIMONIALE!$AV516:AZ$1003,5,FALSE)</f>
        <v>#N/A</v>
      </c>
      <c r="AR464" s="1"/>
      <c r="AS464" s="461" t="str">
        <f t="shared" si="90"/>
        <v/>
      </c>
      <c r="AT464" s="370"/>
    </row>
    <row r="465" spans="1:46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435">
        <f>IF(AND(W465&gt;=$U$1,W465&lt;=$U$2),IF(X465='ESTRATTO CONTO'!$E$2,1+COUNTIF(U$4:U464,"&gt;0"),0),0)</f>
        <v>0</v>
      </c>
      <c r="V465" s="417">
        <f t="shared" si="91"/>
        <v>462</v>
      </c>
      <c r="W465" s="509"/>
      <c r="X465" s="321"/>
      <c r="Y465" s="321"/>
      <c r="Z465" s="433"/>
      <c r="AA465" s="356"/>
      <c r="AB465" s="306" t="str">
        <f t="shared" si="86"/>
        <v/>
      </c>
      <c r="AC465" s="893">
        <f t="shared" si="87"/>
        <v>0</v>
      </c>
      <c r="AD465" s="322"/>
      <c r="AE465" s="1"/>
      <c r="AF465" s="223">
        <f>IF(ISBLANK(AD465),0,COUNTIF(AF$4:AF464,"&gt;0")+1)</f>
        <v>0</v>
      </c>
      <c r="AG465" s="164">
        <f t="shared" si="93"/>
        <v>0</v>
      </c>
      <c r="AH465" s="99">
        <f t="shared" si="88"/>
        <v>0</v>
      </c>
      <c r="AI465" s="99">
        <f t="shared" si="94"/>
        <v>0</v>
      </c>
      <c r="AJ465" s="170">
        <f t="shared" si="95"/>
        <v>0</v>
      </c>
      <c r="AK465" s="204">
        <f t="shared" si="89"/>
        <v>0</v>
      </c>
      <c r="AL465" s="1049">
        <f>IF(ISERROR(AO465),0,IF(AND(AN465&gt;=$U$1,AN465&lt;=$U$2),IF(AO465='ESTRATTO CONTO'!$E$2,1+COUNTIF(AL$4:AL464,"&gt;0")+U$1009,0),0))</f>
        <v>0</v>
      </c>
      <c r="AM465" s="747">
        <f t="shared" si="92"/>
        <v>462</v>
      </c>
      <c r="AN465" s="164" t="e">
        <f>VLOOKUP($AM465,PATRIMONIALE!$AV517:AW$1003,2,FALSE)</f>
        <v>#N/A</v>
      </c>
      <c r="AO465" s="310" t="e">
        <f>VLOOKUP($AM465,PATRIMONIALE!$AV517:AX$1003,3,FALSE)</f>
        <v>#N/A</v>
      </c>
      <c r="AP465" s="310" t="e">
        <f>VLOOKUP($AM465,PATRIMONIALE!$AV517:AY$1003,4,FALSE)</f>
        <v>#N/A</v>
      </c>
      <c r="AQ465" s="748" t="e">
        <f>VLOOKUP($AM465,PATRIMONIALE!$AV517:AZ$1003,5,FALSE)</f>
        <v>#N/A</v>
      </c>
      <c r="AR465" s="1"/>
      <c r="AS465" s="461" t="str">
        <f t="shared" si="90"/>
        <v/>
      </c>
      <c r="AT465" s="370"/>
    </row>
    <row r="466" spans="1:46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435">
        <f>IF(AND(W466&gt;=$U$1,W466&lt;=$U$2),IF(X466='ESTRATTO CONTO'!$E$2,1+COUNTIF(U$4:U465,"&gt;0"),0),0)</f>
        <v>0</v>
      </c>
      <c r="V466" s="417">
        <f t="shared" si="91"/>
        <v>463</v>
      </c>
      <c r="W466" s="509"/>
      <c r="X466" s="321"/>
      <c r="Y466" s="321"/>
      <c r="Z466" s="433"/>
      <c r="AA466" s="356"/>
      <c r="AB466" s="306" t="str">
        <f t="shared" si="86"/>
        <v/>
      </c>
      <c r="AC466" s="893">
        <f t="shared" si="87"/>
        <v>0</v>
      </c>
      <c r="AD466" s="322"/>
      <c r="AE466" s="1"/>
      <c r="AF466" s="223">
        <f>IF(ISBLANK(AD466),0,COUNTIF(AF$4:AF465,"&gt;0")+1)</f>
        <v>0</v>
      </c>
      <c r="AG466" s="164">
        <f t="shared" si="93"/>
        <v>0</v>
      </c>
      <c r="AH466" s="99">
        <f t="shared" si="88"/>
        <v>0</v>
      </c>
      <c r="AI466" s="99">
        <f t="shared" si="94"/>
        <v>0</v>
      </c>
      <c r="AJ466" s="170">
        <f t="shared" si="95"/>
        <v>0</v>
      </c>
      <c r="AK466" s="204">
        <f t="shared" si="89"/>
        <v>0</v>
      </c>
      <c r="AL466" s="1049">
        <f>IF(ISERROR(AO466),0,IF(AND(AN466&gt;=$U$1,AN466&lt;=$U$2),IF(AO466='ESTRATTO CONTO'!$E$2,1+COUNTIF(AL$4:AL465,"&gt;0")+U$1009,0),0))</f>
        <v>0</v>
      </c>
      <c r="AM466" s="747">
        <f t="shared" si="92"/>
        <v>463</v>
      </c>
      <c r="AN466" s="164" t="e">
        <f>VLOOKUP($AM466,PATRIMONIALE!$AV518:AW$1003,2,FALSE)</f>
        <v>#N/A</v>
      </c>
      <c r="AO466" s="310" t="e">
        <f>VLOOKUP($AM466,PATRIMONIALE!$AV518:AX$1003,3,FALSE)</f>
        <v>#N/A</v>
      </c>
      <c r="AP466" s="310" t="e">
        <f>VLOOKUP($AM466,PATRIMONIALE!$AV518:AY$1003,4,FALSE)</f>
        <v>#N/A</v>
      </c>
      <c r="AQ466" s="748" t="e">
        <f>VLOOKUP($AM466,PATRIMONIALE!$AV518:AZ$1003,5,FALSE)</f>
        <v>#N/A</v>
      </c>
      <c r="AR466" s="1"/>
      <c r="AS466" s="461" t="str">
        <f t="shared" si="90"/>
        <v/>
      </c>
      <c r="AT466" s="370"/>
    </row>
    <row r="467" spans="1:46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435">
        <f>IF(AND(W467&gt;=$U$1,W467&lt;=$U$2),IF(X467='ESTRATTO CONTO'!$E$2,1+COUNTIF(U$4:U466,"&gt;0"),0),0)</f>
        <v>0</v>
      </c>
      <c r="V467" s="417">
        <f t="shared" si="91"/>
        <v>464</v>
      </c>
      <c r="W467" s="509"/>
      <c r="X467" s="321"/>
      <c r="Y467" s="321"/>
      <c r="Z467" s="433"/>
      <c r="AA467" s="356"/>
      <c r="AB467" s="306" t="str">
        <f t="shared" si="86"/>
        <v/>
      </c>
      <c r="AC467" s="893">
        <f t="shared" si="87"/>
        <v>0</v>
      </c>
      <c r="AD467" s="322"/>
      <c r="AE467" s="1"/>
      <c r="AF467" s="223">
        <f>IF(ISBLANK(AD467),0,COUNTIF(AF$4:AF466,"&gt;0")+1)</f>
        <v>0</v>
      </c>
      <c r="AG467" s="164">
        <f t="shared" si="93"/>
        <v>0</v>
      </c>
      <c r="AH467" s="99">
        <f t="shared" si="88"/>
        <v>0</v>
      </c>
      <c r="AI467" s="99">
        <f t="shared" si="94"/>
        <v>0</v>
      </c>
      <c r="AJ467" s="170">
        <f t="shared" si="95"/>
        <v>0</v>
      </c>
      <c r="AK467" s="204">
        <f t="shared" si="89"/>
        <v>0</v>
      </c>
      <c r="AL467" s="1049">
        <f>IF(ISERROR(AO467),0,IF(AND(AN467&gt;=$U$1,AN467&lt;=$U$2),IF(AO467='ESTRATTO CONTO'!$E$2,1+COUNTIF(AL$4:AL466,"&gt;0")+U$1009,0),0))</f>
        <v>0</v>
      </c>
      <c r="AM467" s="747">
        <f t="shared" si="92"/>
        <v>464</v>
      </c>
      <c r="AN467" s="164" t="e">
        <f>VLOOKUP($AM467,PATRIMONIALE!$AV519:AW$1003,2,FALSE)</f>
        <v>#N/A</v>
      </c>
      <c r="AO467" s="310" t="e">
        <f>VLOOKUP($AM467,PATRIMONIALE!$AV519:AX$1003,3,FALSE)</f>
        <v>#N/A</v>
      </c>
      <c r="AP467" s="310" t="e">
        <f>VLOOKUP($AM467,PATRIMONIALE!$AV519:AY$1003,4,FALSE)</f>
        <v>#N/A</v>
      </c>
      <c r="AQ467" s="748" t="e">
        <f>VLOOKUP($AM467,PATRIMONIALE!$AV519:AZ$1003,5,FALSE)</f>
        <v>#N/A</v>
      </c>
      <c r="AR467" s="1"/>
      <c r="AS467" s="461" t="str">
        <f t="shared" si="90"/>
        <v/>
      </c>
      <c r="AT467" s="370"/>
    </row>
    <row r="468" spans="1:46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435">
        <f>IF(AND(W468&gt;=$U$1,W468&lt;=$U$2),IF(X468='ESTRATTO CONTO'!$E$2,1+COUNTIF(U$4:U467,"&gt;0"),0),0)</f>
        <v>0</v>
      </c>
      <c r="V468" s="417">
        <f t="shared" si="91"/>
        <v>465</v>
      </c>
      <c r="W468" s="509"/>
      <c r="X468" s="321"/>
      <c r="Y468" s="321"/>
      <c r="Z468" s="433"/>
      <c r="AA468" s="356"/>
      <c r="AB468" s="306" t="str">
        <f t="shared" si="86"/>
        <v/>
      </c>
      <c r="AC468" s="893">
        <f t="shared" si="87"/>
        <v>0</v>
      </c>
      <c r="AD468" s="322"/>
      <c r="AE468" s="1"/>
      <c r="AF468" s="223">
        <f>IF(ISBLANK(AD468),0,COUNTIF(AF$4:AF467,"&gt;0")+1)</f>
        <v>0</v>
      </c>
      <c r="AG468" s="164">
        <f t="shared" si="93"/>
        <v>0</v>
      </c>
      <c r="AH468" s="99">
        <f t="shared" si="88"/>
        <v>0</v>
      </c>
      <c r="AI468" s="99">
        <f t="shared" si="94"/>
        <v>0</v>
      </c>
      <c r="AJ468" s="170">
        <f t="shared" si="95"/>
        <v>0</v>
      </c>
      <c r="AK468" s="204">
        <f t="shared" si="89"/>
        <v>0</v>
      </c>
      <c r="AL468" s="1049">
        <f>IF(ISERROR(AO468),0,IF(AND(AN468&gt;=$U$1,AN468&lt;=$U$2),IF(AO468='ESTRATTO CONTO'!$E$2,1+COUNTIF(AL$4:AL467,"&gt;0")+U$1009,0),0))</f>
        <v>0</v>
      </c>
      <c r="AM468" s="747">
        <f t="shared" si="92"/>
        <v>465</v>
      </c>
      <c r="AN468" s="164" t="e">
        <f>VLOOKUP($AM468,PATRIMONIALE!$AV520:AW$1003,2,FALSE)</f>
        <v>#N/A</v>
      </c>
      <c r="AO468" s="310" t="e">
        <f>VLOOKUP($AM468,PATRIMONIALE!$AV520:AX$1003,3,FALSE)</f>
        <v>#N/A</v>
      </c>
      <c r="AP468" s="310" t="e">
        <f>VLOOKUP($AM468,PATRIMONIALE!$AV520:AY$1003,4,FALSE)</f>
        <v>#N/A</v>
      </c>
      <c r="AQ468" s="748" t="e">
        <f>VLOOKUP($AM468,PATRIMONIALE!$AV520:AZ$1003,5,FALSE)</f>
        <v>#N/A</v>
      </c>
      <c r="AR468" s="1"/>
      <c r="AS468" s="461" t="str">
        <f t="shared" si="90"/>
        <v/>
      </c>
      <c r="AT468" s="370"/>
    </row>
    <row r="469" spans="1:46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435">
        <f>IF(AND(W469&gt;=$U$1,W469&lt;=$U$2),IF(X469='ESTRATTO CONTO'!$E$2,1+COUNTIF(U$4:U468,"&gt;0"),0),0)</f>
        <v>0</v>
      </c>
      <c r="V469" s="417">
        <f t="shared" si="91"/>
        <v>466</v>
      </c>
      <c r="W469" s="509"/>
      <c r="X469" s="321"/>
      <c r="Y469" s="321"/>
      <c r="Z469" s="433"/>
      <c r="AA469" s="356"/>
      <c r="AB469" s="306" t="str">
        <f t="shared" si="86"/>
        <v/>
      </c>
      <c r="AC469" s="893">
        <f t="shared" si="87"/>
        <v>0</v>
      </c>
      <c r="AD469" s="322"/>
      <c r="AE469" s="1"/>
      <c r="AF469" s="223">
        <f>IF(ISBLANK(AD469),0,COUNTIF(AF$4:AF468,"&gt;0")+1)</f>
        <v>0</v>
      </c>
      <c r="AG469" s="164">
        <f t="shared" si="93"/>
        <v>0</v>
      </c>
      <c r="AH469" s="99">
        <f t="shared" si="88"/>
        <v>0</v>
      </c>
      <c r="AI469" s="99">
        <f t="shared" si="94"/>
        <v>0</v>
      </c>
      <c r="AJ469" s="170">
        <f t="shared" si="95"/>
        <v>0</v>
      </c>
      <c r="AK469" s="204">
        <f t="shared" si="89"/>
        <v>0</v>
      </c>
      <c r="AL469" s="1049">
        <f>IF(ISERROR(AO469),0,IF(AND(AN469&gt;=$U$1,AN469&lt;=$U$2),IF(AO469='ESTRATTO CONTO'!$E$2,1+COUNTIF(AL$4:AL468,"&gt;0")+U$1009,0),0))</f>
        <v>0</v>
      </c>
      <c r="AM469" s="747">
        <f t="shared" si="92"/>
        <v>466</v>
      </c>
      <c r="AN469" s="164" t="e">
        <f>VLOOKUP($AM469,PATRIMONIALE!$AV521:AW$1003,2,FALSE)</f>
        <v>#N/A</v>
      </c>
      <c r="AO469" s="310" t="e">
        <f>VLOOKUP($AM469,PATRIMONIALE!$AV521:AX$1003,3,FALSE)</f>
        <v>#N/A</v>
      </c>
      <c r="AP469" s="310" t="e">
        <f>VLOOKUP($AM469,PATRIMONIALE!$AV521:AY$1003,4,FALSE)</f>
        <v>#N/A</v>
      </c>
      <c r="AQ469" s="748" t="e">
        <f>VLOOKUP($AM469,PATRIMONIALE!$AV521:AZ$1003,5,FALSE)</f>
        <v>#N/A</v>
      </c>
      <c r="AR469" s="1"/>
      <c r="AS469" s="461" t="str">
        <f t="shared" si="90"/>
        <v/>
      </c>
      <c r="AT469" s="370"/>
    </row>
    <row r="470" spans="1:46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435">
        <f>IF(AND(W470&gt;=$U$1,W470&lt;=$U$2),IF(X470='ESTRATTO CONTO'!$E$2,1+COUNTIF(U$4:U469,"&gt;0"),0),0)</f>
        <v>0</v>
      </c>
      <c r="V470" s="417">
        <f t="shared" si="91"/>
        <v>467</v>
      </c>
      <c r="W470" s="509"/>
      <c r="X470" s="321"/>
      <c r="Y470" s="321"/>
      <c r="Z470" s="433"/>
      <c r="AA470" s="356"/>
      <c r="AB470" s="306" t="str">
        <f t="shared" si="86"/>
        <v/>
      </c>
      <c r="AC470" s="893">
        <f t="shared" si="87"/>
        <v>0</v>
      </c>
      <c r="AD470" s="322"/>
      <c r="AE470" s="1"/>
      <c r="AF470" s="223">
        <f>IF(ISBLANK(AD470),0,COUNTIF(AF$4:AF469,"&gt;0")+1)</f>
        <v>0</v>
      </c>
      <c r="AG470" s="164">
        <f t="shared" si="93"/>
        <v>0</v>
      </c>
      <c r="AH470" s="99">
        <f t="shared" si="88"/>
        <v>0</v>
      </c>
      <c r="AI470" s="99">
        <f t="shared" si="94"/>
        <v>0</v>
      </c>
      <c r="AJ470" s="170">
        <f t="shared" si="95"/>
        <v>0</v>
      </c>
      <c r="AK470" s="204">
        <f t="shared" si="89"/>
        <v>0</v>
      </c>
      <c r="AL470" s="1049">
        <f>IF(ISERROR(AO470),0,IF(AND(AN470&gt;=$U$1,AN470&lt;=$U$2),IF(AO470='ESTRATTO CONTO'!$E$2,1+COUNTIF(AL$4:AL469,"&gt;0")+U$1009,0),0))</f>
        <v>0</v>
      </c>
      <c r="AM470" s="747">
        <f t="shared" si="92"/>
        <v>467</v>
      </c>
      <c r="AN470" s="164" t="e">
        <f>VLOOKUP($AM470,PATRIMONIALE!$AV522:AW$1003,2,FALSE)</f>
        <v>#N/A</v>
      </c>
      <c r="AO470" s="310" t="e">
        <f>VLOOKUP($AM470,PATRIMONIALE!$AV522:AX$1003,3,FALSE)</f>
        <v>#N/A</v>
      </c>
      <c r="AP470" s="310" t="e">
        <f>VLOOKUP($AM470,PATRIMONIALE!$AV522:AY$1003,4,FALSE)</f>
        <v>#N/A</v>
      </c>
      <c r="AQ470" s="748" t="e">
        <f>VLOOKUP($AM470,PATRIMONIALE!$AV522:AZ$1003,5,FALSE)</f>
        <v>#N/A</v>
      </c>
      <c r="AR470" s="1"/>
      <c r="AS470" s="461" t="str">
        <f t="shared" si="90"/>
        <v/>
      </c>
      <c r="AT470" s="370"/>
    </row>
    <row r="471" spans="1:46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435">
        <f>IF(AND(W471&gt;=$U$1,W471&lt;=$U$2),IF(X471='ESTRATTO CONTO'!$E$2,1+COUNTIF(U$4:U470,"&gt;0"),0),0)</f>
        <v>0</v>
      </c>
      <c r="V471" s="417">
        <f t="shared" si="91"/>
        <v>468</v>
      </c>
      <c r="W471" s="509"/>
      <c r="X471" s="321"/>
      <c r="Y471" s="321"/>
      <c r="Z471" s="433"/>
      <c r="AA471" s="356"/>
      <c r="AB471" s="306" t="str">
        <f t="shared" si="86"/>
        <v/>
      </c>
      <c r="AC471" s="893">
        <f t="shared" si="87"/>
        <v>0</v>
      </c>
      <c r="AD471" s="322"/>
      <c r="AE471" s="1"/>
      <c r="AF471" s="223">
        <f>IF(ISBLANK(AD471),0,COUNTIF(AF$4:AF470,"&gt;0")+1)</f>
        <v>0</v>
      </c>
      <c r="AG471" s="164">
        <f t="shared" si="93"/>
        <v>0</v>
      </c>
      <c r="AH471" s="99">
        <f t="shared" si="88"/>
        <v>0</v>
      </c>
      <c r="AI471" s="99">
        <f t="shared" si="94"/>
        <v>0</v>
      </c>
      <c r="AJ471" s="170">
        <f t="shared" si="95"/>
        <v>0</v>
      </c>
      <c r="AK471" s="204">
        <f t="shared" si="89"/>
        <v>0</v>
      </c>
      <c r="AL471" s="1049">
        <f>IF(ISERROR(AO471),0,IF(AND(AN471&gt;=$U$1,AN471&lt;=$U$2),IF(AO471='ESTRATTO CONTO'!$E$2,1+COUNTIF(AL$4:AL470,"&gt;0")+U$1009,0),0))</f>
        <v>0</v>
      </c>
      <c r="AM471" s="747">
        <f t="shared" si="92"/>
        <v>468</v>
      </c>
      <c r="AN471" s="164" t="e">
        <f>VLOOKUP($AM471,PATRIMONIALE!$AV523:AW$1003,2,FALSE)</f>
        <v>#N/A</v>
      </c>
      <c r="AO471" s="310" t="e">
        <f>VLOOKUP($AM471,PATRIMONIALE!$AV523:AX$1003,3,FALSE)</f>
        <v>#N/A</v>
      </c>
      <c r="AP471" s="310" t="e">
        <f>VLOOKUP($AM471,PATRIMONIALE!$AV523:AY$1003,4,FALSE)</f>
        <v>#N/A</v>
      </c>
      <c r="AQ471" s="748" t="e">
        <f>VLOOKUP($AM471,PATRIMONIALE!$AV523:AZ$1003,5,FALSE)</f>
        <v>#N/A</v>
      </c>
      <c r="AR471" s="1"/>
      <c r="AS471" s="461" t="str">
        <f t="shared" si="90"/>
        <v/>
      </c>
      <c r="AT471" s="370"/>
    </row>
    <row r="472" spans="1:46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435">
        <f>IF(AND(W472&gt;=$U$1,W472&lt;=$U$2),IF(X472='ESTRATTO CONTO'!$E$2,1+COUNTIF(U$4:U471,"&gt;0"),0),0)</f>
        <v>0</v>
      </c>
      <c r="V472" s="417">
        <f t="shared" si="91"/>
        <v>469</v>
      </c>
      <c r="W472" s="509"/>
      <c r="X472" s="321"/>
      <c r="Y472" s="321"/>
      <c r="Z472" s="433"/>
      <c r="AA472" s="356"/>
      <c r="AB472" s="306" t="str">
        <f t="shared" si="86"/>
        <v/>
      </c>
      <c r="AC472" s="893">
        <f t="shared" si="87"/>
        <v>0</v>
      </c>
      <c r="AD472" s="322"/>
      <c r="AE472" s="1"/>
      <c r="AF472" s="223">
        <f>IF(ISBLANK(AD472),0,COUNTIF(AF$4:AF471,"&gt;0")+1)</f>
        <v>0</v>
      </c>
      <c r="AG472" s="164">
        <f t="shared" si="93"/>
        <v>0</v>
      </c>
      <c r="AH472" s="99">
        <f t="shared" si="88"/>
        <v>0</v>
      </c>
      <c r="AI472" s="99">
        <f t="shared" si="94"/>
        <v>0</v>
      </c>
      <c r="AJ472" s="170">
        <f t="shared" si="95"/>
        <v>0</v>
      </c>
      <c r="AK472" s="204">
        <f t="shared" si="89"/>
        <v>0</v>
      </c>
      <c r="AL472" s="1049">
        <f>IF(ISERROR(AO472),0,IF(AND(AN472&gt;=$U$1,AN472&lt;=$U$2),IF(AO472='ESTRATTO CONTO'!$E$2,1+COUNTIF(AL$4:AL471,"&gt;0")+U$1009,0),0))</f>
        <v>0</v>
      </c>
      <c r="AM472" s="747">
        <f t="shared" si="92"/>
        <v>469</v>
      </c>
      <c r="AN472" s="164" t="e">
        <f>VLOOKUP($AM472,PATRIMONIALE!$AV524:AW$1003,2,FALSE)</f>
        <v>#N/A</v>
      </c>
      <c r="AO472" s="310" t="e">
        <f>VLOOKUP($AM472,PATRIMONIALE!$AV524:AX$1003,3,FALSE)</f>
        <v>#N/A</v>
      </c>
      <c r="AP472" s="310" t="e">
        <f>VLOOKUP($AM472,PATRIMONIALE!$AV524:AY$1003,4,FALSE)</f>
        <v>#N/A</v>
      </c>
      <c r="AQ472" s="748" t="e">
        <f>VLOOKUP($AM472,PATRIMONIALE!$AV524:AZ$1003,5,FALSE)</f>
        <v>#N/A</v>
      </c>
      <c r="AR472" s="1"/>
      <c r="AS472" s="461" t="str">
        <f t="shared" si="90"/>
        <v/>
      </c>
      <c r="AT472" s="370"/>
    </row>
    <row r="473" spans="1:46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435">
        <f>IF(AND(W473&gt;=$U$1,W473&lt;=$U$2),IF(X473='ESTRATTO CONTO'!$E$2,1+COUNTIF(U$4:U472,"&gt;0"),0),0)</f>
        <v>0</v>
      </c>
      <c r="V473" s="417">
        <f t="shared" si="91"/>
        <v>470</v>
      </c>
      <c r="W473" s="509"/>
      <c r="X473" s="321"/>
      <c r="Y473" s="321"/>
      <c r="Z473" s="433"/>
      <c r="AA473" s="356"/>
      <c r="AB473" s="306" t="str">
        <f t="shared" si="86"/>
        <v/>
      </c>
      <c r="AC473" s="893">
        <f t="shared" si="87"/>
        <v>0</v>
      </c>
      <c r="AD473" s="322"/>
      <c r="AE473" s="1"/>
      <c r="AF473" s="223">
        <f>IF(ISBLANK(AD473),0,COUNTIF(AF$4:AF472,"&gt;0")+1)</f>
        <v>0</v>
      </c>
      <c r="AG473" s="164">
        <f t="shared" si="93"/>
        <v>0</v>
      </c>
      <c r="AH473" s="99">
        <f t="shared" si="88"/>
        <v>0</v>
      </c>
      <c r="AI473" s="99">
        <f t="shared" si="94"/>
        <v>0</v>
      </c>
      <c r="AJ473" s="170">
        <f t="shared" si="95"/>
        <v>0</v>
      </c>
      <c r="AK473" s="204">
        <f t="shared" si="89"/>
        <v>0</v>
      </c>
      <c r="AL473" s="1049">
        <f>IF(ISERROR(AO473),0,IF(AND(AN473&gt;=$U$1,AN473&lt;=$U$2),IF(AO473='ESTRATTO CONTO'!$E$2,1+COUNTIF(AL$4:AL472,"&gt;0")+U$1009,0),0))</f>
        <v>0</v>
      </c>
      <c r="AM473" s="747">
        <f t="shared" si="92"/>
        <v>470</v>
      </c>
      <c r="AN473" s="164" t="e">
        <f>VLOOKUP($AM473,PATRIMONIALE!$AV525:AW$1003,2,FALSE)</f>
        <v>#N/A</v>
      </c>
      <c r="AO473" s="310" t="e">
        <f>VLOOKUP($AM473,PATRIMONIALE!$AV525:AX$1003,3,FALSE)</f>
        <v>#N/A</v>
      </c>
      <c r="AP473" s="310" t="e">
        <f>VLOOKUP($AM473,PATRIMONIALE!$AV525:AY$1003,4,FALSE)</f>
        <v>#N/A</v>
      </c>
      <c r="AQ473" s="748" t="e">
        <f>VLOOKUP($AM473,PATRIMONIALE!$AV525:AZ$1003,5,FALSE)</f>
        <v>#N/A</v>
      </c>
      <c r="AR473" s="1"/>
      <c r="AS473" s="461" t="str">
        <f t="shared" si="90"/>
        <v/>
      </c>
      <c r="AT473" s="370"/>
    </row>
    <row r="474" spans="1:46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435">
        <f>IF(AND(W474&gt;=$U$1,W474&lt;=$U$2),IF(X474='ESTRATTO CONTO'!$E$2,1+COUNTIF(U$4:U473,"&gt;0"),0),0)</f>
        <v>0</v>
      </c>
      <c r="V474" s="417">
        <f t="shared" si="91"/>
        <v>471</v>
      </c>
      <c r="W474" s="509"/>
      <c r="X474" s="321"/>
      <c r="Y474" s="321"/>
      <c r="Z474" s="433"/>
      <c r="AA474" s="356"/>
      <c r="AB474" s="306" t="str">
        <f t="shared" si="86"/>
        <v/>
      </c>
      <c r="AC474" s="893">
        <f t="shared" si="87"/>
        <v>0</v>
      </c>
      <c r="AD474" s="322"/>
      <c r="AE474" s="1"/>
      <c r="AF474" s="223">
        <f>IF(ISBLANK(AD474),0,COUNTIF(AF$4:AF473,"&gt;0")+1)</f>
        <v>0</v>
      </c>
      <c r="AG474" s="164">
        <f t="shared" si="93"/>
        <v>0</v>
      </c>
      <c r="AH474" s="99">
        <f t="shared" si="88"/>
        <v>0</v>
      </c>
      <c r="AI474" s="99">
        <f t="shared" si="94"/>
        <v>0</v>
      </c>
      <c r="AJ474" s="170">
        <f t="shared" si="95"/>
        <v>0</v>
      </c>
      <c r="AK474" s="204">
        <f t="shared" si="89"/>
        <v>0</v>
      </c>
      <c r="AL474" s="1049">
        <f>IF(ISERROR(AO474),0,IF(AND(AN474&gt;=$U$1,AN474&lt;=$U$2),IF(AO474='ESTRATTO CONTO'!$E$2,1+COUNTIF(AL$4:AL473,"&gt;0")+U$1009,0),0))</f>
        <v>0</v>
      </c>
      <c r="AM474" s="747">
        <f t="shared" si="92"/>
        <v>471</v>
      </c>
      <c r="AN474" s="164" t="e">
        <f>VLOOKUP($AM474,PATRIMONIALE!$AV526:AW$1003,2,FALSE)</f>
        <v>#N/A</v>
      </c>
      <c r="AO474" s="310" t="e">
        <f>VLOOKUP($AM474,PATRIMONIALE!$AV526:AX$1003,3,FALSE)</f>
        <v>#N/A</v>
      </c>
      <c r="AP474" s="310" t="e">
        <f>VLOOKUP($AM474,PATRIMONIALE!$AV526:AY$1003,4,FALSE)</f>
        <v>#N/A</v>
      </c>
      <c r="AQ474" s="748" t="e">
        <f>VLOOKUP($AM474,PATRIMONIALE!$AV526:AZ$1003,5,FALSE)</f>
        <v>#N/A</v>
      </c>
      <c r="AR474" s="1"/>
      <c r="AS474" s="461" t="str">
        <f t="shared" si="90"/>
        <v/>
      </c>
      <c r="AT474" s="370"/>
    </row>
    <row r="475" spans="1:46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435">
        <f>IF(AND(W475&gt;=$U$1,W475&lt;=$U$2),IF(X475='ESTRATTO CONTO'!$E$2,1+COUNTIF(U$4:U474,"&gt;0"),0),0)</f>
        <v>0</v>
      </c>
      <c r="V475" s="417">
        <f t="shared" si="91"/>
        <v>472</v>
      </c>
      <c r="W475" s="509"/>
      <c r="X475" s="321"/>
      <c r="Y475" s="321"/>
      <c r="Z475" s="433"/>
      <c r="AA475" s="356"/>
      <c r="AB475" s="306" t="str">
        <f t="shared" si="86"/>
        <v/>
      </c>
      <c r="AC475" s="893">
        <f t="shared" si="87"/>
        <v>0</v>
      </c>
      <c r="AD475" s="322"/>
      <c r="AE475" s="1"/>
      <c r="AF475" s="223">
        <f>IF(ISBLANK(AD475),0,COUNTIF(AF$4:AF474,"&gt;0")+1)</f>
        <v>0</v>
      </c>
      <c r="AG475" s="164">
        <f t="shared" si="93"/>
        <v>0</v>
      </c>
      <c r="AH475" s="99">
        <f t="shared" si="88"/>
        <v>0</v>
      </c>
      <c r="AI475" s="99">
        <f t="shared" si="94"/>
        <v>0</v>
      </c>
      <c r="AJ475" s="170">
        <f t="shared" si="95"/>
        <v>0</v>
      </c>
      <c r="AK475" s="204">
        <f t="shared" si="89"/>
        <v>0</v>
      </c>
      <c r="AL475" s="1049">
        <f>IF(ISERROR(AO475),0,IF(AND(AN475&gt;=$U$1,AN475&lt;=$U$2),IF(AO475='ESTRATTO CONTO'!$E$2,1+COUNTIF(AL$4:AL474,"&gt;0")+U$1009,0),0))</f>
        <v>0</v>
      </c>
      <c r="AM475" s="747">
        <f t="shared" si="92"/>
        <v>472</v>
      </c>
      <c r="AN475" s="164" t="e">
        <f>VLOOKUP($AM475,PATRIMONIALE!$AV527:AW$1003,2,FALSE)</f>
        <v>#N/A</v>
      </c>
      <c r="AO475" s="310" t="e">
        <f>VLOOKUP($AM475,PATRIMONIALE!$AV527:AX$1003,3,FALSE)</f>
        <v>#N/A</v>
      </c>
      <c r="AP475" s="310" t="e">
        <f>VLOOKUP($AM475,PATRIMONIALE!$AV527:AY$1003,4,FALSE)</f>
        <v>#N/A</v>
      </c>
      <c r="AQ475" s="748" t="e">
        <f>VLOOKUP($AM475,PATRIMONIALE!$AV527:AZ$1003,5,FALSE)</f>
        <v>#N/A</v>
      </c>
      <c r="AR475" s="1"/>
      <c r="AS475" s="461" t="str">
        <f t="shared" si="90"/>
        <v/>
      </c>
      <c r="AT475" s="370"/>
    </row>
    <row r="476" spans="1:46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435">
        <f>IF(AND(W476&gt;=$U$1,W476&lt;=$U$2),IF(X476='ESTRATTO CONTO'!$E$2,1+COUNTIF(U$4:U475,"&gt;0"),0),0)</f>
        <v>0</v>
      </c>
      <c r="V476" s="417">
        <f t="shared" si="91"/>
        <v>473</v>
      </c>
      <c r="W476" s="509"/>
      <c r="X476" s="321"/>
      <c r="Y476" s="321"/>
      <c r="Z476" s="433"/>
      <c r="AA476" s="356"/>
      <c r="AB476" s="306" t="str">
        <f t="shared" si="86"/>
        <v/>
      </c>
      <c r="AC476" s="893">
        <f t="shared" si="87"/>
        <v>0</v>
      </c>
      <c r="AD476" s="322"/>
      <c r="AE476" s="1"/>
      <c r="AF476" s="223">
        <f>IF(ISBLANK(AD476),0,COUNTIF(AF$4:AF475,"&gt;0")+1)</f>
        <v>0</v>
      </c>
      <c r="AG476" s="164">
        <f t="shared" si="93"/>
        <v>0</v>
      </c>
      <c r="AH476" s="99">
        <f t="shared" si="88"/>
        <v>0</v>
      </c>
      <c r="AI476" s="99">
        <f t="shared" si="94"/>
        <v>0</v>
      </c>
      <c r="AJ476" s="170">
        <f t="shared" si="95"/>
        <v>0</v>
      </c>
      <c r="AK476" s="204">
        <f t="shared" si="89"/>
        <v>0</v>
      </c>
      <c r="AL476" s="1049">
        <f>IF(ISERROR(AO476),0,IF(AND(AN476&gt;=$U$1,AN476&lt;=$U$2),IF(AO476='ESTRATTO CONTO'!$E$2,1+COUNTIF(AL$4:AL475,"&gt;0")+U$1009,0),0))</f>
        <v>0</v>
      </c>
      <c r="AM476" s="747">
        <f t="shared" si="92"/>
        <v>473</v>
      </c>
      <c r="AN476" s="164" t="e">
        <f>VLOOKUP($AM476,PATRIMONIALE!$AV528:AW$1003,2,FALSE)</f>
        <v>#N/A</v>
      </c>
      <c r="AO476" s="310" t="e">
        <f>VLOOKUP($AM476,PATRIMONIALE!$AV528:AX$1003,3,FALSE)</f>
        <v>#N/A</v>
      </c>
      <c r="AP476" s="310" t="e">
        <f>VLOOKUP($AM476,PATRIMONIALE!$AV528:AY$1003,4,FALSE)</f>
        <v>#N/A</v>
      </c>
      <c r="AQ476" s="748" t="e">
        <f>VLOOKUP($AM476,PATRIMONIALE!$AV528:AZ$1003,5,FALSE)</f>
        <v>#N/A</v>
      </c>
      <c r="AR476" s="1"/>
      <c r="AS476" s="461" t="str">
        <f t="shared" si="90"/>
        <v/>
      </c>
      <c r="AT476" s="370"/>
    </row>
    <row r="477" spans="1:46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435">
        <f>IF(AND(W477&gt;=$U$1,W477&lt;=$U$2),IF(X477='ESTRATTO CONTO'!$E$2,1+COUNTIF(U$4:U476,"&gt;0"),0),0)</f>
        <v>0</v>
      </c>
      <c r="V477" s="417">
        <f t="shared" si="91"/>
        <v>474</v>
      </c>
      <c r="W477" s="509"/>
      <c r="X477" s="321"/>
      <c r="Y477" s="321"/>
      <c r="Z477" s="433"/>
      <c r="AA477" s="356"/>
      <c r="AB477" s="306" t="str">
        <f t="shared" si="86"/>
        <v/>
      </c>
      <c r="AC477" s="893">
        <f t="shared" si="87"/>
        <v>0</v>
      </c>
      <c r="AD477" s="322"/>
      <c r="AE477" s="1"/>
      <c r="AF477" s="223">
        <f>IF(ISBLANK(AD477),0,COUNTIF(AF$4:AF476,"&gt;0")+1)</f>
        <v>0</v>
      </c>
      <c r="AG477" s="164">
        <f t="shared" si="93"/>
        <v>0</v>
      </c>
      <c r="AH477" s="99">
        <f t="shared" si="88"/>
        <v>0</v>
      </c>
      <c r="AI477" s="99">
        <f t="shared" si="94"/>
        <v>0</v>
      </c>
      <c r="AJ477" s="170">
        <f t="shared" si="95"/>
        <v>0</v>
      </c>
      <c r="AK477" s="204">
        <f t="shared" si="89"/>
        <v>0</v>
      </c>
      <c r="AL477" s="1049">
        <f>IF(ISERROR(AO477),0,IF(AND(AN477&gt;=$U$1,AN477&lt;=$U$2),IF(AO477='ESTRATTO CONTO'!$E$2,1+COUNTIF(AL$4:AL476,"&gt;0")+U$1009,0),0))</f>
        <v>0</v>
      </c>
      <c r="AM477" s="747">
        <f t="shared" si="92"/>
        <v>474</v>
      </c>
      <c r="AN477" s="164" t="e">
        <f>VLOOKUP($AM477,PATRIMONIALE!$AV529:AW$1003,2,FALSE)</f>
        <v>#N/A</v>
      </c>
      <c r="AO477" s="310" t="e">
        <f>VLOOKUP($AM477,PATRIMONIALE!$AV529:AX$1003,3,FALSE)</f>
        <v>#N/A</v>
      </c>
      <c r="AP477" s="310" t="e">
        <f>VLOOKUP($AM477,PATRIMONIALE!$AV529:AY$1003,4,FALSE)</f>
        <v>#N/A</v>
      </c>
      <c r="AQ477" s="748" t="e">
        <f>VLOOKUP($AM477,PATRIMONIALE!$AV529:AZ$1003,5,FALSE)</f>
        <v>#N/A</v>
      </c>
      <c r="AR477" s="1"/>
      <c r="AS477" s="461" t="str">
        <f t="shared" si="90"/>
        <v/>
      </c>
      <c r="AT477" s="370"/>
    </row>
    <row r="478" spans="1:46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435">
        <f>IF(AND(W478&gt;=$U$1,W478&lt;=$U$2),IF(X478='ESTRATTO CONTO'!$E$2,1+COUNTIF(U$4:U477,"&gt;0"),0),0)</f>
        <v>0</v>
      </c>
      <c r="V478" s="417">
        <f t="shared" si="91"/>
        <v>475</v>
      </c>
      <c r="W478" s="509"/>
      <c r="X478" s="321"/>
      <c r="Y478" s="321"/>
      <c r="Z478" s="433"/>
      <c r="AA478" s="356"/>
      <c r="AB478" s="306" t="str">
        <f t="shared" si="86"/>
        <v/>
      </c>
      <c r="AC478" s="893">
        <f t="shared" si="87"/>
        <v>0</v>
      </c>
      <c r="AD478" s="322"/>
      <c r="AE478" s="1"/>
      <c r="AF478" s="223">
        <f>IF(ISBLANK(AD478),0,COUNTIF(AF$4:AF477,"&gt;0")+1)</f>
        <v>0</v>
      </c>
      <c r="AG478" s="164">
        <f t="shared" si="93"/>
        <v>0</v>
      </c>
      <c r="AH478" s="99">
        <f t="shared" si="88"/>
        <v>0</v>
      </c>
      <c r="AI478" s="99">
        <f t="shared" si="94"/>
        <v>0</v>
      </c>
      <c r="AJ478" s="170">
        <f t="shared" si="95"/>
        <v>0</v>
      </c>
      <c r="AK478" s="204">
        <f t="shared" si="89"/>
        <v>0</v>
      </c>
      <c r="AL478" s="1049">
        <f>IF(ISERROR(AO478),0,IF(AND(AN478&gt;=$U$1,AN478&lt;=$U$2),IF(AO478='ESTRATTO CONTO'!$E$2,1+COUNTIF(AL$4:AL477,"&gt;0")+U$1009,0),0))</f>
        <v>0</v>
      </c>
      <c r="AM478" s="747">
        <f t="shared" si="92"/>
        <v>475</v>
      </c>
      <c r="AN478" s="164" t="e">
        <f>VLOOKUP($AM478,PATRIMONIALE!$AV530:AW$1003,2,FALSE)</f>
        <v>#N/A</v>
      </c>
      <c r="AO478" s="310" t="e">
        <f>VLOOKUP($AM478,PATRIMONIALE!$AV530:AX$1003,3,FALSE)</f>
        <v>#N/A</v>
      </c>
      <c r="AP478" s="310" t="e">
        <f>VLOOKUP($AM478,PATRIMONIALE!$AV530:AY$1003,4,FALSE)</f>
        <v>#N/A</v>
      </c>
      <c r="AQ478" s="748" t="e">
        <f>VLOOKUP($AM478,PATRIMONIALE!$AV530:AZ$1003,5,FALSE)</f>
        <v>#N/A</v>
      </c>
      <c r="AR478" s="1"/>
      <c r="AS478" s="461" t="str">
        <f t="shared" si="90"/>
        <v/>
      </c>
      <c r="AT478" s="370"/>
    </row>
    <row r="479" spans="1:46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435">
        <f>IF(AND(W479&gt;=$U$1,W479&lt;=$U$2),IF(X479='ESTRATTO CONTO'!$E$2,1+COUNTIF(U$4:U478,"&gt;0"),0),0)</f>
        <v>0</v>
      </c>
      <c r="V479" s="417">
        <f t="shared" si="91"/>
        <v>476</v>
      </c>
      <c r="W479" s="509"/>
      <c r="X479" s="321"/>
      <c r="Y479" s="321"/>
      <c r="Z479" s="433"/>
      <c r="AA479" s="356"/>
      <c r="AB479" s="306" t="str">
        <f t="shared" si="86"/>
        <v/>
      </c>
      <c r="AC479" s="893">
        <f t="shared" si="87"/>
        <v>0</v>
      </c>
      <c r="AD479" s="322"/>
      <c r="AE479" s="1"/>
      <c r="AF479" s="223">
        <f>IF(ISBLANK(AD479),0,COUNTIF(AF$4:AF478,"&gt;0")+1)</f>
        <v>0</v>
      </c>
      <c r="AG479" s="164">
        <f t="shared" si="93"/>
        <v>0</v>
      </c>
      <c r="AH479" s="99">
        <f t="shared" si="88"/>
        <v>0</v>
      </c>
      <c r="AI479" s="99">
        <f t="shared" si="94"/>
        <v>0</v>
      </c>
      <c r="AJ479" s="170">
        <f t="shared" si="95"/>
        <v>0</v>
      </c>
      <c r="AK479" s="204">
        <f t="shared" si="89"/>
        <v>0</v>
      </c>
      <c r="AL479" s="1049">
        <f>IF(ISERROR(AO479),0,IF(AND(AN479&gt;=$U$1,AN479&lt;=$U$2),IF(AO479='ESTRATTO CONTO'!$E$2,1+COUNTIF(AL$4:AL478,"&gt;0")+U$1009,0),0))</f>
        <v>0</v>
      </c>
      <c r="AM479" s="747">
        <f t="shared" si="92"/>
        <v>476</v>
      </c>
      <c r="AN479" s="164" t="e">
        <f>VLOOKUP($AM479,PATRIMONIALE!$AV531:AW$1003,2,FALSE)</f>
        <v>#N/A</v>
      </c>
      <c r="AO479" s="310" t="e">
        <f>VLOOKUP($AM479,PATRIMONIALE!$AV531:AX$1003,3,FALSE)</f>
        <v>#N/A</v>
      </c>
      <c r="AP479" s="310" t="e">
        <f>VLOOKUP($AM479,PATRIMONIALE!$AV531:AY$1003,4,FALSE)</f>
        <v>#N/A</v>
      </c>
      <c r="AQ479" s="748" t="e">
        <f>VLOOKUP($AM479,PATRIMONIALE!$AV531:AZ$1003,5,FALSE)</f>
        <v>#N/A</v>
      </c>
      <c r="AR479" s="1"/>
      <c r="AS479" s="461" t="str">
        <f t="shared" si="90"/>
        <v/>
      </c>
      <c r="AT479" s="370"/>
    </row>
    <row r="480" spans="1:46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435">
        <f>IF(AND(W480&gt;=$U$1,W480&lt;=$U$2),IF(X480='ESTRATTO CONTO'!$E$2,1+COUNTIF(U$4:U479,"&gt;0"),0),0)</f>
        <v>0</v>
      </c>
      <c r="V480" s="417">
        <f t="shared" si="91"/>
        <v>477</v>
      </c>
      <c r="W480" s="509"/>
      <c r="X480" s="321"/>
      <c r="Y480" s="321"/>
      <c r="Z480" s="433"/>
      <c r="AA480" s="356"/>
      <c r="AB480" s="306" t="str">
        <f t="shared" si="86"/>
        <v/>
      </c>
      <c r="AC480" s="893">
        <f t="shared" si="87"/>
        <v>0</v>
      </c>
      <c r="AD480" s="322"/>
      <c r="AE480" s="1"/>
      <c r="AF480" s="223">
        <f>IF(ISBLANK(AD480),0,COUNTIF(AF$4:AF479,"&gt;0")+1)</f>
        <v>0</v>
      </c>
      <c r="AG480" s="164">
        <f t="shared" si="93"/>
        <v>0</v>
      </c>
      <c r="AH480" s="99">
        <f t="shared" si="88"/>
        <v>0</v>
      </c>
      <c r="AI480" s="99">
        <f t="shared" si="94"/>
        <v>0</v>
      </c>
      <c r="AJ480" s="170">
        <f t="shared" si="95"/>
        <v>0</v>
      </c>
      <c r="AK480" s="204">
        <f t="shared" si="89"/>
        <v>0</v>
      </c>
      <c r="AL480" s="1049">
        <f>IF(ISERROR(AO480),0,IF(AND(AN480&gt;=$U$1,AN480&lt;=$U$2),IF(AO480='ESTRATTO CONTO'!$E$2,1+COUNTIF(AL$4:AL479,"&gt;0")+U$1009,0),0))</f>
        <v>0</v>
      </c>
      <c r="AM480" s="747">
        <f t="shared" si="92"/>
        <v>477</v>
      </c>
      <c r="AN480" s="164" t="e">
        <f>VLOOKUP($AM480,PATRIMONIALE!$AV532:AW$1003,2,FALSE)</f>
        <v>#N/A</v>
      </c>
      <c r="AO480" s="310" t="e">
        <f>VLOOKUP($AM480,PATRIMONIALE!$AV532:AX$1003,3,FALSE)</f>
        <v>#N/A</v>
      </c>
      <c r="AP480" s="310" t="e">
        <f>VLOOKUP($AM480,PATRIMONIALE!$AV532:AY$1003,4,FALSE)</f>
        <v>#N/A</v>
      </c>
      <c r="AQ480" s="748" t="e">
        <f>VLOOKUP($AM480,PATRIMONIALE!$AV532:AZ$1003,5,FALSE)</f>
        <v>#N/A</v>
      </c>
      <c r="AR480" s="1"/>
      <c r="AS480" s="461" t="str">
        <f t="shared" si="90"/>
        <v/>
      </c>
      <c r="AT480" s="370"/>
    </row>
    <row r="481" spans="1:46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435">
        <f>IF(AND(W481&gt;=$U$1,W481&lt;=$U$2),IF(X481='ESTRATTO CONTO'!$E$2,1+COUNTIF(U$4:U480,"&gt;0"),0),0)</f>
        <v>0</v>
      </c>
      <c r="V481" s="417">
        <f t="shared" si="91"/>
        <v>478</v>
      </c>
      <c r="W481" s="509"/>
      <c r="X481" s="321"/>
      <c r="Y481" s="321"/>
      <c r="Z481" s="433"/>
      <c r="AA481" s="356"/>
      <c r="AB481" s="306" t="str">
        <f t="shared" si="86"/>
        <v/>
      </c>
      <c r="AC481" s="893">
        <f t="shared" si="87"/>
        <v>0</v>
      </c>
      <c r="AD481" s="322"/>
      <c r="AE481" s="1"/>
      <c r="AF481" s="223">
        <f>IF(ISBLANK(AD481),0,COUNTIF(AF$4:AF480,"&gt;0")+1)</f>
        <v>0</v>
      </c>
      <c r="AG481" s="164">
        <f t="shared" si="93"/>
        <v>0</v>
      </c>
      <c r="AH481" s="99">
        <f t="shared" si="88"/>
        <v>0</v>
      </c>
      <c r="AI481" s="99">
        <f t="shared" si="94"/>
        <v>0</v>
      </c>
      <c r="AJ481" s="170">
        <f t="shared" si="95"/>
        <v>0</v>
      </c>
      <c r="AK481" s="204">
        <f t="shared" si="89"/>
        <v>0</v>
      </c>
      <c r="AL481" s="1049">
        <f>IF(ISERROR(AO481),0,IF(AND(AN481&gt;=$U$1,AN481&lt;=$U$2),IF(AO481='ESTRATTO CONTO'!$E$2,1+COUNTIF(AL$4:AL480,"&gt;0")+U$1009,0),0))</f>
        <v>0</v>
      </c>
      <c r="AM481" s="747">
        <f t="shared" si="92"/>
        <v>478</v>
      </c>
      <c r="AN481" s="164" t="e">
        <f>VLOOKUP($AM481,PATRIMONIALE!$AV533:AW$1003,2,FALSE)</f>
        <v>#N/A</v>
      </c>
      <c r="AO481" s="310" t="e">
        <f>VLOOKUP($AM481,PATRIMONIALE!$AV533:AX$1003,3,FALSE)</f>
        <v>#N/A</v>
      </c>
      <c r="AP481" s="310" t="e">
        <f>VLOOKUP($AM481,PATRIMONIALE!$AV533:AY$1003,4,FALSE)</f>
        <v>#N/A</v>
      </c>
      <c r="AQ481" s="748" t="e">
        <f>VLOOKUP($AM481,PATRIMONIALE!$AV533:AZ$1003,5,FALSE)</f>
        <v>#N/A</v>
      </c>
      <c r="AR481" s="1"/>
      <c r="AS481" s="461" t="str">
        <f t="shared" si="90"/>
        <v/>
      </c>
      <c r="AT481" s="370"/>
    </row>
    <row r="482" spans="1:46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435">
        <f>IF(AND(W482&gt;=$U$1,W482&lt;=$U$2),IF(X482='ESTRATTO CONTO'!$E$2,1+COUNTIF(U$4:U481,"&gt;0"),0),0)</f>
        <v>0</v>
      </c>
      <c r="V482" s="417">
        <f t="shared" si="91"/>
        <v>479</v>
      </c>
      <c r="W482" s="509"/>
      <c r="X482" s="321"/>
      <c r="Y482" s="321"/>
      <c r="Z482" s="433"/>
      <c r="AA482" s="356"/>
      <c r="AB482" s="306" t="str">
        <f t="shared" si="86"/>
        <v/>
      </c>
      <c r="AC482" s="893">
        <f t="shared" si="87"/>
        <v>0</v>
      </c>
      <c r="AD482" s="322"/>
      <c r="AE482" s="1"/>
      <c r="AF482" s="223">
        <f>IF(ISBLANK(AD482),0,COUNTIF(AF$4:AF481,"&gt;0")+1)</f>
        <v>0</v>
      </c>
      <c r="AG482" s="164">
        <f t="shared" si="93"/>
        <v>0</v>
      </c>
      <c r="AH482" s="99">
        <f t="shared" si="88"/>
        <v>0</v>
      </c>
      <c r="AI482" s="99">
        <f t="shared" si="94"/>
        <v>0</v>
      </c>
      <c r="AJ482" s="170">
        <f t="shared" si="95"/>
        <v>0</v>
      </c>
      <c r="AK482" s="204">
        <f t="shared" si="89"/>
        <v>0</v>
      </c>
      <c r="AL482" s="1049">
        <f>IF(ISERROR(AO482),0,IF(AND(AN482&gt;=$U$1,AN482&lt;=$U$2),IF(AO482='ESTRATTO CONTO'!$E$2,1+COUNTIF(AL$4:AL481,"&gt;0")+U$1009,0),0))</f>
        <v>0</v>
      </c>
      <c r="AM482" s="747">
        <f t="shared" si="92"/>
        <v>479</v>
      </c>
      <c r="AN482" s="164" t="e">
        <f>VLOOKUP($AM482,PATRIMONIALE!$AV534:AW$1003,2,FALSE)</f>
        <v>#N/A</v>
      </c>
      <c r="AO482" s="310" t="e">
        <f>VLOOKUP($AM482,PATRIMONIALE!$AV534:AX$1003,3,FALSE)</f>
        <v>#N/A</v>
      </c>
      <c r="AP482" s="310" t="e">
        <f>VLOOKUP($AM482,PATRIMONIALE!$AV534:AY$1003,4,FALSE)</f>
        <v>#N/A</v>
      </c>
      <c r="AQ482" s="748" t="e">
        <f>VLOOKUP($AM482,PATRIMONIALE!$AV534:AZ$1003,5,FALSE)</f>
        <v>#N/A</v>
      </c>
      <c r="AR482" s="1"/>
      <c r="AS482" s="461" t="str">
        <f t="shared" si="90"/>
        <v/>
      </c>
      <c r="AT482" s="370"/>
    </row>
    <row r="483" spans="1:46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435">
        <f>IF(AND(W483&gt;=$U$1,W483&lt;=$U$2),IF(X483='ESTRATTO CONTO'!$E$2,1+COUNTIF(U$4:U482,"&gt;0"),0),0)</f>
        <v>0</v>
      </c>
      <c r="V483" s="417">
        <f t="shared" si="91"/>
        <v>480</v>
      </c>
      <c r="W483" s="509"/>
      <c r="X483" s="321"/>
      <c r="Y483" s="321"/>
      <c r="Z483" s="433"/>
      <c r="AA483" s="356"/>
      <c r="AB483" s="306" t="str">
        <f t="shared" si="86"/>
        <v/>
      </c>
      <c r="AC483" s="893">
        <f t="shared" si="87"/>
        <v>0</v>
      </c>
      <c r="AD483" s="322"/>
      <c r="AE483" s="1"/>
      <c r="AF483" s="223">
        <f>IF(ISBLANK(AD483),0,COUNTIF(AF$4:AF482,"&gt;0")+1)</f>
        <v>0</v>
      </c>
      <c r="AG483" s="164">
        <f t="shared" si="93"/>
        <v>0</v>
      </c>
      <c r="AH483" s="99">
        <f t="shared" si="88"/>
        <v>0</v>
      </c>
      <c r="AI483" s="99">
        <f t="shared" si="94"/>
        <v>0</v>
      </c>
      <c r="AJ483" s="170">
        <f t="shared" si="95"/>
        <v>0</v>
      </c>
      <c r="AK483" s="204">
        <f t="shared" si="89"/>
        <v>0</v>
      </c>
      <c r="AL483" s="1049">
        <f>IF(ISERROR(AO483),0,IF(AND(AN483&gt;=$U$1,AN483&lt;=$U$2),IF(AO483='ESTRATTO CONTO'!$E$2,1+COUNTIF(AL$4:AL482,"&gt;0")+U$1009,0),0))</f>
        <v>0</v>
      </c>
      <c r="AM483" s="747">
        <f t="shared" si="92"/>
        <v>480</v>
      </c>
      <c r="AN483" s="164" t="e">
        <f>VLOOKUP($AM483,PATRIMONIALE!$AV535:AW$1003,2,FALSE)</f>
        <v>#N/A</v>
      </c>
      <c r="AO483" s="310" t="e">
        <f>VLOOKUP($AM483,PATRIMONIALE!$AV535:AX$1003,3,FALSE)</f>
        <v>#N/A</v>
      </c>
      <c r="AP483" s="310" t="e">
        <f>VLOOKUP($AM483,PATRIMONIALE!$AV535:AY$1003,4,FALSE)</f>
        <v>#N/A</v>
      </c>
      <c r="AQ483" s="748" t="e">
        <f>VLOOKUP($AM483,PATRIMONIALE!$AV535:AZ$1003,5,FALSE)</f>
        <v>#N/A</v>
      </c>
      <c r="AR483" s="1"/>
      <c r="AS483" s="461" t="str">
        <f t="shared" si="90"/>
        <v/>
      </c>
      <c r="AT483" s="370"/>
    </row>
    <row r="484" spans="1:46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435">
        <f>IF(AND(W484&gt;=$U$1,W484&lt;=$U$2),IF(X484='ESTRATTO CONTO'!$E$2,1+COUNTIF(U$4:U483,"&gt;0"),0),0)</f>
        <v>0</v>
      </c>
      <c r="V484" s="417">
        <f t="shared" si="91"/>
        <v>481</v>
      </c>
      <c r="W484" s="509"/>
      <c r="X484" s="321"/>
      <c r="Y484" s="321"/>
      <c r="Z484" s="433"/>
      <c r="AA484" s="356"/>
      <c r="AB484" s="306" t="str">
        <f t="shared" si="86"/>
        <v/>
      </c>
      <c r="AC484" s="893">
        <f t="shared" si="87"/>
        <v>0</v>
      </c>
      <c r="AD484" s="322"/>
      <c r="AE484" s="1"/>
      <c r="AF484" s="223">
        <f>IF(ISBLANK(AD484),0,COUNTIF(AF$4:AF483,"&gt;0")+1)</f>
        <v>0</v>
      </c>
      <c r="AG484" s="164">
        <f t="shared" si="93"/>
        <v>0</v>
      </c>
      <c r="AH484" s="99">
        <f t="shared" si="88"/>
        <v>0</v>
      </c>
      <c r="AI484" s="99">
        <f t="shared" si="94"/>
        <v>0</v>
      </c>
      <c r="AJ484" s="170">
        <f t="shared" si="95"/>
        <v>0</v>
      </c>
      <c r="AK484" s="204">
        <f t="shared" si="89"/>
        <v>0</v>
      </c>
      <c r="AL484" s="1049">
        <f>IF(ISERROR(AO484),0,IF(AND(AN484&gt;=$U$1,AN484&lt;=$U$2),IF(AO484='ESTRATTO CONTO'!$E$2,1+COUNTIF(AL$4:AL483,"&gt;0")+U$1009,0),0))</f>
        <v>0</v>
      </c>
      <c r="AM484" s="747">
        <f t="shared" si="92"/>
        <v>481</v>
      </c>
      <c r="AN484" s="164" t="e">
        <f>VLOOKUP($AM484,PATRIMONIALE!$AV536:AW$1003,2,FALSE)</f>
        <v>#N/A</v>
      </c>
      <c r="AO484" s="310" t="e">
        <f>VLOOKUP($AM484,PATRIMONIALE!$AV536:AX$1003,3,FALSE)</f>
        <v>#N/A</v>
      </c>
      <c r="AP484" s="310" t="e">
        <f>VLOOKUP($AM484,PATRIMONIALE!$AV536:AY$1003,4,FALSE)</f>
        <v>#N/A</v>
      </c>
      <c r="AQ484" s="748" t="e">
        <f>VLOOKUP($AM484,PATRIMONIALE!$AV536:AZ$1003,5,FALSE)</f>
        <v>#N/A</v>
      </c>
      <c r="AR484" s="1"/>
      <c r="AS484" s="461" t="str">
        <f t="shared" si="90"/>
        <v/>
      </c>
      <c r="AT484" s="370"/>
    </row>
    <row r="485" spans="1:46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435">
        <f>IF(AND(W485&gt;=$U$1,W485&lt;=$U$2),IF(X485='ESTRATTO CONTO'!$E$2,1+COUNTIF(U$4:U484,"&gt;0"),0),0)</f>
        <v>0</v>
      </c>
      <c r="V485" s="417">
        <f t="shared" si="91"/>
        <v>482</v>
      </c>
      <c r="W485" s="509"/>
      <c r="X485" s="321"/>
      <c r="Y485" s="321"/>
      <c r="Z485" s="433"/>
      <c r="AA485" s="356"/>
      <c r="AB485" s="306" t="str">
        <f t="shared" si="86"/>
        <v/>
      </c>
      <c r="AC485" s="893">
        <f t="shared" si="87"/>
        <v>0</v>
      </c>
      <c r="AD485" s="322"/>
      <c r="AE485" s="1"/>
      <c r="AF485" s="223">
        <f>IF(ISBLANK(AD485),0,COUNTIF(AF$4:AF484,"&gt;0")+1)</f>
        <v>0</v>
      </c>
      <c r="AG485" s="164">
        <f t="shared" si="93"/>
        <v>0</v>
      </c>
      <c r="AH485" s="99">
        <f t="shared" si="88"/>
        <v>0</v>
      </c>
      <c r="AI485" s="99">
        <f t="shared" si="94"/>
        <v>0</v>
      </c>
      <c r="AJ485" s="170">
        <f t="shared" si="95"/>
        <v>0</v>
      </c>
      <c r="AK485" s="204">
        <f t="shared" si="89"/>
        <v>0</v>
      </c>
      <c r="AL485" s="1049">
        <f>IF(ISERROR(AO485),0,IF(AND(AN485&gt;=$U$1,AN485&lt;=$U$2),IF(AO485='ESTRATTO CONTO'!$E$2,1+COUNTIF(AL$4:AL484,"&gt;0")+U$1009,0),0))</f>
        <v>0</v>
      </c>
      <c r="AM485" s="747">
        <f t="shared" si="92"/>
        <v>482</v>
      </c>
      <c r="AN485" s="164" t="e">
        <f>VLOOKUP($AM485,PATRIMONIALE!$AV537:AW$1003,2,FALSE)</f>
        <v>#N/A</v>
      </c>
      <c r="AO485" s="310" t="e">
        <f>VLOOKUP($AM485,PATRIMONIALE!$AV537:AX$1003,3,FALSE)</f>
        <v>#N/A</v>
      </c>
      <c r="AP485" s="310" t="e">
        <f>VLOOKUP($AM485,PATRIMONIALE!$AV537:AY$1003,4,FALSE)</f>
        <v>#N/A</v>
      </c>
      <c r="AQ485" s="748" t="e">
        <f>VLOOKUP($AM485,PATRIMONIALE!$AV537:AZ$1003,5,FALSE)</f>
        <v>#N/A</v>
      </c>
      <c r="AR485" s="1"/>
      <c r="AS485" s="461" t="str">
        <f t="shared" si="90"/>
        <v/>
      </c>
      <c r="AT485" s="370"/>
    </row>
    <row r="486" spans="1:46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435">
        <f>IF(AND(W486&gt;=$U$1,W486&lt;=$U$2),IF(X486='ESTRATTO CONTO'!$E$2,1+COUNTIF(U$4:U485,"&gt;0"),0),0)</f>
        <v>0</v>
      </c>
      <c r="V486" s="417">
        <f t="shared" si="91"/>
        <v>483</v>
      </c>
      <c r="W486" s="509"/>
      <c r="X486" s="321"/>
      <c r="Y486" s="321"/>
      <c r="Z486" s="433"/>
      <c r="AA486" s="356"/>
      <c r="AB486" s="306" t="str">
        <f t="shared" si="86"/>
        <v/>
      </c>
      <c r="AC486" s="893">
        <f t="shared" si="87"/>
        <v>0</v>
      </c>
      <c r="AD486" s="322"/>
      <c r="AE486" s="1"/>
      <c r="AF486" s="223">
        <f>IF(ISBLANK(AD486),0,COUNTIF(AF$4:AF485,"&gt;0")+1)</f>
        <v>0</v>
      </c>
      <c r="AG486" s="164">
        <f t="shared" si="93"/>
        <v>0</v>
      </c>
      <c r="AH486" s="99">
        <f t="shared" si="88"/>
        <v>0</v>
      </c>
      <c r="AI486" s="99">
        <f t="shared" si="94"/>
        <v>0</v>
      </c>
      <c r="AJ486" s="170">
        <f t="shared" si="95"/>
        <v>0</v>
      </c>
      <c r="AK486" s="204">
        <f t="shared" si="89"/>
        <v>0</v>
      </c>
      <c r="AL486" s="1049">
        <f>IF(ISERROR(AO486),0,IF(AND(AN486&gt;=$U$1,AN486&lt;=$U$2),IF(AO486='ESTRATTO CONTO'!$E$2,1+COUNTIF(AL$4:AL485,"&gt;0")+U$1009,0),0))</f>
        <v>0</v>
      </c>
      <c r="AM486" s="747">
        <f t="shared" si="92"/>
        <v>483</v>
      </c>
      <c r="AN486" s="164" t="e">
        <f>VLOOKUP($AM486,PATRIMONIALE!$AV538:AW$1003,2,FALSE)</f>
        <v>#N/A</v>
      </c>
      <c r="AO486" s="310" t="e">
        <f>VLOOKUP($AM486,PATRIMONIALE!$AV538:AX$1003,3,FALSE)</f>
        <v>#N/A</v>
      </c>
      <c r="AP486" s="310" t="e">
        <f>VLOOKUP($AM486,PATRIMONIALE!$AV538:AY$1003,4,FALSE)</f>
        <v>#N/A</v>
      </c>
      <c r="AQ486" s="748" t="e">
        <f>VLOOKUP($AM486,PATRIMONIALE!$AV538:AZ$1003,5,FALSE)</f>
        <v>#N/A</v>
      </c>
      <c r="AR486" s="1"/>
      <c r="AS486" s="461" t="str">
        <f t="shared" si="90"/>
        <v/>
      </c>
      <c r="AT486" s="370"/>
    </row>
    <row r="487" spans="1:46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435">
        <f>IF(AND(W487&gt;=$U$1,W487&lt;=$U$2),IF(X487='ESTRATTO CONTO'!$E$2,1+COUNTIF(U$4:U486,"&gt;0"),0),0)</f>
        <v>0</v>
      </c>
      <c r="V487" s="417">
        <f t="shared" si="91"/>
        <v>484</v>
      </c>
      <c r="W487" s="509"/>
      <c r="X487" s="321"/>
      <c r="Y487" s="321"/>
      <c r="Z487" s="433"/>
      <c r="AA487" s="356"/>
      <c r="AB487" s="306" t="str">
        <f t="shared" si="86"/>
        <v/>
      </c>
      <c r="AC487" s="893">
        <f t="shared" si="87"/>
        <v>0</v>
      </c>
      <c r="AD487" s="322"/>
      <c r="AE487" s="1"/>
      <c r="AF487" s="223">
        <f>IF(ISBLANK(AD487),0,COUNTIF(AF$4:AF486,"&gt;0")+1)</f>
        <v>0</v>
      </c>
      <c r="AG487" s="164">
        <f t="shared" si="93"/>
        <v>0</v>
      </c>
      <c r="AH487" s="99">
        <f t="shared" si="88"/>
        <v>0</v>
      </c>
      <c r="AI487" s="99">
        <f t="shared" si="94"/>
        <v>0</v>
      </c>
      <c r="AJ487" s="170">
        <f t="shared" si="95"/>
        <v>0</v>
      </c>
      <c r="AK487" s="204">
        <f t="shared" si="89"/>
        <v>0</v>
      </c>
      <c r="AL487" s="1049">
        <f>IF(ISERROR(AO487),0,IF(AND(AN487&gt;=$U$1,AN487&lt;=$U$2),IF(AO487='ESTRATTO CONTO'!$E$2,1+COUNTIF(AL$4:AL486,"&gt;0")+U$1009,0),0))</f>
        <v>0</v>
      </c>
      <c r="AM487" s="747">
        <f t="shared" si="92"/>
        <v>484</v>
      </c>
      <c r="AN487" s="164" t="e">
        <f>VLOOKUP($AM487,PATRIMONIALE!$AV539:AW$1003,2,FALSE)</f>
        <v>#N/A</v>
      </c>
      <c r="AO487" s="310" t="e">
        <f>VLOOKUP($AM487,PATRIMONIALE!$AV539:AX$1003,3,FALSE)</f>
        <v>#N/A</v>
      </c>
      <c r="AP487" s="310" t="e">
        <f>VLOOKUP($AM487,PATRIMONIALE!$AV539:AY$1003,4,FALSE)</f>
        <v>#N/A</v>
      </c>
      <c r="AQ487" s="748" t="e">
        <f>VLOOKUP($AM487,PATRIMONIALE!$AV539:AZ$1003,5,FALSE)</f>
        <v>#N/A</v>
      </c>
      <c r="AR487" s="1"/>
      <c r="AS487" s="461" t="str">
        <f t="shared" si="90"/>
        <v/>
      </c>
      <c r="AT487" s="370"/>
    </row>
    <row r="488" spans="1:46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435">
        <f>IF(AND(W488&gt;=$U$1,W488&lt;=$U$2),IF(X488='ESTRATTO CONTO'!$E$2,1+COUNTIF(U$4:U487,"&gt;0"),0),0)</f>
        <v>0</v>
      </c>
      <c r="V488" s="417">
        <f t="shared" si="91"/>
        <v>485</v>
      </c>
      <c r="W488" s="509"/>
      <c r="X488" s="321"/>
      <c r="Y488" s="321"/>
      <c r="Z488" s="433"/>
      <c r="AA488" s="356"/>
      <c r="AB488" s="306" t="str">
        <f t="shared" si="86"/>
        <v/>
      </c>
      <c r="AC488" s="893">
        <f t="shared" si="87"/>
        <v>0</v>
      </c>
      <c r="AD488" s="322"/>
      <c r="AE488" s="1"/>
      <c r="AF488" s="223">
        <f>IF(ISBLANK(AD488),0,COUNTIF(AF$4:AF487,"&gt;0")+1)</f>
        <v>0</v>
      </c>
      <c r="AG488" s="164">
        <f t="shared" si="93"/>
        <v>0</v>
      </c>
      <c r="AH488" s="99">
        <f t="shared" si="88"/>
        <v>0</v>
      </c>
      <c r="AI488" s="99">
        <f t="shared" si="94"/>
        <v>0</v>
      </c>
      <c r="AJ488" s="170">
        <f t="shared" si="95"/>
        <v>0</v>
      </c>
      <c r="AK488" s="204">
        <f t="shared" si="89"/>
        <v>0</v>
      </c>
      <c r="AL488" s="1049">
        <f>IF(ISERROR(AO488),0,IF(AND(AN488&gt;=$U$1,AN488&lt;=$U$2),IF(AO488='ESTRATTO CONTO'!$E$2,1+COUNTIF(AL$4:AL487,"&gt;0")+U$1009,0),0))</f>
        <v>0</v>
      </c>
      <c r="AM488" s="747">
        <f t="shared" si="92"/>
        <v>485</v>
      </c>
      <c r="AN488" s="164" t="e">
        <f>VLOOKUP($AM488,PATRIMONIALE!$AV540:AW$1003,2,FALSE)</f>
        <v>#N/A</v>
      </c>
      <c r="AO488" s="310" t="e">
        <f>VLOOKUP($AM488,PATRIMONIALE!$AV540:AX$1003,3,FALSE)</f>
        <v>#N/A</v>
      </c>
      <c r="AP488" s="310" t="e">
        <f>VLOOKUP($AM488,PATRIMONIALE!$AV540:AY$1003,4,FALSE)</f>
        <v>#N/A</v>
      </c>
      <c r="AQ488" s="748" t="e">
        <f>VLOOKUP($AM488,PATRIMONIALE!$AV540:AZ$1003,5,FALSE)</f>
        <v>#N/A</v>
      </c>
      <c r="AR488" s="1"/>
      <c r="AS488" s="461" t="str">
        <f t="shared" si="90"/>
        <v/>
      </c>
      <c r="AT488" s="370"/>
    </row>
    <row r="489" spans="1:46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435">
        <f>IF(AND(W489&gt;=$U$1,W489&lt;=$U$2),IF(X489='ESTRATTO CONTO'!$E$2,1+COUNTIF(U$4:U488,"&gt;0"),0),0)</f>
        <v>0</v>
      </c>
      <c r="V489" s="417">
        <f t="shared" si="91"/>
        <v>486</v>
      </c>
      <c r="W489" s="509"/>
      <c r="X489" s="321"/>
      <c r="Y489" s="321"/>
      <c r="Z489" s="433"/>
      <c r="AA489" s="356"/>
      <c r="AB489" s="306" t="str">
        <f t="shared" si="86"/>
        <v/>
      </c>
      <c r="AC489" s="893">
        <f t="shared" si="87"/>
        <v>0</v>
      </c>
      <c r="AD489" s="322"/>
      <c r="AE489" s="1"/>
      <c r="AF489" s="223">
        <f>IF(ISBLANK(AD489),0,COUNTIF(AF$4:AF488,"&gt;0")+1)</f>
        <v>0</v>
      </c>
      <c r="AG489" s="164">
        <f t="shared" si="93"/>
        <v>0</v>
      </c>
      <c r="AH489" s="99">
        <f t="shared" si="88"/>
        <v>0</v>
      </c>
      <c r="AI489" s="99">
        <f t="shared" si="94"/>
        <v>0</v>
      </c>
      <c r="AJ489" s="170">
        <f t="shared" si="95"/>
        <v>0</v>
      </c>
      <c r="AK489" s="204">
        <f t="shared" si="89"/>
        <v>0</v>
      </c>
      <c r="AL489" s="1049">
        <f>IF(ISERROR(AO489),0,IF(AND(AN489&gt;=$U$1,AN489&lt;=$U$2),IF(AO489='ESTRATTO CONTO'!$E$2,1+COUNTIF(AL$4:AL488,"&gt;0")+U$1009,0),0))</f>
        <v>0</v>
      </c>
      <c r="AM489" s="747">
        <f t="shared" si="92"/>
        <v>486</v>
      </c>
      <c r="AN489" s="164" t="e">
        <f>VLOOKUP($AM489,PATRIMONIALE!$AV541:AW$1003,2,FALSE)</f>
        <v>#N/A</v>
      </c>
      <c r="AO489" s="310" t="e">
        <f>VLOOKUP($AM489,PATRIMONIALE!$AV541:AX$1003,3,FALSE)</f>
        <v>#N/A</v>
      </c>
      <c r="AP489" s="310" t="e">
        <f>VLOOKUP($AM489,PATRIMONIALE!$AV541:AY$1003,4,FALSE)</f>
        <v>#N/A</v>
      </c>
      <c r="AQ489" s="748" t="e">
        <f>VLOOKUP($AM489,PATRIMONIALE!$AV541:AZ$1003,5,FALSE)</f>
        <v>#N/A</v>
      </c>
      <c r="AR489" s="1"/>
      <c r="AS489" s="461" t="str">
        <f t="shared" si="90"/>
        <v/>
      </c>
      <c r="AT489" s="370"/>
    </row>
    <row r="490" spans="1:46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435">
        <f>IF(AND(W490&gt;=$U$1,W490&lt;=$U$2),IF(X490='ESTRATTO CONTO'!$E$2,1+COUNTIF(U$4:U489,"&gt;0"),0),0)</f>
        <v>0</v>
      </c>
      <c r="V490" s="417">
        <f t="shared" si="91"/>
        <v>487</v>
      </c>
      <c r="W490" s="509"/>
      <c r="X490" s="321"/>
      <c r="Y490" s="321"/>
      <c r="Z490" s="433"/>
      <c r="AA490" s="356"/>
      <c r="AB490" s="306" t="str">
        <f t="shared" si="86"/>
        <v/>
      </c>
      <c r="AC490" s="893">
        <f t="shared" si="87"/>
        <v>0</v>
      </c>
      <c r="AD490" s="322"/>
      <c r="AE490" s="1"/>
      <c r="AF490" s="223">
        <f>IF(ISBLANK(AD490),0,COUNTIF(AF$4:AF489,"&gt;0")+1)</f>
        <v>0</v>
      </c>
      <c r="AG490" s="164">
        <f t="shared" si="93"/>
        <v>0</v>
      </c>
      <c r="AH490" s="99">
        <f t="shared" si="88"/>
        <v>0</v>
      </c>
      <c r="AI490" s="99">
        <f t="shared" si="94"/>
        <v>0</v>
      </c>
      <c r="AJ490" s="170">
        <f t="shared" si="95"/>
        <v>0</v>
      </c>
      <c r="AK490" s="204">
        <f t="shared" si="89"/>
        <v>0</v>
      </c>
      <c r="AL490" s="1049">
        <f>IF(ISERROR(AO490),0,IF(AND(AN490&gt;=$U$1,AN490&lt;=$U$2),IF(AO490='ESTRATTO CONTO'!$E$2,1+COUNTIF(AL$4:AL489,"&gt;0")+U$1009,0),0))</f>
        <v>0</v>
      </c>
      <c r="AM490" s="747">
        <f t="shared" si="92"/>
        <v>487</v>
      </c>
      <c r="AN490" s="164" t="e">
        <f>VLOOKUP($AM490,PATRIMONIALE!$AV542:AW$1003,2,FALSE)</f>
        <v>#N/A</v>
      </c>
      <c r="AO490" s="310" t="e">
        <f>VLOOKUP($AM490,PATRIMONIALE!$AV542:AX$1003,3,FALSE)</f>
        <v>#N/A</v>
      </c>
      <c r="AP490" s="310" t="e">
        <f>VLOOKUP($AM490,PATRIMONIALE!$AV542:AY$1003,4,FALSE)</f>
        <v>#N/A</v>
      </c>
      <c r="AQ490" s="748" t="e">
        <f>VLOOKUP($AM490,PATRIMONIALE!$AV542:AZ$1003,5,FALSE)</f>
        <v>#N/A</v>
      </c>
      <c r="AR490" s="1"/>
      <c r="AS490" s="461" t="str">
        <f t="shared" si="90"/>
        <v/>
      </c>
      <c r="AT490" s="370"/>
    </row>
    <row r="491" spans="1:46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435">
        <f>IF(AND(W491&gt;=$U$1,W491&lt;=$U$2),IF(X491='ESTRATTO CONTO'!$E$2,1+COUNTIF(U$4:U490,"&gt;0"),0),0)</f>
        <v>0</v>
      </c>
      <c r="V491" s="417">
        <f t="shared" si="91"/>
        <v>488</v>
      </c>
      <c r="W491" s="509"/>
      <c r="X491" s="321"/>
      <c r="Y491" s="321"/>
      <c r="Z491" s="433"/>
      <c r="AA491" s="356"/>
      <c r="AB491" s="306" t="str">
        <f t="shared" si="86"/>
        <v/>
      </c>
      <c r="AC491" s="893">
        <f t="shared" si="87"/>
        <v>0</v>
      </c>
      <c r="AD491" s="322"/>
      <c r="AE491" s="1"/>
      <c r="AF491" s="223">
        <f>IF(ISBLANK(AD491),0,COUNTIF(AF$4:AF490,"&gt;0")+1)</f>
        <v>0</v>
      </c>
      <c r="AG491" s="164">
        <f t="shared" si="93"/>
        <v>0</v>
      </c>
      <c r="AH491" s="99">
        <f t="shared" si="88"/>
        <v>0</v>
      </c>
      <c r="AI491" s="99">
        <f t="shared" si="94"/>
        <v>0</v>
      </c>
      <c r="AJ491" s="170">
        <f t="shared" si="95"/>
        <v>0</v>
      </c>
      <c r="AK491" s="204">
        <f t="shared" si="89"/>
        <v>0</v>
      </c>
      <c r="AL491" s="1049">
        <f>IF(ISERROR(AO491),0,IF(AND(AN491&gt;=$U$1,AN491&lt;=$U$2),IF(AO491='ESTRATTO CONTO'!$E$2,1+COUNTIF(AL$4:AL490,"&gt;0")+U$1009,0),0))</f>
        <v>0</v>
      </c>
      <c r="AM491" s="747">
        <f t="shared" si="92"/>
        <v>488</v>
      </c>
      <c r="AN491" s="164" t="e">
        <f>VLOOKUP($AM491,PATRIMONIALE!$AV543:AW$1003,2,FALSE)</f>
        <v>#N/A</v>
      </c>
      <c r="AO491" s="310" t="e">
        <f>VLOOKUP($AM491,PATRIMONIALE!$AV543:AX$1003,3,FALSE)</f>
        <v>#N/A</v>
      </c>
      <c r="AP491" s="310" t="e">
        <f>VLOOKUP($AM491,PATRIMONIALE!$AV543:AY$1003,4,FALSE)</f>
        <v>#N/A</v>
      </c>
      <c r="AQ491" s="748" t="e">
        <f>VLOOKUP($AM491,PATRIMONIALE!$AV543:AZ$1003,5,FALSE)</f>
        <v>#N/A</v>
      </c>
      <c r="AR491" s="1"/>
      <c r="AS491" s="461" t="str">
        <f t="shared" si="90"/>
        <v/>
      </c>
      <c r="AT491" s="370"/>
    </row>
    <row r="492" spans="1:46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435">
        <f>IF(AND(W492&gt;=$U$1,W492&lt;=$U$2),IF(X492='ESTRATTO CONTO'!$E$2,1+COUNTIF(U$4:U491,"&gt;0"),0),0)</f>
        <v>0</v>
      </c>
      <c r="V492" s="417">
        <f t="shared" si="91"/>
        <v>489</v>
      </c>
      <c r="W492" s="509"/>
      <c r="X492" s="321"/>
      <c r="Y492" s="321"/>
      <c r="Z492" s="433"/>
      <c r="AA492" s="356"/>
      <c r="AB492" s="306" t="str">
        <f t="shared" si="86"/>
        <v/>
      </c>
      <c r="AC492" s="893">
        <f t="shared" si="87"/>
        <v>0</v>
      </c>
      <c r="AD492" s="322"/>
      <c r="AE492" s="1"/>
      <c r="AF492" s="223">
        <f>IF(ISBLANK(AD492),0,COUNTIF(AF$4:AF491,"&gt;0")+1)</f>
        <v>0</v>
      </c>
      <c r="AG492" s="164">
        <f t="shared" si="93"/>
        <v>0</v>
      </c>
      <c r="AH492" s="99">
        <f t="shared" si="88"/>
        <v>0</v>
      </c>
      <c r="AI492" s="99">
        <f t="shared" si="94"/>
        <v>0</v>
      </c>
      <c r="AJ492" s="170">
        <f t="shared" si="95"/>
        <v>0</v>
      </c>
      <c r="AK492" s="204">
        <f t="shared" si="89"/>
        <v>0</v>
      </c>
      <c r="AL492" s="1049">
        <f>IF(ISERROR(AO492),0,IF(AND(AN492&gt;=$U$1,AN492&lt;=$U$2),IF(AO492='ESTRATTO CONTO'!$E$2,1+COUNTIF(AL$4:AL491,"&gt;0")+U$1009,0),0))</f>
        <v>0</v>
      </c>
      <c r="AM492" s="747">
        <f t="shared" si="92"/>
        <v>489</v>
      </c>
      <c r="AN492" s="164" t="e">
        <f>VLOOKUP($AM492,PATRIMONIALE!$AV544:AW$1003,2,FALSE)</f>
        <v>#N/A</v>
      </c>
      <c r="AO492" s="310" t="e">
        <f>VLOOKUP($AM492,PATRIMONIALE!$AV544:AX$1003,3,FALSE)</f>
        <v>#N/A</v>
      </c>
      <c r="AP492" s="310" t="e">
        <f>VLOOKUP($AM492,PATRIMONIALE!$AV544:AY$1003,4,FALSE)</f>
        <v>#N/A</v>
      </c>
      <c r="AQ492" s="748" t="e">
        <f>VLOOKUP($AM492,PATRIMONIALE!$AV544:AZ$1003,5,FALSE)</f>
        <v>#N/A</v>
      </c>
      <c r="AR492" s="1"/>
      <c r="AS492" s="461" t="str">
        <f t="shared" si="90"/>
        <v/>
      </c>
      <c r="AT492" s="370"/>
    </row>
    <row r="493" spans="1:46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435">
        <f>IF(AND(W493&gt;=$U$1,W493&lt;=$U$2),IF(X493='ESTRATTO CONTO'!$E$2,1+COUNTIF(U$4:U492,"&gt;0"),0),0)</f>
        <v>0</v>
      </c>
      <c r="V493" s="417">
        <f t="shared" si="91"/>
        <v>490</v>
      </c>
      <c r="W493" s="509"/>
      <c r="X493" s="321"/>
      <c r="Y493" s="321"/>
      <c r="Z493" s="433"/>
      <c r="AA493" s="356"/>
      <c r="AB493" s="306" t="str">
        <f t="shared" si="86"/>
        <v/>
      </c>
      <c r="AC493" s="893">
        <f t="shared" si="87"/>
        <v>0</v>
      </c>
      <c r="AD493" s="322"/>
      <c r="AE493" s="1"/>
      <c r="AF493" s="223">
        <f>IF(ISBLANK(AD493),0,COUNTIF(AF$4:AF492,"&gt;0")+1)</f>
        <v>0</v>
      </c>
      <c r="AG493" s="164">
        <f t="shared" si="93"/>
        <v>0</v>
      </c>
      <c r="AH493" s="99">
        <f t="shared" si="88"/>
        <v>0</v>
      </c>
      <c r="AI493" s="99">
        <f t="shared" si="94"/>
        <v>0</v>
      </c>
      <c r="AJ493" s="170">
        <f t="shared" si="95"/>
        <v>0</v>
      </c>
      <c r="AK493" s="204">
        <f t="shared" si="89"/>
        <v>0</v>
      </c>
      <c r="AL493" s="1049">
        <f>IF(ISERROR(AO493),0,IF(AND(AN493&gt;=$U$1,AN493&lt;=$U$2),IF(AO493='ESTRATTO CONTO'!$E$2,1+COUNTIF(AL$4:AL492,"&gt;0")+U$1009,0),0))</f>
        <v>0</v>
      </c>
      <c r="AM493" s="747">
        <f t="shared" si="92"/>
        <v>490</v>
      </c>
      <c r="AN493" s="164" t="e">
        <f>VLOOKUP($AM493,PATRIMONIALE!$AV545:AW$1003,2,FALSE)</f>
        <v>#N/A</v>
      </c>
      <c r="AO493" s="310" t="e">
        <f>VLOOKUP($AM493,PATRIMONIALE!$AV545:AX$1003,3,FALSE)</f>
        <v>#N/A</v>
      </c>
      <c r="AP493" s="310" t="e">
        <f>VLOOKUP($AM493,PATRIMONIALE!$AV545:AY$1003,4,FALSE)</f>
        <v>#N/A</v>
      </c>
      <c r="AQ493" s="748" t="e">
        <f>VLOOKUP($AM493,PATRIMONIALE!$AV545:AZ$1003,5,FALSE)</f>
        <v>#N/A</v>
      </c>
      <c r="AR493" s="1"/>
      <c r="AS493" s="461" t="str">
        <f t="shared" si="90"/>
        <v/>
      </c>
      <c r="AT493" s="370"/>
    </row>
    <row r="494" spans="1:46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435">
        <f>IF(AND(W494&gt;=$U$1,W494&lt;=$U$2),IF(X494='ESTRATTO CONTO'!$E$2,1+COUNTIF(U$4:U493,"&gt;0"),0),0)</f>
        <v>0</v>
      </c>
      <c r="V494" s="417">
        <f t="shared" si="91"/>
        <v>491</v>
      </c>
      <c r="W494" s="509"/>
      <c r="X494" s="321"/>
      <c r="Y494" s="321"/>
      <c r="Z494" s="433"/>
      <c r="AA494" s="356"/>
      <c r="AB494" s="306" t="str">
        <f t="shared" si="86"/>
        <v/>
      </c>
      <c r="AC494" s="893">
        <f t="shared" si="87"/>
        <v>0</v>
      </c>
      <c r="AD494" s="322"/>
      <c r="AE494" s="1"/>
      <c r="AF494" s="223">
        <f>IF(ISBLANK(AD494),0,COUNTIF(AF$4:AF493,"&gt;0")+1)</f>
        <v>0</v>
      </c>
      <c r="AG494" s="164">
        <f t="shared" si="93"/>
        <v>0</v>
      </c>
      <c r="AH494" s="99">
        <f t="shared" si="88"/>
        <v>0</v>
      </c>
      <c r="AI494" s="99">
        <f t="shared" si="94"/>
        <v>0</v>
      </c>
      <c r="AJ494" s="170">
        <f t="shared" si="95"/>
        <v>0</v>
      </c>
      <c r="AK494" s="204">
        <f t="shared" si="89"/>
        <v>0</v>
      </c>
      <c r="AL494" s="1049">
        <f>IF(ISERROR(AO494),0,IF(AND(AN494&gt;=$U$1,AN494&lt;=$U$2),IF(AO494='ESTRATTO CONTO'!$E$2,1+COUNTIF(AL$4:AL493,"&gt;0")+U$1009,0),0))</f>
        <v>0</v>
      </c>
      <c r="AM494" s="747">
        <f t="shared" si="92"/>
        <v>491</v>
      </c>
      <c r="AN494" s="164" t="e">
        <f>VLOOKUP($AM494,PATRIMONIALE!$AV546:AW$1003,2,FALSE)</f>
        <v>#N/A</v>
      </c>
      <c r="AO494" s="310" t="e">
        <f>VLOOKUP($AM494,PATRIMONIALE!$AV546:AX$1003,3,FALSE)</f>
        <v>#N/A</v>
      </c>
      <c r="AP494" s="310" t="e">
        <f>VLOOKUP($AM494,PATRIMONIALE!$AV546:AY$1003,4,FALSE)</f>
        <v>#N/A</v>
      </c>
      <c r="AQ494" s="748" t="e">
        <f>VLOOKUP($AM494,PATRIMONIALE!$AV546:AZ$1003,5,FALSE)</f>
        <v>#N/A</v>
      </c>
      <c r="AR494" s="1"/>
      <c r="AS494" s="461" t="str">
        <f t="shared" si="90"/>
        <v/>
      </c>
      <c r="AT494" s="370"/>
    </row>
    <row r="495" spans="1:46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435">
        <f>IF(AND(W495&gt;=$U$1,W495&lt;=$U$2),IF(X495='ESTRATTO CONTO'!$E$2,1+COUNTIF(U$4:U494,"&gt;0"),0),0)</f>
        <v>0</v>
      </c>
      <c r="V495" s="417">
        <f t="shared" si="91"/>
        <v>492</v>
      </c>
      <c r="W495" s="509"/>
      <c r="X495" s="321"/>
      <c r="Y495" s="321"/>
      <c r="Z495" s="433"/>
      <c r="AA495" s="356"/>
      <c r="AB495" s="306" t="str">
        <f t="shared" si="86"/>
        <v/>
      </c>
      <c r="AC495" s="893">
        <f t="shared" si="87"/>
        <v>0</v>
      </c>
      <c r="AD495" s="322"/>
      <c r="AE495" s="1"/>
      <c r="AF495" s="223">
        <f>IF(ISBLANK(AD495),0,COUNTIF(AF$4:AF494,"&gt;0")+1)</f>
        <v>0</v>
      </c>
      <c r="AG495" s="164">
        <f t="shared" si="93"/>
        <v>0</v>
      </c>
      <c r="AH495" s="99">
        <f t="shared" si="88"/>
        <v>0</v>
      </c>
      <c r="AI495" s="99">
        <f t="shared" si="94"/>
        <v>0</v>
      </c>
      <c r="AJ495" s="170">
        <f t="shared" si="95"/>
        <v>0</v>
      </c>
      <c r="AK495" s="204">
        <f t="shared" si="89"/>
        <v>0</v>
      </c>
      <c r="AL495" s="1049">
        <f>IF(ISERROR(AO495),0,IF(AND(AN495&gt;=$U$1,AN495&lt;=$U$2),IF(AO495='ESTRATTO CONTO'!$E$2,1+COUNTIF(AL$4:AL494,"&gt;0")+U$1009,0),0))</f>
        <v>0</v>
      </c>
      <c r="AM495" s="747">
        <f t="shared" si="92"/>
        <v>492</v>
      </c>
      <c r="AN495" s="164" t="e">
        <f>VLOOKUP($AM495,PATRIMONIALE!$AV547:AW$1003,2,FALSE)</f>
        <v>#N/A</v>
      </c>
      <c r="AO495" s="310" t="e">
        <f>VLOOKUP($AM495,PATRIMONIALE!$AV547:AX$1003,3,FALSE)</f>
        <v>#N/A</v>
      </c>
      <c r="AP495" s="310" t="e">
        <f>VLOOKUP($AM495,PATRIMONIALE!$AV547:AY$1003,4,FALSE)</f>
        <v>#N/A</v>
      </c>
      <c r="AQ495" s="748" t="e">
        <f>VLOOKUP($AM495,PATRIMONIALE!$AV547:AZ$1003,5,FALSE)</f>
        <v>#N/A</v>
      </c>
      <c r="AR495" s="1"/>
      <c r="AS495" s="461" t="str">
        <f t="shared" si="90"/>
        <v/>
      </c>
      <c r="AT495" s="370"/>
    </row>
    <row r="496" spans="1:46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435">
        <f>IF(AND(W496&gt;=$U$1,W496&lt;=$U$2),IF(X496='ESTRATTO CONTO'!$E$2,1+COUNTIF(U$4:U495,"&gt;0"),0),0)</f>
        <v>0</v>
      </c>
      <c r="V496" s="417">
        <f t="shared" si="91"/>
        <v>493</v>
      </c>
      <c r="W496" s="509"/>
      <c r="X496" s="321"/>
      <c r="Y496" s="321"/>
      <c r="Z496" s="433"/>
      <c r="AA496" s="356"/>
      <c r="AB496" s="306" t="str">
        <f t="shared" si="86"/>
        <v/>
      </c>
      <c r="AC496" s="893">
        <f t="shared" si="87"/>
        <v>0</v>
      </c>
      <c r="AD496" s="322"/>
      <c r="AE496" s="1"/>
      <c r="AF496" s="223">
        <f>IF(ISBLANK(AD496),0,COUNTIF(AF$4:AF495,"&gt;0")+1)</f>
        <v>0</v>
      </c>
      <c r="AG496" s="164">
        <f t="shared" si="93"/>
        <v>0</v>
      </c>
      <c r="AH496" s="99">
        <f t="shared" si="88"/>
        <v>0</v>
      </c>
      <c r="AI496" s="99">
        <f t="shared" si="94"/>
        <v>0</v>
      </c>
      <c r="AJ496" s="170">
        <f t="shared" si="95"/>
        <v>0</v>
      </c>
      <c r="AK496" s="204">
        <f t="shared" si="89"/>
        <v>0</v>
      </c>
      <c r="AL496" s="1049">
        <f>IF(ISERROR(AO496),0,IF(AND(AN496&gt;=$U$1,AN496&lt;=$U$2),IF(AO496='ESTRATTO CONTO'!$E$2,1+COUNTIF(AL$4:AL495,"&gt;0")+U$1009,0),0))</f>
        <v>0</v>
      </c>
      <c r="AM496" s="747">
        <f t="shared" si="92"/>
        <v>493</v>
      </c>
      <c r="AN496" s="164" t="e">
        <f>VLOOKUP($AM496,PATRIMONIALE!$AV548:AW$1003,2,FALSE)</f>
        <v>#N/A</v>
      </c>
      <c r="AO496" s="310" t="e">
        <f>VLOOKUP($AM496,PATRIMONIALE!$AV548:AX$1003,3,FALSE)</f>
        <v>#N/A</v>
      </c>
      <c r="AP496" s="310" t="e">
        <f>VLOOKUP($AM496,PATRIMONIALE!$AV548:AY$1003,4,FALSE)</f>
        <v>#N/A</v>
      </c>
      <c r="AQ496" s="748" t="e">
        <f>VLOOKUP($AM496,PATRIMONIALE!$AV548:AZ$1003,5,FALSE)</f>
        <v>#N/A</v>
      </c>
      <c r="AR496" s="1"/>
      <c r="AS496" s="461" t="str">
        <f t="shared" si="90"/>
        <v/>
      </c>
      <c r="AT496" s="370"/>
    </row>
    <row r="497" spans="1:46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435">
        <f>IF(AND(W497&gt;=$U$1,W497&lt;=$U$2),IF(X497='ESTRATTO CONTO'!$E$2,1+COUNTIF(U$4:U496,"&gt;0"),0),0)</f>
        <v>0</v>
      </c>
      <c r="V497" s="417">
        <f t="shared" si="91"/>
        <v>494</v>
      </c>
      <c r="W497" s="509"/>
      <c r="X497" s="321"/>
      <c r="Y497" s="321"/>
      <c r="Z497" s="433"/>
      <c r="AA497" s="356"/>
      <c r="AB497" s="306" t="str">
        <f t="shared" si="86"/>
        <v/>
      </c>
      <c r="AC497" s="893">
        <f t="shared" si="87"/>
        <v>0</v>
      </c>
      <c r="AD497" s="322"/>
      <c r="AE497" s="1"/>
      <c r="AF497" s="223">
        <f>IF(ISBLANK(AD497),0,COUNTIF(AF$4:AF496,"&gt;0")+1)</f>
        <v>0</v>
      </c>
      <c r="AG497" s="164">
        <f t="shared" si="93"/>
        <v>0</v>
      </c>
      <c r="AH497" s="99">
        <f t="shared" si="88"/>
        <v>0</v>
      </c>
      <c r="AI497" s="99">
        <f t="shared" si="94"/>
        <v>0</v>
      </c>
      <c r="AJ497" s="170">
        <f t="shared" si="95"/>
        <v>0</v>
      </c>
      <c r="AK497" s="204">
        <f t="shared" si="89"/>
        <v>0</v>
      </c>
      <c r="AL497" s="1049">
        <f>IF(ISERROR(AO497),0,IF(AND(AN497&gt;=$U$1,AN497&lt;=$U$2),IF(AO497='ESTRATTO CONTO'!$E$2,1+COUNTIF(AL$4:AL496,"&gt;0")+U$1009,0),0))</f>
        <v>0</v>
      </c>
      <c r="AM497" s="747">
        <f t="shared" si="92"/>
        <v>494</v>
      </c>
      <c r="AN497" s="164" t="e">
        <f>VLOOKUP($AM497,PATRIMONIALE!$AV549:AW$1003,2,FALSE)</f>
        <v>#N/A</v>
      </c>
      <c r="AO497" s="310" t="e">
        <f>VLOOKUP($AM497,PATRIMONIALE!$AV549:AX$1003,3,FALSE)</f>
        <v>#N/A</v>
      </c>
      <c r="AP497" s="310" t="e">
        <f>VLOOKUP($AM497,PATRIMONIALE!$AV549:AY$1003,4,FALSE)</f>
        <v>#N/A</v>
      </c>
      <c r="AQ497" s="748" t="e">
        <f>VLOOKUP($AM497,PATRIMONIALE!$AV549:AZ$1003,5,FALSE)</f>
        <v>#N/A</v>
      </c>
      <c r="AR497" s="1"/>
      <c r="AS497" s="461" t="str">
        <f t="shared" si="90"/>
        <v/>
      </c>
      <c r="AT497" s="370"/>
    </row>
    <row r="498" spans="1:46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435">
        <f>IF(AND(W498&gt;=$U$1,W498&lt;=$U$2),IF(X498='ESTRATTO CONTO'!$E$2,1+COUNTIF(U$4:U497,"&gt;0"),0),0)</f>
        <v>0</v>
      </c>
      <c r="V498" s="417">
        <f t="shared" si="91"/>
        <v>495</v>
      </c>
      <c r="W498" s="509"/>
      <c r="X498" s="321"/>
      <c r="Y498" s="321"/>
      <c r="Z498" s="433"/>
      <c r="AA498" s="356"/>
      <c r="AB498" s="306" t="str">
        <f t="shared" si="86"/>
        <v/>
      </c>
      <c r="AC498" s="893">
        <f t="shared" si="87"/>
        <v>0</v>
      </c>
      <c r="AD498" s="322"/>
      <c r="AE498" s="1"/>
      <c r="AF498" s="223">
        <f>IF(ISBLANK(AD498),0,COUNTIF(AF$4:AF497,"&gt;0")+1)</f>
        <v>0</v>
      </c>
      <c r="AG498" s="164">
        <f t="shared" si="93"/>
        <v>0</v>
      </c>
      <c r="AH498" s="99">
        <f t="shared" si="88"/>
        <v>0</v>
      </c>
      <c r="AI498" s="99">
        <f t="shared" si="94"/>
        <v>0</v>
      </c>
      <c r="AJ498" s="170">
        <f t="shared" si="95"/>
        <v>0</v>
      </c>
      <c r="AK498" s="204">
        <f t="shared" si="89"/>
        <v>0</v>
      </c>
      <c r="AL498" s="1049">
        <f>IF(ISERROR(AO498),0,IF(AND(AN498&gt;=$U$1,AN498&lt;=$U$2),IF(AO498='ESTRATTO CONTO'!$E$2,1+COUNTIF(AL$4:AL497,"&gt;0")+U$1009,0),0))</f>
        <v>0</v>
      </c>
      <c r="AM498" s="747">
        <f t="shared" si="92"/>
        <v>495</v>
      </c>
      <c r="AN498" s="164" t="e">
        <f>VLOOKUP($AM498,PATRIMONIALE!$AV550:AW$1003,2,FALSE)</f>
        <v>#N/A</v>
      </c>
      <c r="AO498" s="310" t="e">
        <f>VLOOKUP($AM498,PATRIMONIALE!$AV550:AX$1003,3,FALSE)</f>
        <v>#N/A</v>
      </c>
      <c r="AP498" s="310" t="e">
        <f>VLOOKUP($AM498,PATRIMONIALE!$AV550:AY$1003,4,FALSE)</f>
        <v>#N/A</v>
      </c>
      <c r="AQ498" s="748" t="e">
        <f>VLOOKUP($AM498,PATRIMONIALE!$AV550:AZ$1003,5,FALSE)</f>
        <v>#N/A</v>
      </c>
      <c r="AR498" s="1"/>
      <c r="AS498" s="461" t="str">
        <f t="shared" si="90"/>
        <v/>
      </c>
      <c r="AT498" s="370"/>
    </row>
    <row r="499" spans="1:46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435">
        <f>IF(AND(W499&gt;=$U$1,W499&lt;=$U$2),IF(X499='ESTRATTO CONTO'!$E$2,1+COUNTIF(U$4:U498,"&gt;0"),0),0)</f>
        <v>0</v>
      </c>
      <c r="V499" s="417">
        <f t="shared" si="91"/>
        <v>496</v>
      </c>
      <c r="W499" s="509"/>
      <c r="X499" s="321"/>
      <c r="Y499" s="321"/>
      <c r="Z499" s="433"/>
      <c r="AA499" s="356"/>
      <c r="AB499" s="306" t="str">
        <f t="shared" si="86"/>
        <v/>
      </c>
      <c r="AC499" s="893">
        <f t="shared" si="87"/>
        <v>0</v>
      </c>
      <c r="AD499" s="322"/>
      <c r="AE499" s="1"/>
      <c r="AF499" s="223">
        <f>IF(ISBLANK(AD499),0,COUNTIF(AF$4:AF498,"&gt;0")+1)</f>
        <v>0</v>
      </c>
      <c r="AG499" s="164">
        <f t="shared" si="93"/>
        <v>0</v>
      </c>
      <c r="AH499" s="99">
        <f t="shared" si="88"/>
        <v>0</v>
      </c>
      <c r="AI499" s="99">
        <f t="shared" si="94"/>
        <v>0</v>
      </c>
      <c r="AJ499" s="170">
        <f t="shared" si="95"/>
        <v>0</v>
      </c>
      <c r="AK499" s="204">
        <f t="shared" si="89"/>
        <v>0</v>
      </c>
      <c r="AL499" s="1049">
        <f>IF(ISERROR(AO499),0,IF(AND(AN499&gt;=$U$1,AN499&lt;=$U$2),IF(AO499='ESTRATTO CONTO'!$E$2,1+COUNTIF(AL$4:AL498,"&gt;0")+U$1009,0),0))</f>
        <v>0</v>
      </c>
      <c r="AM499" s="747">
        <f t="shared" si="92"/>
        <v>496</v>
      </c>
      <c r="AN499" s="164" t="e">
        <f>VLOOKUP($AM499,PATRIMONIALE!$AV551:AW$1003,2,FALSE)</f>
        <v>#N/A</v>
      </c>
      <c r="AO499" s="310" t="e">
        <f>VLOOKUP($AM499,PATRIMONIALE!$AV551:AX$1003,3,FALSE)</f>
        <v>#N/A</v>
      </c>
      <c r="AP499" s="310" t="e">
        <f>VLOOKUP($AM499,PATRIMONIALE!$AV551:AY$1003,4,FALSE)</f>
        <v>#N/A</v>
      </c>
      <c r="AQ499" s="748" t="e">
        <f>VLOOKUP($AM499,PATRIMONIALE!$AV551:AZ$1003,5,FALSE)</f>
        <v>#N/A</v>
      </c>
      <c r="AR499" s="1"/>
      <c r="AS499" s="461" t="str">
        <f t="shared" si="90"/>
        <v/>
      </c>
      <c r="AT499" s="370"/>
    </row>
    <row r="500" spans="1:46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435">
        <f>IF(AND(W500&gt;=$U$1,W500&lt;=$U$2),IF(X500='ESTRATTO CONTO'!$E$2,1+COUNTIF(U$4:U499,"&gt;0"),0),0)</f>
        <v>0</v>
      </c>
      <c r="V500" s="417">
        <f t="shared" si="91"/>
        <v>497</v>
      </c>
      <c r="W500" s="509"/>
      <c r="X500" s="321"/>
      <c r="Y500" s="321"/>
      <c r="Z500" s="433"/>
      <c r="AA500" s="356"/>
      <c r="AB500" s="306" t="str">
        <f t="shared" si="86"/>
        <v/>
      </c>
      <c r="AC500" s="893">
        <f t="shared" si="87"/>
        <v>0</v>
      </c>
      <c r="AD500" s="322"/>
      <c r="AE500" s="1"/>
      <c r="AF500" s="223">
        <f>IF(ISBLANK(AD500),0,COUNTIF(AF$4:AF499,"&gt;0")+1)</f>
        <v>0</v>
      </c>
      <c r="AG500" s="164">
        <f t="shared" si="93"/>
        <v>0</v>
      </c>
      <c r="AH500" s="99">
        <f t="shared" si="88"/>
        <v>0</v>
      </c>
      <c r="AI500" s="99">
        <f t="shared" si="94"/>
        <v>0</v>
      </c>
      <c r="AJ500" s="170">
        <f t="shared" si="95"/>
        <v>0</v>
      </c>
      <c r="AK500" s="204">
        <f t="shared" si="89"/>
        <v>0</v>
      </c>
      <c r="AL500" s="1049">
        <f>IF(ISERROR(AO500),0,IF(AND(AN500&gt;=$U$1,AN500&lt;=$U$2),IF(AO500='ESTRATTO CONTO'!$E$2,1+COUNTIF(AL$4:AL499,"&gt;0")+U$1009,0),0))</f>
        <v>0</v>
      </c>
      <c r="AM500" s="747">
        <f t="shared" si="92"/>
        <v>497</v>
      </c>
      <c r="AN500" s="164" t="e">
        <f>VLOOKUP($AM500,PATRIMONIALE!$AV552:AW$1003,2,FALSE)</f>
        <v>#N/A</v>
      </c>
      <c r="AO500" s="310" t="e">
        <f>VLOOKUP($AM500,PATRIMONIALE!$AV552:AX$1003,3,FALSE)</f>
        <v>#N/A</v>
      </c>
      <c r="AP500" s="310" t="e">
        <f>VLOOKUP($AM500,PATRIMONIALE!$AV552:AY$1003,4,FALSE)</f>
        <v>#N/A</v>
      </c>
      <c r="AQ500" s="748" t="e">
        <f>VLOOKUP($AM500,PATRIMONIALE!$AV552:AZ$1003,5,FALSE)</f>
        <v>#N/A</v>
      </c>
      <c r="AR500" s="1"/>
      <c r="AS500" s="461" t="str">
        <f t="shared" si="90"/>
        <v/>
      </c>
      <c r="AT500" s="370"/>
    </row>
    <row r="501" spans="1:46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435">
        <f>IF(AND(W501&gt;=$U$1,W501&lt;=$U$2),IF(X501='ESTRATTO CONTO'!$E$2,1+COUNTIF(U$4:U500,"&gt;0"),0),0)</f>
        <v>0</v>
      </c>
      <c r="V501" s="417">
        <f t="shared" si="91"/>
        <v>498</v>
      </c>
      <c r="W501" s="509"/>
      <c r="X501" s="321"/>
      <c r="Y501" s="321"/>
      <c r="Z501" s="433"/>
      <c r="AA501" s="356"/>
      <c r="AB501" s="306" t="str">
        <f t="shared" si="86"/>
        <v/>
      </c>
      <c r="AC501" s="893">
        <f t="shared" si="87"/>
        <v>0</v>
      </c>
      <c r="AD501" s="322"/>
      <c r="AE501" s="1"/>
      <c r="AF501" s="223">
        <f>IF(ISBLANK(AD501),0,COUNTIF(AF$4:AF500,"&gt;0")+1)</f>
        <v>0</v>
      </c>
      <c r="AG501" s="164">
        <f t="shared" si="93"/>
        <v>0</v>
      </c>
      <c r="AH501" s="99">
        <f t="shared" si="88"/>
        <v>0</v>
      </c>
      <c r="AI501" s="99">
        <f t="shared" si="94"/>
        <v>0</v>
      </c>
      <c r="AJ501" s="170">
        <f t="shared" si="95"/>
        <v>0</v>
      </c>
      <c r="AK501" s="204">
        <f t="shared" si="89"/>
        <v>0</v>
      </c>
      <c r="AL501" s="1049">
        <f>IF(ISERROR(AO501),0,IF(AND(AN501&gt;=$U$1,AN501&lt;=$U$2),IF(AO501='ESTRATTO CONTO'!$E$2,1+COUNTIF(AL$4:AL500,"&gt;0")+U$1009,0),0))</f>
        <v>0</v>
      </c>
      <c r="AM501" s="747">
        <f t="shared" si="92"/>
        <v>498</v>
      </c>
      <c r="AN501" s="164" t="e">
        <f>VLOOKUP($AM501,PATRIMONIALE!$AV553:AW$1003,2,FALSE)</f>
        <v>#N/A</v>
      </c>
      <c r="AO501" s="310" t="e">
        <f>VLOOKUP($AM501,PATRIMONIALE!$AV553:AX$1003,3,FALSE)</f>
        <v>#N/A</v>
      </c>
      <c r="AP501" s="310" t="e">
        <f>VLOOKUP($AM501,PATRIMONIALE!$AV553:AY$1003,4,FALSE)</f>
        <v>#N/A</v>
      </c>
      <c r="AQ501" s="748" t="e">
        <f>VLOOKUP($AM501,PATRIMONIALE!$AV553:AZ$1003,5,FALSE)</f>
        <v>#N/A</v>
      </c>
      <c r="AR501" s="1"/>
      <c r="AS501" s="461" t="str">
        <f t="shared" si="90"/>
        <v/>
      </c>
      <c r="AT501" s="370"/>
    </row>
    <row r="502" spans="1:46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435">
        <f>IF(AND(W502&gt;=$U$1,W502&lt;=$U$2),IF(X502='ESTRATTO CONTO'!$E$2,1+COUNTIF(U$4:U501,"&gt;0"),0),0)</f>
        <v>0</v>
      </c>
      <c r="V502" s="417">
        <f t="shared" si="91"/>
        <v>499</v>
      </c>
      <c r="W502" s="509"/>
      <c r="X502" s="321"/>
      <c r="Y502" s="321"/>
      <c r="Z502" s="433"/>
      <c r="AA502" s="356"/>
      <c r="AB502" s="306" t="str">
        <f t="shared" si="86"/>
        <v/>
      </c>
      <c r="AC502" s="893">
        <f t="shared" si="87"/>
        <v>0</v>
      </c>
      <c r="AD502" s="322"/>
      <c r="AE502" s="1"/>
      <c r="AF502" s="223">
        <f>IF(ISBLANK(AD502),0,COUNTIF(AF$4:AF501,"&gt;0")+1)</f>
        <v>0</v>
      </c>
      <c r="AG502" s="164">
        <f t="shared" si="93"/>
        <v>0</v>
      </c>
      <c r="AH502" s="99">
        <f t="shared" si="88"/>
        <v>0</v>
      </c>
      <c r="AI502" s="99">
        <f t="shared" si="94"/>
        <v>0</v>
      </c>
      <c r="AJ502" s="170">
        <f t="shared" si="95"/>
        <v>0</v>
      </c>
      <c r="AK502" s="204">
        <f t="shared" si="89"/>
        <v>0</v>
      </c>
      <c r="AL502" s="1049">
        <f>IF(ISERROR(AO502),0,IF(AND(AN502&gt;=$U$1,AN502&lt;=$U$2),IF(AO502='ESTRATTO CONTO'!$E$2,1+COUNTIF(AL$4:AL501,"&gt;0")+U$1009,0),0))</f>
        <v>0</v>
      </c>
      <c r="AM502" s="747">
        <f t="shared" si="92"/>
        <v>499</v>
      </c>
      <c r="AN502" s="164" t="e">
        <f>VLOOKUP($AM502,PATRIMONIALE!$AV554:AW$1003,2,FALSE)</f>
        <v>#N/A</v>
      </c>
      <c r="AO502" s="310" t="e">
        <f>VLOOKUP($AM502,PATRIMONIALE!$AV554:AX$1003,3,FALSE)</f>
        <v>#N/A</v>
      </c>
      <c r="AP502" s="310" t="e">
        <f>VLOOKUP($AM502,PATRIMONIALE!$AV554:AY$1003,4,FALSE)</f>
        <v>#N/A</v>
      </c>
      <c r="AQ502" s="748" t="e">
        <f>VLOOKUP($AM502,PATRIMONIALE!$AV554:AZ$1003,5,FALSE)</f>
        <v>#N/A</v>
      </c>
      <c r="AR502" s="1"/>
      <c r="AS502" s="461" t="str">
        <f t="shared" si="90"/>
        <v/>
      </c>
      <c r="AT502" s="370"/>
    </row>
    <row r="503" spans="1:46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435">
        <f>IF(AND(W503&gt;=$U$1,W503&lt;=$U$2),IF(X503='ESTRATTO CONTO'!$E$2,1+COUNTIF(U$4:U502,"&gt;0"),0),0)</f>
        <v>0</v>
      </c>
      <c r="V503" s="417">
        <f t="shared" si="91"/>
        <v>500</v>
      </c>
      <c r="W503" s="509"/>
      <c r="X503" s="321"/>
      <c r="Y503" s="321"/>
      <c r="Z503" s="433"/>
      <c r="AA503" s="356"/>
      <c r="AB503" s="306" t="str">
        <f t="shared" si="86"/>
        <v/>
      </c>
      <c r="AC503" s="893">
        <f t="shared" si="87"/>
        <v>0</v>
      </c>
      <c r="AD503" s="322"/>
      <c r="AE503" s="1"/>
      <c r="AF503" s="223">
        <f>IF(ISBLANK(AD503),0,COUNTIF(AF$4:AF502,"&gt;0")+1)</f>
        <v>0</v>
      </c>
      <c r="AG503" s="164">
        <f t="shared" si="93"/>
        <v>0</v>
      </c>
      <c r="AH503" s="99">
        <f t="shared" si="88"/>
        <v>0</v>
      </c>
      <c r="AI503" s="99">
        <f t="shared" si="94"/>
        <v>0</v>
      </c>
      <c r="AJ503" s="170">
        <f t="shared" si="95"/>
        <v>0</v>
      </c>
      <c r="AK503" s="204">
        <f t="shared" si="89"/>
        <v>0</v>
      </c>
      <c r="AL503" s="1049">
        <f>IF(ISERROR(AO503),0,IF(AND(AN503&gt;=$U$1,AN503&lt;=$U$2),IF(AO503='ESTRATTO CONTO'!$E$2,1+COUNTIF(AL$4:AL502,"&gt;0")+U$1009,0),0))</f>
        <v>0</v>
      </c>
      <c r="AM503" s="747">
        <f t="shared" si="92"/>
        <v>500</v>
      </c>
      <c r="AN503" s="164" t="e">
        <f>VLOOKUP($AM503,PATRIMONIALE!$AV555:AW$1003,2,FALSE)</f>
        <v>#N/A</v>
      </c>
      <c r="AO503" s="310" t="e">
        <f>VLOOKUP($AM503,PATRIMONIALE!$AV555:AX$1003,3,FALSE)</f>
        <v>#N/A</v>
      </c>
      <c r="AP503" s="310" t="e">
        <f>VLOOKUP($AM503,PATRIMONIALE!$AV555:AY$1003,4,FALSE)</f>
        <v>#N/A</v>
      </c>
      <c r="AQ503" s="748" t="e">
        <f>VLOOKUP($AM503,PATRIMONIALE!$AV555:AZ$1003,5,FALSE)</f>
        <v>#N/A</v>
      </c>
      <c r="AR503" s="1"/>
      <c r="AS503" s="461" t="str">
        <f t="shared" si="90"/>
        <v/>
      </c>
      <c r="AT503" s="370"/>
    </row>
    <row r="504" spans="1:46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435">
        <f>IF(AND(W504&gt;=$U$1,W504&lt;=$U$2),IF(X504='ESTRATTO CONTO'!$E$2,1+COUNTIF(U$4:U503,"&gt;0"),0),0)</f>
        <v>0</v>
      </c>
      <c r="V504" s="417">
        <f t="shared" si="91"/>
        <v>501</v>
      </c>
      <c r="W504" s="509"/>
      <c r="X504" s="321"/>
      <c r="Y504" s="321"/>
      <c r="Z504" s="433"/>
      <c r="AA504" s="356"/>
      <c r="AB504" s="306" t="str">
        <f t="shared" si="86"/>
        <v/>
      </c>
      <c r="AC504" s="893">
        <f t="shared" si="87"/>
        <v>0</v>
      </c>
      <c r="AD504" s="322"/>
      <c r="AE504" s="1"/>
      <c r="AF504" s="223">
        <f>IF(ISBLANK(AD504),0,COUNTIF(AF$4:AF503,"&gt;0")+1)</f>
        <v>0</v>
      </c>
      <c r="AG504" s="164">
        <f t="shared" si="93"/>
        <v>0</v>
      </c>
      <c r="AH504" s="99">
        <f t="shared" si="88"/>
        <v>0</v>
      </c>
      <c r="AI504" s="99">
        <f t="shared" si="94"/>
        <v>0</v>
      </c>
      <c r="AJ504" s="170">
        <f t="shared" si="95"/>
        <v>0</v>
      </c>
      <c r="AK504" s="204">
        <f t="shared" si="89"/>
        <v>0</v>
      </c>
      <c r="AL504" s="1049">
        <f>IF(ISERROR(AO504),0,IF(AND(AN504&gt;=$U$1,AN504&lt;=$U$2),IF(AO504='ESTRATTO CONTO'!$E$2,1+COUNTIF(AL$4:AL503,"&gt;0")+U$1009,0),0))</f>
        <v>0</v>
      </c>
      <c r="AM504" s="747">
        <f t="shared" si="92"/>
        <v>501</v>
      </c>
      <c r="AN504" s="164" t="e">
        <f>VLOOKUP($AM504,PATRIMONIALE!$AV556:AW$1003,2,FALSE)</f>
        <v>#N/A</v>
      </c>
      <c r="AO504" s="310" t="e">
        <f>VLOOKUP($AM504,PATRIMONIALE!$AV556:AX$1003,3,FALSE)</f>
        <v>#N/A</v>
      </c>
      <c r="AP504" s="310" t="e">
        <f>VLOOKUP($AM504,PATRIMONIALE!$AV556:AY$1003,4,FALSE)</f>
        <v>#N/A</v>
      </c>
      <c r="AQ504" s="748" t="e">
        <f>VLOOKUP($AM504,PATRIMONIALE!$AV556:AZ$1003,5,FALSE)</f>
        <v>#N/A</v>
      </c>
      <c r="AR504" s="1"/>
      <c r="AS504" s="461" t="str">
        <f t="shared" si="90"/>
        <v/>
      </c>
      <c r="AT504" s="370"/>
    </row>
    <row r="505" spans="1:46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435">
        <f>IF(AND(W505&gt;=$U$1,W505&lt;=$U$2),IF(X505='ESTRATTO CONTO'!$E$2,1+COUNTIF(U$4:U504,"&gt;0"),0),0)</f>
        <v>0</v>
      </c>
      <c r="V505" s="417">
        <f t="shared" si="91"/>
        <v>502</v>
      </c>
      <c r="W505" s="509"/>
      <c r="X505" s="321"/>
      <c r="Y505" s="321"/>
      <c r="Z505" s="433"/>
      <c r="AA505" s="356"/>
      <c r="AB505" s="306" t="str">
        <f t="shared" si="86"/>
        <v/>
      </c>
      <c r="AC505" s="893">
        <f t="shared" si="87"/>
        <v>0</v>
      </c>
      <c r="AD505" s="322"/>
      <c r="AE505" s="1"/>
      <c r="AF505" s="223">
        <f>IF(ISBLANK(AD505),0,COUNTIF(AF$4:AF504,"&gt;0")+1)</f>
        <v>0</v>
      </c>
      <c r="AG505" s="164">
        <f t="shared" si="93"/>
        <v>0</v>
      </c>
      <c r="AH505" s="99">
        <f t="shared" si="88"/>
        <v>0</v>
      </c>
      <c r="AI505" s="99">
        <f t="shared" si="94"/>
        <v>0</v>
      </c>
      <c r="AJ505" s="170">
        <f t="shared" si="95"/>
        <v>0</v>
      </c>
      <c r="AK505" s="204">
        <f t="shared" si="89"/>
        <v>0</v>
      </c>
      <c r="AL505" s="1049">
        <f>IF(ISERROR(AO505),0,IF(AND(AN505&gt;=$U$1,AN505&lt;=$U$2),IF(AO505='ESTRATTO CONTO'!$E$2,1+COUNTIF(AL$4:AL504,"&gt;0")+U$1009,0),0))</f>
        <v>0</v>
      </c>
      <c r="AM505" s="747">
        <f t="shared" si="92"/>
        <v>502</v>
      </c>
      <c r="AN505" s="164" t="e">
        <f>VLOOKUP($AM505,PATRIMONIALE!$AV557:AW$1003,2,FALSE)</f>
        <v>#N/A</v>
      </c>
      <c r="AO505" s="310" t="e">
        <f>VLOOKUP($AM505,PATRIMONIALE!$AV557:AX$1003,3,FALSE)</f>
        <v>#N/A</v>
      </c>
      <c r="AP505" s="310" t="e">
        <f>VLOOKUP($AM505,PATRIMONIALE!$AV557:AY$1003,4,FALSE)</f>
        <v>#N/A</v>
      </c>
      <c r="AQ505" s="748" t="e">
        <f>VLOOKUP($AM505,PATRIMONIALE!$AV557:AZ$1003,5,FALSE)</f>
        <v>#N/A</v>
      </c>
      <c r="AR505" s="1"/>
      <c r="AS505" s="461" t="str">
        <f t="shared" si="90"/>
        <v/>
      </c>
      <c r="AT505" s="370"/>
    </row>
    <row r="506" spans="1:46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435">
        <f>IF(AND(W506&gt;=$U$1,W506&lt;=$U$2),IF(X506='ESTRATTO CONTO'!$E$2,1+COUNTIF(U$4:U505,"&gt;0"),0),0)</f>
        <v>0</v>
      </c>
      <c r="V506" s="417">
        <f t="shared" si="91"/>
        <v>503</v>
      </c>
      <c r="W506" s="509"/>
      <c r="X506" s="321"/>
      <c r="Y506" s="321"/>
      <c r="Z506" s="433"/>
      <c r="AA506" s="356"/>
      <c r="AB506" s="306" t="str">
        <f t="shared" si="86"/>
        <v/>
      </c>
      <c r="AC506" s="893">
        <f t="shared" si="87"/>
        <v>0</v>
      </c>
      <c r="AD506" s="322"/>
      <c r="AE506" s="1"/>
      <c r="AF506" s="223">
        <f>IF(ISBLANK(AD506),0,COUNTIF(AF$4:AF505,"&gt;0")+1)</f>
        <v>0</v>
      </c>
      <c r="AG506" s="164">
        <f t="shared" si="93"/>
        <v>0</v>
      </c>
      <c r="AH506" s="99">
        <f t="shared" si="88"/>
        <v>0</v>
      </c>
      <c r="AI506" s="99">
        <f t="shared" si="94"/>
        <v>0</v>
      </c>
      <c r="AJ506" s="170">
        <f t="shared" si="95"/>
        <v>0</v>
      </c>
      <c r="AK506" s="204">
        <f t="shared" si="89"/>
        <v>0</v>
      </c>
      <c r="AL506" s="1049">
        <f>IF(ISERROR(AO506),0,IF(AND(AN506&gt;=$U$1,AN506&lt;=$U$2),IF(AO506='ESTRATTO CONTO'!$E$2,1+COUNTIF(AL$4:AL505,"&gt;0")+U$1009,0),0))</f>
        <v>0</v>
      </c>
      <c r="AM506" s="747">
        <f t="shared" si="92"/>
        <v>503</v>
      </c>
      <c r="AN506" s="164" t="e">
        <f>VLOOKUP($AM506,PATRIMONIALE!$AV558:AW$1003,2,FALSE)</f>
        <v>#N/A</v>
      </c>
      <c r="AO506" s="310" t="e">
        <f>VLOOKUP($AM506,PATRIMONIALE!$AV558:AX$1003,3,FALSE)</f>
        <v>#N/A</v>
      </c>
      <c r="AP506" s="310" t="e">
        <f>VLOOKUP($AM506,PATRIMONIALE!$AV558:AY$1003,4,FALSE)</f>
        <v>#N/A</v>
      </c>
      <c r="AQ506" s="748" t="e">
        <f>VLOOKUP($AM506,PATRIMONIALE!$AV558:AZ$1003,5,FALSE)</f>
        <v>#N/A</v>
      </c>
      <c r="AR506" s="1"/>
      <c r="AS506" s="461" t="str">
        <f t="shared" si="90"/>
        <v/>
      </c>
      <c r="AT506" s="370"/>
    </row>
    <row r="507" spans="1:46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435">
        <f>IF(AND(W507&gt;=$U$1,W507&lt;=$U$2),IF(X507='ESTRATTO CONTO'!$E$2,1+COUNTIF(U$4:U506,"&gt;0"),0),0)</f>
        <v>0</v>
      </c>
      <c r="V507" s="417">
        <f t="shared" si="91"/>
        <v>504</v>
      </c>
      <c r="W507" s="509"/>
      <c r="X507" s="321"/>
      <c r="Y507" s="321"/>
      <c r="Z507" s="433"/>
      <c r="AA507" s="356"/>
      <c r="AB507" s="306" t="str">
        <f t="shared" si="86"/>
        <v/>
      </c>
      <c r="AC507" s="893">
        <f t="shared" si="87"/>
        <v>0</v>
      </c>
      <c r="AD507" s="322"/>
      <c r="AE507" s="1"/>
      <c r="AF507" s="223">
        <f>IF(ISBLANK(AD507),0,COUNTIF(AF$4:AF506,"&gt;0")+1)</f>
        <v>0</v>
      </c>
      <c r="AG507" s="164">
        <f t="shared" si="93"/>
        <v>0</v>
      </c>
      <c r="AH507" s="99">
        <f t="shared" si="88"/>
        <v>0</v>
      </c>
      <c r="AI507" s="99">
        <f t="shared" si="94"/>
        <v>0</v>
      </c>
      <c r="AJ507" s="170">
        <f t="shared" si="95"/>
        <v>0</v>
      </c>
      <c r="AK507" s="204">
        <f t="shared" si="89"/>
        <v>0</v>
      </c>
      <c r="AL507" s="1049">
        <f>IF(ISERROR(AO507),0,IF(AND(AN507&gt;=$U$1,AN507&lt;=$U$2),IF(AO507='ESTRATTO CONTO'!$E$2,1+COUNTIF(AL$4:AL506,"&gt;0")+U$1009,0),0))</f>
        <v>0</v>
      </c>
      <c r="AM507" s="747">
        <f t="shared" si="92"/>
        <v>504</v>
      </c>
      <c r="AN507" s="164" t="e">
        <f>VLOOKUP($AM507,PATRIMONIALE!$AV559:AW$1003,2,FALSE)</f>
        <v>#N/A</v>
      </c>
      <c r="AO507" s="310" t="e">
        <f>VLOOKUP($AM507,PATRIMONIALE!$AV559:AX$1003,3,FALSE)</f>
        <v>#N/A</v>
      </c>
      <c r="AP507" s="310" t="e">
        <f>VLOOKUP($AM507,PATRIMONIALE!$AV559:AY$1003,4,FALSE)</f>
        <v>#N/A</v>
      </c>
      <c r="AQ507" s="748" t="e">
        <f>VLOOKUP($AM507,PATRIMONIALE!$AV559:AZ$1003,5,FALSE)</f>
        <v>#N/A</v>
      </c>
      <c r="AR507" s="1"/>
      <c r="AS507" s="461" t="str">
        <f t="shared" si="90"/>
        <v/>
      </c>
      <c r="AT507" s="370"/>
    </row>
    <row r="508" spans="1:46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435">
        <f>IF(AND(W508&gt;=$U$1,W508&lt;=$U$2),IF(X508='ESTRATTO CONTO'!$E$2,1+COUNTIF(U$4:U507,"&gt;0"),0),0)</f>
        <v>0</v>
      </c>
      <c r="V508" s="417">
        <f t="shared" si="91"/>
        <v>505</v>
      </c>
      <c r="W508" s="509"/>
      <c r="X508" s="321"/>
      <c r="Y508" s="321"/>
      <c r="Z508" s="433"/>
      <c r="AA508" s="356"/>
      <c r="AB508" s="306" t="str">
        <f t="shared" si="86"/>
        <v/>
      </c>
      <c r="AC508" s="893">
        <f t="shared" si="87"/>
        <v>0</v>
      </c>
      <c r="AD508" s="322"/>
      <c r="AE508" s="1"/>
      <c r="AF508" s="223">
        <f>IF(ISBLANK(AD508),0,COUNTIF(AF$4:AF507,"&gt;0")+1)</f>
        <v>0</v>
      </c>
      <c r="AG508" s="164">
        <f t="shared" si="93"/>
        <v>0</v>
      </c>
      <c r="AH508" s="99">
        <f t="shared" si="88"/>
        <v>0</v>
      </c>
      <c r="AI508" s="99">
        <f t="shared" si="94"/>
        <v>0</v>
      </c>
      <c r="AJ508" s="170">
        <f t="shared" si="95"/>
        <v>0</v>
      </c>
      <c r="AK508" s="204">
        <f t="shared" si="89"/>
        <v>0</v>
      </c>
      <c r="AL508" s="1049">
        <f>IF(ISERROR(AO508),0,IF(AND(AN508&gt;=$U$1,AN508&lt;=$U$2),IF(AO508='ESTRATTO CONTO'!$E$2,1+COUNTIF(AL$4:AL507,"&gt;0")+U$1009,0),0))</f>
        <v>0</v>
      </c>
      <c r="AM508" s="747">
        <f t="shared" si="92"/>
        <v>505</v>
      </c>
      <c r="AN508" s="164" t="e">
        <f>VLOOKUP($AM508,PATRIMONIALE!$AV560:AW$1003,2,FALSE)</f>
        <v>#N/A</v>
      </c>
      <c r="AO508" s="310" t="e">
        <f>VLOOKUP($AM508,PATRIMONIALE!$AV560:AX$1003,3,FALSE)</f>
        <v>#N/A</v>
      </c>
      <c r="AP508" s="310" t="e">
        <f>VLOOKUP($AM508,PATRIMONIALE!$AV560:AY$1003,4,FALSE)</f>
        <v>#N/A</v>
      </c>
      <c r="AQ508" s="748" t="e">
        <f>VLOOKUP($AM508,PATRIMONIALE!$AV560:AZ$1003,5,FALSE)</f>
        <v>#N/A</v>
      </c>
      <c r="AR508" s="1"/>
      <c r="AS508" s="461" t="str">
        <f t="shared" si="90"/>
        <v/>
      </c>
      <c r="AT508" s="370"/>
    </row>
    <row r="509" spans="1:46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435">
        <f>IF(AND(W509&gt;=$U$1,W509&lt;=$U$2),IF(X509='ESTRATTO CONTO'!$E$2,1+COUNTIF(U$4:U508,"&gt;0"),0),0)</f>
        <v>0</v>
      </c>
      <c r="V509" s="417">
        <f t="shared" si="91"/>
        <v>506</v>
      </c>
      <c r="W509" s="509"/>
      <c r="X509" s="321"/>
      <c r="Y509" s="321"/>
      <c r="Z509" s="433"/>
      <c r="AA509" s="356"/>
      <c r="AB509" s="306" t="str">
        <f t="shared" si="86"/>
        <v/>
      </c>
      <c r="AC509" s="893">
        <f t="shared" si="87"/>
        <v>0</v>
      </c>
      <c r="AD509" s="322"/>
      <c r="AE509" s="1"/>
      <c r="AF509" s="223">
        <f>IF(ISBLANK(AD509),0,COUNTIF(AF$4:AF508,"&gt;0")+1)</f>
        <v>0</v>
      </c>
      <c r="AG509" s="164">
        <f t="shared" si="93"/>
        <v>0</v>
      </c>
      <c r="AH509" s="99">
        <f t="shared" si="88"/>
        <v>0</v>
      </c>
      <c r="AI509" s="99">
        <f t="shared" si="94"/>
        <v>0</v>
      </c>
      <c r="AJ509" s="170">
        <f t="shared" si="95"/>
        <v>0</v>
      </c>
      <c r="AK509" s="204">
        <f t="shared" si="89"/>
        <v>0</v>
      </c>
      <c r="AL509" s="1049">
        <f>IF(ISERROR(AO509),0,IF(AND(AN509&gt;=$U$1,AN509&lt;=$U$2),IF(AO509='ESTRATTO CONTO'!$E$2,1+COUNTIF(AL$4:AL508,"&gt;0")+U$1009,0),0))</f>
        <v>0</v>
      </c>
      <c r="AM509" s="747">
        <f t="shared" si="92"/>
        <v>506</v>
      </c>
      <c r="AN509" s="164" t="e">
        <f>VLOOKUP($AM509,PATRIMONIALE!$AV561:AW$1003,2,FALSE)</f>
        <v>#N/A</v>
      </c>
      <c r="AO509" s="310" t="e">
        <f>VLOOKUP($AM509,PATRIMONIALE!$AV561:AX$1003,3,FALSE)</f>
        <v>#N/A</v>
      </c>
      <c r="AP509" s="310" t="e">
        <f>VLOOKUP($AM509,PATRIMONIALE!$AV561:AY$1003,4,FALSE)</f>
        <v>#N/A</v>
      </c>
      <c r="AQ509" s="748" t="e">
        <f>VLOOKUP($AM509,PATRIMONIALE!$AV561:AZ$1003,5,FALSE)</f>
        <v>#N/A</v>
      </c>
      <c r="AR509" s="1"/>
      <c r="AS509" s="461" t="str">
        <f t="shared" si="90"/>
        <v/>
      </c>
      <c r="AT509" s="370"/>
    </row>
    <row r="510" spans="1:46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435">
        <f>IF(AND(W510&gt;=$U$1,W510&lt;=$U$2),IF(X510='ESTRATTO CONTO'!$E$2,1+COUNTIF(U$4:U509,"&gt;0"),0),0)</f>
        <v>0</v>
      </c>
      <c r="V510" s="417">
        <f t="shared" si="91"/>
        <v>507</v>
      </c>
      <c r="W510" s="509"/>
      <c r="X510" s="321"/>
      <c r="Y510" s="321"/>
      <c r="Z510" s="433"/>
      <c r="AA510" s="356"/>
      <c r="AB510" s="306" t="str">
        <f t="shared" si="86"/>
        <v/>
      </c>
      <c r="AC510" s="893">
        <f t="shared" si="87"/>
        <v>0</v>
      </c>
      <c r="AD510" s="322"/>
      <c r="AE510" s="1"/>
      <c r="AF510" s="223">
        <f>IF(ISBLANK(AD510),0,COUNTIF(AF$4:AF509,"&gt;0")+1)</f>
        <v>0</v>
      </c>
      <c r="AG510" s="164">
        <f t="shared" si="93"/>
        <v>0</v>
      </c>
      <c r="AH510" s="99">
        <f t="shared" si="88"/>
        <v>0</v>
      </c>
      <c r="AI510" s="99">
        <f t="shared" si="94"/>
        <v>0</v>
      </c>
      <c r="AJ510" s="170">
        <f t="shared" si="95"/>
        <v>0</v>
      </c>
      <c r="AK510" s="204">
        <f t="shared" si="89"/>
        <v>0</v>
      </c>
      <c r="AL510" s="1049">
        <f>IF(ISERROR(AO510),0,IF(AND(AN510&gt;=$U$1,AN510&lt;=$U$2),IF(AO510='ESTRATTO CONTO'!$E$2,1+COUNTIF(AL$4:AL509,"&gt;0")+U$1009,0),0))</f>
        <v>0</v>
      </c>
      <c r="AM510" s="747">
        <f t="shared" si="92"/>
        <v>507</v>
      </c>
      <c r="AN510" s="164" t="e">
        <f>VLOOKUP($AM510,PATRIMONIALE!$AV562:AW$1003,2,FALSE)</f>
        <v>#N/A</v>
      </c>
      <c r="AO510" s="310" t="e">
        <f>VLOOKUP($AM510,PATRIMONIALE!$AV562:AX$1003,3,FALSE)</f>
        <v>#N/A</v>
      </c>
      <c r="AP510" s="310" t="e">
        <f>VLOOKUP($AM510,PATRIMONIALE!$AV562:AY$1003,4,FALSE)</f>
        <v>#N/A</v>
      </c>
      <c r="AQ510" s="748" t="e">
        <f>VLOOKUP($AM510,PATRIMONIALE!$AV562:AZ$1003,5,FALSE)</f>
        <v>#N/A</v>
      </c>
      <c r="AR510" s="1"/>
      <c r="AS510" s="461" t="str">
        <f t="shared" si="90"/>
        <v/>
      </c>
      <c r="AT510" s="370"/>
    </row>
    <row r="511" spans="1:46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435">
        <f>IF(AND(W511&gt;=$U$1,W511&lt;=$U$2),IF(X511='ESTRATTO CONTO'!$E$2,1+COUNTIF(U$4:U510,"&gt;0"),0),0)</f>
        <v>0</v>
      </c>
      <c r="V511" s="417">
        <f t="shared" si="91"/>
        <v>508</v>
      </c>
      <c r="W511" s="509"/>
      <c r="X511" s="321"/>
      <c r="Y511" s="321"/>
      <c r="Z511" s="433"/>
      <c r="AA511" s="356"/>
      <c r="AB511" s="306" t="str">
        <f t="shared" si="86"/>
        <v/>
      </c>
      <c r="AC511" s="893">
        <f t="shared" si="87"/>
        <v>0</v>
      </c>
      <c r="AD511" s="322"/>
      <c r="AE511" s="1"/>
      <c r="AF511" s="223">
        <f>IF(ISBLANK(AD511),0,COUNTIF(AF$4:AF510,"&gt;0")+1)</f>
        <v>0</v>
      </c>
      <c r="AG511" s="164">
        <f t="shared" si="93"/>
        <v>0</v>
      </c>
      <c r="AH511" s="99">
        <f t="shared" si="88"/>
        <v>0</v>
      </c>
      <c r="AI511" s="99">
        <f t="shared" si="94"/>
        <v>0</v>
      </c>
      <c r="AJ511" s="170">
        <f t="shared" si="95"/>
        <v>0</v>
      </c>
      <c r="AK511" s="204">
        <f t="shared" si="89"/>
        <v>0</v>
      </c>
      <c r="AL511" s="1049">
        <f>IF(ISERROR(AO511),0,IF(AND(AN511&gt;=$U$1,AN511&lt;=$U$2),IF(AO511='ESTRATTO CONTO'!$E$2,1+COUNTIF(AL$4:AL510,"&gt;0")+U$1009,0),0))</f>
        <v>0</v>
      </c>
      <c r="AM511" s="747">
        <f t="shared" si="92"/>
        <v>508</v>
      </c>
      <c r="AN511" s="164" t="e">
        <f>VLOOKUP($AM511,PATRIMONIALE!$AV563:AW$1003,2,FALSE)</f>
        <v>#N/A</v>
      </c>
      <c r="AO511" s="310" t="e">
        <f>VLOOKUP($AM511,PATRIMONIALE!$AV563:AX$1003,3,FALSE)</f>
        <v>#N/A</v>
      </c>
      <c r="AP511" s="310" t="e">
        <f>VLOOKUP($AM511,PATRIMONIALE!$AV563:AY$1003,4,FALSE)</f>
        <v>#N/A</v>
      </c>
      <c r="AQ511" s="748" t="e">
        <f>VLOOKUP($AM511,PATRIMONIALE!$AV563:AZ$1003,5,FALSE)</f>
        <v>#N/A</v>
      </c>
      <c r="AR511" s="1"/>
      <c r="AS511" s="461" t="str">
        <f t="shared" si="90"/>
        <v/>
      </c>
      <c r="AT511" s="370"/>
    </row>
    <row r="512" spans="1:46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435">
        <f>IF(AND(W512&gt;=$U$1,W512&lt;=$U$2),IF(X512='ESTRATTO CONTO'!$E$2,1+COUNTIF(U$4:U511,"&gt;0"),0),0)</f>
        <v>0</v>
      </c>
      <c r="V512" s="417">
        <f t="shared" si="91"/>
        <v>509</v>
      </c>
      <c r="W512" s="509"/>
      <c r="X512" s="321"/>
      <c r="Y512" s="321"/>
      <c r="Z512" s="433"/>
      <c r="AA512" s="356"/>
      <c r="AB512" s="306" t="str">
        <f t="shared" si="86"/>
        <v/>
      </c>
      <c r="AC512" s="893">
        <f t="shared" si="87"/>
        <v>0</v>
      </c>
      <c r="AD512" s="322"/>
      <c r="AE512" s="1"/>
      <c r="AF512" s="223">
        <f>IF(ISBLANK(AD512),0,COUNTIF(AF$4:AF511,"&gt;0")+1)</f>
        <v>0</v>
      </c>
      <c r="AG512" s="164">
        <f t="shared" si="93"/>
        <v>0</v>
      </c>
      <c r="AH512" s="99">
        <f t="shared" si="88"/>
        <v>0</v>
      </c>
      <c r="AI512" s="99">
        <f t="shared" si="94"/>
        <v>0</v>
      </c>
      <c r="AJ512" s="170">
        <f t="shared" si="95"/>
        <v>0</v>
      </c>
      <c r="AK512" s="204">
        <f t="shared" si="89"/>
        <v>0</v>
      </c>
      <c r="AL512" s="1049">
        <f>IF(ISERROR(AO512),0,IF(AND(AN512&gt;=$U$1,AN512&lt;=$U$2),IF(AO512='ESTRATTO CONTO'!$E$2,1+COUNTIF(AL$4:AL511,"&gt;0")+U$1009,0),0))</f>
        <v>0</v>
      </c>
      <c r="AM512" s="747">
        <f t="shared" si="92"/>
        <v>509</v>
      </c>
      <c r="AN512" s="164" t="e">
        <f>VLOOKUP($AM512,PATRIMONIALE!$AV564:AW$1003,2,FALSE)</f>
        <v>#N/A</v>
      </c>
      <c r="AO512" s="310" t="e">
        <f>VLOOKUP($AM512,PATRIMONIALE!$AV564:AX$1003,3,FALSE)</f>
        <v>#N/A</v>
      </c>
      <c r="AP512" s="310" t="e">
        <f>VLOOKUP($AM512,PATRIMONIALE!$AV564:AY$1003,4,FALSE)</f>
        <v>#N/A</v>
      </c>
      <c r="AQ512" s="748" t="e">
        <f>VLOOKUP($AM512,PATRIMONIALE!$AV564:AZ$1003,5,FALSE)</f>
        <v>#N/A</v>
      </c>
      <c r="AR512" s="1"/>
      <c r="AS512" s="461" t="str">
        <f t="shared" si="90"/>
        <v/>
      </c>
      <c r="AT512" s="370"/>
    </row>
    <row r="513" spans="1:46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435">
        <f>IF(AND(W513&gt;=$U$1,W513&lt;=$U$2),IF(X513='ESTRATTO CONTO'!$E$2,1+COUNTIF(U$4:U512,"&gt;0"),0),0)</f>
        <v>0</v>
      </c>
      <c r="V513" s="417">
        <f t="shared" si="91"/>
        <v>510</v>
      </c>
      <c r="W513" s="509"/>
      <c r="X513" s="321"/>
      <c r="Y513" s="321"/>
      <c r="Z513" s="433"/>
      <c r="AA513" s="356"/>
      <c r="AB513" s="306" t="str">
        <f t="shared" si="86"/>
        <v/>
      </c>
      <c r="AC513" s="893">
        <f t="shared" si="87"/>
        <v>0</v>
      </c>
      <c r="AD513" s="322"/>
      <c r="AE513" s="1"/>
      <c r="AF513" s="223">
        <f>IF(ISBLANK(AD513),0,COUNTIF(AF$4:AF512,"&gt;0")+1)</f>
        <v>0</v>
      </c>
      <c r="AG513" s="164">
        <f t="shared" si="93"/>
        <v>0</v>
      </c>
      <c r="AH513" s="99">
        <f t="shared" si="88"/>
        <v>0</v>
      </c>
      <c r="AI513" s="99">
        <f t="shared" si="94"/>
        <v>0</v>
      </c>
      <c r="AJ513" s="170">
        <f t="shared" si="95"/>
        <v>0</v>
      </c>
      <c r="AK513" s="204">
        <f t="shared" si="89"/>
        <v>0</v>
      </c>
      <c r="AL513" s="1049">
        <f>IF(ISERROR(AO513),0,IF(AND(AN513&gt;=$U$1,AN513&lt;=$U$2),IF(AO513='ESTRATTO CONTO'!$E$2,1+COUNTIF(AL$4:AL512,"&gt;0")+U$1009,0),0))</f>
        <v>0</v>
      </c>
      <c r="AM513" s="747">
        <f t="shared" si="92"/>
        <v>510</v>
      </c>
      <c r="AN513" s="164" t="e">
        <f>VLOOKUP($AM513,PATRIMONIALE!$AV565:AW$1003,2,FALSE)</f>
        <v>#N/A</v>
      </c>
      <c r="AO513" s="310" t="e">
        <f>VLOOKUP($AM513,PATRIMONIALE!$AV565:AX$1003,3,FALSE)</f>
        <v>#N/A</v>
      </c>
      <c r="AP513" s="310" t="e">
        <f>VLOOKUP($AM513,PATRIMONIALE!$AV565:AY$1003,4,FALSE)</f>
        <v>#N/A</v>
      </c>
      <c r="AQ513" s="748" t="e">
        <f>VLOOKUP($AM513,PATRIMONIALE!$AV565:AZ$1003,5,FALSE)</f>
        <v>#N/A</v>
      </c>
      <c r="AR513" s="1"/>
      <c r="AS513" s="461" t="str">
        <f t="shared" si="90"/>
        <v/>
      </c>
      <c r="AT513" s="370"/>
    </row>
    <row r="514" spans="1:46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435">
        <f>IF(AND(W514&gt;=$U$1,W514&lt;=$U$2),IF(X514='ESTRATTO CONTO'!$E$2,1+COUNTIF(U$4:U513,"&gt;0"),0),0)</f>
        <v>0</v>
      </c>
      <c r="V514" s="417">
        <f t="shared" si="91"/>
        <v>511</v>
      </c>
      <c r="W514" s="509"/>
      <c r="X514" s="321"/>
      <c r="Y514" s="321"/>
      <c r="Z514" s="433"/>
      <c r="AA514" s="356"/>
      <c r="AB514" s="306" t="str">
        <f t="shared" si="86"/>
        <v/>
      </c>
      <c r="AC514" s="893">
        <f t="shared" si="87"/>
        <v>0</v>
      </c>
      <c r="AD514" s="322"/>
      <c r="AE514" s="1"/>
      <c r="AF514" s="223">
        <f>IF(ISBLANK(AD514),0,COUNTIF(AF$4:AF513,"&gt;0")+1)</f>
        <v>0</v>
      </c>
      <c r="AG514" s="164">
        <f t="shared" si="93"/>
        <v>0</v>
      </c>
      <c r="AH514" s="99">
        <f t="shared" si="88"/>
        <v>0</v>
      </c>
      <c r="AI514" s="99">
        <f t="shared" si="94"/>
        <v>0</v>
      </c>
      <c r="AJ514" s="170">
        <f t="shared" si="95"/>
        <v>0</v>
      </c>
      <c r="AK514" s="204">
        <f t="shared" si="89"/>
        <v>0</v>
      </c>
      <c r="AL514" s="1049">
        <f>IF(ISERROR(AO514),0,IF(AND(AN514&gt;=$U$1,AN514&lt;=$U$2),IF(AO514='ESTRATTO CONTO'!$E$2,1+COUNTIF(AL$4:AL513,"&gt;0")+U$1009,0),0))</f>
        <v>0</v>
      </c>
      <c r="AM514" s="747">
        <f t="shared" si="92"/>
        <v>511</v>
      </c>
      <c r="AN514" s="164" t="e">
        <f>VLOOKUP($AM514,PATRIMONIALE!$AV566:AW$1003,2,FALSE)</f>
        <v>#N/A</v>
      </c>
      <c r="AO514" s="310" t="e">
        <f>VLOOKUP($AM514,PATRIMONIALE!$AV566:AX$1003,3,FALSE)</f>
        <v>#N/A</v>
      </c>
      <c r="AP514" s="310" t="e">
        <f>VLOOKUP($AM514,PATRIMONIALE!$AV566:AY$1003,4,FALSE)</f>
        <v>#N/A</v>
      </c>
      <c r="AQ514" s="748" t="e">
        <f>VLOOKUP($AM514,PATRIMONIALE!$AV566:AZ$1003,5,FALSE)</f>
        <v>#N/A</v>
      </c>
      <c r="AR514" s="1"/>
      <c r="AS514" s="461" t="str">
        <f t="shared" si="90"/>
        <v/>
      </c>
      <c r="AT514" s="370"/>
    </row>
    <row r="515" spans="1:46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435">
        <f>IF(AND(W515&gt;=$U$1,W515&lt;=$U$2),IF(X515='ESTRATTO CONTO'!$E$2,1+COUNTIF(U$4:U514,"&gt;0"),0),0)</f>
        <v>0</v>
      </c>
      <c r="V515" s="417">
        <f t="shared" si="91"/>
        <v>512</v>
      </c>
      <c r="W515" s="509"/>
      <c r="X515" s="321"/>
      <c r="Y515" s="321"/>
      <c r="Z515" s="433"/>
      <c r="AA515" s="356"/>
      <c r="AB515" s="306" t="str">
        <f t="shared" si="86"/>
        <v/>
      </c>
      <c r="AC515" s="893">
        <f t="shared" si="87"/>
        <v>0</v>
      </c>
      <c r="AD515" s="322"/>
      <c r="AE515" s="1"/>
      <c r="AF515" s="223">
        <f>IF(ISBLANK(AD515),0,COUNTIF(AF$4:AF514,"&gt;0")+1)</f>
        <v>0</v>
      </c>
      <c r="AG515" s="164">
        <f t="shared" si="93"/>
        <v>0</v>
      </c>
      <c r="AH515" s="99">
        <f t="shared" si="88"/>
        <v>0</v>
      </c>
      <c r="AI515" s="99">
        <f t="shared" si="94"/>
        <v>0</v>
      </c>
      <c r="AJ515" s="170">
        <f t="shared" si="95"/>
        <v>0</v>
      </c>
      <c r="AK515" s="204">
        <f t="shared" si="89"/>
        <v>0</v>
      </c>
      <c r="AL515" s="1049">
        <f>IF(ISERROR(AO515),0,IF(AND(AN515&gt;=$U$1,AN515&lt;=$U$2),IF(AO515='ESTRATTO CONTO'!$E$2,1+COUNTIF(AL$4:AL514,"&gt;0")+U$1009,0),0))</f>
        <v>0</v>
      </c>
      <c r="AM515" s="747">
        <f t="shared" si="92"/>
        <v>512</v>
      </c>
      <c r="AN515" s="164" t="e">
        <f>VLOOKUP($AM515,PATRIMONIALE!$AV567:AW$1003,2,FALSE)</f>
        <v>#N/A</v>
      </c>
      <c r="AO515" s="310" t="e">
        <f>VLOOKUP($AM515,PATRIMONIALE!$AV567:AX$1003,3,FALSE)</f>
        <v>#N/A</v>
      </c>
      <c r="AP515" s="310" t="e">
        <f>VLOOKUP($AM515,PATRIMONIALE!$AV567:AY$1003,4,FALSE)</f>
        <v>#N/A</v>
      </c>
      <c r="AQ515" s="748" t="e">
        <f>VLOOKUP($AM515,PATRIMONIALE!$AV567:AZ$1003,5,FALSE)</f>
        <v>#N/A</v>
      </c>
      <c r="AR515" s="1"/>
      <c r="AS515" s="461" t="str">
        <f t="shared" si="90"/>
        <v/>
      </c>
      <c r="AT515" s="370"/>
    </row>
    <row r="516" spans="1:46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435">
        <f>IF(AND(W516&gt;=$U$1,W516&lt;=$U$2),IF(X516='ESTRATTO CONTO'!$E$2,1+COUNTIF(U$4:U515,"&gt;0"),0),0)</f>
        <v>0</v>
      </c>
      <c r="V516" s="417">
        <f t="shared" si="91"/>
        <v>513</v>
      </c>
      <c r="W516" s="509"/>
      <c r="X516" s="321"/>
      <c r="Y516" s="321"/>
      <c r="Z516" s="433"/>
      <c r="AA516" s="356"/>
      <c r="AB516" s="306" t="str">
        <f t="shared" ref="AB516:AB579" si="96">IF(X516="","",IF(W516&gt;0,IF(AND(W516&gt;=W$1012,W516&lt;=W$1013),CONCATENATE(X516,"-",MONTH(W516)),0),""))</f>
        <v/>
      </c>
      <c r="AC516" s="893">
        <f t="shared" ref="AC516:AC579" si="97">IF(AD516="",0,VLOOKUP(AD516,$AD$1025:$AD$1038,1,FALSE))</f>
        <v>0</v>
      </c>
      <c r="AD516" s="322"/>
      <c r="AE516" s="1"/>
      <c r="AF516" s="223">
        <f>IF(ISBLANK(AD516),0,COUNTIF(AF$4:AF515,"&gt;0")+1)</f>
        <v>0</v>
      </c>
      <c r="AG516" s="164">
        <f t="shared" si="93"/>
        <v>0</v>
      </c>
      <c r="AH516" s="99">
        <f t="shared" ref="AH516:AH579" si="98">IF($AF516=0,0,VLOOKUP(AD516,$AD$1025:$AH$1038,5,FALSE))</f>
        <v>0</v>
      </c>
      <c r="AI516" s="99">
        <f t="shared" si="94"/>
        <v>0</v>
      </c>
      <c r="AJ516" s="170">
        <f t="shared" si="95"/>
        <v>0</v>
      </c>
      <c r="AK516" s="204">
        <f t="shared" ref="AK516:AK579" si="99">X516</f>
        <v>0</v>
      </c>
      <c r="AL516" s="1049">
        <f>IF(ISERROR(AO516),0,IF(AND(AN516&gt;=$U$1,AN516&lt;=$U$2),IF(AO516='ESTRATTO CONTO'!$E$2,1+COUNTIF(AL$4:AL515,"&gt;0")+U$1009,0),0))</f>
        <v>0</v>
      </c>
      <c r="AM516" s="747">
        <f t="shared" si="92"/>
        <v>513</v>
      </c>
      <c r="AN516" s="164" t="e">
        <f>VLOOKUP($AM516,PATRIMONIALE!$AV568:AW$1003,2,FALSE)</f>
        <v>#N/A</v>
      </c>
      <c r="AO516" s="310" t="e">
        <f>VLOOKUP($AM516,PATRIMONIALE!$AV568:AX$1003,3,FALSE)</f>
        <v>#N/A</v>
      </c>
      <c r="AP516" s="310" t="e">
        <f>VLOOKUP($AM516,PATRIMONIALE!$AV568:AY$1003,4,FALSE)</f>
        <v>#N/A</v>
      </c>
      <c r="AQ516" s="748" t="e">
        <f>VLOOKUP($AM516,PATRIMONIALE!$AV568:AZ$1003,5,FALSE)</f>
        <v>#N/A</v>
      </c>
      <c r="AR516" s="1"/>
      <c r="AS516" s="461" t="str">
        <f t="shared" ref="AS516:AS579" si="100">IF(X516="","",IF(ISERROR(VLOOKUP(X516,B$9:E$13,1,FALSE)),1,0))</f>
        <v/>
      </c>
      <c r="AT516" s="370"/>
    </row>
    <row r="517" spans="1:46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435">
        <f>IF(AND(W517&gt;=$U$1,W517&lt;=$U$2),IF(X517='ESTRATTO CONTO'!$E$2,1+COUNTIF(U$4:U516,"&gt;0"),0),0)</f>
        <v>0</v>
      </c>
      <c r="V517" s="417">
        <f t="shared" si="91"/>
        <v>514</v>
      </c>
      <c r="W517" s="509"/>
      <c r="X517" s="321"/>
      <c r="Y517" s="321"/>
      <c r="Z517" s="433"/>
      <c r="AA517" s="356"/>
      <c r="AB517" s="306" t="str">
        <f t="shared" si="96"/>
        <v/>
      </c>
      <c r="AC517" s="893">
        <f t="shared" si="97"/>
        <v>0</v>
      </c>
      <c r="AD517" s="322"/>
      <c r="AE517" s="1"/>
      <c r="AF517" s="223">
        <f>IF(ISBLANK(AD517),0,COUNTIF(AF$4:AF516,"&gt;0")+1)</f>
        <v>0</v>
      </c>
      <c r="AG517" s="164">
        <f t="shared" si="93"/>
        <v>0</v>
      </c>
      <c r="AH517" s="99">
        <f t="shared" si="98"/>
        <v>0</v>
      </c>
      <c r="AI517" s="99">
        <f t="shared" si="94"/>
        <v>0</v>
      </c>
      <c r="AJ517" s="170">
        <f t="shared" si="95"/>
        <v>0</v>
      </c>
      <c r="AK517" s="204">
        <f t="shared" si="99"/>
        <v>0</v>
      </c>
      <c r="AL517" s="1049">
        <f>IF(ISERROR(AO517),0,IF(AND(AN517&gt;=$U$1,AN517&lt;=$U$2),IF(AO517='ESTRATTO CONTO'!$E$2,1+COUNTIF(AL$4:AL516,"&gt;0")+U$1009,0),0))</f>
        <v>0</v>
      </c>
      <c r="AM517" s="747">
        <f t="shared" si="92"/>
        <v>514</v>
      </c>
      <c r="AN517" s="164" t="e">
        <f>VLOOKUP($AM517,PATRIMONIALE!$AV569:AW$1003,2,FALSE)</f>
        <v>#N/A</v>
      </c>
      <c r="AO517" s="310" t="e">
        <f>VLOOKUP($AM517,PATRIMONIALE!$AV569:AX$1003,3,FALSE)</f>
        <v>#N/A</v>
      </c>
      <c r="AP517" s="310" t="e">
        <f>VLOOKUP($AM517,PATRIMONIALE!$AV569:AY$1003,4,FALSE)</f>
        <v>#N/A</v>
      </c>
      <c r="AQ517" s="748" t="e">
        <f>VLOOKUP($AM517,PATRIMONIALE!$AV569:AZ$1003,5,FALSE)</f>
        <v>#N/A</v>
      </c>
      <c r="AR517" s="1"/>
      <c r="AS517" s="461" t="str">
        <f t="shared" si="100"/>
        <v/>
      </c>
      <c r="AT517" s="370"/>
    </row>
    <row r="518" spans="1:46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435">
        <f>IF(AND(W518&gt;=$U$1,W518&lt;=$U$2),IF(X518='ESTRATTO CONTO'!$E$2,1+COUNTIF(U$4:U517,"&gt;0"),0),0)</f>
        <v>0</v>
      </c>
      <c r="V518" s="417">
        <f t="shared" ref="V518:V581" si="101">V517+1</f>
        <v>515</v>
      </c>
      <c r="W518" s="509"/>
      <c r="X518" s="321"/>
      <c r="Y518" s="321"/>
      <c r="Z518" s="433"/>
      <c r="AA518" s="356"/>
      <c r="AB518" s="306" t="str">
        <f t="shared" si="96"/>
        <v/>
      </c>
      <c r="AC518" s="893">
        <f t="shared" si="97"/>
        <v>0</v>
      </c>
      <c r="AD518" s="322"/>
      <c r="AE518" s="1"/>
      <c r="AF518" s="223">
        <f>IF(ISBLANK(AD518),0,COUNTIF(AF$4:AF517,"&gt;0")+1)</f>
        <v>0</v>
      </c>
      <c r="AG518" s="164">
        <f t="shared" si="93"/>
        <v>0</v>
      </c>
      <c r="AH518" s="99">
        <f t="shared" si="98"/>
        <v>0</v>
      </c>
      <c r="AI518" s="99">
        <f t="shared" si="94"/>
        <v>0</v>
      </c>
      <c r="AJ518" s="170">
        <f t="shared" si="95"/>
        <v>0</v>
      </c>
      <c r="AK518" s="204">
        <f t="shared" si="99"/>
        <v>0</v>
      </c>
      <c r="AL518" s="1049">
        <f>IF(ISERROR(AO518),0,IF(AND(AN518&gt;=$U$1,AN518&lt;=$U$2),IF(AO518='ESTRATTO CONTO'!$E$2,1+COUNTIF(AL$4:AL517,"&gt;0")+U$1009,0),0))</f>
        <v>0</v>
      </c>
      <c r="AM518" s="747">
        <f t="shared" ref="AM518:AM581" si="102">AM517+1</f>
        <v>515</v>
      </c>
      <c r="AN518" s="164" t="e">
        <f>VLOOKUP($AM518,PATRIMONIALE!$AV570:AW$1003,2,FALSE)</f>
        <v>#N/A</v>
      </c>
      <c r="AO518" s="310" t="e">
        <f>VLOOKUP($AM518,PATRIMONIALE!$AV570:AX$1003,3,FALSE)</f>
        <v>#N/A</v>
      </c>
      <c r="AP518" s="310" t="e">
        <f>VLOOKUP($AM518,PATRIMONIALE!$AV570:AY$1003,4,FALSE)</f>
        <v>#N/A</v>
      </c>
      <c r="AQ518" s="748" t="e">
        <f>VLOOKUP($AM518,PATRIMONIALE!$AV570:AZ$1003,5,FALSE)</f>
        <v>#N/A</v>
      </c>
      <c r="AR518" s="1"/>
      <c r="AS518" s="461" t="str">
        <f t="shared" si="100"/>
        <v/>
      </c>
      <c r="AT518" s="370"/>
    </row>
    <row r="519" spans="1:46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435">
        <f>IF(AND(W519&gt;=$U$1,W519&lt;=$U$2),IF(X519='ESTRATTO CONTO'!$E$2,1+COUNTIF(U$4:U518,"&gt;0"),0),0)</f>
        <v>0</v>
      </c>
      <c r="V519" s="417">
        <f t="shared" si="101"/>
        <v>516</v>
      </c>
      <c r="W519" s="509"/>
      <c r="X519" s="321"/>
      <c r="Y519" s="321"/>
      <c r="Z519" s="433"/>
      <c r="AA519" s="356"/>
      <c r="AB519" s="306" t="str">
        <f t="shared" si="96"/>
        <v/>
      </c>
      <c r="AC519" s="893">
        <f t="shared" si="97"/>
        <v>0</v>
      </c>
      <c r="AD519" s="322"/>
      <c r="AE519" s="1"/>
      <c r="AF519" s="223">
        <f>IF(ISBLANK(AD519),0,COUNTIF(AF$4:AF518,"&gt;0")+1)</f>
        <v>0</v>
      </c>
      <c r="AG519" s="164">
        <f t="shared" si="93"/>
        <v>0</v>
      </c>
      <c r="AH519" s="99">
        <f t="shared" si="98"/>
        <v>0</v>
      </c>
      <c r="AI519" s="99">
        <f t="shared" si="94"/>
        <v>0</v>
      </c>
      <c r="AJ519" s="170">
        <f t="shared" si="95"/>
        <v>0</v>
      </c>
      <c r="AK519" s="204">
        <f t="shared" si="99"/>
        <v>0</v>
      </c>
      <c r="AL519" s="1049">
        <f>IF(ISERROR(AO519),0,IF(AND(AN519&gt;=$U$1,AN519&lt;=$U$2),IF(AO519='ESTRATTO CONTO'!$E$2,1+COUNTIF(AL$4:AL518,"&gt;0")+U$1009,0),0))</f>
        <v>0</v>
      </c>
      <c r="AM519" s="747">
        <f t="shared" si="102"/>
        <v>516</v>
      </c>
      <c r="AN519" s="164" t="e">
        <f>VLOOKUP($AM519,PATRIMONIALE!$AV571:AW$1003,2,FALSE)</f>
        <v>#N/A</v>
      </c>
      <c r="AO519" s="310" t="e">
        <f>VLOOKUP($AM519,PATRIMONIALE!$AV571:AX$1003,3,FALSE)</f>
        <v>#N/A</v>
      </c>
      <c r="AP519" s="310" t="e">
        <f>VLOOKUP($AM519,PATRIMONIALE!$AV571:AY$1003,4,FALSE)</f>
        <v>#N/A</v>
      </c>
      <c r="AQ519" s="748" t="e">
        <f>VLOOKUP($AM519,PATRIMONIALE!$AV571:AZ$1003,5,FALSE)</f>
        <v>#N/A</v>
      </c>
      <c r="AR519" s="1"/>
      <c r="AS519" s="461" t="str">
        <f t="shared" si="100"/>
        <v/>
      </c>
      <c r="AT519" s="370"/>
    </row>
    <row r="520" spans="1:46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435">
        <f>IF(AND(W520&gt;=$U$1,W520&lt;=$U$2),IF(X520='ESTRATTO CONTO'!$E$2,1+COUNTIF(U$4:U519,"&gt;0"),0),0)</f>
        <v>0</v>
      </c>
      <c r="V520" s="417">
        <f t="shared" si="101"/>
        <v>517</v>
      </c>
      <c r="W520" s="509"/>
      <c r="X520" s="321"/>
      <c r="Y520" s="321"/>
      <c r="Z520" s="433"/>
      <c r="AA520" s="356"/>
      <c r="AB520" s="306" t="str">
        <f t="shared" si="96"/>
        <v/>
      </c>
      <c r="AC520" s="893">
        <f t="shared" si="97"/>
        <v>0</v>
      </c>
      <c r="AD520" s="322"/>
      <c r="AE520" s="1"/>
      <c r="AF520" s="223">
        <f>IF(ISBLANK(AD520),0,COUNTIF(AF$4:AF519,"&gt;0")+1)</f>
        <v>0</v>
      </c>
      <c r="AG520" s="164">
        <f t="shared" si="93"/>
        <v>0</v>
      </c>
      <c r="AH520" s="99">
        <f t="shared" si="98"/>
        <v>0</v>
      </c>
      <c r="AI520" s="99">
        <f t="shared" si="94"/>
        <v>0</v>
      </c>
      <c r="AJ520" s="170">
        <f t="shared" si="95"/>
        <v>0</v>
      </c>
      <c r="AK520" s="204">
        <f t="shared" si="99"/>
        <v>0</v>
      </c>
      <c r="AL520" s="1049">
        <f>IF(ISERROR(AO520),0,IF(AND(AN520&gt;=$U$1,AN520&lt;=$U$2),IF(AO520='ESTRATTO CONTO'!$E$2,1+COUNTIF(AL$4:AL519,"&gt;0")+U$1009,0),0))</f>
        <v>0</v>
      </c>
      <c r="AM520" s="747">
        <f t="shared" si="102"/>
        <v>517</v>
      </c>
      <c r="AN520" s="164" t="e">
        <f>VLOOKUP($AM520,PATRIMONIALE!$AV572:AW$1003,2,FALSE)</f>
        <v>#N/A</v>
      </c>
      <c r="AO520" s="310" t="e">
        <f>VLOOKUP($AM520,PATRIMONIALE!$AV572:AX$1003,3,FALSE)</f>
        <v>#N/A</v>
      </c>
      <c r="AP520" s="310" t="e">
        <f>VLOOKUP($AM520,PATRIMONIALE!$AV572:AY$1003,4,FALSE)</f>
        <v>#N/A</v>
      </c>
      <c r="AQ520" s="748" t="e">
        <f>VLOOKUP($AM520,PATRIMONIALE!$AV572:AZ$1003,5,FALSE)</f>
        <v>#N/A</v>
      </c>
      <c r="AR520" s="1"/>
      <c r="AS520" s="461" t="str">
        <f t="shared" si="100"/>
        <v/>
      </c>
      <c r="AT520" s="370"/>
    </row>
    <row r="521" spans="1:46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435">
        <f>IF(AND(W521&gt;=$U$1,W521&lt;=$U$2),IF(X521='ESTRATTO CONTO'!$E$2,1+COUNTIF(U$4:U520,"&gt;0"),0),0)</f>
        <v>0</v>
      </c>
      <c r="V521" s="417">
        <f t="shared" si="101"/>
        <v>518</v>
      </c>
      <c r="W521" s="509"/>
      <c r="X521" s="321"/>
      <c r="Y521" s="321"/>
      <c r="Z521" s="433"/>
      <c r="AA521" s="356"/>
      <c r="AB521" s="306" t="str">
        <f t="shared" si="96"/>
        <v/>
      </c>
      <c r="AC521" s="893">
        <f t="shared" si="97"/>
        <v>0</v>
      </c>
      <c r="AD521" s="322"/>
      <c r="AE521" s="1"/>
      <c r="AF521" s="223">
        <f>IF(ISBLANK(AD521),0,COUNTIF(AF$4:AF520,"&gt;0")+1)</f>
        <v>0</v>
      </c>
      <c r="AG521" s="164">
        <f t="shared" si="93"/>
        <v>0</v>
      </c>
      <c r="AH521" s="99">
        <f t="shared" si="98"/>
        <v>0</v>
      </c>
      <c r="AI521" s="99">
        <f t="shared" si="94"/>
        <v>0</v>
      </c>
      <c r="AJ521" s="170">
        <f t="shared" si="95"/>
        <v>0</v>
      </c>
      <c r="AK521" s="204">
        <f t="shared" si="99"/>
        <v>0</v>
      </c>
      <c r="AL521" s="1049">
        <f>IF(ISERROR(AO521),0,IF(AND(AN521&gt;=$U$1,AN521&lt;=$U$2),IF(AO521='ESTRATTO CONTO'!$E$2,1+COUNTIF(AL$4:AL520,"&gt;0")+U$1009,0),0))</f>
        <v>0</v>
      </c>
      <c r="AM521" s="747">
        <f t="shared" si="102"/>
        <v>518</v>
      </c>
      <c r="AN521" s="164" t="e">
        <f>VLOOKUP($AM521,PATRIMONIALE!$AV573:AW$1003,2,FALSE)</f>
        <v>#N/A</v>
      </c>
      <c r="AO521" s="310" t="e">
        <f>VLOOKUP($AM521,PATRIMONIALE!$AV573:AX$1003,3,FALSE)</f>
        <v>#N/A</v>
      </c>
      <c r="AP521" s="310" t="e">
        <f>VLOOKUP($AM521,PATRIMONIALE!$AV573:AY$1003,4,FALSE)</f>
        <v>#N/A</v>
      </c>
      <c r="AQ521" s="748" t="e">
        <f>VLOOKUP($AM521,PATRIMONIALE!$AV573:AZ$1003,5,FALSE)</f>
        <v>#N/A</v>
      </c>
      <c r="AR521" s="1"/>
      <c r="AS521" s="461" t="str">
        <f t="shared" si="100"/>
        <v/>
      </c>
      <c r="AT521" s="370"/>
    </row>
    <row r="522" spans="1:46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435">
        <f>IF(AND(W522&gt;=$U$1,W522&lt;=$U$2),IF(X522='ESTRATTO CONTO'!$E$2,1+COUNTIF(U$4:U521,"&gt;0"),0),0)</f>
        <v>0</v>
      </c>
      <c r="V522" s="417">
        <f t="shared" si="101"/>
        <v>519</v>
      </c>
      <c r="W522" s="509"/>
      <c r="X522" s="321"/>
      <c r="Y522" s="321"/>
      <c r="Z522" s="433"/>
      <c r="AA522" s="356"/>
      <c r="AB522" s="306" t="str">
        <f t="shared" si="96"/>
        <v/>
      </c>
      <c r="AC522" s="893">
        <f t="shared" si="97"/>
        <v>0</v>
      </c>
      <c r="AD522" s="322"/>
      <c r="AE522" s="1"/>
      <c r="AF522" s="223">
        <f>IF(ISBLANK(AD522),0,COUNTIF(AF$4:AF521,"&gt;0")+1)</f>
        <v>0</v>
      </c>
      <c r="AG522" s="164">
        <f t="shared" ref="AG522:AG585" si="103">IF($AF522=0,0,W522)</f>
        <v>0</v>
      </c>
      <c r="AH522" s="99">
        <f t="shared" si="98"/>
        <v>0</v>
      </c>
      <c r="AI522" s="99">
        <f t="shared" ref="AI522:AI585" si="104">IF($AF522=0,0,Y522)</f>
        <v>0</v>
      </c>
      <c r="AJ522" s="170">
        <f t="shared" ref="AJ522:AJ585" si="105">IF($AF522=0,0,IF(RIGHT(AD522)="-",IF(Z522&gt;0,Z522*-1,Z522),Z522))</f>
        <v>0</v>
      </c>
      <c r="AK522" s="204">
        <f t="shared" si="99"/>
        <v>0</v>
      </c>
      <c r="AL522" s="1049">
        <f>IF(ISERROR(AO522),0,IF(AND(AN522&gt;=$U$1,AN522&lt;=$U$2),IF(AO522='ESTRATTO CONTO'!$E$2,1+COUNTIF(AL$4:AL521,"&gt;0")+U$1009,0),0))</f>
        <v>0</v>
      </c>
      <c r="AM522" s="747">
        <f t="shared" si="102"/>
        <v>519</v>
      </c>
      <c r="AN522" s="164" t="e">
        <f>VLOOKUP($AM522,PATRIMONIALE!$AV574:AW$1003,2,FALSE)</f>
        <v>#N/A</v>
      </c>
      <c r="AO522" s="310" t="e">
        <f>VLOOKUP($AM522,PATRIMONIALE!$AV574:AX$1003,3,FALSE)</f>
        <v>#N/A</v>
      </c>
      <c r="AP522" s="310" t="e">
        <f>VLOOKUP($AM522,PATRIMONIALE!$AV574:AY$1003,4,FALSE)</f>
        <v>#N/A</v>
      </c>
      <c r="AQ522" s="748" t="e">
        <f>VLOOKUP($AM522,PATRIMONIALE!$AV574:AZ$1003,5,FALSE)</f>
        <v>#N/A</v>
      </c>
      <c r="AR522" s="1"/>
      <c r="AS522" s="461" t="str">
        <f t="shared" si="100"/>
        <v/>
      </c>
      <c r="AT522" s="370"/>
    </row>
    <row r="523" spans="1:46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435">
        <f>IF(AND(W523&gt;=$U$1,W523&lt;=$U$2),IF(X523='ESTRATTO CONTO'!$E$2,1+COUNTIF(U$4:U522,"&gt;0"),0),0)</f>
        <v>0</v>
      </c>
      <c r="V523" s="417">
        <f t="shared" si="101"/>
        <v>520</v>
      </c>
      <c r="W523" s="509"/>
      <c r="X523" s="321"/>
      <c r="Y523" s="321"/>
      <c r="Z523" s="433"/>
      <c r="AA523" s="356"/>
      <c r="AB523" s="306" t="str">
        <f t="shared" si="96"/>
        <v/>
      </c>
      <c r="AC523" s="893">
        <f t="shared" si="97"/>
        <v>0</v>
      </c>
      <c r="AD523" s="322"/>
      <c r="AE523" s="1"/>
      <c r="AF523" s="223">
        <f>IF(ISBLANK(AD523),0,COUNTIF(AF$4:AF522,"&gt;0")+1)</f>
        <v>0</v>
      </c>
      <c r="AG523" s="164">
        <f t="shared" si="103"/>
        <v>0</v>
      </c>
      <c r="AH523" s="99">
        <f t="shared" si="98"/>
        <v>0</v>
      </c>
      <c r="AI523" s="99">
        <f t="shared" si="104"/>
        <v>0</v>
      </c>
      <c r="AJ523" s="170">
        <f t="shared" si="105"/>
        <v>0</v>
      </c>
      <c r="AK523" s="204">
        <f t="shared" si="99"/>
        <v>0</v>
      </c>
      <c r="AL523" s="1049">
        <f>IF(ISERROR(AO523),0,IF(AND(AN523&gt;=$U$1,AN523&lt;=$U$2),IF(AO523='ESTRATTO CONTO'!$E$2,1+COUNTIF(AL$4:AL522,"&gt;0")+U$1009,0),0))</f>
        <v>0</v>
      </c>
      <c r="AM523" s="747">
        <f t="shared" si="102"/>
        <v>520</v>
      </c>
      <c r="AN523" s="164" t="e">
        <f>VLOOKUP($AM523,PATRIMONIALE!$AV575:AW$1003,2,FALSE)</f>
        <v>#N/A</v>
      </c>
      <c r="AO523" s="310" t="e">
        <f>VLOOKUP($AM523,PATRIMONIALE!$AV575:AX$1003,3,FALSE)</f>
        <v>#N/A</v>
      </c>
      <c r="AP523" s="310" t="e">
        <f>VLOOKUP($AM523,PATRIMONIALE!$AV575:AY$1003,4,FALSE)</f>
        <v>#N/A</v>
      </c>
      <c r="AQ523" s="748" t="e">
        <f>VLOOKUP($AM523,PATRIMONIALE!$AV575:AZ$1003,5,FALSE)</f>
        <v>#N/A</v>
      </c>
      <c r="AR523" s="1"/>
      <c r="AS523" s="461" t="str">
        <f t="shared" si="100"/>
        <v/>
      </c>
      <c r="AT523" s="370"/>
    </row>
    <row r="524" spans="1:46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435">
        <f>IF(AND(W524&gt;=$U$1,W524&lt;=$U$2),IF(X524='ESTRATTO CONTO'!$E$2,1+COUNTIF(U$4:U523,"&gt;0"),0),0)</f>
        <v>0</v>
      </c>
      <c r="V524" s="417">
        <f t="shared" si="101"/>
        <v>521</v>
      </c>
      <c r="W524" s="509"/>
      <c r="X524" s="321"/>
      <c r="Y524" s="321"/>
      <c r="Z524" s="433"/>
      <c r="AA524" s="356"/>
      <c r="AB524" s="306" t="str">
        <f t="shared" si="96"/>
        <v/>
      </c>
      <c r="AC524" s="893">
        <f t="shared" si="97"/>
        <v>0</v>
      </c>
      <c r="AD524" s="322"/>
      <c r="AE524" s="1"/>
      <c r="AF524" s="223">
        <f>IF(ISBLANK(AD524),0,COUNTIF(AF$4:AF523,"&gt;0")+1)</f>
        <v>0</v>
      </c>
      <c r="AG524" s="164">
        <f t="shared" si="103"/>
        <v>0</v>
      </c>
      <c r="AH524" s="99">
        <f t="shared" si="98"/>
        <v>0</v>
      </c>
      <c r="AI524" s="99">
        <f t="shared" si="104"/>
        <v>0</v>
      </c>
      <c r="AJ524" s="170">
        <f t="shared" si="105"/>
        <v>0</v>
      </c>
      <c r="AK524" s="204">
        <f t="shared" si="99"/>
        <v>0</v>
      </c>
      <c r="AL524" s="1049">
        <f>IF(ISERROR(AO524),0,IF(AND(AN524&gt;=$U$1,AN524&lt;=$U$2),IF(AO524='ESTRATTO CONTO'!$E$2,1+COUNTIF(AL$4:AL523,"&gt;0")+U$1009,0),0))</f>
        <v>0</v>
      </c>
      <c r="AM524" s="747">
        <f t="shared" si="102"/>
        <v>521</v>
      </c>
      <c r="AN524" s="164" t="e">
        <f>VLOOKUP($AM524,PATRIMONIALE!$AV576:AW$1003,2,FALSE)</f>
        <v>#N/A</v>
      </c>
      <c r="AO524" s="310" t="e">
        <f>VLOOKUP($AM524,PATRIMONIALE!$AV576:AX$1003,3,FALSE)</f>
        <v>#N/A</v>
      </c>
      <c r="AP524" s="310" t="e">
        <f>VLOOKUP($AM524,PATRIMONIALE!$AV576:AY$1003,4,FALSE)</f>
        <v>#N/A</v>
      </c>
      <c r="AQ524" s="748" t="e">
        <f>VLOOKUP($AM524,PATRIMONIALE!$AV576:AZ$1003,5,FALSE)</f>
        <v>#N/A</v>
      </c>
      <c r="AR524" s="1"/>
      <c r="AS524" s="461" t="str">
        <f t="shared" si="100"/>
        <v/>
      </c>
      <c r="AT524" s="370"/>
    </row>
    <row r="525" spans="1:46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435">
        <f>IF(AND(W525&gt;=$U$1,W525&lt;=$U$2),IF(X525='ESTRATTO CONTO'!$E$2,1+COUNTIF(U$4:U524,"&gt;0"),0),0)</f>
        <v>0</v>
      </c>
      <c r="V525" s="417">
        <f t="shared" si="101"/>
        <v>522</v>
      </c>
      <c r="W525" s="509"/>
      <c r="X525" s="321"/>
      <c r="Y525" s="321"/>
      <c r="Z525" s="433"/>
      <c r="AA525" s="356"/>
      <c r="AB525" s="306" t="str">
        <f t="shared" si="96"/>
        <v/>
      </c>
      <c r="AC525" s="893">
        <f t="shared" si="97"/>
        <v>0</v>
      </c>
      <c r="AD525" s="322"/>
      <c r="AE525" s="1"/>
      <c r="AF525" s="223">
        <f>IF(ISBLANK(AD525),0,COUNTIF(AF$4:AF524,"&gt;0")+1)</f>
        <v>0</v>
      </c>
      <c r="AG525" s="164">
        <f t="shared" si="103"/>
        <v>0</v>
      </c>
      <c r="AH525" s="99">
        <f t="shared" si="98"/>
        <v>0</v>
      </c>
      <c r="AI525" s="99">
        <f t="shared" si="104"/>
        <v>0</v>
      </c>
      <c r="AJ525" s="170">
        <f t="shared" si="105"/>
        <v>0</v>
      </c>
      <c r="AK525" s="204">
        <f t="shared" si="99"/>
        <v>0</v>
      </c>
      <c r="AL525" s="1049">
        <f>IF(ISERROR(AO525),0,IF(AND(AN525&gt;=$U$1,AN525&lt;=$U$2),IF(AO525='ESTRATTO CONTO'!$E$2,1+COUNTIF(AL$4:AL524,"&gt;0")+U$1009,0),0))</f>
        <v>0</v>
      </c>
      <c r="AM525" s="747">
        <f t="shared" si="102"/>
        <v>522</v>
      </c>
      <c r="AN525" s="164" t="e">
        <f>VLOOKUP($AM525,PATRIMONIALE!$AV577:AW$1003,2,FALSE)</f>
        <v>#N/A</v>
      </c>
      <c r="AO525" s="310" t="e">
        <f>VLOOKUP($AM525,PATRIMONIALE!$AV577:AX$1003,3,FALSE)</f>
        <v>#N/A</v>
      </c>
      <c r="AP525" s="310" t="e">
        <f>VLOOKUP($AM525,PATRIMONIALE!$AV577:AY$1003,4,FALSE)</f>
        <v>#N/A</v>
      </c>
      <c r="AQ525" s="748" t="e">
        <f>VLOOKUP($AM525,PATRIMONIALE!$AV577:AZ$1003,5,FALSE)</f>
        <v>#N/A</v>
      </c>
      <c r="AR525" s="1"/>
      <c r="AS525" s="461" t="str">
        <f t="shared" si="100"/>
        <v/>
      </c>
      <c r="AT525" s="370"/>
    </row>
    <row r="526" spans="1:46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435">
        <f>IF(AND(W526&gt;=$U$1,W526&lt;=$U$2),IF(X526='ESTRATTO CONTO'!$E$2,1+COUNTIF(U$4:U525,"&gt;0"),0),0)</f>
        <v>0</v>
      </c>
      <c r="V526" s="417">
        <f t="shared" si="101"/>
        <v>523</v>
      </c>
      <c r="W526" s="509"/>
      <c r="X526" s="321"/>
      <c r="Y526" s="321"/>
      <c r="Z526" s="433"/>
      <c r="AA526" s="356"/>
      <c r="AB526" s="306" t="str">
        <f t="shared" si="96"/>
        <v/>
      </c>
      <c r="AC526" s="893">
        <f t="shared" si="97"/>
        <v>0</v>
      </c>
      <c r="AD526" s="322"/>
      <c r="AE526" s="1"/>
      <c r="AF526" s="223">
        <f>IF(ISBLANK(AD526),0,COUNTIF(AF$4:AF525,"&gt;0")+1)</f>
        <v>0</v>
      </c>
      <c r="AG526" s="164">
        <f t="shared" si="103"/>
        <v>0</v>
      </c>
      <c r="AH526" s="99">
        <f t="shared" si="98"/>
        <v>0</v>
      </c>
      <c r="AI526" s="99">
        <f t="shared" si="104"/>
        <v>0</v>
      </c>
      <c r="AJ526" s="170">
        <f t="shared" si="105"/>
        <v>0</v>
      </c>
      <c r="AK526" s="204">
        <f t="shared" si="99"/>
        <v>0</v>
      </c>
      <c r="AL526" s="1049">
        <f>IF(ISERROR(AO526),0,IF(AND(AN526&gt;=$U$1,AN526&lt;=$U$2),IF(AO526='ESTRATTO CONTO'!$E$2,1+COUNTIF(AL$4:AL525,"&gt;0")+U$1009,0),0))</f>
        <v>0</v>
      </c>
      <c r="AM526" s="747">
        <f t="shared" si="102"/>
        <v>523</v>
      </c>
      <c r="AN526" s="164" t="e">
        <f>VLOOKUP($AM526,PATRIMONIALE!$AV578:AW$1003,2,FALSE)</f>
        <v>#N/A</v>
      </c>
      <c r="AO526" s="310" t="e">
        <f>VLOOKUP($AM526,PATRIMONIALE!$AV578:AX$1003,3,FALSE)</f>
        <v>#N/A</v>
      </c>
      <c r="AP526" s="310" t="e">
        <f>VLOOKUP($AM526,PATRIMONIALE!$AV578:AY$1003,4,FALSE)</f>
        <v>#N/A</v>
      </c>
      <c r="AQ526" s="748" t="e">
        <f>VLOOKUP($AM526,PATRIMONIALE!$AV578:AZ$1003,5,FALSE)</f>
        <v>#N/A</v>
      </c>
      <c r="AR526" s="1"/>
      <c r="AS526" s="461" t="str">
        <f t="shared" si="100"/>
        <v/>
      </c>
      <c r="AT526" s="370"/>
    </row>
    <row r="527" spans="1:46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435">
        <f>IF(AND(W527&gt;=$U$1,W527&lt;=$U$2),IF(X527='ESTRATTO CONTO'!$E$2,1+COUNTIF(U$4:U526,"&gt;0"),0),0)</f>
        <v>0</v>
      </c>
      <c r="V527" s="417">
        <f t="shared" si="101"/>
        <v>524</v>
      </c>
      <c r="W527" s="509"/>
      <c r="X527" s="321"/>
      <c r="Y527" s="321"/>
      <c r="Z527" s="433"/>
      <c r="AA527" s="356"/>
      <c r="AB527" s="306" t="str">
        <f t="shared" si="96"/>
        <v/>
      </c>
      <c r="AC527" s="893">
        <f t="shared" si="97"/>
        <v>0</v>
      </c>
      <c r="AD527" s="322"/>
      <c r="AE527" s="1"/>
      <c r="AF527" s="223">
        <f>IF(ISBLANK(AD527),0,COUNTIF(AF$4:AF526,"&gt;0")+1)</f>
        <v>0</v>
      </c>
      <c r="AG527" s="164">
        <f t="shared" si="103"/>
        <v>0</v>
      </c>
      <c r="AH527" s="99">
        <f t="shared" si="98"/>
        <v>0</v>
      </c>
      <c r="AI527" s="99">
        <f t="shared" si="104"/>
        <v>0</v>
      </c>
      <c r="AJ527" s="170">
        <f t="shared" si="105"/>
        <v>0</v>
      </c>
      <c r="AK527" s="204">
        <f t="shared" si="99"/>
        <v>0</v>
      </c>
      <c r="AL527" s="1049">
        <f>IF(ISERROR(AO527),0,IF(AND(AN527&gt;=$U$1,AN527&lt;=$U$2),IF(AO527='ESTRATTO CONTO'!$E$2,1+COUNTIF(AL$4:AL526,"&gt;0")+U$1009,0),0))</f>
        <v>0</v>
      </c>
      <c r="AM527" s="747">
        <f t="shared" si="102"/>
        <v>524</v>
      </c>
      <c r="AN527" s="164" t="e">
        <f>VLOOKUP($AM527,PATRIMONIALE!$AV579:AW$1003,2,FALSE)</f>
        <v>#N/A</v>
      </c>
      <c r="AO527" s="310" t="e">
        <f>VLOOKUP($AM527,PATRIMONIALE!$AV579:AX$1003,3,FALSE)</f>
        <v>#N/A</v>
      </c>
      <c r="AP527" s="310" t="e">
        <f>VLOOKUP($AM527,PATRIMONIALE!$AV579:AY$1003,4,FALSE)</f>
        <v>#N/A</v>
      </c>
      <c r="AQ527" s="748" t="e">
        <f>VLOOKUP($AM527,PATRIMONIALE!$AV579:AZ$1003,5,FALSE)</f>
        <v>#N/A</v>
      </c>
      <c r="AR527" s="1"/>
      <c r="AS527" s="461" t="str">
        <f t="shared" si="100"/>
        <v/>
      </c>
      <c r="AT527" s="370"/>
    </row>
    <row r="528" spans="1:46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435">
        <f>IF(AND(W528&gt;=$U$1,W528&lt;=$U$2),IF(X528='ESTRATTO CONTO'!$E$2,1+COUNTIF(U$4:U527,"&gt;0"),0),0)</f>
        <v>0</v>
      </c>
      <c r="V528" s="417">
        <f t="shared" si="101"/>
        <v>525</v>
      </c>
      <c r="W528" s="509"/>
      <c r="X528" s="321"/>
      <c r="Y528" s="321"/>
      <c r="Z528" s="433"/>
      <c r="AA528" s="356"/>
      <c r="AB528" s="306" t="str">
        <f t="shared" si="96"/>
        <v/>
      </c>
      <c r="AC528" s="893">
        <f t="shared" si="97"/>
        <v>0</v>
      </c>
      <c r="AD528" s="322"/>
      <c r="AE528" s="1"/>
      <c r="AF528" s="223">
        <f>IF(ISBLANK(AD528),0,COUNTIF(AF$4:AF527,"&gt;0")+1)</f>
        <v>0</v>
      </c>
      <c r="AG528" s="164">
        <f t="shared" si="103"/>
        <v>0</v>
      </c>
      <c r="AH528" s="99">
        <f t="shared" si="98"/>
        <v>0</v>
      </c>
      <c r="AI528" s="99">
        <f t="shared" si="104"/>
        <v>0</v>
      </c>
      <c r="AJ528" s="170">
        <f t="shared" si="105"/>
        <v>0</v>
      </c>
      <c r="AK528" s="204">
        <f t="shared" si="99"/>
        <v>0</v>
      </c>
      <c r="AL528" s="1049">
        <f>IF(ISERROR(AO528),0,IF(AND(AN528&gt;=$U$1,AN528&lt;=$U$2),IF(AO528='ESTRATTO CONTO'!$E$2,1+COUNTIF(AL$4:AL527,"&gt;0")+U$1009,0),0))</f>
        <v>0</v>
      </c>
      <c r="AM528" s="747">
        <f t="shared" si="102"/>
        <v>525</v>
      </c>
      <c r="AN528" s="164" t="e">
        <f>VLOOKUP($AM528,PATRIMONIALE!$AV580:AW$1003,2,FALSE)</f>
        <v>#N/A</v>
      </c>
      <c r="AO528" s="310" t="e">
        <f>VLOOKUP($AM528,PATRIMONIALE!$AV580:AX$1003,3,FALSE)</f>
        <v>#N/A</v>
      </c>
      <c r="AP528" s="310" t="e">
        <f>VLOOKUP($AM528,PATRIMONIALE!$AV580:AY$1003,4,FALSE)</f>
        <v>#N/A</v>
      </c>
      <c r="AQ528" s="748" t="e">
        <f>VLOOKUP($AM528,PATRIMONIALE!$AV580:AZ$1003,5,FALSE)</f>
        <v>#N/A</v>
      </c>
      <c r="AR528" s="1"/>
      <c r="AS528" s="461" t="str">
        <f t="shared" si="100"/>
        <v/>
      </c>
      <c r="AT528" s="370"/>
    </row>
    <row r="529" spans="1:46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435">
        <f>IF(AND(W529&gt;=$U$1,W529&lt;=$U$2),IF(X529='ESTRATTO CONTO'!$E$2,1+COUNTIF(U$4:U528,"&gt;0"),0),0)</f>
        <v>0</v>
      </c>
      <c r="V529" s="417">
        <f t="shared" si="101"/>
        <v>526</v>
      </c>
      <c r="W529" s="509"/>
      <c r="X529" s="321"/>
      <c r="Y529" s="321"/>
      <c r="Z529" s="433"/>
      <c r="AA529" s="356"/>
      <c r="AB529" s="306" t="str">
        <f t="shared" si="96"/>
        <v/>
      </c>
      <c r="AC529" s="893">
        <f t="shared" si="97"/>
        <v>0</v>
      </c>
      <c r="AD529" s="322"/>
      <c r="AE529" s="1"/>
      <c r="AF529" s="223">
        <f>IF(ISBLANK(AD529),0,COUNTIF(AF$4:AF528,"&gt;0")+1)</f>
        <v>0</v>
      </c>
      <c r="AG529" s="164">
        <f t="shared" si="103"/>
        <v>0</v>
      </c>
      <c r="AH529" s="99">
        <f t="shared" si="98"/>
        <v>0</v>
      </c>
      <c r="AI529" s="99">
        <f t="shared" si="104"/>
        <v>0</v>
      </c>
      <c r="AJ529" s="170">
        <f t="shared" si="105"/>
        <v>0</v>
      </c>
      <c r="AK529" s="204">
        <f t="shared" si="99"/>
        <v>0</v>
      </c>
      <c r="AL529" s="1049">
        <f>IF(ISERROR(AO529),0,IF(AND(AN529&gt;=$U$1,AN529&lt;=$U$2),IF(AO529='ESTRATTO CONTO'!$E$2,1+COUNTIF(AL$4:AL528,"&gt;0")+U$1009,0),0))</f>
        <v>0</v>
      </c>
      <c r="AM529" s="747">
        <f t="shared" si="102"/>
        <v>526</v>
      </c>
      <c r="AN529" s="164" t="e">
        <f>VLOOKUP($AM529,PATRIMONIALE!$AV581:AW$1003,2,FALSE)</f>
        <v>#N/A</v>
      </c>
      <c r="AO529" s="310" t="e">
        <f>VLOOKUP($AM529,PATRIMONIALE!$AV581:AX$1003,3,FALSE)</f>
        <v>#N/A</v>
      </c>
      <c r="AP529" s="310" t="e">
        <f>VLOOKUP($AM529,PATRIMONIALE!$AV581:AY$1003,4,FALSE)</f>
        <v>#N/A</v>
      </c>
      <c r="AQ529" s="748" t="e">
        <f>VLOOKUP($AM529,PATRIMONIALE!$AV581:AZ$1003,5,FALSE)</f>
        <v>#N/A</v>
      </c>
      <c r="AR529" s="1"/>
      <c r="AS529" s="461" t="str">
        <f t="shared" si="100"/>
        <v/>
      </c>
      <c r="AT529" s="370"/>
    </row>
    <row r="530" spans="1:46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435">
        <f>IF(AND(W530&gt;=$U$1,W530&lt;=$U$2),IF(X530='ESTRATTO CONTO'!$E$2,1+COUNTIF(U$4:U529,"&gt;0"),0),0)</f>
        <v>0</v>
      </c>
      <c r="V530" s="417">
        <f t="shared" si="101"/>
        <v>527</v>
      </c>
      <c r="W530" s="509"/>
      <c r="X530" s="321"/>
      <c r="Y530" s="321"/>
      <c r="Z530" s="433"/>
      <c r="AA530" s="356"/>
      <c r="AB530" s="306" t="str">
        <f t="shared" si="96"/>
        <v/>
      </c>
      <c r="AC530" s="893">
        <f t="shared" si="97"/>
        <v>0</v>
      </c>
      <c r="AD530" s="322"/>
      <c r="AE530" s="1"/>
      <c r="AF530" s="223">
        <f>IF(ISBLANK(AD530),0,COUNTIF(AF$4:AF529,"&gt;0")+1)</f>
        <v>0</v>
      </c>
      <c r="AG530" s="164">
        <f t="shared" si="103"/>
        <v>0</v>
      </c>
      <c r="AH530" s="99">
        <f t="shared" si="98"/>
        <v>0</v>
      </c>
      <c r="AI530" s="99">
        <f t="shared" si="104"/>
        <v>0</v>
      </c>
      <c r="AJ530" s="170">
        <f t="shared" si="105"/>
        <v>0</v>
      </c>
      <c r="AK530" s="204">
        <f t="shared" si="99"/>
        <v>0</v>
      </c>
      <c r="AL530" s="1049">
        <f>IF(ISERROR(AO530),0,IF(AND(AN530&gt;=$U$1,AN530&lt;=$U$2),IF(AO530='ESTRATTO CONTO'!$E$2,1+COUNTIF(AL$4:AL529,"&gt;0")+U$1009,0),0))</f>
        <v>0</v>
      </c>
      <c r="AM530" s="747">
        <f t="shared" si="102"/>
        <v>527</v>
      </c>
      <c r="AN530" s="164" t="e">
        <f>VLOOKUP($AM530,PATRIMONIALE!$AV582:AW$1003,2,FALSE)</f>
        <v>#N/A</v>
      </c>
      <c r="AO530" s="310" t="e">
        <f>VLOOKUP($AM530,PATRIMONIALE!$AV582:AX$1003,3,FALSE)</f>
        <v>#N/A</v>
      </c>
      <c r="AP530" s="310" t="e">
        <f>VLOOKUP($AM530,PATRIMONIALE!$AV582:AY$1003,4,FALSE)</f>
        <v>#N/A</v>
      </c>
      <c r="AQ530" s="748" t="e">
        <f>VLOOKUP($AM530,PATRIMONIALE!$AV582:AZ$1003,5,FALSE)</f>
        <v>#N/A</v>
      </c>
      <c r="AR530" s="1"/>
      <c r="AS530" s="461" t="str">
        <f t="shared" si="100"/>
        <v/>
      </c>
      <c r="AT530" s="370"/>
    </row>
    <row r="531" spans="1:46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435">
        <f>IF(AND(W531&gt;=$U$1,W531&lt;=$U$2),IF(X531='ESTRATTO CONTO'!$E$2,1+COUNTIF(U$4:U530,"&gt;0"),0),0)</f>
        <v>0</v>
      </c>
      <c r="V531" s="417">
        <f t="shared" si="101"/>
        <v>528</v>
      </c>
      <c r="W531" s="509"/>
      <c r="X531" s="321"/>
      <c r="Y531" s="321"/>
      <c r="Z531" s="433"/>
      <c r="AA531" s="356"/>
      <c r="AB531" s="306" t="str">
        <f t="shared" si="96"/>
        <v/>
      </c>
      <c r="AC531" s="893">
        <f t="shared" si="97"/>
        <v>0</v>
      </c>
      <c r="AD531" s="322"/>
      <c r="AE531" s="1"/>
      <c r="AF531" s="223">
        <f>IF(ISBLANK(AD531),0,COUNTIF(AF$4:AF530,"&gt;0")+1)</f>
        <v>0</v>
      </c>
      <c r="AG531" s="164">
        <f t="shared" si="103"/>
        <v>0</v>
      </c>
      <c r="AH531" s="99">
        <f t="shared" si="98"/>
        <v>0</v>
      </c>
      <c r="AI531" s="99">
        <f t="shared" si="104"/>
        <v>0</v>
      </c>
      <c r="AJ531" s="170">
        <f t="shared" si="105"/>
        <v>0</v>
      </c>
      <c r="AK531" s="204">
        <f t="shared" si="99"/>
        <v>0</v>
      </c>
      <c r="AL531" s="1049">
        <f>IF(ISERROR(AO531),0,IF(AND(AN531&gt;=$U$1,AN531&lt;=$U$2),IF(AO531='ESTRATTO CONTO'!$E$2,1+COUNTIF(AL$4:AL530,"&gt;0")+U$1009,0),0))</f>
        <v>0</v>
      </c>
      <c r="AM531" s="747">
        <f t="shared" si="102"/>
        <v>528</v>
      </c>
      <c r="AN531" s="164" t="e">
        <f>VLOOKUP($AM531,PATRIMONIALE!$AV583:AW$1003,2,FALSE)</f>
        <v>#N/A</v>
      </c>
      <c r="AO531" s="310" t="e">
        <f>VLOOKUP($AM531,PATRIMONIALE!$AV583:AX$1003,3,FALSE)</f>
        <v>#N/A</v>
      </c>
      <c r="AP531" s="310" t="e">
        <f>VLOOKUP($AM531,PATRIMONIALE!$AV583:AY$1003,4,FALSE)</f>
        <v>#N/A</v>
      </c>
      <c r="AQ531" s="748" t="e">
        <f>VLOOKUP($AM531,PATRIMONIALE!$AV583:AZ$1003,5,FALSE)</f>
        <v>#N/A</v>
      </c>
      <c r="AR531" s="1"/>
      <c r="AS531" s="461" t="str">
        <f t="shared" si="100"/>
        <v/>
      </c>
      <c r="AT531" s="370"/>
    </row>
    <row r="532" spans="1:46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435">
        <f>IF(AND(W532&gt;=$U$1,W532&lt;=$U$2),IF(X532='ESTRATTO CONTO'!$E$2,1+COUNTIF(U$4:U531,"&gt;0"),0),0)</f>
        <v>0</v>
      </c>
      <c r="V532" s="417">
        <f t="shared" si="101"/>
        <v>529</v>
      </c>
      <c r="W532" s="509"/>
      <c r="X532" s="321"/>
      <c r="Y532" s="321"/>
      <c r="Z532" s="433"/>
      <c r="AA532" s="356"/>
      <c r="AB532" s="306" t="str">
        <f t="shared" si="96"/>
        <v/>
      </c>
      <c r="AC532" s="893">
        <f t="shared" si="97"/>
        <v>0</v>
      </c>
      <c r="AD532" s="322"/>
      <c r="AE532" s="1"/>
      <c r="AF532" s="223">
        <f>IF(ISBLANK(AD532),0,COUNTIF(AF$4:AF531,"&gt;0")+1)</f>
        <v>0</v>
      </c>
      <c r="AG532" s="164">
        <f t="shared" si="103"/>
        <v>0</v>
      </c>
      <c r="AH532" s="99">
        <f t="shared" si="98"/>
        <v>0</v>
      </c>
      <c r="AI532" s="99">
        <f t="shared" si="104"/>
        <v>0</v>
      </c>
      <c r="AJ532" s="170">
        <f t="shared" si="105"/>
        <v>0</v>
      </c>
      <c r="AK532" s="204">
        <f t="shared" si="99"/>
        <v>0</v>
      </c>
      <c r="AL532" s="1049">
        <f>IF(ISERROR(AO532),0,IF(AND(AN532&gt;=$U$1,AN532&lt;=$U$2),IF(AO532='ESTRATTO CONTO'!$E$2,1+COUNTIF(AL$4:AL531,"&gt;0")+U$1009,0),0))</f>
        <v>0</v>
      </c>
      <c r="AM532" s="747">
        <f t="shared" si="102"/>
        <v>529</v>
      </c>
      <c r="AN532" s="164" t="e">
        <f>VLOOKUP($AM532,PATRIMONIALE!$AV584:AW$1003,2,FALSE)</f>
        <v>#N/A</v>
      </c>
      <c r="AO532" s="310" t="e">
        <f>VLOOKUP($AM532,PATRIMONIALE!$AV584:AX$1003,3,FALSE)</f>
        <v>#N/A</v>
      </c>
      <c r="AP532" s="310" t="e">
        <f>VLOOKUP($AM532,PATRIMONIALE!$AV584:AY$1003,4,FALSE)</f>
        <v>#N/A</v>
      </c>
      <c r="AQ532" s="748" t="e">
        <f>VLOOKUP($AM532,PATRIMONIALE!$AV584:AZ$1003,5,FALSE)</f>
        <v>#N/A</v>
      </c>
      <c r="AR532" s="1"/>
      <c r="AS532" s="461" t="str">
        <f t="shared" si="100"/>
        <v/>
      </c>
      <c r="AT532" s="370"/>
    </row>
    <row r="533" spans="1:46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435">
        <f>IF(AND(W533&gt;=$U$1,W533&lt;=$U$2),IF(X533='ESTRATTO CONTO'!$E$2,1+COUNTIF(U$4:U532,"&gt;0"),0),0)</f>
        <v>0</v>
      </c>
      <c r="V533" s="417">
        <f t="shared" si="101"/>
        <v>530</v>
      </c>
      <c r="W533" s="509"/>
      <c r="X533" s="321"/>
      <c r="Y533" s="321"/>
      <c r="Z533" s="433"/>
      <c r="AA533" s="356"/>
      <c r="AB533" s="306" t="str">
        <f t="shared" si="96"/>
        <v/>
      </c>
      <c r="AC533" s="893">
        <f t="shared" si="97"/>
        <v>0</v>
      </c>
      <c r="AD533" s="322"/>
      <c r="AE533" s="1"/>
      <c r="AF533" s="223">
        <f>IF(ISBLANK(AD533),0,COUNTIF(AF$4:AF532,"&gt;0")+1)</f>
        <v>0</v>
      </c>
      <c r="AG533" s="164">
        <f t="shared" si="103"/>
        <v>0</v>
      </c>
      <c r="AH533" s="99">
        <f t="shared" si="98"/>
        <v>0</v>
      </c>
      <c r="AI533" s="99">
        <f t="shared" si="104"/>
        <v>0</v>
      </c>
      <c r="AJ533" s="170">
        <f t="shared" si="105"/>
        <v>0</v>
      </c>
      <c r="AK533" s="204">
        <f t="shared" si="99"/>
        <v>0</v>
      </c>
      <c r="AL533" s="1049">
        <f>IF(ISERROR(AO533),0,IF(AND(AN533&gt;=$U$1,AN533&lt;=$U$2),IF(AO533='ESTRATTO CONTO'!$E$2,1+COUNTIF(AL$4:AL532,"&gt;0")+U$1009,0),0))</f>
        <v>0</v>
      </c>
      <c r="AM533" s="747">
        <f t="shared" si="102"/>
        <v>530</v>
      </c>
      <c r="AN533" s="164" t="e">
        <f>VLOOKUP($AM533,PATRIMONIALE!$AV585:AW$1003,2,FALSE)</f>
        <v>#N/A</v>
      </c>
      <c r="AO533" s="310" t="e">
        <f>VLOOKUP($AM533,PATRIMONIALE!$AV585:AX$1003,3,FALSE)</f>
        <v>#N/A</v>
      </c>
      <c r="AP533" s="310" t="e">
        <f>VLOOKUP($AM533,PATRIMONIALE!$AV585:AY$1003,4,FALSE)</f>
        <v>#N/A</v>
      </c>
      <c r="AQ533" s="748" t="e">
        <f>VLOOKUP($AM533,PATRIMONIALE!$AV585:AZ$1003,5,FALSE)</f>
        <v>#N/A</v>
      </c>
      <c r="AR533" s="1"/>
      <c r="AS533" s="461" t="str">
        <f t="shared" si="100"/>
        <v/>
      </c>
      <c r="AT533" s="370"/>
    </row>
    <row r="534" spans="1:46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435">
        <f>IF(AND(W534&gt;=$U$1,W534&lt;=$U$2),IF(X534='ESTRATTO CONTO'!$E$2,1+COUNTIF(U$4:U533,"&gt;0"),0),0)</f>
        <v>0</v>
      </c>
      <c r="V534" s="417">
        <f t="shared" si="101"/>
        <v>531</v>
      </c>
      <c r="W534" s="509"/>
      <c r="X534" s="321"/>
      <c r="Y534" s="321"/>
      <c r="Z534" s="433"/>
      <c r="AA534" s="356"/>
      <c r="AB534" s="306" t="str">
        <f t="shared" si="96"/>
        <v/>
      </c>
      <c r="AC534" s="893">
        <f t="shared" si="97"/>
        <v>0</v>
      </c>
      <c r="AD534" s="322"/>
      <c r="AE534" s="1"/>
      <c r="AF534" s="223">
        <f>IF(ISBLANK(AD534),0,COUNTIF(AF$4:AF533,"&gt;0")+1)</f>
        <v>0</v>
      </c>
      <c r="AG534" s="164">
        <f t="shared" si="103"/>
        <v>0</v>
      </c>
      <c r="AH534" s="99">
        <f t="shared" si="98"/>
        <v>0</v>
      </c>
      <c r="AI534" s="99">
        <f t="shared" si="104"/>
        <v>0</v>
      </c>
      <c r="AJ534" s="170">
        <f t="shared" si="105"/>
        <v>0</v>
      </c>
      <c r="AK534" s="204">
        <f t="shared" si="99"/>
        <v>0</v>
      </c>
      <c r="AL534" s="1049">
        <f>IF(ISERROR(AO534),0,IF(AND(AN534&gt;=$U$1,AN534&lt;=$U$2),IF(AO534='ESTRATTO CONTO'!$E$2,1+COUNTIF(AL$4:AL533,"&gt;0")+U$1009,0),0))</f>
        <v>0</v>
      </c>
      <c r="AM534" s="747">
        <f t="shared" si="102"/>
        <v>531</v>
      </c>
      <c r="AN534" s="164" t="e">
        <f>VLOOKUP($AM534,PATRIMONIALE!$AV586:AW$1003,2,FALSE)</f>
        <v>#N/A</v>
      </c>
      <c r="AO534" s="310" t="e">
        <f>VLOOKUP($AM534,PATRIMONIALE!$AV586:AX$1003,3,FALSE)</f>
        <v>#N/A</v>
      </c>
      <c r="AP534" s="310" t="e">
        <f>VLOOKUP($AM534,PATRIMONIALE!$AV586:AY$1003,4,FALSE)</f>
        <v>#N/A</v>
      </c>
      <c r="AQ534" s="748" t="e">
        <f>VLOOKUP($AM534,PATRIMONIALE!$AV586:AZ$1003,5,FALSE)</f>
        <v>#N/A</v>
      </c>
      <c r="AR534" s="1"/>
      <c r="AS534" s="461" t="str">
        <f t="shared" si="100"/>
        <v/>
      </c>
      <c r="AT534" s="370"/>
    </row>
    <row r="535" spans="1:46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435">
        <f>IF(AND(W535&gt;=$U$1,W535&lt;=$U$2),IF(X535='ESTRATTO CONTO'!$E$2,1+COUNTIF(U$4:U534,"&gt;0"),0),0)</f>
        <v>0</v>
      </c>
      <c r="V535" s="417">
        <f t="shared" si="101"/>
        <v>532</v>
      </c>
      <c r="W535" s="509"/>
      <c r="X535" s="321"/>
      <c r="Y535" s="321"/>
      <c r="Z535" s="433"/>
      <c r="AA535" s="356"/>
      <c r="AB535" s="306" t="str">
        <f t="shared" si="96"/>
        <v/>
      </c>
      <c r="AC535" s="893">
        <f t="shared" si="97"/>
        <v>0</v>
      </c>
      <c r="AD535" s="322"/>
      <c r="AE535" s="1"/>
      <c r="AF535" s="223">
        <f>IF(ISBLANK(AD535),0,COUNTIF(AF$4:AF534,"&gt;0")+1)</f>
        <v>0</v>
      </c>
      <c r="AG535" s="164">
        <f t="shared" si="103"/>
        <v>0</v>
      </c>
      <c r="AH535" s="99">
        <f t="shared" si="98"/>
        <v>0</v>
      </c>
      <c r="AI535" s="99">
        <f t="shared" si="104"/>
        <v>0</v>
      </c>
      <c r="AJ535" s="170">
        <f t="shared" si="105"/>
        <v>0</v>
      </c>
      <c r="AK535" s="204">
        <f t="shared" si="99"/>
        <v>0</v>
      </c>
      <c r="AL535" s="1049">
        <f>IF(ISERROR(AO535),0,IF(AND(AN535&gt;=$U$1,AN535&lt;=$U$2),IF(AO535='ESTRATTO CONTO'!$E$2,1+COUNTIF(AL$4:AL534,"&gt;0")+U$1009,0),0))</f>
        <v>0</v>
      </c>
      <c r="AM535" s="747">
        <f t="shared" si="102"/>
        <v>532</v>
      </c>
      <c r="AN535" s="164" t="e">
        <f>VLOOKUP($AM535,PATRIMONIALE!$AV587:AW$1003,2,FALSE)</f>
        <v>#N/A</v>
      </c>
      <c r="AO535" s="310" t="e">
        <f>VLOOKUP($AM535,PATRIMONIALE!$AV587:AX$1003,3,FALSE)</f>
        <v>#N/A</v>
      </c>
      <c r="AP535" s="310" t="e">
        <f>VLOOKUP($AM535,PATRIMONIALE!$AV587:AY$1003,4,FALSE)</f>
        <v>#N/A</v>
      </c>
      <c r="AQ535" s="748" t="e">
        <f>VLOOKUP($AM535,PATRIMONIALE!$AV587:AZ$1003,5,FALSE)</f>
        <v>#N/A</v>
      </c>
      <c r="AR535" s="1"/>
      <c r="AS535" s="461" t="str">
        <f t="shared" si="100"/>
        <v/>
      </c>
      <c r="AT535" s="370"/>
    </row>
    <row r="536" spans="1:46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435">
        <f>IF(AND(W536&gt;=$U$1,W536&lt;=$U$2),IF(X536='ESTRATTO CONTO'!$E$2,1+COUNTIF(U$4:U535,"&gt;0"),0),0)</f>
        <v>0</v>
      </c>
      <c r="V536" s="417">
        <f t="shared" si="101"/>
        <v>533</v>
      </c>
      <c r="W536" s="509"/>
      <c r="X536" s="321"/>
      <c r="Y536" s="321"/>
      <c r="Z536" s="433"/>
      <c r="AA536" s="356"/>
      <c r="AB536" s="306" t="str">
        <f t="shared" si="96"/>
        <v/>
      </c>
      <c r="AC536" s="893">
        <f t="shared" si="97"/>
        <v>0</v>
      </c>
      <c r="AD536" s="322"/>
      <c r="AE536" s="1"/>
      <c r="AF536" s="223">
        <f>IF(ISBLANK(AD536),0,COUNTIF(AF$4:AF535,"&gt;0")+1)</f>
        <v>0</v>
      </c>
      <c r="AG536" s="164">
        <f t="shared" si="103"/>
        <v>0</v>
      </c>
      <c r="AH536" s="99">
        <f t="shared" si="98"/>
        <v>0</v>
      </c>
      <c r="AI536" s="99">
        <f t="shared" si="104"/>
        <v>0</v>
      </c>
      <c r="AJ536" s="170">
        <f t="shared" si="105"/>
        <v>0</v>
      </c>
      <c r="AK536" s="204">
        <f t="shared" si="99"/>
        <v>0</v>
      </c>
      <c r="AL536" s="1049">
        <f>IF(ISERROR(AO536),0,IF(AND(AN536&gt;=$U$1,AN536&lt;=$U$2),IF(AO536='ESTRATTO CONTO'!$E$2,1+COUNTIF(AL$4:AL535,"&gt;0")+U$1009,0),0))</f>
        <v>0</v>
      </c>
      <c r="AM536" s="747">
        <f t="shared" si="102"/>
        <v>533</v>
      </c>
      <c r="AN536" s="164" t="e">
        <f>VLOOKUP($AM536,PATRIMONIALE!$AV588:AW$1003,2,FALSE)</f>
        <v>#N/A</v>
      </c>
      <c r="AO536" s="310" t="e">
        <f>VLOOKUP($AM536,PATRIMONIALE!$AV588:AX$1003,3,FALSE)</f>
        <v>#N/A</v>
      </c>
      <c r="AP536" s="310" t="e">
        <f>VLOOKUP($AM536,PATRIMONIALE!$AV588:AY$1003,4,FALSE)</f>
        <v>#N/A</v>
      </c>
      <c r="AQ536" s="748" t="e">
        <f>VLOOKUP($AM536,PATRIMONIALE!$AV588:AZ$1003,5,FALSE)</f>
        <v>#N/A</v>
      </c>
      <c r="AR536" s="1"/>
      <c r="AS536" s="461" t="str">
        <f t="shared" si="100"/>
        <v/>
      </c>
      <c r="AT536" s="370"/>
    </row>
    <row r="537" spans="1:46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435">
        <f>IF(AND(W537&gt;=$U$1,W537&lt;=$U$2),IF(X537='ESTRATTO CONTO'!$E$2,1+COUNTIF(U$4:U536,"&gt;0"),0),0)</f>
        <v>0</v>
      </c>
      <c r="V537" s="417">
        <f t="shared" si="101"/>
        <v>534</v>
      </c>
      <c r="W537" s="509"/>
      <c r="X537" s="321"/>
      <c r="Y537" s="321"/>
      <c r="Z537" s="433"/>
      <c r="AA537" s="356"/>
      <c r="AB537" s="306" t="str">
        <f t="shared" si="96"/>
        <v/>
      </c>
      <c r="AC537" s="893">
        <f t="shared" si="97"/>
        <v>0</v>
      </c>
      <c r="AD537" s="322"/>
      <c r="AE537" s="1"/>
      <c r="AF537" s="223">
        <f>IF(ISBLANK(AD537),0,COUNTIF(AF$4:AF536,"&gt;0")+1)</f>
        <v>0</v>
      </c>
      <c r="AG537" s="164">
        <f t="shared" si="103"/>
        <v>0</v>
      </c>
      <c r="AH537" s="99">
        <f t="shared" si="98"/>
        <v>0</v>
      </c>
      <c r="AI537" s="99">
        <f t="shared" si="104"/>
        <v>0</v>
      </c>
      <c r="AJ537" s="170">
        <f t="shared" si="105"/>
        <v>0</v>
      </c>
      <c r="AK537" s="204">
        <f t="shared" si="99"/>
        <v>0</v>
      </c>
      <c r="AL537" s="1049">
        <f>IF(ISERROR(AO537),0,IF(AND(AN537&gt;=$U$1,AN537&lt;=$U$2),IF(AO537='ESTRATTO CONTO'!$E$2,1+COUNTIF(AL$4:AL536,"&gt;0")+U$1009,0),0))</f>
        <v>0</v>
      </c>
      <c r="AM537" s="747">
        <f t="shared" si="102"/>
        <v>534</v>
      </c>
      <c r="AN537" s="164" t="e">
        <f>VLOOKUP($AM537,PATRIMONIALE!$AV589:AW$1003,2,FALSE)</f>
        <v>#N/A</v>
      </c>
      <c r="AO537" s="310" t="e">
        <f>VLOOKUP($AM537,PATRIMONIALE!$AV589:AX$1003,3,FALSE)</f>
        <v>#N/A</v>
      </c>
      <c r="AP537" s="310" t="e">
        <f>VLOOKUP($AM537,PATRIMONIALE!$AV589:AY$1003,4,FALSE)</f>
        <v>#N/A</v>
      </c>
      <c r="AQ537" s="748" t="e">
        <f>VLOOKUP($AM537,PATRIMONIALE!$AV589:AZ$1003,5,FALSE)</f>
        <v>#N/A</v>
      </c>
      <c r="AR537" s="1"/>
      <c r="AS537" s="461" t="str">
        <f t="shared" si="100"/>
        <v/>
      </c>
      <c r="AT537" s="370"/>
    </row>
    <row r="538" spans="1:46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435">
        <f>IF(AND(W538&gt;=$U$1,W538&lt;=$U$2),IF(X538='ESTRATTO CONTO'!$E$2,1+COUNTIF(U$4:U537,"&gt;0"),0),0)</f>
        <v>0</v>
      </c>
      <c r="V538" s="417">
        <f t="shared" si="101"/>
        <v>535</v>
      </c>
      <c r="W538" s="509"/>
      <c r="X538" s="321"/>
      <c r="Y538" s="321"/>
      <c r="Z538" s="433"/>
      <c r="AA538" s="356"/>
      <c r="AB538" s="306" t="str">
        <f t="shared" si="96"/>
        <v/>
      </c>
      <c r="AC538" s="893">
        <f t="shared" si="97"/>
        <v>0</v>
      </c>
      <c r="AD538" s="322"/>
      <c r="AE538" s="1"/>
      <c r="AF538" s="223">
        <f>IF(ISBLANK(AD538),0,COUNTIF(AF$4:AF537,"&gt;0")+1)</f>
        <v>0</v>
      </c>
      <c r="AG538" s="164">
        <f t="shared" si="103"/>
        <v>0</v>
      </c>
      <c r="AH538" s="99">
        <f t="shared" si="98"/>
        <v>0</v>
      </c>
      <c r="AI538" s="99">
        <f t="shared" si="104"/>
        <v>0</v>
      </c>
      <c r="AJ538" s="170">
        <f t="shared" si="105"/>
        <v>0</v>
      </c>
      <c r="AK538" s="204">
        <f t="shared" si="99"/>
        <v>0</v>
      </c>
      <c r="AL538" s="1049">
        <f>IF(ISERROR(AO538),0,IF(AND(AN538&gt;=$U$1,AN538&lt;=$U$2),IF(AO538='ESTRATTO CONTO'!$E$2,1+COUNTIF(AL$4:AL537,"&gt;0")+U$1009,0),0))</f>
        <v>0</v>
      </c>
      <c r="AM538" s="747">
        <f t="shared" si="102"/>
        <v>535</v>
      </c>
      <c r="AN538" s="164" t="e">
        <f>VLOOKUP($AM538,PATRIMONIALE!$AV590:AW$1003,2,FALSE)</f>
        <v>#N/A</v>
      </c>
      <c r="AO538" s="310" t="e">
        <f>VLOOKUP($AM538,PATRIMONIALE!$AV590:AX$1003,3,FALSE)</f>
        <v>#N/A</v>
      </c>
      <c r="AP538" s="310" t="e">
        <f>VLOOKUP($AM538,PATRIMONIALE!$AV590:AY$1003,4,FALSE)</f>
        <v>#N/A</v>
      </c>
      <c r="AQ538" s="748" t="e">
        <f>VLOOKUP($AM538,PATRIMONIALE!$AV590:AZ$1003,5,FALSE)</f>
        <v>#N/A</v>
      </c>
      <c r="AR538" s="1"/>
      <c r="AS538" s="461" t="str">
        <f t="shared" si="100"/>
        <v/>
      </c>
      <c r="AT538" s="370"/>
    </row>
    <row r="539" spans="1:46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435">
        <f>IF(AND(W539&gt;=$U$1,W539&lt;=$U$2),IF(X539='ESTRATTO CONTO'!$E$2,1+COUNTIF(U$4:U538,"&gt;0"),0),0)</f>
        <v>0</v>
      </c>
      <c r="V539" s="417">
        <f t="shared" si="101"/>
        <v>536</v>
      </c>
      <c r="W539" s="509"/>
      <c r="X539" s="321"/>
      <c r="Y539" s="321"/>
      <c r="Z539" s="433"/>
      <c r="AA539" s="356"/>
      <c r="AB539" s="306" t="str">
        <f t="shared" si="96"/>
        <v/>
      </c>
      <c r="AC539" s="893">
        <f t="shared" si="97"/>
        <v>0</v>
      </c>
      <c r="AD539" s="322"/>
      <c r="AE539" s="1"/>
      <c r="AF539" s="223">
        <f>IF(ISBLANK(AD539),0,COUNTIF(AF$4:AF538,"&gt;0")+1)</f>
        <v>0</v>
      </c>
      <c r="AG539" s="164">
        <f t="shared" si="103"/>
        <v>0</v>
      </c>
      <c r="AH539" s="99">
        <f t="shared" si="98"/>
        <v>0</v>
      </c>
      <c r="AI539" s="99">
        <f t="shared" si="104"/>
        <v>0</v>
      </c>
      <c r="AJ539" s="170">
        <f t="shared" si="105"/>
        <v>0</v>
      </c>
      <c r="AK539" s="204">
        <f t="shared" si="99"/>
        <v>0</v>
      </c>
      <c r="AL539" s="1049">
        <f>IF(ISERROR(AO539),0,IF(AND(AN539&gt;=$U$1,AN539&lt;=$U$2),IF(AO539='ESTRATTO CONTO'!$E$2,1+COUNTIF(AL$4:AL538,"&gt;0")+U$1009,0),0))</f>
        <v>0</v>
      </c>
      <c r="AM539" s="747">
        <f t="shared" si="102"/>
        <v>536</v>
      </c>
      <c r="AN539" s="164" t="e">
        <f>VLOOKUP($AM539,PATRIMONIALE!$AV591:AW$1003,2,FALSE)</f>
        <v>#N/A</v>
      </c>
      <c r="AO539" s="310" t="e">
        <f>VLOOKUP($AM539,PATRIMONIALE!$AV591:AX$1003,3,FALSE)</f>
        <v>#N/A</v>
      </c>
      <c r="AP539" s="310" t="e">
        <f>VLOOKUP($AM539,PATRIMONIALE!$AV591:AY$1003,4,FALSE)</f>
        <v>#N/A</v>
      </c>
      <c r="AQ539" s="748" t="e">
        <f>VLOOKUP($AM539,PATRIMONIALE!$AV591:AZ$1003,5,FALSE)</f>
        <v>#N/A</v>
      </c>
      <c r="AR539" s="1"/>
      <c r="AS539" s="461" t="str">
        <f t="shared" si="100"/>
        <v/>
      </c>
      <c r="AT539" s="370"/>
    </row>
    <row r="540" spans="1:46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435">
        <f>IF(AND(W540&gt;=$U$1,W540&lt;=$U$2),IF(X540='ESTRATTO CONTO'!$E$2,1+COUNTIF(U$4:U539,"&gt;0"),0),0)</f>
        <v>0</v>
      </c>
      <c r="V540" s="417">
        <f t="shared" si="101"/>
        <v>537</v>
      </c>
      <c r="W540" s="509"/>
      <c r="X540" s="321"/>
      <c r="Y540" s="321"/>
      <c r="Z540" s="433"/>
      <c r="AA540" s="356"/>
      <c r="AB540" s="306" t="str">
        <f t="shared" si="96"/>
        <v/>
      </c>
      <c r="AC540" s="893">
        <f t="shared" si="97"/>
        <v>0</v>
      </c>
      <c r="AD540" s="322"/>
      <c r="AE540" s="1"/>
      <c r="AF540" s="223">
        <f>IF(ISBLANK(AD540),0,COUNTIF(AF$4:AF539,"&gt;0")+1)</f>
        <v>0</v>
      </c>
      <c r="AG540" s="164">
        <f t="shared" si="103"/>
        <v>0</v>
      </c>
      <c r="AH540" s="99">
        <f t="shared" si="98"/>
        <v>0</v>
      </c>
      <c r="AI540" s="99">
        <f t="shared" si="104"/>
        <v>0</v>
      </c>
      <c r="AJ540" s="170">
        <f t="shared" si="105"/>
        <v>0</v>
      </c>
      <c r="AK540" s="204">
        <f t="shared" si="99"/>
        <v>0</v>
      </c>
      <c r="AL540" s="1049">
        <f>IF(ISERROR(AO540),0,IF(AND(AN540&gt;=$U$1,AN540&lt;=$U$2),IF(AO540='ESTRATTO CONTO'!$E$2,1+COUNTIF(AL$4:AL539,"&gt;0")+U$1009,0),0))</f>
        <v>0</v>
      </c>
      <c r="AM540" s="747">
        <f t="shared" si="102"/>
        <v>537</v>
      </c>
      <c r="AN540" s="164" t="e">
        <f>VLOOKUP($AM540,PATRIMONIALE!$AV592:AW$1003,2,FALSE)</f>
        <v>#N/A</v>
      </c>
      <c r="AO540" s="310" t="e">
        <f>VLOOKUP($AM540,PATRIMONIALE!$AV592:AX$1003,3,FALSE)</f>
        <v>#N/A</v>
      </c>
      <c r="AP540" s="310" t="e">
        <f>VLOOKUP($AM540,PATRIMONIALE!$AV592:AY$1003,4,FALSE)</f>
        <v>#N/A</v>
      </c>
      <c r="AQ540" s="748" t="e">
        <f>VLOOKUP($AM540,PATRIMONIALE!$AV592:AZ$1003,5,FALSE)</f>
        <v>#N/A</v>
      </c>
      <c r="AR540" s="1"/>
      <c r="AS540" s="461" t="str">
        <f t="shared" si="100"/>
        <v/>
      </c>
      <c r="AT540" s="370"/>
    </row>
    <row r="541" spans="1:46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435">
        <f>IF(AND(W541&gt;=$U$1,W541&lt;=$U$2),IF(X541='ESTRATTO CONTO'!$E$2,1+COUNTIF(U$4:U540,"&gt;0"),0),0)</f>
        <v>0</v>
      </c>
      <c r="V541" s="417">
        <f t="shared" si="101"/>
        <v>538</v>
      </c>
      <c r="W541" s="509"/>
      <c r="X541" s="321"/>
      <c r="Y541" s="321"/>
      <c r="Z541" s="433"/>
      <c r="AA541" s="356"/>
      <c r="AB541" s="306" t="str">
        <f t="shared" si="96"/>
        <v/>
      </c>
      <c r="AC541" s="893">
        <f t="shared" si="97"/>
        <v>0</v>
      </c>
      <c r="AD541" s="322"/>
      <c r="AE541" s="1"/>
      <c r="AF541" s="223">
        <f>IF(ISBLANK(AD541),0,COUNTIF(AF$4:AF540,"&gt;0")+1)</f>
        <v>0</v>
      </c>
      <c r="AG541" s="164">
        <f t="shared" si="103"/>
        <v>0</v>
      </c>
      <c r="AH541" s="99">
        <f t="shared" si="98"/>
        <v>0</v>
      </c>
      <c r="AI541" s="99">
        <f t="shared" si="104"/>
        <v>0</v>
      </c>
      <c r="AJ541" s="170">
        <f t="shared" si="105"/>
        <v>0</v>
      </c>
      <c r="AK541" s="204">
        <f t="shared" si="99"/>
        <v>0</v>
      </c>
      <c r="AL541" s="1049">
        <f>IF(ISERROR(AO541),0,IF(AND(AN541&gt;=$U$1,AN541&lt;=$U$2),IF(AO541='ESTRATTO CONTO'!$E$2,1+COUNTIF(AL$4:AL540,"&gt;0")+U$1009,0),0))</f>
        <v>0</v>
      </c>
      <c r="AM541" s="747">
        <f t="shared" si="102"/>
        <v>538</v>
      </c>
      <c r="AN541" s="164" t="e">
        <f>VLOOKUP($AM541,PATRIMONIALE!$AV593:AW$1003,2,FALSE)</f>
        <v>#N/A</v>
      </c>
      <c r="AO541" s="310" t="e">
        <f>VLOOKUP($AM541,PATRIMONIALE!$AV593:AX$1003,3,FALSE)</f>
        <v>#N/A</v>
      </c>
      <c r="AP541" s="310" t="e">
        <f>VLOOKUP($AM541,PATRIMONIALE!$AV593:AY$1003,4,FALSE)</f>
        <v>#N/A</v>
      </c>
      <c r="AQ541" s="748" t="e">
        <f>VLOOKUP($AM541,PATRIMONIALE!$AV593:AZ$1003,5,FALSE)</f>
        <v>#N/A</v>
      </c>
      <c r="AR541" s="1"/>
      <c r="AS541" s="461" t="str">
        <f t="shared" si="100"/>
        <v/>
      </c>
      <c r="AT541" s="370"/>
    </row>
    <row r="542" spans="1:46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435">
        <f>IF(AND(W542&gt;=$U$1,W542&lt;=$U$2),IF(X542='ESTRATTO CONTO'!$E$2,1+COUNTIF(U$4:U541,"&gt;0"),0),0)</f>
        <v>0</v>
      </c>
      <c r="V542" s="417">
        <f t="shared" si="101"/>
        <v>539</v>
      </c>
      <c r="W542" s="509"/>
      <c r="X542" s="321"/>
      <c r="Y542" s="321"/>
      <c r="Z542" s="433"/>
      <c r="AA542" s="356"/>
      <c r="AB542" s="306" t="str">
        <f t="shared" si="96"/>
        <v/>
      </c>
      <c r="AC542" s="893">
        <f t="shared" si="97"/>
        <v>0</v>
      </c>
      <c r="AD542" s="322"/>
      <c r="AE542" s="1"/>
      <c r="AF542" s="223">
        <f>IF(ISBLANK(AD542),0,COUNTIF(AF$4:AF541,"&gt;0")+1)</f>
        <v>0</v>
      </c>
      <c r="AG542" s="164">
        <f t="shared" si="103"/>
        <v>0</v>
      </c>
      <c r="AH542" s="99">
        <f t="shared" si="98"/>
        <v>0</v>
      </c>
      <c r="AI542" s="99">
        <f t="shared" si="104"/>
        <v>0</v>
      </c>
      <c r="AJ542" s="170">
        <f t="shared" si="105"/>
        <v>0</v>
      </c>
      <c r="AK542" s="204">
        <f t="shared" si="99"/>
        <v>0</v>
      </c>
      <c r="AL542" s="1049">
        <f>IF(ISERROR(AO542),0,IF(AND(AN542&gt;=$U$1,AN542&lt;=$U$2),IF(AO542='ESTRATTO CONTO'!$E$2,1+COUNTIF(AL$4:AL541,"&gt;0")+U$1009,0),0))</f>
        <v>0</v>
      </c>
      <c r="AM542" s="747">
        <f t="shared" si="102"/>
        <v>539</v>
      </c>
      <c r="AN542" s="164" t="e">
        <f>VLOOKUP($AM542,PATRIMONIALE!$AV594:AW$1003,2,FALSE)</f>
        <v>#N/A</v>
      </c>
      <c r="AO542" s="310" t="e">
        <f>VLOOKUP($AM542,PATRIMONIALE!$AV594:AX$1003,3,FALSE)</f>
        <v>#N/A</v>
      </c>
      <c r="AP542" s="310" t="e">
        <f>VLOOKUP($AM542,PATRIMONIALE!$AV594:AY$1003,4,FALSE)</f>
        <v>#N/A</v>
      </c>
      <c r="AQ542" s="748" t="e">
        <f>VLOOKUP($AM542,PATRIMONIALE!$AV594:AZ$1003,5,FALSE)</f>
        <v>#N/A</v>
      </c>
      <c r="AR542" s="1"/>
      <c r="AS542" s="461" t="str">
        <f t="shared" si="100"/>
        <v/>
      </c>
      <c r="AT542" s="370"/>
    </row>
    <row r="543" spans="1:46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435">
        <f>IF(AND(W543&gt;=$U$1,W543&lt;=$U$2),IF(X543='ESTRATTO CONTO'!$E$2,1+COUNTIF(U$4:U542,"&gt;0"),0),0)</f>
        <v>0</v>
      </c>
      <c r="V543" s="417">
        <f t="shared" si="101"/>
        <v>540</v>
      </c>
      <c r="W543" s="509"/>
      <c r="X543" s="321"/>
      <c r="Y543" s="321"/>
      <c r="Z543" s="433"/>
      <c r="AA543" s="356"/>
      <c r="AB543" s="306" t="str">
        <f t="shared" si="96"/>
        <v/>
      </c>
      <c r="AC543" s="893">
        <f t="shared" si="97"/>
        <v>0</v>
      </c>
      <c r="AD543" s="322"/>
      <c r="AE543" s="1"/>
      <c r="AF543" s="223">
        <f>IF(ISBLANK(AD543),0,COUNTIF(AF$4:AF542,"&gt;0")+1)</f>
        <v>0</v>
      </c>
      <c r="AG543" s="164">
        <f t="shared" si="103"/>
        <v>0</v>
      </c>
      <c r="AH543" s="99">
        <f t="shared" si="98"/>
        <v>0</v>
      </c>
      <c r="AI543" s="99">
        <f t="shared" si="104"/>
        <v>0</v>
      </c>
      <c r="AJ543" s="170">
        <f t="shared" si="105"/>
        <v>0</v>
      </c>
      <c r="AK543" s="204">
        <f t="shared" si="99"/>
        <v>0</v>
      </c>
      <c r="AL543" s="1049">
        <f>IF(ISERROR(AO543),0,IF(AND(AN543&gt;=$U$1,AN543&lt;=$U$2),IF(AO543='ESTRATTO CONTO'!$E$2,1+COUNTIF(AL$4:AL542,"&gt;0")+U$1009,0),0))</f>
        <v>0</v>
      </c>
      <c r="AM543" s="747">
        <f t="shared" si="102"/>
        <v>540</v>
      </c>
      <c r="AN543" s="164" t="e">
        <f>VLOOKUP($AM543,PATRIMONIALE!$AV595:AW$1003,2,FALSE)</f>
        <v>#N/A</v>
      </c>
      <c r="AO543" s="310" t="e">
        <f>VLOOKUP($AM543,PATRIMONIALE!$AV595:AX$1003,3,FALSE)</f>
        <v>#N/A</v>
      </c>
      <c r="AP543" s="310" t="e">
        <f>VLOOKUP($AM543,PATRIMONIALE!$AV595:AY$1003,4,FALSE)</f>
        <v>#N/A</v>
      </c>
      <c r="AQ543" s="748" t="e">
        <f>VLOOKUP($AM543,PATRIMONIALE!$AV595:AZ$1003,5,FALSE)</f>
        <v>#N/A</v>
      </c>
      <c r="AR543" s="1"/>
      <c r="AS543" s="461" t="str">
        <f t="shared" si="100"/>
        <v/>
      </c>
      <c r="AT543" s="370"/>
    </row>
    <row r="544" spans="1:46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435">
        <f>IF(AND(W544&gt;=$U$1,W544&lt;=$U$2),IF(X544='ESTRATTO CONTO'!$E$2,1+COUNTIF(U$4:U543,"&gt;0"),0),0)</f>
        <v>0</v>
      </c>
      <c r="V544" s="417">
        <f t="shared" si="101"/>
        <v>541</v>
      </c>
      <c r="W544" s="509"/>
      <c r="X544" s="321"/>
      <c r="Y544" s="321"/>
      <c r="Z544" s="433"/>
      <c r="AA544" s="356"/>
      <c r="AB544" s="306" t="str">
        <f t="shared" si="96"/>
        <v/>
      </c>
      <c r="AC544" s="893">
        <f t="shared" si="97"/>
        <v>0</v>
      </c>
      <c r="AD544" s="322"/>
      <c r="AE544" s="1"/>
      <c r="AF544" s="223">
        <f>IF(ISBLANK(AD544),0,COUNTIF(AF$4:AF543,"&gt;0")+1)</f>
        <v>0</v>
      </c>
      <c r="AG544" s="164">
        <f t="shared" si="103"/>
        <v>0</v>
      </c>
      <c r="AH544" s="99">
        <f t="shared" si="98"/>
        <v>0</v>
      </c>
      <c r="AI544" s="99">
        <f t="shared" si="104"/>
        <v>0</v>
      </c>
      <c r="AJ544" s="170">
        <f t="shared" si="105"/>
        <v>0</v>
      </c>
      <c r="AK544" s="204">
        <f t="shared" si="99"/>
        <v>0</v>
      </c>
      <c r="AL544" s="1049">
        <f>IF(ISERROR(AO544),0,IF(AND(AN544&gt;=$U$1,AN544&lt;=$U$2),IF(AO544='ESTRATTO CONTO'!$E$2,1+COUNTIF(AL$4:AL543,"&gt;0")+U$1009,0),0))</f>
        <v>0</v>
      </c>
      <c r="AM544" s="747">
        <f t="shared" si="102"/>
        <v>541</v>
      </c>
      <c r="AN544" s="164" t="e">
        <f>VLOOKUP($AM544,PATRIMONIALE!$AV596:AW$1003,2,FALSE)</f>
        <v>#N/A</v>
      </c>
      <c r="AO544" s="310" t="e">
        <f>VLOOKUP($AM544,PATRIMONIALE!$AV596:AX$1003,3,FALSE)</f>
        <v>#N/A</v>
      </c>
      <c r="AP544" s="310" t="e">
        <f>VLOOKUP($AM544,PATRIMONIALE!$AV596:AY$1003,4,FALSE)</f>
        <v>#N/A</v>
      </c>
      <c r="AQ544" s="748" t="e">
        <f>VLOOKUP($AM544,PATRIMONIALE!$AV596:AZ$1003,5,FALSE)</f>
        <v>#N/A</v>
      </c>
      <c r="AR544" s="1"/>
      <c r="AS544" s="461" t="str">
        <f t="shared" si="100"/>
        <v/>
      </c>
      <c r="AT544" s="370"/>
    </row>
    <row r="545" spans="1:46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435">
        <f>IF(AND(W545&gt;=$U$1,W545&lt;=$U$2),IF(X545='ESTRATTO CONTO'!$E$2,1+COUNTIF(U$4:U544,"&gt;0"),0),0)</f>
        <v>0</v>
      </c>
      <c r="V545" s="417">
        <f t="shared" si="101"/>
        <v>542</v>
      </c>
      <c r="W545" s="509"/>
      <c r="X545" s="321"/>
      <c r="Y545" s="321"/>
      <c r="Z545" s="433"/>
      <c r="AA545" s="356"/>
      <c r="AB545" s="306" t="str">
        <f t="shared" si="96"/>
        <v/>
      </c>
      <c r="AC545" s="893">
        <f t="shared" si="97"/>
        <v>0</v>
      </c>
      <c r="AD545" s="322"/>
      <c r="AE545" s="1"/>
      <c r="AF545" s="223">
        <f>IF(ISBLANK(AD545),0,COUNTIF(AF$4:AF544,"&gt;0")+1)</f>
        <v>0</v>
      </c>
      <c r="AG545" s="164">
        <f t="shared" si="103"/>
        <v>0</v>
      </c>
      <c r="AH545" s="99">
        <f t="shared" si="98"/>
        <v>0</v>
      </c>
      <c r="AI545" s="99">
        <f t="shared" si="104"/>
        <v>0</v>
      </c>
      <c r="AJ545" s="170">
        <f t="shared" si="105"/>
        <v>0</v>
      </c>
      <c r="AK545" s="204">
        <f t="shared" si="99"/>
        <v>0</v>
      </c>
      <c r="AL545" s="1049">
        <f>IF(ISERROR(AO545),0,IF(AND(AN545&gt;=$U$1,AN545&lt;=$U$2),IF(AO545='ESTRATTO CONTO'!$E$2,1+COUNTIF(AL$4:AL544,"&gt;0")+U$1009,0),0))</f>
        <v>0</v>
      </c>
      <c r="AM545" s="747">
        <f t="shared" si="102"/>
        <v>542</v>
      </c>
      <c r="AN545" s="164" t="e">
        <f>VLOOKUP($AM545,PATRIMONIALE!$AV597:AW$1003,2,FALSE)</f>
        <v>#N/A</v>
      </c>
      <c r="AO545" s="310" t="e">
        <f>VLOOKUP($AM545,PATRIMONIALE!$AV597:AX$1003,3,FALSE)</f>
        <v>#N/A</v>
      </c>
      <c r="AP545" s="310" t="e">
        <f>VLOOKUP($AM545,PATRIMONIALE!$AV597:AY$1003,4,FALSE)</f>
        <v>#N/A</v>
      </c>
      <c r="AQ545" s="748" t="e">
        <f>VLOOKUP($AM545,PATRIMONIALE!$AV597:AZ$1003,5,FALSE)</f>
        <v>#N/A</v>
      </c>
      <c r="AR545" s="1"/>
      <c r="AS545" s="461" t="str">
        <f t="shared" si="100"/>
        <v/>
      </c>
      <c r="AT545" s="370"/>
    </row>
    <row r="546" spans="1:46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435">
        <f>IF(AND(W546&gt;=$U$1,W546&lt;=$U$2),IF(X546='ESTRATTO CONTO'!$E$2,1+COUNTIF(U$4:U545,"&gt;0"),0),0)</f>
        <v>0</v>
      </c>
      <c r="V546" s="417">
        <f t="shared" si="101"/>
        <v>543</v>
      </c>
      <c r="W546" s="509"/>
      <c r="X546" s="321"/>
      <c r="Y546" s="321"/>
      <c r="Z546" s="433"/>
      <c r="AA546" s="356"/>
      <c r="AB546" s="306" t="str">
        <f t="shared" si="96"/>
        <v/>
      </c>
      <c r="AC546" s="893">
        <f t="shared" si="97"/>
        <v>0</v>
      </c>
      <c r="AD546" s="322"/>
      <c r="AE546" s="1"/>
      <c r="AF546" s="223">
        <f>IF(ISBLANK(AD546),0,COUNTIF(AF$4:AF545,"&gt;0")+1)</f>
        <v>0</v>
      </c>
      <c r="AG546" s="164">
        <f t="shared" si="103"/>
        <v>0</v>
      </c>
      <c r="AH546" s="99">
        <f t="shared" si="98"/>
        <v>0</v>
      </c>
      <c r="AI546" s="99">
        <f t="shared" si="104"/>
        <v>0</v>
      </c>
      <c r="AJ546" s="170">
        <f t="shared" si="105"/>
        <v>0</v>
      </c>
      <c r="AK546" s="204">
        <f t="shared" si="99"/>
        <v>0</v>
      </c>
      <c r="AL546" s="1049">
        <f>IF(ISERROR(AO546),0,IF(AND(AN546&gt;=$U$1,AN546&lt;=$U$2),IF(AO546='ESTRATTO CONTO'!$E$2,1+COUNTIF(AL$4:AL545,"&gt;0")+U$1009,0),0))</f>
        <v>0</v>
      </c>
      <c r="AM546" s="747">
        <f t="shared" si="102"/>
        <v>543</v>
      </c>
      <c r="AN546" s="164" t="e">
        <f>VLOOKUP($AM546,PATRIMONIALE!$AV598:AW$1003,2,FALSE)</f>
        <v>#N/A</v>
      </c>
      <c r="AO546" s="310" t="e">
        <f>VLOOKUP($AM546,PATRIMONIALE!$AV598:AX$1003,3,FALSE)</f>
        <v>#N/A</v>
      </c>
      <c r="AP546" s="310" t="e">
        <f>VLOOKUP($AM546,PATRIMONIALE!$AV598:AY$1003,4,FALSE)</f>
        <v>#N/A</v>
      </c>
      <c r="AQ546" s="748" t="e">
        <f>VLOOKUP($AM546,PATRIMONIALE!$AV598:AZ$1003,5,FALSE)</f>
        <v>#N/A</v>
      </c>
      <c r="AR546" s="1"/>
      <c r="AS546" s="461" t="str">
        <f t="shared" si="100"/>
        <v/>
      </c>
      <c r="AT546" s="370"/>
    </row>
    <row r="547" spans="1:46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435">
        <f>IF(AND(W547&gt;=$U$1,W547&lt;=$U$2),IF(X547='ESTRATTO CONTO'!$E$2,1+COUNTIF(U$4:U546,"&gt;0"),0),0)</f>
        <v>0</v>
      </c>
      <c r="V547" s="417">
        <f t="shared" si="101"/>
        <v>544</v>
      </c>
      <c r="W547" s="509"/>
      <c r="X547" s="321"/>
      <c r="Y547" s="321"/>
      <c r="Z547" s="433"/>
      <c r="AA547" s="356"/>
      <c r="AB547" s="306" t="str">
        <f t="shared" si="96"/>
        <v/>
      </c>
      <c r="AC547" s="893">
        <f t="shared" si="97"/>
        <v>0</v>
      </c>
      <c r="AD547" s="322"/>
      <c r="AE547" s="1"/>
      <c r="AF547" s="223">
        <f>IF(ISBLANK(AD547),0,COUNTIF(AF$4:AF546,"&gt;0")+1)</f>
        <v>0</v>
      </c>
      <c r="AG547" s="164">
        <f t="shared" si="103"/>
        <v>0</v>
      </c>
      <c r="AH547" s="99">
        <f t="shared" si="98"/>
        <v>0</v>
      </c>
      <c r="AI547" s="99">
        <f t="shared" si="104"/>
        <v>0</v>
      </c>
      <c r="AJ547" s="170">
        <f t="shared" si="105"/>
        <v>0</v>
      </c>
      <c r="AK547" s="204">
        <f t="shared" si="99"/>
        <v>0</v>
      </c>
      <c r="AL547" s="1049">
        <f>IF(ISERROR(AO547),0,IF(AND(AN547&gt;=$U$1,AN547&lt;=$U$2),IF(AO547='ESTRATTO CONTO'!$E$2,1+COUNTIF(AL$4:AL546,"&gt;0")+U$1009,0),0))</f>
        <v>0</v>
      </c>
      <c r="AM547" s="747">
        <f t="shared" si="102"/>
        <v>544</v>
      </c>
      <c r="AN547" s="164" t="e">
        <f>VLOOKUP($AM547,PATRIMONIALE!$AV599:AW$1003,2,FALSE)</f>
        <v>#N/A</v>
      </c>
      <c r="AO547" s="310" t="e">
        <f>VLOOKUP($AM547,PATRIMONIALE!$AV599:AX$1003,3,FALSE)</f>
        <v>#N/A</v>
      </c>
      <c r="AP547" s="310" t="e">
        <f>VLOOKUP($AM547,PATRIMONIALE!$AV599:AY$1003,4,FALSE)</f>
        <v>#N/A</v>
      </c>
      <c r="AQ547" s="748" t="e">
        <f>VLOOKUP($AM547,PATRIMONIALE!$AV599:AZ$1003,5,FALSE)</f>
        <v>#N/A</v>
      </c>
      <c r="AR547" s="1"/>
      <c r="AS547" s="461" t="str">
        <f t="shared" si="100"/>
        <v/>
      </c>
      <c r="AT547" s="370"/>
    </row>
    <row r="548" spans="1:46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435">
        <f>IF(AND(W548&gt;=$U$1,W548&lt;=$U$2),IF(X548='ESTRATTO CONTO'!$E$2,1+COUNTIF(U$4:U547,"&gt;0"),0),0)</f>
        <v>0</v>
      </c>
      <c r="V548" s="417">
        <f t="shared" si="101"/>
        <v>545</v>
      </c>
      <c r="W548" s="509"/>
      <c r="X548" s="321"/>
      <c r="Y548" s="321"/>
      <c r="Z548" s="433"/>
      <c r="AA548" s="356"/>
      <c r="AB548" s="306" t="str">
        <f t="shared" si="96"/>
        <v/>
      </c>
      <c r="AC548" s="893">
        <f t="shared" si="97"/>
        <v>0</v>
      </c>
      <c r="AD548" s="322"/>
      <c r="AE548" s="1"/>
      <c r="AF548" s="223">
        <f>IF(ISBLANK(AD548),0,COUNTIF(AF$4:AF547,"&gt;0")+1)</f>
        <v>0</v>
      </c>
      <c r="AG548" s="164">
        <f t="shared" si="103"/>
        <v>0</v>
      </c>
      <c r="AH548" s="99">
        <f t="shared" si="98"/>
        <v>0</v>
      </c>
      <c r="AI548" s="99">
        <f t="shared" si="104"/>
        <v>0</v>
      </c>
      <c r="AJ548" s="170">
        <f t="shared" si="105"/>
        <v>0</v>
      </c>
      <c r="AK548" s="204">
        <f t="shared" si="99"/>
        <v>0</v>
      </c>
      <c r="AL548" s="1049">
        <f>IF(ISERROR(AO548),0,IF(AND(AN548&gt;=$U$1,AN548&lt;=$U$2),IF(AO548='ESTRATTO CONTO'!$E$2,1+COUNTIF(AL$4:AL547,"&gt;0")+U$1009,0),0))</f>
        <v>0</v>
      </c>
      <c r="AM548" s="747">
        <f t="shared" si="102"/>
        <v>545</v>
      </c>
      <c r="AN548" s="164" t="e">
        <f>VLOOKUP($AM548,PATRIMONIALE!$AV600:AW$1003,2,FALSE)</f>
        <v>#N/A</v>
      </c>
      <c r="AO548" s="310" t="e">
        <f>VLOOKUP($AM548,PATRIMONIALE!$AV600:AX$1003,3,FALSE)</f>
        <v>#N/A</v>
      </c>
      <c r="AP548" s="310" t="e">
        <f>VLOOKUP($AM548,PATRIMONIALE!$AV600:AY$1003,4,FALSE)</f>
        <v>#N/A</v>
      </c>
      <c r="AQ548" s="748" t="e">
        <f>VLOOKUP($AM548,PATRIMONIALE!$AV600:AZ$1003,5,FALSE)</f>
        <v>#N/A</v>
      </c>
      <c r="AR548" s="1"/>
      <c r="AS548" s="461" t="str">
        <f t="shared" si="100"/>
        <v/>
      </c>
      <c r="AT548" s="370"/>
    </row>
    <row r="549" spans="1:46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435">
        <f>IF(AND(W549&gt;=$U$1,W549&lt;=$U$2),IF(X549='ESTRATTO CONTO'!$E$2,1+COUNTIF(U$4:U548,"&gt;0"),0),0)</f>
        <v>0</v>
      </c>
      <c r="V549" s="417">
        <f t="shared" si="101"/>
        <v>546</v>
      </c>
      <c r="W549" s="509"/>
      <c r="X549" s="321"/>
      <c r="Y549" s="321"/>
      <c r="Z549" s="433"/>
      <c r="AA549" s="356"/>
      <c r="AB549" s="306" t="str">
        <f t="shared" si="96"/>
        <v/>
      </c>
      <c r="AC549" s="893">
        <f t="shared" si="97"/>
        <v>0</v>
      </c>
      <c r="AD549" s="322"/>
      <c r="AE549" s="1"/>
      <c r="AF549" s="223">
        <f>IF(ISBLANK(AD549),0,COUNTIF(AF$4:AF548,"&gt;0")+1)</f>
        <v>0</v>
      </c>
      <c r="AG549" s="164">
        <f t="shared" si="103"/>
        <v>0</v>
      </c>
      <c r="AH549" s="99">
        <f t="shared" si="98"/>
        <v>0</v>
      </c>
      <c r="AI549" s="99">
        <f t="shared" si="104"/>
        <v>0</v>
      </c>
      <c r="AJ549" s="170">
        <f t="shared" si="105"/>
        <v>0</v>
      </c>
      <c r="AK549" s="204">
        <f t="shared" si="99"/>
        <v>0</v>
      </c>
      <c r="AL549" s="1049">
        <f>IF(ISERROR(AO549),0,IF(AND(AN549&gt;=$U$1,AN549&lt;=$U$2),IF(AO549='ESTRATTO CONTO'!$E$2,1+COUNTIF(AL$4:AL548,"&gt;0")+U$1009,0),0))</f>
        <v>0</v>
      </c>
      <c r="AM549" s="747">
        <f t="shared" si="102"/>
        <v>546</v>
      </c>
      <c r="AN549" s="164" t="e">
        <f>VLOOKUP($AM549,PATRIMONIALE!$AV601:AW$1003,2,FALSE)</f>
        <v>#N/A</v>
      </c>
      <c r="AO549" s="310" t="e">
        <f>VLOOKUP($AM549,PATRIMONIALE!$AV601:AX$1003,3,FALSE)</f>
        <v>#N/A</v>
      </c>
      <c r="AP549" s="310" t="e">
        <f>VLOOKUP($AM549,PATRIMONIALE!$AV601:AY$1003,4,FALSE)</f>
        <v>#N/A</v>
      </c>
      <c r="AQ549" s="748" t="e">
        <f>VLOOKUP($AM549,PATRIMONIALE!$AV601:AZ$1003,5,FALSE)</f>
        <v>#N/A</v>
      </c>
      <c r="AR549" s="1"/>
      <c r="AS549" s="461" t="str">
        <f t="shared" si="100"/>
        <v/>
      </c>
      <c r="AT549" s="370"/>
    </row>
    <row r="550" spans="1:46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435">
        <f>IF(AND(W550&gt;=$U$1,W550&lt;=$U$2),IF(X550='ESTRATTO CONTO'!$E$2,1+COUNTIF(U$4:U549,"&gt;0"),0),0)</f>
        <v>0</v>
      </c>
      <c r="V550" s="417">
        <f t="shared" si="101"/>
        <v>547</v>
      </c>
      <c r="W550" s="509"/>
      <c r="X550" s="321"/>
      <c r="Y550" s="321"/>
      <c r="Z550" s="433"/>
      <c r="AA550" s="356"/>
      <c r="AB550" s="306" t="str">
        <f t="shared" si="96"/>
        <v/>
      </c>
      <c r="AC550" s="893">
        <f t="shared" si="97"/>
        <v>0</v>
      </c>
      <c r="AD550" s="322"/>
      <c r="AE550" s="1"/>
      <c r="AF550" s="223">
        <f>IF(ISBLANK(AD550),0,COUNTIF(AF$4:AF549,"&gt;0")+1)</f>
        <v>0</v>
      </c>
      <c r="AG550" s="164">
        <f t="shared" si="103"/>
        <v>0</v>
      </c>
      <c r="AH550" s="99">
        <f t="shared" si="98"/>
        <v>0</v>
      </c>
      <c r="AI550" s="99">
        <f t="shared" si="104"/>
        <v>0</v>
      </c>
      <c r="AJ550" s="170">
        <f t="shared" si="105"/>
        <v>0</v>
      </c>
      <c r="AK550" s="204">
        <f t="shared" si="99"/>
        <v>0</v>
      </c>
      <c r="AL550" s="1049">
        <f>IF(ISERROR(AO550),0,IF(AND(AN550&gt;=$U$1,AN550&lt;=$U$2),IF(AO550='ESTRATTO CONTO'!$E$2,1+COUNTIF(AL$4:AL549,"&gt;0")+U$1009,0),0))</f>
        <v>0</v>
      </c>
      <c r="AM550" s="747">
        <f t="shared" si="102"/>
        <v>547</v>
      </c>
      <c r="AN550" s="164" t="e">
        <f>VLOOKUP($AM550,PATRIMONIALE!$AV602:AW$1003,2,FALSE)</f>
        <v>#N/A</v>
      </c>
      <c r="AO550" s="310" t="e">
        <f>VLOOKUP($AM550,PATRIMONIALE!$AV602:AX$1003,3,FALSE)</f>
        <v>#N/A</v>
      </c>
      <c r="AP550" s="310" t="e">
        <f>VLOOKUP($AM550,PATRIMONIALE!$AV602:AY$1003,4,FALSE)</f>
        <v>#N/A</v>
      </c>
      <c r="AQ550" s="748" t="e">
        <f>VLOOKUP($AM550,PATRIMONIALE!$AV602:AZ$1003,5,FALSE)</f>
        <v>#N/A</v>
      </c>
      <c r="AR550" s="1"/>
      <c r="AS550" s="461" t="str">
        <f t="shared" si="100"/>
        <v/>
      </c>
      <c r="AT550" s="370"/>
    </row>
    <row r="551" spans="1:46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435">
        <f>IF(AND(W551&gt;=$U$1,W551&lt;=$U$2),IF(X551='ESTRATTO CONTO'!$E$2,1+COUNTIF(U$4:U550,"&gt;0"),0),0)</f>
        <v>0</v>
      </c>
      <c r="V551" s="417">
        <f t="shared" si="101"/>
        <v>548</v>
      </c>
      <c r="W551" s="509"/>
      <c r="X551" s="321"/>
      <c r="Y551" s="321"/>
      <c r="Z551" s="433"/>
      <c r="AA551" s="356"/>
      <c r="AB551" s="306" t="str">
        <f t="shared" si="96"/>
        <v/>
      </c>
      <c r="AC551" s="893">
        <f t="shared" si="97"/>
        <v>0</v>
      </c>
      <c r="AD551" s="322"/>
      <c r="AE551" s="1"/>
      <c r="AF551" s="223">
        <f>IF(ISBLANK(AD551),0,COUNTIF(AF$4:AF550,"&gt;0")+1)</f>
        <v>0</v>
      </c>
      <c r="AG551" s="164">
        <f t="shared" si="103"/>
        <v>0</v>
      </c>
      <c r="AH551" s="99">
        <f t="shared" si="98"/>
        <v>0</v>
      </c>
      <c r="AI551" s="99">
        <f t="shared" si="104"/>
        <v>0</v>
      </c>
      <c r="AJ551" s="170">
        <f t="shared" si="105"/>
        <v>0</v>
      </c>
      <c r="AK551" s="204">
        <f t="shared" si="99"/>
        <v>0</v>
      </c>
      <c r="AL551" s="1049">
        <f>IF(ISERROR(AO551),0,IF(AND(AN551&gt;=$U$1,AN551&lt;=$U$2),IF(AO551='ESTRATTO CONTO'!$E$2,1+COUNTIF(AL$4:AL550,"&gt;0")+U$1009,0),0))</f>
        <v>0</v>
      </c>
      <c r="AM551" s="747">
        <f t="shared" si="102"/>
        <v>548</v>
      </c>
      <c r="AN551" s="164" t="e">
        <f>VLOOKUP($AM551,PATRIMONIALE!$AV603:AW$1003,2,FALSE)</f>
        <v>#N/A</v>
      </c>
      <c r="AO551" s="310" t="e">
        <f>VLOOKUP($AM551,PATRIMONIALE!$AV603:AX$1003,3,FALSE)</f>
        <v>#N/A</v>
      </c>
      <c r="AP551" s="310" t="e">
        <f>VLOOKUP($AM551,PATRIMONIALE!$AV603:AY$1003,4,FALSE)</f>
        <v>#N/A</v>
      </c>
      <c r="AQ551" s="748" t="e">
        <f>VLOOKUP($AM551,PATRIMONIALE!$AV603:AZ$1003,5,FALSE)</f>
        <v>#N/A</v>
      </c>
      <c r="AR551" s="1"/>
      <c r="AS551" s="461" t="str">
        <f t="shared" si="100"/>
        <v/>
      </c>
      <c r="AT551" s="370"/>
    </row>
    <row r="552" spans="1:46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435">
        <f>IF(AND(W552&gt;=$U$1,W552&lt;=$U$2),IF(X552='ESTRATTO CONTO'!$E$2,1+COUNTIF(U$4:U551,"&gt;0"),0),0)</f>
        <v>0</v>
      </c>
      <c r="V552" s="417">
        <f t="shared" si="101"/>
        <v>549</v>
      </c>
      <c r="W552" s="509"/>
      <c r="X552" s="321"/>
      <c r="Y552" s="321"/>
      <c r="Z552" s="433"/>
      <c r="AA552" s="356"/>
      <c r="AB552" s="306" t="str">
        <f t="shared" si="96"/>
        <v/>
      </c>
      <c r="AC552" s="893">
        <f t="shared" si="97"/>
        <v>0</v>
      </c>
      <c r="AD552" s="322"/>
      <c r="AE552" s="1"/>
      <c r="AF552" s="223">
        <f>IF(ISBLANK(AD552),0,COUNTIF(AF$4:AF551,"&gt;0")+1)</f>
        <v>0</v>
      </c>
      <c r="AG552" s="164">
        <f t="shared" si="103"/>
        <v>0</v>
      </c>
      <c r="AH552" s="99">
        <f t="shared" si="98"/>
        <v>0</v>
      </c>
      <c r="AI552" s="99">
        <f t="shared" si="104"/>
        <v>0</v>
      </c>
      <c r="AJ552" s="170">
        <f t="shared" si="105"/>
        <v>0</v>
      </c>
      <c r="AK552" s="204">
        <f t="shared" si="99"/>
        <v>0</v>
      </c>
      <c r="AL552" s="1049">
        <f>IF(ISERROR(AO552),0,IF(AND(AN552&gt;=$U$1,AN552&lt;=$U$2),IF(AO552='ESTRATTO CONTO'!$E$2,1+COUNTIF(AL$4:AL551,"&gt;0")+U$1009,0),0))</f>
        <v>0</v>
      </c>
      <c r="AM552" s="747">
        <f t="shared" si="102"/>
        <v>549</v>
      </c>
      <c r="AN552" s="164" t="e">
        <f>VLOOKUP($AM552,PATRIMONIALE!$AV604:AW$1003,2,FALSE)</f>
        <v>#N/A</v>
      </c>
      <c r="AO552" s="310" t="e">
        <f>VLOOKUP($AM552,PATRIMONIALE!$AV604:AX$1003,3,FALSE)</f>
        <v>#N/A</v>
      </c>
      <c r="AP552" s="310" t="e">
        <f>VLOOKUP($AM552,PATRIMONIALE!$AV604:AY$1003,4,FALSE)</f>
        <v>#N/A</v>
      </c>
      <c r="AQ552" s="748" t="e">
        <f>VLOOKUP($AM552,PATRIMONIALE!$AV604:AZ$1003,5,FALSE)</f>
        <v>#N/A</v>
      </c>
      <c r="AR552" s="1"/>
      <c r="AS552" s="461" t="str">
        <f t="shared" si="100"/>
        <v/>
      </c>
      <c r="AT552" s="370"/>
    </row>
    <row r="553" spans="1:46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435">
        <f>IF(AND(W553&gt;=$U$1,W553&lt;=$U$2),IF(X553='ESTRATTO CONTO'!$E$2,1+COUNTIF(U$4:U552,"&gt;0"),0),0)</f>
        <v>0</v>
      </c>
      <c r="V553" s="417">
        <f t="shared" si="101"/>
        <v>550</v>
      </c>
      <c r="W553" s="509"/>
      <c r="X553" s="321"/>
      <c r="Y553" s="321"/>
      <c r="Z553" s="433"/>
      <c r="AA553" s="356"/>
      <c r="AB553" s="306" t="str">
        <f t="shared" si="96"/>
        <v/>
      </c>
      <c r="AC553" s="893">
        <f t="shared" si="97"/>
        <v>0</v>
      </c>
      <c r="AD553" s="322"/>
      <c r="AE553" s="1"/>
      <c r="AF553" s="223">
        <f>IF(ISBLANK(AD553),0,COUNTIF(AF$4:AF552,"&gt;0")+1)</f>
        <v>0</v>
      </c>
      <c r="AG553" s="164">
        <f t="shared" si="103"/>
        <v>0</v>
      </c>
      <c r="AH553" s="99">
        <f t="shared" si="98"/>
        <v>0</v>
      </c>
      <c r="AI553" s="99">
        <f t="shared" si="104"/>
        <v>0</v>
      </c>
      <c r="AJ553" s="170">
        <f t="shared" si="105"/>
        <v>0</v>
      </c>
      <c r="AK553" s="204">
        <f t="shared" si="99"/>
        <v>0</v>
      </c>
      <c r="AL553" s="1049">
        <f>IF(ISERROR(AO553),0,IF(AND(AN553&gt;=$U$1,AN553&lt;=$U$2),IF(AO553='ESTRATTO CONTO'!$E$2,1+COUNTIF(AL$4:AL552,"&gt;0")+U$1009,0),0))</f>
        <v>0</v>
      </c>
      <c r="AM553" s="747">
        <f t="shared" si="102"/>
        <v>550</v>
      </c>
      <c r="AN553" s="164" t="e">
        <f>VLOOKUP($AM553,PATRIMONIALE!$AV605:AW$1003,2,FALSE)</f>
        <v>#N/A</v>
      </c>
      <c r="AO553" s="310" t="e">
        <f>VLOOKUP($AM553,PATRIMONIALE!$AV605:AX$1003,3,FALSE)</f>
        <v>#N/A</v>
      </c>
      <c r="AP553" s="310" t="e">
        <f>VLOOKUP($AM553,PATRIMONIALE!$AV605:AY$1003,4,FALSE)</f>
        <v>#N/A</v>
      </c>
      <c r="AQ553" s="748" t="e">
        <f>VLOOKUP($AM553,PATRIMONIALE!$AV605:AZ$1003,5,FALSE)</f>
        <v>#N/A</v>
      </c>
      <c r="AR553" s="1"/>
      <c r="AS553" s="461" t="str">
        <f t="shared" si="100"/>
        <v/>
      </c>
      <c r="AT553" s="370"/>
    </row>
    <row r="554" spans="1:46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435">
        <f>IF(AND(W554&gt;=$U$1,W554&lt;=$U$2),IF(X554='ESTRATTO CONTO'!$E$2,1+COUNTIF(U$4:U553,"&gt;0"),0),0)</f>
        <v>0</v>
      </c>
      <c r="V554" s="417">
        <f t="shared" si="101"/>
        <v>551</v>
      </c>
      <c r="W554" s="509"/>
      <c r="X554" s="321"/>
      <c r="Y554" s="321"/>
      <c r="Z554" s="433"/>
      <c r="AA554" s="356"/>
      <c r="AB554" s="306" t="str">
        <f t="shared" si="96"/>
        <v/>
      </c>
      <c r="AC554" s="893">
        <f t="shared" si="97"/>
        <v>0</v>
      </c>
      <c r="AD554" s="322"/>
      <c r="AE554" s="1"/>
      <c r="AF554" s="223">
        <f>IF(ISBLANK(AD554),0,COUNTIF(AF$4:AF553,"&gt;0")+1)</f>
        <v>0</v>
      </c>
      <c r="AG554" s="164">
        <f t="shared" si="103"/>
        <v>0</v>
      </c>
      <c r="AH554" s="99">
        <f t="shared" si="98"/>
        <v>0</v>
      </c>
      <c r="AI554" s="99">
        <f t="shared" si="104"/>
        <v>0</v>
      </c>
      <c r="AJ554" s="170">
        <f t="shared" si="105"/>
        <v>0</v>
      </c>
      <c r="AK554" s="204">
        <f t="shared" si="99"/>
        <v>0</v>
      </c>
      <c r="AL554" s="1049">
        <f>IF(ISERROR(AO554),0,IF(AND(AN554&gt;=$U$1,AN554&lt;=$U$2),IF(AO554='ESTRATTO CONTO'!$E$2,1+COUNTIF(AL$4:AL553,"&gt;0")+U$1009,0),0))</f>
        <v>0</v>
      </c>
      <c r="AM554" s="747">
        <f t="shared" si="102"/>
        <v>551</v>
      </c>
      <c r="AN554" s="164" t="e">
        <f>VLOOKUP($AM554,PATRIMONIALE!$AV606:AW$1003,2,FALSE)</f>
        <v>#N/A</v>
      </c>
      <c r="AO554" s="310" t="e">
        <f>VLOOKUP($AM554,PATRIMONIALE!$AV606:AX$1003,3,FALSE)</f>
        <v>#N/A</v>
      </c>
      <c r="AP554" s="310" t="e">
        <f>VLOOKUP($AM554,PATRIMONIALE!$AV606:AY$1003,4,FALSE)</f>
        <v>#N/A</v>
      </c>
      <c r="AQ554" s="748" t="e">
        <f>VLOOKUP($AM554,PATRIMONIALE!$AV606:AZ$1003,5,FALSE)</f>
        <v>#N/A</v>
      </c>
      <c r="AR554" s="1"/>
      <c r="AS554" s="461" t="str">
        <f t="shared" si="100"/>
        <v/>
      </c>
      <c r="AT554" s="370"/>
    </row>
    <row r="555" spans="1:46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435">
        <f>IF(AND(W555&gt;=$U$1,W555&lt;=$U$2),IF(X555='ESTRATTO CONTO'!$E$2,1+COUNTIF(U$4:U554,"&gt;0"),0),0)</f>
        <v>0</v>
      </c>
      <c r="V555" s="417">
        <f t="shared" si="101"/>
        <v>552</v>
      </c>
      <c r="W555" s="509"/>
      <c r="X555" s="321"/>
      <c r="Y555" s="321"/>
      <c r="Z555" s="433"/>
      <c r="AA555" s="356"/>
      <c r="AB555" s="306" t="str">
        <f t="shared" si="96"/>
        <v/>
      </c>
      <c r="AC555" s="893">
        <f t="shared" si="97"/>
        <v>0</v>
      </c>
      <c r="AD555" s="322"/>
      <c r="AE555" s="1"/>
      <c r="AF555" s="223">
        <f>IF(ISBLANK(AD555),0,COUNTIF(AF$4:AF554,"&gt;0")+1)</f>
        <v>0</v>
      </c>
      <c r="AG555" s="164">
        <f t="shared" si="103"/>
        <v>0</v>
      </c>
      <c r="AH555" s="99">
        <f t="shared" si="98"/>
        <v>0</v>
      </c>
      <c r="AI555" s="99">
        <f t="shared" si="104"/>
        <v>0</v>
      </c>
      <c r="AJ555" s="170">
        <f t="shared" si="105"/>
        <v>0</v>
      </c>
      <c r="AK555" s="204">
        <f t="shared" si="99"/>
        <v>0</v>
      </c>
      <c r="AL555" s="1049">
        <f>IF(ISERROR(AO555),0,IF(AND(AN555&gt;=$U$1,AN555&lt;=$U$2),IF(AO555='ESTRATTO CONTO'!$E$2,1+COUNTIF(AL$4:AL554,"&gt;0")+U$1009,0),0))</f>
        <v>0</v>
      </c>
      <c r="AM555" s="747">
        <f t="shared" si="102"/>
        <v>552</v>
      </c>
      <c r="AN555" s="164" t="e">
        <f>VLOOKUP($AM555,PATRIMONIALE!$AV607:AW$1003,2,FALSE)</f>
        <v>#N/A</v>
      </c>
      <c r="AO555" s="310" t="e">
        <f>VLOOKUP($AM555,PATRIMONIALE!$AV607:AX$1003,3,FALSE)</f>
        <v>#N/A</v>
      </c>
      <c r="AP555" s="310" t="e">
        <f>VLOOKUP($AM555,PATRIMONIALE!$AV607:AY$1003,4,FALSE)</f>
        <v>#N/A</v>
      </c>
      <c r="AQ555" s="748" t="e">
        <f>VLOOKUP($AM555,PATRIMONIALE!$AV607:AZ$1003,5,FALSE)</f>
        <v>#N/A</v>
      </c>
      <c r="AR555" s="1"/>
      <c r="AS555" s="461" t="str">
        <f t="shared" si="100"/>
        <v/>
      </c>
      <c r="AT555" s="370"/>
    </row>
    <row r="556" spans="1:46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435">
        <f>IF(AND(W556&gt;=$U$1,W556&lt;=$U$2),IF(X556='ESTRATTO CONTO'!$E$2,1+COUNTIF(U$4:U555,"&gt;0"),0),0)</f>
        <v>0</v>
      </c>
      <c r="V556" s="417">
        <f t="shared" si="101"/>
        <v>553</v>
      </c>
      <c r="W556" s="509"/>
      <c r="X556" s="321"/>
      <c r="Y556" s="321"/>
      <c r="Z556" s="433"/>
      <c r="AA556" s="356"/>
      <c r="AB556" s="306" t="str">
        <f t="shared" si="96"/>
        <v/>
      </c>
      <c r="AC556" s="893">
        <f t="shared" si="97"/>
        <v>0</v>
      </c>
      <c r="AD556" s="322"/>
      <c r="AE556" s="1"/>
      <c r="AF556" s="223">
        <f>IF(ISBLANK(AD556),0,COUNTIF(AF$4:AF555,"&gt;0")+1)</f>
        <v>0</v>
      </c>
      <c r="AG556" s="164">
        <f t="shared" si="103"/>
        <v>0</v>
      </c>
      <c r="AH556" s="99">
        <f t="shared" si="98"/>
        <v>0</v>
      </c>
      <c r="AI556" s="99">
        <f t="shared" si="104"/>
        <v>0</v>
      </c>
      <c r="AJ556" s="170">
        <f t="shared" si="105"/>
        <v>0</v>
      </c>
      <c r="AK556" s="204">
        <f t="shared" si="99"/>
        <v>0</v>
      </c>
      <c r="AL556" s="1049">
        <f>IF(ISERROR(AO556),0,IF(AND(AN556&gt;=$U$1,AN556&lt;=$U$2),IF(AO556='ESTRATTO CONTO'!$E$2,1+COUNTIF(AL$4:AL555,"&gt;0")+U$1009,0),0))</f>
        <v>0</v>
      </c>
      <c r="AM556" s="747">
        <f t="shared" si="102"/>
        <v>553</v>
      </c>
      <c r="AN556" s="164" t="e">
        <f>VLOOKUP($AM556,PATRIMONIALE!$AV608:AW$1003,2,FALSE)</f>
        <v>#N/A</v>
      </c>
      <c r="AO556" s="310" t="e">
        <f>VLOOKUP($AM556,PATRIMONIALE!$AV608:AX$1003,3,FALSE)</f>
        <v>#N/A</v>
      </c>
      <c r="AP556" s="310" t="e">
        <f>VLOOKUP($AM556,PATRIMONIALE!$AV608:AY$1003,4,FALSE)</f>
        <v>#N/A</v>
      </c>
      <c r="AQ556" s="748" t="e">
        <f>VLOOKUP($AM556,PATRIMONIALE!$AV608:AZ$1003,5,FALSE)</f>
        <v>#N/A</v>
      </c>
      <c r="AR556" s="1"/>
      <c r="AS556" s="461" t="str">
        <f t="shared" si="100"/>
        <v/>
      </c>
      <c r="AT556" s="370"/>
    </row>
    <row r="557" spans="1:46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435">
        <f>IF(AND(W557&gt;=$U$1,W557&lt;=$U$2),IF(X557='ESTRATTO CONTO'!$E$2,1+COUNTIF(U$4:U556,"&gt;0"),0),0)</f>
        <v>0</v>
      </c>
      <c r="V557" s="417">
        <f t="shared" si="101"/>
        <v>554</v>
      </c>
      <c r="W557" s="509"/>
      <c r="X557" s="321"/>
      <c r="Y557" s="321"/>
      <c r="Z557" s="433"/>
      <c r="AA557" s="356"/>
      <c r="AB557" s="306" t="str">
        <f t="shared" si="96"/>
        <v/>
      </c>
      <c r="AC557" s="893">
        <f t="shared" si="97"/>
        <v>0</v>
      </c>
      <c r="AD557" s="322"/>
      <c r="AE557" s="1"/>
      <c r="AF557" s="223">
        <f>IF(ISBLANK(AD557),0,COUNTIF(AF$4:AF556,"&gt;0")+1)</f>
        <v>0</v>
      </c>
      <c r="AG557" s="164">
        <f t="shared" si="103"/>
        <v>0</v>
      </c>
      <c r="AH557" s="99">
        <f t="shared" si="98"/>
        <v>0</v>
      </c>
      <c r="AI557" s="99">
        <f t="shared" si="104"/>
        <v>0</v>
      </c>
      <c r="AJ557" s="170">
        <f t="shared" si="105"/>
        <v>0</v>
      </c>
      <c r="AK557" s="204">
        <f t="shared" si="99"/>
        <v>0</v>
      </c>
      <c r="AL557" s="1049">
        <f>IF(ISERROR(AO557),0,IF(AND(AN557&gt;=$U$1,AN557&lt;=$U$2),IF(AO557='ESTRATTO CONTO'!$E$2,1+COUNTIF(AL$4:AL556,"&gt;0")+U$1009,0),0))</f>
        <v>0</v>
      </c>
      <c r="AM557" s="747">
        <f t="shared" si="102"/>
        <v>554</v>
      </c>
      <c r="AN557" s="164" t="e">
        <f>VLOOKUP($AM557,PATRIMONIALE!$AV609:AW$1003,2,FALSE)</f>
        <v>#N/A</v>
      </c>
      <c r="AO557" s="310" t="e">
        <f>VLOOKUP($AM557,PATRIMONIALE!$AV609:AX$1003,3,FALSE)</f>
        <v>#N/A</v>
      </c>
      <c r="AP557" s="310" t="e">
        <f>VLOOKUP($AM557,PATRIMONIALE!$AV609:AY$1003,4,FALSE)</f>
        <v>#N/A</v>
      </c>
      <c r="AQ557" s="748" t="e">
        <f>VLOOKUP($AM557,PATRIMONIALE!$AV609:AZ$1003,5,FALSE)</f>
        <v>#N/A</v>
      </c>
      <c r="AR557" s="1"/>
      <c r="AS557" s="461" t="str">
        <f t="shared" si="100"/>
        <v/>
      </c>
      <c r="AT557" s="370"/>
    </row>
    <row r="558" spans="1:46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435">
        <f>IF(AND(W558&gt;=$U$1,W558&lt;=$U$2),IF(X558='ESTRATTO CONTO'!$E$2,1+COUNTIF(U$4:U557,"&gt;0"),0),0)</f>
        <v>0</v>
      </c>
      <c r="V558" s="417">
        <f t="shared" si="101"/>
        <v>555</v>
      </c>
      <c r="W558" s="509"/>
      <c r="X558" s="321"/>
      <c r="Y558" s="321"/>
      <c r="Z558" s="433"/>
      <c r="AA558" s="356"/>
      <c r="AB558" s="306" t="str">
        <f t="shared" si="96"/>
        <v/>
      </c>
      <c r="AC558" s="893">
        <f t="shared" si="97"/>
        <v>0</v>
      </c>
      <c r="AD558" s="322"/>
      <c r="AE558" s="1"/>
      <c r="AF558" s="223">
        <f>IF(ISBLANK(AD558),0,COUNTIF(AF$4:AF557,"&gt;0")+1)</f>
        <v>0</v>
      </c>
      <c r="AG558" s="164">
        <f t="shared" si="103"/>
        <v>0</v>
      </c>
      <c r="AH558" s="99">
        <f t="shared" si="98"/>
        <v>0</v>
      </c>
      <c r="AI558" s="99">
        <f t="shared" si="104"/>
        <v>0</v>
      </c>
      <c r="AJ558" s="170">
        <f t="shared" si="105"/>
        <v>0</v>
      </c>
      <c r="AK558" s="204">
        <f t="shared" si="99"/>
        <v>0</v>
      </c>
      <c r="AL558" s="1049">
        <f>IF(ISERROR(AO558),0,IF(AND(AN558&gt;=$U$1,AN558&lt;=$U$2),IF(AO558='ESTRATTO CONTO'!$E$2,1+COUNTIF(AL$4:AL557,"&gt;0")+U$1009,0),0))</f>
        <v>0</v>
      </c>
      <c r="AM558" s="747">
        <f t="shared" si="102"/>
        <v>555</v>
      </c>
      <c r="AN558" s="164" t="e">
        <f>VLOOKUP($AM558,PATRIMONIALE!$AV610:AW$1003,2,FALSE)</f>
        <v>#N/A</v>
      </c>
      <c r="AO558" s="310" t="e">
        <f>VLOOKUP($AM558,PATRIMONIALE!$AV610:AX$1003,3,FALSE)</f>
        <v>#N/A</v>
      </c>
      <c r="AP558" s="310" t="e">
        <f>VLOOKUP($AM558,PATRIMONIALE!$AV610:AY$1003,4,FALSE)</f>
        <v>#N/A</v>
      </c>
      <c r="AQ558" s="748" t="e">
        <f>VLOOKUP($AM558,PATRIMONIALE!$AV610:AZ$1003,5,FALSE)</f>
        <v>#N/A</v>
      </c>
      <c r="AR558" s="1"/>
      <c r="AS558" s="461" t="str">
        <f t="shared" si="100"/>
        <v/>
      </c>
      <c r="AT558" s="370"/>
    </row>
    <row r="559" spans="1:46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435">
        <f>IF(AND(W559&gt;=$U$1,W559&lt;=$U$2),IF(X559='ESTRATTO CONTO'!$E$2,1+COUNTIF(U$4:U558,"&gt;0"),0),0)</f>
        <v>0</v>
      </c>
      <c r="V559" s="417">
        <f t="shared" si="101"/>
        <v>556</v>
      </c>
      <c r="W559" s="509"/>
      <c r="X559" s="321"/>
      <c r="Y559" s="321"/>
      <c r="Z559" s="433"/>
      <c r="AA559" s="356"/>
      <c r="AB559" s="306" t="str">
        <f t="shared" si="96"/>
        <v/>
      </c>
      <c r="AC559" s="893">
        <f t="shared" si="97"/>
        <v>0</v>
      </c>
      <c r="AD559" s="322"/>
      <c r="AE559" s="1"/>
      <c r="AF559" s="223">
        <f>IF(ISBLANK(AD559),0,COUNTIF(AF$4:AF558,"&gt;0")+1)</f>
        <v>0</v>
      </c>
      <c r="AG559" s="164">
        <f t="shared" si="103"/>
        <v>0</v>
      </c>
      <c r="AH559" s="99">
        <f t="shared" si="98"/>
        <v>0</v>
      </c>
      <c r="AI559" s="99">
        <f t="shared" si="104"/>
        <v>0</v>
      </c>
      <c r="AJ559" s="170">
        <f t="shared" si="105"/>
        <v>0</v>
      </c>
      <c r="AK559" s="204">
        <f t="shared" si="99"/>
        <v>0</v>
      </c>
      <c r="AL559" s="1049">
        <f>IF(ISERROR(AO559),0,IF(AND(AN559&gt;=$U$1,AN559&lt;=$U$2),IF(AO559='ESTRATTO CONTO'!$E$2,1+COUNTIF(AL$4:AL558,"&gt;0")+U$1009,0),0))</f>
        <v>0</v>
      </c>
      <c r="AM559" s="747">
        <f t="shared" si="102"/>
        <v>556</v>
      </c>
      <c r="AN559" s="164" t="e">
        <f>VLOOKUP($AM559,PATRIMONIALE!$AV611:AW$1003,2,FALSE)</f>
        <v>#N/A</v>
      </c>
      <c r="AO559" s="310" t="e">
        <f>VLOOKUP($AM559,PATRIMONIALE!$AV611:AX$1003,3,FALSE)</f>
        <v>#N/A</v>
      </c>
      <c r="AP559" s="310" t="e">
        <f>VLOOKUP($AM559,PATRIMONIALE!$AV611:AY$1003,4,FALSE)</f>
        <v>#N/A</v>
      </c>
      <c r="AQ559" s="748" t="e">
        <f>VLOOKUP($AM559,PATRIMONIALE!$AV611:AZ$1003,5,FALSE)</f>
        <v>#N/A</v>
      </c>
      <c r="AR559" s="1"/>
      <c r="AS559" s="461" t="str">
        <f t="shared" si="100"/>
        <v/>
      </c>
      <c r="AT559" s="370"/>
    </row>
    <row r="560" spans="1:46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435">
        <f>IF(AND(W560&gt;=$U$1,W560&lt;=$U$2),IF(X560='ESTRATTO CONTO'!$E$2,1+COUNTIF(U$4:U559,"&gt;0"),0),0)</f>
        <v>0</v>
      </c>
      <c r="V560" s="417">
        <f t="shared" si="101"/>
        <v>557</v>
      </c>
      <c r="W560" s="509"/>
      <c r="X560" s="321"/>
      <c r="Y560" s="321"/>
      <c r="Z560" s="433"/>
      <c r="AA560" s="356"/>
      <c r="AB560" s="306" t="str">
        <f t="shared" si="96"/>
        <v/>
      </c>
      <c r="AC560" s="893">
        <f t="shared" si="97"/>
        <v>0</v>
      </c>
      <c r="AD560" s="322"/>
      <c r="AE560" s="1"/>
      <c r="AF560" s="223">
        <f>IF(ISBLANK(AD560),0,COUNTIF(AF$4:AF559,"&gt;0")+1)</f>
        <v>0</v>
      </c>
      <c r="AG560" s="164">
        <f t="shared" si="103"/>
        <v>0</v>
      </c>
      <c r="AH560" s="99">
        <f t="shared" si="98"/>
        <v>0</v>
      </c>
      <c r="AI560" s="99">
        <f t="shared" si="104"/>
        <v>0</v>
      </c>
      <c r="AJ560" s="170">
        <f t="shared" si="105"/>
        <v>0</v>
      </c>
      <c r="AK560" s="204">
        <f t="shared" si="99"/>
        <v>0</v>
      </c>
      <c r="AL560" s="1049">
        <f>IF(ISERROR(AO560),0,IF(AND(AN560&gt;=$U$1,AN560&lt;=$U$2),IF(AO560='ESTRATTO CONTO'!$E$2,1+COUNTIF(AL$4:AL559,"&gt;0")+U$1009,0),0))</f>
        <v>0</v>
      </c>
      <c r="AM560" s="747">
        <f t="shared" si="102"/>
        <v>557</v>
      </c>
      <c r="AN560" s="164" t="e">
        <f>VLOOKUP($AM560,PATRIMONIALE!$AV612:AW$1003,2,FALSE)</f>
        <v>#N/A</v>
      </c>
      <c r="AO560" s="310" t="e">
        <f>VLOOKUP($AM560,PATRIMONIALE!$AV612:AX$1003,3,FALSE)</f>
        <v>#N/A</v>
      </c>
      <c r="AP560" s="310" t="e">
        <f>VLOOKUP($AM560,PATRIMONIALE!$AV612:AY$1003,4,FALSE)</f>
        <v>#N/A</v>
      </c>
      <c r="AQ560" s="748" t="e">
        <f>VLOOKUP($AM560,PATRIMONIALE!$AV612:AZ$1003,5,FALSE)</f>
        <v>#N/A</v>
      </c>
      <c r="AR560" s="1"/>
      <c r="AS560" s="461" t="str">
        <f t="shared" si="100"/>
        <v/>
      </c>
      <c r="AT560" s="370"/>
    </row>
    <row r="561" spans="1:46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435">
        <f>IF(AND(W561&gt;=$U$1,W561&lt;=$U$2),IF(X561='ESTRATTO CONTO'!$E$2,1+COUNTIF(U$4:U560,"&gt;0"),0),0)</f>
        <v>0</v>
      </c>
      <c r="V561" s="417">
        <f t="shared" si="101"/>
        <v>558</v>
      </c>
      <c r="W561" s="509"/>
      <c r="X561" s="321"/>
      <c r="Y561" s="321"/>
      <c r="Z561" s="433"/>
      <c r="AA561" s="356"/>
      <c r="AB561" s="306" t="str">
        <f t="shared" si="96"/>
        <v/>
      </c>
      <c r="AC561" s="893">
        <f t="shared" si="97"/>
        <v>0</v>
      </c>
      <c r="AD561" s="322"/>
      <c r="AE561" s="1"/>
      <c r="AF561" s="223">
        <f>IF(ISBLANK(AD561),0,COUNTIF(AF$4:AF560,"&gt;0")+1)</f>
        <v>0</v>
      </c>
      <c r="AG561" s="164">
        <f t="shared" si="103"/>
        <v>0</v>
      </c>
      <c r="AH561" s="99">
        <f t="shared" si="98"/>
        <v>0</v>
      </c>
      <c r="AI561" s="99">
        <f t="shared" si="104"/>
        <v>0</v>
      </c>
      <c r="AJ561" s="170">
        <f t="shared" si="105"/>
        <v>0</v>
      </c>
      <c r="AK561" s="204">
        <f t="shared" si="99"/>
        <v>0</v>
      </c>
      <c r="AL561" s="1049">
        <f>IF(ISERROR(AO561),0,IF(AND(AN561&gt;=$U$1,AN561&lt;=$U$2),IF(AO561='ESTRATTO CONTO'!$E$2,1+COUNTIF(AL$4:AL560,"&gt;0")+U$1009,0),0))</f>
        <v>0</v>
      </c>
      <c r="AM561" s="747">
        <f t="shared" si="102"/>
        <v>558</v>
      </c>
      <c r="AN561" s="164" t="e">
        <f>VLOOKUP($AM561,PATRIMONIALE!$AV613:AW$1003,2,FALSE)</f>
        <v>#N/A</v>
      </c>
      <c r="AO561" s="310" t="e">
        <f>VLOOKUP($AM561,PATRIMONIALE!$AV613:AX$1003,3,FALSE)</f>
        <v>#N/A</v>
      </c>
      <c r="AP561" s="310" t="e">
        <f>VLOOKUP($AM561,PATRIMONIALE!$AV613:AY$1003,4,FALSE)</f>
        <v>#N/A</v>
      </c>
      <c r="AQ561" s="748" t="e">
        <f>VLOOKUP($AM561,PATRIMONIALE!$AV613:AZ$1003,5,FALSE)</f>
        <v>#N/A</v>
      </c>
      <c r="AR561" s="1"/>
      <c r="AS561" s="461" t="str">
        <f t="shared" si="100"/>
        <v/>
      </c>
      <c r="AT561" s="370"/>
    </row>
    <row r="562" spans="1:46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435">
        <f>IF(AND(W562&gt;=$U$1,W562&lt;=$U$2),IF(X562='ESTRATTO CONTO'!$E$2,1+COUNTIF(U$4:U561,"&gt;0"),0),0)</f>
        <v>0</v>
      </c>
      <c r="V562" s="417">
        <f t="shared" si="101"/>
        <v>559</v>
      </c>
      <c r="W562" s="509"/>
      <c r="X562" s="321"/>
      <c r="Y562" s="321"/>
      <c r="Z562" s="433"/>
      <c r="AA562" s="356"/>
      <c r="AB562" s="306" t="str">
        <f t="shared" si="96"/>
        <v/>
      </c>
      <c r="AC562" s="893">
        <f t="shared" si="97"/>
        <v>0</v>
      </c>
      <c r="AD562" s="322"/>
      <c r="AE562" s="1"/>
      <c r="AF562" s="223">
        <f>IF(ISBLANK(AD562),0,COUNTIF(AF$4:AF561,"&gt;0")+1)</f>
        <v>0</v>
      </c>
      <c r="AG562" s="164">
        <f t="shared" si="103"/>
        <v>0</v>
      </c>
      <c r="AH562" s="99">
        <f t="shared" si="98"/>
        <v>0</v>
      </c>
      <c r="AI562" s="99">
        <f t="shared" si="104"/>
        <v>0</v>
      </c>
      <c r="AJ562" s="170">
        <f t="shared" si="105"/>
        <v>0</v>
      </c>
      <c r="AK562" s="204">
        <f t="shared" si="99"/>
        <v>0</v>
      </c>
      <c r="AL562" s="1049">
        <f>IF(ISERROR(AO562),0,IF(AND(AN562&gt;=$U$1,AN562&lt;=$U$2),IF(AO562='ESTRATTO CONTO'!$E$2,1+COUNTIF(AL$4:AL561,"&gt;0")+U$1009,0),0))</f>
        <v>0</v>
      </c>
      <c r="AM562" s="747">
        <f t="shared" si="102"/>
        <v>559</v>
      </c>
      <c r="AN562" s="164" t="e">
        <f>VLOOKUP($AM562,PATRIMONIALE!$AV614:AW$1003,2,FALSE)</f>
        <v>#N/A</v>
      </c>
      <c r="AO562" s="310" t="e">
        <f>VLOOKUP($AM562,PATRIMONIALE!$AV614:AX$1003,3,FALSE)</f>
        <v>#N/A</v>
      </c>
      <c r="AP562" s="310" t="e">
        <f>VLOOKUP($AM562,PATRIMONIALE!$AV614:AY$1003,4,FALSE)</f>
        <v>#N/A</v>
      </c>
      <c r="AQ562" s="748" t="e">
        <f>VLOOKUP($AM562,PATRIMONIALE!$AV614:AZ$1003,5,FALSE)</f>
        <v>#N/A</v>
      </c>
      <c r="AR562" s="1"/>
      <c r="AS562" s="461" t="str">
        <f t="shared" si="100"/>
        <v/>
      </c>
      <c r="AT562" s="370"/>
    </row>
    <row r="563" spans="1:46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435">
        <f>IF(AND(W563&gt;=$U$1,W563&lt;=$U$2),IF(X563='ESTRATTO CONTO'!$E$2,1+COUNTIF(U$4:U562,"&gt;0"),0),0)</f>
        <v>0</v>
      </c>
      <c r="V563" s="417">
        <f t="shared" si="101"/>
        <v>560</v>
      </c>
      <c r="W563" s="509"/>
      <c r="X563" s="321"/>
      <c r="Y563" s="321"/>
      <c r="Z563" s="433"/>
      <c r="AA563" s="356"/>
      <c r="AB563" s="306" t="str">
        <f t="shared" si="96"/>
        <v/>
      </c>
      <c r="AC563" s="893">
        <f t="shared" si="97"/>
        <v>0</v>
      </c>
      <c r="AD563" s="322"/>
      <c r="AE563" s="1"/>
      <c r="AF563" s="223">
        <f>IF(ISBLANK(AD563),0,COUNTIF(AF$4:AF562,"&gt;0")+1)</f>
        <v>0</v>
      </c>
      <c r="AG563" s="164">
        <f t="shared" si="103"/>
        <v>0</v>
      </c>
      <c r="AH563" s="99">
        <f t="shared" si="98"/>
        <v>0</v>
      </c>
      <c r="AI563" s="99">
        <f t="shared" si="104"/>
        <v>0</v>
      </c>
      <c r="AJ563" s="170">
        <f t="shared" si="105"/>
        <v>0</v>
      </c>
      <c r="AK563" s="204">
        <f t="shared" si="99"/>
        <v>0</v>
      </c>
      <c r="AL563" s="1049">
        <f>IF(ISERROR(AO563),0,IF(AND(AN563&gt;=$U$1,AN563&lt;=$U$2),IF(AO563='ESTRATTO CONTO'!$E$2,1+COUNTIF(AL$4:AL562,"&gt;0")+U$1009,0),0))</f>
        <v>0</v>
      </c>
      <c r="AM563" s="747">
        <f t="shared" si="102"/>
        <v>560</v>
      </c>
      <c r="AN563" s="164" t="e">
        <f>VLOOKUP($AM563,PATRIMONIALE!$AV615:AW$1003,2,FALSE)</f>
        <v>#N/A</v>
      </c>
      <c r="AO563" s="310" t="e">
        <f>VLOOKUP($AM563,PATRIMONIALE!$AV615:AX$1003,3,FALSE)</f>
        <v>#N/A</v>
      </c>
      <c r="AP563" s="310" t="e">
        <f>VLOOKUP($AM563,PATRIMONIALE!$AV615:AY$1003,4,FALSE)</f>
        <v>#N/A</v>
      </c>
      <c r="AQ563" s="748" t="e">
        <f>VLOOKUP($AM563,PATRIMONIALE!$AV615:AZ$1003,5,FALSE)</f>
        <v>#N/A</v>
      </c>
      <c r="AR563" s="1"/>
      <c r="AS563" s="461" t="str">
        <f t="shared" si="100"/>
        <v/>
      </c>
      <c r="AT563" s="370"/>
    </row>
    <row r="564" spans="1:46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435">
        <f>IF(AND(W564&gt;=$U$1,W564&lt;=$U$2),IF(X564='ESTRATTO CONTO'!$E$2,1+COUNTIF(U$4:U563,"&gt;0"),0),0)</f>
        <v>0</v>
      </c>
      <c r="V564" s="417">
        <f t="shared" si="101"/>
        <v>561</v>
      </c>
      <c r="W564" s="509"/>
      <c r="X564" s="321"/>
      <c r="Y564" s="321"/>
      <c r="Z564" s="433"/>
      <c r="AA564" s="356"/>
      <c r="AB564" s="306" t="str">
        <f t="shared" si="96"/>
        <v/>
      </c>
      <c r="AC564" s="893">
        <f t="shared" si="97"/>
        <v>0</v>
      </c>
      <c r="AD564" s="322"/>
      <c r="AE564" s="1"/>
      <c r="AF564" s="223">
        <f>IF(ISBLANK(AD564),0,COUNTIF(AF$4:AF563,"&gt;0")+1)</f>
        <v>0</v>
      </c>
      <c r="AG564" s="164">
        <f t="shared" si="103"/>
        <v>0</v>
      </c>
      <c r="AH564" s="99">
        <f t="shared" si="98"/>
        <v>0</v>
      </c>
      <c r="AI564" s="99">
        <f t="shared" si="104"/>
        <v>0</v>
      </c>
      <c r="AJ564" s="170">
        <f t="shared" si="105"/>
        <v>0</v>
      </c>
      <c r="AK564" s="204">
        <f t="shared" si="99"/>
        <v>0</v>
      </c>
      <c r="AL564" s="1049">
        <f>IF(ISERROR(AO564),0,IF(AND(AN564&gt;=$U$1,AN564&lt;=$U$2),IF(AO564='ESTRATTO CONTO'!$E$2,1+COUNTIF(AL$4:AL563,"&gt;0")+U$1009,0),0))</f>
        <v>0</v>
      </c>
      <c r="AM564" s="747">
        <f t="shared" si="102"/>
        <v>561</v>
      </c>
      <c r="AN564" s="164" t="e">
        <f>VLOOKUP($AM564,PATRIMONIALE!$AV616:AW$1003,2,FALSE)</f>
        <v>#N/A</v>
      </c>
      <c r="AO564" s="310" t="e">
        <f>VLOOKUP($AM564,PATRIMONIALE!$AV616:AX$1003,3,FALSE)</f>
        <v>#N/A</v>
      </c>
      <c r="AP564" s="310" t="e">
        <f>VLOOKUP($AM564,PATRIMONIALE!$AV616:AY$1003,4,FALSE)</f>
        <v>#N/A</v>
      </c>
      <c r="AQ564" s="748" t="e">
        <f>VLOOKUP($AM564,PATRIMONIALE!$AV616:AZ$1003,5,FALSE)</f>
        <v>#N/A</v>
      </c>
      <c r="AR564" s="1"/>
      <c r="AS564" s="461" t="str">
        <f t="shared" si="100"/>
        <v/>
      </c>
      <c r="AT564" s="370"/>
    </row>
    <row r="565" spans="1:46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435">
        <f>IF(AND(W565&gt;=$U$1,W565&lt;=$U$2),IF(X565='ESTRATTO CONTO'!$E$2,1+COUNTIF(U$4:U564,"&gt;0"),0),0)</f>
        <v>0</v>
      </c>
      <c r="V565" s="417">
        <f t="shared" si="101"/>
        <v>562</v>
      </c>
      <c r="W565" s="509"/>
      <c r="X565" s="321"/>
      <c r="Y565" s="321"/>
      <c r="Z565" s="433"/>
      <c r="AA565" s="356"/>
      <c r="AB565" s="306" t="str">
        <f t="shared" si="96"/>
        <v/>
      </c>
      <c r="AC565" s="893">
        <f t="shared" si="97"/>
        <v>0</v>
      </c>
      <c r="AD565" s="322"/>
      <c r="AE565" s="1"/>
      <c r="AF565" s="223">
        <f>IF(ISBLANK(AD565),0,COUNTIF(AF$4:AF564,"&gt;0")+1)</f>
        <v>0</v>
      </c>
      <c r="AG565" s="164">
        <f t="shared" si="103"/>
        <v>0</v>
      </c>
      <c r="AH565" s="99">
        <f t="shared" si="98"/>
        <v>0</v>
      </c>
      <c r="AI565" s="99">
        <f t="shared" si="104"/>
        <v>0</v>
      </c>
      <c r="AJ565" s="170">
        <f t="shared" si="105"/>
        <v>0</v>
      </c>
      <c r="AK565" s="204">
        <f t="shared" si="99"/>
        <v>0</v>
      </c>
      <c r="AL565" s="1049">
        <f>IF(ISERROR(AO565),0,IF(AND(AN565&gt;=$U$1,AN565&lt;=$U$2),IF(AO565='ESTRATTO CONTO'!$E$2,1+COUNTIF(AL$4:AL564,"&gt;0")+U$1009,0),0))</f>
        <v>0</v>
      </c>
      <c r="AM565" s="747">
        <f t="shared" si="102"/>
        <v>562</v>
      </c>
      <c r="AN565" s="164" t="e">
        <f>VLOOKUP($AM565,PATRIMONIALE!$AV617:AW$1003,2,FALSE)</f>
        <v>#N/A</v>
      </c>
      <c r="AO565" s="310" t="e">
        <f>VLOOKUP($AM565,PATRIMONIALE!$AV617:AX$1003,3,FALSE)</f>
        <v>#N/A</v>
      </c>
      <c r="AP565" s="310" t="e">
        <f>VLOOKUP($AM565,PATRIMONIALE!$AV617:AY$1003,4,FALSE)</f>
        <v>#N/A</v>
      </c>
      <c r="AQ565" s="748" t="e">
        <f>VLOOKUP($AM565,PATRIMONIALE!$AV617:AZ$1003,5,FALSE)</f>
        <v>#N/A</v>
      </c>
      <c r="AR565" s="1"/>
      <c r="AS565" s="461" t="str">
        <f t="shared" si="100"/>
        <v/>
      </c>
      <c r="AT565" s="370"/>
    </row>
    <row r="566" spans="1:46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435">
        <f>IF(AND(W566&gt;=$U$1,W566&lt;=$U$2),IF(X566='ESTRATTO CONTO'!$E$2,1+COUNTIF(U$4:U565,"&gt;0"),0),0)</f>
        <v>0</v>
      </c>
      <c r="V566" s="417">
        <f t="shared" si="101"/>
        <v>563</v>
      </c>
      <c r="W566" s="509"/>
      <c r="X566" s="321"/>
      <c r="Y566" s="321"/>
      <c r="Z566" s="433"/>
      <c r="AA566" s="356"/>
      <c r="AB566" s="306" t="str">
        <f t="shared" si="96"/>
        <v/>
      </c>
      <c r="AC566" s="893">
        <f t="shared" si="97"/>
        <v>0</v>
      </c>
      <c r="AD566" s="322"/>
      <c r="AE566" s="1"/>
      <c r="AF566" s="223">
        <f>IF(ISBLANK(AD566),0,COUNTIF(AF$4:AF565,"&gt;0")+1)</f>
        <v>0</v>
      </c>
      <c r="AG566" s="164">
        <f t="shared" si="103"/>
        <v>0</v>
      </c>
      <c r="AH566" s="99">
        <f t="shared" si="98"/>
        <v>0</v>
      </c>
      <c r="AI566" s="99">
        <f t="shared" si="104"/>
        <v>0</v>
      </c>
      <c r="AJ566" s="170">
        <f t="shared" si="105"/>
        <v>0</v>
      </c>
      <c r="AK566" s="204">
        <f t="shared" si="99"/>
        <v>0</v>
      </c>
      <c r="AL566" s="1049">
        <f>IF(ISERROR(AO566),0,IF(AND(AN566&gt;=$U$1,AN566&lt;=$U$2),IF(AO566='ESTRATTO CONTO'!$E$2,1+COUNTIF(AL$4:AL565,"&gt;0")+U$1009,0),0))</f>
        <v>0</v>
      </c>
      <c r="AM566" s="747">
        <f t="shared" si="102"/>
        <v>563</v>
      </c>
      <c r="AN566" s="164" t="e">
        <f>VLOOKUP($AM566,PATRIMONIALE!$AV618:AW$1003,2,FALSE)</f>
        <v>#N/A</v>
      </c>
      <c r="AO566" s="310" t="e">
        <f>VLOOKUP($AM566,PATRIMONIALE!$AV618:AX$1003,3,FALSE)</f>
        <v>#N/A</v>
      </c>
      <c r="AP566" s="310" t="e">
        <f>VLOOKUP($AM566,PATRIMONIALE!$AV618:AY$1003,4,FALSE)</f>
        <v>#N/A</v>
      </c>
      <c r="AQ566" s="748" t="e">
        <f>VLOOKUP($AM566,PATRIMONIALE!$AV618:AZ$1003,5,FALSE)</f>
        <v>#N/A</v>
      </c>
      <c r="AR566" s="1"/>
      <c r="AS566" s="461" t="str">
        <f t="shared" si="100"/>
        <v/>
      </c>
      <c r="AT566" s="370"/>
    </row>
    <row r="567" spans="1:46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435">
        <f>IF(AND(W567&gt;=$U$1,W567&lt;=$U$2),IF(X567='ESTRATTO CONTO'!$E$2,1+COUNTIF(U$4:U566,"&gt;0"),0),0)</f>
        <v>0</v>
      </c>
      <c r="V567" s="417">
        <f t="shared" si="101"/>
        <v>564</v>
      </c>
      <c r="W567" s="509"/>
      <c r="X567" s="321"/>
      <c r="Y567" s="321"/>
      <c r="Z567" s="433"/>
      <c r="AA567" s="356"/>
      <c r="AB567" s="306" t="str">
        <f t="shared" si="96"/>
        <v/>
      </c>
      <c r="AC567" s="893">
        <f t="shared" si="97"/>
        <v>0</v>
      </c>
      <c r="AD567" s="322"/>
      <c r="AE567" s="1"/>
      <c r="AF567" s="223">
        <f>IF(ISBLANK(AD567),0,COUNTIF(AF$4:AF566,"&gt;0")+1)</f>
        <v>0</v>
      </c>
      <c r="AG567" s="164">
        <f t="shared" si="103"/>
        <v>0</v>
      </c>
      <c r="AH567" s="99">
        <f t="shared" si="98"/>
        <v>0</v>
      </c>
      <c r="AI567" s="99">
        <f t="shared" si="104"/>
        <v>0</v>
      </c>
      <c r="AJ567" s="170">
        <f t="shared" si="105"/>
        <v>0</v>
      </c>
      <c r="AK567" s="204">
        <f t="shared" si="99"/>
        <v>0</v>
      </c>
      <c r="AL567" s="1049">
        <f>IF(ISERROR(AO567),0,IF(AND(AN567&gt;=$U$1,AN567&lt;=$U$2),IF(AO567='ESTRATTO CONTO'!$E$2,1+COUNTIF(AL$4:AL566,"&gt;0")+U$1009,0),0))</f>
        <v>0</v>
      </c>
      <c r="AM567" s="747">
        <f t="shared" si="102"/>
        <v>564</v>
      </c>
      <c r="AN567" s="164" t="e">
        <f>VLOOKUP($AM567,PATRIMONIALE!$AV619:AW$1003,2,FALSE)</f>
        <v>#N/A</v>
      </c>
      <c r="AO567" s="310" t="e">
        <f>VLOOKUP($AM567,PATRIMONIALE!$AV619:AX$1003,3,FALSE)</f>
        <v>#N/A</v>
      </c>
      <c r="AP567" s="310" t="e">
        <f>VLOOKUP($AM567,PATRIMONIALE!$AV619:AY$1003,4,FALSE)</f>
        <v>#N/A</v>
      </c>
      <c r="AQ567" s="748" t="e">
        <f>VLOOKUP($AM567,PATRIMONIALE!$AV619:AZ$1003,5,FALSE)</f>
        <v>#N/A</v>
      </c>
      <c r="AR567" s="1"/>
      <c r="AS567" s="461" t="str">
        <f t="shared" si="100"/>
        <v/>
      </c>
      <c r="AT567" s="370"/>
    </row>
    <row r="568" spans="1:46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435">
        <f>IF(AND(W568&gt;=$U$1,W568&lt;=$U$2),IF(X568='ESTRATTO CONTO'!$E$2,1+COUNTIF(U$4:U567,"&gt;0"),0),0)</f>
        <v>0</v>
      </c>
      <c r="V568" s="417">
        <f t="shared" si="101"/>
        <v>565</v>
      </c>
      <c r="W568" s="509"/>
      <c r="X568" s="321"/>
      <c r="Y568" s="321"/>
      <c r="Z568" s="433"/>
      <c r="AA568" s="356"/>
      <c r="AB568" s="306" t="str">
        <f t="shared" si="96"/>
        <v/>
      </c>
      <c r="AC568" s="893">
        <f t="shared" si="97"/>
        <v>0</v>
      </c>
      <c r="AD568" s="322"/>
      <c r="AE568" s="1"/>
      <c r="AF568" s="223">
        <f>IF(ISBLANK(AD568),0,COUNTIF(AF$4:AF567,"&gt;0")+1)</f>
        <v>0</v>
      </c>
      <c r="AG568" s="164">
        <f t="shared" si="103"/>
        <v>0</v>
      </c>
      <c r="AH568" s="99">
        <f t="shared" si="98"/>
        <v>0</v>
      </c>
      <c r="AI568" s="99">
        <f t="shared" si="104"/>
        <v>0</v>
      </c>
      <c r="AJ568" s="170">
        <f t="shared" si="105"/>
        <v>0</v>
      </c>
      <c r="AK568" s="204">
        <f t="shared" si="99"/>
        <v>0</v>
      </c>
      <c r="AL568" s="1049">
        <f>IF(ISERROR(AO568),0,IF(AND(AN568&gt;=$U$1,AN568&lt;=$U$2),IF(AO568='ESTRATTO CONTO'!$E$2,1+COUNTIF(AL$4:AL567,"&gt;0")+U$1009,0),0))</f>
        <v>0</v>
      </c>
      <c r="AM568" s="747">
        <f t="shared" si="102"/>
        <v>565</v>
      </c>
      <c r="AN568" s="164" t="e">
        <f>VLOOKUP($AM568,PATRIMONIALE!$AV620:AW$1003,2,FALSE)</f>
        <v>#N/A</v>
      </c>
      <c r="AO568" s="310" t="e">
        <f>VLOOKUP($AM568,PATRIMONIALE!$AV620:AX$1003,3,FALSE)</f>
        <v>#N/A</v>
      </c>
      <c r="AP568" s="310" t="e">
        <f>VLOOKUP($AM568,PATRIMONIALE!$AV620:AY$1003,4,FALSE)</f>
        <v>#N/A</v>
      </c>
      <c r="AQ568" s="748" t="e">
        <f>VLOOKUP($AM568,PATRIMONIALE!$AV620:AZ$1003,5,FALSE)</f>
        <v>#N/A</v>
      </c>
      <c r="AR568" s="1"/>
      <c r="AS568" s="461" t="str">
        <f t="shared" si="100"/>
        <v/>
      </c>
      <c r="AT568" s="370"/>
    </row>
    <row r="569" spans="1:46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435">
        <f>IF(AND(W569&gt;=$U$1,W569&lt;=$U$2),IF(X569='ESTRATTO CONTO'!$E$2,1+COUNTIF(U$4:U568,"&gt;0"),0),0)</f>
        <v>0</v>
      </c>
      <c r="V569" s="417">
        <f t="shared" si="101"/>
        <v>566</v>
      </c>
      <c r="W569" s="509"/>
      <c r="X569" s="321"/>
      <c r="Y569" s="321"/>
      <c r="Z569" s="433"/>
      <c r="AA569" s="356"/>
      <c r="AB569" s="306" t="str">
        <f t="shared" si="96"/>
        <v/>
      </c>
      <c r="AC569" s="893">
        <f t="shared" si="97"/>
        <v>0</v>
      </c>
      <c r="AD569" s="322"/>
      <c r="AE569" s="1"/>
      <c r="AF569" s="223">
        <f>IF(ISBLANK(AD569),0,COUNTIF(AF$4:AF568,"&gt;0")+1)</f>
        <v>0</v>
      </c>
      <c r="AG569" s="164">
        <f t="shared" si="103"/>
        <v>0</v>
      </c>
      <c r="AH569" s="99">
        <f t="shared" si="98"/>
        <v>0</v>
      </c>
      <c r="AI569" s="99">
        <f t="shared" si="104"/>
        <v>0</v>
      </c>
      <c r="AJ569" s="170">
        <f t="shared" si="105"/>
        <v>0</v>
      </c>
      <c r="AK569" s="204">
        <f t="shared" si="99"/>
        <v>0</v>
      </c>
      <c r="AL569" s="1049">
        <f>IF(ISERROR(AO569),0,IF(AND(AN569&gt;=$U$1,AN569&lt;=$U$2),IF(AO569='ESTRATTO CONTO'!$E$2,1+COUNTIF(AL$4:AL568,"&gt;0")+U$1009,0),0))</f>
        <v>0</v>
      </c>
      <c r="AM569" s="747">
        <f t="shared" si="102"/>
        <v>566</v>
      </c>
      <c r="AN569" s="164" t="e">
        <f>VLOOKUP($AM569,PATRIMONIALE!$AV621:AW$1003,2,FALSE)</f>
        <v>#N/A</v>
      </c>
      <c r="AO569" s="310" t="e">
        <f>VLOOKUP($AM569,PATRIMONIALE!$AV621:AX$1003,3,FALSE)</f>
        <v>#N/A</v>
      </c>
      <c r="AP569" s="310" t="e">
        <f>VLOOKUP($AM569,PATRIMONIALE!$AV621:AY$1003,4,FALSE)</f>
        <v>#N/A</v>
      </c>
      <c r="AQ569" s="748" t="e">
        <f>VLOOKUP($AM569,PATRIMONIALE!$AV621:AZ$1003,5,FALSE)</f>
        <v>#N/A</v>
      </c>
      <c r="AR569" s="1"/>
      <c r="AS569" s="461" t="str">
        <f t="shared" si="100"/>
        <v/>
      </c>
      <c r="AT569" s="370"/>
    </row>
    <row r="570" spans="1:46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435">
        <f>IF(AND(W570&gt;=$U$1,W570&lt;=$U$2),IF(X570='ESTRATTO CONTO'!$E$2,1+COUNTIF(U$4:U569,"&gt;0"),0),0)</f>
        <v>0</v>
      </c>
      <c r="V570" s="417">
        <f t="shared" si="101"/>
        <v>567</v>
      </c>
      <c r="W570" s="509"/>
      <c r="X570" s="321"/>
      <c r="Y570" s="321"/>
      <c r="Z570" s="433"/>
      <c r="AA570" s="356"/>
      <c r="AB570" s="306" t="str">
        <f t="shared" si="96"/>
        <v/>
      </c>
      <c r="AC570" s="893">
        <f t="shared" si="97"/>
        <v>0</v>
      </c>
      <c r="AD570" s="322"/>
      <c r="AE570" s="1"/>
      <c r="AF570" s="223">
        <f>IF(ISBLANK(AD570),0,COUNTIF(AF$4:AF569,"&gt;0")+1)</f>
        <v>0</v>
      </c>
      <c r="AG570" s="164">
        <f t="shared" si="103"/>
        <v>0</v>
      </c>
      <c r="AH570" s="99">
        <f t="shared" si="98"/>
        <v>0</v>
      </c>
      <c r="AI570" s="99">
        <f t="shared" si="104"/>
        <v>0</v>
      </c>
      <c r="AJ570" s="170">
        <f t="shared" si="105"/>
        <v>0</v>
      </c>
      <c r="AK570" s="204">
        <f t="shared" si="99"/>
        <v>0</v>
      </c>
      <c r="AL570" s="1049">
        <f>IF(ISERROR(AO570),0,IF(AND(AN570&gt;=$U$1,AN570&lt;=$U$2),IF(AO570='ESTRATTO CONTO'!$E$2,1+COUNTIF(AL$4:AL569,"&gt;0")+U$1009,0),0))</f>
        <v>0</v>
      </c>
      <c r="AM570" s="747">
        <f t="shared" si="102"/>
        <v>567</v>
      </c>
      <c r="AN570" s="164" t="e">
        <f>VLOOKUP($AM570,PATRIMONIALE!$AV622:AW$1003,2,FALSE)</f>
        <v>#N/A</v>
      </c>
      <c r="AO570" s="310" t="e">
        <f>VLOOKUP($AM570,PATRIMONIALE!$AV622:AX$1003,3,FALSE)</f>
        <v>#N/A</v>
      </c>
      <c r="AP570" s="310" t="e">
        <f>VLOOKUP($AM570,PATRIMONIALE!$AV622:AY$1003,4,FALSE)</f>
        <v>#N/A</v>
      </c>
      <c r="AQ570" s="748" t="e">
        <f>VLOOKUP($AM570,PATRIMONIALE!$AV622:AZ$1003,5,FALSE)</f>
        <v>#N/A</v>
      </c>
      <c r="AR570" s="1"/>
      <c r="AS570" s="461" t="str">
        <f t="shared" si="100"/>
        <v/>
      </c>
      <c r="AT570" s="370"/>
    </row>
    <row r="571" spans="1:46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435">
        <f>IF(AND(W571&gt;=$U$1,W571&lt;=$U$2),IF(X571='ESTRATTO CONTO'!$E$2,1+COUNTIF(U$4:U570,"&gt;0"),0),0)</f>
        <v>0</v>
      </c>
      <c r="V571" s="417">
        <f t="shared" si="101"/>
        <v>568</v>
      </c>
      <c r="W571" s="509"/>
      <c r="X571" s="321"/>
      <c r="Y571" s="321"/>
      <c r="Z571" s="433"/>
      <c r="AA571" s="356"/>
      <c r="AB571" s="306" t="str">
        <f t="shared" si="96"/>
        <v/>
      </c>
      <c r="AC571" s="893">
        <f t="shared" si="97"/>
        <v>0</v>
      </c>
      <c r="AD571" s="322"/>
      <c r="AE571" s="1"/>
      <c r="AF571" s="223">
        <f>IF(ISBLANK(AD571),0,COUNTIF(AF$4:AF570,"&gt;0")+1)</f>
        <v>0</v>
      </c>
      <c r="AG571" s="164">
        <f t="shared" si="103"/>
        <v>0</v>
      </c>
      <c r="AH571" s="99">
        <f t="shared" si="98"/>
        <v>0</v>
      </c>
      <c r="AI571" s="99">
        <f t="shared" si="104"/>
        <v>0</v>
      </c>
      <c r="AJ571" s="170">
        <f t="shared" si="105"/>
        <v>0</v>
      </c>
      <c r="AK571" s="204">
        <f t="shared" si="99"/>
        <v>0</v>
      </c>
      <c r="AL571" s="1049">
        <f>IF(ISERROR(AO571),0,IF(AND(AN571&gt;=$U$1,AN571&lt;=$U$2),IF(AO571='ESTRATTO CONTO'!$E$2,1+COUNTIF(AL$4:AL570,"&gt;0")+U$1009,0),0))</f>
        <v>0</v>
      </c>
      <c r="AM571" s="747">
        <f t="shared" si="102"/>
        <v>568</v>
      </c>
      <c r="AN571" s="164" t="e">
        <f>VLOOKUP($AM571,PATRIMONIALE!$AV623:AW$1003,2,FALSE)</f>
        <v>#N/A</v>
      </c>
      <c r="AO571" s="310" t="e">
        <f>VLOOKUP($AM571,PATRIMONIALE!$AV623:AX$1003,3,FALSE)</f>
        <v>#N/A</v>
      </c>
      <c r="AP571" s="310" t="e">
        <f>VLOOKUP($AM571,PATRIMONIALE!$AV623:AY$1003,4,FALSE)</f>
        <v>#N/A</v>
      </c>
      <c r="AQ571" s="748" t="e">
        <f>VLOOKUP($AM571,PATRIMONIALE!$AV623:AZ$1003,5,FALSE)</f>
        <v>#N/A</v>
      </c>
      <c r="AR571" s="1"/>
      <c r="AS571" s="461" t="str">
        <f t="shared" si="100"/>
        <v/>
      </c>
      <c r="AT571" s="370"/>
    </row>
    <row r="572" spans="1:46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435">
        <f>IF(AND(W572&gt;=$U$1,W572&lt;=$U$2),IF(X572='ESTRATTO CONTO'!$E$2,1+COUNTIF(U$4:U571,"&gt;0"),0),0)</f>
        <v>0</v>
      </c>
      <c r="V572" s="417">
        <f t="shared" si="101"/>
        <v>569</v>
      </c>
      <c r="W572" s="509"/>
      <c r="X572" s="321"/>
      <c r="Y572" s="321"/>
      <c r="Z572" s="433"/>
      <c r="AA572" s="356"/>
      <c r="AB572" s="306" t="str">
        <f t="shared" si="96"/>
        <v/>
      </c>
      <c r="AC572" s="893">
        <f t="shared" si="97"/>
        <v>0</v>
      </c>
      <c r="AD572" s="322"/>
      <c r="AE572" s="1"/>
      <c r="AF572" s="223">
        <f>IF(ISBLANK(AD572),0,COUNTIF(AF$4:AF571,"&gt;0")+1)</f>
        <v>0</v>
      </c>
      <c r="AG572" s="164">
        <f t="shared" si="103"/>
        <v>0</v>
      </c>
      <c r="AH572" s="99">
        <f t="shared" si="98"/>
        <v>0</v>
      </c>
      <c r="AI572" s="99">
        <f t="shared" si="104"/>
        <v>0</v>
      </c>
      <c r="AJ572" s="170">
        <f t="shared" si="105"/>
        <v>0</v>
      </c>
      <c r="AK572" s="204">
        <f t="shared" si="99"/>
        <v>0</v>
      </c>
      <c r="AL572" s="1049">
        <f>IF(ISERROR(AO572),0,IF(AND(AN572&gt;=$U$1,AN572&lt;=$U$2),IF(AO572='ESTRATTO CONTO'!$E$2,1+COUNTIF(AL$4:AL571,"&gt;0")+U$1009,0),0))</f>
        <v>0</v>
      </c>
      <c r="AM572" s="747">
        <f t="shared" si="102"/>
        <v>569</v>
      </c>
      <c r="AN572" s="164" t="e">
        <f>VLOOKUP($AM572,PATRIMONIALE!$AV624:AW$1003,2,FALSE)</f>
        <v>#N/A</v>
      </c>
      <c r="AO572" s="310" t="e">
        <f>VLOOKUP($AM572,PATRIMONIALE!$AV624:AX$1003,3,FALSE)</f>
        <v>#N/A</v>
      </c>
      <c r="AP572" s="310" t="e">
        <f>VLOOKUP($AM572,PATRIMONIALE!$AV624:AY$1003,4,FALSE)</f>
        <v>#N/A</v>
      </c>
      <c r="AQ572" s="748" t="e">
        <f>VLOOKUP($AM572,PATRIMONIALE!$AV624:AZ$1003,5,FALSE)</f>
        <v>#N/A</v>
      </c>
      <c r="AR572" s="1"/>
      <c r="AS572" s="461" t="str">
        <f t="shared" si="100"/>
        <v/>
      </c>
      <c r="AT572" s="370"/>
    </row>
    <row r="573" spans="1:46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435">
        <f>IF(AND(W573&gt;=$U$1,W573&lt;=$U$2),IF(X573='ESTRATTO CONTO'!$E$2,1+COUNTIF(U$4:U572,"&gt;0"),0),0)</f>
        <v>0</v>
      </c>
      <c r="V573" s="417">
        <f t="shared" si="101"/>
        <v>570</v>
      </c>
      <c r="W573" s="509"/>
      <c r="X573" s="321"/>
      <c r="Y573" s="321"/>
      <c r="Z573" s="433"/>
      <c r="AA573" s="356"/>
      <c r="AB573" s="306" t="str">
        <f t="shared" si="96"/>
        <v/>
      </c>
      <c r="AC573" s="893">
        <f t="shared" si="97"/>
        <v>0</v>
      </c>
      <c r="AD573" s="322"/>
      <c r="AE573" s="1"/>
      <c r="AF573" s="223">
        <f>IF(ISBLANK(AD573),0,COUNTIF(AF$4:AF572,"&gt;0")+1)</f>
        <v>0</v>
      </c>
      <c r="AG573" s="164">
        <f t="shared" si="103"/>
        <v>0</v>
      </c>
      <c r="AH573" s="99">
        <f t="shared" si="98"/>
        <v>0</v>
      </c>
      <c r="AI573" s="99">
        <f t="shared" si="104"/>
        <v>0</v>
      </c>
      <c r="AJ573" s="170">
        <f t="shared" si="105"/>
        <v>0</v>
      </c>
      <c r="AK573" s="204">
        <f t="shared" si="99"/>
        <v>0</v>
      </c>
      <c r="AL573" s="1049">
        <f>IF(ISERROR(AO573),0,IF(AND(AN573&gt;=$U$1,AN573&lt;=$U$2),IF(AO573='ESTRATTO CONTO'!$E$2,1+COUNTIF(AL$4:AL572,"&gt;0")+U$1009,0),0))</f>
        <v>0</v>
      </c>
      <c r="AM573" s="747">
        <f t="shared" si="102"/>
        <v>570</v>
      </c>
      <c r="AN573" s="164" t="e">
        <f>VLOOKUP($AM573,PATRIMONIALE!$AV625:AW$1003,2,FALSE)</f>
        <v>#N/A</v>
      </c>
      <c r="AO573" s="310" t="e">
        <f>VLOOKUP($AM573,PATRIMONIALE!$AV625:AX$1003,3,FALSE)</f>
        <v>#N/A</v>
      </c>
      <c r="AP573" s="310" t="e">
        <f>VLOOKUP($AM573,PATRIMONIALE!$AV625:AY$1003,4,FALSE)</f>
        <v>#N/A</v>
      </c>
      <c r="AQ573" s="748" t="e">
        <f>VLOOKUP($AM573,PATRIMONIALE!$AV625:AZ$1003,5,FALSE)</f>
        <v>#N/A</v>
      </c>
      <c r="AR573" s="1"/>
      <c r="AS573" s="461" t="str">
        <f t="shared" si="100"/>
        <v/>
      </c>
      <c r="AT573" s="370"/>
    </row>
    <row r="574" spans="1:46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435">
        <f>IF(AND(W574&gt;=$U$1,W574&lt;=$U$2),IF(X574='ESTRATTO CONTO'!$E$2,1+COUNTIF(U$4:U573,"&gt;0"),0),0)</f>
        <v>0</v>
      </c>
      <c r="V574" s="417">
        <f t="shared" si="101"/>
        <v>571</v>
      </c>
      <c r="W574" s="509"/>
      <c r="X574" s="321"/>
      <c r="Y574" s="321"/>
      <c r="Z574" s="433"/>
      <c r="AA574" s="356"/>
      <c r="AB574" s="306" t="str">
        <f t="shared" si="96"/>
        <v/>
      </c>
      <c r="AC574" s="893">
        <f t="shared" si="97"/>
        <v>0</v>
      </c>
      <c r="AD574" s="322"/>
      <c r="AE574" s="1"/>
      <c r="AF574" s="223">
        <f>IF(ISBLANK(AD574),0,COUNTIF(AF$4:AF573,"&gt;0")+1)</f>
        <v>0</v>
      </c>
      <c r="AG574" s="164">
        <f t="shared" si="103"/>
        <v>0</v>
      </c>
      <c r="AH574" s="99">
        <f t="shared" si="98"/>
        <v>0</v>
      </c>
      <c r="AI574" s="99">
        <f t="shared" si="104"/>
        <v>0</v>
      </c>
      <c r="AJ574" s="170">
        <f t="shared" si="105"/>
        <v>0</v>
      </c>
      <c r="AK574" s="204">
        <f t="shared" si="99"/>
        <v>0</v>
      </c>
      <c r="AL574" s="1049">
        <f>IF(ISERROR(AO574),0,IF(AND(AN574&gt;=$U$1,AN574&lt;=$U$2),IF(AO574='ESTRATTO CONTO'!$E$2,1+COUNTIF(AL$4:AL573,"&gt;0")+U$1009,0),0))</f>
        <v>0</v>
      </c>
      <c r="AM574" s="747">
        <f t="shared" si="102"/>
        <v>571</v>
      </c>
      <c r="AN574" s="164" t="e">
        <f>VLOOKUP($AM574,PATRIMONIALE!$AV626:AW$1003,2,FALSE)</f>
        <v>#N/A</v>
      </c>
      <c r="AO574" s="310" t="e">
        <f>VLOOKUP($AM574,PATRIMONIALE!$AV626:AX$1003,3,FALSE)</f>
        <v>#N/A</v>
      </c>
      <c r="AP574" s="310" t="e">
        <f>VLOOKUP($AM574,PATRIMONIALE!$AV626:AY$1003,4,FALSE)</f>
        <v>#N/A</v>
      </c>
      <c r="AQ574" s="748" t="e">
        <f>VLOOKUP($AM574,PATRIMONIALE!$AV626:AZ$1003,5,FALSE)</f>
        <v>#N/A</v>
      </c>
      <c r="AR574" s="1"/>
      <c r="AS574" s="461" t="str">
        <f t="shared" si="100"/>
        <v/>
      </c>
      <c r="AT574" s="370"/>
    </row>
    <row r="575" spans="1:46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435">
        <f>IF(AND(W575&gt;=$U$1,W575&lt;=$U$2),IF(X575='ESTRATTO CONTO'!$E$2,1+COUNTIF(U$4:U574,"&gt;0"),0),0)</f>
        <v>0</v>
      </c>
      <c r="V575" s="417">
        <f t="shared" si="101"/>
        <v>572</v>
      </c>
      <c r="W575" s="509"/>
      <c r="X575" s="321"/>
      <c r="Y575" s="321"/>
      <c r="Z575" s="433"/>
      <c r="AA575" s="356"/>
      <c r="AB575" s="306" t="str">
        <f t="shared" si="96"/>
        <v/>
      </c>
      <c r="AC575" s="893">
        <f t="shared" si="97"/>
        <v>0</v>
      </c>
      <c r="AD575" s="322"/>
      <c r="AE575" s="1"/>
      <c r="AF575" s="223">
        <f>IF(ISBLANK(AD575),0,COUNTIF(AF$4:AF574,"&gt;0")+1)</f>
        <v>0</v>
      </c>
      <c r="AG575" s="164">
        <f t="shared" si="103"/>
        <v>0</v>
      </c>
      <c r="AH575" s="99">
        <f t="shared" si="98"/>
        <v>0</v>
      </c>
      <c r="AI575" s="99">
        <f t="shared" si="104"/>
        <v>0</v>
      </c>
      <c r="AJ575" s="170">
        <f t="shared" si="105"/>
        <v>0</v>
      </c>
      <c r="AK575" s="204">
        <f t="shared" si="99"/>
        <v>0</v>
      </c>
      <c r="AL575" s="1049">
        <f>IF(ISERROR(AO575),0,IF(AND(AN575&gt;=$U$1,AN575&lt;=$U$2),IF(AO575='ESTRATTO CONTO'!$E$2,1+COUNTIF(AL$4:AL574,"&gt;0")+U$1009,0),0))</f>
        <v>0</v>
      </c>
      <c r="AM575" s="747">
        <f t="shared" si="102"/>
        <v>572</v>
      </c>
      <c r="AN575" s="164" t="e">
        <f>VLOOKUP($AM575,PATRIMONIALE!$AV627:AW$1003,2,FALSE)</f>
        <v>#N/A</v>
      </c>
      <c r="AO575" s="310" t="e">
        <f>VLOOKUP($AM575,PATRIMONIALE!$AV627:AX$1003,3,FALSE)</f>
        <v>#N/A</v>
      </c>
      <c r="AP575" s="310" t="e">
        <f>VLOOKUP($AM575,PATRIMONIALE!$AV627:AY$1003,4,FALSE)</f>
        <v>#N/A</v>
      </c>
      <c r="AQ575" s="748" t="e">
        <f>VLOOKUP($AM575,PATRIMONIALE!$AV627:AZ$1003,5,FALSE)</f>
        <v>#N/A</v>
      </c>
      <c r="AR575" s="1"/>
      <c r="AS575" s="461" t="str">
        <f t="shared" si="100"/>
        <v/>
      </c>
      <c r="AT575" s="370"/>
    </row>
    <row r="576" spans="1:46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435">
        <f>IF(AND(W576&gt;=$U$1,W576&lt;=$U$2),IF(X576='ESTRATTO CONTO'!$E$2,1+COUNTIF(U$4:U575,"&gt;0"),0),0)</f>
        <v>0</v>
      </c>
      <c r="V576" s="417">
        <f t="shared" si="101"/>
        <v>573</v>
      </c>
      <c r="W576" s="509"/>
      <c r="X576" s="321"/>
      <c r="Y576" s="321"/>
      <c r="Z576" s="433"/>
      <c r="AA576" s="356"/>
      <c r="AB576" s="306" t="str">
        <f t="shared" si="96"/>
        <v/>
      </c>
      <c r="AC576" s="893">
        <f t="shared" si="97"/>
        <v>0</v>
      </c>
      <c r="AD576" s="322"/>
      <c r="AE576" s="1"/>
      <c r="AF576" s="223">
        <f>IF(ISBLANK(AD576),0,COUNTIF(AF$4:AF575,"&gt;0")+1)</f>
        <v>0</v>
      </c>
      <c r="AG576" s="164">
        <f t="shared" si="103"/>
        <v>0</v>
      </c>
      <c r="AH576" s="99">
        <f t="shared" si="98"/>
        <v>0</v>
      </c>
      <c r="AI576" s="99">
        <f t="shared" si="104"/>
        <v>0</v>
      </c>
      <c r="AJ576" s="170">
        <f t="shared" si="105"/>
        <v>0</v>
      </c>
      <c r="AK576" s="204">
        <f t="shared" si="99"/>
        <v>0</v>
      </c>
      <c r="AL576" s="1049">
        <f>IF(ISERROR(AO576),0,IF(AND(AN576&gt;=$U$1,AN576&lt;=$U$2),IF(AO576='ESTRATTO CONTO'!$E$2,1+COUNTIF(AL$4:AL575,"&gt;0")+U$1009,0),0))</f>
        <v>0</v>
      </c>
      <c r="AM576" s="747">
        <f t="shared" si="102"/>
        <v>573</v>
      </c>
      <c r="AN576" s="164" t="e">
        <f>VLOOKUP($AM576,PATRIMONIALE!$AV628:AW$1003,2,FALSE)</f>
        <v>#N/A</v>
      </c>
      <c r="AO576" s="310" t="e">
        <f>VLOOKUP($AM576,PATRIMONIALE!$AV628:AX$1003,3,FALSE)</f>
        <v>#N/A</v>
      </c>
      <c r="AP576" s="310" t="e">
        <f>VLOOKUP($AM576,PATRIMONIALE!$AV628:AY$1003,4,FALSE)</f>
        <v>#N/A</v>
      </c>
      <c r="AQ576" s="748" t="e">
        <f>VLOOKUP($AM576,PATRIMONIALE!$AV628:AZ$1003,5,FALSE)</f>
        <v>#N/A</v>
      </c>
      <c r="AR576" s="1"/>
      <c r="AS576" s="461" t="str">
        <f t="shared" si="100"/>
        <v/>
      </c>
      <c r="AT576" s="370"/>
    </row>
    <row r="577" spans="1:46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435">
        <f>IF(AND(W577&gt;=$U$1,W577&lt;=$U$2),IF(X577='ESTRATTO CONTO'!$E$2,1+COUNTIF(U$4:U576,"&gt;0"),0),0)</f>
        <v>0</v>
      </c>
      <c r="V577" s="417">
        <f t="shared" si="101"/>
        <v>574</v>
      </c>
      <c r="W577" s="509"/>
      <c r="X577" s="321"/>
      <c r="Y577" s="321"/>
      <c r="Z577" s="433"/>
      <c r="AA577" s="356"/>
      <c r="AB577" s="306" t="str">
        <f t="shared" si="96"/>
        <v/>
      </c>
      <c r="AC577" s="893">
        <f t="shared" si="97"/>
        <v>0</v>
      </c>
      <c r="AD577" s="322"/>
      <c r="AE577" s="1"/>
      <c r="AF577" s="223">
        <f>IF(ISBLANK(AD577),0,COUNTIF(AF$4:AF576,"&gt;0")+1)</f>
        <v>0</v>
      </c>
      <c r="AG577" s="164">
        <f t="shared" si="103"/>
        <v>0</v>
      </c>
      <c r="AH577" s="99">
        <f t="shared" si="98"/>
        <v>0</v>
      </c>
      <c r="AI577" s="99">
        <f t="shared" si="104"/>
        <v>0</v>
      </c>
      <c r="AJ577" s="170">
        <f t="shared" si="105"/>
        <v>0</v>
      </c>
      <c r="AK577" s="204">
        <f t="shared" si="99"/>
        <v>0</v>
      </c>
      <c r="AL577" s="1049">
        <f>IF(ISERROR(AO577),0,IF(AND(AN577&gt;=$U$1,AN577&lt;=$U$2),IF(AO577='ESTRATTO CONTO'!$E$2,1+COUNTIF(AL$4:AL576,"&gt;0")+U$1009,0),0))</f>
        <v>0</v>
      </c>
      <c r="AM577" s="747">
        <f t="shared" si="102"/>
        <v>574</v>
      </c>
      <c r="AN577" s="164" t="e">
        <f>VLOOKUP($AM577,PATRIMONIALE!$AV629:AW$1003,2,FALSE)</f>
        <v>#N/A</v>
      </c>
      <c r="AO577" s="310" t="e">
        <f>VLOOKUP($AM577,PATRIMONIALE!$AV629:AX$1003,3,FALSE)</f>
        <v>#N/A</v>
      </c>
      <c r="AP577" s="310" t="e">
        <f>VLOOKUP($AM577,PATRIMONIALE!$AV629:AY$1003,4,FALSE)</f>
        <v>#N/A</v>
      </c>
      <c r="AQ577" s="748" t="e">
        <f>VLOOKUP($AM577,PATRIMONIALE!$AV629:AZ$1003,5,FALSE)</f>
        <v>#N/A</v>
      </c>
      <c r="AR577" s="1"/>
      <c r="AS577" s="461" t="str">
        <f t="shared" si="100"/>
        <v/>
      </c>
      <c r="AT577" s="370"/>
    </row>
    <row r="578" spans="1:46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435">
        <f>IF(AND(W578&gt;=$U$1,W578&lt;=$U$2),IF(X578='ESTRATTO CONTO'!$E$2,1+COUNTIF(U$4:U577,"&gt;0"),0),0)</f>
        <v>0</v>
      </c>
      <c r="V578" s="417">
        <f t="shared" si="101"/>
        <v>575</v>
      </c>
      <c r="W578" s="509"/>
      <c r="X578" s="321"/>
      <c r="Y578" s="321"/>
      <c r="Z578" s="433"/>
      <c r="AA578" s="356"/>
      <c r="AB578" s="306" t="str">
        <f t="shared" si="96"/>
        <v/>
      </c>
      <c r="AC578" s="893">
        <f t="shared" si="97"/>
        <v>0</v>
      </c>
      <c r="AD578" s="322"/>
      <c r="AE578" s="1"/>
      <c r="AF578" s="223">
        <f>IF(ISBLANK(AD578),0,COUNTIF(AF$4:AF577,"&gt;0")+1)</f>
        <v>0</v>
      </c>
      <c r="AG578" s="164">
        <f t="shared" si="103"/>
        <v>0</v>
      </c>
      <c r="AH578" s="99">
        <f t="shared" si="98"/>
        <v>0</v>
      </c>
      <c r="AI578" s="99">
        <f t="shared" si="104"/>
        <v>0</v>
      </c>
      <c r="AJ578" s="170">
        <f t="shared" si="105"/>
        <v>0</v>
      </c>
      <c r="AK578" s="204">
        <f t="shared" si="99"/>
        <v>0</v>
      </c>
      <c r="AL578" s="1049">
        <f>IF(ISERROR(AO578),0,IF(AND(AN578&gt;=$U$1,AN578&lt;=$U$2),IF(AO578='ESTRATTO CONTO'!$E$2,1+COUNTIF(AL$4:AL577,"&gt;0")+U$1009,0),0))</f>
        <v>0</v>
      </c>
      <c r="AM578" s="747">
        <f t="shared" si="102"/>
        <v>575</v>
      </c>
      <c r="AN578" s="164" t="e">
        <f>VLOOKUP($AM578,PATRIMONIALE!$AV630:AW$1003,2,FALSE)</f>
        <v>#N/A</v>
      </c>
      <c r="AO578" s="310" t="e">
        <f>VLOOKUP($AM578,PATRIMONIALE!$AV630:AX$1003,3,FALSE)</f>
        <v>#N/A</v>
      </c>
      <c r="AP578" s="310" t="e">
        <f>VLOOKUP($AM578,PATRIMONIALE!$AV630:AY$1003,4,FALSE)</f>
        <v>#N/A</v>
      </c>
      <c r="AQ578" s="748" t="e">
        <f>VLOOKUP($AM578,PATRIMONIALE!$AV630:AZ$1003,5,FALSE)</f>
        <v>#N/A</v>
      </c>
      <c r="AR578" s="1"/>
      <c r="AS578" s="461" t="str">
        <f t="shared" si="100"/>
        <v/>
      </c>
      <c r="AT578" s="370"/>
    </row>
    <row r="579" spans="1:46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435">
        <f>IF(AND(W579&gt;=$U$1,W579&lt;=$U$2),IF(X579='ESTRATTO CONTO'!$E$2,1+COUNTIF(U$4:U578,"&gt;0"),0),0)</f>
        <v>0</v>
      </c>
      <c r="V579" s="417">
        <f t="shared" si="101"/>
        <v>576</v>
      </c>
      <c r="W579" s="509"/>
      <c r="X579" s="321"/>
      <c r="Y579" s="321"/>
      <c r="Z579" s="433"/>
      <c r="AA579" s="356"/>
      <c r="AB579" s="306" t="str">
        <f t="shared" si="96"/>
        <v/>
      </c>
      <c r="AC579" s="893">
        <f t="shared" si="97"/>
        <v>0</v>
      </c>
      <c r="AD579" s="322"/>
      <c r="AE579" s="1"/>
      <c r="AF579" s="223">
        <f>IF(ISBLANK(AD579),0,COUNTIF(AF$4:AF578,"&gt;0")+1)</f>
        <v>0</v>
      </c>
      <c r="AG579" s="164">
        <f t="shared" si="103"/>
        <v>0</v>
      </c>
      <c r="AH579" s="99">
        <f t="shared" si="98"/>
        <v>0</v>
      </c>
      <c r="AI579" s="99">
        <f t="shared" si="104"/>
        <v>0</v>
      </c>
      <c r="AJ579" s="170">
        <f t="shared" si="105"/>
        <v>0</v>
      </c>
      <c r="AK579" s="204">
        <f t="shared" si="99"/>
        <v>0</v>
      </c>
      <c r="AL579" s="1049">
        <f>IF(ISERROR(AO579),0,IF(AND(AN579&gt;=$U$1,AN579&lt;=$U$2),IF(AO579='ESTRATTO CONTO'!$E$2,1+COUNTIF(AL$4:AL578,"&gt;0")+U$1009,0),0))</f>
        <v>0</v>
      </c>
      <c r="AM579" s="747">
        <f t="shared" si="102"/>
        <v>576</v>
      </c>
      <c r="AN579" s="164" t="e">
        <f>VLOOKUP($AM579,PATRIMONIALE!$AV631:AW$1003,2,FALSE)</f>
        <v>#N/A</v>
      </c>
      <c r="AO579" s="310" t="e">
        <f>VLOOKUP($AM579,PATRIMONIALE!$AV631:AX$1003,3,FALSE)</f>
        <v>#N/A</v>
      </c>
      <c r="AP579" s="310" t="e">
        <f>VLOOKUP($AM579,PATRIMONIALE!$AV631:AY$1003,4,FALSE)</f>
        <v>#N/A</v>
      </c>
      <c r="AQ579" s="748" t="e">
        <f>VLOOKUP($AM579,PATRIMONIALE!$AV631:AZ$1003,5,FALSE)</f>
        <v>#N/A</v>
      </c>
      <c r="AR579" s="1"/>
      <c r="AS579" s="461" t="str">
        <f t="shared" si="100"/>
        <v/>
      </c>
      <c r="AT579" s="370"/>
    </row>
    <row r="580" spans="1:46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435">
        <f>IF(AND(W580&gt;=$U$1,W580&lt;=$U$2),IF(X580='ESTRATTO CONTO'!$E$2,1+COUNTIF(U$4:U579,"&gt;0"),0),0)</f>
        <v>0</v>
      </c>
      <c r="V580" s="417">
        <f t="shared" si="101"/>
        <v>577</v>
      </c>
      <c r="W580" s="509"/>
      <c r="X580" s="321"/>
      <c r="Y580" s="321"/>
      <c r="Z580" s="433"/>
      <c r="AA580" s="356"/>
      <c r="AB580" s="306" t="str">
        <f t="shared" ref="AB580:AB643" si="106">IF(X580="","",IF(W580&gt;0,IF(AND(W580&gt;=W$1012,W580&lt;=W$1013),CONCATENATE(X580,"-",MONTH(W580)),0),""))</f>
        <v/>
      </c>
      <c r="AC580" s="893">
        <f t="shared" ref="AC580:AC643" si="107">IF(AD580="",0,VLOOKUP(AD580,$AD$1025:$AD$1038,1,FALSE))</f>
        <v>0</v>
      </c>
      <c r="AD580" s="322"/>
      <c r="AE580" s="1"/>
      <c r="AF580" s="223">
        <f>IF(ISBLANK(AD580),0,COUNTIF(AF$4:AF579,"&gt;0")+1)</f>
        <v>0</v>
      </c>
      <c r="AG580" s="164">
        <f t="shared" si="103"/>
        <v>0</v>
      </c>
      <c r="AH580" s="99">
        <f t="shared" ref="AH580:AH643" si="108">IF($AF580=0,0,VLOOKUP(AD580,$AD$1025:$AH$1038,5,FALSE))</f>
        <v>0</v>
      </c>
      <c r="AI580" s="99">
        <f t="shared" si="104"/>
        <v>0</v>
      </c>
      <c r="AJ580" s="170">
        <f t="shared" si="105"/>
        <v>0</v>
      </c>
      <c r="AK580" s="204">
        <f t="shared" ref="AK580:AK643" si="109">X580</f>
        <v>0</v>
      </c>
      <c r="AL580" s="1049">
        <f>IF(ISERROR(AO580),0,IF(AND(AN580&gt;=$U$1,AN580&lt;=$U$2),IF(AO580='ESTRATTO CONTO'!$E$2,1+COUNTIF(AL$4:AL579,"&gt;0")+U$1009,0),0))</f>
        <v>0</v>
      </c>
      <c r="AM580" s="747">
        <f t="shared" si="102"/>
        <v>577</v>
      </c>
      <c r="AN580" s="164" t="e">
        <f>VLOOKUP($AM580,PATRIMONIALE!$AV632:AW$1003,2,FALSE)</f>
        <v>#N/A</v>
      </c>
      <c r="AO580" s="310" t="e">
        <f>VLOOKUP($AM580,PATRIMONIALE!$AV632:AX$1003,3,FALSE)</f>
        <v>#N/A</v>
      </c>
      <c r="AP580" s="310" t="e">
        <f>VLOOKUP($AM580,PATRIMONIALE!$AV632:AY$1003,4,FALSE)</f>
        <v>#N/A</v>
      </c>
      <c r="AQ580" s="748" t="e">
        <f>VLOOKUP($AM580,PATRIMONIALE!$AV632:AZ$1003,5,FALSE)</f>
        <v>#N/A</v>
      </c>
      <c r="AR580" s="1"/>
      <c r="AS580" s="461" t="str">
        <f t="shared" ref="AS580:AS643" si="110">IF(X580="","",IF(ISERROR(VLOOKUP(X580,B$9:E$13,1,FALSE)),1,0))</f>
        <v/>
      </c>
      <c r="AT580" s="370"/>
    </row>
    <row r="581" spans="1:46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435">
        <f>IF(AND(W581&gt;=$U$1,W581&lt;=$U$2),IF(X581='ESTRATTO CONTO'!$E$2,1+COUNTIF(U$4:U580,"&gt;0"),0),0)</f>
        <v>0</v>
      </c>
      <c r="V581" s="417">
        <f t="shared" si="101"/>
        <v>578</v>
      </c>
      <c r="W581" s="509"/>
      <c r="X581" s="321"/>
      <c r="Y581" s="321"/>
      <c r="Z581" s="433"/>
      <c r="AA581" s="356"/>
      <c r="AB581" s="306" t="str">
        <f t="shared" si="106"/>
        <v/>
      </c>
      <c r="AC581" s="893">
        <f t="shared" si="107"/>
        <v>0</v>
      </c>
      <c r="AD581" s="322"/>
      <c r="AE581" s="1"/>
      <c r="AF581" s="223">
        <f>IF(ISBLANK(AD581),0,COUNTIF(AF$4:AF580,"&gt;0")+1)</f>
        <v>0</v>
      </c>
      <c r="AG581" s="164">
        <f t="shared" si="103"/>
        <v>0</v>
      </c>
      <c r="AH581" s="99">
        <f t="shared" si="108"/>
        <v>0</v>
      </c>
      <c r="AI581" s="99">
        <f t="shared" si="104"/>
        <v>0</v>
      </c>
      <c r="AJ581" s="170">
        <f t="shared" si="105"/>
        <v>0</v>
      </c>
      <c r="AK581" s="204">
        <f t="shared" si="109"/>
        <v>0</v>
      </c>
      <c r="AL581" s="1049">
        <f>IF(ISERROR(AO581),0,IF(AND(AN581&gt;=$U$1,AN581&lt;=$U$2),IF(AO581='ESTRATTO CONTO'!$E$2,1+COUNTIF(AL$4:AL580,"&gt;0")+U$1009,0),0))</f>
        <v>0</v>
      </c>
      <c r="AM581" s="747">
        <f t="shared" si="102"/>
        <v>578</v>
      </c>
      <c r="AN581" s="164" t="e">
        <f>VLOOKUP($AM581,PATRIMONIALE!$AV633:AW$1003,2,FALSE)</f>
        <v>#N/A</v>
      </c>
      <c r="AO581" s="310" t="e">
        <f>VLOOKUP($AM581,PATRIMONIALE!$AV633:AX$1003,3,FALSE)</f>
        <v>#N/A</v>
      </c>
      <c r="AP581" s="310" t="e">
        <f>VLOOKUP($AM581,PATRIMONIALE!$AV633:AY$1003,4,FALSE)</f>
        <v>#N/A</v>
      </c>
      <c r="AQ581" s="748" t="e">
        <f>VLOOKUP($AM581,PATRIMONIALE!$AV633:AZ$1003,5,FALSE)</f>
        <v>#N/A</v>
      </c>
      <c r="AR581" s="1"/>
      <c r="AS581" s="461" t="str">
        <f t="shared" si="110"/>
        <v/>
      </c>
      <c r="AT581" s="370"/>
    </row>
    <row r="582" spans="1:46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435">
        <f>IF(AND(W582&gt;=$U$1,W582&lt;=$U$2),IF(X582='ESTRATTO CONTO'!$E$2,1+COUNTIF(U$4:U581,"&gt;0"),0),0)</f>
        <v>0</v>
      </c>
      <c r="V582" s="417">
        <f t="shared" ref="V582:V645" si="111">V581+1</f>
        <v>579</v>
      </c>
      <c r="W582" s="509"/>
      <c r="X582" s="321"/>
      <c r="Y582" s="321"/>
      <c r="Z582" s="433"/>
      <c r="AA582" s="356"/>
      <c r="AB582" s="306" t="str">
        <f t="shared" si="106"/>
        <v/>
      </c>
      <c r="AC582" s="893">
        <f t="shared" si="107"/>
        <v>0</v>
      </c>
      <c r="AD582" s="322"/>
      <c r="AE582" s="1"/>
      <c r="AF582" s="223">
        <f>IF(ISBLANK(AD582),0,COUNTIF(AF$4:AF581,"&gt;0")+1)</f>
        <v>0</v>
      </c>
      <c r="AG582" s="164">
        <f t="shared" si="103"/>
        <v>0</v>
      </c>
      <c r="AH582" s="99">
        <f t="shared" si="108"/>
        <v>0</v>
      </c>
      <c r="AI582" s="99">
        <f t="shared" si="104"/>
        <v>0</v>
      </c>
      <c r="AJ582" s="170">
        <f t="shared" si="105"/>
        <v>0</v>
      </c>
      <c r="AK582" s="204">
        <f t="shared" si="109"/>
        <v>0</v>
      </c>
      <c r="AL582" s="1049">
        <f>IF(ISERROR(AO582),0,IF(AND(AN582&gt;=$U$1,AN582&lt;=$U$2),IF(AO582='ESTRATTO CONTO'!$E$2,1+COUNTIF(AL$4:AL581,"&gt;0")+U$1009,0),0))</f>
        <v>0</v>
      </c>
      <c r="AM582" s="747">
        <f t="shared" ref="AM582:AM645" si="112">AM581+1</f>
        <v>579</v>
      </c>
      <c r="AN582" s="164" t="e">
        <f>VLOOKUP($AM582,PATRIMONIALE!$AV634:AW$1003,2,FALSE)</f>
        <v>#N/A</v>
      </c>
      <c r="AO582" s="310" t="e">
        <f>VLOOKUP($AM582,PATRIMONIALE!$AV634:AX$1003,3,FALSE)</f>
        <v>#N/A</v>
      </c>
      <c r="AP582" s="310" t="e">
        <f>VLOOKUP($AM582,PATRIMONIALE!$AV634:AY$1003,4,FALSE)</f>
        <v>#N/A</v>
      </c>
      <c r="AQ582" s="748" t="e">
        <f>VLOOKUP($AM582,PATRIMONIALE!$AV634:AZ$1003,5,FALSE)</f>
        <v>#N/A</v>
      </c>
      <c r="AR582" s="1"/>
      <c r="AS582" s="461" t="str">
        <f t="shared" si="110"/>
        <v/>
      </c>
      <c r="AT582" s="370"/>
    </row>
    <row r="583" spans="1:46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435">
        <f>IF(AND(W583&gt;=$U$1,W583&lt;=$U$2),IF(X583='ESTRATTO CONTO'!$E$2,1+COUNTIF(U$4:U582,"&gt;0"),0),0)</f>
        <v>0</v>
      </c>
      <c r="V583" s="417">
        <f t="shared" si="111"/>
        <v>580</v>
      </c>
      <c r="W583" s="509"/>
      <c r="X583" s="321"/>
      <c r="Y583" s="321"/>
      <c r="Z583" s="433"/>
      <c r="AA583" s="356"/>
      <c r="AB583" s="306" t="str">
        <f t="shared" si="106"/>
        <v/>
      </c>
      <c r="AC583" s="893">
        <f t="shared" si="107"/>
        <v>0</v>
      </c>
      <c r="AD583" s="322"/>
      <c r="AE583" s="1"/>
      <c r="AF583" s="223">
        <f>IF(ISBLANK(AD583),0,COUNTIF(AF$4:AF582,"&gt;0")+1)</f>
        <v>0</v>
      </c>
      <c r="AG583" s="164">
        <f t="shared" si="103"/>
        <v>0</v>
      </c>
      <c r="AH583" s="99">
        <f t="shared" si="108"/>
        <v>0</v>
      </c>
      <c r="AI583" s="99">
        <f t="shared" si="104"/>
        <v>0</v>
      </c>
      <c r="AJ583" s="170">
        <f t="shared" si="105"/>
        <v>0</v>
      </c>
      <c r="AK583" s="204">
        <f t="shared" si="109"/>
        <v>0</v>
      </c>
      <c r="AL583" s="1049">
        <f>IF(ISERROR(AO583),0,IF(AND(AN583&gt;=$U$1,AN583&lt;=$U$2),IF(AO583='ESTRATTO CONTO'!$E$2,1+COUNTIF(AL$4:AL582,"&gt;0")+U$1009,0),0))</f>
        <v>0</v>
      </c>
      <c r="AM583" s="747">
        <f t="shared" si="112"/>
        <v>580</v>
      </c>
      <c r="AN583" s="164" t="e">
        <f>VLOOKUP($AM583,PATRIMONIALE!$AV635:AW$1003,2,FALSE)</f>
        <v>#N/A</v>
      </c>
      <c r="AO583" s="310" t="e">
        <f>VLOOKUP($AM583,PATRIMONIALE!$AV635:AX$1003,3,FALSE)</f>
        <v>#N/A</v>
      </c>
      <c r="AP583" s="310" t="e">
        <f>VLOOKUP($AM583,PATRIMONIALE!$AV635:AY$1003,4,FALSE)</f>
        <v>#N/A</v>
      </c>
      <c r="AQ583" s="748" t="e">
        <f>VLOOKUP($AM583,PATRIMONIALE!$AV635:AZ$1003,5,FALSE)</f>
        <v>#N/A</v>
      </c>
      <c r="AR583" s="1"/>
      <c r="AS583" s="461" t="str">
        <f t="shared" si="110"/>
        <v/>
      </c>
      <c r="AT583" s="370"/>
    </row>
    <row r="584" spans="1:46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435">
        <f>IF(AND(W584&gt;=$U$1,W584&lt;=$U$2),IF(X584='ESTRATTO CONTO'!$E$2,1+COUNTIF(U$4:U583,"&gt;0"),0),0)</f>
        <v>0</v>
      </c>
      <c r="V584" s="417">
        <f t="shared" si="111"/>
        <v>581</v>
      </c>
      <c r="W584" s="509"/>
      <c r="X584" s="321"/>
      <c r="Y584" s="321"/>
      <c r="Z584" s="433"/>
      <c r="AA584" s="356"/>
      <c r="AB584" s="306" t="str">
        <f t="shared" si="106"/>
        <v/>
      </c>
      <c r="AC584" s="893">
        <f t="shared" si="107"/>
        <v>0</v>
      </c>
      <c r="AD584" s="322"/>
      <c r="AE584" s="1"/>
      <c r="AF584" s="223">
        <f>IF(ISBLANK(AD584),0,COUNTIF(AF$4:AF583,"&gt;0")+1)</f>
        <v>0</v>
      </c>
      <c r="AG584" s="164">
        <f t="shared" si="103"/>
        <v>0</v>
      </c>
      <c r="AH584" s="99">
        <f t="shared" si="108"/>
        <v>0</v>
      </c>
      <c r="AI584" s="99">
        <f t="shared" si="104"/>
        <v>0</v>
      </c>
      <c r="AJ584" s="170">
        <f t="shared" si="105"/>
        <v>0</v>
      </c>
      <c r="AK584" s="204">
        <f t="shared" si="109"/>
        <v>0</v>
      </c>
      <c r="AL584" s="1049">
        <f>IF(ISERROR(AO584),0,IF(AND(AN584&gt;=$U$1,AN584&lt;=$U$2),IF(AO584='ESTRATTO CONTO'!$E$2,1+COUNTIF(AL$4:AL583,"&gt;0")+U$1009,0),0))</f>
        <v>0</v>
      </c>
      <c r="AM584" s="747">
        <f t="shared" si="112"/>
        <v>581</v>
      </c>
      <c r="AN584" s="164" t="e">
        <f>VLOOKUP($AM584,PATRIMONIALE!$AV636:AW$1003,2,FALSE)</f>
        <v>#N/A</v>
      </c>
      <c r="AO584" s="310" t="e">
        <f>VLOOKUP($AM584,PATRIMONIALE!$AV636:AX$1003,3,FALSE)</f>
        <v>#N/A</v>
      </c>
      <c r="AP584" s="310" t="e">
        <f>VLOOKUP($AM584,PATRIMONIALE!$AV636:AY$1003,4,FALSE)</f>
        <v>#N/A</v>
      </c>
      <c r="AQ584" s="748" t="e">
        <f>VLOOKUP($AM584,PATRIMONIALE!$AV636:AZ$1003,5,FALSE)</f>
        <v>#N/A</v>
      </c>
      <c r="AR584" s="1"/>
      <c r="AS584" s="461" t="str">
        <f t="shared" si="110"/>
        <v/>
      </c>
      <c r="AT584" s="370"/>
    </row>
    <row r="585" spans="1:46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435">
        <f>IF(AND(W585&gt;=$U$1,W585&lt;=$U$2),IF(X585='ESTRATTO CONTO'!$E$2,1+COUNTIF(U$4:U584,"&gt;0"),0),0)</f>
        <v>0</v>
      </c>
      <c r="V585" s="417">
        <f t="shared" si="111"/>
        <v>582</v>
      </c>
      <c r="W585" s="509"/>
      <c r="X585" s="321"/>
      <c r="Y585" s="321"/>
      <c r="Z585" s="433"/>
      <c r="AA585" s="356"/>
      <c r="AB585" s="306" t="str">
        <f t="shared" si="106"/>
        <v/>
      </c>
      <c r="AC585" s="893">
        <f t="shared" si="107"/>
        <v>0</v>
      </c>
      <c r="AD585" s="322"/>
      <c r="AE585" s="1"/>
      <c r="AF585" s="223">
        <f>IF(ISBLANK(AD585),0,COUNTIF(AF$4:AF584,"&gt;0")+1)</f>
        <v>0</v>
      </c>
      <c r="AG585" s="164">
        <f t="shared" si="103"/>
        <v>0</v>
      </c>
      <c r="AH585" s="99">
        <f t="shared" si="108"/>
        <v>0</v>
      </c>
      <c r="AI585" s="99">
        <f t="shared" si="104"/>
        <v>0</v>
      </c>
      <c r="AJ585" s="170">
        <f t="shared" si="105"/>
        <v>0</v>
      </c>
      <c r="AK585" s="204">
        <f t="shared" si="109"/>
        <v>0</v>
      </c>
      <c r="AL585" s="1049">
        <f>IF(ISERROR(AO585),0,IF(AND(AN585&gt;=$U$1,AN585&lt;=$U$2),IF(AO585='ESTRATTO CONTO'!$E$2,1+COUNTIF(AL$4:AL584,"&gt;0")+U$1009,0),0))</f>
        <v>0</v>
      </c>
      <c r="AM585" s="747">
        <f t="shared" si="112"/>
        <v>582</v>
      </c>
      <c r="AN585" s="164" t="e">
        <f>VLOOKUP($AM585,PATRIMONIALE!$AV637:AW$1003,2,FALSE)</f>
        <v>#N/A</v>
      </c>
      <c r="AO585" s="310" t="e">
        <f>VLOOKUP($AM585,PATRIMONIALE!$AV637:AX$1003,3,FALSE)</f>
        <v>#N/A</v>
      </c>
      <c r="AP585" s="310" t="e">
        <f>VLOOKUP($AM585,PATRIMONIALE!$AV637:AY$1003,4,FALSE)</f>
        <v>#N/A</v>
      </c>
      <c r="AQ585" s="748" t="e">
        <f>VLOOKUP($AM585,PATRIMONIALE!$AV637:AZ$1003,5,FALSE)</f>
        <v>#N/A</v>
      </c>
      <c r="AR585" s="1"/>
      <c r="AS585" s="461" t="str">
        <f t="shared" si="110"/>
        <v/>
      </c>
      <c r="AT585" s="370"/>
    </row>
    <row r="586" spans="1:46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435">
        <f>IF(AND(W586&gt;=$U$1,W586&lt;=$U$2),IF(X586='ESTRATTO CONTO'!$E$2,1+COUNTIF(U$4:U585,"&gt;0"),0),0)</f>
        <v>0</v>
      </c>
      <c r="V586" s="417">
        <f t="shared" si="111"/>
        <v>583</v>
      </c>
      <c r="W586" s="509"/>
      <c r="X586" s="321"/>
      <c r="Y586" s="321"/>
      <c r="Z586" s="433"/>
      <c r="AA586" s="356"/>
      <c r="AB586" s="306" t="str">
        <f t="shared" si="106"/>
        <v/>
      </c>
      <c r="AC586" s="893">
        <f t="shared" si="107"/>
        <v>0</v>
      </c>
      <c r="AD586" s="322"/>
      <c r="AE586" s="1"/>
      <c r="AF586" s="223">
        <f>IF(ISBLANK(AD586),0,COUNTIF(AF$4:AF585,"&gt;0")+1)</f>
        <v>0</v>
      </c>
      <c r="AG586" s="164">
        <f t="shared" ref="AG586:AG649" si="113">IF($AF586=0,0,W586)</f>
        <v>0</v>
      </c>
      <c r="AH586" s="99">
        <f t="shared" si="108"/>
        <v>0</v>
      </c>
      <c r="AI586" s="99">
        <f t="shared" ref="AI586:AI649" si="114">IF($AF586=0,0,Y586)</f>
        <v>0</v>
      </c>
      <c r="AJ586" s="170">
        <f t="shared" ref="AJ586:AJ649" si="115">IF($AF586=0,0,IF(RIGHT(AD586)="-",IF(Z586&gt;0,Z586*-1,Z586),Z586))</f>
        <v>0</v>
      </c>
      <c r="AK586" s="204">
        <f t="shared" si="109"/>
        <v>0</v>
      </c>
      <c r="AL586" s="1049">
        <f>IF(ISERROR(AO586),0,IF(AND(AN586&gt;=$U$1,AN586&lt;=$U$2),IF(AO586='ESTRATTO CONTO'!$E$2,1+COUNTIF(AL$4:AL585,"&gt;0")+U$1009,0),0))</f>
        <v>0</v>
      </c>
      <c r="AM586" s="747">
        <f t="shared" si="112"/>
        <v>583</v>
      </c>
      <c r="AN586" s="164" t="e">
        <f>VLOOKUP($AM586,PATRIMONIALE!$AV638:AW$1003,2,FALSE)</f>
        <v>#N/A</v>
      </c>
      <c r="AO586" s="310" t="e">
        <f>VLOOKUP($AM586,PATRIMONIALE!$AV638:AX$1003,3,FALSE)</f>
        <v>#N/A</v>
      </c>
      <c r="AP586" s="310" t="e">
        <f>VLOOKUP($AM586,PATRIMONIALE!$AV638:AY$1003,4,FALSE)</f>
        <v>#N/A</v>
      </c>
      <c r="AQ586" s="748" t="e">
        <f>VLOOKUP($AM586,PATRIMONIALE!$AV638:AZ$1003,5,FALSE)</f>
        <v>#N/A</v>
      </c>
      <c r="AR586" s="1"/>
      <c r="AS586" s="461" t="str">
        <f t="shared" si="110"/>
        <v/>
      </c>
      <c r="AT586" s="370"/>
    </row>
    <row r="587" spans="1:46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435">
        <f>IF(AND(W587&gt;=$U$1,W587&lt;=$U$2),IF(X587='ESTRATTO CONTO'!$E$2,1+COUNTIF(U$4:U586,"&gt;0"),0),0)</f>
        <v>0</v>
      </c>
      <c r="V587" s="417">
        <f t="shared" si="111"/>
        <v>584</v>
      </c>
      <c r="W587" s="509"/>
      <c r="X587" s="321"/>
      <c r="Y587" s="321"/>
      <c r="Z587" s="433"/>
      <c r="AA587" s="356"/>
      <c r="AB587" s="306" t="str">
        <f t="shared" si="106"/>
        <v/>
      </c>
      <c r="AC587" s="893">
        <f t="shared" si="107"/>
        <v>0</v>
      </c>
      <c r="AD587" s="322"/>
      <c r="AE587" s="1"/>
      <c r="AF587" s="223">
        <f>IF(ISBLANK(AD587),0,COUNTIF(AF$4:AF586,"&gt;0")+1)</f>
        <v>0</v>
      </c>
      <c r="AG587" s="164">
        <f t="shared" si="113"/>
        <v>0</v>
      </c>
      <c r="AH587" s="99">
        <f t="shared" si="108"/>
        <v>0</v>
      </c>
      <c r="AI587" s="99">
        <f t="shared" si="114"/>
        <v>0</v>
      </c>
      <c r="AJ587" s="170">
        <f t="shared" si="115"/>
        <v>0</v>
      </c>
      <c r="AK587" s="204">
        <f t="shared" si="109"/>
        <v>0</v>
      </c>
      <c r="AL587" s="1049">
        <f>IF(ISERROR(AO587),0,IF(AND(AN587&gt;=$U$1,AN587&lt;=$U$2),IF(AO587='ESTRATTO CONTO'!$E$2,1+COUNTIF(AL$4:AL586,"&gt;0")+U$1009,0),0))</f>
        <v>0</v>
      </c>
      <c r="AM587" s="747">
        <f t="shared" si="112"/>
        <v>584</v>
      </c>
      <c r="AN587" s="164" t="e">
        <f>VLOOKUP($AM587,PATRIMONIALE!$AV639:AW$1003,2,FALSE)</f>
        <v>#N/A</v>
      </c>
      <c r="AO587" s="310" t="e">
        <f>VLOOKUP($AM587,PATRIMONIALE!$AV639:AX$1003,3,FALSE)</f>
        <v>#N/A</v>
      </c>
      <c r="AP587" s="310" t="e">
        <f>VLOOKUP($AM587,PATRIMONIALE!$AV639:AY$1003,4,FALSE)</f>
        <v>#N/A</v>
      </c>
      <c r="AQ587" s="748" t="e">
        <f>VLOOKUP($AM587,PATRIMONIALE!$AV639:AZ$1003,5,FALSE)</f>
        <v>#N/A</v>
      </c>
      <c r="AR587" s="1"/>
      <c r="AS587" s="461" t="str">
        <f t="shared" si="110"/>
        <v/>
      </c>
      <c r="AT587" s="370"/>
    </row>
    <row r="588" spans="1:46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435">
        <f>IF(AND(W588&gt;=$U$1,W588&lt;=$U$2),IF(X588='ESTRATTO CONTO'!$E$2,1+COUNTIF(U$4:U587,"&gt;0"),0),0)</f>
        <v>0</v>
      </c>
      <c r="V588" s="417">
        <f t="shared" si="111"/>
        <v>585</v>
      </c>
      <c r="W588" s="509"/>
      <c r="X588" s="321"/>
      <c r="Y588" s="321"/>
      <c r="Z588" s="433"/>
      <c r="AA588" s="356"/>
      <c r="AB588" s="306" t="str">
        <f t="shared" si="106"/>
        <v/>
      </c>
      <c r="AC588" s="893">
        <f t="shared" si="107"/>
        <v>0</v>
      </c>
      <c r="AD588" s="322"/>
      <c r="AE588" s="1"/>
      <c r="AF588" s="223">
        <f>IF(ISBLANK(AD588),0,COUNTIF(AF$4:AF587,"&gt;0")+1)</f>
        <v>0</v>
      </c>
      <c r="AG588" s="164">
        <f t="shared" si="113"/>
        <v>0</v>
      </c>
      <c r="AH588" s="99">
        <f t="shared" si="108"/>
        <v>0</v>
      </c>
      <c r="AI588" s="99">
        <f t="shared" si="114"/>
        <v>0</v>
      </c>
      <c r="AJ588" s="170">
        <f t="shared" si="115"/>
        <v>0</v>
      </c>
      <c r="AK588" s="204">
        <f t="shared" si="109"/>
        <v>0</v>
      </c>
      <c r="AL588" s="1049">
        <f>IF(ISERROR(AO588),0,IF(AND(AN588&gt;=$U$1,AN588&lt;=$U$2),IF(AO588='ESTRATTO CONTO'!$E$2,1+COUNTIF(AL$4:AL587,"&gt;0")+U$1009,0),0))</f>
        <v>0</v>
      </c>
      <c r="AM588" s="747">
        <f t="shared" si="112"/>
        <v>585</v>
      </c>
      <c r="AN588" s="164" t="e">
        <f>VLOOKUP($AM588,PATRIMONIALE!$AV640:AW$1003,2,FALSE)</f>
        <v>#N/A</v>
      </c>
      <c r="AO588" s="310" t="e">
        <f>VLOOKUP($AM588,PATRIMONIALE!$AV640:AX$1003,3,FALSE)</f>
        <v>#N/A</v>
      </c>
      <c r="AP588" s="310" t="e">
        <f>VLOOKUP($AM588,PATRIMONIALE!$AV640:AY$1003,4,FALSE)</f>
        <v>#N/A</v>
      </c>
      <c r="AQ588" s="748" t="e">
        <f>VLOOKUP($AM588,PATRIMONIALE!$AV640:AZ$1003,5,FALSE)</f>
        <v>#N/A</v>
      </c>
      <c r="AR588" s="1"/>
      <c r="AS588" s="461" t="str">
        <f t="shared" si="110"/>
        <v/>
      </c>
      <c r="AT588" s="370"/>
    </row>
    <row r="589" spans="1:46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435">
        <f>IF(AND(W589&gt;=$U$1,W589&lt;=$U$2),IF(X589='ESTRATTO CONTO'!$E$2,1+COUNTIF(U$4:U588,"&gt;0"),0),0)</f>
        <v>0</v>
      </c>
      <c r="V589" s="417">
        <f t="shared" si="111"/>
        <v>586</v>
      </c>
      <c r="W589" s="509"/>
      <c r="X589" s="321"/>
      <c r="Y589" s="321"/>
      <c r="Z589" s="433"/>
      <c r="AA589" s="356"/>
      <c r="AB589" s="306" t="str">
        <f t="shared" si="106"/>
        <v/>
      </c>
      <c r="AC589" s="893">
        <f t="shared" si="107"/>
        <v>0</v>
      </c>
      <c r="AD589" s="322"/>
      <c r="AE589" s="1"/>
      <c r="AF589" s="223">
        <f>IF(ISBLANK(AD589),0,COUNTIF(AF$4:AF588,"&gt;0")+1)</f>
        <v>0</v>
      </c>
      <c r="AG589" s="164">
        <f t="shared" si="113"/>
        <v>0</v>
      </c>
      <c r="AH589" s="99">
        <f t="shared" si="108"/>
        <v>0</v>
      </c>
      <c r="AI589" s="99">
        <f t="shared" si="114"/>
        <v>0</v>
      </c>
      <c r="AJ589" s="170">
        <f t="shared" si="115"/>
        <v>0</v>
      </c>
      <c r="AK589" s="204">
        <f t="shared" si="109"/>
        <v>0</v>
      </c>
      <c r="AL589" s="1049">
        <f>IF(ISERROR(AO589),0,IF(AND(AN589&gt;=$U$1,AN589&lt;=$U$2),IF(AO589='ESTRATTO CONTO'!$E$2,1+COUNTIF(AL$4:AL588,"&gt;0")+U$1009,0),0))</f>
        <v>0</v>
      </c>
      <c r="AM589" s="747">
        <f t="shared" si="112"/>
        <v>586</v>
      </c>
      <c r="AN589" s="164" t="e">
        <f>VLOOKUP($AM589,PATRIMONIALE!$AV641:AW$1003,2,FALSE)</f>
        <v>#N/A</v>
      </c>
      <c r="AO589" s="310" t="e">
        <f>VLOOKUP($AM589,PATRIMONIALE!$AV641:AX$1003,3,FALSE)</f>
        <v>#N/A</v>
      </c>
      <c r="AP589" s="310" t="e">
        <f>VLOOKUP($AM589,PATRIMONIALE!$AV641:AY$1003,4,FALSE)</f>
        <v>#N/A</v>
      </c>
      <c r="AQ589" s="748" t="e">
        <f>VLOOKUP($AM589,PATRIMONIALE!$AV641:AZ$1003,5,FALSE)</f>
        <v>#N/A</v>
      </c>
      <c r="AR589" s="1"/>
      <c r="AS589" s="461" t="str">
        <f t="shared" si="110"/>
        <v/>
      </c>
      <c r="AT589" s="370"/>
    </row>
    <row r="590" spans="1:46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435">
        <f>IF(AND(W590&gt;=$U$1,W590&lt;=$U$2),IF(X590='ESTRATTO CONTO'!$E$2,1+COUNTIF(U$4:U589,"&gt;0"),0),0)</f>
        <v>0</v>
      </c>
      <c r="V590" s="417">
        <f t="shared" si="111"/>
        <v>587</v>
      </c>
      <c r="W590" s="509"/>
      <c r="X590" s="321"/>
      <c r="Y590" s="321"/>
      <c r="Z590" s="433"/>
      <c r="AA590" s="356"/>
      <c r="AB590" s="306" t="str">
        <f t="shared" si="106"/>
        <v/>
      </c>
      <c r="AC590" s="893">
        <f t="shared" si="107"/>
        <v>0</v>
      </c>
      <c r="AD590" s="322"/>
      <c r="AE590" s="1"/>
      <c r="AF590" s="223">
        <f>IF(ISBLANK(AD590),0,COUNTIF(AF$4:AF589,"&gt;0")+1)</f>
        <v>0</v>
      </c>
      <c r="AG590" s="164">
        <f t="shared" si="113"/>
        <v>0</v>
      </c>
      <c r="AH590" s="99">
        <f t="shared" si="108"/>
        <v>0</v>
      </c>
      <c r="AI590" s="99">
        <f t="shared" si="114"/>
        <v>0</v>
      </c>
      <c r="AJ590" s="170">
        <f t="shared" si="115"/>
        <v>0</v>
      </c>
      <c r="AK590" s="204">
        <f t="shared" si="109"/>
        <v>0</v>
      </c>
      <c r="AL590" s="1049">
        <f>IF(ISERROR(AO590),0,IF(AND(AN590&gt;=$U$1,AN590&lt;=$U$2),IF(AO590='ESTRATTO CONTO'!$E$2,1+COUNTIF(AL$4:AL589,"&gt;0")+U$1009,0),0))</f>
        <v>0</v>
      </c>
      <c r="AM590" s="747">
        <f t="shared" si="112"/>
        <v>587</v>
      </c>
      <c r="AN590" s="164" t="e">
        <f>VLOOKUP($AM590,PATRIMONIALE!$AV642:AW$1003,2,FALSE)</f>
        <v>#N/A</v>
      </c>
      <c r="AO590" s="310" t="e">
        <f>VLOOKUP($AM590,PATRIMONIALE!$AV642:AX$1003,3,FALSE)</f>
        <v>#N/A</v>
      </c>
      <c r="AP590" s="310" t="e">
        <f>VLOOKUP($AM590,PATRIMONIALE!$AV642:AY$1003,4,FALSE)</f>
        <v>#N/A</v>
      </c>
      <c r="AQ590" s="748" t="e">
        <f>VLOOKUP($AM590,PATRIMONIALE!$AV642:AZ$1003,5,FALSE)</f>
        <v>#N/A</v>
      </c>
      <c r="AR590" s="1"/>
      <c r="AS590" s="461" t="str">
        <f t="shared" si="110"/>
        <v/>
      </c>
      <c r="AT590" s="370"/>
    </row>
    <row r="591" spans="1:46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435">
        <f>IF(AND(W591&gt;=$U$1,W591&lt;=$U$2),IF(X591='ESTRATTO CONTO'!$E$2,1+COUNTIF(U$4:U590,"&gt;0"),0),0)</f>
        <v>0</v>
      </c>
      <c r="V591" s="417">
        <f t="shared" si="111"/>
        <v>588</v>
      </c>
      <c r="W591" s="509"/>
      <c r="X591" s="321"/>
      <c r="Y591" s="321"/>
      <c r="Z591" s="433"/>
      <c r="AA591" s="356"/>
      <c r="AB591" s="306" t="str">
        <f t="shared" si="106"/>
        <v/>
      </c>
      <c r="AC591" s="893">
        <f t="shared" si="107"/>
        <v>0</v>
      </c>
      <c r="AD591" s="322"/>
      <c r="AE591" s="1"/>
      <c r="AF591" s="223">
        <f>IF(ISBLANK(AD591),0,COUNTIF(AF$4:AF590,"&gt;0")+1)</f>
        <v>0</v>
      </c>
      <c r="AG591" s="164">
        <f t="shared" si="113"/>
        <v>0</v>
      </c>
      <c r="AH591" s="99">
        <f t="shared" si="108"/>
        <v>0</v>
      </c>
      <c r="AI591" s="99">
        <f t="shared" si="114"/>
        <v>0</v>
      </c>
      <c r="AJ591" s="170">
        <f t="shared" si="115"/>
        <v>0</v>
      </c>
      <c r="AK591" s="204">
        <f t="shared" si="109"/>
        <v>0</v>
      </c>
      <c r="AL591" s="1049">
        <f>IF(ISERROR(AO591),0,IF(AND(AN591&gt;=$U$1,AN591&lt;=$U$2),IF(AO591='ESTRATTO CONTO'!$E$2,1+COUNTIF(AL$4:AL590,"&gt;0")+U$1009,0),0))</f>
        <v>0</v>
      </c>
      <c r="AM591" s="747">
        <f t="shared" si="112"/>
        <v>588</v>
      </c>
      <c r="AN591" s="164" t="e">
        <f>VLOOKUP($AM591,PATRIMONIALE!$AV643:AW$1003,2,FALSE)</f>
        <v>#N/A</v>
      </c>
      <c r="AO591" s="310" t="e">
        <f>VLOOKUP($AM591,PATRIMONIALE!$AV643:AX$1003,3,FALSE)</f>
        <v>#N/A</v>
      </c>
      <c r="AP591" s="310" t="e">
        <f>VLOOKUP($AM591,PATRIMONIALE!$AV643:AY$1003,4,FALSE)</f>
        <v>#N/A</v>
      </c>
      <c r="AQ591" s="748" t="e">
        <f>VLOOKUP($AM591,PATRIMONIALE!$AV643:AZ$1003,5,FALSE)</f>
        <v>#N/A</v>
      </c>
      <c r="AR591" s="1"/>
      <c r="AS591" s="461" t="str">
        <f t="shared" si="110"/>
        <v/>
      </c>
      <c r="AT591" s="370"/>
    </row>
    <row r="592" spans="1:46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435">
        <f>IF(AND(W592&gt;=$U$1,W592&lt;=$U$2),IF(X592='ESTRATTO CONTO'!$E$2,1+COUNTIF(U$4:U591,"&gt;0"),0),0)</f>
        <v>0</v>
      </c>
      <c r="V592" s="417">
        <f t="shared" si="111"/>
        <v>589</v>
      </c>
      <c r="W592" s="509"/>
      <c r="X592" s="321"/>
      <c r="Y592" s="321"/>
      <c r="Z592" s="433"/>
      <c r="AA592" s="356"/>
      <c r="AB592" s="306" t="str">
        <f t="shared" si="106"/>
        <v/>
      </c>
      <c r="AC592" s="893">
        <f t="shared" si="107"/>
        <v>0</v>
      </c>
      <c r="AD592" s="322"/>
      <c r="AE592" s="1"/>
      <c r="AF592" s="223">
        <f>IF(ISBLANK(AD592),0,COUNTIF(AF$4:AF591,"&gt;0")+1)</f>
        <v>0</v>
      </c>
      <c r="AG592" s="164">
        <f t="shared" si="113"/>
        <v>0</v>
      </c>
      <c r="AH592" s="99">
        <f t="shared" si="108"/>
        <v>0</v>
      </c>
      <c r="AI592" s="99">
        <f t="shared" si="114"/>
        <v>0</v>
      </c>
      <c r="AJ592" s="170">
        <f t="shared" si="115"/>
        <v>0</v>
      </c>
      <c r="AK592" s="204">
        <f t="shared" si="109"/>
        <v>0</v>
      </c>
      <c r="AL592" s="1049">
        <f>IF(ISERROR(AO592),0,IF(AND(AN592&gt;=$U$1,AN592&lt;=$U$2),IF(AO592='ESTRATTO CONTO'!$E$2,1+COUNTIF(AL$4:AL591,"&gt;0")+U$1009,0),0))</f>
        <v>0</v>
      </c>
      <c r="AM592" s="747">
        <f t="shared" si="112"/>
        <v>589</v>
      </c>
      <c r="AN592" s="164" t="e">
        <f>VLOOKUP($AM592,PATRIMONIALE!$AV644:AW$1003,2,FALSE)</f>
        <v>#N/A</v>
      </c>
      <c r="AO592" s="310" t="e">
        <f>VLOOKUP($AM592,PATRIMONIALE!$AV644:AX$1003,3,FALSE)</f>
        <v>#N/A</v>
      </c>
      <c r="AP592" s="310" t="e">
        <f>VLOOKUP($AM592,PATRIMONIALE!$AV644:AY$1003,4,FALSE)</f>
        <v>#N/A</v>
      </c>
      <c r="AQ592" s="748" t="e">
        <f>VLOOKUP($AM592,PATRIMONIALE!$AV644:AZ$1003,5,FALSE)</f>
        <v>#N/A</v>
      </c>
      <c r="AR592" s="1"/>
      <c r="AS592" s="461" t="str">
        <f t="shared" si="110"/>
        <v/>
      </c>
      <c r="AT592" s="370"/>
    </row>
    <row r="593" spans="1:46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435">
        <f>IF(AND(W593&gt;=$U$1,W593&lt;=$U$2),IF(X593='ESTRATTO CONTO'!$E$2,1+COUNTIF(U$4:U592,"&gt;0"),0),0)</f>
        <v>0</v>
      </c>
      <c r="V593" s="417">
        <f t="shared" si="111"/>
        <v>590</v>
      </c>
      <c r="W593" s="509"/>
      <c r="X593" s="321"/>
      <c r="Y593" s="321"/>
      <c r="Z593" s="433"/>
      <c r="AA593" s="356"/>
      <c r="AB593" s="306" t="str">
        <f t="shared" si="106"/>
        <v/>
      </c>
      <c r="AC593" s="893">
        <f t="shared" si="107"/>
        <v>0</v>
      </c>
      <c r="AD593" s="322"/>
      <c r="AE593" s="1"/>
      <c r="AF593" s="223">
        <f>IF(ISBLANK(AD593),0,COUNTIF(AF$4:AF592,"&gt;0")+1)</f>
        <v>0</v>
      </c>
      <c r="AG593" s="164">
        <f t="shared" si="113"/>
        <v>0</v>
      </c>
      <c r="AH593" s="99">
        <f t="shared" si="108"/>
        <v>0</v>
      </c>
      <c r="AI593" s="99">
        <f t="shared" si="114"/>
        <v>0</v>
      </c>
      <c r="AJ593" s="170">
        <f t="shared" si="115"/>
        <v>0</v>
      </c>
      <c r="AK593" s="204">
        <f t="shared" si="109"/>
        <v>0</v>
      </c>
      <c r="AL593" s="1049">
        <f>IF(ISERROR(AO593),0,IF(AND(AN593&gt;=$U$1,AN593&lt;=$U$2),IF(AO593='ESTRATTO CONTO'!$E$2,1+COUNTIF(AL$4:AL592,"&gt;0")+U$1009,0),0))</f>
        <v>0</v>
      </c>
      <c r="AM593" s="747">
        <f t="shared" si="112"/>
        <v>590</v>
      </c>
      <c r="AN593" s="164" t="e">
        <f>VLOOKUP($AM593,PATRIMONIALE!$AV645:AW$1003,2,FALSE)</f>
        <v>#N/A</v>
      </c>
      <c r="AO593" s="310" t="e">
        <f>VLOOKUP($AM593,PATRIMONIALE!$AV645:AX$1003,3,FALSE)</f>
        <v>#N/A</v>
      </c>
      <c r="AP593" s="310" t="e">
        <f>VLOOKUP($AM593,PATRIMONIALE!$AV645:AY$1003,4,FALSE)</f>
        <v>#N/A</v>
      </c>
      <c r="AQ593" s="748" t="e">
        <f>VLOOKUP($AM593,PATRIMONIALE!$AV645:AZ$1003,5,FALSE)</f>
        <v>#N/A</v>
      </c>
      <c r="AR593" s="1"/>
      <c r="AS593" s="461" t="str">
        <f t="shared" si="110"/>
        <v/>
      </c>
      <c r="AT593" s="370"/>
    </row>
    <row r="594" spans="1:46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435">
        <f>IF(AND(W594&gt;=$U$1,W594&lt;=$U$2),IF(X594='ESTRATTO CONTO'!$E$2,1+COUNTIF(U$4:U593,"&gt;0"),0),0)</f>
        <v>0</v>
      </c>
      <c r="V594" s="417">
        <f t="shared" si="111"/>
        <v>591</v>
      </c>
      <c r="W594" s="509"/>
      <c r="X594" s="321"/>
      <c r="Y594" s="321"/>
      <c r="Z594" s="433"/>
      <c r="AA594" s="356"/>
      <c r="AB594" s="306" t="str">
        <f t="shared" si="106"/>
        <v/>
      </c>
      <c r="AC594" s="893">
        <f t="shared" si="107"/>
        <v>0</v>
      </c>
      <c r="AD594" s="322"/>
      <c r="AE594" s="1"/>
      <c r="AF594" s="223">
        <f>IF(ISBLANK(AD594),0,COUNTIF(AF$4:AF593,"&gt;0")+1)</f>
        <v>0</v>
      </c>
      <c r="AG594" s="164">
        <f t="shared" si="113"/>
        <v>0</v>
      </c>
      <c r="AH594" s="99">
        <f t="shared" si="108"/>
        <v>0</v>
      </c>
      <c r="AI594" s="99">
        <f t="shared" si="114"/>
        <v>0</v>
      </c>
      <c r="AJ594" s="170">
        <f t="shared" si="115"/>
        <v>0</v>
      </c>
      <c r="AK594" s="204">
        <f t="shared" si="109"/>
        <v>0</v>
      </c>
      <c r="AL594" s="1049">
        <f>IF(ISERROR(AO594),0,IF(AND(AN594&gt;=$U$1,AN594&lt;=$U$2),IF(AO594='ESTRATTO CONTO'!$E$2,1+COUNTIF(AL$4:AL593,"&gt;0")+U$1009,0),0))</f>
        <v>0</v>
      </c>
      <c r="AM594" s="747">
        <f t="shared" si="112"/>
        <v>591</v>
      </c>
      <c r="AN594" s="164" t="e">
        <f>VLOOKUP($AM594,PATRIMONIALE!$AV646:AW$1003,2,FALSE)</f>
        <v>#N/A</v>
      </c>
      <c r="AO594" s="310" t="e">
        <f>VLOOKUP($AM594,PATRIMONIALE!$AV646:AX$1003,3,FALSE)</f>
        <v>#N/A</v>
      </c>
      <c r="AP594" s="310" t="e">
        <f>VLOOKUP($AM594,PATRIMONIALE!$AV646:AY$1003,4,FALSE)</f>
        <v>#N/A</v>
      </c>
      <c r="AQ594" s="748" t="e">
        <f>VLOOKUP($AM594,PATRIMONIALE!$AV646:AZ$1003,5,FALSE)</f>
        <v>#N/A</v>
      </c>
      <c r="AR594" s="1"/>
      <c r="AS594" s="461" t="str">
        <f t="shared" si="110"/>
        <v/>
      </c>
      <c r="AT594" s="370"/>
    </row>
    <row r="595" spans="1:46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435">
        <f>IF(AND(W595&gt;=$U$1,W595&lt;=$U$2),IF(X595='ESTRATTO CONTO'!$E$2,1+COUNTIF(U$4:U594,"&gt;0"),0),0)</f>
        <v>0</v>
      </c>
      <c r="V595" s="417">
        <f t="shared" si="111"/>
        <v>592</v>
      </c>
      <c r="W595" s="509"/>
      <c r="X595" s="321"/>
      <c r="Y595" s="321"/>
      <c r="Z595" s="433"/>
      <c r="AA595" s="356"/>
      <c r="AB595" s="306" t="str">
        <f t="shared" si="106"/>
        <v/>
      </c>
      <c r="AC595" s="893">
        <f t="shared" si="107"/>
        <v>0</v>
      </c>
      <c r="AD595" s="322"/>
      <c r="AE595" s="1"/>
      <c r="AF595" s="223">
        <f>IF(ISBLANK(AD595),0,COUNTIF(AF$4:AF594,"&gt;0")+1)</f>
        <v>0</v>
      </c>
      <c r="AG595" s="164">
        <f t="shared" si="113"/>
        <v>0</v>
      </c>
      <c r="AH595" s="99">
        <f t="shared" si="108"/>
        <v>0</v>
      </c>
      <c r="AI595" s="99">
        <f t="shared" si="114"/>
        <v>0</v>
      </c>
      <c r="AJ595" s="170">
        <f t="shared" si="115"/>
        <v>0</v>
      </c>
      <c r="AK595" s="204">
        <f t="shared" si="109"/>
        <v>0</v>
      </c>
      <c r="AL595" s="1049">
        <f>IF(ISERROR(AO595),0,IF(AND(AN595&gt;=$U$1,AN595&lt;=$U$2),IF(AO595='ESTRATTO CONTO'!$E$2,1+COUNTIF(AL$4:AL594,"&gt;0")+U$1009,0),0))</f>
        <v>0</v>
      </c>
      <c r="AM595" s="747">
        <f t="shared" si="112"/>
        <v>592</v>
      </c>
      <c r="AN595" s="164" t="e">
        <f>VLOOKUP($AM595,PATRIMONIALE!$AV647:AW$1003,2,FALSE)</f>
        <v>#N/A</v>
      </c>
      <c r="AO595" s="310" t="e">
        <f>VLOOKUP($AM595,PATRIMONIALE!$AV647:AX$1003,3,FALSE)</f>
        <v>#N/A</v>
      </c>
      <c r="AP595" s="310" t="e">
        <f>VLOOKUP($AM595,PATRIMONIALE!$AV647:AY$1003,4,FALSE)</f>
        <v>#N/A</v>
      </c>
      <c r="AQ595" s="748" t="e">
        <f>VLOOKUP($AM595,PATRIMONIALE!$AV647:AZ$1003,5,FALSE)</f>
        <v>#N/A</v>
      </c>
      <c r="AR595" s="1"/>
      <c r="AS595" s="461" t="str">
        <f t="shared" si="110"/>
        <v/>
      </c>
      <c r="AT595" s="370"/>
    </row>
    <row r="596" spans="1:46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435">
        <f>IF(AND(W596&gt;=$U$1,W596&lt;=$U$2),IF(X596='ESTRATTO CONTO'!$E$2,1+COUNTIF(U$4:U595,"&gt;0"),0),0)</f>
        <v>0</v>
      </c>
      <c r="V596" s="417">
        <f t="shared" si="111"/>
        <v>593</v>
      </c>
      <c r="W596" s="509"/>
      <c r="X596" s="321"/>
      <c r="Y596" s="321"/>
      <c r="Z596" s="433"/>
      <c r="AA596" s="356"/>
      <c r="AB596" s="306" t="str">
        <f t="shared" si="106"/>
        <v/>
      </c>
      <c r="AC596" s="893">
        <f t="shared" si="107"/>
        <v>0</v>
      </c>
      <c r="AD596" s="322"/>
      <c r="AE596" s="1"/>
      <c r="AF596" s="223">
        <f>IF(ISBLANK(AD596),0,COUNTIF(AF$4:AF595,"&gt;0")+1)</f>
        <v>0</v>
      </c>
      <c r="AG596" s="164">
        <f t="shared" si="113"/>
        <v>0</v>
      </c>
      <c r="AH596" s="99">
        <f t="shared" si="108"/>
        <v>0</v>
      </c>
      <c r="AI596" s="99">
        <f t="shared" si="114"/>
        <v>0</v>
      </c>
      <c r="AJ596" s="170">
        <f t="shared" si="115"/>
        <v>0</v>
      </c>
      <c r="AK596" s="204">
        <f t="shared" si="109"/>
        <v>0</v>
      </c>
      <c r="AL596" s="1049">
        <f>IF(ISERROR(AO596),0,IF(AND(AN596&gt;=$U$1,AN596&lt;=$U$2),IF(AO596='ESTRATTO CONTO'!$E$2,1+COUNTIF(AL$4:AL595,"&gt;0")+U$1009,0),0))</f>
        <v>0</v>
      </c>
      <c r="AM596" s="747">
        <f t="shared" si="112"/>
        <v>593</v>
      </c>
      <c r="AN596" s="164" t="e">
        <f>VLOOKUP($AM596,PATRIMONIALE!$AV648:AW$1003,2,FALSE)</f>
        <v>#N/A</v>
      </c>
      <c r="AO596" s="310" t="e">
        <f>VLOOKUP($AM596,PATRIMONIALE!$AV648:AX$1003,3,FALSE)</f>
        <v>#N/A</v>
      </c>
      <c r="AP596" s="310" t="e">
        <f>VLOOKUP($AM596,PATRIMONIALE!$AV648:AY$1003,4,FALSE)</f>
        <v>#N/A</v>
      </c>
      <c r="AQ596" s="748" t="e">
        <f>VLOOKUP($AM596,PATRIMONIALE!$AV648:AZ$1003,5,FALSE)</f>
        <v>#N/A</v>
      </c>
      <c r="AR596" s="1"/>
      <c r="AS596" s="461" t="str">
        <f t="shared" si="110"/>
        <v/>
      </c>
      <c r="AT596" s="370"/>
    </row>
    <row r="597" spans="1:46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435">
        <f>IF(AND(W597&gt;=$U$1,W597&lt;=$U$2),IF(X597='ESTRATTO CONTO'!$E$2,1+COUNTIF(U$4:U596,"&gt;0"),0),0)</f>
        <v>0</v>
      </c>
      <c r="V597" s="417">
        <f t="shared" si="111"/>
        <v>594</v>
      </c>
      <c r="W597" s="509"/>
      <c r="X597" s="321"/>
      <c r="Y597" s="321"/>
      <c r="Z597" s="433"/>
      <c r="AA597" s="356"/>
      <c r="AB597" s="306" t="str">
        <f t="shared" si="106"/>
        <v/>
      </c>
      <c r="AC597" s="893">
        <f t="shared" si="107"/>
        <v>0</v>
      </c>
      <c r="AD597" s="322"/>
      <c r="AE597" s="1"/>
      <c r="AF597" s="223">
        <f>IF(ISBLANK(AD597),0,COUNTIF(AF$4:AF596,"&gt;0")+1)</f>
        <v>0</v>
      </c>
      <c r="AG597" s="164">
        <f t="shared" si="113"/>
        <v>0</v>
      </c>
      <c r="AH597" s="99">
        <f t="shared" si="108"/>
        <v>0</v>
      </c>
      <c r="AI597" s="99">
        <f t="shared" si="114"/>
        <v>0</v>
      </c>
      <c r="AJ597" s="170">
        <f t="shared" si="115"/>
        <v>0</v>
      </c>
      <c r="AK597" s="204">
        <f t="shared" si="109"/>
        <v>0</v>
      </c>
      <c r="AL597" s="1049">
        <f>IF(ISERROR(AO597),0,IF(AND(AN597&gt;=$U$1,AN597&lt;=$U$2),IF(AO597='ESTRATTO CONTO'!$E$2,1+COUNTIF(AL$4:AL596,"&gt;0")+U$1009,0),0))</f>
        <v>0</v>
      </c>
      <c r="AM597" s="747">
        <f t="shared" si="112"/>
        <v>594</v>
      </c>
      <c r="AN597" s="164" t="e">
        <f>VLOOKUP($AM597,PATRIMONIALE!$AV649:AW$1003,2,FALSE)</f>
        <v>#N/A</v>
      </c>
      <c r="AO597" s="310" t="e">
        <f>VLOOKUP($AM597,PATRIMONIALE!$AV649:AX$1003,3,FALSE)</f>
        <v>#N/A</v>
      </c>
      <c r="AP597" s="310" t="e">
        <f>VLOOKUP($AM597,PATRIMONIALE!$AV649:AY$1003,4,FALSE)</f>
        <v>#N/A</v>
      </c>
      <c r="AQ597" s="748" t="e">
        <f>VLOOKUP($AM597,PATRIMONIALE!$AV649:AZ$1003,5,FALSE)</f>
        <v>#N/A</v>
      </c>
      <c r="AR597" s="1"/>
      <c r="AS597" s="461" t="str">
        <f t="shared" si="110"/>
        <v/>
      </c>
      <c r="AT597" s="370"/>
    </row>
    <row r="598" spans="1:46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435">
        <f>IF(AND(W598&gt;=$U$1,W598&lt;=$U$2),IF(X598='ESTRATTO CONTO'!$E$2,1+COUNTIF(U$4:U597,"&gt;0"),0),0)</f>
        <v>0</v>
      </c>
      <c r="V598" s="417">
        <f t="shared" si="111"/>
        <v>595</v>
      </c>
      <c r="W598" s="509"/>
      <c r="X598" s="321"/>
      <c r="Y598" s="321"/>
      <c r="Z598" s="433"/>
      <c r="AA598" s="356"/>
      <c r="AB598" s="306" t="str">
        <f t="shared" si="106"/>
        <v/>
      </c>
      <c r="AC598" s="893">
        <f t="shared" si="107"/>
        <v>0</v>
      </c>
      <c r="AD598" s="322"/>
      <c r="AE598" s="1"/>
      <c r="AF598" s="223">
        <f>IF(ISBLANK(AD598),0,COUNTIF(AF$4:AF597,"&gt;0")+1)</f>
        <v>0</v>
      </c>
      <c r="AG598" s="164">
        <f t="shared" si="113"/>
        <v>0</v>
      </c>
      <c r="AH598" s="99">
        <f t="shared" si="108"/>
        <v>0</v>
      </c>
      <c r="AI598" s="99">
        <f t="shared" si="114"/>
        <v>0</v>
      </c>
      <c r="AJ598" s="170">
        <f t="shared" si="115"/>
        <v>0</v>
      </c>
      <c r="AK598" s="204">
        <f t="shared" si="109"/>
        <v>0</v>
      </c>
      <c r="AL598" s="1049">
        <f>IF(ISERROR(AO598),0,IF(AND(AN598&gt;=$U$1,AN598&lt;=$U$2),IF(AO598='ESTRATTO CONTO'!$E$2,1+COUNTIF(AL$4:AL597,"&gt;0")+U$1009,0),0))</f>
        <v>0</v>
      </c>
      <c r="AM598" s="747">
        <f t="shared" si="112"/>
        <v>595</v>
      </c>
      <c r="AN598" s="164" t="e">
        <f>VLOOKUP($AM598,PATRIMONIALE!$AV650:AW$1003,2,FALSE)</f>
        <v>#N/A</v>
      </c>
      <c r="AO598" s="310" t="e">
        <f>VLOOKUP($AM598,PATRIMONIALE!$AV650:AX$1003,3,FALSE)</f>
        <v>#N/A</v>
      </c>
      <c r="AP598" s="310" t="e">
        <f>VLOOKUP($AM598,PATRIMONIALE!$AV650:AY$1003,4,FALSE)</f>
        <v>#N/A</v>
      </c>
      <c r="AQ598" s="748" t="e">
        <f>VLOOKUP($AM598,PATRIMONIALE!$AV650:AZ$1003,5,FALSE)</f>
        <v>#N/A</v>
      </c>
      <c r="AR598" s="1"/>
      <c r="AS598" s="461" t="str">
        <f t="shared" si="110"/>
        <v/>
      </c>
      <c r="AT598" s="370"/>
    </row>
    <row r="599" spans="1:46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435">
        <f>IF(AND(W599&gt;=$U$1,W599&lt;=$U$2),IF(X599='ESTRATTO CONTO'!$E$2,1+COUNTIF(U$4:U598,"&gt;0"),0),0)</f>
        <v>0</v>
      </c>
      <c r="V599" s="417">
        <f t="shared" si="111"/>
        <v>596</v>
      </c>
      <c r="W599" s="509"/>
      <c r="X599" s="321"/>
      <c r="Y599" s="321"/>
      <c r="Z599" s="433"/>
      <c r="AA599" s="356"/>
      <c r="AB599" s="306" t="str">
        <f t="shared" si="106"/>
        <v/>
      </c>
      <c r="AC599" s="893">
        <f t="shared" si="107"/>
        <v>0</v>
      </c>
      <c r="AD599" s="322"/>
      <c r="AE599" s="1"/>
      <c r="AF599" s="223">
        <f>IF(ISBLANK(AD599),0,COUNTIF(AF$4:AF598,"&gt;0")+1)</f>
        <v>0</v>
      </c>
      <c r="AG599" s="164">
        <f t="shared" si="113"/>
        <v>0</v>
      </c>
      <c r="AH599" s="99">
        <f t="shared" si="108"/>
        <v>0</v>
      </c>
      <c r="AI599" s="99">
        <f t="shared" si="114"/>
        <v>0</v>
      </c>
      <c r="AJ599" s="170">
        <f t="shared" si="115"/>
        <v>0</v>
      </c>
      <c r="AK599" s="204">
        <f t="shared" si="109"/>
        <v>0</v>
      </c>
      <c r="AL599" s="1049">
        <f>IF(ISERROR(AO599),0,IF(AND(AN599&gt;=$U$1,AN599&lt;=$U$2),IF(AO599='ESTRATTO CONTO'!$E$2,1+COUNTIF(AL$4:AL598,"&gt;0")+U$1009,0),0))</f>
        <v>0</v>
      </c>
      <c r="AM599" s="747">
        <f t="shared" si="112"/>
        <v>596</v>
      </c>
      <c r="AN599" s="164" t="e">
        <f>VLOOKUP($AM599,PATRIMONIALE!$AV651:AW$1003,2,FALSE)</f>
        <v>#N/A</v>
      </c>
      <c r="AO599" s="310" t="e">
        <f>VLOOKUP($AM599,PATRIMONIALE!$AV651:AX$1003,3,FALSE)</f>
        <v>#N/A</v>
      </c>
      <c r="AP599" s="310" t="e">
        <f>VLOOKUP($AM599,PATRIMONIALE!$AV651:AY$1003,4,FALSE)</f>
        <v>#N/A</v>
      </c>
      <c r="AQ599" s="748" t="e">
        <f>VLOOKUP($AM599,PATRIMONIALE!$AV651:AZ$1003,5,FALSE)</f>
        <v>#N/A</v>
      </c>
      <c r="AR599" s="1"/>
      <c r="AS599" s="461" t="str">
        <f t="shared" si="110"/>
        <v/>
      </c>
      <c r="AT599" s="370"/>
    </row>
    <row r="600" spans="1:46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435">
        <f>IF(AND(W600&gt;=$U$1,W600&lt;=$U$2),IF(X600='ESTRATTO CONTO'!$E$2,1+COUNTIF(U$4:U599,"&gt;0"),0),0)</f>
        <v>0</v>
      </c>
      <c r="V600" s="417">
        <f t="shared" si="111"/>
        <v>597</v>
      </c>
      <c r="W600" s="509"/>
      <c r="X600" s="321"/>
      <c r="Y600" s="321"/>
      <c r="Z600" s="433"/>
      <c r="AA600" s="356"/>
      <c r="AB600" s="306" t="str">
        <f t="shared" si="106"/>
        <v/>
      </c>
      <c r="AC600" s="893">
        <f t="shared" si="107"/>
        <v>0</v>
      </c>
      <c r="AD600" s="322"/>
      <c r="AE600" s="1"/>
      <c r="AF600" s="223">
        <f>IF(ISBLANK(AD600),0,COUNTIF(AF$4:AF599,"&gt;0")+1)</f>
        <v>0</v>
      </c>
      <c r="AG600" s="164">
        <f t="shared" si="113"/>
        <v>0</v>
      </c>
      <c r="AH600" s="99">
        <f t="shared" si="108"/>
        <v>0</v>
      </c>
      <c r="AI600" s="99">
        <f t="shared" si="114"/>
        <v>0</v>
      </c>
      <c r="AJ600" s="170">
        <f t="shared" si="115"/>
        <v>0</v>
      </c>
      <c r="AK600" s="204">
        <f t="shared" si="109"/>
        <v>0</v>
      </c>
      <c r="AL600" s="1049">
        <f>IF(ISERROR(AO600),0,IF(AND(AN600&gt;=$U$1,AN600&lt;=$U$2),IF(AO600='ESTRATTO CONTO'!$E$2,1+COUNTIF(AL$4:AL599,"&gt;0")+U$1009,0),0))</f>
        <v>0</v>
      </c>
      <c r="AM600" s="747">
        <f t="shared" si="112"/>
        <v>597</v>
      </c>
      <c r="AN600" s="164" t="e">
        <f>VLOOKUP($AM600,PATRIMONIALE!$AV652:AW$1003,2,FALSE)</f>
        <v>#N/A</v>
      </c>
      <c r="AO600" s="310" t="e">
        <f>VLOOKUP($AM600,PATRIMONIALE!$AV652:AX$1003,3,FALSE)</f>
        <v>#N/A</v>
      </c>
      <c r="AP600" s="310" t="e">
        <f>VLOOKUP($AM600,PATRIMONIALE!$AV652:AY$1003,4,FALSE)</f>
        <v>#N/A</v>
      </c>
      <c r="AQ600" s="748" t="e">
        <f>VLOOKUP($AM600,PATRIMONIALE!$AV652:AZ$1003,5,FALSE)</f>
        <v>#N/A</v>
      </c>
      <c r="AR600" s="1"/>
      <c r="AS600" s="461" t="str">
        <f t="shared" si="110"/>
        <v/>
      </c>
      <c r="AT600" s="370"/>
    </row>
    <row r="601" spans="1:46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435">
        <f>IF(AND(W601&gt;=$U$1,W601&lt;=$U$2),IF(X601='ESTRATTO CONTO'!$E$2,1+COUNTIF(U$4:U600,"&gt;0"),0),0)</f>
        <v>0</v>
      </c>
      <c r="V601" s="417">
        <f t="shared" si="111"/>
        <v>598</v>
      </c>
      <c r="W601" s="509"/>
      <c r="X601" s="321"/>
      <c r="Y601" s="321"/>
      <c r="Z601" s="433"/>
      <c r="AA601" s="356"/>
      <c r="AB601" s="306" t="str">
        <f t="shared" si="106"/>
        <v/>
      </c>
      <c r="AC601" s="893">
        <f t="shared" si="107"/>
        <v>0</v>
      </c>
      <c r="AD601" s="322"/>
      <c r="AE601" s="1"/>
      <c r="AF601" s="223">
        <f>IF(ISBLANK(AD601),0,COUNTIF(AF$4:AF600,"&gt;0")+1)</f>
        <v>0</v>
      </c>
      <c r="AG601" s="164">
        <f t="shared" si="113"/>
        <v>0</v>
      </c>
      <c r="AH601" s="99">
        <f t="shared" si="108"/>
        <v>0</v>
      </c>
      <c r="AI601" s="99">
        <f t="shared" si="114"/>
        <v>0</v>
      </c>
      <c r="AJ601" s="170">
        <f t="shared" si="115"/>
        <v>0</v>
      </c>
      <c r="AK601" s="204">
        <f t="shared" si="109"/>
        <v>0</v>
      </c>
      <c r="AL601" s="1049">
        <f>IF(ISERROR(AO601),0,IF(AND(AN601&gt;=$U$1,AN601&lt;=$U$2),IF(AO601='ESTRATTO CONTO'!$E$2,1+COUNTIF(AL$4:AL600,"&gt;0")+U$1009,0),0))</f>
        <v>0</v>
      </c>
      <c r="AM601" s="747">
        <f t="shared" si="112"/>
        <v>598</v>
      </c>
      <c r="AN601" s="164" t="e">
        <f>VLOOKUP($AM601,PATRIMONIALE!$AV653:AW$1003,2,FALSE)</f>
        <v>#N/A</v>
      </c>
      <c r="AO601" s="310" t="e">
        <f>VLOOKUP($AM601,PATRIMONIALE!$AV653:AX$1003,3,FALSE)</f>
        <v>#N/A</v>
      </c>
      <c r="AP601" s="310" t="e">
        <f>VLOOKUP($AM601,PATRIMONIALE!$AV653:AY$1003,4,FALSE)</f>
        <v>#N/A</v>
      </c>
      <c r="AQ601" s="748" t="e">
        <f>VLOOKUP($AM601,PATRIMONIALE!$AV653:AZ$1003,5,FALSE)</f>
        <v>#N/A</v>
      </c>
      <c r="AR601" s="1"/>
      <c r="AS601" s="461" t="str">
        <f t="shared" si="110"/>
        <v/>
      </c>
      <c r="AT601" s="370"/>
    </row>
    <row r="602" spans="1:46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435">
        <f>IF(AND(W602&gt;=$U$1,W602&lt;=$U$2),IF(X602='ESTRATTO CONTO'!$E$2,1+COUNTIF(U$4:U601,"&gt;0"),0),0)</f>
        <v>0</v>
      </c>
      <c r="V602" s="417">
        <f t="shared" si="111"/>
        <v>599</v>
      </c>
      <c r="W602" s="509"/>
      <c r="X602" s="321"/>
      <c r="Y602" s="321"/>
      <c r="Z602" s="433"/>
      <c r="AA602" s="356"/>
      <c r="AB602" s="306" t="str">
        <f t="shared" si="106"/>
        <v/>
      </c>
      <c r="AC602" s="893">
        <f t="shared" si="107"/>
        <v>0</v>
      </c>
      <c r="AD602" s="322"/>
      <c r="AE602" s="1"/>
      <c r="AF602" s="223">
        <f>IF(ISBLANK(AD602),0,COUNTIF(AF$4:AF601,"&gt;0")+1)</f>
        <v>0</v>
      </c>
      <c r="AG602" s="164">
        <f t="shared" si="113"/>
        <v>0</v>
      </c>
      <c r="AH602" s="99">
        <f t="shared" si="108"/>
        <v>0</v>
      </c>
      <c r="AI602" s="99">
        <f t="shared" si="114"/>
        <v>0</v>
      </c>
      <c r="AJ602" s="170">
        <f t="shared" si="115"/>
        <v>0</v>
      </c>
      <c r="AK602" s="204">
        <f t="shared" si="109"/>
        <v>0</v>
      </c>
      <c r="AL602" s="1049">
        <f>IF(ISERROR(AO602),0,IF(AND(AN602&gt;=$U$1,AN602&lt;=$U$2),IF(AO602='ESTRATTO CONTO'!$E$2,1+COUNTIF(AL$4:AL601,"&gt;0")+U$1009,0),0))</f>
        <v>0</v>
      </c>
      <c r="AM602" s="747">
        <f t="shared" si="112"/>
        <v>599</v>
      </c>
      <c r="AN602" s="164" t="e">
        <f>VLOOKUP($AM602,PATRIMONIALE!$AV654:AW$1003,2,FALSE)</f>
        <v>#N/A</v>
      </c>
      <c r="AO602" s="310" t="e">
        <f>VLOOKUP($AM602,PATRIMONIALE!$AV654:AX$1003,3,FALSE)</f>
        <v>#N/A</v>
      </c>
      <c r="AP602" s="310" t="e">
        <f>VLOOKUP($AM602,PATRIMONIALE!$AV654:AY$1003,4,FALSE)</f>
        <v>#N/A</v>
      </c>
      <c r="AQ602" s="748" t="e">
        <f>VLOOKUP($AM602,PATRIMONIALE!$AV654:AZ$1003,5,FALSE)</f>
        <v>#N/A</v>
      </c>
      <c r="AR602" s="1"/>
      <c r="AS602" s="461" t="str">
        <f t="shared" si="110"/>
        <v/>
      </c>
      <c r="AT602" s="370"/>
    </row>
    <row r="603" spans="1:46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435">
        <f>IF(AND(W603&gt;=$U$1,W603&lt;=$U$2),IF(X603='ESTRATTO CONTO'!$E$2,1+COUNTIF(U$4:U602,"&gt;0"),0),0)</f>
        <v>0</v>
      </c>
      <c r="V603" s="417">
        <f t="shared" si="111"/>
        <v>600</v>
      </c>
      <c r="W603" s="509"/>
      <c r="X603" s="321"/>
      <c r="Y603" s="321"/>
      <c r="Z603" s="433"/>
      <c r="AA603" s="356"/>
      <c r="AB603" s="306" t="str">
        <f t="shared" si="106"/>
        <v/>
      </c>
      <c r="AC603" s="893">
        <f t="shared" si="107"/>
        <v>0</v>
      </c>
      <c r="AD603" s="322"/>
      <c r="AE603" s="1"/>
      <c r="AF603" s="223">
        <f>IF(ISBLANK(AD603),0,COUNTIF(AF$4:AF602,"&gt;0")+1)</f>
        <v>0</v>
      </c>
      <c r="AG603" s="164">
        <f t="shared" si="113"/>
        <v>0</v>
      </c>
      <c r="AH603" s="99">
        <f t="shared" si="108"/>
        <v>0</v>
      </c>
      <c r="AI603" s="99">
        <f t="shared" si="114"/>
        <v>0</v>
      </c>
      <c r="AJ603" s="170">
        <f t="shared" si="115"/>
        <v>0</v>
      </c>
      <c r="AK603" s="204">
        <f t="shared" si="109"/>
        <v>0</v>
      </c>
      <c r="AL603" s="1049">
        <f>IF(ISERROR(AO603),0,IF(AND(AN603&gt;=$U$1,AN603&lt;=$U$2),IF(AO603='ESTRATTO CONTO'!$E$2,1+COUNTIF(AL$4:AL602,"&gt;0")+U$1009,0),0))</f>
        <v>0</v>
      </c>
      <c r="AM603" s="747">
        <f t="shared" si="112"/>
        <v>600</v>
      </c>
      <c r="AN603" s="164" t="e">
        <f>VLOOKUP($AM603,PATRIMONIALE!$AV655:AW$1003,2,FALSE)</f>
        <v>#N/A</v>
      </c>
      <c r="AO603" s="310" t="e">
        <f>VLOOKUP($AM603,PATRIMONIALE!$AV655:AX$1003,3,FALSE)</f>
        <v>#N/A</v>
      </c>
      <c r="AP603" s="310" t="e">
        <f>VLOOKUP($AM603,PATRIMONIALE!$AV655:AY$1003,4,FALSE)</f>
        <v>#N/A</v>
      </c>
      <c r="AQ603" s="748" t="e">
        <f>VLOOKUP($AM603,PATRIMONIALE!$AV655:AZ$1003,5,FALSE)</f>
        <v>#N/A</v>
      </c>
      <c r="AR603" s="1"/>
      <c r="AS603" s="461" t="str">
        <f t="shared" si="110"/>
        <v/>
      </c>
      <c r="AT603" s="370"/>
    </row>
    <row r="604" spans="1:46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435">
        <f>IF(AND(W604&gt;=$U$1,W604&lt;=$U$2),IF(X604='ESTRATTO CONTO'!$E$2,1+COUNTIF(U$4:U603,"&gt;0"),0),0)</f>
        <v>0</v>
      </c>
      <c r="V604" s="417">
        <f t="shared" si="111"/>
        <v>601</v>
      </c>
      <c r="W604" s="509"/>
      <c r="X604" s="321"/>
      <c r="Y604" s="321"/>
      <c r="Z604" s="433"/>
      <c r="AA604" s="356"/>
      <c r="AB604" s="306" t="str">
        <f t="shared" si="106"/>
        <v/>
      </c>
      <c r="AC604" s="893">
        <f t="shared" si="107"/>
        <v>0</v>
      </c>
      <c r="AD604" s="322"/>
      <c r="AE604" s="1"/>
      <c r="AF604" s="223">
        <f>IF(ISBLANK(AD604),0,COUNTIF(AF$4:AF603,"&gt;0")+1)</f>
        <v>0</v>
      </c>
      <c r="AG604" s="164">
        <f t="shared" si="113"/>
        <v>0</v>
      </c>
      <c r="AH604" s="99">
        <f t="shared" si="108"/>
        <v>0</v>
      </c>
      <c r="AI604" s="99">
        <f t="shared" si="114"/>
        <v>0</v>
      </c>
      <c r="AJ604" s="170">
        <f t="shared" si="115"/>
        <v>0</v>
      </c>
      <c r="AK604" s="204">
        <f t="shared" si="109"/>
        <v>0</v>
      </c>
      <c r="AL604" s="1049">
        <f>IF(ISERROR(AO604),0,IF(AND(AN604&gt;=$U$1,AN604&lt;=$U$2),IF(AO604='ESTRATTO CONTO'!$E$2,1+COUNTIF(AL$4:AL603,"&gt;0")+U$1009,0),0))</f>
        <v>0</v>
      </c>
      <c r="AM604" s="747">
        <f t="shared" si="112"/>
        <v>601</v>
      </c>
      <c r="AN604" s="164" t="e">
        <f>VLOOKUP($AM604,PATRIMONIALE!$AV656:AW$1003,2,FALSE)</f>
        <v>#N/A</v>
      </c>
      <c r="AO604" s="310" t="e">
        <f>VLOOKUP($AM604,PATRIMONIALE!$AV656:AX$1003,3,FALSE)</f>
        <v>#N/A</v>
      </c>
      <c r="AP604" s="310" t="e">
        <f>VLOOKUP($AM604,PATRIMONIALE!$AV656:AY$1003,4,FALSE)</f>
        <v>#N/A</v>
      </c>
      <c r="AQ604" s="748" t="e">
        <f>VLOOKUP($AM604,PATRIMONIALE!$AV656:AZ$1003,5,FALSE)</f>
        <v>#N/A</v>
      </c>
      <c r="AR604" s="1"/>
      <c r="AS604" s="461" t="str">
        <f t="shared" si="110"/>
        <v/>
      </c>
      <c r="AT604" s="370"/>
    </row>
    <row r="605" spans="1:46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435">
        <f>IF(AND(W605&gt;=$U$1,W605&lt;=$U$2),IF(X605='ESTRATTO CONTO'!$E$2,1+COUNTIF(U$4:U604,"&gt;0"),0),0)</f>
        <v>0</v>
      </c>
      <c r="V605" s="417">
        <f t="shared" si="111"/>
        <v>602</v>
      </c>
      <c r="W605" s="509"/>
      <c r="X605" s="321"/>
      <c r="Y605" s="321"/>
      <c r="Z605" s="433"/>
      <c r="AA605" s="356"/>
      <c r="AB605" s="306" t="str">
        <f t="shared" si="106"/>
        <v/>
      </c>
      <c r="AC605" s="893">
        <f t="shared" si="107"/>
        <v>0</v>
      </c>
      <c r="AD605" s="322"/>
      <c r="AE605" s="1"/>
      <c r="AF605" s="223">
        <f>IF(ISBLANK(AD605),0,COUNTIF(AF$4:AF604,"&gt;0")+1)</f>
        <v>0</v>
      </c>
      <c r="AG605" s="164">
        <f t="shared" si="113"/>
        <v>0</v>
      </c>
      <c r="AH605" s="99">
        <f t="shared" si="108"/>
        <v>0</v>
      </c>
      <c r="AI605" s="99">
        <f t="shared" si="114"/>
        <v>0</v>
      </c>
      <c r="AJ605" s="170">
        <f t="shared" si="115"/>
        <v>0</v>
      </c>
      <c r="AK605" s="204">
        <f t="shared" si="109"/>
        <v>0</v>
      </c>
      <c r="AL605" s="1049">
        <f>IF(ISERROR(AO605),0,IF(AND(AN605&gt;=$U$1,AN605&lt;=$U$2),IF(AO605='ESTRATTO CONTO'!$E$2,1+COUNTIF(AL$4:AL604,"&gt;0")+U$1009,0),0))</f>
        <v>0</v>
      </c>
      <c r="AM605" s="747">
        <f t="shared" si="112"/>
        <v>602</v>
      </c>
      <c r="AN605" s="164" t="e">
        <f>VLOOKUP($AM605,PATRIMONIALE!$AV657:AW$1003,2,FALSE)</f>
        <v>#N/A</v>
      </c>
      <c r="AO605" s="310" t="e">
        <f>VLOOKUP($AM605,PATRIMONIALE!$AV657:AX$1003,3,FALSE)</f>
        <v>#N/A</v>
      </c>
      <c r="AP605" s="310" t="e">
        <f>VLOOKUP($AM605,PATRIMONIALE!$AV657:AY$1003,4,FALSE)</f>
        <v>#N/A</v>
      </c>
      <c r="AQ605" s="748" t="e">
        <f>VLOOKUP($AM605,PATRIMONIALE!$AV657:AZ$1003,5,FALSE)</f>
        <v>#N/A</v>
      </c>
      <c r="AR605" s="1"/>
      <c r="AS605" s="461" t="str">
        <f t="shared" si="110"/>
        <v/>
      </c>
      <c r="AT605" s="370"/>
    </row>
    <row r="606" spans="1:46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435">
        <f>IF(AND(W606&gt;=$U$1,W606&lt;=$U$2),IF(X606='ESTRATTO CONTO'!$E$2,1+COUNTIF(U$4:U605,"&gt;0"),0),0)</f>
        <v>0</v>
      </c>
      <c r="V606" s="417">
        <f t="shared" si="111"/>
        <v>603</v>
      </c>
      <c r="W606" s="509"/>
      <c r="X606" s="321"/>
      <c r="Y606" s="321"/>
      <c r="Z606" s="433"/>
      <c r="AA606" s="356"/>
      <c r="AB606" s="306" t="str">
        <f t="shared" si="106"/>
        <v/>
      </c>
      <c r="AC606" s="893">
        <f t="shared" si="107"/>
        <v>0</v>
      </c>
      <c r="AD606" s="322"/>
      <c r="AE606" s="1"/>
      <c r="AF606" s="223">
        <f>IF(ISBLANK(AD606),0,COUNTIF(AF$4:AF605,"&gt;0")+1)</f>
        <v>0</v>
      </c>
      <c r="AG606" s="164">
        <f t="shared" si="113"/>
        <v>0</v>
      </c>
      <c r="AH606" s="99">
        <f t="shared" si="108"/>
        <v>0</v>
      </c>
      <c r="AI606" s="99">
        <f t="shared" si="114"/>
        <v>0</v>
      </c>
      <c r="AJ606" s="170">
        <f t="shared" si="115"/>
        <v>0</v>
      </c>
      <c r="AK606" s="204">
        <f t="shared" si="109"/>
        <v>0</v>
      </c>
      <c r="AL606" s="1049">
        <f>IF(ISERROR(AO606),0,IF(AND(AN606&gt;=$U$1,AN606&lt;=$U$2),IF(AO606='ESTRATTO CONTO'!$E$2,1+COUNTIF(AL$4:AL605,"&gt;0")+U$1009,0),0))</f>
        <v>0</v>
      </c>
      <c r="AM606" s="747">
        <f t="shared" si="112"/>
        <v>603</v>
      </c>
      <c r="AN606" s="164" t="e">
        <f>VLOOKUP($AM606,PATRIMONIALE!$AV658:AW$1003,2,FALSE)</f>
        <v>#N/A</v>
      </c>
      <c r="AO606" s="310" t="e">
        <f>VLOOKUP($AM606,PATRIMONIALE!$AV658:AX$1003,3,FALSE)</f>
        <v>#N/A</v>
      </c>
      <c r="AP606" s="310" t="e">
        <f>VLOOKUP($AM606,PATRIMONIALE!$AV658:AY$1003,4,FALSE)</f>
        <v>#N/A</v>
      </c>
      <c r="AQ606" s="748" t="e">
        <f>VLOOKUP($AM606,PATRIMONIALE!$AV658:AZ$1003,5,FALSE)</f>
        <v>#N/A</v>
      </c>
      <c r="AR606" s="1"/>
      <c r="AS606" s="461" t="str">
        <f t="shared" si="110"/>
        <v/>
      </c>
      <c r="AT606" s="370"/>
    </row>
    <row r="607" spans="1:46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435">
        <f>IF(AND(W607&gt;=$U$1,W607&lt;=$U$2),IF(X607='ESTRATTO CONTO'!$E$2,1+COUNTIF(U$4:U606,"&gt;0"),0),0)</f>
        <v>0</v>
      </c>
      <c r="V607" s="417">
        <f t="shared" si="111"/>
        <v>604</v>
      </c>
      <c r="W607" s="509"/>
      <c r="X607" s="321"/>
      <c r="Y607" s="321"/>
      <c r="Z607" s="433"/>
      <c r="AA607" s="356"/>
      <c r="AB607" s="306" t="str">
        <f t="shared" si="106"/>
        <v/>
      </c>
      <c r="AC607" s="893">
        <f t="shared" si="107"/>
        <v>0</v>
      </c>
      <c r="AD607" s="322"/>
      <c r="AE607" s="1"/>
      <c r="AF607" s="223">
        <f>IF(ISBLANK(AD607),0,COUNTIF(AF$4:AF606,"&gt;0")+1)</f>
        <v>0</v>
      </c>
      <c r="AG607" s="164">
        <f t="shared" si="113"/>
        <v>0</v>
      </c>
      <c r="AH607" s="99">
        <f t="shared" si="108"/>
        <v>0</v>
      </c>
      <c r="AI607" s="99">
        <f t="shared" si="114"/>
        <v>0</v>
      </c>
      <c r="AJ607" s="170">
        <f t="shared" si="115"/>
        <v>0</v>
      </c>
      <c r="AK607" s="204">
        <f t="shared" si="109"/>
        <v>0</v>
      </c>
      <c r="AL607" s="1049">
        <f>IF(ISERROR(AO607),0,IF(AND(AN607&gt;=$U$1,AN607&lt;=$U$2),IF(AO607='ESTRATTO CONTO'!$E$2,1+COUNTIF(AL$4:AL606,"&gt;0")+U$1009,0),0))</f>
        <v>0</v>
      </c>
      <c r="AM607" s="747">
        <f t="shared" si="112"/>
        <v>604</v>
      </c>
      <c r="AN607" s="164" t="e">
        <f>VLOOKUP($AM607,PATRIMONIALE!$AV659:AW$1003,2,FALSE)</f>
        <v>#N/A</v>
      </c>
      <c r="AO607" s="310" t="e">
        <f>VLOOKUP($AM607,PATRIMONIALE!$AV659:AX$1003,3,FALSE)</f>
        <v>#N/A</v>
      </c>
      <c r="AP607" s="310" t="e">
        <f>VLOOKUP($AM607,PATRIMONIALE!$AV659:AY$1003,4,FALSE)</f>
        <v>#N/A</v>
      </c>
      <c r="AQ607" s="748" t="e">
        <f>VLOOKUP($AM607,PATRIMONIALE!$AV659:AZ$1003,5,FALSE)</f>
        <v>#N/A</v>
      </c>
      <c r="AR607" s="1"/>
      <c r="AS607" s="461" t="str">
        <f t="shared" si="110"/>
        <v/>
      </c>
      <c r="AT607" s="370"/>
    </row>
    <row r="608" spans="1:46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435">
        <f>IF(AND(W608&gt;=$U$1,W608&lt;=$U$2),IF(X608='ESTRATTO CONTO'!$E$2,1+COUNTIF(U$4:U607,"&gt;0"),0),0)</f>
        <v>0</v>
      </c>
      <c r="V608" s="417">
        <f t="shared" si="111"/>
        <v>605</v>
      </c>
      <c r="W608" s="509"/>
      <c r="X608" s="321"/>
      <c r="Y608" s="321"/>
      <c r="Z608" s="433"/>
      <c r="AA608" s="356"/>
      <c r="AB608" s="306" t="str">
        <f t="shared" si="106"/>
        <v/>
      </c>
      <c r="AC608" s="893">
        <f t="shared" si="107"/>
        <v>0</v>
      </c>
      <c r="AD608" s="322"/>
      <c r="AE608" s="1"/>
      <c r="AF608" s="223">
        <f>IF(ISBLANK(AD608),0,COUNTIF(AF$4:AF607,"&gt;0")+1)</f>
        <v>0</v>
      </c>
      <c r="AG608" s="164">
        <f t="shared" si="113"/>
        <v>0</v>
      </c>
      <c r="AH608" s="99">
        <f t="shared" si="108"/>
        <v>0</v>
      </c>
      <c r="AI608" s="99">
        <f t="shared" si="114"/>
        <v>0</v>
      </c>
      <c r="AJ608" s="170">
        <f t="shared" si="115"/>
        <v>0</v>
      </c>
      <c r="AK608" s="204">
        <f t="shared" si="109"/>
        <v>0</v>
      </c>
      <c r="AL608" s="1049">
        <f>IF(ISERROR(AO608),0,IF(AND(AN608&gt;=$U$1,AN608&lt;=$U$2),IF(AO608='ESTRATTO CONTO'!$E$2,1+COUNTIF(AL$4:AL607,"&gt;0")+U$1009,0),0))</f>
        <v>0</v>
      </c>
      <c r="AM608" s="747">
        <f t="shared" si="112"/>
        <v>605</v>
      </c>
      <c r="AN608" s="164" t="e">
        <f>VLOOKUP($AM608,PATRIMONIALE!$AV660:AW$1003,2,FALSE)</f>
        <v>#N/A</v>
      </c>
      <c r="AO608" s="310" t="e">
        <f>VLOOKUP($AM608,PATRIMONIALE!$AV660:AX$1003,3,FALSE)</f>
        <v>#N/A</v>
      </c>
      <c r="AP608" s="310" t="e">
        <f>VLOOKUP($AM608,PATRIMONIALE!$AV660:AY$1003,4,FALSE)</f>
        <v>#N/A</v>
      </c>
      <c r="AQ608" s="748" t="e">
        <f>VLOOKUP($AM608,PATRIMONIALE!$AV660:AZ$1003,5,FALSE)</f>
        <v>#N/A</v>
      </c>
      <c r="AR608" s="1"/>
      <c r="AS608" s="461" t="str">
        <f t="shared" si="110"/>
        <v/>
      </c>
      <c r="AT608" s="370"/>
    </row>
    <row r="609" spans="1:46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435">
        <f>IF(AND(W609&gt;=$U$1,W609&lt;=$U$2),IF(X609='ESTRATTO CONTO'!$E$2,1+COUNTIF(U$4:U608,"&gt;0"),0),0)</f>
        <v>0</v>
      </c>
      <c r="V609" s="417">
        <f t="shared" si="111"/>
        <v>606</v>
      </c>
      <c r="W609" s="509"/>
      <c r="X609" s="321"/>
      <c r="Y609" s="321"/>
      <c r="Z609" s="433"/>
      <c r="AA609" s="356"/>
      <c r="AB609" s="306" t="str">
        <f t="shared" si="106"/>
        <v/>
      </c>
      <c r="AC609" s="893">
        <f t="shared" si="107"/>
        <v>0</v>
      </c>
      <c r="AD609" s="322"/>
      <c r="AE609" s="1"/>
      <c r="AF609" s="223">
        <f>IF(ISBLANK(AD609),0,COUNTIF(AF$4:AF608,"&gt;0")+1)</f>
        <v>0</v>
      </c>
      <c r="AG609" s="164">
        <f t="shared" si="113"/>
        <v>0</v>
      </c>
      <c r="AH609" s="99">
        <f t="shared" si="108"/>
        <v>0</v>
      </c>
      <c r="AI609" s="99">
        <f t="shared" si="114"/>
        <v>0</v>
      </c>
      <c r="AJ609" s="170">
        <f t="shared" si="115"/>
        <v>0</v>
      </c>
      <c r="AK609" s="204">
        <f t="shared" si="109"/>
        <v>0</v>
      </c>
      <c r="AL609" s="1049">
        <f>IF(ISERROR(AO609),0,IF(AND(AN609&gt;=$U$1,AN609&lt;=$U$2),IF(AO609='ESTRATTO CONTO'!$E$2,1+COUNTIF(AL$4:AL608,"&gt;0")+U$1009,0),0))</f>
        <v>0</v>
      </c>
      <c r="AM609" s="747">
        <f t="shared" si="112"/>
        <v>606</v>
      </c>
      <c r="AN609" s="164" t="e">
        <f>VLOOKUP($AM609,PATRIMONIALE!$AV661:AW$1003,2,FALSE)</f>
        <v>#N/A</v>
      </c>
      <c r="AO609" s="310" t="e">
        <f>VLOOKUP($AM609,PATRIMONIALE!$AV661:AX$1003,3,FALSE)</f>
        <v>#N/A</v>
      </c>
      <c r="AP609" s="310" t="e">
        <f>VLOOKUP($AM609,PATRIMONIALE!$AV661:AY$1003,4,FALSE)</f>
        <v>#N/A</v>
      </c>
      <c r="AQ609" s="748" t="e">
        <f>VLOOKUP($AM609,PATRIMONIALE!$AV661:AZ$1003,5,FALSE)</f>
        <v>#N/A</v>
      </c>
      <c r="AR609" s="1"/>
      <c r="AS609" s="461" t="str">
        <f t="shared" si="110"/>
        <v/>
      </c>
      <c r="AT609" s="370"/>
    </row>
    <row r="610" spans="1:46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435">
        <f>IF(AND(W610&gt;=$U$1,W610&lt;=$U$2),IF(X610='ESTRATTO CONTO'!$E$2,1+COUNTIF(U$4:U609,"&gt;0"),0),0)</f>
        <v>0</v>
      </c>
      <c r="V610" s="417">
        <f t="shared" si="111"/>
        <v>607</v>
      </c>
      <c r="W610" s="509"/>
      <c r="X610" s="321"/>
      <c r="Y610" s="321"/>
      <c r="Z610" s="433"/>
      <c r="AA610" s="356"/>
      <c r="AB610" s="306" t="str">
        <f t="shared" si="106"/>
        <v/>
      </c>
      <c r="AC610" s="893">
        <f t="shared" si="107"/>
        <v>0</v>
      </c>
      <c r="AD610" s="322"/>
      <c r="AE610" s="1"/>
      <c r="AF610" s="223">
        <f>IF(ISBLANK(AD610),0,COUNTIF(AF$4:AF609,"&gt;0")+1)</f>
        <v>0</v>
      </c>
      <c r="AG610" s="164">
        <f t="shared" si="113"/>
        <v>0</v>
      </c>
      <c r="AH610" s="99">
        <f t="shared" si="108"/>
        <v>0</v>
      </c>
      <c r="AI610" s="99">
        <f t="shared" si="114"/>
        <v>0</v>
      </c>
      <c r="AJ610" s="170">
        <f t="shared" si="115"/>
        <v>0</v>
      </c>
      <c r="AK610" s="204">
        <f t="shared" si="109"/>
        <v>0</v>
      </c>
      <c r="AL610" s="1049">
        <f>IF(ISERROR(AO610),0,IF(AND(AN610&gt;=$U$1,AN610&lt;=$U$2),IF(AO610='ESTRATTO CONTO'!$E$2,1+COUNTIF(AL$4:AL609,"&gt;0")+U$1009,0),0))</f>
        <v>0</v>
      </c>
      <c r="AM610" s="747">
        <f t="shared" si="112"/>
        <v>607</v>
      </c>
      <c r="AN610" s="164" t="e">
        <f>VLOOKUP($AM610,PATRIMONIALE!$AV662:AW$1003,2,FALSE)</f>
        <v>#N/A</v>
      </c>
      <c r="AO610" s="310" t="e">
        <f>VLOOKUP($AM610,PATRIMONIALE!$AV662:AX$1003,3,FALSE)</f>
        <v>#N/A</v>
      </c>
      <c r="AP610" s="310" t="e">
        <f>VLOOKUP($AM610,PATRIMONIALE!$AV662:AY$1003,4,FALSE)</f>
        <v>#N/A</v>
      </c>
      <c r="AQ610" s="748" t="e">
        <f>VLOOKUP($AM610,PATRIMONIALE!$AV662:AZ$1003,5,FALSE)</f>
        <v>#N/A</v>
      </c>
      <c r="AR610" s="1"/>
      <c r="AS610" s="461" t="str">
        <f t="shared" si="110"/>
        <v/>
      </c>
      <c r="AT610" s="370"/>
    </row>
    <row r="611" spans="1:46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435">
        <f>IF(AND(W611&gt;=$U$1,W611&lt;=$U$2),IF(X611='ESTRATTO CONTO'!$E$2,1+COUNTIF(U$4:U610,"&gt;0"),0),0)</f>
        <v>0</v>
      </c>
      <c r="V611" s="417">
        <f t="shared" si="111"/>
        <v>608</v>
      </c>
      <c r="W611" s="509"/>
      <c r="X611" s="321"/>
      <c r="Y611" s="321"/>
      <c r="Z611" s="433"/>
      <c r="AA611" s="356"/>
      <c r="AB611" s="306" t="str">
        <f t="shared" si="106"/>
        <v/>
      </c>
      <c r="AC611" s="893">
        <f t="shared" si="107"/>
        <v>0</v>
      </c>
      <c r="AD611" s="322"/>
      <c r="AE611" s="1"/>
      <c r="AF611" s="223">
        <f>IF(ISBLANK(AD611),0,COUNTIF(AF$4:AF610,"&gt;0")+1)</f>
        <v>0</v>
      </c>
      <c r="AG611" s="164">
        <f t="shared" si="113"/>
        <v>0</v>
      </c>
      <c r="AH611" s="99">
        <f t="shared" si="108"/>
        <v>0</v>
      </c>
      <c r="AI611" s="99">
        <f t="shared" si="114"/>
        <v>0</v>
      </c>
      <c r="AJ611" s="170">
        <f t="shared" si="115"/>
        <v>0</v>
      </c>
      <c r="AK611" s="204">
        <f t="shared" si="109"/>
        <v>0</v>
      </c>
      <c r="AL611" s="1049">
        <f>IF(ISERROR(AO611),0,IF(AND(AN611&gt;=$U$1,AN611&lt;=$U$2),IF(AO611='ESTRATTO CONTO'!$E$2,1+COUNTIF(AL$4:AL610,"&gt;0")+U$1009,0),0))</f>
        <v>0</v>
      </c>
      <c r="AM611" s="747">
        <f t="shared" si="112"/>
        <v>608</v>
      </c>
      <c r="AN611" s="164" t="e">
        <f>VLOOKUP($AM611,PATRIMONIALE!$AV663:AW$1003,2,FALSE)</f>
        <v>#N/A</v>
      </c>
      <c r="AO611" s="310" t="e">
        <f>VLOOKUP($AM611,PATRIMONIALE!$AV663:AX$1003,3,FALSE)</f>
        <v>#N/A</v>
      </c>
      <c r="AP611" s="310" t="e">
        <f>VLOOKUP($AM611,PATRIMONIALE!$AV663:AY$1003,4,FALSE)</f>
        <v>#N/A</v>
      </c>
      <c r="AQ611" s="748" t="e">
        <f>VLOOKUP($AM611,PATRIMONIALE!$AV663:AZ$1003,5,FALSE)</f>
        <v>#N/A</v>
      </c>
      <c r="AR611" s="1"/>
      <c r="AS611" s="461" t="str">
        <f t="shared" si="110"/>
        <v/>
      </c>
      <c r="AT611" s="370"/>
    </row>
    <row r="612" spans="1:46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435">
        <f>IF(AND(W612&gt;=$U$1,W612&lt;=$U$2),IF(X612='ESTRATTO CONTO'!$E$2,1+COUNTIF(U$4:U611,"&gt;0"),0),0)</f>
        <v>0</v>
      </c>
      <c r="V612" s="417">
        <f t="shared" si="111"/>
        <v>609</v>
      </c>
      <c r="W612" s="509"/>
      <c r="X612" s="321"/>
      <c r="Y612" s="321"/>
      <c r="Z612" s="433"/>
      <c r="AA612" s="356"/>
      <c r="AB612" s="306" t="str">
        <f t="shared" si="106"/>
        <v/>
      </c>
      <c r="AC612" s="893">
        <f t="shared" si="107"/>
        <v>0</v>
      </c>
      <c r="AD612" s="322"/>
      <c r="AE612" s="1"/>
      <c r="AF612" s="223">
        <f>IF(ISBLANK(AD612),0,COUNTIF(AF$4:AF611,"&gt;0")+1)</f>
        <v>0</v>
      </c>
      <c r="AG612" s="164">
        <f t="shared" si="113"/>
        <v>0</v>
      </c>
      <c r="AH612" s="99">
        <f t="shared" si="108"/>
        <v>0</v>
      </c>
      <c r="AI612" s="99">
        <f t="shared" si="114"/>
        <v>0</v>
      </c>
      <c r="AJ612" s="170">
        <f t="shared" si="115"/>
        <v>0</v>
      </c>
      <c r="AK612" s="204">
        <f t="shared" si="109"/>
        <v>0</v>
      </c>
      <c r="AL612" s="1049">
        <f>IF(ISERROR(AO612),0,IF(AND(AN612&gt;=$U$1,AN612&lt;=$U$2),IF(AO612='ESTRATTO CONTO'!$E$2,1+COUNTIF(AL$4:AL611,"&gt;0")+U$1009,0),0))</f>
        <v>0</v>
      </c>
      <c r="AM612" s="747">
        <f t="shared" si="112"/>
        <v>609</v>
      </c>
      <c r="AN612" s="164" t="e">
        <f>VLOOKUP($AM612,PATRIMONIALE!$AV664:AW$1003,2,FALSE)</f>
        <v>#N/A</v>
      </c>
      <c r="AO612" s="310" t="e">
        <f>VLOOKUP($AM612,PATRIMONIALE!$AV664:AX$1003,3,FALSE)</f>
        <v>#N/A</v>
      </c>
      <c r="AP612" s="310" t="e">
        <f>VLOOKUP($AM612,PATRIMONIALE!$AV664:AY$1003,4,FALSE)</f>
        <v>#N/A</v>
      </c>
      <c r="AQ612" s="748" t="e">
        <f>VLOOKUP($AM612,PATRIMONIALE!$AV664:AZ$1003,5,FALSE)</f>
        <v>#N/A</v>
      </c>
      <c r="AR612" s="1"/>
      <c r="AS612" s="461" t="str">
        <f t="shared" si="110"/>
        <v/>
      </c>
      <c r="AT612" s="370"/>
    </row>
    <row r="613" spans="1:46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435">
        <f>IF(AND(W613&gt;=$U$1,W613&lt;=$U$2),IF(X613='ESTRATTO CONTO'!$E$2,1+COUNTIF(U$4:U612,"&gt;0"),0),0)</f>
        <v>0</v>
      </c>
      <c r="V613" s="417">
        <f t="shared" si="111"/>
        <v>610</v>
      </c>
      <c r="W613" s="509"/>
      <c r="X613" s="321"/>
      <c r="Y613" s="321"/>
      <c r="Z613" s="433"/>
      <c r="AA613" s="356"/>
      <c r="AB613" s="306" t="str">
        <f t="shared" si="106"/>
        <v/>
      </c>
      <c r="AC613" s="893">
        <f t="shared" si="107"/>
        <v>0</v>
      </c>
      <c r="AD613" s="322"/>
      <c r="AE613" s="1"/>
      <c r="AF613" s="223">
        <f>IF(ISBLANK(AD613),0,COUNTIF(AF$4:AF612,"&gt;0")+1)</f>
        <v>0</v>
      </c>
      <c r="AG613" s="164">
        <f t="shared" si="113"/>
        <v>0</v>
      </c>
      <c r="AH613" s="99">
        <f t="shared" si="108"/>
        <v>0</v>
      </c>
      <c r="AI613" s="99">
        <f t="shared" si="114"/>
        <v>0</v>
      </c>
      <c r="AJ613" s="170">
        <f t="shared" si="115"/>
        <v>0</v>
      </c>
      <c r="AK613" s="204">
        <f t="shared" si="109"/>
        <v>0</v>
      </c>
      <c r="AL613" s="1049">
        <f>IF(ISERROR(AO613),0,IF(AND(AN613&gt;=$U$1,AN613&lt;=$U$2),IF(AO613='ESTRATTO CONTO'!$E$2,1+COUNTIF(AL$4:AL612,"&gt;0")+U$1009,0),0))</f>
        <v>0</v>
      </c>
      <c r="AM613" s="747">
        <f t="shared" si="112"/>
        <v>610</v>
      </c>
      <c r="AN613" s="164" t="e">
        <f>VLOOKUP($AM613,PATRIMONIALE!$AV665:AW$1003,2,FALSE)</f>
        <v>#N/A</v>
      </c>
      <c r="AO613" s="310" t="e">
        <f>VLOOKUP($AM613,PATRIMONIALE!$AV665:AX$1003,3,FALSE)</f>
        <v>#N/A</v>
      </c>
      <c r="AP613" s="310" t="e">
        <f>VLOOKUP($AM613,PATRIMONIALE!$AV665:AY$1003,4,FALSE)</f>
        <v>#N/A</v>
      </c>
      <c r="AQ613" s="748" t="e">
        <f>VLOOKUP($AM613,PATRIMONIALE!$AV665:AZ$1003,5,FALSE)</f>
        <v>#N/A</v>
      </c>
      <c r="AR613" s="1"/>
      <c r="AS613" s="461" t="str">
        <f t="shared" si="110"/>
        <v/>
      </c>
      <c r="AT613" s="370"/>
    </row>
    <row r="614" spans="1:46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435">
        <f>IF(AND(W614&gt;=$U$1,W614&lt;=$U$2),IF(X614='ESTRATTO CONTO'!$E$2,1+COUNTIF(U$4:U613,"&gt;0"),0),0)</f>
        <v>0</v>
      </c>
      <c r="V614" s="417">
        <f t="shared" si="111"/>
        <v>611</v>
      </c>
      <c r="W614" s="509"/>
      <c r="X614" s="321"/>
      <c r="Y614" s="321"/>
      <c r="Z614" s="433"/>
      <c r="AA614" s="356"/>
      <c r="AB614" s="306" t="str">
        <f t="shared" si="106"/>
        <v/>
      </c>
      <c r="AC614" s="893">
        <f t="shared" si="107"/>
        <v>0</v>
      </c>
      <c r="AD614" s="322"/>
      <c r="AE614" s="1"/>
      <c r="AF614" s="223">
        <f>IF(ISBLANK(AD614),0,COUNTIF(AF$4:AF613,"&gt;0")+1)</f>
        <v>0</v>
      </c>
      <c r="AG614" s="164">
        <f t="shared" si="113"/>
        <v>0</v>
      </c>
      <c r="AH614" s="99">
        <f t="shared" si="108"/>
        <v>0</v>
      </c>
      <c r="AI614" s="99">
        <f t="shared" si="114"/>
        <v>0</v>
      </c>
      <c r="AJ614" s="170">
        <f t="shared" si="115"/>
        <v>0</v>
      </c>
      <c r="AK614" s="204">
        <f t="shared" si="109"/>
        <v>0</v>
      </c>
      <c r="AL614" s="1049">
        <f>IF(ISERROR(AO614),0,IF(AND(AN614&gt;=$U$1,AN614&lt;=$U$2),IF(AO614='ESTRATTO CONTO'!$E$2,1+COUNTIF(AL$4:AL613,"&gt;0")+U$1009,0),0))</f>
        <v>0</v>
      </c>
      <c r="AM614" s="747">
        <f t="shared" si="112"/>
        <v>611</v>
      </c>
      <c r="AN614" s="164" t="e">
        <f>VLOOKUP($AM614,PATRIMONIALE!$AV666:AW$1003,2,FALSE)</f>
        <v>#N/A</v>
      </c>
      <c r="AO614" s="310" t="e">
        <f>VLOOKUP($AM614,PATRIMONIALE!$AV666:AX$1003,3,FALSE)</f>
        <v>#N/A</v>
      </c>
      <c r="AP614" s="310" t="e">
        <f>VLOOKUP($AM614,PATRIMONIALE!$AV666:AY$1003,4,FALSE)</f>
        <v>#N/A</v>
      </c>
      <c r="AQ614" s="748" t="e">
        <f>VLOOKUP($AM614,PATRIMONIALE!$AV666:AZ$1003,5,FALSE)</f>
        <v>#N/A</v>
      </c>
      <c r="AR614" s="1"/>
      <c r="AS614" s="461" t="str">
        <f t="shared" si="110"/>
        <v/>
      </c>
      <c r="AT614" s="370"/>
    </row>
    <row r="615" spans="1:46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435">
        <f>IF(AND(W615&gt;=$U$1,W615&lt;=$U$2),IF(X615='ESTRATTO CONTO'!$E$2,1+COUNTIF(U$4:U614,"&gt;0"),0),0)</f>
        <v>0</v>
      </c>
      <c r="V615" s="417">
        <f t="shared" si="111"/>
        <v>612</v>
      </c>
      <c r="W615" s="509"/>
      <c r="X615" s="321"/>
      <c r="Y615" s="321"/>
      <c r="Z615" s="433"/>
      <c r="AA615" s="356"/>
      <c r="AB615" s="306" t="str">
        <f t="shared" si="106"/>
        <v/>
      </c>
      <c r="AC615" s="893">
        <f t="shared" si="107"/>
        <v>0</v>
      </c>
      <c r="AD615" s="322"/>
      <c r="AE615" s="1"/>
      <c r="AF615" s="223">
        <f>IF(ISBLANK(AD615),0,COUNTIF(AF$4:AF614,"&gt;0")+1)</f>
        <v>0</v>
      </c>
      <c r="AG615" s="164">
        <f t="shared" si="113"/>
        <v>0</v>
      </c>
      <c r="AH615" s="99">
        <f t="shared" si="108"/>
        <v>0</v>
      </c>
      <c r="AI615" s="99">
        <f t="shared" si="114"/>
        <v>0</v>
      </c>
      <c r="AJ615" s="170">
        <f t="shared" si="115"/>
        <v>0</v>
      </c>
      <c r="AK615" s="204">
        <f t="shared" si="109"/>
        <v>0</v>
      </c>
      <c r="AL615" s="1049">
        <f>IF(ISERROR(AO615),0,IF(AND(AN615&gt;=$U$1,AN615&lt;=$U$2),IF(AO615='ESTRATTO CONTO'!$E$2,1+COUNTIF(AL$4:AL614,"&gt;0")+U$1009,0),0))</f>
        <v>0</v>
      </c>
      <c r="AM615" s="747">
        <f t="shared" si="112"/>
        <v>612</v>
      </c>
      <c r="AN615" s="164" t="e">
        <f>VLOOKUP($AM615,PATRIMONIALE!$AV667:AW$1003,2,FALSE)</f>
        <v>#N/A</v>
      </c>
      <c r="AO615" s="310" t="e">
        <f>VLOOKUP($AM615,PATRIMONIALE!$AV667:AX$1003,3,FALSE)</f>
        <v>#N/A</v>
      </c>
      <c r="AP615" s="310" t="e">
        <f>VLOOKUP($AM615,PATRIMONIALE!$AV667:AY$1003,4,FALSE)</f>
        <v>#N/A</v>
      </c>
      <c r="AQ615" s="748" t="e">
        <f>VLOOKUP($AM615,PATRIMONIALE!$AV667:AZ$1003,5,FALSE)</f>
        <v>#N/A</v>
      </c>
      <c r="AR615" s="1"/>
      <c r="AS615" s="461" t="str">
        <f t="shared" si="110"/>
        <v/>
      </c>
      <c r="AT615" s="370"/>
    </row>
    <row r="616" spans="1:46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435">
        <f>IF(AND(W616&gt;=$U$1,W616&lt;=$U$2),IF(X616='ESTRATTO CONTO'!$E$2,1+COUNTIF(U$4:U615,"&gt;0"),0),0)</f>
        <v>0</v>
      </c>
      <c r="V616" s="417">
        <f t="shared" si="111"/>
        <v>613</v>
      </c>
      <c r="W616" s="509"/>
      <c r="X616" s="321"/>
      <c r="Y616" s="321"/>
      <c r="Z616" s="433"/>
      <c r="AA616" s="356"/>
      <c r="AB616" s="306" t="str">
        <f t="shared" si="106"/>
        <v/>
      </c>
      <c r="AC616" s="893">
        <f t="shared" si="107"/>
        <v>0</v>
      </c>
      <c r="AD616" s="322"/>
      <c r="AE616" s="1"/>
      <c r="AF616" s="223">
        <f>IF(ISBLANK(AD616),0,COUNTIF(AF$4:AF615,"&gt;0")+1)</f>
        <v>0</v>
      </c>
      <c r="AG616" s="164">
        <f t="shared" si="113"/>
        <v>0</v>
      </c>
      <c r="AH616" s="99">
        <f t="shared" si="108"/>
        <v>0</v>
      </c>
      <c r="AI616" s="99">
        <f t="shared" si="114"/>
        <v>0</v>
      </c>
      <c r="AJ616" s="170">
        <f t="shared" si="115"/>
        <v>0</v>
      </c>
      <c r="AK616" s="204">
        <f t="shared" si="109"/>
        <v>0</v>
      </c>
      <c r="AL616" s="1049">
        <f>IF(ISERROR(AO616),0,IF(AND(AN616&gt;=$U$1,AN616&lt;=$U$2),IF(AO616='ESTRATTO CONTO'!$E$2,1+COUNTIF(AL$4:AL615,"&gt;0")+U$1009,0),0))</f>
        <v>0</v>
      </c>
      <c r="AM616" s="747">
        <f t="shared" si="112"/>
        <v>613</v>
      </c>
      <c r="AN616" s="164" t="e">
        <f>VLOOKUP($AM616,PATRIMONIALE!$AV668:AW$1003,2,FALSE)</f>
        <v>#N/A</v>
      </c>
      <c r="AO616" s="310" t="e">
        <f>VLOOKUP($AM616,PATRIMONIALE!$AV668:AX$1003,3,FALSE)</f>
        <v>#N/A</v>
      </c>
      <c r="AP616" s="310" t="e">
        <f>VLOOKUP($AM616,PATRIMONIALE!$AV668:AY$1003,4,FALSE)</f>
        <v>#N/A</v>
      </c>
      <c r="AQ616" s="748" t="e">
        <f>VLOOKUP($AM616,PATRIMONIALE!$AV668:AZ$1003,5,FALSE)</f>
        <v>#N/A</v>
      </c>
      <c r="AR616" s="1"/>
      <c r="AS616" s="461" t="str">
        <f t="shared" si="110"/>
        <v/>
      </c>
      <c r="AT616" s="370"/>
    </row>
    <row r="617" spans="1:46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435">
        <f>IF(AND(W617&gt;=$U$1,W617&lt;=$U$2),IF(X617='ESTRATTO CONTO'!$E$2,1+COUNTIF(U$4:U616,"&gt;0"),0),0)</f>
        <v>0</v>
      </c>
      <c r="V617" s="417">
        <f t="shared" si="111"/>
        <v>614</v>
      </c>
      <c r="W617" s="509"/>
      <c r="X617" s="321"/>
      <c r="Y617" s="321"/>
      <c r="Z617" s="433"/>
      <c r="AA617" s="356"/>
      <c r="AB617" s="306" t="str">
        <f t="shared" si="106"/>
        <v/>
      </c>
      <c r="AC617" s="893">
        <f t="shared" si="107"/>
        <v>0</v>
      </c>
      <c r="AD617" s="322"/>
      <c r="AE617" s="1"/>
      <c r="AF617" s="223">
        <f>IF(ISBLANK(AD617),0,COUNTIF(AF$4:AF616,"&gt;0")+1)</f>
        <v>0</v>
      </c>
      <c r="AG617" s="164">
        <f t="shared" si="113"/>
        <v>0</v>
      </c>
      <c r="AH617" s="99">
        <f t="shared" si="108"/>
        <v>0</v>
      </c>
      <c r="AI617" s="99">
        <f t="shared" si="114"/>
        <v>0</v>
      </c>
      <c r="AJ617" s="170">
        <f t="shared" si="115"/>
        <v>0</v>
      </c>
      <c r="AK617" s="204">
        <f t="shared" si="109"/>
        <v>0</v>
      </c>
      <c r="AL617" s="1049">
        <f>IF(ISERROR(AO617),0,IF(AND(AN617&gt;=$U$1,AN617&lt;=$U$2),IF(AO617='ESTRATTO CONTO'!$E$2,1+COUNTIF(AL$4:AL616,"&gt;0")+U$1009,0),0))</f>
        <v>0</v>
      </c>
      <c r="AM617" s="747">
        <f t="shared" si="112"/>
        <v>614</v>
      </c>
      <c r="AN617" s="164" t="e">
        <f>VLOOKUP($AM617,PATRIMONIALE!$AV669:AW$1003,2,FALSE)</f>
        <v>#N/A</v>
      </c>
      <c r="AO617" s="310" t="e">
        <f>VLOOKUP($AM617,PATRIMONIALE!$AV669:AX$1003,3,FALSE)</f>
        <v>#N/A</v>
      </c>
      <c r="AP617" s="310" t="e">
        <f>VLOOKUP($AM617,PATRIMONIALE!$AV669:AY$1003,4,FALSE)</f>
        <v>#N/A</v>
      </c>
      <c r="AQ617" s="748" t="e">
        <f>VLOOKUP($AM617,PATRIMONIALE!$AV669:AZ$1003,5,FALSE)</f>
        <v>#N/A</v>
      </c>
      <c r="AR617" s="1"/>
      <c r="AS617" s="461" t="str">
        <f t="shared" si="110"/>
        <v/>
      </c>
      <c r="AT617" s="370"/>
    </row>
    <row r="618" spans="1:46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435">
        <f>IF(AND(W618&gt;=$U$1,W618&lt;=$U$2),IF(X618='ESTRATTO CONTO'!$E$2,1+COUNTIF(U$4:U617,"&gt;0"),0),0)</f>
        <v>0</v>
      </c>
      <c r="V618" s="417">
        <f t="shared" si="111"/>
        <v>615</v>
      </c>
      <c r="W618" s="509"/>
      <c r="X618" s="321"/>
      <c r="Y618" s="321"/>
      <c r="Z618" s="433"/>
      <c r="AA618" s="356"/>
      <c r="AB618" s="306" t="str">
        <f t="shared" si="106"/>
        <v/>
      </c>
      <c r="AC618" s="893">
        <f t="shared" si="107"/>
        <v>0</v>
      </c>
      <c r="AD618" s="322"/>
      <c r="AE618" s="1"/>
      <c r="AF618" s="223">
        <f>IF(ISBLANK(AD618),0,COUNTIF(AF$4:AF617,"&gt;0")+1)</f>
        <v>0</v>
      </c>
      <c r="AG618" s="164">
        <f t="shared" si="113"/>
        <v>0</v>
      </c>
      <c r="AH618" s="99">
        <f t="shared" si="108"/>
        <v>0</v>
      </c>
      <c r="AI618" s="99">
        <f t="shared" si="114"/>
        <v>0</v>
      </c>
      <c r="AJ618" s="170">
        <f t="shared" si="115"/>
        <v>0</v>
      </c>
      <c r="AK618" s="204">
        <f t="shared" si="109"/>
        <v>0</v>
      </c>
      <c r="AL618" s="1049">
        <f>IF(ISERROR(AO618),0,IF(AND(AN618&gt;=$U$1,AN618&lt;=$U$2),IF(AO618='ESTRATTO CONTO'!$E$2,1+COUNTIF(AL$4:AL617,"&gt;0")+U$1009,0),0))</f>
        <v>0</v>
      </c>
      <c r="AM618" s="747">
        <f t="shared" si="112"/>
        <v>615</v>
      </c>
      <c r="AN618" s="164" t="e">
        <f>VLOOKUP($AM618,PATRIMONIALE!$AV670:AW$1003,2,FALSE)</f>
        <v>#N/A</v>
      </c>
      <c r="AO618" s="310" t="e">
        <f>VLOOKUP($AM618,PATRIMONIALE!$AV670:AX$1003,3,FALSE)</f>
        <v>#N/A</v>
      </c>
      <c r="AP618" s="310" t="e">
        <f>VLOOKUP($AM618,PATRIMONIALE!$AV670:AY$1003,4,FALSE)</f>
        <v>#N/A</v>
      </c>
      <c r="AQ618" s="748" t="e">
        <f>VLOOKUP($AM618,PATRIMONIALE!$AV670:AZ$1003,5,FALSE)</f>
        <v>#N/A</v>
      </c>
      <c r="AR618" s="1"/>
      <c r="AS618" s="461" t="str">
        <f t="shared" si="110"/>
        <v/>
      </c>
      <c r="AT618" s="370"/>
    </row>
    <row r="619" spans="1:46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435">
        <f>IF(AND(W619&gt;=$U$1,W619&lt;=$U$2),IF(X619='ESTRATTO CONTO'!$E$2,1+COUNTIF(U$4:U618,"&gt;0"),0),0)</f>
        <v>0</v>
      </c>
      <c r="V619" s="417">
        <f t="shared" si="111"/>
        <v>616</v>
      </c>
      <c r="W619" s="509"/>
      <c r="X619" s="321"/>
      <c r="Y619" s="321"/>
      <c r="Z619" s="433"/>
      <c r="AA619" s="356"/>
      <c r="AB619" s="306" t="str">
        <f t="shared" si="106"/>
        <v/>
      </c>
      <c r="AC619" s="893">
        <f t="shared" si="107"/>
        <v>0</v>
      </c>
      <c r="AD619" s="322"/>
      <c r="AE619" s="1"/>
      <c r="AF619" s="223">
        <f>IF(ISBLANK(AD619),0,COUNTIF(AF$4:AF618,"&gt;0")+1)</f>
        <v>0</v>
      </c>
      <c r="AG619" s="164">
        <f t="shared" si="113"/>
        <v>0</v>
      </c>
      <c r="AH619" s="99">
        <f t="shared" si="108"/>
        <v>0</v>
      </c>
      <c r="AI619" s="99">
        <f t="shared" si="114"/>
        <v>0</v>
      </c>
      <c r="AJ619" s="170">
        <f t="shared" si="115"/>
        <v>0</v>
      </c>
      <c r="AK619" s="204">
        <f t="shared" si="109"/>
        <v>0</v>
      </c>
      <c r="AL619" s="1049">
        <f>IF(ISERROR(AO619),0,IF(AND(AN619&gt;=$U$1,AN619&lt;=$U$2),IF(AO619='ESTRATTO CONTO'!$E$2,1+COUNTIF(AL$4:AL618,"&gt;0")+U$1009,0),0))</f>
        <v>0</v>
      </c>
      <c r="AM619" s="747">
        <f t="shared" si="112"/>
        <v>616</v>
      </c>
      <c r="AN619" s="164" t="e">
        <f>VLOOKUP($AM619,PATRIMONIALE!$AV671:AW$1003,2,FALSE)</f>
        <v>#N/A</v>
      </c>
      <c r="AO619" s="310" t="e">
        <f>VLOOKUP($AM619,PATRIMONIALE!$AV671:AX$1003,3,FALSE)</f>
        <v>#N/A</v>
      </c>
      <c r="AP619" s="310" t="e">
        <f>VLOOKUP($AM619,PATRIMONIALE!$AV671:AY$1003,4,FALSE)</f>
        <v>#N/A</v>
      </c>
      <c r="AQ619" s="748" t="e">
        <f>VLOOKUP($AM619,PATRIMONIALE!$AV671:AZ$1003,5,FALSE)</f>
        <v>#N/A</v>
      </c>
      <c r="AR619" s="1"/>
      <c r="AS619" s="461" t="str">
        <f t="shared" si="110"/>
        <v/>
      </c>
      <c r="AT619" s="370"/>
    </row>
    <row r="620" spans="1:46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435">
        <f>IF(AND(W620&gt;=$U$1,W620&lt;=$U$2),IF(X620='ESTRATTO CONTO'!$E$2,1+COUNTIF(U$4:U619,"&gt;0"),0),0)</f>
        <v>0</v>
      </c>
      <c r="V620" s="417">
        <f t="shared" si="111"/>
        <v>617</v>
      </c>
      <c r="W620" s="509"/>
      <c r="X620" s="321"/>
      <c r="Y620" s="321"/>
      <c r="Z620" s="433"/>
      <c r="AA620" s="356"/>
      <c r="AB620" s="306" t="str">
        <f t="shared" si="106"/>
        <v/>
      </c>
      <c r="AC620" s="893">
        <f t="shared" si="107"/>
        <v>0</v>
      </c>
      <c r="AD620" s="322"/>
      <c r="AE620" s="1"/>
      <c r="AF620" s="223">
        <f>IF(ISBLANK(AD620),0,COUNTIF(AF$4:AF619,"&gt;0")+1)</f>
        <v>0</v>
      </c>
      <c r="AG620" s="164">
        <f t="shared" si="113"/>
        <v>0</v>
      </c>
      <c r="AH620" s="99">
        <f t="shared" si="108"/>
        <v>0</v>
      </c>
      <c r="AI620" s="99">
        <f t="shared" si="114"/>
        <v>0</v>
      </c>
      <c r="AJ620" s="170">
        <f t="shared" si="115"/>
        <v>0</v>
      </c>
      <c r="AK620" s="204">
        <f t="shared" si="109"/>
        <v>0</v>
      </c>
      <c r="AL620" s="1049">
        <f>IF(ISERROR(AO620),0,IF(AND(AN620&gt;=$U$1,AN620&lt;=$U$2),IF(AO620='ESTRATTO CONTO'!$E$2,1+COUNTIF(AL$4:AL619,"&gt;0")+U$1009,0),0))</f>
        <v>0</v>
      </c>
      <c r="AM620" s="747">
        <f t="shared" si="112"/>
        <v>617</v>
      </c>
      <c r="AN620" s="164" t="e">
        <f>VLOOKUP($AM620,PATRIMONIALE!$AV672:AW$1003,2,FALSE)</f>
        <v>#N/A</v>
      </c>
      <c r="AO620" s="310" t="e">
        <f>VLOOKUP($AM620,PATRIMONIALE!$AV672:AX$1003,3,FALSE)</f>
        <v>#N/A</v>
      </c>
      <c r="AP620" s="310" t="e">
        <f>VLOOKUP($AM620,PATRIMONIALE!$AV672:AY$1003,4,FALSE)</f>
        <v>#N/A</v>
      </c>
      <c r="AQ620" s="748" t="e">
        <f>VLOOKUP($AM620,PATRIMONIALE!$AV672:AZ$1003,5,FALSE)</f>
        <v>#N/A</v>
      </c>
      <c r="AR620" s="1"/>
      <c r="AS620" s="461" t="str">
        <f t="shared" si="110"/>
        <v/>
      </c>
      <c r="AT620" s="370"/>
    </row>
    <row r="621" spans="1:46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435">
        <f>IF(AND(W621&gt;=$U$1,W621&lt;=$U$2),IF(X621='ESTRATTO CONTO'!$E$2,1+COUNTIF(U$4:U620,"&gt;0"),0),0)</f>
        <v>0</v>
      </c>
      <c r="V621" s="417">
        <f t="shared" si="111"/>
        <v>618</v>
      </c>
      <c r="W621" s="509"/>
      <c r="X621" s="321"/>
      <c r="Y621" s="321"/>
      <c r="Z621" s="433"/>
      <c r="AA621" s="356"/>
      <c r="AB621" s="306" t="str">
        <f t="shared" si="106"/>
        <v/>
      </c>
      <c r="AC621" s="893">
        <f t="shared" si="107"/>
        <v>0</v>
      </c>
      <c r="AD621" s="322"/>
      <c r="AE621" s="1"/>
      <c r="AF621" s="223">
        <f>IF(ISBLANK(AD621),0,COUNTIF(AF$4:AF620,"&gt;0")+1)</f>
        <v>0</v>
      </c>
      <c r="AG621" s="164">
        <f t="shared" si="113"/>
        <v>0</v>
      </c>
      <c r="AH621" s="99">
        <f t="shared" si="108"/>
        <v>0</v>
      </c>
      <c r="AI621" s="99">
        <f t="shared" si="114"/>
        <v>0</v>
      </c>
      <c r="AJ621" s="170">
        <f t="shared" si="115"/>
        <v>0</v>
      </c>
      <c r="AK621" s="204">
        <f t="shared" si="109"/>
        <v>0</v>
      </c>
      <c r="AL621" s="1049">
        <f>IF(ISERROR(AO621),0,IF(AND(AN621&gt;=$U$1,AN621&lt;=$U$2),IF(AO621='ESTRATTO CONTO'!$E$2,1+COUNTIF(AL$4:AL620,"&gt;0")+U$1009,0),0))</f>
        <v>0</v>
      </c>
      <c r="AM621" s="747">
        <f t="shared" si="112"/>
        <v>618</v>
      </c>
      <c r="AN621" s="164" t="e">
        <f>VLOOKUP($AM621,PATRIMONIALE!$AV673:AW$1003,2,FALSE)</f>
        <v>#N/A</v>
      </c>
      <c r="AO621" s="310" t="e">
        <f>VLOOKUP($AM621,PATRIMONIALE!$AV673:AX$1003,3,FALSE)</f>
        <v>#N/A</v>
      </c>
      <c r="AP621" s="310" t="e">
        <f>VLOOKUP($AM621,PATRIMONIALE!$AV673:AY$1003,4,FALSE)</f>
        <v>#N/A</v>
      </c>
      <c r="AQ621" s="748" t="e">
        <f>VLOOKUP($AM621,PATRIMONIALE!$AV673:AZ$1003,5,FALSE)</f>
        <v>#N/A</v>
      </c>
      <c r="AR621" s="1"/>
      <c r="AS621" s="461" t="str">
        <f t="shared" si="110"/>
        <v/>
      </c>
      <c r="AT621" s="370"/>
    </row>
    <row r="622" spans="1:46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435">
        <f>IF(AND(W622&gt;=$U$1,W622&lt;=$U$2),IF(X622='ESTRATTO CONTO'!$E$2,1+COUNTIF(U$4:U621,"&gt;0"),0),0)</f>
        <v>0</v>
      </c>
      <c r="V622" s="417">
        <f t="shared" si="111"/>
        <v>619</v>
      </c>
      <c r="W622" s="509"/>
      <c r="X622" s="321"/>
      <c r="Y622" s="321"/>
      <c r="Z622" s="433"/>
      <c r="AA622" s="356"/>
      <c r="AB622" s="306" t="str">
        <f t="shared" si="106"/>
        <v/>
      </c>
      <c r="AC622" s="893">
        <f t="shared" si="107"/>
        <v>0</v>
      </c>
      <c r="AD622" s="322"/>
      <c r="AE622" s="1"/>
      <c r="AF622" s="223">
        <f>IF(ISBLANK(AD622),0,COUNTIF(AF$4:AF621,"&gt;0")+1)</f>
        <v>0</v>
      </c>
      <c r="AG622" s="164">
        <f t="shared" si="113"/>
        <v>0</v>
      </c>
      <c r="AH622" s="99">
        <f t="shared" si="108"/>
        <v>0</v>
      </c>
      <c r="AI622" s="99">
        <f t="shared" si="114"/>
        <v>0</v>
      </c>
      <c r="AJ622" s="170">
        <f t="shared" si="115"/>
        <v>0</v>
      </c>
      <c r="AK622" s="204">
        <f t="shared" si="109"/>
        <v>0</v>
      </c>
      <c r="AL622" s="1049">
        <f>IF(ISERROR(AO622),0,IF(AND(AN622&gt;=$U$1,AN622&lt;=$U$2),IF(AO622='ESTRATTO CONTO'!$E$2,1+COUNTIF(AL$4:AL621,"&gt;0")+U$1009,0),0))</f>
        <v>0</v>
      </c>
      <c r="AM622" s="747">
        <f t="shared" si="112"/>
        <v>619</v>
      </c>
      <c r="AN622" s="164" t="e">
        <f>VLOOKUP($AM622,PATRIMONIALE!$AV674:AW$1003,2,FALSE)</f>
        <v>#N/A</v>
      </c>
      <c r="AO622" s="310" t="e">
        <f>VLOOKUP($AM622,PATRIMONIALE!$AV674:AX$1003,3,FALSE)</f>
        <v>#N/A</v>
      </c>
      <c r="AP622" s="310" t="e">
        <f>VLOOKUP($AM622,PATRIMONIALE!$AV674:AY$1003,4,FALSE)</f>
        <v>#N/A</v>
      </c>
      <c r="AQ622" s="748" t="e">
        <f>VLOOKUP($AM622,PATRIMONIALE!$AV674:AZ$1003,5,FALSE)</f>
        <v>#N/A</v>
      </c>
      <c r="AR622" s="1"/>
      <c r="AS622" s="461" t="str">
        <f t="shared" si="110"/>
        <v/>
      </c>
      <c r="AT622" s="370"/>
    </row>
    <row r="623" spans="1:46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435">
        <f>IF(AND(W623&gt;=$U$1,W623&lt;=$U$2),IF(X623='ESTRATTO CONTO'!$E$2,1+COUNTIF(U$4:U622,"&gt;0"),0),0)</f>
        <v>0</v>
      </c>
      <c r="V623" s="417">
        <f t="shared" si="111"/>
        <v>620</v>
      </c>
      <c r="W623" s="509"/>
      <c r="X623" s="321"/>
      <c r="Y623" s="321"/>
      <c r="Z623" s="433"/>
      <c r="AA623" s="356"/>
      <c r="AB623" s="306" t="str">
        <f t="shared" si="106"/>
        <v/>
      </c>
      <c r="AC623" s="893">
        <f t="shared" si="107"/>
        <v>0</v>
      </c>
      <c r="AD623" s="322"/>
      <c r="AE623" s="1"/>
      <c r="AF623" s="223">
        <f>IF(ISBLANK(AD623),0,COUNTIF(AF$4:AF622,"&gt;0")+1)</f>
        <v>0</v>
      </c>
      <c r="AG623" s="164">
        <f t="shared" si="113"/>
        <v>0</v>
      </c>
      <c r="AH623" s="99">
        <f t="shared" si="108"/>
        <v>0</v>
      </c>
      <c r="AI623" s="99">
        <f t="shared" si="114"/>
        <v>0</v>
      </c>
      <c r="AJ623" s="170">
        <f t="shared" si="115"/>
        <v>0</v>
      </c>
      <c r="AK623" s="204">
        <f t="shared" si="109"/>
        <v>0</v>
      </c>
      <c r="AL623" s="1049">
        <f>IF(ISERROR(AO623),0,IF(AND(AN623&gt;=$U$1,AN623&lt;=$U$2),IF(AO623='ESTRATTO CONTO'!$E$2,1+COUNTIF(AL$4:AL622,"&gt;0")+U$1009,0),0))</f>
        <v>0</v>
      </c>
      <c r="AM623" s="747">
        <f t="shared" si="112"/>
        <v>620</v>
      </c>
      <c r="AN623" s="164" t="e">
        <f>VLOOKUP($AM623,PATRIMONIALE!$AV675:AW$1003,2,FALSE)</f>
        <v>#N/A</v>
      </c>
      <c r="AO623" s="310" t="e">
        <f>VLOOKUP($AM623,PATRIMONIALE!$AV675:AX$1003,3,FALSE)</f>
        <v>#N/A</v>
      </c>
      <c r="AP623" s="310" t="e">
        <f>VLOOKUP($AM623,PATRIMONIALE!$AV675:AY$1003,4,FALSE)</f>
        <v>#N/A</v>
      </c>
      <c r="AQ623" s="748" t="e">
        <f>VLOOKUP($AM623,PATRIMONIALE!$AV675:AZ$1003,5,FALSE)</f>
        <v>#N/A</v>
      </c>
      <c r="AR623" s="1"/>
      <c r="AS623" s="461" t="str">
        <f t="shared" si="110"/>
        <v/>
      </c>
      <c r="AT623" s="370"/>
    </row>
    <row r="624" spans="1:46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435">
        <f>IF(AND(W624&gt;=$U$1,W624&lt;=$U$2),IF(X624='ESTRATTO CONTO'!$E$2,1+COUNTIF(U$4:U623,"&gt;0"),0),0)</f>
        <v>0</v>
      </c>
      <c r="V624" s="417">
        <f t="shared" si="111"/>
        <v>621</v>
      </c>
      <c r="W624" s="509"/>
      <c r="X624" s="321"/>
      <c r="Y624" s="321"/>
      <c r="Z624" s="433"/>
      <c r="AA624" s="356"/>
      <c r="AB624" s="306" t="str">
        <f t="shared" si="106"/>
        <v/>
      </c>
      <c r="AC624" s="893">
        <f t="shared" si="107"/>
        <v>0</v>
      </c>
      <c r="AD624" s="322"/>
      <c r="AE624" s="1"/>
      <c r="AF624" s="223">
        <f>IF(ISBLANK(AD624),0,COUNTIF(AF$4:AF623,"&gt;0")+1)</f>
        <v>0</v>
      </c>
      <c r="AG624" s="164">
        <f t="shared" si="113"/>
        <v>0</v>
      </c>
      <c r="AH624" s="99">
        <f t="shared" si="108"/>
        <v>0</v>
      </c>
      <c r="AI624" s="99">
        <f t="shared" si="114"/>
        <v>0</v>
      </c>
      <c r="AJ624" s="170">
        <f t="shared" si="115"/>
        <v>0</v>
      </c>
      <c r="AK624" s="204">
        <f t="shared" si="109"/>
        <v>0</v>
      </c>
      <c r="AL624" s="1049">
        <f>IF(ISERROR(AO624),0,IF(AND(AN624&gt;=$U$1,AN624&lt;=$U$2),IF(AO624='ESTRATTO CONTO'!$E$2,1+COUNTIF(AL$4:AL623,"&gt;0")+U$1009,0),0))</f>
        <v>0</v>
      </c>
      <c r="AM624" s="747">
        <f t="shared" si="112"/>
        <v>621</v>
      </c>
      <c r="AN624" s="164" t="e">
        <f>VLOOKUP($AM624,PATRIMONIALE!$AV676:AW$1003,2,FALSE)</f>
        <v>#N/A</v>
      </c>
      <c r="AO624" s="310" t="e">
        <f>VLOOKUP($AM624,PATRIMONIALE!$AV676:AX$1003,3,FALSE)</f>
        <v>#N/A</v>
      </c>
      <c r="AP624" s="310" t="e">
        <f>VLOOKUP($AM624,PATRIMONIALE!$AV676:AY$1003,4,FALSE)</f>
        <v>#N/A</v>
      </c>
      <c r="AQ624" s="748" t="e">
        <f>VLOOKUP($AM624,PATRIMONIALE!$AV676:AZ$1003,5,FALSE)</f>
        <v>#N/A</v>
      </c>
      <c r="AR624" s="1"/>
      <c r="AS624" s="461" t="str">
        <f t="shared" si="110"/>
        <v/>
      </c>
      <c r="AT624" s="370"/>
    </row>
    <row r="625" spans="1:46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435">
        <f>IF(AND(W625&gt;=$U$1,W625&lt;=$U$2),IF(X625='ESTRATTO CONTO'!$E$2,1+COUNTIF(U$4:U624,"&gt;0"),0),0)</f>
        <v>0</v>
      </c>
      <c r="V625" s="417">
        <f t="shared" si="111"/>
        <v>622</v>
      </c>
      <c r="W625" s="509"/>
      <c r="X625" s="321"/>
      <c r="Y625" s="321"/>
      <c r="Z625" s="433"/>
      <c r="AA625" s="356"/>
      <c r="AB625" s="306" t="str">
        <f t="shared" si="106"/>
        <v/>
      </c>
      <c r="AC625" s="893">
        <f t="shared" si="107"/>
        <v>0</v>
      </c>
      <c r="AD625" s="322"/>
      <c r="AE625" s="1"/>
      <c r="AF625" s="223">
        <f>IF(ISBLANK(AD625),0,COUNTIF(AF$4:AF624,"&gt;0")+1)</f>
        <v>0</v>
      </c>
      <c r="AG625" s="164">
        <f t="shared" si="113"/>
        <v>0</v>
      </c>
      <c r="AH625" s="99">
        <f t="shared" si="108"/>
        <v>0</v>
      </c>
      <c r="AI625" s="99">
        <f t="shared" si="114"/>
        <v>0</v>
      </c>
      <c r="AJ625" s="170">
        <f t="shared" si="115"/>
        <v>0</v>
      </c>
      <c r="AK625" s="204">
        <f t="shared" si="109"/>
        <v>0</v>
      </c>
      <c r="AL625" s="1049">
        <f>IF(ISERROR(AO625),0,IF(AND(AN625&gt;=$U$1,AN625&lt;=$U$2),IF(AO625='ESTRATTO CONTO'!$E$2,1+COUNTIF(AL$4:AL624,"&gt;0")+U$1009,0),0))</f>
        <v>0</v>
      </c>
      <c r="AM625" s="747">
        <f t="shared" si="112"/>
        <v>622</v>
      </c>
      <c r="AN625" s="164" t="e">
        <f>VLOOKUP($AM625,PATRIMONIALE!$AV677:AW$1003,2,FALSE)</f>
        <v>#N/A</v>
      </c>
      <c r="AO625" s="310" t="e">
        <f>VLOOKUP($AM625,PATRIMONIALE!$AV677:AX$1003,3,FALSE)</f>
        <v>#N/A</v>
      </c>
      <c r="AP625" s="310" t="e">
        <f>VLOOKUP($AM625,PATRIMONIALE!$AV677:AY$1003,4,FALSE)</f>
        <v>#N/A</v>
      </c>
      <c r="AQ625" s="748" t="e">
        <f>VLOOKUP($AM625,PATRIMONIALE!$AV677:AZ$1003,5,FALSE)</f>
        <v>#N/A</v>
      </c>
      <c r="AR625" s="1"/>
      <c r="AS625" s="461" t="str">
        <f t="shared" si="110"/>
        <v/>
      </c>
      <c r="AT625" s="370"/>
    </row>
    <row r="626" spans="1:46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435">
        <f>IF(AND(W626&gt;=$U$1,W626&lt;=$U$2),IF(X626='ESTRATTO CONTO'!$E$2,1+COUNTIF(U$4:U625,"&gt;0"),0),0)</f>
        <v>0</v>
      </c>
      <c r="V626" s="417">
        <f t="shared" si="111"/>
        <v>623</v>
      </c>
      <c r="W626" s="509"/>
      <c r="X626" s="321"/>
      <c r="Y626" s="321"/>
      <c r="Z626" s="433"/>
      <c r="AA626" s="356"/>
      <c r="AB626" s="306" t="str">
        <f t="shared" si="106"/>
        <v/>
      </c>
      <c r="AC626" s="893">
        <f t="shared" si="107"/>
        <v>0</v>
      </c>
      <c r="AD626" s="322"/>
      <c r="AE626" s="1"/>
      <c r="AF626" s="223">
        <f>IF(ISBLANK(AD626),0,COUNTIF(AF$4:AF625,"&gt;0")+1)</f>
        <v>0</v>
      </c>
      <c r="AG626" s="164">
        <f t="shared" si="113"/>
        <v>0</v>
      </c>
      <c r="AH626" s="99">
        <f t="shared" si="108"/>
        <v>0</v>
      </c>
      <c r="AI626" s="99">
        <f t="shared" si="114"/>
        <v>0</v>
      </c>
      <c r="AJ626" s="170">
        <f t="shared" si="115"/>
        <v>0</v>
      </c>
      <c r="AK626" s="204">
        <f t="shared" si="109"/>
        <v>0</v>
      </c>
      <c r="AL626" s="1049">
        <f>IF(ISERROR(AO626),0,IF(AND(AN626&gt;=$U$1,AN626&lt;=$U$2),IF(AO626='ESTRATTO CONTO'!$E$2,1+COUNTIF(AL$4:AL625,"&gt;0")+U$1009,0),0))</f>
        <v>0</v>
      </c>
      <c r="AM626" s="747">
        <f t="shared" si="112"/>
        <v>623</v>
      </c>
      <c r="AN626" s="164" t="e">
        <f>VLOOKUP($AM626,PATRIMONIALE!$AV678:AW$1003,2,FALSE)</f>
        <v>#N/A</v>
      </c>
      <c r="AO626" s="310" t="e">
        <f>VLOOKUP($AM626,PATRIMONIALE!$AV678:AX$1003,3,FALSE)</f>
        <v>#N/A</v>
      </c>
      <c r="AP626" s="310" t="e">
        <f>VLOOKUP($AM626,PATRIMONIALE!$AV678:AY$1003,4,FALSE)</f>
        <v>#N/A</v>
      </c>
      <c r="AQ626" s="748" t="e">
        <f>VLOOKUP($AM626,PATRIMONIALE!$AV678:AZ$1003,5,FALSE)</f>
        <v>#N/A</v>
      </c>
      <c r="AR626" s="1"/>
      <c r="AS626" s="461" t="str">
        <f t="shared" si="110"/>
        <v/>
      </c>
      <c r="AT626" s="370"/>
    </row>
    <row r="627" spans="1:46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435">
        <f>IF(AND(W627&gt;=$U$1,W627&lt;=$U$2),IF(X627='ESTRATTO CONTO'!$E$2,1+COUNTIF(U$4:U626,"&gt;0"),0),0)</f>
        <v>0</v>
      </c>
      <c r="V627" s="417">
        <f t="shared" si="111"/>
        <v>624</v>
      </c>
      <c r="W627" s="509"/>
      <c r="X627" s="321"/>
      <c r="Y627" s="321"/>
      <c r="Z627" s="433"/>
      <c r="AA627" s="356"/>
      <c r="AB627" s="306" t="str">
        <f t="shared" si="106"/>
        <v/>
      </c>
      <c r="AC627" s="893">
        <f t="shared" si="107"/>
        <v>0</v>
      </c>
      <c r="AD627" s="322"/>
      <c r="AE627" s="1"/>
      <c r="AF627" s="223">
        <f>IF(ISBLANK(AD627),0,COUNTIF(AF$4:AF626,"&gt;0")+1)</f>
        <v>0</v>
      </c>
      <c r="AG627" s="164">
        <f t="shared" si="113"/>
        <v>0</v>
      </c>
      <c r="AH627" s="99">
        <f t="shared" si="108"/>
        <v>0</v>
      </c>
      <c r="AI627" s="99">
        <f t="shared" si="114"/>
        <v>0</v>
      </c>
      <c r="AJ627" s="170">
        <f t="shared" si="115"/>
        <v>0</v>
      </c>
      <c r="AK627" s="204">
        <f t="shared" si="109"/>
        <v>0</v>
      </c>
      <c r="AL627" s="1049">
        <f>IF(ISERROR(AO627),0,IF(AND(AN627&gt;=$U$1,AN627&lt;=$U$2),IF(AO627='ESTRATTO CONTO'!$E$2,1+COUNTIF(AL$4:AL626,"&gt;0")+U$1009,0),0))</f>
        <v>0</v>
      </c>
      <c r="AM627" s="747">
        <f t="shared" si="112"/>
        <v>624</v>
      </c>
      <c r="AN627" s="164" t="e">
        <f>VLOOKUP($AM627,PATRIMONIALE!$AV679:AW$1003,2,FALSE)</f>
        <v>#N/A</v>
      </c>
      <c r="AO627" s="310" t="e">
        <f>VLOOKUP($AM627,PATRIMONIALE!$AV679:AX$1003,3,FALSE)</f>
        <v>#N/A</v>
      </c>
      <c r="AP627" s="310" t="e">
        <f>VLOOKUP($AM627,PATRIMONIALE!$AV679:AY$1003,4,FALSE)</f>
        <v>#N/A</v>
      </c>
      <c r="AQ627" s="748" t="e">
        <f>VLOOKUP($AM627,PATRIMONIALE!$AV679:AZ$1003,5,FALSE)</f>
        <v>#N/A</v>
      </c>
      <c r="AR627" s="1"/>
      <c r="AS627" s="461" t="str">
        <f t="shared" si="110"/>
        <v/>
      </c>
      <c r="AT627" s="370"/>
    </row>
    <row r="628" spans="1:46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435">
        <f>IF(AND(W628&gt;=$U$1,W628&lt;=$U$2),IF(X628='ESTRATTO CONTO'!$E$2,1+COUNTIF(U$4:U627,"&gt;0"),0),0)</f>
        <v>0</v>
      </c>
      <c r="V628" s="417">
        <f t="shared" si="111"/>
        <v>625</v>
      </c>
      <c r="W628" s="509"/>
      <c r="X628" s="321"/>
      <c r="Y628" s="321"/>
      <c r="Z628" s="433"/>
      <c r="AA628" s="356"/>
      <c r="AB628" s="306" t="str">
        <f t="shared" si="106"/>
        <v/>
      </c>
      <c r="AC628" s="893">
        <f t="shared" si="107"/>
        <v>0</v>
      </c>
      <c r="AD628" s="322"/>
      <c r="AE628" s="1"/>
      <c r="AF628" s="223">
        <f>IF(ISBLANK(AD628),0,COUNTIF(AF$4:AF627,"&gt;0")+1)</f>
        <v>0</v>
      </c>
      <c r="AG628" s="164">
        <f t="shared" si="113"/>
        <v>0</v>
      </c>
      <c r="AH628" s="99">
        <f t="shared" si="108"/>
        <v>0</v>
      </c>
      <c r="AI628" s="99">
        <f t="shared" si="114"/>
        <v>0</v>
      </c>
      <c r="AJ628" s="170">
        <f t="shared" si="115"/>
        <v>0</v>
      </c>
      <c r="AK628" s="204">
        <f t="shared" si="109"/>
        <v>0</v>
      </c>
      <c r="AL628" s="1049">
        <f>IF(ISERROR(AO628),0,IF(AND(AN628&gt;=$U$1,AN628&lt;=$U$2),IF(AO628='ESTRATTO CONTO'!$E$2,1+COUNTIF(AL$4:AL627,"&gt;0")+U$1009,0),0))</f>
        <v>0</v>
      </c>
      <c r="AM628" s="747">
        <f t="shared" si="112"/>
        <v>625</v>
      </c>
      <c r="AN628" s="164" t="e">
        <f>VLOOKUP($AM628,PATRIMONIALE!$AV680:AW$1003,2,FALSE)</f>
        <v>#N/A</v>
      </c>
      <c r="AO628" s="310" t="e">
        <f>VLOOKUP($AM628,PATRIMONIALE!$AV680:AX$1003,3,FALSE)</f>
        <v>#N/A</v>
      </c>
      <c r="AP628" s="310" t="e">
        <f>VLOOKUP($AM628,PATRIMONIALE!$AV680:AY$1003,4,FALSE)</f>
        <v>#N/A</v>
      </c>
      <c r="AQ628" s="748" t="e">
        <f>VLOOKUP($AM628,PATRIMONIALE!$AV680:AZ$1003,5,FALSE)</f>
        <v>#N/A</v>
      </c>
      <c r="AR628" s="1"/>
      <c r="AS628" s="461" t="str">
        <f t="shared" si="110"/>
        <v/>
      </c>
      <c r="AT628" s="370"/>
    </row>
    <row r="629" spans="1:46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435">
        <f>IF(AND(W629&gt;=$U$1,W629&lt;=$U$2),IF(X629='ESTRATTO CONTO'!$E$2,1+COUNTIF(U$4:U628,"&gt;0"),0),0)</f>
        <v>0</v>
      </c>
      <c r="V629" s="417">
        <f t="shared" si="111"/>
        <v>626</v>
      </c>
      <c r="W629" s="509"/>
      <c r="X629" s="321"/>
      <c r="Y629" s="321"/>
      <c r="Z629" s="433"/>
      <c r="AA629" s="356"/>
      <c r="AB629" s="306" t="str">
        <f t="shared" si="106"/>
        <v/>
      </c>
      <c r="AC629" s="893">
        <f t="shared" si="107"/>
        <v>0</v>
      </c>
      <c r="AD629" s="322"/>
      <c r="AE629" s="1"/>
      <c r="AF629" s="223">
        <f>IF(ISBLANK(AD629),0,COUNTIF(AF$4:AF628,"&gt;0")+1)</f>
        <v>0</v>
      </c>
      <c r="AG629" s="164">
        <f t="shared" si="113"/>
        <v>0</v>
      </c>
      <c r="AH629" s="99">
        <f t="shared" si="108"/>
        <v>0</v>
      </c>
      <c r="AI629" s="99">
        <f t="shared" si="114"/>
        <v>0</v>
      </c>
      <c r="AJ629" s="170">
        <f t="shared" si="115"/>
        <v>0</v>
      </c>
      <c r="AK629" s="204">
        <f t="shared" si="109"/>
        <v>0</v>
      </c>
      <c r="AL629" s="1049">
        <f>IF(ISERROR(AO629),0,IF(AND(AN629&gt;=$U$1,AN629&lt;=$U$2),IF(AO629='ESTRATTO CONTO'!$E$2,1+COUNTIF(AL$4:AL628,"&gt;0")+U$1009,0),0))</f>
        <v>0</v>
      </c>
      <c r="AM629" s="747">
        <f t="shared" si="112"/>
        <v>626</v>
      </c>
      <c r="AN629" s="164" t="e">
        <f>VLOOKUP($AM629,PATRIMONIALE!$AV681:AW$1003,2,FALSE)</f>
        <v>#N/A</v>
      </c>
      <c r="AO629" s="310" t="e">
        <f>VLOOKUP($AM629,PATRIMONIALE!$AV681:AX$1003,3,FALSE)</f>
        <v>#N/A</v>
      </c>
      <c r="AP629" s="310" t="e">
        <f>VLOOKUP($AM629,PATRIMONIALE!$AV681:AY$1003,4,FALSE)</f>
        <v>#N/A</v>
      </c>
      <c r="AQ629" s="748" t="e">
        <f>VLOOKUP($AM629,PATRIMONIALE!$AV681:AZ$1003,5,FALSE)</f>
        <v>#N/A</v>
      </c>
      <c r="AR629" s="1"/>
      <c r="AS629" s="461" t="str">
        <f t="shared" si="110"/>
        <v/>
      </c>
      <c r="AT629" s="370"/>
    </row>
    <row r="630" spans="1:46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435">
        <f>IF(AND(W630&gt;=$U$1,W630&lt;=$U$2),IF(X630='ESTRATTO CONTO'!$E$2,1+COUNTIF(U$4:U629,"&gt;0"),0),0)</f>
        <v>0</v>
      </c>
      <c r="V630" s="417">
        <f t="shared" si="111"/>
        <v>627</v>
      </c>
      <c r="W630" s="509"/>
      <c r="X630" s="321"/>
      <c r="Y630" s="321"/>
      <c r="Z630" s="433"/>
      <c r="AA630" s="356"/>
      <c r="AB630" s="306" t="str">
        <f t="shared" si="106"/>
        <v/>
      </c>
      <c r="AC630" s="893">
        <f t="shared" si="107"/>
        <v>0</v>
      </c>
      <c r="AD630" s="322"/>
      <c r="AE630" s="1"/>
      <c r="AF630" s="223">
        <f>IF(ISBLANK(AD630),0,COUNTIF(AF$4:AF629,"&gt;0")+1)</f>
        <v>0</v>
      </c>
      <c r="AG630" s="164">
        <f t="shared" si="113"/>
        <v>0</v>
      </c>
      <c r="AH630" s="99">
        <f t="shared" si="108"/>
        <v>0</v>
      </c>
      <c r="AI630" s="99">
        <f t="shared" si="114"/>
        <v>0</v>
      </c>
      <c r="AJ630" s="170">
        <f t="shared" si="115"/>
        <v>0</v>
      </c>
      <c r="AK630" s="204">
        <f t="shared" si="109"/>
        <v>0</v>
      </c>
      <c r="AL630" s="1049">
        <f>IF(ISERROR(AO630),0,IF(AND(AN630&gt;=$U$1,AN630&lt;=$U$2),IF(AO630='ESTRATTO CONTO'!$E$2,1+COUNTIF(AL$4:AL629,"&gt;0")+U$1009,0),0))</f>
        <v>0</v>
      </c>
      <c r="AM630" s="747">
        <f t="shared" si="112"/>
        <v>627</v>
      </c>
      <c r="AN630" s="164" t="e">
        <f>VLOOKUP($AM630,PATRIMONIALE!$AV682:AW$1003,2,FALSE)</f>
        <v>#N/A</v>
      </c>
      <c r="AO630" s="310" t="e">
        <f>VLOOKUP($AM630,PATRIMONIALE!$AV682:AX$1003,3,FALSE)</f>
        <v>#N/A</v>
      </c>
      <c r="AP630" s="310" t="e">
        <f>VLOOKUP($AM630,PATRIMONIALE!$AV682:AY$1003,4,FALSE)</f>
        <v>#N/A</v>
      </c>
      <c r="AQ630" s="748" t="e">
        <f>VLOOKUP($AM630,PATRIMONIALE!$AV682:AZ$1003,5,FALSE)</f>
        <v>#N/A</v>
      </c>
      <c r="AR630" s="1"/>
      <c r="AS630" s="461" t="str">
        <f t="shared" si="110"/>
        <v/>
      </c>
      <c r="AT630" s="370"/>
    </row>
    <row r="631" spans="1:46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435">
        <f>IF(AND(W631&gt;=$U$1,W631&lt;=$U$2),IF(X631='ESTRATTO CONTO'!$E$2,1+COUNTIF(U$4:U630,"&gt;0"),0),0)</f>
        <v>0</v>
      </c>
      <c r="V631" s="417">
        <f t="shared" si="111"/>
        <v>628</v>
      </c>
      <c r="W631" s="509"/>
      <c r="X631" s="321"/>
      <c r="Y631" s="321"/>
      <c r="Z631" s="433"/>
      <c r="AA631" s="356"/>
      <c r="AB631" s="306" t="str">
        <f t="shared" si="106"/>
        <v/>
      </c>
      <c r="AC631" s="893">
        <f t="shared" si="107"/>
        <v>0</v>
      </c>
      <c r="AD631" s="322"/>
      <c r="AE631" s="1"/>
      <c r="AF631" s="223">
        <f>IF(ISBLANK(AD631),0,COUNTIF(AF$4:AF630,"&gt;0")+1)</f>
        <v>0</v>
      </c>
      <c r="AG631" s="164">
        <f t="shared" si="113"/>
        <v>0</v>
      </c>
      <c r="AH631" s="99">
        <f t="shared" si="108"/>
        <v>0</v>
      </c>
      <c r="AI631" s="99">
        <f t="shared" si="114"/>
        <v>0</v>
      </c>
      <c r="AJ631" s="170">
        <f t="shared" si="115"/>
        <v>0</v>
      </c>
      <c r="AK631" s="204">
        <f t="shared" si="109"/>
        <v>0</v>
      </c>
      <c r="AL631" s="1049">
        <f>IF(ISERROR(AO631),0,IF(AND(AN631&gt;=$U$1,AN631&lt;=$U$2),IF(AO631='ESTRATTO CONTO'!$E$2,1+COUNTIF(AL$4:AL630,"&gt;0")+U$1009,0),0))</f>
        <v>0</v>
      </c>
      <c r="AM631" s="747">
        <f t="shared" si="112"/>
        <v>628</v>
      </c>
      <c r="AN631" s="164" t="e">
        <f>VLOOKUP($AM631,PATRIMONIALE!$AV683:AW$1003,2,FALSE)</f>
        <v>#N/A</v>
      </c>
      <c r="AO631" s="310" t="e">
        <f>VLOOKUP($AM631,PATRIMONIALE!$AV683:AX$1003,3,FALSE)</f>
        <v>#N/A</v>
      </c>
      <c r="AP631" s="310" t="e">
        <f>VLOOKUP($AM631,PATRIMONIALE!$AV683:AY$1003,4,FALSE)</f>
        <v>#N/A</v>
      </c>
      <c r="AQ631" s="748" t="e">
        <f>VLOOKUP($AM631,PATRIMONIALE!$AV683:AZ$1003,5,FALSE)</f>
        <v>#N/A</v>
      </c>
      <c r="AR631" s="1"/>
      <c r="AS631" s="461" t="str">
        <f t="shared" si="110"/>
        <v/>
      </c>
      <c r="AT631" s="370"/>
    </row>
    <row r="632" spans="1:46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435">
        <f>IF(AND(W632&gt;=$U$1,W632&lt;=$U$2),IF(X632='ESTRATTO CONTO'!$E$2,1+COUNTIF(U$4:U631,"&gt;0"),0),0)</f>
        <v>0</v>
      </c>
      <c r="V632" s="417">
        <f t="shared" si="111"/>
        <v>629</v>
      </c>
      <c r="W632" s="509"/>
      <c r="X632" s="321"/>
      <c r="Y632" s="321"/>
      <c r="Z632" s="433"/>
      <c r="AA632" s="356"/>
      <c r="AB632" s="306" t="str">
        <f t="shared" si="106"/>
        <v/>
      </c>
      <c r="AC632" s="893">
        <f t="shared" si="107"/>
        <v>0</v>
      </c>
      <c r="AD632" s="322"/>
      <c r="AE632" s="1"/>
      <c r="AF632" s="223">
        <f>IF(ISBLANK(AD632),0,COUNTIF(AF$4:AF631,"&gt;0")+1)</f>
        <v>0</v>
      </c>
      <c r="AG632" s="164">
        <f t="shared" si="113"/>
        <v>0</v>
      </c>
      <c r="AH632" s="99">
        <f t="shared" si="108"/>
        <v>0</v>
      </c>
      <c r="AI632" s="99">
        <f t="shared" si="114"/>
        <v>0</v>
      </c>
      <c r="AJ632" s="170">
        <f t="shared" si="115"/>
        <v>0</v>
      </c>
      <c r="AK632" s="204">
        <f t="shared" si="109"/>
        <v>0</v>
      </c>
      <c r="AL632" s="1049">
        <f>IF(ISERROR(AO632),0,IF(AND(AN632&gt;=$U$1,AN632&lt;=$U$2),IF(AO632='ESTRATTO CONTO'!$E$2,1+COUNTIF(AL$4:AL631,"&gt;0")+U$1009,0),0))</f>
        <v>0</v>
      </c>
      <c r="AM632" s="747">
        <f t="shared" si="112"/>
        <v>629</v>
      </c>
      <c r="AN632" s="164" t="e">
        <f>VLOOKUP($AM632,PATRIMONIALE!$AV684:AW$1003,2,FALSE)</f>
        <v>#N/A</v>
      </c>
      <c r="AO632" s="310" t="e">
        <f>VLOOKUP($AM632,PATRIMONIALE!$AV684:AX$1003,3,FALSE)</f>
        <v>#N/A</v>
      </c>
      <c r="AP632" s="310" t="e">
        <f>VLOOKUP($AM632,PATRIMONIALE!$AV684:AY$1003,4,FALSE)</f>
        <v>#N/A</v>
      </c>
      <c r="AQ632" s="748" t="e">
        <f>VLOOKUP($AM632,PATRIMONIALE!$AV684:AZ$1003,5,FALSE)</f>
        <v>#N/A</v>
      </c>
      <c r="AR632" s="1"/>
      <c r="AS632" s="461" t="str">
        <f t="shared" si="110"/>
        <v/>
      </c>
      <c r="AT632" s="370"/>
    </row>
    <row r="633" spans="1:46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435">
        <f>IF(AND(W633&gt;=$U$1,W633&lt;=$U$2),IF(X633='ESTRATTO CONTO'!$E$2,1+COUNTIF(U$4:U632,"&gt;0"),0),0)</f>
        <v>0</v>
      </c>
      <c r="V633" s="417">
        <f t="shared" si="111"/>
        <v>630</v>
      </c>
      <c r="W633" s="509"/>
      <c r="X633" s="321"/>
      <c r="Y633" s="321"/>
      <c r="Z633" s="433"/>
      <c r="AA633" s="356"/>
      <c r="AB633" s="306" t="str">
        <f t="shared" si="106"/>
        <v/>
      </c>
      <c r="AC633" s="893">
        <f t="shared" si="107"/>
        <v>0</v>
      </c>
      <c r="AD633" s="322"/>
      <c r="AE633" s="1"/>
      <c r="AF633" s="223">
        <f>IF(ISBLANK(AD633),0,COUNTIF(AF$4:AF632,"&gt;0")+1)</f>
        <v>0</v>
      </c>
      <c r="AG633" s="164">
        <f t="shared" si="113"/>
        <v>0</v>
      </c>
      <c r="AH633" s="99">
        <f t="shared" si="108"/>
        <v>0</v>
      </c>
      <c r="AI633" s="99">
        <f t="shared" si="114"/>
        <v>0</v>
      </c>
      <c r="AJ633" s="170">
        <f t="shared" si="115"/>
        <v>0</v>
      </c>
      <c r="AK633" s="204">
        <f t="shared" si="109"/>
        <v>0</v>
      </c>
      <c r="AL633" s="1049">
        <f>IF(ISERROR(AO633),0,IF(AND(AN633&gt;=$U$1,AN633&lt;=$U$2),IF(AO633='ESTRATTO CONTO'!$E$2,1+COUNTIF(AL$4:AL632,"&gt;0")+U$1009,0),0))</f>
        <v>0</v>
      </c>
      <c r="AM633" s="747">
        <f t="shared" si="112"/>
        <v>630</v>
      </c>
      <c r="AN633" s="164" t="e">
        <f>VLOOKUP($AM633,PATRIMONIALE!$AV685:AW$1003,2,FALSE)</f>
        <v>#N/A</v>
      </c>
      <c r="AO633" s="310" t="e">
        <f>VLOOKUP($AM633,PATRIMONIALE!$AV685:AX$1003,3,FALSE)</f>
        <v>#N/A</v>
      </c>
      <c r="AP633" s="310" t="e">
        <f>VLOOKUP($AM633,PATRIMONIALE!$AV685:AY$1003,4,FALSE)</f>
        <v>#N/A</v>
      </c>
      <c r="AQ633" s="748" t="e">
        <f>VLOOKUP($AM633,PATRIMONIALE!$AV685:AZ$1003,5,FALSE)</f>
        <v>#N/A</v>
      </c>
      <c r="AR633" s="1"/>
      <c r="AS633" s="461" t="str">
        <f t="shared" si="110"/>
        <v/>
      </c>
      <c r="AT633" s="370"/>
    </row>
    <row r="634" spans="1:46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435">
        <f>IF(AND(W634&gt;=$U$1,W634&lt;=$U$2),IF(X634='ESTRATTO CONTO'!$E$2,1+COUNTIF(U$4:U633,"&gt;0"),0),0)</f>
        <v>0</v>
      </c>
      <c r="V634" s="417">
        <f t="shared" si="111"/>
        <v>631</v>
      </c>
      <c r="W634" s="509"/>
      <c r="X634" s="321"/>
      <c r="Y634" s="321"/>
      <c r="Z634" s="433"/>
      <c r="AA634" s="356"/>
      <c r="AB634" s="306" t="str">
        <f t="shared" si="106"/>
        <v/>
      </c>
      <c r="AC634" s="893">
        <f t="shared" si="107"/>
        <v>0</v>
      </c>
      <c r="AD634" s="322"/>
      <c r="AE634" s="1"/>
      <c r="AF634" s="223">
        <f>IF(ISBLANK(AD634),0,COUNTIF(AF$4:AF633,"&gt;0")+1)</f>
        <v>0</v>
      </c>
      <c r="AG634" s="164">
        <f t="shared" si="113"/>
        <v>0</v>
      </c>
      <c r="AH634" s="99">
        <f t="shared" si="108"/>
        <v>0</v>
      </c>
      <c r="AI634" s="99">
        <f t="shared" si="114"/>
        <v>0</v>
      </c>
      <c r="AJ634" s="170">
        <f t="shared" si="115"/>
        <v>0</v>
      </c>
      <c r="AK634" s="204">
        <f t="shared" si="109"/>
        <v>0</v>
      </c>
      <c r="AL634" s="1049">
        <f>IF(ISERROR(AO634),0,IF(AND(AN634&gt;=$U$1,AN634&lt;=$U$2),IF(AO634='ESTRATTO CONTO'!$E$2,1+COUNTIF(AL$4:AL633,"&gt;0")+U$1009,0),0))</f>
        <v>0</v>
      </c>
      <c r="AM634" s="747">
        <f t="shared" si="112"/>
        <v>631</v>
      </c>
      <c r="AN634" s="164" t="e">
        <f>VLOOKUP($AM634,PATRIMONIALE!$AV686:AW$1003,2,FALSE)</f>
        <v>#N/A</v>
      </c>
      <c r="AO634" s="310" t="e">
        <f>VLOOKUP($AM634,PATRIMONIALE!$AV686:AX$1003,3,FALSE)</f>
        <v>#N/A</v>
      </c>
      <c r="AP634" s="310" t="e">
        <f>VLOOKUP($AM634,PATRIMONIALE!$AV686:AY$1003,4,FALSE)</f>
        <v>#N/A</v>
      </c>
      <c r="AQ634" s="748" t="e">
        <f>VLOOKUP($AM634,PATRIMONIALE!$AV686:AZ$1003,5,FALSE)</f>
        <v>#N/A</v>
      </c>
      <c r="AR634" s="1"/>
      <c r="AS634" s="461" t="str">
        <f t="shared" si="110"/>
        <v/>
      </c>
      <c r="AT634" s="370"/>
    </row>
    <row r="635" spans="1:46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435">
        <f>IF(AND(W635&gt;=$U$1,W635&lt;=$U$2),IF(X635='ESTRATTO CONTO'!$E$2,1+COUNTIF(U$4:U634,"&gt;0"),0),0)</f>
        <v>0</v>
      </c>
      <c r="V635" s="417">
        <f t="shared" si="111"/>
        <v>632</v>
      </c>
      <c r="W635" s="509"/>
      <c r="X635" s="321"/>
      <c r="Y635" s="321"/>
      <c r="Z635" s="433"/>
      <c r="AA635" s="356"/>
      <c r="AB635" s="306" t="str">
        <f t="shared" si="106"/>
        <v/>
      </c>
      <c r="AC635" s="893">
        <f t="shared" si="107"/>
        <v>0</v>
      </c>
      <c r="AD635" s="322"/>
      <c r="AE635" s="1"/>
      <c r="AF635" s="223">
        <f>IF(ISBLANK(AD635),0,COUNTIF(AF$4:AF634,"&gt;0")+1)</f>
        <v>0</v>
      </c>
      <c r="AG635" s="164">
        <f t="shared" si="113"/>
        <v>0</v>
      </c>
      <c r="AH635" s="99">
        <f t="shared" si="108"/>
        <v>0</v>
      </c>
      <c r="AI635" s="99">
        <f t="shared" si="114"/>
        <v>0</v>
      </c>
      <c r="AJ635" s="170">
        <f t="shared" si="115"/>
        <v>0</v>
      </c>
      <c r="AK635" s="204">
        <f t="shared" si="109"/>
        <v>0</v>
      </c>
      <c r="AL635" s="1049">
        <f>IF(ISERROR(AO635),0,IF(AND(AN635&gt;=$U$1,AN635&lt;=$U$2),IF(AO635='ESTRATTO CONTO'!$E$2,1+COUNTIF(AL$4:AL634,"&gt;0")+U$1009,0),0))</f>
        <v>0</v>
      </c>
      <c r="AM635" s="747">
        <f t="shared" si="112"/>
        <v>632</v>
      </c>
      <c r="AN635" s="164" t="e">
        <f>VLOOKUP($AM635,PATRIMONIALE!$AV687:AW$1003,2,FALSE)</f>
        <v>#N/A</v>
      </c>
      <c r="AO635" s="310" t="e">
        <f>VLOOKUP($AM635,PATRIMONIALE!$AV687:AX$1003,3,FALSE)</f>
        <v>#N/A</v>
      </c>
      <c r="AP635" s="310" t="e">
        <f>VLOOKUP($AM635,PATRIMONIALE!$AV687:AY$1003,4,FALSE)</f>
        <v>#N/A</v>
      </c>
      <c r="AQ635" s="748" t="e">
        <f>VLOOKUP($AM635,PATRIMONIALE!$AV687:AZ$1003,5,FALSE)</f>
        <v>#N/A</v>
      </c>
      <c r="AR635" s="1"/>
      <c r="AS635" s="461" t="str">
        <f t="shared" si="110"/>
        <v/>
      </c>
      <c r="AT635" s="370"/>
    </row>
    <row r="636" spans="1:46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435">
        <f>IF(AND(W636&gt;=$U$1,W636&lt;=$U$2),IF(X636='ESTRATTO CONTO'!$E$2,1+COUNTIF(U$4:U635,"&gt;0"),0),0)</f>
        <v>0</v>
      </c>
      <c r="V636" s="417">
        <f t="shared" si="111"/>
        <v>633</v>
      </c>
      <c r="W636" s="509"/>
      <c r="X636" s="321"/>
      <c r="Y636" s="321"/>
      <c r="Z636" s="433"/>
      <c r="AA636" s="356"/>
      <c r="AB636" s="306" t="str">
        <f t="shared" si="106"/>
        <v/>
      </c>
      <c r="AC636" s="893">
        <f t="shared" si="107"/>
        <v>0</v>
      </c>
      <c r="AD636" s="322"/>
      <c r="AE636" s="1"/>
      <c r="AF636" s="223">
        <f>IF(ISBLANK(AD636),0,COUNTIF(AF$4:AF635,"&gt;0")+1)</f>
        <v>0</v>
      </c>
      <c r="AG636" s="164">
        <f t="shared" si="113"/>
        <v>0</v>
      </c>
      <c r="AH636" s="99">
        <f t="shared" si="108"/>
        <v>0</v>
      </c>
      <c r="AI636" s="99">
        <f t="shared" si="114"/>
        <v>0</v>
      </c>
      <c r="AJ636" s="170">
        <f t="shared" si="115"/>
        <v>0</v>
      </c>
      <c r="AK636" s="204">
        <f t="shared" si="109"/>
        <v>0</v>
      </c>
      <c r="AL636" s="1049">
        <f>IF(ISERROR(AO636),0,IF(AND(AN636&gt;=$U$1,AN636&lt;=$U$2),IF(AO636='ESTRATTO CONTO'!$E$2,1+COUNTIF(AL$4:AL635,"&gt;0")+U$1009,0),0))</f>
        <v>0</v>
      </c>
      <c r="AM636" s="747">
        <f t="shared" si="112"/>
        <v>633</v>
      </c>
      <c r="AN636" s="164" t="e">
        <f>VLOOKUP($AM636,PATRIMONIALE!$AV688:AW$1003,2,FALSE)</f>
        <v>#N/A</v>
      </c>
      <c r="AO636" s="310" t="e">
        <f>VLOOKUP($AM636,PATRIMONIALE!$AV688:AX$1003,3,FALSE)</f>
        <v>#N/A</v>
      </c>
      <c r="AP636" s="310" t="e">
        <f>VLOOKUP($AM636,PATRIMONIALE!$AV688:AY$1003,4,FALSE)</f>
        <v>#N/A</v>
      </c>
      <c r="AQ636" s="748" t="e">
        <f>VLOOKUP($AM636,PATRIMONIALE!$AV688:AZ$1003,5,FALSE)</f>
        <v>#N/A</v>
      </c>
      <c r="AR636" s="1"/>
      <c r="AS636" s="461" t="str">
        <f t="shared" si="110"/>
        <v/>
      </c>
      <c r="AT636" s="370"/>
    </row>
    <row r="637" spans="1:46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435">
        <f>IF(AND(W637&gt;=$U$1,W637&lt;=$U$2),IF(X637='ESTRATTO CONTO'!$E$2,1+COUNTIF(U$4:U636,"&gt;0"),0),0)</f>
        <v>0</v>
      </c>
      <c r="V637" s="417">
        <f t="shared" si="111"/>
        <v>634</v>
      </c>
      <c r="W637" s="509"/>
      <c r="X637" s="321"/>
      <c r="Y637" s="321"/>
      <c r="Z637" s="433"/>
      <c r="AA637" s="356"/>
      <c r="AB637" s="306" t="str">
        <f t="shared" si="106"/>
        <v/>
      </c>
      <c r="AC637" s="893">
        <f t="shared" si="107"/>
        <v>0</v>
      </c>
      <c r="AD637" s="322"/>
      <c r="AE637" s="1"/>
      <c r="AF637" s="223">
        <f>IF(ISBLANK(AD637),0,COUNTIF(AF$4:AF636,"&gt;0")+1)</f>
        <v>0</v>
      </c>
      <c r="AG637" s="164">
        <f t="shared" si="113"/>
        <v>0</v>
      </c>
      <c r="AH637" s="99">
        <f t="shared" si="108"/>
        <v>0</v>
      </c>
      <c r="AI637" s="99">
        <f t="shared" si="114"/>
        <v>0</v>
      </c>
      <c r="AJ637" s="170">
        <f t="shared" si="115"/>
        <v>0</v>
      </c>
      <c r="AK637" s="204">
        <f t="shared" si="109"/>
        <v>0</v>
      </c>
      <c r="AL637" s="1049">
        <f>IF(ISERROR(AO637),0,IF(AND(AN637&gt;=$U$1,AN637&lt;=$U$2),IF(AO637='ESTRATTO CONTO'!$E$2,1+COUNTIF(AL$4:AL636,"&gt;0")+U$1009,0),0))</f>
        <v>0</v>
      </c>
      <c r="AM637" s="747">
        <f t="shared" si="112"/>
        <v>634</v>
      </c>
      <c r="AN637" s="164" t="e">
        <f>VLOOKUP($AM637,PATRIMONIALE!$AV689:AW$1003,2,FALSE)</f>
        <v>#N/A</v>
      </c>
      <c r="AO637" s="310" t="e">
        <f>VLOOKUP($AM637,PATRIMONIALE!$AV689:AX$1003,3,FALSE)</f>
        <v>#N/A</v>
      </c>
      <c r="AP637" s="310" t="e">
        <f>VLOOKUP($AM637,PATRIMONIALE!$AV689:AY$1003,4,FALSE)</f>
        <v>#N/A</v>
      </c>
      <c r="AQ637" s="748" t="e">
        <f>VLOOKUP($AM637,PATRIMONIALE!$AV689:AZ$1003,5,FALSE)</f>
        <v>#N/A</v>
      </c>
      <c r="AR637" s="1"/>
      <c r="AS637" s="461" t="str">
        <f t="shared" si="110"/>
        <v/>
      </c>
      <c r="AT637" s="370"/>
    </row>
    <row r="638" spans="1:46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435">
        <f>IF(AND(W638&gt;=$U$1,W638&lt;=$U$2),IF(X638='ESTRATTO CONTO'!$E$2,1+COUNTIF(U$4:U637,"&gt;0"),0),0)</f>
        <v>0</v>
      </c>
      <c r="V638" s="417">
        <f t="shared" si="111"/>
        <v>635</v>
      </c>
      <c r="W638" s="509"/>
      <c r="X638" s="321"/>
      <c r="Y638" s="321"/>
      <c r="Z638" s="433"/>
      <c r="AA638" s="356"/>
      <c r="AB638" s="306" t="str">
        <f t="shared" si="106"/>
        <v/>
      </c>
      <c r="AC638" s="893">
        <f t="shared" si="107"/>
        <v>0</v>
      </c>
      <c r="AD638" s="322"/>
      <c r="AE638" s="1"/>
      <c r="AF638" s="223">
        <f>IF(ISBLANK(AD638),0,COUNTIF(AF$4:AF637,"&gt;0")+1)</f>
        <v>0</v>
      </c>
      <c r="AG638" s="164">
        <f t="shared" si="113"/>
        <v>0</v>
      </c>
      <c r="AH638" s="99">
        <f t="shared" si="108"/>
        <v>0</v>
      </c>
      <c r="AI638" s="99">
        <f t="shared" si="114"/>
        <v>0</v>
      </c>
      <c r="AJ638" s="170">
        <f t="shared" si="115"/>
        <v>0</v>
      </c>
      <c r="AK638" s="204">
        <f t="shared" si="109"/>
        <v>0</v>
      </c>
      <c r="AL638" s="1049">
        <f>IF(ISERROR(AO638),0,IF(AND(AN638&gt;=$U$1,AN638&lt;=$U$2),IF(AO638='ESTRATTO CONTO'!$E$2,1+COUNTIF(AL$4:AL637,"&gt;0")+U$1009,0),0))</f>
        <v>0</v>
      </c>
      <c r="AM638" s="747">
        <f t="shared" si="112"/>
        <v>635</v>
      </c>
      <c r="AN638" s="164" t="e">
        <f>VLOOKUP($AM638,PATRIMONIALE!$AV690:AW$1003,2,FALSE)</f>
        <v>#N/A</v>
      </c>
      <c r="AO638" s="310" t="e">
        <f>VLOOKUP($AM638,PATRIMONIALE!$AV690:AX$1003,3,FALSE)</f>
        <v>#N/A</v>
      </c>
      <c r="AP638" s="310" t="e">
        <f>VLOOKUP($AM638,PATRIMONIALE!$AV690:AY$1003,4,FALSE)</f>
        <v>#N/A</v>
      </c>
      <c r="AQ638" s="748" t="e">
        <f>VLOOKUP($AM638,PATRIMONIALE!$AV690:AZ$1003,5,FALSE)</f>
        <v>#N/A</v>
      </c>
      <c r="AR638" s="1"/>
      <c r="AS638" s="461" t="str">
        <f t="shared" si="110"/>
        <v/>
      </c>
      <c r="AT638" s="370"/>
    </row>
    <row r="639" spans="1:46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435">
        <f>IF(AND(W639&gt;=$U$1,W639&lt;=$U$2),IF(X639='ESTRATTO CONTO'!$E$2,1+COUNTIF(U$4:U638,"&gt;0"),0),0)</f>
        <v>0</v>
      </c>
      <c r="V639" s="417">
        <f t="shared" si="111"/>
        <v>636</v>
      </c>
      <c r="W639" s="509"/>
      <c r="X639" s="321"/>
      <c r="Y639" s="321"/>
      <c r="Z639" s="433"/>
      <c r="AA639" s="356"/>
      <c r="AB639" s="306" t="str">
        <f t="shared" si="106"/>
        <v/>
      </c>
      <c r="AC639" s="893">
        <f t="shared" si="107"/>
        <v>0</v>
      </c>
      <c r="AD639" s="322"/>
      <c r="AE639" s="1"/>
      <c r="AF639" s="223">
        <f>IF(ISBLANK(AD639),0,COUNTIF(AF$4:AF638,"&gt;0")+1)</f>
        <v>0</v>
      </c>
      <c r="AG639" s="164">
        <f t="shared" si="113"/>
        <v>0</v>
      </c>
      <c r="AH639" s="99">
        <f t="shared" si="108"/>
        <v>0</v>
      </c>
      <c r="AI639" s="99">
        <f t="shared" si="114"/>
        <v>0</v>
      </c>
      <c r="AJ639" s="170">
        <f t="shared" si="115"/>
        <v>0</v>
      </c>
      <c r="AK639" s="204">
        <f t="shared" si="109"/>
        <v>0</v>
      </c>
      <c r="AL639" s="1049">
        <f>IF(ISERROR(AO639),0,IF(AND(AN639&gt;=$U$1,AN639&lt;=$U$2),IF(AO639='ESTRATTO CONTO'!$E$2,1+COUNTIF(AL$4:AL638,"&gt;0")+U$1009,0),0))</f>
        <v>0</v>
      </c>
      <c r="AM639" s="747">
        <f t="shared" si="112"/>
        <v>636</v>
      </c>
      <c r="AN639" s="164" t="e">
        <f>VLOOKUP($AM639,PATRIMONIALE!$AV691:AW$1003,2,FALSE)</f>
        <v>#N/A</v>
      </c>
      <c r="AO639" s="310" t="e">
        <f>VLOOKUP($AM639,PATRIMONIALE!$AV691:AX$1003,3,FALSE)</f>
        <v>#N/A</v>
      </c>
      <c r="AP639" s="310" t="e">
        <f>VLOOKUP($AM639,PATRIMONIALE!$AV691:AY$1003,4,FALSE)</f>
        <v>#N/A</v>
      </c>
      <c r="AQ639" s="748" t="e">
        <f>VLOOKUP($AM639,PATRIMONIALE!$AV691:AZ$1003,5,FALSE)</f>
        <v>#N/A</v>
      </c>
      <c r="AR639" s="1"/>
      <c r="AS639" s="461" t="str">
        <f t="shared" si="110"/>
        <v/>
      </c>
      <c r="AT639" s="370"/>
    </row>
    <row r="640" spans="1:46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435">
        <f>IF(AND(W640&gt;=$U$1,W640&lt;=$U$2),IF(X640='ESTRATTO CONTO'!$E$2,1+COUNTIF(U$4:U639,"&gt;0"),0),0)</f>
        <v>0</v>
      </c>
      <c r="V640" s="417">
        <f t="shared" si="111"/>
        <v>637</v>
      </c>
      <c r="W640" s="509"/>
      <c r="X640" s="321"/>
      <c r="Y640" s="321"/>
      <c r="Z640" s="433"/>
      <c r="AA640" s="356"/>
      <c r="AB640" s="306" t="str">
        <f t="shared" si="106"/>
        <v/>
      </c>
      <c r="AC640" s="893">
        <f t="shared" si="107"/>
        <v>0</v>
      </c>
      <c r="AD640" s="322"/>
      <c r="AE640" s="1"/>
      <c r="AF640" s="223">
        <f>IF(ISBLANK(AD640),0,COUNTIF(AF$4:AF639,"&gt;0")+1)</f>
        <v>0</v>
      </c>
      <c r="AG640" s="164">
        <f t="shared" si="113"/>
        <v>0</v>
      </c>
      <c r="AH640" s="99">
        <f t="shared" si="108"/>
        <v>0</v>
      </c>
      <c r="AI640" s="99">
        <f t="shared" si="114"/>
        <v>0</v>
      </c>
      <c r="AJ640" s="170">
        <f t="shared" si="115"/>
        <v>0</v>
      </c>
      <c r="AK640" s="204">
        <f t="shared" si="109"/>
        <v>0</v>
      </c>
      <c r="AL640" s="1049">
        <f>IF(ISERROR(AO640),0,IF(AND(AN640&gt;=$U$1,AN640&lt;=$U$2),IF(AO640='ESTRATTO CONTO'!$E$2,1+COUNTIF(AL$4:AL639,"&gt;0")+U$1009,0),0))</f>
        <v>0</v>
      </c>
      <c r="AM640" s="747">
        <f t="shared" si="112"/>
        <v>637</v>
      </c>
      <c r="AN640" s="164" t="e">
        <f>VLOOKUP($AM640,PATRIMONIALE!$AV692:AW$1003,2,FALSE)</f>
        <v>#N/A</v>
      </c>
      <c r="AO640" s="310" t="e">
        <f>VLOOKUP($AM640,PATRIMONIALE!$AV692:AX$1003,3,FALSE)</f>
        <v>#N/A</v>
      </c>
      <c r="AP640" s="310" t="e">
        <f>VLOOKUP($AM640,PATRIMONIALE!$AV692:AY$1003,4,FALSE)</f>
        <v>#N/A</v>
      </c>
      <c r="AQ640" s="748" t="e">
        <f>VLOOKUP($AM640,PATRIMONIALE!$AV692:AZ$1003,5,FALSE)</f>
        <v>#N/A</v>
      </c>
      <c r="AR640" s="1"/>
      <c r="AS640" s="461" t="str">
        <f t="shared" si="110"/>
        <v/>
      </c>
      <c r="AT640" s="370"/>
    </row>
    <row r="641" spans="1:46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435">
        <f>IF(AND(W641&gt;=$U$1,W641&lt;=$U$2),IF(X641='ESTRATTO CONTO'!$E$2,1+COUNTIF(U$4:U640,"&gt;0"),0),0)</f>
        <v>0</v>
      </c>
      <c r="V641" s="417">
        <f t="shared" si="111"/>
        <v>638</v>
      </c>
      <c r="W641" s="509"/>
      <c r="X641" s="321"/>
      <c r="Y641" s="321"/>
      <c r="Z641" s="433"/>
      <c r="AA641" s="356"/>
      <c r="AB641" s="306" t="str">
        <f t="shared" si="106"/>
        <v/>
      </c>
      <c r="AC641" s="893">
        <f t="shared" si="107"/>
        <v>0</v>
      </c>
      <c r="AD641" s="322"/>
      <c r="AE641" s="1"/>
      <c r="AF641" s="223">
        <f>IF(ISBLANK(AD641),0,COUNTIF(AF$4:AF640,"&gt;0")+1)</f>
        <v>0</v>
      </c>
      <c r="AG641" s="164">
        <f t="shared" si="113"/>
        <v>0</v>
      </c>
      <c r="AH641" s="99">
        <f t="shared" si="108"/>
        <v>0</v>
      </c>
      <c r="AI641" s="99">
        <f t="shared" si="114"/>
        <v>0</v>
      </c>
      <c r="AJ641" s="170">
        <f t="shared" si="115"/>
        <v>0</v>
      </c>
      <c r="AK641" s="204">
        <f t="shared" si="109"/>
        <v>0</v>
      </c>
      <c r="AL641" s="1049">
        <f>IF(ISERROR(AO641),0,IF(AND(AN641&gt;=$U$1,AN641&lt;=$U$2),IF(AO641='ESTRATTO CONTO'!$E$2,1+COUNTIF(AL$4:AL640,"&gt;0")+U$1009,0),0))</f>
        <v>0</v>
      </c>
      <c r="AM641" s="747">
        <f t="shared" si="112"/>
        <v>638</v>
      </c>
      <c r="AN641" s="164" t="e">
        <f>VLOOKUP($AM641,PATRIMONIALE!$AV693:AW$1003,2,FALSE)</f>
        <v>#N/A</v>
      </c>
      <c r="AO641" s="310" t="e">
        <f>VLOOKUP($AM641,PATRIMONIALE!$AV693:AX$1003,3,FALSE)</f>
        <v>#N/A</v>
      </c>
      <c r="AP641" s="310" t="e">
        <f>VLOOKUP($AM641,PATRIMONIALE!$AV693:AY$1003,4,FALSE)</f>
        <v>#N/A</v>
      </c>
      <c r="AQ641" s="748" t="e">
        <f>VLOOKUP($AM641,PATRIMONIALE!$AV693:AZ$1003,5,FALSE)</f>
        <v>#N/A</v>
      </c>
      <c r="AR641" s="1"/>
      <c r="AS641" s="461" t="str">
        <f t="shared" si="110"/>
        <v/>
      </c>
      <c r="AT641" s="370"/>
    </row>
    <row r="642" spans="1:46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435">
        <f>IF(AND(W642&gt;=$U$1,W642&lt;=$U$2),IF(X642='ESTRATTO CONTO'!$E$2,1+COUNTIF(U$4:U641,"&gt;0"),0),0)</f>
        <v>0</v>
      </c>
      <c r="V642" s="417">
        <f t="shared" si="111"/>
        <v>639</v>
      </c>
      <c r="W642" s="509"/>
      <c r="X642" s="321"/>
      <c r="Y642" s="321"/>
      <c r="Z642" s="433"/>
      <c r="AA642" s="356"/>
      <c r="AB642" s="306" t="str">
        <f t="shared" si="106"/>
        <v/>
      </c>
      <c r="AC642" s="893">
        <f t="shared" si="107"/>
        <v>0</v>
      </c>
      <c r="AD642" s="322"/>
      <c r="AE642" s="1"/>
      <c r="AF642" s="223">
        <f>IF(ISBLANK(AD642),0,COUNTIF(AF$4:AF641,"&gt;0")+1)</f>
        <v>0</v>
      </c>
      <c r="AG642" s="164">
        <f t="shared" si="113"/>
        <v>0</v>
      </c>
      <c r="AH642" s="99">
        <f t="shared" si="108"/>
        <v>0</v>
      </c>
      <c r="AI642" s="99">
        <f t="shared" si="114"/>
        <v>0</v>
      </c>
      <c r="AJ642" s="170">
        <f t="shared" si="115"/>
        <v>0</v>
      </c>
      <c r="AK642" s="204">
        <f t="shared" si="109"/>
        <v>0</v>
      </c>
      <c r="AL642" s="1049">
        <f>IF(ISERROR(AO642),0,IF(AND(AN642&gt;=$U$1,AN642&lt;=$U$2),IF(AO642='ESTRATTO CONTO'!$E$2,1+COUNTIF(AL$4:AL641,"&gt;0")+U$1009,0),0))</f>
        <v>0</v>
      </c>
      <c r="AM642" s="747">
        <f t="shared" si="112"/>
        <v>639</v>
      </c>
      <c r="AN642" s="164" t="e">
        <f>VLOOKUP($AM642,PATRIMONIALE!$AV694:AW$1003,2,FALSE)</f>
        <v>#N/A</v>
      </c>
      <c r="AO642" s="310" t="e">
        <f>VLOOKUP($AM642,PATRIMONIALE!$AV694:AX$1003,3,FALSE)</f>
        <v>#N/A</v>
      </c>
      <c r="AP642" s="310" t="e">
        <f>VLOOKUP($AM642,PATRIMONIALE!$AV694:AY$1003,4,FALSE)</f>
        <v>#N/A</v>
      </c>
      <c r="AQ642" s="748" t="e">
        <f>VLOOKUP($AM642,PATRIMONIALE!$AV694:AZ$1003,5,FALSE)</f>
        <v>#N/A</v>
      </c>
      <c r="AR642" s="1"/>
      <c r="AS642" s="461" t="str">
        <f t="shared" si="110"/>
        <v/>
      </c>
      <c r="AT642" s="370"/>
    </row>
    <row r="643" spans="1:46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435">
        <f>IF(AND(W643&gt;=$U$1,W643&lt;=$U$2),IF(X643='ESTRATTO CONTO'!$E$2,1+COUNTIF(U$4:U642,"&gt;0"),0),0)</f>
        <v>0</v>
      </c>
      <c r="V643" s="417">
        <f t="shared" si="111"/>
        <v>640</v>
      </c>
      <c r="W643" s="509"/>
      <c r="X643" s="321"/>
      <c r="Y643" s="321"/>
      <c r="Z643" s="433"/>
      <c r="AA643" s="356"/>
      <c r="AB643" s="306" t="str">
        <f t="shared" si="106"/>
        <v/>
      </c>
      <c r="AC643" s="893">
        <f t="shared" si="107"/>
        <v>0</v>
      </c>
      <c r="AD643" s="322"/>
      <c r="AE643" s="1"/>
      <c r="AF643" s="223">
        <f>IF(ISBLANK(AD643),0,COUNTIF(AF$4:AF642,"&gt;0")+1)</f>
        <v>0</v>
      </c>
      <c r="AG643" s="164">
        <f t="shared" si="113"/>
        <v>0</v>
      </c>
      <c r="AH643" s="99">
        <f t="shared" si="108"/>
        <v>0</v>
      </c>
      <c r="AI643" s="99">
        <f t="shared" si="114"/>
        <v>0</v>
      </c>
      <c r="AJ643" s="170">
        <f t="shared" si="115"/>
        <v>0</v>
      </c>
      <c r="AK643" s="204">
        <f t="shared" si="109"/>
        <v>0</v>
      </c>
      <c r="AL643" s="1049">
        <f>IF(ISERROR(AO643),0,IF(AND(AN643&gt;=$U$1,AN643&lt;=$U$2),IF(AO643='ESTRATTO CONTO'!$E$2,1+COUNTIF(AL$4:AL642,"&gt;0")+U$1009,0),0))</f>
        <v>0</v>
      </c>
      <c r="AM643" s="747">
        <f t="shared" si="112"/>
        <v>640</v>
      </c>
      <c r="AN643" s="164" t="e">
        <f>VLOOKUP($AM643,PATRIMONIALE!$AV695:AW$1003,2,FALSE)</f>
        <v>#N/A</v>
      </c>
      <c r="AO643" s="310" t="e">
        <f>VLOOKUP($AM643,PATRIMONIALE!$AV695:AX$1003,3,FALSE)</f>
        <v>#N/A</v>
      </c>
      <c r="AP643" s="310" t="e">
        <f>VLOOKUP($AM643,PATRIMONIALE!$AV695:AY$1003,4,FALSE)</f>
        <v>#N/A</v>
      </c>
      <c r="AQ643" s="748" t="e">
        <f>VLOOKUP($AM643,PATRIMONIALE!$AV695:AZ$1003,5,FALSE)</f>
        <v>#N/A</v>
      </c>
      <c r="AR643" s="1"/>
      <c r="AS643" s="461" t="str">
        <f t="shared" si="110"/>
        <v/>
      </c>
      <c r="AT643" s="370"/>
    </row>
    <row r="644" spans="1:46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435">
        <f>IF(AND(W644&gt;=$U$1,W644&lt;=$U$2),IF(X644='ESTRATTO CONTO'!$E$2,1+COUNTIF(U$4:U643,"&gt;0"),0),0)</f>
        <v>0</v>
      </c>
      <c r="V644" s="417">
        <f t="shared" si="111"/>
        <v>641</v>
      </c>
      <c r="W644" s="509"/>
      <c r="X644" s="321"/>
      <c r="Y644" s="321"/>
      <c r="Z644" s="433"/>
      <c r="AA644" s="356"/>
      <c r="AB644" s="306" t="str">
        <f t="shared" ref="AB644:AB707" si="116">IF(X644="","",IF(W644&gt;0,IF(AND(W644&gt;=W$1012,W644&lt;=W$1013),CONCATENATE(X644,"-",MONTH(W644)),0),""))</f>
        <v/>
      </c>
      <c r="AC644" s="893">
        <f t="shared" ref="AC644:AC707" si="117">IF(AD644="",0,VLOOKUP(AD644,$AD$1025:$AD$1038,1,FALSE))</f>
        <v>0</v>
      </c>
      <c r="AD644" s="322"/>
      <c r="AE644" s="1"/>
      <c r="AF644" s="223">
        <f>IF(ISBLANK(AD644),0,COUNTIF(AF$4:AF643,"&gt;0")+1)</f>
        <v>0</v>
      </c>
      <c r="AG644" s="164">
        <f t="shared" si="113"/>
        <v>0</v>
      </c>
      <c r="AH644" s="99">
        <f t="shared" ref="AH644:AH707" si="118">IF($AF644=0,0,VLOOKUP(AD644,$AD$1025:$AH$1038,5,FALSE))</f>
        <v>0</v>
      </c>
      <c r="AI644" s="99">
        <f t="shared" si="114"/>
        <v>0</v>
      </c>
      <c r="AJ644" s="170">
        <f t="shared" si="115"/>
        <v>0</v>
      </c>
      <c r="AK644" s="204">
        <f t="shared" ref="AK644:AK707" si="119">X644</f>
        <v>0</v>
      </c>
      <c r="AL644" s="1049">
        <f>IF(ISERROR(AO644),0,IF(AND(AN644&gt;=$U$1,AN644&lt;=$U$2),IF(AO644='ESTRATTO CONTO'!$E$2,1+COUNTIF(AL$4:AL643,"&gt;0")+U$1009,0),0))</f>
        <v>0</v>
      </c>
      <c r="AM644" s="747">
        <f t="shared" si="112"/>
        <v>641</v>
      </c>
      <c r="AN644" s="164" t="e">
        <f>VLOOKUP($AM644,PATRIMONIALE!$AV696:AW$1003,2,FALSE)</f>
        <v>#N/A</v>
      </c>
      <c r="AO644" s="310" t="e">
        <f>VLOOKUP($AM644,PATRIMONIALE!$AV696:AX$1003,3,FALSE)</f>
        <v>#N/A</v>
      </c>
      <c r="AP644" s="310" t="e">
        <f>VLOOKUP($AM644,PATRIMONIALE!$AV696:AY$1003,4,FALSE)</f>
        <v>#N/A</v>
      </c>
      <c r="AQ644" s="748" t="e">
        <f>VLOOKUP($AM644,PATRIMONIALE!$AV696:AZ$1003,5,FALSE)</f>
        <v>#N/A</v>
      </c>
      <c r="AR644" s="1"/>
      <c r="AS644" s="461" t="str">
        <f t="shared" ref="AS644:AS707" si="120">IF(X644="","",IF(ISERROR(VLOOKUP(X644,B$9:E$13,1,FALSE)),1,0))</f>
        <v/>
      </c>
      <c r="AT644" s="370"/>
    </row>
    <row r="645" spans="1:46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435">
        <f>IF(AND(W645&gt;=$U$1,W645&lt;=$U$2),IF(X645='ESTRATTO CONTO'!$E$2,1+COUNTIF(U$4:U644,"&gt;0"),0),0)</f>
        <v>0</v>
      </c>
      <c r="V645" s="417">
        <f t="shared" si="111"/>
        <v>642</v>
      </c>
      <c r="W645" s="509"/>
      <c r="X645" s="321"/>
      <c r="Y645" s="321"/>
      <c r="Z645" s="433"/>
      <c r="AA645" s="356"/>
      <c r="AB645" s="306" t="str">
        <f t="shared" si="116"/>
        <v/>
      </c>
      <c r="AC645" s="893">
        <f t="shared" si="117"/>
        <v>0</v>
      </c>
      <c r="AD645" s="322"/>
      <c r="AE645" s="1"/>
      <c r="AF645" s="223">
        <f>IF(ISBLANK(AD645),0,COUNTIF(AF$4:AF644,"&gt;0")+1)</f>
        <v>0</v>
      </c>
      <c r="AG645" s="164">
        <f t="shared" si="113"/>
        <v>0</v>
      </c>
      <c r="AH645" s="99">
        <f t="shared" si="118"/>
        <v>0</v>
      </c>
      <c r="AI645" s="99">
        <f t="shared" si="114"/>
        <v>0</v>
      </c>
      <c r="AJ645" s="170">
        <f t="shared" si="115"/>
        <v>0</v>
      </c>
      <c r="AK645" s="204">
        <f t="shared" si="119"/>
        <v>0</v>
      </c>
      <c r="AL645" s="1049">
        <f>IF(ISERROR(AO645),0,IF(AND(AN645&gt;=$U$1,AN645&lt;=$U$2),IF(AO645='ESTRATTO CONTO'!$E$2,1+COUNTIF(AL$4:AL644,"&gt;0")+U$1009,0),0))</f>
        <v>0</v>
      </c>
      <c r="AM645" s="747">
        <f t="shared" si="112"/>
        <v>642</v>
      </c>
      <c r="AN645" s="164" t="e">
        <f>VLOOKUP($AM645,PATRIMONIALE!$AV697:AW$1003,2,FALSE)</f>
        <v>#N/A</v>
      </c>
      <c r="AO645" s="310" t="e">
        <f>VLOOKUP($AM645,PATRIMONIALE!$AV697:AX$1003,3,FALSE)</f>
        <v>#N/A</v>
      </c>
      <c r="AP645" s="310" t="e">
        <f>VLOOKUP($AM645,PATRIMONIALE!$AV697:AY$1003,4,FALSE)</f>
        <v>#N/A</v>
      </c>
      <c r="AQ645" s="748" t="e">
        <f>VLOOKUP($AM645,PATRIMONIALE!$AV697:AZ$1003,5,FALSE)</f>
        <v>#N/A</v>
      </c>
      <c r="AR645" s="1"/>
      <c r="AS645" s="461" t="str">
        <f t="shared" si="120"/>
        <v/>
      </c>
      <c r="AT645" s="370"/>
    </row>
    <row r="646" spans="1:46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435">
        <f>IF(AND(W646&gt;=$U$1,W646&lt;=$U$2),IF(X646='ESTRATTO CONTO'!$E$2,1+COUNTIF(U$4:U645,"&gt;0"),0),0)</f>
        <v>0</v>
      </c>
      <c r="V646" s="417">
        <f t="shared" ref="V646:V709" si="121">V645+1</f>
        <v>643</v>
      </c>
      <c r="W646" s="509"/>
      <c r="X646" s="321"/>
      <c r="Y646" s="321"/>
      <c r="Z646" s="433"/>
      <c r="AA646" s="356"/>
      <c r="AB646" s="306" t="str">
        <f t="shared" si="116"/>
        <v/>
      </c>
      <c r="AC646" s="893">
        <f t="shared" si="117"/>
        <v>0</v>
      </c>
      <c r="AD646" s="322"/>
      <c r="AE646" s="1"/>
      <c r="AF646" s="223">
        <f>IF(ISBLANK(AD646),0,COUNTIF(AF$4:AF645,"&gt;0")+1)</f>
        <v>0</v>
      </c>
      <c r="AG646" s="164">
        <f t="shared" si="113"/>
        <v>0</v>
      </c>
      <c r="AH646" s="99">
        <f t="shared" si="118"/>
        <v>0</v>
      </c>
      <c r="AI646" s="99">
        <f t="shared" si="114"/>
        <v>0</v>
      </c>
      <c r="AJ646" s="170">
        <f t="shared" si="115"/>
        <v>0</v>
      </c>
      <c r="AK646" s="204">
        <f t="shared" si="119"/>
        <v>0</v>
      </c>
      <c r="AL646" s="1049">
        <f>IF(ISERROR(AO646),0,IF(AND(AN646&gt;=$U$1,AN646&lt;=$U$2),IF(AO646='ESTRATTO CONTO'!$E$2,1+COUNTIF(AL$4:AL645,"&gt;0")+U$1009,0),0))</f>
        <v>0</v>
      </c>
      <c r="AM646" s="747">
        <f t="shared" ref="AM646:AM709" si="122">AM645+1</f>
        <v>643</v>
      </c>
      <c r="AN646" s="164" t="e">
        <f>VLOOKUP($AM646,PATRIMONIALE!$AV698:AW$1003,2,FALSE)</f>
        <v>#N/A</v>
      </c>
      <c r="AO646" s="310" t="e">
        <f>VLOOKUP($AM646,PATRIMONIALE!$AV698:AX$1003,3,FALSE)</f>
        <v>#N/A</v>
      </c>
      <c r="AP646" s="310" t="e">
        <f>VLOOKUP($AM646,PATRIMONIALE!$AV698:AY$1003,4,FALSE)</f>
        <v>#N/A</v>
      </c>
      <c r="AQ646" s="748" t="e">
        <f>VLOOKUP($AM646,PATRIMONIALE!$AV698:AZ$1003,5,FALSE)</f>
        <v>#N/A</v>
      </c>
      <c r="AR646" s="1"/>
      <c r="AS646" s="461" t="str">
        <f t="shared" si="120"/>
        <v/>
      </c>
      <c r="AT646" s="370"/>
    </row>
    <row r="647" spans="1:46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435">
        <f>IF(AND(W647&gt;=$U$1,W647&lt;=$U$2),IF(X647='ESTRATTO CONTO'!$E$2,1+COUNTIF(U$4:U646,"&gt;0"),0),0)</f>
        <v>0</v>
      </c>
      <c r="V647" s="417">
        <f t="shared" si="121"/>
        <v>644</v>
      </c>
      <c r="W647" s="509"/>
      <c r="X647" s="321"/>
      <c r="Y647" s="321"/>
      <c r="Z647" s="433"/>
      <c r="AA647" s="356"/>
      <c r="AB647" s="306" t="str">
        <f t="shared" si="116"/>
        <v/>
      </c>
      <c r="AC647" s="893">
        <f t="shared" si="117"/>
        <v>0</v>
      </c>
      <c r="AD647" s="322"/>
      <c r="AE647" s="1"/>
      <c r="AF647" s="223">
        <f>IF(ISBLANK(AD647),0,COUNTIF(AF$4:AF646,"&gt;0")+1)</f>
        <v>0</v>
      </c>
      <c r="AG647" s="164">
        <f t="shared" si="113"/>
        <v>0</v>
      </c>
      <c r="AH647" s="99">
        <f t="shared" si="118"/>
        <v>0</v>
      </c>
      <c r="AI647" s="99">
        <f t="shared" si="114"/>
        <v>0</v>
      </c>
      <c r="AJ647" s="170">
        <f t="shared" si="115"/>
        <v>0</v>
      </c>
      <c r="AK647" s="204">
        <f t="shared" si="119"/>
        <v>0</v>
      </c>
      <c r="AL647" s="1049">
        <f>IF(ISERROR(AO647),0,IF(AND(AN647&gt;=$U$1,AN647&lt;=$U$2),IF(AO647='ESTRATTO CONTO'!$E$2,1+COUNTIF(AL$4:AL646,"&gt;0")+U$1009,0),0))</f>
        <v>0</v>
      </c>
      <c r="AM647" s="747">
        <f t="shared" si="122"/>
        <v>644</v>
      </c>
      <c r="AN647" s="164" t="e">
        <f>VLOOKUP($AM647,PATRIMONIALE!$AV699:AW$1003,2,FALSE)</f>
        <v>#N/A</v>
      </c>
      <c r="AO647" s="310" t="e">
        <f>VLOOKUP($AM647,PATRIMONIALE!$AV699:AX$1003,3,FALSE)</f>
        <v>#N/A</v>
      </c>
      <c r="AP647" s="310" t="e">
        <f>VLOOKUP($AM647,PATRIMONIALE!$AV699:AY$1003,4,FALSE)</f>
        <v>#N/A</v>
      </c>
      <c r="AQ647" s="748" t="e">
        <f>VLOOKUP($AM647,PATRIMONIALE!$AV699:AZ$1003,5,FALSE)</f>
        <v>#N/A</v>
      </c>
      <c r="AR647" s="1"/>
      <c r="AS647" s="461" t="str">
        <f t="shared" si="120"/>
        <v/>
      </c>
      <c r="AT647" s="370"/>
    </row>
    <row r="648" spans="1:46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435">
        <f>IF(AND(W648&gt;=$U$1,W648&lt;=$U$2),IF(X648='ESTRATTO CONTO'!$E$2,1+COUNTIF(U$4:U647,"&gt;0"),0),0)</f>
        <v>0</v>
      </c>
      <c r="V648" s="417">
        <f t="shared" si="121"/>
        <v>645</v>
      </c>
      <c r="W648" s="509"/>
      <c r="X648" s="321"/>
      <c r="Y648" s="321"/>
      <c r="Z648" s="433"/>
      <c r="AA648" s="356"/>
      <c r="AB648" s="306" t="str">
        <f t="shared" si="116"/>
        <v/>
      </c>
      <c r="AC648" s="893">
        <f t="shared" si="117"/>
        <v>0</v>
      </c>
      <c r="AD648" s="322"/>
      <c r="AE648" s="1"/>
      <c r="AF648" s="223">
        <f>IF(ISBLANK(AD648),0,COUNTIF(AF$4:AF647,"&gt;0")+1)</f>
        <v>0</v>
      </c>
      <c r="AG648" s="164">
        <f t="shared" si="113"/>
        <v>0</v>
      </c>
      <c r="AH648" s="99">
        <f t="shared" si="118"/>
        <v>0</v>
      </c>
      <c r="AI648" s="99">
        <f t="shared" si="114"/>
        <v>0</v>
      </c>
      <c r="AJ648" s="170">
        <f t="shared" si="115"/>
        <v>0</v>
      </c>
      <c r="AK648" s="204">
        <f t="shared" si="119"/>
        <v>0</v>
      </c>
      <c r="AL648" s="1049">
        <f>IF(ISERROR(AO648),0,IF(AND(AN648&gt;=$U$1,AN648&lt;=$U$2),IF(AO648='ESTRATTO CONTO'!$E$2,1+COUNTIF(AL$4:AL647,"&gt;0")+U$1009,0),0))</f>
        <v>0</v>
      </c>
      <c r="AM648" s="747">
        <f t="shared" si="122"/>
        <v>645</v>
      </c>
      <c r="AN648" s="164" t="e">
        <f>VLOOKUP($AM648,PATRIMONIALE!$AV700:AW$1003,2,FALSE)</f>
        <v>#N/A</v>
      </c>
      <c r="AO648" s="310" t="e">
        <f>VLOOKUP($AM648,PATRIMONIALE!$AV700:AX$1003,3,FALSE)</f>
        <v>#N/A</v>
      </c>
      <c r="AP648" s="310" t="e">
        <f>VLOOKUP($AM648,PATRIMONIALE!$AV700:AY$1003,4,FALSE)</f>
        <v>#N/A</v>
      </c>
      <c r="AQ648" s="748" t="e">
        <f>VLOOKUP($AM648,PATRIMONIALE!$AV700:AZ$1003,5,FALSE)</f>
        <v>#N/A</v>
      </c>
      <c r="AR648" s="1"/>
      <c r="AS648" s="461" t="str">
        <f t="shared" si="120"/>
        <v/>
      </c>
      <c r="AT648" s="370"/>
    </row>
    <row r="649" spans="1:46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435">
        <f>IF(AND(W649&gt;=$U$1,W649&lt;=$U$2),IF(X649='ESTRATTO CONTO'!$E$2,1+COUNTIF(U$4:U648,"&gt;0"),0),0)</f>
        <v>0</v>
      </c>
      <c r="V649" s="417">
        <f t="shared" si="121"/>
        <v>646</v>
      </c>
      <c r="W649" s="509"/>
      <c r="X649" s="321"/>
      <c r="Y649" s="321"/>
      <c r="Z649" s="433"/>
      <c r="AA649" s="356"/>
      <c r="AB649" s="306" t="str">
        <f t="shared" si="116"/>
        <v/>
      </c>
      <c r="AC649" s="893">
        <f t="shared" si="117"/>
        <v>0</v>
      </c>
      <c r="AD649" s="322"/>
      <c r="AE649" s="1"/>
      <c r="AF649" s="223">
        <f>IF(ISBLANK(AD649),0,COUNTIF(AF$4:AF648,"&gt;0")+1)</f>
        <v>0</v>
      </c>
      <c r="AG649" s="164">
        <f t="shared" si="113"/>
        <v>0</v>
      </c>
      <c r="AH649" s="99">
        <f t="shared" si="118"/>
        <v>0</v>
      </c>
      <c r="AI649" s="99">
        <f t="shared" si="114"/>
        <v>0</v>
      </c>
      <c r="AJ649" s="170">
        <f t="shared" si="115"/>
        <v>0</v>
      </c>
      <c r="AK649" s="204">
        <f t="shared" si="119"/>
        <v>0</v>
      </c>
      <c r="AL649" s="1049">
        <f>IF(ISERROR(AO649),0,IF(AND(AN649&gt;=$U$1,AN649&lt;=$U$2),IF(AO649='ESTRATTO CONTO'!$E$2,1+COUNTIF(AL$4:AL648,"&gt;0")+U$1009,0),0))</f>
        <v>0</v>
      </c>
      <c r="AM649" s="747">
        <f t="shared" si="122"/>
        <v>646</v>
      </c>
      <c r="AN649" s="164" t="e">
        <f>VLOOKUP($AM649,PATRIMONIALE!$AV701:AW$1003,2,FALSE)</f>
        <v>#N/A</v>
      </c>
      <c r="AO649" s="310" t="e">
        <f>VLOOKUP($AM649,PATRIMONIALE!$AV701:AX$1003,3,FALSE)</f>
        <v>#N/A</v>
      </c>
      <c r="AP649" s="310" t="e">
        <f>VLOOKUP($AM649,PATRIMONIALE!$AV701:AY$1003,4,FALSE)</f>
        <v>#N/A</v>
      </c>
      <c r="AQ649" s="748" t="e">
        <f>VLOOKUP($AM649,PATRIMONIALE!$AV701:AZ$1003,5,FALSE)</f>
        <v>#N/A</v>
      </c>
      <c r="AR649" s="1"/>
      <c r="AS649" s="461" t="str">
        <f t="shared" si="120"/>
        <v/>
      </c>
      <c r="AT649" s="370"/>
    </row>
    <row r="650" spans="1:46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435">
        <f>IF(AND(W650&gt;=$U$1,W650&lt;=$U$2),IF(X650='ESTRATTO CONTO'!$E$2,1+COUNTIF(U$4:U649,"&gt;0"),0),0)</f>
        <v>0</v>
      </c>
      <c r="V650" s="417">
        <f t="shared" si="121"/>
        <v>647</v>
      </c>
      <c r="W650" s="509"/>
      <c r="X650" s="321"/>
      <c r="Y650" s="321"/>
      <c r="Z650" s="433"/>
      <c r="AA650" s="356"/>
      <c r="AB650" s="306" t="str">
        <f t="shared" si="116"/>
        <v/>
      </c>
      <c r="AC650" s="893">
        <f t="shared" si="117"/>
        <v>0</v>
      </c>
      <c r="AD650" s="322"/>
      <c r="AE650" s="1"/>
      <c r="AF650" s="223">
        <f>IF(ISBLANK(AD650),0,COUNTIF(AF$4:AF649,"&gt;0")+1)</f>
        <v>0</v>
      </c>
      <c r="AG650" s="164">
        <f t="shared" ref="AG650:AG713" si="123">IF($AF650=0,0,W650)</f>
        <v>0</v>
      </c>
      <c r="AH650" s="99">
        <f t="shared" si="118"/>
        <v>0</v>
      </c>
      <c r="AI650" s="99">
        <f t="shared" ref="AI650:AI713" si="124">IF($AF650=0,0,Y650)</f>
        <v>0</v>
      </c>
      <c r="AJ650" s="170">
        <f t="shared" ref="AJ650:AJ713" si="125">IF($AF650=0,0,IF(RIGHT(AD650)="-",IF(Z650&gt;0,Z650*-1,Z650),Z650))</f>
        <v>0</v>
      </c>
      <c r="AK650" s="204">
        <f t="shared" si="119"/>
        <v>0</v>
      </c>
      <c r="AL650" s="1049">
        <f>IF(ISERROR(AO650),0,IF(AND(AN650&gt;=$U$1,AN650&lt;=$U$2),IF(AO650='ESTRATTO CONTO'!$E$2,1+COUNTIF(AL$4:AL649,"&gt;0")+U$1009,0),0))</f>
        <v>0</v>
      </c>
      <c r="AM650" s="747">
        <f t="shared" si="122"/>
        <v>647</v>
      </c>
      <c r="AN650" s="164" t="e">
        <f>VLOOKUP($AM650,PATRIMONIALE!$AV702:AW$1003,2,FALSE)</f>
        <v>#N/A</v>
      </c>
      <c r="AO650" s="310" t="e">
        <f>VLOOKUP($AM650,PATRIMONIALE!$AV702:AX$1003,3,FALSE)</f>
        <v>#N/A</v>
      </c>
      <c r="AP650" s="310" t="e">
        <f>VLOOKUP($AM650,PATRIMONIALE!$AV702:AY$1003,4,FALSE)</f>
        <v>#N/A</v>
      </c>
      <c r="AQ650" s="748" t="e">
        <f>VLOOKUP($AM650,PATRIMONIALE!$AV702:AZ$1003,5,FALSE)</f>
        <v>#N/A</v>
      </c>
      <c r="AR650" s="1"/>
      <c r="AS650" s="461" t="str">
        <f t="shared" si="120"/>
        <v/>
      </c>
      <c r="AT650" s="370"/>
    </row>
    <row r="651" spans="1:46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435">
        <f>IF(AND(W651&gt;=$U$1,W651&lt;=$U$2),IF(X651='ESTRATTO CONTO'!$E$2,1+COUNTIF(U$4:U650,"&gt;0"),0),0)</f>
        <v>0</v>
      </c>
      <c r="V651" s="417">
        <f t="shared" si="121"/>
        <v>648</v>
      </c>
      <c r="W651" s="509"/>
      <c r="X651" s="321"/>
      <c r="Y651" s="321"/>
      <c r="Z651" s="433"/>
      <c r="AA651" s="356"/>
      <c r="AB651" s="306" t="str">
        <f t="shared" si="116"/>
        <v/>
      </c>
      <c r="AC651" s="893">
        <f t="shared" si="117"/>
        <v>0</v>
      </c>
      <c r="AD651" s="322"/>
      <c r="AE651" s="1"/>
      <c r="AF651" s="223">
        <f>IF(ISBLANK(AD651),0,COUNTIF(AF$4:AF650,"&gt;0")+1)</f>
        <v>0</v>
      </c>
      <c r="AG651" s="164">
        <f t="shared" si="123"/>
        <v>0</v>
      </c>
      <c r="AH651" s="99">
        <f t="shared" si="118"/>
        <v>0</v>
      </c>
      <c r="AI651" s="99">
        <f t="shared" si="124"/>
        <v>0</v>
      </c>
      <c r="AJ651" s="170">
        <f t="shared" si="125"/>
        <v>0</v>
      </c>
      <c r="AK651" s="204">
        <f t="shared" si="119"/>
        <v>0</v>
      </c>
      <c r="AL651" s="1049">
        <f>IF(ISERROR(AO651),0,IF(AND(AN651&gt;=$U$1,AN651&lt;=$U$2),IF(AO651='ESTRATTO CONTO'!$E$2,1+COUNTIF(AL$4:AL650,"&gt;0")+U$1009,0),0))</f>
        <v>0</v>
      </c>
      <c r="AM651" s="747">
        <f t="shared" si="122"/>
        <v>648</v>
      </c>
      <c r="AN651" s="164" t="e">
        <f>VLOOKUP($AM651,PATRIMONIALE!$AV703:AW$1003,2,FALSE)</f>
        <v>#N/A</v>
      </c>
      <c r="AO651" s="310" t="e">
        <f>VLOOKUP($AM651,PATRIMONIALE!$AV703:AX$1003,3,FALSE)</f>
        <v>#N/A</v>
      </c>
      <c r="AP651" s="310" t="e">
        <f>VLOOKUP($AM651,PATRIMONIALE!$AV703:AY$1003,4,FALSE)</f>
        <v>#N/A</v>
      </c>
      <c r="AQ651" s="748" t="e">
        <f>VLOOKUP($AM651,PATRIMONIALE!$AV703:AZ$1003,5,FALSE)</f>
        <v>#N/A</v>
      </c>
      <c r="AR651" s="1"/>
      <c r="AS651" s="461" t="str">
        <f t="shared" si="120"/>
        <v/>
      </c>
      <c r="AT651" s="370"/>
    </row>
    <row r="652" spans="1:46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435">
        <f>IF(AND(W652&gt;=$U$1,W652&lt;=$U$2),IF(X652='ESTRATTO CONTO'!$E$2,1+COUNTIF(U$4:U651,"&gt;0"),0),0)</f>
        <v>0</v>
      </c>
      <c r="V652" s="417">
        <f t="shared" si="121"/>
        <v>649</v>
      </c>
      <c r="W652" s="509"/>
      <c r="X652" s="321"/>
      <c r="Y652" s="321"/>
      <c r="Z652" s="433"/>
      <c r="AA652" s="356"/>
      <c r="AB652" s="306" t="str">
        <f t="shared" si="116"/>
        <v/>
      </c>
      <c r="AC652" s="893">
        <f t="shared" si="117"/>
        <v>0</v>
      </c>
      <c r="AD652" s="322"/>
      <c r="AE652" s="1"/>
      <c r="AF652" s="223">
        <f>IF(ISBLANK(AD652),0,COUNTIF(AF$4:AF651,"&gt;0")+1)</f>
        <v>0</v>
      </c>
      <c r="AG652" s="164">
        <f t="shared" si="123"/>
        <v>0</v>
      </c>
      <c r="AH652" s="99">
        <f t="shared" si="118"/>
        <v>0</v>
      </c>
      <c r="AI652" s="99">
        <f t="shared" si="124"/>
        <v>0</v>
      </c>
      <c r="AJ652" s="170">
        <f t="shared" si="125"/>
        <v>0</v>
      </c>
      <c r="AK652" s="204">
        <f t="shared" si="119"/>
        <v>0</v>
      </c>
      <c r="AL652" s="1049">
        <f>IF(ISERROR(AO652),0,IF(AND(AN652&gt;=$U$1,AN652&lt;=$U$2),IF(AO652='ESTRATTO CONTO'!$E$2,1+COUNTIF(AL$4:AL651,"&gt;0")+U$1009,0),0))</f>
        <v>0</v>
      </c>
      <c r="AM652" s="747">
        <f t="shared" si="122"/>
        <v>649</v>
      </c>
      <c r="AN652" s="164" t="e">
        <f>VLOOKUP($AM652,PATRIMONIALE!$AV704:AW$1003,2,FALSE)</f>
        <v>#N/A</v>
      </c>
      <c r="AO652" s="310" t="e">
        <f>VLOOKUP($AM652,PATRIMONIALE!$AV704:AX$1003,3,FALSE)</f>
        <v>#N/A</v>
      </c>
      <c r="AP652" s="310" t="e">
        <f>VLOOKUP($AM652,PATRIMONIALE!$AV704:AY$1003,4,FALSE)</f>
        <v>#N/A</v>
      </c>
      <c r="AQ652" s="748" t="e">
        <f>VLOOKUP($AM652,PATRIMONIALE!$AV704:AZ$1003,5,FALSE)</f>
        <v>#N/A</v>
      </c>
      <c r="AR652" s="1"/>
      <c r="AS652" s="461" t="str">
        <f t="shared" si="120"/>
        <v/>
      </c>
      <c r="AT652" s="370"/>
    </row>
    <row r="653" spans="1:46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435">
        <f>IF(AND(W653&gt;=$U$1,W653&lt;=$U$2),IF(X653='ESTRATTO CONTO'!$E$2,1+COUNTIF(U$4:U652,"&gt;0"),0),0)</f>
        <v>0</v>
      </c>
      <c r="V653" s="417">
        <f t="shared" si="121"/>
        <v>650</v>
      </c>
      <c r="W653" s="509"/>
      <c r="X653" s="321"/>
      <c r="Y653" s="321"/>
      <c r="Z653" s="433"/>
      <c r="AA653" s="356"/>
      <c r="AB653" s="306" t="str">
        <f t="shared" si="116"/>
        <v/>
      </c>
      <c r="AC653" s="893">
        <f t="shared" si="117"/>
        <v>0</v>
      </c>
      <c r="AD653" s="322"/>
      <c r="AE653" s="1"/>
      <c r="AF653" s="223">
        <f>IF(ISBLANK(AD653),0,COUNTIF(AF$4:AF652,"&gt;0")+1)</f>
        <v>0</v>
      </c>
      <c r="AG653" s="164">
        <f t="shared" si="123"/>
        <v>0</v>
      </c>
      <c r="AH653" s="99">
        <f t="shared" si="118"/>
        <v>0</v>
      </c>
      <c r="AI653" s="99">
        <f t="shared" si="124"/>
        <v>0</v>
      </c>
      <c r="AJ653" s="170">
        <f t="shared" si="125"/>
        <v>0</v>
      </c>
      <c r="AK653" s="204">
        <f t="shared" si="119"/>
        <v>0</v>
      </c>
      <c r="AL653" s="1049">
        <f>IF(ISERROR(AO653),0,IF(AND(AN653&gt;=$U$1,AN653&lt;=$U$2),IF(AO653='ESTRATTO CONTO'!$E$2,1+COUNTIF(AL$4:AL652,"&gt;0")+U$1009,0),0))</f>
        <v>0</v>
      </c>
      <c r="AM653" s="747">
        <f t="shared" si="122"/>
        <v>650</v>
      </c>
      <c r="AN653" s="164" t="e">
        <f>VLOOKUP($AM653,PATRIMONIALE!$AV705:AW$1003,2,FALSE)</f>
        <v>#N/A</v>
      </c>
      <c r="AO653" s="310" t="e">
        <f>VLOOKUP($AM653,PATRIMONIALE!$AV705:AX$1003,3,FALSE)</f>
        <v>#N/A</v>
      </c>
      <c r="AP653" s="310" t="e">
        <f>VLOOKUP($AM653,PATRIMONIALE!$AV705:AY$1003,4,FALSE)</f>
        <v>#N/A</v>
      </c>
      <c r="AQ653" s="748" t="e">
        <f>VLOOKUP($AM653,PATRIMONIALE!$AV705:AZ$1003,5,FALSE)</f>
        <v>#N/A</v>
      </c>
      <c r="AR653" s="1"/>
      <c r="AS653" s="461" t="str">
        <f t="shared" si="120"/>
        <v/>
      </c>
      <c r="AT653" s="370"/>
    </row>
    <row r="654" spans="1:46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435">
        <f>IF(AND(W654&gt;=$U$1,W654&lt;=$U$2),IF(X654='ESTRATTO CONTO'!$E$2,1+COUNTIF(U$4:U653,"&gt;0"),0),0)</f>
        <v>0</v>
      </c>
      <c r="V654" s="417">
        <f t="shared" si="121"/>
        <v>651</v>
      </c>
      <c r="W654" s="509"/>
      <c r="X654" s="321"/>
      <c r="Y654" s="321"/>
      <c r="Z654" s="433"/>
      <c r="AA654" s="356"/>
      <c r="AB654" s="306" t="str">
        <f t="shared" si="116"/>
        <v/>
      </c>
      <c r="AC654" s="893">
        <f t="shared" si="117"/>
        <v>0</v>
      </c>
      <c r="AD654" s="322"/>
      <c r="AE654" s="1"/>
      <c r="AF654" s="223">
        <f>IF(ISBLANK(AD654),0,COUNTIF(AF$4:AF653,"&gt;0")+1)</f>
        <v>0</v>
      </c>
      <c r="AG654" s="164">
        <f t="shared" si="123"/>
        <v>0</v>
      </c>
      <c r="AH654" s="99">
        <f t="shared" si="118"/>
        <v>0</v>
      </c>
      <c r="AI654" s="99">
        <f t="shared" si="124"/>
        <v>0</v>
      </c>
      <c r="AJ654" s="170">
        <f t="shared" si="125"/>
        <v>0</v>
      </c>
      <c r="AK654" s="204">
        <f t="shared" si="119"/>
        <v>0</v>
      </c>
      <c r="AL654" s="1049">
        <f>IF(ISERROR(AO654),0,IF(AND(AN654&gt;=$U$1,AN654&lt;=$U$2),IF(AO654='ESTRATTO CONTO'!$E$2,1+COUNTIF(AL$4:AL653,"&gt;0")+U$1009,0),0))</f>
        <v>0</v>
      </c>
      <c r="AM654" s="747">
        <f t="shared" si="122"/>
        <v>651</v>
      </c>
      <c r="AN654" s="164" t="e">
        <f>VLOOKUP($AM654,PATRIMONIALE!$AV706:AW$1003,2,FALSE)</f>
        <v>#N/A</v>
      </c>
      <c r="AO654" s="310" t="e">
        <f>VLOOKUP($AM654,PATRIMONIALE!$AV706:AX$1003,3,FALSE)</f>
        <v>#N/A</v>
      </c>
      <c r="AP654" s="310" t="e">
        <f>VLOOKUP($AM654,PATRIMONIALE!$AV706:AY$1003,4,FALSE)</f>
        <v>#N/A</v>
      </c>
      <c r="AQ654" s="748" t="e">
        <f>VLOOKUP($AM654,PATRIMONIALE!$AV706:AZ$1003,5,FALSE)</f>
        <v>#N/A</v>
      </c>
      <c r="AR654" s="1"/>
      <c r="AS654" s="461" t="str">
        <f t="shared" si="120"/>
        <v/>
      </c>
      <c r="AT654" s="370"/>
    </row>
    <row r="655" spans="1:46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435">
        <f>IF(AND(W655&gt;=$U$1,W655&lt;=$U$2),IF(X655='ESTRATTO CONTO'!$E$2,1+COUNTIF(U$4:U654,"&gt;0"),0),0)</f>
        <v>0</v>
      </c>
      <c r="V655" s="417">
        <f t="shared" si="121"/>
        <v>652</v>
      </c>
      <c r="W655" s="509"/>
      <c r="X655" s="321"/>
      <c r="Y655" s="321"/>
      <c r="Z655" s="433"/>
      <c r="AA655" s="356"/>
      <c r="AB655" s="306" t="str">
        <f t="shared" si="116"/>
        <v/>
      </c>
      <c r="AC655" s="893">
        <f t="shared" si="117"/>
        <v>0</v>
      </c>
      <c r="AD655" s="322"/>
      <c r="AE655" s="1"/>
      <c r="AF655" s="223">
        <f>IF(ISBLANK(AD655),0,COUNTIF(AF$4:AF654,"&gt;0")+1)</f>
        <v>0</v>
      </c>
      <c r="AG655" s="164">
        <f t="shared" si="123"/>
        <v>0</v>
      </c>
      <c r="AH655" s="99">
        <f t="shared" si="118"/>
        <v>0</v>
      </c>
      <c r="AI655" s="99">
        <f t="shared" si="124"/>
        <v>0</v>
      </c>
      <c r="AJ655" s="170">
        <f t="shared" si="125"/>
        <v>0</v>
      </c>
      <c r="AK655" s="204">
        <f t="shared" si="119"/>
        <v>0</v>
      </c>
      <c r="AL655" s="1049">
        <f>IF(ISERROR(AO655),0,IF(AND(AN655&gt;=$U$1,AN655&lt;=$U$2),IF(AO655='ESTRATTO CONTO'!$E$2,1+COUNTIF(AL$4:AL654,"&gt;0")+U$1009,0),0))</f>
        <v>0</v>
      </c>
      <c r="AM655" s="747">
        <f t="shared" si="122"/>
        <v>652</v>
      </c>
      <c r="AN655" s="164" t="e">
        <f>VLOOKUP($AM655,PATRIMONIALE!$AV707:AW$1003,2,FALSE)</f>
        <v>#N/A</v>
      </c>
      <c r="AO655" s="310" t="e">
        <f>VLOOKUP($AM655,PATRIMONIALE!$AV707:AX$1003,3,FALSE)</f>
        <v>#N/A</v>
      </c>
      <c r="AP655" s="310" t="e">
        <f>VLOOKUP($AM655,PATRIMONIALE!$AV707:AY$1003,4,FALSE)</f>
        <v>#N/A</v>
      </c>
      <c r="AQ655" s="748" t="e">
        <f>VLOOKUP($AM655,PATRIMONIALE!$AV707:AZ$1003,5,FALSE)</f>
        <v>#N/A</v>
      </c>
      <c r="AR655" s="1"/>
      <c r="AS655" s="461" t="str">
        <f t="shared" si="120"/>
        <v/>
      </c>
      <c r="AT655" s="370"/>
    </row>
    <row r="656" spans="1:46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435">
        <f>IF(AND(W656&gt;=$U$1,W656&lt;=$U$2),IF(X656='ESTRATTO CONTO'!$E$2,1+COUNTIF(U$4:U655,"&gt;0"),0),0)</f>
        <v>0</v>
      </c>
      <c r="V656" s="417">
        <f t="shared" si="121"/>
        <v>653</v>
      </c>
      <c r="W656" s="509"/>
      <c r="X656" s="321"/>
      <c r="Y656" s="321"/>
      <c r="Z656" s="433"/>
      <c r="AA656" s="356"/>
      <c r="AB656" s="306" t="str">
        <f t="shared" si="116"/>
        <v/>
      </c>
      <c r="AC656" s="893">
        <f t="shared" si="117"/>
        <v>0</v>
      </c>
      <c r="AD656" s="322"/>
      <c r="AE656" s="1"/>
      <c r="AF656" s="223">
        <f>IF(ISBLANK(AD656),0,COUNTIF(AF$4:AF655,"&gt;0")+1)</f>
        <v>0</v>
      </c>
      <c r="AG656" s="164">
        <f t="shared" si="123"/>
        <v>0</v>
      </c>
      <c r="AH656" s="99">
        <f t="shared" si="118"/>
        <v>0</v>
      </c>
      <c r="AI656" s="99">
        <f t="shared" si="124"/>
        <v>0</v>
      </c>
      <c r="AJ656" s="170">
        <f t="shared" si="125"/>
        <v>0</v>
      </c>
      <c r="AK656" s="204">
        <f t="shared" si="119"/>
        <v>0</v>
      </c>
      <c r="AL656" s="1049">
        <f>IF(ISERROR(AO656),0,IF(AND(AN656&gt;=$U$1,AN656&lt;=$U$2),IF(AO656='ESTRATTO CONTO'!$E$2,1+COUNTIF(AL$4:AL655,"&gt;0")+U$1009,0),0))</f>
        <v>0</v>
      </c>
      <c r="AM656" s="747">
        <f t="shared" si="122"/>
        <v>653</v>
      </c>
      <c r="AN656" s="164" t="e">
        <f>VLOOKUP($AM656,PATRIMONIALE!$AV708:AW$1003,2,FALSE)</f>
        <v>#N/A</v>
      </c>
      <c r="AO656" s="310" t="e">
        <f>VLOOKUP($AM656,PATRIMONIALE!$AV708:AX$1003,3,FALSE)</f>
        <v>#N/A</v>
      </c>
      <c r="AP656" s="310" t="e">
        <f>VLOOKUP($AM656,PATRIMONIALE!$AV708:AY$1003,4,FALSE)</f>
        <v>#N/A</v>
      </c>
      <c r="AQ656" s="748" t="e">
        <f>VLOOKUP($AM656,PATRIMONIALE!$AV708:AZ$1003,5,FALSE)</f>
        <v>#N/A</v>
      </c>
      <c r="AR656" s="1"/>
      <c r="AS656" s="461" t="str">
        <f t="shared" si="120"/>
        <v/>
      </c>
      <c r="AT656" s="370"/>
    </row>
    <row r="657" spans="1:46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435">
        <f>IF(AND(W657&gt;=$U$1,W657&lt;=$U$2),IF(X657='ESTRATTO CONTO'!$E$2,1+COUNTIF(U$4:U656,"&gt;0"),0),0)</f>
        <v>0</v>
      </c>
      <c r="V657" s="417">
        <f t="shared" si="121"/>
        <v>654</v>
      </c>
      <c r="W657" s="509"/>
      <c r="X657" s="321"/>
      <c r="Y657" s="321"/>
      <c r="Z657" s="433"/>
      <c r="AA657" s="356"/>
      <c r="AB657" s="306" t="str">
        <f t="shared" si="116"/>
        <v/>
      </c>
      <c r="AC657" s="893">
        <f t="shared" si="117"/>
        <v>0</v>
      </c>
      <c r="AD657" s="322"/>
      <c r="AE657" s="1"/>
      <c r="AF657" s="223">
        <f>IF(ISBLANK(AD657),0,COUNTIF(AF$4:AF656,"&gt;0")+1)</f>
        <v>0</v>
      </c>
      <c r="AG657" s="164">
        <f t="shared" si="123"/>
        <v>0</v>
      </c>
      <c r="AH657" s="99">
        <f t="shared" si="118"/>
        <v>0</v>
      </c>
      <c r="AI657" s="99">
        <f t="shared" si="124"/>
        <v>0</v>
      </c>
      <c r="AJ657" s="170">
        <f t="shared" si="125"/>
        <v>0</v>
      </c>
      <c r="AK657" s="204">
        <f t="shared" si="119"/>
        <v>0</v>
      </c>
      <c r="AL657" s="1049">
        <f>IF(ISERROR(AO657),0,IF(AND(AN657&gt;=$U$1,AN657&lt;=$U$2),IF(AO657='ESTRATTO CONTO'!$E$2,1+COUNTIF(AL$4:AL656,"&gt;0")+U$1009,0),0))</f>
        <v>0</v>
      </c>
      <c r="AM657" s="747">
        <f t="shared" si="122"/>
        <v>654</v>
      </c>
      <c r="AN657" s="164" t="e">
        <f>VLOOKUP($AM657,PATRIMONIALE!$AV709:AW$1003,2,FALSE)</f>
        <v>#N/A</v>
      </c>
      <c r="AO657" s="310" t="e">
        <f>VLOOKUP($AM657,PATRIMONIALE!$AV709:AX$1003,3,FALSE)</f>
        <v>#N/A</v>
      </c>
      <c r="AP657" s="310" t="e">
        <f>VLOOKUP($AM657,PATRIMONIALE!$AV709:AY$1003,4,FALSE)</f>
        <v>#N/A</v>
      </c>
      <c r="AQ657" s="748" t="e">
        <f>VLOOKUP($AM657,PATRIMONIALE!$AV709:AZ$1003,5,FALSE)</f>
        <v>#N/A</v>
      </c>
      <c r="AR657" s="1"/>
      <c r="AS657" s="461" t="str">
        <f t="shared" si="120"/>
        <v/>
      </c>
      <c r="AT657" s="370"/>
    </row>
    <row r="658" spans="1:46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435">
        <f>IF(AND(W658&gt;=$U$1,W658&lt;=$U$2),IF(X658='ESTRATTO CONTO'!$E$2,1+COUNTIF(U$4:U657,"&gt;0"),0),0)</f>
        <v>0</v>
      </c>
      <c r="V658" s="417">
        <f t="shared" si="121"/>
        <v>655</v>
      </c>
      <c r="W658" s="509"/>
      <c r="X658" s="321"/>
      <c r="Y658" s="321"/>
      <c r="Z658" s="433"/>
      <c r="AA658" s="356"/>
      <c r="AB658" s="306" t="str">
        <f t="shared" si="116"/>
        <v/>
      </c>
      <c r="AC658" s="893">
        <f t="shared" si="117"/>
        <v>0</v>
      </c>
      <c r="AD658" s="322"/>
      <c r="AE658" s="1"/>
      <c r="AF658" s="223">
        <f>IF(ISBLANK(AD658),0,COUNTIF(AF$4:AF657,"&gt;0")+1)</f>
        <v>0</v>
      </c>
      <c r="AG658" s="164">
        <f t="shared" si="123"/>
        <v>0</v>
      </c>
      <c r="AH658" s="99">
        <f t="shared" si="118"/>
        <v>0</v>
      </c>
      <c r="AI658" s="99">
        <f t="shared" si="124"/>
        <v>0</v>
      </c>
      <c r="AJ658" s="170">
        <f t="shared" si="125"/>
        <v>0</v>
      </c>
      <c r="AK658" s="204">
        <f t="shared" si="119"/>
        <v>0</v>
      </c>
      <c r="AL658" s="1049">
        <f>IF(ISERROR(AO658),0,IF(AND(AN658&gt;=$U$1,AN658&lt;=$U$2),IF(AO658='ESTRATTO CONTO'!$E$2,1+COUNTIF(AL$4:AL657,"&gt;0")+U$1009,0),0))</f>
        <v>0</v>
      </c>
      <c r="AM658" s="747">
        <f t="shared" si="122"/>
        <v>655</v>
      </c>
      <c r="AN658" s="164" t="e">
        <f>VLOOKUP($AM658,PATRIMONIALE!$AV710:AW$1003,2,FALSE)</f>
        <v>#N/A</v>
      </c>
      <c r="AO658" s="310" t="e">
        <f>VLOOKUP($AM658,PATRIMONIALE!$AV710:AX$1003,3,FALSE)</f>
        <v>#N/A</v>
      </c>
      <c r="AP658" s="310" t="e">
        <f>VLOOKUP($AM658,PATRIMONIALE!$AV710:AY$1003,4,FALSE)</f>
        <v>#N/A</v>
      </c>
      <c r="AQ658" s="748" t="e">
        <f>VLOOKUP($AM658,PATRIMONIALE!$AV710:AZ$1003,5,FALSE)</f>
        <v>#N/A</v>
      </c>
      <c r="AR658" s="1"/>
      <c r="AS658" s="461" t="str">
        <f t="shared" si="120"/>
        <v/>
      </c>
      <c r="AT658" s="370"/>
    </row>
    <row r="659" spans="1:46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435">
        <f>IF(AND(W659&gt;=$U$1,W659&lt;=$U$2),IF(X659='ESTRATTO CONTO'!$E$2,1+COUNTIF(U$4:U658,"&gt;0"),0),0)</f>
        <v>0</v>
      </c>
      <c r="V659" s="417">
        <f t="shared" si="121"/>
        <v>656</v>
      </c>
      <c r="W659" s="509"/>
      <c r="X659" s="321"/>
      <c r="Y659" s="321"/>
      <c r="Z659" s="433"/>
      <c r="AA659" s="356"/>
      <c r="AB659" s="306" t="str">
        <f t="shared" si="116"/>
        <v/>
      </c>
      <c r="AC659" s="893">
        <f t="shared" si="117"/>
        <v>0</v>
      </c>
      <c r="AD659" s="322"/>
      <c r="AE659" s="1"/>
      <c r="AF659" s="223">
        <f>IF(ISBLANK(AD659),0,COUNTIF(AF$4:AF658,"&gt;0")+1)</f>
        <v>0</v>
      </c>
      <c r="AG659" s="164">
        <f t="shared" si="123"/>
        <v>0</v>
      </c>
      <c r="AH659" s="99">
        <f t="shared" si="118"/>
        <v>0</v>
      </c>
      <c r="AI659" s="99">
        <f t="shared" si="124"/>
        <v>0</v>
      </c>
      <c r="AJ659" s="170">
        <f t="shared" si="125"/>
        <v>0</v>
      </c>
      <c r="AK659" s="204">
        <f t="shared" si="119"/>
        <v>0</v>
      </c>
      <c r="AL659" s="1049">
        <f>IF(ISERROR(AO659),0,IF(AND(AN659&gt;=$U$1,AN659&lt;=$U$2),IF(AO659='ESTRATTO CONTO'!$E$2,1+COUNTIF(AL$4:AL658,"&gt;0")+U$1009,0),0))</f>
        <v>0</v>
      </c>
      <c r="AM659" s="747">
        <f t="shared" si="122"/>
        <v>656</v>
      </c>
      <c r="AN659" s="164" t="e">
        <f>VLOOKUP($AM659,PATRIMONIALE!$AV711:AW$1003,2,FALSE)</f>
        <v>#N/A</v>
      </c>
      <c r="AO659" s="310" t="e">
        <f>VLOOKUP($AM659,PATRIMONIALE!$AV711:AX$1003,3,FALSE)</f>
        <v>#N/A</v>
      </c>
      <c r="AP659" s="310" t="e">
        <f>VLOOKUP($AM659,PATRIMONIALE!$AV711:AY$1003,4,FALSE)</f>
        <v>#N/A</v>
      </c>
      <c r="AQ659" s="748" t="e">
        <f>VLOOKUP($AM659,PATRIMONIALE!$AV711:AZ$1003,5,FALSE)</f>
        <v>#N/A</v>
      </c>
      <c r="AR659" s="1"/>
      <c r="AS659" s="461" t="str">
        <f t="shared" si="120"/>
        <v/>
      </c>
      <c r="AT659" s="370"/>
    </row>
    <row r="660" spans="1:46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435">
        <f>IF(AND(W660&gt;=$U$1,W660&lt;=$U$2),IF(X660='ESTRATTO CONTO'!$E$2,1+COUNTIF(U$4:U659,"&gt;0"),0),0)</f>
        <v>0</v>
      </c>
      <c r="V660" s="417">
        <f t="shared" si="121"/>
        <v>657</v>
      </c>
      <c r="W660" s="509"/>
      <c r="X660" s="321"/>
      <c r="Y660" s="321"/>
      <c r="Z660" s="433"/>
      <c r="AA660" s="356"/>
      <c r="AB660" s="306" t="str">
        <f t="shared" si="116"/>
        <v/>
      </c>
      <c r="AC660" s="893">
        <f t="shared" si="117"/>
        <v>0</v>
      </c>
      <c r="AD660" s="322"/>
      <c r="AE660" s="1"/>
      <c r="AF660" s="223">
        <f>IF(ISBLANK(AD660),0,COUNTIF(AF$4:AF659,"&gt;0")+1)</f>
        <v>0</v>
      </c>
      <c r="AG660" s="164">
        <f t="shared" si="123"/>
        <v>0</v>
      </c>
      <c r="AH660" s="99">
        <f t="shared" si="118"/>
        <v>0</v>
      </c>
      <c r="AI660" s="99">
        <f t="shared" si="124"/>
        <v>0</v>
      </c>
      <c r="AJ660" s="170">
        <f t="shared" si="125"/>
        <v>0</v>
      </c>
      <c r="AK660" s="204">
        <f t="shared" si="119"/>
        <v>0</v>
      </c>
      <c r="AL660" s="1049">
        <f>IF(ISERROR(AO660),0,IF(AND(AN660&gt;=$U$1,AN660&lt;=$U$2),IF(AO660='ESTRATTO CONTO'!$E$2,1+COUNTIF(AL$4:AL659,"&gt;0")+U$1009,0),0))</f>
        <v>0</v>
      </c>
      <c r="AM660" s="747">
        <f t="shared" si="122"/>
        <v>657</v>
      </c>
      <c r="AN660" s="164" t="e">
        <f>VLOOKUP($AM660,PATRIMONIALE!$AV712:AW$1003,2,FALSE)</f>
        <v>#N/A</v>
      </c>
      <c r="AO660" s="310" t="e">
        <f>VLOOKUP($AM660,PATRIMONIALE!$AV712:AX$1003,3,FALSE)</f>
        <v>#N/A</v>
      </c>
      <c r="AP660" s="310" t="e">
        <f>VLOOKUP($AM660,PATRIMONIALE!$AV712:AY$1003,4,FALSE)</f>
        <v>#N/A</v>
      </c>
      <c r="AQ660" s="748" t="e">
        <f>VLOOKUP($AM660,PATRIMONIALE!$AV712:AZ$1003,5,FALSE)</f>
        <v>#N/A</v>
      </c>
      <c r="AR660" s="1"/>
      <c r="AS660" s="461" t="str">
        <f t="shared" si="120"/>
        <v/>
      </c>
      <c r="AT660" s="370"/>
    </row>
    <row r="661" spans="1:46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435">
        <f>IF(AND(W661&gt;=$U$1,W661&lt;=$U$2),IF(X661='ESTRATTO CONTO'!$E$2,1+COUNTIF(U$4:U660,"&gt;0"),0),0)</f>
        <v>0</v>
      </c>
      <c r="V661" s="417">
        <f t="shared" si="121"/>
        <v>658</v>
      </c>
      <c r="W661" s="509"/>
      <c r="X661" s="321"/>
      <c r="Y661" s="321"/>
      <c r="Z661" s="433"/>
      <c r="AA661" s="356"/>
      <c r="AB661" s="306" t="str">
        <f t="shared" si="116"/>
        <v/>
      </c>
      <c r="AC661" s="893">
        <f t="shared" si="117"/>
        <v>0</v>
      </c>
      <c r="AD661" s="322"/>
      <c r="AE661" s="1"/>
      <c r="AF661" s="223">
        <f>IF(ISBLANK(AD661),0,COUNTIF(AF$4:AF660,"&gt;0")+1)</f>
        <v>0</v>
      </c>
      <c r="AG661" s="164">
        <f t="shared" si="123"/>
        <v>0</v>
      </c>
      <c r="AH661" s="99">
        <f t="shared" si="118"/>
        <v>0</v>
      </c>
      <c r="AI661" s="99">
        <f t="shared" si="124"/>
        <v>0</v>
      </c>
      <c r="AJ661" s="170">
        <f t="shared" si="125"/>
        <v>0</v>
      </c>
      <c r="AK661" s="204">
        <f t="shared" si="119"/>
        <v>0</v>
      </c>
      <c r="AL661" s="1049">
        <f>IF(ISERROR(AO661),0,IF(AND(AN661&gt;=$U$1,AN661&lt;=$U$2),IF(AO661='ESTRATTO CONTO'!$E$2,1+COUNTIF(AL$4:AL660,"&gt;0")+U$1009,0),0))</f>
        <v>0</v>
      </c>
      <c r="AM661" s="747">
        <f t="shared" si="122"/>
        <v>658</v>
      </c>
      <c r="AN661" s="164" t="e">
        <f>VLOOKUP($AM661,PATRIMONIALE!$AV713:AW$1003,2,FALSE)</f>
        <v>#N/A</v>
      </c>
      <c r="AO661" s="310" t="e">
        <f>VLOOKUP($AM661,PATRIMONIALE!$AV713:AX$1003,3,FALSE)</f>
        <v>#N/A</v>
      </c>
      <c r="AP661" s="310" t="e">
        <f>VLOOKUP($AM661,PATRIMONIALE!$AV713:AY$1003,4,FALSE)</f>
        <v>#N/A</v>
      </c>
      <c r="AQ661" s="748" t="e">
        <f>VLOOKUP($AM661,PATRIMONIALE!$AV713:AZ$1003,5,FALSE)</f>
        <v>#N/A</v>
      </c>
      <c r="AR661" s="1"/>
      <c r="AS661" s="461" t="str">
        <f t="shared" si="120"/>
        <v/>
      </c>
      <c r="AT661" s="370"/>
    </row>
    <row r="662" spans="1:46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435">
        <f>IF(AND(W662&gt;=$U$1,W662&lt;=$U$2),IF(X662='ESTRATTO CONTO'!$E$2,1+COUNTIF(U$4:U661,"&gt;0"),0),0)</f>
        <v>0</v>
      </c>
      <c r="V662" s="417">
        <f t="shared" si="121"/>
        <v>659</v>
      </c>
      <c r="W662" s="509"/>
      <c r="X662" s="321"/>
      <c r="Y662" s="321"/>
      <c r="Z662" s="433"/>
      <c r="AA662" s="356"/>
      <c r="AB662" s="306" t="str">
        <f t="shared" si="116"/>
        <v/>
      </c>
      <c r="AC662" s="893">
        <f t="shared" si="117"/>
        <v>0</v>
      </c>
      <c r="AD662" s="322"/>
      <c r="AE662" s="1"/>
      <c r="AF662" s="223">
        <f>IF(ISBLANK(AD662),0,COUNTIF(AF$4:AF661,"&gt;0")+1)</f>
        <v>0</v>
      </c>
      <c r="AG662" s="164">
        <f t="shared" si="123"/>
        <v>0</v>
      </c>
      <c r="AH662" s="99">
        <f t="shared" si="118"/>
        <v>0</v>
      </c>
      <c r="AI662" s="99">
        <f t="shared" si="124"/>
        <v>0</v>
      </c>
      <c r="AJ662" s="170">
        <f t="shared" si="125"/>
        <v>0</v>
      </c>
      <c r="AK662" s="204">
        <f t="shared" si="119"/>
        <v>0</v>
      </c>
      <c r="AL662" s="1049">
        <f>IF(ISERROR(AO662),0,IF(AND(AN662&gt;=$U$1,AN662&lt;=$U$2),IF(AO662='ESTRATTO CONTO'!$E$2,1+COUNTIF(AL$4:AL661,"&gt;0")+U$1009,0),0))</f>
        <v>0</v>
      </c>
      <c r="AM662" s="747">
        <f t="shared" si="122"/>
        <v>659</v>
      </c>
      <c r="AN662" s="164" t="e">
        <f>VLOOKUP($AM662,PATRIMONIALE!$AV714:AW$1003,2,FALSE)</f>
        <v>#N/A</v>
      </c>
      <c r="AO662" s="310" t="e">
        <f>VLOOKUP($AM662,PATRIMONIALE!$AV714:AX$1003,3,FALSE)</f>
        <v>#N/A</v>
      </c>
      <c r="AP662" s="310" t="e">
        <f>VLOOKUP($AM662,PATRIMONIALE!$AV714:AY$1003,4,FALSE)</f>
        <v>#N/A</v>
      </c>
      <c r="AQ662" s="748" t="e">
        <f>VLOOKUP($AM662,PATRIMONIALE!$AV714:AZ$1003,5,FALSE)</f>
        <v>#N/A</v>
      </c>
      <c r="AR662" s="1"/>
      <c r="AS662" s="461" t="str">
        <f t="shared" si="120"/>
        <v/>
      </c>
      <c r="AT662" s="370"/>
    </row>
    <row r="663" spans="1:46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435">
        <f>IF(AND(W663&gt;=$U$1,W663&lt;=$U$2),IF(X663='ESTRATTO CONTO'!$E$2,1+COUNTIF(U$4:U662,"&gt;0"),0),0)</f>
        <v>0</v>
      </c>
      <c r="V663" s="417">
        <f t="shared" si="121"/>
        <v>660</v>
      </c>
      <c r="W663" s="509"/>
      <c r="X663" s="321"/>
      <c r="Y663" s="321"/>
      <c r="Z663" s="433"/>
      <c r="AA663" s="356"/>
      <c r="AB663" s="306" t="str">
        <f t="shared" si="116"/>
        <v/>
      </c>
      <c r="AC663" s="893">
        <f t="shared" si="117"/>
        <v>0</v>
      </c>
      <c r="AD663" s="322"/>
      <c r="AE663" s="1"/>
      <c r="AF663" s="223">
        <f>IF(ISBLANK(AD663),0,COUNTIF(AF$4:AF662,"&gt;0")+1)</f>
        <v>0</v>
      </c>
      <c r="AG663" s="164">
        <f t="shared" si="123"/>
        <v>0</v>
      </c>
      <c r="AH663" s="99">
        <f t="shared" si="118"/>
        <v>0</v>
      </c>
      <c r="AI663" s="99">
        <f t="shared" si="124"/>
        <v>0</v>
      </c>
      <c r="AJ663" s="170">
        <f t="shared" si="125"/>
        <v>0</v>
      </c>
      <c r="AK663" s="204">
        <f t="shared" si="119"/>
        <v>0</v>
      </c>
      <c r="AL663" s="1049">
        <f>IF(ISERROR(AO663),0,IF(AND(AN663&gt;=$U$1,AN663&lt;=$U$2),IF(AO663='ESTRATTO CONTO'!$E$2,1+COUNTIF(AL$4:AL662,"&gt;0")+U$1009,0),0))</f>
        <v>0</v>
      </c>
      <c r="AM663" s="747">
        <f t="shared" si="122"/>
        <v>660</v>
      </c>
      <c r="AN663" s="164" t="e">
        <f>VLOOKUP($AM663,PATRIMONIALE!$AV715:AW$1003,2,FALSE)</f>
        <v>#N/A</v>
      </c>
      <c r="AO663" s="310" t="e">
        <f>VLOOKUP($AM663,PATRIMONIALE!$AV715:AX$1003,3,FALSE)</f>
        <v>#N/A</v>
      </c>
      <c r="AP663" s="310" t="e">
        <f>VLOOKUP($AM663,PATRIMONIALE!$AV715:AY$1003,4,FALSE)</f>
        <v>#N/A</v>
      </c>
      <c r="AQ663" s="748" t="e">
        <f>VLOOKUP($AM663,PATRIMONIALE!$AV715:AZ$1003,5,FALSE)</f>
        <v>#N/A</v>
      </c>
      <c r="AR663" s="1"/>
      <c r="AS663" s="461" t="str">
        <f t="shared" si="120"/>
        <v/>
      </c>
      <c r="AT663" s="370"/>
    </row>
    <row r="664" spans="1:46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435">
        <f>IF(AND(W664&gt;=$U$1,W664&lt;=$U$2),IF(X664='ESTRATTO CONTO'!$E$2,1+COUNTIF(U$4:U663,"&gt;0"),0),0)</f>
        <v>0</v>
      </c>
      <c r="V664" s="417">
        <f t="shared" si="121"/>
        <v>661</v>
      </c>
      <c r="W664" s="509"/>
      <c r="X664" s="321"/>
      <c r="Y664" s="321"/>
      <c r="Z664" s="433"/>
      <c r="AA664" s="356"/>
      <c r="AB664" s="306" t="str">
        <f t="shared" si="116"/>
        <v/>
      </c>
      <c r="AC664" s="893">
        <f t="shared" si="117"/>
        <v>0</v>
      </c>
      <c r="AD664" s="322"/>
      <c r="AE664" s="1"/>
      <c r="AF664" s="223">
        <f>IF(ISBLANK(AD664),0,COUNTIF(AF$4:AF663,"&gt;0")+1)</f>
        <v>0</v>
      </c>
      <c r="AG664" s="164">
        <f t="shared" si="123"/>
        <v>0</v>
      </c>
      <c r="AH664" s="99">
        <f t="shared" si="118"/>
        <v>0</v>
      </c>
      <c r="AI664" s="99">
        <f t="shared" si="124"/>
        <v>0</v>
      </c>
      <c r="AJ664" s="170">
        <f t="shared" si="125"/>
        <v>0</v>
      </c>
      <c r="AK664" s="204">
        <f t="shared" si="119"/>
        <v>0</v>
      </c>
      <c r="AL664" s="1049">
        <f>IF(ISERROR(AO664),0,IF(AND(AN664&gt;=$U$1,AN664&lt;=$U$2),IF(AO664='ESTRATTO CONTO'!$E$2,1+COUNTIF(AL$4:AL663,"&gt;0")+U$1009,0),0))</f>
        <v>0</v>
      </c>
      <c r="AM664" s="747">
        <f t="shared" si="122"/>
        <v>661</v>
      </c>
      <c r="AN664" s="164" t="e">
        <f>VLOOKUP($AM664,PATRIMONIALE!$AV716:AW$1003,2,FALSE)</f>
        <v>#N/A</v>
      </c>
      <c r="AO664" s="310" t="e">
        <f>VLOOKUP($AM664,PATRIMONIALE!$AV716:AX$1003,3,FALSE)</f>
        <v>#N/A</v>
      </c>
      <c r="AP664" s="310" t="e">
        <f>VLOOKUP($AM664,PATRIMONIALE!$AV716:AY$1003,4,FALSE)</f>
        <v>#N/A</v>
      </c>
      <c r="AQ664" s="748" t="e">
        <f>VLOOKUP($AM664,PATRIMONIALE!$AV716:AZ$1003,5,FALSE)</f>
        <v>#N/A</v>
      </c>
      <c r="AR664" s="1"/>
      <c r="AS664" s="461" t="str">
        <f t="shared" si="120"/>
        <v/>
      </c>
      <c r="AT664" s="370"/>
    </row>
    <row r="665" spans="1:46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435">
        <f>IF(AND(W665&gt;=$U$1,W665&lt;=$U$2),IF(X665='ESTRATTO CONTO'!$E$2,1+COUNTIF(U$4:U664,"&gt;0"),0),0)</f>
        <v>0</v>
      </c>
      <c r="V665" s="417">
        <f t="shared" si="121"/>
        <v>662</v>
      </c>
      <c r="W665" s="509"/>
      <c r="X665" s="321"/>
      <c r="Y665" s="321"/>
      <c r="Z665" s="433"/>
      <c r="AA665" s="356"/>
      <c r="AB665" s="306" t="str">
        <f t="shared" si="116"/>
        <v/>
      </c>
      <c r="AC665" s="893">
        <f t="shared" si="117"/>
        <v>0</v>
      </c>
      <c r="AD665" s="322"/>
      <c r="AE665" s="1"/>
      <c r="AF665" s="223">
        <f>IF(ISBLANK(AD665),0,COUNTIF(AF$4:AF664,"&gt;0")+1)</f>
        <v>0</v>
      </c>
      <c r="AG665" s="164">
        <f t="shared" si="123"/>
        <v>0</v>
      </c>
      <c r="AH665" s="99">
        <f t="shared" si="118"/>
        <v>0</v>
      </c>
      <c r="AI665" s="99">
        <f t="shared" si="124"/>
        <v>0</v>
      </c>
      <c r="AJ665" s="170">
        <f t="shared" si="125"/>
        <v>0</v>
      </c>
      <c r="AK665" s="204">
        <f t="shared" si="119"/>
        <v>0</v>
      </c>
      <c r="AL665" s="1049">
        <f>IF(ISERROR(AO665),0,IF(AND(AN665&gt;=$U$1,AN665&lt;=$U$2),IF(AO665='ESTRATTO CONTO'!$E$2,1+COUNTIF(AL$4:AL664,"&gt;0")+U$1009,0),0))</f>
        <v>0</v>
      </c>
      <c r="AM665" s="747">
        <f t="shared" si="122"/>
        <v>662</v>
      </c>
      <c r="AN665" s="164" t="e">
        <f>VLOOKUP($AM665,PATRIMONIALE!$AV717:AW$1003,2,FALSE)</f>
        <v>#N/A</v>
      </c>
      <c r="AO665" s="310" t="e">
        <f>VLOOKUP($AM665,PATRIMONIALE!$AV717:AX$1003,3,FALSE)</f>
        <v>#N/A</v>
      </c>
      <c r="AP665" s="310" t="e">
        <f>VLOOKUP($AM665,PATRIMONIALE!$AV717:AY$1003,4,FALSE)</f>
        <v>#N/A</v>
      </c>
      <c r="AQ665" s="748" t="e">
        <f>VLOOKUP($AM665,PATRIMONIALE!$AV717:AZ$1003,5,FALSE)</f>
        <v>#N/A</v>
      </c>
      <c r="AR665" s="1"/>
      <c r="AS665" s="461" t="str">
        <f t="shared" si="120"/>
        <v/>
      </c>
      <c r="AT665" s="370"/>
    </row>
    <row r="666" spans="1:46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435">
        <f>IF(AND(W666&gt;=$U$1,W666&lt;=$U$2),IF(X666='ESTRATTO CONTO'!$E$2,1+COUNTIF(U$4:U665,"&gt;0"),0),0)</f>
        <v>0</v>
      </c>
      <c r="V666" s="417">
        <f t="shared" si="121"/>
        <v>663</v>
      </c>
      <c r="W666" s="509"/>
      <c r="X666" s="321"/>
      <c r="Y666" s="321"/>
      <c r="Z666" s="433"/>
      <c r="AA666" s="356"/>
      <c r="AB666" s="306" t="str">
        <f t="shared" si="116"/>
        <v/>
      </c>
      <c r="AC666" s="893">
        <f t="shared" si="117"/>
        <v>0</v>
      </c>
      <c r="AD666" s="322"/>
      <c r="AE666" s="1"/>
      <c r="AF666" s="223">
        <f>IF(ISBLANK(AD666),0,COUNTIF(AF$4:AF665,"&gt;0")+1)</f>
        <v>0</v>
      </c>
      <c r="AG666" s="164">
        <f t="shared" si="123"/>
        <v>0</v>
      </c>
      <c r="AH666" s="99">
        <f t="shared" si="118"/>
        <v>0</v>
      </c>
      <c r="AI666" s="99">
        <f t="shared" si="124"/>
        <v>0</v>
      </c>
      <c r="AJ666" s="170">
        <f t="shared" si="125"/>
        <v>0</v>
      </c>
      <c r="AK666" s="204">
        <f t="shared" si="119"/>
        <v>0</v>
      </c>
      <c r="AL666" s="1049">
        <f>IF(ISERROR(AO666),0,IF(AND(AN666&gt;=$U$1,AN666&lt;=$U$2),IF(AO666='ESTRATTO CONTO'!$E$2,1+COUNTIF(AL$4:AL665,"&gt;0")+U$1009,0),0))</f>
        <v>0</v>
      </c>
      <c r="AM666" s="747">
        <f t="shared" si="122"/>
        <v>663</v>
      </c>
      <c r="AN666" s="164" t="e">
        <f>VLOOKUP($AM666,PATRIMONIALE!$AV718:AW$1003,2,FALSE)</f>
        <v>#N/A</v>
      </c>
      <c r="AO666" s="310" t="e">
        <f>VLOOKUP($AM666,PATRIMONIALE!$AV718:AX$1003,3,FALSE)</f>
        <v>#N/A</v>
      </c>
      <c r="AP666" s="310" t="e">
        <f>VLOOKUP($AM666,PATRIMONIALE!$AV718:AY$1003,4,FALSE)</f>
        <v>#N/A</v>
      </c>
      <c r="AQ666" s="748" t="e">
        <f>VLOOKUP($AM666,PATRIMONIALE!$AV718:AZ$1003,5,FALSE)</f>
        <v>#N/A</v>
      </c>
      <c r="AR666" s="1"/>
      <c r="AS666" s="461" t="str">
        <f t="shared" si="120"/>
        <v/>
      </c>
      <c r="AT666" s="370"/>
    </row>
    <row r="667" spans="1:46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435">
        <f>IF(AND(W667&gt;=$U$1,W667&lt;=$U$2),IF(X667='ESTRATTO CONTO'!$E$2,1+COUNTIF(U$4:U666,"&gt;0"),0),0)</f>
        <v>0</v>
      </c>
      <c r="V667" s="417">
        <f t="shared" si="121"/>
        <v>664</v>
      </c>
      <c r="W667" s="509"/>
      <c r="X667" s="321"/>
      <c r="Y667" s="321"/>
      <c r="Z667" s="433"/>
      <c r="AA667" s="356"/>
      <c r="AB667" s="306" t="str">
        <f t="shared" si="116"/>
        <v/>
      </c>
      <c r="AC667" s="893">
        <f t="shared" si="117"/>
        <v>0</v>
      </c>
      <c r="AD667" s="322"/>
      <c r="AE667" s="1"/>
      <c r="AF667" s="223">
        <f>IF(ISBLANK(AD667),0,COUNTIF(AF$4:AF666,"&gt;0")+1)</f>
        <v>0</v>
      </c>
      <c r="AG667" s="164">
        <f t="shared" si="123"/>
        <v>0</v>
      </c>
      <c r="AH667" s="99">
        <f t="shared" si="118"/>
        <v>0</v>
      </c>
      <c r="AI667" s="99">
        <f t="shared" si="124"/>
        <v>0</v>
      </c>
      <c r="AJ667" s="170">
        <f t="shared" si="125"/>
        <v>0</v>
      </c>
      <c r="AK667" s="204">
        <f t="shared" si="119"/>
        <v>0</v>
      </c>
      <c r="AL667" s="1049">
        <f>IF(ISERROR(AO667),0,IF(AND(AN667&gt;=$U$1,AN667&lt;=$U$2),IF(AO667='ESTRATTO CONTO'!$E$2,1+COUNTIF(AL$4:AL666,"&gt;0")+U$1009,0),0))</f>
        <v>0</v>
      </c>
      <c r="AM667" s="747">
        <f t="shared" si="122"/>
        <v>664</v>
      </c>
      <c r="AN667" s="164" t="e">
        <f>VLOOKUP($AM667,PATRIMONIALE!$AV719:AW$1003,2,FALSE)</f>
        <v>#N/A</v>
      </c>
      <c r="AO667" s="310" t="e">
        <f>VLOOKUP($AM667,PATRIMONIALE!$AV719:AX$1003,3,FALSE)</f>
        <v>#N/A</v>
      </c>
      <c r="AP667" s="310" t="e">
        <f>VLOOKUP($AM667,PATRIMONIALE!$AV719:AY$1003,4,FALSE)</f>
        <v>#N/A</v>
      </c>
      <c r="AQ667" s="748" t="e">
        <f>VLOOKUP($AM667,PATRIMONIALE!$AV719:AZ$1003,5,FALSE)</f>
        <v>#N/A</v>
      </c>
      <c r="AR667" s="1"/>
      <c r="AS667" s="461" t="str">
        <f t="shared" si="120"/>
        <v/>
      </c>
      <c r="AT667" s="370"/>
    </row>
    <row r="668" spans="1:46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435">
        <f>IF(AND(W668&gt;=$U$1,W668&lt;=$U$2),IF(X668='ESTRATTO CONTO'!$E$2,1+COUNTIF(U$4:U667,"&gt;0"),0),0)</f>
        <v>0</v>
      </c>
      <c r="V668" s="417">
        <f t="shared" si="121"/>
        <v>665</v>
      </c>
      <c r="W668" s="509"/>
      <c r="X668" s="321"/>
      <c r="Y668" s="321"/>
      <c r="Z668" s="433"/>
      <c r="AA668" s="356"/>
      <c r="AB668" s="306" t="str">
        <f t="shared" si="116"/>
        <v/>
      </c>
      <c r="AC668" s="893">
        <f t="shared" si="117"/>
        <v>0</v>
      </c>
      <c r="AD668" s="322"/>
      <c r="AE668" s="1"/>
      <c r="AF668" s="223">
        <f>IF(ISBLANK(AD668),0,COUNTIF(AF$4:AF667,"&gt;0")+1)</f>
        <v>0</v>
      </c>
      <c r="AG668" s="164">
        <f t="shared" si="123"/>
        <v>0</v>
      </c>
      <c r="AH668" s="99">
        <f t="shared" si="118"/>
        <v>0</v>
      </c>
      <c r="AI668" s="99">
        <f t="shared" si="124"/>
        <v>0</v>
      </c>
      <c r="AJ668" s="170">
        <f t="shared" si="125"/>
        <v>0</v>
      </c>
      <c r="AK668" s="204">
        <f t="shared" si="119"/>
        <v>0</v>
      </c>
      <c r="AL668" s="1049">
        <f>IF(ISERROR(AO668),0,IF(AND(AN668&gt;=$U$1,AN668&lt;=$U$2),IF(AO668='ESTRATTO CONTO'!$E$2,1+COUNTIF(AL$4:AL667,"&gt;0")+U$1009,0),0))</f>
        <v>0</v>
      </c>
      <c r="AM668" s="747">
        <f t="shared" si="122"/>
        <v>665</v>
      </c>
      <c r="AN668" s="164" t="e">
        <f>VLOOKUP($AM668,PATRIMONIALE!$AV720:AW$1003,2,FALSE)</f>
        <v>#N/A</v>
      </c>
      <c r="AO668" s="310" t="e">
        <f>VLOOKUP($AM668,PATRIMONIALE!$AV720:AX$1003,3,FALSE)</f>
        <v>#N/A</v>
      </c>
      <c r="AP668" s="310" t="e">
        <f>VLOOKUP($AM668,PATRIMONIALE!$AV720:AY$1003,4,FALSE)</f>
        <v>#N/A</v>
      </c>
      <c r="AQ668" s="748" t="e">
        <f>VLOOKUP($AM668,PATRIMONIALE!$AV720:AZ$1003,5,FALSE)</f>
        <v>#N/A</v>
      </c>
      <c r="AR668" s="1"/>
      <c r="AS668" s="461" t="str">
        <f t="shared" si="120"/>
        <v/>
      </c>
      <c r="AT668" s="370"/>
    </row>
    <row r="669" spans="1:46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435">
        <f>IF(AND(W669&gt;=$U$1,W669&lt;=$U$2),IF(X669='ESTRATTO CONTO'!$E$2,1+COUNTIF(U$4:U668,"&gt;0"),0),0)</f>
        <v>0</v>
      </c>
      <c r="V669" s="417">
        <f t="shared" si="121"/>
        <v>666</v>
      </c>
      <c r="W669" s="509"/>
      <c r="X669" s="321"/>
      <c r="Y669" s="321"/>
      <c r="Z669" s="433"/>
      <c r="AA669" s="356"/>
      <c r="AB669" s="306" t="str">
        <f t="shared" si="116"/>
        <v/>
      </c>
      <c r="AC669" s="893">
        <f t="shared" si="117"/>
        <v>0</v>
      </c>
      <c r="AD669" s="322"/>
      <c r="AE669" s="1"/>
      <c r="AF669" s="223">
        <f>IF(ISBLANK(AD669),0,COUNTIF(AF$4:AF668,"&gt;0")+1)</f>
        <v>0</v>
      </c>
      <c r="AG669" s="164">
        <f t="shared" si="123"/>
        <v>0</v>
      </c>
      <c r="AH669" s="99">
        <f t="shared" si="118"/>
        <v>0</v>
      </c>
      <c r="AI669" s="99">
        <f t="shared" si="124"/>
        <v>0</v>
      </c>
      <c r="AJ669" s="170">
        <f t="shared" si="125"/>
        <v>0</v>
      </c>
      <c r="AK669" s="204">
        <f t="shared" si="119"/>
        <v>0</v>
      </c>
      <c r="AL669" s="1049">
        <f>IF(ISERROR(AO669),0,IF(AND(AN669&gt;=$U$1,AN669&lt;=$U$2),IF(AO669='ESTRATTO CONTO'!$E$2,1+COUNTIF(AL$4:AL668,"&gt;0")+U$1009,0),0))</f>
        <v>0</v>
      </c>
      <c r="AM669" s="747">
        <f t="shared" si="122"/>
        <v>666</v>
      </c>
      <c r="AN669" s="164" t="e">
        <f>VLOOKUP($AM669,PATRIMONIALE!$AV721:AW$1003,2,FALSE)</f>
        <v>#N/A</v>
      </c>
      <c r="AO669" s="310" t="e">
        <f>VLOOKUP($AM669,PATRIMONIALE!$AV721:AX$1003,3,FALSE)</f>
        <v>#N/A</v>
      </c>
      <c r="AP669" s="310" t="e">
        <f>VLOOKUP($AM669,PATRIMONIALE!$AV721:AY$1003,4,FALSE)</f>
        <v>#N/A</v>
      </c>
      <c r="AQ669" s="748" t="e">
        <f>VLOOKUP($AM669,PATRIMONIALE!$AV721:AZ$1003,5,FALSE)</f>
        <v>#N/A</v>
      </c>
      <c r="AR669" s="1"/>
      <c r="AS669" s="461" t="str">
        <f t="shared" si="120"/>
        <v/>
      </c>
      <c r="AT669" s="370"/>
    </row>
    <row r="670" spans="1:46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435">
        <f>IF(AND(W670&gt;=$U$1,W670&lt;=$U$2),IF(X670='ESTRATTO CONTO'!$E$2,1+COUNTIF(U$4:U669,"&gt;0"),0),0)</f>
        <v>0</v>
      </c>
      <c r="V670" s="417">
        <f t="shared" si="121"/>
        <v>667</v>
      </c>
      <c r="W670" s="509"/>
      <c r="X670" s="321"/>
      <c r="Y670" s="321"/>
      <c r="Z670" s="433"/>
      <c r="AA670" s="356"/>
      <c r="AB670" s="306" t="str">
        <f t="shared" si="116"/>
        <v/>
      </c>
      <c r="AC670" s="893">
        <f t="shared" si="117"/>
        <v>0</v>
      </c>
      <c r="AD670" s="322"/>
      <c r="AE670" s="1"/>
      <c r="AF670" s="223">
        <f>IF(ISBLANK(AD670),0,COUNTIF(AF$4:AF669,"&gt;0")+1)</f>
        <v>0</v>
      </c>
      <c r="AG670" s="164">
        <f t="shared" si="123"/>
        <v>0</v>
      </c>
      <c r="AH670" s="99">
        <f t="shared" si="118"/>
        <v>0</v>
      </c>
      <c r="AI670" s="99">
        <f t="shared" si="124"/>
        <v>0</v>
      </c>
      <c r="AJ670" s="170">
        <f t="shared" si="125"/>
        <v>0</v>
      </c>
      <c r="AK670" s="204">
        <f t="shared" si="119"/>
        <v>0</v>
      </c>
      <c r="AL670" s="1049">
        <f>IF(ISERROR(AO670),0,IF(AND(AN670&gt;=$U$1,AN670&lt;=$U$2),IF(AO670='ESTRATTO CONTO'!$E$2,1+COUNTIF(AL$4:AL669,"&gt;0")+U$1009,0),0))</f>
        <v>0</v>
      </c>
      <c r="AM670" s="747">
        <f t="shared" si="122"/>
        <v>667</v>
      </c>
      <c r="AN670" s="164" t="e">
        <f>VLOOKUP($AM670,PATRIMONIALE!$AV722:AW$1003,2,FALSE)</f>
        <v>#N/A</v>
      </c>
      <c r="AO670" s="310" t="e">
        <f>VLOOKUP($AM670,PATRIMONIALE!$AV722:AX$1003,3,FALSE)</f>
        <v>#N/A</v>
      </c>
      <c r="AP670" s="310" t="e">
        <f>VLOOKUP($AM670,PATRIMONIALE!$AV722:AY$1003,4,FALSE)</f>
        <v>#N/A</v>
      </c>
      <c r="AQ670" s="748" t="e">
        <f>VLOOKUP($AM670,PATRIMONIALE!$AV722:AZ$1003,5,FALSE)</f>
        <v>#N/A</v>
      </c>
      <c r="AR670" s="1"/>
      <c r="AS670" s="461" t="str">
        <f t="shared" si="120"/>
        <v/>
      </c>
      <c r="AT670" s="370"/>
    </row>
    <row r="671" spans="1:46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435">
        <f>IF(AND(W671&gt;=$U$1,W671&lt;=$U$2),IF(X671='ESTRATTO CONTO'!$E$2,1+COUNTIF(U$4:U670,"&gt;0"),0),0)</f>
        <v>0</v>
      </c>
      <c r="V671" s="417">
        <f t="shared" si="121"/>
        <v>668</v>
      </c>
      <c r="W671" s="509"/>
      <c r="X671" s="321"/>
      <c r="Y671" s="321"/>
      <c r="Z671" s="433"/>
      <c r="AA671" s="356"/>
      <c r="AB671" s="306" t="str">
        <f t="shared" si="116"/>
        <v/>
      </c>
      <c r="AC671" s="893">
        <f t="shared" si="117"/>
        <v>0</v>
      </c>
      <c r="AD671" s="322"/>
      <c r="AE671" s="1"/>
      <c r="AF671" s="223">
        <f>IF(ISBLANK(AD671),0,COUNTIF(AF$4:AF670,"&gt;0")+1)</f>
        <v>0</v>
      </c>
      <c r="AG671" s="164">
        <f t="shared" si="123"/>
        <v>0</v>
      </c>
      <c r="AH671" s="99">
        <f t="shared" si="118"/>
        <v>0</v>
      </c>
      <c r="AI671" s="99">
        <f t="shared" si="124"/>
        <v>0</v>
      </c>
      <c r="AJ671" s="170">
        <f t="shared" si="125"/>
        <v>0</v>
      </c>
      <c r="AK671" s="204">
        <f t="shared" si="119"/>
        <v>0</v>
      </c>
      <c r="AL671" s="1049">
        <f>IF(ISERROR(AO671),0,IF(AND(AN671&gt;=$U$1,AN671&lt;=$U$2),IF(AO671='ESTRATTO CONTO'!$E$2,1+COUNTIF(AL$4:AL670,"&gt;0")+U$1009,0),0))</f>
        <v>0</v>
      </c>
      <c r="AM671" s="747">
        <f t="shared" si="122"/>
        <v>668</v>
      </c>
      <c r="AN671" s="164" t="e">
        <f>VLOOKUP($AM671,PATRIMONIALE!$AV723:AW$1003,2,FALSE)</f>
        <v>#N/A</v>
      </c>
      <c r="AO671" s="310" t="e">
        <f>VLOOKUP($AM671,PATRIMONIALE!$AV723:AX$1003,3,FALSE)</f>
        <v>#N/A</v>
      </c>
      <c r="AP671" s="310" t="e">
        <f>VLOOKUP($AM671,PATRIMONIALE!$AV723:AY$1003,4,FALSE)</f>
        <v>#N/A</v>
      </c>
      <c r="AQ671" s="748" t="e">
        <f>VLOOKUP($AM671,PATRIMONIALE!$AV723:AZ$1003,5,FALSE)</f>
        <v>#N/A</v>
      </c>
      <c r="AR671" s="1"/>
      <c r="AS671" s="461" t="str">
        <f t="shared" si="120"/>
        <v/>
      </c>
      <c r="AT671" s="370"/>
    </row>
    <row r="672" spans="1:46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435">
        <f>IF(AND(W672&gt;=$U$1,W672&lt;=$U$2),IF(X672='ESTRATTO CONTO'!$E$2,1+COUNTIF(U$4:U671,"&gt;0"),0),0)</f>
        <v>0</v>
      </c>
      <c r="V672" s="417">
        <f t="shared" si="121"/>
        <v>669</v>
      </c>
      <c r="W672" s="509"/>
      <c r="X672" s="321"/>
      <c r="Y672" s="321"/>
      <c r="Z672" s="433"/>
      <c r="AA672" s="356"/>
      <c r="AB672" s="306" t="str">
        <f t="shared" si="116"/>
        <v/>
      </c>
      <c r="AC672" s="893">
        <f t="shared" si="117"/>
        <v>0</v>
      </c>
      <c r="AD672" s="322"/>
      <c r="AE672" s="1"/>
      <c r="AF672" s="223">
        <f>IF(ISBLANK(AD672),0,COUNTIF(AF$4:AF671,"&gt;0")+1)</f>
        <v>0</v>
      </c>
      <c r="AG672" s="164">
        <f t="shared" si="123"/>
        <v>0</v>
      </c>
      <c r="AH672" s="99">
        <f t="shared" si="118"/>
        <v>0</v>
      </c>
      <c r="AI672" s="99">
        <f t="shared" si="124"/>
        <v>0</v>
      </c>
      <c r="AJ672" s="170">
        <f t="shared" si="125"/>
        <v>0</v>
      </c>
      <c r="AK672" s="204">
        <f t="shared" si="119"/>
        <v>0</v>
      </c>
      <c r="AL672" s="1049">
        <f>IF(ISERROR(AO672),0,IF(AND(AN672&gt;=$U$1,AN672&lt;=$U$2),IF(AO672='ESTRATTO CONTO'!$E$2,1+COUNTIF(AL$4:AL671,"&gt;0")+U$1009,0),0))</f>
        <v>0</v>
      </c>
      <c r="AM672" s="747">
        <f t="shared" si="122"/>
        <v>669</v>
      </c>
      <c r="AN672" s="164" t="e">
        <f>VLOOKUP($AM672,PATRIMONIALE!$AV724:AW$1003,2,FALSE)</f>
        <v>#N/A</v>
      </c>
      <c r="AO672" s="310" t="e">
        <f>VLOOKUP($AM672,PATRIMONIALE!$AV724:AX$1003,3,FALSE)</f>
        <v>#N/A</v>
      </c>
      <c r="AP672" s="310" t="e">
        <f>VLOOKUP($AM672,PATRIMONIALE!$AV724:AY$1003,4,FALSE)</f>
        <v>#N/A</v>
      </c>
      <c r="AQ672" s="748" t="e">
        <f>VLOOKUP($AM672,PATRIMONIALE!$AV724:AZ$1003,5,FALSE)</f>
        <v>#N/A</v>
      </c>
      <c r="AR672" s="1"/>
      <c r="AS672" s="461" t="str">
        <f t="shared" si="120"/>
        <v/>
      </c>
      <c r="AT672" s="370"/>
    </row>
    <row r="673" spans="1:46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435">
        <f>IF(AND(W673&gt;=$U$1,W673&lt;=$U$2),IF(X673='ESTRATTO CONTO'!$E$2,1+COUNTIF(U$4:U672,"&gt;0"),0),0)</f>
        <v>0</v>
      </c>
      <c r="V673" s="417">
        <f t="shared" si="121"/>
        <v>670</v>
      </c>
      <c r="W673" s="509"/>
      <c r="X673" s="321"/>
      <c r="Y673" s="321"/>
      <c r="Z673" s="433"/>
      <c r="AA673" s="356"/>
      <c r="AB673" s="306" t="str">
        <f t="shared" si="116"/>
        <v/>
      </c>
      <c r="AC673" s="893">
        <f t="shared" si="117"/>
        <v>0</v>
      </c>
      <c r="AD673" s="322"/>
      <c r="AE673" s="1"/>
      <c r="AF673" s="223">
        <f>IF(ISBLANK(AD673),0,COUNTIF(AF$4:AF672,"&gt;0")+1)</f>
        <v>0</v>
      </c>
      <c r="AG673" s="164">
        <f t="shared" si="123"/>
        <v>0</v>
      </c>
      <c r="AH673" s="99">
        <f t="shared" si="118"/>
        <v>0</v>
      </c>
      <c r="AI673" s="99">
        <f t="shared" si="124"/>
        <v>0</v>
      </c>
      <c r="AJ673" s="170">
        <f t="shared" si="125"/>
        <v>0</v>
      </c>
      <c r="AK673" s="204">
        <f t="shared" si="119"/>
        <v>0</v>
      </c>
      <c r="AL673" s="1049">
        <f>IF(ISERROR(AO673),0,IF(AND(AN673&gt;=$U$1,AN673&lt;=$U$2),IF(AO673='ESTRATTO CONTO'!$E$2,1+COUNTIF(AL$4:AL672,"&gt;0")+U$1009,0),0))</f>
        <v>0</v>
      </c>
      <c r="AM673" s="747">
        <f t="shared" si="122"/>
        <v>670</v>
      </c>
      <c r="AN673" s="164" t="e">
        <f>VLOOKUP($AM673,PATRIMONIALE!$AV725:AW$1003,2,FALSE)</f>
        <v>#N/A</v>
      </c>
      <c r="AO673" s="310" t="e">
        <f>VLOOKUP($AM673,PATRIMONIALE!$AV725:AX$1003,3,FALSE)</f>
        <v>#N/A</v>
      </c>
      <c r="AP673" s="310" t="e">
        <f>VLOOKUP($AM673,PATRIMONIALE!$AV725:AY$1003,4,FALSE)</f>
        <v>#N/A</v>
      </c>
      <c r="AQ673" s="748" t="e">
        <f>VLOOKUP($AM673,PATRIMONIALE!$AV725:AZ$1003,5,FALSE)</f>
        <v>#N/A</v>
      </c>
      <c r="AR673" s="1"/>
      <c r="AS673" s="461" t="str">
        <f t="shared" si="120"/>
        <v/>
      </c>
      <c r="AT673" s="370"/>
    </row>
    <row r="674" spans="1:46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435">
        <f>IF(AND(W674&gt;=$U$1,W674&lt;=$U$2),IF(X674='ESTRATTO CONTO'!$E$2,1+COUNTIF(U$4:U673,"&gt;0"),0),0)</f>
        <v>0</v>
      </c>
      <c r="V674" s="417">
        <f t="shared" si="121"/>
        <v>671</v>
      </c>
      <c r="W674" s="509"/>
      <c r="X674" s="321"/>
      <c r="Y674" s="321"/>
      <c r="Z674" s="433"/>
      <c r="AA674" s="356"/>
      <c r="AB674" s="306" t="str">
        <f t="shared" si="116"/>
        <v/>
      </c>
      <c r="AC674" s="893">
        <f t="shared" si="117"/>
        <v>0</v>
      </c>
      <c r="AD674" s="322"/>
      <c r="AE674" s="1"/>
      <c r="AF674" s="223">
        <f>IF(ISBLANK(AD674),0,COUNTIF(AF$4:AF673,"&gt;0")+1)</f>
        <v>0</v>
      </c>
      <c r="AG674" s="164">
        <f t="shared" si="123"/>
        <v>0</v>
      </c>
      <c r="AH674" s="99">
        <f t="shared" si="118"/>
        <v>0</v>
      </c>
      <c r="AI674" s="99">
        <f t="shared" si="124"/>
        <v>0</v>
      </c>
      <c r="AJ674" s="170">
        <f t="shared" si="125"/>
        <v>0</v>
      </c>
      <c r="AK674" s="204">
        <f t="shared" si="119"/>
        <v>0</v>
      </c>
      <c r="AL674" s="1049">
        <f>IF(ISERROR(AO674),0,IF(AND(AN674&gt;=$U$1,AN674&lt;=$U$2),IF(AO674='ESTRATTO CONTO'!$E$2,1+COUNTIF(AL$4:AL673,"&gt;0")+U$1009,0),0))</f>
        <v>0</v>
      </c>
      <c r="AM674" s="747">
        <f t="shared" si="122"/>
        <v>671</v>
      </c>
      <c r="AN674" s="164" t="e">
        <f>VLOOKUP($AM674,PATRIMONIALE!$AV726:AW$1003,2,FALSE)</f>
        <v>#N/A</v>
      </c>
      <c r="AO674" s="310" t="e">
        <f>VLOOKUP($AM674,PATRIMONIALE!$AV726:AX$1003,3,FALSE)</f>
        <v>#N/A</v>
      </c>
      <c r="AP674" s="310" t="e">
        <f>VLOOKUP($AM674,PATRIMONIALE!$AV726:AY$1003,4,FALSE)</f>
        <v>#N/A</v>
      </c>
      <c r="AQ674" s="748" t="e">
        <f>VLOOKUP($AM674,PATRIMONIALE!$AV726:AZ$1003,5,FALSE)</f>
        <v>#N/A</v>
      </c>
      <c r="AR674" s="1"/>
      <c r="AS674" s="461" t="str">
        <f t="shared" si="120"/>
        <v/>
      </c>
      <c r="AT674" s="370"/>
    </row>
    <row r="675" spans="1:46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435">
        <f>IF(AND(W675&gt;=$U$1,W675&lt;=$U$2),IF(X675='ESTRATTO CONTO'!$E$2,1+COUNTIF(U$4:U674,"&gt;0"),0),0)</f>
        <v>0</v>
      </c>
      <c r="V675" s="417">
        <f t="shared" si="121"/>
        <v>672</v>
      </c>
      <c r="W675" s="509"/>
      <c r="X675" s="321"/>
      <c r="Y675" s="321"/>
      <c r="Z675" s="433"/>
      <c r="AA675" s="356"/>
      <c r="AB675" s="306" t="str">
        <f t="shared" si="116"/>
        <v/>
      </c>
      <c r="AC675" s="893">
        <f t="shared" si="117"/>
        <v>0</v>
      </c>
      <c r="AD675" s="322"/>
      <c r="AE675" s="1"/>
      <c r="AF675" s="223">
        <f>IF(ISBLANK(AD675),0,COUNTIF(AF$4:AF674,"&gt;0")+1)</f>
        <v>0</v>
      </c>
      <c r="AG675" s="164">
        <f t="shared" si="123"/>
        <v>0</v>
      </c>
      <c r="AH675" s="99">
        <f t="shared" si="118"/>
        <v>0</v>
      </c>
      <c r="AI675" s="99">
        <f t="shared" si="124"/>
        <v>0</v>
      </c>
      <c r="AJ675" s="170">
        <f t="shared" si="125"/>
        <v>0</v>
      </c>
      <c r="AK675" s="204">
        <f t="shared" si="119"/>
        <v>0</v>
      </c>
      <c r="AL675" s="1049">
        <f>IF(ISERROR(AO675),0,IF(AND(AN675&gt;=$U$1,AN675&lt;=$U$2),IF(AO675='ESTRATTO CONTO'!$E$2,1+COUNTIF(AL$4:AL674,"&gt;0")+U$1009,0),0))</f>
        <v>0</v>
      </c>
      <c r="AM675" s="747">
        <f t="shared" si="122"/>
        <v>672</v>
      </c>
      <c r="AN675" s="164" t="e">
        <f>VLOOKUP($AM675,PATRIMONIALE!$AV727:AW$1003,2,FALSE)</f>
        <v>#N/A</v>
      </c>
      <c r="AO675" s="310" t="e">
        <f>VLOOKUP($AM675,PATRIMONIALE!$AV727:AX$1003,3,FALSE)</f>
        <v>#N/A</v>
      </c>
      <c r="AP675" s="310" t="e">
        <f>VLOOKUP($AM675,PATRIMONIALE!$AV727:AY$1003,4,FALSE)</f>
        <v>#N/A</v>
      </c>
      <c r="AQ675" s="748" t="e">
        <f>VLOOKUP($AM675,PATRIMONIALE!$AV727:AZ$1003,5,FALSE)</f>
        <v>#N/A</v>
      </c>
      <c r="AR675" s="1"/>
      <c r="AS675" s="461" t="str">
        <f t="shared" si="120"/>
        <v/>
      </c>
      <c r="AT675" s="370"/>
    </row>
    <row r="676" spans="1:46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435">
        <f>IF(AND(W676&gt;=$U$1,W676&lt;=$U$2),IF(X676='ESTRATTO CONTO'!$E$2,1+COUNTIF(U$4:U675,"&gt;0"),0),0)</f>
        <v>0</v>
      </c>
      <c r="V676" s="417">
        <f t="shared" si="121"/>
        <v>673</v>
      </c>
      <c r="W676" s="509"/>
      <c r="X676" s="321"/>
      <c r="Y676" s="321"/>
      <c r="Z676" s="433"/>
      <c r="AA676" s="356"/>
      <c r="AB676" s="306" t="str">
        <f t="shared" si="116"/>
        <v/>
      </c>
      <c r="AC676" s="893">
        <f t="shared" si="117"/>
        <v>0</v>
      </c>
      <c r="AD676" s="322"/>
      <c r="AE676" s="1"/>
      <c r="AF676" s="223">
        <f>IF(ISBLANK(AD676),0,COUNTIF(AF$4:AF675,"&gt;0")+1)</f>
        <v>0</v>
      </c>
      <c r="AG676" s="164">
        <f t="shared" si="123"/>
        <v>0</v>
      </c>
      <c r="AH676" s="99">
        <f t="shared" si="118"/>
        <v>0</v>
      </c>
      <c r="AI676" s="99">
        <f t="shared" si="124"/>
        <v>0</v>
      </c>
      <c r="AJ676" s="170">
        <f t="shared" si="125"/>
        <v>0</v>
      </c>
      <c r="AK676" s="204">
        <f t="shared" si="119"/>
        <v>0</v>
      </c>
      <c r="AL676" s="1049">
        <f>IF(ISERROR(AO676),0,IF(AND(AN676&gt;=$U$1,AN676&lt;=$U$2),IF(AO676='ESTRATTO CONTO'!$E$2,1+COUNTIF(AL$4:AL675,"&gt;0")+U$1009,0),0))</f>
        <v>0</v>
      </c>
      <c r="AM676" s="747">
        <f t="shared" si="122"/>
        <v>673</v>
      </c>
      <c r="AN676" s="164" t="e">
        <f>VLOOKUP($AM676,PATRIMONIALE!$AV728:AW$1003,2,FALSE)</f>
        <v>#N/A</v>
      </c>
      <c r="AO676" s="310" t="e">
        <f>VLOOKUP($AM676,PATRIMONIALE!$AV728:AX$1003,3,FALSE)</f>
        <v>#N/A</v>
      </c>
      <c r="AP676" s="310" t="e">
        <f>VLOOKUP($AM676,PATRIMONIALE!$AV728:AY$1003,4,FALSE)</f>
        <v>#N/A</v>
      </c>
      <c r="AQ676" s="748" t="e">
        <f>VLOOKUP($AM676,PATRIMONIALE!$AV728:AZ$1003,5,FALSE)</f>
        <v>#N/A</v>
      </c>
      <c r="AR676" s="1"/>
      <c r="AS676" s="461" t="str">
        <f t="shared" si="120"/>
        <v/>
      </c>
      <c r="AT676" s="370"/>
    </row>
    <row r="677" spans="1:46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435">
        <f>IF(AND(W677&gt;=$U$1,W677&lt;=$U$2),IF(X677='ESTRATTO CONTO'!$E$2,1+COUNTIF(U$4:U676,"&gt;0"),0),0)</f>
        <v>0</v>
      </c>
      <c r="V677" s="417">
        <f t="shared" si="121"/>
        <v>674</v>
      </c>
      <c r="W677" s="509"/>
      <c r="X677" s="321"/>
      <c r="Y677" s="321"/>
      <c r="Z677" s="433"/>
      <c r="AA677" s="356"/>
      <c r="AB677" s="306" t="str">
        <f t="shared" si="116"/>
        <v/>
      </c>
      <c r="AC677" s="893">
        <f t="shared" si="117"/>
        <v>0</v>
      </c>
      <c r="AD677" s="322"/>
      <c r="AE677" s="1"/>
      <c r="AF677" s="223">
        <f>IF(ISBLANK(AD677),0,COUNTIF(AF$4:AF676,"&gt;0")+1)</f>
        <v>0</v>
      </c>
      <c r="AG677" s="164">
        <f t="shared" si="123"/>
        <v>0</v>
      </c>
      <c r="AH677" s="99">
        <f t="shared" si="118"/>
        <v>0</v>
      </c>
      <c r="AI677" s="99">
        <f t="shared" si="124"/>
        <v>0</v>
      </c>
      <c r="AJ677" s="170">
        <f t="shared" si="125"/>
        <v>0</v>
      </c>
      <c r="AK677" s="204">
        <f t="shared" si="119"/>
        <v>0</v>
      </c>
      <c r="AL677" s="1049">
        <f>IF(ISERROR(AO677),0,IF(AND(AN677&gt;=$U$1,AN677&lt;=$U$2),IF(AO677='ESTRATTO CONTO'!$E$2,1+COUNTIF(AL$4:AL676,"&gt;0")+U$1009,0),0))</f>
        <v>0</v>
      </c>
      <c r="AM677" s="747">
        <f t="shared" si="122"/>
        <v>674</v>
      </c>
      <c r="AN677" s="164" t="e">
        <f>VLOOKUP($AM677,PATRIMONIALE!$AV729:AW$1003,2,FALSE)</f>
        <v>#N/A</v>
      </c>
      <c r="AO677" s="310" t="e">
        <f>VLOOKUP($AM677,PATRIMONIALE!$AV729:AX$1003,3,FALSE)</f>
        <v>#N/A</v>
      </c>
      <c r="AP677" s="310" t="e">
        <f>VLOOKUP($AM677,PATRIMONIALE!$AV729:AY$1003,4,FALSE)</f>
        <v>#N/A</v>
      </c>
      <c r="AQ677" s="748" t="e">
        <f>VLOOKUP($AM677,PATRIMONIALE!$AV729:AZ$1003,5,FALSE)</f>
        <v>#N/A</v>
      </c>
      <c r="AR677" s="1"/>
      <c r="AS677" s="461" t="str">
        <f t="shared" si="120"/>
        <v/>
      </c>
      <c r="AT677" s="370"/>
    </row>
    <row r="678" spans="1:46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435">
        <f>IF(AND(W678&gt;=$U$1,W678&lt;=$U$2),IF(X678='ESTRATTO CONTO'!$E$2,1+COUNTIF(U$4:U677,"&gt;0"),0),0)</f>
        <v>0</v>
      </c>
      <c r="V678" s="417">
        <f t="shared" si="121"/>
        <v>675</v>
      </c>
      <c r="W678" s="509"/>
      <c r="X678" s="321"/>
      <c r="Y678" s="321"/>
      <c r="Z678" s="433"/>
      <c r="AA678" s="356"/>
      <c r="AB678" s="306" t="str">
        <f t="shared" si="116"/>
        <v/>
      </c>
      <c r="AC678" s="893">
        <f t="shared" si="117"/>
        <v>0</v>
      </c>
      <c r="AD678" s="322"/>
      <c r="AE678" s="1"/>
      <c r="AF678" s="223">
        <f>IF(ISBLANK(AD678),0,COUNTIF(AF$4:AF677,"&gt;0")+1)</f>
        <v>0</v>
      </c>
      <c r="AG678" s="164">
        <f t="shared" si="123"/>
        <v>0</v>
      </c>
      <c r="AH678" s="99">
        <f t="shared" si="118"/>
        <v>0</v>
      </c>
      <c r="AI678" s="99">
        <f t="shared" si="124"/>
        <v>0</v>
      </c>
      <c r="AJ678" s="170">
        <f t="shared" si="125"/>
        <v>0</v>
      </c>
      <c r="AK678" s="204">
        <f t="shared" si="119"/>
        <v>0</v>
      </c>
      <c r="AL678" s="1049">
        <f>IF(ISERROR(AO678),0,IF(AND(AN678&gt;=$U$1,AN678&lt;=$U$2),IF(AO678='ESTRATTO CONTO'!$E$2,1+COUNTIF(AL$4:AL677,"&gt;0")+U$1009,0),0))</f>
        <v>0</v>
      </c>
      <c r="AM678" s="747">
        <f t="shared" si="122"/>
        <v>675</v>
      </c>
      <c r="AN678" s="164" t="e">
        <f>VLOOKUP($AM678,PATRIMONIALE!$AV730:AW$1003,2,FALSE)</f>
        <v>#N/A</v>
      </c>
      <c r="AO678" s="310" t="e">
        <f>VLOOKUP($AM678,PATRIMONIALE!$AV730:AX$1003,3,FALSE)</f>
        <v>#N/A</v>
      </c>
      <c r="AP678" s="310" t="e">
        <f>VLOOKUP($AM678,PATRIMONIALE!$AV730:AY$1003,4,FALSE)</f>
        <v>#N/A</v>
      </c>
      <c r="AQ678" s="748" t="e">
        <f>VLOOKUP($AM678,PATRIMONIALE!$AV730:AZ$1003,5,FALSE)</f>
        <v>#N/A</v>
      </c>
      <c r="AR678" s="1"/>
      <c r="AS678" s="461" t="str">
        <f t="shared" si="120"/>
        <v/>
      </c>
      <c r="AT678" s="370"/>
    </row>
    <row r="679" spans="1:46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435">
        <f>IF(AND(W679&gt;=$U$1,W679&lt;=$U$2),IF(X679='ESTRATTO CONTO'!$E$2,1+COUNTIF(U$4:U678,"&gt;0"),0),0)</f>
        <v>0</v>
      </c>
      <c r="V679" s="417">
        <f t="shared" si="121"/>
        <v>676</v>
      </c>
      <c r="W679" s="509"/>
      <c r="X679" s="321"/>
      <c r="Y679" s="321"/>
      <c r="Z679" s="433"/>
      <c r="AA679" s="356"/>
      <c r="AB679" s="306" t="str">
        <f t="shared" si="116"/>
        <v/>
      </c>
      <c r="AC679" s="893">
        <f t="shared" si="117"/>
        <v>0</v>
      </c>
      <c r="AD679" s="322"/>
      <c r="AE679" s="1"/>
      <c r="AF679" s="223">
        <f>IF(ISBLANK(AD679),0,COUNTIF(AF$4:AF678,"&gt;0")+1)</f>
        <v>0</v>
      </c>
      <c r="AG679" s="164">
        <f t="shared" si="123"/>
        <v>0</v>
      </c>
      <c r="AH679" s="99">
        <f t="shared" si="118"/>
        <v>0</v>
      </c>
      <c r="AI679" s="99">
        <f t="shared" si="124"/>
        <v>0</v>
      </c>
      <c r="AJ679" s="170">
        <f t="shared" si="125"/>
        <v>0</v>
      </c>
      <c r="AK679" s="204">
        <f t="shared" si="119"/>
        <v>0</v>
      </c>
      <c r="AL679" s="1049">
        <f>IF(ISERROR(AO679),0,IF(AND(AN679&gt;=$U$1,AN679&lt;=$U$2),IF(AO679='ESTRATTO CONTO'!$E$2,1+COUNTIF(AL$4:AL678,"&gt;0")+U$1009,0),0))</f>
        <v>0</v>
      </c>
      <c r="AM679" s="747">
        <f t="shared" si="122"/>
        <v>676</v>
      </c>
      <c r="AN679" s="164" t="e">
        <f>VLOOKUP($AM679,PATRIMONIALE!$AV731:AW$1003,2,FALSE)</f>
        <v>#N/A</v>
      </c>
      <c r="AO679" s="310" t="e">
        <f>VLOOKUP($AM679,PATRIMONIALE!$AV731:AX$1003,3,FALSE)</f>
        <v>#N/A</v>
      </c>
      <c r="AP679" s="310" t="e">
        <f>VLOOKUP($AM679,PATRIMONIALE!$AV731:AY$1003,4,FALSE)</f>
        <v>#N/A</v>
      </c>
      <c r="AQ679" s="748" t="e">
        <f>VLOOKUP($AM679,PATRIMONIALE!$AV731:AZ$1003,5,FALSE)</f>
        <v>#N/A</v>
      </c>
      <c r="AR679" s="1"/>
      <c r="AS679" s="461" t="str">
        <f t="shared" si="120"/>
        <v/>
      </c>
      <c r="AT679" s="370"/>
    </row>
    <row r="680" spans="1:46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435">
        <f>IF(AND(W680&gt;=$U$1,W680&lt;=$U$2),IF(X680='ESTRATTO CONTO'!$E$2,1+COUNTIF(U$4:U679,"&gt;0"),0),0)</f>
        <v>0</v>
      </c>
      <c r="V680" s="417">
        <f t="shared" si="121"/>
        <v>677</v>
      </c>
      <c r="W680" s="509"/>
      <c r="X680" s="321"/>
      <c r="Y680" s="321"/>
      <c r="Z680" s="433"/>
      <c r="AA680" s="356"/>
      <c r="AB680" s="306" t="str">
        <f t="shared" si="116"/>
        <v/>
      </c>
      <c r="AC680" s="893">
        <f t="shared" si="117"/>
        <v>0</v>
      </c>
      <c r="AD680" s="322"/>
      <c r="AE680" s="1"/>
      <c r="AF680" s="223">
        <f>IF(ISBLANK(AD680),0,COUNTIF(AF$4:AF679,"&gt;0")+1)</f>
        <v>0</v>
      </c>
      <c r="AG680" s="164">
        <f t="shared" si="123"/>
        <v>0</v>
      </c>
      <c r="AH680" s="99">
        <f t="shared" si="118"/>
        <v>0</v>
      </c>
      <c r="AI680" s="99">
        <f t="shared" si="124"/>
        <v>0</v>
      </c>
      <c r="AJ680" s="170">
        <f t="shared" si="125"/>
        <v>0</v>
      </c>
      <c r="AK680" s="204">
        <f t="shared" si="119"/>
        <v>0</v>
      </c>
      <c r="AL680" s="1049">
        <f>IF(ISERROR(AO680),0,IF(AND(AN680&gt;=$U$1,AN680&lt;=$U$2),IF(AO680='ESTRATTO CONTO'!$E$2,1+COUNTIF(AL$4:AL679,"&gt;0")+U$1009,0),0))</f>
        <v>0</v>
      </c>
      <c r="AM680" s="747">
        <f t="shared" si="122"/>
        <v>677</v>
      </c>
      <c r="AN680" s="164" t="e">
        <f>VLOOKUP($AM680,PATRIMONIALE!$AV732:AW$1003,2,FALSE)</f>
        <v>#N/A</v>
      </c>
      <c r="AO680" s="310" t="e">
        <f>VLOOKUP($AM680,PATRIMONIALE!$AV732:AX$1003,3,FALSE)</f>
        <v>#N/A</v>
      </c>
      <c r="AP680" s="310" t="e">
        <f>VLOOKUP($AM680,PATRIMONIALE!$AV732:AY$1003,4,FALSE)</f>
        <v>#N/A</v>
      </c>
      <c r="AQ680" s="748" t="e">
        <f>VLOOKUP($AM680,PATRIMONIALE!$AV732:AZ$1003,5,FALSE)</f>
        <v>#N/A</v>
      </c>
      <c r="AR680" s="1"/>
      <c r="AS680" s="461" t="str">
        <f t="shared" si="120"/>
        <v/>
      </c>
      <c r="AT680" s="370"/>
    </row>
    <row r="681" spans="1:46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435">
        <f>IF(AND(W681&gt;=$U$1,W681&lt;=$U$2),IF(X681='ESTRATTO CONTO'!$E$2,1+COUNTIF(U$4:U680,"&gt;0"),0),0)</f>
        <v>0</v>
      </c>
      <c r="V681" s="417">
        <f t="shared" si="121"/>
        <v>678</v>
      </c>
      <c r="W681" s="509"/>
      <c r="X681" s="321"/>
      <c r="Y681" s="321"/>
      <c r="Z681" s="433"/>
      <c r="AA681" s="356"/>
      <c r="AB681" s="306" t="str">
        <f t="shared" si="116"/>
        <v/>
      </c>
      <c r="AC681" s="893">
        <f t="shared" si="117"/>
        <v>0</v>
      </c>
      <c r="AD681" s="322"/>
      <c r="AE681" s="1"/>
      <c r="AF681" s="223">
        <f>IF(ISBLANK(AD681),0,COUNTIF(AF$4:AF680,"&gt;0")+1)</f>
        <v>0</v>
      </c>
      <c r="AG681" s="164">
        <f t="shared" si="123"/>
        <v>0</v>
      </c>
      <c r="AH681" s="99">
        <f t="shared" si="118"/>
        <v>0</v>
      </c>
      <c r="AI681" s="99">
        <f t="shared" si="124"/>
        <v>0</v>
      </c>
      <c r="AJ681" s="170">
        <f t="shared" si="125"/>
        <v>0</v>
      </c>
      <c r="AK681" s="204">
        <f t="shared" si="119"/>
        <v>0</v>
      </c>
      <c r="AL681" s="1049">
        <f>IF(ISERROR(AO681),0,IF(AND(AN681&gt;=$U$1,AN681&lt;=$U$2),IF(AO681='ESTRATTO CONTO'!$E$2,1+COUNTIF(AL$4:AL680,"&gt;0")+U$1009,0),0))</f>
        <v>0</v>
      </c>
      <c r="AM681" s="747">
        <f t="shared" si="122"/>
        <v>678</v>
      </c>
      <c r="AN681" s="164" t="e">
        <f>VLOOKUP($AM681,PATRIMONIALE!$AV733:AW$1003,2,FALSE)</f>
        <v>#N/A</v>
      </c>
      <c r="AO681" s="310" t="e">
        <f>VLOOKUP($AM681,PATRIMONIALE!$AV733:AX$1003,3,FALSE)</f>
        <v>#N/A</v>
      </c>
      <c r="AP681" s="310" t="e">
        <f>VLOOKUP($AM681,PATRIMONIALE!$AV733:AY$1003,4,FALSE)</f>
        <v>#N/A</v>
      </c>
      <c r="AQ681" s="748" t="e">
        <f>VLOOKUP($AM681,PATRIMONIALE!$AV733:AZ$1003,5,FALSE)</f>
        <v>#N/A</v>
      </c>
      <c r="AR681" s="1"/>
      <c r="AS681" s="461" t="str">
        <f t="shared" si="120"/>
        <v/>
      </c>
      <c r="AT681" s="370"/>
    </row>
    <row r="682" spans="1:46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435">
        <f>IF(AND(W682&gt;=$U$1,W682&lt;=$U$2),IF(X682='ESTRATTO CONTO'!$E$2,1+COUNTIF(U$4:U681,"&gt;0"),0),0)</f>
        <v>0</v>
      </c>
      <c r="V682" s="417">
        <f t="shared" si="121"/>
        <v>679</v>
      </c>
      <c r="W682" s="509"/>
      <c r="X682" s="321"/>
      <c r="Y682" s="321"/>
      <c r="Z682" s="433"/>
      <c r="AA682" s="356"/>
      <c r="AB682" s="306" t="str">
        <f t="shared" si="116"/>
        <v/>
      </c>
      <c r="AC682" s="893">
        <f t="shared" si="117"/>
        <v>0</v>
      </c>
      <c r="AD682" s="322"/>
      <c r="AE682" s="1"/>
      <c r="AF682" s="223">
        <f>IF(ISBLANK(AD682),0,COUNTIF(AF$4:AF681,"&gt;0")+1)</f>
        <v>0</v>
      </c>
      <c r="AG682" s="164">
        <f t="shared" si="123"/>
        <v>0</v>
      </c>
      <c r="AH682" s="99">
        <f t="shared" si="118"/>
        <v>0</v>
      </c>
      <c r="AI682" s="99">
        <f t="shared" si="124"/>
        <v>0</v>
      </c>
      <c r="AJ682" s="170">
        <f t="shared" si="125"/>
        <v>0</v>
      </c>
      <c r="AK682" s="204">
        <f t="shared" si="119"/>
        <v>0</v>
      </c>
      <c r="AL682" s="1049">
        <f>IF(ISERROR(AO682),0,IF(AND(AN682&gt;=$U$1,AN682&lt;=$U$2),IF(AO682='ESTRATTO CONTO'!$E$2,1+COUNTIF(AL$4:AL681,"&gt;0")+U$1009,0),0))</f>
        <v>0</v>
      </c>
      <c r="AM682" s="747">
        <f t="shared" si="122"/>
        <v>679</v>
      </c>
      <c r="AN682" s="164" t="e">
        <f>VLOOKUP($AM682,PATRIMONIALE!$AV734:AW$1003,2,FALSE)</f>
        <v>#N/A</v>
      </c>
      <c r="AO682" s="310" t="e">
        <f>VLOOKUP($AM682,PATRIMONIALE!$AV734:AX$1003,3,FALSE)</f>
        <v>#N/A</v>
      </c>
      <c r="AP682" s="310" t="e">
        <f>VLOOKUP($AM682,PATRIMONIALE!$AV734:AY$1003,4,FALSE)</f>
        <v>#N/A</v>
      </c>
      <c r="AQ682" s="748" t="e">
        <f>VLOOKUP($AM682,PATRIMONIALE!$AV734:AZ$1003,5,FALSE)</f>
        <v>#N/A</v>
      </c>
      <c r="AR682" s="1"/>
      <c r="AS682" s="461" t="str">
        <f t="shared" si="120"/>
        <v/>
      </c>
      <c r="AT682" s="370"/>
    </row>
    <row r="683" spans="1:46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435">
        <f>IF(AND(W683&gt;=$U$1,W683&lt;=$U$2),IF(X683='ESTRATTO CONTO'!$E$2,1+COUNTIF(U$4:U682,"&gt;0"),0),0)</f>
        <v>0</v>
      </c>
      <c r="V683" s="417">
        <f t="shared" si="121"/>
        <v>680</v>
      </c>
      <c r="W683" s="509"/>
      <c r="X683" s="321"/>
      <c r="Y683" s="321"/>
      <c r="Z683" s="433"/>
      <c r="AA683" s="356"/>
      <c r="AB683" s="306" t="str">
        <f t="shared" si="116"/>
        <v/>
      </c>
      <c r="AC683" s="893">
        <f t="shared" si="117"/>
        <v>0</v>
      </c>
      <c r="AD683" s="322"/>
      <c r="AE683" s="1"/>
      <c r="AF683" s="223">
        <f>IF(ISBLANK(AD683),0,COUNTIF(AF$4:AF682,"&gt;0")+1)</f>
        <v>0</v>
      </c>
      <c r="AG683" s="164">
        <f t="shared" si="123"/>
        <v>0</v>
      </c>
      <c r="AH683" s="99">
        <f t="shared" si="118"/>
        <v>0</v>
      </c>
      <c r="AI683" s="99">
        <f t="shared" si="124"/>
        <v>0</v>
      </c>
      <c r="AJ683" s="170">
        <f t="shared" si="125"/>
        <v>0</v>
      </c>
      <c r="AK683" s="204">
        <f t="shared" si="119"/>
        <v>0</v>
      </c>
      <c r="AL683" s="1049">
        <f>IF(ISERROR(AO683),0,IF(AND(AN683&gt;=$U$1,AN683&lt;=$U$2),IF(AO683='ESTRATTO CONTO'!$E$2,1+COUNTIF(AL$4:AL682,"&gt;0")+U$1009,0),0))</f>
        <v>0</v>
      </c>
      <c r="AM683" s="747">
        <f t="shared" si="122"/>
        <v>680</v>
      </c>
      <c r="AN683" s="164" t="e">
        <f>VLOOKUP($AM683,PATRIMONIALE!$AV735:AW$1003,2,FALSE)</f>
        <v>#N/A</v>
      </c>
      <c r="AO683" s="310" t="e">
        <f>VLOOKUP($AM683,PATRIMONIALE!$AV735:AX$1003,3,FALSE)</f>
        <v>#N/A</v>
      </c>
      <c r="AP683" s="310" t="e">
        <f>VLOOKUP($AM683,PATRIMONIALE!$AV735:AY$1003,4,FALSE)</f>
        <v>#N/A</v>
      </c>
      <c r="AQ683" s="748" t="e">
        <f>VLOOKUP($AM683,PATRIMONIALE!$AV735:AZ$1003,5,FALSE)</f>
        <v>#N/A</v>
      </c>
      <c r="AR683" s="1"/>
      <c r="AS683" s="461" t="str">
        <f t="shared" si="120"/>
        <v/>
      </c>
      <c r="AT683" s="370"/>
    </row>
    <row r="684" spans="1:46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435">
        <f>IF(AND(W684&gt;=$U$1,W684&lt;=$U$2),IF(X684='ESTRATTO CONTO'!$E$2,1+COUNTIF(U$4:U683,"&gt;0"),0),0)</f>
        <v>0</v>
      </c>
      <c r="V684" s="417">
        <f t="shared" si="121"/>
        <v>681</v>
      </c>
      <c r="W684" s="509"/>
      <c r="X684" s="321"/>
      <c r="Y684" s="321"/>
      <c r="Z684" s="433"/>
      <c r="AA684" s="356"/>
      <c r="AB684" s="306" t="str">
        <f t="shared" si="116"/>
        <v/>
      </c>
      <c r="AC684" s="893">
        <f t="shared" si="117"/>
        <v>0</v>
      </c>
      <c r="AD684" s="322"/>
      <c r="AE684" s="1"/>
      <c r="AF684" s="223">
        <f>IF(ISBLANK(AD684),0,COUNTIF(AF$4:AF683,"&gt;0")+1)</f>
        <v>0</v>
      </c>
      <c r="AG684" s="164">
        <f t="shared" si="123"/>
        <v>0</v>
      </c>
      <c r="AH684" s="99">
        <f t="shared" si="118"/>
        <v>0</v>
      </c>
      <c r="AI684" s="99">
        <f t="shared" si="124"/>
        <v>0</v>
      </c>
      <c r="AJ684" s="170">
        <f t="shared" si="125"/>
        <v>0</v>
      </c>
      <c r="AK684" s="204">
        <f t="shared" si="119"/>
        <v>0</v>
      </c>
      <c r="AL684" s="1049">
        <f>IF(ISERROR(AO684),0,IF(AND(AN684&gt;=$U$1,AN684&lt;=$U$2),IF(AO684='ESTRATTO CONTO'!$E$2,1+COUNTIF(AL$4:AL683,"&gt;0")+U$1009,0),0))</f>
        <v>0</v>
      </c>
      <c r="AM684" s="747">
        <f t="shared" si="122"/>
        <v>681</v>
      </c>
      <c r="AN684" s="164" t="e">
        <f>VLOOKUP($AM684,PATRIMONIALE!$AV736:AW$1003,2,FALSE)</f>
        <v>#N/A</v>
      </c>
      <c r="AO684" s="310" t="e">
        <f>VLOOKUP($AM684,PATRIMONIALE!$AV736:AX$1003,3,FALSE)</f>
        <v>#N/A</v>
      </c>
      <c r="AP684" s="310" t="e">
        <f>VLOOKUP($AM684,PATRIMONIALE!$AV736:AY$1003,4,FALSE)</f>
        <v>#N/A</v>
      </c>
      <c r="AQ684" s="748" t="e">
        <f>VLOOKUP($AM684,PATRIMONIALE!$AV736:AZ$1003,5,FALSE)</f>
        <v>#N/A</v>
      </c>
      <c r="AR684" s="1"/>
      <c r="AS684" s="461" t="str">
        <f t="shared" si="120"/>
        <v/>
      </c>
      <c r="AT684" s="370"/>
    </row>
    <row r="685" spans="1:46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435">
        <f>IF(AND(W685&gt;=$U$1,W685&lt;=$U$2),IF(X685='ESTRATTO CONTO'!$E$2,1+COUNTIF(U$4:U684,"&gt;0"),0),0)</f>
        <v>0</v>
      </c>
      <c r="V685" s="417">
        <f t="shared" si="121"/>
        <v>682</v>
      </c>
      <c r="W685" s="509"/>
      <c r="X685" s="321"/>
      <c r="Y685" s="321"/>
      <c r="Z685" s="433"/>
      <c r="AA685" s="356"/>
      <c r="AB685" s="306" t="str">
        <f t="shared" si="116"/>
        <v/>
      </c>
      <c r="AC685" s="893">
        <f t="shared" si="117"/>
        <v>0</v>
      </c>
      <c r="AD685" s="322"/>
      <c r="AE685" s="1"/>
      <c r="AF685" s="223">
        <f>IF(ISBLANK(AD685),0,COUNTIF(AF$4:AF684,"&gt;0")+1)</f>
        <v>0</v>
      </c>
      <c r="AG685" s="164">
        <f t="shared" si="123"/>
        <v>0</v>
      </c>
      <c r="AH685" s="99">
        <f t="shared" si="118"/>
        <v>0</v>
      </c>
      <c r="AI685" s="99">
        <f t="shared" si="124"/>
        <v>0</v>
      </c>
      <c r="AJ685" s="170">
        <f t="shared" si="125"/>
        <v>0</v>
      </c>
      <c r="AK685" s="204">
        <f t="shared" si="119"/>
        <v>0</v>
      </c>
      <c r="AL685" s="1049">
        <f>IF(ISERROR(AO685),0,IF(AND(AN685&gt;=$U$1,AN685&lt;=$U$2),IF(AO685='ESTRATTO CONTO'!$E$2,1+COUNTIF(AL$4:AL684,"&gt;0")+U$1009,0),0))</f>
        <v>0</v>
      </c>
      <c r="AM685" s="747">
        <f t="shared" si="122"/>
        <v>682</v>
      </c>
      <c r="AN685" s="164" t="e">
        <f>VLOOKUP($AM685,PATRIMONIALE!$AV737:AW$1003,2,FALSE)</f>
        <v>#N/A</v>
      </c>
      <c r="AO685" s="310" t="e">
        <f>VLOOKUP($AM685,PATRIMONIALE!$AV737:AX$1003,3,FALSE)</f>
        <v>#N/A</v>
      </c>
      <c r="AP685" s="310" t="e">
        <f>VLOOKUP($AM685,PATRIMONIALE!$AV737:AY$1003,4,FALSE)</f>
        <v>#N/A</v>
      </c>
      <c r="AQ685" s="748" t="e">
        <f>VLOOKUP($AM685,PATRIMONIALE!$AV737:AZ$1003,5,FALSE)</f>
        <v>#N/A</v>
      </c>
      <c r="AR685" s="1"/>
      <c r="AS685" s="461" t="str">
        <f t="shared" si="120"/>
        <v/>
      </c>
      <c r="AT685" s="370"/>
    </row>
    <row r="686" spans="1:46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435">
        <f>IF(AND(W686&gt;=$U$1,W686&lt;=$U$2),IF(X686='ESTRATTO CONTO'!$E$2,1+COUNTIF(U$4:U685,"&gt;0"),0),0)</f>
        <v>0</v>
      </c>
      <c r="V686" s="417">
        <f t="shared" si="121"/>
        <v>683</v>
      </c>
      <c r="W686" s="509"/>
      <c r="X686" s="321"/>
      <c r="Y686" s="321"/>
      <c r="Z686" s="433"/>
      <c r="AA686" s="356"/>
      <c r="AB686" s="306" t="str">
        <f t="shared" si="116"/>
        <v/>
      </c>
      <c r="AC686" s="893">
        <f t="shared" si="117"/>
        <v>0</v>
      </c>
      <c r="AD686" s="322"/>
      <c r="AE686" s="1"/>
      <c r="AF686" s="223">
        <f>IF(ISBLANK(AD686),0,COUNTIF(AF$4:AF685,"&gt;0")+1)</f>
        <v>0</v>
      </c>
      <c r="AG686" s="164">
        <f t="shared" si="123"/>
        <v>0</v>
      </c>
      <c r="AH686" s="99">
        <f t="shared" si="118"/>
        <v>0</v>
      </c>
      <c r="AI686" s="99">
        <f t="shared" si="124"/>
        <v>0</v>
      </c>
      <c r="AJ686" s="170">
        <f t="shared" si="125"/>
        <v>0</v>
      </c>
      <c r="AK686" s="204">
        <f t="shared" si="119"/>
        <v>0</v>
      </c>
      <c r="AL686" s="1049">
        <f>IF(ISERROR(AO686),0,IF(AND(AN686&gt;=$U$1,AN686&lt;=$U$2),IF(AO686='ESTRATTO CONTO'!$E$2,1+COUNTIF(AL$4:AL685,"&gt;0")+U$1009,0),0))</f>
        <v>0</v>
      </c>
      <c r="AM686" s="747">
        <f t="shared" si="122"/>
        <v>683</v>
      </c>
      <c r="AN686" s="164" t="e">
        <f>VLOOKUP($AM686,PATRIMONIALE!$AV738:AW$1003,2,FALSE)</f>
        <v>#N/A</v>
      </c>
      <c r="AO686" s="310" t="e">
        <f>VLOOKUP($AM686,PATRIMONIALE!$AV738:AX$1003,3,FALSE)</f>
        <v>#N/A</v>
      </c>
      <c r="AP686" s="310" t="e">
        <f>VLOOKUP($AM686,PATRIMONIALE!$AV738:AY$1003,4,FALSE)</f>
        <v>#N/A</v>
      </c>
      <c r="AQ686" s="748" t="e">
        <f>VLOOKUP($AM686,PATRIMONIALE!$AV738:AZ$1003,5,FALSE)</f>
        <v>#N/A</v>
      </c>
      <c r="AR686" s="1"/>
      <c r="AS686" s="461" t="str">
        <f t="shared" si="120"/>
        <v/>
      </c>
      <c r="AT686" s="370"/>
    </row>
    <row r="687" spans="1:46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435">
        <f>IF(AND(W687&gt;=$U$1,W687&lt;=$U$2),IF(X687='ESTRATTO CONTO'!$E$2,1+COUNTIF(U$4:U686,"&gt;0"),0),0)</f>
        <v>0</v>
      </c>
      <c r="V687" s="417">
        <f t="shared" si="121"/>
        <v>684</v>
      </c>
      <c r="W687" s="509"/>
      <c r="X687" s="321"/>
      <c r="Y687" s="321"/>
      <c r="Z687" s="433"/>
      <c r="AA687" s="356"/>
      <c r="AB687" s="306" t="str">
        <f t="shared" si="116"/>
        <v/>
      </c>
      <c r="AC687" s="893">
        <f t="shared" si="117"/>
        <v>0</v>
      </c>
      <c r="AD687" s="322"/>
      <c r="AE687" s="1"/>
      <c r="AF687" s="223">
        <f>IF(ISBLANK(AD687),0,COUNTIF(AF$4:AF686,"&gt;0")+1)</f>
        <v>0</v>
      </c>
      <c r="AG687" s="164">
        <f t="shared" si="123"/>
        <v>0</v>
      </c>
      <c r="AH687" s="99">
        <f t="shared" si="118"/>
        <v>0</v>
      </c>
      <c r="AI687" s="99">
        <f t="shared" si="124"/>
        <v>0</v>
      </c>
      <c r="AJ687" s="170">
        <f t="shared" si="125"/>
        <v>0</v>
      </c>
      <c r="AK687" s="204">
        <f t="shared" si="119"/>
        <v>0</v>
      </c>
      <c r="AL687" s="1049">
        <f>IF(ISERROR(AO687),0,IF(AND(AN687&gt;=$U$1,AN687&lt;=$U$2),IF(AO687='ESTRATTO CONTO'!$E$2,1+COUNTIF(AL$4:AL686,"&gt;0")+U$1009,0),0))</f>
        <v>0</v>
      </c>
      <c r="AM687" s="747">
        <f t="shared" si="122"/>
        <v>684</v>
      </c>
      <c r="AN687" s="164" t="e">
        <f>VLOOKUP($AM687,PATRIMONIALE!$AV739:AW$1003,2,FALSE)</f>
        <v>#N/A</v>
      </c>
      <c r="AO687" s="310" t="e">
        <f>VLOOKUP($AM687,PATRIMONIALE!$AV739:AX$1003,3,FALSE)</f>
        <v>#N/A</v>
      </c>
      <c r="AP687" s="310" t="e">
        <f>VLOOKUP($AM687,PATRIMONIALE!$AV739:AY$1003,4,FALSE)</f>
        <v>#N/A</v>
      </c>
      <c r="AQ687" s="748" t="e">
        <f>VLOOKUP($AM687,PATRIMONIALE!$AV739:AZ$1003,5,FALSE)</f>
        <v>#N/A</v>
      </c>
      <c r="AR687" s="1"/>
      <c r="AS687" s="461" t="str">
        <f t="shared" si="120"/>
        <v/>
      </c>
      <c r="AT687" s="370"/>
    </row>
    <row r="688" spans="1:46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435">
        <f>IF(AND(W688&gt;=$U$1,W688&lt;=$U$2),IF(X688='ESTRATTO CONTO'!$E$2,1+COUNTIF(U$4:U687,"&gt;0"),0),0)</f>
        <v>0</v>
      </c>
      <c r="V688" s="417">
        <f t="shared" si="121"/>
        <v>685</v>
      </c>
      <c r="W688" s="509"/>
      <c r="X688" s="321"/>
      <c r="Y688" s="321"/>
      <c r="Z688" s="433"/>
      <c r="AA688" s="356"/>
      <c r="AB688" s="306" t="str">
        <f t="shared" si="116"/>
        <v/>
      </c>
      <c r="AC688" s="893">
        <f t="shared" si="117"/>
        <v>0</v>
      </c>
      <c r="AD688" s="322"/>
      <c r="AE688" s="1"/>
      <c r="AF688" s="223">
        <f>IF(ISBLANK(AD688),0,COUNTIF(AF$4:AF687,"&gt;0")+1)</f>
        <v>0</v>
      </c>
      <c r="AG688" s="164">
        <f t="shared" si="123"/>
        <v>0</v>
      </c>
      <c r="AH688" s="99">
        <f t="shared" si="118"/>
        <v>0</v>
      </c>
      <c r="AI688" s="99">
        <f t="shared" si="124"/>
        <v>0</v>
      </c>
      <c r="AJ688" s="170">
        <f t="shared" si="125"/>
        <v>0</v>
      </c>
      <c r="AK688" s="204">
        <f t="shared" si="119"/>
        <v>0</v>
      </c>
      <c r="AL688" s="1049">
        <f>IF(ISERROR(AO688),0,IF(AND(AN688&gt;=$U$1,AN688&lt;=$U$2),IF(AO688='ESTRATTO CONTO'!$E$2,1+COUNTIF(AL$4:AL687,"&gt;0")+U$1009,0),0))</f>
        <v>0</v>
      </c>
      <c r="AM688" s="747">
        <f t="shared" si="122"/>
        <v>685</v>
      </c>
      <c r="AN688" s="164" t="e">
        <f>VLOOKUP($AM688,PATRIMONIALE!$AV740:AW$1003,2,FALSE)</f>
        <v>#N/A</v>
      </c>
      <c r="AO688" s="310" t="e">
        <f>VLOOKUP($AM688,PATRIMONIALE!$AV740:AX$1003,3,FALSE)</f>
        <v>#N/A</v>
      </c>
      <c r="AP688" s="310" t="e">
        <f>VLOOKUP($AM688,PATRIMONIALE!$AV740:AY$1003,4,FALSE)</f>
        <v>#N/A</v>
      </c>
      <c r="AQ688" s="748" t="e">
        <f>VLOOKUP($AM688,PATRIMONIALE!$AV740:AZ$1003,5,FALSE)</f>
        <v>#N/A</v>
      </c>
      <c r="AR688" s="1"/>
      <c r="AS688" s="461" t="str">
        <f t="shared" si="120"/>
        <v/>
      </c>
      <c r="AT688" s="370"/>
    </row>
    <row r="689" spans="1:46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435">
        <f>IF(AND(W689&gt;=$U$1,W689&lt;=$U$2),IF(X689='ESTRATTO CONTO'!$E$2,1+COUNTIF(U$4:U688,"&gt;0"),0),0)</f>
        <v>0</v>
      </c>
      <c r="V689" s="417">
        <f t="shared" si="121"/>
        <v>686</v>
      </c>
      <c r="W689" s="509"/>
      <c r="X689" s="321"/>
      <c r="Y689" s="321"/>
      <c r="Z689" s="433"/>
      <c r="AA689" s="356"/>
      <c r="AB689" s="306" t="str">
        <f t="shared" si="116"/>
        <v/>
      </c>
      <c r="AC689" s="893">
        <f t="shared" si="117"/>
        <v>0</v>
      </c>
      <c r="AD689" s="322"/>
      <c r="AE689" s="1"/>
      <c r="AF689" s="223">
        <f>IF(ISBLANK(AD689),0,COUNTIF(AF$4:AF688,"&gt;0")+1)</f>
        <v>0</v>
      </c>
      <c r="AG689" s="164">
        <f t="shared" si="123"/>
        <v>0</v>
      </c>
      <c r="AH689" s="99">
        <f t="shared" si="118"/>
        <v>0</v>
      </c>
      <c r="AI689" s="99">
        <f t="shared" si="124"/>
        <v>0</v>
      </c>
      <c r="AJ689" s="170">
        <f t="shared" si="125"/>
        <v>0</v>
      </c>
      <c r="AK689" s="204">
        <f t="shared" si="119"/>
        <v>0</v>
      </c>
      <c r="AL689" s="1049">
        <f>IF(ISERROR(AO689),0,IF(AND(AN689&gt;=$U$1,AN689&lt;=$U$2),IF(AO689='ESTRATTO CONTO'!$E$2,1+COUNTIF(AL$4:AL688,"&gt;0")+U$1009,0),0))</f>
        <v>0</v>
      </c>
      <c r="AM689" s="747">
        <f t="shared" si="122"/>
        <v>686</v>
      </c>
      <c r="AN689" s="164" t="e">
        <f>VLOOKUP($AM689,PATRIMONIALE!$AV741:AW$1003,2,FALSE)</f>
        <v>#N/A</v>
      </c>
      <c r="AO689" s="310" t="e">
        <f>VLOOKUP($AM689,PATRIMONIALE!$AV741:AX$1003,3,FALSE)</f>
        <v>#N/A</v>
      </c>
      <c r="AP689" s="310" t="e">
        <f>VLOOKUP($AM689,PATRIMONIALE!$AV741:AY$1003,4,FALSE)</f>
        <v>#N/A</v>
      </c>
      <c r="AQ689" s="748" t="e">
        <f>VLOOKUP($AM689,PATRIMONIALE!$AV741:AZ$1003,5,FALSE)</f>
        <v>#N/A</v>
      </c>
      <c r="AR689" s="1"/>
      <c r="AS689" s="461" t="str">
        <f t="shared" si="120"/>
        <v/>
      </c>
      <c r="AT689" s="370"/>
    </row>
    <row r="690" spans="1:46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435">
        <f>IF(AND(W690&gt;=$U$1,W690&lt;=$U$2),IF(X690='ESTRATTO CONTO'!$E$2,1+COUNTIF(U$4:U689,"&gt;0"),0),0)</f>
        <v>0</v>
      </c>
      <c r="V690" s="417">
        <f t="shared" si="121"/>
        <v>687</v>
      </c>
      <c r="W690" s="509"/>
      <c r="X690" s="321"/>
      <c r="Y690" s="321"/>
      <c r="Z690" s="433"/>
      <c r="AA690" s="356"/>
      <c r="AB690" s="306" t="str">
        <f t="shared" si="116"/>
        <v/>
      </c>
      <c r="AC690" s="893">
        <f t="shared" si="117"/>
        <v>0</v>
      </c>
      <c r="AD690" s="322"/>
      <c r="AE690" s="1"/>
      <c r="AF690" s="223">
        <f>IF(ISBLANK(AD690),0,COUNTIF(AF$4:AF689,"&gt;0")+1)</f>
        <v>0</v>
      </c>
      <c r="AG690" s="164">
        <f t="shared" si="123"/>
        <v>0</v>
      </c>
      <c r="AH690" s="99">
        <f t="shared" si="118"/>
        <v>0</v>
      </c>
      <c r="AI690" s="99">
        <f t="shared" si="124"/>
        <v>0</v>
      </c>
      <c r="AJ690" s="170">
        <f t="shared" si="125"/>
        <v>0</v>
      </c>
      <c r="AK690" s="204">
        <f t="shared" si="119"/>
        <v>0</v>
      </c>
      <c r="AL690" s="1049">
        <f>IF(ISERROR(AO690),0,IF(AND(AN690&gt;=$U$1,AN690&lt;=$U$2),IF(AO690='ESTRATTO CONTO'!$E$2,1+COUNTIF(AL$4:AL689,"&gt;0")+U$1009,0),0))</f>
        <v>0</v>
      </c>
      <c r="AM690" s="747">
        <f t="shared" si="122"/>
        <v>687</v>
      </c>
      <c r="AN690" s="164" t="e">
        <f>VLOOKUP($AM690,PATRIMONIALE!$AV742:AW$1003,2,FALSE)</f>
        <v>#N/A</v>
      </c>
      <c r="AO690" s="310" t="e">
        <f>VLOOKUP($AM690,PATRIMONIALE!$AV742:AX$1003,3,FALSE)</f>
        <v>#N/A</v>
      </c>
      <c r="AP690" s="310" t="e">
        <f>VLOOKUP($AM690,PATRIMONIALE!$AV742:AY$1003,4,FALSE)</f>
        <v>#N/A</v>
      </c>
      <c r="AQ690" s="748" t="e">
        <f>VLOOKUP($AM690,PATRIMONIALE!$AV742:AZ$1003,5,FALSE)</f>
        <v>#N/A</v>
      </c>
      <c r="AR690" s="1"/>
      <c r="AS690" s="461" t="str">
        <f t="shared" si="120"/>
        <v/>
      </c>
      <c r="AT690" s="370"/>
    </row>
    <row r="691" spans="1:46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435">
        <f>IF(AND(W691&gt;=$U$1,W691&lt;=$U$2),IF(X691='ESTRATTO CONTO'!$E$2,1+COUNTIF(U$4:U690,"&gt;0"),0),0)</f>
        <v>0</v>
      </c>
      <c r="V691" s="417">
        <f t="shared" si="121"/>
        <v>688</v>
      </c>
      <c r="W691" s="509"/>
      <c r="X691" s="321"/>
      <c r="Y691" s="321"/>
      <c r="Z691" s="433"/>
      <c r="AA691" s="356"/>
      <c r="AB691" s="306" t="str">
        <f t="shared" si="116"/>
        <v/>
      </c>
      <c r="AC691" s="893">
        <f t="shared" si="117"/>
        <v>0</v>
      </c>
      <c r="AD691" s="322"/>
      <c r="AE691" s="1"/>
      <c r="AF691" s="223">
        <f>IF(ISBLANK(AD691),0,COUNTIF(AF$4:AF690,"&gt;0")+1)</f>
        <v>0</v>
      </c>
      <c r="AG691" s="164">
        <f t="shared" si="123"/>
        <v>0</v>
      </c>
      <c r="AH691" s="99">
        <f t="shared" si="118"/>
        <v>0</v>
      </c>
      <c r="AI691" s="99">
        <f t="shared" si="124"/>
        <v>0</v>
      </c>
      <c r="AJ691" s="170">
        <f t="shared" si="125"/>
        <v>0</v>
      </c>
      <c r="AK691" s="204">
        <f t="shared" si="119"/>
        <v>0</v>
      </c>
      <c r="AL691" s="1049">
        <f>IF(ISERROR(AO691),0,IF(AND(AN691&gt;=$U$1,AN691&lt;=$U$2),IF(AO691='ESTRATTO CONTO'!$E$2,1+COUNTIF(AL$4:AL690,"&gt;0")+U$1009,0),0))</f>
        <v>0</v>
      </c>
      <c r="AM691" s="747">
        <f t="shared" si="122"/>
        <v>688</v>
      </c>
      <c r="AN691" s="164" t="e">
        <f>VLOOKUP($AM691,PATRIMONIALE!$AV743:AW$1003,2,FALSE)</f>
        <v>#N/A</v>
      </c>
      <c r="AO691" s="310" t="e">
        <f>VLOOKUP($AM691,PATRIMONIALE!$AV743:AX$1003,3,FALSE)</f>
        <v>#N/A</v>
      </c>
      <c r="AP691" s="310" t="e">
        <f>VLOOKUP($AM691,PATRIMONIALE!$AV743:AY$1003,4,FALSE)</f>
        <v>#N/A</v>
      </c>
      <c r="AQ691" s="748" t="e">
        <f>VLOOKUP($AM691,PATRIMONIALE!$AV743:AZ$1003,5,FALSE)</f>
        <v>#N/A</v>
      </c>
      <c r="AR691" s="1"/>
      <c r="AS691" s="461" t="str">
        <f t="shared" si="120"/>
        <v/>
      </c>
      <c r="AT691" s="370"/>
    </row>
    <row r="692" spans="1:46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435">
        <f>IF(AND(W692&gt;=$U$1,W692&lt;=$U$2),IF(X692='ESTRATTO CONTO'!$E$2,1+COUNTIF(U$4:U691,"&gt;0"),0),0)</f>
        <v>0</v>
      </c>
      <c r="V692" s="417">
        <f t="shared" si="121"/>
        <v>689</v>
      </c>
      <c r="W692" s="509"/>
      <c r="X692" s="321"/>
      <c r="Y692" s="321"/>
      <c r="Z692" s="433"/>
      <c r="AA692" s="356"/>
      <c r="AB692" s="306" t="str">
        <f t="shared" si="116"/>
        <v/>
      </c>
      <c r="AC692" s="893">
        <f t="shared" si="117"/>
        <v>0</v>
      </c>
      <c r="AD692" s="322"/>
      <c r="AE692" s="1"/>
      <c r="AF692" s="223">
        <f>IF(ISBLANK(AD692),0,COUNTIF(AF$4:AF691,"&gt;0")+1)</f>
        <v>0</v>
      </c>
      <c r="AG692" s="164">
        <f t="shared" si="123"/>
        <v>0</v>
      </c>
      <c r="AH692" s="99">
        <f t="shared" si="118"/>
        <v>0</v>
      </c>
      <c r="AI692" s="99">
        <f t="shared" si="124"/>
        <v>0</v>
      </c>
      <c r="AJ692" s="170">
        <f t="shared" si="125"/>
        <v>0</v>
      </c>
      <c r="AK692" s="204">
        <f t="shared" si="119"/>
        <v>0</v>
      </c>
      <c r="AL692" s="1049">
        <f>IF(ISERROR(AO692),0,IF(AND(AN692&gt;=$U$1,AN692&lt;=$U$2),IF(AO692='ESTRATTO CONTO'!$E$2,1+COUNTIF(AL$4:AL691,"&gt;0")+U$1009,0),0))</f>
        <v>0</v>
      </c>
      <c r="AM692" s="747">
        <f t="shared" si="122"/>
        <v>689</v>
      </c>
      <c r="AN692" s="164" t="e">
        <f>VLOOKUP($AM692,PATRIMONIALE!$AV744:AW$1003,2,FALSE)</f>
        <v>#N/A</v>
      </c>
      <c r="AO692" s="310" t="e">
        <f>VLOOKUP($AM692,PATRIMONIALE!$AV744:AX$1003,3,FALSE)</f>
        <v>#N/A</v>
      </c>
      <c r="AP692" s="310" t="e">
        <f>VLOOKUP($AM692,PATRIMONIALE!$AV744:AY$1003,4,FALSE)</f>
        <v>#N/A</v>
      </c>
      <c r="AQ692" s="748" t="e">
        <f>VLOOKUP($AM692,PATRIMONIALE!$AV744:AZ$1003,5,FALSE)</f>
        <v>#N/A</v>
      </c>
      <c r="AR692" s="1"/>
      <c r="AS692" s="461" t="str">
        <f t="shared" si="120"/>
        <v/>
      </c>
      <c r="AT692" s="370"/>
    </row>
    <row r="693" spans="1:46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435">
        <f>IF(AND(W693&gt;=$U$1,W693&lt;=$U$2),IF(X693='ESTRATTO CONTO'!$E$2,1+COUNTIF(U$4:U692,"&gt;0"),0),0)</f>
        <v>0</v>
      </c>
      <c r="V693" s="417">
        <f t="shared" si="121"/>
        <v>690</v>
      </c>
      <c r="W693" s="509"/>
      <c r="X693" s="321"/>
      <c r="Y693" s="321"/>
      <c r="Z693" s="433"/>
      <c r="AA693" s="356"/>
      <c r="AB693" s="306" t="str">
        <f t="shared" si="116"/>
        <v/>
      </c>
      <c r="AC693" s="893">
        <f t="shared" si="117"/>
        <v>0</v>
      </c>
      <c r="AD693" s="322"/>
      <c r="AE693" s="1"/>
      <c r="AF693" s="223">
        <f>IF(ISBLANK(AD693),0,COUNTIF(AF$4:AF692,"&gt;0")+1)</f>
        <v>0</v>
      </c>
      <c r="AG693" s="164">
        <f t="shared" si="123"/>
        <v>0</v>
      </c>
      <c r="AH693" s="99">
        <f t="shared" si="118"/>
        <v>0</v>
      </c>
      <c r="AI693" s="99">
        <f t="shared" si="124"/>
        <v>0</v>
      </c>
      <c r="AJ693" s="170">
        <f t="shared" si="125"/>
        <v>0</v>
      </c>
      <c r="AK693" s="204">
        <f t="shared" si="119"/>
        <v>0</v>
      </c>
      <c r="AL693" s="1049">
        <f>IF(ISERROR(AO693),0,IF(AND(AN693&gt;=$U$1,AN693&lt;=$U$2),IF(AO693='ESTRATTO CONTO'!$E$2,1+COUNTIF(AL$4:AL692,"&gt;0")+U$1009,0),0))</f>
        <v>0</v>
      </c>
      <c r="AM693" s="747">
        <f t="shared" si="122"/>
        <v>690</v>
      </c>
      <c r="AN693" s="164" t="e">
        <f>VLOOKUP($AM693,PATRIMONIALE!$AV745:AW$1003,2,FALSE)</f>
        <v>#N/A</v>
      </c>
      <c r="AO693" s="310" t="e">
        <f>VLOOKUP($AM693,PATRIMONIALE!$AV745:AX$1003,3,FALSE)</f>
        <v>#N/A</v>
      </c>
      <c r="AP693" s="310" t="e">
        <f>VLOOKUP($AM693,PATRIMONIALE!$AV745:AY$1003,4,FALSE)</f>
        <v>#N/A</v>
      </c>
      <c r="AQ693" s="748" t="e">
        <f>VLOOKUP($AM693,PATRIMONIALE!$AV745:AZ$1003,5,FALSE)</f>
        <v>#N/A</v>
      </c>
      <c r="AR693" s="1"/>
      <c r="AS693" s="461" t="str">
        <f t="shared" si="120"/>
        <v/>
      </c>
      <c r="AT693" s="370"/>
    </row>
    <row r="694" spans="1:46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435">
        <f>IF(AND(W694&gt;=$U$1,W694&lt;=$U$2),IF(X694='ESTRATTO CONTO'!$E$2,1+COUNTIF(U$4:U693,"&gt;0"),0),0)</f>
        <v>0</v>
      </c>
      <c r="V694" s="417">
        <f t="shared" si="121"/>
        <v>691</v>
      </c>
      <c r="W694" s="509"/>
      <c r="X694" s="321"/>
      <c r="Y694" s="321"/>
      <c r="Z694" s="433"/>
      <c r="AA694" s="356"/>
      <c r="AB694" s="306" t="str">
        <f t="shared" si="116"/>
        <v/>
      </c>
      <c r="AC694" s="893">
        <f t="shared" si="117"/>
        <v>0</v>
      </c>
      <c r="AD694" s="322"/>
      <c r="AE694" s="1"/>
      <c r="AF694" s="223">
        <f>IF(ISBLANK(AD694),0,COUNTIF(AF$4:AF693,"&gt;0")+1)</f>
        <v>0</v>
      </c>
      <c r="AG694" s="164">
        <f t="shared" si="123"/>
        <v>0</v>
      </c>
      <c r="AH694" s="99">
        <f t="shared" si="118"/>
        <v>0</v>
      </c>
      <c r="AI694" s="99">
        <f t="shared" si="124"/>
        <v>0</v>
      </c>
      <c r="AJ694" s="170">
        <f t="shared" si="125"/>
        <v>0</v>
      </c>
      <c r="AK694" s="204">
        <f t="shared" si="119"/>
        <v>0</v>
      </c>
      <c r="AL694" s="1049">
        <f>IF(ISERROR(AO694),0,IF(AND(AN694&gt;=$U$1,AN694&lt;=$U$2),IF(AO694='ESTRATTO CONTO'!$E$2,1+COUNTIF(AL$4:AL693,"&gt;0")+U$1009,0),0))</f>
        <v>0</v>
      </c>
      <c r="AM694" s="747">
        <f t="shared" si="122"/>
        <v>691</v>
      </c>
      <c r="AN694" s="164" t="e">
        <f>VLOOKUP($AM694,PATRIMONIALE!$AV746:AW$1003,2,FALSE)</f>
        <v>#N/A</v>
      </c>
      <c r="AO694" s="310" t="e">
        <f>VLOOKUP($AM694,PATRIMONIALE!$AV746:AX$1003,3,FALSE)</f>
        <v>#N/A</v>
      </c>
      <c r="AP694" s="310" t="e">
        <f>VLOOKUP($AM694,PATRIMONIALE!$AV746:AY$1003,4,FALSE)</f>
        <v>#N/A</v>
      </c>
      <c r="AQ694" s="748" t="e">
        <f>VLOOKUP($AM694,PATRIMONIALE!$AV746:AZ$1003,5,FALSE)</f>
        <v>#N/A</v>
      </c>
      <c r="AR694" s="1"/>
      <c r="AS694" s="461" t="str">
        <f t="shared" si="120"/>
        <v/>
      </c>
      <c r="AT694" s="370"/>
    </row>
    <row r="695" spans="1:46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435">
        <f>IF(AND(W695&gt;=$U$1,W695&lt;=$U$2),IF(X695='ESTRATTO CONTO'!$E$2,1+COUNTIF(U$4:U694,"&gt;0"),0),0)</f>
        <v>0</v>
      </c>
      <c r="V695" s="417">
        <f t="shared" si="121"/>
        <v>692</v>
      </c>
      <c r="W695" s="509"/>
      <c r="X695" s="321"/>
      <c r="Y695" s="321"/>
      <c r="Z695" s="433"/>
      <c r="AA695" s="356"/>
      <c r="AB695" s="306" t="str">
        <f t="shared" si="116"/>
        <v/>
      </c>
      <c r="AC695" s="893">
        <f t="shared" si="117"/>
        <v>0</v>
      </c>
      <c r="AD695" s="322"/>
      <c r="AE695" s="1"/>
      <c r="AF695" s="223">
        <f>IF(ISBLANK(AD695),0,COUNTIF(AF$4:AF694,"&gt;0")+1)</f>
        <v>0</v>
      </c>
      <c r="AG695" s="164">
        <f t="shared" si="123"/>
        <v>0</v>
      </c>
      <c r="AH695" s="99">
        <f t="shared" si="118"/>
        <v>0</v>
      </c>
      <c r="AI695" s="99">
        <f t="shared" si="124"/>
        <v>0</v>
      </c>
      <c r="AJ695" s="170">
        <f t="shared" si="125"/>
        <v>0</v>
      </c>
      <c r="AK695" s="204">
        <f t="shared" si="119"/>
        <v>0</v>
      </c>
      <c r="AL695" s="1049">
        <f>IF(ISERROR(AO695),0,IF(AND(AN695&gt;=$U$1,AN695&lt;=$U$2),IF(AO695='ESTRATTO CONTO'!$E$2,1+COUNTIF(AL$4:AL694,"&gt;0")+U$1009,0),0))</f>
        <v>0</v>
      </c>
      <c r="AM695" s="747">
        <f t="shared" si="122"/>
        <v>692</v>
      </c>
      <c r="AN695" s="164" t="e">
        <f>VLOOKUP($AM695,PATRIMONIALE!$AV747:AW$1003,2,FALSE)</f>
        <v>#N/A</v>
      </c>
      <c r="AO695" s="310" t="e">
        <f>VLOOKUP($AM695,PATRIMONIALE!$AV747:AX$1003,3,FALSE)</f>
        <v>#N/A</v>
      </c>
      <c r="AP695" s="310" t="e">
        <f>VLOOKUP($AM695,PATRIMONIALE!$AV747:AY$1003,4,FALSE)</f>
        <v>#N/A</v>
      </c>
      <c r="AQ695" s="748" t="e">
        <f>VLOOKUP($AM695,PATRIMONIALE!$AV747:AZ$1003,5,FALSE)</f>
        <v>#N/A</v>
      </c>
      <c r="AR695" s="1"/>
      <c r="AS695" s="461" t="str">
        <f t="shared" si="120"/>
        <v/>
      </c>
      <c r="AT695" s="370"/>
    </row>
    <row r="696" spans="1:46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435">
        <f>IF(AND(W696&gt;=$U$1,W696&lt;=$U$2),IF(X696='ESTRATTO CONTO'!$E$2,1+COUNTIF(U$4:U695,"&gt;0"),0),0)</f>
        <v>0</v>
      </c>
      <c r="V696" s="417">
        <f t="shared" si="121"/>
        <v>693</v>
      </c>
      <c r="W696" s="509"/>
      <c r="X696" s="321"/>
      <c r="Y696" s="321"/>
      <c r="Z696" s="433"/>
      <c r="AA696" s="356"/>
      <c r="AB696" s="306" t="str">
        <f t="shared" si="116"/>
        <v/>
      </c>
      <c r="AC696" s="893">
        <f t="shared" si="117"/>
        <v>0</v>
      </c>
      <c r="AD696" s="322"/>
      <c r="AE696" s="1"/>
      <c r="AF696" s="223">
        <f>IF(ISBLANK(AD696),0,COUNTIF(AF$4:AF695,"&gt;0")+1)</f>
        <v>0</v>
      </c>
      <c r="AG696" s="164">
        <f t="shared" si="123"/>
        <v>0</v>
      </c>
      <c r="AH696" s="99">
        <f t="shared" si="118"/>
        <v>0</v>
      </c>
      <c r="AI696" s="99">
        <f t="shared" si="124"/>
        <v>0</v>
      </c>
      <c r="AJ696" s="170">
        <f t="shared" si="125"/>
        <v>0</v>
      </c>
      <c r="AK696" s="204">
        <f t="shared" si="119"/>
        <v>0</v>
      </c>
      <c r="AL696" s="1049">
        <f>IF(ISERROR(AO696),0,IF(AND(AN696&gt;=$U$1,AN696&lt;=$U$2),IF(AO696='ESTRATTO CONTO'!$E$2,1+COUNTIF(AL$4:AL695,"&gt;0")+U$1009,0),0))</f>
        <v>0</v>
      </c>
      <c r="AM696" s="747">
        <f t="shared" si="122"/>
        <v>693</v>
      </c>
      <c r="AN696" s="164" t="e">
        <f>VLOOKUP($AM696,PATRIMONIALE!$AV748:AW$1003,2,FALSE)</f>
        <v>#N/A</v>
      </c>
      <c r="AO696" s="310" t="e">
        <f>VLOOKUP($AM696,PATRIMONIALE!$AV748:AX$1003,3,FALSE)</f>
        <v>#N/A</v>
      </c>
      <c r="AP696" s="310" t="e">
        <f>VLOOKUP($AM696,PATRIMONIALE!$AV748:AY$1003,4,FALSE)</f>
        <v>#N/A</v>
      </c>
      <c r="AQ696" s="748" t="e">
        <f>VLOOKUP($AM696,PATRIMONIALE!$AV748:AZ$1003,5,FALSE)</f>
        <v>#N/A</v>
      </c>
      <c r="AR696" s="1"/>
      <c r="AS696" s="461" t="str">
        <f t="shared" si="120"/>
        <v/>
      </c>
      <c r="AT696" s="370"/>
    </row>
    <row r="697" spans="1:46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435">
        <f>IF(AND(W697&gt;=$U$1,W697&lt;=$U$2),IF(X697='ESTRATTO CONTO'!$E$2,1+COUNTIF(U$4:U696,"&gt;0"),0),0)</f>
        <v>0</v>
      </c>
      <c r="V697" s="417">
        <f t="shared" si="121"/>
        <v>694</v>
      </c>
      <c r="W697" s="509"/>
      <c r="X697" s="321"/>
      <c r="Y697" s="321"/>
      <c r="Z697" s="433"/>
      <c r="AA697" s="356"/>
      <c r="AB697" s="306" t="str">
        <f t="shared" si="116"/>
        <v/>
      </c>
      <c r="AC697" s="893">
        <f t="shared" si="117"/>
        <v>0</v>
      </c>
      <c r="AD697" s="322"/>
      <c r="AE697" s="1"/>
      <c r="AF697" s="223">
        <f>IF(ISBLANK(AD697),0,COUNTIF(AF$4:AF696,"&gt;0")+1)</f>
        <v>0</v>
      </c>
      <c r="AG697" s="164">
        <f t="shared" si="123"/>
        <v>0</v>
      </c>
      <c r="AH697" s="99">
        <f t="shared" si="118"/>
        <v>0</v>
      </c>
      <c r="AI697" s="99">
        <f t="shared" si="124"/>
        <v>0</v>
      </c>
      <c r="AJ697" s="170">
        <f t="shared" si="125"/>
        <v>0</v>
      </c>
      <c r="AK697" s="204">
        <f t="shared" si="119"/>
        <v>0</v>
      </c>
      <c r="AL697" s="1049">
        <f>IF(ISERROR(AO697),0,IF(AND(AN697&gt;=$U$1,AN697&lt;=$U$2),IF(AO697='ESTRATTO CONTO'!$E$2,1+COUNTIF(AL$4:AL696,"&gt;0")+U$1009,0),0))</f>
        <v>0</v>
      </c>
      <c r="AM697" s="747">
        <f t="shared" si="122"/>
        <v>694</v>
      </c>
      <c r="AN697" s="164" t="e">
        <f>VLOOKUP($AM697,PATRIMONIALE!$AV749:AW$1003,2,FALSE)</f>
        <v>#N/A</v>
      </c>
      <c r="AO697" s="310" t="e">
        <f>VLOOKUP($AM697,PATRIMONIALE!$AV749:AX$1003,3,FALSE)</f>
        <v>#N/A</v>
      </c>
      <c r="AP697" s="310" t="e">
        <f>VLOOKUP($AM697,PATRIMONIALE!$AV749:AY$1003,4,FALSE)</f>
        <v>#N/A</v>
      </c>
      <c r="AQ697" s="748" t="e">
        <f>VLOOKUP($AM697,PATRIMONIALE!$AV749:AZ$1003,5,FALSE)</f>
        <v>#N/A</v>
      </c>
      <c r="AR697" s="1"/>
      <c r="AS697" s="461" t="str">
        <f t="shared" si="120"/>
        <v/>
      </c>
      <c r="AT697" s="370"/>
    </row>
    <row r="698" spans="1:46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435">
        <f>IF(AND(W698&gt;=$U$1,W698&lt;=$U$2),IF(X698='ESTRATTO CONTO'!$E$2,1+COUNTIF(U$4:U697,"&gt;0"),0),0)</f>
        <v>0</v>
      </c>
      <c r="V698" s="417">
        <f t="shared" si="121"/>
        <v>695</v>
      </c>
      <c r="W698" s="509"/>
      <c r="X698" s="321"/>
      <c r="Y698" s="321"/>
      <c r="Z698" s="433"/>
      <c r="AA698" s="356"/>
      <c r="AB698" s="306" t="str">
        <f t="shared" si="116"/>
        <v/>
      </c>
      <c r="AC698" s="893">
        <f t="shared" si="117"/>
        <v>0</v>
      </c>
      <c r="AD698" s="322"/>
      <c r="AE698" s="1"/>
      <c r="AF698" s="223">
        <f>IF(ISBLANK(AD698),0,COUNTIF(AF$4:AF697,"&gt;0")+1)</f>
        <v>0</v>
      </c>
      <c r="AG698" s="164">
        <f t="shared" si="123"/>
        <v>0</v>
      </c>
      <c r="AH698" s="99">
        <f t="shared" si="118"/>
        <v>0</v>
      </c>
      <c r="AI698" s="99">
        <f t="shared" si="124"/>
        <v>0</v>
      </c>
      <c r="AJ698" s="170">
        <f t="shared" si="125"/>
        <v>0</v>
      </c>
      <c r="AK698" s="204">
        <f t="shared" si="119"/>
        <v>0</v>
      </c>
      <c r="AL698" s="1049">
        <f>IF(ISERROR(AO698),0,IF(AND(AN698&gt;=$U$1,AN698&lt;=$U$2),IF(AO698='ESTRATTO CONTO'!$E$2,1+COUNTIF(AL$4:AL697,"&gt;0")+U$1009,0),0))</f>
        <v>0</v>
      </c>
      <c r="AM698" s="747">
        <f t="shared" si="122"/>
        <v>695</v>
      </c>
      <c r="AN698" s="164" t="e">
        <f>VLOOKUP($AM698,PATRIMONIALE!$AV750:AW$1003,2,FALSE)</f>
        <v>#N/A</v>
      </c>
      <c r="AO698" s="310" t="e">
        <f>VLOOKUP($AM698,PATRIMONIALE!$AV750:AX$1003,3,FALSE)</f>
        <v>#N/A</v>
      </c>
      <c r="AP698" s="310" t="e">
        <f>VLOOKUP($AM698,PATRIMONIALE!$AV750:AY$1003,4,FALSE)</f>
        <v>#N/A</v>
      </c>
      <c r="AQ698" s="748" t="e">
        <f>VLOOKUP($AM698,PATRIMONIALE!$AV750:AZ$1003,5,FALSE)</f>
        <v>#N/A</v>
      </c>
      <c r="AR698" s="1"/>
      <c r="AS698" s="461" t="str">
        <f t="shared" si="120"/>
        <v/>
      </c>
      <c r="AT698" s="370"/>
    </row>
    <row r="699" spans="1:46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435">
        <f>IF(AND(W699&gt;=$U$1,W699&lt;=$U$2),IF(X699='ESTRATTO CONTO'!$E$2,1+COUNTIF(U$4:U698,"&gt;0"),0),0)</f>
        <v>0</v>
      </c>
      <c r="V699" s="417">
        <f t="shared" si="121"/>
        <v>696</v>
      </c>
      <c r="W699" s="509"/>
      <c r="X699" s="321"/>
      <c r="Y699" s="321"/>
      <c r="Z699" s="433"/>
      <c r="AA699" s="356"/>
      <c r="AB699" s="306" t="str">
        <f t="shared" si="116"/>
        <v/>
      </c>
      <c r="AC699" s="893">
        <f t="shared" si="117"/>
        <v>0</v>
      </c>
      <c r="AD699" s="322"/>
      <c r="AE699" s="1"/>
      <c r="AF699" s="223">
        <f>IF(ISBLANK(AD699),0,COUNTIF(AF$4:AF698,"&gt;0")+1)</f>
        <v>0</v>
      </c>
      <c r="AG699" s="164">
        <f t="shared" si="123"/>
        <v>0</v>
      </c>
      <c r="AH699" s="99">
        <f t="shared" si="118"/>
        <v>0</v>
      </c>
      <c r="AI699" s="99">
        <f t="shared" si="124"/>
        <v>0</v>
      </c>
      <c r="AJ699" s="170">
        <f t="shared" si="125"/>
        <v>0</v>
      </c>
      <c r="AK699" s="204">
        <f t="shared" si="119"/>
        <v>0</v>
      </c>
      <c r="AL699" s="1049">
        <f>IF(ISERROR(AO699),0,IF(AND(AN699&gt;=$U$1,AN699&lt;=$U$2),IF(AO699='ESTRATTO CONTO'!$E$2,1+COUNTIF(AL$4:AL698,"&gt;0")+U$1009,0),0))</f>
        <v>0</v>
      </c>
      <c r="AM699" s="747">
        <f t="shared" si="122"/>
        <v>696</v>
      </c>
      <c r="AN699" s="164" t="e">
        <f>VLOOKUP($AM699,PATRIMONIALE!$AV751:AW$1003,2,FALSE)</f>
        <v>#N/A</v>
      </c>
      <c r="AO699" s="310" t="e">
        <f>VLOOKUP($AM699,PATRIMONIALE!$AV751:AX$1003,3,FALSE)</f>
        <v>#N/A</v>
      </c>
      <c r="AP699" s="310" t="e">
        <f>VLOOKUP($AM699,PATRIMONIALE!$AV751:AY$1003,4,FALSE)</f>
        <v>#N/A</v>
      </c>
      <c r="AQ699" s="748" t="e">
        <f>VLOOKUP($AM699,PATRIMONIALE!$AV751:AZ$1003,5,FALSE)</f>
        <v>#N/A</v>
      </c>
      <c r="AR699" s="1"/>
      <c r="AS699" s="461" t="str">
        <f t="shared" si="120"/>
        <v/>
      </c>
      <c r="AT699" s="370"/>
    </row>
    <row r="700" spans="1:46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435">
        <f>IF(AND(W700&gt;=$U$1,W700&lt;=$U$2),IF(X700='ESTRATTO CONTO'!$E$2,1+COUNTIF(U$4:U699,"&gt;0"),0),0)</f>
        <v>0</v>
      </c>
      <c r="V700" s="417">
        <f t="shared" si="121"/>
        <v>697</v>
      </c>
      <c r="W700" s="509"/>
      <c r="X700" s="321"/>
      <c r="Y700" s="321"/>
      <c r="Z700" s="433"/>
      <c r="AA700" s="356"/>
      <c r="AB700" s="306" t="str">
        <f t="shared" si="116"/>
        <v/>
      </c>
      <c r="AC700" s="893">
        <f t="shared" si="117"/>
        <v>0</v>
      </c>
      <c r="AD700" s="322"/>
      <c r="AE700" s="1"/>
      <c r="AF700" s="223">
        <f>IF(ISBLANK(AD700),0,COUNTIF(AF$4:AF699,"&gt;0")+1)</f>
        <v>0</v>
      </c>
      <c r="AG700" s="164">
        <f t="shared" si="123"/>
        <v>0</v>
      </c>
      <c r="AH700" s="99">
        <f t="shared" si="118"/>
        <v>0</v>
      </c>
      <c r="AI700" s="99">
        <f t="shared" si="124"/>
        <v>0</v>
      </c>
      <c r="AJ700" s="170">
        <f t="shared" si="125"/>
        <v>0</v>
      </c>
      <c r="AK700" s="204">
        <f t="shared" si="119"/>
        <v>0</v>
      </c>
      <c r="AL700" s="1049">
        <f>IF(ISERROR(AO700),0,IF(AND(AN700&gt;=$U$1,AN700&lt;=$U$2),IF(AO700='ESTRATTO CONTO'!$E$2,1+COUNTIF(AL$4:AL699,"&gt;0")+U$1009,0),0))</f>
        <v>0</v>
      </c>
      <c r="AM700" s="747">
        <f t="shared" si="122"/>
        <v>697</v>
      </c>
      <c r="AN700" s="164" t="e">
        <f>VLOOKUP($AM700,PATRIMONIALE!$AV752:AW$1003,2,FALSE)</f>
        <v>#N/A</v>
      </c>
      <c r="AO700" s="310" t="e">
        <f>VLOOKUP($AM700,PATRIMONIALE!$AV752:AX$1003,3,FALSE)</f>
        <v>#N/A</v>
      </c>
      <c r="AP700" s="310" t="e">
        <f>VLOOKUP($AM700,PATRIMONIALE!$AV752:AY$1003,4,FALSE)</f>
        <v>#N/A</v>
      </c>
      <c r="AQ700" s="748" t="e">
        <f>VLOOKUP($AM700,PATRIMONIALE!$AV752:AZ$1003,5,FALSE)</f>
        <v>#N/A</v>
      </c>
      <c r="AR700" s="1"/>
      <c r="AS700" s="461" t="str">
        <f t="shared" si="120"/>
        <v/>
      </c>
      <c r="AT700" s="370"/>
    </row>
    <row r="701" spans="1:46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435">
        <f>IF(AND(W701&gt;=$U$1,W701&lt;=$U$2),IF(X701='ESTRATTO CONTO'!$E$2,1+COUNTIF(U$4:U700,"&gt;0"),0),0)</f>
        <v>0</v>
      </c>
      <c r="V701" s="417">
        <f t="shared" si="121"/>
        <v>698</v>
      </c>
      <c r="W701" s="509"/>
      <c r="X701" s="321"/>
      <c r="Y701" s="321"/>
      <c r="Z701" s="433"/>
      <c r="AA701" s="356"/>
      <c r="AB701" s="306" t="str">
        <f t="shared" si="116"/>
        <v/>
      </c>
      <c r="AC701" s="893">
        <f t="shared" si="117"/>
        <v>0</v>
      </c>
      <c r="AD701" s="322"/>
      <c r="AE701" s="1"/>
      <c r="AF701" s="223">
        <f>IF(ISBLANK(AD701),0,COUNTIF(AF$4:AF700,"&gt;0")+1)</f>
        <v>0</v>
      </c>
      <c r="AG701" s="164">
        <f t="shared" si="123"/>
        <v>0</v>
      </c>
      <c r="AH701" s="99">
        <f t="shared" si="118"/>
        <v>0</v>
      </c>
      <c r="AI701" s="99">
        <f t="shared" si="124"/>
        <v>0</v>
      </c>
      <c r="AJ701" s="170">
        <f t="shared" si="125"/>
        <v>0</v>
      </c>
      <c r="AK701" s="204">
        <f t="shared" si="119"/>
        <v>0</v>
      </c>
      <c r="AL701" s="1049">
        <f>IF(ISERROR(AO701),0,IF(AND(AN701&gt;=$U$1,AN701&lt;=$U$2),IF(AO701='ESTRATTO CONTO'!$E$2,1+COUNTIF(AL$4:AL700,"&gt;0")+U$1009,0),0))</f>
        <v>0</v>
      </c>
      <c r="AM701" s="747">
        <f t="shared" si="122"/>
        <v>698</v>
      </c>
      <c r="AN701" s="164" t="e">
        <f>VLOOKUP($AM701,PATRIMONIALE!$AV753:AW$1003,2,FALSE)</f>
        <v>#N/A</v>
      </c>
      <c r="AO701" s="310" t="e">
        <f>VLOOKUP($AM701,PATRIMONIALE!$AV753:AX$1003,3,FALSE)</f>
        <v>#N/A</v>
      </c>
      <c r="AP701" s="310" t="e">
        <f>VLOOKUP($AM701,PATRIMONIALE!$AV753:AY$1003,4,FALSE)</f>
        <v>#N/A</v>
      </c>
      <c r="AQ701" s="748" t="e">
        <f>VLOOKUP($AM701,PATRIMONIALE!$AV753:AZ$1003,5,FALSE)</f>
        <v>#N/A</v>
      </c>
      <c r="AR701" s="1"/>
      <c r="AS701" s="461" t="str">
        <f t="shared" si="120"/>
        <v/>
      </c>
      <c r="AT701" s="370"/>
    </row>
    <row r="702" spans="1:46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435">
        <f>IF(AND(W702&gt;=$U$1,W702&lt;=$U$2),IF(X702='ESTRATTO CONTO'!$E$2,1+COUNTIF(U$4:U701,"&gt;0"),0),0)</f>
        <v>0</v>
      </c>
      <c r="V702" s="417">
        <f t="shared" si="121"/>
        <v>699</v>
      </c>
      <c r="W702" s="509"/>
      <c r="X702" s="321"/>
      <c r="Y702" s="321"/>
      <c r="Z702" s="433"/>
      <c r="AA702" s="356"/>
      <c r="AB702" s="306" t="str">
        <f t="shared" si="116"/>
        <v/>
      </c>
      <c r="AC702" s="893">
        <f t="shared" si="117"/>
        <v>0</v>
      </c>
      <c r="AD702" s="322"/>
      <c r="AE702" s="1"/>
      <c r="AF702" s="223">
        <f>IF(ISBLANK(AD702),0,COUNTIF(AF$4:AF701,"&gt;0")+1)</f>
        <v>0</v>
      </c>
      <c r="AG702" s="164">
        <f t="shared" si="123"/>
        <v>0</v>
      </c>
      <c r="AH702" s="99">
        <f t="shared" si="118"/>
        <v>0</v>
      </c>
      <c r="AI702" s="99">
        <f t="shared" si="124"/>
        <v>0</v>
      </c>
      <c r="AJ702" s="170">
        <f t="shared" si="125"/>
        <v>0</v>
      </c>
      <c r="AK702" s="204">
        <f t="shared" si="119"/>
        <v>0</v>
      </c>
      <c r="AL702" s="1049">
        <f>IF(ISERROR(AO702),0,IF(AND(AN702&gt;=$U$1,AN702&lt;=$U$2),IF(AO702='ESTRATTO CONTO'!$E$2,1+COUNTIF(AL$4:AL701,"&gt;0")+U$1009,0),0))</f>
        <v>0</v>
      </c>
      <c r="AM702" s="747">
        <f t="shared" si="122"/>
        <v>699</v>
      </c>
      <c r="AN702" s="164" t="e">
        <f>VLOOKUP($AM702,PATRIMONIALE!$AV754:AW$1003,2,FALSE)</f>
        <v>#N/A</v>
      </c>
      <c r="AO702" s="310" t="e">
        <f>VLOOKUP($AM702,PATRIMONIALE!$AV754:AX$1003,3,FALSE)</f>
        <v>#N/A</v>
      </c>
      <c r="AP702" s="310" t="e">
        <f>VLOOKUP($AM702,PATRIMONIALE!$AV754:AY$1003,4,FALSE)</f>
        <v>#N/A</v>
      </c>
      <c r="AQ702" s="748" t="e">
        <f>VLOOKUP($AM702,PATRIMONIALE!$AV754:AZ$1003,5,FALSE)</f>
        <v>#N/A</v>
      </c>
      <c r="AR702" s="1"/>
      <c r="AS702" s="461" t="str">
        <f t="shared" si="120"/>
        <v/>
      </c>
      <c r="AT702" s="370"/>
    </row>
    <row r="703" spans="1:46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435">
        <f>IF(AND(W703&gt;=$U$1,W703&lt;=$U$2),IF(X703='ESTRATTO CONTO'!$E$2,1+COUNTIF(U$4:U702,"&gt;0"),0),0)</f>
        <v>0</v>
      </c>
      <c r="V703" s="417">
        <f t="shared" si="121"/>
        <v>700</v>
      </c>
      <c r="W703" s="509"/>
      <c r="X703" s="321"/>
      <c r="Y703" s="321"/>
      <c r="Z703" s="433"/>
      <c r="AA703" s="356"/>
      <c r="AB703" s="306" t="str">
        <f t="shared" si="116"/>
        <v/>
      </c>
      <c r="AC703" s="893">
        <f t="shared" si="117"/>
        <v>0</v>
      </c>
      <c r="AD703" s="322"/>
      <c r="AE703" s="1"/>
      <c r="AF703" s="223">
        <f>IF(ISBLANK(AD703),0,COUNTIF(AF$4:AF702,"&gt;0")+1)</f>
        <v>0</v>
      </c>
      <c r="AG703" s="164">
        <f t="shared" si="123"/>
        <v>0</v>
      </c>
      <c r="AH703" s="99">
        <f t="shared" si="118"/>
        <v>0</v>
      </c>
      <c r="AI703" s="99">
        <f t="shared" si="124"/>
        <v>0</v>
      </c>
      <c r="AJ703" s="170">
        <f t="shared" si="125"/>
        <v>0</v>
      </c>
      <c r="AK703" s="204">
        <f t="shared" si="119"/>
        <v>0</v>
      </c>
      <c r="AL703" s="1049">
        <f>IF(ISERROR(AO703),0,IF(AND(AN703&gt;=$U$1,AN703&lt;=$U$2),IF(AO703='ESTRATTO CONTO'!$E$2,1+COUNTIF(AL$4:AL702,"&gt;0")+U$1009,0),0))</f>
        <v>0</v>
      </c>
      <c r="AM703" s="747">
        <f t="shared" si="122"/>
        <v>700</v>
      </c>
      <c r="AN703" s="164" t="e">
        <f>VLOOKUP($AM703,PATRIMONIALE!$AV755:AW$1003,2,FALSE)</f>
        <v>#N/A</v>
      </c>
      <c r="AO703" s="310" t="e">
        <f>VLOOKUP($AM703,PATRIMONIALE!$AV755:AX$1003,3,FALSE)</f>
        <v>#N/A</v>
      </c>
      <c r="AP703" s="310" t="e">
        <f>VLOOKUP($AM703,PATRIMONIALE!$AV755:AY$1003,4,FALSE)</f>
        <v>#N/A</v>
      </c>
      <c r="AQ703" s="748" t="e">
        <f>VLOOKUP($AM703,PATRIMONIALE!$AV755:AZ$1003,5,FALSE)</f>
        <v>#N/A</v>
      </c>
      <c r="AR703" s="1"/>
      <c r="AS703" s="461" t="str">
        <f t="shared" si="120"/>
        <v/>
      </c>
      <c r="AT703" s="370"/>
    </row>
    <row r="704" spans="1:46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435">
        <f>IF(AND(W704&gt;=$U$1,W704&lt;=$U$2),IF(X704='ESTRATTO CONTO'!$E$2,1+COUNTIF(U$4:U703,"&gt;0"),0),0)</f>
        <v>0</v>
      </c>
      <c r="V704" s="417">
        <f t="shared" si="121"/>
        <v>701</v>
      </c>
      <c r="W704" s="509"/>
      <c r="X704" s="321"/>
      <c r="Y704" s="321"/>
      <c r="Z704" s="433"/>
      <c r="AA704" s="356"/>
      <c r="AB704" s="306" t="str">
        <f t="shared" si="116"/>
        <v/>
      </c>
      <c r="AC704" s="893">
        <f t="shared" si="117"/>
        <v>0</v>
      </c>
      <c r="AD704" s="322"/>
      <c r="AE704" s="1"/>
      <c r="AF704" s="223">
        <f>IF(ISBLANK(AD704),0,COUNTIF(AF$4:AF703,"&gt;0")+1)</f>
        <v>0</v>
      </c>
      <c r="AG704" s="164">
        <f t="shared" si="123"/>
        <v>0</v>
      </c>
      <c r="AH704" s="99">
        <f t="shared" si="118"/>
        <v>0</v>
      </c>
      <c r="AI704" s="99">
        <f t="shared" si="124"/>
        <v>0</v>
      </c>
      <c r="AJ704" s="170">
        <f t="shared" si="125"/>
        <v>0</v>
      </c>
      <c r="AK704" s="204">
        <f t="shared" si="119"/>
        <v>0</v>
      </c>
      <c r="AL704" s="1049">
        <f>IF(ISERROR(AO704),0,IF(AND(AN704&gt;=$U$1,AN704&lt;=$U$2),IF(AO704='ESTRATTO CONTO'!$E$2,1+COUNTIF(AL$4:AL703,"&gt;0")+U$1009,0),0))</f>
        <v>0</v>
      </c>
      <c r="AM704" s="747">
        <f t="shared" si="122"/>
        <v>701</v>
      </c>
      <c r="AN704" s="164" t="e">
        <f>VLOOKUP($AM704,PATRIMONIALE!$AV756:AW$1003,2,FALSE)</f>
        <v>#N/A</v>
      </c>
      <c r="AO704" s="310" t="e">
        <f>VLOOKUP($AM704,PATRIMONIALE!$AV756:AX$1003,3,FALSE)</f>
        <v>#N/A</v>
      </c>
      <c r="AP704" s="310" t="e">
        <f>VLOOKUP($AM704,PATRIMONIALE!$AV756:AY$1003,4,FALSE)</f>
        <v>#N/A</v>
      </c>
      <c r="AQ704" s="748" t="e">
        <f>VLOOKUP($AM704,PATRIMONIALE!$AV756:AZ$1003,5,FALSE)</f>
        <v>#N/A</v>
      </c>
      <c r="AR704" s="1"/>
      <c r="AS704" s="461" t="str">
        <f t="shared" si="120"/>
        <v/>
      </c>
      <c r="AT704" s="370"/>
    </row>
    <row r="705" spans="1:46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435">
        <f>IF(AND(W705&gt;=$U$1,W705&lt;=$U$2),IF(X705='ESTRATTO CONTO'!$E$2,1+COUNTIF(U$4:U704,"&gt;0"),0),0)</f>
        <v>0</v>
      </c>
      <c r="V705" s="417">
        <f t="shared" si="121"/>
        <v>702</v>
      </c>
      <c r="W705" s="509"/>
      <c r="X705" s="321"/>
      <c r="Y705" s="321"/>
      <c r="Z705" s="433"/>
      <c r="AA705" s="356"/>
      <c r="AB705" s="306" t="str">
        <f t="shared" si="116"/>
        <v/>
      </c>
      <c r="AC705" s="893">
        <f t="shared" si="117"/>
        <v>0</v>
      </c>
      <c r="AD705" s="322"/>
      <c r="AE705" s="1"/>
      <c r="AF705" s="223">
        <f>IF(ISBLANK(AD705),0,COUNTIF(AF$4:AF704,"&gt;0")+1)</f>
        <v>0</v>
      </c>
      <c r="AG705" s="164">
        <f t="shared" si="123"/>
        <v>0</v>
      </c>
      <c r="AH705" s="99">
        <f t="shared" si="118"/>
        <v>0</v>
      </c>
      <c r="AI705" s="99">
        <f t="shared" si="124"/>
        <v>0</v>
      </c>
      <c r="AJ705" s="170">
        <f t="shared" si="125"/>
        <v>0</v>
      </c>
      <c r="AK705" s="204">
        <f t="shared" si="119"/>
        <v>0</v>
      </c>
      <c r="AL705" s="1049">
        <f>IF(ISERROR(AO705),0,IF(AND(AN705&gt;=$U$1,AN705&lt;=$U$2),IF(AO705='ESTRATTO CONTO'!$E$2,1+COUNTIF(AL$4:AL704,"&gt;0")+U$1009,0),0))</f>
        <v>0</v>
      </c>
      <c r="AM705" s="747">
        <f t="shared" si="122"/>
        <v>702</v>
      </c>
      <c r="AN705" s="164" t="e">
        <f>VLOOKUP($AM705,PATRIMONIALE!$AV757:AW$1003,2,FALSE)</f>
        <v>#N/A</v>
      </c>
      <c r="AO705" s="310" t="e">
        <f>VLOOKUP($AM705,PATRIMONIALE!$AV757:AX$1003,3,FALSE)</f>
        <v>#N/A</v>
      </c>
      <c r="AP705" s="310" t="e">
        <f>VLOOKUP($AM705,PATRIMONIALE!$AV757:AY$1003,4,FALSE)</f>
        <v>#N/A</v>
      </c>
      <c r="AQ705" s="748" t="e">
        <f>VLOOKUP($AM705,PATRIMONIALE!$AV757:AZ$1003,5,FALSE)</f>
        <v>#N/A</v>
      </c>
      <c r="AR705" s="1"/>
      <c r="AS705" s="461" t="str">
        <f t="shared" si="120"/>
        <v/>
      </c>
      <c r="AT705" s="370"/>
    </row>
    <row r="706" spans="1:46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435">
        <f>IF(AND(W706&gt;=$U$1,W706&lt;=$U$2),IF(X706='ESTRATTO CONTO'!$E$2,1+COUNTIF(U$4:U705,"&gt;0"),0),0)</f>
        <v>0</v>
      </c>
      <c r="V706" s="417">
        <f t="shared" si="121"/>
        <v>703</v>
      </c>
      <c r="W706" s="509"/>
      <c r="X706" s="321"/>
      <c r="Y706" s="321"/>
      <c r="Z706" s="433"/>
      <c r="AA706" s="356"/>
      <c r="AB706" s="306" t="str">
        <f t="shared" si="116"/>
        <v/>
      </c>
      <c r="AC706" s="893">
        <f t="shared" si="117"/>
        <v>0</v>
      </c>
      <c r="AD706" s="322"/>
      <c r="AE706" s="1"/>
      <c r="AF706" s="223">
        <f>IF(ISBLANK(AD706),0,COUNTIF(AF$4:AF705,"&gt;0")+1)</f>
        <v>0</v>
      </c>
      <c r="AG706" s="164">
        <f t="shared" si="123"/>
        <v>0</v>
      </c>
      <c r="AH706" s="99">
        <f t="shared" si="118"/>
        <v>0</v>
      </c>
      <c r="AI706" s="99">
        <f t="shared" si="124"/>
        <v>0</v>
      </c>
      <c r="AJ706" s="170">
        <f t="shared" si="125"/>
        <v>0</v>
      </c>
      <c r="AK706" s="204">
        <f t="shared" si="119"/>
        <v>0</v>
      </c>
      <c r="AL706" s="1049">
        <f>IF(ISERROR(AO706),0,IF(AND(AN706&gt;=$U$1,AN706&lt;=$U$2),IF(AO706='ESTRATTO CONTO'!$E$2,1+COUNTIF(AL$4:AL705,"&gt;0")+U$1009,0),0))</f>
        <v>0</v>
      </c>
      <c r="AM706" s="747">
        <f t="shared" si="122"/>
        <v>703</v>
      </c>
      <c r="AN706" s="164" t="e">
        <f>VLOOKUP($AM706,PATRIMONIALE!$AV758:AW$1003,2,FALSE)</f>
        <v>#N/A</v>
      </c>
      <c r="AO706" s="310" t="e">
        <f>VLOOKUP($AM706,PATRIMONIALE!$AV758:AX$1003,3,FALSE)</f>
        <v>#N/A</v>
      </c>
      <c r="AP706" s="310" t="e">
        <f>VLOOKUP($AM706,PATRIMONIALE!$AV758:AY$1003,4,FALSE)</f>
        <v>#N/A</v>
      </c>
      <c r="AQ706" s="748" t="e">
        <f>VLOOKUP($AM706,PATRIMONIALE!$AV758:AZ$1003,5,FALSE)</f>
        <v>#N/A</v>
      </c>
      <c r="AR706" s="1"/>
      <c r="AS706" s="461" t="str">
        <f t="shared" si="120"/>
        <v/>
      </c>
      <c r="AT706" s="370"/>
    </row>
    <row r="707" spans="1:46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435">
        <f>IF(AND(W707&gt;=$U$1,W707&lt;=$U$2),IF(X707='ESTRATTO CONTO'!$E$2,1+COUNTIF(U$4:U706,"&gt;0"),0),0)</f>
        <v>0</v>
      </c>
      <c r="V707" s="417">
        <f t="shared" si="121"/>
        <v>704</v>
      </c>
      <c r="W707" s="509"/>
      <c r="X707" s="321"/>
      <c r="Y707" s="321"/>
      <c r="Z707" s="433"/>
      <c r="AA707" s="356"/>
      <c r="AB707" s="306" t="str">
        <f t="shared" si="116"/>
        <v/>
      </c>
      <c r="AC707" s="893">
        <f t="shared" si="117"/>
        <v>0</v>
      </c>
      <c r="AD707" s="322"/>
      <c r="AE707" s="1"/>
      <c r="AF707" s="223">
        <f>IF(ISBLANK(AD707),0,COUNTIF(AF$4:AF706,"&gt;0")+1)</f>
        <v>0</v>
      </c>
      <c r="AG707" s="164">
        <f t="shared" si="123"/>
        <v>0</v>
      </c>
      <c r="AH707" s="99">
        <f t="shared" si="118"/>
        <v>0</v>
      </c>
      <c r="AI707" s="99">
        <f t="shared" si="124"/>
        <v>0</v>
      </c>
      <c r="AJ707" s="170">
        <f t="shared" si="125"/>
        <v>0</v>
      </c>
      <c r="AK707" s="204">
        <f t="shared" si="119"/>
        <v>0</v>
      </c>
      <c r="AL707" s="1049">
        <f>IF(ISERROR(AO707),0,IF(AND(AN707&gt;=$U$1,AN707&lt;=$U$2),IF(AO707='ESTRATTO CONTO'!$E$2,1+COUNTIF(AL$4:AL706,"&gt;0")+U$1009,0),0))</f>
        <v>0</v>
      </c>
      <c r="AM707" s="747">
        <f t="shared" si="122"/>
        <v>704</v>
      </c>
      <c r="AN707" s="164" t="e">
        <f>VLOOKUP($AM707,PATRIMONIALE!$AV759:AW$1003,2,FALSE)</f>
        <v>#N/A</v>
      </c>
      <c r="AO707" s="310" t="e">
        <f>VLOOKUP($AM707,PATRIMONIALE!$AV759:AX$1003,3,FALSE)</f>
        <v>#N/A</v>
      </c>
      <c r="AP707" s="310" t="e">
        <f>VLOOKUP($AM707,PATRIMONIALE!$AV759:AY$1003,4,FALSE)</f>
        <v>#N/A</v>
      </c>
      <c r="AQ707" s="748" t="e">
        <f>VLOOKUP($AM707,PATRIMONIALE!$AV759:AZ$1003,5,FALSE)</f>
        <v>#N/A</v>
      </c>
      <c r="AR707" s="1"/>
      <c r="AS707" s="461" t="str">
        <f t="shared" si="120"/>
        <v/>
      </c>
      <c r="AT707" s="370"/>
    </row>
    <row r="708" spans="1:46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435">
        <f>IF(AND(W708&gt;=$U$1,W708&lt;=$U$2),IF(X708='ESTRATTO CONTO'!$E$2,1+COUNTIF(U$4:U707,"&gt;0"),0),0)</f>
        <v>0</v>
      </c>
      <c r="V708" s="417">
        <f t="shared" si="121"/>
        <v>705</v>
      </c>
      <c r="W708" s="509"/>
      <c r="X708" s="321"/>
      <c r="Y708" s="321"/>
      <c r="Z708" s="433"/>
      <c r="AA708" s="356"/>
      <c r="AB708" s="306" t="str">
        <f t="shared" ref="AB708:AB771" si="126">IF(X708="","",IF(W708&gt;0,IF(AND(W708&gt;=W$1012,W708&lt;=W$1013),CONCATENATE(X708,"-",MONTH(W708)),0),""))</f>
        <v/>
      </c>
      <c r="AC708" s="893">
        <f t="shared" ref="AC708:AC771" si="127">IF(AD708="",0,VLOOKUP(AD708,$AD$1025:$AD$1038,1,FALSE))</f>
        <v>0</v>
      </c>
      <c r="AD708" s="322"/>
      <c r="AE708" s="1"/>
      <c r="AF708" s="223">
        <f>IF(ISBLANK(AD708),0,COUNTIF(AF$4:AF707,"&gt;0")+1)</f>
        <v>0</v>
      </c>
      <c r="AG708" s="164">
        <f t="shared" si="123"/>
        <v>0</v>
      </c>
      <c r="AH708" s="99">
        <f t="shared" ref="AH708:AH771" si="128">IF($AF708=0,0,VLOOKUP(AD708,$AD$1025:$AH$1038,5,FALSE))</f>
        <v>0</v>
      </c>
      <c r="AI708" s="99">
        <f t="shared" si="124"/>
        <v>0</v>
      </c>
      <c r="AJ708" s="170">
        <f t="shared" si="125"/>
        <v>0</v>
      </c>
      <c r="AK708" s="204">
        <f t="shared" ref="AK708:AK771" si="129">X708</f>
        <v>0</v>
      </c>
      <c r="AL708" s="1049">
        <f>IF(ISERROR(AO708),0,IF(AND(AN708&gt;=$U$1,AN708&lt;=$U$2),IF(AO708='ESTRATTO CONTO'!$E$2,1+COUNTIF(AL$4:AL707,"&gt;0")+U$1009,0),0))</f>
        <v>0</v>
      </c>
      <c r="AM708" s="747">
        <f t="shared" si="122"/>
        <v>705</v>
      </c>
      <c r="AN708" s="164" t="e">
        <f>VLOOKUP($AM708,PATRIMONIALE!$AV760:AW$1003,2,FALSE)</f>
        <v>#N/A</v>
      </c>
      <c r="AO708" s="310" t="e">
        <f>VLOOKUP($AM708,PATRIMONIALE!$AV760:AX$1003,3,FALSE)</f>
        <v>#N/A</v>
      </c>
      <c r="AP708" s="310" t="e">
        <f>VLOOKUP($AM708,PATRIMONIALE!$AV760:AY$1003,4,FALSE)</f>
        <v>#N/A</v>
      </c>
      <c r="AQ708" s="748" t="e">
        <f>VLOOKUP($AM708,PATRIMONIALE!$AV760:AZ$1003,5,FALSE)</f>
        <v>#N/A</v>
      </c>
      <c r="AR708" s="1"/>
      <c r="AS708" s="461" t="str">
        <f t="shared" ref="AS708:AS771" si="130">IF(X708="","",IF(ISERROR(VLOOKUP(X708,B$9:E$13,1,FALSE)),1,0))</f>
        <v/>
      </c>
      <c r="AT708" s="370"/>
    </row>
    <row r="709" spans="1:46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435">
        <f>IF(AND(W709&gt;=$U$1,W709&lt;=$U$2),IF(X709='ESTRATTO CONTO'!$E$2,1+COUNTIF(U$4:U708,"&gt;0"),0),0)</f>
        <v>0</v>
      </c>
      <c r="V709" s="417">
        <f t="shared" si="121"/>
        <v>706</v>
      </c>
      <c r="W709" s="509"/>
      <c r="X709" s="321"/>
      <c r="Y709" s="321"/>
      <c r="Z709" s="433"/>
      <c r="AA709" s="356"/>
      <c r="AB709" s="306" t="str">
        <f t="shared" si="126"/>
        <v/>
      </c>
      <c r="AC709" s="893">
        <f t="shared" si="127"/>
        <v>0</v>
      </c>
      <c r="AD709" s="322"/>
      <c r="AE709" s="1"/>
      <c r="AF709" s="223">
        <f>IF(ISBLANK(AD709),0,COUNTIF(AF$4:AF708,"&gt;0")+1)</f>
        <v>0</v>
      </c>
      <c r="AG709" s="164">
        <f t="shared" si="123"/>
        <v>0</v>
      </c>
      <c r="AH709" s="99">
        <f t="shared" si="128"/>
        <v>0</v>
      </c>
      <c r="AI709" s="99">
        <f t="shared" si="124"/>
        <v>0</v>
      </c>
      <c r="AJ709" s="170">
        <f t="shared" si="125"/>
        <v>0</v>
      </c>
      <c r="AK709" s="204">
        <f t="shared" si="129"/>
        <v>0</v>
      </c>
      <c r="AL709" s="1049">
        <f>IF(ISERROR(AO709),0,IF(AND(AN709&gt;=$U$1,AN709&lt;=$U$2),IF(AO709='ESTRATTO CONTO'!$E$2,1+COUNTIF(AL$4:AL708,"&gt;0")+U$1009,0),0))</f>
        <v>0</v>
      </c>
      <c r="AM709" s="747">
        <f t="shared" si="122"/>
        <v>706</v>
      </c>
      <c r="AN709" s="164" t="e">
        <f>VLOOKUP($AM709,PATRIMONIALE!$AV761:AW$1003,2,FALSE)</f>
        <v>#N/A</v>
      </c>
      <c r="AO709" s="310" t="e">
        <f>VLOOKUP($AM709,PATRIMONIALE!$AV761:AX$1003,3,FALSE)</f>
        <v>#N/A</v>
      </c>
      <c r="AP709" s="310" t="e">
        <f>VLOOKUP($AM709,PATRIMONIALE!$AV761:AY$1003,4,FALSE)</f>
        <v>#N/A</v>
      </c>
      <c r="AQ709" s="748" t="e">
        <f>VLOOKUP($AM709,PATRIMONIALE!$AV761:AZ$1003,5,FALSE)</f>
        <v>#N/A</v>
      </c>
      <c r="AR709" s="1"/>
      <c r="AS709" s="461" t="str">
        <f t="shared" si="130"/>
        <v/>
      </c>
      <c r="AT709" s="370"/>
    </row>
    <row r="710" spans="1:46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435">
        <f>IF(AND(W710&gt;=$U$1,W710&lt;=$U$2),IF(X710='ESTRATTO CONTO'!$E$2,1+COUNTIF(U$4:U709,"&gt;0"),0),0)</f>
        <v>0</v>
      </c>
      <c r="V710" s="417">
        <f t="shared" ref="V710:V773" si="131">V709+1</f>
        <v>707</v>
      </c>
      <c r="W710" s="509"/>
      <c r="X710" s="321"/>
      <c r="Y710" s="321"/>
      <c r="Z710" s="433"/>
      <c r="AA710" s="356"/>
      <c r="AB710" s="306" t="str">
        <f t="shared" si="126"/>
        <v/>
      </c>
      <c r="AC710" s="893">
        <f t="shared" si="127"/>
        <v>0</v>
      </c>
      <c r="AD710" s="322"/>
      <c r="AE710" s="1"/>
      <c r="AF710" s="223">
        <f>IF(ISBLANK(AD710),0,COUNTIF(AF$4:AF709,"&gt;0")+1)</f>
        <v>0</v>
      </c>
      <c r="AG710" s="164">
        <f t="shared" si="123"/>
        <v>0</v>
      </c>
      <c r="AH710" s="99">
        <f t="shared" si="128"/>
        <v>0</v>
      </c>
      <c r="AI710" s="99">
        <f t="shared" si="124"/>
        <v>0</v>
      </c>
      <c r="AJ710" s="170">
        <f t="shared" si="125"/>
        <v>0</v>
      </c>
      <c r="AK710" s="204">
        <f t="shared" si="129"/>
        <v>0</v>
      </c>
      <c r="AL710" s="1049">
        <f>IF(ISERROR(AO710),0,IF(AND(AN710&gt;=$U$1,AN710&lt;=$U$2),IF(AO710='ESTRATTO CONTO'!$E$2,1+COUNTIF(AL$4:AL709,"&gt;0")+U$1009,0),0))</f>
        <v>0</v>
      </c>
      <c r="AM710" s="747">
        <f t="shared" ref="AM710:AM773" si="132">AM709+1</f>
        <v>707</v>
      </c>
      <c r="AN710" s="164" t="e">
        <f>VLOOKUP($AM710,PATRIMONIALE!$AV762:AW$1003,2,FALSE)</f>
        <v>#N/A</v>
      </c>
      <c r="AO710" s="310" t="e">
        <f>VLOOKUP($AM710,PATRIMONIALE!$AV762:AX$1003,3,FALSE)</f>
        <v>#N/A</v>
      </c>
      <c r="AP710" s="310" t="e">
        <f>VLOOKUP($AM710,PATRIMONIALE!$AV762:AY$1003,4,FALSE)</f>
        <v>#N/A</v>
      </c>
      <c r="AQ710" s="748" t="e">
        <f>VLOOKUP($AM710,PATRIMONIALE!$AV762:AZ$1003,5,FALSE)</f>
        <v>#N/A</v>
      </c>
      <c r="AR710" s="1"/>
      <c r="AS710" s="461" t="str">
        <f t="shared" si="130"/>
        <v/>
      </c>
      <c r="AT710" s="370"/>
    </row>
    <row r="711" spans="1:46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435">
        <f>IF(AND(W711&gt;=$U$1,W711&lt;=$U$2),IF(X711='ESTRATTO CONTO'!$E$2,1+COUNTIF(U$4:U710,"&gt;0"),0),0)</f>
        <v>0</v>
      </c>
      <c r="V711" s="417">
        <f t="shared" si="131"/>
        <v>708</v>
      </c>
      <c r="W711" s="509"/>
      <c r="X711" s="321"/>
      <c r="Y711" s="321"/>
      <c r="Z711" s="433"/>
      <c r="AA711" s="356"/>
      <c r="AB711" s="306" t="str">
        <f t="shared" si="126"/>
        <v/>
      </c>
      <c r="AC711" s="893">
        <f t="shared" si="127"/>
        <v>0</v>
      </c>
      <c r="AD711" s="322"/>
      <c r="AE711" s="1"/>
      <c r="AF711" s="223">
        <f>IF(ISBLANK(AD711),0,COUNTIF(AF$4:AF710,"&gt;0")+1)</f>
        <v>0</v>
      </c>
      <c r="AG711" s="164">
        <f t="shared" si="123"/>
        <v>0</v>
      </c>
      <c r="AH711" s="99">
        <f t="shared" si="128"/>
        <v>0</v>
      </c>
      <c r="AI711" s="99">
        <f t="shared" si="124"/>
        <v>0</v>
      </c>
      <c r="AJ711" s="170">
        <f t="shared" si="125"/>
        <v>0</v>
      </c>
      <c r="AK711" s="204">
        <f t="shared" si="129"/>
        <v>0</v>
      </c>
      <c r="AL711" s="1049">
        <f>IF(ISERROR(AO711),0,IF(AND(AN711&gt;=$U$1,AN711&lt;=$U$2),IF(AO711='ESTRATTO CONTO'!$E$2,1+COUNTIF(AL$4:AL710,"&gt;0")+U$1009,0),0))</f>
        <v>0</v>
      </c>
      <c r="AM711" s="747">
        <f t="shared" si="132"/>
        <v>708</v>
      </c>
      <c r="AN711" s="164" t="e">
        <f>VLOOKUP($AM711,PATRIMONIALE!$AV763:AW$1003,2,FALSE)</f>
        <v>#N/A</v>
      </c>
      <c r="AO711" s="310" t="e">
        <f>VLOOKUP($AM711,PATRIMONIALE!$AV763:AX$1003,3,FALSE)</f>
        <v>#N/A</v>
      </c>
      <c r="AP711" s="310" t="e">
        <f>VLOOKUP($AM711,PATRIMONIALE!$AV763:AY$1003,4,FALSE)</f>
        <v>#N/A</v>
      </c>
      <c r="AQ711" s="748" t="e">
        <f>VLOOKUP($AM711,PATRIMONIALE!$AV763:AZ$1003,5,FALSE)</f>
        <v>#N/A</v>
      </c>
      <c r="AR711" s="1"/>
      <c r="AS711" s="461" t="str">
        <f t="shared" si="130"/>
        <v/>
      </c>
      <c r="AT711" s="370"/>
    </row>
    <row r="712" spans="1:46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435">
        <f>IF(AND(W712&gt;=$U$1,W712&lt;=$U$2),IF(X712='ESTRATTO CONTO'!$E$2,1+COUNTIF(U$4:U711,"&gt;0"),0),0)</f>
        <v>0</v>
      </c>
      <c r="V712" s="417">
        <f t="shared" si="131"/>
        <v>709</v>
      </c>
      <c r="W712" s="509"/>
      <c r="X712" s="321"/>
      <c r="Y712" s="321"/>
      <c r="Z712" s="433"/>
      <c r="AA712" s="356"/>
      <c r="AB712" s="306" t="str">
        <f t="shared" si="126"/>
        <v/>
      </c>
      <c r="AC712" s="893">
        <f t="shared" si="127"/>
        <v>0</v>
      </c>
      <c r="AD712" s="322"/>
      <c r="AE712" s="1"/>
      <c r="AF712" s="223">
        <f>IF(ISBLANK(AD712),0,COUNTIF(AF$4:AF711,"&gt;0")+1)</f>
        <v>0</v>
      </c>
      <c r="AG712" s="164">
        <f t="shared" si="123"/>
        <v>0</v>
      </c>
      <c r="AH712" s="99">
        <f t="shared" si="128"/>
        <v>0</v>
      </c>
      <c r="AI712" s="99">
        <f t="shared" si="124"/>
        <v>0</v>
      </c>
      <c r="AJ712" s="170">
        <f t="shared" si="125"/>
        <v>0</v>
      </c>
      <c r="AK712" s="204">
        <f t="shared" si="129"/>
        <v>0</v>
      </c>
      <c r="AL712" s="1049">
        <f>IF(ISERROR(AO712),0,IF(AND(AN712&gt;=$U$1,AN712&lt;=$U$2),IF(AO712='ESTRATTO CONTO'!$E$2,1+COUNTIF(AL$4:AL711,"&gt;0")+U$1009,0),0))</f>
        <v>0</v>
      </c>
      <c r="AM712" s="747">
        <f t="shared" si="132"/>
        <v>709</v>
      </c>
      <c r="AN712" s="164" t="e">
        <f>VLOOKUP($AM712,PATRIMONIALE!$AV764:AW$1003,2,FALSE)</f>
        <v>#N/A</v>
      </c>
      <c r="AO712" s="310" t="e">
        <f>VLOOKUP($AM712,PATRIMONIALE!$AV764:AX$1003,3,FALSE)</f>
        <v>#N/A</v>
      </c>
      <c r="AP712" s="310" t="e">
        <f>VLOOKUP($AM712,PATRIMONIALE!$AV764:AY$1003,4,FALSE)</f>
        <v>#N/A</v>
      </c>
      <c r="AQ712" s="748" t="e">
        <f>VLOOKUP($AM712,PATRIMONIALE!$AV764:AZ$1003,5,FALSE)</f>
        <v>#N/A</v>
      </c>
      <c r="AR712" s="1"/>
      <c r="AS712" s="461" t="str">
        <f t="shared" si="130"/>
        <v/>
      </c>
      <c r="AT712" s="370"/>
    </row>
    <row r="713" spans="1:46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435">
        <f>IF(AND(W713&gt;=$U$1,W713&lt;=$U$2),IF(X713='ESTRATTO CONTO'!$E$2,1+COUNTIF(U$4:U712,"&gt;0"),0),0)</f>
        <v>0</v>
      </c>
      <c r="V713" s="417">
        <f t="shared" si="131"/>
        <v>710</v>
      </c>
      <c r="W713" s="509"/>
      <c r="X713" s="321"/>
      <c r="Y713" s="321"/>
      <c r="Z713" s="433"/>
      <c r="AA713" s="356"/>
      <c r="AB713" s="306" t="str">
        <f t="shared" si="126"/>
        <v/>
      </c>
      <c r="AC713" s="893">
        <f t="shared" si="127"/>
        <v>0</v>
      </c>
      <c r="AD713" s="322"/>
      <c r="AE713" s="1"/>
      <c r="AF713" s="223">
        <f>IF(ISBLANK(AD713),0,COUNTIF(AF$4:AF712,"&gt;0")+1)</f>
        <v>0</v>
      </c>
      <c r="AG713" s="164">
        <f t="shared" si="123"/>
        <v>0</v>
      </c>
      <c r="AH713" s="99">
        <f t="shared" si="128"/>
        <v>0</v>
      </c>
      <c r="AI713" s="99">
        <f t="shared" si="124"/>
        <v>0</v>
      </c>
      <c r="AJ713" s="170">
        <f t="shared" si="125"/>
        <v>0</v>
      </c>
      <c r="AK713" s="204">
        <f t="shared" si="129"/>
        <v>0</v>
      </c>
      <c r="AL713" s="1049">
        <f>IF(ISERROR(AO713),0,IF(AND(AN713&gt;=$U$1,AN713&lt;=$U$2),IF(AO713='ESTRATTO CONTO'!$E$2,1+COUNTIF(AL$4:AL712,"&gt;0")+U$1009,0),0))</f>
        <v>0</v>
      </c>
      <c r="AM713" s="747">
        <f t="shared" si="132"/>
        <v>710</v>
      </c>
      <c r="AN713" s="164" t="e">
        <f>VLOOKUP($AM713,PATRIMONIALE!$AV765:AW$1003,2,FALSE)</f>
        <v>#N/A</v>
      </c>
      <c r="AO713" s="310" t="e">
        <f>VLOOKUP($AM713,PATRIMONIALE!$AV765:AX$1003,3,FALSE)</f>
        <v>#N/A</v>
      </c>
      <c r="AP713" s="310" t="e">
        <f>VLOOKUP($AM713,PATRIMONIALE!$AV765:AY$1003,4,FALSE)</f>
        <v>#N/A</v>
      </c>
      <c r="AQ713" s="748" t="e">
        <f>VLOOKUP($AM713,PATRIMONIALE!$AV765:AZ$1003,5,FALSE)</f>
        <v>#N/A</v>
      </c>
      <c r="AR713" s="1"/>
      <c r="AS713" s="461" t="str">
        <f t="shared" si="130"/>
        <v/>
      </c>
      <c r="AT713" s="370"/>
    </row>
    <row r="714" spans="1:46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435">
        <f>IF(AND(W714&gt;=$U$1,W714&lt;=$U$2),IF(X714='ESTRATTO CONTO'!$E$2,1+COUNTIF(U$4:U713,"&gt;0"),0),0)</f>
        <v>0</v>
      </c>
      <c r="V714" s="417">
        <f t="shared" si="131"/>
        <v>711</v>
      </c>
      <c r="W714" s="509"/>
      <c r="X714" s="321"/>
      <c r="Y714" s="321"/>
      <c r="Z714" s="433"/>
      <c r="AA714" s="356"/>
      <c r="AB714" s="306" t="str">
        <f t="shared" si="126"/>
        <v/>
      </c>
      <c r="AC714" s="893">
        <f t="shared" si="127"/>
        <v>0</v>
      </c>
      <c r="AD714" s="322"/>
      <c r="AE714" s="1"/>
      <c r="AF714" s="223">
        <f>IF(ISBLANK(AD714),0,COUNTIF(AF$4:AF713,"&gt;0")+1)</f>
        <v>0</v>
      </c>
      <c r="AG714" s="164">
        <f t="shared" ref="AG714:AG777" si="133">IF($AF714=0,0,W714)</f>
        <v>0</v>
      </c>
      <c r="AH714" s="99">
        <f t="shared" si="128"/>
        <v>0</v>
      </c>
      <c r="AI714" s="99">
        <f t="shared" ref="AI714:AI777" si="134">IF($AF714=0,0,Y714)</f>
        <v>0</v>
      </c>
      <c r="AJ714" s="170">
        <f t="shared" ref="AJ714:AJ777" si="135">IF($AF714=0,0,IF(RIGHT(AD714)="-",IF(Z714&gt;0,Z714*-1,Z714),Z714))</f>
        <v>0</v>
      </c>
      <c r="AK714" s="204">
        <f t="shared" si="129"/>
        <v>0</v>
      </c>
      <c r="AL714" s="1049">
        <f>IF(ISERROR(AO714),0,IF(AND(AN714&gt;=$U$1,AN714&lt;=$U$2),IF(AO714='ESTRATTO CONTO'!$E$2,1+COUNTIF(AL$4:AL713,"&gt;0")+U$1009,0),0))</f>
        <v>0</v>
      </c>
      <c r="AM714" s="747">
        <f t="shared" si="132"/>
        <v>711</v>
      </c>
      <c r="AN714" s="164" t="e">
        <f>VLOOKUP($AM714,PATRIMONIALE!$AV766:AW$1003,2,FALSE)</f>
        <v>#N/A</v>
      </c>
      <c r="AO714" s="310" t="e">
        <f>VLOOKUP($AM714,PATRIMONIALE!$AV766:AX$1003,3,FALSE)</f>
        <v>#N/A</v>
      </c>
      <c r="AP714" s="310" t="e">
        <f>VLOOKUP($AM714,PATRIMONIALE!$AV766:AY$1003,4,FALSE)</f>
        <v>#N/A</v>
      </c>
      <c r="AQ714" s="748" t="e">
        <f>VLOOKUP($AM714,PATRIMONIALE!$AV766:AZ$1003,5,FALSE)</f>
        <v>#N/A</v>
      </c>
      <c r="AR714" s="1"/>
      <c r="AS714" s="461" t="str">
        <f t="shared" si="130"/>
        <v/>
      </c>
      <c r="AT714" s="370"/>
    </row>
    <row r="715" spans="1:46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435">
        <f>IF(AND(W715&gt;=$U$1,W715&lt;=$U$2),IF(X715='ESTRATTO CONTO'!$E$2,1+COUNTIF(U$4:U714,"&gt;0"),0),0)</f>
        <v>0</v>
      </c>
      <c r="V715" s="417">
        <f t="shared" si="131"/>
        <v>712</v>
      </c>
      <c r="W715" s="509"/>
      <c r="X715" s="321"/>
      <c r="Y715" s="321"/>
      <c r="Z715" s="433"/>
      <c r="AA715" s="356"/>
      <c r="AB715" s="306" t="str">
        <f t="shared" si="126"/>
        <v/>
      </c>
      <c r="AC715" s="893">
        <f t="shared" si="127"/>
        <v>0</v>
      </c>
      <c r="AD715" s="322"/>
      <c r="AE715" s="1"/>
      <c r="AF715" s="223">
        <f>IF(ISBLANK(AD715),0,COUNTIF(AF$4:AF714,"&gt;0")+1)</f>
        <v>0</v>
      </c>
      <c r="AG715" s="164">
        <f t="shared" si="133"/>
        <v>0</v>
      </c>
      <c r="AH715" s="99">
        <f t="shared" si="128"/>
        <v>0</v>
      </c>
      <c r="AI715" s="99">
        <f t="shared" si="134"/>
        <v>0</v>
      </c>
      <c r="AJ715" s="170">
        <f t="shared" si="135"/>
        <v>0</v>
      </c>
      <c r="AK715" s="204">
        <f t="shared" si="129"/>
        <v>0</v>
      </c>
      <c r="AL715" s="1049">
        <f>IF(ISERROR(AO715),0,IF(AND(AN715&gt;=$U$1,AN715&lt;=$U$2),IF(AO715='ESTRATTO CONTO'!$E$2,1+COUNTIF(AL$4:AL714,"&gt;0")+U$1009,0),0))</f>
        <v>0</v>
      </c>
      <c r="AM715" s="747">
        <f t="shared" si="132"/>
        <v>712</v>
      </c>
      <c r="AN715" s="164" t="e">
        <f>VLOOKUP($AM715,PATRIMONIALE!$AV767:AW$1003,2,FALSE)</f>
        <v>#N/A</v>
      </c>
      <c r="AO715" s="310" t="e">
        <f>VLOOKUP($AM715,PATRIMONIALE!$AV767:AX$1003,3,FALSE)</f>
        <v>#N/A</v>
      </c>
      <c r="AP715" s="310" t="e">
        <f>VLOOKUP($AM715,PATRIMONIALE!$AV767:AY$1003,4,FALSE)</f>
        <v>#N/A</v>
      </c>
      <c r="AQ715" s="748" t="e">
        <f>VLOOKUP($AM715,PATRIMONIALE!$AV767:AZ$1003,5,FALSE)</f>
        <v>#N/A</v>
      </c>
      <c r="AR715" s="1"/>
      <c r="AS715" s="461" t="str">
        <f t="shared" si="130"/>
        <v/>
      </c>
      <c r="AT715" s="370"/>
    </row>
    <row r="716" spans="1:46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435">
        <f>IF(AND(W716&gt;=$U$1,W716&lt;=$U$2),IF(X716='ESTRATTO CONTO'!$E$2,1+COUNTIF(U$4:U715,"&gt;0"),0),0)</f>
        <v>0</v>
      </c>
      <c r="V716" s="417">
        <f t="shared" si="131"/>
        <v>713</v>
      </c>
      <c r="W716" s="509"/>
      <c r="X716" s="321"/>
      <c r="Y716" s="321"/>
      <c r="Z716" s="433"/>
      <c r="AA716" s="356"/>
      <c r="AB716" s="306" t="str">
        <f t="shared" si="126"/>
        <v/>
      </c>
      <c r="AC716" s="893">
        <f t="shared" si="127"/>
        <v>0</v>
      </c>
      <c r="AD716" s="322"/>
      <c r="AE716" s="1"/>
      <c r="AF716" s="223">
        <f>IF(ISBLANK(AD716),0,COUNTIF(AF$4:AF715,"&gt;0")+1)</f>
        <v>0</v>
      </c>
      <c r="AG716" s="164">
        <f t="shared" si="133"/>
        <v>0</v>
      </c>
      <c r="AH716" s="99">
        <f t="shared" si="128"/>
        <v>0</v>
      </c>
      <c r="AI716" s="99">
        <f t="shared" si="134"/>
        <v>0</v>
      </c>
      <c r="AJ716" s="170">
        <f t="shared" si="135"/>
        <v>0</v>
      </c>
      <c r="AK716" s="204">
        <f t="shared" si="129"/>
        <v>0</v>
      </c>
      <c r="AL716" s="1049">
        <f>IF(ISERROR(AO716),0,IF(AND(AN716&gt;=$U$1,AN716&lt;=$U$2),IF(AO716='ESTRATTO CONTO'!$E$2,1+COUNTIF(AL$4:AL715,"&gt;0")+U$1009,0),0))</f>
        <v>0</v>
      </c>
      <c r="AM716" s="747">
        <f t="shared" si="132"/>
        <v>713</v>
      </c>
      <c r="AN716" s="164" t="e">
        <f>VLOOKUP($AM716,PATRIMONIALE!$AV768:AW$1003,2,FALSE)</f>
        <v>#N/A</v>
      </c>
      <c r="AO716" s="310" t="e">
        <f>VLOOKUP($AM716,PATRIMONIALE!$AV768:AX$1003,3,FALSE)</f>
        <v>#N/A</v>
      </c>
      <c r="AP716" s="310" t="e">
        <f>VLOOKUP($AM716,PATRIMONIALE!$AV768:AY$1003,4,FALSE)</f>
        <v>#N/A</v>
      </c>
      <c r="AQ716" s="748" t="e">
        <f>VLOOKUP($AM716,PATRIMONIALE!$AV768:AZ$1003,5,FALSE)</f>
        <v>#N/A</v>
      </c>
      <c r="AR716" s="1"/>
      <c r="AS716" s="461" t="str">
        <f t="shared" si="130"/>
        <v/>
      </c>
      <c r="AT716" s="370"/>
    </row>
    <row r="717" spans="1:46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435">
        <f>IF(AND(W717&gt;=$U$1,W717&lt;=$U$2),IF(X717='ESTRATTO CONTO'!$E$2,1+COUNTIF(U$4:U716,"&gt;0"),0),0)</f>
        <v>0</v>
      </c>
      <c r="V717" s="417">
        <f t="shared" si="131"/>
        <v>714</v>
      </c>
      <c r="W717" s="509"/>
      <c r="X717" s="321"/>
      <c r="Y717" s="321"/>
      <c r="Z717" s="433"/>
      <c r="AA717" s="356"/>
      <c r="AB717" s="306" t="str">
        <f t="shared" si="126"/>
        <v/>
      </c>
      <c r="AC717" s="893">
        <f t="shared" si="127"/>
        <v>0</v>
      </c>
      <c r="AD717" s="322"/>
      <c r="AE717" s="1"/>
      <c r="AF717" s="223">
        <f>IF(ISBLANK(AD717),0,COUNTIF(AF$4:AF716,"&gt;0")+1)</f>
        <v>0</v>
      </c>
      <c r="AG717" s="164">
        <f t="shared" si="133"/>
        <v>0</v>
      </c>
      <c r="AH717" s="99">
        <f t="shared" si="128"/>
        <v>0</v>
      </c>
      <c r="AI717" s="99">
        <f t="shared" si="134"/>
        <v>0</v>
      </c>
      <c r="AJ717" s="170">
        <f t="shared" si="135"/>
        <v>0</v>
      </c>
      <c r="AK717" s="204">
        <f t="shared" si="129"/>
        <v>0</v>
      </c>
      <c r="AL717" s="1049">
        <f>IF(ISERROR(AO717),0,IF(AND(AN717&gt;=$U$1,AN717&lt;=$U$2),IF(AO717='ESTRATTO CONTO'!$E$2,1+COUNTIF(AL$4:AL716,"&gt;0")+U$1009,0),0))</f>
        <v>0</v>
      </c>
      <c r="AM717" s="747">
        <f t="shared" si="132"/>
        <v>714</v>
      </c>
      <c r="AN717" s="164" t="e">
        <f>VLOOKUP($AM717,PATRIMONIALE!$AV769:AW$1003,2,FALSE)</f>
        <v>#N/A</v>
      </c>
      <c r="AO717" s="310" t="e">
        <f>VLOOKUP($AM717,PATRIMONIALE!$AV769:AX$1003,3,FALSE)</f>
        <v>#N/A</v>
      </c>
      <c r="AP717" s="310" t="e">
        <f>VLOOKUP($AM717,PATRIMONIALE!$AV769:AY$1003,4,FALSE)</f>
        <v>#N/A</v>
      </c>
      <c r="AQ717" s="748" t="e">
        <f>VLOOKUP($AM717,PATRIMONIALE!$AV769:AZ$1003,5,FALSE)</f>
        <v>#N/A</v>
      </c>
      <c r="AR717" s="1"/>
      <c r="AS717" s="461" t="str">
        <f t="shared" si="130"/>
        <v/>
      </c>
      <c r="AT717" s="370"/>
    </row>
    <row r="718" spans="1:46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435">
        <f>IF(AND(W718&gt;=$U$1,W718&lt;=$U$2),IF(X718='ESTRATTO CONTO'!$E$2,1+COUNTIF(U$4:U717,"&gt;0"),0),0)</f>
        <v>0</v>
      </c>
      <c r="V718" s="417">
        <f t="shared" si="131"/>
        <v>715</v>
      </c>
      <c r="W718" s="509"/>
      <c r="X718" s="321"/>
      <c r="Y718" s="321"/>
      <c r="Z718" s="433"/>
      <c r="AA718" s="356"/>
      <c r="AB718" s="306" t="str">
        <f t="shared" si="126"/>
        <v/>
      </c>
      <c r="AC718" s="893">
        <f t="shared" si="127"/>
        <v>0</v>
      </c>
      <c r="AD718" s="322"/>
      <c r="AE718" s="1"/>
      <c r="AF718" s="223">
        <f>IF(ISBLANK(AD718),0,COUNTIF(AF$4:AF717,"&gt;0")+1)</f>
        <v>0</v>
      </c>
      <c r="AG718" s="164">
        <f t="shared" si="133"/>
        <v>0</v>
      </c>
      <c r="AH718" s="99">
        <f t="shared" si="128"/>
        <v>0</v>
      </c>
      <c r="AI718" s="99">
        <f t="shared" si="134"/>
        <v>0</v>
      </c>
      <c r="AJ718" s="170">
        <f t="shared" si="135"/>
        <v>0</v>
      </c>
      <c r="AK718" s="204">
        <f t="shared" si="129"/>
        <v>0</v>
      </c>
      <c r="AL718" s="1049">
        <f>IF(ISERROR(AO718),0,IF(AND(AN718&gt;=$U$1,AN718&lt;=$U$2),IF(AO718='ESTRATTO CONTO'!$E$2,1+COUNTIF(AL$4:AL717,"&gt;0")+U$1009,0),0))</f>
        <v>0</v>
      </c>
      <c r="AM718" s="747">
        <f t="shared" si="132"/>
        <v>715</v>
      </c>
      <c r="AN718" s="164" t="e">
        <f>VLOOKUP($AM718,PATRIMONIALE!$AV770:AW$1003,2,FALSE)</f>
        <v>#N/A</v>
      </c>
      <c r="AO718" s="310" t="e">
        <f>VLOOKUP($AM718,PATRIMONIALE!$AV770:AX$1003,3,FALSE)</f>
        <v>#N/A</v>
      </c>
      <c r="AP718" s="310" t="e">
        <f>VLOOKUP($AM718,PATRIMONIALE!$AV770:AY$1003,4,FALSE)</f>
        <v>#N/A</v>
      </c>
      <c r="AQ718" s="748" t="e">
        <f>VLOOKUP($AM718,PATRIMONIALE!$AV770:AZ$1003,5,FALSE)</f>
        <v>#N/A</v>
      </c>
      <c r="AR718" s="1"/>
      <c r="AS718" s="461" t="str">
        <f t="shared" si="130"/>
        <v/>
      </c>
      <c r="AT718" s="370"/>
    </row>
    <row r="719" spans="1:46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435">
        <f>IF(AND(W719&gt;=$U$1,W719&lt;=$U$2),IF(X719='ESTRATTO CONTO'!$E$2,1+COUNTIF(U$4:U718,"&gt;0"),0),0)</f>
        <v>0</v>
      </c>
      <c r="V719" s="417">
        <f t="shared" si="131"/>
        <v>716</v>
      </c>
      <c r="W719" s="509"/>
      <c r="X719" s="321"/>
      <c r="Y719" s="321"/>
      <c r="Z719" s="433"/>
      <c r="AA719" s="356"/>
      <c r="AB719" s="306" t="str">
        <f t="shared" si="126"/>
        <v/>
      </c>
      <c r="AC719" s="893">
        <f t="shared" si="127"/>
        <v>0</v>
      </c>
      <c r="AD719" s="322"/>
      <c r="AE719" s="1"/>
      <c r="AF719" s="223">
        <f>IF(ISBLANK(AD719),0,COUNTIF(AF$4:AF718,"&gt;0")+1)</f>
        <v>0</v>
      </c>
      <c r="AG719" s="164">
        <f t="shared" si="133"/>
        <v>0</v>
      </c>
      <c r="AH719" s="99">
        <f t="shared" si="128"/>
        <v>0</v>
      </c>
      <c r="AI719" s="99">
        <f t="shared" si="134"/>
        <v>0</v>
      </c>
      <c r="AJ719" s="170">
        <f t="shared" si="135"/>
        <v>0</v>
      </c>
      <c r="AK719" s="204">
        <f t="shared" si="129"/>
        <v>0</v>
      </c>
      <c r="AL719" s="1049">
        <f>IF(ISERROR(AO719),0,IF(AND(AN719&gt;=$U$1,AN719&lt;=$U$2),IF(AO719='ESTRATTO CONTO'!$E$2,1+COUNTIF(AL$4:AL718,"&gt;0")+U$1009,0),0))</f>
        <v>0</v>
      </c>
      <c r="AM719" s="747">
        <f t="shared" si="132"/>
        <v>716</v>
      </c>
      <c r="AN719" s="164" t="e">
        <f>VLOOKUP($AM719,PATRIMONIALE!$AV771:AW$1003,2,FALSE)</f>
        <v>#N/A</v>
      </c>
      <c r="AO719" s="310" t="e">
        <f>VLOOKUP($AM719,PATRIMONIALE!$AV771:AX$1003,3,FALSE)</f>
        <v>#N/A</v>
      </c>
      <c r="AP719" s="310" t="e">
        <f>VLOOKUP($AM719,PATRIMONIALE!$AV771:AY$1003,4,FALSE)</f>
        <v>#N/A</v>
      </c>
      <c r="AQ719" s="748" t="e">
        <f>VLOOKUP($AM719,PATRIMONIALE!$AV771:AZ$1003,5,FALSE)</f>
        <v>#N/A</v>
      </c>
      <c r="AR719" s="1"/>
      <c r="AS719" s="461" t="str">
        <f t="shared" si="130"/>
        <v/>
      </c>
      <c r="AT719" s="370"/>
    </row>
    <row r="720" spans="1:46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435">
        <f>IF(AND(W720&gt;=$U$1,W720&lt;=$U$2),IF(X720='ESTRATTO CONTO'!$E$2,1+COUNTIF(U$4:U719,"&gt;0"),0),0)</f>
        <v>0</v>
      </c>
      <c r="V720" s="417">
        <f t="shared" si="131"/>
        <v>717</v>
      </c>
      <c r="W720" s="509"/>
      <c r="X720" s="321"/>
      <c r="Y720" s="321"/>
      <c r="Z720" s="433"/>
      <c r="AA720" s="356"/>
      <c r="AB720" s="306" t="str">
        <f t="shared" si="126"/>
        <v/>
      </c>
      <c r="AC720" s="893">
        <f t="shared" si="127"/>
        <v>0</v>
      </c>
      <c r="AD720" s="322"/>
      <c r="AE720" s="1"/>
      <c r="AF720" s="223">
        <f>IF(ISBLANK(AD720),0,COUNTIF(AF$4:AF719,"&gt;0")+1)</f>
        <v>0</v>
      </c>
      <c r="AG720" s="164">
        <f t="shared" si="133"/>
        <v>0</v>
      </c>
      <c r="AH720" s="99">
        <f t="shared" si="128"/>
        <v>0</v>
      </c>
      <c r="AI720" s="99">
        <f t="shared" si="134"/>
        <v>0</v>
      </c>
      <c r="AJ720" s="170">
        <f t="shared" si="135"/>
        <v>0</v>
      </c>
      <c r="AK720" s="204">
        <f t="shared" si="129"/>
        <v>0</v>
      </c>
      <c r="AL720" s="1049">
        <f>IF(ISERROR(AO720),0,IF(AND(AN720&gt;=$U$1,AN720&lt;=$U$2),IF(AO720='ESTRATTO CONTO'!$E$2,1+COUNTIF(AL$4:AL719,"&gt;0")+U$1009,0),0))</f>
        <v>0</v>
      </c>
      <c r="AM720" s="747">
        <f t="shared" si="132"/>
        <v>717</v>
      </c>
      <c r="AN720" s="164" t="e">
        <f>VLOOKUP($AM720,PATRIMONIALE!$AV772:AW$1003,2,FALSE)</f>
        <v>#N/A</v>
      </c>
      <c r="AO720" s="310" t="e">
        <f>VLOOKUP($AM720,PATRIMONIALE!$AV772:AX$1003,3,FALSE)</f>
        <v>#N/A</v>
      </c>
      <c r="AP720" s="310" t="e">
        <f>VLOOKUP($AM720,PATRIMONIALE!$AV772:AY$1003,4,FALSE)</f>
        <v>#N/A</v>
      </c>
      <c r="AQ720" s="748" t="e">
        <f>VLOOKUP($AM720,PATRIMONIALE!$AV772:AZ$1003,5,FALSE)</f>
        <v>#N/A</v>
      </c>
      <c r="AR720" s="1"/>
      <c r="AS720" s="461" t="str">
        <f t="shared" si="130"/>
        <v/>
      </c>
      <c r="AT720" s="370"/>
    </row>
    <row r="721" spans="1:46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435">
        <f>IF(AND(W721&gt;=$U$1,W721&lt;=$U$2),IF(X721='ESTRATTO CONTO'!$E$2,1+COUNTIF(U$4:U720,"&gt;0"),0),0)</f>
        <v>0</v>
      </c>
      <c r="V721" s="417">
        <f t="shared" si="131"/>
        <v>718</v>
      </c>
      <c r="W721" s="509"/>
      <c r="X721" s="321"/>
      <c r="Y721" s="321"/>
      <c r="Z721" s="433"/>
      <c r="AA721" s="356"/>
      <c r="AB721" s="306" t="str">
        <f t="shared" si="126"/>
        <v/>
      </c>
      <c r="AC721" s="893">
        <f t="shared" si="127"/>
        <v>0</v>
      </c>
      <c r="AD721" s="322"/>
      <c r="AE721" s="1"/>
      <c r="AF721" s="223">
        <f>IF(ISBLANK(AD721),0,COUNTIF(AF$4:AF720,"&gt;0")+1)</f>
        <v>0</v>
      </c>
      <c r="AG721" s="164">
        <f t="shared" si="133"/>
        <v>0</v>
      </c>
      <c r="AH721" s="99">
        <f t="shared" si="128"/>
        <v>0</v>
      </c>
      <c r="AI721" s="99">
        <f t="shared" si="134"/>
        <v>0</v>
      </c>
      <c r="AJ721" s="170">
        <f t="shared" si="135"/>
        <v>0</v>
      </c>
      <c r="AK721" s="204">
        <f t="shared" si="129"/>
        <v>0</v>
      </c>
      <c r="AL721" s="1049">
        <f>IF(ISERROR(AO721),0,IF(AND(AN721&gt;=$U$1,AN721&lt;=$U$2),IF(AO721='ESTRATTO CONTO'!$E$2,1+COUNTIF(AL$4:AL720,"&gt;0")+U$1009,0),0))</f>
        <v>0</v>
      </c>
      <c r="AM721" s="747">
        <f t="shared" si="132"/>
        <v>718</v>
      </c>
      <c r="AN721" s="164" t="e">
        <f>VLOOKUP($AM721,PATRIMONIALE!$AV773:AW$1003,2,FALSE)</f>
        <v>#N/A</v>
      </c>
      <c r="AO721" s="310" t="e">
        <f>VLOOKUP($AM721,PATRIMONIALE!$AV773:AX$1003,3,FALSE)</f>
        <v>#N/A</v>
      </c>
      <c r="AP721" s="310" t="e">
        <f>VLOOKUP($AM721,PATRIMONIALE!$AV773:AY$1003,4,FALSE)</f>
        <v>#N/A</v>
      </c>
      <c r="AQ721" s="748" t="e">
        <f>VLOOKUP($AM721,PATRIMONIALE!$AV773:AZ$1003,5,FALSE)</f>
        <v>#N/A</v>
      </c>
      <c r="AR721" s="1"/>
      <c r="AS721" s="461" t="str">
        <f t="shared" si="130"/>
        <v/>
      </c>
      <c r="AT721" s="370"/>
    </row>
    <row r="722" spans="1:46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435">
        <f>IF(AND(W722&gt;=$U$1,W722&lt;=$U$2),IF(X722='ESTRATTO CONTO'!$E$2,1+COUNTIF(U$4:U721,"&gt;0"),0),0)</f>
        <v>0</v>
      </c>
      <c r="V722" s="417">
        <f t="shared" si="131"/>
        <v>719</v>
      </c>
      <c r="W722" s="509"/>
      <c r="X722" s="321"/>
      <c r="Y722" s="321"/>
      <c r="Z722" s="433"/>
      <c r="AA722" s="356"/>
      <c r="AB722" s="306" t="str">
        <f t="shared" si="126"/>
        <v/>
      </c>
      <c r="AC722" s="893">
        <f t="shared" si="127"/>
        <v>0</v>
      </c>
      <c r="AD722" s="322"/>
      <c r="AE722" s="1"/>
      <c r="AF722" s="223">
        <f>IF(ISBLANK(AD722),0,COUNTIF(AF$4:AF721,"&gt;0")+1)</f>
        <v>0</v>
      </c>
      <c r="AG722" s="164">
        <f t="shared" si="133"/>
        <v>0</v>
      </c>
      <c r="AH722" s="99">
        <f t="shared" si="128"/>
        <v>0</v>
      </c>
      <c r="AI722" s="99">
        <f t="shared" si="134"/>
        <v>0</v>
      </c>
      <c r="AJ722" s="170">
        <f t="shared" si="135"/>
        <v>0</v>
      </c>
      <c r="AK722" s="204">
        <f t="shared" si="129"/>
        <v>0</v>
      </c>
      <c r="AL722" s="1049">
        <f>IF(ISERROR(AO722),0,IF(AND(AN722&gt;=$U$1,AN722&lt;=$U$2),IF(AO722='ESTRATTO CONTO'!$E$2,1+COUNTIF(AL$4:AL721,"&gt;0")+U$1009,0),0))</f>
        <v>0</v>
      </c>
      <c r="AM722" s="747">
        <f t="shared" si="132"/>
        <v>719</v>
      </c>
      <c r="AN722" s="164" t="e">
        <f>VLOOKUP($AM722,PATRIMONIALE!$AV774:AW$1003,2,FALSE)</f>
        <v>#N/A</v>
      </c>
      <c r="AO722" s="310" t="e">
        <f>VLOOKUP($AM722,PATRIMONIALE!$AV774:AX$1003,3,FALSE)</f>
        <v>#N/A</v>
      </c>
      <c r="AP722" s="310" t="e">
        <f>VLOOKUP($AM722,PATRIMONIALE!$AV774:AY$1003,4,FALSE)</f>
        <v>#N/A</v>
      </c>
      <c r="AQ722" s="748" t="e">
        <f>VLOOKUP($AM722,PATRIMONIALE!$AV774:AZ$1003,5,FALSE)</f>
        <v>#N/A</v>
      </c>
      <c r="AR722" s="1"/>
      <c r="AS722" s="461" t="str">
        <f t="shared" si="130"/>
        <v/>
      </c>
      <c r="AT722" s="370"/>
    </row>
    <row r="723" spans="1:46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435">
        <f>IF(AND(W723&gt;=$U$1,W723&lt;=$U$2),IF(X723='ESTRATTO CONTO'!$E$2,1+COUNTIF(U$4:U722,"&gt;0"),0),0)</f>
        <v>0</v>
      </c>
      <c r="V723" s="417">
        <f t="shared" si="131"/>
        <v>720</v>
      </c>
      <c r="W723" s="509"/>
      <c r="X723" s="321"/>
      <c r="Y723" s="321"/>
      <c r="Z723" s="433"/>
      <c r="AA723" s="356"/>
      <c r="AB723" s="306" t="str">
        <f t="shared" si="126"/>
        <v/>
      </c>
      <c r="AC723" s="893">
        <f t="shared" si="127"/>
        <v>0</v>
      </c>
      <c r="AD723" s="322"/>
      <c r="AE723" s="1"/>
      <c r="AF723" s="223">
        <f>IF(ISBLANK(AD723),0,COUNTIF(AF$4:AF722,"&gt;0")+1)</f>
        <v>0</v>
      </c>
      <c r="AG723" s="164">
        <f t="shared" si="133"/>
        <v>0</v>
      </c>
      <c r="AH723" s="99">
        <f t="shared" si="128"/>
        <v>0</v>
      </c>
      <c r="AI723" s="99">
        <f t="shared" si="134"/>
        <v>0</v>
      </c>
      <c r="AJ723" s="170">
        <f t="shared" si="135"/>
        <v>0</v>
      </c>
      <c r="AK723" s="204">
        <f t="shared" si="129"/>
        <v>0</v>
      </c>
      <c r="AL723" s="1049">
        <f>IF(ISERROR(AO723),0,IF(AND(AN723&gt;=$U$1,AN723&lt;=$U$2),IF(AO723='ESTRATTO CONTO'!$E$2,1+COUNTIF(AL$4:AL722,"&gt;0")+U$1009,0),0))</f>
        <v>0</v>
      </c>
      <c r="AM723" s="747">
        <f t="shared" si="132"/>
        <v>720</v>
      </c>
      <c r="AN723" s="164" t="e">
        <f>VLOOKUP($AM723,PATRIMONIALE!$AV775:AW$1003,2,FALSE)</f>
        <v>#N/A</v>
      </c>
      <c r="AO723" s="310" t="e">
        <f>VLOOKUP($AM723,PATRIMONIALE!$AV775:AX$1003,3,FALSE)</f>
        <v>#N/A</v>
      </c>
      <c r="AP723" s="310" t="e">
        <f>VLOOKUP($AM723,PATRIMONIALE!$AV775:AY$1003,4,FALSE)</f>
        <v>#N/A</v>
      </c>
      <c r="AQ723" s="748" t="e">
        <f>VLOOKUP($AM723,PATRIMONIALE!$AV775:AZ$1003,5,FALSE)</f>
        <v>#N/A</v>
      </c>
      <c r="AR723" s="1"/>
      <c r="AS723" s="461" t="str">
        <f t="shared" si="130"/>
        <v/>
      </c>
      <c r="AT723" s="370"/>
    </row>
    <row r="724" spans="1:46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435">
        <f>IF(AND(W724&gt;=$U$1,W724&lt;=$U$2),IF(X724='ESTRATTO CONTO'!$E$2,1+COUNTIF(U$4:U723,"&gt;0"),0),0)</f>
        <v>0</v>
      </c>
      <c r="V724" s="417">
        <f t="shared" si="131"/>
        <v>721</v>
      </c>
      <c r="W724" s="509"/>
      <c r="X724" s="321"/>
      <c r="Y724" s="321"/>
      <c r="Z724" s="433"/>
      <c r="AA724" s="356"/>
      <c r="AB724" s="306" t="str">
        <f t="shared" si="126"/>
        <v/>
      </c>
      <c r="AC724" s="893">
        <f t="shared" si="127"/>
        <v>0</v>
      </c>
      <c r="AD724" s="322"/>
      <c r="AE724" s="1"/>
      <c r="AF724" s="223">
        <f>IF(ISBLANK(AD724),0,COUNTIF(AF$4:AF723,"&gt;0")+1)</f>
        <v>0</v>
      </c>
      <c r="AG724" s="164">
        <f t="shared" si="133"/>
        <v>0</v>
      </c>
      <c r="AH724" s="99">
        <f t="shared" si="128"/>
        <v>0</v>
      </c>
      <c r="AI724" s="99">
        <f t="shared" si="134"/>
        <v>0</v>
      </c>
      <c r="AJ724" s="170">
        <f t="shared" si="135"/>
        <v>0</v>
      </c>
      <c r="AK724" s="204">
        <f t="shared" si="129"/>
        <v>0</v>
      </c>
      <c r="AL724" s="1049">
        <f>IF(ISERROR(AO724),0,IF(AND(AN724&gt;=$U$1,AN724&lt;=$U$2),IF(AO724='ESTRATTO CONTO'!$E$2,1+COUNTIF(AL$4:AL723,"&gt;0")+U$1009,0),0))</f>
        <v>0</v>
      </c>
      <c r="AM724" s="747">
        <f t="shared" si="132"/>
        <v>721</v>
      </c>
      <c r="AN724" s="164" t="e">
        <f>VLOOKUP($AM724,PATRIMONIALE!$AV776:AW$1003,2,FALSE)</f>
        <v>#N/A</v>
      </c>
      <c r="AO724" s="310" t="e">
        <f>VLOOKUP($AM724,PATRIMONIALE!$AV776:AX$1003,3,FALSE)</f>
        <v>#N/A</v>
      </c>
      <c r="AP724" s="310" t="e">
        <f>VLOOKUP($AM724,PATRIMONIALE!$AV776:AY$1003,4,FALSE)</f>
        <v>#N/A</v>
      </c>
      <c r="AQ724" s="748" t="e">
        <f>VLOOKUP($AM724,PATRIMONIALE!$AV776:AZ$1003,5,FALSE)</f>
        <v>#N/A</v>
      </c>
      <c r="AR724" s="1"/>
      <c r="AS724" s="461" t="str">
        <f t="shared" si="130"/>
        <v/>
      </c>
      <c r="AT724" s="370"/>
    </row>
    <row r="725" spans="1:46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435">
        <f>IF(AND(W725&gt;=$U$1,W725&lt;=$U$2),IF(X725='ESTRATTO CONTO'!$E$2,1+COUNTIF(U$4:U724,"&gt;0"),0),0)</f>
        <v>0</v>
      </c>
      <c r="V725" s="417">
        <f t="shared" si="131"/>
        <v>722</v>
      </c>
      <c r="W725" s="509"/>
      <c r="X725" s="321"/>
      <c r="Y725" s="321"/>
      <c r="Z725" s="433"/>
      <c r="AA725" s="356"/>
      <c r="AB725" s="306" t="str">
        <f t="shared" si="126"/>
        <v/>
      </c>
      <c r="AC725" s="893">
        <f t="shared" si="127"/>
        <v>0</v>
      </c>
      <c r="AD725" s="322"/>
      <c r="AE725" s="1"/>
      <c r="AF725" s="223">
        <f>IF(ISBLANK(AD725),0,COUNTIF(AF$4:AF724,"&gt;0")+1)</f>
        <v>0</v>
      </c>
      <c r="AG725" s="164">
        <f t="shared" si="133"/>
        <v>0</v>
      </c>
      <c r="AH725" s="99">
        <f t="shared" si="128"/>
        <v>0</v>
      </c>
      <c r="AI725" s="99">
        <f t="shared" si="134"/>
        <v>0</v>
      </c>
      <c r="AJ725" s="170">
        <f t="shared" si="135"/>
        <v>0</v>
      </c>
      <c r="AK725" s="204">
        <f t="shared" si="129"/>
        <v>0</v>
      </c>
      <c r="AL725" s="1049">
        <f>IF(ISERROR(AO725),0,IF(AND(AN725&gt;=$U$1,AN725&lt;=$U$2),IF(AO725='ESTRATTO CONTO'!$E$2,1+COUNTIF(AL$4:AL724,"&gt;0")+U$1009,0),0))</f>
        <v>0</v>
      </c>
      <c r="AM725" s="747">
        <f t="shared" si="132"/>
        <v>722</v>
      </c>
      <c r="AN725" s="164" t="e">
        <f>VLOOKUP($AM725,PATRIMONIALE!$AV777:AW$1003,2,FALSE)</f>
        <v>#N/A</v>
      </c>
      <c r="AO725" s="310" t="e">
        <f>VLOOKUP($AM725,PATRIMONIALE!$AV777:AX$1003,3,FALSE)</f>
        <v>#N/A</v>
      </c>
      <c r="AP725" s="310" t="e">
        <f>VLOOKUP($AM725,PATRIMONIALE!$AV777:AY$1003,4,FALSE)</f>
        <v>#N/A</v>
      </c>
      <c r="AQ725" s="748" t="e">
        <f>VLOOKUP($AM725,PATRIMONIALE!$AV777:AZ$1003,5,FALSE)</f>
        <v>#N/A</v>
      </c>
      <c r="AR725" s="1"/>
      <c r="AS725" s="461" t="str">
        <f t="shared" si="130"/>
        <v/>
      </c>
      <c r="AT725" s="370"/>
    </row>
    <row r="726" spans="1:46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435">
        <f>IF(AND(W726&gt;=$U$1,W726&lt;=$U$2),IF(X726='ESTRATTO CONTO'!$E$2,1+COUNTIF(U$4:U725,"&gt;0"),0),0)</f>
        <v>0</v>
      </c>
      <c r="V726" s="417">
        <f t="shared" si="131"/>
        <v>723</v>
      </c>
      <c r="W726" s="509"/>
      <c r="X726" s="321"/>
      <c r="Y726" s="321"/>
      <c r="Z726" s="433"/>
      <c r="AA726" s="356"/>
      <c r="AB726" s="306" t="str">
        <f t="shared" si="126"/>
        <v/>
      </c>
      <c r="AC726" s="893">
        <f t="shared" si="127"/>
        <v>0</v>
      </c>
      <c r="AD726" s="322"/>
      <c r="AE726" s="1"/>
      <c r="AF726" s="223">
        <f>IF(ISBLANK(AD726),0,COUNTIF(AF$4:AF725,"&gt;0")+1)</f>
        <v>0</v>
      </c>
      <c r="AG726" s="164">
        <f t="shared" si="133"/>
        <v>0</v>
      </c>
      <c r="AH726" s="99">
        <f t="shared" si="128"/>
        <v>0</v>
      </c>
      <c r="AI726" s="99">
        <f t="shared" si="134"/>
        <v>0</v>
      </c>
      <c r="AJ726" s="170">
        <f t="shared" si="135"/>
        <v>0</v>
      </c>
      <c r="AK726" s="204">
        <f t="shared" si="129"/>
        <v>0</v>
      </c>
      <c r="AL726" s="1049">
        <f>IF(ISERROR(AO726),0,IF(AND(AN726&gt;=$U$1,AN726&lt;=$U$2),IF(AO726='ESTRATTO CONTO'!$E$2,1+COUNTIF(AL$4:AL725,"&gt;0")+U$1009,0),0))</f>
        <v>0</v>
      </c>
      <c r="AM726" s="747">
        <f t="shared" si="132"/>
        <v>723</v>
      </c>
      <c r="AN726" s="164" t="e">
        <f>VLOOKUP($AM726,PATRIMONIALE!$AV778:AW$1003,2,FALSE)</f>
        <v>#N/A</v>
      </c>
      <c r="AO726" s="310" t="e">
        <f>VLOOKUP($AM726,PATRIMONIALE!$AV778:AX$1003,3,FALSE)</f>
        <v>#N/A</v>
      </c>
      <c r="AP726" s="310" t="e">
        <f>VLOOKUP($AM726,PATRIMONIALE!$AV778:AY$1003,4,FALSE)</f>
        <v>#N/A</v>
      </c>
      <c r="AQ726" s="748" t="e">
        <f>VLOOKUP($AM726,PATRIMONIALE!$AV778:AZ$1003,5,FALSE)</f>
        <v>#N/A</v>
      </c>
      <c r="AR726" s="1"/>
      <c r="AS726" s="461" t="str">
        <f t="shared" si="130"/>
        <v/>
      </c>
      <c r="AT726" s="370"/>
    </row>
    <row r="727" spans="1:46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435">
        <f>IF(AND(W727&gt;=$U$1,W727&lt;=$U$2),IF(X727='ESTRATTO CONTO'!$E$2,1+COUNTIF(U$4:U726,"&gt;0"),0),0)</f>
        <v>0</v>
      </c>
      <c r="V727" s="417">
        <f t="shared" si="131"/>
        <v>724</v>
      </c>
      <c r="W727" s="509"/>
      <c r="X727" s="321"/>
      <c r="Y727" s="321"/>
      <c r="Z727" s="433"/>
      <c r="AA727" s="356"/>
      <c r="AB727" s="306" t="str">
        <f t="shared" si="126"/>
        <v/>
      </c>
      <c r="AC727" s="893">
        <f t="shared" si="127"/>
        <v>0</v>
      </c>
      <c r="AD727" s="322"/>
      <c r="AE727" s="1"/>
      <c r="AF727" s="223">
        <f>IF(ISBLANK(AD727),0,COUNTIF(AF$4:AF726,"&gt;0")+1)</f>
        <v>0</v>
      </c>
      <c r="AG727" s="164">
        <f t="shared" si="133"/>
        <v>0</v>
      </c>
      <c r="AH727" s="99">
        <f t="shared" si="128"/>
        <v>0</v>
      </c>
      <c r="AI727" s="99">
        <f t="shared" si="134"/>
        <v>0</v>
      </c>
      <c r="AJ727" s="170">
        <f t="shared" si="135"/>
        <v>0</v>
      </c>
      <c r="AK727" s="204">
        <f t="shared" si="129"/>
        <v>0</v>
      </c>
      <c r="AL727" s="1049">
        <f>IF(ISERROR(AO727),0,IF(AND(AN727&gt;=$U$1,AN727&lt;=$U$2),IF(AO727='ESTRATTO CONTO'!$E$2,1+COUNTIF(AL$4:AL726,"&gt;0")+U$1009,0),0))</f>
        <v>0</v>
      </c>
      <c r="AM727" s="747">
        <f t="shared" si="132"/>
        <v>724</v>
      </c>
      <c r="AN727" s="164" t="e">
        <f>VLOOKUP($AM727,PATRIMONIALE!$AV779:AW$1003,2,FALSE)</f>
        <v>#N/A</v>
      </c>
      <c r="AO727" s="310" t="e">
        <f>VLOOKUP($AM727,PATRIMONIALE!$AV779:AX$1003,3,FALSE)</f>
        <v>#N/A</v>
      </c>
      <c r="AP727" s="310" t="e">
        <f>VLOOKUP($AM727,PATRIMONIALE!$AV779:AY$1003,4,FALSE)</f>
        <v>#N/A</v>
      </c>
      <c r="AQ727" s="748" t="e">
        <f>VLOOKUP($AM727,PATRIMONIALE!$AV779:AZ$1003,5,FALSE)</f>
        <v>#N/A</v>
      </c>
      <c r="AR727" s="1"/>
      <c r="AS727" s="461" t="str">
        <f t="shared" si="130"/>
        <v/>
      </c>
      <c r="AT727" s="370"/>
    </row>
    <row r="728" spans="1:46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435">
        <f>IF(AND(W728&gt;=$U$1,W728&lt;=$U$2),IF(X728='ESTRATTO CONTO'!$E$2,1+COUNTIF(U$4:U727,"&gt;0"),0),0)</f>
        <v>0</v>
      </c>
      <c r="V728" s="417">
        <f t="shared" si="131"/>
        <v>725</v>
      </c>
      <c r="W728" s="509"/>
      <c r="X728" s="321"/>
      <c r="Y728" s="321"/>
      <c r="Z728" s="433"/>
      <c r="AA728" s="356"/>
      <c r="AB728" s="306" t="str">
        <f t="shared" si="126"/>
        <v/>
      </c>
      <c r="AC728" s="893">
        <f t="shared" si="127"/>
        <v>0</v>
      </c>
      <c r="AD728" s="322"/>
      <c r="AE728" s="1"/>
      <c r="AF728" s="223">
        <f>IF(ISBLANK(AD728),0,COUNTIF(AF$4:AF727,"&gt;0")+1)</f>
        <v>0</v>
      </c>
      <c r="AG728" s="164">
        <f t="shared" si="133"/>
        <v>0</v>
      </c>
      <c r="AH728" s="99">
        <f t="shared" si="128"/>
        <v>0</v>
      </c>
      <c r="AI728" s="99">
        <f t="shared" si="134"/>
        <v>0</v>
      </c>
      <c r="AJ728" s="170">
        <f t="shared" si="135"/>
        <v>0</v>
      </c>
      <c r="AK728" s="204">
        <f t="shared" si="129"/>
        <v>0</v>
      </c>
      <c r="AL728" s="1049">
        <f>IF(ISERROR(AO728),0,IF(AND(AN728&gt;=$U$1,AN728&lt;=$U$2),IF(AO728='ESTRATTO CONTO'!$E$2,1+COUNTIF(AL$4:AL727,"&gt;0")+U$1009,0),0))</f>
        <v>0</v>
      </c>
      <c r="AM728" s="747">
        <f t="shared" si="132"/>
        <v>725</v>
      </c>
      <c r="AN728" s="164" t="e">
        <f>VLOOKUP($AM728,PATRIMONIALE!$AV780:AW$1003,2,FALSE)</f>
        <v>#N/A</v>
      </c>
      <c r="AO728" s="310" t="e">
        <f>VLOOKUP($AM728,PATRIMONIALE!$AV780:AX$1003,3,FALSE)</f>
        <v>#N/A</v>
      </c>
      <c r="AP728" s="310" t="e">
        <f>VLOOKUP($AM728,PATRIMONIALE!$AV780:AY$1003,4,FALSE)</f>
        <v>#N/A</v>
      </c>
      <c r="AQ728" s="748" t="e">
        <f>VLOOKUP($AM728,PATRIMONIALE!$AV780:AZ$1003,5,FALSE)</f>
        <v>#N/A</v>
      </c>
      <c r="AR728" s="1"/>
      <c r="AS728" s="461" t="str">
        <f t="shared" si="130"/>
        <v/>
      </c>
      <c r="AT728" s="370"/>
    </row>
    <row r="729" spans="1:46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435">
        <f>IF(AND(W729&gt;=$U$1,W729&lt;=$U$2),IF(X729='ESTRATTO CONTO'!$E$2,1+COUNTIF(U$4:U728,"&gt;0"),0),0)</f>
        <v>0</v>
      </c>
      <c r="V729" s="417">
        <f t="shared" si="131"/>
        <v>726</v>
      </c>
      <c r="W729" s="509"/>
      <c r="X729" s="321"/>
      <c r="Y729" s="321"/>
      <c r="Z729" s="433"/>
      <c r="AA729" s="356"/>
      <c r="AB729" s="306" t="str">
        <f t="shared" si="126"/>
        <v/>
      </c>
      <c r="AC729" s="893">
        <f t="shared" si="127"/>
        <v>0</v>
      </c>
      <c r="AD729" s="322"/>
      <c r="AE729" s="1"/>
      <c r="AF729" s="223">
        <f>IF(ISBLANK(AD729),0,COUNTIF(AF$4:AF728,"&gt;0")+1)</f>
        <v>0</v>
      </c>
      <c r="AG729" s="164">
        <f t="shared" si="133"/>
        <v>0</v>
      </c>
      <c r="AH729" s="99">
        <f t="shared" si="128"/>
        <v>0</v>
      </c>
      <c r="AI729" s="99">
        <f t="shared" si="134"/>
        <v>0</v>
      </c>
      <c r="AJ729" s="170">
        <f t="shared" si="135"/>
        <v>0</v>
      </c>
      <c r="AK729" s="204">
        <f t="shared" si="129"/>
        <v>0</v>
      </c>
      <c r="AL729" s="1049">
        <f>IF(ISERROR(AO729),0,IF(AND(AN729&gt;=$U$1,AN729&lt;=$U$2),IF(AO729='ESTRATTO CONTO'!$E$2,1+COUNTIF(AL$4:AL728,"&gt;0")+U$1009,0),0))</f>
        <v>0</v>
      </c>
      <c r="AM729" s="747">
        <f t="shared" si="132"/>
        <v>726</v>
      </c>
      <c r="AN729" s="164" t="e">
        <f>VLOOKUP($AM729,PATRIMONIALE!$AV781:AW$1003,2,FALSE)</f>
        <v>#N/A</v>
      </c>
      <c r="AO729" s="310" t="e">
        <f>VLOOKUP($AM729,PATRIMONIALE!$AV781:AX$1003,3,FALSE)</f>
        <v>#N/A</v>
      </c>
      <c r="AP729" s="310" t="e">
        <f>VLOOKUP($AM729,PATRIMONIALE!$AV781:AY$1003,4,FALSE)</f>
        <v>#N/A</v>
      </c>
      <c r="AQ729" s="748" t="e">
        <f>VLOOKUP($AM729,PATRIMONIALE!$AV781:AZ$1003,5,FALSE)</f>
        <v>#N/A</v>
      </c>
      <c r="AR729" s="1"/>
      <c r="AS729" s="461" t="str">
        <f t="shared" si="130"/>
        <v/>
      </c>
      <c r="AT729" s="370"/>
    </row>
    <row r="730" spans="1:46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435">
        <f>IF(AND(W730&gt;=$U$1,W730&lt;=$U$2),IF(X730='ESTRATTO CONTO'!$E$2,1+COUNTIF(U$4:U729,"&gt;0"),0),0)</f>
        <v>0</v>
      </c>
      <c r="V730" s="417">
        <f t="shared" si="131"/>
        <v>727</v>
      </c>
      <c r="W730" s="509"/>
      <c r="X730" s="321"/>
      <c r="Y730" s="321"/>
      <c r="Z730" s="433"/>
      <c r="AA730" s="356"/>
      <c r="AB730" s="306" t="str">
        <f t="shared" si="126"/>
        <v/>
      </c>
      <c r="AC730" s="893">
        <f t="shared" si="127"/>
        <v>0</v>
      </c>
      <c r="AD730" s="322"/>
      <c r="AE730" s="1"/>
      <c r="AF730" s="223">
        <f>IF(ISBLANK(AD730),0,COUNTIF(AF$4:AF729,"&gt;0")+1)</f>
        <v>0</v>
      </c>
      <c r="AG730" s="164">
        <f t="shared" si="133"/>
        <v>0</v>
      </c>
      <c r="AH730" s="99">
        <f t="shared" si="128"/>
        <v>0</v>
      </c>
      <c r="AI730" s="99">
        <f t="shared" si="134"/>
        <v>0</v>
      </c>
      <c r="AJ730" s="170">
        <f t="shared" si="135"/>
        <v>0</v>
      </c>
      <c r="AK730" s="204">
        <f t="shared" si="129"/>
        <v>0</v>
      </c>
      <c r="AL730" s="1049">
        <f>IF(ISERROR(AO730),0,IF(AND(AN730&gt;=$U$1,AN730&lt;=$U$2),IF(AO730='ESTRATTO CONTO'!$E$2,1+COUNTIF(AL$4:AL729,"&gt;0")+U$1009,0),0))</f>
        <v>0</v>
      </c>
      <c r="AM730" s="747">
        <f t="shared" si="132"/>
        <v>727</v>
      </c>
      <c r="AN730" s="164" t="e">
        <f>VLOOKUP($AM730,PATRIMONIALE!$AV782:AW$1003,2,FALSE)</f>
        <v>#N/A</v>
      </c>
      <c r="AO730" s="310" t="e">
        <f>VLOOKUP($AM730,PATRIMONIALE!$AV782:AX$1003,3,FALSE)</f>
        <v>#N/A</v>
      </c>
      <c r="AP730" s="310" t="e">
        <f>VLOOKUP($AM730,PATRIMONIALE!$AV782:AY$1003,4,FALSE)</f>
        <v>#N/A</v>
      </c>
      <c r="AQ730" s="748" t="e">
        <f>VLOOKUP($AM730,PATRIMONIALE!$AV782:AZ$1003,5,FALSE)</f>
        <v>#N/A</v>
      </c>
      <c r="AR730" s="1"/>
      <c r="AS730" s="461" t="str">
        <f t="shared" si="130"/>
        <v/>
      </c>
      <c r="AT730" s="370"/>
    </row>
    <row r="731" spans="1:46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435">
        <f>IF(AND(W731&gt;=$U$1,W731&lt;=$U$2),IF(X731='ESTRATTO CONTO'!$E$2,1+COUNTIF(U$4:U730,"&gt;0"),0),0)</f>
        <v>0</v>
      </c>
      <c r="V731" s="417">
        <f t="shared" si="131"/>
        <v>728</v>
      </c>
      <c r="W731" s="509"/>
      <c r="X731" s="321"/>
      <c r="Y731" s="321"/>
      <c r="Z731" s="433"/>
      <c r="AA731" s="356"/>
      <c r="AB731" s="306" t="str">
        <f t="shared" si="126"/>
        <v/>
      </c>
      <c r="AC731" s="893">
        <f t="shared" si="127"/>
        <v>0</v>
      </c>
      <c r="AD731" s="322"/>
      <c r="AE731" s="1"/>
      <c r="AF731" s="223">
        <f>IF(ISBLANK(AD731),0,COUNTIF(AF$4:AF730,"&gt;0")+1)</f>
        <v>0</v>
      </c>
      <c r="AG731" s="164">
        <f t="shared" si="133"/>
        <v>0</v>
      </c>
      <c r="AH731" s="99">
        <f t="shared" si="128"/>
        <v>0</v>
      </c>
      <c r="AI731" s="99">
        <f t="shared" si="134"/>
        <v>0</v>
      </c>
      <c r="AJ731" s="170">
        <f t="shared" si="135"/>
        <v>0</v>
      </c>
      <c r="AK731" s="204">
        <f t="shared" si="129"/>
        <v>0</v>
      </c>
      <c r="AL731" s="1049">
        <f>IF(ISERROR(AO731),0,IF(AND(AN731&gt;=$U$1,AN731&lt;=$U$2),IF(AO731='ESTRATTO CONTO'!$E$2,1+COUNTIF(AL$4:AL730,"&gt;0")+U$1009,0),0))</f>
        <v>0</v>
      </c>
      <c r="AM731" s="747">
        <f t="shared" si="132"/>
        <v>728</v>
      </c>
      <c r="AN731" s="164" t="e">
        <f>VLOOKUP($AM731,PATRIMONIALE!$AV783:AW$1003,2,FALSE)</f>
        <v>#N/A</v>
      </c>
      <c r="AO731" s="310" t="e">
        <f>VLOOKUP($AM731,PATRIMONIALE!$AV783:AX$1003,3,FALSE)</f>
        <v>#N/A</v>
      </c>
      <c r="AP731" s="310" t="e">
        <f>VLOOKUP($AM731,PATRIMONIALE!$AV783:AY$1003,4,FALSE)</f>
        <v>#N/A</v>
      </c>
      <c r="AQ731" s="748" t="e">
        <f>VLOOKUP($AM731,PATRIMONIALE!$AV783:AZ$1003,5,FALSE)</f>
        <v>#N/A</v>
      </c>
      <c r="AR731" s="1"/>
      <c r="AS731" s="461" t="str">
        <f t="shared" si="130"/>
        <v/>
      </c>
      <c r="AT731" s="370"/>
    </row>
    <row r="732" spans="1:46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435">
        <f>IF(AND(W732&gt;=$U$1,W732&lt;=$U$2),IF(X732='ESTRATTO CONTO'!$E$2,1+COUNTIF(U$4:U731,"&gt;0"),0),0)</f>
        <v>0</v>
      </c>
      <c r="V732" s="417">
        <f t="shared" si="131"/>
        <v>729</v>
      </c>
      <c r="W732" s="509"/>
      <c r="X732" s="321"/>
      <c r="Y732" s="321"/>
      <c r="Z732" s="433"/>
      <c r="AA732" s="356"/>
      <c r="AB732" s="306" t="str">
        <f t="shared" si="126"/>
        <v/>
      </c>
      <c r="AC732" s="893">
        <f t="shared" si="127"/>
        <v>0</v>
      </c>
      <c r="AD732" s="322"/>
      <c r="AE732" s="1"/>
      <c r="AF732" s="223">
        <f>IF(ISBLANK(AD732),0,COUNTIF(AF$4:AF731,"&gt;0")+1)</f>
        <v>0</v>
      </c>
      <c r="AG732" s="164">
        <f t="shared" si="133"/>
        <v>0</v>
      </c>
      <c r="AH732" s="99">
        <f t="shared" si="128"/>
        <v>0</v>
      </c>
      <c r="AI732" s="99">
        <f t="shared" si="134"/>
        <v>0</v>
      </c>
      <c r="AJ732" s="170">
        <f t="shared" si="135"/>
        <v>0</v>
      </c>
      <c r="AK732" s="204">
        <f t="shared" si="129"/>
        <v>0</v>
      </c>
      <c r="AL732" s="1049">
        <f>IF(ISERROR(AO732),0,IF(AND(AN732&gt;=$U$1,AN732&lt;=$U$2),IF(AO732='ESTRATTO CONTO'!$E$2,1+COUNTIF(AL$4:AL731,"&gt;0")+U$1009,0),0))</f>
        <v>0</v>
      </c>
      <c r="AM732" s="747">
        <f t="shared" si="132"/>
        <v>729</v>
      </c>
      <c r="AN732" s="164" t="e">
        <f>VLOOKUP($AM732,PATRIMONIALE!$AV784:AW$1003,2,FALSE)</f>
        <v>#N/A</v>
      </c>
      <c r="AO732" s="310" t="e">
        <f>VLOOKUP($AM732,PATRIMONIALE!$AV784:AX$1003,3,FALSE)</f>
        <v>#N/A</v>
      </c>
      <c r="AP732" s="310" t="e">
        <f>VLOOKUP($AM732,PATRIMONIALE!$AV784:AY$1003,4,FALSE)</f>
        <v>#N/A</v>
      </c>
      <c r="AQ732" s="748" t="e">
        <f>VLOOKUP($AM732,PATRIMONIALE!$AV784:AZ$1003,5,FALSE)</f>
        <v>#N/A</v>
      </c>
      <c r="AR732" s="1"/>
      <c r="AS732" s="461" t="str">
        <f t="shared" si="130"/>
        <v/>
      </c>
      <c r="AT732" s="370"/>
    </row>
    <row r="733" spans="1:46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435">
        <f>IF(AND(W733&gt;=$U$1,W733&lt;=$U$2),IF(X733='ESTRATTO CONTO'!$E$2,1+COUNTIF(U$4:U732,"&gt;0"),0),0)</f>
        <v>0</v>
      </c>
      <c r="V733" s="417">
        <f t="shared" si="131"/>
        <v>730</v>
      </c>
      <c r="W733" s="509"/>
      <c r="X733" s="321"/>
      <c r="Y733" s="321"/>
      <c r="Z733" s="433"/>
      <c r="AA733" s="356"/>
      <c r="AB733" s="306" t="str">
        <f t="shared" si="126"/>
        <v/>
      </c>
      <c r="AC733" s="893">
        <f t="shared" si="127"/>
        <v>0</v>
      </c>
      <c r="AD733" s="322"/>
      <c r="AE733" s="1"/>
      <c r="AF733" s="223">
        <f>IF(ISBLANK(AD733),0,COUNTIF(AF$4:AF732,"&gt;0")+1)</f>
        <v>0</v>
      </c>
      <c r="AG733" s="164">
        <f t="shared" si="133"/>
        <v>0</v>
      </c>
      <c r="AH733" s="99">
        <f t="shared" si="128"/>
        <v>0</v>
      </c>
      <c r="AI733" s="99">
        <f t="shared" si="134"/>
        <v>0</v>
      </c>
      <c r="AJ733" s="170">
        <f t="shared" si="135"/>
        <v>0</v>
      </c>
      <c r="AK733" s="204">
        <f t="shared" si="129"/>
        <v>0</v>
      </c>
      <c r="AL733" s="1049">
        <f>IF(ISERROR(AO733),0,IF(AND(AN733&gt;=$U$1,AN733&lt;=$U$2),IF(AO733='ESTRATTO CONTO'!$E$2,1+COUNTIF(AL$4:AL732,"&gt;0")+U$1009,0),0))</f>
        <v>0</v>
      </c>
      <c r="AM733" s="747">
        <f t="shared" si="132"/>
        <v>730</v>
      </c>
      <c r="AN733" s="164" t="e">
        <f>VLOOKUP($AM733,PATRIMONIALE!$AV785:AW$1003,2,FALSE)</f>
        <v>#N/A</v>
      </c>
      <c r="AO733" s="310" t="e">
        <f>VLOOKUP($AM733,PATRIMONIALE!$AV785:AX$1003,3,FALSE)</f>
        <v>#N/A</v>
      </c>
      <c r="AP733" s="310" t="e">
        <f>VLOOKUP($AM733,PATRIMONIALE!$AV785:AY$1003,4,FALSE)</f>
        <v>#N/A</v>
      </c>
      <c r="AQ733" s="748" t="e">
        <f>VLOOKUP($AM733,PATRIMONIALE!$AV785:AZ$1003,5,FALSE)</f>
        <v>#N/A</v>
      </c>
      <c r="AR733" s="1"/>
      <c r="AS733" s="461" t="str">
        <f t="shared" si="130"/>
        <v/>
      </c>
      <c r="AT733" s="370"/>
    </row>
    <row r="734" spans="1:46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435">
        <f>IF(AND(W734&gt;=$U$1,W734&lt;=$U$2),IF(X734='ESTRATTO CONTO'!$E$2,1+COUNTIF(U$4:U733,"&gt;0"),0),0)</f>
        <v>0</v>
      </c>
      <c r="V734" s="417">
        <f t="shared" si="131"/>
        <v>731</v>
      </c>
      <c r="W734" s="509"/>
      <c r="X734" s="321"/>
      <c r="Y734" s="321"/>
      <c r="Z734" s="433"/>
      <c r="AA734" s="356"/>
      <c r="AB734" s="306" t="str">
        <f t="shared" si="126"/>
        <v/>
      </c>
      <c r="AC734" s="893">
        <f t="shared" si="127"/>
        <v>0</v>
      </c>
      <c r="AD734" s="322"/>
      <c r="AE734" s="1"/>
      <c r="AF734" s="223">
        <f>IF(ISBLANK(AD734),0,COUNTIF(AF$4:AF733,"&gt;0")+1)</f>
        <v>0</v>
      </c>
      <c r="AG734" s="164">
        <f t="shared" si="133"/>
        <v>0</v>
      </c>
      <c r="AH734" s="99">
        <f t="shared" si="128"/>
        <v>0</v>
      </c>
      <c r="AI734" s="99">
        <f t="shared" si="134"/>
        <v>0</v>
      </c>
      <c r="AJ734" s="170">
        <f t="shared" si="135"/>
        <v>0</v>
      </c>
      <c r="AK734" s="204">
        <f t="shared" si="129"/>
        <v>0</v>
      </c>
      <c r="AL734" s="1049">
        <f>IF(ISERROR(AO734),0,IF(AND(AN734&gt;=$U$1,AN734&lt;=$U$2),IF(AO734='ESTRATTO CONTO'!$E$2,1+COUNTIF(AL$4:AL733,"&gt;0")+U$1009,0),0))</f>
        <v>0</v>
      </c>
      <c r="AM734" s="747">
        <f t="shared" si="132"/>
        <v>731</v>
      </c>
      <c r="AN734" s="164" t="e">
        <f>VLOOKUP($AM734,PATRIMONIALE!$AV786:AW$1003,2,FALSE)</f>
        <v>#N/A</v>
      </c>
      <c r="AO734" s="310" t="e">
        <f>VLOOKUP($AM734,PATRIMONIALE!$AV786:AX$1003,3,FALSE)</f>
        <v>#N/A</v>
      </c>
      <c r="AP734" s="310" t="e">
        <f>VLOOKUP($AM734,PATRIMONIALE!$AV786:AY$1003,4,FALSE)</f>
        <v>#N/A</v>
      </c>
      <c r="AQ734" s="748" t="e">
        <f>VLOOKUP($AM734,PATRIMONIALE!$AV786:AZ$1003,5,FALSE)</f>
        <v>#N/A</v>
      </c>
      <c r="AR734" s="1"/>
      <c r="AS734" s="461" t="str">
        <f t="shared" si="130"/>
        <v/>
      </c>
      <c r="AT734" s="370"/>
    </row>
    <row r="735" spans="1:46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435">
        <f>IF(AND(W735&gt;=$U$1,W735&lt;=$U$2),IF(X735='ESTRATTO CONTO'!$E$2,1+COUNTIF(U$4:U734,"&gt;0"),0),0)</f>
        <v>0</v>
      </c>
      <c r="V735" s="417">
        <f t="shared" si="131"/>
        <v>732</v>
      </c>
      <c r="W735" s="509"/>
      <c r="X735" s="321"/>
      <c r="Y735" s="321"/>
      <c r="Z735" s="433"/>
      <c r="AA735" s="356"/>
      <c r="AB735" s="306" t="str">
        <f t="shared" si="126"/>
        <v/>
      </c>
      <c r="AC735" s="893">
        <f t="shared" si="127"/>
        <v>0</v>
      </c>
      <c r="AD735" s="322"/>
      <c r="AE735" s="1"/>
      <c r="AF735" s="223">
        <f>IF(ISBLANK(AD735),0,COUNTIF(AF$4:AF734,"&gt;0")+1)</f>
        <v>0</v>
      </c>
      <c r="AG735" s="164">
        <f t="shared" si="133"/>
        <v>0</v>
      </c>
      <c r="AH735" s="99">
        <f t="shared" si="128"/>
        <v>0</v>
      </c>
      <c r="AI735" s="99">
        <f t="shared" si="134"/>
        <v>0</v>
      </c>
      <c r="AJ735" s="170">
        <f t="shared" si="135"/>
        <v>0</v>
      </c>
      <c r="AK735" s="204">
        <f t="shared" si="129"/>
        <v>0</v>
      </c>
      <c r="AL735" s="1049">
        <f>IF(ISERROR(AO735),0,IF(AND(AN735&gt;=$U$1,AN735&lt;=$U$2),IF(AO735='ESTRATTO CONTO'!$E$2,1+COUNTIF(AL$4:AL734,"&gt;0")+U$1009,0),0))</f>
        <v>0</v>
      </c>
      <c r="AM735" s="747">
        <f t="shared" si="132"/>
        <v>732</v>
      </c>
      <c r="AN735" s="164" t="e">
        <f>VLOOKUP($AM735,PATRIMONIALE!$AV787:AW$1003,2,FALSE)</f>
        <v>#N/A</v>
      </c>
      <c r="AO735" s="310" t="e">
        <f>VLOOKUP($AM735,PATRIMONIALE!$AV787:AX$1003,3,FALSE)</f>
        <v>#N/A</v>
      </c>
      <c r="AP735" s="310" t="e">
        <f>VLOOKUP($AM735,PATRIMONIALE!$AV787:AY$1003,4,FALSE)</f>
        <v>#N/A</v>
      </c>
      <c r="AQ735" s="748" t="e">
        <f>VLOOKUP($AM735,PATRIMONIALE!$AV787:AZ$1003,5,FALSE)</f>
        <v>#N/A</v>
      </c>
      <c r="AR735" s="1"/>
      <c r="AS735" s="461" t="str">
        <f t="shared" si="130"/>
        <v/>
      </c>
      <c r="AT735" s="370"/>
    </row>
    <row r="736" spans="1:46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435">
        <f>IF(AND(W736&gt;=$U$1,W736&lt;=$U$2),IF(X736='ESTRATTO CONTO'!$E$2,1+COUNTIF(U$4:U735,"&gt;0"),0),0)</f>
        <v>0</v>
      </c>
      <c r="V736" s="417">
        <f t="shared" si="131"/>
        <v>733</v>
      </c>
      <c r="W736" s="509"/>
      <c r="X736" s="321"/>
      <c r="Y736" s="321"/>
      <c r="Z736" s="433"/>
      <c r="AA736" s="356"/>
      <c r="AB736" s="306" t="str">
        <f t="shared" si="126"/>
        <v/>
      </c>
      <c r="AC736" s="893">
        <f t="shared" si="127"/>
        <v>0</v>
      </c>
      <c r="AD736" s="322"/>
      <c r="AE736" s="1"/>
      <c r="AF736" s="223">
        <f>IF(ISBLANK(AD736),0,COUNTIF(AF$4:AF735,"&gt;0")+1)</f>
        <v>0</v>
      </c>
      <c r="AG736" s="164">
        <f t="shared" si="133"/>
        <v>0</v>
      </c>
      <c r="AH736" s="99">
        <f t="shared" si="128"/>
        <v>0</v>
      </c>
      <c r="AI736" s="99">
        <f t="shared" si="134"/>
        <v>0</v>
      </c>
      <c r="AJ736" s="170">
        <f t="shared" si="135"/>
        <v>0</v>
      </c>
      <c r="AK736" s="204">
        <f t="shared" si="129"/>
        <v>0</v>
      </c>
      <c r="AL736" s="1049">
        <f>IF(ISERROR(AO736),0,IF(AND(AN736&gt;=$U$1,AN736&lt;=$U$2),IF(AO736='ESTRATTO CONTO'!$E$2,1+COUNTIF(AL$4:AL735,"&gt;0")+U$1009,0),0))</f>
        <v>0</v>
      </c>
      <c r="AM736" s="747">
        <f t="shared" si="132"/>
        <v>733</v>
      </c>
      <c r="AN736" s="164" t="e">
        <f>VLOOKUP($AM736,PATRIMONIALE!$AV788:AW$1003,2,FALSE)</f>
        <v>#N/A</v>
      </c>
      <c r="AO736" s="310" t="e">
        <f>VLOOKUP($AM736,PATRIMONIALE!$AV788:AX$1003,3,FALSE)</f>
        <v>#N/A</v>
      </c>
      <c r="AP736" s="310" t="e">
        <f>VLOOKUP($AM736,PATRIMONIALE!$AV788:AY$1003,4,FALSE)</f>
        <v>#N/A</v>
      </c>
      <c r="AQ736" s="748" t="e">
        <f>VLOOKUP($AM736,PATRIMONIALE!$AV788:AZ$1003,5,FALSE)</f>
        <v>#N/A</v>
      </c>
      <c r="AR736" s="1"/>
      <c r="AS736" s="461" t="str">
        <f t="shared" si="130"/>
        <v/>
      </c>
      <c r="AT736" s="370"/>
    </row>
    <row r="737" spans="1:46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435">
        <f>IF(AND(W737&gt;=$U$1,W737&lt;=$U$2),IF(X737='ESTRATTO CONTO'!$E$2,1+COUNTIF(U$4:U736,"&gt;0"),0),0)</f>
        <v>0</v>
      </c>
      <c r="V737" s="417">
        <f t="shared" si="131"/>
        <v>734</v>
      </c>
      <c r="W737" s="509"/>
      <c r="X737" s="321"/>
      <c r="Y737" s="321"/>
      <c r="Z737" s="433"/>
      <c r="AA737" s="356"/>
      <c r="AB737" s="306" t="str">
        <f t="shared" si="126"/>
        <v/>
      </c>
      <c r="AC737" s="893">
        <f t="shared" si="127"/>
        <v>0</v>
      </c>
      <c r="AD737" s="322"/>
      <c r="AE737" s="1"/>
      <c r="AF737" s="223">
        <f>IF(ISBLANK(AD737),0,COUNTIF(AF$4:AF736,"&gt;0")+1)</f>
        <v>0</v>
      </c>
      <c r="AG737" s="164">
        <f t="shared" si="133"/>
        <v>0</v>
      </c>
      <c r="AH737" s="99">
        <f t="shared" si="128"/>
        <v>0</v>
      </c>
      <c r="AI737" s="99">
        <f t="shared" si="134"/>
        <v>0</v>
      </c>
      <c r="AJ737" s="170">
        <f t="shared" si="135"/>
        <v>0</v>
      </c>
      <c r="AK737" s="204">
        <f t="shared" si="129"/>
        <v>0</v>
      </c>
      <c r="AL737" s="1049">
        <f>IF(ISERROR(AO737),0,IF(AND(AN737&gt;=$U$1,AN737&lt;=$U$2),IF(AO737='ESTRATTO CONTO'!$E$2,1+COUNTIF(AL$4:AL736,"&gt;0")+U$1009,0),0))</f>
        <v>0</v>
      </c>
      <c r="AM737" s="747">
        <f t="shared" si="132"/>
        <v>734</v>
      </c>
      <c r="AN737" s="164" t="e">
        <f>VLOOKUP($AM737,PATRIMONIALE!$AV789:AW$1003,2,FALSE)</f>
        <v>#N/A</v>
      </c>
      <c r="AO737" s="310" t="e">
        <f>VLOOKUP($AM737,PATRIMONIALE!$AV789:AX$1003,3,FALSE)</f>
        <v>#N/A</v>
      </c>
      <c r="AP737" s="310" t="e">
        <f>VLOOKUP($AM737,PATRIMONIALE!$AV789:AY$1003,4,FALSE)</f>
        <v>#N/A</v>
      </c>
      <c r="AQ737" s="748" t="e">
        <f>VLOOKUP($AM737,PATRIMONIALE!$AV789:AZ$1003,5,FALSE)</f>
        <v>#N/A</v>
      </c>
      <c r="AR737" s="1"/>
      <c r="AS737" s="461" t="str">
        <f t="shared" si="130"/>
        <v/>
      </c>
      <c r="AT737" s="370"/>
    </row>
    <row r="738" spans="1:46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435">
        <f>IF(AND(W738&gt;=$U$1,W738&lt;=$U$2),IF(X738='ESTRATTO CONTO'!$E$2,1+COUNTIF(U$4:U737,"&gt;0"),0),0)</f>
        <v>0</v>
      </c>
      <c r="V738" s="417">
        <f t="shared" si="131"/>
        <v>735</v>
      </c>
      <c r="W738" s="509"/>
      <c r="X738" s="321"/>
      <c r="Y738" s="321"/>
      <c r="Z738" s="433"/>
      <c r="AA738" s="356"/>
      <c r="AB738" s="306" t="str">
        <f t="shared" si="126"/>
        <v/>
      </c>
      <c r="AC738" s="893">
        <f t="shared" si="127"/>
        <v>0</v>
      </c>
      <c r="AD738" s="322"/>
      <c r="AE738" s="1"/>
      <c r="AF738" s="223">
        <f>IF(ISBLANK(AD738),0,COUNTIF(AF$4:AF737,"&gt;0")+1)</f>
        <v>0</v>
      </c>
      <c r="AG738" s="164">
        <f t="shared" si="133"/>
        <v>0</v>
      </c>
      <c r="AH738" s="99">
        <f t="shared" si="128"/>
        <v>0</v>
      </c>
      <c r="AI738" s="99">
        <f t="shared" si="134"/>
        <v>0</v>
      </c>
      <c r="AJ738" s="170">
        <f t="shared" si="135"/>
        <v>0</v>
      </c>
      <c r="AK738" s="204">
        <f t="shared" si="129"/>
        <v>0</v>
      </c>
      <c r="AL738" s="1049">
        <f>IF(ISERROR(AO738),0,IF(AND(AN738&gt;=$U$1,AN738&lt;=$U$2),IF(AO738='ESTRATTO CONTO'!$E$2,1+COUNTIF(AL$4:AL737,"&gt;0")+U$1009,0),0))</f>
        <v>0</v>
      </c>
      <c r="AM738" s="747">
        <f t="shared" si="132"/>
        <v>735</v>
      </c>
      <c r="AN738" s="164" t="e">
        <f>VLOOKUP($AM738,PATRIMONIALE!$AV790:AW$1003,2,FALSE)</f>
        <v>#N/A</v>
      </c>
      <c r="AO738" s="310" t="e">
        <f>VLOOKUP($AM738,PATRIMONIALE!$AV790:AX$1003,3,FALSE)</f>
        <v>#N/A</v>
      </c>
      <c r="AP738" s="310" t="e">
        <f>VLOOKUP($AM738,PATRIMONIALE!$AV790:AY$1003,4,FALSE)</f>
        <v>#N/A</v>
      </c>
      <c r="AQ738" s="748" t="e">
        <f>VLOOKUP($AM738,PATRIMONIALE!$AV790:AZ$1003,5,FALSE)</f>
        <v>#N/A</v>
      </c>
      <c r="AR738" s="1"/>
      <c r="AS738" s="461" t="str">
        <f t="shared" si="130"/>
        <v/>
      </c>
      <c r="AT738" s="370"/>
    </row>
    <row r="739" spans="1:46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435">
        <f>IF(AND(W739&gt;=$U$1,W739&lt;=$U$2),IF(X739='ESTRATTO CONTO'!$E$2,1+COUNTIF(U$4:U738,"&gt;0"),0),0)</f>
        <v>0</v>
      </c>
      <c r="V739" s="417">
        <f t="shared" si="131"/>
        <v>736</v>
      </c>
      <c r="W739" s="509"/>
      <c r="X739" s="321"/>
      <c r="Y739" s="321"/>
      <c r="Z739" s="433"/>
      <c r="AA739" s="356"/>
      <c r="AB739" s="306" t="str">
        <f t="shared" si="126"/>
        <v/>
      </c>
      <c r="AC739" s="893">
        <f t="shared" si="127"/>
        <v>0</v>
      </c>
      <c r="AD739" s="322"/>
      <c r="AE739" s="1"/>
      <c r="AF739" s="223">
        <f>IF(ISBLANK(AD739),0,COUNTIF(AF$4:AF738,"&gt;0")+1)</f>
        <v>0</v>
      </c>
      <c r="AG739" s="164">
        <f t="shared" si="133"/>
        <v>0</v>
      </c>
      <c r="AH739" s="99">
        <f t="shared" si="128"/>
        <v>0</v>
      </c>
      <c r="AI739" s="99">
        <f t="shared" si="134"/>
        <v>0</v>
      </c>
      <c r="AJ739" s="170">
        <f t="shared" si="135"/>
        <v>0</v>
      </c>
      <c r="AK739" s="204">
        <f t="shared" si="129"/>
        <v>0</v>
      </c>
      <c r="AL739" s="1049">
        <f>IF(ISERROR(AO739),0,IF(AND(AN739&gt;=$U$1,AN739&lt;=$U$2),IF(AO739='ESTRATTO CONTO'!$E$2,1+COUNTIF(AL$4:AL738,"&gt;0")+U$1009,0),0))</f>
        <v>0</v>
      </c>
      <c r="AM739" s="747">
        <f t="shared" si="132"/>
        <v>736</v>
      </c>
      <c r="AN739" s="164" t="e">
        <f>VLOOKUP($AM739,PATRIMONIALE!$AV791:AW$1003,2,FALSE)</f>
        <v>#N/A</v>
      </c>
      <c r="AO739" s="310" t="e">
        <f>VLOOKUP($AM739,PATRIMONIALE!$AV791:AX$1003,3,FALSE)</f>
        <v>#N/A</v>
      </c>
      <c r="AP739" s="310" t="e">
        <f>VLOOKUP($AM739,PATRIMONIALE!$AV791:AY$1003,4,FALSE)</f>
        <v>#N/A</v>
      </c>
      <c r="AQ739" s="748" t="e">
        <f>VLOOKUP($AM739,PATRIMONIALE!$AV791:AZ$1003,5,FALSE)</f>
        <v>#N/A</v>
      </c>
      <c r="AR739" s="1"/>
      <c r="AS739" s="461" t="str">
        <f t="shared" si="130"/>
        <v/>
      </c>
      <c r="AT739" s="370"/>
    </row>
    <row r="740" spans="1:46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435">
        <f>IF(AND(W740&gt;=$U$1,W740&lt;=$U$2),IF(X740='ESTRATTO CONTO'!$E$2,1+COUNTIF(U$4:U739,"&gt;0"),0),0)</f>
        <v>0</v>
      </c>
      <c r="V740" s="417">
        <f t="shared" si="131"/>
        <v>737</v>
      </c>
      <c r="W740" s="509"/>
      <c r="X740" s="321"/>
      <c r="Y740" s="321"/>
      <c r="Z740" s="433"/>
      <c r="AA740" s="356"/>
      <c r="AB740" s="306" t="str">
        <f t="shared" si="126"/>
        <v/>
      </c>
      <c r="AC740" s="893">
        <f t="shared" si="127"/>
        <v>0</v>
      </c>
      <c r="AD740" s="322"/>
      <c r="AE740" s="1"/>
      <c r="AF740" s="223">
        <f>IF(ISBLANK(AD740),0,COUNTIF(AF$4:AF739,"&gt;0")+1)</f>
        <v>0</v>
      </c>
      <c r="AG740" s="164">
        <f t="shared" si="133"/>
        <v>0</v>
      </c>
      <c r="AH740" s="99">
        <f t="shared" si="128"/>
        <v>0</v>
      </c>
      <c r="AI740" s="99">
        <f t="shared" si="134"/>
        <v>0</v>
      </c>
      <c r="AJ740" s="170">
        <f t="shared" si="135"/>
        <v>0</v>
      </c>
      <c r="AK740" s="204">
        <f t="shared" si="129"/>
        <v>0</v>
      </c>
      <c r="AL740" s="1049">
        <f>IF(ISERROR(AO740),0,IF(AND(AN740&gt;=$U$1,AN740&lt;=$U$2),IF(AO740='ESTRATTO CONTO'!$E$2,1+COUNTIF(AL$4:AL739,"&gt;0")+U$1009,0),0))</f>
        <v>0</v>
      </c>
      <c r="AM740" s="747">
        <f t="shared" si="132"/>
        <v>737</v>
      </c>
      <c r="AN740" s="164" t="e">
        <f>VLOOKUP($AM740,PATRIMONIALE!$AV792:AW$1003,2,FALSE)</f>
        <v>#N/A</v>
      </c>
      <c r="AO740" s="310" t="e">
        <f>VLOOKUP($AM740,PATRIMONIALE!$AV792:AX$1003,3,FALSE)</f>
        <v>#N/A</v>
      </c>
      <c r="AP740" s="310" t="e">
        <f>VLOOKUP($AM740,PATRIMONIALE!$AV792:AY$1003,4,FALSE)</f>
        <v>#N/A</v>
      </c>
      <c r="AQ740" s="748" t="e">
        <f>VLOOKUP($AM740,PATRIMONIALE!$AV792:AZ$1003,5,FALSE)</f>
        <v>#N/A</v>
      </c>
      <c r="AR740" s="1"/>
      <c r="AS740" s="461" t="str">
        <f t="shared" si="130"/>
        <v/>
      </c>
      <c r="AT740" s="370"/>
    </row>
    <row r="741" spans="1:46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435">
        <f>IF(AND(W741&gt;=$U$1,W741&lt;=$U$2),IF(X741='ESTRATTO CONTO'!$E$2,1+COUNTIF(U$4:U740,"&gt;0"),0),0)</f>
        <v>0</v>
      </c>
      <c r="V741" s="417">
        <f t="shared" si="131"/>
        <v>738</v>
      </c>
      <c r="W741" s="509"/>
      <c r="X741" s="321"/>
      <c r="Y741" s="321"/>
      <c r="Z741" s="433"/>
      <c r="AA741" s="356"/>
      <c r="AB741" s="306" t="str">
        <f t="shared" si="126"/>
        <v/>
      </c>
      <c r="AC741" s="893">
        <f t="shared" si="127"/>
        <v>0</v>
      </c>
      <c r="AD741" s="322"/>
      <c r="AE741" s="1"/>
      <c r="AF741" s="223">
        <f>IF(ISBLANK(AD741),0,COUNTIF(AF$4:AF740,"&gt;0")+1)</f>
        <v>0</v>
      </c>
      <c r="AG741" s="164">
        <f t="shared" si="133"/>
        <v>0</v>
      </c>
      <c r="AH741" s="99">
        <f t="shared" si="128"/>
        <v>0</v>
      </c>
      <c r="AI741" s="99">
        <f t="shared" si="134"/>
        <v>0</v>
      </c>
      <c r="AJ741" s="170">
        <f t="shared" si="135"/>
        <v>0</v>
      </c>
      <c r="AK741" s="204">
        <f t="shared" si="129"/>
        <v>0</v>
      </c>
      <c r="AL741" s="1049">
        <f>IF(ISERROR(AO741),0,IF(AND(AN741&gt;=$U$1,AN741&lt;=$U$2),IF(AO741='ESTRATTO CONTO'!$E$2,1+COUNTIF(AL$4:AL740,"&gt;0")+U$1009,0),0))</f>
        <v>0</v>
      </c>
      <c r="AM741" s="747">
        <f t="shared" si="132"/>
        <v>738</v>
      </c>
      <c r="AN741" s="164" t="e">
        <f>VLOOKUP($AM741,PATRIMONIALE!$AV793:AW$1003,2,FALSE)</f>
        <v>#N/A</v>
      </c>
      <c r="AO741" s="310" t="e">
        <f>VLOOKUP($AM741,PATRIMONIALE!$AV793:AX$1003,3,FALSE)</f>
        <v>#N/A</v>
      </c>
      <c r="AP741" s="310" t="e">
        <f>VLOOKUP($AM741,PATRIMONIALE!$AV793:AY$1003,4,FALSE)</f>
        <v>#N/A</v>
      </c>
      <c r="AQ741" s="748" t="e">
        <f>VLOOKUP($AM741,PATRIMONIALE!$AV793:AZ$1003,5,FALSE)</f>
        <v>#N/A</v>
      </c>
      <c r="AR741" s="1"/>
      <c r="AS741" s="461" t="str">
        <f t="shared" si="130"/>
        <v/>
      </c>
      <c r="AT741" s="370"/>
    </row>
    <row r="742" spans="1:46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435">
        <f>IF(AND(W742&gt;=$U$1,W742&lt;=$U$2),IF(X742='ESTRATTO CONTO'!$E$2,1+COUNTIF(U$4:U741,"&gt;0"),0),0)</f>
        <v>0</v>
      </c>
      <c r="V742" s="417">
        <f t="shared" si="131"/>
        <v>739</v>
      </c>
      <c r="W742" s="509"/>
      <c r="X742" s="321"/>
      <c r="Y742" s="321"/>
      <c r="Z742" s="433"/>
      <c r="AA742" s="356"/>
      <c r="AB742" s="306" t="str">
        <f t="shared" si="126"/>
        <v/>
      </c>
      <c r="AC742" s="893">
        <f t="shared" si="127"/>
        <v>0</v>
      </c>
      <c r="AD742" s="322"/>
      <c r="AE742" s="1"/>
      <c r="AF742" s="223">
        <f>IF(ISBLANK(AD742),0,COUNTIF(AF$4:AF741,"&gt;0")+1)</f>
        <v>0</v>
      </c>
      <c r="AG742" s="164">
        <f t="shared" si="133"/>
        <v>0</v>
      </c>
      <c r="AH742" s="99">
        <f t="shared" si="128"/>
        <v>0</v>
      </c>
      <c r="AI742" s="99">
        <f t="shared" si="134"/>
        <v>0</v>
      </c>
      <c r="AJ742" s="170">
        <f t="shared" si="135"/>
        <v>0</v>
      </c>
      <c r="AK742" s="204">
        <f t="shared" si="129"/>
        <v>0</v>
      </c>
      <c r="AL742" s="1049">
        <f>IF(ISERROR(AO742),0,IF(AND(AN742&gt;=$U$1,AN742&lt;=$U$2),IF(AO742='ESTRATTO CONTO'!$E$2,1+COUNTIF(AL$4:AL741,"&gt;0")+U$1009,0),0))</f>
        <v>0</v>
      </c>
      <c r="AM742" s="747">
        <f t="shared" si="132"/>
        <v>739</v>
      </c>
      <c r="AN742" s="164" t="e">
        <f>VLOOKUP($AM742,PATRIMONIALE!$AV794:AW$1003,2,FALSE)</f>
        <v>#N/A</v>
      </c>
      <c r="AO742" s="310" t="e">
        <f>VLOOKUP($AM742,PATRIMONIALE!$AV794:AX$1003,3,FALSE)</f>
        <v>#N/A</v>
      </c>
      <c r="AP742" s="310" t="e">
        <f>VLOOKUP($AM742,PATRIMONIALE!$AV794:AY$1003,4,FALSE)</f>
        <v>#N/A</v>
      </c>
      <c r="AQ742" s="748" t="e">
        <f>VLOOKUP($AM742,PATRIMONIALE!$AV794:AZ$1003,5,FALSE)</f>
        <v>#N/A</v>
      </c>
      <c r="AR742" s="1"/>
      <c r="AS742" s="461" t="str">
        <f t="shared" si="130"/>
        <v/>
      </c>
      <c r="AT742" s="370"/>
    </row>
    <row r="743" spans="1:46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435">
        <f>IF(AND(W743&gt;=$U$1,W743&lt;=$U$2),IF(X743='ESTRATTO CONTO'!$E$2,1+COUNTIF(U$4:U742,"&gt;0"),0),0)</f>
        <v>0</v>
      </c>
      <c r="V743" s="417">
        <f t="shared" si="131"/>
        <v>740</v>
      </c>
      <c r="W743" s="509"/>
      <c r="X743" s="321"/>
      <c r="Y743" s="321"/>
      <c r="Z743" s="433"/>
      <c r="AA743" s="356"/>
      <c r="AB743" s="306" t="str">
        <f t="shared" si="126"/>
        <v/>
      </c>
      <c r="AC743" s="893">
        <f t="shared" si="127"/>
        <v>0</v>
      </c>
      <c r="AD743" s="322"/>
      <c r="AE743" s="1"/>
      <c r="AF743" s="223">
        <f>IF(ISBLANK(AD743),0,COUNTIF(AF$4:AF742,"&gt;0")+1)</f>
        <v>0</v>
      </c>
      <c r="AG743" s="164">
        <f t="shared" si="133"/>
        <v>0</v>
      </c>
      <c r="AH743" s="99">
        <f t="shared" si="128"/>
        <v>0</v>
      </c>
      <c r="AI743" s="99">
        <f t="shared" si="134"/>
        <v>0</v>
      </c>
      <c r="AJ743" s="170">
        <f t="shared" si="135"/>
        <v>0</v>
      </c>
      <c r="AK743" s="204">
        <f t="shared" si="129"/>
        <v>0</v>
      </c>
      <c r="AL743" s="1049">
        <f>IF(ISERROR(AO743),0,IF(AND(AN743&gt;=$U$1,AN743&lt;=$U$2),IF(AO743='ESTRATTO CONTO'!$E$2,1+COUNTIF(AL$4:AL742,"&gt;0")+U$1009,0),0))</f>
        <v>0</v>
      </c>
      <c r="AM743" s="747">
        <f t="shared" si="132"/>
        <v>740</v>
      </c>
      <c r="AN743" s="164" t="e">
        <f>VLOOKUP($AM743,PATRIMONIALE!$AV795:AW$1003,2,FALSE)</f>
        <v>#N/A</v>
      </c>
      <c r="AO743" s="310" t="e">
        <f>VLOOKUP($AM743,PATRIMONIALE!$AV795:AX$1003,3,FALSE)</f>
        <v>#N/A</v>
      </c>
      <c r="AP743" s="310" t="e">
        <f>VLOOKUP($AM743,PATRIMONIALE!$AV795:AY$1003,4,FALSE)</f>
        <v>#N/A</v>
      </c>
      <c r="AQ743" s="748" t="e">
        <f>VLOOKUP($AM743,PATRIMONIALE!$AV795:AZ$1003,5,FALSE)</f>
        <v>#N/A</v>
      </c>
      <c r="AR743" s="1"/>
      <c r="AS743" s="461" t="str">
        <f t="shared" si="130"/>
        <v/>
      </c>
      <c r="AT743" s="370"/>
    </row>
    <row r="744" spans="1:46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435">
        <f>IF(AND(W744&gt;=$U$1,W744&lt;=$U$2),IF(X744='ESTRATTO CONTO'!$E$2,1+COUNTIF(U$4:U743,"&gt;0"),0),0)</f>
        <v>0</v>
      </c>
      <c r="V744" s="417">
        <f t="shared" si="131"/>
        <v>741</v>
      </c>
      <c r="W744" s="509"/>
      <c r="X744" s="321"/>
      <c r="Y744" s="321"/>
      <c r="Z744" s="433"/>
      <c r="AA744" s="356"/>
      <c r="AB744" s="306" t="str">
        <f t="shared" si="126"/>
        <v/>
      </c>
      <c r="AC744" s="893">
        <f t="shared" si="127"/>
        <v>0</v>
      </c>
      <c r="AD744" s="322"/>
      <c r="AE744" s="1"/>
      <c r="AF744" s="223">
        <f>IF(ISBLANK(AD744),0,COUNTIF(AF$4:AF743,"&gt;0")+1)</f>
        <v>0</v>
      </c>
      <c r="AG744" s="164">
        <f t="shared" si="133"/>
        <v>0</v>
      </c>
      <c r="AH744" s="99">
        <f t="shared" si="128"/>
        <v>0</v>
      </c>
      <c r="AI744" s="99">
        <f t="shared" si="134"/>
        <v>0</v>
      </c>
      <c r="AJ744" s="170">
        <f t="shared" si="135"/>
        <v>0</v>
      </c>
      <c r="AK744" s="204">
        <f t="shared" si="129"/>
        <v>0</v>
      </c>
      <c r="AL744" s="1049">
        <f>IF(ISERROR(AO744),0,IF(AND(AN744&gt;=$U$1,AN744&lt;=$U$2),IF(AO744='ESTRATTO CONTO'!$E$2,1+COUNTIF(AL$4:AL743,"&gt;0")+U$1009,0),0))</f>
        <v>0</v>
      </c>
      <c r="AM744" s="747">
        <f t="shared" si="132"/>
        <v>741</v>
      </c>
      <c r="AN744" s="164" t="e">
        <f>VLOOKUP($AM744,PATRIMONIALE!$AV796:AW$1003,2,FALSE)</f>
        <v>#N/A</v>
      </c>
      <c r="AO744" s="310" t="e">
        <f>VLOOKUP($AM744,PATRIMONIALE!$AV796:AX$1003,3,FALSE)</f>
        <v>#N/A</v>
      </c>
      <c r="AP744" s="310" t="e">
        <f>VLOOKUP($AM744,PATRIMONIALE!$AV796:AY$1003,4,FALSE)</f>
        <v>#N/A</v>
      </c>
      <c r="AQ744" s="748" t="e">
        <f>VLOOKUP($AM744,PATRIMONIALE!$AV796:AZ$1003,5,FALSE)</f>
        <v>#N/A</v>
      </c>
      <c r="AR744" s="1"/>
      <c r="AS744" s="461" t="str">
        <f t="shared" si="130"/>
        <v/>
      </c>
      <c r="AT744" s="370"/>
    </row>
    <row r="745" spans="1:46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435">
        <f>IF(AND(W745&gt;=$U$1,W745&lt;=$U$2),IF(X745='ESTRATTO CONTO'!$E$2,1+COUNTIF(U$4:U744,"&gt;0"),0),0)</f>
        <v>0</v>
      </c>
      <c r="V745" s="417">
        <f t="shared" si="131"/>
        <v>742</v>
      </c>
      <c r="W745" s="509"/>
      <c r="X745" s="321"/>
      <c r="Y745" s="321"/>
      <c r="Z745" s="433"/>
      <c r="AA745" s="356"/>
      <c r="AB745" s="306" t="str">
        <f t="shared" si="126"/>
        <v/>
      </c>
      <c r="AC745" s="893">
        <f t="shared" si="127"/>
        <v>0</v>
      </c>
      <c r="AD745" s="322"/>
      <c r="AE745" s="1"/>
      <c r="AF745" s="223">
        <f>IF(ISBLANK(AD745),0,COUNTIF(AF$4:AF744,"&gt;0")+1)</f>
        <v>0</v>
      </c>
      <c r="AG745" s="164">
        <f t="shared" si="133"/>
        <v>0</v>
      </c>
      <c r="AH745" s="99">
        <f t="shared" si="128"/>
        <v>0</v>
      </c>
      <c r="AI745" s="99">
        <f t="shared" si="134"/>
        <v>0</v>
      </c>
      <c r="AJ745" s="170">
        <f t="shared" si="135"/>
        <v>0</v>
      </c>
      <c r="AK745" s="204">
        <f t="shared" si="129"/>
        <v>0</v>
      </c>
      <c r="AL745" s="1049">
        <f>IF(ISERROR(AO745),0,IF(AND(AN745&gt;=$U$1,AN745&lt;=$U$2),IF(AO745='ESTRATTO CONTO'!$E$2,1+COUNTIF(AL$4:AL744,"&gt;0")+U$1009,0),0))</f>
        <v>0</v>
      </c>
      <c r="AM745" s="747">
        <f t="shared" si="132"/>
        <v>742</v>
      </c>
      <c r="AN745" s="164" t="e">
        <f>VLOOKUP($AM745,PATRIMONIALE!$AV797:AW$1003,2,FALSE)</f>
        <v>#N/A</v>
      </c>
      <c r="AO745" s="310" t="e">
        <f>VLOOKUP($AM745,PATRIMONIALE!$AV797:AX$1003,3,FALSE)</f>
        <v>#N/A</v>
      </c>
      <c r="AP745" s="310" t="e">
        <f>VLOOKUP($AM745,PATRIMONIALE!$AV797:AY$1003,4,FALSE)</f>
        <v>#N/A</v>
      </c>
      <c r="AQ745" s="748" t="e">
        <f>VLOOKUP($AM745,PATRIMONIALE!$AV797:AZ$1003,5,FALSE)</f>
        <v>#N/A</v>
      </c>
      <c r="AR745" s="1"/>
      <c r="AS745" s="461" t="str">
        <f t="shared" si="130"/>
        <v/>
      </c>
      <c r="AT745" s="370"/>
    </row>
    <row r="746" spans="1:46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435">
        <f>IF(AND(W746&gt;=$U$1,W746&lt;=$U$2),IF(X746='ESTRATTO CONTO'!$E$2,1+COUNTIF(U$4:U745,"&gt;0"),0),0)</f>
        <v>0</v>
      </c>
      <c r="V746" s="417">
        <f t="shared" si="131"/>
        <v>743</v>
      </c>
      <c r="W746" s="509"/>
      <c r="X746" s="321"/>
      <c r="Y746" s="321"/>
      <c r="Z746" s="433"/>
      <c r="AA746" s="356"/>
      <c r="AB746" s="306" t="str">
        <f t="shared" si="126"/>
        <v/>
      </c>
      <c r="AC746" s="893">
        <f t="shared" si="127"/>
        <v>0</v>
      </c>
      <c r="AD746" s="322"/>
      <c r="AE746" s="1"/>
      <c r="AF746" s="223">
        <f>IF(ISBLANK(AD746),0,COUNTIF(AF$4:AF745,"&gt;0")+1)</f>
        <v>0</v>
      </c>
      <c r="AG746" s="164">
        <f t="shared" si="133"/>
        <v>0</v>
      </c>
      <c r="AH746" s="99">
        <f t="shared" si="128"/>
        <v>0</v>
      </c>
      <c r="AI746" s="99">
        <f t="shared" si="134"/>
        <v>0</v>
      </c>
      <c r="AJ746" s="170">
        <f t="shared" si="135"/>
        <v>0</v>
      </c>
      <c r="AK746" s="204">
        <f t="shared" si="129"/>
        <v>0</v>
      </c>
      <c r="AL746" s="1049">
        <f>IF(ISERROR(AO746),0,IF(AND(AN746&gt;=$U$1,AN746&lt;=$U$2),IF(AO746='ESTRATTO CONTO'!$E$2,1+COUNTIF(AL$4:AL745,"&gt;0")+U$1009,0),0))</f>
        <v>0</v>
      </c>
      <c r="AM746" s="747">
        <f t="shared" si="132"/>
        <v>743</v>
      </c>
      <c r="AN746" s="164" t="e">
        <f>VLOOKUP($AM746,PATRIMONIALE!$AV798:AW$1003,2,FALSE)</f>
        <v>#N/A</v>
      </c>
      <c r="AO746" s="310" t="e">
        <f>VLOOKUP($AM746,PATRIMONIALE!$AV798:AX$1003,3,FALSE)</f>
        <v>#N/A</v>
      </c>
      <c r="AP746" s="310" t="e">
        <f>VLOOKUP($AM746,PATRIMONIALE!$AV798:AY$1003,4,FALSE)</f>
        <v>#N/A</v>
      </c>
      <c r="AQ746" s="748" t="e">
        <f>VLOOKUP($AM746,PATRIMONIALE!$AV798:AZ$1003,5,FALSE)</f>
        <v>#N/A</v>
      </c>
      <c r="AR746" s="1"/>
      <c r="AS746" s="461" t="str">
        <f t="shared" si="130"/>
        <v/>
      </c>
      <c r="AT746" s="370"/>
    </row>
    <row r="747" spans="1:46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435">
        <f>IF(AND(W747&gt;=$U$1,W747&lt;=$U$2),IF(X747='ESTRATTO CONTO'!$E$2,1+COUNTIF(U$4:U746,"&gt;0"),0),0)</f>
        <v>0</v>
      </c>
      <c r="V747" s="417">
        <f t="shared" si="131"/>
        <v>744</v>
      </c>
      <c r="W747" s="509"/>
      <c r="X747" s="321"/>
      <c r="Y747" s="321"/>
      <c r="Z747" s="433"/>
      <c r="AA747" s="356"/>
      <c r="AB747" s="306" t="str">
        <f t="shared" si="126"/>
        <v/>
      </c>
      <c r="AC747" s="893">
        <f t="shared" si="127"/>
        <v>0</v>
      </c>
      <c r="AD747" s="322"/>
      <c r="AE747" s="1"/>
      <c r="AF747" s="223">
        <f>IF(ISBLANK(AD747),0,COUNTIF(AF$4:AF746,"&gt;0")+1)</f>
        <v>0</v>
      </c>
      <c r="AG747" s="164">
        <f t="shared" si="133"/>
        <v>0</v>
      </c>
      <c r="AH747" s="99">
        <f t="shared" si="128"/>
        <v>0</v>
      </c>
      <c r="AI747" s="99">
        <f t="shared" si="134"/>
        <v>0</v>
      </c>
      <c r="AJ747" s="170">
        <f t="shared" si="135"/>
        <v>0</v>
      </c>
      <c r="AK747" s="204">
        <f t="shared" si="129"/>
        <v>0</v>
      </c>
      <c r="AL747" s="1049">
        <f>IF(ISERROR(AO747),0,IF(AND(AN747&gt;=$U$1,AN747&lt;=$U$2),IF(AO747='ESTRATTO CONTO'!$E$2,1+COUNTIF(AL$4:AL746,"&gt;0")+U$1009,0),0))</f>
        <v>0</v>
      </c>
      <c r="AM747" s="747">
        <f t="shared" si="132"/>
        <v>744</v>
      </c>
      <c r="AN747" s="164" t="e">
        <f>VLOOKUP($AM747,PATRIMONIALE!$AV799:AW$1003,2,FALSE)</f>
        <v>#N/A</v>
      </c>
      <c r="AO747" s="310" t="e">
        <f>VLOOKUP($AM747,PATRIMONIALE!$AV799:AX$1003,3,FALSE)</f>
        <v>#N/A</v>
      </c>
      <c r="AP747" s="310" t="e">
        <f>VLOOKUP($AM747,PATRIMONIALE!$AV799:AY$1003,4,FALSE)</f>
        <v>#N/A</v>
      </c>
      <c r="AQ747" s="748" t="e">
        <f>VLOOKUP($AM747,PATRIMONIALE!$AV799:AZ$1003,5,FALSE)</f>
        <v>#N/A</v>
      </c>
      <c r="AR747" s="1"/>
      <c r="AS747" s="461" t="str">
        <f t="shared" si="130"/>
        <v/>
      </c>
      <c r="AT747" s="370"/>
    </row>
    <row r="748" spans="1:46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435">
        <f>IF(AND(W748&gt;=$U$1,W748&lt;=$U$2),IF(X748='ESTRATTO CONTO'!$E$2,1+COUNTIF(U$4:U747,"&gt;0"),0),0)</f>
        <v>0</v>
      </c>
      <c r="V748" s="417">
        <f t="shared" si="131"/>
        <v>745</v>
      </c>
      <c r="W748" s="509"/>
      <c r="X748" s="321"/>
      <c r="Y748" s="321"/>
      <c r="Z748" s="433"/>
      <c r="AA748" s="356"/>
      <c r="AB748" s="306" t="str">
        <f t="shared" si="126"/>
        <v/>
      </c>
      <c r="AC748" s="893">
        <f t="shared" si="127"/>
        <v>0</v>
      </c>
      <c r="AD748" s="322"/>
      <c r="AE748" s="1"/>
      <c r="AF748" s="223">
        <f>IF(ISBLANK(AD748),0,COUNTIF(AF$4:AF747,"&gt;0")+1)</f>
        <v>0</v>
      </c>
      <c r="AG748" s="164">
        <f t="shared" si="133"/>
        <v>0</v>
      </c>
      <c r="AH748" s="99">
        <f t="shared" si="128"/>
        <v>0</v>
      </c>
      <c r="AI748" s="99">
        <f t="shared" si="134"/>
        <v>0</v>
      </c>
      <c r="AJ748" s="170">
        <f t="shared" si="135"/>
        <v>0</v>
      </c>
      <c r="AK748" s="204">
        <f t="shared" si="129"/>
        <v>0</v>
      </c>
      <c r="AL748" s="1049">
        <f>IF(ISERROR(AO748),0,IF(AND(AN748&gt;=$U$1,AN748&lt;=$U$2),IF(AO748='ESTRATTO CONTO'!$E$2,1+COUNTIF(AL$4:AL747,"&gt;0")+U$1009,0),0))</f>
        <v>0</v>
      </c>
      <c r="AM748" s="747">
        <f t="shared" si="132"/>
        <v>745</v>
      </c>
      <c r="AN748" s="164" t="e">
        <f>VLOOKUP($AM748,PATRIMONIALE!$AV800:AW$1003,2,FALSE)</f>
        <v>#N/A</v>
      </c>
      <c r="AO748" s="310" t="e">
        <f>VLOOKUP($AM748,PATRIMONIALE!$AV800:AX$1003,3,FALSE)</f>
        <v>#N/A</v>
      </c>
      <c r="AP748" s="310" t="e">
        <f>VLOOKUP($AM748,PATRIMONIALE!$AV800:AY$1003,4,FALSE)</f>
        <v>#N/A</v>
      </c>
      <c r="AQ748" s="748" t="e">
        <f>VLOOKUP($AM748,PATRIMONIALE!$AV800:AZ$1003,5,FALSE)</f>
        <v>#N/A</v>
      </c>
      <c r="AR748" s="1"/>
      <c r="AS748" s="461" t="str">
        <f t="shared" si="130"/>
        <v/>
      </c>
      <c r="AT748" s="370"/>
    </row>
    <row r="749" spans="1:46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435">
        <f>IF(AND(W749&gt;=$U$1,W749&lt;=$U$2),IF(X749='ESTRATTO CONTO'!$E$2,1+COUNTIF(U$4:U748,"&gt;0"),0),0)</f>
        <v>0</v>
      </c>
      <c r="V749" s="417">
        <f t="shared" si="131"/>
        <v>746</v>
      </c>
      <c r="W749" s="509"/>
      <c r="X749" s="321"/>
      <c r="Y749" s="321"/>
      <c r="Z749" s="433"/>
      <c r="AA749" s="356"/>
      <c r="AB749" s="306" t="str">
        <f t="shared" si="126"/>
        <v/>
      </c>
      <c r="AC749" s="893">
        <f t="shared" si="127"/>
        <v>0</v>
      </c>
      <c r="AD749" s="322"/>
      <c r="AE749" s="1"/>
      <c r="AF749" s="223">
        <f>IF(ISBLANK(AD749),0,COUNTIF(AF$4:AF748,"&gt;0")+1)</f>
        <v>0</v>
      </c>
      <c r="AG749" s="164">
        <f t="shared" si="133"/>
        <v>0</v>
      </c>
      <c r="AH749" s="99">
        <f t="shared" si="128"/>
        <v>0</v>
      </c>
      <c r="AI749" s="99">
        <f t="shared" si="134"/>
        <v>0</v>
      </c>
      <c r="AJ749" s="170">
        <f t="shared" si="135"/>
        <v>0</v>
      </c>
      <c r="AK749" s="204">
        <f t="shared" si="129"/>
        <v>0</v>
      </c>
      <c r="AL749" s="1049">
        <f>IF(ISERROR(AO749),0,IF(AND(AN749&gt;=$U$1,AN749&lt;=$U$2),IF(AO749='ESTRATTO CONTO'!$E$2,1+COUNTIF(AL$4:AL748,"&gt;0")+U$1009,0),0))</f>
        <v>0</v>
      </c>
      <c r="AM749" s="747">
        <f t="shared" si="132"/>
        <v>746</v>
      </c>
      <c r="AN749" s="164" t="e">
        <f>VLOOKUP($AM749,PATRIMONIALE!$AV801:AW$1003,2,FALSE)</f>
        <v>#N/A</v>
      </c>
      <c r="AO749" s="310" t="e">
        <f>VLOOKUP($AM749,PATRIMONIALE!$AV801:AX$1003,3,FALSE)</f>
        <v>#N/A</v>
      </c>
      <c r="AP749" s="310" t="e">
        <f>VLOOKUP($AM749,PATRIMONIALE!$AV801:AY$1003,4,FALSE)</f>
        <v>#N/A</v>
      </c>
      <c r="AQ749" s="748" t="e">
        <f>VLOOKUP($AM749,PATRIMONIALE!$AV801:AZ$1003,5,FALSE)</f>
        <v>#N/A</v>
      </c>
      <c r="AR749" s="1"/>
      <c r="AS749" s="461" t="str">
        <f t="shared" si="130"/>
        <v/>
      </c>
      <c r="AT749" s="370"/>
    </row>
    <row r="750" spans="1:46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435">
        <f>IF(AND(W750&gt;=$U$1,W750&lt;=$U$2),IF(X750='ESTRATTO CONTO'!$E$2,1+COUNTIF(U$4:U749,"&gt;0"),0),0)</f>
        <v>0</v>
      </c>
      <c r="V750" s="417">
        <f t="shared" si="131"/>
        <v>747</v>
      </c>
      <c r="W750" s="509"/>
      <c r="X750" s="321"/>
      <c r="Y750" s="321"/>
      <c r="Z750" s="433"/>
      <c r="AA750" s="356"/>
      <c r="AB750" s="306" t="str">
        <f t="shared" si="126"/>
        <v/>
      </c>
      <c r="AC750" s="893">
        <f t="shared" si="127"/>
        <v>0</v>
      </c>
      <c r="AD750" s="322"/>
      <c r="AE750" s="1"/>
      <c r="AF750" s="223">
        <f>IF(ISBLANK(AD750),0,COUNTIF(AF$4:AF749,"&gt;0")+1)</f>
        <v>0</v>
      </c>
      <c r="AG750" s="164">
        <f t="shared" si="133"/>
        <v>0</v>
      </c>
      <c r="AH750" s="99">
        <f t="shared" si="128"/>
        <v>0</v>
      </c>
      <c r="AI750" s="99">
        <f t="shared" si="134"/>
        <v>0</v>
      </c>
      <c r="AJ750" s="170">
        <f t="shared" si="135"/>
        <v>0</v>
      </c>
      <c r="AK750" s="204">
        <f t="shared" si="129"/>
        <v>0</v>
      </c>
      <c r="AL750" s="1049">
        <f>IF(ISERROR(AO750),0,IF(AND(AN750&gt;=$U$1,AN750&lt;=$U$2),IF(AO750='ESTRATTO CONTO'!$E$2,1+COUNTIF(AL$4:AL749,"&gt;0")+U$1009,0),0))</f>
        <v>0</v>
      </c>
      <c r="AM750" s="747">
        <f t="shared" si="132"/>
        <v>747</v>
      </c>
      <c r="AN750" s="164" t="e">
        <f>VLOOKUP($AM750,PATRIMONIALE!$AV802:AW$1003,2,FALSE)</f>
        <v>#N/A</v>
      </c>
      <c r="AO750" s="310" t="e">
        <f>VLOOKUP($AM750,PATRIMONIALE!$AV802:AX$1003,3,FALSE)</f>
        <v>#N/A</v>
      </c>
      <c r="AP750" s="310" t="e">
        <f>VLOOKUP($AM750,PATRIMONIALE!$AV802:AY$1003,4,FALSE)</f>
        <v>#N/A</v>
      </c>
      <c r="AQ750" s="748" t="e">
        <f>VLOOKUP($AM750,PATRIMONIALE!$AV802:AZ$1003,5,FALSE)</f>
        <v>#N/A</v>
      </c>
      <c r="AR750" s="1"/>
      <c r="AS750" s="461" t="str">
        <f t="shared" si="130"/>
        <v/>
      </c>
      <c r="AT750" s="370"/>
    </row>
    <row r="751" spans="1:46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435">
        <f>IF(AND(W751&gt;=$U$1,W751&lt;=$U$2),IF(X751='ESTRATTO CONTO'!$E$2,1+COUNTIF(U$4:U750,"&gt;0"),0),0)</f>
        <v>0</v>
      </c>
      <c r="V751" s="417">
        <f t="shared" si="131"/>
        <v>748</v>
      </c>
      <c r="W751" s="509"/>
      <c r="X751" s="321"/>
      <c r="Y751" s="321"/>
      <c r="Z751" s="433"/>
      <c r="AA751" s="356"/>
      <c r="AB751" s="306" t="str">
        <f t="shared" si="126"/>
        <v/>
      </c>
      <c r="AC751" s="893">
        <f t="shared" si="127"/>
        <v>0</v>
      </c>
      <c r="AD751" s="322"/>
      <c r="AE751" s="1"/>
      <c r="AF751" s="223">
        <f>IF(ISBLANK(AD751),0,COUNTIF(AF$4:AF750,"&gt;0")+1)</f>
        <v>0</v>
      </c>
      <c r="AG751" s="164">
        <f t="shared" si="133"/>
        <v>0</v>
      </c>
      <c r="AH751" s="99">
        <f t="shared" si="128"/>
        <v>0</v>
      </c>
      <c r="AI751" s="99">
        <f t="shared" si="134"/>
        <v>0</v>
      </c>
      <c r="AJ751" s="170">
        <f t="shared" si="135"/>
        <v>0</v>
      </c>
      <c r="AK751" s="204">
        <f t="shared" si="129"/>
        <v>0</v>
      </c>
      <c r="AL751" s="1049">
        <f>IF(ISERROR(AO751),0,IF(AND(AN751&gt;=$U$1,AN751&lt;=$U$2),IF(AO751='ESTRATTO CONTO'!$E$2,1+COUNTIF(AL$4:AL750,"&gt;0")+U$1009,0),0))</f>
        <v>0</v>
      </c>
      <c r="AM751" s="747">
        <f t="shared" si="132"/>
        <v>748</v>
      </c>
      <c r="AN751" s="164" t="e">
        <f>VLOOKUP($AM751,PATRIMONIALE!$AV803:AW$1003,2,FALSE)</f>
        <v>#N/A</v>
      </c>
      <c r="AO751" s="310" t="e">
        <f>VLOOKUP($AM751,PATRIMONIALE!$AV803:AX$1003,3,FALSE)</f>
        <v>#N/A</v>
      </c>
      <c r="AP751" s="310" t="e">
        <f>VLOOKUP($AM751,PATRIMONIALE!$AV803:AY$1003,4,FALSE)</f>
        <v>#N/A</v>
      </c>
      <c r="AQ751" s="748" t="e">
        <f>VLOOKUP($AM751,PATRIMONIALE!$AV803:AZ$1003,5,FALSE)</f>
        <v>#N/A</v>
      </c>
      <c r="AR751" s="1"/>
      <c r="AS751" s="461" t="str">
        <f t="shared" si="130"/>
        <v/>
      </c>
      <c r="AT751" s="370"/>
    </row>
    <row r="752" spans="1:46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435">
        <f>IF(AND(W752&gt;=$U$1,W752&lt;=$U$2),IF(X752='ESTRATTO CONTO'!$E$2,1+COUNTIF(U$4:U751,"&gt;0"),0),0)</f>
        <v>0</v>
      </c>
      <c r="V752" s="417">
        <f t="shared" si="131"/>
        <v>749</v>
      </c>
      <c r="W752" s="509"/>
      <c r="X752" s="321"/>
      <c r="Y752" s="321"/>
      <c r="Z752" s="433"/>
      <c r="AA752" s="356"/>
      <c r="AB752" s="306" t="str">
        <f t="shared" si="126"/>
        <v/>
      </c>
      <c r="AC752" s="893">
        <f t="shared" si="127"/>
        <v>0</v>
      </c>
      <c r="AD752" s="322"/>
      <c r="AE752" s="1"/>
      <c r="AF752" s="223">
        <f>IF(ISBLANK(AD752),0,COUNTIF(AF$4:AF751,"&gt;0")+1)</f>
        <v>0</v>
      </c>
      <c r="AG752" s="164">
        <f t="shared" si="133"/>
        <v>0</v>
      </c>
      <c r="AH752" s="99">
        <f t="shared" si="128"/>
        <v>0</v>
      </c>
      <c r="AI752" s="99">
        <f t="shared" si="134"/>
        <v>0</v>
      </c>
      <c r="AJ752" s="170">
        <f t="shared" si="135"/>
        <v>0</v>
      </c>
      <c r="AK752" s="204">
        <f t="shared" si="129"/>
        <v>0</v>
      </c>
      <c r="AL752" s="1049">
        <f>IF(ISERROR(AO752),0,IF(AND(AN752&gt;=$U$1,AN752&lt;=$U$2),IF(AO752='ESTRATTO CONTO'!$E$2,1+COUNTIF(AL$4:AL751,"&gt;0")+U$1009,0),0))</f>
        <v>0</v>
      </c>
      <c r="AM752" s="747">
        <f t="shared" si="132"/>
        <v>749</v>
      </c>
      <c r="AN752" s="164" t="e">
        <f>VLOOKUP($AM752,PATRIMONIALE!$AV804:AW$1003,2,FALSE)</f>
        <v>#N/A</v>
      </c>
      <c r="AO752" s="310" t="e">
        <f>VLOOKUP($AM752,PATRIMONIALE!$AV804:AX$1003,3,FALSE)</f>
        <v>#N/A</v>
      </c>
      <c r="AP752" s="310" t="e">
        <f>VLOOKUP($AM752,PATRIMONIALE!$AV804:AY$1003,4,FALSE)</f>
        <v>#N/A</v>
      </c>
      <c r="AQ752" s="748" t="e">
        <f>VLOOKUP($AM752,PATRIMONIALE!$AV804:AZ$1003,5,FALSE)</f>
        <v>#N/A</v>
      </c>
      <c r="AR752" s="1"/>
      <c r="AS752" s="461" t="str">
        <f t="shared" si="130"/>
        <v/>
      </c>
      <c r="AT752" s="370"/>
    </row>
    <row r="753" spans="1:46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435">
        <f>IF(AND(W753&gt;=$U$1,W753&lt;=$U$2),IF(X753='ESTRATTO CONTO'!$E$2,1+COUNTIF(U$4:U752,"&gt;0"),0),0)</f>
        <v>0</v>
      </c>
      <c r="V753" s="417">
        <f t="shared" si="131"/>
        <v>750</v>
      </c>
      <c r="W753" s="509"/>
      <c r="X753" s="321"/>
      <c r="Y753" s="321"/>
      <c r="Z753" s="433"/>
      <c r="AA753" s="356"/>
      <c r="AB753" s="306" t="str">
        <f t="shared" si="126"/>
        <v/>
      </c>
      <c r="AC753" s="893">
        <f t="shared" si="127"/>
        <v>0</v>
      </c>
      <c r="AD753" s="322"/>
      <c r="AE753" s="1"/>
      <c r="AF753" s="223">
        <f>IF(ISBLANK(AD753),0,COUNTIF(AF$4:AF752,"&gt;0")+1)</f>
        <v>0</v>
      </c>
      <c r="AG753" s="164">
        <f t="shared" si="133"/>
        <v>0</v>
      </c>
      <c r="AH753" s="99">
        <f t="shared" si="128"/>
        <v>0</v>
      </c>
      <c r="AI753" s="99">
        <f t="shared" si="134"/>
        <v>0</v>
      </c>
      <c r="AJ753" s="170">
        <f t="shared" si="135"/>
        <v>0</v>
      </c>
      <c r="AK753" s="204">
        <f t="shared" si="129"/>
        <v>0</v>
      </c>
      <c r="AL753" s="1049">
        <f>IF(ISERROR(AO753),0,IF(AND(AN753&gt;=$U$1,AN753&lt;=$U$2),IF(AO753='ESTRATTO CONTO'!$E$2,1+COUNTIF(AL$4:AL752,"&gt;0")+U$1009,0),0))</f>
        <v>0</v>
      </c>
      <c r="AM753" s="747">
        <f t="shared" si="132"/>
        <v>750</v>
      </c>
      <c r="AN753" s="164" t="e">
        <f>VLOOKUP($AM753,PATRIMONIALE!$AV805:AW$1003,2,FALSE)</f>
        <v>#N/A</v>
      </c>
      <c r="AO753" s="310" t="e">
        <f>VLOOKUP($AM753,PATRIMONIALE!$AV805:AX$1003,3,FALSE)</f>
        <v>#N/A</v>
      </c>
      <c r="AP753" s="310" t="e">
        <f>VLOOKUP($AM753,PATRIMONIALE!$AV805:AY$1003,4,FALSE)</f>
        <v>#N/A</v>
      </c>
      <c r="AQ753" s="748" t="e">
        <f>VLOOKUP($AM753,PATRIMONIALE!$AV805:AZ$1003,5,FALSE)</f>
        <v>#N/A</v>
      </c>
      <c r="AR753" s="1"/>
      <c r="AS753" s="461" t="str">
        <f t="shared" si="130"/>
        <v/>
      </c>
      <c r="AT753" s="370"/>
    </row>
    <row r="754" spans="1:46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435">
        <f>IF(AND(W754&gt;=$U$1,W754&lt;=$U$2),IF(X754='ESTRATTO CONTO'!$E$2,1+COUNTIF(U$4:U753,"&gt;0"),0),0)</f>
        <v>0</v>
      </c>
      <c r="V754" s="417">
        <f t="shared" si="131"/>
        <v>751</v>
      </c>
      <c r="W754" s="509"/>
      <c r="X754" s="321"/>
      <c r="Y754" s="321"/>
      <c r="Z754" s="433"/>
      <c r="AA754" s="356"/>
      <c r="AB754" s="306" t="str">
        <f t="shared" si="126"/>
        <v/>
      </c>
      <c r="AC754" s="893">
        <f t="shared" si="127"/>
        <v>0</v>
      </c>
      <c r="AD754" s="322"/>
      <c r="AE754" s="1"/>
      <c r="AF754" s="223">
        <f>IF(ISBLANK(AD754),0,COUNTIF(AF$4:AF753,"&gt;0")+1)</f>
        <v>0</v>
      </c>
      <c r="AG754" s="164">
        <f t="shared" si="133"/>
        <v>0</v>
      </c>
      <c r="AH754" s="99">
        <f t="shared" si="128"/>
        <v>0</v>
      </c>
      <c r="AI754" s="99">
        <f t="shared" si="134"/>
        <v>0</v>
      </c>
      <c r="AJ754" s="170">
        <f t="shared" si="135"/>
        <v>0</v>
      </c>
      <c r="AK754" s="204">
        <f t="shared" si="129"/>
        <v>0</v>
      </c>
      <c r="AL754" s="1049">
        <f>IF(ISERROR(AO754),0,IF(AND(AN754&gt;=$U$1,AN754&lt;=$U$2),IF(AO754='ESTRATTO CONTO'!$E$2,1+COUNTIF(AL$4:AL753,"&gt;0")+U$1009,0),0))</f>
        <v>0</v>
      </c>
      <c r="AM754" s="747">
        <f t="shared" si="132"/>
        <v>751</v>
      </c>
      <c r="AN754" s="164" t="e">
        <f>VLOOKUP($AM754,PATRIMONIALE!$AV806:AW$1003,2,FALSE)</f>
        <v>#N/A</v>
      </c>
      <c r="AO754" s="310" t="e">
        <f>VLOOKUP($AM754,PATRIMONIALE!$AV806:AX$1003,3,FALSE)</f>
        <v>#N/A</v>
      </c>
      <c r="AP754" s="310" t="e">
        <f>VLOOKUP($AM754,PATRIMONIALE!$AV806:AY$1003,4,FALSE)</f>
        <v>#N/A</v>
      </c>
      <c r="AQ754" s="748" t="e">
        <f>VLOOKUP($AM754,PATRIMONIALE!$AV806:AZ$1003,5,FALSE)</f>
        <v>#N/A</v>
      </c>
      <c r="AR754" s="1"/>
      <c r="AS754" s="461" t="str">
        <f t="shared" si="130"/>
        <v/>
      </c>
      <c r="AT754" s="370"/>
    </row>
    <row r="755" spans="1:46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435">
        <f>IF(AND(W755&gt;=$U$1,W755&lt;=$U$2),IF(X755='ESTRATTO CONTO'!$E$2,1+COUNTIF(U$4:U754,"&gt;0"),0),0)</f>
        <v>0</v>
      </c>
      <c r="V755" s="417">
        <f t="shared" si="131"/>
        <v>752</v>
      </c>
      <c r="W755" s="509"/>
      <c r="X755" s="321"/>
      <c r="Y755" s="321"/>
      <c r="Z755" s="433"/>
      <c r="AA755" s="356"/>
      <c r="AB755" s="306" t="str">
        <f t="shared" si="126"/>
        <v/>
      </c>
      <c r="AC755" s="893">
        <f t="shared" si="127"/>
        <v>0</v>
      </c>
      <c r="AD755" s="322"/>
      <c r="AE755" s="1"/>
      <c r="AF755" s="223">
        <f>IF(ISBLANK(AD755),0,COUNTIF(AF$4:AF754,"&gt;0")+1)</f>
        <v>0</v>
      </c>
      <c r="AG755" s="164">
        <f t="shared" si="133"/>
        <v>0</v>
      </c>
      <c r="AH755" s="99">
        <f t="shared" si="128"/>
        <v>0</v>
      </c>
      <c r="AI755" s="99">
        <f t="shared" si="134"/>
        <v>0</v>
      </c>
      <c r="AJ755" s="170">
        <f t="shared" si="135"/>
        <v>0</v>
      </c>
      <c r="AK755" s="204">
        <f t="shared" si="129"/>
        <v>0</v>
      </c>
      <c r="AL755" s="1049">
        <f>IF(ISERROR(AO755),0,IF(AND(AN755&gt;=$U$1,AN755&lt;=$U$2),IF(AO755='ESTRATTO CONTO'!$E$2,1+COUNTIF(AL$4:AL754,"&gt;0")+U$1009,0),0))</f>
        <v>0</v>
      </c>
      <c r="AM755" s="747">
        <f t="shared" si="132"/>
        <v>752</v>
      </c>
      <c r="AN755" s="164" t="e">
        <f>VLOOKUP($AM755,PATRIMONIALE!$AV807:AW$1003,2,FALSE)</f>
        <v>#N/A</v>
      </c>
      <c r="AO755" s="310" t="e">
        <f>VLOOKUP($AM755,PATRIMONIALE!$AV807:AX$1003,3,FALSE)</f>
        <v>#N/A</v>
      </c>
      <c r="AP755" s="310" t="e">
        <f>VLOOKUP($AM755,PATRIMONIALE!$AV807:AY$1003,4,FALSE)</f>
        <v>#N/A</v>
      </c>
      <c r="AQ755" s="748" t="e">
        <f>VLOOKUP($AM755,PATRIMONIALE!$AV807:AZ$1003,5,FALSE)</f>
        <v>#N/A</v>
      </c>
      <c r="AR755" s="1"/>
      <c r="AS755" s="461" t="str">
        <f t="shared" si="130"/>
        <v/>
      </c>
      <c r="AT755" s="370"/>
    </row>
    <row r="756" spans="1:46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435">
        <f>IF(AND(W756&gt;=$U$1,W756&lt;=$U$2),IF(X756='ESTRATTO CONTO'!$E$2,1+COUNTIF(U$4:U755,"&gt;0"),0),0)</f>
        <v>0</v>
      </c>
      <c r="V756" s="417">
        <f t="shared" si="131"/>
        <v>753</v>
      </c>
      <c r="W756" s="509"/>
      <c r="X756" s="321"/>
      <c r="Y756" s="321"/>
      <c r="Z756" s="433"/>
      <c r="AA756" s="356"/>
      <c r="AB756" s="306" t="str">
        <f t="shared" si="126"/>
        <v/>
      </c>
      <c r="AC756" s="893">
        <f t="shared" si="127"/>
        <v>0</v>
      </c>
      <c r="AD756" s="322"/>
      <c r="AE756" s="1"/>
      <c r="AF756" s="223">
        <f>IF(ISBLANK(AD756),0,COUNTIF(AF$4:AF755,"&gt;0")+1)</f>
        <v>0</v>
      </c>
      <c r="AG756" s="164">
        <f t="shared" si="133"/>
        <v>0</v>
      </c>
      <c r="AH756" s="99">
        <f t="shared" si="128"/>
        <v>0</v>
      </c>
      <c r="AI756" s="99">
        <f t="shared" si="134"/>
        <v>0</v>
      </c>
      <c r="AJ756" s="170">
        <f t="shared" si="135"/>
        <v>0</v>
      </c>
      <c r="AK756" s="204">
        <f t="shared" si="129"/>
        <v>0</v>
      </c>
      <c r="AL756" s="1049">
        <f>IF(ISERROR(AO756),0,IF(AND(AN756&gt;=$U$1,AN756&lt;=$U$2),IF(AO756='ESTRATTO CONTO'!$E$2,1+COUNTIF(AL$4:AL755,"&gt;0")+U$1009,0),0))</f>
        <v>0</v>
      </c>
      <c r="AM756" s="747">
        <f t="shared" si="132"/>
        <v>753</v>
      </c>
      <c r="AN756" s="164" t="e">
        <f>VLOOKUP($AM756,PATRIMONIALE!$AV808:AW$1003,2,FALSE)</f>
        <v>#N/A</v>
      </c>
      <c r="AO756" s="310" t="e">
        <f>VLOOKUP($AM756,PATRIMONIALE!$AV808:AX$1003,3,FALSE)</f>
        <v>#N/A</v>
      </c>
      <c r="AP756" s="310" t="e">
        <f>VLOOKUP($AM756,PATRIMONIALE!$AV808:AY$1003,4,FALSE)</f>
        <v>#N/A</v>
      </c>
      <c r="AQ756" s="748" t="e">
        <f>VLOOKUP($AM756,PATRIMONIALE!$AV808:AZ$1003,5,FALSE)</f>
        <v>#N/A</v>
      </c>
      <c r="AR756" s="1"/>
      <c r="AS756" s="461" t="str">
        <f t="shared" si="130"/>
        <v/>
      </c>
      <c r="AT756" s="370"/>
    </row>
    <row r="757" spans="1:46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435">
        <f>IF(AND(W757&gt;=$U$1,W757&lt;=$U$2),IF(X757='ESTRATTO CONTO'!$E$2,1+COUNTIF(U$4:U756,"&gt;0"),0),0)</f>
        <v>0</v>
      </c>
      <c r="V757" s="417">
        <f t="shared" si="131"/>
        <v>754</v>
      </c>
      <c r="W757" s="509"/>
      <c r="X757" s="321"/>
      <c r="Y757" s="321"/>
      <c r="Z757" s="433"/>
      <c r="AA757" s="356"/>
      <c r="AB757" s="306" t="str">
        <f t="shared" si="126"/>
        <v/>
      </c>
      <c r="AC757" s="893">
        <f t="shared" si="127"/>
        <v>0</v>
      </c>
      <c r="AD757" s="322"/>
      <c r="AE757" s="1"/>
      <c r="AF757" s="223">
        <f>IF(ISBLANK(AD757),0,COUNTIF(AF$4:AF756,"&gt;0")+1)</f>
        <v>0</v>
      </c>
      <c r="AG757" s="164">
        <f t="shared" si="133"/>
        <v>0</v>
      </c>
      <c r="AH757" s="99">
        <f t="shared" si="128"/>
        <v>0</v>
      </c>
      <c r="AI757" s="99">
        <f t="shared" si="134"/>
        <v>0</v>
      </c>
      <c r="AJ757" s="170">
        <f t="shared" si="135"/>
        <v>0</v>
      </c>
      <c r="AK757" s="204">
        <f t="shared" si="129"/>
        <v>0</v>
      </c>
      <c r="AL757" s="1049">
        <f>IF(ISERROR(AO757),0,IF(AND(AN757&gt;=$U$1,AN757&lt;=$U$2),IF(AO757='ESTRATTO CONTO'!$E$2,1+COUNTIF(AL$4:AL756,"&gt;0")+U$1009,0),0))</f>
        <v>0</v>
      </c>
      <c r="AM757" s="747">
        <f t="shared" si="132"/>
        <v>754</v>
      </c>
      <c r="AN757" s="164" t="e">
        <f>VLOOKUP($AM757,PATRIMONIALE!$AV809:AW$1003,2,FALSE)</f>
        <v>#N/A</v>
      </c>
      <c r="AO757" s="310" t="e">
        <f>VLOOKUP($AM757,PATRIMONIALE!$AV809:AX$1003,3,FALSE)</f>
        <v>#N/A</v>
      </c>
      <c r="AP757" s="310" t="e">
        <f>VLOOKUP($AM757,PATRIMONIALE!$AV809:AY$1003,4,FALSE)</f>
        <v>#N/A</v>
      </c>
      <c r="AQ757" s="748" t="e">
        <f>VLOOKUP($AM757,PATRIMONIALE!$AV809:AZ$1003,5,FALSE)</f>
        <v>#N/A</v>
      </c>
      <c r="AR757" s="1"/>
      <c r="AS757" s="461" t="str">
        <f t="shared" si="130"/>
        <v/>
      </c>
      <c r="AT757" s="370"/>
    </row>
    <row r="758" spans="1:46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435">
        <f>IF(AND(W758&gt;=$U$1,W758&lt;=$U$2),IF(X758='ESTRATTO CONTO'!$E$2,1+COUNTIF(U$4:U757,"&gt;0"),0),0)</f>
        <v>0</v>
      </c>
      <c r="V758" s="417">
        <f t="shared" si="131"/>
        <v>755</v>
      </c>
      <c r="W758" s="509"/>
      <c r="X758" s="321"/>
      <c r="Y758" s="321"/>
      <c r="Z758" s="433"/>
      <c r="AA758" s="356"/>
      <c r="AB758" s="306" t="str">
        <f t="shared" si="126"/>
        <v/>
      </c>
      <c r="AC758" s="893">
        <f t="shared" si="127"/>
        <v>0</v>
      </c>
      <c r="AD758" s="322"/>
      <c r="AE758" s="1"/>
      <c r="AF758" s="223">
        <f>IF(ISBLANK(AD758),0,COUNTIF(AF$4:AF757,"&gt;0")+1)</f>
        <v>0</v>
      </c>
      <c r="AG758" s="164">
        <f t="shared" si="133"/>
        <v>0</v>
      </c>
      <c r="AH758" s="99">
        <f t="shared" si="128"/>
        <v>0</v>
      </c>
      <c r="AI758" s="99">
        <f t="shared" si="134"/>
        <v>0</v>
      </c>
      <c r="AJ758" s="170">
        <f t="shared" si="135"/>
        <v>0</v>
      </c>
      <c r="AK758" s="204">
        <f t="shared" si="129"/>
        <v>0</v>
      </c>
      <c r="AL758" s="1049">
        <f>IF(ISERROR(AO758),0,IF(AND(AN758&gt;=$U$1,AN758&lt;=$U$2),IF(AO758='ESTRATTO CONTO'!$E$2,1+COUNTIF(AL$4:AL757,"&gt;0")+U$1009,0),0))</f>
        <v>0</v>
      </c>
      <c r="AM758" s="747">
        <f t="shared" si="132"/>
        <v>755</v>
      </c>
      <c r="AN758" s="164" t="e">
        <f>VLOOKUP($AM758,PATRIMONIALE!$AV810:AW$1003,2,FALSE)</f>
        <v>#N/A</v>
      </c>
      <c r="AO758" s="310" t="e">
        <f>VLOOKUP($AM758,PATRIMONIALE!$AV810:AX$1003,3,FALSE)</f>
        <v>#N/A</v>
      </c>
      <c r="AP758" s="310" t="e">
        <f>VLOOKUP($AM758,PATRIMONIALE!$AV810:AY$1003,4,FALSE)</f>
        <v>#N/A</v>
      </c>
      <c r="AQ758" s="748" t="e">
        <f>VLOOKUP($AM758,PATRIMONIALE!$AV810:AZ$1003,5,FALSE)</f>
        <v>#N/A</v>
      </c>
      <c r="AR758" s="1"/>
      <c r="AS758" s="461" t="str">
        <f t="shared" si="130"/>
        <v/>
      </c>
      <c r="AT758" s="370"/>
    </row>
    <row r="759" spans="1:46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435">
        <f>IF(AND(W759&gt;=$U$1,W759&lt;=$U$2),IF(X759='ESTRATTO CONTO'!$E$2,1+COUNTIF(U$4:U758,"&gt;0"),0),0)</f>
        <v>0</v>
      </c>
      <c r="V759" s="417">
        <f t="shared" si="131"/>
        <v>756</v>
      </c>
      <c r="W759" s="509"/>
      <c r="X759" s="321"/>
      <c r="Y759" s="321"/>
      <c r="Z759" s="433"/>
      <c r="AA759" s="356"/>
      <c r="AB759" s="306" t="str">
        <f t="shared" si="126"/>
        <v/>
      </c>
      <c r="AC759" s="893">
        <f t="shared" si="127"/>
        <v>0</v>
      </c>
      <c r="AD759" s="322"/>
      <c r="AE759" s="1"/>
      <c r="AF759" s="223">
        <f>IF(ISBLANK(AD759),0,COUNTIF(AF$4:AF758,"&gt;0")+1)</f>
        <v>0</v>
      </c>
      <c r="AG759" s="164">
        <f t="shared" si="133"/>
        <v>0</v>
      </c>
      <c r="AH759" s="99">
        <f t="shared" si="128"/>
        <v>0</v>
      </c>
      <c r="AI759" s="99">
        <f t="shared" si="134"/>
        <v>0</v>
      </c>
      <c r="AJ759" s="170">
        <f t="shared" si="135"/>
        <v>0</v>
      </c>
      <c r="AK759" s="204">
        <f t="shared" si="129"/>
        <v>0</v>
      </c>
      <c r="AL759" s="1049">
        <f>IF(ISERROR(AO759),0,IF(AND(AN759&gt;=$U$1,AN759&lt;=$U$2),IF(AO759='ESTRATTO CONTO'!$E$2,1+COUNTIF(AL$4:AL758,"&gt;0")+U$1009,0),0))</f>
        <v>0</v>
      </c>
      <c r="AM759" s="747">
        <f t="shared" si="132"/>
        <v>756</v>
      </c>
      <c r="AN759" s="164" t="e">
        <f>VLOOKUP($AM759,PATRIMONIALE!$AV811:AW$1003,2,FALSE)</f>
        <v>#N/A</v>
      </c>
      <c r="AO759" s="310" t="e">
        <f>VLOOKUP($AM759,PATRIMONIALE!$AV811:AX$1003,3,FALSE)</f>
        <v>#N/A</v>
      </c>
      <c r="AP759" s="310" t="e">
        <f>VLOOKUP($AM759,PATRIMONIALE!$AV811:AY$1003,4,FALSE)</f>
        <v>#N/A</v>
      </c>
      <c r="AQ759" s="748" t="e">
        <f>VLOOKUP($AM759,PATRIMONIALE!$AV811:AZ$1003,5,FALSE)</f>
        <v>#N/A</v>
      </c>
      <c r="AR759" s="1"/>
      <c r="AS759" s="461" t="str">
        <f t="shared" si="130"/>
        <v/>
      </c>
      <c r="AT759" s="370"/>
    </row>
    <row r="760" spans="1:46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435">
        <f>IF(AND(W760&gt;=$U$1,W760&lt;=$U$2),IF(X760='ESTRATTO CONTO'!$E$2,1+COUNTIF(U$4:U759,"&gt;0"),0),0)</f>
        <v>0</v>
      </c>
      <c r="V760" s="417">
        <f t="shared" si="131"/>
        <v>757</v>
      </c>
      <c r="W760" s="509"/>
      <c r="X760" s="321"/>
      <c r="Y760" s="321"/>
      <c r="Z760" s="433"/>
      <c r="AA760" s="356"/>
      <c r="AB760" s="306" t="str">
        <f t="shared" si="126"/>
        <v/>
      </c>
      <c r="AC760" s="893">
        <f t="shared" si="127"/>
        <v>0</v>
      </c>
      <c r="AD760" s="322"/>
      <c r="AE760" s="1"/>
      <c r="AF760" s="223">
        <f>IF(ISBLANK(AD760),0,COUNTIF(AF$4:AF759,"&gt;0")+1)</f>
        <v>0</v>
      </c>
      <c r="AG760" s="164">
        <f t="shared" si="133"/>
        <v>0</v>
      </c>
      <c r="AH760" s="99">
        <f t="shared" si="128"/>
        <v>0</v>
      </c>
      <c r="AI760" s="99">
        <f t="shared" si="134"/>
        <v>0</v>
      </c>
      <c r="AJ760" s="170">
        <f t="shared" si="135"/>
        <v>0</v>
      </c>
      <c r="AK760" s="204">
        <f t="shared" si="129"/>
        <v>0</v>
      </c>
      <c r="AL760" s="1049">
        <f>IF(ISERROR(AO760),0,IF(AND(AN760&gt;=$U$1,AN760&lt;=$U$2),IF(AO760='ESTRATTO CONTO'!$E$2,1+COUNTIF(AL$4:AL759,"&gt;0")+U$1009,0),0))</f>
        <v>0</v>
      </c>
      <c r="AM760" s="747">
        <f t="shared" si="132"/>
        <v>757</v>
      </c>
      <c r="AN760" s="164" t="e">
        <f>VLOOKUP($AM760,PATRIMONIALE!$AV812:AW$1003,2,FALSE)</f>
        <v>#N/A</v>
      </c>
      <c r="AO760" s="310" t="e">
        <f>VLOOKUP($AM760,PATRIMONIALE!$AV812:AX$1003,3,FALSE)</f>
        <v>#N/A</v>
      </c>
      <c r="AP760" s="310" t="e">
        <f>VLOOKUP($AM760,PATRIMONIALE!$AV812:AY$1003,4,FALSE)</f>
        <v>#N/A</v>
      </c>
      <c r="AQ760" s="748" t="e">
        <f>VLOOKUP($AM760,PATRIMONIALE!$AV812:AZ$1003,5,FALSE)</f>
        <v>#N/A</v>
      </c>
      <c r="AR760" s="1"/>
      <c r="AS760" s="461" t="str">
        <f t="shared" si="130"/>
        <v/>
      </c>
      <c r="AT760" s="370"/>
    </row>
    <row r="761" spans="1:46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435">
        <f>IF(AND(W761&gt;=$U$1,W761&lt;=$U$2),IF(X761='ESTRATTO CONTO'!$E$2,1+COUNTIF(U$4:U760,"&gt;0"),0),0)</f>
        <v>0</v>
      </c>
      <c r="V761" s="417">
        <f t="shared" si="131"/>
        <v>758</v>
      </c>
      <c r="W761" s="509"/>
      <c r="X761" s="321"/>
      <c r="Y761" s="321"/>
      <c r="Z761" s="433"/>
      <c r="AA761" s="356"/>
      <c r="AB761" s="306" t="str">
        <f t="shared" si="126"/>
        <v/>
      </c>
      <c r="AC761" s="893">
        <f t="shared" si="127"/>
        <v>0</v>
      </c>
      <c r="AD761" s="322"/>
      <c r="AE761" s="1"/>
      <c r="AF761" s="223">
        <f>IF(ISBLANK(AD761),0,COUNTIF(AF$4:AF760,"&gt;0")+1)</f>
        <v>0</v>
      </c>
      <c r="AG761" s="164">
        <f t="shared" si="133"/>
        <v>0</v>
      </c>
      <c r="AH761" s="99">
        <f t="shared" si="128"/>
        <v>0</v>
      </c>
      <c r="AI761" s="99">
        <f t="shared" si="134"/>
        <v>0</v>
      </c>
      <c r="AJ761" s="170">
        <f t="shared" si="135"/>
        <v>0</v>
      </c>
      <c r="AK761" s="204">
        <f t="shared" si="129"/>
        <v>0</v>
      </c>
      <c r="AL761" s="1049">
        <f>IF(ISERROR(AO761),0,IF(AND(AN761&gt;=$U$1,AN761&lt;=$U$2),IF(AO761='ESTRATTO CONTO'!$E$2,1+COUNTIF(AL$4:AL760,"&gt;0")+U$1009,0),0))</f>
        <v>0</v>
      </c>
      <c r="AM761" s="747">
        <f t="shared" si="132"/>
        <v>758</v>
      </c>
      <c r="AN761" s="164" t="e">
        <f>VLOOKUP($AM761,PATRIMONIALE!$AV813:AW$1003,2,FALSE)</f>
        <v>#N/A</v>
      </c>
      <c r="AO761" s="310" t="e">
        <f>VLOOKUP($AM761,PATRIMONIALE!$AV813:AX$1003,3,FALSE)</f>
        <v>#N/A</v>
      </c>
      <c r="AP761" s="310" t="e">
        <f>VLOOKUP($AM761,PATRIMONIALE!$AV813:AY$1003,4,FALSE)</f>
        <v>#N/A</v>
      </c>
      <c r="AQ761" s="748" t="e">
        <f>VLOOKUP($AM761,PATRIMONIALE!$AV813:AZ$1003,5,FALSE)</f>
        <v>#N/A</v>
      </c>
      <c r="AR761" s="1"/>
      <c r="AS761" s="461" t="str">
        <f t="shared" si="130"/>
        <v/>
      </c>
      <c r="AT761" s="370"/>
    </row>
    <row r="762" spans="1:46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435">
        <f>IF(AND(W762&gt;=$U$1,W762&lt;=$U$2),IF(X762='ESTRATTO CONTO'!$E$2,1+COUNTIF(U$4:U761,"&gt;0"),0),0)</f>
        <v>0</v>
      </c>
      <c r="V762" s="417">
        <f t="shared" si="131"/>
        <v>759</v>
      </c>
      <c r="W762" s="509"/>
      <c r="X762" s="321"/>
      <c r="Y762" s="321"/>
      <c r="Z762" s="433"/>
      <c r="AA762" s="356"/>
      <c r="AB762" s="306" t="str">
        <f t="shared" si="126"/>
        <v/>
      </c>
      <c r="AC762" s="893">
        <f t="shared" si="127"/>
        <v>0</v>
      </c>
      <c r="AD762" s="322"/>
      <c r="AE762" s="1"/>
      <c r="AF762" s="223">
        <f>IF(ISBLANK(AD762),0,COUNTIF(AF$4:AF761,"&gt;0")+1)</f>
        <v>0</v>
      </c>
      <c r="AG762" s="164">
        <f t="shared" si="133"/>
        <v>0</v>
      </c>
      <c r="AH762" s="99">
        <f t="shared" si="128"/>
        <v>0</v>
      </c>
      <c r="AI762" s="99">
        <f t="shared" si="134"/>
        <v>0</v>
      </c>
      <c r="AJ762" s="170">
        <f t="shared" si="135"/>
        <v>0</v>
      </c>
      <c r="AK762" s="204">
        <f t="shared" si="129"/>
        <v>0</v>
      </c>
      <c r="AL762" s="1049">
        <f>IF(ISERROR(AO762),0,IF(AND(AN762&gt;=$U$1,AN762&lt;=$U$2),IF(AO762='ESTRATTO CONTO'!$E$2,1+COUNTIF(AL$4:AL761,"&gt;0")+U$1009,0),0))</f>
        <v>0</v>
      </c>
      <c r="AM762" s="747">
        <f t="shared" si="132"/>
        <v>759</v>
      </c>
      <c r="AN762" s="164" t="e">
        <f>VLOOKUP($AM762,PATRIMONIALE!$AV814:AW$1003,2,FALSE)</f>
        <v>#N/A</v>
      </c>
      <c r="AO762" s="310" t="e">
        <f>VLOOKUP($AM762,PATRIMONIALE!$AV814:AX$1003,3,FALSE)</f>
        <v>#N/A</v>
      </c>
      <c r="AP762" s="310" t="e">
        <f>VLOOKUP($AM762,PATRIMONIALE!$AV814:AY$1003,4,FALSE)</f>
        <v>#N/A</v>
      </c>
      <c r="AQ762" s="748" t="e">
        <f>VLOOKUP($AM762,PATRIMONIALE!$AV814:AZ$1003,5,FALSE)</f>
        <v>#N/A</v>
      </c>
      <c r="AR762" s="1"/>
      <c r="AS762" s="461" t="str">
        <f t="shared" si="130"/>
        <v/>
      </c>
      <c r="AT762" s="370"/>
    </row>
    <row r="763" spans="1:46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435">
        <f>IF(AND(W763&gt;=$U$1,W763&lt;=$U$2),IF(X763='ESTRATTO CONTO'!$E$2,1+COUNTIF(U$4:U762,"&gt;0"),0),0)</f>
        <v>0</v>
      </c>
      <c r="V763" s="417">
        <f t="shared" si="131"/>
        <v>760</v>
      </c>
      <c r="W763" s="509"/>
      <c r="X763" s="321"/>
      <c r="Y763" s="321"/>
      <c r="Z763" s="433"/>
      <c r="AA763" s="356"/>
      <c r="AB763" s="306" t="str">
        <f t="shared" si="126"/>
        <v/>
      </c>
      <c r="AC763" s="893">
        <f t="shared" si="127"/>
        <v>0</v>
      </c>
      <c r="AD763" s="322"/>
      <c r="AE763" s="1"/>
      <c r="AF763" s="223">
        <f>IF(ISBLANK(AD763),0,COUNTIF(AF$4:AF762,"&gt;0")+1)</f>
        <v>0</v>
      </c>
      <c r="AG763" s="164">
        <f t="shared" si="133"/>
        <v>0</v>
      </c>
      <c r="AH763" s="99">
        <f t="shared" si="128"/>
        <v>0</v>
      </c>
      <c r="AI763" s="99">
        <f t="shared" si="134"/>
        <v>0</v>
      </c>
      <c r="AJ763" s="170">
        <f t="shared" si="135"/>
        <v>0</v>
      </c>
      <c r="AK763" s="204">
        <f t="shared" si="129"/>
        <v>0</v>
      </c>
      <c r="AL763" s="1049">
        <f>IF(ISERROR(AO763),0,IF(AND(AN763&gt;=$U$1,AN763&lt;=$U$2),IF(AO763='ESTRATTO CONTO'!$E$2,1+COUNTIF(AL$4:AL762,"&gt;0")+U$1009,0),0))</f>
        <v>0</v>
      </c>
      <c r="AM763" s="747">
        <f t="shared" si="132"/>
        <v>760</v>
      </c>
      <c r="AN763" s="164" t="e">
        <f>VLOOKUP($AM763,PATRIMONIALE!$AV815:AW$1003,2,FALSE)</f>
        <v>#N/A</v>
      </c>
      <c r="AO763" s="310" t="e">
        <f>VLOOKUP($AM763,PATRIMONIALE!$AV815:AX$1003,3,FALSE)</f>
        <v>#N/A</v>
      </c>
      <c r="AP763" s="310" t="e">
        <f>VLOOKUP($AM763,PATRIMONIALE!$AV815:AY$1003,4,FALSE)</f>
        <v>#N/A</v>
      </c>
      <c r="AQ763" s="748" t="e">
        <f>VLOOKUP($AM763,PATRIMONIALE!$AV815:AZ$1003,5,FALSE)</f>
        <v>#N/A</v>
      </c>
      <c r="AR763" s="1"/>
      <c r="AS763" s="461" t="str">
        <f t="shared" si="130"/>
        <v/>
      </c>
      <c r="AT763" s="370"/>
    </row>
    <row r="764" spans="1:46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435">
        <f>IF(AND(W764&gt;=$U$1,W764&lt;=$U$2),IF(X764='ESTRATTO CONTO'!$E$2,1+COUNTIF(U$4:U763,"&gt;0"),0),0)</f>
        <v>0</v>
      </c>
      <c r="V764" s="417">
        <f t="shared" si="131"/>
        <v>761</v>
      </c>
      <c r="W764" s="509"/>
      <c r="X764" s="321"/>
      <c r="Y764" s="321"/>
      <c r="Z764" s="433"/>
      <c r="AA764" s="356"/>
      <c r="AB764" s="306" t="str">
        <f t="shared" si="126"/>
        <v/>
      </c>
      <c r="AC764" s="893">
        <f t="shared" si="127"/>
        <v>0</v>
      </c>
      <c r="AD764" s="322"/>
      <c r="AE764" s="1"/>
      <c r="AF764" s="223">
        <f>IF(ISBLANK(AD764),0,COUNTIF(AF$4:AF763,"&gt;0")+1)</f>
        <v>0</v>
      </c>
      <c r="AG764" s="164">
        <f t="shared" si="133"/>
        <v>0</v>
      </c>
      <c r="AH764" s="99">
        <f t="shared" si="128"/>
        <v>0</v>
      </c>
      <c r="AI764" s="99">
        <f t="shared" si="134"/>
        <v>0</v>
      </c>
      <c r="AJ764" s="170">
        <f t="shared" si="135"/>
        <v>0</v>
      </c>
      <c r="AK764" s="204">
        <f t="shared" si="129"/>
        <v>0</v>
      </c>
      <c r="AL764" s="1049">
        <f>IF(ISERROR(AO764),0,IF(AND(AN764&gt;=$U$1,AN764&lt;=$U$2),IF(AO764='ESTRATTO CONTO'!$E$2,1+COUNTIF(AL$4:AL763,"&gt;0")+U$1009,0),0))</f>
        <v>0</v>
      </c>
      <c r="AM764" s="747">
        <f t="shared" si="132"/>
        <v>761</v>
      </c>
      <c r="AN764" s="164" t="e">
        <f>VLOOKUP($AM764,PATRIMONIALE!$AV816:AW$1003,2,FALSE)</f>
        <v>#N/A</v>
      </c>
      <c r="AO764" s="310" t="e">
        <f>VLOOKUP($AM764,PATRIMONIALE!$AV816:AX$1003,3,FALSE)</f>
        <v>#N/A</v>
      </c>
      <c r="AP764" s="310" t="e">
        <f>VLOOKUP($AM764,PATRIMONIALE!$AV816:AY$1003,4,FALSE)</f>
        <v>#N/A</v>
      </c>
      <c r="AQ764" s="748" t="e">
        <f>VLOOKUP($AM764,PATRIMONIALE!$AV816:AZ$1003,5,FALSE)</f>
        <v>#N/A</v>
      </c>
      <c r="AR764" s="1"/>
      <c r="AS764" s="461" t="str">
        <f t="shared" si="130"/>
        <v/>
      </c>
      <c r="AT764" s="370"/>
    </row>
    <row r="765" spans="1:46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435">
        <f>IF(AND(W765&gt;=$U$1,W765&lt;=$U$2),IF(X765='ESTRATTO CONTO'!$E$2,1+COUNTIF(U$4:U764,"&gt;0"),0),0)</f>
        <v>0</v>
      </c>
      <c r="V765" s="417">
        <f t="shared" si="131"/>
        <v>762</v>
      </c>
      <c r="W765" s="509"/>
      <c r="X765" s="321"/>
      <c r="Y765" s="321"/>
      <c r="Z765" s="433"/>
      <c r="AA765" s="356"/>
      <c r="AB765" s="306" t="str">
        <f t="shared" si="126"/>
        <v/>
      </c>
      <c r="AC765" s="893">
        <f t="shared" si="127"/>
        <v>0</v>
      </c>
      <c r="AD765" s="322"/>
      <c r="AE765" s="1"/>
      <c r="AF765" s="223">
        <f>IF(ISBLANK(AD765),0,COUNTIF(AF$4:AF764,"&gt;0")+1)</f>
        <v>0</v>
      </c>
      <c r="AG765" s="164">
        <f t="shared" si="133"/>
        <v>0</v>
      </c>
      <c r="AH765" s="99">
        <f t="shared" si="128"/>
        <v>0</v>
      </c>
      <c r="AI765" s="99">
        <f t="shared" si="134"/>
        <v>0</v>
      </c>
      <c r="AJ765" s="170">
        <f t="shared" si="135"/>
        <v>0</v>
      </c>
      <c r="AK765" s="204">
        <f t="shared" si="129"/>
        <v>0</v>
      </c>
      <c r="AL765" s="1049">
        <f>IF(ISERROR(AO765),0,IF(AND(AN765&gt;=$U$1,AN765&lt;=$U$2),IF(AO765='ESTRATTO CONTO'!$E$2,1+COUNTIF(AL$4:AL764,"&gt;0")+U$1009,0),0))</f>
        <v>0</v>
      </c>
      <c r="AM765" s="747">
        <f t="shared" si="132"/>
        <v>762</v>
      </c>
      <c r="AN765" s="164" t="e">
        <f>VLOOKUP($AM765,PATRIMONIALE!$AV817:AW$1003,2,FALSE)</f>
        <v>#N/A</v>
      </c>
      <c r="AO765" s="310" t="e">
        <f>VLOOKUP($AM765,PATRIMONIALE!$AV817:AX$1003,3,FALSE)</f>
        <v>#N/A</v>
      </c>
      <c r="AP765" s="310" t="e">
        <f>VLOOKUP($AM765,PATRIMONIALE!$AV817:AY$1003,4,FALSE)</f>
        <v>#N/A</v>
      </c>
      <c r="AQ765" s="748" t="e">
        <f>VLOOKUP($AM765,PATRIMONIALE!$AV817:AZ$1003,5,FALSE)</f>
        <v>#N/A</v>
      </c>
      <c r="AR765" s="1"/>
      <c r="AS765" s="461" t="str">
        <f t="shared" si="130"/>
        <v/>
      </c>
      <c r="AT765" s="370"/>
    </row>
    <row r="766" spans="1:46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435">
        <f>IF(AND(W766&gt;=$U$1,W766&lt;=$U$2),IF(X766='ESTRATTO CONTO'!$E$2,1+COUNTIF(U$4:U765,"&gt;0"),0),0)</f>
        <v>0</v>
      </c>
      <c r="V766" s="417">
        <f t="shared" si="131"/>
        <v>763</v>
      </c>
      <c r="W766" s="509"/>
      <c r="X766" s="321"/>
      <c r="Y766" s="321"/>
      <c r="Z766" s="433"/>
      <c r="AA766" s="356"/>
      <c r="AB766" s="306" t="str">
        <f t="shared" si="126"/>
        <v/>
      </c>
      <c r="AC766" s="893">
        <f t="shared" si="127"/>
        <v>0</v>
      </c>
      <c r="AD766" s="322"/>
      <c r="AE766" s="1"/>
      <c r="AF766" s="223">
        <f>IF(ISBLANK(AD766),0,COUNTIF(AF$4:AF765,"&gt;0")+1)</f>
        <v>0</v>
      </c>
      <c r="AG766" s="164">
        <f t="shared" si="133"/>
        <v>0</v>
      </c>
      <c r="AH766" s="99">
        <f t="shared" si="128"/>
        <v>0</v>
      </c>
      <c r="AI766" s="99">
        <f t="shared" si="134"/>
        <v>0</v>
      </c>
      <c r="AJ766" s="170">
        <f t="shared" si="135"/>
        <v>0</v>
      </c>
      <c r="AK766" s="204">
        <f t="shared" si="129"/>
        <v>0</v>
      </c>
      <c r="AL766" s="1049">
        <f>IF(ISERROR(AO766),0,IF(AND(AN766&gt;=$U$1,AN766&lt;=$U$2),IF(AO766='ESTRATTO CONTO'!$E$2,1+COUNTIF(AL$4:AL765,"&gt;0")+U$1009,0),0))</f>
        <v>0</v>
      </c>
      <c r="AM766" s="747">
        <f t="shared" si="132"/>
        <v>763</v>
      </c>
      <c r="AN766" s="164" t="e">
        <f>VLOOKUP($AM766,PATRIMONIALE!$AV818:AW$1003,2,FALSE)</f>
        <v>#N/A</v>
      </c>
      <c r="AO766" s="310" t="e">
        <f>VLOOKUP($AM766,PATRIMONIALE!$AV818:AX$1003,3,FALSE)</f>
        <v>#N/A</v>
      </c>
      <c r="AP766" s="310" t="e">
        <f>VLOOKUP($AM766,PATRIMONIALE!$AV818:AY$1003,4,FALSE)</f>
        <v>#N/A</v>
      </c>
      <c r="AQ766" s="748" t="e">
        <f>VLOOKUP($AM766,PATRIMONIALE!$AV818:AZ$1003,5,FALSE)</f>
        <v>#N/A</v>
      </c>
      <c r="AR766" s="1"/>
      <c r="AS766" s="461" t="str">
        <f t="shared" si="130"/>
        <v/>
      </c>
      <c r="AT766" s="370"/>
    </row>
    <row r="767" spans="1:46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435">
        <f>IF(AND(W767&gt;=$U$1,W767&lt;=$U$2),IF(X767='ESTRATTO CONTO'!$E$2,1+COUNTIF(U$4:U766,"&gt;0"),0),0)</f>
        <v>0</v>
      </c>
      <c r="V767" s="417">
        <f t="shared" si="131"/>
        <v>764</v>
      </c>
      <c r="W767" s="509"/>
      <c r="X767" s="321"/>
      <c r="Y767" s="321"/>
      <c r="Z767" s="433"/>
      <c r="AA767" s="356"/>
      <c r="AB767" s="306" t="str">
        <f t="shared" si="126"/>
        <v/>
      </c>
      <c r="AC767" s="893">
        <f t="shared" si="127"/>
        <v>0</v>
      </c>
      <c r="AD767" s="322"/>
      <c r="AE767" s="1"/>
      <c r="AF767" s="223">
        <f>IF(ISBLANK(AD767),0,COUNTIF(AF$4:AF766,"&gt;0")+1)</f>
        <v>0</v>
      </c>
      <c r="AG767" s="164">
        <f t="shared" si="133"/>
        <v>0</v>
      </c>
      <c r="AH767" s="99">
        <f t="shared" si="128"/>
        <v>0</v>
      </c>
      <c r="AI767" s="99">
        <f t="shared" si="134"/>
        <v>0</v>
      </c>
      <c r="AJ767" s="170">
        <f t="shared" si="135"/>
        <v>0</v>
      </c>
      <c r="AK767" s="204">
        <f t="shared" si="129"/>
        <v>0</v>
      </c>
      <c r="AL767" s="1049">
        <f>IF(ISERROR(AO767),0,IF(AND(AN767&gt;=$U$1,AN767&lt;=$U$2),IF(AO767='ESTRATTO CONTO'!$E$2,1+COUNTIF(AL$4:AL766,"&gt;0")+U$1009,0),0))</f>
        <v>0</v>
      </c>
      <c r="AM767" s="747">
        <f t="shared" si="132"/>
        <v>764</v>
      </c>
      <c r="AN767" s="164" t="e">
        <f>VLOOKUP($AM767,PATRIMONIALE!$AV819:AW$1003,2,FALSE)</f>
        <v>#N/A</v>
      </c>
      <c r="AO767" s="310" t="e">
        <f>VLOOKUP($AM767,PATRIMONIALE!$AV819:AX$1003,3,FALSE)</f>
        <v>#N/A</v>
      </c>
      <c r="AP767" s="310" t="e">
        <f>VLOOKUP($AM767,PATRIMONIALE!$AV819:AY$1003,4,FALSE)</f>
        <v>#N/A</v>
      </c>
      <c r="AQ767" s="748" t="e">
        <f>VLOOKUP($AM767,PATRIMONIALE!$AV819:AZ$1003,5,FALSE)</f>
        <v>#N/A</v>
      </c>
      <c r="AR767" s="1"/>
      <c r="AS767" s="461" t="str">
        <f t="shared" si="130"/>
        <v/>
      </c>
      <c r="AT767" s="370"/>
    </row>
    <row r="768" spans="1:46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435">
        <f>IF(AND(W768&gt;=$U$1,W768&lt;=$U$2),IF(X768='ESTRATTO CONTO'!$E$2,1+COUNTIF(U$4:U767,"&gt;0"),0),0)</f>
        <v>0</v>
      </c>
      <c r="V768" s="417">
        <f t="shared" si="131"/>
        <v>765</v>
      </c>
      <c r="W768" s="509"/>
      <c r="X768" s="321"/>
      <c r="Y768" s="321"/>
      <c r="Z768" s="433"/>
      <c r="AA768" s="356"/>
      <c r="AB768" s="306" t="str">
        <f t="shared" si="126"/>
        <v/>
      </c>
      <c r="AC768" s="893">
        <f t="shared" si="127"/>
        <v>0</v>
      </c>
      <c r="AD768" s="322"/>
      <c r="AE768" s="1"/>
      <c r="AF768" s="223">
        <f>IF(ISBLANK(AD768),0,COUNTIF(AF$4:AF767,"&gt;0")+1)</f>
        <v>0</v>
      </c>
      <c r="AG768" s="164">
        <f t="shared" si="133"/>
        <v>0</v>
      </c>
      <c r="AH768" s="99">
        <f t="shared" si="128"/>
        <v>0</v>
      </c>
      <c r="AI768" s="99">
        <f t="shared" si="134"/>
        <v>0</v>
      </c>
      <c r="AJ768" s="170">
        <f t="shared" si="135"/>
        <v>0</v>
      </c>
      <c r="AK768" s="204">
        <f t="shared" si="129"/>
        <v>0</v>
      </c>
      <c r="AL768" s="1049">
        <f>IF(ISERROR(AO768),0,IF(AND(AN768&gt;=$U$1,AN768&lt;=$U$2),IF(AO768='ESTRATTO CONTO'!$E$2,1+COUNTIF(AL$4:AL767,"&gt;0")+U$1009,0),0))</f>
        <v>0</v>
      </c>
      <c r="AM768" s="747">
        <f t="shared" si="132"/>
        <v>765</v>
      </c>
      <c r="AN768" s="164" t="e">
        <f>VLOOKUP($AM768,PATRIMONIALE!$AV820:AW$1003,2,FALSE)</f>
        <v>#N/A</v>
      </c>
      <c r="AO768" s="310" t="e">
        <f>VLOOKUP($AM768,PATRIMONIALE!$AV820:AX$1003,3,FALSE)</f>
        <v>#N/A</v>
      </c>
      <c r="AP768" s="310" t="e">
        <f>VLOOKUP($AM768,PATRIMONIALE!$AV820:AY$1003,4,FALSE)</f>
        <v>#N/A</v>
      </c>
      <c r="AQ768" s="748" t="e">
        <f>VLOOKUP($AM768,PATRIMONIALE!$AV820:AZ$1003,5,FALSE)</f>
        <v>#N/A</v>
      </c>
      <c r="AR768" s="1"/>
      <c r="AS768" s="461" t="str">
        <f t="shared" si="130"/>
        <v/>
      </c>
      <c r="AT768" s="370"/>
    </row>
    <row r="769" spans="1:46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435">
        <f>IF(AND(W769&gt;=$U$1,W769&lt;=$U$2),IF(X769='ESTRATTO CONTO'!$E$2,1+COUNTIF(U$4:U768,"&gt;0"),0),0)</f>
        <v>0</v>
      </c>
      <c r="V769" s="417">
        <f t="shared" si="131"/>
        <v>766</v>
      </c>
      <c r="W769" s="509"/>
      <c r="X769" s="321"/>
      <c r="Y769" s="321"/>
      <c r="Z769" s="433"/>
      <c r="AA769" s="356"/>
      <c r="AB769" s="306" t="str">
        <f t="shared" si="126"/>
        <v/>
      </c>
      <c r="AC769" s="893">
        <f t="shared" si="127"/>
        <v>0</v>
      </c>
      <c r="AD769" s="322"/>
      <c r="AE769" s="1"/>
      <c r="AF769" s="223">
        <f>IF(ISBLANK(AD769),0,COUNTIF(AF$4:AF768,"&gt;0")+1)</f>
        <v>0</v>
      </c>
      <c r="AG769" s="164">
        <f t="shared" si="133"/>
        <v>0</v>
      </c>
      <c r="AH769" s="99">
        <f t="shared" si="128"/>
        <v>0</v>
      </c>
      <c r="AI769" s="99">
        <f t="shared" si="134"/>
        <v>0</v>
      </c>
      <c r="AJ769" s="170">
        <f t="shared" si="135"/>
        <v>0</v>
      </c>
      <c r="AK769" s="204">
        <f t="shared" si="129"/>
        <v>0</v>
      </c>
      <c r="AL769" s="1049">
        <f>IF(ISERROR(AO769),0,IF(AND(AN769&gt;=$U$1,AN769&lt;=$U$2),IF(AO769='ESTRATTO CONTO'!$E$2,1+COUNTIF(AL$4:AL768,"&gt;0")+U$1009,0),0))</f>
        <v>0</v>
      </c>
      <c r="AM769" s="747">
        <f t="shared" si="132"/>
        <v>766</v>
      </c>
      <c r="AN769" s="164" t="e">
        <f>VLOOKUP($AM769,PATRIMONIALE!$AV821:AW$1003,2,FALSE)</f>
        <v>#N/A</v>
      </c>
      <c r="AO769" s="310" t="e">
        <f>VLOOKUP($AM769,PATRIMONIALE!$AV821:AX$1003,3,FALSE)</f>
        <v>#N/A</v>
      </c>
      <c r="AP769" s="310" t="e">
        <f>VLOOKUP($AM769,PATRIMONIALE!$AV821:AY$1003,4,FALSE)</f>
        <v>#N/A</v>
      </c>
      <c r="AQ769" s="748" t="e">
        <f>VLOOKUP($AM769,PATRIMONIALE!$AV821:AZ$1003,5,FALSE)</f>
        <v>#N/A</v>
      </c>
      <c r="AR769" s="1"/>
      <c r="AS769" s="461" t="str">
        <f t="shared" si="130"/>
        <v/>
      </c>
      <c r="AT769" s="370"/>
    </row>
    <row r="770" spans="1:46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435">
        <f>IF(AND(W770&gt;=$U$1,W770&lt;=$U$2),IF(X770='ESTRATTO CONTO'!$E$2,1+COUNTIF(U$4:U769,"&gt;0"),0),0)</f>
        <v>0</v>
      </c>
      <c r="V770" s="417">
        <f t="shared" si="131"/>
        <v>767</v>
      </c>
      <c r="W770" s="509"/>
      <c r="X770" s="321"/>
      <c r="Y770" s="321"/>
      <c r="Z770" s="433"/>
      <c r="AA770" s="356"/>
      <c r="AB770" s="306" t="str">
        <f t="shared" si="126"/>
        <v/>
      </c>
      <c r="AC770" s="893">
        <f t="shared" si="127"/>
        <v>0</v>
      </c>
      <c r="AD770" s="322"/>
      <c r="AE770" s="1"/>
      <c r="AF770" s="223">
        <f>IF(ISBLANK(AD770),0,COUNTIF(AF$4:AF769,"&gt;0")+1)</f>
        <v>0</v>
      </c>
      <c r="AG770" s="164">
        <f t="shared" si="133"/>
        <v>0</v>
      </c>
      <c r="AH770" s="99">
        <f t="shared" si="128"/>
        <v>0</v>
      </c>
      <c r="AI770" s="99">
        <f t="shared" si="134"/>
        <v>0</v>
      </c>
      <c r="AJ770" s="170">
        <f t="shared" si="135"/>
        <v>0</v>
      </c>
      <c r="AK770" s="204">
        <f t="shared" si="129"/>
        <v>0</v>
      </c>
      <c r="AL770" s="1049">
        <f>IF(ISERROR(AO770),0,IF(AND(AN770&gt;=$U$1,AN770&lt;=$U$2),IF(AO770='ESTRATTO CONTO'!$E$2,1+COUNTIF(AL$4:AL769,"&gt;0")+U$1009,0),0))</f>
        <v>0</v>
      </c>
      <c r="AM770" s="747">
        <f t="shared" si="132"/>
        <v>767</v>
      </c>
      <c r="AN770" s="164" t="e">
        <f>VLOOKUP($AM770,PATRIMONIALE!$AV822:AW$1003,2,FALSE)</f>
        <v>#N/A</v>
      </c>
      <c r="AO770" s="310" t="e">
        <f>VLOOKUP($AM770,PATRIMONIALE!$AV822:AX$1003,3,FALSE)</f>
        <v>#N/A</v>
      </c>
      <c r="AP770" s="310" t="e">
        <f>VLOOKUP($AM770,PATRIMONIALE!$AV822:AY$1003,4,FALSE)</f>
        <v>#N/A</v>
      </c>
      <c r="AQ770" s="748" t="e">
        <f>VLOOKUP($AM770,PATRIMONIALE!$AV822:AZ$1003,5,FALSE)</f>
        <v>#N/A</v>
      </c>
      <c r="AR770" s="1"/>
      <c r="AS770" s="461" t="str">
        <f t="shared" si="130"/>
        <v/>
      </c>
      <c r="AT770" s="370"/>
    </row>
    <row r="771" spans="1:46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435">
        <f>IF(AND(W771&gt;=$U$1,W771&lt;=$U$2),IF(X771='ESTRATTO CONTO'!$E$2,1+COUNTIF(U$4:U770,"&gt;0"),0),0)</f>
        <v>0</v>
      </c>
      <c r="V771" s="417">
        <f t="shared" si="131"/>
        <v>768</v>
      </c>
      <c r="W771" s="509"/>
      <c r="X771" s="321"/>
      <c r="Y771" s="321"/>
      <c r="Z771" s="433"/>
      <c r="AA771" s="356"/>
      <c r="AB771" s="306" t="str">
        <f t="shared" si="126"/>
        <v/>
      </c>
      <c r="AC771" s="893">
        <f t="shared" si="127"/>
        <v>0</v>
      </c>
      <c r="AD771" s="322"/>
      <c r="AE771" s="1"/>
      <c r="AF771" s="223">
        <f>IF(ISBLANK(AD771),0,COUNTIF(AF$4:AF770,"&gt;0")+1)</f>
        <v>0</v>
      </c>
      <c r="AG771" s="164">
        <f t="shared" si="133"/>
        <v>0</v>
      </c>
      <c r="AH771" s="99">
        <f t="shared" si="128"/>
        <v>0</v>
      </c>
      <c r="AI771" s="99">
        <f t="shared" si="134"/>
        <v>0</v>
      </c>
      <c r="AJ771" s="170">
        <f t="shared" si="135"/>
        <v>0</v>
      </c>
      <c r="AK771" s="204">
        <f t="shared" si="129"/>
        <v>0</v>
      </c>
      <c r="AL771" s="1049">
        <f>IF(ISERROR(AO771),0,IF(AND(AN771&gt;=$U$1,AN771&lt;=$U$2),IF(AO771='ESTRATTO CONTO'!$E$2,1+COUNTIF(AL$4:AL770,"&gt;0")+U$1009,0),0))</f>
        <v>0</v>
      </c>
      <c r="AM771" s="747">
        <f t="shared" si="132"/>
        <v>768</v>
      </c>
      <c r="AN771" s="164" t="e">
        <f>VLOOKUP($AM771,PATRIMONIALE!$AV823:AW$1003,2,FALSE)</f>
        <v>#N/A</v>
      </c>
      <c r="AO771" s="310" t="e">
        <f>VLOOKUP($AM771,PATRIMONIALE!$AV823:AX$1003,3,FALSE)</f>
        <v>#N/A</v>
      </c>
      <c r="AP771" s="310" t="e">
        <f>VLOOKUP($AM771,PATRIMONIALE!$AV823:AY$1003,4,FALSE)</f>
        <v>#N/A</v>
      </c>
      <c r="AQ771" s="748" t="e">
        <f>VLOOKUP($AM771,PATRIMONIALE!$AV823:AZ$1003,5,FALSE)</f>
        <v>#N/A</v>
      </c>
      <c r="AR771" s="1"/>
      <c r="AS771" s="461" t="str">
        <f t="shared" si="130"/>
        <v/>
      </c>
      <c r="AT771" s="370"/>
    </row>
    <row r="772" spans="1:46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435">
        <f>IF(AND(W772&gt;=$U$1,W772&lt;=$U$2),IF(X772='ESTRATTO CONTO'!$E$2,1+COUNTIF(U$4:U771,"&gt;0"),0),0)</f>
        <v>0</v>
      </c>
      <c r="V772" s="417">
        <f t="shared" si="131"/>
        <v>769</v>
      </c>
      <c r="W772" s="509"/>
      <c r="X772" s="321"/>
      <c r="Y772" s="321"/>
      <c r="Z772" s="433"/>
      <c r="AA772" s="356"/>
      <c r="AB772" s="306" t="str">
        <f t="shared" ref="AB772:AB835" si="136">IF(X772="","",IF(W772&gt;0,IF(AND(W772&gt;=W$1012,W772&lt;=W$1013),CONCATENATE(X772,"-",MONTH(W772)),0),""))</f>
        <v/>
      </c>
      <c r="AC772" s="893">
        <f t="shared" ref="AC772:AC835" si="137">IF(AD772="",0,VLOOKUP(AD772,$AD$1025:$AD$1038,1,FALSE))</f>
        <v>0</v>
      </c>
      <c r="AD772" s="322"/>
      <c r="AE772" s="1"/>
      <c r="AF772" s="223">
        <f>IF(ISBLANK(AD772),0,COUNTIF(AF$4:AF771,"&gt;0")+1)</f>
        <v>0</v>
      </c>
      <c r="AG772" s="164">
        <f t="shared" si="133"/>
        <v>0</v>
      </c>
      <c r="AH772" s="99">
        <f t="shared" ref="AH772:AH835" si="138">IF($AF772=0,0,VLOOKUP(AD772,$AD$1025:$AH$1038,5,FALSE))</f>
        <v>0</v>
      </c>
      <c r="AI772" s="99">
        <f t="shared" si="134"/>
        <v>0</v>
      </c>
      <c r="AJ772" s="170">
        <f t="shared" si="135"/>
        <v>0</v>
      </c>
      <c r="AK772" s="204">
        <f t="shared" ref="AK772:AK835" si="139">X772</f>
        <v>0</v>
      </c>
      <c r="AL772" s="1049">
        <f>IF(ISERROR(AO772),0,IF(AND(AN772&gt;=$U$1,AN772&lt;=$U$2),IF(AO772='ESTRATTO CONTO'!$E$2,1+COUNTIF(AL$4:AL771,"&gt;0")+U$1009,0),0))</f>
        <v>0</v>
      </c>
      <c r="AM772" s="747">
        <f t="shared" si="132"/>
        <v>769</v>
      </c>
      <c r="AN772" s="164" t="e">
        <f>VLOOKUP($AM772,PATRIMONIALE!$AV824:AW$1003,2,FALSE)</f>
        <v>#N/A</v>
      </c>
      <c r="AO772" s="310" t="e">
        <f>VLOOKUP($AM772,PATRIMONIALE!$AV824:AX$1003,3,FALSE)</f>
        <v>#N/A</v>
      </c>
      <c r="AP772" s="310" t="e">
        <f>VLOOKUP($AM772,PATRIMONIALE!$AV824:AY$1003,4,FALSE)</f>
        <v>#N/A</v>
      </c>
      <c r="AQ772" s="748" t="e">
        <f>VLOOKUP($AM772,PATRIMONIALE!$AV824:AZ$1003,5,FALSE)</f>
        <v>#N/A</v>
      </c>
      <c r="AR772" s="1"/>
      <c r="AS772" s="461" t="str">
        <f t="shared" ref="AS772:AS835" si="140">IF(X772="","",IF(ISERROR(VLOOKUP(X772,B$9:E$13,1,FALSE)),1,0))</f>
        <v/>
      </c>
      <c r="AT772" s="370"/>
    </row>
    <row r="773" spans="1:46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435">
        <f>IF(AND(W773&gt;=$U$1,W773&lt;=$U$2),IF(X773='ESTRATTO CONTO'!$E$2,1+COUNTIF(U$4:U772,"&gt;0"),0),0)</f>
        <v>0</v>
      </c>
      <c r="V773" s="417">
        <f t="shared" si="131"/>
        <v>770</v>
      </c>
      <c r="W773" s="509"/>
      <c r="X773" s="321"/>
      <c r="Y773" s="321"/>
      <c r="Z773" s="433"/>
      <c r="AA773" s="356"/>
      <c r="AB773" s="306" t="str">
        <f t="shared" si="136"/>
        <v/>
      </c>
      <c r="AC773" s="893">
        <f t="shared" si="137"/>
        <v>0</v>
      </c>
      <c r="AD773" s="322"/>
      <c r="AE773" s="1"/>
      <c r="AF773" s="223">
        <f>IF(ISBLANK(AD773),0,COUNTIF(AF$4:AF772,"&gt;0")+1)</f>
        <v>0</v>
      </c>
      <c r="AG773" s="164">
        <f t="shared" si="133"/>
        <v>0</v>
      </c>
      <c r="AH773" s="99">
        <f t="shared" si="138"/>
        <v>0</v>
      </c>
      <c r="AI773" s="99">
        <f t="shared" si="134"/>
        <v>0</v>
      </c>
      <c r="AJ773" s="170">
        <f t="shared" si="135"/>
        <v>0</v>
      </c>
      <c r="AK773" s="204">
        <f t="shared" si="139"/>
        <v>0</v>
      </c>
      <c r="AL773" s="1049">
        <f>IF(ISERROR(AO773),0,IF(AND(AN773&gt;=$U$1,AN773&lt;=$U$2),IF(AO773='ESTRATTO CONTO'!$E$2,1+COUNTIF(AL$4:AL772,"&gt;0")+U$1009,0),0))</f>
        <v>0</v>
      </c>
      <c r="AM773" s="747">
        <f t="shared" si="132"/>
        <v>770</v>
      </c>
      <c r="AN773" s="164" t="e">
        <f>VLOOKUP($AM773,PATRIMONIALE!$AV825:AW$1003,2,FALSE)</f>
        <v>#N/A</v>
      </c>
      <c r="AO773" s="310" t="e">
        <f>VLOOKUP($AM773,PATRIMONIALE!$AV825:AX$1003,3,FALSE)</f>
        <v>#N/A</v>
      </c>
      <c r="AP773" s="310" t="e">
        <f>VLOOKUP($AM773,PATRIMONIALE!$AV825:AY$1003,4,FALSE)</f>
        <v>#N/A</v>
      </c>
      <c r="AQ773" s="748" t="e">
        <f>VLOOKUP($AM773,PATRIMONIALE!$AV825:AZ$1003,5,FALSE)</f>
        <v>#N/A</v>
      </c>
      <c r="AR773" s="1"/>
      <c r="AS773" s="461" t="str">
        <f t="shared" si="140"/>
        <v/>
      </c>
      <c r="AT773" s="370"/>
    </row>
    <row r="774" spans="1:46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435">
        <f>IF(AND(W774&gt;=$U$1,W774&lt;=$U$2),IF(X774='ESTRATTO CONTO'!$E$2,1+COUNTIF(U$4:U773,"&gt;0"),0),0)</f>
        <v>0</v>
      </c>
      <c r="V774" s="417">
        <f t="shared" ref="V774:V837" si="141">V773+1</f>
        <v>771</v>
      </c>
      <c r="W774" s="509"/>
      <c r="X774" s="321"/>
      <c r="Y774" s="321"/>
      <c r="Z774" s="433"/>
      <c r="AA774" s="356"/>
      <c r="AB774" s="306" t="str">
        <f t="shared" si="136"/>
        <v/>
      </c>
      <c r="AC774" s="893">
        <f t="shared" si="137"/>
        <v>0</v>
      </c>
      <c r="AD774" s="322"/>
      <c r="AE774" s="1"/>
      <c r="AF774" s="223">
        <f>IF(ISBLANK(AD774),0,COUNTIF(AF$4:AF773,"&gt;0")+1)</f>
        <v>0</v>
      </c>
      <c r="AG774" s="164">
        <f t="shared" si="133"/>
        <v>0</v>
      </c>
      <c r="AH774" s="99">
        <f t="shared" si="138"/>
        <v>0</v>
      </c>
      <c r="AI774" s="99">
        <f t="shared" si="134"/>
        <v>0</v>
      </c>
      <c r="AJ774" s="170">
        <f t="shared" si="135"/>
        <v>0</v>
      </c>
      <c r="AK774" s="204">
        <f t="shared" si="139"/>
        <v>0</v>
      </c>
      <c r="AL774" s="1049">
        <f>IF(ISERROR(AO774),0,IF(AND(AN774&gt;=$U$1,AN774&lt;=$U$2),IF(AO774='ESTRATTO CONTO'!$E$2,1+COUNTIF(AL$4:AL773,"&gt;0")+U$1009,0),0))</f>
        <v>0</v>
      </c>
      <c r="AM774" s="747">
        <f t="shared" ref="AM774:AM837" si="142">AM773+1</f>
        <v>771</v>
      </c>
      <c r="AN774" s="164" t="e">
        <f>VLOOKUP($AM774,PATRIMONIALE!$AV826:AW$1003,2,FALSE)</f>
        <v>#N/A</v>
      </c>
      <c r="AO774" s="310" t="e">
        <f>VLOOKUP($AM774,PATRIMONIALE!$AV826:AX$1003,3,FALSE)</f>
        <v>#N/A</v>
      </c>
      <c r="AP774" s="310" t="e">
        <f>VLOOKUP($AM774,PATRIMONIALE!$AV826:AY$1003,4,FALSE)</f>
        <v>#N/A</v>
      </c>
      <c r="AQ774" s="748" t="e">
        <f>VLOOKUP($AM774,PATRIMONIALE!$AV826:AZ$1003,5,FALSE)</f>
        <v>#N/A</v>
      </c>
      <c r="AR774" s="1"/>
      <c r="AS774" s="461" t="str">
        <f t="shared" si="140"/>
        <v/>
      </c>
      <c r="AT774" s="370"/>
    </row>
    <row r="775" spans="1:46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435">
        <f>IF(AND(W775&gt;=$U$1,W775&lt;=$U$2),IF(X775='ESTRATTO CONTO'!$E$2,1+COUNTIF(U$4:U774,"&gt;0"),0),0)</f>
        <v>0</v>
      </c>
      <c r="V775" s="417">
        <f t="shared" si="141"/>
        <v>772</v>
      </c>
      <c r="W775" s="509"/>
      <c r="X775" s="321"/>
      <c r="Y775" s="321"/>
      <c r="Z775" s="433"/>
      <c r="AA775" s="356"/>
      <c r="AB775" s="306" t="str">
        <f t="shared" si="136"/>
        <v/>
      </c>
      <c r="AC775" s="893">
        <f t="shared" si="137"/>
        <v>0</v>
      </c>
      <c r="AD775" s="322"/>
      <c r="AE775" s="1"/>
      <c r="AF775" s="223">
        <f>IF(ISBLANK(AD775),0,COUNTIF(AF$4:AF774,"&gt;0")+1)</f>
        <v>0</v>
      </c>
      <c r="AG775" s="164">
        <f t="shared" si="133"/>
        <v>0</v>
      </c>
      <c r="AH775" s="99">
        <f t="shared" si="138"/>
        <v>0</v>
      </c>
      <c r="AI775" s="99">
        <f t="shared" si="134"/>
        <v>0</v>
      </c>
      <c r="AJ775" s="170">
        <f t="shared" si="135"/>
        <v>0</v>
      </c>
      <c r="AK775" s="204">
        <f t="shared" si="139"/>
        <v>0</v>
      </c>
      <c r="AL775" s="1049">
        <f>IF(ISERROR(AO775),0,IF(AND(AN775&gt;=$U$1,AN775&lt;=$U$2),IF(AO775='ESTRATTO CONTO'!$E$2,1+COUNTIF(AL$4:AL774,"&gt;0")+U$1009,0),0))</f>
        <v>0</v>
      </c>
      <c r="AM775" s="747">
        <f t="shared" si="142"/>
        <v>772</v>
      </c>
      <c r="AN775" s="164" t="e">
        <f>VLOOKUP($AM775,PATRIMONIALE!$AV827:AW$1003,2,FALSE)</f>
        <v>#N/A</v>
      </c>
      <c r="AO775" s="310" t="e">
        <f>VLOOKUP($AM775,PATRIMONIALE!$AV827:AX$1003,3,FALSE)</f>
        <v>#N/A</v>
      </c>
      <c r="AP775" s="310" t="e">
        <f>VLOOKUP($AM775,PATRIMONIALE!$AV827:AY$1003,4,FALSE)</f>
        <v>#N/A</v>
      </c>
      <c r="AQ775" s="748" t="e">
        <f>VLOOKUP($AM775,PATRIMONIALE!$AV827:AZ$1003,5,FALSE)</f>
        <v>#N/A</v>
      </c>
      <c r="AR775" s="1"/>
      <c r="AS775" s="461" t="str">
        <f t="shared" si="140"/>
        <v/>
      </c>
      <c r="AT775" s="370"/>
    </row>
    <row r="776" spans="1:46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435">
        <f>IF(AND(W776&gt;=$U$1,W776&lt;=$U$2),IF(X776='ESTRATTO CONTO'!$E$2,1+COUNTIF(U$4:U775,"&gt;0"),0),0)</f>
        <v>0</v>
      </c>
      <c r="V776" s="417">
        <f t="shared" si="141"/>
        <v>773</v>
      </c>
      <c r="W776" s="509"/>
      <c r="X776" s="321"/>
      <c r="Y776" s="321"/>
      <c r="Z776" s="433"/>
      <c r="AA776" s="356"/>
      <c r="AB776" s="306" t="str">
        <f t="shared" si="136"/>
        <v/>
      </c>
      <c r="AC776" s="893">
        <f t="shared" si="137"/>
        <v>0</v>
      </c>
      <c r="AD776" s="322"/>
      <c r="AE776" s="1"/>
      <c r="AF776" s="223">
        <f>IF(ISBLANK(AD776),0,COUNTIF(AF$4:AF775,"&gt;0")+1)</f>
        <v>0</v>
      </c>
      <c r="AG776" s="164">
        <f t="shared" si="133"/>
        <v>0</v>
      </c>
      <c r="AH776" s="99">
        <f t="shared" si="138"/>
        <v>0</v>
      </c>
      <c r="AI776" s="99">
        <f t="shared" si="134"/>
        <v>0</v>
      </c>
      <c r="AJ776" s="170">
        <f t="shared" si="135"/>
        <v>0</v>
      </c>
      <c r="AK776" s="204">
        <f t="shared" si="139"/>
        <v>0</v>
      </c>
      <c r="AL776" s="1049">
        <f>IF(ISERROR(AO776),0,IF(AND(AN776&gt;=$U$1,AN776&lt;=$U$2),IF(AO776='ESTRATTO CONTO'!$E$2,1+COUNTIF(AL$4:AL775,"&gt;0")+U$1009,0),0))</f>
        <v>0</v>
      </c>
      <c r="AM776" s="747">
        <f t="shared" si="142"/>
        <v>773</v>
      </c>
      <c r="AN776" s="164" t="e">
        <f>VLOOKUP($AM776,PATRIMONIALE!$AV828:AW$1003,2,FALSE)</f>
        <v>#N/A</v>
      </c>
      <c r="AO776" s="310" t="e">
        <f>VLOOKUP($AM776,PATRIMONIALE!$AV828:AX$1003,3,FALSE)</f>
        <v>#N/A</v>
      </c>
      <c r="AP776" s="310" t="e">
        <f>VLOOKUP($AM776,PATRIMONIALE!$AV828:AY$1003,4,FALSE)</f>
        <v>#N/A</v>
      </c>
      <c r="AQ776" s="748" t="e">
        <f>VLOOKUP($AM776,PATRIMONIALE!$AV828:AZ$1003,5,FALSE)</f>
        <v>#N/A</v>
      </c>
      <c r="AR776" s="1"/>
      <c r="AS776" s="461" t="str">
        <f t="shared" si="140"/>
        <v/>
      </c>
      <c r="AT776" s="370"/>
    </row>
    <row r="777" spans="1:46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435">
        <f>IF(AND(W777&gt;=$U$1,W777&lt;=$U$2),IF(X777='ESTRATTO CONTO'!$E$2,1+COUNTIF(U$4:U776,"&gt;0"),0),0)</f>
        <v>0</v>
      </c>
      <c r="V777" s="417">
        <f t="shared" si="141"/>
        <v>774</v>
      </c>
      <c r="W777" s="509"/>
      <c r="X777" s="321"/>
      <c r="Y777" s="321"/>
      <c r="Z777" s="433"/>
      <c r="AA777" s="356"/>
      <c r="AB777" s="306" t="str">
        <f t="shared" si="136"/>
        <v/>
      </c>
      <c r="AC777" s="893">
        <f t="shared" si="137"/>
        <v>0</v>
      </c>
      <c r="AD777" s="322"/>
      <c r="AE777" s="1"/>
      <c r="AF777" s="223">
        <f>IF(ISBLANK(AD777),0,COUNTIF(AF$4:AF776,"&gt;0")+1)</f>
        <v>0</v>
      </c>
      <c r="AG777" s="164">
        <f t="shared" si="133"/>
        <v>0</v>
      </c>
      <c r="AH777" s="99">
        <f t="shared" si="138"/>
        <v>0</v>
      </c>
      <c r="AI777" s="99">
        <f t="shared" si="134"/>
        <v>0</v>
      </c>
      <c r="AJ777" s="170">
        <f t="shared" si="135"/>
        <v>0</v>
      </c>
      <c r="AK777" s="204">
        <f t="shared" si="139"/>
        <v>0</v>
      </c>
      <c r="AL777" s="1049">
        <f>IF(ISERROR(AO777),0,IF(AND(AN777&gt;=$U$1,AN777&lt;=$U$2),IF(AO777='ESTRATTO CONTO'!$E$2,1+COUNTIF(AL$4:AL776,"&gt;0")+U$1009,0),0))</f>
        <v>0</v>
      </c>
      <c r="AM777" s="747">
        <f t="shared" si="142"/>
        <v>774</v>
      </c>
      <c r="AN777" s="164" t="e">
        <f>VLOOKUP($AM777,PATRIMONIALE!$AV829:AW$1003,2,FALSE)</f>
        <v>#N/A</v>
      </c>
      <c r="AO777" s="310" t="e">
        <f>VLOOKUP($AM777,PATRIMONIALE!$AV829:AX$1003,3,FALSE)</f>
        <v>#N/A</v>
      </c>
      <c r="AP777" s="310" t="e">
        <f>VLOOKUP($AM777,PATRIMONIALE!$AV829:AY$1003,4,FALSE)</f>
        <v>#N/A</v>
      </c>
      <c r="AQ777" s="748" t="e">
        <f>VLOOKUP($AM777,PATRIMONIALE!$AV829:AZ$1003,5,FALSE)</f>
        <v>#N/A</v>
      </c>
      <c r="AR777" s="1"/>
      <c r="AS777" s="461" t="str">
        <f t="shared" si="140"/>
        <v/>
      </c>
      <c r="AT777" s="370"/>
    </row>
    <row r="778" spans="1:46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435">
        <f>IF(AND(W778&gt;=$U$1,W778&lt;=$U$2),IF(X778='ESTRATTO CONTO'!$E$2,1+COUNTIF(U$4:U777,"&gt;0"),0),0)</f>
        <v>0</v>
      </c>
      <c r="V778" s="417">
        <f t="shared" si="141"/>
        <v>775</v>
      </c>
      <c r="W778" s="509"/>
      <c r="X778" s="321"/>
      <c r="Y778" s="321"/>
      <c r="Z778" s="433"/>
      <c r="AA778" s="356"/>
      <c r="AB778" s="306" t="str">
        <f t="shared" si="136"/>
        <v/>
      </c>
      <c r="AC778" s="893">
        <f t="shared" si="137"/>
        <v>0</v>
      </c>
      <c r="AD778" s="322"/>
      <c r="AE778" s="1"/>
      <c r="AF778" s="223">
        <f>IF(ISBLANK(AD778),0,COUNTIF(AF$4:AF777,"&gt;0")+1)</f>
        <v>0</v>
      </c>
      <c r="AG778" s="164">
        <f t="shared" ref="AG778:AG841" si="143">IF($AF778=0,0,W778)</f>
        <v>0</v>
      </c>
      <c r="AH778" s="99">
        <f t="shared" si="138"/>
        <v>0</v>
      </c>
      <c r="AI778" s="99">
        <f t="shared" ref="AI778:AI841" si="144">IF($AF778=0,0,Y778)</f>
        <v>0</v>
      </c>
      <c r="AJ778" s="170">
        <f t="shared" ref="AJ778:AJ841" si="145">IF($AF778=0,0,IF(RIGHT(AD778)="-",IF(Z778&gt;0,Z778*-1,Z778),Z778))</f>
        <v>0</v>
      </c>
      <c r="AK778" s="204">
        <f t="shared" si="139"/>
        <v>0</v>
      </c>
      <c r="AL778" s="1049">
        <f>IF(ISERROR(AO778),0,IF(AND(AN778&gt;=$U$1,AN778&lt;=$U$2),IF(AO778='ESTRATTO CONTO'!$E$2,1+COUNTIF(AL$4:AL777,"&gt;0")+U$1009,0),0))</f>
        <v>0</v>
      </c>
      <c r="AM778" s="747">
        <f t="shared" si="142"/>
        <v>775</v>
      </c>
      <c r="AN778" s="164" t="e">
        <f>VLOOKUP($AM778,PATRIMONIALE!$AV830:AW$1003,2,FALSE)</f>
        <v>#N/A</v>
      </c>
      <c r="AO778" s="310" t="e">
        <f>VLOOKUP($AM778,PATRIMONIALE!$AV830:AX$1003,3,FALSE)</f>
        <v>#N/A</v>
      </c>
      <c r="AP778" s="310" t="e">
        <f>VLOOKUP($AM778,PATRIMONIALE!$AV830:AY$1003,4,FALSE)</f>
        <v>#N/A</v>
      </c>
      <c r="AQ778" s="748" t="e">
        <f>VLOOKUP($AM778,PATRIMONIALE!$AV830:AZ$1003,5,FALSE)</f>
        <v>#N/A</v>
      </c>
      <c r="AR778" s="1"/>
      <c r="AS778" s="461" t="str">
        <f t="shared" si="140"/>
        <v/>
      </c>
      <c r="AT778" s="370"/>
    </row>
    <row r="779" spans="1:46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435">
        <f>IF(AND(W779&gt;=$U$1,W779&lt;=$U$2),IF(X779='ESTRATTO CONTO'!$E$2,1+COUNTIF(U$4:U778,"&gt;0"),0),0)</f>
        <v>0</v>
      </c>
      <c r="V779" s="417">
        <f t="shared" si="141"/>
        <v>776</v>
      </c>
      <c r="W779" s="509"/>
      <c r="X779" s="321"/>
      <c r="Y779" s="321"/>
      <c r="Z779" s="433"/>
      <c r="AA779" s="356"/>
      <c r="AB779" s="306" t="str">
        <f t="shared" si="136"/>
        <v/>
      </c>
      <c r="AC779" s="893">
        <f t="shared" si="137"/>
        <v>0</v>
      </c>
      <c r="AD779" s="322"/>
      <c r="AE779" s="1"/>
      <c r="AF779" s="223">
        <f>IF(ISBLANK(AD779),0,COUNTIF(AF$4:AF778,"&gt;0")+1)</f>
        <v>0</v>
      </c>
      <c r="AG779" s="164">
        <f t="shared" si="143"/>
        <v>0</v>
      </c>
      <c r="AH779" s="99">
        <f t="shared" si="138"/>
        <v>0</v>
      </c>
      <c r="AI779" s="99">
        <f t="shared" si="144"/>
        <v>0</v>
      </c>
      <c r="AJ779" s="170">
        <f t="shared" si="145"/>
        <v>0</v>
      </c>
      <c r="AK779" s="204">
        <f t="shared" si="139"/>
        <v>0</v>
      </c>
      <c r="AL779" s="1049">
        <f>IF(ISERROR(AO779),0,IF(AND(AN779&gt;=$U$1,AN779&lt;=$U$2),IF(AO779='ESTRATTO CONTO'!$E$2,1+COUNTIF(AL$4:AL778,"&gt;0")+U$1009,0),0))</f>
        <v>0</v>
      </c>
      <c r="AM779" s="747">
        <f t="shared" si="142"/>
        <v>776</v>
      </c>
      <c r="AN779" s="164" t="e">
        <f>VLOOKUP($AM779,PATRIMONIALE!$AV831:AW$1003,2,FALSE)</f>
        <v>#N/A</v>
      </c>
      <c r="AO779" s="310" t="e">
        <f>VLOOKUP($AM779,PATRIMONIALE!$AV831:AX$1003,3,FALSE)</f>
        <v>#N/A</v>
      </c>
      <c r="AP779" s="310" t="e">
        <f>VLOOKUP($AM779,PATRIMONIALE!$AV831:AY$1003,4,FALSE)</f>
        <v>#N/A</v>
      </c>
      <c r="AQ779" s="748" t="e">
        <f>VLOOKUP($AM779,PATRIMONIALE!$AV831:AZ$1003,5,FALSE)</f>
        <v>#N/A</v>
      </c>
      <c r="AR779" s="1"/>
      <c r="AS779" s="461" t="str">
        <f t="shared" si="140"/>
        <v/>
      </c>
      <c r="AT779" s="370"/>
    </row>
    <row r="780" spans="1:46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435">
        <f>IF(AND(W780&gt;=$U$1,W780&lt;=$U$2),IF(X780='ESTRATTO CONTO'!$E$2,1+COUNTIF(U$4:U779,"&gt;0"),0),0)</f>
        <v>0</v>
      </c>
      <c r="V780" s="417">
        <f t="shared" si="141"/>
        <v>777</v>
      </c>
      <c r="W780" s="509"/>
      <c r="X780" s="321"/>
      <c r="Y780" s="321"/>
      <c r="Z780" s="433"/>
      <c r="AA780" s="356"/>
      <c r="AB780" s="306" t="str">
        <f t="shared" si="136"/>
        <v/>
      </c>
      <c r="AC780" s="893">
        <f t="shared" si="137"/>
        <v>0</v>
      </c>
      <c r="AD780" s="322"/>
      <c r="AE780" s="1"/>
      <c r="AF780" s="223">
        <f>IF(ISBLANK(AD780),0,COUNTIF(AF$4:AF779,"&gt;0")+1)</f>
        <v>0</v>
      </c>
      <c r="AG780" s="164">
        <f t="shared" si="143"/>
        <v>0</v>
      </c>
      <c r="AH780" s="99">
        <f t="shared" si="138"/>
        <v>0</v>
      </c>
      <c r="AI780" s="99">
        <f t="shared" si="144"/>
        <v>0</v>
      </c>
      <c r="AJ780" s="170">
        <f t="shared" si="145"/>
        <v>0</v>
      </c>
      <c r="AK780" s="204">
        <f t="shared" si="139"/>
        <v>0</v>
      </c>
      <c r="AL780" s="1049">
        <f>IF(ISERROR(AO780),0,IF(AND(AN780&gt;=$U$1,AN780&lt;=$U$2),IF(AO780='ESTRATTO CONTO'!$E$2,1+COUNTIF(AL$4:AL779,"&gt;0")+U$1009,0),0))</f>
        <v>0</v>
      </c>
      <c r="AM780" s="747">
        <f t="shared" si="142"/>
        <v>777</v>
      </c>
      <c r="AN780" s="164" t="e">
        <f>VLOOKUP($AM780,PATRIMONIALE!$AV832:AW$1003,2,FALSE)</f>
        <v>#N/A</v>
      </c>
      <c r="AO780" s="310" t="e">
        <f>VLOOKUP($AM780,PATRIMONIALE!$AV832:AX$1003,3,FALSE)</f>
        <v>#N/A</v>
      </c>
      <c r="AP780" s="310" t="e">
        <f>VLOOKUP($AM780,PATRIMONIALE!$AV832:AY$1003,4,FALSE)</f>
        <v>#N/A</v>
      </c>
      <c r="AQ780" s="748" t="e">
        <f>VLOOKUP($AM780,PATRIMONIALE!$AV832:AZ$1003,5,FALSE)</f>
        <v>#N/A</v>
      </c>
      <c r="AR780" s="1"/>
      <c r="AS780" s="461" t="str">
        <f t="shared" si="140"/>
        <v/>
      </c>
      <c r="AT780" s="370"/>
    </row>
    <row r="781" spans="1:46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435">
        <f>IF(AND(W781&gt;=$U$1,W781&lt;=$U$2),IF(X781='ESTRATTO CONTO'!$E$2,1+COUNTIF(U$4:U780,"&gt;0"),0),0)</f>
        <v>0</v>
      </c>
      <c r="V781" s="417">
        <f t="shared" si="141"/>
        <v>778</v>
      </c>
      <c r="W781" s="509"/>
      <c r="X781" s="321"/>
      <c r="Y781" s="321"/>
      <c r="Z781" s="433"/>
      <c r="AA781" s="356"/>
      <c r="AB781" s="306" t="str">
        <f t="shared" si="136"/>
        <v/>
      </c>
      <c r="AC781" s="893">
        <f t="shared" si="137"/>
        <v>0</v>
      </c>
      <c r="AD781" s="322"/>
      <c r="AE781" s="1"/>
      <c r="AF781" s="223">
        <f>IF(ISBLANK(AD781),0,COUNTIF(AF$4:AF780,"&gt;0")+1)</f>
        <v>0</v>
      </c>
      <c r="AG781" s="164">
        <f t="shared" si="143"/>
        <v>0</v>
      </c>
      <c r="AH781" s="99">
        <f t="shared" si="138"/>
        <v>0</v>
      </c>
      <c r="AI781" s="99">
        <f t="shared" si="144"/>
        <v>0</v>
      </c>
      <c r="AJ781" s="170">
        <f t="shared" si="145"/>
        <v>0</v>
      </c>
      <c r="AK781" s="204">
        <f t="shared" si="139"/>
        <v>0</v>
      </c>
      <c r="AL781" s="1049">
        <f>IF(ISERROR(AO781),0,IF(AND(AN781&gt;=$U$1,AN781&lt;=$U$2),IF(AO781='ESTRATTO CONTO'!$E$2,1+COUNTIF(AL$4:AL780,"&gt;0")+U$1009,0),0))</f>
        <v>0</v>
      </c>
      <c r="AM781" s="747">
        <f t="shared" si="142"/>
        <v>778</v>
      </c>
      <c r="AN781" s="164" t="e">
        <f>VLOOKUP($AM781,PATRIMONIALE!$AV833:AW$1003,2,FALSE)</f>
        <v>#N/A</v>
      </c>
      <c r="AO781" s="310" t="e">
        <f>VLOOKUP($AM781,PATRIMONIALE!$AV833:AX$1003,3,FALSE)</f>
        <v>#N/A</v>
      </c>
      <c r="AP781" s="310" t="e">
        <f>VLOOKUP($AM781,PATRIMONIALE!$AV833:AY$1003,4,FALSE)</f>
        <v>#N/A</v>
      </c>
      <c r="AQ781" s="748" t="e">
        <f>VLOOKUP($AM781,PATRIMONIALE!$AV833:AZ$1003,5,FALSE)</f>
        <v>#N/A</v>
      </c>
      <c r="AR781" s="1"/>
      <c r="AS781" s="461" t="str">
        <f t="shared" si="140"/>
        <v/>
      </c>
      <c r="AT781" s="370"/>
    </row>
    <row r="782" spans="1:46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435">
        <f>IF(AND(W782&gt;=$U$1,W782&lt;=$U$2),IF(X782='ESTRATTO CONTO'!$E$2,1+COUNTIF(U$4:U781,"&gt;0"),0),0)</f>
        <v>0</v>
      </c>
      <c r="V782" s="417">
        <f t="shared" si="141"/>
        <v>779</v>
      </c>
      <c r="W782" s="509"/>
      <c r="X782" s="321"/>
      <c r="Y782" s="321"/>
      <c r="Z782" s="433"/>
      <c r="AA782" s="356"/>
      <c r="AB782" s="306" t="str">
        <f t="shared" si="136"/>
        <v/>
      </c>
      <c r="AC782" s="893">
        <f t="shared" si="137"/>
        <v>0</v>
      </c>
      <c r="AD782" s="322"/>
      <c r="AE782" s="1"/>
      <c r="AF782" s="223">
        <f>IF(ISBLANK(AD782),0,COUNTIF(AF$4:AF781,"&gt;0")+1)</f>
        <v>0</v>
      </c>
      <c r="AG782" s="164">
        <f t="shared" si="143"/>
        <v>0</v>
      </c>
      <c r="AH782" s="99">
        <f t="shared" si="138"/>
        <v>0</v>
      </c>
      <c r="AI782" s="99">
        <f t="shared" si="144"/>
        <v>0</v>
      </c>
      <c r="AJ782" s="170">
        <f t="shared" si="145"/>
        <v>0</v>
      </c>
      <c r="AK782" s="204">
        <f t="shared" si="139"/>
        <v>0</v>
      </c>
      <c r="AL782" s="1049">
        <f>IF(ISERROR(AO782),0,IF(AND(AN782&gt;=$U$1,AN782&lt;=$U$2),IF(AO782='ESTRATTO CONTO'!$E$2,1+COUNTIF(AL$4:AL781,"&gt;0")+U$1009,0),0))</f>
        <v>0</v>
      </c>
      <c r="AM782" s="747">
        <f t="shared" si="142"/>
        <v>779</v>
      </c>
      <c r="AN782" s="164" t="e">
        <f>VLOOKUP($AM782,PATRIMONIALE!$AV834:AW$1003,2,FALSE)</f>
        <v>#N/A</v>
      </c>
      <c r="AO782" s="310" t="e">
        <f>VLOOKUP($AM782,PATRIMONIALE!$AV834:AX$1003,3,FALSE)</f>
        <v>#N/A</v>
      </c>
      <c r="AP782" s="310" t="e">
        <f>VLOOKUP($AM782,PATRIMONIALE!$AV834:AY$1003,4,FALSE)</f>
        <v>#N/A</v>
      </c>
      <c r="AQ782" s="748" t="e">
        <f>VLOOKUP($AM782,PATRIMONIALE!$AV834:AZ$1003,5,FALSE)</f>
        <v>#N/A</v>
      </c>
      <c r="AR782" s="1"/>
      <c r="AS782" s="461" t="str">
        <f t="shared" si="140"/>
        <v/>
      </c>
      <c r="AT782" s="370"/>
    </row>
    <row r="783" spans="1:46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435">
        <f>IF(AND(W783&gt;=$U$1,W783&lt;=$U$2),IF(X783='ESTRATTO CONTO'!$E$2,1+COUNTIF(U$4:U782,"&gt;0"),0),0)</f>
        <v>0</v>
      </c>
      <c r="V783" s="417">
        <f t="shared" si="141"/>
        <v>780</v>
      </c>
      <c r="W783" s="509"/>
      <c r="X783" s="321"/>
      <c r="Y783" s="321"/>
      <c r="Z783" s="433"/>
      <c r="AA783" s="356"/>
      <c r="AB783" s="306" t="str">
        <f t="shared" si="136"/>
        <v/>
      </c>
      <c r="AC783" s="893">
        <f t="shared" si="137"/>
        <v>0</v>
      </c>
      <c r="AD783" s="322"/>
      <c r="AE783" s="1"/>
      <c r="AF783" s="223">
        <f>IF(ISBLANK(AD783),0,COUNTIF(AF$4:AF782,"&gt;0")+1)</f>
        <v>0</v>
      </c>
      <c r="AG783" s="164">
        <f t="shared" si="143"/>
        <v>0</v>
      </c>
      <c r="AH783" s="99">
        <f t="shared" si="138"/>
        <v>0</v>
      </c>
      <c r="AI783" s="99">
        <f t="shared" si="144"/>
        <v>0</v>
      </c>
      <c r="AJ783" s="170">
        <f t="shared" si="145"/>
        <v>0</v>
      </c>
      <c r="AK783" s="204">
        <f t="shared" si="139"/>
        <v>0</v>
      </c>
      <c r="AL783" s="1049">
        <f>IF(ISERROR(AO783),0,IF(AND(AN783&gt;=$U$1,AN783&lt;=$U$2),IF(AO783='ESTRATTO CONTO'!$E$2,1+COUNTIF(AL$4:AL782,"&gt;0")+U$1009,0),0))</f>
        <v>0</v>
      </c>
      <c r="AM783" s="747">
        <f t="shared" si="142"/>
        <v>780</v>
      </c>
      <c r="AN783" s="164" t="e">
        <f>VLOOKUP($AM783,PATRIMONIALE!$AV835:AW$1003,2,FALSE)</f>
        <v>#N/A</v>
      </c>
      <c r="AO783" s="310" t="e">
        <f>VLOOKUP($AM783,PATRIMONIALE!$AV835:AX$1003,3,FALSE)</f>
        <v>#N/A</v>
      </c>
      <c r="AP783" s="310" t="e">
        <f>VLOOKUP($AM783,PATRIMONIALE!$AV835:AY$1003,4,FALSE)</f>
        <v>#N/A</v>
      </c>
      <c r="AQ783" s="748" t="e">
        <f>VLOOKUP($AM783,PATRIMONIALE!$AV835:AZ$1003,5,FALSE)</f>
        <v>#N/A</v>
      </c>
      <c r="AR783" s="1"/>
      <c r="AS783" s="461" t="str">
        <f t="shared" si="140"/>
        <v/>
      </c>
      <c r="AT783" s="370"/>
    </row>
    <row r="784" spans="1:46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435">
        <f>IF(AND(W784&gt;=$U$1,W784&lt;=$U$2),IF(X784='ESTRATTO CONTO'!$E$2,1+COUNTIF(U$4:U783,"&gt;0"),0),0)</f>
        <v>0</v>
      </c>
      <c r="V784" s="417">
        <f t="shared" si="141"/>
        <v>781</v>
      </c>
      <c r="W784" s="509"/>
      <c r="X784" s="321"/>
      <c r="Y784" s="321"/>
      <c r="Z784" s="433"/>
      <c r="AA784" s="356"/>
      <c r="AB784" s="306" t="str">
        <f t="shared" si="136"/>
        <v/>
      </c>
      <c r="AC784" s="893">
        <f t="shared" si="137"/>
        <v>0</v>
      </c>
      <c r="AD784" s="322"/>
      <c r="AE784" s="1"/>
      <c r="AF784" s="223">
        <f>IF(ISBLANK(AD784),0,COUNTIF(AF$4:AF783,"&gt;0")+1)</f>
        <v>0</v>
      </c>
      <c r="AG784" s="164">
        <f t="shared" si="143"/>
        <v>0</v>
      </c>
      <c r="AH784" s="99">
        <f t="shared" si="138"/>
        <v>0</v>
      </c>
      <c r="AI784" s="99">
        <f t="shared" si="144"/>
        <v>0</v>
      </c>
      <c r="AJ784" s="170">
        <f t="shared" si="145"/>
        <v>0</v>
      </c>
      <c r="AK784" s="204">
        <f t="shared" si="139"/>
        <v>0</v>
      </c>
      <c r="AL784" s="1049">
        <f>IF(ISERROR(AO784),0,IF(AND(AN784&gt;=$U$1,AN784&lt;=$U$2),IF(AO784='ESTRATTO CONTO'!$E$2,1+COUNTIF(AL$4:AL783,"&gt;0")+U$1009,0),0))</f>
        <v>0</v>
      </c>
      <c r="AM784" s="747">
        <f t="shared" si="142"/>
        <v>781</v>
      </c>
      <c r="AN784" s="164" t="e">
        <f>VLOOKUP($AM784,PATRIMONIALE!$AV836:AW$1003,2,FALSE)</f>
        <v>#N/A</v>
      </c>
      <c r="AO784" s="310" t="e">
        <f>VLOOKUP($AM784,PATRIMONIALE!$AV836:AX$1003,3,FALSE)</f>
        <v>#N/A</v>
      </c>
      <c r="AP784" s="310" t="e">
        <f>VLOOKUP($AM784,PATRIMONIALE!$AV836:AY$1003,4,FALSE)</f>
        <v>#N/A</v>
      </c>
      <c r="AQ784" s="748" t="e">
        <f>VLOOKUP($AM784,PATRIMONIALE!$AV836:AZ$1003,5,FALSE)</f>
        <v>#N/A</v>
      </c>
      <c r="AR784" s="1"/>
      <c r="AS784" s="461" t="str">
        <f t="shared" si="140"/>
        <v/>
      </c>
      <c r="AT784" s="370"/>
    </row>
    <row r="785" spans="1:46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435">
        <f>IF(AND(W785&gt;=$U$1,W785&lt;=$U$2),IF(X785='ESTRATTO CONTO'!$E$2,1+COUNTIF(U$4:U784,"&gt;0"),0),0)</f>
        <v>0</v>
      </c>
      <c r="V785" s="417">
        <f t="shared" si="141"/>
        <v>782</v>
      </c>
      <c r="W785" s="509"/>
      <c r="X785" s="321"/>
      <c r="Y785" s="321"/>
      <c r="Z785" s="433"/>
      <c r="AA785" s="356"/>
      <c r="AB785" s="306" t="str">
        <f t="shared" si="136"/>
        <v/>
      </c>
      <c r="AC785" s="893">
        <f t="shared" si="137"/>
        <v>0</v>
      </c>
      <c r="AD785" s="322"/>
      <c r="AE785" s="1"/>
      <c r="AF785" s="223">
        <f>IF(ISBLANK(AD785),0,COUNTIF(AF$4:AF784,"&gt;0")+1)</f>
        <v>0</v>
      </c>
      <c r="AG785" s="164">
        <f t="shared" si="143"/>
        <v>0</v>
      </c>
      <c r="AH785" s="99">
        <f t="shared" si="138"/>
        <v>0</v>
      </c>
      <c r="AI785" s="99">
        <f t="shared" si="144"/>
        <v>0</v>
      </c>
      <c r="AJ785" s="170">
        <f t="shared" si="145"/>
        <v>0</v>
      </c>
      <c r="AK785" s="204">
        <f t="shared" si="139"/>
        <v>0</v>
      </c>
      <c r="AL785" s="1049">
        <f>IF(ISERROR(AO785),0,IF(AND(AN785&gt;=$U$1,AN785&lt;=$U$2),IF(AO785='ESTRATTO CONTO'!$E$2,1+COUNTIF(AL$4:AL784,"&gt;0")+U$1009,0),0))</f>
        <v>0</v>
      </c>
      <c r="AM785" s="747">
        <f t="shared" si="142"/>
        <v>782</v>
      </c>
      <c r="AN785" s="164" t="e">
        <f>VLOOKUP($AM785,PATRIMONIALE!$AV837:AW$1003,2,FALSE)</f>
        <v>#N/A</v>
      </c>
      <c r="AO785" s="310" t="e">
        <f>VLOOKUP($AM785,PATRIMONIALE!$AV837:AX$1003,3,FALSE)</f>
        <v>#N/A</v>
      </c>
      <c r="AP785" s="310" t="e">
        <f>VLOOKUP($AM785,PATRIMONIALE!$AV837:AY$1003,4,FALSE)</f>
        <v>#N/A</v>
      </c>
      <c r="AQ785" s="748" t="e">
        <f>VLOOKUP($AM785,PATRIMONIALE!$AV837:AZ$1003,5,FALSE)</f>
        <v>#N/A</v>
      </c>
      <c r="AR785" s="1"/>
      <c r="AS785" s="461" t="str">
        <f t="shared" si="140"/>
        <v/>
      </c>
      <c r="AT785" s="370"/>
    </row>
    <row r="786" spans="1:46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435">
        <f>IF(AND(W786&gt;=$U$1,W786&lt;=$U$2),IF(X786='ESTRATTO CONTO'!$E$2,1+COUNTIF(U$4:U785,"&gt;0"),0),0)</f>
        <v>0</v>
      </c>
      <c r="V786" s="417">
        <f t="shared" si="141"/>
        <v>783</v>
      </c>
      <c r="W786" s="509"/>
      <c r="X786" s="321"/>
      <c r="Y786" s="321"/>
      <c r="Z786" s="433"/>
      <c r="AA786" s="356"/>
      <c r="AB786" s="306" t="str">
        <f t="shared" si="136"/>
        <v/>
      </c>
      <c r="AC786" s="893">
        <f t="shared" si="137"/>
        <v>0</v>
      </c>
      <c r="AD786" s="322"/>
      <c r="AE786" s="1"/>
      <c r="AF786" s="223">
        <f>IF(ISBLANK(AD786),0,COUNTIF(AF$4:AF785,"&gt;0")+1)</f>
        <v>0</v>
      </c>
      <c r="AG786" s="164">
        <f t="shared" si="143"/>
        <v>0</v>
      </c>
      <c r="AH786" s="99">
        <f t="shared" si="138"/>
        <v>0</v>
      </c>
      <c r="AI786" s="99">
        <f t="shared" si="144"/>
        <v>0</v>
      </c>
      <c r="AJ786" s="170">
        <f t="shared" si="145"/>
        <v>0</v>
      </c>
      <c r="AK786" s="204">
        <f t="shared" si="139"/>
        <v>0</v>
      </c>
      <c r="AL786" s="1049">
        <f>IF(ISERROR(AO786),0,IF(AND(AN786&gt;=$U$1,AN786&lt;=$U$2),IF(AO786='ESTRATTO CONTO'!$E$2,1+COUNTIF(AL$4:AL785,"&gt;0")+U$1009,0),0))</f>
        <v>0</v>
      </c>
      <c r="AM786" s="747">
        <f t="shared" si="142"/>
        <v>783</v>
      </c>
      <c r="AN786" s="164" t="e">
        <f>VLOOKUP($AM786,PATRIMONIALE!$AV838:AW$1003,2,FALSE)</f>
        <v>#N/A</v>
      </c>
      <c r="AO786" s="310" t="e">
        <f>VLOOKUP($AM786,PATRIMONIALE!$AV838:AX$1003,3,FALSE)</f>
        <v>#N/A</v>
      </c>
      <c r="AP786" s="310" t="e">
        <f>VLOOKUP($AM786,PATRIMONIALE!$AV838:AY$1003,4,FALSE)</f>
        <v>#N/A</v>
      </c>
      <c r="AQ786" s="748" t="e">
        <f>VLOOKUP($AM786,PATRIMONIALE!$AV838:AZ$1003,5,FALSE)</f>
        <v>#N/A</v>
      </c>
      <c r="AR786" s="1"/>
      <c r="AS786" s="461" t="str">
        <f t="shared" si="140"/>
        <v/>
      </c>
      <c r="AT786" s="370"/>
    </row>
    <row r="787" spans="1:46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435">
        <f>IF(AND(W787&gt;=$U$1,W787&lt;=$U$2),IF(X787='ESTRATTO CONTO'!$E$2,1+COUNTIF(U$4:U786,"&gt;0"),0),0)</f>
        <v>0</v>
      </c>
      <c r="V787" s="417">
        <f t="shared" si="141"/>
        <v>784</v>
      </c>
      <c r="W787" s="509"/>
      <c r="X787" s="321"/>
      <c r="Y787" s="321"/>
      <c r="Z787" s="433"/>
      <c r="AA787" s="356"/>
      <c r="AB787" s="306" t="str">
        <f t="shared" si="136"/>
        <v/>
      </c>
      <c r="AC787" s="893">
        <f t="shared" si="137"/>
        <v>0</v>
      </c>
      <c r="AD787" s="322"/>
      <c r="AE787" s="1"/>
      <c r="AF787" s="223">
        <f>IF(ISBLANK(AD787),0,COUNTIF(AF$4:AF786,"&gt;0")+1)</f>
        <v>0</v>
      </c>
      <c r="AG787" s="164">
        <f t="shared" si="143"/>
        <v>0</v>
      </c>
      <c r="AH787" s="99">
        <f t="shared" si="138"/>
        <v>0</v>
      </c>
      <c r="AI787" s="99">
        <f t="shared" si="144"/>
        <v>0</v>
      </c>
      <c r="AJ787" s="170">
        <f t="shared" si="145"/>
        <v>0</v>
      </c>
      <c r="AK787" s="204">
        <f t="shared" si="139"/>
        <v>0</v>
      </c>
      <c r="AL787" s="1049">
        <f>IF(ISERROR(AO787),0,IF(AND(AN787&gt;=$U$1,AN787&lt;=$U$2),IF(AO787='ESTRATTO CONTO'!$E$2,1+COUNTIF(AL$4:AL786,"&gt;0")+U$1009,0),0))</f>
        <v>0</v>
      </c>
      <c r="AM787" s="747">
        <f t="shared" si="142"/>
        <v>784</v>
      </c>
      <c r="AN787" s="164" t="e">
        <f>VLOOKUP($AM787,PATRIMONIALE!$AV839:AW$1003,2,FALSE)</f>
        <v>#N/A</v>
      </c>
      <c r="AO787" s="310" t="e">
        <f>VLOOKUP($AM787,PATRIMONIALE!$AV839:AX$1003,3,FALSE)</f>
        <v>#N/A</v>
      </c>
      <c r="AP787" s="310" t="e">
        <f>VLOOKUP($AM787,PATRIMONIALE!$AV839:AY$1003,4,FALSE)</f>
        <v>#N/A</v>
      </c>
      <c r="AQ787" s="748" t="e">
        <f>VLOOKUP($AM787,PATRIMONIALE!$AV839:AZ$1003,5,FALSE)</f>
        <v>#N/A</v>
      </c>
      <c r="AR787" s="1"/>
      <c r="AS787" s="461" t="str">
        <f t="shared" si="140"/>
        <v/>
      </c>
      <c r="AT787" s="370"/>
    </row>
    <row r="788" spans="1:46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435">
        <f>IF(AND(W788&gt;=$U$1,W788&lt;=$U$2),IF(X788='ESTRATTO CONTO'!$E$2,1+COUNTIF(U$4:U787,"&gt;0"),0),0)</f>
        <v>0</v>
      </c>
      <c r="V788" s="417">
        <f t="shared" si="141"/>
        <v>785</v>
      </c>
      <c r="W788" s="509"/>
      <c r="X788" s="321"/>
      <c r="Y788" s="321"/>
      <c r="Z788" s="433"/>
      <c r="AA788" s="356"/>
      <c r="AB788" s="306" t="str">
        <f t="shared" si="136"/>
        <v/>
      </c>
      <c r="AC788" s="893">
        <f t="shared" si="137"/>
        <v>0</v>
      </c>
      <c r="AD788" s="322"/>
      <c r="AE788" s="1"/>
      <c r="AF788" s="223">
        <f>IF(ISBLANK(AD788),0,COUNTIF(AF$4:AF787,"&gt;0")+1)</f>
        <v>0</v>
      </c>
      <c r="AG788" s="164">
        <f t="shared" si="143"/>
        <v>0</v>
      </c>
      <c r="AH788" s="99">
        <f t="shared" si="138"/>
        <v>0</v>
      </c>
      <c r="AI788" s="99">
        <f t="shared" si="144"/>
        <v>0</v>
      </c>
      <c r="AJ788" s="170">
        <f t="shared" si="145"/>
        <v>0</v>
      </c>
      <c r="AK788" s="204">
        <f t="shared" si="139"/>
        <v>0</v>
      </c>
      <c r="AL788" s="1049">
        <f>IF(ISERROR(AO788),0,IF(AND(AN788&gt;=$U$1,AN788&lt;=$U$2),IF(AO788='ESTRATTO CONTO'!$E$2,1+COUNTIF(AL$4:AL787,"&gt;0")+U$1009,0),0))</f>
        <v>0</v>
      </c>
      <c r="AM788" s="747">
        <f t="shared" si="142"/>
        <v>785</v>
      </c>
      <c r="AN788" s="164" t="e">
        <f>VLOOKUP($AM788,PATRIMONIALE!$AV840:AW$1003,2,FALSE)</f>
        <v>#N/A</v>
      </c>
      <c r="AO788" s="310" t="e">
        <f>VLOOKUP($AM788,PATRIMONIALE!$AV840:AX$1003,3,FALSE)</f>
        <v>#N/A</v>
      </c>
      <c r="AP788" s="310" t="e">
        <f>VLOOKUP($AM788,PATRIMONIALE!$AV840:AY$1003,4,FALSE)</f>
        <v>#N/A</v>
      </c>
      <c r="AQ788" s="748" t="e">
        <f>VLOOKUP($AM788,PATRIMONIALE!$AV840:AZ$1003,5,FALSE)</f>
        <v>#N/A</v>
      </c>
      <c r="AR788" s="1"/>
      <c r="AS788" s="461" t="str">
        <f t="shared" si="140"/>
        <v/>
      </c>
      <c r="AT788" s="370"/>
    </row>
    <row r="789" spans="1:46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435">
        <f>IF(AND(W789&gt;=$U$1,W789&lt;=$U$2),IF(X789='ESTRATTO CONTO'!$E$2,1+COUNTIF(U$4:U788,"&gt;0"),0),0)</f>
        <v>0</v>
      </c>
      <c r="V789" s="417">
        <f t="shared" si="141"/>
        <v>786</v>
      </c>
      <c r="W789" s="509"/>
      <c r="X789" s="321"/>
      <c r="Y789" s="321"/>
      <c r="Z789" s="433"/>
      <c r="AA789" s="356"/>
      <c r="AB789" s="306" t="str">
        <f t="shared" si="136"/>
        <v/>
      </c>
      <c r="AC789" s="893">
        <f t="shared" si="137"/>
        <v>0</v>
      </c>
      <c r="AD789" s="322"/>
      <c r="AE789" s="1"/>
      <c r="AF789" s="223">
        <f>IF(ISBLANK(AD789),0,COUNTIF(AF$4:AF788,"&gt;0")+1)</f>
        <v>0</v>
      </c>
      <c r="AG789" s="164">
        <f t="shared" si="143"/>
        <v>0</v>
      </c>
      <c r="AH789" s="99">
        <f t="shared" si="138"/>
        <v>0</v>
      </c>
      <c r="AI789" s="99">
        <f t="shared" si="144"/>
        <v>0</v>
      </c>
      <c r="AJ789" s="170">
        <f t="shared" si="145"/>
        <v>0</v>
      </c>
      <c r="AK789" s="204">
        <f t="shared" si="139"/>
        <v>0</v>
      </c>
      <c r="AL789" s="1049">
        <f>IF(ISERROR(AO789),0,IF(AND(AN789&gt;=$U$1,AN789&lt;=$U$2),IF(AO789='ESTRATTO CONTO'!$E$2,1+COUNTIF(AL$4:AL788,"&gt;0")+U$1009,0),0))</f>
        <v>0</v>
      </c>
      <c r="AM789" s="747">
        <f t="shared" si="142"/>
        <v>786</v>
      </c>
      <c r="AN789" s="164" t="e">
        <f>VLOOKUP($AM789,PATRIMONIALE!$AV841:AW$1003,2,FALSE)</f>
        <v>#N/A</v>
      </c>
      <c r="AO789" s="310" t="e">
        <f>VLOOKUP($AM789,PATRIMONIALE!$AV841:AX$1003,3,FALSE)</f>
        <v>#N/A</v>
      </c>
      <c r="AP789" s="310" t="e">
        <f>VLOOKUP($AM789,PATRIMONIALE!$AV841:AY$1003,4,FALSE)</f>
        <v>#N/A</v>
      </c>
      <c r="AQ789" s="748" t="e">
        <f>VLOOKUP($AM789,PATRIMONIALE!$AV841:AZ$1003,5,FALSE)</f>
        <v>#N/A</v>
      </c>
      <c r="AR789" s="1"/>
      <c r="AS789" s="461" t="str">
        <f t="shared" si="140"/>
        <v/>
      </c>
      <c r="AT789" s="370"/>
    </row>
    <row r="790" spans="1:46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435">
        <f>IF(AND(W790&gt;=$U$1,W790&lt;=$U$2),IF(X790='ESTRATTO CONTO'!$E$2,1+COUNTIF(U$4:U789,"&gt;0"),0),0)</f>
        <v>0</v>
      </c>
      <c r="V790" s="417">
        <f t="shared" si="141"/>
        <v>787</v>
      </c>
      <c r="W790" s="509"/>
      <c r="X790" s="321"/>
      <c r="Y790" s="321"/>
      <c r="Z790" s="433"/>
      <c r="AA790" s="356"/>
      <c r="AB790" s="306" t="str">
        <f t="shared" si="136"/>
        <v/>
      </c>
      <c r="AC790" s="893">
        <f t="shared" si="137"/>
        <v>0</v>
      </c>
      <c r="AD790" s="322"/>
      <c r="AE790" s="1"/>
      <c r="AF790" s="223">
        <f>IF(ISBLANK(AD790),0,COUNTIF(AF$4:AF789,"&gt;0")+1)</f>
        <v>0</v>
      </c>
      <c r="AG790" s="164">
        <f t="shared" si="143"/>
        <v>0</v>
      </c>
      <c r="AH790" s="99">
        <f t="shared" si="138"/>
        <v>0</v>
      </c>
      <c r="AI790" s="99">
        <f t="shared" si="144"/>
        <v>0</v>
      </c>
      <c r="AJ790" s="170">
        <f t="shared" si="145"/>
        <v>0</v>
      </c>
      <c r="AK790" s="204">
        <f t="shared" si="139"/>
        <v>0</v>
      </c>
      <c r="AL790" s="1049">
        <f>IF(ISERROR(AO790),0,IF(AND(AN790&gt;=$U$1,AN790&lt;=$U$2),IF(AO790='ESTRATTO CONTO'!$E$2,1+COUNTIF(AL$4:AL789,"&gt;0")+U$1009,0),0))</f>
        <v>0</v>
      </c>
      <c r="AM790" s="747">
        <f t="shared" si="142"/>
        <v>787</v>
      </c>
      <c r="AN790" s="164" t="e">
        <f>VLOOKUP($AM790,PATRIMONIALE!$AV842:AW$1003,2,FALSE)</f>
        <v>#N/A</v>
      </c>
      <c r="AO790" s="310" t="e">
        <f>VLOOKUP($AM790,PATRIMONIALE!$AV842:AX$1003,3,FALSE)</f>
        <v>#N/A</v>
      </c>
      <c r="AP790" s="310" t="e">
        <f>VLOOKUP($AM790,PATRIMONIALE!$AV842:AY$1003,4,FALSE)</f>
        <v>#N/A</v>
      </c>
      <c r="AQ790" s="748" t="e">
        <f>VLOOKUP($AM790,PATRIMONIALE!$AV842:AZ$1003,5,FALSE)</f>
        <v>#N/A</v>
      </c>
      <c r="AR790" s="1"/>
      <c r="AS790" s="461" t="str">
        <f t="shared" si="140"/>
        <v/>
      </c>
      <c r="AT790" s="370"/>
    </row>
    <row r="791" spans="1:46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435">
        <f>IF(AND(W791&gt;=$U$1,W791&lt;=$U$2),IF(X791='ESTRATTO CONTO'!$E$2,1+COUNTIF(U$4:U790,"&gt;0"),0),0)</f>
        <v>0</v>
      </c>
      <c r="V791" s="417">
        <f t="shared" si="141"/>
        <v>788</v>
      </c>
      <c r="W791" s="509"/>
      <c r="X791" s="321"/>
      <c r="Y791" s="321"/>
      <c r="Z791" s="433"/>
      <c r="AA791" s="356"/>
      <c r="AB791" s="306" t="str">
        <f t="shared" si="136"/>
        <v/>
      </c>
      <c r="AC791" s="893">
        <f t="shared" si="137"/>
        <v>0</v>
      </c>
      <c r="AD791" s="322"/>
      <c r="AE791" s="1"/>
      <c r="AF791" s="223">
        <f>IF(ISBLANK(AD791),0,COUNTIF(AF$4:AF790,"&gt;0")+1)</f>
        <v>0</v>
      </c>
      <c r="AG791" s="164">
        <f t="shared" si="143"/>
        <v>0</v>
      </c>
      <c r="AH791" s="99">
        <f t="shared" si="138"/>
        <v>0</v>
      </c>
      <c r="AI791" s="99">
        <f t="shared" si="144"/>
        <v>0</v>
      </c>
      <c r="AJ791" s="170">
        <f t="shared" si="145"/>
        <v>0</v>
      </c>
      <c r="AK791" s="204">
        <f t="shared" si="139"/>
        <v>0</v>
      </c>
      <c r="AL791" s="1049">
        <f>IF(ISERROR(AO791),0,IF(AND(AN791&gt;=$U$1,AN791&lt;=$U$2),IF(AO791='ESTRATTO CONTO'!$E$2,1+COUNTIF(AL$4:AL790,"&gt;0")+U$1009,0),0))</f>
        <v>0</v>
      </c>
      <c r="AM791" s="747">
        <f t="shared" si="142"/>
        <v>788</v>
      </c>
      <c r="AN791" s="164" t="e">
        <f>VLOOKUP($AM791,PATRIMONIALE!$AV843:AW$1003,2,FALSE)</f>
        <v>#N/A</v>
      </c>
      <c r="AO791" s="310" t="e">
        <f>VLOOKUP($AM791,PATRIMONIALE!$AV843:AX$1003,3,FALSE)</f>
        <v>#N/A</v>
      </c>
      <c r="AP791" s="310" t="e">
        <f>VLOOKUP($AM791,PATRIMONIALE!$AV843:AY$1003,4,FALSE)</f>
        <v>#N/A</v>
      </c>
      <c r="AQ791" s="748" t="e">
        <f>VLOOKUP($AM791,PATRIMONIALE!$AV843:AZ$1003,5,FALSE)</f>
        <v>#N/A</v>
      </c>
      <c r="AR791" s="1"/>
      <c r="AS791" s="461" t="str">
        <f t="shared" si="140"/>
        <v/>
      </c>
      <c r="AT791" s="370"/>
    </row>
    <row r="792" spans="1:46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435">
        <f>IF(AND(W792&gt;=$U$1,W792&lt;=$U$2),IF(X792='ESTRATTO CONTO'!$E$2,1+COUNTIF(U$4:U791,"&gt;0"),0),0)</f>
        <v>0</v>
      </c>
      <c r="V792" s="417">
        <f t="shared" si="141"/>
        <v>789</v>
      </c>
      <c r="W792" s="509"/>
      <c r="X792" s="321"/>
      <c r="Y792" s="321"/>
      <c r="Z792" s="433"/>
      <c r="AA792" s="356"/>
      <c r="AB792" s="306" t="str">
        <f t="shared" si="136"/>
        <v/>
      </c>
      <c r="AC792" s="893">
        <f t="shared" si="137"/>
        <v>0</v>
      </c>
      <c r="AD792" s="322"/>
      <c r="AE792" s="1"/>
      <c r="AF792" s="223">
        <f>IF(ISBLANK(AD792),0,COUNTIF(AF$4:AF791,"&gt;0")+1)</f>
        <v>0</v>
      </c>
      <c r="AG792" s="164">
        <f t="shared" si="143"/>
        <v>0</v>
      </c>
      <c r="AH792" s="99">
        <f t="shared" si="138"/>
        <v>0</v>
      </c>
      <c r="AI792" s="99">
        <f t="shared" si="144"/>
        <v>0</v>
      </c>
      <c r="AJ792" s="170">
        <f t="shared" si="145"/>
        <v>0</v>
      </c>
      <c r="AK792" s="204">
        <f t="shared" si="139"/>
        <v>0</v>
      </c>
      <c r="AL792" s="1049">
        <f>IF(ISERROR(AO792),0,IF(AND(AN792&gt;=$U$1,AN792&lt;=$U$2),IF(AO792='ESTRATTO CONTO'!$E$2,1+COUNTIF(AL$4:AL791,"&gt;0")+U$1009,0),0))</f>
        <v>0</v>
      </c>
      <c r="AM792" s="747">
        <f t="shared" si="142"/>
        <v>789</v>
      </c>
      <c r="AN792" s="164" t="e">
        <f>VLOOKUP($AM792,PATRIMONIALE!$AV844:AW$1003,2,FALSE)</f>
        <v>#N/A</v>
      </c>
      <c r="AO792" s="310" t="e">
        <f>VLOOKUP($AM792,PATRIMONIALE!$AV844:AX$1003,3,FALSE)</f>
        <v>#N/A</v>
      </c>
      <c r="AP792" s="310" t="e">
        <f>VLOOKUP($AM792,PATRIMONIALE!$AV844:AY$1003,4,FALSE)</f>
        <v>#N/A</v>
      </c>
      <c r="AQ792" s="748" t="e">
        <f>VLOOKUP($AM792,PATRIMONIALE!$AV844:AZ$1003,5,FALSE)</f>
        <v>#N/A</v>
      </c>
      <c r="AR792" s="1"/>
      <c r="AS792" s="461" t="str">
        <f t="shared" si="140"/>
        <v/>
      </c>
      <c r="AT792" s="370"/>
    </row>
    <row r="793" spans="1:46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435">
        <f>IF(AND(W793&gt;=$U$1,W793&lt;=$U$2),IF(X793='ESTRATTO CONTO'!$E$2,1+COUNTIF(U$4:U792,"&gt;0"),0),0)</f>
        <v>0</v>
      </c>
      <c r="V793" s="417">
        <f t="shared" si="141"/>
        <v>790</v>
      </c>
      <c r="W793" s="509"/>
      <c r="X793" s="321"/>
      <c r="Y793" s="321"/>
      <c r="Z793" s="433"/>
      <c r="AA793" s="356"/>
      <c r="AB793" s="306" t="str">
        <f t="shared" si="136"/>
        <v/>
      </c>
      <c r="AC793" s="893">
        <f t="shared" si="137"/>
        <v>0</v>
      </c>
      <c r="AD793" s="322"/>
      <c r="AE793" s="1"/>
      <c r="AF793" s="223">
        <f>IF(ISBLANK(AD793),0,COUNTIF(AF$4:AF792,"&gt;0")+1)</f>
        <v>0</v>
      </c>
      <c r="AG793" s="164">
        <f t="shared" si="143"/>
        <v>0</v>
      </c>
      <c r="AH793" s="99">
        <f t="shared" si="138"/>
        <v>0</v>
      </c>
      <c r="AI793" s="99">
        <f t="shared" si="144"/>
        <v>0</v>
      </c>
      <c r="AJ793" s="170">
        <f t="shared" si="145"/>
        <v>0</v>
      </c>
      <c r="AK793" s="204">
        <f t="shared" si="139"/>
        <v>0</v>
      </c>
      <c r="AL793" s="1049">
        <f>IF(ISERROR(AO793),0,IF(AND(AN793&gt;=$U$1,AN793&lt;=$U$2),IF(AO793='ESTRATTO CONTO'!$E$2,1+COUNTIF(AL$4:AL792,"&gt;0")+U$1009,0),0))</f>
        <v>0</v>
      </c>
      <c r="AM793" s="747">
        <f t="shared" si="142"/>
        <v>790</v>
      </c>
      <c r="AN793" s="164" t="e">
        <f>VLOOKUP($AM793,PATRIMONIALE!$AV845:AW$1003,2,FALSE)</f>
        <v>#N/A</v>
      </c>
      <c r="AO793" s="310" t="e">
        <f>VLOOKUP($AM793,PATRIMONIALE!$AV845:AX$1003,3,FALSE)</f>
        <v>#N/A</v>
      </c>
      <c r="AP793" s="310" t="e">
        <f>VLOOKUP($AM793,PATRIMONIALE!$AV845:AY$1003,4,FALSE)</f>
        <v>#N/A</v>
      </c>
      <c r="AQ793" s="748" t="e">
        <f>VLOOKUP($AM793,PATRIMONIALE!$AV845:AZ$1003,5,FALSE)</f>
        <v>#N/A</v>
      </c>
      <c r="AR793" s="1"/>
      <c r="AS793" s="461" t="str">
        <f t="shared" si="140"/>
        <v/>
      </c>
      <c r="AT793" s="370"/>
    </row>
    <row r="794" spans="1:46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435">
        <f>IF(AND(W794&gt;=$U$1,W794&lt;=$U$2),IF(X794='ESTRATTO CONTO'!$E$2,1+COUNTIF(U$4:U793,"&gt;0"),0),0)</f>
        <v>0</v>
      </c>
      <c r="V794" s="417">
        <f t="shared" si="141"/>
        <v>791</v>
      </c>
      <c r="W794" s="509"/>
      <c r="X794" s="321"/>
      <c r="Y794" s="321"/>
      <c r="Z794" s="433"/>
      <c r="AA794" s="356"/>
      <c r="AB794" s="306" t="str">
        <f t="shared" si="136"/>
        <v/>
      </c>
      <c r="AC794" s="893">
        <f t="shared" si="137"/>
        <v>0</v>
      </c>
      <c r="AD794" s="322"/>
      <c r="AE794" s="1"/>
      <c r="AF794" s="223">
        <f>IF(ISBLANK(AD794),0,COUNTIF(AF$4:AF793,"&gt;0")+1)</f>
        <v>0</v>
      </c>
      <c r="AG794" s="164">
        <f t="shared" si="143"/>
        <v>0</v>
      </c>
      <c r="AH794" s="99">
        <f t="shared" si="138"/>
        <v>0</v>
      </c>
      <c r="AI794" s="99">
        <f t="shared" si="144"/>
        <v>0</v>
      </c>
      <c r="AJ794" s="170">
        <f t="shared" si="145"/>
        <v>0</v>
      </c>
      <c r="AK794" s="204">
        <f t="shared" si="139"/>
        <v>0</v>
      </c>
      <c r="AL794" s="1049">
        <f>IF(ISERROR(AO794),0,IF(AND(AN794&gt;=$U$1,AN794&lt;=$U$2),IF(AO794='ESTRATTO CONTO'!$E$2,1+COUNTIF(AL$4:AL793,"&gt;0")+U$1009,0),0))</f>
        <v>0</v>
      </c>
      <c r="AM794" s="747">
        <f t="shared" si="142"/>
        <v>791</v>
      </c>
      <c r="AN794" s="164" t="e">
        <f>VLOOKUP($AM794,PATRIMONIALE!$AV846:AW$1003,2,FALSE)</f>
        <v>#N/A</v>
      </c>
      <c r="AO794" s="310" t="e">
        <f>VLOOKUP($AM794,PATRIMONIALE!$AV846:AX$1003,3,FALSE)</f>
        <v>#N/A</v>
      </c>
      <c r="AP794" s="310" t="e">
        <f>VLOOKUP($AM794,PATRIMONIALE!$AV846:AY$1003,4,FALSE)</f>
        <v>#N/A</v>
      </c>
      <c r="AQ794" s="748" t="e">
        <f>VLOOKUP($AM794,PATRIMONIALE!$AV846:AZ$1003,5,FALSE)</f>
        <v>#N/A</v>
      </c>
      <c r="AR794" s="1"/>
      <c r="AS794" s="461" t="str">
        <f t="shared" si="140"/>
        <v/>
      </c>
      <c r="AT794" s="370"/>
    </row>
    <row r="795" spans="1:46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435">
        <f>IF(AND(W795&gt;=$U$1,W795&lt;=$U$2),IF(X795='ESTRATTO CONTO'!$E$2,1+COUNTIF(U$4:U794,"&gt;0"),0),0)</f>
        <v>0</v>
      </c>
      <c r="V795" s="417">
        <f t="shared" si="141"/>
        <v>792</v>
      </c>
      <c r="W795" s="509"/>
      <c r="X795" s="321"/>
      <c r="Y795" s="321"/>
      <c r="Z795" s="433"/>
      <c r="AA795" s="356"/>
      <c r="AB795" s="306" t="str">
        <f t="shared" si="136"/>
        <v/>
      </c>
      <c r="AC795" s="893">
        <f t="shared" si="137"/>
        <v>0</v>
      </c>
      <c r="AD795" s="322"/>
      <c r="AE795" s="1"/>
      <c r="AF795" s="223">
        <f>IF(ISBLANK(AD795),0,COUNTIF(AF$4:AF794,"&gt;0")+1)</f>
        <v>0</v>
      </c>
      <c r="AG795" s="164">
        <f t="shared" si="143"/>
        <v>0</v>
      </c>
      <c r="AH795" s="99">
        <f t="shared" si="138"/>
        <v>0</v>
      </c>
      <c r="AI795" s="99">
        <f t="shared" si="144"/>
        <v>0</v>
      </c>
      <c r="AJ795" s="170">
        <f t="shared" si="145"/>
        <v>0</v>
      </c>
      <c r="AK795" s="204">
        <f t="shared" si="139"/>
        <v>0</v>
      </c>
      <c r="AL795" s="1049">
        <f>IF(ISERROR(AO795),0,IF(AND(AN795&gt;=$U$1,AN795&lt;=$U$2),IF(AO795='ESTRATTO CONTO'!$E$2,1+COUNTIF(AL$4:AL794,"&gt;0")+U$1009,0),0))</f>
        <v>0</v>
      </c>
      <c r="AM795" s="747">
        <f t="shared" si="142"/>
        <v>792</v>
      </c>
      <c r="AN795" s="164" t="e">
        <f>VLOOKUP($AM795,PATRIMONIALE!$AV847:AW$1003,2,FALSE)</f>
        <v>#N/A</v>
      </c>
      <c r="AO795" s="310" t="e">
        <f>VLOOKUP($AM795,PATRIMONIALE!$AV847:AX$1003,3,FALSE)</f>
        <v>#N/A</v>
      </c>
      <c r="AP795" s="310" t="e">
        <f>VLOOKUP($AM795,PATRIMONIALE!$AV847:AY$1003,4,FALSE)</f>
        <v>#N/A</v>
      </c>
      <c r="AQ795" s="748" t="e">
        <f>VLOOKUP($AM795,PATRIMONIALE!$AV847:AZ$1003,5,FALSE)</f>
        <v>#N/A</v>
      </c>
      <c r="AR795" s="1"/>
      <c r="AS795" s="461" t="str">
        <f t="shared" si="140"/>
        <v/>
      </c>
      <c r="AT795" s="370"/>
    </row>
    <row r="796" spans="1:46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435">
        <f>IF(AND(W796&gt;=$U$1,W796&lt;=$U$2),IF(X796='ESTRATTO CONTO'!$E$2,1+COUNTIF(U$4:U795,"&gt;0"),0),0)</f>
        <v>0</v>
      </c>
      <c r="V796" s="417">
        <f t="shared" si="141"/>
        <v>793</v>
      </c>
      <c r="W796" s="509"/>
      <c r="X796" s="321"/>
      <c r="Y796" s="321"/>
      <c r="Z796" s="433"/>
      <c r="AA796" s="356"/>
      <c r="AB796" s="306" t="str">
        <f t="shared" si="136"/>
        <v/>
      </c>
      <c r="AC796" s="893">
        <f t="shared" si="137"/>
        <v>0</v>
      </c>
      <c r="AD796" s="322"/>
      <c r="AE796" s="1"/>
      <c r="AF796" s="223">
        <f>IF(ISBLANK(AD796),0,COUNTIF(AF$4:AF795,"&gt;0")+1)</f>
        <v>0</v>
      </c>
      <c r="AG796" s="164">
        <f t="shared" si="143"/>
        <v>0</v>
      </c>
      <c r="AH796" s="99">
        <f t="shared" si="138"/>
        <v>0</v>
      </c>
      <c r="AI796" s="99">
        <f t="shared" si="144"/>
        <v>0</v>
      </c>
      <c r="AJ796" s="170">
        <f t="shared" si="145"/>
        <v>0</v>
      </c>
      <c r="AK796" s="204">
        <f t="shared" si="139"/>
        <v>0</v>
      </c>
      <c r="AL796" s="1049">
        <f>IF(ISERROR(AO796),0,IF(AND(AN796&gt;=$U$1,AN796&lt;=$U$2),IF(AO796='ESTRATTO CONTO'!$E$2,1+COUNTIF(AL$4:AL795,"&gt;0")+U$1009,0),0))</f>
        <v>0</v>
      </c>
      <c r="AM796" s="747">
        <f t="shared" si="142"/>
        <v>793</v>
      </c>
      <c r="AN796" s="164" t="e">
        <f>VLOOKUP($AM796,PATRIMONIALE!$AV848:AW$1003,2,FALSE)</f>
        <v>#N/A</v>
      </c>
      <c r="AO796" s="310" t="e">
        <f>VLOOKUP($AM796,PATRIMONIALE!$AV848:AX$1003,3,FALSE)</f>
        <v>#N/A</v>
      </c>
      <c r="AP796" s="310" t="e">
        <f>VLOOKUP($AM796,PATRIMONIALE!$AV848:AY$1003,4,FALSE)</f>
        <v>#N/A</v>
      </c>
      <c r="AQ796" s="748" t="e">
        <f>VLOOKUP($AM796,PATRIMONIALE!$AV848:AZ$1003,5,FALSE)</f>
        <v>#N/A</v>
      </c>
      <c r="AR796" s="1"/>
      <c r="AS796" s="461" t="str">
        <f t="shared" si="140"/>
        <v/>
      </c>
      <c r="AT796" s="370"/>
    </row>
    <row r="797" spans="1:46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435">
        <f>IF(AND(W797&gt;=$U$1,W797&lt;=$U$2),IF(X797='ESTRATTO CONTO'!$E$2,1+COUNTIF(U$4:U796,"&gt;0"),0),0)</f>
        <v>0</v>
      </c>
      <c r="V797" s="417">
        <f t="shared" si="141"/>
        <v>794</v>
      </c>
      <c r="W797" s="509"/>
      <c r="X797" s="321"/>
      <c r="Y797" s="321"/>
      <c r="Z797" s="433"/>
      <c r="AA797" s="356"/>
      <c r="AB797" s="306" t="str">
        <f t="shared" si="136"/>
        <v/>
      </c>
      <c r="AC797" s="893">
        <f t="shared" si="137"/>
        <v>0</v>
      </c>
      <c r="AD797" s="322"/>
      <c r="AE797" s="1"/>
      <c r="AF797" s="223">
        <f>IF(ISBLANK(AD797),0,COUNTIF(AF$4:AF796,"&gt;0")+1)</f>
        <v>0</v>
      </c>
      <c r="AG797" s="164">
        <f t="shared" si="143"/>
        <v>0</v>
      </c>
      <c r="AH797" s="99">
        <f t="shared" si="138"/>
        <v>0</v>
      </c>
      <c r="AI797" s="99">
        <f t="shared" si="144"/>
        <v>0</v>
      </c>
      <c r="AJ797" s="170">
        <f t="shared" si="145"/>
        <v>0</v>
      </c>
      <c r="AK797" s="204">
        <f t="shared" si="139"/>
        <v>0</v>
      </c>
      <c r="AL797" s="1049">
        <f>IF(ISERROR(AO797),0,IF(AND(AN797&gt;=$U$1,AN797&lt;=$U$2),IF(AO797='ESTRATTO CONTO'!$E$2,1+COUNTIF(AL$4:AL796,"&gt;0")+U$1009,0),0))</f>
        <v>0</v>
      </c>
      <c r="AM797" s="747">
        <f t="shared" si="142"/>
        <v>794</v>
      </c>
      <c r="AN797" s="164" t="e">
        <f>VLOOKUP($AM797,PATRIMONIALE!$AV849:AW$1003,2,FALSE)</f>
        <v>#N/A</v>
      </c>
      <c r="AO797" s="310" t="e">
        <f>VLOOKUP($AM797,PATRIMONIALE!$AV849:AX$1003,3,FALSE)</f>
        <v>#N/A</v>
      </c>
      <c r="AP797" s="310" t="e">
        <f>VLOOKUP($AM797,PATRIMONIALE!$AV849:AY$1003,4,FALSE)</f>
        <v>#N/A</v>
      </c>
      <c r="AQ797" s="748" t="e">
        <f>VLOOKUP($AM797,PATRIMONIALE!$AV849:AZ$1003,5,FALSE)</f>
        <v>#N/A</v>
      </c>
      <c r="AR797" s="1"/>
      <c r="AS797" s="461" t="str">
        <f t="shared" si="140"/>
        <v/>
      </c>
      <c r="AT797" s="370"/>
    </row>
    <row r="798" spans="1:46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435">
        <f>IF(AND(W798&gt;=$U$1,W798&lt;=$U$2),IF(X798='ESTRATTO CONTO'!$E$2,1+COUNTIF(U$4:U797,"&gt;0"),0),0)</f>
        <v>0</v>
      </c>
      <c r="V798" s="417">
        <f t="shared" si="141"/>
        <v>795</v>
      </c>
      <c r="W798" s="509"/>
      <c r="X798" s="321"/>
      <c r="Y798" s="321"/>
      <c r="Z798" s="433"/>
      <c r="AA798" s="356"/>
      <c r="AB798" s="306" t="str">
        <f t="shared" si="136"/>
        <v/>
      </c>
      <c r="AC798" s="893">
        <f t="shared" si="137"/>
        <v>0</v>
      </c>
      <c r="AD798" s="322"/>
      <c r="AE798" s="1"/>
      <c r="AF798" s="223">
        <f>IF(ISBLANK(AD798),0,COUNTIF(AF$4:AF797,"&gt;0")+1)</f>
        <v>0</v>
      </c>
      <c r="AG798" s="164">
        <f t="shared" si="143"/>
        <v>0</v>
      </c>
      <c r="AH798" s="99">
        <f t="shared" si="138"/>
        <v>0</v>
      </c>
      <c r="AI798" s="99">
        <f t="shared" si="144"/>
        <v>0</v>
      </c>
      <c r="AJ798" s="170">
        <f t="shared" si="145"/>
        <v>0</v>
      </c>
      <c r="AK798" s="204">
        <f t="shared" si="139"/>
        <v>0</v>
      </c>
      <c r="AL798" s="1049">
        <f>IF(ISERROR(AO798),0,IF(AND(AN798&gt;=$U$1,AN798&lt;=$U$2),IF(AO798='ESTRATTO CONTO'!$E$2,1+COUNTIF(AL$4:AL797,"&gt;0")+U$1009,0),0))</f>
        <v>0</v>
      </c>
      <c r="AM798" s="747">
        <f t="shared" si="142"/>
        <v>795</v>
      </c>
      <c r="AN798" s="164" t="e">
        <f>VLOOKUP($AM798,PATRIMONIALE!$AV850:AW$1003,2,FALSE)</f>
        <v>#N/A</v>
      </c>
      <c r="AO798" s="310" t="e">
        <f>VLOOKUP($AM798,PATRIMONIALE!$AV850:AX$1003,3,FALSE)</f>
        <v>#N/A</v>
      </c>
      <c r="AP798" s="310" t="e">
        <f>VLOOKUP($AM798,PATRIMONIALE!$AV850:AY$1003,4,FALSE)</f>
        <v>#N/A</v>
      </c>
      <c r="AQ798" s="748" t="e">
        <f>VLOOKUP($AM798,PATRIMONIALE!$AV850:AZ$1003,5,FALSE)</f>
        <v>#N/A</v>
      </c>
      <c r="AR798" s="1"/>
      <c r="AS798" s="461" t="str">
        <f t="shared" si="140"/>
        <v/>
      </c>
      <c r="AT798" s="370"/>
    </row>
    <row r="799" spans="1:46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435">
        <f>IF(AND(W799&gt;=$U$1,W799&lt;=$U$2),IF(X799='ESTRATTO CONTO'!$E$2,1+COUNTIF(U$4:U798,"&gt;0"),0),0)</f>
        <v>0</v>
      </c>
      <c r="V799" s="417">
        <f t="shared" si="141"/>
        <v>796</v>
      </c>
      <c r="W799" s="509"/>
      <c r="X799" s="321"/>
      <c r="Y799" s="321"/>
      <c r="Z799" s="433"/>
      <c r="AA799" s="356"/>
      <c r="AB799" s="306" t="str">
        <f t="shared" si="136"/>
        <v/>
      </c>
      <c r="AC799" s="893">
        <f t="shared" si="137"/>
        <v>0</v>
      </c>
      <c r="AD799" s="322"/>
      <c r="AE799" s="1"/>
      <c r="AF799" s="223">
        <f>IF(ISBLANK(AD799),0,COUNTIF(AF$4:AF798,"&gt;0")+1)</f>
        <v>0</v>
      </c>
      <c r="AG799" s="164">
        <f t="shared" si="143"/>
        <v>0</v>
      </c>
      <c r="AH799" s="99">
        <f t="shared" si="138"/>
        <v>0</v>
      </c>
      <c r="AI799" s="99">
        <f t="shared" si="144"/>
        <v>0</v>
      </c>
      <c r="AJ799" s="170">
        <f t="shared" si="145"/>
        <v>0</v>
      </c>
      <c r="AK799" s="204">
        <f t="shared" si="139"/>
        <v>0</v>
      </c>
      <c r="AL799" s="1049">
        <f>IF(ISERROR(AO799),0,IF(AND(AN799&gt;=$U$1,AN799&lt;=$U$2),IF(AO799='ESTRATTO CONTO'!$E$2,1+COUNTIF(AL$4:AL798,"&gt;0")+U$1009,0),0))</f>
        <v>0</v>
      </c>
      <c r="AM799" s="747">
        <f t="shared" si="142"/>
        <v>796</v>
      </c>
      <c r="AN799" s="164" t="e">
        <f>VLOOKUP($AM799,PATRIMONIALE!$AV851:AW$1003,2,FALSE)</f>
        <v>#N/A</v>
      </c>
      <c r="AO799" s="310" t="e">
        <f>VLOOKUP($AM799,PATRIMONIALE!$AV851:AX$1003,3,FALSE)</f>
        <v>#N/A</v>
      </c>
      <c r="AP799" s="310" t="e">
        <f>VLOOKUP($AM799,PATRIMONIALE!$AV851:AY$1003,4,FALSE)</f>
        <v>#N/A</v>
      </c>
      <c r="AQ799" s="748" t="e">
        <f>VLOOKUP($AM799,PATRIMONIALE!$AV851:AZ$1003,5,FALSE)</f>
        <v>#N/A</v>
      </c>
      <c r="AR799" s="1"/>
      <c r="AS799" s="461" t="str">
        <f t="shared" si="140"/>
        <v/>
      </c>
      <c r="AT799" s="370"/>
    </row>
    <row r="800" spans="1:46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435">
        <f>IF(AND(W800&gt;=$U$1,W800&lt;=$U$2),IF(X800='ESTRATTO CONTO'!$E$2,1+COUNTIF(U$4:U799,"&gt;0"),0),0)</f>
        <v>0</v>
      </c>
      <c r="V800" s="417">
        <f t="shared" si="141"/>
        <v>797</v>
      </c>
      <c r="W800" s="509"/>
      <c r="X800" s="321"/>
      <c r="Y800" s="321"/>
      <c r="Z800" s="433"/>
      <c r="AA800" s="356"/>
      <c r="AB800" s="306" t="str">
        <f t="shared" si="136"/>
        <v/>
      </c>
      <c r="AC800" s="893">
        <f t="shared" si="137"/>
        <v>0</v>
      </c>
      <c r="AD800" s="322"/>
      <c r="AE800" s="1"/>
      <c r="AF800" s="223">
        <f>IF(ISBLANK(AD800),0,COUNTIF(AF$4:AF799,"&gt;0")+1)</f>
        <v>0</v>
      </c>
      <c r="AG800" s="164">
        <f t="shared" si="143"/>
        <v>0</v>
      </c>
      <c r="AH800" s="99">
        <f t="shared" si="138"/>
        <v>0</v>
      </c>
      <c r="AI800" s="99">
        <f t="shared" si="144"/>
        <v>0</v>
      </c>
      <c r="AJ800" s="170">
        <f t="shared" si="145"/>
        <v>0</v>
      </c>
      <c r="AK800" s="204">
        <f t="shared" si="139"/>
        <v>0</v>
      </c>
      <c r="AL800" s="1049">
        <f>IF(ISERROR(AO800),0,IF(AND(AN800&gt;=$U$1,AN800&lt;=$U$2),IF(AO800='ESTRATTO CONTO'!$E$2,1+COUNTIF(AL$4:AL799,"&gt;0")+U$1009,0),0))</f>
        <v>0</v>
      </c>
      <c r="AM800" s="747">
        <f t="shared" si="142"/>
        <v>797</v>
      </c>
      <c r="AN800" s="164" t="e">
        <f>VLOOKUP($AM800,PATRIMONIALE!$AV852:AW$1003,2,FALSE)</f>
        <v>#N/A</v>
      </c>
      <c r="AO800" s="310" t="e">
        <f>VLOOKUP($AM800,PATRIMONIALE!$AV852:AX$1003,3,FALSE)</f>
        <v>#N/A</v>
      </c>
      <c r="AP800" s="310" t="e">
        <f>VLOOKUP($AM800,PATRIMONIALE!$AV852:AY$1003,4,FALSE)</f>
        <v>#N/A</v>
      </c>
      <c r="AQ800" s="748" t="e">
        <f>VLOOKUP($AM800,PATRIMONIALE!$AV852:AZ$1003,5,FALSE)</f>
        <v>#N/A</v>
      </c>
      <c r="AR800" s="1"/>
      <c r="AS800" s="461" t="str">
        <f t="shared" si="140"/>
        <v/>
      </c>
      <c r="AT800" s="370"/>
    </row>
    <row r="801" spans="1:46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435">
        <f>IF(AND(W801&gt;=$U$1,W801&lt;=$U$2),IF(X801='ESTRATTO CONTO'!$E$2,1+COUNTIF(U$4:U800,"&gt;0"),0),0)</f>
        <v>0</v>
      </c>
      <c r="V801" s="417">
        <f t="shared" si="141"/>
        <v>798</v>
      </c>
      <c r="W801" s="509"/>
      <c r="X801" s="321"/>
      <c r="Y801" s="321"/>
      <c r="Z801" s="433"/>
      <c r="AA801" s="356"/>
      <c r="AB801" s="306" t="str">
        <f t="shared" si="136"/>
        <v/>
      </c>
      <c r="AC801" s="893">
        <f t="shared" si="137"/>
        <v>0</v>
      </c>
      <c r="AD801" s="322"/>
      <c r="AE801" s="1"/>
      <c r="AF801" s="223">
        <f>IF(ISBLANK(AD801),0,COUNTIF(AF$4:AF800,"&gt;0")+1)</f>
        <v>0</v>
      </c>
      <c r="AG801" s="164">
        <f t="shared" si="143"/>
        <v>0</v>
      </c>
      <c r="AH801" s="99">
        <f t="shared" si="138"/>
        <v>0</v>
      </c>
      <c r="AI801" s="99">
        <f t="shared" si="144"/>
        <v>0</v>
      </c>
      <c r="AJ801" s="170">
        <f t="shared" si="145"/>
        <v>0</v>
      </c>
      <c r="AK801" s="204">
        <f t="shared" si="139"/>
        <v>0</v>
      </c>
      <c r="AL801" s="1049">
        <f>IF(ISERROR(AO801),0,IF(AND(AN801&gt;=$U$1,AN801&lt;=$U$2),IF(AO801='ESTRATTO CONTO'!$E$2,1+COUNTIF(AL$4:AL800,"&gt;0")+U$1009,0),0))</f>
        <v>0</v>
      </c>
      <c r="AM801" s="747">
        <f t="shared" si="142"/>
        <v>798</v>
      </c>
      <c r="AN801" s="164" t="e">
        <f>VLOOKUP($AM801,PATRIMONIALE!$AV853:AW$1003,2,FALSE)</f>
        <v>#N/A</v>
      </c>
      <c r="AO801" s="310" t="e">
        <f>VLOOKUP($AM801,PATRIMONIALE!$AV853:AX$1003,3,FALSE)</f>
        <v>#N/A</v>
      </c>
      <c r="AP801" s="310" t="e">
        <f>VLOOKUP($AM801,PATRIMONIALE!$AV853:AY$1003,4,FALSE)</f>
        <v>#N/A</v>
      </c>
      <c r="AQ801" s="748" t="e">
        <f>VLOOKUP($AM801,PATRIMONIALE!$AV853:AZ$1003,5,FALSE)</f>
        <v>#N/A</v>
      </c>
      <c r="AR801" s="1"/>
      <c r="AS801" s="461" t="str">
        <f t="shared" si="140"/>
        <v/>
      </c>
      <c r="AT801" s="370"/>
    </row>
    <row r="802" spans="1:46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435">
        <f>IF(AND(W802&gt;=$U$1,W802&lt;=$U$2),IF(X802='ESTRATTO CONTO'!$E$2,1+COUNTIF(U$4:U801,"&gt;0"),0),0)</f>
        <v>0</v>
      </c>
      <c r="V802" s="417">
        <f t="shared" si="141"/>
        <v>799</v>
      </c>
      <c r="W802" s="509"/>
      <c r="X802" s="321"/>
      <c r="Y802" s="321"/>
      <c r="Z802" s="433"/>
      <c r="AA802" s="356"/>
      <c r="AB802" s="306" t="str">
        <f t="shared" si="136"/>
        <v/>
      </c>
      <c r="AC802" s="893">
        <f t="shared" si="137"/>
        <v>0</v>
      </c>
      <c r="AD802" s="322"/>
      <c r="AE802" s="1"/>
      <c r="AF802" s="223">
        <f>IF(ISBLANK(AD802),0,COUNTIF(AF$4:AF801,"&gt;0")+1)</f>
        <v>0</v>
      </c>
      <c r="AG802" s="164">
        <f t="shared" si="143"/>
        <v>0</v>
      </c>
      <c r="AH802" s="99">
        <f t="shared" si="138"/>
        <v>0</v>
      </c>
      <c r="AI802" s="99">
        <f t="shared" si="144"/>
        <v>0</v>
      </c>
      <c r="AJ802" s="170">
        <f t="shared" si="145"/>
        <v>0</v>
      </c>
      <c r="AK802" s="204">
        <f t="shared" si="139"/>
        <v>0</v>
      </c>
      <c r="AL802" s="1049">
        <f>IF(ISERROR(AO802),0,IF(AND(AN802&gt;=$U$1,AN802&lt;=$U$2),IF(AO802='ESTRATTO CONTO'!$E$2,1+COUNTIF(AL$4:AL801,"&gt;0")+U$1009,0),0))</f>
        <v>0</v>
      </c>
      <c r="AM802" s="747">
        <f t="shared" si="142"/>
        <v>799</v>
      </c>
      <c r="AN802" s="164" t="e">
        <f>VLOOKUP($AM802,PATRIMONIALE!$AV854:AW$1003,2,FALSE)</f>
        <v>#N/A</v>
      </c>
      <c r="AO802" s="310" t="e">
        <f>VLOOKUP($AM802,PATRIMONIALE!$AV854:AX$1003,3,FALSE)</f>
        <v>#N/A</v>
      </c>
      <c r="AP802" s="310" t="e">
        <f>VLOOKUP($AM802,PATRIMONIALE!$AV854:AY$1003,4,FALSE)</f>
        <v>#N/A</v>
      </c>
      <c r="AQ802" s="748" t="e">
        <f>VLOOKUP($AM802,PATRIMONIALE!$AV854:AZ$1003,5,FALSE)</f>
        <v>#N/A</v>
      </c>
      <c r="AR802" s="1"/>
      <c r="AS802" s="461" t="str">
        <f t="shared" si="140"/>
        <v/>
      </c>
      <c r="AT802" s="370"/>
    </row>
    <row r="803" spans="1:46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435">
        <f>IF(AND(W803&gt;=$U$1,W803&lt;=$U$2),IF(X803='ESTRATTO CONTO'!$E$2,1+COUNTIF(U$4:U802,"&gt;0"),0),0)</f>
        <v>0</v>
      </c>
      <c r="V803" s="417">
        <f t="shared" si="141"/>
        <v>800</v>
      </c>
      <c r="W803" s="509"/>
      <c r="X803" s="321"/>
      <c r="Y803" s="321"/>
      <c r="Z803" s="433"/>
      <c r="AA803" s="356"/>
      <c r="AB803" s="306" t="str">
        <f t="shared" si="136"/>
        <v/>
      </c>
      <c r="AC803" s="893">
        <f t="shared" si="137"/>
        <v>0</v>
      </c>
      <c r="AD803" s="322"/>
      <c r="AE803" s="1"/>
      <c r="AF803" s="223">
        <f>IF(ISBLANK(AD803),0,COUNTIF(AF$4:AF802,"&gt;0")+1)</f>
        <v>0</v>
      </c>
      <c r="AG803" s="164">
        <f t="shared" si="143"/>
        <v>0</v>
      </c>
      <c r="AH803" s="99">
        <f t="shared" si="138"/>
        <v>0</v>
      </c>
      <c r="AI803" s="99">
        <f t="shared" si="144"/>
        <v>0</v>
      </c>
      <c r="AJ803" s="170">
        <f t="shared" si="145"/>
        <v>0</v>
      </c>
      <c r="AK803" s="204">
        <f t="shared" si="139"/>
        <v>0</v>
      </c>
      <c r="AL803" s="1049">
        <f>IF(ISERROR(AO803),0,IF(AND(AN803&gt;=$U$1,AN803&lt;=$U$2),IF(AO803='ESTRATTO CONTO'!$E$2,1+COUNTIF(AL$4:AL802,"&gt;0")+U$1009,0),0))</f>
        <v>0</v>
      </c>
      <c r="AM803" s="747">
        <f t="shared" si="142"/>
        <v>800</v>
      </c>
      <c r="AN803" s="164" t="e">
        <f>VLOOKUP($AM803,PATRIMONIALE!$AV855:AW$1003,2,FALSE)</f>
        <v>#N/A</v>
      </c>
      <c r="AO803" s="310" t="e">
        <f>VLOOKUP($AM803,PATRIMONIALE!$AV855:AX$1003,3,FALSE)</f>
        <v>#N/A</v>
      </c>
      <c r="AP803" s="310" t="e">
        <f>VLOOKUP($AM803,PATRIMONIALE!$AV855:AY$1003,4,FALSE)</f>
        <v>#N/A</v>
      </c>
      <c r="AQ803" s="748" t="e">
        <f>VLOOKUP($AM803,PATRIMONIALE!$AV855:AZ$1003,5,FALSE)</f>
        <v>#N/A</v>
      </c>
      <c r="AR803" s="1"/>
      <c r="AS803" s="461" t="str">
        <f t="shared" si="140"/>
        <v/>
      </c>
      <c r="AT803" s="370"/>
    </row>
    <row r="804" spans="1:46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435">
        <f>IF(AND(W804&gt;=$U$1,W804&lt;=$U$2),IF(X804='ESTRATTO CONTO'!$E$2,1+COUNTIF(U$4:U803,"&gt;0"),0),0)</f>
        <v>0</v>
      </c>
      <c r="V804" s="417">
        <f t="shared" si="141"/>
        <v>801</v>
      </c>
      <c r="W804" s="509"/>
      <c r="X804" s="321"/>
      <c r="Y804" s="321"/>
      <c r="Z804" s="433"/>
      <c r="AA804" s="356"/>
      <c r="AB804" s="306" t="str">
        <f t="shared" si="136"/>
        <v/>
      </c>
      <c r="AC804" s="893">
        <f t="shared" si="137"/>
        <v>0</v>
      </c>
      <c r="AD804" s="322"/>
      <c r="AE804" s="1"/>
      <c r="AF804" s="223">
        <f>IF(ISBLANK(AD804),0,COUNTIF(AF$4:AF803,"&gt;0")+1)</f>
        <v>0</v>
      </c>
      <c r="AG804" s="164">
        <f t="shared" si="143"/>
        <v>0</v>
      </c>
      <c r="AH804" s="99">
        <f t="shared" si="138"/>
        <v>0</v>
      </c>
      <c r="AI804" s="99">
        <f t="shared" si="144"/>
        <v>0</v>
      </c>
      <c r="AJ804" s="170">
        <f t="shared" si="145"/>
        <v>0</v>
      </c>
      <c r="AK804" s="204">
        <f t="shared" si="139"/>
        <v>0</v>
      </c>
      <c r="AL804" s="1049">
        <f>IF(ISERROR(AO804),0,IF(AND(AN804&gt;=$U$1,AN804&lt;=$U$2),IF(AO804='ESTRATTO CONTO'!$E$2,1+COUNTIF(AL$4:AL803,"&gt;0")+U$1009,0),0))</f>
        <v>0</v>
      </c>
      <c r="AM804" s="747">
        <f t="shared" si="142"/>
        <v>801</v>
      </c>
      <c r="AN804" s="164" t="e">
        <f>VLOOKUP($AM804,PATRIMONIALE!$AV856:AW$1003,2,FALSE)</f>
        <v>#N/A</v>
      </c>
      <c r="AO804" s="310" t="e">
        <f>VLOOKUP($AM804,PATRIMONIALE!$AV856:AX$1003,3,FALSE)</f>
        <v>#N/A</v>
      </c>
      <c r="AP804" s="310" t="e">
        <f>VLOOKUP($AM804,PATRIMONIALE!$AV856:AY$1003,4,FALSE)</f>
        <v>#N/A</v>
      </c>
      <c r="AQ804" s="748" t="e">
        <f>VLOOKUP($AM804,PATRIMONIALE!$AV856:AZ$1003,5,FALSE)</f>
        <v>#N/A</v>
      </c>
      <c r="AR804" s="1"/>
      <c r="AS804" s="461" t="str">
        <f t="shared" si="140"/>
        <v/>
      </c>
      <c r="AT804" s="370"/>
    </row>
    <row r="805" spans="1:46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435">
        <f>IF(AND(W805&gt;=$U$1,W805&lt;=$U$2),IF(X805='ESTRATTO CONTO'!$E$2,1+COUNTIF(U$4:U804,"&gt;0"),0),0)</f>
        <v>0</v>
      </c>
      <c r="V805" s="417">
        <f t="shared" si="141"/>
        <v>802</v>
      </c>
      <c r="W805" s="509"/>
      <c r="X805" s="321"/>
      <c r="Y805" s="321"/>
      <c r="Z805" s="433"/>
      <c r="AA805" s="356"/>
      <c r="AB805" s="306" t="str">
        <f t="shared" si="136"/>
        <v/>
      </c>
      <c r="AC805" s="893">
        <f t="shared" si="137"/>
        <v>0</v>
      </c>
      <c r="AD805" s="322"/>
      <c r="AE805" s="1"/>
      <c r="AF805" s="223">
        <f>IF(ISBLANK(AD805),0,COUNTIF(AF$4:AF804,"&gt;0")+1)</f>
        <v>0</v>
      </c>
      <c r="AG805" s="164">
        <f t="shared" si="143"/>
        <v>0</v>
      </c>
      <c r="AH805" s="99">
        <f t="shared" si="138"/>
        <v>0</v>
      </c>
      <c r="AI805" s="99">
        <f t="shared" si="144"/>
        <v>0</v>
      </c>
      <c r="AJ805" s="170">
        <f t="shared" si="145"/>
        <v>0</v>
      </c>
      <c r="AK805" s="204">
        <f t="shared" si="139"/>
        <v>0</v>
      </c>
      <c r="AL805" s="1049">
        <f>IF(ISERROR(AO805),0,IF(AND(AN805&gt;=$U$1,AN805&lt;=$U$2),IF(AO805='ESTRATTO CONTO'!$E$2,1+COUNTIF(AL$4:AL804,"&gt;0")+U$1009,0),0))</f>
        <v>0</v>
      </c>
      <c r="AM805" s="747">
        <f t="shared" si="142"/>
        <v>802</v>
      </c>
      <c r="AN805" s="164" t="e">
        <f>VLOOKUP($AM805,PATRIMONIALE!$AV857:AW$1003,2,FALSE)</f>
        <v>#N/A</v>
      </c>
      <c r="AO805" s="310" t="e">
        <f>VLOOKUP($AM805,PATRIMONIALE!$AV857:AX$1003,3,FALSE)</f>
        <v>#N/A</v>
      </c>
      <c r="AP805" s="310" t="e">
        <f>VLOOKUP($AM805,PATRIMONIALE!$AV857:AY$1003,4,FALSE)</f>
        <v>#N/A</v>
      </c>
      <c r="AQ805" s="748" t="e">
        <f>VLOOKUP($AM805,PATRIMONIALE!$AV857:AZ$1003,5,FALSE)</f>
        <v>#N/A</v>
      </c>
      <c r="AR805" s="1"/>
      <c r="AS805" s="461" t="str">
        <f t="shared" si="140"/>
        <v/>
      </c>
      <c r="AT805" s="370"/>
    </row>
    <row r="806" spans="1:46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435">
        <f>IF(AND(W806&gt;=$U$1,W806&lt;=$U$2),IF(X806='ESTRATTO CONTO'!$E$2,1+COUNTIF(U$4:U805,"&gt;0"),0),0)</f>
        <v>0</v>
      </c>
      <c r="V806" s="417">
        <f t="shared" si="141"/>
        <v>803</v>
      </c>
      <c r="W806" s="509"/>
      <c r="X806" s="321"/>
      <c r="Y806" s="321"/>
      <c r="Z806" s="433"/>
      <c r="AA806" s="356"/>
      <c r="AB806" s="306" t="str">
        <f t="shared" si="136"/>
        <v/>
      </c>
      <c r="AC806" s="893">
        <f t="shared" si="137"/>
        <v>0</v>
      </c>
      <c r="AD806" s="322"/>
      <c r="AE806" s="1"/>
      <c r="AF806" s="223">
        <f>IF(ISBLANK(AD806),0,COUNTIF(AF$4:AF805,"&gt;0")+1)</f>
        <v>0</v>
      </c>
      <c r="AG806" s="164">
        <f t="shared" si="143"/>
        <v>0</v>
      </c>
      <c r="AH806" s="99">
        <f t="shared" si="138"/>
        <v>0</v>
      </c>
      <c r="AI806" s="99">
        <f t="shared" si="144"/>
        <v>0</v>
      </c>
      <c r="AJ806" s="170">
        <f t="shared" si="145"/>
        <v>0</v>
      </c>
      <c r="AK806" s="204">
        <f t="shared" si="139"/>
        <v>0</v>
      </c>
      <c r="AL806" s="1049">
        <f>IF(ISERROR(AO806),0,IF(AND(AN806&gt;=$U$1,AN806&lt;=$U$2),IF(AO806='ESTRATTO CONTO'!$E$2,1+COUNTIF(AL$4:AL805,"&gt;0")+U$1009,0),0))</f>
        <v>0</v>
      </c>
      <c r="AM806" s="747">
        <f t="shared" si="142"/>
        <v>803</v>
      </c>
      <c r="AN806" s="164" t="e">
        <f>VLOOKUP($AM806,PATRIMONIALE!$AV858:AW$1003,2,FALSE)</f>
        <v>#N/A</v>
      </c>
      <c r="AO806" s="310" t="e">
        <f>VLOOKUP($AM806,PATRIMONIALE!$AV858:AX$1003,3,FALSE)</f>
        <v>#N/A</v>
      </c>
      <c r="AP806" s="310" t="e">
        <f>VLOOKUP($AM806,PATRIMONIALE!$AV858:AY$1003,4,FALSE)</f>
        <v>#N/A</v>
      </c>
      <c r="AQ806" s="748" t="e">
        <f>VLOOKUP($AM806,PATRIMONIALE!$AV858:AZ$1003,5,FALSE)</f>
        <v>#N/A</v>
      </c>
      <c r="AR806" s="1"/>
      <c r="AS806" s="461" t="str">
        <f t="shared" si="140"/>
        <v/>
      </c>
      <c r="AT806" s="370"/>
    </row>
    <row r="807" spans="1:46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435">
        <f>IF(AND(W807&gt;=$U$1,W807&lt;=$U$2),IF(X807='ESTRATTO CONTO'!$E$2,1+COUNTIF(U$4:U806,"&gt;0"),0),0)</f>
        <v>0</v>
      </c>
      <c r="V807" s="417">
        <f t="shared" si="141"/>
        <v>804</v>
      </c>
      <c r="W807" s="509"/>
      <c r="X807" s="321"/>
      <c r="Y807" s="321"/>
      <c r="Z807" s="433"/>
      <c r="AA807" s="356"/>
      <c r="AB807" s="306" t="str">
        <f t="shared" si="136"/>
        <v/>
      </c>
      <c r="AC807" s="893">
        <f t="shared" si="137"/>
        <v>0</v>
      </c>
      <c r="AD807" s="322"/>
      <c r="AE807" s="1"/>
      <c r="AF807" s="223">
        <f>IF(ISBLANK(AD807),0,COUNTIF(AF$4:AF806,"&gt;0")+1)</f>
        <v>0</v>
      </c>
      <c r="AG807" s="164">
        <f t="shared" si="143"/>
        <v>0</v>
      </c>
      <c r="AH807" s="99">
        <f t="shared" si="138"/>
        <v>0</v>
      </c>
      <c r="AI807" s="99">
        <f t="shared" si="144"/>
        <v>0</v>
      </c>
      <c r="AJ807" s="170">
        <f t="shared" si="145"/>
        <v>0</v>
      </c>
      <c r="AK807" s="204">
        <f t="shared" si="139"/>
        <v>0</v>
      </c>
      <c r="AL807" s="1049">
        <f>IF(ISERROR(AO807),0,IF(AND(AN807&gt;=$U$1,AN807&lt;=$U$2),IF(AO807='ESTRATTO CONTO'!$E$2,1+COUNTIF(AL$4:AL806,"&gt;0")+U$1009,0),0))</f>
        <v>0</v>
      </c>
      <c r="AM807" s="747">
        <f t="shared" si="142"/>
        <v>804</v>
      </c>
      <c r="AN807" s="164" t="e">
        <f>VLOOKUP($AM807,PATRIMONIALE!$AV859:AW$1003,2,FALSE)</f>
        <v>#N/A</v>
      </c>
      <c r="AO807" s="310" t="e">
        <f>VLOOKUP($AM807,PATRIMONIALE!$AV859:AX$1003,3,FALSE)</f>
        <v>#N/A</v>
      </c>
      <c r="AP807" s="310" t="e">
        <f>VLOOKUP($AM807,PATRIMONIALE!$AV859:AY$1003,4,FALSE)</f>
        <v>#N/A</v>
      </c>
      <c r="AQ807" s="748" t="e">
        <f>VLOOKUP($AM807,PATRIMONIALE!$AV859:AZ$1003,5,FALSE)</f>
        <v>#N/A</v>
      </c>
      <c r="AR807" s="1"/>
      <c r="AS807" s="461" t="str">
        <f t="shared" si="140"/>
        <v/>
      </c>
      <c r="AT807" s="370"/>
    </row>
    <row r="808" spans="1:46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435">
        <f>IF(AND(W808&gt;=$U$1,W808&lt;=$U$2),IF(X808='ESTRATTO CONTO'!$E$2,1+COUNTIF(U$4:U807,"&gt;0"),0),0)</f>
        <v>0</v>
      </c>
      <c r="V808" s="417">
        <f t="shared" si="141"/>
        <v>805</v>
      </c>
      <c r="W808" s="509"/>
      <c r="X808" s="321"/>
      <c r="Y808" s="321"/>
      <c r="Z808" s="433"/>
      <c r="AA808" s="356"/>
      <c r="AB808" s="306" t="str">
        <f t="shared" si="136"/>
        <v/>
      </c>
      <c r="AC808" s="893">
        <f t="shared" si="137"/>
        <v>0</v>
      </c>
      <c r="AD808" s="322"/>
      <c r="AE808" s="1"/>
      <c r="AF808" s="223">
        <f>IF(ISBLANK(AD808),0,COUNTIF(AF$4:AF807,"&gt;0")+1)</f>
        <v>0</v>
      </c>
      <c r="AG808" s="164">
        <f t="shared" si="143"/>
        <v>0</v>
      </c>
      <c r="AH808" s="99">
        <f t="shared" si="138"/>
        <v>0</v>
      </c>
      <c r="AI808" s="99">
        <f t="shared" si="144"/>
        <v>0</v>
      </c>
      <c r="AJ808" s="170">
        <f t="shared" si="145"/>
        <v>0</v>
      </c>
      <c r="AK808" s="204">
        <f t="shared" si="139"/>
        <v>0</v>
      </c>
      <c r="AL808" s="1049">
        <f>IF(ISERROR(AO808),0,IF(AND(AN808&gt;=$U$1,AN808&lt;=$U$2),IF(AO808='ESTRATTO CONTO'!$E$2,1+COUNTIF(AL$4:AL807,"&gt;0")+U$1009,0),0))</f>
        <v>0</v>
      </c>
      <c r="AM808" s="747">
        <f t="shared" si="142"/>
        <v>805</v>
      </c>
      <c r="AN808" s="164" t="e">
        <f>VLOOKUP($AM808,PATRIMONIALE!$AV860:AW$1003,2,FALSE)</f>
        <v>#N/A</v>
      </c>
      <c r="AO808" s="310" t="e">
        <f>VLOOKUP($AM808,PATRIMONIALE!$AV860:AX$1003,3,FALSE)</f>
        <v>#N/A</v>
      </c>
      <c r="AP808" s="310" t="e">
        <f>VLOOKUP($AM808,PATRIMONIALE!$AV860:AY$1003,4,FALSE)</f>
        <v>#N/A</v>
      </c>
      <c r="AQ808" s="748" t="e">
        <f>VLOOKUP($AM808,PATRIMONIALE!$AV860:AZ$1003,5,FALSE)</f>
        <v>#N/A</v>
      </c>
      <c r="AR808" s="1"/>
      <c r="AS808" s="461" t="str">
        <f t="shared" si="140"/>
        <v/>
      </c>
      <c r="AT808" s="370"/>
    </row>
    <row r="809" spans="1:46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435">
        <f>IF(AND(W809&gt;=$U$1,W809&lt;=$U$2),IF(X809='ESTRATTO CONTO'!$E$2,1+COUNTIF(U$4:U808,"&gt;0"),0),0)</f>
        <v>0</v>
      </c>
      <c r="V809" s="417">
        <f t="shared" si="141"/>
        <v>806</v>
      </c>
      <c r="W809" s="509"/>
      <c r="X809" s="321"/>
      <c r="Y809" s="321"/>
      <c r="Z809" s="433"/>
      <c r="AA809" s="356"/>
      <c r="AB809" s="306" t="str">
        <f t="shared" si="136"/>
        <v/>
      </c>
      <c r="AC809" s="893">
        <f t="shared" si="137"/>
        <v>0</v>
      </c>
      <c r="AD809" s="322"/>
      <c r="AE809" s="1"/>
      <c r="AF809" s="223">
        <f>IF(ISBLANK(AD809),0,COUNTIF(AF$4:AF808,"&gt;0")+1)</f>
        <v>0</v>
      </c>
      <c r="AG809" s="164">
        <f t="shared" si="143"/>
        <v>0</v>
      </c>
      <c r="AH809" s="99">
        <f t="shared" si="138"/>
        <v>0</v>
      </c>
      <c r="AI809" s="99">
        <f t="shared" si="144"/>
        <v>0</v>
      </c>
      <c r="AJ809" s="170">
        <f t="shared" si="145"/>
        <v>0</v>
      </c>
      <c r="AK809" s="204">
        <f t="shared" si="139"/>
        <v>0</v>
      </c>
      <c r="AL809" s="1049">
        <f>IF(ISERROR(AO809),0,IF(AND(AN809&gt;=$U$1,AN809&lt;=$U$2),IF(AO809='ESTRATTO CONTO'!$E$2,1+COUNTIF(AL$4:AL808,"&gt;0")+U$1009,0),0))</f>
        <v>0</v>
      </c>
      <c r="AM809" s="747">
        <f t="shared" si="142"/>
        <v>806</v>
      </c>
      <c r="AN809" s="164" t="e">
        <f>VLOOKUP($AM809,PATRIMONIALE!$AV861:AW$1003,2,FALSE)</f>
        <v>#N/A</v>
      </c>
      <c r="AO809" s="310" t="e">
        <f>VLOOKUP($AM809,PATRIMONIALE!$AV861:AX$1003,3,FALSE)</f>
        <v>#N/A</v>
      </c>
      <c r="AP809" s="310" t="e">
        <f>VLOOKUP($AM809,PATRIMONIALE!$AV861:AY$1003,4,FALSE)</f>
        <v>#N/A</v>
      </c>
      <c r="AQ809" s="748" t="e">
        <f>VLOOKUP($AM809,PATRIMONIALE!$AV861:AZ$1003,5,FALSE)</f>
        <v>#N/A</v>
      </c>
      <c r="AR809" s="1"/>
      <c r="AS809" s="461" t="str">
        <f t="shared" si="140"/>
        <v/>
      </c>
      <c r="AT809" s="370"/>
    </row>
    <row r="810" spans="1:46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435">
        <f>IF(AND(W810&gt;=$U$1,W810&lt;=$U$2),IF(X810='ESTRATTO CONTO'!$E$2,1+COUNTIF(U$4:U809,"&gt;0"),0),0)</f>
        <v>0</v>
      </c>
      <c r="V810" s="417">
        <f t="shared" si="141"/>
        <v>807</v>
      </c>
      <c r="W810" s="509"/>
      <c r="X810" s="321"/>
      <c r="Y810" s="321"/>
      <c r="Z810" s="433"/>
      <c r="AA810" s="356"/>
      <c r="AB810" s="306" t="str">
        <f t="shared" si="136"/>
        <v/>
      </c>
      <c r="AC810" s="893">
        <f t="shared" si="137"/>
        <v>0</v>
      </c>
      <c r="AD810" s="322"/>
      <c r="AE810" s="1"/>
      <c r="AF810" s="223">
        <f>IF(ISBLANK(AD810),0,COUNTIF(AF$4:AF809,"&gt;0")+1)</f>
        <v>0</v>
      </c>
      <c r="AG810" s="164">
        <f t="shared" si="143"/>
        <v>0</v>
      </c>
      <c r="AH810" s="99">
        <f t="shared" si="138"/>
        <v>0</v>
      </c>
      <c r="AI810" s="99">
        <f t="shared" si="144"/>
        <v>0</v>
      </c>
      <c r="AJ810" s="170">
        <f t="shared" si="145"/>
        <v>0</v>
      </c>
      <c r="AK810" s="204">
        <f t="shared" si="139"/>
        <v>0</v>
      </c>
      <c r="AL810" s="1049">
        <f>IF(ISERROR(AO810),0,IF(AND(AN810&gt;=$U$1,AN810&lt;=$U$2),IF(AO810='ESTRATTO CONTO'!$E$2,1+COUNTIF(AL$4:AL809,"&gt;0")+U$1009,0),0))</f>
        <v>0</v>
      </c>
      <c r="AM810" s="747">
        <f t="shared" si="142"/>
        <v>807</v>
      </c>
      <c r="AN810" s="164" t="e">
        <f>VLOOKUP($AM810,PATRIMONIALE!$AV862:AW$1003,2,FALSE)</f>
        <v>#N/A</v>
      </c>
      <c r="AO810" s="310" t="e">
        <f>VLOOKUP($AM810,PATRIMONIALE!$AV862:AX$1003,3,FALSE)</f>
        <v>#N/A</v>
      </c>
      <c r="AP810" s="310" t="e">
        <f>VLOOKUP($AM810,PATRIMONIALE!$AV862:AY$1003,4,FALSE)</f>
        <v>#N/A</v>
      </c>
      <c r="AQ810" s="748" t="e">
        <f>VLOOKUP($AM810,PATRIMONIALE!$AV862:AZ$1003,5,FALSE)</f>
        <v>#N/A</v>
      </c>
      <c r="AR810" s="1"/>
      <c r="AS810" s="461" t="str">
        <f t="shared" si="140"/>
        <v/>
      </c>
      <c r="AT810" s="370"/>
    </row>
    <row r="811" spans="1:46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435">
        <f>IF(AND(W811&gt;=$U$1,W811&lt;=$U$2),IF(X811='ESTRATTO CONTO'!$E$2,1+COUNTIF(U$4:U810,"&gt;0"),0),0)</f>
        <v>0</v>
      </c>
      <c r="V811" s="417">
        <f t="shared" si="141"/>
        <v>808</v>
      </c>
      <c r="W811" s="509"/>
      <c r="X811" s="321"/>
      <c r="Y811" s="321"/>
      <c r="Z811" s="433"/>
      <c r="AA811" s="356"/>
      <c r="AB811" s="306" t="str">
        <f t="shared" si="136"/>
        <v/>
      </c>
      <c r="AC811" s="893">
        <f t="shared" si="137"/>
        <v>0</v>
      </c>
      <c r="AD811" s="322"/>
      <c r="AE811" s="1"/>
      <c r="AF811" s="223">
        <f>IF(ISBLANK(AD811),0,COUNTIF(AF$4:AF810,"&gt;0")+1)</f>
        <v>0</v>
      </c>
      <c r="AG811" s="164">
        <f t="shared" si="143"/>
        <v>0</v>
      </c>
      <c r="AH811" s="99">
        <f t="shared" si="138"/>
        <v>0</v>
      </c>
      <c r="AI811" s="99">
        <f t="shared" si="144"/>
        <v>0</v>
      </c>
      <c r="AJ811" s="170">
        <f t="shared" si="145"/>
        <v>0</v>
      </c>
      <c r="AK811" s="204">
        <f t="shared" si="139"/>
        <v>0</v>
      </c>
      <c r="AL811" s="1049">
        <f>IF(ISERROR(AO811),0,IF(AND(AN811&gt;=$U$1,AN811&lt;=$U$2),IF(AO811='ESTRATTO CONTO'!$E$2,1+COUNTIF(AL$4:AL810,"&gt;0")+U$1009,0),0))</f>
        <v>0</v>
      </c>
      <c r="AM811" s="747">
        <f t="shared" si="142"/>
        <v>808</v>
      </c>
      <c r="AN811" s="164" t="e">
        <f>VLOOKUP($AM811,PATRIMONIALE!$AV863:AW$1003,2,FALSE)</f>
        <v>#N/A</v>
      </c>
      <c r="AO811" s="310" t="e">
        <f>VLOOKUP($AM811,PATRIMONIALE!$AV863:AX$1003,3,FALSE)</f>
        <v>#N/A</v>
      </c>
      <c r="AP811" s="310" t="e">
        <f>VLOOKUP($AM811,PATRIMONIALE!$AV863:AY$1003,4,FALSE)</f>
        <v>#N/A</v>
      </c>
      <c r="AQ811" s="748" t="e">
        <f>VLOOKUP($AM811,PATRIMONIALE!$AV863:AZ$1003,5,FALSE)</f>
        <v>#N/A</v>
      </c>
      <c r="AR811" s="1"/>
      <c r="AS811" s="461" t="str">
        <f t="shared" si="140"/>
        <v/>
      </c>
      <c r="AT811" s="370"/>
    </row>
    <row r="812" spans="1:46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435">
        <f>IF(AND(W812&gt;=$U$1,W812&lt;=$U$2),IF(X812='ESTRATTO CONTO'!$E$2,1+COUNTIF(U$4:U811,"&gt;0"),0),0)</f>
        <v>0</v>
      </c>
      <c r="V812" s="417">
        <f t="shared" si="141"/>
        <v>809</v>
      </c>
      <c r="W812" s="509"/>
      <c r="X812" s="321"/>
      <c r="Y812" s="321"/>
      <c r="Z812" s="433"/>
      <c r="AA812" s="356"/>
      <c r="AB812" s="306" t="str">
        <f t="shared" si="136"/>
        <v/>
      </c>
      <c r="AC812" s="893">
        <f t="shared" si="137"/>
        <v>0</v>
      </c>
      <c r="AD812" s="322"/>
      <c r="AE812" s="1"/>
      <c r="AF812" s="223">
        <f>IF(ISBLANK(AD812),0,COUNTIF(AF$4:AF811,"&gt;0")+1)</f>
        <v>0</v>
      </c>
      <c r="AG812" s="164">
        <f t="shared" si="143"/>
        <v>0</v>
      </c>
      <c r="AH812" s="99">
        <f t="shared" si="138"/>
        <v>0</v>
      </c>
      <c r="AI812" s="99">
        <f t="shared" si="144"/>
        <v>0</v>
      </c>
      <c r="AJ812" s="170">
        <f t="shared" si="145"/>
        <v>0</v>
      </c>
      <c r="AK812" s="204">
        <f t="shared" si="139"/>
        <v>0</v>
      </c>
      <c r="AL812" s="1049">
        <f>IF(ISERROR(AO812),0,IF(AND(AN812&gt;=$U$1,AN812&lt;=$U$2),IF(AO812='ESTRATTO CONTO'!$E$2,1+COUNTIF(AL$4:AL811,"&gt;0")+U$1009,0),0))</f>
        <v>0</v>
      </c>
      <c r="AM812" s="747">
        <f t="shared" si="142"/>
        <v>809</v>
      </c>
      <c r="AN812" s="164" t="e">
        <f>VLOOKUP($AM812,PATRIMONIALE!$AV864:AW$1003,2,FALSE)</f>
        <v>#N/A</v>
      </c>
      <c r="AO812" s="310" t="e">
        <f>VLOOKUP($AM812,PATRIMONIALE!$AV864:AX$1003,3,FALSE)</f>
        <v>#N/A</v>
      </c>
      <c r="AP812" s="310" t="e">
        <f>VLOOKUP($AM812,PATRIMONIALE!$AV864:AY$1003,4,FALSE)</f>
        <v>#N/A</v>
      </c>
      <c r="AQ812" s="748" t="e">
        <f>VLOOKUP($AM812,PATRIMONIALE!$AV864:AZ$1003,5,FALSE)</f>
        <v>#N/A</v>
      </c>
      <c r="AR812" s="1"/>
      <c r="AS812" s="461" t="str">
        <f t="shared" si="140"/>
        <v/>
      </c>
      <c r="AT812" s="370"/>
    </row>
    <row r="813" spans="1:46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435">
        <f>IF(AND(W813&gt;=$U$1,W813&lt;=$U$2),IF(X813='ESTRATTO CONTO'!$E$2,1+COUNTIF(U$4:U812,"&gt;0"),0),0)</f>
        <v>0</v>
      </c>
      <c r="V813" s="417">
        <f t="shared" si="141"/>
        <v>810</v>
      </c>
      <c r="W813" s="509"/>
      <c r="X813" s="321"/>
      <c r="Y813" s="321"/>
      <c r="Z813" s="433"/>
      <c r="AA813" s="356"/>
      <c r="AB813" s="306" t="str">
        <f t="shared" si="136"/>
        <v/>
      </c>
      <c r="AC813" s="893">
        <f t="shared" si="137"/>
        <v>0</v>
      </c>
      <c r="AD813" s="322"/>
      <c r="AE813" s="1"/>
      <c r="AF813" s="223">
        <f>IF(ISBLANK(AD813),0,COUNTIF(AF$4:AF812,"&gt;0")+1)</f>
        <v>0</v>
      </c>
      <c r="AG813" s="164">
        <f t="shared" si="143"/>
        <v>0</v>
      </c>
      <c r="AH813" s="99">
        <f t="shared" si="138"/>
        <v>0</v>
      </c>
      <c r="AI813" s="99">
        <f t="shared" si="144"/>
        <v>0</v>
      </c>
      <c r="AJ813" s="170">
        <f t="shared" si="145"/>
        <v>0</v>
      </c>
      <c r="AK813" s="204">
        <f t="shared" si="139"/>
        <v>0</v>
      </c>
      <c r="AL813" s="1049">
        <f>IF(ISERROR(AO813),0,IF(AND(AN813&gt;=$U$1,AN813&lt;=$U$2),IF(AO813='ESTRATTO CONTO'!$E$2,1+COUNTIF(AL$4:AL812,"&gt;0")+U$1009,0),0))</f>
        <v>0</v>
      </c>
      <c r="AM813" s="747">
        <f t="shared" si="142"/>
        <v>810</v>
      </c>
      <c r="AN813" s="164" t="e">
        <f>VLOOKUP($AM813,PATRIMONIALE!$AV865:AW$1003,2,FALSE)</f>
        <v>#N/A</v>
      </c>
      <c r="AO813" s="310" t="e">
        <f>VLOOKUP($AM813,PATRIMONIALE!$AV865:AX$1003,3,FALSE)</f>
        <v>#N/A</v>
      </c>
      <c r="AP813" s="310" t="e">
        <f>VLOOKUP($AM813,PATRIMONIALE!$AV865:AY$1003,4,FALSE)</f>
        <v>#N/A</v>
      </c>
      <c r="AQ813" s="748" t="e">
        <f>VLOOKUP($AM813,PATRIMONIALE!$AV865:AZ$1003,5,FALSE)</f>
        <v>#N/A</v>
      </c>
      <c r="AR813" s="1"/>
      <c r="AS813" s="461" t="str">
        <f t="shared" si="140"/>
        <v/>
      </c>
      <c r="AT813" s="370"/>
    </row>
    <row r="814" spans="1:46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435">
        <f>IF(AND(W814&gt;=$U$1,W814&lt;=$U$2),IF(X814='ESTRATTO CONTO'!$E$2,1+COUNTIF(U$4:U813,"&gt;0"),0),0)</f>
        <v>0</v>
      </c>
      <c r="V814" s="417">
        <f t="shared" si="141"/>
        <v>811</v>
      </c>
      <c r="W814" s="509"/>
      <c r="X814" s="321"/>
      <c r="Y814" s="321"/>
      <c r="Z814" s="433"/>
      <c r="AA814" s="356"/>
      <c r="AB814" s="306" t="str">
        <f t="shared" si="136"/>
        <v/>
      </c>
      <c r="AC814" s="893">
        <f t="shared" si="137"/>
        <v>0</v>
      </c>
      <c r="AD814" s="322"/>
      <c r="AE814" s="1"/>
      <c r="AF814" s="223">
        <f>IF(ISBLANK(AD814),0,COUNTIF(AF$4:AF813,"&gt;0")+1)</f>
        <v>0</v>
      </c>
      <c r="AG814" s="164">
        <f t="shared" si="143"/>
        <v>0</v>
      </c>
      <c r="AH814" s="99">
        <f t="shared" si="138"/>
        <v>0</v>
      </c>
      <c r="AI814" s="99">
        <f t="shared" si="144"/>
        <v>0</v>
      </c>
      <c r="AJ814" s="170">
        <f t="shared" si="145"/>
        <v>0</v>
      </c>
      <c r="AK814" s="204">
        <f t="shared" si="139"/>
        <v>0</v>
      </c>
      <c r="AL814" s="1049">
        <f>IF(ISERROR(AO814),0,IF(AND(AN814&gt;=$U$1,AN814&lt;=$U$2),IF(AO814='ESTRATTO CONTO'!$E$2,1+COUNTIF(AL$4:AL813,"&gt;0")+U$1009,0),0))</f>
        <v>0</v>
      </c>
      <c r="AM814" s="747">
        <f t="shared" si="142"/>
        <v>811</v>
      </c>
      <c r="AN814" s="164" t="e">
        <f>VLOOKUP($AM814,PATRIMONIALE!$AV866:AW$1003,2,FALSE)</f>
        <v>#N/A</v>
      </c>
      <c r="AO814" s="310" t="e">
        <f>VLOOKUP($AM814,PATRIMONIALE!$AV866:AX$1003,3,FALSE)</f>
        <v>#N/A</v>
      </c>
      <c r="AP814" s="310" t="e">
        <f>VLOOKUP($AM814,PATRIMONIALE!$AV866:AY$1003,4,FALSE)</f>
        <v>#N/A</v>
      </c>
      <c r="AQ814" s="748" t="e">
        <f>VLOOKUP($AM814,PATRIMONIALE!$AV866:AZ$1003,5,FALSE)</f>
        <v>#N/A</v>
      </c>
      <c r="AR814" s="1"/>
      <c r="AS814" s="461" t="str">
        <f t="shared" si="140"/>
        <v/>
      </c>
      <c r="AT814" s="370"/>
    </row>
    <row r="815" spans="1:46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435">
        <f>IF(AND(W815&gt;=$U$1,W815&lt;=$U$2),IF(X815='ESTRATTO CONTO'!$E$2,1+COUNTIF(U$4:U814,"&gt;0"),0),0)</f>
        <v>0</v>
      </c>
      <c r="V815" s="417">
        <f t="shared" si="141"/>
        <v>812</v>
      </c>
      <c r="W815" s="509"/>
      <c r="X815" s="321"/>
      <c r="Y815" s="321"/>
      <c r="Z815" s="433"/>
      <c r="AA815" s="356"/>
      <c r="AB815" s="306" t="str">
        <f t="shared" si="136"/>
        <v/>
      </c>
      <c r="AC815" s="893">
        <f t="shared" si="137"/>
        <v>0</v>
      </c>
      <c r="AD815" s="322"/>
      <c r="AE815" s="1"/>
      <c r="AF815" s="223">
        <f>IF(ISBLANK(AD815),0,COUNTIF(AF$4:AF814,"&gt;0")+1)</f>
        <v>0</v>
      </c>
      <c r="AG815" s="164">
        <f t="shared" si="143"/>
        <v>0</v>
      </c>
      <c r="AH815" s="99">
        <f t="shared" si="138"/>
        <v>0</v>
      </c>
      <c r="AI815" s="99">
        <f t="shared" si="144"/>
        <v>0</v>
      </c>
      <c r="AJ815" s="170">
        <f t="shared" si="145"/>
        <v>0</v>
      </c>
      <c r="AK815" s="204">
        <f t="shared" si="139"/>
        <v>0</v>
      </c>
      <c r="AL815" s="1049">
        <f>IF(ISERROR(AO815),0,IF(AND(AN815&gt;=$U$1,AN815&lt;=$U$2),IF(AO815='ESTRATTO CONTO'!$E$2,1+COUNTIF(AL$4:AL814,"&gt;0")+U$1009,0),0))</f>
        <v>0</v>
      </c>
      <c r="AM815" s="747">
        <f t="shared" si="142"/>
        <v>812</v>
      </c>
      <c r="AN815" s="164" t="e">
        <f>VLOOKUP($AM815,PATRIMONIALE!$AV867:AW$1003,2,FALSE)</f>
        <v>#N/A</v>
      </c>
      <c r="AO815" s="310" t="e">
        <f>VLOOKUP($AM815,PATRIMONIALE!$AV867:AX$1003,3,FALSE)</f>
        <v>#N/A</v>
      </c>
      <c r="AP815" s="310" t="e">
        <f>VLOOKUP($AM815,PATRIMONIALE!$AV867:AY$1003,4,FALSE)</f>
        <v>#N/A</v>
      </c>
      <c r="AQ815" s="748" t="e">
        <f>VLOOKUP($AM815,PATRIMONIALE!$AV867:AZ$1003,5,FALSE)</f>
        <v>#N/A</v>
      </c>
      <c r="AR815" s="1"/>
      <c r="AS815" s="461" t="str">
        <f t="shared" si="140"/>
        <v/>
      </c>
      <c r="AT815" s="370"/>
    </row>
    <row r="816" spans="1:46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435">
        <f>IF(AND(W816&gt;=$U$1,W816&lt;=$U$2),IF(X816='ESTRATTO CONTO'!$E$2,1+COUNTIF(U$4:U815,"&gt;0"),0),0)</f>
        <v>0</v>
      </c>
      <c r="V816" s="417">
        <f t="shared" si="141"/>
        <v>813</v>
      </c>
      <c r="W816" s="509"/>
      <c r="X816" s="321"/>
      <c r="Y816" s="321"/>
      <c r="Z816" s="433"/>
      <c r="AA816" s="356"/>
      <c r="AB816" s="306" t="str">
        <f t="shared" si="136"/>
        <v/>
      </c>
      <c r="AC816" s="893">
        <f t="shared" si="137"/>
        <v>0</v>
      </c>
      <c r="AD816" s="322"/>
      <c r="AE816" s="1"/>
      <c r="AF816" s="223">
        <f>IF(ISBLANK(AD816),0,COUNTIF(AF$4:AF815,"&gt;0")+1)</f>
        <v>0</v>
      </c>
      <c r="AG816" s="164">
        <f t="shared" si="143"/>
        <v>0</v>
      </c>
      <c r="AH816" s="99">
        <f t="shared" si="138"/>
        <v>0</v>
      </c>
      <c r="AI816" s="99">
        <f t="shared" si="144"/>
        <v>0</v>
      </c>
      <c r="AJ816" s="170">
        <f t="shared" si="145"/>
        <v>0</v>
      </c>
      <c r="AK816" s="204">
        <f t="shared" si="139"/>
        <v>0</v>
      </c>
      <c r="AL816" s="1049">
        <f>IF(ISERROR(AO816),0,IF(AND(AN816&gt;=$U$1,AN816&lt;=$U$2),IF(AO816='ESTRATTO CONTO'!$E$2,1+COUNTIF(AL$4:AL815,"&gt;0")+U$1009,0),0))</f>
        <v>0</v>
      </c>
      <c r="AM816" s="747">
        <f t="shared" si="142"/>
        <v>813</v>
      </c>
      <c r="AN816" s="164" t="e">
        <f>VLOOKUP($AM816,PATRIMONIALE!$AV868:AW$1003,2,FALSE)</f>
        <v>#N/A</v>
      </c>
      <c r="AO816" s="310" t="e">
        <f>VLOOKUP($AM816,PATRIMONIALE!$AV868:AX$1003,3,FALSE)</f>
        <v>#N/A</v>
      </c>
      <c r="AP816" s="310" t="e">
        <f>VLOOKUP($AM816,PATRIMONIALE!$AV868:AY$1003,4,FALSE)</f>
        <v>#N/A</v>
      </c>
      <c r="AQ816" s="748" t="e">
        <f>VLOOKUP($AM816,PATRIMONIALE!$AV868:AZ$1003,5,FALSE)</f>
        <v>#N/A</v>
      </c>
      <c r="AR816" s="1"/>
      <c r="AS816" s="461" t="str">
        <f t="shared" si="140"/>
        <v/>
      </c>
      <c r="AT816" s="370"/>
    </row>
    <row r="817" spans="1:46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435">
        <f>IF(AND(W817&gt;=$U$1,W817&lt;=$U$2),IF(X817='ESTRATTO CONTO'!$E$2,1+COUNTIF(U$4:U816,"&gt;0"),0),0)</f>
        <v>0</v>
      </c>
      <c r="V817" s="417">
        <f t="shared" si="141"/>
        <v>814</v>
      </c>
      <c r="W817" s="509"/>
      <c r="X817" s="321"/>
      <c r="Y817" s="321"/>
      <c r="Z817" s="433"/>
      <c r="AA817" s="356"/>
      <c r="AB817" s="306" t="str">
        <f t="shared" si="136"/>
        <v/>
      </c>
      <c r="AC817" s="893">
        <f t="shared" si="137"/>
        <v>0</v>
      </c>
      <c r="AD817" s="322"/>
      <c r="AE817" s="1"/>
      <c r="AF817" s="223">
        <f>IF(ISBLANK(AD817),0,COUNTIF(AF$4:AF816,"&gt;0")+1)</f>
        <v>0</v>
      </c>
      <c r="AG817" s="164">
        <f t="shared" si="143"/>
        <v>0</v>
      </c>
      <c r="AH817" s="99">
        <f t="shared" si="138"/>
        <v>0</v>
      </c>
      <c r="AI817" s="99">
        <f t="shared" si="144"/>
        <v>0</v>
      </c>
      <c r="AJ817" s="170">
        <f t="shared" si="145"/>
        <v>0</v>
      </c>
      <c r="AK817" s="204">
        <f t="shared" si="139"/>
        <v>0</v>
      </c>
      <c r="AL817" s="1049">
        <f>IF(ISERROR(AO817),0,IF(AND(AN817&gt;=$U$1,AN817&lt;=$U$2),IF(AO817='ESTRATTO CONTO'!$E$2,1+COUNTIF(AL$4:AL816,"&gt;0")+U$1009,0),0))</f>
        <v>0</v>
      </c>
      <c r="AM817" s="747">
        <f t="shared" si="142"/>
        <v>814</v>
      </c>
      <c r="AN817" s="164" t="e">
        <f>VLOOKUP($AM817,PATRIMONIALE!$AV869:AW$1003,2,FALSE)</f>
        <v>#N/A</v>
      </c>
      <c r="AO817" s="310" t="e">
        <f>VLOOKUP($AM817,PATRIMONIALE!$AV869:AX$1003,3,FALSE)</f>
        <v>#N/A</v>
      </c>
      <c r="AP817" s="310" t="e">
        <f>VLOOKUP($AM817,PATRIMONIALE!$AV869:AY$1003,4,FALSE)</f>
        <v>#N/A</v>
      </c>
      <c r="AQ817" s="748" t="e">
        <f>VLOOKUP($AM817,PATRIMONIALE!$AV869:AZ$1003,5,FALSE)</f>
        <v>#N/A</v>
      </c>
      <c r="AR817" s="1"/>
      <c r="AS817" s="461" t="str">
        <f t="shared" si="140"/>
        <v/>
      </c>
      <c r="AT817" s="370"/>
    </row>
    <row r="818" spans="1:46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435">
        <f>IF(AND(W818&gt;=$U$1,W818&lt;=$U$2),IF(X818='ESTRATTO CONTO'!$E$2,1+COUNTIF(U$4:U817,"&gt;0"),0),0)</f>
        <v>0</v>
      </c>
      <c r="V818" s="417">
        <f t="shared" si="141"/>
        <v>815</v>
      </c>
      <c r="W818" s="509"/>
      <c r="X818" s="321"/>
      <c r="Y818" s="321"/>
      <c r="Z818" s="433"/>
      <c r="AA818" s="356"/>
      <c r="AB818" s="306" t="str">
        <f t="shared" si="136"/>
        <v/>
      </c>
      <c r="AC818" s="893">
        <f t="shared" si="137"/>
        <v>0</v>
      </c>
      <c r="AD818" s="322"/>
      <c r="AE818" s="1"/>
      <c r="AF818" s="223">
        <f>IF(ISBLANK(AD818),0,COUNTIF(AF$4:AF817,"&gt;0")+1)</f>
        <v>0</v>
      </c>
      <c r="AG818" s="164">
        <f t="shared" si="143"/>
        <v>0</v>
      </c>
      <c r="AH818" s="99">
        <f t="shared" si="138"/>
        <v>0</v>
      </c>
      <c r="AI818" s="99">
        <f t="shared" si="144"/>
        <v>0</v>
      </c>
      <c r="AJ818" s="170">
        <f t="shared" si="145"/>
        <v>0</v>
      </c>
      <c r="AK818" s="204">
        <f t="shared" si="139"/>
        <v>0</v>
      </c>
      <c r="AL818" s="1049">
        <f>IF(ISERROR(AO818),0,IF(AND(AN818&gt;=$U$1,AN818&lt;=$U$2),IF(AO818='ESTRATTO CONTO'!$E$2,1+COUNTIF(AL$4:AL817,"&gt;0")+U$1009,0),0))</f>
        <v>0</v>
      </c>
      <c r="AM818" s="747">
        <f t="shared" si="142"/>
        <v>815</v>
      </c>
      <c r="AN818" s="164" t="e">
        <f>VLOOKUP($AM818,PATRIMONIALE!$AV870:AW$1003,2,FALSE)</f>
        <v>#N/A</v>
      </c>
      <c r="AO818" s="310" t="e">
        <f>VLOOKUP($AM818,PATRIMONIALE!$AV870:AX$1003,3,FALSE)</f>
        <v>#N/A</v>
      </c>
      <c r="AP818" s="310" t="e">
        <f>VLOOKUP($AM818,PATRIMONIALE!$AV870:AY$1003,4,FALSE)</f>
        <v>#N/A</v>
      </c>
      <c r="AQ818" s="748" t="e">
        <f>VLOOKUP($AM818,PATRIMONIALE!$AV870:AZ$1003,5,FALSE)</f>
        <v>#N/A</v>
      </c>
      <c r="AR818" s="1"/>
      <c r="AS818" s="461" t="str">
        <f t="shared" si="140"/>
        <v/>
      </c>
      <c r="AT818" s="370"/>
    </row>
    <row r="819" spans="1:46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435">
        <f>IF(AND(W819&gt;=$U$1,W819&lt;=$U$2),IF(X819='ESTRATTO CONTO'!$E$2,1+COUNTIF(U$4:U818,"&gt;0"),0),0)</f>
        <v>0</v>
      </c>
      <c r="V819" s="417">
        <f t="shared" si="141"/>
        <v>816</v>
      </c>
      <c r="W819" s="509"/>
      <c r="X819" s="321"/>
      <c r="Y819" s="321"/>
      <c r="Z819" s="433"/>
      <c r="AA819" s="356"/>
      <c r="AB819" s="306" t="str">
        <f t="shared" si="136"/>
        <v/>
      </c>
      <c r="AC819" s="893">
        <f t="shared" si="137"/>
        <v>0</v>
      </c>
      <c r="AD819" s="322"/>
      <c r="AE819" s="1"/>
      <c r="AF819" s="223">
        <f>IF(ISBLANK(AD819),0,COUNTIF(AF$4:AF818,"&gt;0")+1)</f>
        <v>0</v>
      </c>
      <c r="AG819" s="164">
        <f t="shared" si="143"/>
        <v>0</v>
      </c>
      <c r="AH819" s="99">
        <f t="shared" si="138"/>
        <v>0</v>
      </c>
      <c r="AI819" s="99">
        <f t="shared" si="144"/>
        <v>0</v>
      </c>
      <c r="AJ819" s="170">
        <f t="shared" si="145"/>
        <v>0</v>
      </c>
      <c r="AK819" s="204">
        <f t="shared" si="139"/>
        <v>0</v>
      </c>
      <c r="AL819" s="1049">
        <f>IF(ISERROR(AO819),0,IF(AND(AN819&gt;=$U$1,AN819&lt;=$U$2),IF(AO819='ESTRATTO CONTO'!$E$2,1+COUNTIF(AL$4:AL818,"&gt;0")+U$1009,0),0))</f>
        <v>0</v>
      </c>
      <c r="AM819" s="747">
        <f t="shared" si="142"/>
        <v>816</v>
      </c>
      <c r="AN819" s="164" t="e">
        <f>VLOOKUP($AM819,PATRIMONIALE!$AV871:AW$1003,2,FALSE)</f>
        <v>#N/A</v>
      </c>
      <c r="AO819" s="310" t="e">
        <f>VLOOKUP($AM819,PATRIMONIALE!$AV871:AX$1003,3,FALSE)</f>
        <v>#N/A</v>
      </c>
      <c r="AP819" s="310" t="e">
        <f>VLOOKUP($AM819,PATRIMONIALE!$AV871:AY$1003,4,FALSE)</f>
        <v>#N/A</v>
      </c>
      <c r="AQ819" s="748" t="e">
        <f>VLOOKUP($AM819,PATRIMONIALE!$AV871:AZ$1003,5,FALSE)</f>
        <v>#N/A</v>
      </c>
      <c r="AR819" s="1"/>
      <c r="AS819" s="461" t="str">
        <f t="shared" si="140"/>
        <v/>
      </c>
      <c r="AT819" s="370"/>
    </row>
    <row r="820" spans="1:46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435">
        <f>IF(AND(W820&gt;=$U$1,W820&lt;=$U$2),IF(X820='ESTRATTO CONTO'!$E$2,1+COUNTIF(U$4:U819,"&gt;0"),0),0)</f>
        <v>0</v>
      </c>
      <c r="V820" s="417">
        <f t="shared" si="141"/>
        <v>817</v>
      </c>
      <c r="W820" s="509"/>
      <c r="X820" s="321"/>
      <c r="Y820" s="321"/>
      <c r="Z820" s="433"/>
      <c r="AA820" s="356"/>
      <c r="AB820" s="306" t="str">
        <f t="shared" si="136"/>
        <v/>
      </c>
      <c r="AC820" s="893">
        <f t="shared" si="137"/>
        <v>0</v>
      </c>
      <c r="AD820" s="322"/>
      <c r="AE820" s="1"/>
      <c r="AF820" s="223">
        <f>IF(ISBLANK(AD820),0,COUNTIF(AF$4:AF819,"&gt;0")+1)</f>
        <v>0</v>
      </c>
      <c r="AG820" s="164">
        <f t="shared" si="143"/>
        <v>0</v>
      </c>
      <c r="AH820" s="99">
        <f t="shared" si="138"/>
        <v>0</v>
      </c>
      <c r="AI820" s="99">
        <f t="shared" si="144"/>
        <v>0</v>
      </c>
      <c r="AJ820" s="170">
        <f t="shared" si="145"/>
        <v>0</v>
      </c>
      <c r="AK820" s="204">
        <f t="shared" si="139"/>
        <v>0</v>
      </c>
      <c r="AL820" s="1049">
        <f>IF(ISERROR(AO820),0,IF(AND(AN820&gt;=$U$1,AN820&lt;=$U$2),IF(AO820='ESTRATTO CONTO'!$E$2,1+COUNTIF(AL$4:AL819,"&gt;0")+U$1009,0),0))</f>
        <v>0</v>
      </c>
      <c r="AM820" s="747">
        <f t="shared" si="142"/>
        <v>817</v>
      </c>
      <c r="AN820" s="164" t="e">
        <f>VLOOKUP($AM820,PATRIMONIALE!$AV872:AW$1003,2,FALSE)</f>
        <v>#N/A</v>
      </c>
      <c r="AO820" s="310" t="e">
        <f>VLOOKUP($AM820,PATRIMONIALE!$AV872:AX$1003,3,FALSE)</f>
        <v>#N/A</v>
      </c>
      <c r="AP820" s="310" t="e">
        <f>VLOOKUP($AM820,PATRIMONIALE!$AV872:AY$1003,4,FALSE)</f>
        <v>#N/A</v>
      </c>
      <c r="AQ820" s="748" t="e">
        <f>VLOOKUP($AM820,PATRIMONIALE!$AV872:AZ$1003,5,FALSE)</f>
        <v>#N/A</v>
      </c>
      <c r="AR820" s="1"/>
      <c r="AS820" s="461" t="str">
        <f t="shared" si="140"/>
        <v/>
      </c>
      <c r="AT820" s="370"/>
    </row>
    <row r="821" spans="1:46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435">
        <f>IF(AND(W821&gt;=$U$1,W821&lt;=$U$2),IF(X821='ESTRATTO CONTO'!$E$2,1+COUNTIF(U$4:U820,"&gt;0"),0),0)</f>
        <v>0</v>
      </c>
      <c r="V821" s="417">
        <f t="shared" si="141"/>
        <v>818</v>
      </c>
      <c r="W821" s="509"/>
      <c r="X821" s="321"/>
      <c r="Y821" s="321"/>
      <c r="Z821" s="433"/>
      <c r="AA821" s="356"/>
      <c r="AB821" s="306" t="str">
        <f t="shared" si="136"/>
        <v/>
      </c>
      <c r="AC821" s="893">
        <f t="shared" si="137"/>
        <v>0</v>
      </c>
      <c r="AD821" s="322"/>
      <c r="AE821" s="1"/>
      <c r="AF821" s="223">
        <f>IF(ISBLANK(AD821),0,COUNTIF(AF$4:AF820,"&gt;0")+1)</f>
        <v>0</v>
      </c>
      <c r="AG821" s="164">
        <f t="shared" si="143"/>
        <v>0</v>
      </c>
      <c r="AH821" s="99">
        <f t="shared" si="138"/>
        <v>0</v>
      </c>
      <c r="AI821" s="99">
        <f t="shared" si="144"/>
        <v>0</v>
      </c>
      <c r="AJ821" s="170">
        <f t="shared" si="145"/>
        <v>0</v>
      </c>
      <c r="AK821" s="204">
        <f t="shared" si="139"/>
        <v>0</v>
      </c>
      <c r="AL821" s="1049">
        <f>IF(ISERROR(AO821),0,IF(AND(AN821&gt;=$U$1,AN821&lt;=$U$2),IF(AO821='ESTRATTO CONTO'!$E$2,1+COUNTIF(AL$4:AL820,"&gt;0")+U$1009,0),0))</f>
        <v>0</v>
      </c>
      <c r="AM821" s="747">
        <f t="shared" si="142"/>
        <v>818</v>
      </c>
      <c r="AN821" s="164" t="e">
        <f>VLOOKUP($AM821,PATRIMONIALE!$AV873:AW$1003,2,FALSE)</f>
        <v>#N/A</v>
      </c>
      <c r="AO821" s="310" t="e">
        <f>VLOOKUP($AM821,PATRIMONIALE!$AV873:AX$1003,3,FALSE)</f>
        <v>#N/A</v>
      </c>
      <c r="AP821" s="310" t="e">
        <f>VLOOKUP($AM821,PATRIMONIALE!$AV873:AY$1003,4,FALSE)</f>
        <v>#N/A</v>
      </c>
      <c r="AQ821" s="748" t="e">
        <f>VLOOKUP($AM821,PATRIMONIALE!$AV873:AZ$1003,5,FALSE)</f>
        <v>#N/A</v>
      </c>
      <c r="AR821" s="1"/>
      <c r="AS821" s="461" t="str">
        <f t="shared" si="140"/>
        <v/>
      </c>
      <c r="AT821" s="370"/>
    </row>
    <row r="822" spans="1:46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435">
        <f>IF(AND(W822&gt;=$U$1,W822&lt;=$U$2),IF(X822='ESTRATTO CONTO'!$E$2,1+COUNTIF(U$4:U821,"&gt;0"),0),0)</f>
        <v>0</v>
      </c>
      <c r="V822" s="417">
        <f t="shared" si="141"/>
        <v>819</v>
      </c>
      <c r="W822" s="509"/>
      <c r="X822" s="321"/>
      <c r="Y822" s="321"/>
      <c r="Z822" s="433"/>
      <c r="AA822" s="356"/>
      <c r="AB822" s="306" t="str">
        <f t="shared" si="136"/>
        <v/>
      </c>
      <c r="AC822" s="893">
        <f t="shared" si="137"/>
        <v>0</v>
      </c>
      <c r="AD822" s="322"/>
      <c r="AE822" s="1"/>
      <c r="AF822" s="223">
        <f>IF(ISBLANK(AD822),0,COUNTIF(AF$4:AF821,"&gt;0")+1)</f>
        <v>0</v>
      </c>
      <c r="AG822" s="164">
        <f t="shared" si="143"/>
        <v>0</v>
      </c>
      <c r="AH822" s="99">
        <f t="shared" si="138"/>
        <v>0</v>
      </c>
      <c r="AI822" s="99">
        <f t="shared" si="144"/>
        <v>0</v>
      </c>
      <c r="AJ822" s="170">
        <f t="shared" si="145"/>
        <v>0</v>
      </c>
      <c r="AK822" s="204">
        <f t="shared" si="139"/>
        <v>0</v>
      </c>
      <c r="AL822" s="1049">
        <f>IF(ISERROR(AO822),0,IF(AND(AN822&gt;=$U$1,AN822&lt;=$U$2),IF(AO822='ESTRATTO CONTO'!$E$2,1+COUNTIF(AL$4:AL821,"&gt;0")+U$1009,0),0))</f>
        <v>0</v>
      </c>
      <c r="AM822" s="747">
        <f t="shared" si="142"/>
        <v>819</v>
      </c>
      <c r="AN822" s="164" t="e">
        <f>VLOOKUP($AM822,PATRIMONIALE!$AV874:AW$1003,2,FALSE)</f>
        <v>#N/A</v>
      </c>
      <c r="AO822" s="310" t="e">
        <f>VLOOKUP($AM822,PATRIMONIALE!$AV874:AX$1003,3,FALSE)</f>
        <v>#N/A</v>
      </c>
      <c r="AP822" s="310" t="e">
        <f>VLOOKUP($AM822,PATRIMONIALE!$AV874:AY$1003,4,FALSE)</f>
        <v>#N/A</v>
      </c>
      <c r="AQ822" s="748" t="e">
        <f>VLOOKUP($AM822,PATRIMONIALE!$AV874:AZ$1003,5,FALSE)</f>
        <v>#N/A</v>
      </c>
      <c r="AR822" s="1"/>
      <c r="AS822" s="461" t="str">
        <f t="shared" si="140"/>
        <v/>
      </c>
      <c r="AT822" s="370"/>
    </row>
    <row r="823" spans="1:46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435">
        <f>IF(AND(W823&gt;=$U$1,W823&lt;=$U$2),IF(X823='ESTRATTO CONTO'!$E$2,1+COUNTIF(U$4:U822,"&gt;0"),0),0)</f>
        <v>0</v>
      </c>
      <c r="V823" s="417">
        <f t="shared" si="141"/>
        <v>820</v>
      </c>
      <c r="W823" s="509"/>
      <c r="X823" s="321"/>
      <c r="Y823" s="321"/>
      <c r="Z823" s="433"/>
      <c r="AA823" s="356"/>
      <c r="AB823" s="306" t="str">
        <f t="shared" si="136"/>
        <v/>
      </c>
      <c r="AC823" s="893">
        <f t="shared" si="137"/>
        <v>0</v>
      </c>
      <c r="AD823" s="322"/>
      <c r="AE823" s="1"/>
      <c r="AF823" s="223">
        <f>IF(ISBLANK(AD823),0,COUNTIF(AF$4:AF822,"&gt;0")+1)</f>
        <v>0</v>
      </c>
      <c r="AG823" s="164">
        <f t="shared" si="143"/>
        <v>0</v>
      </c>
      <c r="AH823" s="99">
        <f t="shared" si="138"/>
        <v>0</v>
      </c>
      <c r="AI823" s="99">
        <f t="shared" si="144"/>
        <v>0</v>
      </c>
      <c r="AJ823" s="170">
        <f t="shared" si="145"/>
        <v>0</v>
      </c>
      <c r="AK823" s="204">
        <f t="shared" si="139"/>
        <v>0</v>
      </c>
      <c r="AL823" s="1049">
        <f>IF(ISERROR(AO823),0,IF(AND(AN823&gt;=$U$1,AN823&lt;=$U$2),IF(AO823='ESTRATTO CONTO'!$E$2,1+COUNTIF(AL$4:AL822,"&gt;0")+U$1009,0),0))</f>
        <v>0</v>
      </c>
      <c r="AM823" s="747">
        <f t="shared" si="142"/>
        <v>820</v>
      </c>
      <c r="AN823" s="164" t="e">
        <f>VLOOKUP($AM823,PATRIMONIALE!$AV875:AW$1003,2,FALSE)</f>
        <v>#N/A</v>
      </c>
      <c r="AO823" s="310" t="e">
        <f>VLOOKUP($AM823,PATRIMONIALE!$AV875:AX$1003,3,FALSE)</f>
        <v>#N/A</v>
      </c>
      <c r="AP823" s="310" t="e">
        <f>VLOOKUP($AM823,PATRIMONIALE!$AV875:AY$1003,4,FALSE)</f>
        <v>#N/A</v>
      </c>
      <c r="AQ823" s="748" t="e">
        <f>VLOOKUP($AM823,PATRIMONIALE!$AV875:AZ$1003,5,FALSE)</f>
        <v>#N/A</v>
      </c>
      <c r="AR823" s="1"/>
      <c r="AS823" s="461" t="str">
        <f t="shared" si="140"/>
        <v/>
      </c>
      <c r="AT823" s="370"/>
    </row>
    <row r="824" spans="1:46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435">
        <f>IF(AND(W824&gt;=$U$1,W824&lt;=$U$2),IF(X824='ESTRATTO CONTO'!$E$2,1+COUNTIF(U$4:U823,"&gt;0"),0),0)</f>
        <v>0</v>
      </c>
      <c r="V824" s="417">
        <f t="shared" si="141"/>
        <v>821</v>
      </c>
      <c r="W824" s="509"/>
      <c r="X824" s="321"/>
      <c r="Y824" s="321"/>
      <c r="Z824" s="433"/>
      <c r="AA824" s="356"/>
      <c r="AB824" s="306" t="str">
        <f t="shared" si="136"/>
        <v/>
      </c>
      <c r="AC824" s="893">
        <f t="shared" si="137"/>
        <v>0</v>
      </c>
      <c r="AD824" s="322"/>
      <c r="AE824" s="1"/>
      <c r="AF824" s="223">
        <f>IF(ISBLANK(AD824),0,COUNTIF(AF$4:AF823,"&gt;0")+1)</f>
        <v>0</v>
      </c>
      <c r="AG824" s="164">
        <f t="shared" si="143"/>
        <v>0</v>
      </c>
      <c r="AH824" s="99">
        <f t="shared" si="138"/>
        <v>0</v>
      </c>
      <c r="AI824" s="99">
        <f t="shared" si="144"/>
        <v>0</v>
      </c>
      <c r="AJ824" s="170">
        <f t="shared" si="145"/>
        <v>0</v>
      </c>
      <c r="AK824" s="204">
        <f t="shared" si="139"/>
        <v>0</v>
      </c>
      <c r="AL824" s="1049">
        <f>IF(ISERROR(AO824),0,IF(AND(AN824&gt;=$U$1,AN824&lt;=$U$2),IF(AO824='ESTRATTO CONTO'!$E$2,1+COUNTIF(AL$4:AL823,"&gt;0")+U$1009,0),0))</f>
        <v>0</v>
      </c>
      <c r="AM824" s="747">
        <f t="shared" si="142"/>
        <v>821</v>
      </c>
      <c r="AN824" s="164" t="e">
        <f>VLOOKUP($AM824,PATRIMONIALE!$AV876:AW$1003,2,FALSE)</f>
        <v>#N/A</v>
      </c>
      <c r="AO824" s="310" t="e">
        <f>VLOOKUP($AM824,PATRIMONIALE!$AV876:AX$1003,3,FALSE)</f>
        <v>#N/A</v>
      </c>
      <c r="AP824" s="310" t="e">
        <f>VLOOKUP($AM824,PATRIMONIALE!$AV876:AY$1003,4,FALSE)</f>
        <v>#N/A</v>
      </c>
      <c r="AQ824" s="748" t="e">
        <f>VLOOKUP($AM824,PATRIMONIALE!$AV876:AZ$1003,5,FALSE)</f>
        <v>#N/A</v>
      </c>
      <c r="AR824" s="1"/>
      <c r="AS824" s="461" t="str">
        <f t="shared" si="140"/>
        <v/>
      </c>
      <c r="AT824" s="370"/>
    </row>
    <row r="825" spans="1:46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435">
        <f>IF(AND(W825&gt;=$U$1,W825&lt;=$U$2),IF(X825='ESTRATTO CONTO'!$E$2,1+COUNTIF(U$4:U824,"&gt;0"),0),0)</f>
        <v>0</v>
      </c>
      <c r="V825" s="417">
        <f t="shared" si="141"/>
        <v>822</v>
      </c>
      <c r="W825" s="509"/>
      <c r="X825" s="321"/>
      <c r="Y825" s="321"/>
      <c r="Z825" s="433"/>
      <c r="AA825" s="356"/>
      <c r="AB825" s="306" t="str">
        <f t="shared" si="136"/>
        <v/>
      </c>
      <c r="AC825" s="893">
        <f t="shared" si="137"/>
        <v>0</v>
      </c>
      <c r="AD825" s="322"/>
      <c r="AE825" s="1"/>
      <c r="AF825" s="223">
        <f>IF(ISBLANK(AD825),0,COUNTIF(AF$4:AF824,"&gt;0")+1)</f>
        <v>0</v>
      </c>
      <c r="AG825" s="164">
        <f t="shared" si="143"/>
        <v>0</v>
      </c>
      <c r="AH825" s="99">
        <f t="shared" si="138"/>
        <v>0</v>
      </c>
      <c r="AI825" s="99">
        <f t="shared" si="144"/>
        <v>0</v>
      </c>
      <c r="AJ825" s="170">
        <f t="shared" si="145"/>
        <v>0</v>
      </c>
      <c r="AK825" s="204">
        <f t="shared" si="139"/>
        <v>0</v>
      </c>
      <c r="AL825" s="1049">
        <f>IF(ISERROR(AO825),0,IF(AND(AN825&gt;=$U$1,AN825&lt;=$U$2),IF(AO825='ESTRATTO CONTO'!$E$2,1+COUNTIF(AL$4:AL824,"&gt;0")+U$1009,0),0))</f>
        <v>0</v>
      </c>
      <c r="AM825" s="747">
        <f t="shared" si="142"/>
        <v>822</v>
      </c>
      <c r="AN825" s="164" t="e">
        <f>VLOOKUP($AM825,PATRIMONIALE!$AV877:AW$1003,2,FALSE)</f>
        <v>#N/A</v>
      </c>
      <c r="AO825" s="310" t="e">
        <f>VLOOKUP($AM825,PATRIMONIALE!$AV877:AX$1003,3,FALSE)</f>
        <v>#N/A</v>
      </c>
      <c r="AP825" s="310" t="e">
        <f>VLOOKUP($AM825,PATRIMONIALE!$AV877:AY$1003,4,FALSE)</f>
        <v>#N/A</v>
      </c>
      <c r="AQ825" s="748" t="e">
        <f>VLOOKUP($AM825,PATRIMONIALE!$AV877:AZ$1003,5,FALSE)</f>
        <v>#N/A</v>
      </c>
      <c r="AR825" s="1"/>
      <c r="AS825" s="461" t="str">
        <f t="shared" si="140"/>
        <v/>
      </c>
      <c r="AT825" s="370"/>
    </row>
    <row r="826" spans="1:46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435">
        <f>IF(AND(W826&gt;=$U$1,W826&lt;=$U$2),IF(X826='ESTRATTO CONTO'!$E$2,1+COUNTIF(U$4:U825,"&gt;0"),0),0)</f>
        <v>0</v>
      </c>
      <c r="V826" s="417">
        <f t="shared" si="141"/>
        <v>823</v>
      </c>
      <c r="W826" s="509"/>
      <c r="X826" s="321"/>
      <c r="Y826" s="321"/>
      <c r="Z826" s="433"/>
      <c r="AA826" s="356"/>
      <c r="AB826" s="306" t="str">
        <f t="shared" si="136"/>
        <v/>
      </c>
      <c r="AC826" s="893">
        <f t="shared" si="137"/>
        <v>0</v>
      </c>
      <c r="AD826" s="322"/>
      <c r="AE826" s="1"/>
      <c r="AF826" s="223">
        <f>IF(ISBLANK(AD826),0,COUNTIF(AF$4:AF825,"&gt;0")+1)</f>
        <v>0</v>
      </c>
      <c r="AG826" s="164">
        <f t="shared" si="143"/>
        <v>0</v>
      </c>
      <c r="AH826" s="99">
        <f t="shared" si="138"/>
        <v>0</v>
      </c>
      <c r="AI826" s="99">
        <f t="shared" si="144"/>
        <v>0</v>
      </c>
      <c r="AJ826" s="170">
        <f t="shared" si="145"/>
        <v>0</v>
      </c>
      <c r="AK826" s="204">
        <f t="shared" si="139"/>
        <v>0</v>
      </c>
      <c r="AL826" s="1049">
        <f>IF(ISERROR(AO826),0,IF(AND(AN826&gt;=$U$1,AN826&lt;=$U$2),IF(AO826='ESTRATTO CONTO'!$E$2,1+COUNTIF(AL$4:AL825,"&gt;0")+U$1009,0),0))</f>
        <v>0</v>
      </c>
      <c r="AM826" s="747">
        <f t="shared" si="142"/>
        <v>823</v>
      </c>
      <c r="AN826" s="164" t="e">
        <f>VLOOKUP($AM826,PATRIMONIALE!$AV878:AW$1003,2,FALSE)</f>
        <v>#N/A</v>
      </c>
      <c r="AO826" s="310" t="e">
        <f>VLOOKUP($AM826,PATRIMONIALE!$AV878:AX$1003,3,FALSE)</f>
        <v>#N/A</v>
      </c>
      <c r="AP826" s="310" t="e">
        <f>VLOOKUP($AM826,PATRIMONIALE!$AV878:AY$1003,4,FALSE)</f>
        <v>#N/A</v>
      </c>
      <c r="AQ826" s="748" t="e">
        <f>VLOOKUP($AM826,PATRIMONIALE!$AV878:AZ$1003,5,FALSE)</f>
        <v>#N/A</v>
      </c>
      <c r="AR826" s="1"/>
      <c r="AS826" s="461" t="str">
        <f t="shared" si="140"/>
        <v/>
      </c>
      <c r="AT826" s="370"/>
    </row>
    <row r="827" spans="1:46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435">
        <f>IF(AND(W827&gt;=$U$1,W827&lt;=$U$2),IF(X827='ESTRATTO CONTO'!$E$2,1+COUNTIF(U$4:U826,"&gt;0"),0),0)</f>
        <v>0</v>
      </c>
      <c r="V827" s="417">
        <f t="shared" si="141"/>
        <v>824</v>
      </c>
      <c r="W827" s="509"/>
      <c r="X827" s="321"/>
      <c r="Y827" s="321"/>
      <c r="Z827" s="433"/>
      <c r="AA827" s="356"/>
      <c r="AB827" s="306" t="str">
        <f t="shared" si="136"/>
        <v/>
      </c>
      <c r="AC827" s="893">
        <f t="shared" si="137"/>
        <v>0</v>
      </c>
      <c r="AD827" s="322"/>
      <c r="AE827" s="1"/>
      <c r="AF827" s="223">
        <f>IF(ISBLANK(AD827),0,COUNTIF(AF$4:AF826,"&gt;0")+1)</f>
        <v>0</v>
      </c>
      <c r="AG827" s="164">
        <f t="shared" si="143"/>
        <v>0</v>
      </c>
      <c r="AH827" s="99">
        <f t="shared" si="138"/>
        <v>0</v>
      </c>
      <c r="AI827" s="99">
        <f t="shared" si="144"/>
        <v>0</v>
      </c>
      <c r="AJ827" s="170">
        <f t="shared" si="145"/>
        <v>0</v>
      </c>
      <c r="AK827" s="204">
        <f t="shared" si="139"/>
        <v>0</v>
      </c>
      <c r="AL827" s="1049">
        <f>IF(ISERROR(AO827),0,IF(AND(AN827&gt;=$U$1,AN827&lt;=$U$2),IF(AO827='ESTRATTO CONTO'!$E$2,1+COUNTIF(AL$4:AL826,"&gt;0")+U$1009,0),0))</f>
        <v>0</v>
      </c>
      <c r="AM827" s="747">
        <f t="shared" si="142"/>
        <v>824</v>
      </c>
      <c r="AN827" s="164" t="e">
        <f>VLOOKUP($AM827,PATRIMONIALE!$AV879:AW$1003,2,FALSE)</f>
        <v>#N/A</v>
      </c>
      <c r="AO827" s="310" t="e">
        <f>VLOOKUP($AM827,PATRIMONIALE!$AV879:AX$1003,3,FALSE)</f>
        <v>#N/A</v>
      </c>
      <c r="AP827" s="310" t="e">
        <f>VLOOKUP($AM827,PATRIMONIALE!$AV879:AY$1003,4,FALSE)</f>
        <v>#N/A</v>
      </c>
      <c r="AQ827" s="748" t="e">
        <f>VLOOKUP($AM827,PATRIMONIALE!$AV879:AZ$1003,5,FALSE)</f>
        <v>#N/A</v>
      </c>
      <c r="AR827" s="1"/>
      <c r="AS827" s="461" t="str">
        <f t="shared" si="140"/>
        <v/>
      </c>
      <c r="AT827" s="370"/>
    </row>
    <row r="828" spans="1:46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435">
        <f>IF(AND(W828&gt;=$U$1,W828&lt;=$U$2),IF(X828='ESTRATTO CONTO'!$E$2,1+COUNTIF(U$4:U827,"&gt;0"),0),0)</f>
        <v>0</v>
      </c>
      <c r="V828" s="417">
        <f t="shared" si="141"/>
        <v>825</v>
      </c>
      <c r="W828" s="509"/>
      <c r="X828" s="321"/>
      <c r="Y828" s="321"/>
      <c r="Z828" s="433"/>
      <c r="AA828" s="356"/>
      <c r="AB828" s="306" t="str">
        <f t="shared" si="136"/>
        <v/>
      </c>
      <c r="AC828" s="893">
        <f t="shared" si="137"/>
        <v>0</v>
      </c>
      <c r="AD828" s="322"/>
      <c r="AE828" s="1"/>
      <c r="AF828" s="223">
        <f>IF(ISBLANK(AD828),0,COUNTIF(AF$4:AF827,"&gt;0")+1)</f>
        <v>0</v>
      </c>
      <c r="AG828" s="164">
        <f t="shared" si="143"/>
        <v>0</v>
      </c>
      <c r="AH828" s="99">
        <f t="shared" si="138"/>
        <v>0</v>
      </c>
      <c r="AI828" s="99">
        <f t="shared" si="144"/>
        <v>0</v>
      </c>
      <c r="AJ828" s="170">
        <f t="shared" si="145"/>
        <v>0</v>
      </c>
      <c r="AK828" s="204">
        <f t="shared" si="139"/>
        <v>0</v>
      </c>
      <c r="AL828" s="1049">
        <f>IF(ISERROR(AO828),0,IF(AND(AN828&gt;=$U$1,AN828&lt;=$U$2),IF(AO828='ESTRATTO CONTO'!$E$2,1+COUNTIF(AL$4:AL827,"&gt;0")+U$1009,0),0))</f>
        <v>0</v>
      </c>
      <c r="AM828" s="747">
        <f t="shared" si="142"/>
        <v>825</v>
      </c>
      <c r="AN828" s="164" t="e">
        <f>VLOOKUP($AM828,PATRIMONIALE!$AV880:AW$1003,2,FALSE)</f>
        <v>#N/A</v>
      </c>
      <c r="AO828" s="310" t="e">
        <f>VLOOKUP($AM828,PATRIMONIALE!$AV880:AX$1003,3,FALSE)</f>
        <v>#N/A</v>
      </c>
      <c r="AP828" s="310" t="e">
        <f>VLOOKUP($AM828,PATRIMONIALE!$AV880:AY$1003,4,FALSE)</f>
        <v>#N/A</v>
      </c>
      <c r="AQ828" s="748" t="e">
        <f>VLOOKUP($AM828,PATRIMONIALE!$AV880:AZ$1003,5,FALSE)</f>
        <v>#N/A</v>
      </c>
      <c r="AR828" s="1"/>
      <c r="AS828" s="461" t="str">
        <f t="shared" si="140"/>
        <v/>
      </c>
      <c r="AT828" s="370"/>
    </row>
    <row r="829" spans="1:46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435">
        <f>IF(AND(W829&gt;=$U$1,W829&lt;=$U$2),IF(X829='ESTRATTO CONTO'!$E$2,1+COUNTIF(U$4:U828,"&gt;0"),0),0)</f>
        <v>0</v>
      </c>
      <c r="V829" s="417">
        <f t="shared" si="141"/>
        <v>826</v>
      </c>
      <c r="W829" s="509"/>
      <c r="X829" s="321"/>
      <c r="Y829" s="321"/>
      <c r="Z829" s="433"/>
      <c r="AA829" s="356"/>
      <c r="AB829" s="306" t="str">
        <f t="shared" si="136"/>
        <v/>
      </c>
      <c r="AC829" s="893">
        <f t="shared" si="137"/>
        <v>0</v>
      </c>
      <c r="AD829" s="322"/>
      <c r="AE829" s="1"/>
      <c r="AF829" s="223">
        <f>IF(ISBLANK(AD829),0,COUNTIF(AF$4:AF828,"&gt;0")+1)</f>
        <v>0</v>
      </c>
      <c r="AG829" s="164">
        <f t="shared" si="143"/>
        <v>0</v>
      </c>
      <c r="AH829" s="99">
        <f t="shared" si="138"/>
        <v>0</v>
      </c>
      <c r="AI829" s="99">
        <f t="shared" si="144"/>
        <v>0</v>
      </c>
      <c r="AJ829" s="170">
        <f t="shared" si="145"/>
        <v>0</v>
      </c>
      <c r="AK829" s="204">
        <f t="shared" si="139"/>
        <v>0</v>
      </c>
      <c r="AL829" s="1049">
        <f>IF(ISERROR(AO829),0,IF(AND(AN829&gt;=$U$1,AN829&lt;=$U$2),IF(AO829='ESTRATTO CONTO'!$E$2,1+COUNTIF(AL$4:AL828,"&gt;0")+U$1009,0),0))</f>
        <v>0</v>
      </c>
      <c r="AM829" s="747">
        <f t="shared" si="142"/>
        <v>826</v>
      </c>
      <c r="AN829" s="164" t="e">
        <f>VLOOKUP($AM829,PATRIMONIALE!$AV881:AW$1003,2,FALSE)</f>
        <v>#N/A</v>
      </c>
      <c r="AO829" s="310" t="e">
        <f>VLOOKUP($AM829,PATRIMONIALE!$AV881:AX$1003,3,FALSE)</f>
        <v>#N/A</v>
      </c>
      <c r="AP829" s="310" t="e">
        <f>VLOOKUP($AM829,PATRIMONIALE!$AV881:AY$1003,4,FALSE)</f>
        <v>#N/A</v>
      </c>
      <c r="AQ829" s="748" t="e">
        <f>VLOOKUP($AM829,PATRIMONIALE!$AV881:AZ$1003,5,FALSE)</f>
        <v>#N/A</v>
      </c>
      <c r="AR829" s="1"/>
      <c r="AS829" s="461" t="str">
        <f t="shared" si="140"/>
        <v/>
      </c>
      <c r="AT829" s="370"/>
    </row>
    <row r="830" spans="1:46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435">
        <f>IF(AND(W830&gt;=$U$1,W830&lt;=$U$2),IF(X830='ESTRATTO CONTO'!$E$2,1+COUNTIF(U$4:U829,"&gt;0"),0),0)</f>
        <v>0</v>
      </c>
      <c r="V830" s="417">
        <f t="shared" si="141"/>
        <v>827</v>
      </c>
      <c r="W830" s="509"/>
      <c r="X830" s="321"/>
      <c r="Y830" s="321"/>
      <c r="Z830" s="433"/>
      <c r="AA830" s="356"/>
      <c r="AB830" s="306" t="str">
        <f t="shared" si="136"/>
        <v/>
      </c>
      <c r="AC830" s="893">
        <f t="shared" si="137"/>
        <v>0</v>
      </c>
      <c r="AD830" s="322"/>
      <c r="AE830" s="1"/>
      <c r="AF830" s="223">
        <f>IF(ISBLANK(AD830),0,COUNTIF(AF$4:AF829,"&gt;0")+1)</f>
        <v>0</v>
      </c>
      <c r="AG830" s="164">
        <f t="shared" si="143"/>
        <v>0</v>
      </c>
      <c r="AH830" s="99">
        <f t="shared" si="138"/>
        <v>0</v>
      </c>
      <c r="AI830" s="99">
        <f t="shared" si="144"/>
        <v>0</v>
      </c>
      <c r="AJ830" s="170">
        <f t="shared" si="145"/>
        <v>0</v>
      </c>
      <c r="AK830" s="204">
        <f t="shared" si="139"/>
        <v>0</v>
      </c>
      <c r="AL830" s="1049">
        <f>IF(ISERROR(AO830),0,IF(AND(AN830&gt;=$U$1,AN830&lt;=$U$2),IF(AO830='ESTRATTO CONTO'!$E$2,1+COUNTIF(AL$4:AL829,"&gt;0")+U$1009,0),0))</f>
        <v>0</v>
      </c>
      <c r="AM830" s="747">
        <f t="shared" si="142"/>
        <v>827</v>
      </c>
      <c r="AN830" s="164" t="e">
        <f>VLOOKUP($AM830,PATRIMONIALE!$AV882:AW$1003,2,FALSE)</f>
        <v>#N/A</v>
      </c>
      <c r="AO830" s="310" t="e">
        <f>VLOOKUP($AM830,PATRIMONIALE!$AV882:AX$1003,3,FALSE)</f>
        <v>#N/A</v>
      </c>
      <c r="AP830" s="310" t="e">
        <f>VLOOKUP($AM830,PATRIMONIALE!$AV882:AY$1003,4,FALSE)</f>
        <v>#N/A</v>
      </c>
      <c r="AQ830" s="748" t="e">
        <f>VLOOKUP($AM830,PATRIMONIALE!$AV882:AZ$1003,5,FALSE)</f>
        <v>#N/A</v>
      </c>
      <c r="AR830" s="1"/>
      <c r="AS830" s="461" t="str">
        <f t="shared" si="140"/>
        <v/>
      </c>
      <c r="AT830" s="370"/>
    </row>
    <row r="831" spans="1:46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435">
        <f>IF(AND(W831&gt;=$U$1,W831&lt;=$U$2),IF(X831='ESTRATTO CONTO'!$E$2,1+COUNTIF(U$4:U830,"&gt;0"),0),0)</f>
        <v>0</v>
      </c>
      <c r="V831" s="417">
        <f t="shared" si="141"/>
        <v>828</v>
      </c>
      <c r="W831" s="509"/>
      <c r="X831" s="321"/>
      <c r="Y831" s="321"/>
      <c r="Z831" s="433"/>
      <c r="AA831" s="356"/>
      <c r="AB831" s="306" t="str">
        <f t="shared" si="136"/>
        <v/>
      </c>
      <c r="AC831" s="893">
        <f t="shared" si="137"/>
        <v>0</v>
      </c>
      <c r="AD831" s="322"/>
      <c r="AE831" s="1"/>
      <c r="AF831" s="223">
        <f>IF(ISBLANK(AD831),0,COUNTIF(AF$4:AF830,"&gt;0")+1)</f>
        <v>0</v>
      </c>
      <c r="AG831" s="164">
        <f t="shared" si="143"/>
        <v>0</v>
      </c>
      <c r="AH831" s="99">
        <f t="shared" si="138"/>
        <v>0</v>
      </c>
      <c r="AI831" s="99">
        <f t="shared" si="144"/>
        <v>0</v>
      </c>
      <c r="AJ831" s="170">
        <f t="shared" si="145"/>
        <v>0</v>
      </c>
      <c r="AK831" s="204">
        <f t="shared" si="139"/>
        <v>0</v>
      </c>
      <c r="AL831" s="1049">
        <f>IF(ISERROR(AO831),0,IF(AND(AN831&gt;=$U$1,AN831&lt;=$U$2),IF(AO831='ESTRATTO CONTO'!$E$2,1+COUNTIF(AL$4:AL830,"&gt;0")+U$1009,0),0))</f>
        <v>0</v>
      </c>
      <c r="AM831" s="747">
        <f t="shared" si="142"/>
        <v>828</v>
      </c>
      <c r="AN831" s="164" t="e">
        <f>VLOOKUP($AM831,PATRIMONIALE!$AV883:AW$1003,2,FALSE)</f>
        <v>#N/A</v>
      </c>
      <c r="AO831" s="310" t="e">
        <f>VLOOKUP($AM831,PATRIMONIALE!$AV883:AX$1003,3,FALSE)</f>
        <v>#N/A</v>
      </c>
      <c r="AP831" s="310" t="e">
        <f>VLOOKUP($AM831,PATRIMONIALE!$AV883:AY$1003,4,FALSE)</f>
        <v>#N/A</v>
      </c>
      <c r="AQ831" s="748" t="e">
        <f>VLOOKUP($AM831,PATRIMONIALE!$AV883:AZ$1003,5,FALSE)</f>
        <v>#N/A</v>
      </c>
      <c r="AR831" s="1"/>
      <c r="AS831" s="461" t="str">
        <f t="shared" si="140"/>
        <v/>
      </c>
      <c r="AT831" s="370"/>
    </row>
    <row r="832" spans="1:46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435">
        <f>IF(AND(W832&gt;=$U$1,W832&lt;=$U$2),IF(X832='ESTRATTO CONTO'!$E$2,1+COUNTIF(U$4:U831,"&gt;0"),0),0)</f>
        <v>0</v>
      </c>
      <c r="V832" s="417">
        <f t="shared" si="141"/>
        <v>829</v>
      </c>
      <c r="W832" s="509"/>
      <c r="X832" s="321"/>
      <c r="Y832" s="321"/>
      <c r="Z832" s="433"/>
      <c r="AA832" s="356"/>
      <c r="AB832" s="306" t="str">
        <f t="shared" si="136"/>
        <v/>
      </c>
      <c r="AC832" s="893">
        <f t="shared" si="137"/>
        <v>0</v>
      </c>
      <c r="AD832" s="322"/>
      <c r="AE832" s="1"/>
      <c r="AF832" s="223">
        <f>IF(ISBLANK(AD832),0,COUNTIF(AF$4:AF831,"&gt;0")+1)</f>
        <v>0</v>
      </c>
      <c r="AG832" s="164">
        <f t="shared" si="143"/>
        <v>0</v>
      </c>
      <c r="AH832" s="99">
        <f t="shared" si="138"/>
        <v>0</v>
      </c>
      <c r="AI832" s="99">
        <f t="shared" si="144"/>
        <v>0</v>
      </c>
      <c r="AJ832" s="170">
        <f t="shared" si="145"/>
        <v>0</v>
      </c>
      <c r="AK832" s="204">
        <f t="shared" si="139"/>
        <v>0</v>
      </c>
      <c r="AL832" s="1049">
        <f>IF(ISERROR(AO832),0,IF(AND(AN832&gt;=$U$1,AN832&lt;=$U$2),IF(AO832='ESTRATTO CONTO'!$E$2,1+COUNTIF(AL$4:AL831,"&gt;0")+U$1009,0),0))</f>
        <v>0</v>
      </c>
      <c r="AM832" s="747">
        <f t="shared" si="142"/>
        <v>829</v>
      </c>
      <c r="AN832" s="164" t="e">
        <f>VLOOKUP($AM832,PATRIMONIALE!$AV884:AW$1003,2,FALSE)</f>
        <v>#N/A</v>
      </c>
      <c r="AO832" s="310" t="e">
        <f>VLOOKUP($AM832,PATRIMONIALE!$AV884:AX$1003,3,FALSE)</f>
        <v>#N/A</v>
      </c>
      <c r="AP832" s="310" t="e">
        <f>VLOOKUP($AM832,PATRIMONIALE!$AV884:AY$1003,4,FALSE)</f>
        <v>#N/A</v>
      </c>
      <c r="AQ832" s="748" t="e">
        <f>VLOOKUP($AM832,PATRIMONIALE!$AV884:AZ$1003,5,FALSE)</f>
        <v>#N/A</v>
      </c>
      <c r="AR832" s="1"/>
      <c r="AS832" s="461" t="str">
        <f t="shared" si="140"/>
        <v/>
      </c>
      <c r="AT832" s="370"/>
    </row>
    <row r="833" spans="1:46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435">
        <f>IF(AND(W833&gt;=$U$1,W833&lt;=$U$2),IF(X833='ESTRATTO CONTO'!$E$2,1+COUNTIF(U$4:U832,"&gt;0"),0),0)</f>
        <v>0</v>
      </c>
      <c r="V833" s="417">
        <f t="shared" si="141"/>
        <v>830</v>
      </c>
      <c r="W833" s="509"/>
      <c r="X833" s="321"/>
      <c r="Y833" s="321"/>
      <c r="Z833" s="433"/>
      <c r="AA833" s="356"/>
      <c r="AB833" s="306" t="str">
        <f t="shared" si="136"/>
        <v/>
      </c>
      <c r="AC833" s="893">
        <f t="shared" si="137"/>
        <v>0</v>
      </c>
      <c r="AD833" s="322"/>
      <c r="AE833" s="1"/>
      <c r="AF833" s="223">
        <f>IF(ISBLANK(AD833),0,COUNTIF(AF$4:AF832,"&gt;0")+1)</f>
        <v>0</v>
      </c>
      <c r="AG833" s="164">
        <f t="shared" si="143"/>
        <v>0</v>
      </c>
      <c r="AH833" s="99">
        <f t="shared" si="138"/>
        <v>0</v>
      </c>
      <c r="AI833" s="99">
        <f t="shared" si="144"/>
        <v>0</v>
      </c>
      <c r="AJ833" s="170">
        <f t="shared" si="145"/>
        <v>0</v>
      </c>
      <c r="AK833" s="204">
        <f t="shared" si="139"/>
        <v>0</v>
      </c>
      <c r="AL833" s="1049">
        <f>IF(ISERROR(AO833),0,IF(AND(AN833&gt;=$U$1,AN833&lt;=$U$2),IF(AO833='ESTRATTO CONTO'!$E$2,1+COUNTIF(AL$4:AL832,"&gt;0")+U$1009,0),0))</f>
        <v>0</v>
      </c>
      <c r="AM833" s="747">
        <f t="shared" si="142"/>
        <v>830</v>
      </c>
      <c r="AN833" s="164" t="e">
        <f>VLOOKUP($AM833,PATRIMONIALE!$AV885:AW$1003,2,FALSE)</f>
        <v>#N/A</v>
      </c>
      <c r="AO833" s="310" t="e">
        <f>VLOOKUP($AM833,PATRIMONIALE!$AV885:AX$1003,3,FALSE)</f>
        <v>#N/A</v>
      </c>
      <c r="AP833" s="310" t="e">
        <f>VLOOKUP($AM833,PATRIMONIALE!$AV885:AY$1003,4,FALSE)</f>
        <v>#N/A</v>
      </c>
      <c r="AQ833" s="748" t="e">
        <f>VLOOKUP($AM833,PATRIMONIALE!$AV885:AZ$1003,5,FALSE)</f>
        <v>#N/A</v>
      </c>
      <c r="AR833" s="1"/>
      <c r="AS833" s="461" t="str">
        <f t="shared" si="140"/>
        <v/>
      </c>
      <c r="AT833" s="370"/>
    </row>
    <row r="834" spans="1:46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435">
        <f>IF(AND(W834&gt;=$U$1,W834&lt;=$U$2),IF(X834='ESTRATTO CONTO'!$E$2,1+COUNTIF(U$4:U833,"&gt;0"),0),0)</f>
        <v>0</v>
      </c>
      <c r="V834" s="417">
        <f t="shared" si="141"/>
        <v>831</v>
      </c>
      <c r="W834" s="509"/>
      <c r="X834" s="321"/>
      <c r="Y834" s="321"/>
      <c r="Z834" s="433"/>
      <c r="AA834" s="356"/>
      <c r="AB834" s="306" t="str">
        <f t="shared" si="136"/>
        <v/>
      </c>
      <c r="AC834" s="893">
        <f t="shared" si="137"/>
        <v>0</v>
      </c>
      <c r="AD834" s="322"/>
      <c r="AE834" s="1"/>
      <c r="AF834" s="223">
        <f>IF(ISBLANK(AD834),0,COUNTIF(AF$4:AF833,"&gt;0")+1)</f>
        <v>0</v>
      </c>
      <c r="AG834" s="164">
        <f t="shared" si="143"/>
        <v>0</v>
      </c>
      <c r="AH834" s="99">
        <f t="shared" si="138"/>
        <v>0</v>
      </c>
      <c r="AI834" s="99">
        <f t="shared" si="144"/>
        <v>0</v>
      </c>
      <c r="AJ834" s="170">
        <f t="shared" si="145"/>
        <v>0</v>
      </c>
      <c r="AK834" s="204">
        <f t="shared" si="139"/>
        <v>0</v>
      </c>
      <c r="AL834" s="1049">
        <f>IF(ISERROR(AO834),0,IF(AND(AN834&gt;=$U$1,AN834&lt;=$U$2),IF(AO834='ESTRATTO CONTO'!$E$2,1+COUNTIF(AL$4:AL833,"&gt;0")+U$1009,0),0))</f>
        <v>0</v>
      </c>
      <c r="AM834" s="747">
        <f t="shared" si="142"/>
        <v>831</v>
      </c>
      <c r="AN834" s="164" t="e">
        <f>VLOOKUP($AM834,PATRIMONIALE!$AV886:AW$1003,2,FALSE)</f>
        <v>#N/A</v>
      </c>
      <c r="AO834" s="310" t="e">
        <f>VLOOKUP($AM834,PATRIMONIALE!$AV886:AX$1003,3,FALSE)</f>
        <v>#N/A</v>
      </c>
      <c r="AP834" s="310" t="e">
        <f>VLOOKUP($AM834,PATRIMONIALE!$AV886:AY$1003,4,FALSE)</f>
        <v>#N/A</v>
      </c>
      <c r="AQ834" s="748" t="e">
        <f>VLOOKUP($AM834,PATRIMONIALE!$AV886:AZ$1003,5,FALSE)</f>
        <v>#N/A</v>
      </c>
      <c r="AR834" s="1"/>
      <c r="AS834" s="461" t="str">
        <f t="shared" si="140"/>
        <v/>
      </c>
      <c r="AT834" s="370"/>
    </row>
    <row r="835" spans="1:46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435">
        <f>IF(AND(W835&gt;=$U$1,W835&lt;=$U$2),IF(X835='ESTRATTO CONTO'!$E$2,1+COUNTIF(U$4:U834,"&gt;0"),0),0)</f>
        <v>0</v>
      </c>
      <c r="V835" s="417">
        <f t="shared" si="141"/>
        <v>832</v>
      </c>
      <c r="W835" s="509"/>
      <c r="X835" s="321"/>
      <c r="Y835" s="321"/>
      <c r="Z835" s="433"/>
      <c r="AA835" s="356"/>
      <c r="AB835" s="306" t="str">
        <f t="shared" si="136"/>
        <v/>
      </c>
      <c r="AC835" s="893">
        <f t="shared" si="137"/>
        <v>0</v>
      </c>
      <c r="AD835" s="322"/>
      <c r="AE835" s="1"/>
      <c r="AF835" s="223">
        <f>IF(ISBLANK(AD835),0,COUNTIF(AF$4:AF834,"&gt;0")+1)</f>
        <v>0</v>
      </c>
      <c r="AG835" s="164">
        <f t="shared" si="143"/>
        <v>0</v>
      </c>
      <c r="AH835" s="99">
        <f t="shared" si="138"/>
        <v>0</v>
      </c>
      <c r="AI835" s="99">
        <f t="shared" si="144"/>
        <v>0</v>
      </c>
      <c r="AJ835" s="170">
        <f t="shared" si="145"/>
        <v>0</v>
      </c>
      <c r="AK835" s="204">
        <f t="shared" si="139"/>
        <v>0</v>
      </c>
      <c r="AL835" s="1049">
        <f>IF(ISERROR(AO835),0,IF(AND(AN835&gt;=$U$1,AN835&lt;=$U$2),IF(AO835='ESTRATTO CONTO'!$E$2,1+COUNTIF(AL$4:AL834,"&gt;0")+U$1009,0),0))</f>
        <v>0</v>
      </c>
      <c r="AM835" s="747">
        <f t="shared" si="142"/>
        <v>832</v>
      </c>
      <c r="AN835" s="164" t="e">
        <f>VLOOKUP($AM835,PATRIMONIALE!$AV887:AW$1003,2,FALSE)</f>
        <v>#N/A</v>
      </c>
      <c r="AO835" s="310" t="e">
        <f>VLOOKUP($AM835,PATRIMONIALE!$AV887:AX$1003,3,FALSE)</f>
        <v>#N/A</v>
      </c>
      <c r="AP835" s="310" t="e">
        <f>VLOOKUP($AM835,PATRIMONIALE!$AV887:AY$1003,4,FALSE)</f>
        <v>#N/A</v>
      </c>
      <c r="AQ835" s="748" t="e">
        <f>VLOOKUP($AM835,PATRIMONIALE!$AV887:AZ$1003,5,FALSE)</f>
        <v>#N/A</v>
      </c>
      <c r="AR835" s="1"/>
      <c r="AS835" s="461" t="str">
        <f t="shared" si="140"/>
        <v/>
      </c>
      <c r="AT835" s="370"/>
    </row>
    <row r="836" spans="1:46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435">
        <f>IF(AND(W836&gt;=$U$1,W836&lt;=$U$2),IF(X836='ESTRATTO CONTO'!$E$2,1+COUNTIF(U$4:U835,"&gt;0"),0),0)</f>
        <v>0</v>
      </c>
      <c r="V836" s="417">
        <f t="shared" si="141"/>
        <v>833</v>
      </c>
      <c r="W836" s="509"/>
      <c r="X836" s="321"/>
      <c r="Y836" s="321"/>
      <c r="Z836" s="433"/>
      <c r="AA836" s="356"/>
      <c r="AB836" s="306" t="str">
        <f t="shared" ref="AB836:AB899" si="146">IF(X836="","",IF(W836&gt;0,IF(AND(W836&gt;=W$1012,W836&lt;=W$1013),CONCATENATE(X836,"-",MONTH(W836)),0),""))</f>
        <v/>
      </c>
      <c r="AC836" s="893">
        <f t="shared" ref="AC836:AC899" si="147">IF(AD836="",0,VLOOKUP(AD836,$AD$1025:$AD$1038,1,FALSE))</f>
        <v>0</v>
      </c>
      <c r="AD836" s="322"/>
      <c r="AE836" s="1"/>
      <c r="AF836" s="223">
        <f>IF(ISBLANK(AD836),0,COUNTIF(AF$4:AF835,"&gt;0")+1)</f>
        <v>0</v>
      </c>
      <c r="AG836" s="164">
        <f t="shared" si="143"/>
        <v>0</v>
      </c>
      <c r="AH836" s="99">
        <f t="shared" ref="AH836:AH899" si="148">IF($AF836=0,0,VLOOKUP(AD836,$AD$1025:$AH$1038,5,FALSE))</f>
        <v>0</v>
      </c>
      <c r="AI836" s="99">
        <f t="shared" si="144"/>
        <v>0</v>
      </c>
      <c r="AJ836" s="170">
        <f t="shared" si="145"/>
        <v>0</v>
      </c>
      <c r="AK836" s="204">
        <f t="shared" ref="AK836:AK899" si="149">X836</f>
        <v>0</v>
      </c>
      <c r="AL836" s="1049">
        <f>IF(ISERROR(AO836),0,IF(AND(AN836&gt;=$U$1,AN836&lt;=$U$2),IF(AO836='ESTRATTO CONTO'!$E$2,1+COUNTIF(AL$4:AL835,"&gt;0")+U$1009,0),0))</f>
        <v>0</v>
      </c>
      <c r="AM836" s="747">
        <f t="shared" si="142"/>
        <v>833</v>
      </c>
      <c r="AN836" s="164" t="e">
        <f>VLOOKUP($AM836,PATRIMONIALE!$AV888:AW$1003,2,FALSE)</f>
        <v>#N/A</v>
      </c>
      <c r="AO836" s="310" t="e">
        <f>VLOOKUP($AM836,PATRIMONIALE!$AV888:AX$1003,3,FALSE)</f>
        <v>#N/A</v>
      </c>
      <c r="AP836" s="310" t="e">
        <f>VLOOKUP($AM836,PATRIMONIALE!$AV888:AY$1003,4,FALSE)</f>
        <v>#N/A</v>
      </c>
      <c r="AQ836" s="748" t="e">
        <f>VLOOKUP($AM836,PATRIMONIALE!$AV888:AZ$1003,5,FALSE)</f>
        <v>#N/A</v>
      </c>
      <c r="AR836" s="1"/>
      <c r="AS836" s="461" t="str">
        <f t="shared" ref="AS836:AS899" si="150">IF(X836="","",IF(ISERROR(VLOOKUP(X836,B$9:E$13,1,FALSE)),1,0))</f>
        <v/>
      </c>
      <c r="AT836" s="370"/>
    </row>
    <row r="837" spans="1:46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435">
        <f>IF(AND(W837&gt;=$U$1,W837&lt;=$U$2),IF(X837='ESTRATTO CONTO'!$E$2,1+COUNTIF(U$4:U836,"&gt;0"),0),0)</f>
        <v>0</v>
      </c>
      <c r="V837" s="417">
        <f t="shared" si="141"/>
        <v>834</v>
      </c>
      <c r="W837" s="509"/>
      <c r="X837" s="321"/>
      <c r="Y837" s="321"/>
      <c r="Z837" s="433"/>
      <c r="AA837" s="356"/>
      <c r="AB837" s="306" t="str">
        <f t="shared" si="146"/>
        <v/>
      </c>
      <c r="AC837" s="893">
        <f t="shared" si="147"/>
        <v>0</v>
      </c>
      <c r="AD837" s="322"/>
      <c r="AE837" s="1"/>
      <c r="AF837" s="223">
        <f>IF(ISBLANK(AD837),0,COUNTIF(AF$4:AF836,"&gt;0")+1)</f>
        <v>0</v>
      </c>
      <c r="AG837" s="164">
        <f t="shared" si="143"/>
        <v>0</v>
      </c>
      <c r="AH837" s="99">
        <f t="shared" si="148"/>
        <v>0</v>
      </c>
      <c r="AI837" s="99">
        <f t="shared" si="144"/>
        <v>0</v>
      </c>
      <c r="AJ837" s="170">
        <f t="shared" si="145"/>
        <v>0</v>
      </c>
      <c r="AK837" s="204">
        <f t="shared" si="149"/>
        <v>0</v>
      </c>
      <c r="AL837" s="1049">
        <f>IF(ISERROR(AO837),0,IF(AND(AN837&gt;=$U$1,AN837&lt;=$U$2),IF(AO837='ESTRATTO CONTO'!$E$2,1+COUNTIF(AL$4:AL836,"&gt;0")+U$1009,0),0))</f>
        <v>0</v>
      </c>
      <c r="AM837" s="747">
        <f t="shared" si="142"/>
        <v>834</v>
      </c>
      <c r="AN837" s="164" t="e">
        <f>VLOOKUP($AM837,PATRIMONIALE!$AV889:AW$1003,2,FALSE)</f>
        <v>#N/A</v>
      </c>
      <c r="AO837" s="310" t="e">
        <f>VLOOKUP($AM837,PATRIMONIALE!$AV889:AX$1003,3,FALSE)</f>
        <v>#N/A</v>
      </c>
      <c r="AP837" s="310" t="e">
        <f>VLOOKUP($AM837,PATRIMONIALE!$AV889:AY$1003,4,FALSE)</f>
        <v>#N/A</v>
      </c>
      <c r="AQ837" s="748" t="e">
        <f>VLOOKUP($AM837,PATRIMONIALE!$AV889:AZ$1003,5,FALSE)</f>
        <v>#N/A</v>
      </c>
      <c r="AR837" s="1"/>
      <c r="AS837" s="461" t="str">
        <f t="shared" si="150"/>
        <v/>
      </c>
      <c r="AT837" s="370"/>
    </row>
    <row r="838" spans="1:46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435">
        <f>IF(AND(W838&gt;=$U$1,W838&lt;=$U$2),IF(X838='ESTRATTO CONTO'!$E$2,1+COUNTIF(U$4:U837,"&gt;0"),0),0)</f>
        <v>0</v>
      </c>
      <c r="V838" s="417">
        <f t="shared" ref="V838:V901" si="151">V837+1</f>
        <v>835</v>
      </c>
      <c r="W838" s="509"/>
      <c r="X838" s="321"/>
      <c r="Y838" s="321"/>
      <c r="Z838" s="433"/>
      <c r="AA838" s="356"/>
      <c r="AB838" s="306" t="str">
        <f t="shared" si="146"/>
        <v/>
      </c>
      <c r="AC838" s="893">
        <f t="shared" si="147"/>
        <v>0</v>
      </c>
      <c r="AD838" s="322"/>
      <c r="AE838" s="1"/>
      <c r="AF838" s="223">
        <f>IF(ISBLANK(AD838),0,COUNTIF(AF$4:AF837,"&gt;0")+1)</f>
        <v>0</v>
      </c>
      <c r="AG838" s="164">
        <f t="shared" si="143"/>
        <v>0</v>
      </c>
      <c r="AH838" s="99">
        <f t="shared" si="148"/>
        <v>0</v>
      </c>
      <c r="AI838" s="99">
        <f t="shared" si="144"/>
        <v>0</v>
      </c>
      <c r="AJ838" s="170">
        <f t="shared" si="145"/>
        <v>0</v>
      </c>
      <c r="AK838" s="204">
        <f t="shared" si="149"/>
        <v>0</v>
      </c>
      <c r="AL838" s="1049">
        <f>IF(ISERROR(AO838),0,IF(AND(AN838&gt;=$U$1,AN838&lt;=$U$2),IF(AO838='ESTRATTO CONTO'!$E$2,1+COUNTIF(AL$4:AL837,"&gt;0")+U$1009,0),0))</f>
        <v>0</v>
      </c>
      <c r="AM838" s="747">
        <f t="shared" ref="AM838:AM901" si="152">AM837+1</f>
        <v>835</v>
      </c>
      <c r="AN838" s="164" t="e">
        <f>VLOOKUP($AM838,PATRIMONIALE!$AV890:AW$1003,2,FALSE)</f>
        <v>#N/A</v>
      </c>
      <c r="AO838" s="310" t="e">
        <f>VLOOKUP($AM838,PATRIMONIALE!$AV890:AX$1003,3,FALSE)</f>
        <v>#N/A</v>
      </c>
      <c r="AP838" s="310" t="e">
        <f>VLOOKUP($AM838,PATRIMONIALE!$AV890:AY$1003,4,FALSE)</f>
        <v>#N/A</v>
      </c>
      <c r="AQ838" s="748" t="e">
        <f>VLOOKUP($AM838,PATRIMONIALE!$AV890:AZ$1003,5,FALSE)</f>
        <v>#N/A</v>
      </c>
      <c r="AR838" s="1"/>
      <c r="AS838" s="461" t="str">
        <f t="shared" si="150"/>
        <v/>
      </c>
      <c r="AT838" s="370"/>
    </row>
    <row r="839" spans="1:46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435">
        <f>IF(AND(W839&gt;=$U$1,W839&lt;=$U$2),IF(X839='ESTRATTO CONTO'!$E$2,1+COUNTIF(U$4:U838,"&gt;0"),0),0)</f>
        <v>0</v>
      </c>
      <c r="V839" s="417">
        <f t="shared" si="151"/>
        <v>836</v>
      </c>
      <c r="W839" s="509"/>
      <c r="X839" s="321"/>
      <c r="Y839" s="321"/>
      <c r="Z839" s="433"/>
      <c r="AA839" s="356"/>
      <c r="AB839" s="306" t="str">
        <f t="shared" si="146"/>
        <v/>
      </c>
      <c r="AC839" s="893">
        <f t="shared" si="147"/>
        <v>0</v>
      </c>
      <c r="AD839" s="322"/>
      <c r="AE839" s="1"/>
      <c r="AF839" s="223">
        <f>IF(ISBLANK(AD839),0,COUNTIF(AF$4:AF838,"&gt;0")+1)</f>
        <v>0</v>
      </c>
      <c r="AG839" s="164">
        <f t="shared" si="143"/>
        <v>0</v>
      </c>
      <c r="AH839" s="99">
        <f t="shared" si="148"/>
        <v>0</v>
      </c>
      <c r="AI839" s="99">
        <f t="shared" si="144"/>
        <v>0</v>
      </c>
      <c r="AJ839" s="170">
        <f t="shared" si="145"/>
        <v>0</v>
      </c>
      <c r="AK839" s="204">
        <f t="shared" si="149"/>
        <v>0</v>
      </c>
      <c r="AL839" s="1049">
        <f>IF(ISERROR(AO839),0,IF(AND(AN839&gt;=$U$1,AN839&lt;=$U$2),IF(AO839='ESTRATTO CONTO'!$E$2,1+COUNTIF(AL$4:AL838,"&gt;0")+U$1009,0),0))</f>
        <v>0</v>
      </c>
      <c r="AM839" s="747">
        <f t="shared" si="152"/>
        <v>836</v>
      </c>
      <c r="AN839" s="164" t="e">
        <f>VLOOKUP($AM839,PATRIMONIALE!$AV891:AW$1003,2,FALSE)</f>
        <v>#N/A</v>
      </c>
      <c r="AO839" s="310" t="e">
        <f>VLOOKUP($AM839,PATRIMONIALE!$AV891:AX$1003,3,FALSE)</f>
        <v>#N/A</v>
      </c>
      <c r="AP839" s="310" t="e">
        <f>VLOOKUP($AM839,PATRIMONIALE!$AV891:AY$1003,4,FALSE)</f>
        <v>#N/A</v>
      </c>
      <c r="AQ839" s="748" t="e">
        <f>VLOOKUP($AM839,PATRIMONIALE!$AV891:AZ$1003,5,FALSE)</f>
        <v>#N/A</v>
      </c>
      <c r="AR839" s="1"/>
      <c r="AS839" s="461" t="str">
        <f t="shared" si="150"/>
        <v/>
      </c>
      <c r="AT839" s="370"/>
    </row>
    <row r="840" spans="1:46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435">
        <f>IF(AND(W840&gt;=$U$1,W840&lt;=$U$2),IF(X840='ESTRATTO CONTO'!$E$2,1+COUNTIF(U$4:U839,"&gt;0"),0),0)</f>
        <v>0</v>
      </c>
      <c r="V840" s="417">
        <f t="shared" si="151"/>
        <v>837</v>
      </c>
      <c r="W840" s="509"/>
      <c r="X840" s="321"/>
      <c r="Y840" s="321"/>
      <c r="Z840" s="433"/>
      <c r="AA840" s="356"/>
      <c r="AB840" s="306" t="str">
        <f t="shared" si="146"/>
        <v/>
      </c>
      <c r="AC840" s="893">
        <f t="shared" si="147"/>
        <v>0</v>
      </c>
      <c r="AD840" s="322"/>
      <c r="AE840" s="1"/>
      <c r="AF840" s="223">
        <f>IF(ISBLANK(AD840),0,COUNTIF(AF$4:AF839,"&gt;0")+1)</f>
        <v>0</v>
      </c>
      <c r="AG840" s="164">
        <f t="shared" si="143"/>
        <v>0</v>
      </c>
      <c r="AH840" s="99">
        <f t="shared" si="148"/>
        <v>0</v>
      </c>
      <c r="AI840" s="99">
        <f t="shared" si="144"/>
        <v>0</v>
      </c>
      <c r="AJ840" s="170">
        <f t="shared" si="145"/>
        <v>0</v>
      </c>
      <c r="AK840" s="204">
        <f t="shared" si="149"/>
        <v>0</v>
      </c>
      <c r="AL840" s="1049">
        <f>IF(ISERROR(AO840),0,IF(AND(AN840&gt;=$U$1,AN840&lt;=$U$2),IF(AO840='ESTRATTO CONTO'!$E$2,1+COUNTIF(AL$4:AL839,"&gt;0")+U$1009,0),0))</f>
        <v>0</v>
      </c>
      <c r="AM840" s="747">
        <f t="shared" si="152"/>
        <v>837</v>
      </c>
      <c r="AN840" s="164" t="e">
        <f>VLOOKUP($AM840,PATRIMONIALE!$AV892:AW$1003,2,FALSE)</f>
        <v>#N/A</v>
      </c>
      <c r="AO840" s="310" t="e">
        <f>VLOOKUP($AM840,PATRIMONIALE!$AV892:AX$1003,3,FALSE)</f>
        <v>#N/A</v>
      </c>
      <c r="AP840" s="310" t="e">
        <f>VLOOKUP($AM840,PATRIMONIALE!$AV892:AY$1003,4,FALSE)</f>
        <v>#N/A</v>
      </c>
      <c r="AQ840" s="748" t="e">
        <f>VLOOKUP($AM840,PATRIMONIALE!$AV892:AZ$1003,5,FALSE)</f>
        <v>#N/A</v>
      </c>
      <c r="AR840" s="1"/>
      <c r="AS840" s="461" t="str">
        <f t="shared" si="150"/>
        <v/>
      </c>
      <c r="AT840" s="370"/>
    </row>
    <row r="841" spans="1:46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435">
        <f>IF(AND(W841&gt;=$U$1,W841&lt;=$U$2),IF(X841='ESTRATTO CONTO'!$E$2,1+COUNTIF(U$4:U840,"&gt;0"),0),0)</f>
        <v>0</v>
      </c>
      <c r="V841" s="417">
        <f t="shared" si="151"/>
        <v>838</v>
      </c>
      <c r="W841" s="509"/>
      <c r="X841" s="321"/>
      <c r="Y841" s="321"/>
      <c r="Z841" s="433"/>
      <c r="AA841" s="356"/>
      <c r="AB841" s="306" t="str">
        <f t="shared" si="146"/>
        <v/>
      </c>
      <c r="AC841" s="893">
        <f t="shared" si="147"/>
        <v>0</v>
      </c>
      <c r="AD841" s="322"/>
      <c r="AE841" s="1"/>
      <c r="AF841" s="223">
        <f>IF(ISBLANK(AD841),0,COUNTIF(AF$4:AF840,"&gt;0")+1)</f>
        <v>0</v>
      </c>
      <c r="AG841" s="164">
        <f t="shared" si="143"/>
        <v>0</v>
      </c>
      <c r="AH841" s="99">
        <f t="shared" si="148"/>
        <v>0</v>
      </c>
      <c r="AI841" s="99">
        <f t="shared" si="144"/>
        <v>0</v>
      </c>
      <c r="AJ841" s="170">
        <f t="shared" si="145"/>
        <v>0</v>
      </c>
      <c r="AK841" s="204">
        <f t="shared" si="149"/>
        <v>0</v>
      </c>
      <c r="AL841" s="1049">
        <f>IF(ISERROR(AO841),0,IF(AND(AN841&gt;=$U$1,AN841&lt;=$U$2),IF(AO841='ESTRATTO CONTO'!$E$2,1+COUNTIF(AL$4:AL840,"&gt;0")+U$1009,0),0))</f>
        <v>0</v>
      </c>
      <c r="AM841" s="747">
        <f t="shared" si="152"/>
        <v>838</v>
      </c>
      <c r="AN841" s="164" t="e">
        <f>VLOOKUP($AM841,PATRIMONIALE!$AV893:AW$1003,2,FALSE)</f>
        <v>#N/A</v>
      </c>
      <c r="AO841" s="310" t="e">
        <f>VLOOKUP($AM841,PATRIMONIALE!$AV893:AX$1003,3,FALSE)</f>
        <v>#N/A</v>
      </c>
      <c r="AP841" s="310" t="e">
        <f>VLOOKUP($AM841,PATRIMONIALE!$AV893:AY$1003,4,FALSE)</f>
        <v>#N/A</v>
      </c>
      <c r="AQ841" s="748" t="e">
        <f>VLOOKUP($AM841,PATRIMONIALE!$AV893:AZ$1003,5,FALSE)</f>
        <v>#N/A</v>
      </c>
      <c r="AR841" s="1"/>
      <c r="AS841" s="461" t="str">
        <f t="shared" si="150"/>
        <v/>
      </c>
      <c r="AT841" s="370"/>
    </row>
    <row r="842" spans="1:46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435">
        <f>IF(AND(W842&gt;=$U$1,W842&lt;=$U$2),IF(X842='ESTRATTO CONTO'!$E$2,1+COUNTIF(U$4:U841,"&gt;0"),0),0)</f>
        <v>0</v>
      </c>
      <c r="V842" s="417">
        <f t="shared" si="151"/>
        <v>839</v>
      </c>
      <c r="W842" s="509"/>
      <c r="X842" s="321"/>
      <c r="Y842" s="321"/>
      <c r="Z842" s="433"/>
      <c r="AA842" s="356"/>
      <c r="AB842" s="306" t="str">
        <f t="shared" si="146"/>
        <v/>
      </c>
      <c r="AC842" s="893">
        <f t="shared" si="147"/>
        <v>0</v>
      </c>
      <c r="AD842" s="322"/>
      <c r="AE842" s="1"/>
      <c r="AF842" s="223">
        <f>IF(ISBLANK(AD842),0,COUNTIF(AF$4:AF841,"&gt;0")+1)</f>
        <v>0</v>
      </c>
      <c r="AG842" s="164">
        <f t="shared" ref="AG842:AG905" si="153">IF($AF842=0,0,W842)</f>
        <v>0</v>
      </c>
      <c r="AH842" s="99">
        <f t="shared" si="148"/>
        <v>0</v>
      </c>
      <c r="AI842" s="99">
        <f t="shared" ref="AI842:AI905" si="154">IF($AF842=0,0,Y842)</f>
        <v>0</v>
      </c>
      <c r="AJ842" s="170">
        <f t="shared" ref="AJ842:AJ905" si="155">IF($AF842=0,0,IF(RIGHT(AD842)="-",IF(Z842&gt;0,Z842*-1,Z842),Z842))</f>
        <v>0</v>
      </c>
      <c r="AK842" s="204">
        <f t="shared" si="149"/>
        <v>0</v>
      </c>
      <c r="AL842" s="1049">
        <f>IF(ISERROR(AO842),0,IF(AND(AN842&gt;=$U$1,AN842&lt;=$U$2),IF(AO842='ESTRATTO CONTO'!$E$2,1+COUNTIF(AL$4:AL841,"&gt;0")+U$1009,0),0))</f>
        <v>0</v>
      </c>
      <c r="AM842" s="747">
        <f t="shared" si="152"/>
        <v>839</v>
      </c>
      <c r="AN842" s="164" t="e">
        <f>VLOOKUP($AM842,PATRIMONIALE!$AV894:AW$1003,2,FALSE)</f>
        <v>#N/A</v>
      </c>
      <c r="AO842" s="310" t="e">
        <f>VLOOKUP($AM842,PATRIMONIALE!$AV894:AX$1003,3,FALSE)</f>
        <v>#N/A</v>
      </c>
      <c r="AP842" s="310" t="e">
        <f>VLOOKUP($AM842,PATRIMONIALE!$AV894:AY$1003,4,FALSE)</f>
        <v>#N/A</v>
      </c>
      <c r="AQ842" s="748" t="e">
        <f>VLOOKUP($AM842,PATRIMONIALE!$AV894:AZ$1003,5,FALSE)</f>
        <v>#N/A</v>
      </c>
      <c r="AR842" s="1"/>
      <c r="AS842" s="461" t="str">
        <f t="shared" si="150"/>
        <v/>
      </c>
      <c r="AT842" s="370"/>
    </row>
    <row r="843" spans="1:46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435">
        <f>IF(AND(W843&gt;=$U$1,W843&lt;=$U$2),IF(X843='ESTRATTO CONTO'!$E$2,1+COUNTIF(U$4:U842,"&gt;0"),0),0)</f>
        <v>0</v>
      </c>
      <c r="V843" s="417">
        <f t="shared" si="151"/>
        <v>840</v>
      </c>
      <c r="W843" s="509"/>
      <c r="X843" s="321"/>
      <c r="Y843" s="321"/>
      <c r="Z843" s="433"/>
      <c r="AA843" s="356"/>
      <c r="AB843" s="306" t="str">
        <f t="shared" si="146"/>
        <v/>
      </c>
      <c r="AC843" s="893">
        <f t="shared" si="147"/>
        <v>0</v>
      </c>
      <c r="AD843" s="322"/>
      <c r="AE843" s="1"/>
      <c r="AF843" s="223">
        <f>IF(ISBLANK(AD843),0,COUNTIF(AF$4:AF842,"&gt;0")+1)</f>
        <v>0</v>
      </c>
      <c r="AG843" s="164">
        <f t="shared" si="153"/>
        <v>0</v>
      </c>
      <c r="AH843" s="99">
        <f t="shared" si="148"/>
        <v>0</v>
      </c>
      <c r="AI843" s="99">
        <f t="shared" si="154"/>
        <v>0</v>
      </c>
      <c r="AJ843" s="170">
        <f t="shared" si="155"/>
        <v>0</v>
      </c>
      <c r="AK843" s="204">
        <f t="shared" si="149"/>
        <v>0</v>
      </c>
      <c r="AL843" s="1049">
        <f>IF(ISERROR(AO843),0,IF(AND(AN843&gt;=$U$1,AN843&lt;=$U$2),IF(AO843='ESTRATTO CONTO'!$E$2,1+COUNTIF(AL$4:AL842,"&gt;0")+U$1009,0),0))</f>
        <v>0</v>
      </c>
      <c r="AM843" s="747">
        <f t="shared" si="152"/>
        <v>840</v>
      </c>
      <c r="AN843" s="164" t="e">
        <f>VLOOKUP($AM843,PATRIMONIALE!$AV895:AW$1003,2,FALSE)</f>
        <v>#N/A</v>
      </c>
      <c r="AO843" s="310" t="e">
        <f>VLOOKUP($AM843,PATRIMONIALE!$AV895:AX$1003,3,FALSE)</f>
        <v>#N/A</v>
      </c>
      <c r="AP843" s="310" t="e">
        <f>VLOOKUP($AM843,PATRIMONIALE!$AV895:AY$1003,4,FALSE)</f>
        <v>#N/A</v>
      </c>
      <c r="AQ843" s="748" t="e">
        <f>VLOOKUP($AM843,PATRIMONIALE!$AV895:AZ$1003,5,FALSE)</f>
        <v>#N/A</v>
      </c>
      <c r="AR843" s="1"/>
      <c r="AS843" s="461" t="str">
        <f t="shared" si="150"/>
        <v/>
      </c>
      <c r="AT843" s="370"/>
    </row>
    <row r="844" spans="1:46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435">
        <f>IF(AND(W844&gt;=$U$1,W844&lt;=$U$2),IF(X844='ESTRATTO CONTO'!$E$2,1+COUNTIF(U$4:U843,"&gt;0"),0),0)</f>
        <v>0</v>
      </c>
      <c r="V844" s="417">
        <f t="shared" si="151"/>
        <v>841</v>
      </c>
      <c r="W844" s="509"/>
      <c r="X844" s="321"/>
      <c r="Y844" s="321"/>
      <c r="Z844" s="433"/>
      <c r="AA844" s="356"/>
      <c r="AB844" s="306" t="str">
        <f t="shared" si="146"/>
        <v/>
      </c>
      <c r="AC844" s="893">
        <f t="shared" si="147"/>
        <v>0</v>
      </c>
      <c r="AD844" s="322"/>
      <c r="AE844" s="1"/>
      <c r="AF844" s="223">
        <f>IF(ISBLANK(AD844),0,COUNTIF(AF$4:AF843,"&gt;0")+1)</f>
        <v>0</v>
      </c>
      <c r="AG844" s="164">
        <f t="shared" si="153"/>
        <v>0</v>
      </c>
      <c r="AH844" s="99">
        <f t="shared" si="148"/>
        <v>0</v>
      </c>
      <c r="AI844" s="99">
        <f t="shared" si="154"/>
        <v>0</v>
      </c>
      <c r="AJ844" s="170">
        <f t="shared" si="155"/>
        <v>0</v>
      </c>
      <c r="AK844" s="204">
        <f t="shared" si="149"/>
        <v>0</v>
      </c>
      <c r="AL844" s="1049">
        <f>IF(ISERROR(AO844),0,IF(AND(AN844&gt;=$U$1,AN844&lt;=$U$2),IF(AO844='ESTRATTO CONTO'!$E$2,1+COUNTIF(AL$4:AL843,"&gt;0")+U$1009,0),0))</f>
        <v>0</v>
      </c>
      <c r="AM844" s="747">
        <f t="shared" si="152"/>
        <v>841</v>
      </c>
      <c r="AN844" s="164" t="e">
        <f>VLOOKUP($AM844,PATRIMONIALE!$AV896:AW$1003,2,FALSE)</f>
        <v>#N/A</v>
      </c>
      <c r="AO844" s="310" t="e">
        <f>VLOOKUP($AM844,PATRIMONIALE!$AV896:AX$1003,3,FALSE)</f>
        <v>#N/A</v>
      </c>
      <c r="AP844" s="310" t="e">
        <f>VLOOKUP($AM844,PATRIMONIALE!$AV896:AY$1003,4,FALSE)</f>
        <v>#N/A</v>
      </c>
      <c r="AQ844" s="748" t="e">
        <f>VLOOKUP($AM844,PATRIMONIALE!$AV896:AZ$1003,5,FALSE)</f>
        <v>#N/A</v>
      </c>
      <c r="AR844" s="1"/>
      <c r="AS844" s="461" t="str">
        <f t="shared" si="150"/>
        <v/>
      </c>
      <c r="AT844" s="370"/>
    </row>
    <row r="845" spans="1:46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435">
        <f>IF(AND(W845&gt;=$U$1,W845&lt;=$U$2),IF(X845='ESTRATTO CONTO'!$E$2,1+COUNTIF(U$4:U844,"&gt;0"),0),0)</f>
        <v>0</v>
      </c>
      <c r="V845" s="417">
        <f t="shared" si="151"/>
        <v>842</v>
      </c>
      <c r="W845" s="509"/>
      <c r="X845" s="321"/>
      <c r="Y845" s="321"/>
      <c r="Z845" s="433"/>
      <c r="AA845" s="356"/>
      <c r="AB845" s="306" t="str">
        <f t="shared" si="146"/>
        <v/>
      </c>
      <c r="AC845" s="893">
        <f t="shared" si="147"/>
        <v>0</v>
      </c>
      <c r="AD845" s="322"/>
      <c r="AE845" s="1"/>
      <c r="AF845" s="223">
        <f>IF(ISBLANK(AD845),0,COUNTIF(AF$4:AF844,"&gt;0")+1)</f>
        <v>0</v>
      </c>
      <c r="AG845" s="164">
        <f t="shared" si="153"/>
        <v>0</v>
      </c>
      <c r="AH845" s="99">
        <f t="shared" si="148"/>
        <v>0</v>
      </c>
      <c r="AI845" s="99">
        <f t="shared" si="154"/>
        <v>0</v>
      </c>
      <c r="AJ845" s="170">
        <f t="shared" si="155"/>
        <v>0</v>
      </c>
      <c r="AK845" s="204">
        <f t="shared" si="149"/>
        <v>0</v>
      </c>
      <c r="AL845" s="1049">
        <f>IF(ISERROR(AO845),0,IF(AND(AN845&gt;=$U$1,AN845&lt;=$U$2),IF(AO845='ESTRATTO CONTO'!$E$2,1+COUNTIF(AL$4:AL844,"&gt;0")+U$1009,0),0))</f>
        <v>0</v>
      </c>
      <c r="AM845" s="747">
        <f t="shared" si="152"/>
        <v>842</v>
      </c>
      <c r="AN845" s="164" t="e">
        <f>VLOOKUP($AM845,PATRIMONIALE!$AV897:AW$1003,2,FALSE)</f>
        <v>#N/A</v>
      </c>
      <c r="AO845" s="310" t="e">
        <f>VLOOKUP($AM845,PATRIMONIALE!$AV897:AX$1003,3,FALSE)</f>
        <v>#N/A</v>
      </c>
      <c r="AP845" s="310" t="e">
        <f>VLOOKUP($AM845,PATRIMONIALE!$AV897:AY$1003,4,FALSE)</f>
        <v>#N/A</v>
      </c>
      <c r="AQ845" s="748" t="e">
        <f>VLOOKUP($AM845,PATRIMONIALE!$AV897:AZ$1003,5,FALSE)</f>
        <v>#N/A</v>
      </c>
      <c r="AR845" s="1"/>
      <c r="AS845" s="461" t="str">
        <f t="shared" si="150"/>
        <v/>
      </c>
      <c r="AT845" s="370"/>
    </row>
    <row r="846" spans="1:46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435">
        <f>IF(AND(W846&gt;=$U$1,W846&lt;=$U$2),IF(X846='ESTRATTO CONTO'!$E$2,1+COUNTIF(U$4:U845,"&gt;0"),0),0)</f>
        <v>0</v>
      </c>
      <c r="V846" s="417">
        <f t="shared" si="151"/>
        <v>843</v>
      </c>
      <c r="W846" s="509"/>
      <c r="X846" s="321"/>
      <c r="Y846" s="321"/>
      <c r="Z846" s="433"/>
      <c r="AA846" s="356"/>
      <c r="AB846" s="306" t="str">
        <f t="shared" si="146"/>
        <v/>
      </c>
      <c r="AC846" s="893">
        <f t="shared" si="147"/>
        <v>0</v>
      </c>
      <c r="AD846" s="322"/>
      <c r="AE846" s="1"/>
      <c r="AF846" s="223">
        <f>IF(ISBLANK(AD846),0,COUNTIF(AF$4:AF845,"&gt;0")+1)</f>
        <v>0</v>
      </c>
      <c r="AG846" s="164">
        <f t="shared" si="153"/>
        <v>0</v>
      </c>
      <c r="AH846" s="99">
        <f t="shared" si="148"/>
        <v>0</v>
      </c>
      <c r="AI846" s="99">
        <f t="shared" si="154"/>
        <v>0</v>
      </c>
      <c r="AJ846" s="170">
        <f t="shared" si="155"/>
        <v>0</v>
      </c>
      <c r="AK846" s="204">
        <f t="shared" si="149"/>
        <v>0</v>
      </c>
      <c r="AL846" s="1049">
        <f>IF(ISERROR(AO846),0,IF(AND(AN846&gt;=$U$1,AN846&lt;=$U$2),IF(AO846='ESTRATTO CONTO'!$E$2,1+COUNTIF(AL$4:AL845,"&gt;0")+U$1009,0),0))</f>
        <v>0</v>
      </c>
      <c r="AM846" s="747">
        <f t="shared" si="152"/>
        <v>843</v>
      </c>
      <c r="AN846" s="164" t="e">
        <f>VLOOKUP($AM846,PATRIMONIALE!$AV898:AW$1003,2,FALSE)</f>
        <v>#N/A</v>
      </c>
      <c r="AO846" s="310" t="e">
        <f>VLOOKUP($AM846,PATRIMONIALE!$AV898:AX$1003,3,FALSE)</f>
        <v>#N/A</v>
      </c>
      <c r="AP846" s="310" t="e">
        <f>VLOOKUP($AM846,PATRIMONIALE!$AV898:AY$1003,4,FALSE)</f>
        <v>#N/A</v>
      </c>
      <c r="AQ846" s="748" t="e">
        <f>VLOOKUP($AM846,PATRIMONIALE!$AV898:AZ$1003,5,FALSE)</f>
        <v>#N/A</v>
      </c>
      <c r="AR846" s="1"/>
      <c r="AS846" s="461" t="str">
        <f t="shared" si="150"/>
        <v/>
      </c>
      <c r="AT846" s="370"/>
    </row>
    <row r="847" spans="1:46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435">
        <f>IF(AND(W847&gt;=$U$1,W847&lt;=$U$2),IF(X847='ESTRATTO CONTO'!$E$2,1+COUNTIF(U$4:U846,"&gt;0"),0),0)</f>
        <v>0</v>
      </c>
      <c r="V847" s="417">
        <f t="shared" si="151"/>
        <v>844</v>
      </c>
      <c r="W847" s="509"/>
      <c r="X847" s="321"/>
      <c r="Y847" s="321"/>
      <c r="Z847" s="433"/>
      <c r="AA847" s="356"/>
      <c r="AB847" s="306" t="str">
        <f t="shared" si="146"/>
        <v/>
      </c>
      <c r="AC847" s="893">
        <f t="shared" si="147"/>
        <v>0</v>
      </c>
      <c r="AD847" s="322"/>
      <c r="AE847" s="1"/>
      <c r="AF847" s="223">
        <f>IF(ISBLANK(AD847),0,COUNTIF(AF$4:AF846,"&gt;0")+1)</f>
        <v>0</v>
      </c>
      <c r="AG847" s="164">
        <f t="shared" si="153"/>
        <v>0</v>
      </c>
      <c r="AH847" s="99">
        <f t="shared" si="148"/>
        <v>0</v>
      </c>
      <c r="AI847" s="99">
        <f t="shared" si="154"/>
        <v>0</v>
      </c>
      <c r="AJ847" s="170">
        <f t="shared" si="155"/>
        <v>0</v>
      </c>
      <c r="AK847" s="204">
        <f t="shared" si="149"/>
        <v>0</v>
      </c>
      <c r="AL847" s="1049">
        <f>IF(ISERROR(AO847),0,IF(AND(AN847&gt;=$U$1,AN847&lt;=$U$2),IF(AO847='ESTRATTO CONTO'!$E$2,1+COUNTIF(AL$4:AL846,"&gt;0")+U$1009,0),0))</f>
        <v>0</v>
      </c>
      <c r="AM847" s="747">
        <f t="shared" si="152"/>
        <v>844</v>
      </c>
      <c r="AN847" s="164" t="e">
        <f>VLOOKUP($AM847,PATRIMONIALE!$AV899:AW$1003,2,FALSE)</f>
        <v>#N/A</v>
      </c>
      <c r="AO847" s="310" t="e">
        <f>VLOOKUP($AM847,PATRIMONIALE!$AV899:AX$1003,3,FALSE)</f>
        <v>#N/A</v>
      </c>
      <c r="AP847" s="310" t="e">
        <f>VLOOKUP($AM847,PATRIMONIALE!$AV899:AY$1003,4,FALSE)</f>
        <v>#N/A</v>
      </c>
      <c r="AQ847" s="748" t="e">
        <f>VLOOKUP($AM847,PATRIMONIALE!$AV899:AZ$1003,5,FALSE)</f>
        <v>#N/A</v>
      </c>
      <c r="AR847" s="1"/>
      <c r="AS847" s="461" t="str">
        <f t="shared" si="150"/>
        <v/>
      </c>
      <c r="AT847" s="370"/>
    </row>
    <row r="848" spans="1:46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435">
        <f>IF(AND(W848&gt;=$U$1,W848&lt;=$U$2),IF(X848='ESTRATTO CONTO'!$E$2,1+COUNTIF(U$4:U847,"&gt;0"),0),0)</f>
        <v>0</v>
      </c>
      <c r="V848" s="417">
        <f t="shared" si="151"/>
        <v>845</v>
      </c>
      <c r="W848" s="509"/>
      <c r="X848" s="321"/>
      <c r="Y848" s="321"/>
      <c r="Z848" s="433"/>
      <c r="AA848" s="356"/>
      <c r="AB848" s="306" t="str">
        <f t="shared" si="146"/>
        <v/>
      </c>
      <c r="AC848" s="893">
        <f t="shared" si="147"/>
        <v>0</v>
      </c>
      <c r="AD848" s="322"/>
      <c r="AE848" s="1"/>
      <c r="AF848" s="223">
        <f>IF(ISBLANK(AD848),0,COUNTIF(AF$4:AF847,"&gt;0")+1)</f>
        <v>0</v>
      </c>
      <c r="AG848" s="164">
        <f t="shared" si="153"/>
        <v>0</v>
      </c>
      <c r="AH848" s="99">
        <f t="shared" si="148"/>
        <v>0</v>
      </c>
      <c r="AI848" s="99">
        <f t="shared" si="154"/>
        <v>0</v>
      </c>
      <c r="AJ848" s="170">
        <f t="shared" si="155"/>
        <v>0</v>
      </c>
      <c r="AK848" s="204">
        <f t="shared" si="149"/>
        <v>0</v>
      </c>
      <c r="AL848" s="1049">
        <f>IF(ISERROR(AO848),0,IF(AND(AN848&gt;=$U$1,AN848&lt;=$U$2),IF(AO848='ESTRATTO CONTO'!$E$2,1+COUNTIF(AL$4:AL847,"&gt;0")+U$1009,0),0))</f>
        <v>0</v>
      </c>
      <c r="AM848" s="747">
        <f t="shared" si="152"/>
        <v>845</v>
      </c>
      <c r="AN848" s="164" t="e">
        <f>VLOOKUP($AM848,PATRIMONIALE!$AV900:AW$1003,2,FALSE)</f>
        <v>#N/A</v>
      </c>
      <c r="AO848" s="310" t="e">
        <f>VLOOKUP($AM848,PATRIMONIALE!$AV900:AX$1003,3,FALSE)</f>
        <v>#N/A</v>
      </c>
      <c r="AP848" s="310" t="e">
        <f>VLOOKUP($AM848,PATRIMONIALE!$AV900:AY$1003,4,FALSE)</f>
        <v>#N/A</v>
      </c>
      <c r="AQ848" s="748" t="e">
        <f>VLOOKUP($AM848,PATRIMONIALE!$AV900:AZ$1003,5,FALSE)</f>
        <v>#N/A</v>
      </c>
      <c r="AR848" s="1"/>
      <c r="AS848" s="461" t="str">
        <f t="shared" si="150"/>
        <v/>
      </c>
      <c r="AT848" s="370"/>
    </row>
    <row r="849" spans="1:46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435">
        <f>IF(AND(W849&gt;=$U$1,W849&lt;=$U$2),IF(X849='ESTRATTO CONTO'!$E$2,1+COUNTIF(U$4:U848,"&gt;0"),0),0)</f>
        <v>0</v>
      </c>
      <c r="V849" s="417">
        <f t="shared" si="151"/>
        <v>846</v>
      </c>
      <c r="W849" s="509"/>
      <c r="X849" s="321"/>
      <c r="Y849" s="321"/>
      <c r="Z849" s="433"/>
      <c r="AA849" s="356"/>
      <c r="AB849" s="306" t="str">
        <f t="shared" si="146"/>
        <v/>
      </c>
      <c r="AC849" s="893">
        <f t="shared" si="147"/>
        <v>0</v>
      </c>
      <c r="AD849" s="322"/>
      <c r="AE849" s="1"/>
      <c r="AF849" s="223">
        <f>IF(ISBLANK(AD849),0,COUNTIF(AF$4:AF848,"&gt;0")+1)</f>
        <v>0</v>
      </c>
      <c r="AG849" s="164">
        <f t="shared" si="153"/>
        <v>0</v>
      </c>
      <c r="AH849" s="99">
        <f t="shared" si="148"/>
        <v>0</v>
      </c>
      <c r="AI849" s="99">
        <f t="shared" si="154"/>
        <v>0</v>
      </c>
      <c r="AJ849" s="170">
        <f t="shared" si="155"/>
        <v>0</v>
      </c>
      <c r="AK849" s="204">
        <f t="shared" si="149"/>
        <v>0</v>
      </c>
      <c r="AL849" s="1049">
        <f>IF(ISERROR(AO849),0,IF(AND(AN849&gt;=$U$1,AN849&lt;=$U$2),IF(AO849='ESTRATTO CONTO'!$E$2,1+COUNTIF(AL$4:AL848,"&gt;0")+U$1009,0),0))</f>
        <v>0</v>
      </c>
      <c r="AM849" s="747">
        <f t="shared" si="152"/>
        <v>846</v>
      </c>
      <c r="AN849" s="164" t="e">
        <f>VLOOKUP($AM849,PATRIMONIALE!$AV901:AW$1003,2,FALSE)</f>
        <v>#N/A</v>
      </c>
      <c r="AO849" s="310" t="e">
        <f>VLOOKUP($AM849,PATRIMONIALE!$AV901:AX$1003,3,FALSE)</f>
        <v>#N/A</v>
      </c>
      <c r="AP849" s="310" t="e">
        <f>VLOOKUP($AM849,PATRIMONIALE!$AV901:AY$1003,4,FALSE)</f>
        <v>#N/A</v>
      </c>
      <c r="AQ849" s="748" t="e">
        <f>VLOOKUP($AM849,PATRIMONIALE!$AV901:AZ$1003,5,FALSE)</f>
        <v>#N/A</v>
      </c>
      <c r="AR849" s="1"/>
      <c r="AS849" s="461" t="str">
        <f t="shared" si="150"/>
        <v/>
      </c>
      <c r="AT849" s="370"/>
    </row>
    <row r="850" spans="1:46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435">
        <f>IF(AND(W850&gt;=$U$1,W850&lt;=$U$2),IF(X850='ESTRATTO CONTO'!$E$2,1+COUNTIF(U$4:U849,"&gt;0"),0),0)</f>
        <v>0</v>
      </c>
      <c r="V850" s="417">
        <f t="shared" si="151"/>
        <v>847</v>
      </c>
      <c r="W850" s="509"/>
      <c r="X850" s="321"/>
      <c r="Y850" s="321"/>
      <c r="Z850" s="433"/>
      <c r="AA850" s="356"/>
      <c r="AB850" s="306" t="str">
        <f t="shared" si="146"/>
        <v/>
      </c>
      <c r="AC850" s="893">
        <f t="shared" si="147"/>
        <v>0</v>
      </c>
      <c r="AD850" s="322"/>
      <c r="AE850" s="1"/>
      <c r="AF850" s="223">
        <f>IF(ISBLANK(AD850),0,COUNTIF(AF$4:AF849,"&gt;0")+1)</f>
        <v>0</v>
      </c>
      <c r="AG850" s="164">
        <f t="shared" si="153"/>
        <v>0</v>
      </c>
      <c r="AH850" s="99">
        <f t="shared" si="148"/>
        <v>0</v>
      </c>
      <c r="AI850" s="99">
        <f t="shared" si="154"/>
        <v>0</v>
      </c>
      <c r="AJ850" s="170">
        <f t="shared" si="155"/>
        <v>0</v>
      </c>
      <c r="AK850" s="204">
        <f t="shared" si="149"/>
        <v>0</v>
      </c>
      <c r="AL850" s="1049">
        <f>IF(ISERROR(AO850),0,IF(AND(AN850&gt;=$U$1,AN850&lt;=$U$2),IF(AO850='ESTRATTO CONTO'!$E$2,1+COUNTIF(AL$4:AL849,"&gt;0")+U$1009,0),0))</f>
        <v>0</v>
      </c>
      <c r="AM850" s="747">
        <f t="shared" si="152"/>
        <v>847</v>
      </c>
      <c r="AN850" s="164" t="e">
        <f>VLOOKUP($AM850,PATRIMONIALE!$AV902:AW$1003,2,FALSE)</f>
        <v>#N/A</v>
      </c>
      <c r="AO850" s="310" t="e">
        <f>VLOOKUP($AM850,PATRIMONIALE!$AV902:AX$1003,3,FALSE)</f>
        <v>#N/A</v>
      </c>
      <c r="AP850" s="310" t="e">
        <f>VLOOKUP($AM850,PATRIMONIALE!$AV902:AY$1003,4,FALSE)</f>
        <v>#N/A</v>
      </c>
      <c r="AQ850" s="748" t="e">
        <f>VLOOKUP($AM850,PATRIMONIALE!$AV902:AZ$1003,5,FALSE)</f>
        <v>#N/A</v>
      </c>
      <c r="AR850" s="1"/>
      <c r="AS850" s="461" t="str">
        <f t="shared" si="150"/>
        <v/>
      </c>
      <c r="AT850" s="370"/>
    </row>
    <row r="851" spans="1:46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435">
        <f>IF(AND(W851&gt;=$U$1,W851&lt;=$U$2),IF(X851='ESTRATTO CONTO'!$E$2,1+COUNTIF(U$4:U850,"&gt;0"),0),0)</f>
        <v>0</v>
      </c>
      <c r="V851" s="417">
        <f t="shared" si="151"/>
        <v>848</v>
      </c>
      <c r="W851" s="509"/>
      <c r="X851" s="321"/>
      <c r="Y851" s="321"/>
      <c r="Z851" s="433"/>
      <c r="AA851" s="356"/>
      <c r="AB851" s="306" t="str">
        <f t="shared" si="146"/>
        <v/>
      </c>
      <c r="AC851" s="893">
        <f t="shared" si="147"/>
        <v>0</v>
      </c>
      <c r="AD851" s="322"/>
      <c r="AE851" s="1"/>
      <c r="AF851" s="223">
        <f>IF(ISBLANK(AD851),0,COUNTIF(AF$4:AF850,"&gt;0")+1)</f>
        <v>0</v>
      </c>
      <c r="AG851" s="164">
        <f t="shared" si="153"/>
        <v>0</v>
      </c>
      <c r="AH851" s="99">
        <f t="shared" si="148"/>
        <v>0</v>
      </c>
      <c r="AI851" s="99">
        <f t="shared" si="154"/>
        <v>0</v>
      </c>
      <c r="AJ851" s="170">
        <f t="shared" si="155"/>
        <v>0</v>
      </c>
      <c r="AK851" s="204">
        <f t="shared" si="149"/>
        <v>0</v>
      </c>
      <c r="AL851" s="1049">
        <f>IF(ISERROR(AO851),0,IF(AND(AN851&gt;=$U$1,AN851&lt;=$U$2),IF(AO851='ESTRATTO CONTO'!$E$2,1+COUNTIF(AL$4:AL850,"&gt;0")+U$1009,0),0))</f>
        <v>0</v>
      </c>
      <c r="AM851" s="747">
        <f t="shared" si="152"/>
        <v>848</v>
      </c>
      <c r="AN851" s="164" t="e">
        <f>VLOOKUP($AM851,PATRIMONIALE!$AV903:AW$1003,2,FALSE)</f>
        <v>#N/A</v>
      </c>
      <c r="AO851" s="310" t="e">
        <f>VLOOKUP($AM851,PATRIMONIALE!$AV903:AX$1003,3,FALSE)</f>
        <v>#N/A</v>
      </c>
      <c r="AP851" s="310" t="e">
        <f>VLOOKUP($AM851,PATRIMONIALE!$AV903:AY$1003,4,FALSE)</f>
        <v>#N/A</v>
      </c>
      <c r="AQ851" s="748" t="e">
        <f>VLOOKUP($AM851,PATRIMONIALE!$AV903:AZ$1003,5,FALSE)</f>
        <v>#N/A</v>
      </c>
      <c r="AR851" s="1"/>
      <c r="AS851" s="461" t="str">
        <f t="shared" si="150"/>
        <v/>
      </c>
      <c r="AT851" s="370"/>
    </row>
    <row r="852" spans="1:46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435">
        <f>IF(AND(W852&gt;=$U$1,W852&lt;=$U$2),IF(X852='ESTRATTO CONTO'!$E$2,1+COUNTIF(U$4:U851,"&gt;0"),0),0)</f>
        <v>0</v>
      </c>
      <c r="V852" s="417">
        <f t="shared" si="151"/>
        <v>849</v>
      </c>
      <c r="W852" s="509"/>
      <c r="X852" s="321"/>
      <c r="Y852" s="321"/>
      <c r="Z852" s="433"/>
      <c r="AA852" s="356"/>
      <c r="AB852" s="306" t="str">
        <f t="shared" si="146"/>
        <v/>
      </c>
      <c r="AC852" s="893">
        <f t="shared" si="147"/>
        <v>0</v>
      </c>
      <c r="AD852" s="322"/>
      <c r="AE852" s="1"/>
      <c r="AF852" s="223">
        <f>IF(ISBLANK(AD852),0,COUNTIF(AF$4:AF851,"&gt;0")+1)</f>
        <v>0</v>
      </c>
      <c r="AG852" s="164">
        <f t="shared" si="153"/>
        <v>0</v>
      </c>
      <c r="AH852" s="99">
        <f t="shared" si="148"/>
        <v>0</v>
      </c>
      <c r="AI852" s="99">
        <f t="shared" si="154"/>
        <v>0</v>
      </c>
      <c r="AJ852" s="170">
        <f t="shared" si="155"/>
        <v>0</v>
      </c>
      <c r="AK852" s="204">
        <f t="shared" si="149"/>
        <v>0</v>
      </c>
      <c r="AL852" s="1049">
        <f>IF(ISERROR(AO852),0,IF(AND(AN852&gt;=$U$1,AN852&lt;=$U$2),IF(AO852='ESTRATTO CONTO'!$E$2,1+COUNTIF(AL$4:AL851,"&gt;0")+U$1009,0),0))</f>
        <v>0</v>
      </c>
      <c r="AM852" s="747">
        <f t="shared" si="152"/>
        <v>849</v>
      </c>
      <c r="AN852" s="164" t="e">
        <f>VLOOKUP($AM852,PATRIMONIALE!$AV904:AW$1003,2,FALSE)</f>
        <v>#N/A</v>
      </c>
      <c r="AO852" s="310" t="e">
        <f>VLOOKUP($AM852,PATRIMONIALE!$AV904:AX$1003,3,FALSE)</f>
        <v>#N/A</v>
      </c>
      <c r="AP852" s="310" t="e">
        <f>VLOOKUP($AM852,PATRIMONIALE!$AV904:AY$1003,4,FALSE)</f>
        <v>#N/A</v>
      </c>
      <c r="AQ852" s="748" t="e">
        <f>VLOOKUP($AM852,PATRIMONIALE!$AV904:AZ$1003,5,FALSE)</f>
        <v>#N/A</v>
      </c>
      <c r="AR852" s="1"/>
      <c r="AS852" s="461" t="str">
        <f t="shared" si="150"/>
        <v/>
      </c>
      <c r="AT852" s="370"/>
    </row>
    <row r="853" spans="1:46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435">
        <f>IF(AND(W853&gt;=$U$1,W853&lt;=$U$2),IF(X853='ESTRATTO CONTO'!$E$2,1+COUNTIF(U$4:U852,"&gt;0"),0),0)</f>
        <v>0</v>
      </c>
      <c r="V853" s="417">
        <f t="shared" si="151"/>
        <v>850</v>
      </c>
      <c r="W853" s="509"/>
      <c r="X853" s="321"/>
      <c r="Y853" s="321"/>
      <c r="Z853" s="433"/>
      <c r="AA853" s="356"/>
      <c r="AB853" s="306" t="str">
        <f t="shared" si="146"/>
        <v/>
      </c>
      <c r="AC853" s="893">
        <f t="shared" si="147"/>
        <v>0</v>
      </c>
      <c r="AD853" s="322"/>
      <c r="AE853" s="1"/>
      <c r="AF853" s="223">
        <f>IF(ISBLANK(AD853),0,COUNTIF(AF$4:AF852,"&gt;0")+1)</f>
        <v>0</v>
      </c>
      <c r="AG853" s="164">
        <f t="shared" si="153"/>
        <v>0</v>
      </c>
      <c r="AH853" s="99">
        <f t="shared" si="148"/>
        <v>0</v>
      </c>
      <c r="AI853" s="99">
        <f t="shared" si="154"/>
        <v>0</v>
      </c>
      <c r="AJ853" s="170">
        <f t="shared" si="155"/>
        <v>0</v>
      </c>
      <c r="AK853" s="204">
        <f t="shared" si="149"/>
        <v>0</v>
      </c>
      <c r="AL853" s="1049">
        <f>IF(ISERROR(AO853),0,IF(AND(AN853&gt;=$U$1,AN853&lt;=$U$2),IF(AO853='ESTRATTO CONTO'!$E$2,1+COUNTIF(AL$4:AL852,"&gt;0")+U$1009,0),0))</f>
        <v>0</v>
      </c>
      <c r="AM853" s="747">
        <f t="shared" si="152"/>
        <v>850</v>
      </c>
      <c r="AN853" s="164" t="e">
        <f>VLOOKUP($AM853,PATRIMONIALE!$AV905:AW$1003,2,FALSE)</f>
        <v>#N/A</v>
      </c>
      <c r="AO853" s="310" t="e">
        <f>VLOOKUP($AM853,PATRIMONIALE!$AV905:AX$1003,3,FALSE)</f>
        <v>#N/A</v>
      </c>
      <c r="AP853" s="310" t="e">
        <f>VLOOKUP($AM853,PATRIMONIALE!$AV905:AY$1003,4,FALSE)</f>
        <v>#N/A</v>
      </c>
      <c r="AQ853" s="748" t="e">
        <f>VLOOKUP($AM853,PATRIMONIALE!$AV905:AZ$1003,5,FALSE)</f>
        <v>#N/A</v>
      </c>
      <c r="AR853" s="1"/>
      <c r="AS853" s="461" t="str">
        <f t="shared" si="150"/>
        <v/>
      </c>
      <c r="AT853" s="370"/>
    </row>
    <row r="854" spans="1:46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435">
        <f>IF(AND(W854&gt;=$U$1,W854&lt;=$U$2),IF(X854='ESTRATTO CONTO'!$E$2,1+COUNTIF(U$4:U853,"&gt;0"),0),0)</f>
        <v>0</v>
      </c>
      <c r="V854" s="417">
        <f t="shared" si="151"/>
        <v>851</v>
      </c>
      <c r="W854" s="509"/>
      <c r="X854" s="321"/>
      <c r="Y854" s="321"/>
      <c r="Z854" s="433"/>
      <c r="AA854" s="356"/>
      <c r="AB854" s="306" t="str">
        <f t="shared" si="146"/>
        <v/>
      </c>
      <c r="AC854" s="893">
        <f t="shared" si="147"/>
        <v>0</v>
      </c>
      <c r="AD854" s="322"/>
      <c r="AE854" s="1"/>
      <c r="AF854" s="223">
        <f>IF(ISBLANK(AD854),0,COUNTIF(AF$4:AF853,"&gt;0")+1)</f>
        <v>0</v>
      </c>
      <c r="AG854" s="164">
        <f t="shared" si="153"/>
        <v>0</v>
      </c>
      <c r="AH854" s="99">
        <f t="shared" si="148"/>
        <v>0</v>
      </c>
      <c r="AI854" s="99">
        <f t="shared" si="154"/>
        <v>0</v>
      </c>
      <c r="AJ854" s="170">
        <f t="shared" si="155"/>
        <v>0</v>
      </c>
      <c r="AK854" s="204">
        <f t="shared" si="149"/>
        <v>0</v>
      </c>
      <c r="AL854" s="1049">
        <f>IF(ISERROR(AO854),0,IF(AND(AN854&gt;=$U$1,AN854&lt;=$U$2),IF(AO854='ESTRATTO CONTO'!$E$2,1+COUNTIF(AL$4:AL853,"&gt;0")+U$1009,0),0))</f>
        <v>0</v>
      </c>
      <c r="AM854" s="747">
        <f t="shared" si="152"/>
        <v>851</v>
      </c>
      <c r="AN854" s="164" t="e">
        <f>VLOOKUP($AM854,PATRIMONIALE!$AV906:AW$1003,2,FALSE)</f>
        <v>#N/A</v>
      </c>
      <c r="AO854" s="310" t="e">
        <f>VLOOKUP($AM854,PATRIMONIALE!$AV906:AX$1003,3,FALSE)</f>
        <v>#N/A</v>
      </c>
      <c r="AP854" s="310" t="e">
        <f>VLOOKUP($AM854,PATRIMONIALE!$AV906:AY$1003,4,FALSE)</f>
        <v>#N/A</v>
      </c>
      <c r="AQ854" s="748" t="e">
        <f>VLOOKUP($AM854,PATRIMONIALE!$AV906:AZ$1003,5,FALSE)</f>
        <v>#N/A</v>
      </c>
      <c r="AR854" s="1"/>
      <c r="AS854" s="461" t="str">
        <f t="shared" si="150"/>
        <v/>
      </c>
      <c r="AT854" s="370"/>
    </row>
    <row r="855" spans="1:46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435">
        <f>IF(AND(W855&gt;=$U$1,W855&lt;=$U$2),IF(X855='ESTRATTO CONTO'!$E$2,1+COUNTIF(U$4:U854,"&gt;0"),0),0)</f>
        <v>0</v>
      </c>
      <c r="V855" s="417">
        <f t="shared" si="151"/>
        <v>852</v>
      </c>
      <c r="W855" s="509"/>
      <c r="X855" s="321"/>
      <c r="Y855" s="321"/>
      <c r="Z855" s="433"/>
      <c r="AA855" s="356"/>
      <c r="AB855" s="306" t="str">
        <f t="shared" si="146"/>
        <v/>
      </c>
      <c r="AC855" s="893">
        <f t="shared" si="147"/>
        <v>0</v>
      </c>
      <c r="AD855" s="322"/>
      <c r="AE855" s="1"/>
      <c r="AF855" s="223">
        <f>IF(ISBLANK(AD855),0,COUNTIF(AF$4:AF854,"&gt;0")+1)</f>
        <v>0</v>
      </c>
      <c r="AG855" s="164">
        <f t="shared" si="153"/>
        <v>0</v>
      </c>
      <c r="AH855" s="99">
        <f t="shared" si="148"/>
        <v>0</v>
      </c>
      <c r="AI855" s="99">
        <f t="shared" si="154"/>
        <v>0</v>
      </c>
      <c r="AJ855" s="170">
        <f t="shared" si="155"/>
        <v>0</v>
      </c>
      <c r="AK855" s="204">
        <f t="shared" si="149"/>
        <v>0</v>
      </c>
      <c r="AL855" s="1049">
        <f>IF(ISERROR(AO855),0,IF(AND(AN855&gt;=$U$1,AN855&lt;=$U$2),IF(AO855='ESTRATTO CONTO'!$E$2,1+COUNTIF(AL$4:AL854,"&gt;0")+U$1009,0),0))</f>
        <v>0</v>
      </c>
      <c r="AM855" s="747">
        <f t="shared" si="152"/>
        <v>852</v>
      </c>
      <c r="AN855" s="164" t="e">
        <f>VLOOKUP($AM855,PATRIMONIALE!$AV907:AW$1003,2,FALSE)</f>
        <v>#N/A</v>
      </c>
      <c r="AO855" s="310" t="e">
        <f>VLOOKUP($AM855,PATRIMONIALE!$AV907:AX$1003,3,FALSE)</f>
        <v>#N/A</v>
      </c>
      <c r="AP855" s="310" t="e">
        <f>VLOOKUP($AM855,PATRIMONIALE!$AV907:AY$1003,4,FALSE)</f>
        <v>#N/A</v>
      </c>
      <c r="AQ855" s="748" t="e">
        <f>VLOOKUP($AM855,PATRIMONIALE!$AV907:AZ$1003,5,FALSE)</f>
        <v>#N/A</v>
      </c>
      <c r="AR855" s="1"/>
      <c r="AS855" s="461" t="str">
        <f t="shared" si="150"/>
        <v/>
      </c>
      <c r="AT855" s="370"/>
    </row>
    <row r="856" spans="1:46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435">
        <f>IF(AND(W856&gt;=$U$1,W856&lt;=$U$2),IF(X856='ESTRATTO CONTO'!$E$2,1+COUNTIF(U$4:U855,"&gt;0"),0),0)</f>
        <v>0</v>
      </c>
      <c r="V856" s="417">
        <f t="shared" si="151"/>
        <v>853</v>
      </c>
      <c r="W856" s="509"/>
      <c r="X856" s="321"/>
      <c r="Y856" s="321"/>
      <c r="Z856" s="433"/>
      <c r="AA856" s="356"/>
      <c r="AB856" s="306" t="str">
        <f t="shared" si="146"/>
        <v/>
      </c>
      <c r="AC856" s="893">
        <f t="shared" si="147"/>
        <v>0</v>
      </c>
      <c r="AD856" s="322"/>
      <c r="AE856" s="1"/>
      <c r="AF856" s="223">
        <f>IF(ISBLANK(AD856),0,COUNTIF(AF$4:AF855,"&gt;0")+1)</f>
        <v>0</v>
      </c>
      <c r="AG856" s="164">
        <f t="shared" si="153"/>
        <v>0</v>
      </c>
      <c r="AH856" s="99">
        <f t="shared" si="148"/>
        <v>0</v>
      </c>
      <c r="AI856" s="99">
        <f t="shared" si="154"/>
        <v>0</v>
      </c>
      <c r="AJ856" s="170">
        <f t="shared" si="155"/>
        <v>0</v>
      </c>
      <c r="AK856" s="204">
        <f t="shared" si="149"/>
        <v>0</v>
      </c>
      <c r="AL856" s="1049">
        <f>IF(ISERROR(AO856),0,IF(AND(AN856&gt;=$U$1,AN856&lt;=$U$2),IF(AO856='ESTRATTO CONTO'!$E$2,1+COUNTIF(AL$4:AL855,"&gt;0")+U$1009,0),0))</f>
        <v>0</v>
      </c>
      <c r="AM856" s="747">
        <f t="shared" si="152"/>
        <v>853</v>
      </c>
      <c r="AN856" s="164" t="e">
        <f>VLOOKUP($AM856,PATRIMONIALE!$AV908:AW$1003,2,FALSE)</f>
        <v>#N/A</v>
      </c>
      <c r="AO856" s="310" t="e">
        <f>VLOOKUP($AM856,PATRIMONIALE!$AV908:AX$1003,3,FALSE)</f>
        <v>#N/A</v>
      </c>
      <c r="AP856" s="310" t="e">
        <f>VLOOKUP($AM856,PATRIMONIALE!$AV908:AY$1003,4,FALSE)</f>
        <v>#N/A</v>
      </c>
      <c r="AQ856" s="748" t="e">
        <f>VLOOKUP($AM856,PATRIMONIALE!$AV908:AZ$1003,5,FALSE)</f>
        <v>#N/A</v>
      </c>
      <c r="AR856" s="1"/>
      <c r="AS856" s="461" t="str">
        <f t="shared" si="150"/>
        <v/>
      </c>
      <c r="AT856" s="370"/>
    </row>
    <row r="857" spans="1:46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435">
        <f>IF(AND(W857&gt;=$U$1,W857&lt;=$U$2),IF(X857='ESTRATTO CONTO'!$E$2,1+COUNTIF(U$4:U856,"&gt;0"),0),0)</f>
        <v>0</v>
      </c>
      <c r="V857" s="417">
        <f t="shared" si="151"/>
        <v>854</v>
      </c>
      <c r="W857" s="509"/>
      <c r="X857" s="321"/>
      <c r="Y857" s="321"/>
      <c r="Z857" s="433"/>
      <c r="AA857" s="356"/>
      <c r="AB857" s="306" t="str">
        <f t="shared" si="146"/>
        <v/>
      </c>
      <c r="AC857" s="893">
        <f t="shared" si="147"/>
        <v>0</v>
      </c>
      <c r="AD857" s="322"/>
      <c r="AE857" s="1"/>
      <c r="AF857" s="223">
        <f>IF(ISBLANK(AD857),0,COUNTIF(AF$4:AF856,"&gt;0")+1)</f>
        <v>0</v>
      </c>
      <c r="AG857" s="164">
        <f t="shared" si="153"/>
        <v>0</v>
      </c>
      <c r="AH857" s="99">
        <f t="shared" si="148"/>
        <v>0</v>
      </c>
      <c r="AI857" s="99">
        <f t="shared" si="154"/>
        <v>0</v>
      </c>
      <c r="AJ857" s="170">
        <f t="shared" si="155"/>
        <v>0</v>
      </c>
      <c r="AK857" s="204">
        <f t="shared" si="149"/>
        <v>0</v>
      </c>
      <c r="AL857" s="1049">
        <f>IF(ISERROR(AO857),0,IF(AND(AN857&gt;=$U$1,AN857&lt;=$U$2),IF(AO857='ESTRATTO CONTO'!$E$2,1+COUNTIF(AL$4:AL856,"&gt;0")+U$1009,0),0))</f>
        <v>0</v>
      </c>
      <c r="AM857" s="747">
        <f t="shared" si="152"/>
        <v>854</v>
      </c>
      <c r="AN857" s="164" t="e">
        <f>VLOOKUP($AM857,PATRIMONIALE!$AV909:AW$1003,2,FALSE)</f>
        <v>#N/A</v>
      </c>
      <c r="AO857" s="310" t="e">
        <f>VLOOKUP($AM857,PATRIMONIALE!$AV909:AX$1003,3,FALSE)</f>
        <v>#N/A</v>
      </c>
      <c r="AP857" s="310" t="e">
        <f>VLOOKUP($AM857,PATRIMONIALE!$AV909:AY$1003,4,FALSE)</f>
        <v>#N/A</v>
      </c>
      <c r="AQ857" s="748" t="e">
        <f>VLOOKUP($AM857,PATRIMONIALE!$AV909:AZ$1003,5,FALSE)</f>
        <v>#N/A</v>
      </c>
      <c r="AR857" s="1"/>
      <c r="AS857" s="461" t="str">
        <f t="shared" si="150"/>
        <v/>
      </c>
      <c r="AT857" s="370"/>
    </row>
    <row r="858" spans="1:46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435">
        <f>IF(AND(W858&gt;=$U$1,W858&lt;=$U$2),IF(X858='ESTRATTO CONTO'!$E$2,1+COUNTIF(U$4:U857,"&gt;0"),0),0)</f>
        <v>0</v>
      </c>
      <c r="V858" s="417">
        <f t="shared" si="151"/>
        <v>855</v>
      </c>
      <c r="W858" s="509"/>
      <c r="X858" s="321"/>
      <c r="Y858" s="321"/>
      <c r="Z858" s="433"/>
      <c r="AA858" s="356"/>
      <c r="AB858" s="306" t="str">
        <f t="shared" si="146"/>
        <v/>
      </c>
      <c r="AC858" s="893">
        <f t="shared" si="147"/>
        <v>0</v>
      </c>
      <c r="AD858" s="322"/>
      <c r="AE858" s="1"/>
      <c r="AF858" s="223">
        <f>IF(ISBLANK(AD858),0,COUNTIF(AF$4:AF857,"&gt;0")+1)</f>
        <v>0</v>
      </c>
      <c r="AG858" s="164">
        <f t="shared" si="153"/>
        <v>0</v>
      </c>
      <c r="AH858" s="99">
        <f t="shared" si="148"/>
        <v>0</v>
      </c>
      <c r="AI858" s="99">
        <f t="shared" si="154"/>
        <v>0</v>
      </c>
      <c r="AJ858" s="170">
        <f t="shared" si="155"/>
        <v>0</v>
      </c>
      <c r="AK858" s="204">
        <f t="shared" si="149"/>
        <v>0</v>
      </c>
      <c r="AL858" s="1049">
        <f>IF(ISERROR(AO858),0,IF(AND(AN858&gt;=$U$1,AN858&lt;=$U$2),IF(AO858='ESTRATTO CONTO'!$E$2,1+COUNTIF(AL$4:AL857,"&gt;0")+U$1009,0),0))</f>
        <v>0</v>
      </c>
      <c r="AM858" s="747">
        <f t="shared" si="152"/>
        <v>855</v>
      </c>
      <c r="AN858" s="164" t="e">
        <f>VLOOKUP($AM858,PATRIMONIALE!$AV910:AW$1003,2,FALSE)</f>
        <v>#N/A</v>
      </c>
      <c r="AO858" s="310" t="e">
        <f>VLOOKUP($AM858,PATRIMONIALE!$AV910:AX$1003,3,FALSE)</f>
        <v>#N/A</v>
      </c>
      <c r="AP858" s="310" t="e">
        <f>VLOOKUP($AM858,PATRIMONIALE!$AV910:AY$1003,4,FALSE)</f>
        <v>#N/A</v>
      </c>
      <c r="AQ858" s="748" t="e">
        <f>VLOOKUP($AM858,PATRIMONIALE!$AV910:AZ$1003,5,FALSE)</f>
        <v>#N/A</v>
      </c>
      <c r="AR858" s="1"/>
      <c r="AS858" s="461" t="str">
        <f t="shared" si="150"/>
        <v/>
      </c>
      <c r="AT858" s="370"/>
    </row>
    <row r="859" spans="1:46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435">
        <f>IF(AND(W859&gt;=$U$1,W859&lt;=$U$2),IF(X859='ESTRATTO CONTO'!$E$2,1+COUNTIF(U$4:U858,"&gt;0"),0),0)</f>
        <v>0</v>
      </c>
      <c r="V859" s="417">
        <f t="shared" si="151"/>
        <v>856</v>
      </c>
      <c r="W859" s="509"/>
      <c r="X859" s="321"/>
      <c r="Y859" s="321"/>
      <c r="Z859" s="433"/>
      <c r="AA859" s="356"/>
      <c r="AB859" s="306" t="str">
        <f t="shared" si="146"/>
        <v/>
      </c>
      <c r="AC859" s="893">
        <f t="shared" si="147"/>
        <v>0</v>
      </c>
      <c r="AD859" s="322"/>
      <c r="AE859" s="1"/>
      <c r="AF859" s="223">
        <f>IF(ISBLANK(AD859),0,COUNTIF(AF$4:AF858,"&gt;0")+1)</f>
        <v>0</v>
      </c>
      <c r="AG859" s="164">
        <f t="shared" si="153"/>
        <v>0</v>
      </c>
      <c r="AH859" s="99">
        <f t="shared" si="148"/>
        <v>0</v>
      </c>
      <c r="AI859" s="99">
        <f t="shared" si="154"/>
        <v>0</v>
      </c>
      <c r="AJ859" s="170">
        <f t="shared" si="155"/>
        <v>0</v>
      </c>
      <c r="AK859" s="204">
        <f t="shared" si="149"/>
        <v>0</v>
      </c>
      <c r="AL859" s="1049">
        <f>IF(ISERROR(AO859),0,IF(AND(AN859&gt;=$U$1,AN859&lt;=$U$2),IF(AO859='ESTRATTO CONTO'!$E$2,1+COUNTIF(AL$4:AL858,"&gt;0")+U$1009,0),0))</f>
        <v>0</v>
      </c>
      <c r="AM859" s="747">
        <f t="shared" si="152"/>
        <v>856</v>
      </c>
      <c r="AN859" s="164" t="e">
        <f>VLOOKUP($AM859,PATRIMONIALE!$AV911:AW$1003,2,FALSE)</f>
        <v>#N/A</v>
      </c>
      <c r="AO859" s="310" t="e">
        <f>VLOOKUP($AM859,PATRIMONIALE!$AV911:AX$1003,3,FALSE)</f>
        <v>#N/A</v>
      </c>
      <c r="AP859" s="310" t="e">
        <f>VLOOKUP($AM859,PATRIMONIALE!$AV911:AY$1003,4,FALSE)</f>
        <v>#N/A</v>
      </c>
      <c r="AQ859" s="748" t="e">
        <f>VLOOKUP($AM859,PATRIMONIALE!$AV911:AZ$1003,5,FALSE)</f>
        <v>#N/A</v>
      </c>
      <c r="AR859" s="1"/>
      <c r="AS859" s="461" t="str">
        <f t="shared" si="150"/>
        <v/>
      </c>
      <c r="AT859" s="370"/>
    </row>
    <row r="860" spans="1:46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435">
        <f>IF(AND(W860&gt;=$U$1,W860&lt;=$U$2),IF(X860='ESTRATTO CONTO'!$E$2,1+COUNTIF(U$4:U859,"&gt;0"),0),0)</f>
        <v>0</v>
      </c>
      <c r="V860" s="417">
        <f t="shared" si="151"/>
        <v>857</v>
      </c>
      <c r="W860" s="509"/>
      <c r="X860" s="321"/>
      <c r="Y860" s="321"/>
      <c r="Z860" s="433"/>
      <c r="AA860" s="356"/>
      <c r="AB860" s="306" t="str">
        <f t="shared" si="146"/>
        <v/>
      </c>
      <c r="AC860" s="893">
        <f t="shared" si="147"/>
        <v>0</v>
      </c>
      <c r="AD860" s="322"/>
      <c r="AE860" s="1"/>
      <c r="AF860" s="223">
        <f>IF(ISBLANK(AD860),0,COUNTIF(AF$4:AF859,"&gt;0")+1)</f>
        <v>0</v>
      </c>
      <c r="AG860" s="164">
        <f t="shared" si="153"/>
        <v>0</v>
      </c>
      <c r="AH860" s="99">
        <f t="shared" si="148"/>
        <v>0</v>
      </c>
      <c r="AI860" s="99">
        <f t="shared" si="154"/>
        <v>0</v>
      </c>
      <c r="AJ860" s="170">
        <f t="shared" si="155"/>
        <v>0</v>
      </c>
      <c r="AK860" s="204">
        <f t="shared" si="149"/>
        <v>0</v>
      </c>
      <c r="AL860" s="1049">
        <f>IF(ISERROR(AO860),0,IF(AND(AN860&gt;=$U$1,AN860&lt;=$U$2),IF(AO860='ESTRATTO CONTO'!$E$2,1+COUNTIF(AL$4:AL859,"&gt;0")+U$1009,0),0))</f>
        <v>0</v>
      </c>
      <c r="AM860" s="747">
        <f t="shared" si="152"/>
        <v>857</v>
      </c>
      <c r="AN860" s="164" t="e">
        <f>VLOOKUP($AM860,PATRIMONIALE!$AV912:AW$1003,2,FALSE)</f>
        <v>#N/A</v>
      </c>
      <c r="AO860" s="310" t="e">
        <f>VLOOKUP($AM860,PATRIMONIALE!$AV912:AX$1003,3,FALSE)</f>
        <v>#N/A</v>
      </c>
      <c r="AP860" s="310" t="e">
        <f>VLOOKUP($AM860,PATRIMONIALE!$AV912:AY$1003,4,FALSE)</f>
        <v>#N/A</v>
      </c>
      <c r="AQ860" s="748" t="e">
        <f>VLOOKUP($AM860,PATRIMONIALE!$AV912:AZ$1003,5,FALSE)</f>
        <v>#N/A</v>
      </c>
      <c r="AR860" s="1"/>
      <c r="AS860" s="461" t="str">
        <f t="shared" si="150"/>
        <v/>
      </c>
      <c r="AT860" s="370"/>
    </row>
    <row r="861" spans="1:46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435">
        <f>IF(AND(W861&gt;=$U$1,W861&lt;=$U$2),IF(X861='ESTRATTO CONTO'!$E$2,1+COUNTIF(U$4:U860,"&gt;0"),0),0)</f>
        <v>0</v>
      </c>
      <c r="V861" s="417">
        <f t="shared" si="151"/>
        <v>858</v>
      </c>
      <c r="W861" s="509"/>
      <c r="X861" s="321"/>
      <c r="Y861" s="321"/>
      <c r="Z861" s="433"/>
      <c r="AA861" s="356"/>
      <c r="AB861" s="306" t="str">
        <f t="shared" si="146"/>
        <v/>
      </c>
      <c r="AC861" s="893">
        <f t="shared" si="147"/>
        <v>0</v>
      </c>
      <c r="AD861" s="322"/>
      <c r="AE861" s="1"/>
      <c r="AF861" s="223">
        <f>IF(ISBLANK(AD861),0,COUNTIF(AF$4:AF860,"&gt;0")+1)</f>
        <v>0</v>
      </c>
      <c r="AG861" s="164">
        <f t="shared" si="153"/>
        <v>0</v>
      </c>
      <c r="AH861" s="99">
        <f t="shared" si="148"/>
        <v>0</v>
      </c>
      <c r="AI861" s="99">
        <f t="shared" si="154"/>
        <v>0</v>
      </c>
      <c r="AJ861" s="170">
        <f t="shared" si="155"/>
        <v>0</v>
      </c>
      <c r="AK861" s="204">
        <f t="shared" si="149"/>
        <v>0</v>
      </c>
      <c r="AL861" s="1049">
        <f>IF(ISERROR(AO861),0,IF(AND(AN861&gt;=$U$1,AN861&lt;=$U$2),IF(AO861='ESTRATTO CONTO'!$E$2,1+COUNTIF(AL$4:AL860,"&gt;0")+U$1009,0),0))</f>
        <v>0</v>
      </c>
      <c r="AM861" s="747">
        <f t="shared" si="152"/>
        <v>858</v>
      </c>
      <c r="AN861" s="164" t="e">
        <f>VLOOKUP($AM861,PATRIMONIALE!$AV913:AW$1003,2,FALSE)</f>
        <v>#N/A</v>
      </c>
      <c r="AO861" s="310" t="e">
        <f>VLOOKUP($AM861,PATRIMONIALE!$AV913:AX$1003,3,FALSE)</f>
        <v>#N/A</v>
      </c>
      <c r="AP861" s="310" t="e">
        <f>VLOOKUP($AM861,PATRIMONIALE!$AV913:AY$1003,4,FALSE)</f>
        <v>#N/A</v>
      </c>
      <c r="AQ861" s="748" t="e">
        <f>VLOOKUP($AM861,PATRIMONIALE!$AV913:AZ$1003,5,FALSE)</f>
        <v>#N/A</v>
      </c>
      <c r="AR861" s="1"/>
      <c r="AS861" s="461" t="str">
        <f t="shared" si="150"/>
        <v/>
      </c>
      <c r="AT861" s="370"/>
    </row>
    <row r="862" spans="1:46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435">
        <f>IF(AND(W862&gt;=$U$1,W862&lt;=$U$2),IF(X862='ESTRATTO CONTO'!$E$2,1+COUNTIF(U$4:U861,"&gt;0"),0),0)</f>
        <v>0</v>
      </c>
      <c r="V862" s="417">
        <f t="shared" si="151"/>
        <v>859</v>
      </c>
      <c r="W862" s="509"/>
      <c r="X862" s="321"/>
      <c r="Y862" s="321"/>
      <c r="Z862" s="433"/>
      <c r="AA862" s="356"/>
      <c r="AB862" s="306" t="str">
        <f t="shared" si="146"/>
        <v/>
      </c>
      <c r="AC862" s="893">
        <f t="shared" si="147"/>
        <v>0</v>
      </c>
      <c r="AD862" s="322"/>
      <c r="AE862" s="1"/>
      <c r="AF862" s="223">
        <f>IF(ISBLANK(AD862),0,COUNTIF(AF$4:AF861,"&gt;0")+1)</f>
        <v>0</v>
      </c>
      <c r="AG862" s="164">
        <f t="shared" si="153"/>
        <v>0</v>
      </c>
      <c r="AH862" s="99">
        <f t="shared" si="148"/>
        <v>0</v>
      </c>
      <c r="AI862" s="99">
        <f t="shared" si="154"/>
        <v>0</v>
      </c>
      <c r="AJ862" s="170">
        <f t="shared" si="155"/>
        <v>0</v>
      </c>
      <c r="AK862" s="204">
        <f t="shared" si="149"/>
        <v>0</v>
      </c>
      <c r="AL862" s="1049">
        <f>IF(ISERROR(AO862),0,IF(AND(AN862&gt;=$U$1,AN862&lt;=$U$2),IF(AO862='ESTRATTO CONTO'!$E$2,1+COUNTIF(AL$4:AL861,"&gt;0")+U$1009,0),0))</f>
        <v>0</v>
      </c>
      <c r="AM862" s="747">
        <f t="shared" si="152"/>
        <v>859</v>
      </c>
      <c r="AN862" s="164" t="e">
        <f>VLOOKUP($AM862,PATRIMONIALE!$AV914:AW$1003,2,FALSE)</f>
        <v>#N/A</v>
      </c>
      <c r="AO862" s="310" t="e">
        <f>VLOOKUP($AM862,PATRIMONIALE!$AV914:AX$1003,3,FALSE)</f>
        <v>#N/A</v>
      </c>
      <c r="AP862" s="310" t="e">
        <f>VLOOKUP($AM862,PATRIMONIALE!$AV914:AY$1003,4,FALSE)</f>
        <v>#N/A</v>
      </c>
      <c r="AQ862" s="748" t="e">
        <f>VLOOKUP($AM862,PATRIMONIALE!$AV914:AZ$1003,5,FALSE)</f>
        <v>#N/A</v>
      </c>
      <c r="AR862" s="1"/>
      <c r="AS862" s="461" t="str">
        <f t="shared" si="150"/>
        <v/>
      </c>
      <c r="AT862" s="370"/>
    </row>
    <row r="863" spans="1:46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435">
        <f>IF(AND(W863&gt;=$U$1,W863&lt;=$U$2),IF(X863='ESTRATTO CONTO'!$E$2,1+COUNTIF(U$4:U862,"&gt;0"),0),0)</f>
        <v>0</v>
      </c>
      <c r="V863" s="417">
        <f t="shared" si="151"/>
        <v>860</v>
      </c>
      <c r="W863" s="509"/>
      <c r="X863" s="321"/>
      <c r="Y863" s="321"/>
      <c r="Z863" s="433"/>
      <c r="AA863" s="356"/>
      <c r="AB863" s="306" t="str">
        <f t="shared" si="146"/>
        <v/>
      </c>
      <c r="AC863" s="893">
        <f t="shared" si="147"/>
        <v>0</v>
      </c>
      <c r="AD863" s="322"/>
      <c r="AE863" s="1"/>
      <c r="AF863" s="223">
        <f>IF(ISBLANK(AD863),0,COUNTIF(AF$4:AF862,"&gt;0")+1)</f>
        <v>0</v>
      </c>
      <c r="AG863" s="164">
        <f t="shared" si="153"/>
        <v>0</v>
      </c>
      <c r="AH863" s="99">
        <f t="shared" si="148"/>
        <v>0</v>
      </c>
      <c r="AI863" s="99">
        <f t="shared" si="154"/>
        <v>0</v>
      </c>
      <c r="AJ863" s="170">
        <f t="shared" si="155"/>
        <v>0</v>
      </c>
      <c r="AK863" s="204">
        <f t="shared" si="149"/>
        <v>0</v>
      </c>
      <c r="AL863" s="1049">
        <f>IF(ISERROR(AO863),0,IF(AND(AN863&gt;=$U$1,AN863&lt;=$U$2),IF(AO863='ESTRATTO CONTO'!$E$2,1+COUNTIF(AL$4:AL862,"&gt;0")+U$1009,0),0))</f>
        <v>0</v>
      </c>
      <c r="AM863" s="747">
        <f t="shared" si="152"/>
        <v>860</v>
      </c>
      <c r="AN863" s="164" t="e">
        <f>VLOOKUP($AM863,PATRIMONIALE!$AV915:AW$1003,2,FALSE)</f>
        <v>#N/A</v>
      </c>
      <c r="AO863" s="310" t="e">
        <f>VLOOKUP($AM863,PATRIMONIALE!$AV915:AX$1003,3,FALSE)</f>
        <v>#N/A</v>
      </c>
      <c r="AP863" s="310" t="e">
        <f>VLOOKUP($AM863,PATRIMONIALE!$AV915:AY$1003,4,FALSE)</f>
        <v>#N/A</v>
      </c>
      <c r="AQ863" s="748" t="e">
        <f>VLOOKUP($AM863,PATRIMONIALE!$AV915:AZ$1003,5,FALSE)</f>
        <v>#N/A</v>
      </c>
      <c r="AR863" s="1"/>
      <c r="AS863" s="461" t="str">
        <f t="shared" si="150"/>
        <v/>
      </c>
      <c r="AT863" s="370"/>
    </row>
    <row r="864" spans="1:46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435">
        <f>IF(AND(W864&gt;=$U$1,W864&lt;=$U$2),IF(X864='ESTRATTO CONTO'!$E$2,1+COUNTIF(U$4:U863,"&gt;0"),0),0)</f>
        <v>0</v>
      </c>
      <c r="V864" s="417">
        <f t="shared" si="151"/>
        <v>861</v>
      </c>
      <c r="W864" s="509"/>
      <c r="X864" s="321"/>
      <c r="Y864" s="321"/>
      <c r="Z864" s="433"/>
      <c r="AA864" s="356"/>
      <c r="AB864" s="306" t="str">
        <f t="shared" si="146"/>
        <v/>
      </c>
      <c r="AC864" s="893">
        <f t="shared" si="147"/>
        <v>0</v>
      </c>
      <c r="AD864" s="322"/>
      <c r="AE864" s="1"/>
      <c r="AF864" s="223">
        <f>IF(ISBLANK(AD864),0,COUNTIF(AF$4:AF863,"&gt;0")+1)</f>
        <v>0</v>
      </c>
      <c r="AG864" s="164">
        <f t="shared" si="153"/>
        <v>0</v>
      </c>
      <c r="AH864" s="99">
        <f t="shared" si="148"/>
        <v>0</v>
      </c>
      <c r="AI864" s="99">
        <f t="shared" si="154"/>
        <v>0</v>
      </c>
      <c r="AJ864" s="170">
        <f t="shared" si="155"/>
        <v>0</v>
      </c>
      <c r="AK864" s="204">
        <f t="shared" si="149"/>
        <v>0</v>
      </c>
      <c r="AL864" s="1049">
        <f>IF(ISERROR(AO864),0,IF(AND(AN864&gt;=$U$1,AN864&lt;=$U$2),IF(AO864='ESTRATTO CONTO'!$E$2,1+COUNTIF(AL$4:AL863,"&gt;0")+U$1009,0),0))</f>
        <v>0</v>
      </c>
      <c r="AM864" s="747">
        <f t="shared" si="152"/>
        <v>861</v>
      </c>
      <c r="AN864" s="164" t="e">
        <f>VLOOKUP($AM864,PATRIMONIALE!$AV916:AW$1003,2,FALSE)</f>
        <v>#N/A</v>
      </c>
      <c r="AO864" s="310" t="e">
        <f>VLOOKUP($AM864,PATRIMONIALE!$AV916:AX$1003,3,FALSE)</f>
        <v>#N/A</v>
      </c>
      <c r="AP864" s="310" t="e">
        <f>VLOOKUP($AM864,PATRIMONIALE!$AV916:AY$1003,4,FALSE)</f>
        <v>#N/A</v>
      </c>
      <c r="AQ864" s="748" t="e">
        <f>VLOOKUP($AM864,PATRIMONIALE!$AV916:AZ$1003,5,FALSE)</f>
        <v>#N/A</v>
      </c>
      <c r="AR864" s="1"/>
      <c r="AS864" s="461" t="str">
        <f t="shared" si="150"/>
        <v/>
      </c>
      <c r="AT864" s="370"/>
    </row>
    <row r="865" spans="1:46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435">
        <f>IF(AND(W865&gt;=$U$1,W865&lt;=$U$2),IF(X865='ESTRATTO CONTO'!$E$2,1+COUNTIF(U$4:U864,"&gt;0"),0),0)</f>
        <v>0</v>
      </c>
      <c r="V865" s="417">
        <f t="shared" si="151"/>
        <v>862</v>
      </c>
      <c r="W865" s="509"/>
      <c r="X865" s="321"/>
      <c r="Y865" s="321"/>
      <c r="Z865" s="433"/>
      <c r="AA865" s="356"/>
      <c r="AB865" s="306" t="str">
        <f t="shared" si="146"/>
        <v/>
      </c>
      <c r="AC865" s="893">
        <f t="shared" si="147"/>
        <v>0</v>
      </c>
      <c r="AD865" s="322"/>
      <c r="AE865" s="1"/>
      <c r="AF865" s="223">
        <f>IF(ISBLANK(AD865),0,COUNTIF(AF$4:AF864,"&gt;0")+1)</f>
        <v>0</v>
      </c>
      <c r="AG865" s="164">
        <f t="shared" si="153"/>
        <v>0</v>
      </c>
      <c r="AH865" s="99">
        <f t="shared" si="148"/>
        <v>0</v>
      </c>
      <c r="AI865" s="99">
        <f t="shared" si="154"/>
        <v>0</v>
      </c>
      <c r="AJ865" s="170">
        <f t="shared" si="155"/>
        <v>0</v>
      </c>
      <c r="AK865" s="204">
        <f t="shared" si="149"/>
        <v>0</v>
      </c>
      <c r="AL865" s="1049">
        <f>IF(ISERROR(AO865),0,IF(AND(AN865&gt;=$U$1,AN865&lt;=$U$2),IF(AO865='ESTRATTO CONTO'!$E$2,1+COUNTIF(AL$4:AL864,"&gt;0")+U$1009,0),0))</f>
        <v>0</v>
      </c>
      <c r="AM865" s="747">
        <f t="shared" si="152"/>
        <v>862</v>
      </c>
      <c r="AN865" s="164" t="e">
        <f>VLOOKUP($AM865,PATRIMONIALE!$AV917:AW$1003,2,FALSE)</f>
        <v>#N/A</v>
      </c>
      <c r="AO865" s="310" t="e">
        <f>VLOOKUP($AM865,PATRIMONIALE!$AV917:AX$1003,3,FALSE)</f>
        <v>#N/A</v>
      </c>
      <c r="AP865" s="310" t="e">
        <f>VLOOKUP($AM865,PATRIMONIALE!$AV917:AY$1003,4,FALSE)</f>
        <v>#N/A</v>
      </c>
      <c r="AQ865" s="748" t="e">
        <f>VLOOKUP($AM865,PATRIMONIALE!$AV917:AZ$1003,5,FALSE)</f>
        <v>#N/A</v>
      </c>
      <c r="AR865" s="1"/>
      <c r="AS865" s="461" t="str">
        <f t="shared" si="150"/>
        <v/>
      </c>
      <c r="AT865" s="370"/>
    </row>
    <row r="866" spans="1:46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435">
        <f>IF(AND(W866&gt;=$U$1,W866&lt;=$U$2),IF(X866='ESTRATTO CONTO'!$E$2,1+COUNTIF(U$4:U865,"&gt;0"),0),0)</f>
        <v>0</v>
      </c>
      <c r="V866" s="417">
        <f t="shared" si="151"/>
        <v>863</v>
      </c>
      <c r="W866" s="509"/>
      <c r="X866" s="321"/>
      <c r="Y866" s="321"/>
      <c r="Z866" s="433"/>
      <c r="AA866" s="356"/>
      <c r="AB866" s="306" t="str">
        <f t="shared" si="146"/>
        <v/>
      </c>
      <c r="AC866" s="893">
        <f t="shared" si="147"/>
        <v>0</v>
      </c>
      <c r="AD866" s="322"/>
      <c r="AE866" s="1"/>
      <c r="AF866" s="223">
        <f>IF(ISBLANK(AD866),0,COUNTIF(AF$4:AF865,"&gt;0")+1)</f>
        <v>0</v>
      </c>
      <c r="AG866" s="164">
        <f t="shared" si="153"/>
        <v>0</v>
      </c>
      <c r="AH866" s="99">
        <f t="shared" si="148"/>
        <v>0</v>
      </c>
      <c r="AI866" s="99">
        <f t="shared" si="154"/>
        <v>0</v>
      </c>
      <c r="AJ866" s="170">
        <f t="shared" si="155"/>
        <v>0</v>
      </c>
      <c r="AK866" s="204">
        <f t="shared" si="149"/>
        <v>0</v>
      </c>
      <c r="AL866" s="1049">
        <f>IF(ISERROR(AO866),0,IF(AND(AN866&gt;=$U$1,AN866&lt;=$U$2),IF(AO866='ESTRATTO CONTO'!$E$2,1+COUNTIF(AL$4:AL865,"&gt;0")+U$1009,0),0))</f>
        <v>0</v>
      </c>
      <c r="AM866" s="747">
        <f t="shared" si="152"/>
        <v>863</v>
      </c>
      <c r="AN866" s="164" t="e">
        <f>VLOOKUP($AM866,PATRIMONIALE!$AV918:AW$1003,2,FALSE)</f>
        <v>#N/A</v>
      </c>
      <c r="AO866" s="310" t="e">
        <f>VLOOKUP($AM866,PATRIMONIALE!$AV918:AX$1003,3,FALSE)</f>
        <v>#N/A</v>
      </c>
      <c r="AP866" s="310" t="e">
        <f>VLOOKUP($AM866,PATRIMONIALE!$AV918:AY$1003,4,FALSE)</f>
        <v>#N/A</v>
      </c>
      <c r="AQ866" s="748" t="e">
        <f>VLOOKUP($AM866,PATRIMONIALE!$AV918:AZ$1003,5,FALSE)</f>
        <v>#N/A</v>
      </c>
      <c r="AR866" s="1"/>
      <c r="AS866" s="461" t="str">
        <f t="shared" si="150"/>
        <v/>
      </c>
      <c r="AT866" s="370"/>
    </row>
    <row r="867" spans="1:46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435">
        <f>IF(AND(W867&gt;=$U$1,W867&lt;=$U$2),IF(X867='ESTRATTO CONTO'!$E$2,1+COUNTIF(U$4:U866,"&gt;0"),0),0)</f>
        <v>0</v>
      </c>
      <c r="V867" s="417">
        <f t="shared" si="151"/>
        <v>864</v>
      </c>
      <c r="W867" s="509"/>
      <c r="X867" s="321"/>
      <c r="Y867" s="321"/>
      <c r="Z867" s="433"/>
      <c r="AA867" s="356"/>
      <c r="AB867" s="306" t="str">
        <f t="shared" si="146"/>
        <v/>
      </c>
      <c r="AC867" s="893">
        <f t="shared" si="147"/>
        <v>0</v>
      </c>
      <c r="AD867" s="322"/>
      <c r="AE867" s="1"/>
      <c r="AF867" s="223">
        <f>IF(ISBLANK(AD867),0,COUNTIF(AF$4:AF866,"&gt;0")+1)</f>
        <v>0</v>
      </c>
      <c r="AG867" s="164">
        <f t="shared" si="153"/>
        <v>0</v>
      </c>
      <c r="AH867" s="99">
        <f t="shared" si="148"/>
        <v>0</v>
      </c>
      <c r="AI867" s="99">
        <f t="shared" si="154"/>
        <v>0</v>
      </c>
      <c r="AJ867" s="170">
        <f t="shared" si="155"/>
        <v>0</v>
      </c>
      <c r="AK867" s="204">
        <f t="shared" si="149"/>
        <v>0</v>
      </c>
      <c r="AL867" s="1049">
        <f>IF(ISERROR(AO867),0,IF(AND(AN867&gt;=$U$1,AN867&lt;=$U$2),IF(AO867='ESTRATTO CONTO'!$E$2,1+COUNTIF(AL$4:AL866,"&gt;0")+U$1009,0),0))</f>
        <v>0</v>
      </c>
      <c r="AM867" s="747">
        <f t="shared" si="152"/>
        <v>864</v>
      </c>
      <c r="AN867" s="164" t="e">
        <f>VLOOKUP($AM867,PATRIMONIALE!$AV919:AW$1003,2,FALSE)</f>
        <v>#N/A</v>
      </c>
      <c r="AO867" s="310" t="e">
        <f>VLOOKUP($AM867,PATRIMONIALE!$AV919:AX$1003,3,FALSE)</f>
        <v>#N/A</v>
      </c>
      <c r="AP867" s="310" t="e">
        <f>VLOOKUP($AM867,PATRIMONIALE!$AV919:AY$1003,4,FALSE)</f>
        <v>#N/A</v>
      </c>
      <c r="AQ867" s="748" t="e">
        <f>VLOOKUP($AM867,PATRIMONIALE!$AV919:AZ$1003,5,FALSE)</f>
        <v>#N/A</v>
      </c>
      <c r="AR867" s="1"/>
      <c r="AS867" s="461" t="str">
        <f t="shared" si="150"/>
        <v/>
      </c>
      <c r="AT867" s="370"/>
    </row>
    <row r="868" spans="1:46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435">
        <f>IF(AND(W868&gt;=$U$1,W868&lt;=$U$2),IF(X868='ESTRATTO CONTO'!$E$2,1+COUNTIF(U$4:U867,"&gt;0"),0),0)</f>
        <v>0</v>
      </c>
      <c r="V868" s="417">
        <f t="shared" si="151"/>
        <v>865</v>
      </c>
      <c r="W868" s="509"/>
      <c r="X868" s="321"/>
      <c r="Y868" s="321"/>
      <c r="Z868" s="433"/>
      <c r="AA868" s="356"/>
      <c r="AB868" s="306" t="str">
        <f t="shared" si="146"/>
        <v/>
      </c>
      <c r="AC868" s="893">
        <f t="shared" si="147"/>
        <v>0</v>
      </c>
      <c r="AD868" s="322"/>
      <c r="AE868" s="1"/>
      <c r="AF868" s="223">
        <f>IF(ISBLANK(AD868),0,COUNTIF(AF$4:AF867,"&gt;0")+1)</f>
        <v>0</v>
      </c>
      <c r="AG868" s="164">
        <f t="shared" si="153"/>
        <v>0</v>
      </c>
      <c r="AH868" s="99">
        <f t="shared" si="148"/>
        <v>0</v>
      </c>
      <c r="AI868" s="99">
        <f t="shared" si="154"/>
        <v>0</v>
      </c>
      <c r="AJ868" s="170">
        <f t="shared" si="155"/>
        <v>0</v>
      </c>
      <c r="AK868" s="204">
        <f t="shared" si="149"/>
        <v>0</v>
      </c>
      <c r="AL868" s="1049">
        <f>IF(ISERROR(AO868),0,IF(AND(AN868&gt;=$U$1,AN868&lt;=$U$2),IF(AO868='ESTRATTO CONTO'!$E$2,1+COUNTIF(AL$4:AL867,"&gt;0")+U$1009,0),0))</f>
        <v>0</v>
      </c>
      <c r="AM868" s="747">
        <f t="shared" si="152"/>
        <v>865</v>
      </c>
      <c r="AN868" s="164" t="e">
        <f>VLOOKUP($AM868,PATRIMONIALE!$AV920:AW$1003,2,FALSE)</f>
        <v>#N/A</v>
      </c>
      <c r="AO868" s="310" t="e">
        <f>VLOOKUP($AM868,PATRIMONIALE!$AV920:AX$1003,3,FALSE)</f>
        <v>#N/A</v>
      </c>
      <c r="AP868" s="310" t="e">
        <f>VLOOKUP($AM868,PATRIMONIALE!$AV920:AY$1003,4,FALSE)</f>
        <v>#N/A</v>
      </c>
      <c r="AQ868" s="748" t="e">
        <f>VLOOKUP($AM868,PATRIMONIALE!$AV920:AZ$1003,5,FALSE)</f>
        <v>#N/A</v>
      </c>
      <c r="AR868" s="1"/>
      <c r="AS868" s="461" t="str">
        <f t="shared" si="150"/>
        <v/>
      </c>
      <c r="AT868" s="370"/>
    </row>
    <row r="869" spans="1:46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435">
        <f>IF(AND(W869&gt;=$U$1,W869&lt;=$U$2),IF(X869='ESTRATTO CONTO'!$E$2,1+COUNTIF(U$4:U868,"&gt;0"),0),0)</f>
        <v>0</v>
      </c>
      <c r="V869" s="417">
        <f t="shared" si="151"/>
        <v>866</v>
      </c>
      <c r="W869" s="509"/>
      <c r="X869" s="321"/>
      <c r="Y869" s="321"/>
      <c r="Z869" s="433"/>
      <c r="AA869" s="356"/>
      <c r="AB869" s="306" t="str">
        <f t="shared" si="146"/>
        <v/>
      </c>
      <c r="AC869" s="893">
        <f t="shared" si="147"/>
        <v>0</v>
      </c>
      <c r="AD869" s="322"/>
      <c r="AE869" s="1"/>
      <c r="AF869" s="223">
        <f>IF(ISBLANK(AD869),0,COUNTIF(AF$4:AF868,"&gt;0")+1)</f>
        <v>0</v>
      </c>
      <c r="AG869" s="164">
        <f t="shared" si="153"/>
        <v>0</v>
      </c>
      <c r="AH869" s="99">
        <f t="shared" si="148"/>
        <v>0</v>
      </c>
      <c r="AI869" s="99">
        <f t="shared" si="154"/>
        <v>0</v>
      </c>
      <c r="AJ869" s="170">
        <f t="shared" si="155"/>
        <v>0</v>
      </c>
      <c r="AK869" s="204">
        <f t="shared" si="149"/>
        <v>0</v>
      </c>
      <c r="AL869" s="1049">
        <f>IF(ISERROR(AO869),0,IF(AND(AN869&gt;=$U$1,AN869&lt;=$U$2),IF(AO869='ESTRATTO CONTO'!$E$2,1+COUNTIF(AL$4:AL868,"&gt;0")+U$1009,0),0))</f>
        <v>0</v>
      </c>
      <c r="AM869" s="747">
        <f t="shared" si="152"/>
        <v>866</v>
      </c>
      <c r="AN869" s="164" t="e">
        <f>VLOOKUP($AM869,PATRIMONIALE!$AV921:AW$1003,2,FALSE)</f>
        <v>#N/A</v>
      </c>
      <c r="AO869" s="310" t="e">
        <f>VLOOKUP($AM869,PATRIMONIALE!$AV921:AX$1003,3,FALSE)</f>
        <v>#N/A</v>
      </c>
      <c r="AP869" s="310" t="e">
        <f>VLOOKUP($AM869,PATRIMONIALE!$AV921:AY$1003,4,FALSE)</f>
        <v>#N/A</v>
      </c>
      <c r="AQ869" s="748" t="e">
        <f>VLOOKUP($AM869,PATRIMONIALE!$AV921:AZ$1003,5,FALSE)</f>
        <v>#N/A</v>
      </c>
      <c r="AR869" s="1"/>
      <c r="AS869" s="461" t="str">
        <f t="shared" si="150"/>
        <v/>
      </c>
      <c r="AT869" s="370"/>
    </row>
    <row r="870" spans="1:46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435">
        <f>IF(AND(W870&gt;=$U$1,W870&lt;=$U$2),IF(X870='ESTRATTO CONTO'!$E$2,1+COUNTIF(U$4:U869,"&gt;0"),0),0)</f>
        <v>0</v>
      </c>
      <c r="V870" s="417">
        <f t="shared" si="151"/>
        <v>867</v>
      </c>
      <c r="W870" s="509"/>
      <c r="X870" s="321"/>
      <c r="Y870" s="321"/>
      <c r="Z870" s="433"/>
      <c r="AA870" s="356"/>
      <c r="AB870" s="306" t="str">
        <f t="shared" si="146"/>
        <v/>
      </c>
      <c r="AC870" s="893">
        <f t="shared" si="147"/>
        <v>0</v>
      </c>
      <c r="AD870" s="322"/>
      <c r="AE870" s="1"/>
      <c r="AF870" s="223">
        <f>IF(ISBLANK(AD870),0,COUNTIF(AF$4:AF869,"&gt;0")+1)</f>
        <v>0</v>
      </c>
      <c r="AG870" s="164">
        <f t="shared" si="153"/>
        <v>0</v>
      </c>
      <c r="AH870" s="99">
        <f t="shared" si="148"/>
        <v>0</v>
      </c>
      <c r="AI870" s="99">
        <f t="shared" si="154"/>
        <v>0</v>
      </c>
      <c r="AJ870" s="170">
        <f t="shared" si="155"/>
        <v>0</v>
      </c>
      <c r="AK870" s="204">
        <f t="shared" si="149"/>
        <v>0</v>
      </c>
      <c r="AL870" s="1049">
        <f>IF(ISERROR(AO870),0,IF(AND(AN870&gt;=$U$1,AN870&lt;=$U$2),IF(AO870='ESTRATTO CONTO'!$E$2,1+COUNTIF(AL$4:AL869,"&gt;0")+U$1009,0),0))</f>
        <v>0</v>
      </c>
      <c r="AM870" s="747">
        <f t="shared" si="152"/>
        <v>867</v>
      </c>
      <c r="AN870" s="164" t="e">
        <f>VLOOKUP($AM870,PATRIMONIALE!$AV922:AW$1003,2,FALSE)</f>
        <v>#N/A</v>
      </c>
      <c r="AO870" s="310" t="e">
        <f>VLOOKUP($AM870,PATRIMONIALE!$AV922:AX$1003,3,FALSE)</f>
        <v>#N/A</v>
      </c>
      <c r="AP870" s="310" t="e">
        <f>VLOOKUP($AM870,PATRIMONIALE!$AV922:AY$1003,4,FALSE)</f>
        <v>#N/A</v>
      </c>
      <c r="AQ870" s="748" t="e">
        <f>VLOOKUP($AM870,PATRIMONIALE!$AV922:AZ$1003,5,FALSE)</f>
        <v>#N/A</v>
      </c>
      <c r="AR870" s="1"/>
      <c r="AS870" s="461" t="str">
        <f t="shared" si="150"/>
        <v/>
      </c>
      <c r="AT870" s="370"/>
    </row>
    <row r="871" spans="1:46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435">
        <f>IF(AND(W871&gt;=$U$1,W871&lt;=$U$2),IF(X871='ESTRATTO CONTO'!$E$2,1+COUNTIF(U$4:U870,"&gt;0"),0),0)</f>
        <v>0</v>
      </c>
      <c r="V871" s="417">
        <f t="shared" si="151"/>
        <v>868</v>
      </c>
      <c r="W871" s="509"/>
      <c r="X871" s="321"/>
      <c r="Y871" s="321"/>
      <c r="Z871" s="433"/>
      <c r="AA871" s="356"/>
      <c r="AB871" s="306" t="str">
        <f t="shared" si="146"/>
        <v/>
      </c>
      <c r="AC871" s="893">
        <f t="shared" si="147"/>
        <v>0</v>
      </c>
      <c r="AD871" s="322"/>
      <c r="AE871" s="1"/>
      <c r="AF871" s="223">
        <f>IF(ISBLANK(AD871),0,COUNTIF(AF$4:AF870,"&gt;0")+1)</f>
        <v>0</v>
      </c>
      <c r="AG871" s="164">
        <f t="shared" si="153"/>
        <v>0</v>
      </c>
      <c r="AH871" s="99">
        <f t="shared" si="148"/>
        <v>0</v>
      </c>
      <c r="AI871" s="99">
        <f t="shared" si="154"/>
        <v>0</v>
      </c>
      <c r="AJ871" s="170">
        <f t="shared" si="155"/>
        <v>0</v>
      </c>
      <c r="AK871" s="204">
        <f t="shared" si="149"/>
        <v>0</v>
      </c>
      <c r="AL871" s="1049">
        <f>IF(ISERROR(AO871),0,IF(AND(AN871&gt;=$U$1,AN871&lt;=$U$2),IF(AO871='ESTRATTO CONTO'!$E$2,1+COUNTIF(AL$4:AL870,"&gt;0")+U$1009,0),0))</f>
        <v>0</v>
      </c>
      <c r="AM871" s="747">
        <f t="shared" si="152"/>
        <v>868</v>
      </c>
      <c r="AN871" s="164" t="e">
        <f>VLOOKUP($AM871,PATRIMONIALE!$AV923:AW$1003,2,FALSE)</f>
        <v>#N/A</v>
      </c>
      <c r="AO871" s="310" t="e">
        <f>VLOOKUP($AM871,PATRIMONIALE!$AV923:AX$1003,3,FALSE)</f>
        <v>#N/A</v>
      </c>
      <c r="AP871" s="310" t="e">
        <f>VLOOKUP($AM871,PATRIMONIALE!$AV923:AY$1003,4,FALSE)</f>
        <v>#N/A</v>
      </c>
      <c r="AQ871" s="748" t="e">
        <f>VLOOKUP($AM871,PATRIMONIALE!$AV923:AZ$1003,5,FALSE)</f>
        <v>#N/A</v>
      </c>
      <c r="AR871" s="1"/>
      <c r="AS871" s="461" t="str">
        <f t="shared" si="150"/>
        <v/>
      </c>
      <c r="AT871" s="370"/>
    </row>
    <row r="872" spans="1:46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435">
        <f>IF(AND(W872&gt;=$U$1,W872&lt;=$U$2),IF(X872='ESTRATTO CONTO'!$E$2,1+COUNTIF(U$4:U871,"&gt;0"),0),0)</f>
        <v>0</v>
      </c>
      <c r="V872" s="417">
        <f t="shared" si="151"/>
        <v>869</v>
      </c>
      <c r="W872" s="509"/>
      <c r="X872" s="321"/>
      <c r="Y872" s="321"/>
      <c r="Z872" s="433"/>
      <c r="AA872" s="356"/>
      <c r="AB872" s="306" t="str">
        <f t="shared" si="146"/>
        <v/>
      </c>
      <c r="AC872" s="893">
        <f t="shared" si="147"/>
        <v>0</v>
      </c>
      <c r="AD872" s="322"/>
      <c r="AE872" s="1"/>
      <c r="AF872" s="223">
        <f>IF(ISBLANK(AD872),0,COUNTIF(AF$4:AF871,"&gt;0")+1)</f>
        <v>0</v>
      </c>
      <c r="AG872" s="164">
        <f t="shared" si="153"/>
        <v>0</v>
      </c>
      <c r="AH872" s="99">
        <f t="shared" si="148"/>
        <v>0</v>
      </c>
      <c r="AI872" s="99">
        <f t="shared" si="154"/>
        <v>0</v>
      </c>
      <c r="AJ872" s="170">
        <f t="shared" si="155"/>
        <v>0</v>
      </c>
      <c r="AK872" s="204">
        <f t="shared" si="149"/>
        <v>0</v>
      </c>
      <c r="AL872" s="1049">
        <f>IF(ISERROR(AO872),0,IF(AND(AN872&gt;=$U$1,AN872&lt;=$U$2),IF(AO872='ESTRATTO CONTO'!$E$2,1+COUNTIF(AL$4:AL871,"&gt;0")+U$1009,0),0))</f>
        <v>0</v>
      </c>
      <c r="AM872" s="747">
        <f t="shared" si="152"/>
        <v>869</v>
      </c>
      <c r="AN872" s="164" t="e">
        <f>VLOOKUP($AM872,PATRIMONIALE!$AV924:AW$1003,2,FALSE)</f>
        <v>#N/A</v>
      </c>
      <c r="AO872" s="310" t="e">
        <f>VLOOKUP($AM872,PATRIMONIALE!$AV924:AX$1003,3,FALSE)</f>
        <v>#N/A</v>
      </c>
      <c r="AP872" s="310" t="e">
        <f>VLOOKUP($AM872,PATRIMONIALE!$AV924:AY$1003,4,FALSE)</f>
        <v>#N/A</v>
      </c>
      <c r="AQ872" s="748" t="e">
        <f>VLOOKUP($AM872,PATRIMONIALE!$AV924:AZ$1003,5,FALSE)</f>
        <v>#N/A</v>
      </c>
      <c r="AR872" s="1"/>
      <c r="AS872" s="461" t="str">
        <f t="shared" si="150"/>
        <v/>
      </c>
      <c r="AT872" s="370"/>
    </row>
    <row r="873" spans="1:46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435">
        <f>IF(AND(W873&gt;=$U$1,W873&lt;=$U$2),IF(X873='ESTRATTO CONTO'!$E$2,1+COUNTIF(U$4:U872,"&gt;0"),0),0)</f>
        <v>0</v>
      </c>
      <c r="V873" s="417">
        <f t="shared" si="151"/>
        <v>870</v>
      </c>
      <c r="W873" s="509"/>
      <c r="X873" s="321"/>
      <c r="Y873" s="321"/>
      <c r="Z873" s="433"/>
      <c r="AA873" s="356"/>
      <c r="AB873" s="306" t="str">
        <f t="shared" si="146"/>
        <v/>
      </c>
      <c r="AC873" s="893">
        <f t="shared" si="147"/>
        <v>0</v>
      </c>
      <c r="AD873" s="322"/>
      <c r="AE873" s="1"/>
      <c r="AF873" s="223">
        <f>IF(ISBLANK(AD873),0,COUNTIF(AF$4:AF872,"&gt;0")+1)</f>
        <v>0</v>
      </c>
      <c r="AG873" s="164">
        <f t="shared" si="153"/>
        <v>0</v>
      </c>
      <c r="AH873" s="99">
        <f t="shared" si="148"/>
        <v>0</v>
      </c>
      <c r="AI873" s="99">
        <f t="shared" si="154"/>
        <v>0</v>
      </c>
      <c r="AJ873" s="170">
        <f t="shared" si="155"/>
        <v>0</v>
      </c>
      <c r="AK873" s="204">
        <f t="shared" si="149"/>
        <v>0</v>
      </c>
      <c r="AL873" s="1049">
        <f>IF(ISERROR(AO873),0,IF(AND(AN873&gt;=$U$1,AN873&lt;=$U$2),IF(AO873='ESTRATTO CONTO'!$E$2,1+COUNTIF(AL$4:AL872,"&gt;0")+U$1009,0),0))</f>
        <v>0</v>
      </c>
      <c r="AM873" s="747">
        <f t="shared" si="152"/>
        <v>870</v>
      </c>
      <c r="AN873" s="164" t="e">
        <f>VLOOKUP($AM873,PATRIMONIALE!$AV925:AW$1003,2,FALSE)</f>
        <v>#N/A</v>
      </c>
      <c r="AO873" s="310" t="e">
        <f>VLOOKUP($AM873,PATRIMONIALE!$AV925:AX$1003,3,FALSE)</f>
        <v>#N/A</v>
      </c>
      <c r="AP873" s="310" t="e">
        <f>VLOOKUP($AM873,PATRIMONIALE!$AV925:AY$1003,4,FALSE)</f>
        <v>#N/A</v>
      </c>
      <c r="AQ873" s="748" t="e">
        <f>VLOOKUP($AM873,PATRIMONIALE!$AV925:AZ$1003,5,FALSE)</f>
        <v>#N/A</v>
      </c>
      <c r="AR873" s="1"/>
      <c r="AS873" s="461" t="str">
        <f t="shared" si="150"/>
        <v/>
      </c>
      <c r="AT873" s="370"/>
    </row>
    <row r="874" spans="1:46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435">
        <f>IF(AND(W874&gt;=$U$1,W874&lt;=$U$2),IF(X874='ESTRATTO CONTO'!$E$2,1+COUNTIF(U$4:U873,"&gt;0"),0),0)</f>
        <v>0</v>
      </c>
      <c r="V874" s="417">
        <f t="shared" si="151"/>
        <v>871</v>
      </c>
      <c r="W874" s="509"/>
      <c r="X874" s="321"/>
      <c r="Y874" s="321"/>
      <c r="Z874" s="433"/>
      <c r="AA874" s="356"/>
      <c r="AB874" s="306" t="str">
        <f t="shared" si="146"/>
        <v/>
      </c>
      <c r="AC874" s="893">
        <f t="shared" si="147"/>
        <v>0</v>
      </c>
      <c r="AD874" s="322"/>
      <c r="AE874" s="1"/>
      <c r="AF874" s="223">
        <f>IF(ISBLANK(AD874),0,COUNTIF(AF$4:AF873,"&gt;0")+1)</f>
        <v>0</v>
      </c>
      <c r="AG874" s="164">
        <f t="shared" si="153"/>
        <v>0</v>
      </c>
      <c r="AH874" s="99">
        <f t="shared" si="148"/>
        <v>0</v>
      </c>
      <c r="AI874" s="99">
        <f t="shared" si="154"/>
        <v>0</v>
      </c>
      <c r="AJ874" s="170">
        <f t="shared" si="155"/>
        <v>0</v>
      </c>
      <c r="AK874" s="204">
        <f t="shared" si="149"/>
        <v>0</v>
      </c>
      <c r="AL874" s="1049">
        <f>IF(ISERROR(AO874),0,IF(AND(AN874&gt;=$U$1,AN874&lt;=$U$2),IF(AO874='ESTRATTO CONTO'!$E$2,1+COUNTIF(AL$4:AL873,"&gt;0")+U$1009,0),0))</f>
        <v>0</v>
      </c>
      <c r="AM874" s="747">
        <f t="shared" si="152"/>
        <v>871</v>
      </c>
      <c r="AN874" s="164" t="e">
        <f>VLOOKUP($AM874,PATRIMONIALE!$AV926:AW$1003,2,FALSE)</f>
        <v>#N/A</v>
      </c>
      <c r="AO874" s="310" t="e">
        <f>VLOOKUP($AM874,PATRIMONIALE!$AV926:AX$1003,3,FALSE)</f>
        <v>#N/A</v>
      </c>
      <c r="AP874" s="310" t="e">
        <f>VLOOKUP($AM874,PATRIMONIALE!$AV926:AY$1003,4,FALSE)</f>
        <v>#N/A</v>
      </c>
      <c r="AQ874" s="748" t="e">
        <f>VLOOKUP($AM874,PATRIMONIALE!$AV926:AZ$1003,5,FALSE)</f>
        <v>#N/A</v>
      </c>
      <c r="AR874" s="1"/>
      <c r="AS874" s="461" t="str">
        <f t="shared" si="150"/>
        <v/>
      </c>
      <c r="AT874" s="370"/>
    </row>
    <row r="875" spans="1:46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435">
        <f>IF(AND(W875&gt;=$U$1,W875&lt;=$U$2),IF(X875='ESTRATTO CONTO'!$E$2,1+COUNTIF(U$4:U874,"&gt;0"),0),0)</f>
        <v>0</v>
      </c>
      <c r="V875" s="417">
        <f t="shared" si="151"/>
        <v>872</v>
      </c>
      <c r="W875" s="509"/>
      <c r="X875" s="321"/>
      <c r="Y875" s="321"/>
      <c r="Z875" s="433"/>
      <c r="AA875" s="356"/>
      <c r="AB875" s="306" t="str">
        <f t="shared" si="146"/>
        <v/>
      </c>
      <c r="AC875" s="893">
        <f t="shared" si="147"/>
        <v>0</v>
      </c>
      <c r="AD875" s="322"/>
      <c r="AE875" s="1"/>
      <c r="AF875" s="223">
        <f>IF(ISBLANK(AD875),0,COUNTIF(AF$4:AF874,"&gt;0")+1)</f>
        <v>0</v>
      </c>
      <c r="AG875" s="164">
        <f t="shared" si="153"/>
        <v>0</v>
      </c>
      <c r="AH875" s="99">
        <f t="shared" si="148"/>
        <v>0</v>
      </c>
      <c r="AI875" s="99">
        <f t="shared" si="154"/>
        <v>0</v>
      </c>
      <c r="AJ875" s="170">
        <f t="shared" si="155"/>
        <v>0</v>
      </c>
      <c r="AK875" s="204">
        <f t="shared" si="149"/>
        <v>0</v>
      </c>
      <c r="AL875" s="1049">
        <f>IF(ISERROR(AO875),0,IF(AND(AN875&gt;=$U$1,AN875&lt;=$U$2),IF(AO875='ESTRATTO CONTO'!$E$2,1+COUNTIF(AL$4:AL874,"&gt;0")+U$1009,0),0))</f>
        <v>0</v>
      </c>
      <c r="AM875" s="747">
        <f t="shared" si="152"/>
        <v>872</v>
      </c>
      <c r="AN875" s="164" t="e">
        <f>VLOOKUP($AM875,PATRIMONIALE!$AV927:AW$1003,2,FALSE)</f>
        <v>#N/A</v>
      </c>
      <c r="AO875" s="310" t="e">
        <f>VLOOKUP($AM875,PATRIMONIALE!$AV927:AX$1003,3,FALSE)</f>
        <v>#N/A</v>
      </c>
      <c r="AP875" s="310" t="e">
        <f>VLOOKUP($AM875,PATRIMONIALE!$AV927:AY$1003,4,FALSE)</f>
        <v>#N/A</v>
      </c>
      <c r="AQ875" s="748" t="e">
        <f>VLOOKUP($AM875,PATRIMONIALE!$AV927:AZ$1003,5,FALSE)</f>
        <v>#N/A</v>
      </c>
      <c r="AR875" s="1"/>
      <c r="AS875" s="461" t="str">
        <f t="shared" si="150"/>
        <v/>
      </c>
      <c r="AT875" s="370"/>
    </row>
    <row r="876" spans="1:46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435">
        <f>IF(AND(W876&gt;=$U$1,W876&lt;=$U$2),IF(X876='ESTRATTO CONTO'!$E$2,1+COUNTIF(U$4:U875,"&gt;0"),0),0)</f>
        <v>0</v>
      </c>
      <c r="V876" s="417">
        <f t="shared" si="151"/>
        <v>873</v>
      </c>
      <c r="W876" s="509"/>
      <c r="X876" s="321"/>
      <c r="Y876" s="321"/>
      <c r="Z876" s="433"/>
      <c r="AA876" s="356"/>
      <c r="AB876" s="306" t="str">
        <f t="shared" si="146"/>
        <v/>
      </c>
      <c r="AC876" s="893">
        <f t="shared" si="147"/>
        <v>0</v>
      </c>
      <c r="AD876" s="322"/>
      <c r="AE876" s="1"/>
      <c r="AF876" s="223">
        <f>IF(ISBLANK(AD876),0,COUNTIF(AF$4:AF875,"&gt;0")+1)</f>
        <v>0</v>
      </c>
      <c r="AG876" s="164">
        <f t="shared" si="153"/>
        <v>0</v>
      </c>
      <c r="AH876" s="99">
        <f t="shared" si="148"/>
        <v>0</v>
      </c>
      <c r="AI876" s="99">
        <f t="shared" si="154"/>
        <v>0</v>
      </c>
      <c r="AJ876" s="170">
        <f t="shared" si="155"/>
        <v>0</v>
      </c>
      <c r="AK876" s="204">
        <f t="shared" si="149"/>
        <v>0</v>
      </c>
      <c r="AL876" s="1049">
        <f>IF(ISERROR(AO876),0,IF(AND(AN876&gt;=$U$1,AN876&lt;=$U$2),IF(AO876='ESTRATTO CONTO'!$E$2,1+COUNTIF(AL$4:AL875,"&gt;0")+U$1009,0),0))</f>
        <v>0</v>
      </c>
      <c r="AM876" s="747">
        <f t="shared" si="152"/>
        <v>873</v>
      </c>
      <c r="AN876" s="164" t="e">
        <f>VLOOKUP($AM876,PATRIMONIALE!$AV928:AW$1003,2,FALSE)</f>
        <v>#N/A</v>
      </c>
      <c r="AO876" s="310" t="e">
        <f>VLOOKUP($AM876,PATRIMONIALE!$AV928:AX$1003,3,FALSE)</f>
        <v>#N/A</v>
      </c>
      <c r="AP876" s="310" t="e">
        <f>VLOOKUP($AM876,PATRIMONIALE!$AV928:AY$1003,4,FALSE)</f>
        <v>#N/A</v>
      </c>
      <c r="AQ876" s="748" t="e">
        <f>VLOOKUP($AM876,PATRIMONIALE!$AV928:AZ$1003,5,FALSE)</f>
        <v>#N/A</v>
      </c>
      <c r="AR876" s="1"/>
      <c r="AS876" s="461" t="str">
        <f t="shared" si="150"/>
        <v/>
      </c>
      <c r="AT876" s="370"/>
    </row>
    <row r="877" spans="1:46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435">
        <f>IF(AND(W877&gt;=$U$1,W877&lt;=$U$2),IF(X877='ESTRATTO CONTO'!$E$2,1+COUNTIF(U$4:U876,"&gt;0"),0),0)</f>
        <v>0</v>
      </c>
      <c r="V877" s="417">
        <f t="shared" si="151"/>
        <v>874</v>
      </c>
      <c r="W877" s="509"/>
      <c r="X877" s="321"/>
      <c r="Y877" s="321"/>
      <c r="Z877" s="433"/>
      <c r="AA877" s="356"/>
      <c r="AB877" s="306" t="str">
        <f t="shared" si="146"/>
        <v/>
      </c>
      <c r="AC877" s="893">
        <f t="shared" si="147"/>
        <v>0</v>
      </c>
      <c r="AD877" s="322"/>
      <c r="AE877" s="1"/>
      <c r="AF877" s="223">
        <f>IF(ISBLANK(AD877),0,COUNTIF(AF$4:AF876,"&gt;0")+1)</f>
        <v>0</v>
      </c>
      <c r="AG877" s="164">
        <f t="shared" si="153"/>
        <v>0</v>
      </c>
      <c r="AH877" s="99">
        <f t="shared" si="148"/>
        <v>0</v>
      </c>
      <c r="AI877" s="99">
        <f t="shared" si="154"/>
        <v>0</v>
      </c>
      <c r="AJ877" s="170">
        <f t="shared" si="155"/>
        <v>0</v>
      </c>
      <c r="AK877" s="204">
        <f t="shared" si="149"/>
        <v>0</v>
      </c>
      <c r="AL877" s="1049">
        <f>IF(ISERROR(AO877),0,IF(AND(AN877&gt;=$U$1,AN877&lt;=$U$2),IF(AO877='ESTRATTO CONTO'!$E$2,1+COUNTIF(AL$4:AL876,"&gt;0")+U$1009,0),0))</f>
        <v>0</v>
      </c>
      <c r="AM877" s="747">
        <f t="shared" si="152"/>
        <v>874</v>
      </c>
      <c r="AN877" s="164" t="e">
        <f>VLOOKUP($AM877,PATRIMONIALE!$AV929:AW$1003,2,FALSE)</f>
        <v>#N/A</v>
      </c>
      <c r="AO877" s="310" t="e">
        <f>VLOOKUP($AM877,PATRIMONIALE!$AV929:AX$1003,3,FALSE)</f>
        <v>#N/A</v>
      </c>
      <c r="AP877" s="310" t="e">
        <f>VLOOKUP($AM877,PATRIMONIALE!$AV929:AY$1003,4,FALSE)</f>
        <v>#N/A</v>
      </c>
      <c r="AQ877" s="748" t="e">
        <f>VLOOKUP($AM877,PATRIMONIALE!$AV929:AZ$1003,5,FALSE)</f>
        <v>#N/A</v>
      </c>
      <c r="AR877" s="1"/>
      <c r="AS877" s="461" t="str">
        <f t="shared" si="150"/>
        <v/>
      </c>
      <c r="AT877" s="370"/>
    </row>
    <row r="878" spans="1:46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435">
        <f>IF(AND(W878&gt;=$U$1,W878&lt;=$U$2),IF(X878='ESTRATTO CONTO'!$E$2,1+COUNTIF(U$4:U877,"&gt;0"),0),0)</f>
        <v>0</v>
      </c>
      <c r="V878" s="417">
        <f t="shared" si="151"/>
        <v>875</v>
      </c>
      <c r="W878" s="509"/>
      <c r="X878" s="321"/>
      <c r="Y878" s="321"/>
      <c r="Z878" s="433"/>
      <c r="AA878" s="356"/>
      <c r="AB878" s="306" t="str">
        <f t="shared" si="146"/>
        <v/>
      </c>
      <c r="AC878" s="893">
        <f t="shared" si="147"/>
        <v>0</v>
      </c>
      <c r="AD878" s="322"/>
      <c r="AE878" s="1"/>
      <c r="AF878" s="223">
        <f>IF(ISBLANK(AD878),0,COUNTIF(AF$4:AF877,"&gt;0")+1)</f>
        <v>0</v>
      </c>
      <c r="AG878" s="164">
        <f t="shared" si="153"/>
        <v>0</v>
      </c>
      <c r="AH878" s="99">
        <f t="shared" si="148"/>
        <v>0</v>
      </c>
      <c r="AI878" s="99">
        <f t="shared" si="154"/>
        <v>0</v>
      </c>
      <c r="AJ878" s="170">
        <f t="shared" si="155"/>
        <v>0</v>
      </c>
      <c r="AK878" s="204">
        <f t="shared" si="149"/>
        <v>0</v>
      </c>
      <c r="AL878" s="1049">
        <f>IF(ISERROR(AO878),0,IF(AND(AN878&gt;=$U$1,AN878&lt;=$U$2),IF(AO878='ESTRATTO CONTO'!$E$2,1+COUNTIF(AL$4:AL877,"&gt;0")+U$1009,0),0))</f>
        <v>0</v>
      </c>
      <c r="AM878" s="747">
        <f t="shared" si="152"/>
        <v>875</v>
      </c>
      <c r="AN878" s="164" t="e">
        <f>VLOOKUP($AM878,PATRIMONIALE!$AV930:AW$1003,2,FALSE)</f>
        <v>#N/A</v>
      </c>
      <c r="AO878" s="310" t="e">
        <f>VLOOKUP($AM878,PATRIMONIALE!$AV930:AX$1003,3,FALSE)</f>
        <v>#N/A</v>
      </c>
      <c r="AP878" s="310" t="e">
        <f>VLOOKUP($AM878,PATRIMONIALE!$AV930:AY$1003,4,FALSE)</f>
        <v>#N/A</v>
      </c>
      <c r="AQ878" s="748" t="e">
        <f>VLOOKUP($AM878,PATRIMONIALE!$AV930:AZ$1003,5,FALSE)</f>
        <v>#N/A</v>
      </c>
      <c r="AR878" s="1"/>
      <c r="AS878" s="461" t="str">
        <f t="shared" si="150"/>
        <v/>
      </c>
      <c r="AT878" s="370"/>
    </row>
    <row r="879" spans="1:46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435">
        <f>IF(AND(W879&gt;=$U$1,W879&lt;=$U$2),IF(X879='ESTRATTO CONTO'!$E$2,1+COUNTIF(U$4:U878,"&gt;0"),0),0)</f>
        <v>0</v>
      </c>
      <c r="V879" s="417">
        <f t="shared" si="151"/>
        <v>876</v>
      </c>
      <c r="W879" s="509"/>
      <c r="X879" s="321"/>
      <c r="Y879" s="321"/>
      <c r="Z879" s="433"/>
      <c r="AA879" s="356"/>
      <c r="AB879" s="306" t="str">
        <f t="shared" si="146"/>
        <v/>
      </c>
      <c r="AC879" s="893">
        <f t="shared" si="147"/>
        <v>0</v>
      </c>
      <c r="AD879" s="322"/>
      <c r="AE879" s="1"/>
      <c r="AF879" s="223">
        <f>IF(ISBLANK(AD879),0,COUNTIF(AF$4:AF878,"&gt;0")+1)</f>
        <v>0</v>
      </c>
      <c r="AG879" s="164">
        <f t="shared" si="153"/>
        <v>0</v>
      </c>
      <c r="AH879" s="99">
        <f t="shared" si="148"/>
        <v>0</v>
      </c>
      <c r="AI879" s="99">
        <f t="shared" si="154"/>
        <v>0</v>
      </c>
      <c r="AJ879" s="170">
        <f t="shared" si="155"/>
        <v>0</v>
      </c>
      <c r="AK879" s="204">
        <f t="shared" si="149"/>
        <v>0</v>
      </c>
      <c r="AL879" s="1049">
        <f>IF(ISERROR(AO879),0,IF(AND(AN879&gt;=$U$1,AN879&lt;=$U$2),IF(AO879='ESTRATTO CONTO'!$E$2,1+COUNTIF(AL$4:AL878,"&gt;0")+U$1009,0),0))</f>
        <v>0</v>
      </c>
      <c r="AM879" s="747">
        <f t="shared" si="152"/>
        <v>876</v>
      </c>
      <c r="AN879" s="164" t="e">
        <f>VLOOKUP($AM879,PATRIMONIALE!$AV931:AW$1003,2,FALSE)</f>
        <v>#N/A</v>
      </c>
      <c r="AO879" s="310" t="e">
        <f>VLOOKUP($AM879,PATRIMONIALE!$AV931:AX$1003,3,FALSE)</f>
        <v>#N/A</v>
      </c>
      <c r="AP879" s="310" t="e">
        <f>VLOOKUP($AM879,PATRIMONIALE!$AV931:AY$1003,4,FALSE)</f>
        <v>#N/A</v>
      </c>
      <c r="AQ879" s="748" t="e">
        <f>VLOOKUP($AM879,PATRIMONIALE!$AV931:AZ$1003,5,FALSE)</f>
        <v>#N/A</v>
      </c>
      <c r="AR879" s="1"/>
      <c r="AS879" s="461" t="str">
        <f t="shared" si="150"/>
        <v/>
      </c>
      <c r="AT879" s="370"/>
    </row>
    <row r="880" spans="1:46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435">
        <f>IF(AND(W880&gt;=$U$1,W880&lt;=$U$2),IF(X880='ESTRATTO CONTO'!$E$2,1+COUNTIF(U$4:U879,"&gt;0"),0),0)</f>
        <v>0</v>
      </c>
      <c r="V880" s="417">
        <f t="shared" si="151"/>
        <v>877</v>
      </c>
      <c r="W880" s="509"/>
      <c r="X880" s="321"/>
      <c r="Y880" s="321"/>
      <c r="Z880" s="433"/>
      <c r="AA880" s="356"/>
      <c r="AB880" s="306" t="str">
        <f t="shared" si="146"/>
        <v/>
      </c>
      <c r="AC880" s="893">
        <f t="shared" si="147"/>
        <v>0</v>
      </c>
      <c r="AD880" s="322"/>
      <c r="AE880" s="1"/>
      <c r="AF880" s="223">
        <f>IF(ISBLANK(AD880),0,COUNTIF(AF$4:AF879,"&gt;0")+1)</f>
        <v>0</v>
      </c>
      <c r="AG880" s="164">
        <f t="shared" si="153"/>
        <v>0</v>
      </c>
      <c r="AH880" s="99">
        <f t="shared" si="148"/>
        <v>0</v>
      </c>
      <c r="AI880" s="99">
        <f t="shared" si="154"/>
        <v>0</v>
      </c>
      <c r="AJ880" s="170">
        <f t="shared" si="155"/>
        <v>0</v>
      </c>
      <c r="AK880" s="204">
        <f t="shared" si="149"/>
        <v>0</v>
      </c>
      <c r="AL880" s="1049">
        <f>IF(ISERROR(AO880),0,IF(AND(AN880&gt;=$U$1,AN880&lt;=$U$2),IF(AO880='ESTRATTO CONTO'!$E$2,1+COUNTIF(AL$4:AL879,"&gt;0")+U$1009,0),0))</f>
        <v>0</v>
      </c>
      <c r="AM880" s="747">
        <f t="shared" si="152"/>
        <v>877</v>
      </c>
      <c r="AN880" s="164" t="e">
        <f>VLOOKUP($AM880,PATRIMONIALE!$AV932:AW$1003,2,FALSE)</f>
        <v>#N/A</v>
      </c>
      <c r="AO880" s="310" t="e">
        <f>VLOOKUP($AM880,PATRIMONIALE!$AV932:AX$1003,3,FALSE)</f>
        <v>#N/A</v>
      </c>
      <c r="AP880" s="310" t="e">
        <f>VLOOKUP($AM880,PATRIMONIALE!$AV932:AY$1003,4,FALSE)</f>
        <v>#N/A</v>
      </c>
      <c r="AQ880" s="748" t="e">
        <f>VLOOKUP($AM880,PATRIMONIALE!$AV932:AZ$1003,5,FALSE)</f>
        <v>#N/A</v>
      </c>
      <c r="AR880" s="1"/>
      <c r="AS880" s="461" t="str">
        <f t="shared" si="150"/>
        <v/>
      </c>
      <c r="AT880" s="370"/>
    </row>
    <row r="881" spans="1:46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435">
        <f>IF(AND(W881&gt;=$U$1,W881&lt;=$U$2),IF(X881='ESTRATTO CONTO'!$E$2,1+COUNTIF(U$4:U880,"&gt;0"),0),0)</f>
        <v>0</v>
      </c>
      <c r="V881" s="417">
        <f t="shared" si="151"/>
        <v>878</v>
      </c>
      <c r="W881" s="509"/>
      <c r="X881" s="321"/>
      <c r="Y881" s="321"/>
      <c r="Z881" s="433"/>
      <c r="AA881" s="356"/>
      <c r="AB881" s="306" t="str">
        <f t="shared" si="146"/>
        <v/>
      </c>
      <c r="AC881" s="893">
        <f t="shared" si="147"/>
        <v>0</v>
      </c>
      <c r="AD881" s="322"/>
      <c r="AE881" s="1"/>
      <c r="AF881" s="223">
        <f>IF(ISBLANK(AD881),0,COUNTIF(AF$4:AF880,"&gt;0")+1)</f>
        <v>0</v>
      </c>
      <c r="AG881" s="164">
        <f t="shared" si="153"/>
        <v>0</v>
      </c>
      <c r="AH881" s="99">
        <f t="shared" si="148"/>
        <v>0</v>
      </c>
      <c r="AI881" s="99">
        <f t="shared" si="154"/>
        <v>0</v>
      </c>
      <c r="AJ881" s="170">
        <f t="shared" si="155"/>
        <v>0</v>
      </c>
      <c r="AK881" s="204">
        <f t="shared" si="149"/>
        <v>0</v>
      </c>
      <c r="AL881" s="1049">
        <f>IF(ISERROR(AO881),0,IF(AND(AN881&gt;=$U$1,AN881&lt;=$U$2),IF(AO881='ESTRATTO CONTO'!$E$2,1+COUNTIF(AL$4:AL880,"&gt;0")+U$1009,0),0))</f>
        <v>0</v>
      </c>
      <c r="AM881" s="747">
        <f t="shared" si="152"/>
        <v>878</v>
      </c>
      <c r="AN881" s="164" t="e">
        <f>VLOOKUP($AM881,PATRIMONIALE!$AV933:AW$1003,2,FALSE)</f>
        <v>#N/A</v>
      </c>
      <c r="AO881" s="310" t="e">
        <f>VLOOKUP($AM881,PATRIMONIALE!$AV933:AX$1003,3,FALSE)</f>
        <v>#N/A</v>
      </c>
      <c r="AP881" s="310" t="e">
        <f>VLOOKUP($AM881,PATRIMONIALE!$AV933:AY$1003,4,FALSE)</f>
        <v>#N/A</v>
      </c>
      <c r="AQ881" s="748" t="e">
        <f>VLOOKUP($AM881,PATRIMONIALE!$AV933:AZ$1003,5,FALSE)</f>
        <v>#N/A</v>
      </c>
      <c r="AR881" s="1"/>
      <c r="AS881" s="461" t="str">
        <f t="shared" si="150"/>
        <v/>
      </c>
      <c r="AT881" s="370"/>
    </row>
    <row r="882" spans="1:46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435">
        <f>IF(AND(W882&gt;=$U$1,W882&lt;=$U$2),IF(X882='ESTRATTO CONTO'!$E$2,1+COUNTIF(U$4:U881,"&gt;0"),0),0)</f>
        <v>0</v>
      </c>
      <c r="V882" s="417">
        <f t="shared" si="151"/>
        <v>879</v>
      </c>
      <c r="W882" s="509"/>
      <c r="X882" s="321"/>
      <c r="Y882" s="321"/>
      <c r="Z882" s="433"/>
      <c r="AA882" s="356"/>
      <c r="AB882" s="306" t="str">
        <f t="shared" si="146"/>
        <v/>
      </c>
      <c r="AC882" s="893">
        <f t="shared" si="147"/>
        <v>0</v>
      </c>
      <c r="AD882" s="322"/>
      <c r="AE882" s="1"/>
      <c r="AF882" s="223">
        <f>IF(ISBLANK(AD882),0,COUNTIF(AF$4:AF881,"&gt;0")+1)</f>
        <v>0</v>
      </c>
      <c r="AG882" s="164">
        <f t="shared" si="153"/>
        <v>0</v>
      </c>
      <c r="AH882" s="99">
        <f t="shared" si="148"/>
        <v>0</v>
      </c>
      <c r="AI882" s="99">
        <f t="shared" si="154"/>
        <v>0</v>
      </c>
      <c r="AJ882" s="170">
        <f t="shared" si="155"/>
        <v>0</v>
      </c>
      <c r="AK882" s="204">
        <f t="shared" si="149"/>
        <v>0</v>
      </c>
      <c r="AL882" s="1049">
        <f>IF(ISERROR(AO882),0,IF(AND(AN882&gt;=$U$1,AN882&lt;=$U$2),IF(AO882='ESTRATTO CONTO'!$E$2,1+COUNTIF(AL$4:AL881,"&gt;0")+U$1009,0),0))</f>
        <v>0</v>
      </c>
      <c r="AM882" s="747">
        <f t="shared" si="152"/>
        <v>879</v>
      </c>
      <c r="AN882" s="164" t="e">
        <f>VLOOKUP($AM882,PATRIMONIALE!$AV934:AW$1003,2,FALSE)</f>
        <v>#N/A</v>
      </c>
      <c r="AO882" s="310" t="e">
        <f>VLOOKUP($AM882,PATRIMONIALE!$AV934:AX$1003,3,FALSE)</f>
        <v>#N/A</v>
      </c>
      <c r="AP882" s="310" t="e">
        <f>VLOOKUP($AM882,PATRIMONIALE!$AV934:AY$1003,4,FALSE)</f>
        <v>#N/A</v>
      </c>
      <c r="AQ882" s="748" t="e">
        <f>VLOOKUP($AM882,PATRIMONIALE!$AV934:AZ$1003,5,FALSE)</f>
        <v>#N/A</v>
      </c>
      <c r="AR882" s="1"/>
      <c r="AS882" s="461" t="str">
        <f t="shared" si="150"/>
        <v/>
      </c>
      <c r="AT882" s="370"/>
    </row>
    <row r="883" spans="1:46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435">
        <f>IF(AND(W883&gt;=$U$1,W883&lt;=$U$2),IF(X883='ESTRATTO CONTO'!$E$2,1+COUNTIF(U$4:U882,"&gt;0"),0),0)</f>
        <v>0</v>
      </c>
      <c r="V883" s="417">
        <f t="shared" si="151"/>
        <v>880</v>
      </c>
      <c r="W883" s="509"/>
      <c r="X883" s="321"/>
      <c r="Y883" s="321"/>
      <c r="Z883" s="433"/>
      <c r="AA883" s="356"/>
      <c r="AB883" s="306" t="str">
        <f t="shared" si="146"/>
        <v/>
      </c>
      <c r="AC883" s="893">
        <f t="shared" si="147"/>
        <v>0</v>
      </c>
      <c r="AD883" s="322"/>
      <c r="AE883" s="1"/>
      <c r="AF883" s="223">
        <f>IF(ISBLANK(AD883),0,COUNTIF(AF$4:AF882,"&gt;0")+1)</f>
        <v>0</v>
      </c>
      <c r="AG883" s="164">
        <f t="shared" si="153"/>
        <v>0</v>
      </c>
      <c r="AH883" s="99">
        <f t="shared" si="148"/>
        <v>0</v>
      </c>
      <c r="AI883" s="99">
        <f t="shared" si="154"/>
        <v>0</v>
      </c>
      <c r="AJ883" s="170">
        <f t="shared" si="155"/>
        <v>0</v>
      </c>
      <c r="AK883" s="204">
        <f t="shared" si="149"/>
        <v>0</v>
      </c>
      <c r="AL883" s="1049">
        <f>IF(ISERROR(AO883),0,IF(AND(AN883&gt;=$U$1,AN883&lt;=$U$2),IF(AO883='ESTRATTO CONTO'!$E$2,1+COUNTIF(AL$4:AL882,"&gt;0")+U$1009,0),0))</f>
        <v>0</v>
      </c>
      <c r="AM883" s="747">
        <f t="shared" si="152"/>
        <v>880</v>
      </c>
      <c r="AN883" s="164" t="e">
        <f>VLOOKUP($AM883,PATRIMONIALE!$AV935:AW$1003,2,FALSE)</f>
        <v>#N/A</v>
      </c>
      <c r="AO883" s="310" t="e">
        <f>VLOOKUP($AM883,PATRIMONIALE!$AV935:AX$1003,3,FALSE)</f>
        <v>#N/A</v>
      </c>
      <c r="AP883" s="310" t="e">
        <f>VLOOKUP($AM883,PATRIMONIALE!$AV935:AY$1003,4,FALSE)</f>
        <v>#N/A</v>
      </c>
      <c r="AQ883" s="748" t="e">
        <f>VLOOKUP($AM883,PATRIMONIALE!$AV935:AZ$1003,5,FALSE)</f>
        <v>#N/A</v>
      </c>
      <c r="AR883" s="1"/>
      <c r="AS883" s="461" t="str">
        <f t="shared" si="150"/>
        <v/>
      </c>
      <c r="AT883" s="370"/>
    </row>
    <row r="884" spans="1:46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435">
        <f>IF(AND(W884&gt;=$U$1,W884&lt;=$U$2),IF(X884='ESTRATTO CONTO'!$E$2,1+COUNTIF(U$4:U883,"&gt;0"),0),0)</f>
        <v>0</v>
      </c>
      <c r="V884" s="417">
        <f t="shared" si="151"/>
        <v>881</v>
      </c>
      <c r="W884" s="509"/>
      <c r="X884" s="321"/>
      <c r="Y884" s="321"/>
      <c r="Z884" s="433"/>
      <c r="AA884" s="356"/>
      <c r="AB884" s="306" t="str">
        <f t="shared" si="146"/>
        <v/>
      </c>
      <c r="AC884" s="893">
        <f t="shared" si="147"/>
        <v>0</v>
      </c>
      <c r="AD884" s="322"/>
      <c r="AE884" s="1"/>
      <c r="AF884" s="223">
        <f>IF(ISBLANK(AD884),0,COUNTIF(AF$4:AF883,"&gt;0")+1)</f>
        <v>0</v>
      </c>
      <c r="AG884" s="164">
        <f t="shared" si="153"/>
        <v>0</v>
      </c>
      <c r="AH884" s="99">
        <f t="shared" si="148"/>
        <v>0</v>
      </c>
      <c r="AI884" s="99">
        <f t="shared" si="154"/>
        <v>0</v>
      </c>
      <c r="AJ884" s="170">
        <f t="shared" si="155"/>
        <v>0</v>
      </c>
      <c r="AK884" s="204">
        <f t="shared" si="149"/>
        <v>0</v>
      </c>
      <c r="AL884" s="1049">
        <f>IF(ISERROR(AO884),0,IF(AND(AN884&gt;=$U$1,AN884&lt;=$U$2),IF(AO884='ESTRATTO CONTO'!$E$2,1+COUNTIF(AL$4:AL883,"&gt;0")+U$1009,0),0))</f>
        <v>0</v>
      </c>
      <c r="AM884" s="747">
        <f t="shared" si="152"/>
        <v>881</v>
      </c>
      <c r="AN884" s="164" t="e">
        <f>VLOOKUP($AM884,PATRIMONIALE!$AV936:AW$1003,2,FALSE)</f>
        <v>#N/A</v>
      </c>
      <c r="AO884" s="310" t="e">
        <f>VLOOKUP($AM884,PATRIMONIALE!$AV936:AX$1003,3,FALSE)</f>
        <v>#N/A</v>
      </c>
      <c r="AP884" s="310" t="e">
        <f>VLOOKUP($AM884,PATRIMONIALE!$AV936:AY$1003,4,FALSE)</f>
        <v>#N/A</v>
      </c>
      <c r="AQ884" s="748" t="e">
        <f>VLOOKUP($AM884,PATRIMONIALE!$AV936:AZ$1003,5,FALSE)</f>
        <v>#N/A</v>
      </c>
      <c r="AR884" s="1"/>
      <c r="AS884" s="461" t="str">
        <f t="shared" si="150"/>
        <v/>
      </c>
      <c r="AT884" s="370"/>
    </row>
    <row r="885" spans="1:46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435">
        <f>IF(AND(W885&gt;=$U$1,W885&lt;=$U$2),IF(X885='ESTRATTO CONTO'!$E$2,1+COUNTIF(U$4:U884,"&gt;0"),0),0)</f>
        <v>0</v>
      </c>
      <c r="V885" s="417">
        <f t="shared" si="151"/>
        <v>882</v>
      </c>
      <c r="W885" s="509"/>
      <c r="X885" s="321"/>
      <c r="Y885" s="321"/>
      <c r="Z885" s="433"/>
      <c r="AA885" s="356"/>
      <c r="AB885" s="306" t="str">
        <f t="shared" si="146"/>
        <v/>
      </c>
      <c r="AC885" s="893">
        <f t="shared" si="147"/>
        <v>0</v>
      </c>
      <c r="AD885" s="322"/>
      <c r="AE885" s="1"/>
      <c r="AF885" s="223">
        <f>IF(ISBLANK(AD885),0,COUNTIF(AF$4:AF884,"&gt;0")+1)</f>
        <v>0</v>
      </c>
      <c r="AG885" s="164">
        <f t="shared" si="153"/>
        <v>0</v>
      </c>
      <c r="AH885" s="99">
        <f t="shared" si="148"/>
        <v>0</v>
      </c>
      <c r="AI885" s="99">
        <f t="shared" si="154"/>
        <v>0</v>
      </c>
      <c r="AJ885" s="170">
        <f t="shared" si="155"/>
        <v>0</v>
      </c>
      <c r="AK885" s="204">
        <f t="shared" si="149"/>
        <v>0</v>
      </c>
      <c r="AL885" s="1049">
        <f>IF(ISERROR(AO885),0,IF(AND(AN885&gt;=$U$1,AN885&lt;=$U$2),IF(AO885='ESTRATTO CONTO'!$E$2,1+COUNTIF(AL$4:AL884,"&gt;0")+U$1009,0),0))</f>
        <v>0</v>
      </c>
      <c r="AM885" s="747">
        <f t="shared" si="152"/>
        <v>882</v>
      </c>
      <c r="AN885" s="164" t="e">
        <f>VLOOKUP($AM885,PATRIMONIALE!$AV937:AW$1003,2,FALSE)</f>
        <v>#N/A</v>
      </c>
      <c r="AO885" s="310" t="e">
        <f>VLOOKUP($AM885,PATRIMONIALE!$AV937:AX$1003,3,FALSE)</f>
        <v>#N/A</v>
      </c>
      <c r="AP885" s="310" t="e">
        <f>VLOOKUP($AM885,PATRIMONIALE!$AV937:AY$1003,4,FALSE)</f>
        <v>#N/A</v>
      </c>
      <c r="AQ885" s="748" t="e">
        <f>VLOOKUP($AM885,PATRIMONIALE!$AV937:AZ$1003,5,FALSE)</f>
        <v>#N/A</v>
      </c>
      <c r="AR885" s="1"/>
      <c r="AS885" s="461" t="str">
        <f t="shared" si="150"/>
        <v/>
      </c>
      <c r="AT885" s="370"/>
    </row>
    <row r="886" spans="1:46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435">
        <f>IF(AND(W886&gt;=$U$1,W886&lt;=$U$2),IF(X886='ESTRATTO CONTO'!$E$2,1+COUNTIF(U$4:U885,"&gt;0"),0),0)</f>
        <v>0</v>
      </c>
      <c r="V886" s="417">
        <f t="shared" si="151"/>
        <v>883</v>
      </c>
      <c r="W886" s="509"/>
      <c r="X886" s="321"/>
      <c r="Y886" s="321"/>
      <c r="Z886" s="433"/>
      <c r="AA886" s="356"/>
      <c r="AB886" s="306" t="str">
        <f t="shared" si="146"/>
        <v/>
      </c>
      <c r="AC886" s="893">
        <f t="shared" si="147"/>
        <v>0</v>
      </c>
      <c r="AD886" s="322"/>
      <c r="AE886" s="1"/>
      <c r="AF886" s="223">
        <f>IF(ISBLANK(AD886),0,COUNTIF(AF$4:AF885,"&gt;0")+1)</f>
        <v>0</v>
      </c>
      <c r="AG886" s="164">
        <f t="shared" si="153"/>
        <v>0</v>
      </c>
      <c r="AH886" s="99">
        <f t="shared" si="148"/>
        <v>0</v>
      </c>
      <c r="AI886" s="99">
        <f t="shared" si="154"/>
        <v>0</v>
      </c>
      <c r="AJ886" s="170">
        <f t="shared" si="155"/>
        <v>0</v>
      </c>
      <c r="AK886" s="204">
        <f t="shared" si="149"/>
        <v>0</v>
      </c>
      <c r="AL886" s="1049">
        <f>IF(ISERROR(AO886),0,IF(AND(AN886&gt;=$U$1,AN886&lt;=$U$2),IF(AO886='ESTRATTO CONTO'!$E$2,1+COUNTIF(AL$4:AL885,"&gt;0")+U$1009,0),0))</f>
        <v>0</v>
      </c>
      <c r="AM886" s="747">
        <f t="shared" si="152"/>
        <v>883</v>
      </c>
      <c r="AN886" s="164" t="e">
        <f>VLOOKUP($AM886,PATRIMONIALE!$AV938:AW$1003,2,FALSE)</f>
        <v>#N/A</v>
      </c>
      <c r="AO886" s="310" t="e">
        <f>VLOOKUP($AM886,PATRIMONIALE!$AV938:AX$1003,3,FALSE)</f>
        <v>#N/A</v>
      </c>
      <c r="AP886" s="310" t="e">
        <f>VLOOKUP($AM886,PATRIMONIALE!$AV938:AY$1003,4,FALSE)</f>
        <v>#N/A</v>
      </c>
      <c r="AQ886" s="748" t="e">
        <f>VLOOKUP($AM886,PATRIMONIALE!$AV938:AZ$1003,5,FALSE)</f>
        <v>#N/A</v>
      </c>
      <c r="AR886" s="1"/>
      <c r="AS886" s="461" t="str">
        <f t="shared" si="150"/>
        <v/>
      </c>
      <c r="AT886" s="370"/>
    </row>
    <row r="887" spans="1:46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435">
        <f>IF(AND(W887&gt;=$U$1,W887&lt;=$U$2),IF(X887='ESTRATTO CONTO'!$E$2,1+COUNTIF(U$4:U886,"&gt;0"),0),0)</f>
        <v>0</v>
      </c>
      <c r="V887" s="417">
        <f t="shared" si="151"/>
        <v>884</v>
      </c>
      <c r="W887" s="509"/>
      <c r="X887" s="321"/>
      <c r="Y887" s="321"/>
      <c r="Z887" s="433"/>
      <c r="AA887" s="356"/>
      <c r="AB887" s="306" t="str">
        <f t="shared" si="146"/>
        <v/>
      </c>
      <c r="AC887" s="893">
        <f t="shared" si="147"/>
        <v>0</v>
      </c>
      <c r="AD887" s="322"/>
      <c r="AE887" s="1"/>
      <c r="AF887" s="223">
        <f>IF(ISBLANK(AD887),0,COUNTIF(AF$4:AF886,"&gt;0")+1)</f>
        <v>0</v>
      </c>
      <c r="AG887" s="164">
        <f t="shared" si="153"/>
        <v>0</v>
      </c>
      <c r="AH887" s="99">
        <f t="shared" si="148"/>
        <v>0</v>
      </c>
      <c r="AI887" s="99">
        <f t="shared" si="154"/>
        <v>0</v>
      </c>
      <c r="AJ887" s="170">
        <f t="shared" si="155"/>
        <v>0</v>
      </c>
      <c r="AK887" s="204">
        <f t="shared" si="149"/>
        <v>0</v>
      </c>
      <c r="AL887" s="1049">
        <f>IF(ISERROR(AO887),0,IF(AND(AN887&gt;=$U$1,AN887&lt;=$U$2),IF(AO887='ESTRATTO CONTO'!$E$2,1+COUNTIF(AL$4:AL886,"&gt;0")+U$1009,0),0))</f>
        <v>0</v>
      </c>
      <c r="AM887" s="747">
        <f t="shared" si="152"/>
        <v>884</v>
      </c>
      <c r="AN887" s="164" t="e">
        <f>VLOOKUP($AM887,PATRIMONIALE!$AV939:AW$1003,2,FALSE)</f>
        <v>#N/A</v>
      </c>
      <c r="AO887" s="310" t="e">
        <f>VLOOKUP($AM887,PATRIMONIALE!$AV939:AX$1003,3,FALSE)</f>
        <v>#N/A</v>
      </c>
      <c r="AP887" s="310" t="e">
        <f>VLOOKUP($AM887,PATRIMONIALE!$AV939:AY$1003,4,FALSE)</f>
        <v>#N/A</v>
      </c>
      <c r="AQ887" s="748" t="e">
        <f>VLOOKUP($AM887,PATRIMONIALE!$AV939:AZ$1003,5,FALSE)</f>
        <v>#N/A</v>
      </c>
      <c r="AR887" s="1"/>
      <c r="AS887" s="461" t="str">
        <f t="shared" si="150"/>
        <v/>
      </c>
      <c r="AT887" s="370"/>
    </row>
    <row r="888" spans="1:46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435">
        <f>IF(AND(W888&gt;=$U$1,W888&lt;=$U$2),IF(X888='ESTRATTO CONTO'!$E$2,1+COUNTIF(U$4:U887,"&gt;0"),0),0)</f>
        <v>0</v>
      </c>
      <c r="V888" s="417">
        <f t="shared" si="151"/>
        <v>885</v>
      </c>
      <c r="W888" s="509"/>
      <c r="X888" s="321"/>
      <c r="Y888" s="321"/>
      <c r="Z888" s="433"/>
      <c r="AA888" s="356"/>
      <c r="AB888" s="306" t="str">
        <f t="shared" si="146"/>
        <v/>
      </c>
      <c r="AC888" s="893">
        <f t="shared" si="147"/>
        <v>0</v>
      </c>
      <c r="AD888" s="322"/>
      <c r="AE888" s="1"/>
      <c r="AF888" s="223">
        <f>IF(ISBLANK(AD888),0,COUNTIF(AF$4:AF887,"&gt;0")+1)</f>
        <v>0</v>
      </c>
      <c r="AG888" s="164">
        <f t="shared" si="153"/>
        <v>0</v>
      </c>
      <c r="AH888" s="99">
        <f t="shared" si="148"/>
        <v>0</v>
      </c>
      <c r="AI888" s="99">
        <f t="shared" si="154"/>
        <v>0</v>
      </c>
      <c r="AJ888" s="170">
        <f t="shared" si="155"/>
        <v>0</v>
      </c>
      <c r="AK888" s="204">
        <f t="shared" si="149"/>
        <v>0</v>
      </c>
      <c r="AL888" s="1049">
        <f>IF(ISERROR(AO888),0,IF(AND(AN888&gt;=$U$1,AN888&lt;=$U$2),IF(AO888='ESTRATTO CONTO'!$E$2,1+COUNTIF(AL$4:AL887,"&gt;0")+U$1009,0),0))</f>
        <v>0</v>
      </c>
      <c r="AM888" s="747">
        <f t="shared" si="152"/>
        <v>885</v>
      </c>
      <c r="AN888" s="164" t="e">
        <f>VLOOKUP($AM888,PATRIMONIALE!$AV940:AW$1003,2,FALSE)</f>
        <v>#N/A</v>
      </c>
      <c r="AO888" s="310" t="e">
        <f>VLOOKUP($AM888,PATRIMONIALE!$AV940:AX$1003,3,FALSE)</f>
        <v>#N/A</v>
      </c>
      <c r="AP888" s="310" t="e">
        <f>VLOOKUP($AM888,PATRIMONIALE!$AV940:AY$1003,4,FALSE)</f>
        <v>#N/A</v>
      </c>
      <c r="AQ888" s="748" t="e">
        <f>VLOOKUP($AM888,PATRIMONIALE!$AV940:AZ$1003,5,FALSE)</f>
        <v>#N/A</v>
      </c>
      <c r="AR888" s="1"/>
      <c r="AS888" s="461" t="str">
        <f t="shared" si="150"/>
        <v/>
      </c>
      <c r="AT888" s="370"/>
    </row>
    <row r="889" spans="1:46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435">
        <f>IF(AND(W889&gt;=$U$1,W889&lt;=$U$2),IF(X889='ESTRATTO CONTO'!$E$2,1+COUNTIF(U$4:U888,"&gt;0"),0),0)</f>
        <v>0</v>
      </c>
      <c r="V889" s="417">
        <f t="shared" si="151"/>
        <v>886</v>
      </c>
      <c r="W889" s="509"/>
      <c r="X889" s="321"/>
      <c r="Y889" s="321"/>
      <c r="Z889" s="433"/>
      <c r="AA889" s="356"/>
      <c r="AB889" s="306" t="str">
        <f t="shared" si="146"/>
        <v/>
      </c>
      <c r="AC889" s="893">
        <f t="shared" si="147"/>
        <v>0</v>
      </c>
      <c r="AD889" s="322"/>
      <c r="AE889" s="1"/>
      <c r="AF889" s="223">
        <f>IF(ISBLANK(AD889),0,COUNTIF(AF$4:AF888,"&gt;0")+1)</f>
        <v>0</v>
      </c>
      <c r="AG889" s="164">
        <f t="shared" si="153"/>
        <v>0</v>
      </c>
      <c r="AH889" s="99">
        <f t="shared" si="148"/>
        <v>0</v>
      </c>
      <c r="AI889" s="99">
        <f t="shared" si="154"/>
        <v>0</v>
      </c>
      <c r="AJ889" s="170">
        <f t="shared" si="155"/>
        <v>0</v>
      </c>
      <c r="AK889" s="204">
        <f t="shared" si="149"/>
        <v>0</v>
      </c>
      <c r="AL889" s="1049">
        <f>IF(ISERROR(AO889),0,IF(AND(AN889&gt;=$U$1,AN889&lt;=$U$2),IF(AO889='ESTRATTO CONTO'!$E$2,1+COUNTIF(AL$4:AL888,"&gt;0")+U$1009,0),0))</f>
        <v>0</v>
      </c>
      <c r="AM889" s="747">
        <f t="shared" si="152"/>
        <v>886</v>
      </c>
      <c r="AN889" s="164" t="e">
        <f>VLOOKUP($AM889,PATRIMONIALE!$AV941:AW$1003,2,FALSE)</f>
        <v>#N/A</v>
      </c>
      <c r="AO889" s="310" t="e">
        <f>VLOOKUP($AM889,PATRIMONIALE!$AV941:AX$1003,3,FALSE)</f>
        <v>#N/A</v>
      </c>
      <c r="AP889" s="310" t="e">
        <f>VLOOKUP($AM889,PATRIMONIALE!$AV941:AY$1003,4,FALSE)</f>
        <v>#N/A</v>
      </c>
      <c r="AQ889" s="748" t="e">
        <f>VLOOKUP($AM889,PATRIMONIALE!$AV941:AZ$1003,5,FALSE)</f>
        <v>#N/A</v>
      </c>
      <c r="AR889" s="1"/>
      <c r="AS889" s="461" t="str">
        <f t="shared" si="150"/>
        <v/>
      </c>
      <c r="AT889" s="370"/>
    </row>
    <row r="890" spans="1:46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435">
        <f>IF(AND(W890&gt;=$U$1,W890&lt;=$U$2),IF(X890='ESTRATTO CONTO'!$E$2,1+COUNTIF(U$4:U889,"&gt;0"),0),0)</f>
        <v>0</v>
      </c>
      <c r="V890" s="417">
        <f t="shared" si="151"/>
        <v>887</v>
      </c>
      <c r="W890" s="509"/>
      <c r="X890" s="321"/>
      <c r="Y890" s="321"/>
      <c r="Z890" s="433"/>
      <c r="AA890" s="356"/>
      <c r="AB890" s="306" t="str">
        <f t="shared" si="146"/>
        <v/>
      </c>
      <c r="AC890" s="893">
        <f t="shared" si="147"/>
        <v>0</v>
      </c>
      <c r="AD890" s="322"/>
      <c r="AE890" s="1"/>
      <c r="AF890" s="223">
        <f>IF(ISBLANK(AD890),0,COUNTIF(AF$4:AF889,"&gt;0")+1)</f>
        <v>0</v>
      </c>
      <c r="AG890" s="164">
        <f t="shared" si="153"/>
        <v>0</v>
      </c>
      <c r="AH890" s="99">
        <f t="shared" si="148"/>
        <v>0</v>
      </c>
      <c r="AI890" s="99">
        <f t="shared" si="154"/>
        <v>0</v>
      </c>
      <c r="AJ890" s="170">
        <f t="shared" si="155"/>
        <v>0</v>
      </c>
      <c r="AK890" s="204">
        <f t="shared" si="149"/>
        <v>0</v>
      </c>
      <c r="AL890" s="1049">
        <f>IF(ISERROR(AO890),0,IF(AND(AN890&gt;=$U$1,AN890&lt;=$U$2),IF(AO890='ESTRATTO CONTO'!$E$2,1+COUNTIF(AL$4:AL889,"&gt;0")+U$1009,0),0))</f>
        <v>0</v>
      </c>
      <c r="AM890" s="747">
        <f t="shared" si="152"/>
        <v>887</v>
      </c>
      <c r="AN890" s="164" t="e">
        <f>VLOOKUP($AM890,PATRIMONIALE!$AV942:AW$1003,2,FALSE)</f>
        <v>#N/A</v>
      </c>
      <c r="AO890" s="310" t="e">
        <f>VLOOKUP($AM890,PATRIMONIALE!$AV942:AX$1003,3,FALSE)</f>
        <v>#N/A</v>
      </c>
      <c r="AP890" s="310" t="e">
        <f>VLOOKUP($AM890,PATRIMONIALE!$AV942:AY$1003,4,FALSE)</f>
        <v>#N/A</v>
      </c>
      <c r="AQ890" s="748" t="e">
        <f>VLOOKUP($AM890,PATRIMONIALE!$AV942:AZ$1003,5,FALSE)</f>
        <v>#N/A</v>
      </c>
      <c r="AR890" s="1"/>
      <c r="AS890" s="461" t="str">
        <f t="shared" si="150"/>
        <v/>
      </c>
      <c r="AT890" s="370"/>
    </row>
    <row r="891" spans="1:46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435">
        <f>IF(AND(W891&gt;=$U$1,W891&lt;=$U$2),IF(X891='ESTRATTO CONTO'!$E$2,1+COUNTIF(U$4:U890,"&gt;0"),0),0)</f>
        <v>0</v>
      </c>
      <c r="V891" s="417">
        <f t="shared" si="151"/>
        <v>888</v>
      </c>
      <c r="W891" s="509"/>
      <c r="X891" s="321"/>
      <c r="Y891" s="321"/>
      <c r="Z891" s="433"/>
      <c r="AA891" s="356"/>
      <c r="AB891" s="306" t="str">
        <f t="shared" si="146"/>
        <v/>
      </c>
      <c r="AC891" s="893">
        <f t="shared" si="147"/>
        <v>0</v>
      </c>
      <c r="AD891" s="322"/>
      <c r="AE891" s="1"/>
      <c r="AF891" s="223">
        <f>IF(ISBLANK(AD891),0,COUNTIF(AF$4:AF890,"&gt;0")+1)</f>
        <v>0</v>
      </c>
      <c r="AG891" s="164">
        <f t="shared" si="153"/>
        <v>0</v>
      </c>
      <c r="AH891" s="99">
        <f t="shared" si="148"/>
        <v>0</v>
      </c>
      <c r="AI891" s="99">
        <f t="shared" si="154"/>
        <v>0</v>
      </c>
      <c r="AJ891" s="170">
        <f t="shared" si="155"/>
        <v>0</v>
      </c>
      <c r="AK891" s="204">
        <f t="shared" si="149"/>
        <v>0</v>
      </c>
      <c r="AL891" s="1049">
        <f>IF(ISERROR(AO891),0,IF(AND(AN891&gt;=$U$1,AN891&lt;=$U$2),IF(AO891='ESTRATTO CONTO'!$E$2,1+COUNTIF(AL$4:AL890,"&gt;0")+U$1009,0),0))</f>
        <v>0</v>
      </c>
      <c r="AM891" s="747">
        <f t="shared" si="152"/>
        <v>888</v>
      </c>
      <c r="AN891" s="164" t="e">
        <f>VLOOKUP($AM891,PATRIMONIALE!$AV943:AW$1003,2,FALSE)</f>
        <v>#N/A</v>
      </c>
      <c r="AO891" s="310" t="e">
        <f>VLOOKUP($AM891,PATRIMONIALE!$AV943:AX$1003,3,FALSE)</f>
        <v>#N/A</v>
      </c>
      <c r="AP891" s="310" t="e">
        <f>VLOOKUP($AM891,PATRIMONIALE!$AV943:AY$1003,4,FALSE)</f>
        <v>#N/A</v>
      </c>
      <c r="AQ891" s="748" t="e">
        <f>VLOOKUP($AM891,PATRIMONIALE!$AV943:AZ$1003,5,FALSE)</f>
        <v>#N/A</v>
      </c>
      <c r="AR891" s="1"/>
      <c r="AS891" s="461" t="str">
        <f t="shared" si="150"/>
        <v/>
      </c>
      <c r="AT891" s="370"/>
    </row>
    <row r="892" spans="1:46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435">
        <f>IF(AND(W892&gt;=$U$1,W892&lt;=$U$2),IF(X892='ESTRATTO CONTO'!$E$2,1+COUNTIF(U$4:U891,"&gt;0"),0),0)</f>
        <v>0</v>
      </c>
      <c r="V892" s="417">
        <f t="shared" si="151"/>
        <v>889</v>
      </c>
      <c r="W892" s="509"/>
      <c r="X892" s="321"/>
      <c r="Y892" s="321"/>
      <c r="Z892" s="433"/>
      <c r="AA892" s="356"/>
      <c r="AB892" s="306" t="str">
        <f t="shared" si="146"/>
        <v/>
      </c>
      <c r="AC892" s="893">
        <f t="shared" si="147"/>
        <v>0</v>
      </c>
      <c r="AD892" s="322"/>
      <c r="AE892" s="1"/>
      <c r="AF892" s="223">
        <f>IF(ISBLANK(AD892),0,COUNTIF(AF$4:AF891,"&gt;0")+1)</f>
        <v>0</v>
      </c>
      <c r="AG892" s="164">
        <f t="shared" si="153"/>
        <v>0</v>
      </c>
      <c r="AH892" s="99">
        <f t="shared" si="148"/>
        <v>0</v>
      </c>
      <c r="AI892" s="99">
        <f t="shared" si="154"/>
        <v>0</v>
      </c>
      <c r="AJ892" s="170">
        <f t="shared" si="155"/>
        <v>0</v>
      </c>
      <c r="AK892" s="204">
        <f t="shared" si="149"/>
        <v>0</v>
      </c>
      <c r="AL892" s="1049">
        <f>IF(ISERROR(AO892),0,IF(AND(AN892&gt;=$U$1,AN892&lt;=$U$2),IF(AO892='ESTRATTO CONTO'!$E$2,1+COUNTIF(AL$4:AL891,"&gt;0")+U$1009,0),0))</f>
        <v>0</v>
      </c>
      <c r="AM892" s="747">
        <f t="shared" si="152"/>
        <v>889</v>
      </c>
      <c r="AN892" s="164" t="e">
        <f>VLOOKUP($AM892,PATRIMONIALE!$AV944:AW$1003,2,FALSE)</f>
        <v>#N/A</v>
      </c>
      <c r="AO892" s="310" t="e">
        <f>VLOOKUP($AM892,PATRIMONIALE!$AV944:AX$1003,3,FALSE)</f>
        <v>#N/A</v>
      </c>
      <c r="AP892" s="310" t="e">
        <f>VLOOKUP($AM892,PATRIMONIALE!$AV944:AY$1003,4,FALSE)</f>
        <v>#N/A</v>
      </c>
      <c r="AQ892" s="748" t="e">
        <f>VLOOKUP($AM892,PATRIMONIALE!$AV944:AZ$1003,5,FALSE)</f>
        <v>#N/A</v>
      </c>
      <c r="AR892" s="1"/>
      <c r="AS892" s="461" t="str">
        <f t="shared" si="150"/>
        <v/>
      </c>
      <c r="AT892" s="370"/>
    </row>
    <row r="893" spans="1:46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435">
        <f>IF(AND(W893&gt;=$U$1,W893&lt;=$U$2),IF(X893='ESTRATTO CONTO'!$E$2,1+COUNTIF(U$4:U892,"&gt;0"),0),0)</f>
        <v>0</v>
      </c>
      <c r="V893" s="417">
        <f t="shared" si="151"/>
        <v>890</v>
      </c>
      <c r="W893" s="509"/>
      <c r="X893" s="321"/>
      <c r="Y893" s="321"/>
      <c r="Z893" s="433"/>
      <c r="AA893" s="356"/>
      <c r="AB893" s="306" t="str">
        <f t="shared" si="146"/>
        <v/>
      </c>
      <c r="AC893" s="893">
        <f t="shared" si="147"/>
        <v>0</v>
      </c>
      <c r="AD893" s="322"/>
      <c r="AE893" s="1"/>
      <c r="AF893" s="223">
        <f>IF(ISBLANK(AD893),0,COUNTIF(AF$4:AF892,"&gt;0")+1)</f>
        <v>0</v>
      </c>
      <c r="AG893" s="164">
        <f t="shared" si="153"/>
        <v>0</v>
      </c>
      <c r="AH893" s="99">
        <f t="shared" si="148"/>
        <v>0</v>
      </c>
      <c r="AI893" s="99">
        <f t="shared" si="154"/>
        <v>0</v>
      </c>
      <c r="AJ893" s="170">
        <f t="shared" si="155"/>
        <v>0</v>
      </c>
      <c r="AK893" s="204">
        <f t="shared" si="149"/>
        <v>0</v>
      </c>
      <c r="AL893" s="1049">
        <f>IF(ISERROR(AO893),0,IF(AND(AN893&gt;=$U$1,AN893&lt;=$U$2),IF(AO893='ESTRATTO CONTO'!$E$2,1+COUNTIF(AL$4:AL892,"&gt;0")+U$1009,0),0))</f>
        <v>0</v>
      </c>
      <c r="AM893" s="747">
        <f t="shared" si="152"/>
        <v>890</v>
      </c>
      <c r="AN893" s="164" t="e">
        <f>VLOOKUP($AM893,PATRIMONIALE!$AV945:AW$1003,2,FALSE)</f>
        <v>#N/A</v>
      </c>
      <c r="AO893" s="310" t="e">
        <f>VLOOKUP($AM893,PATRIMONIALE!$AV945:AX$1003,3,FALSE)</f>
        <v>#N/A</v>
      </c>
      <c r="AP893" s="310" t="e">
        <f>VLOOKUP($AM893,PATRIMONIALE!$AV945:AY$1003,4,FALSE)</f>
        <v>#N/A</v>
      </c>
      <c r="AQ893" s="748" t="e">
        <f>VLOOKUP($AM893,PATRIMONIALE!$AV945:AZ$1003,5,FALSE)</f>
        <v>#N/A</v>
      </c>
      <c r="AR893" s="1"/>
      <c r="AS893" s="461" t="str">
        <f t="shared" si="150"/>
        <v/>
      </c>
      <c r="AT893" s="370"/>
    </row>
    <row r="894" spans="1:46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435">
        <f>IF(AND(W894&gt;=$U$1,W894&lt;=$U$2),IF(X894='ESTRATTO CONTO'!$E$2,1+COUNTIF(U$4:U893,"&gt;0"),0),0)</f>
        <v>0</v>
      </c>
      <c r="V894" s="417">
        <f t="shared" si="151"/>
        <v>891</v>
      </c>
      <c r="W894" s="509"/>
      <c r="X894" s="321"/>
      <c r="Y894" s="321"/>
      <c r="Z894" s="433"/>
      <c r="AA894" s="356"/>
      <c r="AB894" s="306" t="str">
        <f t="shared" si="146"/>
        <v/>
      </c>
      <c r="AC894" s="893">
        <f t="shared" si="147"/>
        <v>0</v>
      </c>
      <c r="AD894" s="322"/>
      <c r="AE894" s="1"/>
      <c r="AF894" s="223">
        <f>IF(ISBLANK(AD894),0,COUNTIF(AF$4:AF893,"&gt;0")+1)</f>
        <v>0</v>
      </c>
      <c r="AG894" s="164">
        <f t="shared" si="153"/>
        <v>0</v>
      </c>
      <c r="AH894" s="99">
        <f t="shared" si="148"/>
        <v>0</v>
      </c>
      <c r="AI894" s="99">
        <f t="shared" si="154"/>
        <v>0</v>
      </c>
      <c r="AJ894" s="170">
        <f t="shared" si="155"/>
        <v>0</v>
      </c>
      <c r="AK894" s="204">
        <f t="shared" si="149"/>
        <v>0</v>
      </c>
      <c r="AL894" s="1049">
        <f>IF(ISERROR(AO894),0,IF(AND(AN894&gt;=$U$1,AN894&lt;=$U$2),IF(AO894='ESTRATTO CONTO'!$E$2,1+COUNTIF(AL$4:AL893,"&gt;0")+U$1009,0),0))</f>
        <v>0</v>
      </c>
      <c r="AM894" s="747">
        <f t="shared" si="152"/>
        <v>891</v>
      </c>
      <c r="AN894" s="164" t="e">
        <f>VLOOKUP($AM894,PATRIMONIALE!$AV946:AW$1003,2,FALSE)</f>
        <v>#N/A</v>
      </c>
      <c r="AO894" s="310" t="e">
        <f>VLOOKUP($AM894,PATRIMONIALE!$AV946:AX$1003,3,FALSE)</f>
        <v>#N/A</v>
      </c>
      <c r="AP894" s="310" t="e">
        <f>VLOOKUP($AM894,PATRIMONIALE!$AV946:AY$1003,4,FALSE)</f>
        <v>#N/A</v>
      </c>
      <c r="AQ894" s="748" t="e">
        <f>VLOOKUP($AM894,PATRIMONIALE!$AV946:AZ$1003,5,FALSE)</f>
        <v>#N/A</v>
      </c>
      <c r="AR894" s="1"/>
      <c r="AS894" s="461" t="str">
        <f t="shared" si="150"/>
        <v/>
      </c>
      <c r="AT894" s="370"/>
    </row>
    <row r="895" spans="1:46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435">
        <f>IF(AND(W895&gt;=$U$1,W895&lt;=$U$2),IF(X895='ESTRATTO CONTO'!$E$2,1+COUNTIF(U$4:U894,"&gt;0"),0),0)</f>
        <v>0</v>
      </c>
      <c r="V895" s="417">
        <f t="shared" si="151"/>
        <v>892</v>
      </c>
      <c r="W895" s="509"/>
      <c r="X895" s="321"/>
      <c r="Y895" s="321"/>
      <c r="Z895" s="433"/>
      <c r="AA895" s="356"/>
      <c r="AB895" s="306" t="str">
        <f t="shared" si="146"/>
        <v/>
      </c>
      <c r="AC895" s="893">
        <f t="shared" si="147"/>
        <v>0</v>
      </c>
      <c r="AD895" s="322"/>
      <c r="AE895" s="1"/>
      <c r="AF895" s="223">
        <f>IF(ISBLANK(AD895),0,COUNTIF(AF$4:AF894,"&gt;0")+1)</f>
        <v>0</v>
      </c>
      <c r="AG895" s="164">
        <f t="shared" si="153"/>
        <v>0</v>
      </c>
      <c r="AH895" s="99">
        <f t="shared" si="148"/>
        <v>0</v>
      </c>
      <c r="AI895" s="99">
        <f t="shared" si="154"/>
        <v>0</v>
      </c>
      <c r="AJ895" s="170">
        <f t="shared" si="155"/>
        <v>0</v>
      </c>
      <c r="AK895" s="204">
        <f t="shared" si="149"/>
        <v>0</v>
      </c>
      <c r="AL895" s="1049">
        <f>IF(ISERROR(AO895),0,IF(AND(AN895&gt;=$U$1,AN895&lt;=$U$2),IF(AO895='ESTRATTO CONTO'!$E$2,1+COUNTIF(AL$4:AL894,"&gt;0")+U$1009,0),0))</f>
        <v>0</v>
      </c>
      <c r="AM895" s="747">
        <f t="shared" si="152"/>
        <v>892</v>
      </c>
      <c r="AN895" s="164" t="e">
        <f>VLOOKUP($AM895,PATRIMONIALE!$AV947:AW$1003,2,FALSE)</f>
        <v>#N/A</v>
      </c>
      <c r="AO895" s="310" t="e">
        <f>VLOOKUP($AM895,PATRIMONIALE!$AV947:AX$1003,3,FALSE)</f>
        <v>#N/A</v>
      </c>
      <c r="AP895" s="310" t="e">
        <f>VLOOKUP($AM895,PATRIMONIALE!$AV947:AY$1003,4,FALSE)</f>
        <v>#N/A</v>
      </c>
      <c r="AQ895" s="748" t="e">
        <f>VLOOKUP($AM895,PATRIMONIALE!$AV947:AZ$1003,5,FALSE)</f>
        <v>#N/A</v>
      </c>
      <c r="AR895" s="1"/>
      <c r="AS895" s="461" t="str">
        <f t="shared" si="150"/>
        <v/>
      </c>
      <c r="AT895" s="370"/>
    </row>
    <row r="896" spans="1:46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435">
        <f>IF(AND(W896&gt;=$U$1,W896&lt;=$U$2),IF(X896='ESTRATTO CONTO'!$E$2,1+COUNTIF(U$4:U895,"&gt;0"),0),0)</f>
        <v>0</v>
      </c>
      <c r="V896" s="417">
        <f t="shared" si="151"/>
        <v>893</v>
      </c>
      <c r="W896" s="509"/>
      <c r="X896" s="321"/>
      <c r="Y896" s="321"/>
      <c r="Z896" s="433"/>
      <c r="AA896" s="356"/>
      <c r="AB896" s="306" t="str">
        <f t="shared" si="146"/>
        <v/>
      </c>
      <c r="AC896" s="893">
        <f t="shared" si="147"/>
        <v>0</v>
      </c>
      <c r="AD896" s="322"/>
      <c r="AE896" s="1"/>
      <c r="AF896" s="223">
        <f>IF(ISBLANK(AD896),0,COUNTIF(AF$4:AF895,"&gt;0")+1)</f>
        <v>0</v>
      </c>
      <c r="AG896" s="164">
        <f t="shared" si="153"/>
        <v>0</v>
      </c>
      <c r="AH896" s="99">
        <f t="shared" si="148"/>
        <v>0</v>
      </c>
      <c r="AI896" s="99">
        <f t="shared" si="154"/>
        <v>0</v>
      </c>
      <c r="AJ896" s="170">
        <f t="shared" si="155"/>
        <v>0</v>
      </c>
      <c r="AK896" s="204">
        <f t="shared" si="149"/>
        <v>0</v>
      </c>
      <c r="AL896" s="1049">
        <f>IF(ISERROR(AO896),0,IF(AND(AN896&gt;=$U$1,AN896&lt;=$U$2),IF(AO896='ESTRATTO CONTO'!$E$2,1+COUNTIF(AL$4:AL895,"&gt;0")+U$1009,0),0))</f>
        <v>0</v>
      </c>
      <c r="AM896" s="747">
        <f t="shared" si="152"/>
        <v>893</v>
      </c>
      <c r="AN896" s="164" t="e">
        <f>VLOOKUP($AM896,PATRIMONIALE!$AV948:AW$1003,2,FALSE)</f>
        <v>#N/A</v>
      </c>
      <c r="AO896" s="310" t="e">
        <f>VLOOKUP($AM896,PATRIMONIALE!$AV948:AX$1003,3,FALSE)</f>
        <v>#N/A</v>
      </c>
      <c r="AP896" s="310" t="e">
        <f>VLOOKUP($AM896,PATRIMONIALE!$AV948:AY$1003,4,FALSE)</f>
        <v>#N/A</v>
      </c>
      <c r="AQ896" s="748" t="e">
        <f>VLOOKUP($AM896,PATRIMONIALE!$AV948:AZ$1003,5,FALSE)</f>
        <v>#N/A</v>
      </c>
      <c r="AR896" s="1"/>
      <c r="AS896" s="461" t="str">
        <f t="shared" si="150"/>
        <v/>
      </c>
      <c r="AT896" s="370"/>
    </row>
    <row r="897" spans="1:46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435">
        <f>IF(AND(W897&gt;=$U$1,W897&lt;=$U$2),IF(X897='ESTRATTO CONTO'!$E$2,1+COUNTIF(U$4:U896,"&gt;0"),0),0)</f>
        <v>0</v>
      </c>
      <c r="V897" s="417">
        <f t="shared" si="151"/>
        <v>894</v>
      </c>
      <c r="W897" s="509"/>
      <c r="X897" s="321"/>
      <c r="Y897" s="321"/>
      <c r="Z897" s="433"/>
      <c r="AA897" s="356"/>
      <c r="AB897" s="306" t="str">
        <f t="shared" si="146"/>
        <v/>
      </c>
      <c r="AC897" s="893">
        <f t="shared" si="147"/>
        <v>0</v>
      </c>
      <c r="AD897" s="322"/>
      <c r="AE897" s="1"/>
      <c r="AF897" s="223">
        <f>IF(ISBLANK(AD897),0,COUNTIF(AF$4:AF896,"&gt;0")+1)</f>
        <v>0</v>
      </c>
      <c r="AG897" s="164">
        <f t="shared" si="153"/>
        <v>0</v>
      </c>
      <c r="AH897" s="99">
        <f t="shared" si="148"/>
        <v>0</v>
      </c>
      <c r="AI897" s="99">
        <f t="shared" si="154"/>
        <v>0</v>
      </c>
      <c r="AJ897" s="170">
        <f t="shared" si="155"/>
        <v>0</v>
      </c>
      <c r="AK897" s="204">
        <f t="shared" si="149"/>
        <v>0</v>
      </c>
      <c r="AL897" s="1049">
        <f>IF(ISERROR(AO897),0,IF(AND(AN897&gt;=$U$1,AN897&lt;=$U$2),IF(AO897='ESTRATTO CONTO'!$E$2,1+COUNTIF(AL$4:AL896,"&gt;0")+U$1009,0),0))</f>
        <v>0</v>
      </c>
      <c r="AM897" s="747">
        <f t="shared" si="152"/>
        <v>894</v>
      </c>
      <c r="AN897" s="164" t="e">
        <f>VLOOKUP($AM897,PATRIMONIALE!$AV949:AW$1003,2,FALSE)</f>
        <v>#N/A</v>
      </c>
      <c r="AO897" s="310" t="e">
        <f>VLOOKUP($AM897,PATRIMONIALE!$AV949:AX$1003,3,FALSE)</f>
        <v>#N/A</v>
      </c>
      <c r="AP897" s="310" t="e">
        <f>VLOOKUP($AM897,PATRIMONIALE!$AV949:AY$1003,4,FALSE)</f>
        <v>#N/A</v>
      </c>
      <c r="AQ897" s="748" t="e">
        <f>VLOOKUP($AM897,PATRIMONIALE!$AV949:AZ$1003,5,FALSE)</f>
        <v>#N/A</v>
      </c>
      <c r="AR897" s="1"/>
      <c r="AS897" s="461" t="str">
        <f t="shared" si="150"/>
        <v/>
      </c>
      <c r="AT897" s="370"/>
    </row>
    <row r="898" spans="1:46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435">
        <f>IF(AND(W898&gt;=$U$1,W898&lt;=$U$2),IF(X898='ESTRATTO CONTO'!$E$2,1+COUNTIF(U$4:U897,"&gt;0"),0),0)</f>
        <v>0</v>
      </c>
      <c r="V898" s="417">
        <f t="shared" si="151"/>
        <v>895</v>
      </c>
      <c r="W898" s="509"/>
      <c r="X898" s="321"/>
      <c r="Y898" s="321"/>
      <c r="Z898" s="433"/>
      <c r="AA898" s="356"/>
      <c r="AB898" s="306" t="str">
        <f t="shared" si="146"/>
        <v/>
      </c>
      <c r="AC898" s="893">
        <f t="shared" si="147"/>
        <v>0</v>
      </c>
      <c r="AD898" s="322"/>
      <c r="AE898" s="1"/>
      <c r="AF898" s="223">
        <f>IF(ISBLANK(AD898),0,COUNTIF(AF$4:AF897,"&gt;0")+1)</f>
        <v>0</v>
      </c>
      <c r="AG898" s="164">
        <f t="shared" si="153"/>
        <v>0</v>
      </c>
      <c r="AH898" s="99">
        <f t="shared" si="148"/>
        <v>0</v>
      </c>
      <c r="AI898" s="99">
        <f t="shared" si="154"/>
        <v>0</v>
      </c>
      <c r="AJ898" s="170">
        <f t="shared" si="155"/>
        <v>0</v>
      </c>
      <c r="AK898" s="204">
        <f t="shared" si="149"/>
        <v>0</v>
      </c>
      <c r="AL898" s="1049">
        <f>IF(ISERROR(AO898),0,IF(AND(AN898&gt;=$U$1,AN898&lt;=$U$2),IF(AO898='ESTRATTO CONTO'!$E$2,1+COUNTIF(AL$4:AL897,"&gt;0")+U$1009,0),0))</f>
        <v>0</v>
      </c>
      <c r="AM898" s="747">
        <f t="shared" si="152"/>
        <v>895</v>
      </c>
      <c r="AN898" s="164" t="e">
        <f>VLOOKUP($AM898,PATRIMONIALE!$AV950:AW$1003,2,FALSE)</f>
        <v>#N/A</v>
      </c>
      <c r="AO898" s="310" t="e">
        <f>VLOOKUP($AM898,PATRIMONIALE!$AV950:AX$1003,3,FALSE)</f>
        <v>#N/A</v>
      </c>
      <c r="AP898" s="310" t="e">
        <f>VLOOKUP($AM898,PATRIMONIALE!$AV950:AY$1003,4,FALSE)</f>
        <v>#N/A</v>
      </c>
      <c r="AQ898" s="748" t="e">
        <f>VLOOKUP($AM898,PATRIMONIALE!$AV950:AZ$1003,5,FALSE)</f>
        <v>#N/A</v>
      </c>
      <c r="AR898" s="1"/>
      <c r="AS898" s="461" t="str">
        <f t="shared" si="150"/>
        <v/>
      </c>
      <c r="AT898" s="370"/>
    </row>
    <row r="899" spans="1:46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435">
        <f>IF(AND(W899&gt;=$U$1,W899&lt;=$U$2),IF(X899='ESTRATTO CONTO'!$E$2,1+COUNTIF(U$4:U898,"&gt;0"),0),0)</f>
        <v>0</v>
      </c>
      <c r="V899" s="417">
        <f t="shared" si="151"/>
        <v>896</v>
      </c>
      <c r="W899" s="509"/>
      <c r="X899" s="321"/>
      <c r="Y899" s="321"/>
      <c r="Z899" s="433"/>
      <c r="AA899" s="356"/>
      <c r="AB899" s="306" t="str">
        <f t="shared" si="146"/>
        <v/>
      </c>
      <c r="AC899" s="893">
        <f t="shared" si="147"/>
        <v>0</v>
      </c>
      <c r="AD899" s="322"/>
      <c r="AE899" s="1"/>
      <c r="AF899" s="223">
        <f>IF(ISBLANK(AD899),0,COUNTIF(AF$4:AF898,"&gt;0")+1)</f>
        <v>0</v>
      </c>
      <c r="AG899" s="164">
        <f t="shared" si="153"/>
        <v>0</v>
      </c>
      <c r="AH899" s="99">
        <f t="shared" si="148"/>
        <v>0</v>
      </c>
      <c r="AI899" s="99">
        <f t="shared" si="154"/>
        <v>0</v>
      </c>
      <c r="AJ899" s="170">
        <f t="shared" si="155"/>
        <v>0</v>
      </c>
      <c r="AK899" s="204">
        <f t="shared" si="149"/>
        <v>0</v>
      </c>
      <c r="AL899" s="1049">
        <f>IF(ISERROR(AO899),0,IF(AND(AN899&gt;=$U$1,AN899&lt;=$U$2),IF(AO899='ESTRATTO CONTO'!$E$2,1+COUNTIF(AL$4:AL898,"&gt;0")+U$1009,0),0))</f>
        <v>0</v>
      </c>
      <c r="AM899" s="747">
        <f t="shared" si="152"/>
        <v>896</v>
      </c>
      <c r="AN899" s="164" t="e">
        <f>VLOOKUP($AM899,PATRIMONIALE!$AV951:AW$1003,2,FALSE)</f>
        <v>#N/A</v>
      </c>
      <c r="AO899" s="310" t="e">
        <f>VLOOKUP($AM899,PATRIMONIALE!$AV951:AX$1003,3,FALSE)</f>
        <v>#N/A</v>
      </c>
      <c r="AP899" s="310" t="e">
        <f>VLOOKUP($AM899,PATRIMONIALE!$AV951:AY$1003,4,FALSE)</f>
        <v>#N/A</v>
      </c>
      <c r="AQ899" s="748" t="e">
        <f>VLOOKUP($AM899,PATRIMONIALE!$AV951:AZ$1003,5,FALSE)</f>
        <v>#N/A</v>
      </c>
      <c r="AR899" s="1"/>
      <c r="AS899" s="461" t="str">
        <f t="shared" si="150"/>
        <v/>
      </c>
      <c r="AT899" s="370"/>
    </row>
    <row r="900" spans="1:46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435">
        <f>IF(AND(W900&gt;=$U$1,W900&lt;=$U$2),IF(X900='ESTRATTO CONTO'!$E$2,1+COUNTIF(U$4:U899,"&gt;0"),0),0)</f>
        <v>0</v>
      </c>
      <c r="V900" s="417">
        <f t="shared" si="151"/>
        <v>897</v>
      </c>
      <c r="W900" s="509"/>
      <c r="X900" s="321"/>
      <c r="Y900" s="321"/>
      <c r="Z900" s="433"/>
      <c r="AA900" s="356"/>
      <c r="AB900" s="306" t="str">
        <f t="shared" ref="AB900:AB963" si="156">IF(X900="","",IF(W900&gt;0,IF(AND(W900&gt;=W$1012,W900&lt;=W$1013),CONCATENATE(X900,"-",MONTH(W900)),0),""))</f>
        <v/>
      </c>
      <c r="AC900" s="893">
        <f t="shared" ref="AC900:AC963" si="157">IF(AD900="",0,VLOOKUP(AD900,$AD$1025:$AD$1038,1,FALSE))</f>
        <v>0</v>
      </c>
      <c r="AD900" s="322"/>
      <c r="AE900" s="1"/>
      <c r="AF900" s="223">
        <f>IF(ISBLANK(AD900),0,COUNTIF(AF$4:AF899,"&gt;0")+1)</f>
        <v>0</v>
      </c>
      <c r="AG900" s="164">
        <f t="shared" si="153"/>
        <v>0</v>
      </c>
      <c r="AH900" s="99">
        <f t="shared" ref="AH900:AH963" si="158">IF($AF900=0,0,VLOOKUP(AD900,$AD$1025:$AH$1038,5,FALSE))</f>
        <v>0</v>
      </c>
      <c r="AI900" s="99">
        <f t="shared" si="154"/>
        <v>0</v>
      </c>
      <c r="AJ900" s="170">
        <f t="shared" si="155"/>
        <v>0</v>
      </c>
      <c r="AK900" s="204">
        <f t="shared" ref="AK900:AK963" si="159">X900</f>
        <v>0</v>
      </c>
      <c r="AL900" s="1049">
        <f>IF(ISERROR(AO900),0,IF(AND(AN900&gt;=$U$1,AN900&lt;=$U$2),IF(AO900='ESTRATTO CONTO'!$E$2,1+COUNTIF(AL$4:AL899,"&gt;0")+U$1009,0),0))</f>
        <v>0</v>
      </c>
      <c r="AM900" s="747">
        <f t="shared" si="152"/>
        <v>897</v>
      </c>
      <c r="AN900" s="164" t="e">
        <f>VLOOKUP($AM900,PATRIMONIALE!$AV952:AW$1003,2,FALSE)</f>
        <v>#N/A</v>
      </c>
      <c r="AO900" s="310" t="e">
        <f>VLOOKUP($AM900,PATRIMONIALE!$AV952:AX$1003,3,FALSE)</f>
        <v>#N/A</v>
      </c>
      <c r="AP900" s="310" t="e">
        <f>VLOOKUP($AM900,PATRIMONIALE!$AV952:AY$1003,4,FALSE)</f>
        <v>#N/A</v>
      </c>
      <c r="AQ900" s="748" t="e">
        <f>VLOOKUP($AM900,PATRIMONIALE!$AV952:AZ$1003,5,FALSE)</f>
        <v>#N/A</v>
      </c>
      <c r="AR900" s="1"/>
      <c r="AS900" s="461" t="str">
        <f t="shared" ref="AS900:AS963" si="160">IF(X900="","",IF(ISERROR(VLOOKUP(X900,B$9:E$13,1,FALSE)),1,0))</f>
        <v/>
      </c>
      <c r="AT900" s="370"/>
    </row>
    <row r="901" spans="1:46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435">
        <f>IF(AND(W901&gt;=$U$1,W901&lt;=$U$2),IF(X901='ESTRATTO CONTO'!$E$2,1+COUNTIF(U$4:U900,"&gt;0"),0),0)</f>
        <v>0</v>
      </c>
      <c r="V901" s="417">
        <f t="shared" si="151"/>
        <v>898</v>
      </c>
      <c r="W901" s="509"/>
      <c r="X901" s="321"/>
      <c r="Y901" s="321"/>
      <c r="Z901" s="433"/>
      <c r="AA901" s="356"/>
      <c r="AB901" s="306" t="str">
        <f t="shared" si="156"/>
        <v/>
      </c>
      <c r="AC901" s="893">
        <f t="shared" si="157"/>
        <v>0</v>
      </c>
      <c r="AD901" s="322"/>
      <c r="AE901" s="1"/>
      <c r="AF901" s="223">
        <f>IF(ISBLANK(AD901),0,COUNTIF(AF$4:AF900,"&gt;0")+1)</f>
        <v>0</v>
      </c>
      <c r="AG901" s="164">
        <f t="shared" si="153"/>
        <v>0</v>
      </c>
      <c r="AH901" s="99">
        <f t="shared" si="158"/>
        <v>0</v>
      </c>
      <c r="AI901" s="99">
        <f t="shared" si="154"/>
        <v>0</v>
      </c>
      <c r="AJ901" s="170">
        <f t="shared" si="155"/>
        <v>0</v>
      </c>
      <c r="AK901" s="204">
        <f t="shared" si="159"/>
        <v>0</v>
      </c>
      <c r="AL901" s="1049">
        <f>IF(ISERROR(AO901),0,IF(AND(AN901&gt;=$U$1,AN901&lt;=$U$2),IF(AO901='ESTRATTO CONTO'!$E$2,1+COUNTIF(AL$4:AL900,"&gt;0")+U$1009,0),0))</f>
        <v>0</v>
      </c>
      <c r="AM901" s="747">
        <f t="shared" si="152"/>
        <v>898</v>
      </c>
      <c r="AN901" s="164" t="e">
        <f>VLOOKUP($AM901,PATRIMONIALE!$AV953:AW$1003,2,FALSE)</f>
        <v>#N/A</v>
      </c>
      <c r="AO901" s="310" t="e">
        <f>VLOOKUP($AM901,PATRIMONIALE!$AV953:AX$1003,3,FALSE)</f>
        <v>#N/A</v>
      </c>
      <c r="AP901" s="310" t="e">
        <f>VLOOKUP($AM901,PATRIMONIALE!$AV953:AY$1003,4,FALSE)</f>
        <v>#N/A</v>
      </c>
      <c r="AQ901" s="748" t="e">
        <f>VLOOKUP($AM901,PATRIMONIALE!$AV953:AZ$1003,5,FALSE)</f>
        <v>#N/A</v>
      </c>
      <c r="AR901" s="1"/>
      <c r="AS901" s="461" t="str">
        <f t="shared" si="160"/>
        <v/>
      </c>
      <c r="AT901" s="370"/>
    </row>
    <row r="902" spans="1:46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435">
        <f>IF(AND(W902&gt;=$U$1,W902&lt;=$U$2),IF(X902='ESTRATTO CONTO'!$E$2,1+COUNTIF(U$4:U901,"&gt;0"),0),0)</f>
        <v>0</v>
      </c>
      <c r="V902" s="417">
        <f t="shared" ref="V902:V965" si="161">V901+1</f>
        <v>899</v>
      </c>
      <c r="W902" s="509"/>
      <c r="X902" s="321"/>
      <c r="Y902" s="321"/>
      <c r="Z902" s="433"/>
      <c r="AA902" s="356"/>
      <c r="AB902" s="306" t="str">
        <f t="shared" si="156"/>
        <v/>
      </c>
      <c r="AC902" s="893">
        <f t="shared" si="157"/>
        <v>0</v>
      </c>
      <c r="AD902" s="322"/>
      <c r="AE902" s="1"/>
      <c r="AF902" s="223">
        <f>IF(ISBLANK(AD902),0,COUNTIF(AF$4:AF901,"&gt;0")+1)</f>
        <v>0</v>
      </c>
      <c r="AG902" s="164">
        <f t="shared" si="153"/>
        <v>0</v>
      </c>
      <c r="AH902" s="99">
        <f t="shared" si="158"/>
        <v>0</v>
      </c>
      <c r="AI902" s="99">
        <f t="shared" si="154"/>
        <v>0</v>
      </c>
      <c r="AJ902" s="170">
        <f t="shared" si="155"/>
        <v>0</v>
      </c>
      <c r="AK902" s="204">
        <f t="shared" si="159"/>
        <v>0</v>
      </c>
      <c r="AL902" s="1049">
        <f>IF(ISERROR(AO902),0,IF(AND(AN902&gt;=$U$1,AN902&lt;=$U$2),IF(AO902='ESTRATTO CONTO'!$E$2,1+COUNTIF(AL$4:AL901,"&gt;0")+U$1009,0),0))</f>
        <v>0</v>
      </c>
      <c r="AM902" s="747">
        <f t="shared" ref="AM902:AM965" si="162">AM901+1</f>
        <v>899</v>
      </c>
      <c r="AN902" s="164" t="e">
        <f>VLOOKUP($AM902,PATRIMONIALE!$AV954:AW$1003,2,FALSE)</f>
        <v>#N/A</v>
      </c>
      <c r="AO902" s="310" t="e">
        <f>VLOOKUP($AM902,PATRIMONIALE!$AV954:AX$1003,3,FALSE)</f>
        <v>#N/A</v>
      </c>
      <c r="AP902" s="310" t="e">
        <f>VLOOKUP($AM902,PATRIMONIALE!$AV954:AY$1003,4,FALSE)</f>
        <v>#N/A</v>
      </c>
      <c r="AQ902" s="748" t="e">
        <f>VLOOKUP($AM902,PATRIMONIALE!$AV954:AZ$1003,5,FALSE)</f>
        <v>#N/A</v>
      </c>
      <c r="AR902" s="1"/>
      <c r="AS902" s="461" t="str">
        <f t="shared" si="160"/>
        <v/>
      </c>
      <c r="AT902" s="370"/>
    </row>
    <row r="903" spans="1:46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435">
        <f>IF(AND(W903&gt;=$U$1,W903&lt;=$U$2),IF(X903='ESTRATTO CONTO'!$E$2,1+COUNTIF(U$4:U902,"&gt;0"),0),0)</f>
        <v>0</v>
      </c>
      <c r="V903" s="417">
        <f t="shared" si="161"/>
        <v>900</v>
      </c>
      <c r="W903" s="509"/>
      <c r="X903" s="321"/>
      <c r="Y903" s="321"/>
      <c r="Z903" s="433"/>
      <c r="AA903" s="356"/>
      <c r="AB903" s="306" t="str">
        <f t="shared" si="156"/>
        <v/>
      </c>
      <c r="AC903" s="893">
        <f t="shared" si="157"/>
        <v>0</v>
      </c>
      <c r="AD903" s="322"/>
      <c r="AE903" s="1"/>
      <c r="AF903" s="223">
        <f>IF(ISBLANK(AD903),0,COUNTIF(AF$4:AF902,"&gt;0")+1)</f>
        <v>0</v>
      </c>
      <c r="AG903" s="164">
        <f t="shared" si="153"/>
        <v>0</v>
      </c>
      <c r="AH903" s="99">
        <f t="shared" si="158"/>
        <v>0</v>
      </c>
      <c r="AI903" s="99">
        <f t="shared" si="154"/>
        <v>0</v>
      </c>
      <c r="AJ903" s="170">
        <f t="shared" si="155"/>
        <v>0</v>
      </c>
      <c r="AK903" s="204">
        <f t="shared" si="159"/>
        <v>0</v>
      </c>
      <c r="AL903" s="1049">
        <f>IF(ISERROR(AO903),0,IF(AND(AN903&gt;=$U$1,AN903&lt;=$U$2),IF(AO903='ESTRATTO CONTO'!$E$2,1+COUNTIF(AL$4:AL902,"&gt;0")+U$1009,0),0))</f>
        <v>0</v>
      </c>
      <c r="AM903" s="747">
        <f t="shared" si="162"/>
        <v>900</v>
      </c>
      <c r="AN903" s="164" t="e">
        <f>VLOOKUP($AM903,PATRIMONIALE!$AV955:AW$1003,2,FALSE)</f>
        <v>#N/A</v>
      </c>
      <c r="AO903" s="310" t="e">
        <f>VLOOKUP($AM903,PATRIMONIALE!$AV955:AX$1003,3,FALSE)</f>
        <v>#N/A</v>
      </c>
      <c r="AP903" s="310" t="e">
        <f>VLOOKUP($AM903,PATRIMONIALE!$AV955:AY$1003,4,FALSE)</f>
        <v>#N/A</v>
      </c>
      <c r="AQ903" s="748" t="e">
        <f>VLOOKUP($AM903,PATRIMONIALE!$AV955:AZ$1003,5,FALSE)</f>
        <v>#N/A</v>
      </c>
      <c r="AR903" s="1"/>
      <c r="AS903" s="461" t="str">
        <f t="shared" si="160"/>
        <v/>
      </c>
      <c r="AT903" s="370"/>
    </row>
    <row r="904" spans="1:46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435">
        <f>IF(AND(W904&gt;=$U$1,W904&lt;=$U$2),IF(X904='ESTRATTO CONTO'!$E$2,1+COUNTIF(U$4:U903,"&gt;0"),0),0)</f>
        <v>0</v>
      </c>
      <c r="V904" s="417">
        <f t="shared" si="161"/>
        <v>901</v>
      </c>
      <c r="W904" s="509"/>
      <c r="X904" s="321"/>
      <c r="Y904" s="321"/>
      <c r="Z904" s="433"/>
      <c r="AA904" s="356"/>
      <c r="AB904" s="306" t="str">
        <f t="shared" si="156"/>
        <v/>
      </c>
      <c r="AC904" s="893">
        <f t="shared" si="157"/>
        <v>0</v>
      </c>
      <c r="AD904" s="322"/>
      <c r="AE904" s="1"/>
      <c r="AF904" s="223">
        <f>IF(ISBLANK(AD904),0,COUNTIF(AF$4:AF903,"&gt;0")+1)</f>
        <v>0</v>
      </c>
      <c r="AG904" s="164">
        <f t="shared" si="153"/>
        <v>0</v>
      </c>
      <c r="AH904" s="99">
        <f t="shared" si="158"/>
        <v>0</v>
      </c>
      <c r="AI904" s="99">
        <f t="shared" si="154"/>
        <v>0</v>
      </c>
      <c r="AJ904" s="170">
        <f t="shared" si="155"/>
        <v>0</v>
      </c>
      <c r="AK904" s="204">
        <f t="shared" si="159"/>
        <v>0</v>
      </c>
      <c r="AL904" s="1049">
        <f>IF(ISERROR(AO904),0,IF(AND(AN904&gt;=$U$1,AN904&lt;=$U$2),IF(AO904='ESTRATTO CONTO'!$E$2,1+COUNTIF(AL$4:AL903,"&gt;0")+U$1009,0),0))</f>
        <v>0</v>
      </c>
      <c r="AM904" s="747">
        <f t="shared" si="162"/>
        <v>901</v>
      </c>
      <c r="AN904" s="164" t="e">
        <f>VLOOKUP($AM904,PATRIMONIALE!$AV956:AW$1003,2,FALSE)</f>
        <v>#N/A</v>
      </c>
      <c r="AO904" s="310" t="e">
        <f>VLOOKUP($AM904,PATRIMONIALE!$AV956:AX$1003,3,FALSE)</f>
        <v>#N/A</v>
      </c>
      <c r="AP904" s="310" t="e">
        <f>VLOOKUP($AM904,PATRIMONIALE!$AV956:AY$1003,4,FALSE)</f>
        <v>#N/A</v>
      </c>
      <c r="AQ904" s="748" t="e">
        <f>VLOOKUP($AM904,PATRIMONIALE!$AV956:AZ$1003,5,FALSE)</f>
        <v>#N/A</v>
      </c>
      <c r="AR904" s="1"/>
      <c r="AS904" s="461" t="str">
        <f t="shared" si="160"/>
        <v/>
      </c>
      <c r="AT904" s="370"/>
    </row>
    <row r="905" spans="1:46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435">
        <f>IF(AND(W905&gt;=$U$1,W905&lt;=$U$2),IF(X905='ESTRATTO CONTO'!$E$2,1+COUNTIF(U$4:U904,"&gt;0"),0),0)</f>
        <v>0</v>
      </c>
      <c r="V905" s="417">
        <f t="shared" si="161"/>
        <v>902</v>
      </c>
      <c r="W905" s="509"/>
      <c r="X905" s="321"/>
      <c r="Y905" s="321"/>
      <c r="Z905" s="433"/>
      <c r="AA905" s="356"/>
      <c r="AB905" s="306" t="str">
        <f t="shared" si="156"/>
        <v/>
      </c>
      <c r="AC905" s="893">
        <f t="shared" si="157"/>
        <v>0</v>
      </c>
      <c r="AD905" s="322"/>
      <c r="AE905" s="1"/>
      <c r="AF905" s="223">
        <f>IF(ISBLANK(AD905),0,COUNTIF(AF$4:AF904,"&gt;0")+1)</f>
        <v>0</v>
      </c>
      <c r="AG905" s="164">
        <f t="shared" si="153"/>
        <v>0</v>
      </c>
      <c r="AH905" s="99">
        <f t="shared" si="158"/>
        <v>0</v>
      </c>
      <c r="AI905" s="99">
        <f t="shared" si="154"/>
        <v>0</v>
      </c>
      <c r="AJ905" s="170">
        <f t="shared" si="155"/>
        <v>0</v>
      </c>
      <c r="AK905" s="204">
        <f t="shared" si="159"/>
        <v>0</v>
      </c>
      <c r="AL905" s="1049">
        <f>IF(ISERROR(AO905),0,IF(AND(AN905&gt;=$U$1,AN905&lt;=$U$2),IF(AO905='ESTRATTO CONTO'!$E$2,1+COUNTIF(AL$4:AL904,"&gt;0")+U$1009,0),0))</f>
        <v>0</v>
      </c>
      <c r="AM905" s="747">
        <f t="shared" si="162"/>
        <v>902</v>
      </c>
      <c r="AN905" s="164" t="e">
        <f>VLOOKUP($AM905,PATRIMONIALE!$AV957:AW$1003,2,FALSE)</f>
        <v>#N/A</v>
      </c>
      <c r="AO905" s="310" t="e">
        <f>VLOOKUP($AM905,PATRIMONIALE!$AV957:AX$1003,3,FALSE)</f>
        <v>#N/A</v>
      </c>
      <c r="AP905" s="310" t="e">
        <f>VLOOKUP($AM905,PATRIMONIALE!$AV957:AY$1003,4,FALSE)</f>
        <v>#N/A</v>
      </c>
      <c r="AQ905" s="748" t="e">
        <f>VLOOKUP($AM905,PATRIMONIALE!$AV957:AZ$1003,5,FALSE)</f>
        <v>#N/A</v>
      </c>
      <c r="AR905" s="1"/>
      <c r="AS905" s="461" t="str">
        <f t="shared" si="160"/>
        <v/>
      </c>
      <c r="AT905" s="370"/>
    </row>
    <row r="906" spans="1:46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435">
        <f>IF(AND(W906&gt;=$U$1,W906&lt;=$U$2),IF(X906='ESTRATTO CONTO'!$E$2,1+COUNTIF(U$4:U905,"&gt;0"),0),0)</f>
        <v>0</v>
      </c>
      <c r="V906" s="417">
        <f t="shared" si="161"/>
        <v>903</v>
      </c>
      <c r="W906" s="509"/>
      <c r="X906" s="321"/>
      <c r="Y906" s="321"/>
      <c r="Z906" s="433"/>
      <c r="AA906" s="356"/>
      <c r="AB906" s="306" t="str">
        <f t="shared" si="156"/>
        <v/>
      </c>
      <c r="AC906" s="893">
        <f t="shared" si="157"/>
        <v>0</v>
      </c>
      <c r="AD906" s="322"/>
      <c r="AE906" s="1"/>
      <c r="AF906" s="223">
        <f>IF(ISBLANK(AD906),0,COUNTIF(AF$4:AF905,"&gt;0")+1)</f>
        <v>0</v>
      </c>
      <c r="AG906" s="164">
        <f t="shared" ref="AG906:AG969" si="163">IF($AF906=0,0,W906)</f>
        <v>0</v>
      </c>
      <c r="AH906" s="99">
        <f t="shared" si="158"/>
        <v>0</v>
      </c>
      <c r="AI906" s="99">
        <f t="shared" ref="AI906:AI969" si="164">IF($AF906=0,0,Y906)</f>
        <v>0</v>
      </c>
      <c r="AJ906" s="170">
        <f t="shared" ref="AJ906:AJ969" si="165">IF($AF906=0,0,IF(RIGHT(AD906)="-",IF(Z906&gt;0,Z906*-1,Z906),Z906))</f>
        <v>0</v>
      </c>
      <c r="AK906" s="204">
        <f t="shared" si="159"/>
        <v>0</v>
      </c>
      <c r="AL906" s="1049">
        <f>IF(ISERROR(AO906),0,IF(AND(AN906&gt;=$U$1,AN906&lt;=$U$2),IF(AO906='ESTRATTO CONTO'!$E$2,1+COUNTIF(AL$4:AL905,"&gt;0")+U$1009,0),0))</f>
        <v>0</v>
      </c>
      <c r="AM906" s="747">
        <f t="shared" si="162"/>
        <v>903</v>
      </c>
      <c r="AN906" s="164" t="e">
        <f>VLOOKUP($AM906,PATRIMONIALE!$AV958:AW$1003,2,FALSE)</f>
        <v>#N/A</v>
      </c>
      <c r="AO906" s="310" t="e">
        <f>VLOOKUP($AM906,PATRIMONIALE!$AV958:AX$1003,3,FALSE)</f>
        <v>#N/A</v>
      </c>
      <c r="AP906" s="310" t="e">
        <f>VLOOKUP($AM906,PATRIMONIALE!$AV958:AY$1003,4,FALSE)</f>
        <v>#N/A</v>
      </c>
      <c r="AQ906" s="748" t="e">
        <f>VLOOKUP($AM906,PATRIMONIALE!$AV958:AZ$1003,5,FALSE)</f>
        <v>#N/A</v>
      </c>
      <c r="AR906" s="1"/>
      <c r="AS906" s="461" t="str">
        <f t="shared" si="160"/>
        <v/>
      </c>
      <c r="AT906" s="370"/>
    </row>
    <row r="907" spans="1:46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435">
        <f>IF(AND(W907&gt;=$U$1,W907&lt;=$U$2),IF(X907='ESTRATTO CONTO'!$E$2,1+COUNTIF(U$4:U906,"&gt;0"),0),0)</f>
        <v>0</v>
      </c>
      <c r="V907" s="417">
        <f t="shared" si="161"/>
        <v>904</v>
      </c>
      <c r="W907" s="509"/>
      <c r="X907" s="321"/>
      <c r="Y907" s="321"/>
      <c r="Z907" s="433"/>
      <c r="AA907" s="356"/>
      <c r="AB907" s="306" t="str">
        <f t="shared" si="156"/>
        <v/>
      </c>
      <c r="AC907" s="893">
        <f t="shared" si="157"/>
        <v>0</v>
      </c>
      <c r="AD907" s="322"/>
      <c r="AE907" s="1"/>
      <c r="AF907" s="223">
        <f>IF(ISBLANK(AD907),0,COUNTIF(AF$4:AF906,"&gt;0")+1)</f>
        <v>0</v>
      </c>
      <c r="AG907" s="164">
        <f t="shared" si="163"/>
        <v>0</v>
      </c>
      <c r="AH907" s="99">
        <f t="shared" si="158"/>
        <v>0</v>
      </c>
      <c r="AI907" s="99">
        <f t="shared" si="164"/>
        <v>0</v>
      </c>
      <c r="AJ907" s="170">
        <f t="shared" si="165"/>
        <v>0</v>
      </c>
      <c r="AK907" s="204">
        <f t="shared" si="159"/>
        <v>0</v>
      </c>
      <c r="AL907" s="1049">
        <f>IF(ISERROR(AO907),0,IF(AND(AN907&gt;=$U$1,AN907&lt;=$U$2),IF(AO907='ESTRATTO CONTO'!$E$2,1+COUNTIF(AL$4:AL906,"&gt;0")+U$1009,0),0))</f>
        <v>0</v>
      </c>
      <c r="AM907" s="747">
        <f t="shared" si="162"/>
        <v>904</v>
      </c>
      <c r="AN907" s="164" t="e">
        <f>VLOOKUP($AM907,PATRIMONIALE!$AV959:AW$1003,2,FALSE)</f>
        <v>#N/A</v>
      </c>
      <c r="AO907" s="310" t="e">
        <f>VLOOKUP($AM907,PATRIMONIALE!$AV959:AX$1003,3,FALSE)</f>
        <v>#N/A</v>
      </c>
      <c r="AP907" s="310" t="e">
        <f>VLOOKUP($AM907,PATRIMONIALE!$AV959:AY$1003,4,FALSE)</f>
        <v>#N/A</v>
      </c>
      <c r="AQ907" s="748" t="e">
        <f>VLOOKUP($AM907,PATRIMONIALE!$AV959:AZ$1003,5,FALSE)</f>
        <v>#N/A</v>
      </c>
      <c r="AR907" s="1"/>
      <c r="AS907" s="461" t="str">
        <f t="shared" si="160"/>
        <v/>
      </c>
      <c r="AT907" s="370"/>
    </row>
    <row r="908" spans="1:46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435">
        <f>IF(AND(W908&gt;=$U$1,W908&lt;=$U$2),IF(X908='ESTRATTO CONTO'!$E$2,1+COUNTIF(U$4:U907,"&gt;0"),0),0)</f>
        <v>0</v>
      </c>
      <c r="V908" s="417">
        <f t="shared" si="161"/>
        <v>905</v>
      </c>
      <c r="W908" s="509"/>
      <c r="X908" s="321"/>
      <c r="Y908" s="321"/>
      <c r="Z908" s="433"/>
      <c r="AA908" s="356"/>
      <c r="AB908" s="306" t="str">
        <f t="shared" si="156"/>
        <v/>
      </c>
      <c r="AC908" s="893">
        <f t="shared" si="157"/>
        <v>0</v>
      </c>
      <c r="AD908" s="322"/>
      <c r="AE908" s="1"/>
      <c r="AF908" s="223">
        <f>IF(ISBLANK(AD908),0,COUNTIF(AF$4:AF907,"&gt;0")+1)</f>
        <v>0</v>
      </c>
      <c r="AG908" s="164">
        <f t="shared" si="163"/>
        <v>0</v>
      </c>
      <c r="AH908" s="99">
        <f t="shared" si="158"/>
        <v>0</v>
      </c>
      <c r="AI908" s="99">
        <f t="shared" si="164"/>
        <v>0</v>
      </c>
      <c r="AJ908" s="170">
        <f t="shared" si="165"/>
        <v>0</v>
      </c>
      <c r="AK908" s="204">
        <f t="shared" si="159"/>
        <v>0</v>
      </c>
      <c r="AL908" s="1049">
        <f>IF(ISERROR(AO908),0,IF(AND(AN908&gt;=$U$1,AN908&lt;=$U$2),IF(AO908='ESTRATTO CONTO'!$E$2,1+COUNTIF(AL$4:AL907,"&gt;0")+U$1009,0),0))</f>
        <v>0</v>
      </c>
      <c r="AM908" s="747">
        <f t="shared" si="162"/>
        <v>905</v>
      </c>
      <c r="AN908" s="164" t="e">
        <f>VLOOKUP($AM908,PATRIMONIALE!$AV960:AW$1003,2,FALSE)</f>
        <v>#N/A</v>
      </c>
      <c r="AO908" s="310" t="e">
        <f>VLOOKUP($AM908,PATRIMONIALE!$AV960:AX$1003,3,FALSE)</f>
        <v>#N/A</v>
      </c>
      <c r="AP908" s="310" t="e">
        <f>VLOOKUP($AM908,PATRIMONIALE!$AV960:AY$1003,4,FALSE)</f>
        <v>#N/A</v>
      </c>
      <c r="AQ908" s="748" t="e">
        <f>VLOOKUP($AM908,PATRIMONIALE!$AV960:AZ$1003,5,FALSE)</f>
        <v>#N/A</v>
      </c>
      <c r="AR908" s="1"/>
      <c r="AS908" s="461" t="str">
        <f t="shared" si="160"/>
        <v/>
      </c>
      <c r="AT908" s="370"/>
    </row>
    <row r="909" spans="1:46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435">
        <f>IF(AND(W909&gt;=$U$1,W909&lt;=$U$2),IF(X909='ESTRATTO CONTO'!$E$2,1+COUNTIF(U$4:U908,"&gt;0"),0),0)</f>
        <v>0</v>
      </c>
      <c r="V909" s="417">
        <f t="shared" si="161"/>
        <v>906</v>
      </c>
      <c r="W909" s="509"/>
      <c r="X909" s="321"/>
      <c r="Y909" s="321"/>
      <c r="Z909" s="433"/>
      <c r="AA909" s="356"/>
      <c r="AB909" s="306" t="str">
        <f t="shared" si="156"/>
        <v/>
      </c>
      <c r="AC909" s="893">
        <f t="shared" si="157"/>
        <v>0</v>
      </c>
      <c r="AD909" s="322"/>
      <c r="AE909" s="1"/>
      <c r="AF909" s="223">
        <f>IF(ISBLANK(AD909),0,COUNTIF(AF$4:AF908,"&gt;0")+1)</f>
        <v>0</v>
      </c>
      <c r="AG909" s="164">
        <f t="shared" si="163"/>
        <v>0</v>
      </c>
      <c r="AH909" s="99">
        <f t="shared" si="158"/>
        <v>0</v>
      </c>
      <c r="AI909" s="99">
        <f t="shared" si="164"/>
        <v>0</v>
      </c>
      <c r="AJ909" s="170">
        <f t="shared" si="165"/>
        <v>0</v>
      </c>
      <c r="AK909" s="204">
        <f t="shared" si="159"/>
        <v>0</v>
      </c>
      <c r="AL909" s="1049">
        <f>IF(ISERROR(AO909),0,IF(AND(AN909&gt;=$U$1,AN909&lt;=$U$2),IF(AO909='ESTRATTO CONTO'!$E$2,1+COUNTIF(AL$4:AL908,"&gt;0")+U$1009,0),0))</f>
        <v>0</v>
      </c>
      <c r="AM909" s="747">
        <f t="shared" si="162"/>
        <v>906</v>
      </c>
      <c r="AN909" s="164" t="e">
        <f>VLOOKUP($AM909,PATRIMONIALE!$AV961:AW$1003,2,FALSE)</f>
        <v>#N/A</v>
      </c>
      <c r="AO909" s="310" t="e">
        <f>VLOOKUP($AM909,PATRIMONIALE!$AV961:AX$1003,3,FALSE)</f>
        <v>#N/A</v>
      </c>
      <c r="AP909" s="310" t="e">
        <f>VLOOKUP($AM909,PATRIMONIALE!$AV961:AY$1003,4,FALSE)</f>
        <v>#N/A</v>
      </c>
      <c r="AQ909" s="748" t="e">
        <f>VLOOKUP($AM909,PATRIMONIALE!$AV961:AZ$1003,5,FALSE)</f>
        <v>#N/A</v>
      </c>
      <c r="AR909" s="1"/>
      <c r="AS909" s="461" t="str">
        <f t="shared" si="160"/>
        <v/>
      </c>
      <c r="AT909" s="370"/>
    </row>
    <row r="910" spans="1:46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435">
        <f>IF(AND(W910&gt;=$U$1,W910&lt;=$U$2),IF(X910='ESTRATTO CONTO'!$E$2,1+COUNTIF(U$4:U909,"&gt;0"),0),0)</f>
        <v>0</v>
      </c>
      <c r="V910" s="417">
        <f t="shared" si="161"/>
        <v>907</v>
      </c>
      <c r="W910" s="509"/>
      <c r="X910" s="321"/>
      <c r="Y910" s="321"/>
      <c r="Z910" s="433"/>
      <c r="AA910" s="356"/>
      <c r="AB910" s="306" t="str">
        <f t="shared" si="156"/>
        <v/>
      </c>
      <c r="AC910" s="893">
        <f t="shared" si="157"/>
        <v>0</v>
      </c>
      <c r="AD910" s="322"/>
      <c r="AE910" s="1"/>
      <c r="AF910" s="223">
        <f>IF(ISBLANK(AD910),0,COUNTIF(AF$4:AF909,"&gt;0")+1)</f>
        <v>0</v>
      </c>
      <c r="AG910" s="164">
        <f t="shared" si="163"/>
        <v>0</v>
      </c>
      <c r="AH910" s="99">
        <f t="shared" si="158"/>
        <v>0</v>
      </c>
      <c r="AI910" s="99">
        <f t="shared" si="164"/>
        <v>0</v>
      </c>
      <c r="AJ910" s="170">
        <f t="shared" si="165"/>
        <v>0</v>
      </c>
      <c r="AK910" s="204">
        <f t="shared" si="159"/>
        <v>0</v>
      </c>
      <c r="AL910" s="1049">
        <f>IF(ISERROR(AO910),0,IF(AND(AN910&gt;=$U$1,AN910&lt;=$U$2),IF(AO910='ESTRATTO CONTO'!$E$2,1+COUNTIF(AL$4:AL909,"&gt;0")+U$1009,0),0))</f>
        <v>0</v>
      </c>
      <c r="AM910" s="747">
        <f t="shared" si="162"/>
        <v>907</v>
      </c>
      <c r="AN910" s="164" t="e">
        <f>VLOOKUP($AM910,PATRIMONIALE!$AV962:AW$1003,2,FALSE)</f>
        <v>#N/A</v>
      </c>
      <c r="AO910" s="310" t="e">
        <f>VLOOKUP($AM910,PATRIMONIALE!$AV962:AX$1003,3,FALSE)</f>
        <v>#N/A</v>
      </c>
      <c r="AP910" s="310" t="e">
        <f>VLOOKUP($AM910,PATRIMONIALE!$AV962:AY$1003,4,FALSE)</f>
        <v>#N/A</v>
      </c>
      <c r="AQ910" s="748" t="e">
        <f>VLOOKUP($AM910,PATRIMONIALE!$AV962:AZ$1003,5,FALSE)</f>
        <v>#N/A</v>
      </c>
      <c r="AR910" s="1"/>
      <c r="AS910" s="461" t="str">
        <f t="shared" si="160"/>
        <v/>
      </c>
      <c r="AT910" s="370"/>
    </row>
    <row r="911" spans="1:46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435">
        <f>IF(AND(W911&gt;=$U$1,W911&lt;=$U$2),IF(X911='ESTRATTO CONTO'!$E$2,1+COUNTIF(U$4:U910,"&gt;0"),0),0)</f>
        <v>0</v>
      </c>
      <c r="V911" s="417">
        <f t="shared" si="161"/>
        <v>908</v>
      </c>
      <c r="W911" s="509"/>
      <c r="X911" s="321"/>
      <c r="Y911" s="321"/>
      <c r="Z911" s="433"/>
      <c r="AA911" s="356"/>
      <c r="AB911" s="306" t="str">
        <f t="shared" si="156"/>
        <v/>
      </c>
      <c r="AC911" s="893">
        <f t="shared" si="157"/>
        <v>0</v>
      </c>
      <c r="AD911" s="322"/>
      <c r="AE911" s="1"/>
      <c r="AF911" s="223">
        <f>IF(ISBLANK(AD911),0,COUNTIF(AF$4:AF910,"&gt;0")+1)</f>
        <v>0</v>
      </c>
      <c r="AG911" s="164">
        <f t="shared" si="163"/>
        <v>0</v>
      </c>
      <c r="AH911" s="99">
        <f t="shared" si="158"/>
        <v>0</v>
      </c>
      <c r="AI911" s="99">
        <f t="shared" si="164"/>
        <v>0</v>
      </c>
      <c r="AJ911" s="170">
        <f t="shared" si="165"/>
        <v>0</v>
      </c>
      <c r="AK911" s="204">
        <f t="shared" si="159"/>
        <v>0</v>
      </c>
      <c r="AL911" s="1049">
        <f>IF(ISERROR(AO911),0,IF(AND(AN911&gt;=$U$1,AN911&lt;=$U$2),IF(AO911='ESTRATTO CONTO'!$E$2,1+COUNTIF(AL$4:AL910,"&gt;0")+U$1009,0),0))</f>
        <v>0</v>
      </c>
      <c r="AM911" s="747">
        <f t="shared" si="162"/>
        <v>908</v>
      </c>
      <c r="AN911" s="164" t="e">
        <f>VLOOKUP($AM911,PATRIMONIALE!$AV963:AW$1003,2,FALSE)</f>
        <v>#N/A</v>
      </c>
      <c r="AO911" s="310" t="e">
        <f>VLOOKUP($AM911,PATRIMONIALE!$AV963:AX$1003,3,FALSE)</f>
        <v>#N/A</v>
      </c>
      <c r="AP911" s="310" t="e">
        <f>VLOOKUP($AM911,PATRIMONIALE!$AV963:AY$1003,4,FALSE)</f>
        <v>#N/A</v>
      </c>
      <c r="AQ911" s="748" t="e">
        <f>VLOOKUP($AM911,PATRIMONIALE!$AV963:AZ$1003,5,FALSE)</f>
        <v>#N/A</v>
      </c>
      <c r="AR911" s="1"/>
      <c r="AS911" s="461" t="str">
        <f t="shared" si="160"/>
        <v/>
      </c>
      <c r="AT911" s="370"/>
    </row>
    <row r="912" spans="1:46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435">
        <f>IF(AND(W912&gt;=$U$1,W912&lt;=$U$2),IF(X912='ESTRATTO CONTO'!$E$2,1+COUNTIF(U$4:U911,"&gt;0"),0),0)</f>
        <v>0</v>
      </c>
      <c r="V912" s="417">
        <f t="shared" si="161"/>
        <v>909</v>
      </c>
      <c r="W912" s="509"/>
      <c r="X912" s="321"/>
      <c r="Y912" s="321"/>
      <c r="Z912" s="433"/>
      <c r="AA912" s="356"/>
      <c r="AB912" s="306" t="str">
        <f t="shared" si="156"/>
        <v/>
      </c>
      <c r="AC912" s="893">
        <f t="shared" si="157"/>
        <v>0</v>
      </c>
      <c r="AD912" s="322"/>
      <c r="AE912" s="1"/>
      <c r="AF912" s="223">
        <f>IF(ISBLANK(AD912),0,COUNTIF(AF$4:AF911,"&gt;0")+1)</f>
        <v>0</v>
      </c>
      <c r="AG912" s="164">
        <f t="shared" si="163"/>
        <v>0</v>
      </c>
      <c r="AH912" s="99">
        <f t="shared" si="158"/>
        <v>0</v>
      </c>
      <c r="AI912" s="99">
        <f t="shared" si="164"/>
        <v>0</v>
      </c>
      <c r="AJ912" s="170">
        <f t="shared" si="165"/>
        <v>0</v>
      </c>
      <c r="AK912" s="204">
        <f t="shared" si="159"/>
        <v>0</v>
      </c>
      <c r="AL912" s="1049">
        <f>IF(ISERROR(AO912),0,IF(AND(AN912&gt;=$U$1,AN912&lt;=$U$2),IF(AO912='ESTRATTO CONTO'!$E$2,1+COUNTIF(AL$4:AL911,"&gt;0")+U$1009,0),0))</f>
        <v>0</v>
      </c>
      <c r="AM912" s="747">
        <f t="shared" si="162"/>
        <v>909</v>
      </c>
      <c r="AN912" s="164" t="e">
        <f>VLOOKUP($AM912,PATRIMONIALE!$AV964:AW$1003,2,FALSE)</f>
        <v>#N/A</v>
      </c>
      <c r="AO912" s="310" t="e">
        <f>VLOOKUP($AM912,PATRIMONIALE!$AV964:AX$1003,3,FALSE)</f>
        <v>#N/A</v>
      </c>
      <c r="AP912" s="310" t="e">
        <f>VLOOKUP($AM912,PATRIMONIALE!$AV964:AY$1003,4,FALSE)</f>
        <v>#N/A</v>
      </c>
      <c r="AQ912" s="748" t="e">
        <f>VLOOKUP($AM912,PATRIMONIALE!$AV964:AZ$1003,5,FALSE)</f>
        <v>#N/A</v>
      </c>
      <c r="AR912" s="1"/>
      <c r="AS912" s="461" t="str">
        <f t="shared" si="160"/>
        <v/>
      </c>
      <c r="AT912" s="370"/>
    </row>
    <row r="913" spans="1:46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435">
        <f>IF(AND(W913&gt;=$U$1,W913&lt;=$U$2),IF(X913='ESTRATTO CONTO'!$E$2,1+COUNTIF(U$4:U912,"&gt;0"),0),0)</f>
        <v>0</v>
      </c>
      <c r="V913" s="417">
        <f t="shared" si="161"/>
        <v>910</v>
      </c>
      <c r="W913" s="509"/>
      <c r="X913" s="321"/>
      <c r="Y913" s="321"/>
      <c r="Z913" s="433"/>
      <c r="AA913" s="356"/>
      <c r="AB913" s="306" t="str">
        <f t="shared" si="156"/>
        <v/>
      </c>
      <c r="AC913" s="893">
        <f t="shared" si="157"/>
        <v>0</v>
      </c>
      <c r="AD913" s="322"/>
      <c r="AE913" s="1"/>
      <c r="AF913" s="223">
        <f>IF(ISBLANK(AD913),0,COUNTIF(AF$4:AF912,"&gt;0")+1)</f>
        <v>0</v>
      </c>
      <c r="AG913" s="164">
        <f t="shared" si="163"/>
        <v>0</v>
      </c>
      <c r="AH913" s="99">
        <f t="shared" si="158"/>
        <v>0</v>
      </c>
      <c r="AI913" s="99">
        <f t="shared" si="164"/>
        <v>0</v>
      </c>
      <c r="AJ913" s="170">
        <f t="shared" si="165"/>
        <v>0</v>
      </c>
      <c r="AK913" s="204">
        <f t="shared" si="159"/>
        <v>0</v>
      </c>
      <c r="AL913" s="1049">
        <f>IF(ISERROR(AO913),0,IF(AND(AN913&gt;=$U$1,AN913&lt;=$U$2),IF(AO913='ESTRATTO CONTO'!$E$2,1+COUNTIF(AL$4:AL912,"&gt;0")+U$1009,0),0))</f>
        <v>0</v>
      </c>
      <c r="AM913" s="747">
        <f t="shared" si="162"/>
        <v>910</v>
      </c>
      <c r="AN913" s="164" t="e">
        <f>VLOOKUP($AM913,PATRIMONIALE!$AV965:AW$1003,2,FALSE)</f>
        <v>#N/A</v>
      </c>
      <c r="AO913" s="310" t="e">
        <f>VLOOKUP($AM913,PATRIMONIALE!$AV965:AX$1003,3,FALSE)</f>
        <v>#N/A</v>
      </c>
      <c r="AP913" s="310" t="e">
        <f>VLOOKUP($AM913,PATRIMONIALE!$AV965:AY$1003,4,FALSE)</f>
        <v>#N/A</v>
      </c>
      <c r="AQ913" s="748" t="e">
        <f>VLOOKUP($AM913,PATRIMONIALE!$AV965:AZ$1003,5,FALSE)</f>
        <v>#N/A</v>
      </c>
      <c r="AR913" s="1"/>
      <c r="AS913" s="461" t="str">
        <f t="shared" si="160"/>
        <v/>
      </c>
      <c r="AT913" s="370"/>
    </row>
    <row r="914" spans="1:46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435">
        <f>IF(AND(W914&gt;=$U$1,W914&lt;=$U$2),IF(X914='ESTRATTO CONTO'!$E$2,1+COUNTIF(U$4:U913,"&gt;0"),0),0)</f>
        <v>0</v>
      </c>
      <c r="V914" s="417">
        <f t="shared" si="161"/>
        <v>911</v>
      </c>
      <c r="W914" s="509"/>
      <c r="X914" s="321"/>
      <c r="Y914" s="321"/>
      <c r="Z914" s="433"/>
      <c r="AA914" s="356"/>
      <c r="AB914" s="306" t="str">
        <f t="shared" si="156"/>
        <v/>
      </c>
      <c r="AC914" s="893">
        <f t="shared" si="157"/>
        <v>0</v>
      </c>
      <c r="AD914" s="322"/>
      <c r="AE914" s="1"/>
      <c r="AF914" s="223">
        <f>IF(ISBLANK(AD914),0,COUNTIF(AF$4:AF913,"&gt;0")+1)</f>
        <v>0</v>
      </c>
      <c r="AG914" s="164">
        <f t="shared" si="163"/>
        <v>0</v>
      </c>
      <c r="AH914" s="99">
        <f t="shared" si="158"/>
        <v>0</v>
      </c>
      <c r="AI914" s="99">
        <f t="shared" si="164"/>
        <v>0</v>
      </c>
      <c r="AJ914" s="170">
        <f t="shared" si="165"/>
        <v>0</v>
      </c>
      <c r="AK914" s="204">
        <f t="shared" si="159"/>
        <v>0</v>
      </c>
      <c r="AL914" s="1049">
        <f>IF(ISERROR(AO914),0,IF(AND(AN914&gt;=$U$1,AN914&lt;=$U$2),IF(AO914='ESTRATTO CONTO'!$E$2,1+COUNTIF(AL$4:AL913,"&gt;0")+U$1009,0),0))</f>
        <v>0</v>
      </c>
      <c r="AM914" s="747">
        <f t="shared" si="162"/>
        <v>911</v>
      </c>
      <c r="AN914" s="164" t="e">
        <f>VLOOKUP($AM914,PATRIMONIALE!$AV966:AW$1003,2,FALSE)</f>
        <v>#N/A</v>
      </c>
      <c r="AO914" s="310" t="e">
        <f>VLOOKUP($AM914,PATRIMONIALE!$AV966:AX$1003,3,FALSE)</f>
        <v>#N/A</v>
      </c>
      <c r="AP914" s="310" t="e">
        <f>VLOOKUP($AM914,PATRIMONIALE!$AV966:AY$1003,4,FALSE)</f>
        <v>#N/A</v>
      </c>
      <c r="AQ914" s="748" t="e">
        <f>VLOOKUP($AM914,PATRIMONIALE!$AV966:AZ$1003,5,FALSE)</f>
        <v>#N/A</v>
      </c>
      <c r="AR914" s="1"/>
      <c r="AS914" s="461" t="str">
        <f t="shared" si="160"/>
        <v/>
      </c>
      <c r="AT914" s="370"/>
    </row>
    <row r="915" spans="1:46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435">
        <f>IF(AND(W915&gt;=$U$1,W915&lt;=$U$2),IF(X915='ESTRATTO CONTO'!$E$2,1+COUNTIF(U$4:U914,"&gt;0"),0),0)</f>
        <v>0</v>
      </c>
      <c r="V915" s="417">
        <f t="shared" si="161"/>
        <v>912</v>
      </c>
      <c r="W915" s="509"/>
      <c r="X915" s="321"/>
      <c r="Y915" s="321"/>
      <c r="Z915" s="433"/>
      <c r="AA915" s="356"/>
      <c r="AB915" s="306" t="str">
        <f t="shared" si="156"/>
        <v/>
      </c>
      <c r="AC915" s="893">
        <f t="shared" si="157"/>
        <v>0</v>
      </c>
      <c r="AD915" s="322"/>
      <c r="AE915" s="1"/>
      <c r="AF915" s="223">
        <f>IF(ISBLANK(AD915),0,COUNTIF(AF$4:AF914,"&gt;0")+1)</f>
        <v>0</v>
      </c>
      <c r="AG915" s="164">
        <f t="shared" si="163"/>
        <v>0</v>
      </c>
      <c r="AH915" s="99">
        <f t="shared" si="158"/>
        <v>0</v>
      </c>
      <c r="AI915" s="99">
        <f t="shared" si="164"/>
        <v>0</v>
      </c>
      <c r="AJ915" s="170">
        <f t="shared" si="165"/>
        <v>0</v>
      </c>
      <c r="AK915" s="204">
        <f t="shared" si="159"/>
        <v>0</v>
      </c>
      <c r="AL915" s="1049">
        <f>IF(ISERROR(AO915),0,IF(AND(AN915&gt;=$U$1,AN915&lt;=$U$2),IF(AO915='ESTRATTO CONTO'!$E$2,1+COUNTIF(AL$4:AL914,"&gt;0")+U$1009,0),0))</f>
        <v>0</v>
      </c>
      <c r="AM915" s="747">
        <f t="shared" si="162"/>
        <v>912</v>
      </c>
      <c r="AN915" s="164" t="e">
        <f>VLOOKUP($AM915,PATRIMONIALE!$AV967:AW$1003,2,FALSE)</f>
        <v>#N/A</v>
      </c>
      <c r="AO915" s="310" t="e">
        <f>VLOOKUP($AM915,PATRIMONIALE!$AV967:AX$1003,3,FALSE)</f>
        <v>#N/A</v>
      </c>
      <c r="AP915" s="310" t="e">
        <f>VLOOKUP($AM915,PATRIMONIALE!$AV967:AY$1003,4,FALSE)</f>
        <v>#N/A</v>
      </c>
      <c r="AQ915" s="748" t="e">
        <f>VLOOKUP($AM915,PATRIMONIALE!$AV967:AZ$1003,5,FALSE)</f>
        <v>#N/A</v>
      </c>
      <c r="AR915" s="1"/>
      <c r="AS915" s="461" t="str">
        <f t="shared" si="160"/>
        <v/>
      </c>
      <c r="AT915" s="370"/>
    </row>
    <row r="916" spans="1:46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435">
        <f>IF(AND(W916&gt;=$U$1,W916&lt;=$U$2),IF(X916='ESTRATTO CONTO'!$E$2,1+COUNTIF(U$4:U915,"&gt;0"),0),0)</f>
        <v>0</v>
      </c>
      <c r="V916" s="417">
        <f t="shared" si="161"/>
        <v>913</v>
      </c>
      <c r="W916" s="509"/>
      <c r="X916" s="321"/>
      <c r="Y916" s="321"/>
      <c r="Z916" s="433"/>
      <c r="AA916" s="356"/>
      <c r="AB916" s="306" t="str">
        <f t="shared" si="156"/>
        <v/>
      </c>
      <c r="AC916" s="893">
        <f t="shared" si="157"/>
        <v>0</v>
      </c>
      <c r="AD916" s="322"/>
      <c r="AE916" s="1"/>
      <c r="AF916" s="223">
        <f>IF(ISBLANK(AD916),0,COUNTIF(AF$4:AF915,"&gt;0")+1)</f>
        <v>0</v>
      </c>
      <c r="AG916" s="164">
        <f t="shared" si="163"/>
        <v>0</v>
      </c>
      <c r="AH916" s="99">
        <f t="shared" si="158"/>
        <v>0</v>
      </c>
      <c r="AI916" s="99">
        <f t="shared" si="164"/>
        <v>0</v>
      </c>
      <c r="AJ916" s="170">
        <f t="shared" si="165"/>
        <v>0</v>
      </c>
      <c r="AK916" s="204">
        <f t="shared" si="159"/>
        <v>0</v>
      </c>
      <c r="AL916" s="1049">
        <f>IF(ISERROR(AO916),0,IF(AND(AN916&gt;=$U$1,AN916&lt;=$U$2),IF(AO916='ESTRATTO CONTO'!$E$2,1+COUNTIF(AL$4:AL915,"&gt;0")+U$1009,0),0))</f>
        <v>0</v>
      </c>
      <c r="AM916" s="747">
        <f t="shared" si="162"/>
        <v>913</v>
      </c>
      <c r="AN916" s="164" t="e">
        <f>VLOOKUP($AM916,PATRIMONIALE!$AV968:AW$1003,2,FALSE)</f>
        <v>#N/A</v>
      </c>
      <c r="AO916" s="310" t="e">
        <f>VLOOKUP($AM916,PATRIMONIALE!$AV968:AX$1003,3,FALSE)</f>
        <v>#N/A</v>
      </c>
      <c r="AP916" s="310" t="e">
        <f>VLOOKUP($AM916,PATRIMONIALE!$AV968:AY$1003,4,FALSE)</f>
        <v>#N/A</v>
      </c>
      <c r="AQ916" s="748" t="e">
        <f>VLOOKUP($AM916,PATRIMONIALE!$AV968:AZ$1003,5,FALSE)</f>
        <v>#N/A</v>
      </c>
      <c r="AR916" s="1"/>
      <c r="AS916" s="461" t="str">
        <f t="shared" si="160"/>
        <v/>
      </c>
      <c r="AT916" s="370"/>
    </row>
    <row r="917" spans="1:46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435">
        <f>IF(AND(W917&gt;=$U$1,W917&lt;=$U$2),IF(X917='ESTRATTO CONTO'!$E$2,1+COUNTIF(U$4:U916,"&gt;0"),0),0)</f>
        <v>0</v>
      </c>
      <c r="V917" s="417">
        <f t="shared" si="161"/>
        <v>914</v>
      </c>
      <c r="W917" s="509"/>
      <c r="X917" s="321"/>
      <c r="Y917" s="321"/>
      <c r="Z917" s="433"/>
      <c r="AA917" s="356"/>
      <c r="AB917" s="306" t="str">
        <f t="shared" si="156"/>
        <v/>
      </c>
      <c r="AC917" s="893">
        <f t="shared" si="157"/>
        <v>0</v>
      </c>
      <c r="AD917" s="322"/>
      <c r="AE917" s="1"/>
      <c r="AF917" s="223">
        <f>IF(ISBLANK(AD917),0,COUNTIF(AF$4:AF916,"&gt;0")+1)</f>
        <v>0</v>
      </c>
      <c r="AG917" s="164">
        <f t="shared" si="163"/>
        <v>0</v>
      </c>
      <c r="AH917" s="99">
        <f t="shared" si="158"/>
        <v>0</v>
      </c>
      <c r="AI917" s="99">
        <f t="shared" si="164"/>
        <v>0</v>
      </c>
      <c r="AJ917" s="170">
        <f t="shared" si="165"/>
        <v>0</v>
      </c>
      <c r="AK917" s="204">
        <f t="shared" si="159"/>
        <v>0</v>
      </c>
      <c r="AL917" s="1049">
        <f>IF(ISERROR(AO917),0,IF(AND(AN917&gt;=$U$1,AN917&lt;=$U$2),IF(AO917='ESTRATTO CONTO'!$E$2,1+COUNTIF(AL$4:AL916,"&gt;0")+U$1009,0),0))</f>
        <v>0</v>
      </c>
      <c r="AM917" s="747">
        <f t="shared" si="162"/>
        <v>914</v>
      </c>
      <c r="AN917" s="164" t="e">
        <f>VLOOKUP($AM917,PATRIMONIALE!$AV969:AW$1003,2,FALSE)</f>
        <v>#N/A</v>
      </c>
      <c r="AO917" s="310" t="e">
        <f>VLOOKUP($AM917,PATRIMONIALE!$AV969:AX$1003,3,FALSE)</f>
        <v>#N/A</v>
      </c>
      <c r="AP917" s="310" t="e">
        <f>VLOOKUP($AM917,PATRIMONIALE!$AV969:AY$1003,4,FALSE)</f>
        <v>#N/A</v>
      </c>
      <c r="AQ917" s="748" t="e">
        <f>VLOOKUP($AM917,PATRIMONIALE!$AV969:AZ$1003,5,FALSE)</f>
        <v>#N/A</v>
      </c>
      <c r="AR917" s="1"/>
      <c r="AS917" s="461" t="str">
        <f t="shared" si="160"/>
        <v/>
      </c>
      <c r="AT917" s="370"/>
    </row>
    <row r="918" spans="1:46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435">
        <f>IF(AND(W918&gt;=$U$1,W918&lt;=$U$2),IF(X918='ESTRATTO CONTO'!$E$2,1+COUNTIF(U$4:U917,"&gt;0"),0),0)</f>
        <v>0</v>
      </c>
      <c r="V918" s="417">
        <f t="shared" si="161"/>
        <v>915</v>
      </c>
      <c r="W918" s="509"/>
      <c r="X918" s="321"/>
      <c r="Y918" s="321"/>
      <c r="Z918" s="433"/>
      <c r="AA918" s="356"/>
      <c r="AB918" s="306" t="str">
        <f t="shared" si="156"/>
        <v/>
      </c>
      <c r="AC918" s="893">
        <f t="shared" si="157"/>
        <v>0</v>
      </c>
      <c r="AD918" s="322"/>
      <c r="AE918" s="1"/>
      <c r="AF918" s="223">
        <f>IF(ISBLANK(AD918),0,COUNTIF(AF$4:AF917,"&gt;0")+1)</f>
        <v>0</v>
      </c>
      <c r="AG918" s="164">
        <f t="shared" si="163"/>
        <v>0</v>
      </c>
      <c r="AH918" s="99">
        <f t="shared" si="158"/>
        <v>0</v>
      </c>
      <c r="AI918" s="99">
        <f t="shared" si="164"/>
        <v>0</v>
      </c>
      <c r="AJ918" s="170">
        <f t="shared" si="165"/>
        <v>0</v>
      </c>
      <c r="AK918" s="204">
        <f t="shared" si="159"/>
        <v>0</v>
      </c>
      <c r="AL918" s="1049">
        <f>IF(ISERROR(AO918),0,IF(AND(AN918&gt;=$U$1,AN918&lt;=$U$2),IF(AO918='ESTRATTO CONTO'!$E$2,1+COUNTIF(AL$4:AL917,"&gt;0")+U$1009,0),0))</f>
        <v>0</v>
      </c>
      <c r="AM918" s="747">
        <f t="shared" si="162"/>
        <v>915</v>
      </c>
      <c r="AN918" s="164" t="e">
        <f>VLOOKUP($AM918,PATRIMONIALE!$AV970:AW$1003,2,FALSE)</f>
        <v>#N/A</v>
      </c>
      <c r="AO918" s="310" t="e">
        <f>VLOOKUP($AM918,PATRIMONIALE!$AV970:AX$1003,3,FALSE)</f>
        <v>#N/A</v>
      </c>
      <c r="AP918" s="310" t="e">
        <f>VLOOKUP($AM918,PATRIMONIALE!$AV970:AY$1003,4,FALSE)</f>
        <v>#N/A</v>
      </c>
      <c r="AQ918" s="748" t="e">
        <f>VLOOKUP($AM918,PATRIMONIALE!$AV970:AZ$1003,5,FALSE)</f>
        <v>#N/A</v>
      </c>
      <c r="AR918" s="1"/>
      <c r="AS918" s="461" t="str">
        <f t="shared" si="160"/>
        <v/>
      </c>
      <c r="AT918" s="370"/>
    </row>
    <row r="919" spans="1:46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435">
        <f>IF(AND(W919&gt;=$U$1,W919&lt;=$U$2),IF(X919='ESTRATTO CONTO'!$E$2,1+COUNTIF(U$4:U918,"&gt;0"),0),0)</f>
        <v>0</v>
      </c>
      <c r="V919" s="417">
        <f t="shared" si="161"/>
        <v>916</v>
      </c>
      <c r="W919" s="509"/>
      <c r="X919" s="321"/>
      <c r="Y919" s="321"/>
      <c r="Z919" s="433"/>
      <c r="AA919" s="356"/>
      <c r="AB919" s="306" t="str">
        <f t="shared" si="156"/>
        <v/>
      </c>
      <c r="AC919" s="893">
        <f t="shared" si="157"/>
        <v>0</v>
      </c>
      <c r="AD919" s="322"/>
      <c r="AE919" s="1"/>
      <c r="AF919" s="223">
        <f>IF(ISBLANK(AD919),0,COUNTIF(AF$4:AF918,"&gt;0")+1)</f>
        <v>0</v>
      </c>
      <c r="AG919" s="164">
        <f t="shared" si="163"/>
        <v>0</v>
      </c>
      <c r="AH919" s="99">
        <f t="shared" si="158"/>
        <v>0</v>
      </c>
      <c r="AI919" s="99">
        <f t="shared" si="164"/>
        <v>0</v>
      </c>
      <c r="AJ919" s="170">
        <f t="shared" si="165"/>
        <v>0</v>
      </c>
      <c r="AK919" s="204">
        <f t="shared" si="159"/>
        <v>0</v>
      </c>
      <c r="AL919" s="1049">
        <f>IF(ISERROR(AO919),0,IF(AND(AN919&gt;=$U$1,AN919&lt;=$U$2),IF(AO919='ESTRATTO CONTO'!$E$2,1+COUNTIF(AL$4:AL918,"&gt;0")+U$1009,0),0))</f>
        <v>0</v>
      </c>
      <c r="AM919" s="747">
        <f t="shared" si="162"/>
        <v>916</v>
      </c>
      <c r="AN919" s="164" t="e">
        <f>VLOOKUP($AM919,PATRIMONIALE!$AV971:AW$1003,2,FALSE)</f>
        <v>#N/A</v>
      </c>
      <c r="AO919" s="310" t="e">
        <f>VLOOKUP($AM919,PATRIMONIALE!$AV971:AX$1003,3,FALSE)</f>
        <v>#N/A</v>
      </c>
      <c r="AP919" s="310" t="e">
        <f>VLOOKUP($AM919,PATRIMONIALE!$AV971:AY$1003,4,FALSE)</f>
        <v>#N/A</v>
      </c>
      <c r="AQ919" s="748" t="e">
        <f>VLOOKUP($AM919,PATRIMONIALE!$AV971:AZ$1003,5,FALSE)</f>
        <v>#N/A</v>
      </c>
      <c r="AR919" s="1"/>
      <c r="AS919" s="461" t="str">
        <f t="shared" si="160"/>
        <v/>
      </c>
      <c r="AT919" s="370"/>
    </row>
    <row r="920" spans="1:46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435">
        <f>IF(AND(W920&gt;=$U$1,W920&lt;=$U$2),IF(X920='ESTRATTO CONTO'!$E$2,1+COUNTIF(U$4:U919,"&gt;0"),0),0)</f>
        <v>0</v>
      </c>
      <c r="V920" s="417">
        <f t="shared" si="161"/>
        <v>917</v>
      </c>
      <c r="W920" s="509"/>
      <c r="X920" s="321"/>
      <c r="Y920" s="321"/>
      <c r="Z920" s="433"/>
      <c r="AA920" s="356"/>
      <c r="AB920" s="306" t="str">
        <f t="shared" si="156"/>
        <v/>
      </c>
      <c r="AC920" s="893">
        <f t="shared" si="157"/>
        <v>0</v>
      </c>
      <c r="AD920" s="322"/>
      <c r="AE920" s="1"/>
      <c r="AF920" s="223">
        <f>IF(ISBLANK(AD920),0,COUNTIF(AF$4:AF919,"&gt;0")+1)</f>
        <v>0</v>
      </c>
      <c r="AG920" s="164">
        <f t="shared" si="163"/>
        <v>0</v>
      </c>
      <c r="AH920" s="99">
        <f t="shared" si="158"/>
        <v>0</v>
      </c>
      <c r="AI920" s="99">
        <f t="shared" si="164"/>
        <v>0</v>
      </c>
      <c r="AJ920" s="170">
        <f t="shared" si="165"/>
        <v>0</v>
      </c>
      <c r="AK920" s="204">
        <f t="shared" si="159"/>
        <v>0</v>
      </c>
      <c r="AL920" s="1049">
        <f>IF(ISERROR(AO920),0,IF(AND(AN920&gt;=$U$1,AN920&lt;=$U$2),IF(AO920='ESTRATTO CONTO'!$E$2,1+COUNTIF(AL$4:AL919,"&gt;0")+U$1009,0),0))</f>
        <v>0</v>
      </c>
      <c r="AM920" s="747">
        <f t="shared" si="162"/>
        <v>917</v>
      </c>
      <c r="AN920" s="164" t="e">
        <f>VLOOKUP($AM920,PATRIMONIALE!$AV972:AW$1003,2,FALSE)</f>
        <v>#N/A</v>
      </c>
      <c r="AO920" s="310" t="e">
        <f>VLOOKUP($AM920,PATRIMONIALE!$AV972:AX$1003,3,FALSE)</f>
        <v>#N/A</v>
      </c>
      <c r="AP920" s="310" t="e">
        <f>VLOOKUP($AM920,PATRIMONIALE!$AV972:AY$1003,4,FALSE)</f>
        <v>#N/A</v>
      </c>
      <c r="AQ920" s="748" t="e">
        <f>VLOOKUP($AM920,PATRIMONIALE!$AV972:AZ$1003,5,FALSE)</f>
        <v>#N/A</v>
      </c>
      <c r="AR920" s="1"/>
      <c r="AS920" s="461" t="str">
        <f t="shared" si="160"/>
        <v/>
      </c>
      <c r="AT920" s="370"/>
    </row>
    <row r="921" spans="1:46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435">
        <f>IF(AND(W921&gt;=$U$1,W921&lt;=$U$2),IF(X921='ESTRATTO CONTO'!$E$2,1+COUNTIF(U$4:U920,"&gt;0"),0),0)</f>
        <v>0</v>
      </c>
      <c r="V921" s="417">
        <f t="shared" si="161"/>
        <v>918</v>
      </c>
      <c r="W921" s="509"/>
      <c r="X921" s="321"/>
      <c r="Y921" s="321"/>
      <c r="Z921" s="433"/>
      <c r="AA921" s="356"/>
      <c r="AB921" s="306" t="str">
        <f t="shared" si="156"/>
        <v/>
      </c>
      <c r="AC921" s="893">
        <f t="shared" si="157"/>
        <v>0</v>
      </c>
      <c r="AD921" s="322"/>
      <c r="AE921" s="1"/>
      <c r="AF921" s="223">
        <f>IF(ISBLANK(AD921),0,COUNTIF(AF$4:AF920,"&gt;0")+1)</f>
        <v>0</v>
      </c>
      <c r="AG921" s="164">
        <f t="shared" si="163"/>
        <v>0</v>
      </c>
      <c r="AH921" s="99">
        <f t="shared" si="158"/>
        <v>0</v>
      </c>
      <c r="AI921" s="99">
        <f t="shared" si="164"/>
        <v>0</v>
      </c>
      <c r="AJ921" s="170">
        <f t="shared" si="165"/>
        <v>0</v>
      </c>
      <c r="AK921" s="204">
        <f t="shared" si="159"/>
        <v>0</v>
      </c>
      <c r="AL921" s="1049">
        <f>IF(ISERROR(AO921),0,IF(AND(AN921&gt;=$U$1,AN921&lt;=$U$2),IF(AO921='ESTRATTO CONTO'!$E$2,1+COUNTIF(AL$4:AL920,"&gt;0")+U$1009,0),0))</f>
        <v>0</v>
      </c>
      <c r="AM921" s="747">
        <f t="shared" si="162"/>
        <v>918</v>
      </c>
      <c r="AN921" s="164" t="e">
        <f>VLOOKUP($AM921,PATRIMONIALE!$AV973:AW$1003,2,FALSE)</f>
        <v>#N/A</v>
      </c>
      <c r="AO921" s="310" t="e">
        <f>VLOOKUP($AM921,PATRIMONIALE!$AV973:AX$1003,3,FALSE)</f>
        <v>#N/A</v>
      </c>
      <c r="AP921" s="310" t="e">
        <f>VLOOKUP($AM921,PATRIMONIALE!$AV973:AY$1003,4,FALSE)</f>
        <v>#N/A</v>
      </c>
      <c r="AQ921" s="748" t="e">
        <f>VLOOKUP($AM921,PATRIMONIALE!$AV973:AZ$1003,5,FALSE)</f>
        <v>#N/A</v>
      </c>
      <c r="AR921" s="1"/>
      <c r="AS921" s="461" t="str">
        <f t="shared" si="160"/>
        <v/>
      </c>
      <c r="AT921" s="370"/>
    </row>
    <row r="922" spans="1:46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435">
        <f>IF(AND(W922&gt;=$U$1,W922&lt;=$U$2),IF(X922='ESTRATTO CONTO'!$E$2,1+COUNTIF(U$4:U921,"&gt;0"),0),0)</f>
        <v>0</v>
      </c>
      <c r="V922" s="417">
        <f t="shared" si="161"/>
        <v>919</v>
      </c>
      <c r="W922" s="509"/>
      <c r="X922" s="321"/>
      <c r="Y922" s="321"/>
      <c r="Z922" s="433"/>
      <c r="AA922" s="356"/>
      <c r="AB922" s="306" t="str">
        <f t="shared" si="156"/>
        <v/>
      </c>
      <c r="AC922" s="893">
        <f t="shared" si="157"/>
        <v>0</v>
      </c>
      <c r="AD922" s="322"/>
      <c r="AE922" s="1"/>
      <c r="AF922" s="223">
        <f>IF(ISBLANK(AD922),0,COUNTIF(AF$4:AF921,"&gt;0")+1)</f>
        <v>0</v>
      </c>
      <c r="AG922" s="164">
        <f t="shared" si="163"/>
        <v>0</v>
      </c>
      <c r="AH922" s="99">
        <f t="shared" si="158"/>
        <v>0</v>
      </c>
      <c r="AI922" s="99">
        <f t="shared" si="164"/>
        <v>0</v>
      </c>
      <c r="AJ922" s="170">
        <f t="shared" si="165"/>
        <v>0</v>
      </c>
      <c r="AK922" s="204">
        <f t="shared" si="159"/>
        <v>0</v>
      </c>
      <c r="AL922" s="1049">
        <f>IF(ISERROR(AO922),0,IF(AND(AN922&gt;=$U$1,AN922&lt;=$U$2),IF(AO922='ESTRATTO CONTO'!$E$2,1+COUNTIF(AL$4:AL921,"&gt;0")+U$1009,0),0))</f>
        <v>0</v>
      </c>
      <c r="AM922" s="747">
        <f t="shared" si="162"/>
        <v>919</v>
      </c>
      <c r="AN922" s="164" t="e">
        <f>VLOOKUP($AM922,PATRIMONIALE!$AV974:AW$1003,2,FALSE)</f>
        <v>#N/A</v>
      </c>
      <c r="AO922" s="310" t="e">
        <f>VLOOKUP($AM922,PATRIMONIALE!$AV974:AX$1003,3,FALSE)</f>
        <v>#N/A</v>
      </c>
      <c r="AP922" s="310" t="e">
        <f>VLOOKUP($AM922,PATRIMONIALE!$AV974:AY$1003,4,FALSE)</f>
        <v>#N/A</v>
      </c>
      <c r="AQ922" s="748" t="e">
        <f>VLOOKUP($AM922,PATRIMONIALE!$AV974:AZ$1003,5,FALSE)</f>
        <v>#N/A</v>
      </c>
      <c r="AR922" s="1"/>
      <c r="AS922" s="461" t="str">
        <f t="shared" si="160"/>
        <v/>
      </c>
      <c r="AT922" s="370"/>
    </row>
    <row r="923" spans="1:46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435">
        <f>IF(AND(W923&gt;=$U$1,W923&lt;=$U$2),IF(X923='ESTRATTO CONTO'!$E$2,1+COUNTIF(U$4:U922,"&gt;0"),0),0)</f>
        <v>0</v>
      </c>
      <c r="V923" s="417">
        <f t="shared" si="161"/>
        <v>920</v>
      </c>
      <c r="W923" s="509"/>
      <c r="X923" s="321"/>
      <c r="Y923" s="321"/>
      <c r="Z923" s="433"/>
      <c r="AA923" s="356"/>
      <c r="AB923" s="306" t="str">
        <f t="shared" si="156"/>
        <v/>
      </c>
      <c r="AC923" s="893">
        <f t="shared" si="157"/>
        <v>0</v>
      </c>
      <c r="AD923" s="322"/>
      <c r="AE923" s="1"/>
      <c r="AF923" s="223">
        <f>IF(ISBLANK(AD923),0,COUNTIF(AF$4:AF922,"&gt;0")+1)</f>
        <v>0</v>
      </c>
      <c r="AG923" s="164">
        <f t="shared" si="163"/>
        <v>0</v>
      </c>
      <c r="AH923" s="99">
        <f t="shared" si="158"/>
        <v>0</v>
      </c>
      <c r="AI923" s="99">
        <f t="shared" si="164"/>
        <v>0</v>
      </c>
      <c r="AJ923" s="170">
        <f t="shared" si="165"/>
        <v>0</v>
      </c>
      <c r="AK923" s="204">
        <f t="shared" si="159"/>
        <v>0</v>
      </c>
      <c r="AL923" s="1049">
        <f>IF(ISERROR(AO923),0,IF(AND(AN923&gt;=$U$1,AN923&lt;=$U$2),IF(AO923='ESTRATTO CONTO'!$E$2,1+COUNTIF(AL$4:AL922,"&gt;0")+U$1009,0),0))</f>
        <v>0</v>
      </c>
      <c r="AM923" s="747">
        <f t="shared" si="162"/>
        <v>920</v>
      </c>
      <c r="AN923" s="164" t="e">
        <f>VLOOKUP($AM923,PATRIMONIALE!$AV975:AW$1003,2,FALSE)</f>
        <v>#N/A</v>
      </c>
      <c r="AO923" s="310" t="e">
        <f>VLOOKUP($AM923,PATRIMONIALE!$AV975:AX$1003,3,FALSE)</f>
        <v>#N/A</v>
      </c>
      <c r="AP923" s="310" t="e">
        <f>VLOOKUP($AM923,PATRIMONIALE!$AV975:AY$1003,4,FALSE)</f>
        <v>#N/A</v>
      </c>
      <c r="AQ923" s="748" t="e">
        <f>VLOOKUP($AM923,PATRIMONIALE!$AV975:AZ$1003,5,FALSE)</f>
        <v>#N/A</v>
      </c>
      <c r="AR923" s="1"/>
      <c r="AS923" s="461" t="str">
        <f t="shared" si="160"/>
        <v/>
      </c>
      <c r="AT923" s="370"/>
    </row>
    <row r="924" spans="1:46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435">
        <f>IF(AND(W924&gt;=$U$1,W924&lt;=$U$2),IF(X924='ESTRATTO CONTO'!$E$2,1+COUNTIF(U$4:U923,"&gt;0"),0),0)</f>
        <v>0</v>
      </c>
      <c r="V924" s="417">
        <f t="shared" si="161"/>
        <v>921</v>
      </c>
      <c r="W924" s="509"/>
      <c r="X924" s="321"/>
      <c r="Y924" s="321"/>
      <c r="Z924" s="433"/>
      <c r="AA924" s="356"/>
      <c r="AB924" s="306" t="str">
        <f t="shared" si="156"/>
        <v/>
      </c>
      <c r="AC924" s="893">
        <f t="shared" si="157"/>
        <v>0</v>
      </c>
      <c r="AD924" s="322"/>
      <c r="AE924" s="1"/>
      <c r="AF924" s="223">
        <f>IF(ISBLANK(AD924),0,COUNTIF(AF$4:AF923,"&gt;0")+1)</f>
        <v>0</v>
      </c>
      <c r="AG924" s="164">
        <f t="shared" si="163"/>
        <v>0</v>
      </c>
      <c r="AH924" s="99">
        <f t="shared" si="158"/>
        <v>0</v>
      </c>
      <c r="AI924" s="99">
        <f t="shared" si="164"/>
        <v>0</v>
      </c>
      <c r="AJ924" s="170">
        <f t="shared" si="165"/>
        <v>0</v>
      </c>
      <c r="AK924" s="204">
        <f t="shared" si="159"/>
        <v>0</v>
      </c>
      <c r="AL924" s="1049">
        <f>IF(ISERROR(AO924),0,IF(AND(AN924&gt;=$U$1,AN924&lt;=$U$2),IF(AO924='ESTRATTO CONTO'!$E$2,1+COUNTIF(AL$4:AL923,"&gt;0")+U$1009,0),0))</f>
        <v>0</v>
      </c>
      <c r="AM924" s="747">
        <f t="shared" si="162"/>
        <v>921</v>
      </c>
      <c r="AN924" s="164" t="e">
        <f>VLOOKUP($AM924,PATRIMONIALE!$AV976:AW$1003,2,FALSE)</f>
        <v>#N/A</v>
      </c>
      <c r="AO924" s="310" t="e">
        <f>VLOOKUP($AM924,PATRIMONIALE!$AV976:AX$1003,3,FALSE)</f>
        <v>#N/A</v>
      </c>
      <c r="AP924" s="310" t="e">
        <f>VLOOKUP($AM924,PATRIMONIALE!$AV976:AY$1003,4,FALSE)</f>
        <v>#N/A</v>
      </c>
      <c r="AQ924" s="748" t="e">
        <f>VLOOKUP($AM924,PATRIMONIALE!$AV976:AZ$1003,5,FALSE)</f>
        <v>#N/A</v>
      </c>
      <c r="AR924" s="1"/>
      <c r="AS924" s="461" t="str">
        <f t="shared" si="160"/>
        <v/>
      </c>
      <c r="AT924" s="370"/>
    </row>
    <row r="925" spans="1:46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435">
        <f>IF(AND(W925&gt;=$U$1,W925&lt;=$U$2),IF(X925='ESTRATTO CONTO'!$E$2,1+COUNTIF(U$4:U924,"&gt;0"),0),0)</f>
        <v>0</v>
      </c>
      <c r="V925" s="417">
        <f t="shared" si="161"/>
        <v>922</v>
      </c>
      <c r="W925" s="509"/>
      <c r="X925" s="321"/>
      <c r="Y925" s="321"/>
      <c r="Z925" s="433"/>
      <c r="AA925" s="356"/>
      <c r="AB925" s="306" t="str">
        <f t="shared" si="156"/>
        <v/>
      </c>
      <c r="AC925" s="893">
        <f t="shared" si="157"/>
        <v>0</v>
      </c>
      <c r="AD925" s="322"/>
      <c r="AE925" s="1"/>
      <c r="AF925" s="223">
        <f>IF(ISBLANK(AD925),0,COUNTIF(AF$4:AF924,"&gt;0")+1)</f>
        <v>0</v>
      </c>
      <c r="AG925" s="164">
        <f t="shared" si="163"/>
        <v>0</v>
      </c>
      <c r="AH925" s="99">
        <f t="shared" si="158"/>
        <v>0</v>
      </c>
      <c r="AI925" s="99">
        <f t="shared" si="164"/>
        <v>0</v>
      </c>
      <c r="AJ925" s="170">
        <f t="shared" si="165"/>
        <v>0</v>
      </c>
      <c r="AK925" s="204">
        <f t="shared" si="159"/>
        <v>0</v>
      </c>
      <c r="AL925" s="1049">
        <f>IF(ISERROR(AO925),0,IF(AND(AN925&gt;=$U$1,AN925&lt;=$U$2),IF(AO925='ESTRATTO CONTO'!$E$2,1+COUNTIF(AL$4:AL924,"&gt;0")+U$1009,0),0))</f>
        <v>0</v>
      </c>
      <c r="AM925" s="747">
        <f t="shared" si="162"/>
        <v>922</v>
      </c>
      <c r="AN925" s="164" t="e">
        <f>VLOOKUP($AM925,PATRIMONIALE!$AV977:AW$1003,2,FALSE)</f>
        <v>#N/A</v>
      </c>
      <c r="AO925" s="310" t="e">
        <f>VLOOKUP($AM925,PATRIMONIALE!$AV977:AX$1003,3,FALSE)</f>
        <v>#N/A</v>
      </c>
      <c r="AP925" s="310" t="e">
        <f>VLOOKUP($AM925,PATRIMONIALE!$AV977:AY$1003,4,FALSE)</f>
        <v>#N/A</v>
      </c>
      <c r="AQ925" s="748" t="e">
        <f>VLOOKUP($AM925,PATRIMONIALE!$AV977:AZ$1003,5,FALSE)</f>
        <v>#N/A</v>
      </c>
      <c r="AR925" s="1"/>
      <c r="AS925" s="461" t="str">
        <f t="shared" si="160"/>
        <v/>
      </c>
      <c r="AT925" s="370"/>
    </row>
    <row r="926" spans="1:46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435">
        <f>IF(AND(W926&gt;=$U$1,W926&lt;=$U$2),IF(X926='ESTRATTO CONTO'!$E$2,1+COUNTIF(U$4:U925,"&gt;0"),0),0)</f>
        <v>0</v>
      </c>
      <c r="V926" s="417">
        <f t="shared" si="161"/>
        <v>923</v>
      </c>
      <c r="W926" s="509"/>
      <c r="X926" s="321"/>
      <c r="Y926" s="321"/>
      <c r="Z926" s="433"/>
      <c r="AA926" s="356"/>
      <c r="AB926" s="306" t="str">
        <f t="shared" si="156"/>
        <v/>
      </c>
      <c r="AC926" s="893">
        <f t="shared" si="157"/>
        <v>0</v>
      </c>
      <c r="AD926" s="322"/>
      <c r="AE926" s="1"/>
      <c r="AF926" s="223">
        <f>IF(ISBLANK(AD926),0,COUNTIF(AF$4:AF925,"&gt;0")+1)</f>
        <v>0</v>
      </c>
      <c r="AG926" s="164">
        <f t="shared" si="163"/>
        <v>0</v>
      </c>
      <c r="AH926" s="99">
        <f t="shared" si="158"/>
        <v>0</v>
      </c>
      <c r="AI926" s="99">
        <f t="shared" si="164"/>
        <v>0</v>
      </c>
      <c r="AJ926" s="170">
        <f t="shared" si="165"/>
        <v>0</v>
      </c>
      <c r="AK926" s="204">
        <f t="shared" si="159"/>
        <v>0</v>
      </c>
      <c r="AL926" s="1049">
        <f>IF(ISERROR(AO926),0,IF(AND(AN926&gt;=$U$1,AN926&lt;=$U$2),IF(AO926='ESTRATTO CONTO'!$E$2,1+COUNTIF(AL$4:AL925,"&gt;0")+U$1009,0),0))</f>
        <v>0</v>
      </c>
      <c r="AM926" s="747">
        <f t="shared" si="162"/>
        <v>923</v>
      </c>
      <c r="AN926" s="164" t="e">
        <f>VLOOKUP($AM926,PATRIMONIALE!$AV978:AW$1003,2,FALSE)</f>
        <v>#N/A</v>
      </c>
      <c r="AO926" s="310" t="e">
        <f>VLOOKUP($AM926,PATRIMONIALE!$AV978:AX$1003,3,FALSE)</f>
        <v>#N/A</v>
      </c>
      <c r="AP926" s="310" t="e">
        <f>VLOOKUP($AM926,PATRIMONIALE!$AV978:AY$1003,4,FALSE)</f>
        <v>#N/A</v>
      </c>
      <c r="AQ926" s="748" t="e">
        <f>VLOOKUP($AM926,PATRIMONIALE!$AV978:AZ$1003,5,FALSE)</f>
        <v>#N/A</v>
      </c>
      <c r="AR926" s="1"/>
      <c r="AS926" s="461" t="str">
        <f t="shared" si="160"/>
        <v/>
      </c>
      <c r="AT926" s="370"/>
    </row>
    <row r="927" spans="1:46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435">
        <f>IF(AND(W927&gt;=$U$1,W927&lt;=$U$2),IF(X927='ESTRATTO CONTO'!$E$2,1+COUNTIF(U$4:U926,"&gt;0"),0),0)</f>
        <v>0</v>
      </c>
      <c r="V927" s="417">
        <f t="shared" si="161"/>
        <v>924</v>
      </c>
      <c r="W927" s="509"/>
      <c r="X927" s="321"/>
      <c r="Y927" s="321"/>
      <c r="Z927" s="433"/>
      <c r="AA927" s="356"/>
      <c r="AB927" s="306" t="str">
        <f t="shared" si="156"/>
        <v/>
      </c>
      <c r="AC927" s="893">
        <f t="shared" si="157"/>
        <v>0</v>
      </c>
      <c r="AD927" s="322"/>
      <c r="AE927" s="1"/>
      <c r="AF927" s="223">
        <f>IF(ISBLANK(AD927),0,COUNTIF(AF$4:AF926,"&gt;0")+1)</f>
        <v>0</v>
      </c>
      <c r="AG927" s="164">
        <f t="shared" si="163"/>
        <v>0</v>
      </c>
      <c r="AH927" s="99">
        <f t="shared" si="158"/>
        <v>0</v>
      </c>
      <c r="AI927" s="99">
        <f t="shared" si="164"/>
        <v>0</v>
      </c>
      <c r="AJ927" s="170">
        <f t="shared" si="165"/>
        <v>0</v>
      </c>
      <c r="AK927" s="204">
        <f t="shared" si="159"/>
        <v>0</v>
      </c>
      <c r="AL927" s="1049">
        <f>IF(ISERROR(AO927),0,IF(AND(AN927&gt;=$U$1,AN927&lt;=$U$2),IF(AO927='ESTRATTO CONTO'!$E$2,1+COUNTIF(AL$4:AL926,"&gt;0")+U$1009,0),0))</f>
        <v>0</v>
      </c>
      <c r="AM927" s="747">
        <f t="shared" si="162"/>
        <v>924</v>
      </c>
      <c r="AN927" s="164" t="e">
        <f>VLOOKUP($AM927,PATRIMONIALE!$AV979:AW$1003,2,FALSE)</f>
        <v>#N/A</v>
      </c>
      <c r="AO927" s="310" t="e">
        <f>VLOOKUP($AM927,PATRIMONIALE!$AV979:AX$1003,3,FALSE)</f>
        <v>#N/A</v>
      </c>
      <c r="AP927" s="310" t="e">
        <f>VLOOKUP($AM927,PATRIMONIALE!$AV979:AY$1003,4,FALSE)</f>
        <v>#N/A</v>
      </c>
      <c r="AQ927" s="748" t="e">
        <f>VLOOKUP($AM927,PATRIMONIALE!$AV979:AZ$1003,5,FALSE)</f>
        <v>#N/A</v>
      </c>
      <c r="AR927" s="1"/>
      <c r="AS927" s="461" t="str">
        <f t="shared" si="160"/>
        <v/>
      </c>
      <c r="AT927" s="370"/>
    </row>
    <row r="928" spans="1:46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435">
        <f>IF(AND(W928&gt;=$U$1,W928&lt;=$U$2),IF(X928='ESTRATTO CONTO'!$E$2,1+COUNTIF(U$4:U927,"&gt;0"),0),0)</f>
        <v>0</v>
      </c>
      <c r="V928" s="417">
        <f t="shared" si="161"/>
        <v>925</v>
      </c>
      <c r="W928" s="509"/>
      <c r="X928" s="321"/>
      <c r="Y928" s="321"/>
      <c r="Z928" s="433"/>
      <c r="AA928" s="356"/>
      <c r="AB928" s="306" t="str">
        <f t="shared" si="156"/>
        <v/>
      </c>
      <c r="AC928" s="893">
        <f t="shared" si="157"/>
        <v>0</v>
      </c>
      <c r="AD928" s="322"/>
      <c r="AE928" s="1"/>
      <c r="AF928" s="223">
        <f>IF(ISBLANK(AD928),0,COUNTIF(AF$4:AF927,"&gt;0")+1)</f>
        <v>0</v>
      </c>
      <c r="AG928" s="164">
        <f t="shared" si="163"/>
        <v>0</v>
      </c>
      <c r="AH928" s="99">
        <f t="shared" si="158"/>
        <v>0</v>
      </c>
      <c r="AI928" s="99">
        <f t="shared" si="164"/>
        <v>0</v>
      </c>
      <c r="AJ928" s="170">
        <f t="shared" si="165"/>
        <v>0</v>
      </c>
      <c r="AK928" s="204">
        <f t="shared" si="159"/>
        <v>0</v>
      </c>
      <c r="AL928" s="1049">
        <f>IF(ISERROR(AO928),0,IF(AND(AN928&gt;=$U$1,AN928&lt;=$U$2),IF(AO928='ESTRATTO CONTO'!$E$2,1+COUNTIF(AL$4:AL927,"&gt;0")+U$1009,0),0))</f>
        <v>0</v>
      </c>
      <c r="AM928" s="747">
        <f t="shared" si="162"/>
        <v>925</v>
      </c>
      <c r="AN928" s="164" t="e">
        <f>VLOOKUP($AM928,PATRIMONIALE!$AV980:AW$1003,2,FALSE)</f>
        <v>#N/A</v>
      </c>
      <c r="AO928" s="310" t="e">
        <f>VLOOKUP($AM928,PATRIMONIALE!$AV980:AX$1003,3,FALSE)</f>
        <v>#N/A</v>
      </c>
      <c r="AP928" s="310" t="e">
        <f>VLOOKUP($AM928,PATRIMONIALE!$AV980:AY$1003,4,FALSE)</f>
        <v>#N/A</v>
      </c>
      <c r="AQ928" s="748" t="e">
        <f>VLOOKUP($AM928,PATRIMONIALE!$AV980:AZ$1003,5,FALSE)</f>
        <v>#N/A</v>
      </c>
      <c r="AR928" s="1"/>
      <c r="AS928" s="461" t="str">
        <f t="shared" si="160"/>
        <v/>
      </c>
      <c r="AT928" s="370"/>
    </row>
    <row r="929" spans="1:46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435">
        <f>IF(AND(W929&gt;=$U$1,W929&lt;=$U$2),IF(X929='ESTRATTO CONTO'!$E$2,1+COUNTIF(U$4:U928,"&gt;0"),0),0)</f>
        <v>0</v>
      </c>
      <c r="V929" s="417">
        <f t="shared" si="161"/>
        <v>926</v>
      </c>
      <c r="W929" s="509"/>
      <c r="X929" s="321"/>
      <c r="Y929" s="321"/>
      <c r="Z929" s="433"/>
      <c r="AA929" s="356"/>
      <c r="AB929" s="306" t="str">
        <f t="shared" si="156"/>
        <v/>
      </c>
      <c r="AC929" s="893">
        <f t="shared" si="157"/>
        <v>0</v>
      </c>
      <c r="AD929" s="322"/>
      <c r="AE929" s="1"/>
      <c r="AF929" s="223">
        <f>IF(ISBLANK(AD929),0,COUNTIF(AF$4:AF928,"&gt;0")+1)</f>
        <v>0</v>
      </c>
      <c r="AG929" s="164">
        <f t="shared" si="163"/>
        <v>0</v>
      </c>
      <c r="AH929" s="99">
        <f t="shared" si="158"/>
        <v>0</v>
      </c>
      <c r="AI929" s="99">
        <f t="shared" si="164"/>
        <v>0</v>
      </c>
      <c r="AJ929" s="170">
        <f t="shared" si="165"/>
        <v>0</v>
      </c>
      <c r="AK929" s="204">
        <f t="shared" si="159"/>
        <v>0</v>
      </c>
      <c r="AL929" s="1049">
        <f>IF(ISERROR(AO929),0,IF(AND(AN929&gt;=$U$1,AN929&lt;=$U$2),IF(AO929='ESTRATTO CONTO'!$E$2,1+COUNTIF(AL$4:AL928,"&gt;0")+U$1009,0),0))</f>
        <v>0</v>
      </c>
      <c r="AM929" s="747">
        <f t="shared" si="162"/>
        <v>926</v>
      </c>
      <c r="AN929" s="164" t="e">
        <f>VLOOKUP($AM929,PATRIMONIALE!$AV981:AW$1003,2,FALSE)</f>
        <v>#N/A</v>
      </c>
      <c r="AO929" s="310" t="e">
        <f>VLOOKUP($AM929,PATRIMONIALE!$AV981:AX$1003,3,FALSE)</f>
        <v>#N/A</v>
      </c>
      <c r="AP929" s="310" t="e">
        <f>VLOOKUP($AM929,PATRIMONIALE!$AV981:AY$1003,4,FALSE)</f>
        <v>#N/A</v>
      </c>
      <c r="AQ929" s="748" t="e">
        <f>VLOOKUP($AM929,PATRIMONIALE!$AV981:AZ$1003,5,FALSE)</f>
        <v>#N/A</v>
      </c>
      <c r="AR929" s="1"/>
      <c r="AS929" s="461" t="str">
        <f t="shared" si="160"/>
        <v/>
      </c>
      <c r="AT929" s="370"/>
    </row>
    <row r="930" spans="1:46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435">
        <f>IF(AND(W930&gt;=$U$1,W930&lt;=$U$2),IF(X930='ESTRATTO CONTO'!$E$2,1+COUNTIF(U$4:U929,"&gt;0"),0),0)</f>
        <v>0</v>
      </c>
      <c r="V930" s="417">
        <f t="shared" si="161"/>
        <v>927</v>
      </c>
      <c r="W930" s="509"/>
      <c r="X930" s="321"/>
      <c r="Y930" s="321"/>
      <c r="Z930" s="433"/>
      <c r="AA930" s="356"/>
      <c r="AB930" s="306" t="str">
        <f t="shared" si="156"/>
        <v/>
      </c>
      <c r="AC930" s="893">
        <f t="shared" si="157"/>
        <v>0</v>
      </c>
      <c r="AD930" s="322"/>
      <c r="AE930" s="1"/>
      <c r="AF930" s="223">
        <f>IF(ISBLANK(AD930),0,COUNTIF(AF$4:AF929,"&gt;0")+1)</f>
        <v>0</v>
      </c>
      <c r="AG930" s="164">
        <f t="shared" si="163"/>
        <v>0</v>
      </c>
      <c r="AH930" s="99">
        <f t="shared" si="158"/>
        <v>0</v>
      </c>
      <c r="AI930" s="99">
        <f t="shared" si="164"/>
        <v>0</v>
      </c>
      <c r="AJ930" s="170">
        <f t="shared" si="165"/>
        <v>0</v>
      </c>
      <c r="AK930" s="204">
        <f t="shared" si="159"/>
        <v>0</v>
      </c>
      <c r="AL930" s="1049">
        <f>IF(ISERROR(AO930),0,IF(AND(AN930&gt;=$U$1,AN930&lt;=$U$2),IF(AO930='ESTRATTO CONTO'!$E$2,1+COUNTIF(AL$4:AL929,"&gt;0")+U$1009,0),0))</f>
        <v>0</v>
      </c>
      <c r="AM930" s="747">
        <f t="shared" si="162"/>
        <v>927</v>
      </c>
      <c r="AN930" s="164" t="e">
        <f>VLOOKUP($AM930,PATRIMONIALE!$AV982:AW$1003,2,FALSE)</f>
        <v>#N/A</v>
      </c>
      <c r="AO930" s="310" t="e">
        <f>VLOOKUP($AM930,PATRIMONIALE!$AV982:AX$1003,3,FALSE)</f>
        <v>#N/A</v>
      </c>
      <c r="AP930" s="310" t="e">
        <f>VLOOKUP($AM930,PATRIMONIALE!$AV982:AY$1003,4,FALSE)</f>
        <v>#N/A</v>
      </c>
      <c r="AQ930" s="748" t="e">
        <f>VLOOKUP($AM930,PATRIMONIALE!$AV982:AZ$1003,5,FALSE)</f>
        <v>#N/A</v>
      </c>
      <c r="AR930" s="1"/>
      <c r="AS930" s="461" t="str">
        <f t="shared" si="160"/>
        <v/>
      </c>
      <c r="AT930" s="370"/>
    </row>
    <row r="931" spans="1:46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435">
        <f>IF(AND(W931&gt;=$U$1,W931&lt;=$U$2),IF(X931='ESTRATTO CONTO'!$E$2,1+COUNTIF(U$4:U930,"&gt;0"),0),0)</f>
        <v>0</v>
      </c>
      <c r="V931" s="417">
        <f t="shared" si="161"/>
        <v>928</v>
      </c>
      <c r="W931" s="509"/>
      <c r="X931" s="321"/>
      <c r="Y931" s="321"/>
      <c r="Z931" s="433"/>
      <c r="AA931" s="356"/>
      <c r="AB931" s="306" t="str">
        <f t="shared" si="156"/>
        <v/>
      </c>
      <c r="AC931" s="893">
        <f t="shared" si="157"/>
        <v>0</v>
      </c>
      <c r="AD931" s="322"/>
      <c r="AE931" s="1"/>
      <c r="AF931" s="223">
        <f>IF(ISBLANK(AD931),0,COUNTIF(AF$4:AF930,"&gt;0")+1)</f>
        <v>0</v>
      </c>
      <c r="AG931" s="164">
        <f t="shared" si="163"/>
        <v>0</v>
      </c>
      <c r="AH931" s="99">
        <f t="shared" si="158"/>
        <v>0</v>
      </c>
      <c r="AI931" s="99">
        <f t="shared" si="164"/>
        <v>0</v>
      </c>
      <c r="AJ931" s="170">
        <f t="shared" si="165"/>
        <v>0</v>
      </c>
      <c r="AK931" s="204">
        <f t="shared" si="159"/>
        <v>0</v>
      </c>
      <c r="AL931" s="1049">
        <f>IF(ISERROR(AO931),0,IF(AND(AN931&gt;=$U$1,AN931&lt;=$U$2),IF(AO931='ESTRATTO CONTO'!$E$2,1+COUNTIF(AL$4:AL930,"&gt;0")+U$1009,0),0))</f>
        <v>0</v>
      </c>
      <c r="AM931" s="747">
        <f t="shared" si="162"/>
        <v>928</v>
      </c>
      <c r="AN931" s="164" t="e">
        <f>VLOOKUP($AM931,PATRIMONIALE!$AV983:AW$1003,2,FALSE)</f>
        <v>#N/A</v>
      </c>
      <c r="AO931" s="310" t="e">
        <f>VLOOKUP($AM931,PATRIMONIALE!$AV983:AX$1003,3,FALSE)</f>
        <v>#N/A</v>
      </c>
      <c r="AP931" s="310" t="e">
        <f>VLOOKUP($AM931,PATRIMONIALE!$AV983:AY$1003,4,FALSE)</f>
        <v>#N/A</v>
      </c>
      <c r="AQ931" s="748" t="e">
        <f>VLOOKUP($AM931,PATRIMONIALE!$AV983:AZ$1003,5,FALSE)</f>
        <v>#N/A</v>
      </c>
      <c r="AR931" s="1"/>
      <c r="AS931" s="461" t="str">
        <f t="shared" si="160"/>
        <v/>
      </c>
      <c r="AT931" s="370"/>
    </row>
    <row r="932" spans="1:46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435">
        <f>IF(AND(W932&gt;=$U$1,W932&lt;=$U$2),IF(X932='ESTRATTO CONTO'!$E$2,1+COUNTIF(U$4:U931,"&gt;0"),0),0)</f>
        <v>0</v>
      </c>
      <c r="V932" s="417">
        <f t="shared" si="161"/>
        <v>929</v>
      </c>
      <c r="W932" s="509"/>
      <c r="X932" s="321"/>
      <c r="Y932" s="321"/>
      <c r="Z932" s="433"/>
      <c r="AA932" s="356"/>
      <c r="AB932" s="306" t="str">
        <f t="shared" si="156"/>
        <v/>
      </c>
      <c r="AC932" s="893">
        <f t="shared" si="157"/>
        <v>0</v>
      </c>
      <c r="AD932" s="322"/>
      <c r="AE932" s="1"/>
      <c r="AF932" s="223">
        <f>IF(ISBLANK(AD932),0,COUNTIF(AF$4:AF931,"&gt;0")+1)</f>
        <v>0</v>
      </c>
      <c r="AG932" s="164">
        <f t="shared" si="163"/>
        <v>0</v>
      </c>
      <c r="AH932" s="99">
        <f t="shared" si="158"/>
        <v>0</v>
      </c>
      <c r="AI932" s="99">
        <f t="shared" si="164"/>
        <v>0</v>
      </c>
      <c r="AJ932" s="170">
        <f t="shared" si="165"/>
        <v>0</v>
      </c>
      <c r="AK932" s="204">
        <f t="shared" si="159"/>
        <v>0</v>
      </c>
      <c r="AL932" s="1049">
        <f>IF(ISERROR(AO932),0,IF(AND(AN932&gt;=$U$1,AN932&lt;=$U$2),IF(AO932='ESTRATTO CONTO'!$E$2,1+COUNTIF(AL$4:AL931,"&gt;0")+U$1009,0),0))</f>
        <v>0</v>
      </c>
      <c r="AM932" s="747">
        <f t="shared" si="162"/>
        <v>929</v>
      </c>
      <c r="AN932" s="164" t="e">
        <f>VLOOKUP($AM932,PATRIMONIALE!$AV984:AW$1003,2,FALSE)</f>
        <v>#N/A</v>
      </c>
      <c r="AO932" s="310" t="e">
        <f>VLOOKUP($AM932,PATRIMONIALE!$AV984:AX$1003,3,FALSE)</f>
        <v>#N/A</v>
      </c>
      <c r="AP932" s="310" t="e">
        <f>VLOOKUP($AM932,PATRIMONIALE!$AV984:AY$1003,4,FALSE)</f>
        <v>#N/A</v>
      </c>
      <c r="AQ932" s="748" t="e">
        <f>VLOOKUP($AM932,PATRIMONIALE!$AV984:AZ$1003,5,FALSE)</f>
        <v>#N/A</v>
      </c>
      <c r="AR932" s="1"/>
      <c r="AS932" s="461" t="str">
        <f t="shared" si="160"/>
        <v/>
      </c>
      <c r="AT932" s="370"/>
    </row>
    <row r="933" spans="1:46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435">
        <f>IF(AND(W933&gt;=$U$1,W933&lt;=$U$2),IF(X933='ESTRATTO CONTO'!$E$2,1+COUNTIF(U$4:U932,"&gt;0"),0),0)</f>
        <v>0</v>
      </c>
      <c r="V933" s="417">
        <f t="shared" si="161"/>
        <v>930</v>
      </c>
      <c r="W933" s="509"/>
      <c r="X933" s="321"/>
      <c r="Y933" s="321"/>
      <c r="Z933" s="433"/>
      <c r="AA933" s="356"/>
      <c r="AB933" s="306" t="str">
        <f t="shared" si="156"/>
        <v/>
      </c>
      <c r="AC933" s="893">
        <f t="shared" si="157"/>
        <v>0</v>
      </c>
      <c r="AD933" s="322"/>
      <c r="AE933" s="1"/>
      <c r="AF933" s="223">
        <f>IF(ISBLANK(AD933),0,COUNTIF(AF$4:AF932,"&gt;0")+1)</f>
        <v>0</v>
      </c>
      <c r="AG933" s="164">
        <f t="shared" si="163"/>
        <v>0</v>
      </c>
      <c r="AH933" s="99">
        <f t="shared" si="158"/>
        <v>0</v>
      </c>
      <c r="AI933" s="99">
        <f t="shared" si="164"/>
        <v>0</v>
      </c>
      <c r="AJ933" s="170">
        <f t="shared" si="165"/>
        <v>0</v>
      </c>
      <c r="AK933" s="204">
        <f t="shared" si="159"/>
        <v>0</v>
      </c>
      <c r="AL933" s="1049">
        <f>IF(ISERROR(AO933),0,IF(AND(AN933&gt;=$U$1,AN933&lt;=$U$2),IF(AO933='ESTRATTO CONTO'!$E$2,1+COUNTIF(AL$4:AL932,"&gt;0")+U$1009,0),0))</f>
        <v>0</v>
      </c>
      <c r="AM933" s="747">
        <f t="shared" si="162"/>
        <v>930</v>
      </c>
      <c r="AN933" s="164" t="e">
        <f>VLOOKUP($AM933,PATRIMONIALE!$AV985:AW$1003,2,FALSE)</f>
        <v>#N/A</v>
      </c>
      <c r="AO933" s="310" t="e">
        <f>VLOOKUP($AM933,PATRIMONIALE!$AV985:AX$1003,3,FALSE)</f>
        <v>#N/A</v>
      </c>
      <c r="AP933" s="310" t="e">
        <f>VLOOKUP($AM933,PATRIMONIALE!$AV985:AY$1003,4,FALSE)</f>
        <v>#N/A</v>
      </c>
      <c r="AQ933" s="748" t="e">
        <f>VLOOKUP($AM933,PATRIMONIALE!$AV985:AZ$1003,5,FALSE)</f>
        <v>#N/A</v>
      </c>
      <c r="AR933" s="1"/>
      <c r="AS933" s="461" t="str">
        <f t="shared" si="160"/>
        <v/>
      </c>
      <c r="AT933" s="370"/>
    </row>
    <row r="934" spans="1:46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435">
        <f>IF(AND(W934&gt;=$U$1,W934&lt;=$U$2),IF(X934='ESTRATTO CONTO'!$E$2,1+COUNTIF(U$4:U933,"&gt;0"),0),0)</f>
        <v>0</v>
      </c>
      <c r="V934" s="417">
        <f t="shared" si="161"/>
        <v>931</v>
      </c>
      <c r="W934" s="509"/>
      <c r="X934" s="321"/>
      <c r="Y934" s="321"/>
      <c r="Z934" s="433"/>
      <c r="AA934" s="356"/>
      <c r="AB934" s="306" t="str">
        <f t="shared" si="156"/>
        <v/>
      </c>
      <c r="AC934" s="893">
        <f t="shared" si="157"/>
        <v>0</v>
      </c>
      <c r="AD934" s="322"/>
      <c r="AE934" s="1"/>
      <c r="AF934" s="223">
        <f>IF(ISBLANK(AD934),0,COUNTIF(AF$4:AF933,"&gt;0")+1)</f>
        <v>0</v>
      </c>
      <c r="AG934" s="164">
        <f t="shared" si="163"/>
        <v>0</v>
      </c>
      <c r="AH934" s="99">
        <f t="shared" si="158"/>
        <v>0</v>
      </c>
      <c r="AI934" s="99">
        <f t="shared" si="164"/>
        <v>0</v>
      </c>
      <c r="AJ934" s="170">
        <f t="shared" si="165"/>
        <v>0</v>
      </c>
      <c r="AK934" s="204">
        <f t="shared" si="159"/>
        <v>0</v>
      </c>
      <c r="AL934" s="1049">
        <f>IF(ISERROR(AO934),0,IF(AND(AN934&gt;=$U$1,AN934&lt;=$U$2),IF(AO934='ESTRATTO CONTO'!$E$2,1+COUNTIF(AL$4:AL933,"&gt;0")+U$1009,0),0))</f>
        <v>0</v>
      </c>
      <c r="AM934" s="747">
        <f t="shared" si="162"/>
        <v>931</v>
      </c>
      <c r="AN934" s="164" t="e">
        <f>VLOOKUP($AM934,PATRIMONIALE!$AV986:AW$1003,2,FALSE)</f>
        <v>#N/A</v>
      </c>
      <c r="AO934" s="310" t="e">
        <f>VLOOKUP($AM934,PATRIMONIALE!$AV986:AX$1003,3,FALSE)</f>
        <v>#N/A</v>
      </c>
      <c r="AP934" s="310" t="e">
        <f>VLOOKUP($AM934,PATRIMONIALE!$AV986:AY$1003,4,FALSE)</f>
        <v>#N/A</v>
      </c>
      <c r="AQ934" s="748" t="e">
        <f>VLOOKUP($AM934,PATRIMONIALE!$AV986:AZ$1003,5,FALSE)</f>
        <v>#N/A</v>
      </c>
      <c r="AR934" s="1"/>
      <c r="AS934" s="461" t="str">
        <f t="shared" si="160"/>
        <v/>
      </c>
      <c r="AT934" s="370"/>
    </row>
    <row r="935" spans="1:46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435">
        <f>IF(AND(W935&gt;=$U$1,W935&lt;=$U$2),IF(X935='ESTRATTO CONTO'!$E$2,1+COUNTIF(U$4:U934,"&gt;0"),0),0)</f>
        <v>0</v>
      </c>
      <c r="V935" s="417">
        <f t="shared" si="161"/>
        <v>932</v>
      </c>
      <c r="W935" s="509"/>
      <c r="X935" s="321"/>
      <c r="Y935" s="321"/>
      <c r="Z935" s="433"/>
      <c r="AA935" s="356"/>
      <c r="AB935" s="306" t="str">
        <f t="shared" si="156"/>
        <v/>
      </c>
      <c r="AC935" s="893">
        <f t="shared" si="157"/>
        <v>0</v>
      </c>
      <c r="AD935" s="322"/>
      <c r="AE935" s="1"/>
      <c r="AF935" s="223">
        <f>IF(ISBLANK(AD935),0,COUNTIF(AF$4:AF934,"&gt;0")+1)</f>
        <v>0</v>
      </c>
      <c r="AG935" s="164">
        <f t="shared" si="163"/>
        <v>0</v>
      </c>
      <c r="AH935" s="99">
        <f t="shared" si="158"/>
        <v>0</v>
      </c>
      <c r="AI935" s="99">
        <f t="shared" si="164"/>
        <v>0</v>
      </c>
      <c r="AJ935" s="170">
        <f t="shared" si="165"/>
        <v>0</v>
      </c>
      <c r="AK935" s="204">
        <f t="shared" si="159"/>
        <v>0</v>
      </c>
      <c r="AL935" s="1049">
        <f>IF(ISERROR(AO935),0,IF(AND(AN935&gt;=$U$1,AN935&lt;=$U$2),IF(AO935='ESTRATTO CONTO'!$E$2,1+COUNTIF(AL$4:AL934,"&gt;0")+U$1009,0),0))</f>
        <v>0</v>
      </c>
      <c r="AM935" s="747">
        <f t="shared" si="162"/>
        <v>932</v>
      </c>
      <c r="AN935" s="164" t="e">
        <f>VLOOKUP($AM935,PATRIMONIALE!$AV987:AW$1003,2,FALSE)</f>
        <v>#N/A</v>
      </c>
      <c r="AO935" s="310" t="e">
        <f>VLOOKUP($AM935,PATRIMONIALE!$AV987:AX$1003,3,FALSE)</f>
        <v>#N/A</v>
      </c>
      <c r="AP935" s="310" t="e">
        <f>VLOOKUP($AM935,PATRIMONIALE!$AV987:AY$1003,4,FALSE)</f>
        <v>#N/A</v>
      </c>
      <c r="AQ935" s="748" t="e">
        <f>VLOOKUP($AM935,PATRIMONIALE!$AV987:AZ$1003,5,FALSE)</f>
        <v>#N/A</v>
      </c>
      <c r="AR935" s="1"/>
      <c r="AS935" s="461" t="str">
        <f t="shared" si="160"/>
        <v/>
      </c>
      <c r="AT935" s="370"/>
    </row>
    <row r="936" spans="1:46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435">
        <f>IF(AND(W936&gt;=$U$1,W936&lt;=$U$2),IF(X936='ESTRATTO CONTO'!$E$2,1+COUNTIF(U$4:U935,"&gt;0"),0),0)</f>
        <v>0</v>
      </c>
      <c r="V936" s="417">
        <f t="shared" si="161"/>
        <v>933</v>
      </c>
      <c r="W936" s="509"/>
      <c r="X936" s="321"/>
      <c r="Y936" s="321"/>
      <c r="Z936" s="433"/>
      <c r="AA936" s="356"/>
      <c r="AB936" s="306" t="str">
        <f t="shared" si="156"/>
        <v/>
      </c>
      <c r="AC936" s="893">
        <f t="shared" si="157"/>
        <v>0</v>
      </c>
      <c r="AD936" s="322"/>
      <c r="AE936" s="1"/>
      <c r="AF936" s="223">
        <f>IF(ISBLANK(AD936),0,COUNTIF(AF$4:AF935,"&gt;0")+1)</f>
        <v>0</v>
      </c>
      <c r="AG936" s="164">
        <f t="shared" si="163"/>
        <v>0</v>
      </c>
      <c r="AH936" s="99">
        <f t="shared" si="158"/>
        <v>0</v>
      </c>
      <c r="AI936" s="99">
        <f t="shared" si="164"/>
        <v>0</v>
      </c>
      <c r="AJ936" s="170">
        <f t="shared" si="165"/>
        <v>0</v>
      </c>
      <c r="AK936" s="204">
        <f t="shared" si="159"/>
        <v>0</v>
      </c>
      <c r="AL936" s="1049">
        <f>IF(ISERROR(AO936),0,IF(AND(AN936&gt;=$U$1,AN936&lt;=$U$2),IF(AO936='ESTRATTO CONTO'!$E$2,1+COUNTIF(AL$4:AL935,"&gt;0")+U$1009,0),0))</f>
        <v>0</v>
      </c>
      <c r="AM936" s="747">
        <f t="shared" si="162"/>
        <v>933</v>
      </c>
      <c r="AN936" s="164" t="e">
        <f>VLOOKUP($AM936,PATRIMONIALE!$AV988:AW$1003,2,FALSE)</f>
        <v>#N/A</v>
      </c>
      <c r="AO936" s="310" t="e">
        <f>VLOOKUP($AM936,PATRIMONIALE!$AV988:AX$1003,3,FALSE)</f>
        <v>#N/A</v>
      </c>
      <c r="AP936" s="310" t="e">
        <f>VLOOKUP($AM936,PATRIMONIALE!$AV988:AY$1003,4,FALSE)</f>
        <v>#N/A</v>
      </c>
      <c r="AQ936" s="748" t="e">
        <f>VLOOKUP($AM936,PATRIMONIALE!$AV988:AZ$1003,5,FALSE)</f>
        <v>#N/A</v>
      </c>
      <c r="AR936" s="1"/>
      <c r="AS936" s="461" t="str">
        <f t="shared" si="160"/>
        <v/>
      </c>
      <c r="AT936" s="370"/>
    </row>
    <row r="937" spans="1:46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435">
        <f>IF(AND(W937&gt;=$U$1,W937&lt;=$U$2),IF(X937='ESTRATTO CONTO'!$E$2,1+COUNTIF(U$4:U936,"&gt;0"),0),0)</f>
        <v>0</v>
      </c>
      <c r="V937" s="417">
        <f t="shared" si="161"/>
        <v>934</v>
      </c>
      <c r="W937" s="509"/>
      <c r="X937" s="321"/>
      <c r="Y937" s="321"/>
      <c r="Z937" s="433"/>
      <c r="AA937" s="356"/>
      <c r="AB937" s="306" t="str">
        <f t="shared" si="156"/>
        <v/>
      </c>
      <c r="AC937" s="893">
        <f t="shared" si="157"/>
        <v>0</v>
      </c>
      <c r="AD937" s="322"/>
      <c r="AE937" s="1"/>
      <c r="AF937" s="223">
        <f>IF(ISBLANK(AD937),0,COUNTIF(AF$4:AF936,"&gt;0")+1)</f>
        <v>0</v>
      </c>
      <c r="AG937" s="164">
        <f t="shared" si="163"/>
        <v>0</v>
      </c>
      <c r="AH937" s="99">
        <f t="shared" si="158"/>
        <v>0</v>
      </c>
      <c r="AI937" s="99">
        <f t="shared" si="164"/>
        <v>0</v>
      </c>
      <c r="AJ937" s="170">
        <f t="shared" si="165"/>
        <v>0</v>
      </c>
      <c r="AK937" s="204">
        <f t="shared" si="159"/>
        <v>0</v>
      </c>
      <c r="AL937" s="1049">
        <f>IF(ISERROR(AO937),0,IF(AND(AN937&gt;=$U$1,AN937&lt;=$U$2),IF(AO937='ESTRATTO CONTO'!$E$2,1+COUNTIF(AL$4:AL936,"&gt;0")+U$1009,0),0))</f>
        <v>0</v>
      </c>
      <c r="AM937" s="747">
        <f t="shared" si="162"/>
        <v>934</v>
      </c>
      <c r="AN937" s="164" t="e">
        <f>VLOOKUP($AM937,PATRIMONIALE!$AV989:AW$1003,2,FALSE)</f>
        <v>#N/A</v>
      </c>
      <c r="AO937" s="310" t="e">
        <f>VLOOKUP($AM937,PATRIMONIALE!$AV989:AX$1003,3,FALSE)</f>
        <v>#N/A</v>
      </c>
      <c r="AP937" s="310" t="e">
        <f>VLOOKUP($AM937,PATRIMONIALE!$AV989:AY$1003,4,FALSE)</f>
        <v>#N/A</v>
      </c>
      <c r="AQ937" s="748" t="e">
        <f>VLOOKUP($AM937,PATRIMONIALE!$AV989:AZ$1003,5,FALSE)</f>
        <v>#N/A</v>
      </c>
      <c r="AR937" s="1"/>
      <c r="AS937" s="461" t="str">
        <f t="shared" si="160"/>
        <v/>
      </c>
      <c r="AT937" s="370"/>
    </row>
    <row r="938" spans="1:46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435">
        <f>IF(AND(W938&gt;=$U$1,W938&lt;=$U$2),IF(X938='ESTRATTO CONTO'!$E$2,1+COUNTIF(U$4:U937,"&gt;0"),0),0)</f>
        <v>0</v>
      </c>
      <c r="V938" s="417">
        <f t="shared" si="161"/>
        <v>935</v>
      </c>
      <c r="W938" s="509"/>
      <c r="X938" s="321"/>
      <c r="Y938" s="321"/>
      <c r="Z938" s="433"/>
      <c r="AA938" s="356"/>
      <c r="AB938" s="306" t="str">
        <f t="shared" si="156"/>
        <v/>
      </c>
      <c r="AC938" s="893">
        <f t="shared" si="157"/>
        <v>0</v>
      </c>
      <c r="AD938" s="322"/>
      <c r="AE938" s="1"/>
      <c r="AF938" s="223">
        <f>IF(ISBLANK(AD938),0,COUNTIF(AF$4:AF937,"&gt;0")+1)</f>
        <v>0</v>
      </c>
      <c r="AG938" s="164">
        <f t="shared" si="163"/>
        <v>0</v>
      </c>
      <c r="AH938" s="99">
        <f t="shared" si="158"/>
        <v>0</v>
      </c>
      <c r="AI938" s="99">
        <f t="shared" si="164"/>
        <v>0</v>
      </c>
      <c r="AJ938" s="170">
        <f t="shared" si="165"/>
        <v>0</v>
      </c>
      <c r="AK938" s="204">
        <f t="shared" si="159"/>
        <v>0</v>
      </c>
      <c r="AL938" s="1049">
        <f>IF(ISERROR(AO938),0,IF(AND(AN938&gt;=$U$1,AN938&lt;=$U$2),IF(AO938='ESTRATTO CONTO'!$E$2,1+COUNTIF(AL$4:AL937,"&gt;0")+U$1009,0),0))</f>
        <v>0</v>
      </c>
      <c r="AM938" s="747">
        <f t="shared" si="162"/>
        <v>935</v>
      </c>
      <c r="AN938" s="164" t="e">
        <f>VLOOKUP($AM938,PATRIMONIALE!$AV990:AW$1003,2,FALSE)</f>
        <v>#N/A</v>
      </c>
      <c r="AO938" s="310" t="e">
        <f>VLOOKUP($AM938,PATRIMONIALE!$AV990:AX$1003,3,FALSE)</f>
        <v>#N/A</v>
      </c>
      <c r="AP938" s="310" t="e">
        <f>VLOOKUP($AM938,PATRIMONIALE!$AV990:AY$1003,4,FALSE)</f>
        <v>#N/A</v>
      </c>
      <c r="AQ938" s="748" t="e">
        <f>VLOOKUP($AM938,PATRIMONIALE!$AV990:AZ$1003,5,FALSE)</f>
        <v>#N/A</v>
      </c>
      <c r="AR938" s="1"/>
      <c r="AS938" s="461" t="str">
        <f t="shared" si="160"/>
        <v/>
      </c>
      <c r="AT938" s="370"/>
    </row>
    <row r="939" spans="1:46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435">
        <f>IF(AND(W939&gt;=$U$1,W939&lt;=$U$2),IF(X939='ESTRATTO CONTO'!$E$2,1+COUNTIF(U$4:U938,"&gt;0"),0),0)</f>
        <v>0</v>
      </c>
      <c r="V939" s="417">
        <f t="shared" si="161"/>
        <v>936</v>
      </c>
      <c r="W939" s="509"/>
      <c r="X939" s="321"/>
      <c r="Y939" s="321"/>
      <c r="Z939" s="433"/>
      <c r="AA939" s="356"/>
      <c r="AB939" s="306" t="str">
        <f t="shared" si="156"/>
        <v/>
      </c>
      <c r="AC939" s="893">
        <f t="shared" si="157"/>
        <v>0</v>
      </c>
      <c r="AD939" s="322"/>
      <c r="AE939" s="1"/>
      <c r="AF939" s="223">
        <f>IF(ISBLANK(AD939),0,COUNTIF(AF$4:AF938,"&gt;0")+1)</f>
        <v>0</v>
      </c>
      <c r="AG939" s="164">
        <f t="shared" si="163"/>
        <v>0</v>
      </c>
      <c r="AH939" s="99">
        <f t="shared" si="158"/>
        <v>0</v>
      </c>
      <c r="AI939" s="99">
        <f t="shared" si="164"/>
        <v>0</v>
      </c>
      <c r="AJ939" s="170">
        <f t="shared" si="165"/>
        <v>0</v>
      </c>
      <c r="AK939" s="204">
        <f t="shared" si="159"/>
        <v>0</v>
      </c>
      <c r="AL939" s="1049">
        <f>IF(ISERROR(AO939),0,IF(AND(AN939&gt;=$U$1,AN939&lt;=$U$2),IF(AO939='ESTRATTO CONTO'!$E$2,1+COUNTIF(AL$4:AL938,"&gt;0")+U$1009,0),0))</f>
        <v>0</v>
      </c>
      <c r="AM939" s="747">
        <f t="shared" si="162"/>
        <v>936</v>
      </c>
      <c r="AN939" s="164" t="e">
        <f>VLOOKUP($AM939,PATRIMONIALE!$AV991:AW$1003,2,FALSE)</f>
        <v>#N/A</v>
      </c>
      <c r="AO939" s="310" t="e">
        <f>VLOOKUP($AM939,PATRIMONIALE!$AV991:AX$1003,3,FALSE)</f>
        <v>#N/A</v>
      </c>
      <c r="AP939" s="310" t="e">
        <f>VLOOKUP($AM939,PATRIMONIALE!$AV991:AY$1003,4,FALSE)</f>
        <v>#N/A</v>
      </c>
      <c r="AQ939" s="748" t="e">
        <f>VLOOKUP($AM939,PATRIMONIALE!$AV991:AZ$1003,5,FALSE)</f>
        <v>#N/A</v>
      </c>
      <c r="AR939" s="1"/>
      <c r="AS939" s="461" t="str">
        <f t="shared" si="160"/>
        <v/>
      </c>
      <c r="AT939" s="370"/>
    </row>
    <row r="940" spans="1:46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435">
        <f>IF(AND(W940&gt;=$U$1,W940&lt;=$U$2),IF(X940='ESTRATTO CONTO'!$E$2,1+COUNTIF(U$4:U939,"&gt;0"),0),0)</f>
        <v>0</v>
      </c>
      <c r="V940" s="417">
        <f t="shared" si="161"/>
        <v>937</v>
      </c>
      <c r="W940" s="509"/>
      <c r="X940" s="321"/>
      <c r="Y940" s="321"/>
      <c r="Z940" s="433"/>
      <c r="AA940" s="356"/>
      <c r="AB940" s="306" t="str">
        <f t="shared" si="156"/>
        <v/>
      </c>
      <c r="AC940" s="893">
        <f t="shared" si="157"/>
        <v>0</v>
      </c>
      <c r="AD940" s="322"/>
      <c r="AE940" s="1"/>
      <c r="AF940" s="223">
        <f>IF(ISBLANK(AD940),0,COUNTIF(AF$4:AF939,"&gt;0")+1)</f>
        <v>0</v>
      </c>
      <c r="AG940" s="164">
        <f t="shared" si="163"/>
        <v>0</v>
      </c>
      <c r="AH940" s="99">
        <f t="shared" si="158"/>
        <v>0</v>
      </c>
      <c r="AI940" s="99">
        <f t="shared" si="164"/>
        <v>0</v>
      </c>
      <c r="AJ940" s="170">
        <f t="shared" si="165"/>
        <v>0</v>
      </c>
      <c r="AK940" s="204">
        <f t="shared" si="159"/>
        <v>0</v>
      </c>
      <c r="AL940" s="1049">
        <f>IF(ISERROR(AO940),0,IF(AND(AN940&gt;=$U$1,AN940&lt;=$U$2),IF(AO940='ESTRATTO CONTO'!$E$2,1+COUNTIF(AL$4:AL939,"&gt;0")+U$1009,0),0))</f>
        <v>0</v>
      </c>
      <c r="AM940" s="747">
        <f t="shared" si="162"/>
        <v>937</v>
      </c>
      <c r="AN940" s="164" t="e">
        <f>VLOOKUP($AM940,PATRIMONIALE!$AV992:AW$1003,2,FALSE)</f>
        <v>#N/A</v>
      </c>
      <c r="AO940" s="310" t="e">
        <f>VLOOKUP($AM940,PATRIMONIALE!$AV992:AX$1003,3,FALSE)</f>
        <v>#N/A</v>
      </c>
      <c r="AP940" s="310" t="e">
        <f>VLOOKUP($AM940,PATRIMONIALE!$AV992:AY$1003,4,FALSE)</f>
        <v>#N/A</v>
      </c>
      <c r="AQ940" s="748" t="e">
        <f>VLOOKUP($AM940,PATRIMONIALE!$AV992:AZ$1003,5,FALSE)</f>
        <v>#N/A</v>
      </c>
      <c r="AR940" s="1"/>
      <c r="AS940" s="461" t="str">
        <f t="shared" si="160"/>
        <v/>
      </c>
      <c r="AT940" s="370"/>
    </row>
    <row r="941" spans="1:46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435">
        <f>IF(AND(W941&gt;=$U$1,W941&lt;=$U$2),IF(X941='ESTRATTO CONTO'!$E$2,1+COUNTIF(U$4:U940,"&gt;0"),0),0)</f>
        <v>0</v>
      </c>
      <c r="V941" s="417">
        <f t="shared" si="161"/>
        <v>938</v>
      </c>
      <c r="W941" s="509"/>
      <c r="X941" s="321"/>
      <c r="Y941" s="321"/>
      <c r="Z941" s="433"/>
      <c r="AA941" s="356"/>
      <c r="AB941" s="306" t="str">
        <f t="shared" si="156"/>
        <v/>
      </c>
      <c r="AC941" s="893">
        <f t="shared" si="157"/>
        <v>0</v>
      </c>
      <c r="AD941" s="322"/>
      <c r="AE941" s="1"/>
      <c r="AF941" s="223">
        <f>IF(ISBLANK(AD941),0,COUNTIF(AF$4:AF940,"&gt;0")+1)</f>
        <v>0</v>
      </c>
      <c r="AG941" s="164">
        <f t="shared" si="163"/>
        <v>0</v>
      </c>
      <c r="AH941" s="99">
        <f t="shared" si="158"/>
        <v>0</v>
      </c>
      <c r="AI941" s="99">
        <f t="shared" si="164"/>
        <v>0</v>
      </c>
      <c r="AJ941" s="170">
        <f t="shared" si="165"/>
        <v>0</v>
      </c>
      <c r="AK941" s="204">
        <f t="shared" si="159"/>
        <v>0</v>
      </c>
      <c r="AL941" s="1049">
        <f>IF(ISERROR(AO941),0,IF(AND(AN941&gt;=$U$1,AN941&lt;=$U$2),IF(AO941='ESTRATTO CONTO'!$E$2,1+COUNTIF(AL$4:AL940,"&gt;0")+U$1009,0),0))</f>
        <v>0</v>
      </c>
      <c r="AM941" s="747">
        <f t="shared" si="162"/>
        <v>938</v>
      </c>
      <c r="AN941" s="164" t="e">
        <f>VLOOKUP($AM941,PATRIMONIALE!$AV993:AW$1003,2,FALSE)</f>
        <v>#N/A</v>
      </c>
      <c r="AO941" s="310" t="e">
        <f>VLOOKUP($AM941,PATRIMONIALE!$AV993:AX$1003,3,FALSE)</f>
        <v>#N/A</v>
      </c>
      <c r="AP941" s="310" t="e">
        <f>VLOOKUP($AM941,PATRIMONIALE!$AV993:AY$1003,4,FALSE)</f>
        <v>#N/A</v>
      </c>
      <c r="AQ941" s="748" t="e">
        <f>VLOOKUP($AM941,PATRIMONIALE!$AV993:AZ$1003,5,FALSE)</f>
        <v>#N/A</v>
      </c>
      <c r="AR941" s="1"/>
      <c r="AS941" s="461" t="str">
        <f t="shared" si="160"/>
        <v/>
      </c>
      <c r="AT941" s="370"/>
    </row>
    <row r="942" spans="1:46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435">
        <f>IF(AND(W942&gt;=$U$1,W942&lt;=$U$2),IF(X942='ESTRATTO CONTO'!$E$2,1+COUNTIF(U$4:U941,"&gt;0"),0),0)</f>
        <v>0</v>
      </c>
      <c r="V942" s="417">
        <f t="shared" si="161"/>
        <v>939</v>
      </c>
      <c r="W942" s="509"/>
      <c r="X942" s="321"/>
      <c r="Y942" s="321"/>
      <c r="Z942" s="433"/>
      <c r="AA942" s="356"/>
      <c r="AB942" s="306" t="str">
        <f t="shared" si="156"/>
        <v/>
      </c>
      <c r="AC942" s="893">
        <f t="shared" si="157"/>
        <v>0</v>
      </c>
      <c r="AD942" s="322"/>
      <c r="AE942" s="1"/>
      <c r="AF942" s="223">
        <f>IF(ISBLANK(AD942),0,COUNTIF(AF$4:AF941,"&gt;0")+1)</f>
        <v>0</v>
      </c>
      <c r="AG942" s="164">
        <f t="shared" si="163"/>
        <v>0</v>
      </c>
      <c r="AH942" s="99">
        <f t="shared" si="158"/>
        <v>0</v>
      </c>
      <c r="AI942" s="99">
        <f t="shared" si="164"/>
        <v>0</v>
      </c>
      <c r="AJ942" s="170">
        <f t="shared" si="165"/>
        <v>0</v>
      </c>
      <c r="AK942" s="204">
        <f t="shared" si="159"/>
        <v>0</v>
      </c>
      <c r="AL942" s="1049">
        <f>IF(ISERROR(AO942),0,IF(AND(AN942&gt;=$U$1,AN942&lt;=$U$2),IF(AO942='ESTRATTO CONTO'!$E$2,1+COUNTIF(AL$4:AL941,"&gt;0")+U$1009,0),0))</f>
        <v>0</v>
      </c>
      <c r="AM942" s="747">
        <f t="shared" si="162"/>
        <v>939</v>
      </c>
      <c r="AN942" s="164" t="e">
        <f>VLOOKUP($AM942,PATRIMONIALE!$AV994:AW$1003,2,FALSE)</f>
        <v>#N/A</v>
      </c>
      <c r="AO942" s="310" t="e">
        <f>VLOOKUP($AM942,PATRIMONIALE!$AV994:AX$1003,3,FALSE)</f>
        <v>#N/A</v>
      </c>
      <c r="AP942" s="310" t="e">
        <f>VLOOKUP($AM942,PATRIMONIALE!$AV994:AY$1003,4,FALSE)</f>
        <v>#N/A</v>
      </c>
      <c r="AQ942" s="748" t="e">
        <f>VLOOKUP($AM942,PATRIMONIALE!$AV994:AZ$1003,5,FALSE)</f>
        <v>#N/A</v>
      </c>
      <c r="AR942" s="1"/>
      <c r="AS942" s="461" t="str">
        <f t="shared" si="160"/>
        <v/>
      </c>
      <c r="AT942" s="370"/>
    </row>
    <row r="943" spans="1:46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435">
        <f>IF(AND(W943&gt;=$U$1,W943&lt;=$U$2),IF(X943='ESTRATTO CONTO'!$E$2,1+COUNTIF(U$4:U942,"&gt;0"),0),0)</f>
        <v>0</v>
      </c>
      <c r="V943" s="417">
        <f t="shared" si="161"/>
        <v>940</v>
      </c>
      <c r="W943" s="509"/>
      <c r="X943" s="321"/>
      <c r="Y943" s="321"/>
      <c r="Z943" s="433"/>
      <c r="AA943" s="356"/>
      <c r="AB943" s="306" t="str">
        <f t="shared" si="156"/>
        <v/>
      </c>
      <c r="AC943" s="893">
        <f t="shared" si="157"/>
        <v>0</v>
      </c>
      <c r="AD943" s="322"/>
      <c r="AE943" s="1"/>
      <c r="AF943" s="223">
        <f>IF(ISBLANK(AD943),0,COUNTIF(AF$4:AF942,"&gt;0")+1)</f>
        <v>0</v>
      </c>
      <c r="AG943" s="164">
        <f t="shared" si="163"/>
        <v>0</v>
      </c>
      <c r="AH943" s="99">
        <f t="shared" si="158"/>
        <v>0</v>
      </c>
      <c r="AI943" s="99">
        <f t="shared" si="164"/>
        <v>0</v>
      </c>
      <c r="AJ943" s="170">
        <f t="shared" si="165"/>
        <v>0</v>
      </c>
      <c r="AK943" s="204">
        <f t="shared" si="159"/>
        <v>0</v>
      </c>
      <c r="AL943" s="1049">
        <f>IF(ISERROR(AO943),0,IF(AND(AN943&gt;=$U$1,AN943&lt;=$U$2),IF(AO943='ESTRATTO CONTO'!$E$2,1+COUNTIF(AL$4:AL942,"&gt;0")+U$1009,0),0))</f>
        <v>0</v>
      </c>
      <c r="AM943" s="747">
        <f t="shared" si="162"/>
        <v>940</v>
      </c>
      <c r="AN943" s="164" t="e">
        <f>VLOOKUP($AM943,PATRIMONIALE!$AV995:AW$1003,2,FALSE)</f>
        <v>#N/A</v>
      </c>
      <c r="AO943" s="310" t="e">
        <f>VLOOKUP($AM943,PATRIMONIALE!$AV995:AX$1003,3,FALSE)</f>
        <v>#N/A</v>
      </c>
      <c r="AP943" s="310" t="e">
        <f>VLOOKUP($AM943,PATRIMONIALE!$AV995:AY$1003,4,FALSE)</f>
        <v>#N/A</v>
      </c>
      <c r="AQ943" s="748" t="e">
        <f>VLOOKUP($AM943,PATRIMONIALE!$AV995:AZ$1003,5,FALSE)</f>
        <v>#N/A</v>
      </c>
      <c r="AR943" s="1"/>
      <c r="AS943" s="461" t="str">
        <f t="shared" si="160"/>
        <v/>
      </c>
      <c r="AT943" s="370"/>
    </row>
    <row r="944" spans="1:46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435">
        <f>IF(AND(W944&gt;=$U$1,W944&lt;=$U$2),IF(X944='ESTRATTO CONTO'!$E$2,1+COUNTIF(U$4:U943,"&gt;0"),0),0)</f>
        <v>0</v>
      </c>
      <c r="V944" s="417">
        <f t="shared" si="161"/>
        <v>941</v>
      </c>
      <c r="W944" s="509"/>
      <c r="X944" s="321"/>
      <c r="Y944" s="321"/>
      <c r="Z944" s="433"/>
      <c r="AA944" s="356"/>
      <c r="AB944" s="306" t="str">
        <f t="shared" si="156"/>
        <v/>
      </c>
      <c r="AC944" s="893">
        <f t="shared" si="157"/>
        <v>0</v>
      </c>
      <c r="AD944" s="322"/>
      <c r="AE944" s="1"/>
      <c r="AF944" s="223">
        <f>IF(ISBLANK(AD944),0,COUNTIF(AF$4:AF943,"&gt;0")+1)</f>
        <v>0</v>
      </c>
      <c r="AG944" s="164">
        <f t="shared" si="163"/>
        <v>0</v>
      </c>
      <c r="AH944" s="99">
        <f t="shared" si="158"/>
        <v>0</v>
      </c>
      <c r="AI944" s="99">
        <f t="shared" si="164"/>
        <v>0</v>
      </c>
      <c r="AJ944" s="170">
        <f t="shared" si="165"/>
        <v>0</v>
      </c>
      <c r="AK944" s="204">
        <f t="shared" si="159"/>
        <v>0</v>
      </c>
      <c r="AL944" s="1049">
        <f>IF(ISERROR(AO944),0,IF(AND(AN944&gt;=$U$1,AN944&lt;=$U$2),IF(AO944='ESTRATTO CONTO'!$E$2,1+COUNTIF(AL$4:AL943,"&gt;0")+U$1009,0),0))</f>
        <v>0</v>
      </c>
      <c r="AM944" s="747">
        <f t="shared" si="162"/>
        <v>941</v>
      </c>
      <c r="AN944" s="164" t="e">
        <f>VLOOKUP($AM944,PATRIMONIALE!$AV996:AW$1003,2,FALSE)</f>
        <v>#N/A</v>
      </c>
      <c r="AO944" s="310" t="e">
        <f>VLOOKUP($AM944,PATRIMONIALE!$AV996:AX$1003,3,FALSE)</f>
        <v>#N/A</v>
      </c>
      <c r="AP944" s="310" t="e">
        <f>VLOOKUP($AM944,PATRIMONIALE!$AV996:AY$1003,4,FALSE)</f>
        <v>#N/A</v>
      </c>
      <c r="AQ944" s="748" t="e">
        <f>VLOOKUP($AM944,PATRIMONIALE!$AV996:AZ$1003,5,FALSE)</f>
        <v>#N/A</v>
      </c>
      <c r="AR944" s="1"/>
      <c r="AS944" s="461" t="str">
        <f t="shared" si="160"/>
        <v/>
      </c>
      <c r="AT944" s="370"/>
    </row>
    <row r="945" spans="1:46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435">
        <f>IF(AND(W945&gt;=$U$1,W945&lt;=$U$2),IF(X945='ESTRATTO CONTO'!$E$2,1+COUNTIF(U$4:U944,"&gt;0"),0),0)</f>
        <v>0</v>
      </c>
      <c r="V945" s="417">
        <f t="shared" si="161"/>
        <v>942</v>
      </c>
      <c r="W945" s="509"/>
      <c r="X945" s="321"/>
      <c r="Y945" s="321"/>
      <c r="Z945" s="433"/>
      <c r="AA945" s="356"/>
      <c r="AB945" s="306" t="str">
        <f t="shared" si="156"/>
        <v/>
      </c>
      <c r="AC945" s="893">
        <f t="shared" si="157"/>
        <v>0</v>
      </c>
      <c r="AD945" s="322"/>
      <c r="AE945" s="1"/>
      <c r="AF945" s="223">
        <f>IF(ISBLANK(AD945),0,COUNTIF(AF$4:AF944,"&gt;0")+1)</f>
        <v>0</v>
      </c>
      <c r="AG945" s="164">
        <f t="shared" si="163"/>
        <v>0</v>
      </c>
      <c r="AH945" s="99">
        <f t="shared" si="158"/>
        <v>0</v>
      </c>
      <c r="AI945" s="99">
        <f t="shared" si="164"/>
        <v>0</v>
      </c>
      <c r="AJ945" s="170">
        <f t="shared" si="165"/>
        <v>0</v>
      </c>
      <c r="AK945" s="204">
        <f t="shared" si="159"/>
        <v>0</v>
      </c>
      <c r="AL945" s="1049">
        <f>IF(ISERROR(AO945),0,IF(AND(AN945&gt;=$U$1,AN945&lt;=$U$2),IF(AO945='ESTRATTO CONTO'!$E$2,1+COUNTIF(AL$4:AL944,"&gt;0")+U$1009,0),0))</f>
        <v>0</v>
      </c>
      <c r="AM945" s="747">
        <f t="shared" si="162"/>
        <v>942</v>
      </c>
      <c r="AN945" s="164" t="e">
        <f>VLOOKUP($AM945,PATRIMONIALE!$AV997:AW$1003,2,FALSE)</f>
        <v>#N/A</v>
      </c>
      <c r="AO945" s="310" t="e">
        <f>VLOOKUP($AM945,PATRIMONIALE!$AV997:AX$1003,3,FALSE)</f>
        <v>#N/A</v>
      </c>
      <c r="AP945" s="310" t="e">
        <f>VLOOKUP($AM945,PATRIMONIALE!$AV997:AY$1003,4,FALSE)</f>
        <v>#N/A</v>
      </c>
      <c r="AQ945" s="748" t="e">
        <f>VLOOKUP($AM945,PATRIMONIALE!$AV997:AZ$1003,5,FALSE)</f>
        <v>#N/A</v>
      </c>
      <c r="AR945" s="1"/>
      <c r="AS945" s="461" t="str">
        <f t="shared" si="160"/>
        <v/>
      </c>
      <c r="AT945" s="370"/>
    </row>
    <row r="946" spans="1:46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435">
        <f>IF(AND(W946&gt;=$U$1,W946&lt;=$U$2),IF(X946='ESTRATTO CONTO'!$E$2,1+COUNTIF(U$4:U945,"&gt;0"),0),0)</f>
        <v>0</v>
      </c>
      <c r="V946" s="417">
        <f t="shared" si="161"/>
        <v>943</v>
      </c>
      <c r="W946" s="509"/>
      <c r="X946" s="321"/>
      <c r="Y946" s="321"/>
      <c r="Z946" s="433"/>
      <c r="AA946" s="356"/>
      <c r="AB946" s="306" t="str">
        <f t="shared" si="156"/>
        <v/>
      </c>
      <c r="AC946" s="893">
        <f t="shared" si="157"/>
        <v>0</v>
      </c>
      <c r="AD946" s="322"/>
      <c r="AE946" s="1"/>
      <c r="AF946" s="223">
        <f>IF(ISBLANK(AD946),0,COUNTIF(AF$4:AF945,"&gt;0")+1)</f>
        <v>0</v>
      </c>
      <c r="AG946" s="164">
        <f t="shared" si="163"/>
        <v>0</v>
      </c>
      <c r="AH946" s="99">
        <f t="shared" si="158"/>
        <v>0</v>
      </c>
      <c r="AI946" s="99">
        <f t="shared" si="164"/>
        <v>0</v>
      </c>
      <c r="AJ946" s="170">
        <f t="shared" si="165"/>
        <v>0</v>
      </c>
      <c r="AK946" s="204">
        <f t="shared" si="159"/>
        <v>0</v>
      </c>
      <c r="AL946" s="1049">
        <f>IF(ISERROR(AO946),0,IF(AND(AN946&gt;=$U$1,AN946&lt;=$U$2),IF(AO946='ESTRATTO CONTO'!$E$2,1+COUNTIF(AL$4:AL945,"&gt;0")+U$1009,0),0))</f>
        <v>0</v>
      </c>
      <c r="AM946" s="747">
        <f t="shared" si="162"/>
        <v>943</v>
      </c>
      <c r="AN946" s="164" t="e">
        <f>VLOOKUP($AM946,PATRIMONIALE!$AV998:AW$1003,2,FALSE)</f>
        <v>#N/A</v>
      </c>
      <c r="AO946" s="310" t="e">
        <f>VLOOKUP($AM946,PATRIMONIALE!$AV998:AX$1003,3,FALSE)</f>
        <v>#N/A</v>
      </c>
      <c r="AP946" s="310" t="e">
        <f>VLOOKUP($AM946,PATRIMONIALE!$AV998:AY$1003,4,FALSE)</f>
        <v>#N/A</v>
      </c>
      <c r="AQ946" s="748" t="e">
        <f>VLOOKUP($AM946,PATRIMONIALE!$AV998:AZ$1003,5,FALSE)</f>
        <v>#N/A</v>
      </c>
      <c r="AR946" s="1"/>
      <c r="AS946" s="461" t="str">
        <f t="shared" si="160"/>
        <v/>
      </c>
      <c r="AT946" s="370"/>
    </row>
    <row r="947" spans="1:46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435">
        <f>IF(AND(W947&gt;=$U$1,W947&lt;=$U$2),IF(X947='ESTRATTO CONTO'!$E$2,1+COUNTIF(U$4:U946,"&gt;0"),0),0)</f>
        <v>0</v>
      </c>
      <c r="V947" s="417">
        <f t="shared" si="161"/>
        <v>944</v>
      </c>
      <c r="W947" s="509"/>
      <c r="X947" s="321"/>
      <c r="Y947" s="321"/>
      <c r="Z947" s="433"/>
      <c r="AA947" s="356"/>
      <c r="AB947" s="306" t="str">
        <f t="shared" si="156"/>
        <v/>
      </c>
      <c r="AC947" s="893">
        <f t="shared" si="157"/>
        <v>0</v>
      </c>
      <c r="AD947" s="322"/>
      <c r="AE947" s="1"/>
      <c r="AF947" s="223">
        <f>IF(ISBLANK(AD947),0,COUNTIF(AF$4:AF946,"&gt;0")+1)</f>
        <v>0</v>
      </c>
      <c r="AG947" s="164">
        <f t="shared" si="163"/>
        <v>0</v>
      </c>
      <c r="AH947" s="99">
        <f t="shared" si="158"/>
        <v>0</v>
      </c>
      <c r="AI947" s="99">
        <f t="shared" si="164"/>
        <v>0</v>
      </c>
      <c r="AJ947" s="170">
        <f t="shared" si="165"/>
        <v>0</v>
      </c>
      <c r="AK947" s="204">
        <f t="shared" si="159"/>
        <v>0</v>
      </c>
      <c r="AL947" s="1049">
        <f>IF(ISERROR(AO947),0,IF(AND(AN947&gt;=$U$1,AN947&lt;=$U$2),IF(AO947='ESTRATTO CONTO'!$E$2,1+COUNTIF(AL$4:AL946,"&gt;0")+U$1009,0),0))</f>
        <v>0</v>
      </c>
      <c r="AM947" s="747">
        <f t="shared" si="162"/>
        <v>944</v>
      </c>
      <c r="AN947" s="164" t="e">
        <f>VLOOKUP($AM947,PATRIMONIALE!$AV999:AW$1003,2,FALSE)</f>
        <v>#N/A</v>
      </c>
      <c r="AO947" s="310" t="e">
        <f>VLOOKUP($AM947,PATRIMONIALE!$AV999:AX$1003,3,FALSE)</f>
        <v>#N/A</v>
      </c>
      <c r="AP947" s="310" t="e">
        <f>VLOOKUP($AM947,PATRIMONIALE!$AV999:AY$1003,4,FALSE)</f>
        <v>#N/A</v>
      </c>
      <c r="AQ947" s="748" t="e">
        <f>VLOOKUP($AM947,PATRIMONIALE!$AV999:AZ$1003,5,FALSE)</f>
        <v>#N/A</v>
      </c>
      <c r="AR947" s="1"/>
      <c r="AS947" s="461" t="str">
        <f t="shared" si="160"/>
        <v/>
      </c>
      <c r="AT947" s="370"/>
    </row>
    <row r="948" spans="1:46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435">
        <f>IF(AND(W948&gt;=$U$1,W948&lt;=$U$2),IF(X948='ESTRATTO CONTO'!$E$2,1+COUNTIF(U$4:U947,"&gt;0"),0),0)</f>
        <v>0</v>
      </c>
      <c r="V948" s="417">
        <f t="shared" si="161"/>
        <v>945</v>
      </c>
      <c r="W948" s="509"/>
      <c r="X948" s="321"/>
      <c r="Y948" s="321"/>
      <c r="Z948" s="433"/>
      <c r="AA948" s="356"/>
      <c r="AB948" s="306" t="str">
        <f t="shared" si="156"/>
        <v/>
      </c>
      <c r="AC948" s="893">
        <f t="shared" si="157"/>
        <v>0</v>
      </c>
      <c r="AD948" s="322"/>
      <c r="AE948" s="1"/>
      <c r="AF948" s="223">
        <f>IF(ISBLANK(AD948),0,COUNTIF(AF$4:AF947,"&gt;0")+1)</f>
        <v>0</v>
      </c>
      <c r="AG948" s="164">
        <f t="shared" si="163"/>
        <v>0</v>
      </c>
      <c r="AH948" s="99">
        <f t="shared" si="158"/>
        <v>0</v>
      </c>
      <c r="AI948" s="99">
        <f t="shared" si="164"/>
        <v>0</v>
      </c>
      <c r="AJ948" s="170">
        <f t="shared" si="165"/>
        <v>0</v>
      </c>
      <c r="AK948" s="204">
        <f t="shared" si="159"/>
        <v>0</v>
      </c>
      <c r="AL948" s="1049">
        <f>IF(ISERROR(AO948),0,IF(AND(AN948&gt;=$U$1,AN948&lt;=$U$2),IF(AO948='ESTRATTO CONTO'!$E$2,1+COUNTIF(AL$4:AL947,"&gt;0")+U$1009,0),0))</f>
        <v>0</v>
      </c>
      <c r="AM948" s="747">
        <f t="shared" si="162"/>
        <v>945</v>
      </c>
      <c r="AN948" s="164" t="e">
        <f>VLOOKUP($AM948,PATRIMONIALE!$AV1000:AW$1003,2,FALSE)</f>
        <v>#N/A</v>
      </c>
      <c r="AO948" s="310" t="e">
        <f>VLOOKUP($AM948,PATRIMONIALE!$AV1000:AX$1003,3,FALSE)</f>
        <v>#N/A</v>
      </c>
      <c r="AP948" s="310" t="e">
        <f>VLOOKUP($AM948,PATRIMONIALE!$AV1000:AY$1003,4,FALSE)</f>
        <v>#N/A</v>
      </c>
      <c r="AQ948" s="748" t="e">
        <f>VLOOKUP($AM948,PATRIMONIALE!$AV1000:AZ$1003,5,FALSE)</f>
        <v>#N/A</v>
      </c>
      <c r="AR948" s="1"/>
      <c r="AS948" s="461" t="str">
        <f t="shared" si="160"/>
        <v/>
      </c>
      <c r="AT948" s="370"/>
    </row>
    <row r="949" spans="1:46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435">
        <f>IF(AND(W949&gt;=$U$1,W949&lt;=$U$2),IF(X949='ESTRATTO CONTO'!$E$2,1+COUNTIF(U$4:U948,"&gt;0"),0),0)</f>
        <v>0</v>
      </c>
      <c r="V949" s="417">
        <f t="shared" si="161"/>
        <v>946</v>
      </c>
      <c r="W949" s="509"/>
      <c r="X949" s="321"/>
      <c r="Y949" s="321"/>
      <c r="Z949" s="433"/>
      <c r="AA949" s="356"/>
      <c r="AB949" s="306" t="str">
        <f t="shared" si="156"/>
        <v/>
      </c>
      <c r="AC949" s="893">
        <f t="shared" si="157"/>
        <v>0</v>
      </c>
      <c r="AD949" s="322"/>
      <c r="AE949" s="1"/>
      <c r="AF949" s="223">
        <f>IF(ISBLANK(AD949),0,COUNTIF(AF$4:AF948,"&gt;0")+1)</f>
        <v>0</v>
      </c>
      <c r="AG949" s="164">
        <f t="shared" si="163"/>
        <v>0</v>
      </c>
      <c r="AH949" s="99">
        <f t="shared" si="158"/>
        <v>0</v>
      </c>
      <c r="AI949" s="99">
        <f t="shared" si="164"/>
        <v>0</v>
      </c>
      <c r="AJ949" s="170">
        <f t="shared" si="165"/>
        <v>0</v>
      </c>
      <c r="AK949" s="204">
        <f t="shared" si="159"/>
        <v>0</v>
      </c>
      <c r="AL949" s="1049">
        <f>IF(ISERROR(AO949),0,IF(AND(AN949&gt;=$U$1,AN949&lt;=$U$2),IF(AO949='ESTRATTO CONTO'!$E$2,1+COUNTIF(AL$4:AL948,"&gt;0")+U$1009,0),0))</f>
        <v>0</v>
      </c>
      <c r="AM949" s="747">
        <f t="shared" si="162"/>
        <v>946</v>
      </c>
      <c r="AN949" s="164" t="e">
        <f>VLOOKUP($AM949,PATRIMONIALE!$AV1001:AW$1003,2,FALSE)</f>
        <v>#N/A</v>
      </c>
      <c r="AO949" s="310" t="e">
        <f>VLOOKUP($AM949,PATRIMONIALE!$AV1001:AX$1003,3,FALSE)</f>
        <v>#N/A</v>
      </c>
      <c r="AP949" s="310" t="e">
        <f>VLOOKUP($AM949,PATRIMONIALE!$AV1001:AY$1003,4,FALSE)</f>
        <v>#N/A</v>
      </c>
      <c r="AQ949" s="748" t="e">
        <f>VLOOKUP($AM949,PATRIMONIALE!$AV1001:AZ$1003,5,FALSE)</f>
        <v>#N/A</v>
      </c>
      <c r="AR949" s="1"/>
      <c r="AS949" s="461" t="str">
        <f t="shared" si="160"/>
        <v/>
      </c>
      <c r="AT949" s="370"/>
    </row>
    <row r="950" spans="1:46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435">
        <f>IF(AND(W950&gt;=$U$1,W950&lt;=$U$2),IF(X950='ESTRATTO CONTO'!$E$2,1+COUNTIF(U$4:U949,"&gt;0"),0),0)</f>
        <v>0</v>
      </c>
      <c r="V950" s="417">
        <f t="shared" si="161"/>
        <v>947</v>
      </c>
      <c r="W950" s="509"/>
      <c r="X950" s="321"/>
      <c r="Y950" s="321"/>
      <c r="Z950" s="433"/>
      <c r="AA950" s="356"/>
      <c r="AB950" s="306" t="str">
        <f t="shared" si="156"/>
        <v/>
      </c>
      <c r="AC950" s="893">
        <f t="shared" si="157"/>
        <v>0</v>
      </c>
      <c r="AD950" s="322"/>
      <c r="AE950" s="1"/>
      <c r="AF950" s="223">
        <f>IF(ISBLANK(AD950),0,COUNTIF(AF$4:AF949,"&gt;0")+1)</f>
        <v>0</v>
      </c>
      <c r="AG950" s="164">
        <f t="shared" si="163"/>
        <v>0</v>
      </c>
      <c r="AH950" s="99">
        <f t="shared" si="158"/>
        <v>0</v>
      </c>
      <c r="AI950" s="99">
        <f t="shared" si="164"/>
        <v>0</v>
      </c>
      <c r="AJ950" s="170">
        <f t="shared" si="165"/>
        <v>0</v>
      </c>
      <c r="AK950" s="204">
        <f t="shared" si="159"/>
        <v>0</v>
      </c>
      <c r="AL950" s="1049">
        <f>IF(ISERROR(AO950),0,IF(AND(AN950&gt;=$U$1,AN950&lt;=$U$2),IF(AO950='ESTRATTO CONTO'!$E$2,1+COUNTIF(AL$4:AL949,"&gt;0")+U$1009,0),0))</f>
        <v>0</v>
      </c>
      <c r="AM950" s="747">
        <f t="shared" si="162"/>
        <v>947</v>
      </c>
      <c r="AN950" s="164" t="e">
        <f>VLOOKUP($AM950,PATRIMONIALE!$AV1002:AW$1003,2,FALSE)</f>
        <v>#N/A</v>
      </c>
      <c r="AO950" s="310" t="e">
        <f>VLOOKUP($AM950,PATRIMONIALE!$AV1002:AX$1003,3,FALSE)</f>
        <v>#N/A</v>
      </c>
      <c r="AP950" s="310" t="e">
        <f>VLOOKUP($AM950,PATRIMONIALE!$AV1002:AY$1003,4,FALSE)</f>
        <v>#N/A</v>
      </c>
      <c r="AQ950" s="748" t="e">
        <f>VLOOKUP($AM950,PATRIMONIALE!$AV1002:AZ$1003,5,FALSE)</f>
        <v>#N/A</v>
      </c>
      <c r="AR950" s="1"/>
      <c r="AS950" s="461" t="str">
        <f t="shared" si="160"/>
        <v/>
      </c>
      <c r="AT950" s="370"/>
    </row>
    <row r="951" spans="1:46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435">
        <f>IF(AND(W951&gt;=$U$1,W951&lt;=$U$2),IF(X951='ESTRATTO CONTO'!$E$2,1+COUNTIF(U$4:U950,"&gt;0"),0),0)</f>
        <v>0</v>
      </c>
      <c r="V951" s="417">
        <f t="shared" si="161"/>
        <v>948</v>
      </c>
      <c r="W951" s="509"/>
      <c r="X951" s="321"/>
      <c r="Y951" s="321"/>
      <c r="Z951" s="433"/>
      <c r="AA951" s="356"/>
      <c r="AB951" s="306" t="str">
        <f t="shared" si="156"/>
        <v/>
      </c>
      <c r="AC951" s="893">
        <f t="shared" si="157"/>
        <v>0</v>
      </c>
      <c r="AD951" s="322"/>
      <c r="AE951" s="1"/>
      <c r="AF951" s="223">
        <f>IF(ISBLANK(AD951),0,COUNTIF(AF$4:AF950,"&gt;0")+1)</f>
        <v>0</v>
      </c>
      <c r="AG951" s="164">
        <f t="shared" si="163"/>
        <v>0</v>
      </c>
      <c r="AH951" s="99">
        <f t="shared" si="158"/>
        <v>0</v>
      </c>
      <c r="AI951" s="99">
        <f t="shared" si="164"/>
        <v>0</v>
      </c>
      <c r="AJ951" s="170">
        <f t="shared" si="165"/>
        <v>0</v>
      </c>
      <c r="AK951" s="204">
        <f t="shared" si="159"/>
        <v>0</v>
      </c>
      <c r="AL951" s="1049">
        <f>IF(ISERROR(AO951),0,IF(AND(AN951&gt;=$U$1,AN951&lt;=$U$2),IF(AO951='ESTRATTO CONTO'!$E$2,1+COUNTIF(AL$4:AL950,"&gt;0")+U$1009,0),0))</f>
        <v>0</v>
      </c>
      <c r="AM951" s="747">
        <f t="shared" si="162"/>
        <v>948</v>
      </c>
      <c r="AN951" s="164" t="e">
        <f>VLOOKUP($AM951,PATRIMONIALE!$AV1003:AW$1003,2,FALSE)</f>
        <v>#N/A</v>
      </c>
      <c r="AO951" s="310" t="e">
        <f>VLOOKUP($AM951,PATRIMONIALE!$AV1003:AX$1003,3,FALSE)</f>
        <v>#N/A</v>
      </c>
      <c r="AP951" s="310" t="e">
        <f>VLOOKUP($AM951,PATRIMONIALE!$AV1003:AY$1003,4,FALSE)</f>
        <v>#N/A</v>
      </c>
      <c r="AQ951" s="748" t="e">
        <f>VLOOKUP($AM951,PATRIMONIALE!$AV1003:AZ$1003,5,FALSE)</f>
        <v>#N/A</v>
      </c>
      <c r="AR951" s="1"/>
      <c r="AS951" s="461" t="str">
        <f t="shared" si="160"/>
        <v/>
      </c>
      <c r="AT951" s="370"/>
    </row>
    <row r="952" spans="1:46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435">
        <f>IF(AND(W952&gt;=$U$1,W952&lt;=$U$2),IF(X952='ESTRATTO CONTO'!$E$2,1+COUNTIF(U$4:U951,"&gt;0"),0),0)</f>
        <v>0</v>
      </c>
      <c r="V952" s="417">
        <f t="shared" si="161"/>
        <v>949</v>
      </c>
      <c r="W952" s="509"/>
      <c r="X952" s="321"/>
      <c r="Y952" s="321"/>
      <c r="Z952" s="433"/>
      <c r="AA952" s="356"/>
      <c r="AB952" s="306" t="str">
        <f t="shared" si="156"/>
        <v/>
      </c>
      <c r="AC952" s="893">
        <f t="shared" si="157"/>
        <v>0</v>
      </c>
      <c r="AD952" s="322"/>
      <c r="AE952" s="1"/>
      <c r="AF952" s="223">
        <f>IF(ISBLANK(AD952),0,COUNTIF(AF$4:AF951,"&gt;0")+1)</f>
        <v>0</v>
      </c>
      <c r="AG952" s="164">
        <f t="shared" si="163"/>
        <v>0</v>
      </c>
      <c r="AH952" s="99">
        <f t="shared" si="158"/>
        <v>0</v>
      </c>
      <c r="AI952" s="99">
        <f t="shared" si="164"/>
        <v>0</v>
      </c>
      <c r="AJ952" s="170">
        <f t="shared" si="165"/>
        <v>0</v>
      </c>
      <c r="AK952" s="204">
        <f t="shared" si="159"/>
        <v>0</v>
      </c>
      <c r="AL952" s="1049">
        <f>IF(ISERROR(AO952),0,IF(AND(AN952&gt;=$U$1,AN952&lt;=$U$2),IF(AO952='ESTRATTO CONTO'!$E$2,1+COUNTIF(AL$4:AL951,"&gt;0")+U$1009,0),0))</f>
        <v>0</v>
      </c>
      <c r="AM952" s="747">
        <f t="shared" si="162"/>
        <v>949</v>
      </c>
      <c r="AN952" s="164" t="e">
        <f>VLOOKUP($AM952,PATRIMONIALE!$AV1003:AW$1003,2,FALSE)</f>
        <v>#N/A</v>
      </c>
      <c r="AO952" s="310" t="e">
        <f>VLOOKUP($AM952,PATRIMONIALE!$AV1003:AX$1003,3,FALSE)</f>
        <v>#N/A</v>
      </c>
      <c r="AP952" s="310" t="e">
        <f>VLOOKUP($AM952,PATRIMONIALE!$AV1003:AY$1003,4,FALSE)</f>
        <v>#N/A</v>
      </c>
      <c r="AQ952" s="748" t="e">
        <f>VLOOKUP($AM952,PATRIMONIALE!$AV1003:AZ$1003,5,FALSE)</f>
        <v>#N/A</v>
      </c>
      <c r="AR952" s="1"/>
      <c r="AS952" s="461" t="str">
        <f t="shared" si="160"/>
        <v/>
      </c>
      <c r="AT952" s="370"/>
    </row>
    <row r="953" spans="1:46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435">
        <f>IF(AND(W953&gt;=$U$1,W953&lt;=$U$2),IF(X953='ESTRATTO CONTO'!$E$2,1+COUNTIF(U$4:U952,"&gt;0"),0),0)</f>
        <v>0</v>
      </c>
      <c r="V953" s="417">
        <f t="shared" si="161"/>
        <v>950</v>
      </c>
      <c r="W953" s="509"/>
      <c r="X953" s="321"/>
      <c r="Y953" s="321"/>
      <c r="Z953" s="433"/>
      <c r="AA953" s="356"/>
      <c r="AB953" s="306" t="str">
        <f t="shared" si="156"/>
        <v/>
      </c>
      <c r="AC953" s="893">
        <f t="shared" si="157"/>
        <v>0</v>
      </c>
      <c r="AD953" s="322"/>
      <c r="AE953" s="1"/>
      <c r="AF953" s="223">
        <f>IF(ISBLANK(AD953),0,COUNTIF(AF$4:AF952,"&gt;0")+1)</f>
        <v>0</v>
      </c>
      <c r="AG953" s="164">
        <f t="shared" si="163"/>
        <v>0</v>
      </c>
      <c r="AH953" s="99">
        <f t="shared" si="158"/>
        <v>0</v>
      </c>
      <c r="AI953" s="99">
        <f t="shared" si="164"/>
        <v>0</v>
      </c>
      <c r="AJ953" s="170">
        <f t="shared" si="165"/>
        <v>0</v>
      </c>
      <c r="AK953" s="204">
        <f t="shared" si="159"/>
        <v>0</v>
      </c>
      <c r="AL953" s="1049">
        <f>IF(ISERROR(AO953),0,IF(AND(AN953&gt;=$U$1,AN953&lt;=$U$2),IF(AO953='ESTRATTO CONTO'!$E$2,1+COUNTIF(AL$4:AL952,"&gt;0")+U$1009,0),0))</f>
        <v>0</v>
      </c>
      <c r="AM953" s="747">
        <f t="shared" si="162"/>
        <v>950</v>
      </c>
      <c r="AN953" s="164" t="e">
        <f>VLOOKUP($AM953,PATRIMONIALE!$AV1003:AW$1003,2,FALSE)</f>
        <v>#N/A</v>
      </c>
      <c r="AO953" s="310" t="e">
        <f>VLOOKUP($AM953,PATRIMONIALE!$AV1003:AX$1003,3,FALSE)</f>
        <v>#N/A</v>
      </c>
      <c r="AP953" s="310" t="e">
        <f>VLOOKUP($AM953,PATRIMONIALE!$AV1003:AY$1003,4,FALSE)</f>
        <v>#N/A</v>
      </c>
      <c r="AQ953" s="748" t="e">
        <f>VLOOKUP($AM953,PATRIMONIALE!$AV1003:AZ$1003,5,FALSE)</f>
        <v>#N/A</v>
      </c>
      <c r="AR953" s="1"/>
      <c r="AS953" s="461" t="str">
        <f t="shared" si="160"/>
        <v/>
      </c>
      <c r="AT953" s="370"/>
    </row>
    <row r="954" spans="1:46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435">
        <f>IF(AND(W954&gt;=$U$1,W954&lt;=$U$2),IF(X954='ESTRATTO CONTO'!$E$2,1+COUNTIF(U$4:U953,"&gt;0"),0),0)</f>
        <v>0</v>
      </c>
      <c r="V954" s="417">
        <f t="shared" si="161"/>
        <v>951</v>
      </c>
      <c r="W954" s="509"/>
      <c r="X954" s="321"/>
      <c r="Y954" s="321"/>
      <c r="Z954" s="433"/>
      <c r="AA954" s="356"/>
      <c r="AB954" s="306" t="str">
        <f t="shared" si="156"/>
        <v/>
      </c>
      <c r="AC954" s="893">
        <f t="shared" si="157"/>
        <v>0</v>
      </c>
      <c r="AD954" s="322"/>
      <c r="AE954" s="1"/>
      <c r="AF954" s="223">
        <f>IF(ISBLANK(AD954),0,COUNTIF(AF$4:AF953,"&gt;0")+1)</f>
        <v>0</v>
      </c>
      <c r="AG954" s="164">
        <f t="shared" si="163"/>
        <v>0</v>
      </c>
      <c r="AH954" s="99">
        <f t="shared" si="158"/>
        <v>0</v>
      </c>
      <c r="AI954" s="99">
        <f t="shared" si="164"/>
        <v>0</v>
      </c>
      <c r="AJ954" s="170">
        <f t="shared" si="165"/>
        <v>0</v>
      </c>
      <c r="AK954" s="204">
        <f t="shared" si="159"/>
        <v>0</v>
      </c>
      <c r="AL954" s="1049">
        <f>IF(ISERROR(AO954),0,IF(AND(AN954&gt;=$U$1,AN954&lt;=$U$2),IF(AO954='ESTRATTO CONTO'!$E$2,1+COUNTIF(AL$4:AL953,"&gt;0")+U$1009,0),0))</f>
        <v>0</v>
      </c>
      <c r="AM954" s="747">
        <f t="shared" si="162"/>
        <v>951</v>
      </c>
      <c r="AN954" s="164" t="e">
        <f>VLOOKUP($AM954,PATRIMONIALE!$AV1003:AW$1003,2,FALSE)</f>
        <v>#N/A</v>
      </c>
      <c r="AO954" s="310" t="e">
        <f>VLOOKUP($AM954,PATRIMONIALE!$AV1003:AX$1003,3,FALSE)</f>
        <v>#N/A</v>
      </c>
      <c r="AP954" s="310" t="e">
        <f>VLOOKUP($AM954,PATRIMONIALE!$AV1003:AY$1003,4,FALSE)</f>
        <v>#N/A</v>
      </c>
      <c r="AQ954" s="748" t="e">
        <f>VLOOKUP($AM954,PATRIMONIALE!$AV1003:AZ$1003,5,FALSE)</f>
        <v>#N/A</v>
      </c>
      <c r="AR954" s="1"/>
      <c r="AS954" s="461" t="str">
        <f t="shared" si="160"/>
        <v/>
      </c>
      <c r="AT954" s="370"/>
    </row>
    <row r="955" spans="1:46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435">
        <f>IF(AND(W955&gt;=$U$1,W955&lt;=$U$2),IF(X955='ESTRATTO CONTO'!$E$2,1+COUNTIF(U$4:U954,"&gt;0"),0),0)</f>
        <v>0</v>
      </c>
      <c r="V955" s="417">
        <f t="shared" si="161"/>
        <v>952</v>
      </c>
      <c r="W955" s="509"/>
      <c r="X955" s="321"/>
      <c r="Y955" s="321"/>
      <c r="Z955" s="433"/>
      <c r="AA955" s="356"/>
      <c r="AB955" s="306" t="str">
        <f t="shared" si="156"/>
        <v/>
      </c>
      <c r="AC955" s="893">
        <f t="shared" si="157"/>
        <v>0</v>
      </c>
      <c r="AD955" s="322"/>
      <c r="AE955" s="1"/>
      <c r="AF955" s="223">
        <f>IF(ISBLANK(AD955),0,COUNTIF(AF$4:AF954,"&gt;0")+1)</f>
        <v>0</v>
      </c>
      <c r="AG955" s="164">
        <f t="shared" si="163"/>
        <v>0</v>
      </c>
      <c r="AH955" s="99">
        <f t="shared" si="158"/>
        <v>0</v>
      </c>
      <c r="AI955" s="99">
        <f t="shared" si="164"/>
        <v>0</v>
      </c>
      <c r="AJ955" s="170">
        <f t="shared" si="165"/>
        <v>0</v>
      </c>
      <c r="AK955" s="204">
        <f t="shared" si="159"/>
        <v>0</v>
      </c>
      <c r="AL955" s="1049">
        <f>IF(ISERROR(AO955),0,IF(AND(AN955&gt;=$U$1,AN955&lt;=$U$2),IF(AO955='ESTRATTO CONTO'!$E$2,1+COUNTIF(AL$4:AL954,"&gt;0")+U$1009,0),0))</f>
        <v>0</v>
      </c>
      <c r="AM955" s="747">
        <f t="shared" si="162"/>
        <v>952</v>
      </c>
      <c r="AN955" s="164" t="e">
        <f>VLOOKUP($AM955,PATRIMONIALE!$AV1003:AW$1003,2,FALSE)</f>
        <v>#N/A</v>
      </c>
      <c r="AO955" s="310" t="e">
        <f>VLOOKUP($AM955,PATRIMONIALE!$AV1003:AX$1003,3,FALSE)</f>
        <v>#N/A</v>
      </c>
      <c r="AP955" s="310" t="e">
        <f>VLOOKUP($AM955,PATRIMONIALE!$AV1003:AY$1003,4,FALSE)</f>
        <v>#N/A</v>
      </c>
      <c r="AQ955" s="748" t="e">
        <f>VLOOKUP($AM955,PATRIMONIALE!$AV1003:AZ$1003,5,FALSE)</f>
        <v>#N/A</v>
      </c>
      <c r="AR955" s="1"/>
      <c r="AS955" s="461" t="str">
        <f t="shared" si="160"/>
        <v/>
      </c>
      <c r="AT955" s="370"/>
    </row>
    <row r="956" spans="1:46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435">
        <f>IF(AND(W956&gt;=$U$1,W956&lt;=$U$2),IF(X956='ESTRATTO CONTO'!$E$2,1+COUNTIF(U$4:U955,"&gt;0"),0),0)</f>
        <v>0</v>
      </c>
      <c r="V956" s="417">
        <f t="shared" si="161"/>
        <v>953</v>
      </c>
      <c r="W956" s="509"/>
      <c r="X956" s="321"/>
      <c r="Y956" s="321"/>
      <c r="Z956" s="433"/>
      <c r="AA956" s="356"/>
      <c r="AB956" s="306" t="str">
        <f t="shared" si="156"/>
        <v/>
      </c>
      <c r="AC956" s="893">
        <f t="shared" si="157"/>
        <v>0</v>
      </c>
      <c r="AD956" s="322"/>
      <c r="AE956" s="1"/>
      <c r="AF956" s="223">
        <f>IF(ISBLANK(AD956),0,COUNTIF(AF$4:AF955,"&gt;0")+1)</f>
        <v>0</v>
      </c>
      <c r="AG956" s="164">
        <f t="shared" si="163"/>
        <v>0</v>
      </c>
      <c r="AH956" s="99">
        <f t="shared" si="158"/>
        <v>0</v>
      </c>
      <c r="AI956" s="99">
        <f t="shared" si="164"/>
        <v>0</v>
      </c>
      <c r="AJ956" s="170">
        <f t="shared" si="165"/>
        <v>0</v>
      </c>
      <c r="AK956" s="204">
        <f t="shared" si="159"/>
        <v>0</v>
      </c>
      <c r="AL956" s="1049">
        <f>IF(ISERROR(AO956),0,IF(AND(AN956&gt;=$U$1,AN956&lt;=$U$2),IF(AO956='ESTRATTO CONTO'!$E$2,1+COUNTIF(AL$4:AL955,"&gt;0")+U$1009,0),0))</f>
        <v>0</v>
      </c>
      <c r="AM956" s="747">
        <f t="shared" si="162"/>
        <v>953</v>
      </c>
      <c r="AN956" s="164" t="e">
        <f>VLOOKUP($AM956,PATRIMONIALE!$AV1003:AW$1003,2,FALSE)</f>
        <v>#N/A</v>
      </c>
      <c r="AO956" s="310" t="e">
        <f>VLOOKUP($AM956,PATRIMONIALE!$AV1003:AX$1003,3,FALSE)</f>
        <v>#N/A</v>
      </c>
      <c r="AP956" s="310" t="e">
        <f>VLOOKUP($AM956,PATRIMONIALE!$AV1003:AY$1003,4,FALSE)</f>
        <v>#N/A</v>
      </c>
      <c r="AQ956" s="748" t="e">
        <f>VLOOKUP($AM956,PATRIMONIALE!$AV1003:AZ$1003,5,FALSE)</f>
        <v>#N/A</v>
      </c>
      <c r="AR956" s="1"/>
      <c r="AS956" s="461" t="str">
        <f t="shared" si="160"/>
        <v/>
      </c>
      <c r="AT956" s="370"/>
    </row>
    <row r="957" spans="1:46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435">
        <f>IF(AND(W957&gt;=$U$1,W957&lt;=$U$2),IF(X957='ESTRATTO CONTO'!$E$2,1+COUNTIF(U$4:U956,"&gt;0"),0),0)</f>
        <v>0</v>
      </c>
      <c r="V957" s="417">
        <f t="shared" si="161"/>
        <v>954</v>
      </c>
      <c r="W957" s="509"/>
      <c r="X957" s="321"/>
      <c r="Y957" s="321"/>
      <c r="Z957" s="433"/>
      <c r="AA957" s="356"/>
      <c r="AB957" s="306" t="str">
        <f t="shared" si="156"/>
        <v/>
      </c>
      <c r="AC957" s="893">
        <f t="shared" si="157"/>
        <v>0</v>
      </c>
      <c r="AD957" s="322"/>
      <c r="AE957" s="1"/>
      <c r="AF957" s="223">
        <f>IF(ISBLANK(AD957),0,COUNTIF(AF$4:AF956,"&gt;0")+1)</f>
        <v>0</v>
      </c>
      <c r="AG957" s="164">
        <f t="shared" si="163"/>
        <v>0</v>
      </c>
      <c r="AH957" s="99">
        <f t="shared" si="158"/>
        <v>0</v>
      </c>
      <c r="AI957" s="99">
        <f t="shared" si="164"/>
        <v>0</v>
      </c>
      <c r="AJ957" s="170">
        <f t="shared" si="165"/>
        <v>0</v>
      </c>
      <c r="AK957" s="204">
        <f t="shared" si="159"/>
        <v>0</v>
      </c>
      <c r="AL957" s="1049">
        <f>IF(ISERROR(AO957),0,IF(AND(AN957&gt;=$U$1,AN957&lt;=$U$2),IF(AO957='ESTRATTO CONTO'!$E$2,1+COUNTIF(AL$4:AL956,"&gt;0")+U$1009,0),0))</f>
        <v>0</v>
      </c>
      <c r="AM957" s="747">
        <f t="shared" si="162"/>
        <v>954</v>
      </c>
      <c r="AN957" s="164" t="e">
        <f>VLOOKUP($AM957,PATRIMONIALE!$AV1003:AW$1003,2,FALSE)</f>
        <v>#N/A</v>
      </c>
      <c r="AO957" s="310" t="e">
        <f>VLOOKUP($AM957,PATRIMONIALE!$AV1003:AX$1003,3,FALSE)</f>
        <v>#N/A</v>
      </c>
      <c r="AP957" s="310" t="e">
        <f>VLOOKUP($AM957,PATRIMONIALE!$AV1003:AY$1003,4,FALSE)</f>
        <v>#N/A</v>
      </c>
      <c r="AQ957" s="748" t="e">
        <f>VLOOKUP($AM957,PATRIMONIALE!$AV1003:AZ$1003,5,FALSE)</f>
        <v>#N/A</v>
      </c>
      <c r="AR957" s="1"/>
      <c r="AS957" s="461" t="str">
        <f t="shared" si="160"/>
        <v/>
      </c>
      <c r="AT957" s="370"/>
    </row>
    <row r="958" spans="1:46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435">
        <f>IF(AND(W958&gt;=$U$1,W958&lt;=$U$2),IF(X958='ESTRATTO CONTO'!$E$2,1+COUNTIF(U$4:U957,"&gt;0"),0),0)</f>
        <v>0</v>
      </c>
      <c r="V958" s="417">
        <f t="shared" si="161"/>
        <v>955</v>
      </c>
      <c r="W958" s="509"/>
      <c r="X958" s="321"/>
      <c r="Y958" s="321"/>
      <c r="Z958" s="433"/>
      <c r="AA958" s="356"/>
      <c r="AB958" s="306" t="str">
        <f t="shared" si="156"/>
        <v/>
      </c>
      <c r="AC958" s="893">
        <f t="shared" si="157"/>
        <v>0</v>
      </c>
      <c r="AD958" s="322"/>
      <c r="AE958" s="1"/>
      <c r="AF958" s="223">
        <f>IF(ISBLANK(AD958),0,COUNTIF(AF$4:AF957,"&gt;0")+1)</f>
        <v>0</v>
      </c>
      <c r="AG958" s="164">
        <f t="shared" si="163"/>
        <v>0</v>
      </c>
      <c r="AH958" s="99">
        <f t="shared" si="158"/>
        <v>0</v>
      </c>
      <c r="AI958" s="99">
        <f t="shared" si="164"/>
        <v>0</v>
      </c>
      <c r="AJ958" s="170">
        <f t="shared" si="165"/>
        <v>0</v>
      </c>
      <c r="AK958" s="204">
        <f t="shared" si="159"/>
        <v>0</v>
      </c>
      <c r="AL958" s="1049">
        <f>IF(ISERROR(AO958),0,IF(AND(AN958&gt;=$U$1,AN958&lt;=$U$2),IF(AO958='ESTRATTO CONTO'!$E$2,1+COUNTIF(AL$4:AL957,"&gt;0")+U$1009,0),0))</f>
        <v>0</v>
      </c>
      <c r="AM958" s="747">
        <f t="shared" si="162"/>
        <v>955</v>
      </c>
      <c r="AN958" s="164" t="e">
        <f>VLOOKUP($AM958,PATRIMONIALE!$AV1003:AW$1003,2,FALSE)</f>
        <v>#N/A</v>
      </c>
      <c r="AO958" s="310" t="e">
        <f>VLOOKUP($AM958,PATRIMONIALE!$AV1003:AX$1003,3,FALSE)</f>
        <v>#N/A</v>
      </c>
      <c r="AP958" s="310" t="e">
        <f>VLOOKUP($AM958,PATRIMONIALE!$AV1003:AY$1003,4,FALSE)</f>
        <v>#N/A</v>
      </c>
      <c r="AQ958" s="748" t="e">
        <f>VLOOKUP($AM958,PATRIMONIALE!$AV1003:AZ$1003,5,FALSE)</f>
        <v>#N/A</v>
      </c>
      <c r="AR958" s="1"/>
      <c r="AS958" s="461" t="str">
        <f t="shared" si="160"/>
        <v/>
      </c>
      <c r="AT958" s="370"/>
    </row>
    <row r="959" spans="1:46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435">
        <f>IF(AND(W959&gt;=$U$1,W959&lt;=$U$2),IF(X959='ESTRATTO CONTO'!$E$2,1+COUNTIF(U$4:U958,"&gt;0"),0),0)</f>
        <v>0</v>
      </c>
      <c r="V959" s="417">
        <f t="shared" si="161"/>
        <v>956</v>
      </c>
      <c r="W959" s="509"/>
      <c r="X959" s="321"/>
      <c r="Y959" s="321"/>
      <c r="Z959" s="433"/>
      <c r="AA959" s="356"/>
      <c r="AB959" s="306" t="str">
        <f t="shared" si="156"/>
        <v/>
      </c>
      <c r="AC959" s="893">
        <f t="shared" si="157"/>
        <v>0</v>
      </c>
      <c r="AD959" s="322"/>
      <c r="AE959" s="1"/>
      <c r="AF959" s="223">
        <f>IF(ISBLANK(AD959),0,COUNTIF(AF$4:AF958,"&gt;0")+1)</f>
        <v>0</v>
      </c>
      <c r="AG959" s="164">
        <f t="shared" si="163"/>
        <v>0</v>
      </c>
      <c r="AH959" s="99">
        <f t="shared" si="158"/>
        <v>0</v>
      </c>
      <c r="AI959" s="99">
        <f t="shared" si="164"/>
        <v>0</v>
      </c>
      <c r="AJ959" s="170">
        <f t="shared" si="165"/>
        <v>0</v>
      </c>
      <c r="AK959" s="204">
        <f t="shared" si="159"/>
        <v>0</v>
      </c>
      <c r="AL959" s="1049">
        <f>IF(ISERROR(AO959),0,IF(AND(AN959&gt;=$U$1,AN959&lt;=$U$2),IF(AO959='ESTRATTO CONTO'!$E$2,1+COUNTIF(AL$4:AL958,"&gt;0")+U$1009,0),0))</f>
        <v>0</v>
      </c>
      <c r="AM959" s="747">
        <f t="shared" si="162"/>
        <v>956</v>
      </c>
      <c r="AN959" s="164" t="e">
        <f>VLOOKUP($AM959,PATRIMONIALE!$AV1003:AW$1003,2,FALSE)</f>
        <v>#N/A</v>
      </c>
      <c r="AO959" s="310" t="e">
        <f>VLOOKUP($AM959,PATRIMONIALE!$AV1003:AX$1003,3,FALSE)</f>
        <v>#N/A</v>
      </c>
      <c r="AP959" s="310" t="e">
        <f>VLOOKUP($AM959,PATRIMONIALE!$AV1003:AY$1003,4,FALSE)</f>
        <v>#N/A</v>
      </c>
      <c r="AQ959" s="748" t="e">
        <f>VLOOKUP($AM959,PATRIMONIALE!$AV1003:AZ$1003,5,FALSE)</f>
        <v>#N/A</v>
      </c>
      <c r="AR959" s="1"/>
      <c r="AS959" s="461" t="str">
        <f t="shared" si="160"/>
        <v/>
      </c>
      <c r="AT959" s="370"/>
    </row>
    <row r="960" spans="1:46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435">
        <f>IF(AND(W960&gt;=$U$1,W960&lt;=$U$2),IF(X960='ESTRATTO CONTO'!$E$2,1+COUNTIF(U$4:U959,"&gt;0"),0),0)</f>
        <v>0</v>
      </c>
      <c r="V960" s="417">
        <f t="shared" si="161"/>
        <v>957</v>
      </c>
      <c r="W960" s="509"/>
      <c r="X960" s="321"/>
      <c r="Y960" s="321"/>
      <c r="Z960" s="433"/>
      <c r="AA960" s="356"/>
      <c r="AB960" s="306" t="str">
        <f t="shared" si="156"/>
        <v/>
      </c>
      <c r="AC960" s="893">
        <f t="shared" si="157"/>
        <v>0</v>
      </c>
      <c r="AD960" s="322"/>
      <c r="AE960" s="1"/>
      <c r="AF960" s="223">
        <f>IF(ISBLANK(AD960),0,COUNTIF(AF$4:AF959,"&gt;0")+1)</f>
        <v>0</v>
      </c>
      <c r="AG960" s="164">
        <f t="shared" si="163"/>
        <v>0</v>
      </c>
      <c r="AH960" s="99">
        <f t="shared" si="158"/>
        <v>0</v>
      </c>
      <c r="AI960" s="99">
        <f t="shared" si="164"/>
        <v>0</v>
      </c>
      <c r="AJ960" s="170">
        <f t="shared" si="165"/>
        <v>0</v>
      </c>
      <c r="AK960" s="204">
        <f t="shared" si="159"/>
        <v>0</v>
      </c>
      <c r="AL960" s="1049">
        <f>IF(ISERROR(AO960),0,IF(AND(AN960&gt;=$U$1,AN960&lt;=$U$2),IF(AO960='ESTRATTO CONTO'!$E$2,1+COUNTIF(AL$4:AL959,"&gt;0")+U$1009,0),0))</f>
        <v>0</v>
      </c>
      <c r="AM960" s="747">
        <f t="shared" si="162"/>
        <v>957</v>
      </c>
      <c r="AN960" s="164" t="e">
        <f>VLOOKUP($AM960,PATRIMONIALE!$AV1003:AW$1003,2,FALSE)</f>
        <v>#N/A</v>
      </c>
      <c r="AO960" s="310" t="e">
        <f>VLOOKUP($AM960,PATRIMONIALE!$AV1003:AX$1003,3,FALSE)</f>
        <v>#N/A</v>
      </c>
      <c r="AP960" s="310" t="e">
        <f>VLOOKUP($AM960,PATRIMONIALE!$AV1003:AY$1003,4,FALSE)</f>
        <v>#N/A</v>
      </c>
      <c r="AQ960" s="748" t="e">
        <f>VLOOKUP($AM960,PATRIMONIALE!$AV1003:AZ$1003,5,FALSE)</f>
        <v>#N/A</v>
      </c>
      <c r="AR960" s="1"/>
      <c r="AS960" s="461" t="str">
        <f t="shared" si="160"/>
        <v/>
      </c>
      <c r="AT960" s="370"/>
    </row>
    <row r="961" spans="1:46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435">
        <f>IF(AND(W961&gt;=$U$1,W961&lt;=$U$2),IF(X961='ESTRATTO CONTO'!$E$2,1+COUNTIF(U$4:U960,"&gt;0"),0),0)</f>
        <v>0</v>
      </c>
      <c r="V961" s="417">
        <f t="shared" si="161"/>
        <v>958</v>
      </c>
      <c r="W961" s="509"/>
      <c r="X961" s="321"/>
      <c r="Y961" s="321"/>
      <c r="Z961" s="433"/>
      <c r="AA961" s="356"/>
      <c r="AB961" s="306" t="str">
        <f t="shared" si="156"/>
        <v/>
      </c>
      <c r="AC961" s="893">
        <f t="shared" si="157"/>
        <v>0</v>
      </c>
      <c r="AD961" s="322"/>
      <c r="AE961" s="1"/>
      <c r="AF961" s="223">
        <f>IF(ISBLANK(AD961),0,COUNTIF(AF$4:AF960,"&gt;0")+1)</f>
        <v>0</v>
      </c>
      <c r="AG961" s="164">
        <f t="shared" si="163"/>
        <v>0</v>
      </c>
      <c r="AH961" s="99">
        <f t="shared" si="158"/>
        <v>0</v>
      </c>
      <c r="AI961" s="99">
        <f t="shared" si="164"/>
        <v>0</v>
      </c>
      <c r="AJ961" s="170">
        <f t="shared" si="165"/>
        <v>0</v>
      </c>
      <c r="AK961" s="204">
        <f t="shared" si="159"/>
        <v>0</v>
      </c>
      <c r="AL961" s="1049">
        <f>IF(ISERROR(AO961),0,IF(AND(AN961&gt;=$U$1,AN961&lt;=$U$2),IF(AO961='ESTRATTO CONTO'!$E$2,1+COUNTIF(AL$4:AL960,"&gt;0")+U$1009,0),0))</f>
        <v>0</v>
      </c>
      <c r="AM961" s="747">
        <f t="shared" si="162"/>
        <v>958</v>
      </c>
      <c r="AN961" s="164" t="e">
        <f>VLOOKUP($AM961,PATRIMONIALE!$AV1003:AW$1003,2,FALSE)</f>
        <v>#N/A</v>
      </c>
      <c r="AO961" s="310" t="e">
        <f>VLOOKUP($AM961,PATRIMONIALE!$AV1003:AX$1003,3,FALSE)</f>
        <v>#N/A</v>
      </c>
      <c r="AP961" s="310" t="e">
        <f>VLOOKUP($AM961,PATRIMONIALE!$AV1003:AY$1003,4,FALSE)</f>
        <v>#N/A</v>
      </c>
      <c r="AQ961" s="748" t="e">
        <f>VLOOKUP($AM961,PATRIMONIALE!$AV1003:AZ$1003,5,FALSE)</f>
        <v>#N/A</v>
      </c>
      <c r="AR961" s="1"/>
      <c r="AS961" s="461" t="str">
        <f t="shared" si="160"/>
        <v/>
      </c>
      <c r="AT961" s="370"/>
    </row>
    <row r="962" spans="1:46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435">
        <f>IF(AND(W962&gt;=$U$1,W962&lt;=$U$2),IF(X962='ESTRATTO CONTO'!$E$2,1+COUNTIF(U$4:U961,"&gt;0"),0),0)</f>
        <v>0</v>
      </c>
      <c r="V962" s="417">
        <f t="shared" si="161"/>
        <v>959</v>
      </c>
      <c r="W962" s="509"/>
      <c r="X962" s="321"/>
      <c r="Y962" s="321"/>
      <c r="Z962" s="433"/>
      <c r="AA962" s="356"/>
      <c r="AB962" s="306" t="str">
        <f t="shared" si="156"/>
        <v/>
      </c>
      <c r="AC962" s="893">
        <f t="shared" si="157"/>
        <v>0</v>
      </c>
      <c r="AD962" s="322"/>
      <c r="AE962" s="1"/>
      <c r="AF962" s="223">
        <f>IF(ISBLANK(AD962),0,COUNTIF(AF$4:AF961,"&gt;0")+1)</f>
        <v>0</v>
      </c>
      <c r="AG962" s="164">
        <f t="shared" si="163"/>
        <v>0</v>
      </c>
      <c r="AH962" s="99">
        <f t="shared" si="158"/>
        <v>0</v>
      </c>
      <c r="AI962" s="99">
        <f t="shared" si="164"/>
        <v>0</v>
      </c>
      <c r="AJ962" s="170">
        <f t="shared" si="165"/>
        <v>0</v>
      </c>
      <c r="AK962" s="204">
        <f t="shared" si="159"/>
        <v>0</v>
      </c>
      <c r="AL962" s="1049">
        <f>IF(ISERROR(AO962),0,IF(AND(AN962&gt;=$U$1,AN962&lt;=$U$2),IF(AO962='ESTRATTO CONTO'!$E$2,1+COUNTIF(AL$4:AL961,"&gt;0")+U$1009,0),0))</f>
        <v>0</v>
      </c>
      <c r="AM962" s="747">
        <f t="shared" si="162"/>
        <v>959</v>
      </c>
      <c r="AN962" s="164" t="e">
        <f>VLOOKUP($AM962,PATRIMONIALE!$AV1003:AW$1003,2,FALSE)</f>
        <v>#N/A</v>
      </c>
      <c r="AO962" s="310" t="e">
        <f>VLOOKUP($AM962,PATRIMONIALE!$AV1003:AX$1003,3,FALSE)</f>
        <v>#N/A</v>
      </c>
      <c r="AP962" s="310" t="e">
        <f>VLOOKUP($AM962,PATRIMONIALE!$AV1003:AY$1003,4,FALSE)</f>
        <v>#N/A</v>
      </c>
      <c r="AQ962" s="748" t="e">
        <f>VLOOKUP($AM962,PATRIMONIALE!$AV1003:AZ$1003,5,FALSE)</f>
        <v>#N/A</v>
      </c>
      <c r="AR962" s="1"/>
      <c r="AS962" s="461" t="str">
        <f t="shared" si="160"/>
        <v/>
      </c>
      <c r="AT962" s="370"/>
    </row>
    <row r="963" spans="1:46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435">
        <f>IF(AND(W963&gt;=$U$1,W963&lt;=$U$2),IF(X963='ESTRATTO CONTO'!$E$2,1+COUNTIF(U$4:U962,"&gt;0"),0),0)</f>
        <v>0</v>
      </c>
      <c r="V963" s="417">
        <f t="shared" si="161"/>
        <v>960</v>
      </c>
      <c r="W963" s="509"/>
      <c r="X963" s="321"/>
      <c r="Y963" s="321"/>
      <c r="Z963" s="433"/>
      <c r="AA963" s="356"/>
      <c r="AB963" s="306" t="str">
        <f t="shared" si="156"/>
        <v/>
      </c>
      <c r="AC963" s="893">
        <f t="shared" si="157"/>
        <v>0</v>
      </c>
      <c r="AD963" s="322"/>
      <c r="AE963" s="1"/>
      <c r="AF963" s="223">
        <f>IF(ISBLANK(AD963),0,COUNTIF(AF$4:AF962,"&gt;0")+1)</f>
        <v>0</v>
      </c>
      <c r="AG963" s="164">
        <f t="shared" si="163"/>
        <v>0</v>
      </c>
      <c r="AH963" s="99">
        <f t="shared" si="158"/>
        <v>0</v>
      </c>
      <c r="AI963" s="99">
        <f t="shared" si="164"/>
        <v>0</v>
      </c>
      <c r="AJ963" s="170">
        <f t="shared" si="165"/>
        <v>0</v>
      </c>
      <c r="AK963" s="204">
        <f t="shared" si="159"/>
        <v>0</v>
      </c>
      <c r="AL963" s="1049">
        <f>IF(ISERROR(AO963),0,IF(AND(AN963&gt;=$U$1,AN963&lt;=$U$2),IF(AO963='ESTRATTO CONTO'!$E$2,1+COUNTIF(AL$4:AL962,"&gt;0")+U$1009,0),0))</f>
        <v>0</v>
      </c>
      <c r="AM963" s="747">
        <f t="shared" si="162"/>
        <v>960</v>
      </c>
      <c r="AN963" s="164" t="e">
        <f>VLOOKUP($AM963,PATRIMONIALE!$AV1003:AW$1003,2,FALSE)</f>
        <v>#N/A</v>
      </c>
      <c r="AO963" s="310" t="e">
        <f>VLOOKUP($AM963,PATRIMONIALE!$AV1003:AX$1003,3,FALSE)</f>
        <v>#N/A</v>
      </c>
      <c r="AP963" s="310" t="e">
        <f>VLOOKUP($AM963,PATRIMONIALE!$AV1003:AY$1003,4,FALSE)</f>
        <v>#N/A</v>
      </c>
      <c r="AQ963" s="748" t="e">
        <f>VLOOKUP($AM963,PATRIMONIALE!$AV1003:AZ$1003,5,FALSE)</f>
        <v>#N/A</v>
      </c>
      <c r="AR963" s="1"/>
      <c r="AS963" s="461" t="str">
        <f t="shared" si="160"/>
        <v/>
      </c>
      <c r="AT963" s="370"/>
    </row>
    <row r="964" spans="1:46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435">
        <f>IF(AND(W964&gt;=$U$1,W964&lt;=$U$2),IF(X964='ESTRATTO CONTO'!$E$2,1+COUNTIF(U$4:U963,"&gt;0"),0),0)</f>
        <v>0</v>
      </c>
      <c r="V964" s="417">
        <f t="shared" si="161"/>
        <v>961</v>
      </c>
      <c r="W964" s="509"/>
      <c r="X964" s="321"/>
      <c r="Y964" s="321"/>
      <c r="Z964" s="433"/>
      <c r="AA964" s="356"/>
      <c r="AB964" s="306" t="str">
        <f t="shared" ref="AB964:AB1003" si="166">IF(X964="","",IF(W964&gt;0,IF(AND(W964&gt;=W$1012,W964&lt;=W$1013),CONCATENATE(X964,"-",MONTH(W964)),0),""))</f>
        <v/>
      </c>
      <c r="AC964" s="893">
        <f t="shared" ref="AC964:AC1003" si="167">IF(AD964="",0,VLOOKUP(AD964,$AD$1025:$AD$1038,1,FALSE))</f>
        <v>0</v>
      </c>
      <c r="AD964" s="322"/>
      <c r="AE964" s="1"/>
      <c r="AF964" s="223">
        <f>IF(ISBLANK(AD964),0,COUNTIF(AF$4:AF963,"&gt;0")+1)</f>
        <v>0</v>
      </c>
      <c r="AG964" s="164">
        <f t="shared" si="163"/>
        <v>0</v>
      </c>
      <c r="AH964" s="99">
        <f t="shared" ref="AH964:AH1003" si="168">IF($AF964=0,0,VLOOKUP(AD964,$AD$1025:$AH$1038,5,FALSE))</f>
        <v>0</v>
      </c>
      <c r="AI964" s="99">
        <f t="shared" si="164"/>
        <v>0</v>
      </c>
      <c r="AJ964" s="170">
        <f t="shared" si="165"/>
        <v>0</v>
      </c>
      <c r="AK964" s="204">
        <f t="shared" ref="AK964:AK1002" si="169">X964</f>
        <v>0</v>
      </c>
      <c r="AL964" s="1049">
        <f>IF(ISERROR(AO964),0,IF(AND(AN964&gt;=$U$1,AN964&lt;=$U$2),IF(AO964='ESTRATTO CONTO'!$E$2,1+COUNTIF(AL$4:AL963,"&gt;0")+U$1009,0),0))</f>
        <v>0</v>
      </c>
      <c r="AM964" s="747">
        <f t="shared" si="162"/>
        <v>961</v>
      </c>
      <c r="AN964" s="164" t="e">
        <f>VLOOKUP($AM964,PATRIMONIALE!$AV1003:AW$1003,2,FALSE)</f>
        <v>#N/A</v>
      </c>
      <c r="AO964" s="310" t="e">
        <f>VLOOKUP($AM964,PATRIMONIALE!$AV1003:AX$1003,3,FALSE)</f>
        <v>#N/A</v>
      </c>
      <c r="AP964" s="310" t="e">
        <f>VLOOKUP($AM964,PATRIMONIALE!$AV1003:AY$1003,4,FALSE)</f>
        <v>#N/A</v>
      </c>
      <c r="AQ964" s="748" t="e">
        <f>VLOOKUP($AM964,PATRIMONIALE!$AV1003:AZ$1003,5,FALSE)</f>
        <v>#N/A</v>
      </c>
      <c r="AR964" s="1"/>
      <c r="AS964" s="461" t="str">
        <f t="shared" ref="AS964:AS1002" si="170">IF(X964="","",IF(ISERROR(VLOOKUP(X964,B$9:E$13,1,FALSE)),1,0))</f>
        <v/>
      </c>
      <c r="AT964" s="370"/>
    </row>
    <row r="965" spans="1:46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435">
        <f>IF(AND(W965&gt;=$U$1,W965&lt;=$U$2),IF(X965='ESTRATTO CONTO'!$E$2,1+COUNTIF(U$4:U964,"&gt;0"),0),0)</f>
        <v>0</v>
      </c>
      <c r="V965" s="417">
        <f t="shared" si="161"/>
        <v>962</v>
      </c>
      <c r="W965" s="509"/>
      <c r="X965" s="321"/>
      <c r="Y965" s="321"/>
      <c r="Z965" s="433"/>
      <c r="AA965" s="356"/>
      <c r="AB965" s="306" t="str">
        <f t="shared" si="166"/>
        <v/>
      </c>
      <c r="AC965" s="893">
        <f t="shared" si="167"/>
        <v>0</v>
      </c>
      <c r="AD965" s="322"/>
      <c r="AE965" s="1"/>
      <c r="AF965" s="223">
        <f>IF(ISBLANK(AD965),0,COUNTIF(AF$4:AF964,"&gt;0")+1)</f>
        <v>0</v>
      </c>
      <c r="AG965" s="164">
        <f t="shared" si="163"/>
        <v>0</v>
      </c>
      <c r="AH965" s="99">
        <f t="shared" si="168"/>
        <v>0</v>
      </c>
      <c r="AI965" s="99">
        <f t="shared" si="164"/>
        <v>0</v>
      </c>
      <c r="AJ965" s="170">
        <f t="shared" si="165"/>
        <v>0</v>
      </c>
      <c r="AK965" s="204">
        <f t="shared" si="169"/>
        <v>0</v>
      </c>
      <c r="AL965" s="1049">
        <f>IF(ISERROR(AO965),0,IF(AND(AN965&gt;=$U$1,AN965&lt;=$U$2),IF(AO965='ESTRATTO CONTO'!$E$2,1+COUNTIF(AL$4:AL964,"&gt;0")+U$1009,0),0))</f>
        <v>0</v>
      </c>
      <c r="AM965" s="747">
        <f t="shared" si="162"/>
        <v>962</v>
      </c>
      <c r="AN965" s="164" t="e">
        <f>VLOOKUP($AM965,PATRIMONIALE!$AV1003:AW$1003,2,FALSE)</f>
        <v>#N/A</v>
      </c>
      <c r="AO965" s="310" t="e">
        <f>VLOOKUP($AM965,PATRIMONIALE!$AV1003:AX$1003,3,FALSE)</f>
        <v>#N/A</v>
      </c>
      <c r="AP965" s="310" t="e">
        <f>VLOOKUP($AM965,PATRIMONIALE!$AV1003:AY$1003,4,FALSE)</f>
        <v>#N/A</v>
      </c>
      <c r="AQ965" s="748" t="e">
        <f>VLOOKUP($AM965,PATRIMONIALE!$AV1003:AZ$1003,5,FALSE)</f>
        <v>#N/A</v>
      </c>
      <c r="AR965" s="1"/>
      <c r="AS965" s="461" t="str">
        <f t="shared" si="170"/>
        <v/>
      </c>
      <c r="AT965" s="370"/>
    </row>
    <row r="966" spans="1:46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435">
        <f>IF(AND(W966&gt;=$U$1,W966&lt;=$U$2),IF(X966='ESTRATTO CONTO'!$E$2,1+COUNTIF(U$4:U965,"&gt;0"),0),0)</f>
        <v>0</v>
      </c>
      <c r="V966" s="417">
        <f t="shared" ref="V966:V1003" si="171">V965+1</f>
        <v>963</v>
      </c>
      <c r="W966" s="509"/>
      <c r="X966" s="321"/>
      <c r="Y966" s="321"/>
      <c r="Z966" s="433"/>
      <c r="AA966" s="356"/>
      <c r="AB966" s="306" t="str">
        <f t="shared" si="166"/>
        <v/>
      </c>
      <c r="AC966" s="893">
        <f t="shared" si="167"/>
        <v>0</v>
      </c>
      <c r="AD966" s="322"/>
      <c r="AE966" s="1"/>
      <c r="AF966" s="223">
        <f>IF(ISBLANK(AD966),0,COUNTIF(AF$4:AF965,"&gt;0")+1)</f>
        <v>0</v>
      </c>
      <c r="AG966" s="164">
        <f t="shared" si="163"/>
        <v>0</v>
      </c>
      <c r="AH966" s="99">
        <f t="shared" si="168"/>
        <v>0</v>
      </c>
      <c r="AI966" s="99">
        <f t="shared" si="164"/>
        <v>0</v>
      </c>
      <c r="AJ966" s="170">
        <f t="shared" si="165"/>
        <v>0</v>
      </c>
      <c r="AK966" s="204">
        <f t="shared" si="169"/>
        <v>0</v>
      </c>
      <c r="AL966" s="1049">
        <f>IF(ISERROR(AO966),0,IF(AND(AN966&gt;=$U$1,AN966&lt;=$U$2),IF(AO966='ESTRATTO CONTO'!$E$2,1+COUNTIF(AL$4:AL965,"&gt;0")+U$1009,0),0))</f>
        <v>0</v>
      </c>
      <c r="AM966" s="747">
        <f t="shared" ref="AM966:AM1002" si="172">AM965+1</f>
        <v>963</v>
      </c>
      <c r="AN966" s="164" t="e">
        <f>VLOOKUP($AM966,PATRIMONIALE!$AV1003:AW$1003,2,FALSE)</f>
        <v>#N/A</v>
      </c>
      <c r="AO966" s="310" t="e">
        <f>VLOOKUP($AM966,PATRIMONIALE!$AV1003:AX$1003,3,FALSE)</f>
        <v>#N/A</v>
      </c>
      <c r="AP966" s="310" t="e">
        <f>VLOOKUP($AM966,PATRIMONIALE!$AV1003:AY$1003,4,FALSE)</f>
        <v>#N/A</v>
      </c>
      <c r="AQ966" s="748" t="e">
        <f>VLOOKUP($AM966,PATRIMONIALE!$AV1003:AZ$1003,5,FALSE)</f>
        <v>#N/A</v>
      </c>
      <c r="AR966" s="1"/>
      <c r="AS966" s="461" t="str">
        <f t="shared" si="170"/>
        <v/>
      </c>
      <c r="AT966" s="370"/>
    </row>
    <row r="967" spans="1:46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435">
        <f>IF(AND(W967&gt;=$U$1,W967&lt;=$U$2),IF(X967='ESTRATTO CONTO'!$E$2,1+COUNTIF(U$4:U966,"&gt;0"),0),0)</f>
        <v>0</v>
      </c>
      <c r="V967" s="417">
        <f t="shared" si="171"/>
        <v>964</v>
      </c>
      <c r="W967" s="509"/>
      <c r="X967" s="321"/>
      <c r="Y967" s="321"/>
      <c r="Z967" s="433"/>
      <c r="AA967" s="356"/>
      <c r="AB967" s="306" t="str">
        <f t="shared" si="166"/>
        <v/>
      </c>
      <c r="AC967" s="893">
        <f t="shared" si="167"/>
        <v>0</v>
      </c>
      <c r="AD967" s="322"/>
      <c r="AE967" s="1"/>
      <c r="AF967" s="223">
        <f>IF(ISBLANK(AD967),0,COUNTIF(AF$4:AF966,"&gt;0")+1)</f>
        <v>0</v>
      </c>
      <c r="AG967" s="164">
        <f t="shared" si="163"/>
        <v>0</v>
      </c>
      <c r="AH967" s="99">
        <f t="shared" si="168"/>
        <v>0</v>
      </c>
      <c r="AI967" s="99">
        <f t="shared" si="164"/>
        <v>0</v>
      </c>
      <c r="AJ967" s="170">
        <f t="shared" si="165"/>
        <v>0</v>
      </c>
      <c r="AK967" s="204">
        <f t="shared" si="169"/>
        <v>0</v>
      </c>
      <c r="AL967" s="1049">
        <f>IF(ISERROR(AO967),0,IF(AND(AN967&gt;=$U$1,AN967&lt;=$U$2),IF(AO967='ESTRATTO CONTO'!$E$2,1+COUNTIF(AL$4:AL966,"&gt;0")+U$1009,0),0))</f>
        <v>0</v>
      </c>
      <c r="AM967" s="747">
        <f t="shared" si="172"/>
        <v>964</v>
      </c>
      <c r="AN967" s="164" t="e">
        <f>VLOOKUP($AM967,PATRIMONIALE!$AV1003:AW$1003,2,FALSE)</f>
        <v>#N/A</v>
      </c>
      <c r="AO967" s="310" t="e">
        <f>VLOOKUP($AM967,PATRIMONIALE!$AV1003:AX$1003,3,FALSE)</f>
        <v>#N/A</v>
      </c>
      <c r="AP967" s="310" t="e">
        <f>VLOOKUP($AM967,PATRIMONIALE!$AV1003:AY$1003,4,FALSE)</f>
        <v>#N/A</v>
      </c>
      <c r="AQ967" s="748" t="e">
        <f>VLOOKUP($AM967,PATRIMONIALE!$AV1003:AZ$1003,5,FALSE)</f>
        <v>#N/A</v>
      </c>
      <c r="AR967" s="1"/>
      <c r="AS967" s="461" t="str">
        <f t="shared" si="170"/>
        <v/>
      </c>
      <c r="AT967" s="370"/>
    </row>
    <row r="968" spans="1:46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435">
        <f>IF(AND(W968&gt;=$U$1,W968&lt;=$U$2),IF(X968='ESTRATTO CONTO'!$E$2,1+COUNTIF(U$4:U967,"&gt;0"),0),0)</f>
        <v>0</v>
      </c>
      <c r="V968" s="417">
        <f t="shared" si="171"/>
        <v>965</v>
      </c>
      <c r="W968" s="509"/>
      <c r="X968" s="321"/>
      <c r="Y968" s="321"/>
      <c r="Z968" s="433"/>
      <c r="AA968" s="356"/>
      <c r="AB968" s="306" t="str">
        <f t="shared" si="166"/>
        <v/>
      </c>
      <c r="AC968" s="893">
        <f t="shared" si="167"/>
        <v>0</v>
      </c>
      <c r="AD968" s="322"/>
      <c r="AE968" s="1"/>
      <c r="AF968" s="223">
        <f>IF(ISBLANK(AD968),0,COUNTIF(AF$4:AF967,"&gt;0")+1)</f>
        <v>0</v>
      </c>
      <c r="AG968" s="164">
        <f t="shared" si="163"/>
        <v>0</v>
      </c>
      <c r="AH968" s="99">
        <f t="shared" si="168"/>
        <v>0</v>
      </c>
      <c r="AI968" s="99">
        <f t="shared" si="164"/>
        <v>0</v>
      </c>
      <c r="AJ968" s="170">
        <f t="shared" si="165"/>
        <v>0</v>
      </c>
      <c r="AK968" s="204">
        <f t="shared" si="169"/>
        <v>0</v>
      </c>
      <c r="AL968" s="1049">
        <f>IF(ISERROR(AO968),0,IF(AND(AN968&gt;=$U$1,AN968&lt;=$U$2),IF(AO968='ESTRATTO CONTO'!$E$2,1+COUNTIF(AL$4:AL967,"&gt;0")+U$1009,0),0))</f>
        <v>0</v>
      </c>
      <c r="AM968" s="747">
        <f t="shared" si="172"/>
        <v>965</v>
      </c>
      <c r="AN968" s="164" t="e">
        <f>VLOOKUP($AM968,PATRIMONIALE!$AV1003:AW$1003,2,FALSE)</f>
        <v>#N/A</v>
      </c>
      <c r="AO968" s="310" t="e">
        <f>VLOOKUP($AM968,PATRIMONIALE!$AV1003:AX$1003,3,FALSE)</f>
        <v>#N/A</v>
      </c>
      <c r="AP968" s="310" t="e">
        <f>VLOOKUP($AM968,PATRIMONIALE!$AV1003:AY$1003,4,FALSE)</f>
        <v>#N/A</v>
      </c>
      <c r="AQ968" s="748" t="e">
        <f>VLOOKUP($AM968,PATRIMONIALE!$AV1003:AZ$1003,5,FALSE)</f>
        <v>#N/A</v>
      </c>
      <c r="AR968" s="1"/>
      <c r="AS968" s="461" t="str">
        <f t="shared" si="170"/>
        <v/>
      </c>
      <c r="AT968" s="370"/>
    </row>
    <row r="969" spans="1:46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435">
        <f>IF(AND(W969&gt;=$U$1,W969&lt;=$U$2),IF(X969='ESTRATTO CONTO'!$E$2,1+COUNTIF(U$4:U968,"&gt;0"),0),0)</f>
        <v>0</v>
      </c>
      <c r="V969" s="417">
        <f t="shared" si="171"/>
        <v>966</v>
      </c>
      <c r="W969" s="509"/>
      <c r="X969" s="321"/>
      <c r="Y969" s="321"/>
      <c r="Z969" s="433"/>
      <c r="AA969" s="356"/>
      <c r="AB969" s="306" t="str">
        <f t="shared" si="166"/>
        <v/>
      </c>
      <c r="AC969" s="893">
        <f t="shared" si="167"/>
        <v>0</v>
      </c>
      <c r="AD969" s="322"/>
      <c r="AE969" s="1"/>
      <c r="AF969" s="223">
        <f>IF(ISBLANK(AD969),0,COUNTIF(AF$4:AF968,"&gt;0")+1)</f>
        <v>0</v>
      </c>
      <c r="AG969" s="164">
        <f t="shared" si="163"/>
        <v>0</v>
      </c>
      <c r="AH969" s="99">
        <f t="shared" si="168"/>
        <v>0</v>
      </c>
      <c r="AI969" s="99">
        <f t="shared" si="164"/>
        <v>0</v>
      </c>
      <c r="AJ969" s="170">
        <f t="shared" si="165"/>
        <v>0</v>
      </c>
      <c r="AK969" s="204">
        <f t="shared" si="169"/>
        <v>0</v>
      </c>
      <c r="AL969" s="1049">
        <f>IF(ISERROR(AO969),0,IF(AND(AN969&gt;=$U$1,AN969&lt;=$U$2),IF(AO969='ESTRATTO CONTO'!$E$2,1+COUNTIF(AL$4:AL968,"&gt;0")+U$1009,0),0))</f>
        <v>0</v>
      </c>
      <c r="AM969" s="747">
        <f t="shared" si="172"/>
        <v>966</v>
      </c>
      <c r="AN969" s="164" t="e">
        <f>VLOOKUP($AM969,PATRIMONIALE!$AV1003:AW$1003,2,FALSE)</f>
        <v>#N/A</v>
      </c>
      <c r="AO969" s="310" t="e">
        <f>VLOOKUP($AM969,PATRIMONIALE!$AV1003:AX$1003,3,FALSE)</f>
        <v>#N/A</v>
      </c>
      <c r="AP969" s="310" t="e">
        <f>VLOOKUP($AM969,PATRIMONIALE!$AV1003:AY$1003,4,FALSE)</f>
        <v>#N/A</v>
      </c>
      <c r="AQ969" s="748" t="e">
        <f>VLOOKUP($AM969,PATRIMONIALE!$AV1003:AZ$1003,5,FALSE)</f>
        <v>#N/A</v>
      </c>
      <c r="AR969" s="1"/>
      <c r="AS969" s="461" t="str">
        <f t="shared" si="170"/>
        <v/>
      </c>
      <c r="AT969" s="370"/>
    </row>
    <row r="970" spans="1:46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435">
        <f>IF(AND(W970&gt;=$U$1,W970&lt;=$U$2),IF(X970='ESTRATTO CONTO'!$E$2,1+COUNTIF(U$4:U969,"&gt;0"),0),0)</f>
        <v>0</v>
      </c>
      <c r="V970" s="417">
        <f t="shared" si="171"/>
        <v>967</v>
      </c>
      <c r="W970" s="509"/>
      <c r="X970" s="321"/>
      <c r="Y970" s="321"/>
      <c r="Z970" s="433"/>
      <c r="AA970" s="356"/>
      <c r="AB970" s="306" t="str">
        <f t="shared" si="166"/>
        <v/>
      </c>
      <c r="AC970" s="893">
        <f t="shared" si="167"/>
        <v>0</v>
      </c>
      <c r="AD970" s="322"/>
      <c r="AE970" s="1"/>
      <c r="AF970" s="223">
        <f>IF(ISBLANK(AD970),0,COUNTIF(AF$4:AF969,"&gt;0")+1)</f>
        <v>0</v>
      </c>
      <c r="AG970" s="164">
        <f t="shared" ref="AG970:AG1002" si="173">IF($AF970=0,0,W970)</f>
        <v>0</v>
      </c>
      <c r="AH970" s="99">
        <f t="shared" si="168"/>
        <v>0</v>
      </c>
      <c r="AI970" s="99">
        <f t="shared" ref="AI970:AI1002" si="174">IF($AF970=0,0,Y970)</f>
        <v>0</v>
      </c>
      <c r="AJ970" s="170">
        <f t="shared" ref="AJ970:AJ1002" si="175">IF($AF970=0,0,IF(RIGHT(AD970)="-",IF(Z970&gt;0,Z970*-1,Z970),Z970))</f>
        <v>0</v>
      </c>
      <c r="AK970" s="204">
        <f t="shared" si="169"/>
        <v>0</v>
      </c>
      <c r="AL970" s="1049">
        <f>IF(ISERROR(AO970),0,IF(AND(AN970&gt;=$U$1,AN970&lt;=$U$2),IF(AO970='ESTRATTO CONTO'!$E$2,1+COUNTIF(AL$4:AL969,"&gt;0")+U$1009,0),0))</f>
        <v>0</v>
      </c>
      <c r="AM970" s="747">
        <f t="shared" si="172"/>
        <v>967</v>
      </c>
      <c r="AN970" s="164" t="e">
        <f>VLOOKUP($AM970,PATRIMONIALE!$AV1003:AW$1003,2,FALSE)</f>
        <v>#N/A</v>
      </c>
      <c r="AO970" s="310" t="e">
        <f>VLOOKUP($AM970,PATRIMONIALE!$AV1003:AX$1003,3,FALSE)</f>
        <v>#N/A</v>
      </c>
      <c r="AP970" s="310" t="e">
        <f>VLOOKUP($AM970,PATRIMONIALE!$AV1003:AY$1003,4,FALSE)</f>
        <v>#N/A</v>
      </c>
      <c r="AQ970" s="748" t="e">
        <f>VLOOKUP($AM970,PATRIMONIALE!$AV1003:AZ$1003,5,FALSE)</f>
        <v>#N/A</v>
      </c>
      <c r="AR970" s="1"/>
      <c r="AS970" s="461" t="str">
        <f t="shared" si="170"/>
        <v/>
      </c>
      <c r="AT970" s="370"/>
    </row>
    <row r="971" spans="1:46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435">
        <f>IF(AND(W971&gt;=$U$1,W971&lt;=$U$2),IF(X971='ESTRATTO CONTO'!$E$2,1+COUNTIF(U$4:U970,"&gt;0"),0),0)</f>
        <v>0</v>
      </c>
      <c r="V971" s="417">
        <f t="shared" si="171"/>
        <v>968</v>
      </c>
      <c r="W971" s="509"/>
      <c r="X971" s="321"/>
      <c r="Y971" s="321"/>
      <c r="Z971" s="433"/>
      <c r="AA971" s="356"/>
      <c r="AB971" s="306" t="str">
        <f t="shared" si="166"/>
        <v/>
      </c>
      <c r="AC971" s="893">
        <f t="shared" si="167"/>
        <v>0</v>
      </c>
      <c r="AD971" s="322"/>
      <c r="AE971" s="1"/>
      <c r="AF971" s="223">
        <f>IF(ISBLANK(AD971),0,COUNTIF(AF$4:AF970,"&gt;0")+1)</f>
        <v>0</v>
      </c>
      <c r="AG971" s="164">
        <f t="shared" si="173"/>
        <v>0</v>
      </c>
      <c r="AH971" s="99">
        <f t="shared" si="168"/>
        <v>0</v>
      </c>
      <c r="AI971" s="99">
        <f t="shared" si="174"/>
        <v>0</v>
      </c>
      <c r="AJ971" s="170">
        <f t="shared" si="175"/>
        <v>0</v>
      </c>
      <c r="AK971" s="204">
        <f t="shared" si="169"/>
        <v>0</v>
      </c>
      <c r="AL971" s="1049">
        <f>IF(ISERROR(AO971),0,IF(AND(AN971&gt;=$U$1,AN971&lt;=$U$2),IF(AO971='ESTRATTO CONTO'!$E$2,1+COUNTIF(AL$4:AL970,"&gt;0")+U$1009,0),0))</f>
        <v>0</v>
      </c>
      <c r="AM971" s="747">
        <f t="shared" si="172"/>
        <v>968</v>
      </c>
      <c r="AN971" s="164" t="e">
        <f>VLOOKUP($AM971,PATRIMONIALE!$AV1003:AW$1003,2,FALSE)</f>
        <v>#N/A</v>
      </c>
      <c r="AO971" s="310" t="e">
        <f>VLOOKUP($AM971,PATRIMONIALE!$AV1003:AX$1003,3,FALSE)</f>
        <v>#N/A</v>
      </c>
      <c r="AP971" s="310" t="e">
        <f>VLOOKUP($AM971,PATRIMONIALE!$AV1003:AY$1003,4,FALSE)</f>
        <v>#N/A</v>
      </c>
      <c r="AQ971" s="748" t="e">
        <f>VLOOKUP($AM971,PATRIMONIALE!$AV1003:AZ$1003,5,FALSE)</f>
        <v>#N/A</v>
      </c>
      <c r="AR971" s="1"/>
      <c r="AS971" s="461" t="str">
        <f t="shared" si="170"/>
        <v/>
      </c>
      <c r="AT971" s="370"/>
    </row>
    <row r="972" spans="1:46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435">
        <f>IF(AND(W972&gt;=$U$1,W972&lt;=$U$2),IF(X972='ESTRATTO CONTO'!$E$2,1+COUNTIF(U$4:U971,"&gt;0"),0),0)</f>
        <v>0</v>
      </c>
      <c r="V972" s="417">
        <f t="shared" si="171"/>
        <v>969</v>
      </c>
      <c r="W972" s="509"/>
      <c r="X972" s="321"/>
      <c r="Y972" s="321"/>
      <c r="Z972" s="433"/>
      <c r="AA972" s="356"/>
      <c r="AB972" s="306" t="str">
        <f t="shared" si="166"/>
        <v/>
      </c>
      <c r="AC972" s="893">
        <f t="shared" si="167"/>
        <v>0</v>
      </c>
      <c r="AD972" s="322"/>
      <c r="AE972" s="1"/>
      <c r="AF972" s="223">
        <f>IF(ISBLANK(AD972),0,COUNTIF(AF$4:AF971,"&gt;0")+1)</f>
        <v>0</v>
      </c>
      <c r="AG972" s="164">
        <f t="shared" si="173"/>
        <v>0</v>
      </c>
      <c r="AH972" s="99">
        <f t="shared" si="168"/>
        <v>0</v>
      </c>
      <c r="AI972" s="99">
        <f t="shared" si="174"/>
        <v>0</v>
      </c>
      <c r="AJ972" s="170">
        <f t="shared" si="175"/>
        <v>0</v>
      </c>
      <c r="AK972" s="204">
        <f t="shared" si="169"/>
        <v>0</v>
      </c>
      <c r="AL972" s="1049">
        <f>IF(ISERROR(AO972),0,IF(AND(AN972&gt;=$U$1,AN972&lt;=$U$2),IF(AO972='ESTRATTO CONTO'!$E$2,1+COUNTIF(AL$4:AL971,"&gt;0")+U$1009,0),0))</f>
        <v>0</v>
      </c>
      <c r="AM972" s="747">
        <f t="shared" si="172"/>
        <v>969</v>
      </c>
      <c r="AN972" s="164" t="e">
        <f>VLOOKUP($AM972,PATRIMONIALE!$AV1003:AW$1003,2,FALSE)</f>
        <v>#N/A</v>
      </c>
      <c r="AO972" s="310" t="e">
        <f>VLOOKUP($AM972,PATRIMONIALE!$AV1003:AX$1003,3,FALSE)</f>
        <v>#N/A</v>
      </c>
      <c r="AP972" s="310" t="e">
        <f>VLOOKUP($AM972,PATRIMONIALE!$AV1003:AY$1003,4,FALSE)</f>
        <v>#N/A</v>
      </c>
      <c r="AQ972" s="748" t="e">
        <f>VLOOKUP($AM972,PATRIMONIALE!$AV1003:AZ$1003,5,FALSE)</f>
        <v>#N/A</v>
      </c>
      <c r="AR972" s="1"/>
      <c r="AS972" s="461" t="str">
        <f t="shared" si="170"/>
        <v/>
      </c>
      <c r="AT972" s="370"/>
    </row>
    <row r="973" spans="1:46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435">
        <f>IF(AND(W973&gt;=$U$1,W973&lt;=$U$2),IF(X973='ESTRATTO CONTO'!$E$2,1+COUNTIF(U$4:U972,"&gt;0"),0),0)</f>
        <v>0</v>
      </c>
      <c r="V973" s="417">
        <f t="shared" si="171"/>
        <v>970</v>
      </c>
      <c r="W973" s="509"/>
      <c r="X973" s="321"/>
      <c r="Y973" s="321"/>
      <c r="Z973" s="433"/>
      <c r="AA973" s="356"/>
      <c r="AB973" s="306" t="str">
        <f t="shared" si="166"/>
        <v/>
      </c>
      <c r="AC973" s="893">
        <f t="shared" si="167"/>
        <v>0</v>
      </c>
      <c r="AD973" s="322"/>
      <c r="AE973" s="1"/>
      <c r="AF973" s="223">
        <f>IF(ISBLANK(AD973),0,COUNTIF(AF$4:AF972,"&gt;0")+1)</f>
        <v>0</v>
      </c>
      <c r="AG973" s="164">
        <f t="shared" si="173"/>
        <v>0</v>
      </c>
      <c r="AH973" s="99">
        <f t="shared" si="168"/>
        <v>0</v>
      </c>
      <c r="AI973" s="99">
        <f t="shared" si="174"/>
        <v>0</v>
      </c>
      <c r="AJ973" s="170">
        <f t="shared" si="175"/>
        <v>0</v>
      </c>
      <c r="AK973" s="204">
        <f t="shared" si="169"/>
        <v>0</v>
      </c>
      <c r="AL973" s="1049">
        <f>IF(ISERROR(AO973),0,IF(AND(AN973&gt;=$U$1,AN973&lt;=$U$2),IF(AO973='ESTRATTO CONTO'!$E$2,1+COUNTIF(AL$4:AL972,"&gt;0")+U$1009,0),0))</f>
        <v>0</v>
      </c>
      <c r="AM973" s="747">
        <f t="shared" si="172"/>
        <v>970</v>
      </c>
      <c r="AN973" s="164" t="e">
        <f>VLOOKUP($AM973,PATRIMONIALE!$AV1003:AW$1003,2,FALSE)</f>
        <v>#N/A</v>
      </c>
      <c r="AO973" s="310" t="e">
        <f>VLOOKUP($AM973,PATRIMONIALE!$AV1003:AX$1003,3,FALSE)</f>
        <v>#N/A</v>
      </c>
      <c r="AP973" s="310" t="e">
        <f>VLOOKUP($AM973,PATRIMONIALE!$AV1003:AY$1003,4,FALSE)</f>
        <v>#N/A</v>
      </c>
      <c r="AQ973" s="748" t="e">
        <f>VLOOKUP($AM973,PATRIMONIALE!$AV1003:AZ$1003,5,FALSE)</f>
        <v>#N/A</v>
      </c>
      <c r="AR973" s="1"/>
      <c r="AS973" s="461" t="str">
        <f t="shared" si="170"/>
        <v/>
      </c>
      <c r="AT973" s="370"/>
    </row>
    <row r="974" spans="1:46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435">
        <f>IF(AND(W974&gt;=$U$1,W974&lt;=$U$2),IF(X974='ESTRATTO CONTO'!$E$2,1+COUNTIF(U$4:U973,"&gt;0"),0),0)</f>
        <v>0</v>
      </c>
      <c r="V974" s="417">
        <f t="shared" si="171"/>
        <v>971</v>
      </c>
      <c r="W974" s="509"/>
      <c r="X974" s="321"/>
      <c r="Y974" s="321"/>
      <c r="Z974" s="433"/>
      <c r="AA974" s="356"/>
      <c r="AB974" s="306" t="str">
        <f t="shared" si="166"/>
        <v/>
      </c>
      <c r="AC974" s="893">
        <f t="shared" si="167"/>
        <v>0</v>
      </c>
      <c r="AD974" s="322"/>
      <c r="AE974" s="1"/>
      <c r="AF974" s="223">
        <f>IF(ISBLANK(AD974),0,COUNTIF(AF$4:AF973,"&gt;0")+1)</f>
        <v>0</v>
      </c>
      <c r="AG974" s="164">
        <f t="shared" si="173"/>
        <v>0</v>
      </c>
      <c r="AH974" s="99">
        <f t="shared" si="168"/>
        <v>0</v>
      </c>
      <c r="AI974" s="99">
        <f t="shared" si="174"/>
        <v>0</v>
      </c>
      <c r="AJ974" s="170">
        <f t="shared" si="175"/>
        <v>0</v>
      </c>
      <c r="AK974" s="204">
        <f t="shared" si="169"/>
        <v>0</v>
      </c>
      <c r="AL974" s="1049">
        <f>IF(ISERROR(AO974),0,IF(AND(AN974&gt;=$U$1,AN974&lt;=$U$2),IF(AO974='ESTRATTO CONTO'!$E$2,1+COUNTIF(AL$4:AL973,"&gt;0")+U$1009,0),0))</f>
        <v>0</v>
      </c>
      <c r="AM974" s="747">
        <f t="shared" si="172"/>
        <v>971</v>
      </c>
      <c r="AN974" s="164" t="e">
        <f>VLOOKUP($AM974,PATRIMONIALE!$AV1003:AW$1003,2,FALSE)</f>
        <v>#N/A</v>
      </c>
      <c r="AO974" s="310" t="e">
        <f>VLOOKUP($AM974,PATRIMONIALE!$AV1003:AX$1003,3,FALSE)</f>
        <v>#N/A</v>
      </c>
      <c r="AP974" s="310" t="e">
        <f>VLOOKUP($AM974,PATRIMONIALE!$AV1003:AY$1003,4,FALSE)</f>
        <v>#N/A</v>
      </c>
      <c r="AQ974" s="748" t="e">
        <f>VLOOKUP($AM974,PATRIMONIALE!$AV1003:AZ$1003,5,FALSE)</f>
        <v>#N/A</v>
      </c>
      <c r="AR974" s="1"/>
      <c r="AS974" s="461" t="str">
        <f t="shared" si="170"/>
        <v/>
      </c>
      <c r="AT974" s="370"/>
    </row>
    <row r="975" spans="1:46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435">
        <f>IF(AND(W975&gt;=$U$1,W975&lt;=$U$2),IF(X975='ESTRATTO CONTO'!$E$2,1+COUNTIF(U$4:U974,"&gt;0"),0),0)</f>
        <v>0</v>
      </c>
      <c r="V975" s="417">
        <f t="shared" si="171"/>
        <v>972</v>
      </c>
      <c r="W975" s="509"/>
      <c r="X975" s="321"/>
      <c r="Y975" s="321"/>
      <c r="Z975" s="433"/>
      <c r="AA975" s="356"/>
      <c r="AB975" s="306" t="str">
        <f t="shared" si="166"/>
        <v/>
      </c>
      <c r="AC975" s="893">
        <f t="shared" si="167"/>
        <v>0</v>
      </c>
      <c r="AD975" s="322"/>
      <c r="AE975" s="1"/>
      <c r="AF975" s="223">
        <f>IF(ISBLANK(AD975),0,COUNTIF(AF$4:AF974,"&gt;0")+1)</f>
        <v>0</v>
      </c>
      <c r="AG975" s="164">
        <f t="shared" si="173"/>
        <v>0</v>
      </c>
      <c r="AH975" s="99">
        <f t="shared" si="168"/>
        <v>0</v>
      </c>
      <c r="AI975" s="99">
        <f t="shared" si="174"/>
        <v>0</v>
      </c>
      <c r="AJ975" s="170">
        <f t="shared" si="175"/>
        <v>0</v>
      </c>
      <c r="AK975" s="204">
        <f t="shared" si="169"/>
        <v>0</v>
      </c>
      <c r="AL975" s="1049">
        <f>IF(ISERROR(AO975),0,IF(AND(AN975&gt;=$U$1,AN975&lt;=$U$2),IF(AO975='ESTRATTO CONTO'!$E$2,1+COUNTIF(AL$4:AL974,"&gt;0")+U$1009,0),0))</f>
        <v>0</v>
      </c>
      <c r="AM975" s="747">
        <f t="shared" si="172"/>
        <v>972</v>
      </c>
      <c r="AN975" s="164" t="e">
        <f>VLOOKUP($AM975,PATRIMONIALE!$AV1003:AW$1003,2,FALSE)</f>
        <v>#N/A</v>
      </c>
      <c r="AO975" s="310" t="e">
        <f>VLOOKUP($AM975,PATRIMONIALE!$AV1003:AX$1003,3,FALSE)</f>
        <v>#N/A</v>
      </c>
      <c r="AP975" s="310" t="e">
        <f>VLOOKUP($AM975,PATRIMONIALE!$AV1003:AY$1003,4,FALSE)</f>
        <v>#N/A</v>
      </c>
      <c r="AQ975" s="748" t="e">
        <f>VLOOKUP($AM975,PATRIMONIALE!$AV1003:AZ$1003,5,FALSE)</f>
        <v>#N/A</v>
      </c>
      <c r="AR975" s="1"/>
      <c r="AS975" s="461" t="str">
        <f t="shared" si="170"/>
        <v/>
      </c>
      <c r="AT975" s="370"/>
    </row>
    <row r="976" spans="1:46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435">
        <f>IF(AND(W976&gt;=$U$1,W976&lt;=$U$2),IF(X976='ESTRATTO CONTO'!$E$2,1+COUNTIF(U$4:U975,"&gt;0"),0),0)</f>
        <v>0</v>
      </c>
      <c r="V976" s="417">
        <f t="shared" si="171"/>
        <v>973</v>
      </c>
      <c r="W976" s="509"/>
      <c r="X976" s="321"/>
      <c r="Y976" s="321"/>
      <c r="Z976" s="433"/>
      <c r="AA976" s="356"/>
      <c r="AB976" s="306" t="str">
        <f t="shared" si="166"/>
        <v/>
      </c>
      <c r="AC976" s="893">
        <f t="shared" si="167"/>
        <v>0</v>
      </c>
      <c r="AD976" s="322"/>
      <c r="AE976" s="1"/>
      <c r="AF976" s="223">
        <f>IF(ISBLANK(AD976),0,COUNTIF(AF$4:AF975,"&gt;0")+1)</f>
        <v>0</v>
      </c>
      <c r="AG976" s="164">
        <f t="shared" si="173"/>
        <v>0</v>
      </c>
      <c r="AH976" s="99">
        <f t="shared" si="168"/>
        <v>0</v>
      </c>
      <c r="AI976" s="99">
        <f t="shared" si="174"/>
        <v>0</v>
      </c>
      <c r="AJ976" s="170">
        <f t="shared" si="175"/>
        <v>0</v>
      </c>
      <c r="AK976" s="204">
        <f t="shared" si="169"/>
        <v>0</v>
      </c>
      <c r="AL976" s="1049">
        <f>IF(ISERROR(AO976),0,IF(AND(AN976&gt;=$U$1,AN976&lt;=$U$2),IF(AO976='ESTRATTO CONTO'!$E$2,1+COUNTIF(AL$4:AL975,"&gt;0")+U$1009,0),0))</f>
        <v>0</v>
      </c>
      <c r="AM976" s="747">
        <f t="shared" si="172"/>
        <v>973</v>
      </c>
      <c r="AN976" s="164" t="e">
        <f>VLOOKUP($AM976,PATRIMONIALE!$AV1003:AW$1003,2,FALSE)</f>
        <v>#N/A</v>
      </c>
      <c r="AO976" s="310" t="e">
        <f>VLOOKUP($AM976,PATRIMONIALE!$AV1003:AX$1003,3,FALSE)</f>
        <v>#N/A</v>
      </c>
      <c r="AP976" s="310" t="e">
        <f>VLOOKUP($AM976,PATRIMONIALE!$AV1003:AY$1003,4,FALSE)</f>
        <v>#N/A</v>
      </c>
      <c r="AQ976" s="748" t="e">
        <f>VLOOKUP($AM976,PATRIMONIALE!$AV1003:AZ$1003,5,FALSE)</f>
        <v>#N/A</v>
      </c>
      <c r="AR976" s="1"/>
      <c r="AS976" s="461" t="str">
        <f t="shared" si="170"/>
        <v/>
      </c>
      <c r="AT976" s="370"/>
    </row>
    <row r="977" spans="1:46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435">
        <f>IF(AND(W977&gt;=$U$1,W977&lt;=$U$2),IF(X977='ESTRATTO CONTO'!$E$2,1+COUNTIF(U$4:U976,"&gt;0"),0),0)</f>
        <v>0</v>
      </c>
      <c r="V977" s="417">
        <f t="shared" si="171"/>
        <v>974</v>
      </c>
      <c r="W977" s="509"/>
      <c r="X977" s="321"/>
      <c r="Y977" s="321"/>
      <c r="Z977" s="433"/>
      <c r="AA977" s="356"/>
      <c r="AB977" s="306" t="str">
        <f t="shared" si="166"/>
        <v/>
      </c>
      <c r="AC977" s="893">
        <f t="shared" si="167"/>
        <v>0</v>
      </c>
      <c r="AD977" s="322"/>
      <c r="AE977" s="1"/>
      <c r="AF977" s="223">
        <f>IF(ISBLANK(AD977),0,COUNTIF(AF$4:AF976,"&gt;0")+1)</f>
        <v>0</v>
      </c>
      <c r="AG977" s="164">
        <f t="shared" si="173"/>
        <v>0</v>
      </c>
      <c r="AH977" s="99">
        <f t="shared" si="168"/>
        <v>0</v>
      </c>
      <c r="AI977" s="99">
        <f t="shared" si="174"/>
        <v>0</v>
      </c>
      <c r="AJ977" s="170">
        <f t="shared" si="175"/>
        <v>0</v>
      </c>
      <c r="AK977" s="204">
        <f t="shared" si="169"/>
        <v>0</v>
      </c>
      <c r="AL977" s="1049">
        <f>IF(ISERROR(AO977),0,IF(AND(AN977&gt;=$U$1,AN977&lt;=$U$2),IF(AO977='ESTRATTO CONTO'!$E$2,1+COUNTIF(AL$4:AL976,"&gt;0")+U$1009,0),0))</f>
        <v>0</v>
      </c>
      <c r="AM977" s="747">
        <f t="shared" si="172"/>
        <v>974</v>
      </c>
      <c r="AN977" s="164" t="e">
        <f>VLOOKUP($AM977,PATRIMONIALE!$AV1003:AW$1003,2,FALSE)</f>
        <v>#N/A</v>
      </c>
      <c r="AO977" s="310" t="e">
        <f>VLOOKUP($AM977,PATRIMONIALE!$AV1003:AX$1003,3,FALSE)</f>
        <v>#N/A</v>
      </c>
      <c r="AP977" s="310" t="e">
        <f>VLOOKUP($AM977,PATRIMONIALE!$AV1003:AY$1003,4,FALSE)</f>
        <v>#N/A</v>
      </c>
      <c r="AQ977" s="748" t="e">
        <f>VLOOKUP($AM977,PATRIMONIALE!$AV1003:AZ$1003,5,FALSE)</f>
        <v>#N/A</v>
      </c>
      <c r="AR977" s="1"/>
      <c r="AS977" s="461" t="str">
        <f t="shared" si="170"/>
        <v/>
      </c>
      <c r="AT977" s="370"/>
    </row>
    <row r="978" spans="1:46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435">
        <f>IF(AND(W978&gt;=$U$1,W978&lt;=$U$2),IF(X978='ESTRATTO CONTO'!$E$2,1+COUNTIF(U$4:U977,"&gt;0"),0),0)</f>
        <v>0</v>
      </c>
      <c r="V978" s="417">
        <f t="shared" si="171"/>
        <v>975</v>
      </c>
      <c r="W978" s="509"/>
      <c r="X978" s="321"/>
      <c r="Y978" s="321"/>
      <c r="Z978" s="433"/>
      <c r="AA978" s="356"/>
      <c r="AB978" s="306" t="str">
        <f t="shared" si="166"/>
        <v/>
      </c>
      <c r="AC978" s="893">
        <f t="shared" si="167"/>
        <v>0</v>
      </c>
      <c r="AD978" s="322"/>
      <c r="AE978" s="1"/>
      <c r="AF978" s="223">
        <f>IF(ISBLANK(AD978),0,COUNTIF(AF$4:AF977,"&gt;0")+1)</f>
        <v>0</v>
      </c>
      <c r="AG978" s="164">
        <f t="shared" si="173"/>
        <v>0</v>
      </c>
      <c r="AH978" s="99">
        <f t="shared" si="168"/>
        <v>0</v>
      </c>
      <c r="AI978" s="99">
        <f t="shared" si="174"/>
        <v>0</v>
      </c>
      <c r="AJ978" s="170">
        <f t="shared" si="175"/>
        <v>0</v>
      </c>
      <c r="AK978" s="204">
        <f t="shared" si="169"/>
        <v>0</v>
      </c>
      <c r="AL978" s="1049">
        <f>IF(ISERROR(AO978),0,IF(AND(AN978&gt;=$U$1,AN978&lt;=$U$2),IF(AO978='ESTRATTO CONTO'!$E$2,1+COUNTIF(AL$4:AL977,"&gt;0")+U$1009,0),0))</f>
        <v>0</v>
      </c>
      <c r="AM978" s="747">
        <f t="shared" si="172"/>
        <v>975</v>
      </c>
      <c r="AN978" s="164" t="e">
        <f>VLOOKUP($AM978,PATRIMONIALE!$AV1003:AW$1003,2,FALSE)</f>
        <v>#N/A</v>
      </c>
      <c r="AO978" s="310" t="e">
        <f>VLOOKUP($AM978,PATRIMONIALE!$AV1003:AX$1003,3,FALSE)</f>
        <v>#N/A</v>
      </c>
      <c r="AP978" s="310" t="e">
        <f>VLOOKUP($AM978,PATRIMONIALE!$AV1003:AY$1003,4,FALSE)</f>
        <v>#N/A</v>
      </c>
      <c r="AQ978" s="748" t="e">
        <f>VLOOKUP($AM978,PATRIMONIALE!$AV1003:AZ$1003,5,FALSE)</f>
        <v>#N/A</v>
      </c>
      <c r="AR978" s="1"/>
      <c r="AS978" s="461" t="str">
        <f t="shared" si="170"/>
        <v/>
      </c>
      <c r="AT978" s="370"/>
    </row>
    <row r="979" spans="1:46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435">
        <f>IF(AND(W979&gt;=$U$1,W979&lt;=$U$2),IF(X979='ESTRATTO CONTO'!$E$2,1+COUNTIF(U$4:U978,"&gt;0"),0),0)</f>
        <v>0</v>
      </c>
      <c r="V979" s="417">
        <f t="shared" si="171"/>
        <v>976</v>
      </c>
      <c r="W979" s="509"/>
      <c r="X979" s="321"/>
      <c r="Y979" s="321"/>
      <c r="Z979" s="433"/>
      <c r="AA979" s="356"/>
      <c r="AB979" s="306" t="str">
        <f t="shared" si="166"/>
        <v/>
      </c>
      <c r="AC979" s="893">
        <f t="shared" si="167"/>
        <v>0</v>
      </c>
      <c r="AD979" s="322"/>
      <c r="AE979" s="1"/>
      <c r="AF979" s="223">
        <f>IF(ISBLANK(AD979),0,COUNTIF(AF$4:AF978,"&gt;0")+1)</f>
        <v>0</v>
      </c>
      <c r="AG979" s="164">
        <f t="shared" si="173"/>
        <v>0</v>
      </c>
      <c r="AH979" s="99">
        <f t="shared" si="168"/>
        <v>0</v>
      </c>
      <c r="AI979" s="99">
        <f t="shared" si="174"/>
        <v>0</v>
      </c>
      <c r="AJ979" s="170">
        <f t="shared" si="175"/>
        <v>0</v>
      </c>
      <c r="AK979" s="204">
        <f t="shared" si="169"/>
        <v>0</v>
      </c>
      <c r="AL979" s="1049">
        <f>IF(ISERROR(AO979),0,IF(AND(AN979&gt;=$U$1,AN979&lt;=$U$2),IF(AO979='ESTRATTO CONTO'!$E$2,1+COUNTIF(AL$4:AL978,"&gt;0")+U$1009,0),0))</f>
        <v>0</v>
      </c>
      <c r="AM979" s="747">
        <f t="shared" si="172"/>
        <v>976</v>
      </c>
      <c r="AN979" s="164" t="e">
        <f>VLOOKUP($AM979,PATRIMONIALE!$AV1003:AW$1003,2,FALSE)</f>
        <v>#N/A</v>
      </c>
      <c r="AO979" s="310" t="e">
        <f>VLOOKUP($AM979,PATRIMONIALE!$AV1003:AX$1003,3,FALSE)</f>
        <v>#N/A</v>
      </c>
      <c r="AP979" s="310" t="e">
        <f>VLOOKUP($AM979,PATRIMONIALE!$AV1003:AY$1003,4,FALSE)</f>
        <v>#N/A</v>
      </c>
      <c r="AQ979" s="748" t="e">
        <f>VLOOKUP($AM979,PATRIMONIALE!$AV1003:AZ$1003,5,FALSE)</f>
        <v>#N/A</v>
      </c>
      <c r="AR979" s="1"/>
      <c r="AS979" s="461" t="str">
        <f t="shared" si="170"/>
        <v/>
      </c>
      <c r="AT979" s="370"/>
    </row>
    <row r="980" spans="1:46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435">
        <f>IF(AND(W980&gt;=$U$1,W980&lt;=$U$2),IF(X980='ESTRATTO CONTO'!$E$2,1+COUNTIF(U$4:U979,"&gt;0"),0),0)</f>
        <v>0</v>
      </c>
      <c r="V980" s="417">
        <f t="shared" si="171"/>
        <v>977</v>
      </c>
      <c r="W980" s="509"/>
      <c r="X980" s="321"/>
      <c r="Y980" s="321"/>
      <c r="Z980" s="433"/>
      <c r="AA980" s="356"/>
      <c r="AB980" s="306" t="str">
        <f t="shared" si="166"/>
        <v/>
      </c>
      <c r="AC980" s="893">
        <f t="shared" si="167"/>
        <v>0</v>
      </c>
      <c r="AD980" s="322"/>
      <c r="AE980" s="1"/>
      <c r="AF980" s="223">
        <f>IF(ISBLANK(AD980),0,COUNTIF(AF$4:AF979,"&gt;0")+1)</f>
        <v>0</v>
      </c>
      <c r="AG980" s="164">
        <f t="shared" si="173"/>
        <v>0</v>
      </c>
      <c r="AH980" s="99">
        <f t="shared" si="168"/>
        <v>0</v>
      </c>
      <c r="AI980" s="99">
        <f t="shared" si="174"/>
        <v>0</v>
      </c>
      <c r="AJ980" s="170">
        <f t="shared" si="175"/>
        <v>0</v>
      </c>
      <c r="AK980" s="204">
        <f t="shared" si="169"/>
        <v>0</v>
      </c>
      <c r="AL980" s="1049">
        <f>IF(ISERROR(AO980),0,IF(AND(AN980&gt;=$U$1,AN980&lt;=$U$2),IF(AO980='ESTRATTO CONTO'!$E$2,1+COUNTIF(AL$4:AL979,"&gt;0")+U$1009,0),0))</f>
        <v>0</v>
      </c>
      <c r="AM980" s="747">
        <f t="shared" si="172"/>
        <v>977</v>
      </c>
      <c r="AN980" s="164" t="e">
        <f>VLOOKUP($AM980,PATRIMONIALE!$AV1003:AW$1003,2,FALSE)</f>
        <v>#N/A</v>
      </c>
      <c r="AO980" s="310" t="e">
        <f>VLOOKUP($AM980,PATRIMONIALE!$AV1003:AX$1003,3,FALSE)</f>
        <v>#N/A</v>
      </c>
      <c r="AP980" s="310" t="e">
        <f>VLOOKUP($AM980,PATRIMONIALE!$AV1003:AY$1003,4,FALSE)</f>
        <v>#N/A</v>
      </c>
      <c r="AQ980" s="748" t="e">
        <f>VLOOKUP($AM980,PATRIMONIALE!$AV1003:AZ$1003,5,FALSE)</f>
        <v>#N/A</v>
      </c>
      <c r="AR980" s="1"/>
      <c r="AS980" s="461" t="str">
        <f t="shared" si="170"/>
        <v/>
      </c>
      <c r="AT980" s="370"/>
    </row>
    <row r="981" spans="1:46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435">
        <f>IF(AND(W981&gt;=$U$1,W981&lt;=$U$2),IF(X981='ESTRATTO CONTO'!$E$2,1+COUNTIF(U$4:U980,"&gt;0"),0),0)</f>
        <v>0</v>
      </c>
      <c r="V981" s="417">
        <f t="shared" si="171"/>
        <v>978</v>
      </c>
      <c r="W981" s="509"/>
      <c r="X981" s="321"/>
      <c r="Y981" s="321"/>
      <c r="Z981" s="433"/>
      <c r="AA981" s="356"/>
      <c r="AB981" s="306" t="str">
        <f t="shared" si="166"/>
        <v/>
      </c>
      <c r="AC981" s="893">
        <f t="shared" si="167"/>
        <v>0</v>
      </c>
      <c r="AD981" s="322"/>
      <c r="AE981" s="1"/>
      <c r="AF981" s="223">
        <f>IF(ISBLANK(AD981),0,COUNTIF(AF$4:AF980,"&gt;0")+1)</f>
        <v>0</v>
      </c>
      <c r="AG981" s="164">
        <f t="shared" si="173"/>
        <v>0</v>
      </c>
      <c r="AH981" s="99">
        <f t="shared" si="168"/>
        <v>0</v>
      </c>
      <c r="AI981" s="99">
        <f t="shared" si="174"/>
        <v>0</v>
      </c>
      <c r="AJ981" s="170">
        <f t="shared" si="175"/>
        <v>0</v>
      </c>
      <c r="AK981" s="204">
        <f t="shared" si="169"/>
        <v>0</v>
      </c>
      <c r="AL981" s="1049">
        <f>IF(ISERROR(AO981),0,IF(AND(AN981&gt;=$U$1,AN981&lt;=$U$2),IF(AO981='ESTRATTO CONTO'!$E$2,1+COUNTIF(AL$4:AL980,"&gt;0")+U$1009,0),0))</f>
        <v>0</v>
      </c>
      <c r="AM981" s="747">
        <f t="shared" si="172"/>
        <v>978</v>
      </c>
      <c r="AN981" s="164" t="e">
        <f>VLOOKUP($AM981,PATRIMONIALE!$AV1003:AW$1003,2,FALSE)</f>
        <v>#N/A</v>
      </c>
      <c r="AO981" s="310" t="e">
        <f>VLOOKUP($AM981,PATRIMONIALE!$AV1003:AX$1003,3,FALSE)</f>
        <v>#N/A</v>
      </c>
      <c r="AP981" s="310" t="e">
        <f>VLOOKUP($AM981,PATRIMONIALE!$AV1003:AY$1003,4,FALSE)</f>
        <v>#N/A</v>
      </c>
      <c r="AQ981" s="748" t="e">
        <f>VLOOKUP($AM981,PATRIMONIALE!$AV1003:AZ$1003,5,FALSE)</f>
        <v>#N/A</v>
      </c>
      <c r="AR981" s="1"/>
      <c r="AS981" s="461" t="str">
        <f t="shared" si="170"/>
        <v/>
      </c>
      <c r="AT981" s="370"/>
    </row>
    <row r="982" spans="1:46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435">
        <f>IF(AND(W982&gt;=$U$1,W982&lt;=$U$2),IF(X982='ESTRATTO CONTO'!$E$2,1+COUNTIF(U$4:U981,"&gt;0"),0),0)</f>
        <v>0</v>
      </c>
      <c r="V982" s="417">
        <f t="shared" si="171"/>
        <v>979</v>
      </c>
      <c r="W982" s="509"/>
      <c r="X982" s="321"/>
      <c r="Y982" s="321"/>
      <c r="Z982" s="433"/>
      <c r="AA982" s="356"/>
      <c r="AB982" s="306" t="str">
        <f t="shared" si="166"/>
        <v/>
      </c>
      <c r="AC982" s="893">
        <f t="shared" si="167"/>
        <v>0</v>
      </c>
      <c r="AD982" s="322"/>
      <c r="AE982" s="1"/>
      <c r="AF982" s="223">
        <f>IF(ISBLANK(AD982),0,COUNTIF(AF$4:AF981,"&gt;0")+1)</f>
        <v>0</v>
      </c>
      <c r="AG982" s="164">
        <f t="shared" si="173"/>
        <v>0</v>
      </c>
      <c r="AH982" s="99">
        <f t="shared" si="168"/>
        <v>0</v>
      </c>
      <c r="AI982" s="99">
        <f t="shared" si="174"/>
        <v>0</v>
      </c>
      <c r="AJ982" s="170">
        <f t="shared" si="175"/>
        <v>0</v>
      </c>
      <c r="AK982" s="204">
        <f t="shared" si="169"/>
        <v>0</v>
      </c>
      <c r="AL982" s="1049">
        <f>IF(ISERROR(AO982),0,IF(AND(AN982&gt;=$U$1,AN982&lt;=$U$2),IF(AO982='ESTRATTO CONTO'!$E$2,1+COUNTIF(AL$4:AL981,"&gt;0")+U$1009,0),0))</f>
        <v>0</v>
      </c>
      <c r="AM982" s="747">
        <f t="shared" si="172"/>
        <v>979</v>
      </c>
      <c r="AN982" s="164" t="e">
        <f>VLOOKUP($AM982,PATRIMONIALE!$AV1003:AW$1003,2,FALSE)</f>
        <v>#N/A</v>
      </c>
      <c r="AO982" s="310" t="e">
        <f>VLOOKUP($AM982,PATRIMONIALE!$AV1003:AX$1003,3,FALSE)</f>
        <v>#N/A</v>
      </c>
      <c r="AP982" s="310" t="e">
        <f>VLOOKUP($AM982,PATRIMONIALE!$AV1003:AY$1003,4,FALSE)</f>
        <v>#N/A</v>
      </c>
      <c r="AQ982" s="748" t="e">
        <f>VLOOKUP($AM982,PATRIMONIALE!$AV1003:AZ$1003,5,FALSE)</f>
        <v>#N/A</v>
      </c>
      <c r="AR982" s="1"/>
      <c r="AS982" s="461" t="str">
        <f t="shared" si="170"/>
        <v/>
      </c>
      <c r="AT982" s="370"/>
    </row>
    <row r="983" spans="1:46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435">
        <f>IF(AND(W983&gt;=$U$1,W983&lt;=$U$2),IF(X983='ESTRATTO CONTO'!$E$2,1+COUNTIF(U$4:U982,"&gt;0"),0),0)</f>
        <v>0</v>
      </c>
      <c r="V983" s="417">
        <f t="shared" si="171"/>
        <v>980</v>
      </c>
      <c r="W983" s="509"/>
      <c r="X983" s="321"/>
      <c r="Y983" s="321"/>
      <c r="Z983" s="433"/>
      <c r="AA983" s="356"/>
      <c r="AB983" s="306" t="str">
        <f t="shared" si="166"/>
        <v/>
      </c>
      <c r="AC983" s="893">
        <f t="shared" si="167"/>
        <v>0</v>
      </c>
      <c r="AD983" s="322"/>
      <c r="AE983" s="1"/>
      <c r="AF983" s="223">
        <f>IF(ISBLANK(AD983),0,COUNTIF(AF$4:AF982,"&gt;0")+1)</f>
        <v>0</v>
      </c>
      <c r="AG983" s="164">
        <f t="shared" si="173"/>
        <v>0</v>
      </c>
      <c r="AH983" s="99">
        <f t="shared" si="168"/>
        <v>0</v>
      </c>
      <c r="AI983" s="99">
        <f t="shared" si="174"/>
        <v>0</v>
      </c>
      <c r="AJ983" s="170">
        <f t="shared" si="175"/>
        <v>0</v>
      </c>
      <c r="AK983" s="204">
        <f t="shared" si="169"/>
        <v>0</v>
      </c>
      <c r="AL983" s="1049">
        <f>IF(ISERROR(AO983),0,IF(AND(AN983&gt;=$U$1,AN983&lt;=$U$2),IF(AO983='ESTRATTO CONTO'!$E$2,1+COUNTIF(AL$4:AL982,"&gt;0")+U$1009,0),0))</f>
        <v>0</v>
      </c>
      <c r="AM983" s="747">
        <f t="shared" si="172"/>
        <v>980</v>
      </c>
      <c r="AN983" s="164" t="e">
        <f>VLOOKUP($AM983,PATRIMONIALE!$AV1003:AW$1003,2,FALSE)</f>
        <v>#N/A</v>
      </c>
      <c r="AO983" s="310" t="e">
        <f>VLOOKUP($AM983,PATRIMONIALE!$AV1003:AX$1003,3,FALSE)</f>
        <v>#N/A</v>
      </c>
      <c r="AP983" s="310" t="e">
        <f>VLOOKUP($AM983,PATRIMONIALE!$AV1003:AY$1003,4,FALSE)</f>
        <v>#N/A</v>
      </c>
      <c r="AQ983" s="748" t="e">
        <f>VLOOKUP($AM983,PATRIMONIALE!$AV1003:AZ$1003,5,FALSE)</f>
        <v>#N/A</v>
      </c>
      <c r="AR983" s="1"/>
      <c r="AS983" s="461" t="str">
        <f t="shared" si="170"/>
        <v/>
      </c>
      <c r="AT983" s="370"/>
    </row>
    <row r="984" spans="1:46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435">
        <f>IF(AND(W984&gt;=$U$1,W984&lt;=$U$2),IF(X984='ESTRATTO CONTO'!$E$2,1+COUNTIF(U$4:U983,"&gt;0"),0),0)</f>
        <v>0</v>
      </c>
      <c r="V984" s="417">
        <f t="shared" si="171"/>
        <v>981</v>
      </c>
      <c r="W984" s="509"/>
      <c r="X984" s="321"/>
      <c r="Y984" s="321"/>
      <c r="Z984" s="433"/>
      <c r="AA984" s="356"/>
      <c r="AB984" s="306" t="str">
        <f t="shared" si="166"/>
        <v/>
      </c>
      <c r="AC984" s="893">
        <f t="shared" si="167"/>
        <v>0</v>
      </c>
      <c r="AD984" s="322"/>
      <c r="AE984" s="1"/>
      <c r="AF984" s="223">
        <f>IF(ISBLANK(AD984),0,COUNTIF(AF$4:AF983,"&gt;0")+1)</f>
        <v>0</v>
      </c>
      <c r="AG984" s="164">
        <f t="shared" si="173"/>
        <v>0</v>
      </c>
      <c r="AH984" s="99">
        <f t="shared" si="168"/>
        <v>0</v>
      </c>
      <c r="AI984" s="99">
        <f t="shared" si="174"/>
        <v>0</v>
      </c>
      <c r="AJ984" s="170">
        <f t="shared" si="175"/>
        <v>0</v>
      </c>
      <c r="AK984" s="204">
        <f t="shared" si="169"/>
        <v>0</v>
      </c>
      <c r="AL984" s="1049">
        <f>IF(ISERROR(AO984),0,IF(AND(AN984&gt;=$U$1,AN984&lt;=$U$2),IF(AO984='ESTRATTO CONTO'!$E$2,1+COUNTIF(AL$4:AL983,"&gt;0")+U$1009,0),0))</f>
        <v>0</v>
      </c>
      <c r="AM984" s="747">
        <f t="shared" si="172"/>
        <v>981</v>
      </c>
      <c r="AN984" s="164" t="e">
        <f>VLOOKUP($AM984,PATRIMONIALE!$AV1003:AW$1003,2,FALSE)</f>
        <v>#N/A</v>
      </c>
      <c r="AO984" s="310" t="e">
        <f>VLOOKUP($AM984,PATRIMONIALE!$AV1003:AX$1003,3,FALSE)</f>
        <v>#N/A</v>
      </c>
      <c r="AP984" s="310" t="e">
        <f>VLOOKUP($AM984,PATRIMONIALE!$AV1003:AY$1003,4,FALSE)</f>
        <v>#N/A</v>
      </c>
      <c r="AQ984" s="748" t="e">
        <f>VLOOKUP($AM984,PATRIMONIALE!$AV1003:AZ$1003,5,FALSE)</f>
        <v>#N/A</v>
      </c>
      <c r="AR984" s="1"/>
      <c r="AS984" s="461" t="str">
        <f t="shared" si="170"/>
        <v/>
      </c>
      <c r="AT984" s="370"/>
    </row>
    <row r="985" spans="1:46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435">
        <f>IF(AND(W985&gt;=$U$1,W985&lt;=$U$2),IF(X985='ESTRATTO CONTO'!$E$2,1+COUNTIF(U$4:U984,"&gt;0"),0),0)</f>
        <v>0</v>
      </c>
      <c r="V985" s="417">
        <f t="shared" si="171"/>
        <v>982</v>
      </c>
      <c r="W985" s="509"/>
      <c r="X985" s="321"/>
      <c r="Y985" s="321"/>
      <c r="Z985" s="433"/>
      <c r="AA985" s="356"/>
      <c r="AB985" s="306" t="str">
        <f t="shared" si="166"/>
        <v/>
      </c>
      <c r="AC985" s="893">
        <f t="shared" si="167"/>
        <v>0</v>
      </c>
      <c r="AD985" s="322"/>
      <c r="AE985" s="1"/>
      <c r="AF985" s="223">
        <f>IF(ISBLANK(AD985),0,COUNTIF(AF$4:AF984,"&gt;0")+1)</f>
        <v>0</v>
      </c>
      <c r="AG985" s="164">
        <f t="shared" si="173"/>
        <v>0</v>
      </c>
      <c r="AH985" s="99">
        <f t="shared" si="168"/>
        <v>0</v>
      </c>
      <c r="AI985" s="99">
        <f t="shared" si="174"/>
        <v>0</v>
      </c>
      <c r="AJ985" s="170">
        <f t="shared" si="175"/>
        <v>0</v>
      </c>
      <c r="AK985" s="204">
        <f t="shared" si="169"/>
        <v>0</v>
      </c>
      <c r="AL985" s="1049">
        <f>IF(ISERROR(AO985),0,IF(AND(AN985&gt;=$U$1,AN985&lt;=$U$2),IF(AO985='ESTRATTO CONTO'!$E$2,1+COUNTIF(AL$4:AL984,"&gt;0")+U$1009,0),0))</f>
        <v>0</v>
      </c>
      <c r="AM985" s="747">
        <f t="shared" si="172"/>
        <v>982</v>
      </c>
      <c r="AN985" s="164" t="e">
        <f>VLOOKUP($AM985,PATRIMONIALE!$AV1003:AW$1003,2,FALSE)</f>
        <v>#N/A</v>
      </c>
      <c r="AO985" s="310" t="e">
        <f>VLOOKUP($AM985,PATRIMONIALE!$AV1003:AX$1003,3,FALSE)</f>
        <v>#N/A</v>
      </c>
      <c r="AP985" s="310" t="e">
        <f>VLOOKUP($AM985,PATRIMONIALE!$AV1003:AY$1003,4,FALSE)</f>
        <v>#N/A</v>
      </c>
      <c r="AQ985" s="748" t="e">
        <f>VLOOKUP($AM985,PATRIMONIALE!$AV1003:AZ$1003,5,FALSE)</f>
        <v>#N/A</v>
      </c>
      <c r="AR985" s="1"/>
      <c r="AS985" s="461" t="str">
        <f t="shared" si="170"/>
        <v/>
      </c>
      <c r="AT985" s="370"/>
    </row>
    <row r="986" spans="1:46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435">
        <f>IF(AND(W986&gt;=$U$1,W986&lt;=$U$2),IF(X986='ESTRATTO CONTO'!$E$2,1+COUNTIF(U$4:U985,"&gt;0"),0),0)</f>
        <v>0</v>
      </c>
      <c r="V986" s="417">
        <f t="shared" si="171"/>
        <v>983</v>
      </c>
      <c r="W986" s="509"/>
      <c r="X986" s="321"/>
      <c r="Y986" s="321"/>
      <c r="Z986" s="433"/>
      <c r="AA986" s="356"/>
      <c r="AB986" s="306" t="str">
        <f t="shared" si="166"/>
        <v/>
      </c>
      <c r="AC986" s="893">
        <f t="shared" si="167"/>
        <v>0</v>
      </c>
      <c r="AD986" s="322"/>
      <c r="AE986" s="1"/>
      <c r="AF986" s="223">
        <f>IF(ISBLANK(AD986),0,COUNTIF(AF$4:AF985,"&gt;0")+1)</f>
        <v>0</v>
      </c>
      <c r="AG986" s="164">
        <f t="shared" si="173"/>
        <v>0</v>
      </c>
      <c r="AH986" s="99">
        <f t="shared" si="168"/>
        <v>0</v>
      </c>
      <c r="AI986" s="99">
        <f t="shared" si="174"/>
        <v>0</v>
      </c>
      <c r="AJ986" s="170">
        <f t="shared" si="175"/>
        <v>0</v>
      </c>
      <c r="AK986" s="204">
        <f t="shared" si="169"/>
        <v>0</v>
      </c>
      <c r="AL986" s="1049">
        <f>IF(ISERROR(AO986),0,IF(AND(AN986&gt;=$U$1,AN986&lt;=$U$2),IF(AO986='ESTRATTO CONTO'!$E$2,1+COUNTIF(AL$4:AL985,"&gt;0")+U$1009,0),0))</f>
        <v>0</v>
      </c>
      <c r="AM986" s="747">
        <f t="shared" si="172"/>
        <v>983</v>
      </c>
      <c r="AN986" s="164" t="e">
        <f>VLOOKUP($AM986,PATRIMONIALE!$AV1003:AW$1003,2,FALSE)</f>
        <v>#N/A</v>
      </c>
      <c r="AO986" s="310" t="e">
        <f>VLOOKUP($AM986,PATRIMONIALE!$AV1003:AX$1003,3,FALSE)</f>
        <v>#N/A</v>
      </c>
      <c r="AP986" s="310" t="e">
        <f>VLOOKUP($AM986,PATRIMONIALE!$AV1003:AY$1003,4,FALSE)</f>
        <v>#N/A</v>
      </c>
      <c r="AQ986" s="748" t="e">
        <f>VLOOKUP($AM986,PATRIMONIALE!$AV1003:AZ$1003,5,FALSE)</f>
        <v>#N/A</v>
      </c>
      <c r="AR986" s="1"/>
      <c r="AS986" s="461" t="str">
        <f t="shared" si="170"/>
        <v/>
      </c>
      <c r="AT986" s="370"/>
    </row>
    <row r="987" spans="1:46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435">
        <f>IF(AND(W987&gt;=$U$1,W987&lt;=$U$2),IF(X987='ESTRATTO CONTO'!$E$2,1+COUNTIF(U$4:U986,"&gt;0"),0),0)</f>
        <v>0</v>
      </c>
      <c r="V987" s="417">
        <f t="shared" si="171"/>
        <v>984</v>
      </c>
      <c r="W987" s="509"/>
      <c r="X987" s="321"/>
      <c r="Y987" s="321"/>
      <c r="Z987" s="433"/>
      <c r="AA987" s="356"/>
      <c r="AB987" s="306" t="str">
        <f t="shared" si="166"/>
        <v/>
      </c>
      <c r="AC987" s="893">
        <f t="shared" si="167"/>
        <v>0</v>
      </c>
      <c r="AD987" s="322"/>
      <c r="AE987" s="1"/>
      <c r="AF987" s="223">
        <f>IF(ISBLANK(AD987),0,COUNTIF(AF$4:AF986,"&gt;0")+1)</f>
        <v>0</v>
      </c>
      <c r="AG987" s="164">
        <f t="shared" si="173"/>
        <v>0</v>
      </c>
      <c r="AH987" s="99">
        <f t="shared" si="168"/>
        <v>0</v>
      </c>
      <c r="AI987" s="99">
        <f t="shared" si="174"/>
        <v>0</v>
      </c>
      <c r="AJ987" s="170">
        <f t="shared" si="175"/>
        <v>0</v>
      </c>
      <c r="AK987" s="204">
        <f t="shared" si="169"/>
        <v>0</v>
      </c>
      <c r="AL987" s="1049">
        <f>IF(ISERROR(AO987),0,IF(AND(AN987&gt;=$U$1,AN987&lt;=$U$2),IF(AO987='ESTRATTO CONTO'!$E$2,1+COUNTIF(AL$4:AL986,"&gt;0")+U$1009,0),0))</f>
        <v>0</v>
      </c>
      <c r="AM987" s="747">
        <f t="shared" si="172"/>
        <v>984</v>
      </c>
      <c r="AN987" s="164" t="e">
        <f>VLOOKUP($AM987,PATRIMONIALE!$AV1003:AW$1003,2,FALSE)</f>
        <v>#N/A</v>
      </c>
      <c r="AO987" s="310" t="e">
        <f>VLOOKUP($AM987,PATRIMONIALE!$AV1003:AX$1003,3,FALSE)</f>
        <v>#N/A</v>
      </c>
      <c r="AP987" s="310" t="e">
        <f>VLOOKUP($AM987,PATRIMONIALE!$AV1003:AY$1003,4,FALSE)</f>
        <v>#N/A</v>
      </c>
      <c r="AQ987" s="748" t="e">
        <f>VLOOKUP($AM987,PATRIMONIALE!$AV1003:AZ$1003,5,FALSE)</f>
        <v>#N/A</v>
      </c>
      <c r="AR987" s="1"/>
      <c r="AS987" s="461" t="str">
        <f t="shared" si="170"/>
        <v/>
      </c>
      <c r="AT987" s="370"/>
    </row>
    <row r="988" spans="1:46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435">
        <f>IF(AND(W988&gt;=$U$1,W988&lt;=$U$2),IF(X988='ESTRATTO CONTO'!$E$2,1+COUNTIF(U$4:U987,"&gt;0"),0),0)</f>
        <v>0</v>
      </c>
      <c r="V988" s="417">
        <f t="shared" si="171"/>
        <v>985</v>
      </c>
      <c r="W988" s="509"/>
      <c r="X988" s="321"/>
      <c r="Y988" s="321"/>
      <c r="Z988" s="433"/>
      <c r="AA988" s="356"/>
      <c r="AB988" s="306" t="str">
        <f t="shared" si="166"/>
        <v/>
      </c>
      <c r="AC988" s="893">
        <f t="shared" si="167"/>
        <v>0</v>
      </c>
      <c r="AD988" s="322"/>
      <c r="AE988" s="1"/>
      <c r="AF988" s="223">
        <f>IF(ISBLANK(AD988),0,COUNTIF(AF$4:AF987,"&gt;0")+1)</f>
        <v>0</v>
      </c>
      <c r="AG988" s="164">
        <f t="shared" si="173"/>
        <v>0</v>
      </c>
      <c r="AH988" s="99">
        <f t="shared" si="168"/>
        <v>0</v>
      </c>
      <c r="AI988" s="99">
        <f t="shared" si="174"/>
        <v>0</v>
      </c>
      <c r="AJ988" s="170">
        <f t="shared" si="175"/>
        <v>0</v>
      </c>
      <c r="AK988" s="204">
        <f t="shared" si="169"/>
        <v>0</v>
      </c>
      <c r="AL988" s="1049">
        <f>IF(ISERROR(AO988),0,IF(AND(AN988&gt;=$U$1,AN988&lt;=$U$2),IF(AO988='ESTRATTO CONTO'!$E$2,1+COUNTIF(AL$4:AL987,"&gt;0")+U$1009,0),0))</f>
        <v>0</v>
      </c>
      <c r="AM988" s="747">
        <f t="shared" si="172"/>
        <v>985</v>
      </c>
      <c r="AN988" s="164" t="e">
        <f>VLOOKUP($AM988,PATRIMONIALE!$AV1003:AW$1003,2,FALSE)</f>
        <v>#N/A</v>
      </c>
      <c r="AO988" s="310" t="e">
        <f>VLOOKUP($AM988,PATRIMONIALE!$AV1003:AX$1003,3,FALSE)</f>
        <v>#N/A</v>
      </c>
      <c r="AP988" s="310" t="e">
        <f>VLOOKUP($AM988,PATRIMONIALE!$AV1003:AY$1003,4,FALSE)</f>
        <v>#N/A</v>
      </c>
      <c r="AQ988" s="748" t="e">
        <f>VLOOKUP($AM988,PATRIMONIALE!$AV1003:AZ$1003,5,FALSE)</f>
        <v>#N/A</v>
      </c>
      <c r="AR988" s="1"/>
      <c r="AS988" s="461" t="str">
        <f t="shared" si="170"/>
        <v/>
      </c>
      <c r="AT988" s="370"/>
    </row>
    <row r="989" spans="1:46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435">
        <f>IF(AND(W989&gt;=$U$1,W989&lt;=$U$2),IF(X989='ESTRATTO CONTO'!$E$2,1+COUNTIF(U$4:U988,"&gt;0"),0),0)</f>
        <v>0</v>
      </c>
      <c r="V989" s="417">
        <f t="shared" si="171"/>
        <v>986</v>
      </c>
      <c r="W989" s="509"/>
      <c r="X989" s="321"/>
      <c r="Y989" s="321"/>
      <c r="Z989" s="433"/>
      <c r="AA989" s="356"/>
      <c r="AB989" s="306" t="str">
        <f t="shared" si="166"/>
        <v/>
      </c>
      <c r="AC989" s="893">
        <f t="shared" si="167"/>
        <v>0</v>
      </c>
      <c r="AD989" s="322"/>
      <c r="AE989" s="1"/>
      <c r="AF989" s="223">
        <f>IF(ISBLANK(AD989),0,COUNTIF(AF$4:AF988,"&gt;0")+1)</f>
        <v>0</v>
      </c>
      <c r="AG989" s="164">
        <f t="shared" si="173"/>
        <v>0</v>
      </c>
      <c r="AH989" s="99">
        <f t="shared" si="168"/>
        <v>0</v>
      </c>
      <c r="AI989" s="99">
        <f t="shared" si="174"/>
        <v>0</v>
      </c>
      <c r="AJ989" s="170">
        <f t="shared" si="175"/>
        <v>0</v>
      </c>
      <c r="AK989" s="204">
        <f t="shared" si="169"/>
        <v>0</v>
      </c>
      <c r="AL989" s="1049">
        <f>IF(ISERROR(AO989),0,IF(AND(AN989&gt;=$U$1,AN989&lt;=$U$2),IF(AO989='ESTRATTO CONTO'!$E$2,1+COUNTIF(AL$4:AL988,"&gt;0")+U$1009,0),0))</f>
        <v>0</v>
      </c>
      <c r="AM989" s="747">
        <f t="shared" si="172"/>
        <v>986</v>
      </c>
      <c r="AN989" s="164" t="e">
        <f>VLOOKUP($AM989,PATRIMONIALE!$AV1003:AW$1003,2,FALSE)</f>
        <v>#N/A</v>
      </c>
      <c r="AO989" s="310" t="e">
        <f>VLOOKUP($AM989,PATRIMONIALE!$AV1003:AX$1003,3,FALSE)</f>
        <v>#N/A</v>
      </c>
      <c r="AP989" s="310" t="e">
        <f>VLOOKUP($AM989,PATRIMONIALE!$AV1003:AY$1003,4,FALSE)</f>
        <v>#N/A</v>
      </c>
      <c r="AQ989" s="748" t="e">
        <f>VLOOKUP($AM989,PATRIMONIALE!$AV1003:AZ$1003,5,FALSE)</f>
        <v>#N/A</v>
      </c>
      <c r="AR989" s="1"/>
      <c r="AS989" s="461" t="str">
        <f t="shared" si="170"/>
        <v/>
      </c>
      <c r="AT989" s="370"/>
    </row>
    <row r="990" spans="1:46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435">
        <f>IF(AND(W990&gt;=$U$1,W990&lt;=$U$2),IF(X990='ESTRATTO CONTO'!$E$2,1+COUNTIF(U$4:U989,"&gt;0"),0),0)</f>
        <v>0</v>
      </c>
      <c r="V990" s="417">
        <f t="shared" si="171"/>
        <v>987</v>
      </c>
      <c r="W990" s="509"/>
      <c r="X990" s="321"/>
      <c r="Y990" s="321"/>
      <c r="Z990" s="433"/>
      <c r="AA990" s="356"/>
      <c r="AB990" s="306" t="str">
        <f t="shared" si="166"/>
        <v/>
      </c>
      <c r="AC990" s="893">
        <f t="shared" si="167"/>
        <v>0</v>
      </c>
      <c r="AD990" s="322"/>
      <c r="AE990" s="1"/>
      <c r="AF990" s="223">
        <f>IF(ISBLANK(AD990),0,COUNTIF(AF$4:AF989,"&gt;0")+1)</f>
        <v>0</v>
      </c>
      <c r="AG990" s="164">
        <f t="shared" si="173"/>
        <v>0</v>
      </c>
      <c r="AH990" s="99">
        <f t="shared" si="168"/>
        <v>0</v>
      </c>
      <c r="AI990" s="99">
        <f t="shared" si="174"/>
        <v>0</v>
      </c>
      <c r="AJ990" s="170">
        <f t="shared" si="175"/>
        <v>0</v>
      </c>
      <c r="AK990" s="204">
        <f t="shared" si="169"/>
        <v>0</v>
      </c>
      <c r="AL990" s="1049">
        <f>IF(ISERROR(AO990),0,IF(AND(AN990&gt;=$U$1,AN990&lt;=$U$2),IF(AO990='ESTRATTO CONTO'!$E$2,1+COUNTIF(AL$4:AL989,"&gt;0")+U$1009,0),0))</f>
        <v>0</v>
      </c>
      <c r="AM990" s="747">
        <f t="shared" si="172"/>
        <v>987</v>
      </c>
      <c r="AN990" s="164" t="e">
        <f>VLOOKUP($AM990,PATRIMONIALE!$AV1003:AW$1003,2,FALSE)</f>
        <v>#N/A</v>
      </c>
      <c r="AO990" s="310" t="e">
        <f>VLOOKUP($AM990,PATRIMONIALE!$AV1003:AX$1003,3,FALSE)</f>
        <v>#N/A</v>
      </c>
      <c r="AP990" s="310" t="e">
        <f>VLOOKUP($AM990,PATRIMONIALE!$AV1003:AY$1003,4,FALSE)</f>
        <v>#N/A</v>
      </c>
      <c r="AQ990" s="748" t="e">
        <f>VLOOKUP($AM990,PATRIMONIALE!$AV1003:AZ$1003,5,FALSE)</f>
        <v>#N/A</v>
      </c>
      <c r="AR990" s="1"/>
      <c r="AS990" s="461" t="str">
        <f t="shared" si="170"/>
        <v/>
      </c>
      <c r="AT990" s="370"/>
    </row>
    <row r="991" spans="1:46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435">
        <f>IF(AND(W991&gt;=$U$1,W991&lt;=$U$2),IF(X991='ESTRATTO CONTO'!$E$2,1+COUNTIF(U$4:U990,"&gt;0"),0),0)</f>
        <v>0</v>
      </c>
      <c r="V991" s="417">
        <f t="shared" si="171"/>
        <v>988</v>
      </c>
      <c r="W991" s="509"/>
      <c r="X991" s="321"/>
      <c r="Y991" s="321"/>
      <c r="Z991" s="433"/>
      <c r="AA991" s="356"/>
      <c r="AB991" s="306" t="str">
        <f t="shared" si="166"/>
        <v/>
      </c>
      <c r="AC991" s="893">
        <f t="shared" si="167"/>
        <v>0</v>
      </c>
      <c r="AD991" s="322"/>
      <c r="AE991" s="1"/>
      <c r="AF991" s="223">
        <f>IF(ISBLANK(AD991),0,COUNTIF(AF$4:AF990,"&gt;0")+1)</f>
        <v>0</v>
      </c>
      <c r="AG991" s="164">
        <f t="shared" si="173"/>
        <v>0</v>
      </c>
      <c r="AH991" s="99">
        <f t="shared" si="168"/>
        <v>0</v>
      </c>
      <c r="AI991" s="99">
        <f t="shared" si="174"/>
        <v>0</v>
      </c>
      <c r="AJ991" s="170">
        <f t="shared" si="175"/>
        <v>0</v>
      </c>
      <c r="AK991" s="204">
        <f t="shared" si="169"/>
        <v>0</v>
      </c>
      <c r="AL991" s="1049">
        <f>IF(ISERROR(AO991),0,IF(AND(AN991&gt;=$U$1,AN991&lt;=$U$2),IF(AO991='ESTRATTO CONTO'!$E$2,1+COUNTIF(AL$4:AL990,"&gt;0")+U$1009,0),0))</f>
        <v>0</v>
      </c>
      <c r="AM991" s="747">
        <f t="shared" si="172"/>
        <v>988</v>
      </c>
      <c r="AN991" s="164" t="e">
        <f>VLOOKUP($AM991,PATRIMONIALE!$AV1003:AW$1003,2,FALSE)</f>
        <v>#N/A</v>
      </c>
      <c r="AO991" s="310" t="e">
        <f>VLOOKUP($AM991,PATRIMONIALE!$AV1003:AX$1003,3,FALSE)</f>
        <v>#N/A</v>
      </c>
      <c r="AP991" s="310" t="e">
        <f>VLOOKUP($AM991,PATRIMONIALE!$AV1003:AY$1003,4,FALSE)</f>
        <v>#N/A</v>
      </c>
      <c r="AQ991" s="748" t="e">
        <f>VLOOKUP($AM991,PATRIMONIALE!$AV1003:AZ$1003,5,FALSE)</f>
        <v>#N/A</v>
      </c>
      <c r="AR991" s="1"/>
      <c r="AS991" s="461" t="str">
        <f t="shared" si="170"/>
        <v/>
      </c>
      <c r="AT991" s="370"/>
    </row>
    <row r="992" spans="1:46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435">
        <f>IF(AND(W992&gt;=$U$1,W992&lt;=$U$2),IF(X992='ESTRATTO CONTO'!$E$2,1+COUNTIF(U$4:U991,"&gt;0"),0),0)</f>
        <v>0</v>
      </c>
      <c r="V992" s="417">
        <f t="shared" si="171"/>
        <v>989</v>
      </c>
      <c r="W992" s="509"/>
      <c r="X992" s="321"/>
      <c r="Y992" s="321"/>
      <c r="Z992" s="433"/>
      <c r="AA992" s="356"/>
      <c r="AB992" s="306" t="str">
        <f t="shared" si="166"/>
        <v/>
      </c>
      <c r="AC992" s="893">
        <f t="shared" si="167"/>
        <v>0</v>
      </c>
      <c r="AD992" s="322"/>
      <c r="AE992" s="1"/>
      <c r="AF992" s="223">
        <f>IF(ISBLANK(AD992),0,COUNTIF(AF$4:AF991,"&gt;0")+1)</f>
        <v>0</v>
      </c>
      <c r="AG992" s="164">
        <f t="shared" si="173"/>
        <v>0</v>
      </c>
      <c r="AH992" s="99">
        <f t="shared" si="168"/>
        <v>0</v>
      </c>
      <c r="AI992" s="99">
        <f t="shared" si="174"/>
        <v>0</v>
      </c>
      <c r="AJ992" s="170">
        <f t="shared" si="175"/>
        <v>0</v>
      </c>
      <c r="AK992" s="204">
        <f t="shared" si="169"/>
        <v>0</v>
      </c>
      <c r="AL992" s="1049">
        <f>IF(ISERROR(AO992),0,IF(AND(AN992&gt;=$U$1,AN992&lt;=$U$2),IF(AO992='ESTRATTO CONTO'!$E$2,1+COUNTIF(AL$4:AL991,"&gt;0")+U$1009,0),0))</f>
        <v>0</v>
      </c>
      <c r="AM992" s="747">
        <f t="shared" si="172"/>
        <v>989</v>
      </c>
      <c r="AN992" s="164" t="e">
        <f>VLOOKUP($AM992,PATRIMONIALE!$AV1003:AW$1003,2,FALSE)</f>
        <v>#N/A</v>
      </c>
      <c r="AO992" s="310" t="e">
        <f>VLOOKUP($AM992,PATRIMONIALE!$AV1003:AX$1003,3,FALSE)</f>
        <v>#N/A</v>
      </c>
      <c r="AP992" s="310" t="e">
        <f>VLOOKUP($AM992,PATRIMONIALE!$AV1003:AY$1003,4,FALSE)</f>
        <v>#N/A</v>
      </c>
      <c r="AQ992" s="748" t="e">
        <f>VLOOKUP($AM992,PATRIMONIALE!$AV1003:AZ$1003,5,FALSE)</f>
        <v>#N/A</v>
      </c>
      <c r="AR992" s="1"/>
      <c r="AS992" s="461" t="str">
        <f t="shared" si="170"/>
        <v/>
      </c>
      <c r="AT992" s="370"/>
    </row>
    <row r="993" spans="1:46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435">
        <f>IF(AND(W993&gt;=$U$1,W993&lt;=$U$2),IF(X993='ESTRATTO CONTO'!$E$2,1+COUNTIF(U$4:U992,"&gt;0"),0),0)</f>
        <v>0</v>
      </c>
      <c r="V993" s="417">
        <f t="shared" si="171"/>
        <v>990</v>
      </c>
      <c r="W993" s="509"/>
      <c r="X993" s="321"/>
      <c r="Y993" s="321"/>
      <c r="Z993" s="433"/>
      <c r="AA993" s="356"/>
      <c r="AB993" s="306" t="str">
        <f t="shared" si="166"/>
        <v/>
      </c>
      <c r="AC993" s="893">
        <f t="shared" si="167"/>
        <v>0</v>
      </c>
      <c r="AD993" s="322"/>
      <c r="AE993" s="1"/>
      <c r="AF993" s="223">
        <f>IF(ISBLANK(AD993),0,COUNTIF(AF$4:AF992,"&gt;0")+1)</f>
        <v>0</v>
      </c>
      <c r="AG993" s="164">
        <f t="shared" si="173"/>
        <v>0</v>
      </c>
      <c r="AH993" s="99">
        <f t="shared" si="168"/>
        <v>0</v>
      </c>
      <c r="AI993" s="99">
        <f t="shared" si="174"/>
        <v>0</v>
      </c>
      <c r="AJ993" s="170">
        <f t="shared" si="175"/>
        <v>0</v>
      </c>
      <c r="AK993" s="204">
        <f t="shared" si="169"/>
        <v>0</v>
      </c>
      <c r="AL993" s="1049">
        <f>IF(ISERROR(AO993),0,IF(AND(AN993&gt;=$U$1,AN993&lt;=$U$2),IF(AO993='ESTRATTO CONTO'!$E$2,1+COUNTIF(AL$4:AL992,"&gt;0")+U$1009,0),0))</f>
        <v>0</v>
      </c>
      <c r="AM993" s="747">
        <f t="shared" si="172"/>
        <v>990</v>
      </c>
      <c r="AN993" s="164" t="e">
        <f>VLOOKUP($AM993,PATRIMONIALE!$AV1003:AW$1003,2,FALSE)</f>
        <v>#N/A</v>
      </c>
      <c r="AO993" s="310" t="e">
        <f>VLOOKUP($AM993,PATRIMONIALE!$AV1003:AX$1003,3,FALSE)</f>
        <v>#N/A</v>
      </c>
      <c r="AP993" s="310" t="e">
        <f>VLOOKUP($AM993,PATRIMONIALE!$AV1003:AY$1003,4,FALSE)</f>
        <v>#N/A</v>
      </c>
      <c r="AQ993" s="748" t="e">
        <f>VLOOKUP($AM993,PATRIMONIALE!$AV1003:AZ$1003,5,FALSE)</f>
        <v>#N/A</v>
      </c>
      <c r="AR993" s="1"/>
      <c r="AS993" s="461" t="str">
        <f t="shared" si="170"/>
        <v/>
      </c>
      <c r="AT993" s="370"/>
    </row>
    <row r="994" spans="1:46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435">
        <f>IF(AND(W994&gt;=$U$1,W994&lt;=$U$2),IF(X994='ESTRATTO CONTO'!$E$2,1+COUNTIF(U$4:U993,"&gt;0"),0),0)</f>
        <v>0</v>
      </c>
      <c r="V994" s="417">
        <f t="shared" si="171"/>
        <v>991</v>
      </c>
      <c r="W994" s="509"/>
      <c r="X994" s="321"/>
      <c r="Y994" s="321"/>
      <c r="Z994" s="433"/>
      <c r="AA994" s="356"/>
      <c r="AB994" s="306" t="str">
        <f t="shared" si="166"/>
        <v/>
      </c>
      <c r="AC994" s="893">
        <f t="shared" si="167"/>
        <v>0</v>
      </c>
      <c r="AD994" s="322"/>
      <c r="AE994" s="1"/>
      <c r="AF994" s="223">
        <f>IF(ISBLANK(AD994),0,COUNTIF(AF$4:AF993,"&gt;0")+1)</f>
        <v>0</v>
      </c>
      <c r="AG994" s="164">
        <f t="shared" si="173"/>
        <v>0</v>
      </c>
      <c r="AH994" s="99">
        <f t="shared" si="168"/>
        <v>0</v>
      </c>
      <c r="AI994" s="99">
        <f t="shared" si="174"/>
        <v>0</v>
      </c>
      <c r="AJ994" s="170">
        <f t="shared" si="175"/>
        <v>0</v>
      </c>
      <c r="AK994" s="204">
        <f t="shared" si="169"/>
        <v>0</v>
      </c>
      <c r="AL994" s="1049">
        <f>IF(ISERROR(AO994),0,IF(AND(AN994&gt;=$U$1,AN994&lt;=$U$2),IF(AO994='ESTRATTO CONTO'!$E$2,1+COUNTIF(AL$4:AL993,"&gt;0")+U$1009,0),0))</f>
        <v>0</v>
      </c>
      <c r="AM994" s="747">
        <f t="shared" si="172"/>
        <v>991</v>
      </c>
      <c r="AN994" s="164" t="e">
        <f>VLOOKUP($AM994,PATRIMONIALE!$AV1003:AW$1003,2,FALSE)</f>
        <v>#N/A</v>
      </c>
      <c r="AO994" s="310" t="e">
        <f>VLOOKUP($AM994,PATRIMONIALE!$AV1003:AX$1003,3,FALSE)</f>
        <v>#N/A</v>
      </c>
      <c r="AP994" s="310" t="e">
        <f>VLOOKUP($AM994,PATRIMONIALE!$AV1003:AY$1003,4,FALSE)</f>
        <v>#N/A</v>
      </c>
      <c r="AQ994" s="748" t="e">
        <f>VLOOKUP($AM994,PATRIMONIALE!$AV1003:AZ$1003,5,FALSE)</f>
        <v>#N/A</v>
      </c>
      <c r="AR994" s="1"/>
      <c r="AS994" s="461" t="str">
        <f t="shared" si="170"/>
        <v/>
      </c>
      <c r="AT994" s="370"/>
    </row>
    <row r="995" spans="1:46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435">
        <f>IF(AND(W995&gt;=$U$1,W995&lt;=$U$2),IF(X995='ESTRATTO CONTO'!$E$2,1+COUNTIF(U$4:U994,"&gt;0"),0),0)</f>
        <v>0</v>
      </c>
      <c r="V995" s="417">
        <f t="shared" si="171"/>
        <v>992</v>
      </c>
      <c r="W995" s="509"/>
      <c r="X995" s="321"/>
      <c r="Y995" s="321"/>
      <c r="Z995" s="433"/>
      <c r="AA995" s="356"/>
      <c r="AB995" s="306" t="str">
        <f t="shared" si="166"/>
        <v/>
      </c>
      <c r="AC995" s="893">
        <f t="shared" si="167"/>
        <v>0</v>
      </c>
      <c r="AD995" s="322"/>
      <c r="AE995" s="1"/>
      <c r="AF995" s="223">
        <f>IF(ISBLANK(AD995),0,COUNTIF(AF$4:AF994,"&gt;0")+1)</f>
        <v>0</v>
      </c>
      <c r="AG995" s="164">
        <f t="shared" si="173"/>
        <v>0</v>
      </c>
      <c r="AH995" s="99">
        <f t="shared" si="168"/>
        <v>0</v>
      </c>
      <c r="AI995" s="99">
        <f t="shared" si="174"/>
        <v>0</v>
      </c>
      <c r="AJ995" s="170">
        <f t="shared" si="175"/>
        <v>0</v>
      </c>
      <c r="AK995" s="204">
        <f t="shared" si="169"/>
        <v>0</v>
      </c>
      <c r="AL995" s="1049">
        <f>IF(ISERROR(AO995),0,IF(AND(AN995&gt;=$U$1,AN995&lt;=$U$2),IF(AO995='ESTRATTO CONTO'!$E$2,1+COUNTIF(AL$4:AL994,"&gt;0")+U$1009,0),0))</f>
        <v>0</v>
      </c>
      <c r="AM995" s="747">
        <f t="shared" si="172"/>
        <v>992</v>
      </c>
      <c r="AN995" s="164" t="e">
        <f>VLOOKUP($AM995,PATRIMONIALE!$AV1003:AW$1003,2,FALSE)</f>
        <v>#N/A</v>
      </c>
      <c r="AO995" s="310" t="e">
        <f>VLOOKUP($AM995,PATRIMONIALE!$AV1003:AX$1003,3,FALSE)</f>
        <v>#N/A</v>
      </c>
      <c r="AP995" s="310" t="e">
        <f>VLOOKUP($AM995,PATRIMONIALE!$AV1003:AY$1003,4,FALSE)</f>
        <v>#N/A</v>
      </c>
      <c r="AQ995" s="748" t="e">
        <f>VLOOKUP($AM995,PATRIMONIALE!$AV1003:AZ$1003,5,FALSE)</f>
        <v>#N/A</v>
      </c>
      <c r="AR995" s="1"/>
      <c r="AS995" s="461" t="str">
        <f t="shared" si="170"/>
        <v/>
      </c>
      <c r="AT995" s="370"/>
    </row>
    <row r="996" spans="1:46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435">
        <f>IF(AND(W996&gt;=$U$1,W996&lt;=$U$2),IF(X996='ESTRATTO CONTO'!$E$2,1+COUNTIF(U$4:U995,"&gt;0"),0),0)</f>
        <v>0</v>
      </c>
      <c r="V996" s="417">
        <f t="shared" si="171"/>
        <v>993</v>
      </c>
      <c r="W996" s="509"/>
      <c r="X996" s="321"/>
      <c r="Y996" s="321"/>
      <c r="Z996" s="433"/>
      <c r="AA996" s="356"/>
      <c r="AB996" s="306" t="str">
        <f t="shared" si="166"/>
        <v/>
      </c>
      <c r="AC996" s="893">
        <f t="shared" si="167"/>
        <v>0</v>
      </c>
      <c r="AD996" s="322"/>
      <c r="AE996" s="1"/>
      <c r="AF996" s="223">
        <f>IF(ISBLANK(AD996),0,COUNTIF(AF$4:AF995,"&gt;0")+1)</f>
        <v>0</v>
      </c>
      <c r="AG996" s="164">
        <f t="shared" si="173"/>
        <v>0</v>
      </c>
      <c r="AH996" s="99">
        <f t="shared" si="168"/>
        <v>0</v>
      </c>
      <c r="AI996" s="99">
        <f t="shared" si="174"/>
        <v>0</v>
      </c>
      <c r="AJ996" s="170">
        <f t="shared" si="175"/>
        <v>0</v>
      </c>
      <c r="AK996" s="204">
        <f t="shared" si="169"/>
        <v>0</v>
      </c>
      <c r="AL996" s="1049">
        <f>IF(ISERROR(AO996),0,IF(AND(AN996&gt;=$U$1,AN996&lt;=$U$2),IF(AO996='ESTRATTO CONTO'!$E$2,1+COUNTIF(AL$4:AL995,"&gt;0")+U$1009,0),0))</f>
        <v>0</v>
      </c>
      <c r="AM996" s="747">
        <f t="shared" si="172"/>
        <v>993</v>
      </c>
      <c r="AN996" s="164" t="e">
        <f>VLOOKUP($AM996,PATRIMONIALE!$AV1003:AW$1003,2,FALSE)</f>
        <v>#N/A</v>
      </c>
      <c r="AO996" s="310" t="e">
        <f>VLOOKUP($AM996,PATRIMONIALE!$AV1003:AX$1003,3,FALSE)</f>
        <v>#N/A</v>
      </c>
      <c r="AP996" s="310" t="e">
        <f>VLOOKUP($AM996,PATRIMONIALE!$AV1003:AY$1003,4,FALSE)</f>
        <v>#N/A</v>
      </c>
      <c r="AQ996" s="748" t="e">
        <f>VLOOKUP($AM996,PATRIMONIALE!$AV1003:AZ$1003,5,FALSE)</f>
        <v>#N/A</v>
      </c>
      <c r="AR996" s="1"/>
      <c r="AS996" s="461" t="str">
        <f t="shared" si="170"/>
        <v/>
      </c>
      <c r="AT996" s="370"/>
    </row>
    <row r="997" spans="1:46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435">
        <f>IF(AND(W997&gt;=$U$1,W997&lt;=$U$2),IF(X997='ESTRATTO CONTO'!$E$2,1+COUNTIF(U$4:U996,"&gt;0"),0),0)</f>
        <v>0</v>
      </c>
      <c r="V997" s="417">
        <f t="shared" si="171"/>
        <v>994</v>
      </c>
      <c r="W997" s="509"/>
      <c r="X997" s="321"/>
      <c r="Y997" s="321"/>
      <c r="Z997" s="433"/>
      <c r="AA997" s="356"/>
      <c r="AB997" s="306" t="str">
        <f t="shared" si="166"/>
        <v/>
      </c>
      <c r="AC997" s="893">
        <f t="shared" si="167"/>
        <v>0</v>
      </c>
      <c r="AD997" s="322"/>
      <c r="AE997" s="1"/>
      <c r="AF997" s="223">
        <f>IF(ISBLANK(AD997),0,COUNTIF(AF$4:AF996,"&gt;0")+1)</f>
        <v>0</v>
      </c>
      <c r="AG997" s="164">
        <f t="shared" si="173"/>
        <v>0</v>
      </c>
      <c r="AH997" s="99">
        <f t="shared" si="168"/>
        <v>0</v>
      </c>
      <c r="AI997" s="99">
        <f t="shared" si="174"/>
        <v>0</v>
      </c>
      <c r="AJ997" s="170">
        <f t="shared" si="175"/>
        <v>0</v>
      </c>
      <c r="AK997" s="204">
        <f t="shared" si="169"/>
        <v>0</v>
      </c>
      <c r="AL997" s="1049">
        <f>IF(ISERROR(AO997),0,IF(AND(AN997&gt;=$U$1,AN997&lt;=$U$2),IF(AO997='ESTRATTO CONTO'!$E$2,1+COUNTIF(AL$4:AL996,"&gt;0")+U$1009,0),0))</f>
        <v>0</v>
      </c>
      <c r="AM997" s="747">
        <f t="shared" si="172"/>
        <v>994</v>
      </c>
      <c r="AN997" s="164" t="e">
        <f>VLOOKUP($AM997,PATRIMONIALE!$AV1003:AW$1003,2,FALSE)</f>
        <v>#N/A</v>
      </c>
      <c r="AO997" s="310" t="e">
        <f>VLOOKUP($AM997,PATRIMONIALE!$AV1003:AX$1003,3,FALSE)</f>
        <v>#N/A</v>
      </c>
      <c r="AP997" s="310" t="e">
        <f>VLOOKUP($AM997,PATRIMONIALE!$AV1003:AY$1003,4,FALSE)</f>
        <v>#N/A</v>
      </c>
      <c r="AQ997" s="748" t="e">
        <f>VLOOKUP($AM997,PATRIMONIALE!$AV1003:AZ$1003,5,FALSE)</f>
        <v>#N/A</v>
      </c>
      <c r="AR997" s="1"/>
      <c r="AS997" s="461" t="str">
        <f t="shared" si="170"/>
        <v/>
      </c>
      <c r="AT997" s="370"/>
    </row>
    <row r="998" spans="1:46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435">
        <f>IF(AND(W998&gt;=$U$1,W998&lt;=$U$2),IF(X998='ESTRATTO CONTO'!$E$2,1+COUNTIF(U$4:U997,"&gt;0"),0),0)</f>
        <v>0</v>
      </c>
      <c r="V998" s="417">
        <f t="shared" si="171"/>
        <v>995</v>
      </c>
      <c r="W998" s="509"/>
      <c r="X998" s="321"/>
      <c r="Y998" s="321"/>
      <c r="Z998" s="433"/>
      <c r="AA998" s="356"/>
      <c r="AB998" s="306" t="str">
        <f t="shared" si="166"/>
        <v/>
      </c>
      <c r="AC998" s="893">
        <f t="shared" si="167"/>
        <v>0</v>
      </c>
      <c r="AD998" s="322"/>
      <c r="AE998" s="1"/>
      <c r="AF998" s="223">
        <f>IF(ISBLANK(AD998),0,COUNTIF(AF$4:AF997,"&gt;0")+1)</f>
        <v>0</v>
      </c>
      <c r="AG998" s="164">
        <f t="shared" si="173"/>
        <v>0</v>
      </c>
      <c r="AH998" s="99">
        <f t="shared" si="168"/>
        <v>0</v>
      </c>
      <c r="AI998" s="99">
        <f t="shared" si="174"/>
        <v>0</v>
      </c>
      <c r="AJ998" s="170">
        <f t="shared" si="175"/>
        <v>0</v>
      </c>
      <c r="AK998" s="204">
        <f t="shared" si="169"/>
        <v>0</v>
      </c>
      <c r="AL998" s="1049">
        <f>IF(ISERROR(AO998),0,IF(AND(AN998&gt;=$U$1,AN998&lt;=$U$2),IF(AO998='ESTRATTO CONTO'!$E$2,1+COUNTIF(AL$4:AL997,"&gt;0")+U$1009,0),0))</f>
        <v>0</v>
      </c>
      <c r="AM998" s="747">
        <f t="shared" si="172"/>
        <v>995</v>
      </c>
      <c r="AN998" s="164" t="e">
        <f>VLOOKUP($AM998,PATRIMONIALE!$AV1003:AW$1003,2,FALSE)</f>
        <v>#N/A</v>
      </c>
      <c r="AO998" s="310" t="e">
        <f>VLOOKUP($AM998,PATRIMONIALE!$AV1003:AX$1003,3,FALSE)</f>
        <v>#N/A</v>
      </c>
      <c r="AP998" s="310" t="e">
        <f>VLOOKUP($AM998,PATRIMONIALE!$AV1003:AY$1003,4,FALSE)</f>
        <v>#N/A</v>
      </c>
      <c r="AQ998" s="748" t="e">
        <f>VLOOKUP($AM998,PATRIMONIALE!$AV1003:AZ$1003,5,FALSE)</f>
        <v>#N/A</v>
      </c>
      <c r="AR998" s="1"/>
      <c r="AS998" s="461" t="str">
        <f t="shared" si="170"/>
        <v/>
      </c>
      <c r="AT998" s="370"/>
    </row>
    <row r="999" spans="1:46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435">
        <f>IF(AND(W999&gt;=$U$1,W999&lt;=$U$2),IF(X999='ESTRATTO CONTO'!$E$2,1+COUNTIF(U$4:U998,"&gt;0"),0),0)</f>
        <v>0</v>
      </c>
      <c r="V999" s="417">
        <f t="shared" si="171"/>
        <v>996</v>
      </c>
      <c r="W999" s="509"/>
      <c r="X999" s="321"/>
      <c r="Y999" s="321"/>
      <c r="Z999" s="433"/>
      <c r="AA999" s="356"/>
      <c r="AB999" s="306" t="str">
        <f t="shared" si="166"/>
        <v/>
      </c>
      <c r="AC999" s="893">
        <f t="shared" si="167"/>
        <v>0</v>
      </c>
      <c r="AD999" s="322"/>
      <c r="AE999" s="1"/>
      <c r="AF999" s="223">
        <f>IF(ISBLANK(AD999),0,COUNTIF(AF$4:AF998,"&gt;0")+1)</f>
        <v>0</v>
      </c>
      <c r="AG999" s="164">
        <f t="shared" si="173"/>
        <v>0</v>
      </c>
      <c r="AH999" s="99">
        <f t="shared" si="168"/>
        <v>0</v>
      </c>
      <c r="AI999" s="99">
        <f t="shared" si="174"/>
        <v>0</v>
      </c>
      <c r="AJ999" s="170">
        <f t="shared" si="175"/>
        <v>0</v>
      </c>
      <c r="AK999" s="204">
        <f t="shared" si="169"/>
        <v>0</v>
      </c>
      <c r="AL999" s="1049">
        <f>IF(ISERROR(AO999),0,IF(AND(AN999&gt;=$U$1,AN999&lt;=$U$2),IF(AO999='ESTRATTO CONTO'!$E$2,1+COUNTIF(AL$4:AL998,"&gt;0")+U$1009,0),0))</f>
        <v>0</v>
      </c>
      <c r="AM999" s="747">
        <f t="shared" si="172"/>
        <v>996</v>
      </c>
      <c r="AN999" s="164" t="e">
        <f>VLOOKUP($AM999,PATRIMONIALE!$AV1003:AW$1003,2,FALSE)</f>
        <v>#N/A</v>
      </c>
      <c r="AO999" s="310" t="e">
        <f>VLOOKUP($AM999,PATRIMONIALE!$AV1003:AX$1003,3,FALSE)</f>
        <v>#N/A</v>
      </c>
      <c r="AP999" s="310" t="e">
        <f>VLOOKUP($AM999,PATRIMONIALE!$AV1003:AY$1003,4,FALSE)</f>
        <v>#N/A</v>
      </c>
      <c r="AQ999" s="748" t="e">
        <f>VLOOKUP($AM999,PATRIMONIALE!$AV1003:AZ$1003,5,FALSE)</f>
        <v>#N/A</v>
      </c>
      <c r="AR999" s="1"/>
      <c r="AS999" s="461" t="str">
        <f t="shared" si="170"/>
        <v/>
      </c>
      <c r="AT999" s="370"/>
    </row>
    <row r="1000" spans="1:46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435">
        <f>IF(AND(W1000&gt;=$U$1,W1000&lt;=$U$2),IF(X1000='ESTRATTO CONTO'!$E$2,1+COUNTIF(U$4:U999,"&gt;0"),0),0)</f>
        <v>0</v>
      </c>
      <c r="V1000" s="417">
        <f t="shared" si="171"/>
        <v>997</v>
      </c>
      <c r="W1000" s="509"/>
      <c r="X1000" s="321"/>
      <c r="Y1000" s="321"/>
      <c r="Z1000" s="433"/>
      <c r="AA1000" s="356"/>
      <c r="AB1000" s="306" t="str">
        <f t="shared" si="166"/>
        <v/>
      </c>
      <c r="AC1000" s="893">
        <f t="shared" si="167"/>
        <v>0</v>
      </c>
      <c r="AD1000" s="322"/>
      <c r="AE1000" s="1"/>
      <c r="AF1000" s="223">
        <f>IF(ISBLANK(AD1000),0,COUNTIF(AF$4:AF999,"&gt;0")+1)</f>
        <v>0</v>
      </c>
      <c r="AG1000" s="164">
        <f t="shared" si="173"/>
        <v>0</v>
      </c>
      <c r="AH1000" s="99">
        <f t="shared" si="168"/>
        <v>0</v>
      </c>
      <c r="AI1000" s="99">
        <f t="shared" si="174"/>
        <v>0</v>
      </c>
      <c r="AJ1000" s="170">
        <f t="shared" si="175"/>
        <v>0</v>
      </c>
      <c r="AK1000" s="204">
        <f t="shared" si="169"/>
        <v>0</v>
      </c>
      <c r="AL1000" s="1049">
        <f>IF(ISERROR(AO1000),0,IF(AND(AN1000&gt;=$U$1,AN1000&lt;=$U$2),IF(AO1000='ESTRATTO CONTO'!$E$2,1+COUNTIF(AL$4:AL999,"&gt;0")+U$1009,0),0))</f>
        <v>0</v>
      </c>
      <c r="AM1000" s="747">
        <f t="shared" si="172"/>
        <v>997</v>
      </c>
      <c r="AN1000" s="164" t="e">
        <f>VLOOKUP($AM1000,PATRIMONIALE!$AV1003:AW$1003,2,FALSE)</f>
        <v>#N/A</v>
      </c>
      <c r="AO1000" s="310" t="e">
        <f>VLOOKUP($AM1000,PATRIMONIALE!$AV1003:AX$1003,3,FALSE)</f>
        <v>#N/A</v>
      </c>
      <c r="AP1000" s="310" t="e">
        <f>VLOOKUP($AM1000,PATRIMONIALE!$AV1003:AY$1003,4,FALSE)</f>
        <v>#N/A</v>
      </c>
      <c r="AQ1000" s="748" t="e">
        <f>VLOOKUP($AM1000,PATRIMONIALE!$AV1003:AZ$1003,5,FALSE)</f>
        <v>#N/A</v>
      </c>
      <c r="AR1000" s="1"/>
      <c r="AS1000" s="461" t="str">
        <f t="shared" si="170"/>
        <v/>
      </c>
      <c r="AT1000" s="370"/>
    </row>
    <row r="1001" spans="1:46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435">
        <f>IF(AND(W1001&gt;=$U$1,W1001&lt;=$U$2),IF(X1001='ESTRATTO CONTO'!$E$2,1+COUNTIF(U$4:U1000,"&gt;0"),0),0)</f>
        <v>0</v>
      </c>
      <c r="V1001" s="417">
        <f t="shared" si="171"/>
        <v>998</v>
      </c>
      <c r="W1001" s="509"/>
      <c r="X1001" s="321"/>
      <c r="Y1001" s="321"/>
      <c r="Z1001" s="433"/>
      <c r="AA1001" s="356"/>
      <c r="AB1001" s="306" t="str">
        <f t="shared" si="166"/>
        <v/>
      </c>
      <c r="AC1001" s="893">
        <f t="shared" si="167"/>
        <v>0</v>
      </c>
      <c r="AD1001" s="322"/>
      <c r="AE1001" s="1"/>
      <c r="AF1001" s="223">
        <f>IF(ISBLANK(AD1001),0,COUNTIF(AF$4:AF1000,"&gt;0")+1)</f>
        <v>0</v>
      </c>
      <c r="AG1001" s="164">
        <f t="shared" si="173"/>
        <v>0</v>
      </c>
      <c r="AH1001" s="99">
        <f t="shared" si="168"/>
        <v>0</v>
      </c>
      <c r="AI1001" s="99">
        <f t="shared" si="174"/>
        <v>0</v>
      </c>
      <c r="AJ1001" s="170">
        <f t="shared" si="175"/>
        <v>0</v>
      </c>
      <c r="AK1001" s="204">
        <f t="shared" si="169"/>
        <v>0</v>
      </c>
      <c r="AL1001" s="1049">
        <f>IF(ISERROR(AO1001),0,IF(AND(AN1001&gt;=$U$1,AN1001&lt;=$U$2),IF(AO1001='ESTRATTO CONTO'!$E$2,1+COUNTIF(AL$4:AL1000,"&gt;0")+U$1009,0),0))</f>
        <v>0</v>
      </c>
      <c r="AM1001" s="747">
        <f t="shared" si="172"/>
        <v>998</v>
      </c>
      <c r="AN1001" s="164" t="e">
        <f>VLOOKUP($AM1001,PATRIMONIALE!$AV1003:AW$1003,2,FALSE)</f>
        <v>#N/A</v>
      </c>
      <c r="AO1001" s="310" t="e">
        <f>VLOOKUP($AM1001,PATRIMONIALE!$AV1003:AX$1003,3,FALSE)</f>
        <v>#N/A</v>
      </c>
      <c r="AP1001" s="310" t="e">
        <f>VLOOKUP($AM1001,PATRIMONIALE!$AV1003:AY$1003,4,FALSE)</f>
        <v>#N/A</v>
      </c>
      <c r="AQ1001" s="748" t="e">
        <f>VLOOKUP($AM1001,PATRIMONIALE!$AV1003:AZ$1003,5,FALSE)</f>
        <v>#N/A</v>
      </c>
      <c r="AR1001" s="1"/>
      <c r="AS1001" s="461" t="str">
        <f t="shared" si="170"/>
        <v/>
      </c>
      <c r="AT1001" s="370"/>
    </row>
    <row r="1002" spans="1:46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435">
        <f>IF(AND(W1002&gt;=$U$1,W1002&lt;=$U$2),IF(X1002='ESTRATTO CONTO'!$E$2,1+COUNTIF(U$4:U1001,"&gt;0"),0),0)</f>
        <v>0</v>
      </c>
      <c r="V1002" s="417">
        <f t="shared" si="171"/>
        <v>999</v>
      </c>
      <c r="W1002" s="509"/>
      <c r="X1002" s="321"/>
      <c r="Y1002" s="321"/>
      <c r="Z1002" s="433"/>
      <c r="AA1002" s="356"/>
      <c r="AB1002" s="306" t="str">
        <f t="shared" si="166"/>
        <v/>
      </c>
      <c r="AC1002" s="893">
        <f t="shared" si="167"/>
        <v>0</v>
      </c>
      <c r="AD1002" s="322"/>
      <c r="AE1002" s="1"/>
      <c r="AF1002" s="223">
        <f>IF(ISBLANK(AD1002),0,COUNTIF(AF$4:AF1001,"&gt;0")+1)</f>
        <v>0</v>
      </c>
      <c r="AG1002" s="164">
        <f t="shared" si="173"/>
        <v>0</v>
      </c>
      <c r="AH1002" s="99">
        <f t="shared" si="168"/>
        <v>0</v>
      </c>
      <c r="AI1002" s="99">
        <f t="shared" si="174"/>
        <v>0</v>
      </c>
      <c r="AJ1002" s="170">
        <f t="shared" si="175"/>
        <v>0</v>
      </c>
      <c r="AK1002" s="204">
        <f t="shared" si="169"/>
        <v>0</v>
      </c>
      <c r="AL1002" s="1049">
        <f>IF(ISERROR(AO1002),0,IF(AND(AN1002&gt;=$U$1,AN1002&lt;=$U$2),IF(AO1002='ESTRATTO CONTO'!$E$2,1+COUNTIF(AL$4:AL1001,"&gt;0")+U$1009,0),0))</f>
        <v>0</v>
      </c>
      <c r="AM1002" s="747">
        <f t="shared" si="172"/>
        <v>999</v>
      </c>
      <c r="AN1002" s="164" t="e">
        <f>VLOOKUP($AM1002,PATRIMONIALE!$AV1003:AW$1003,2,FALSE)</f>
        <v>#N/A</v>
      </c>
      <c r="AO1002" s="310" t="e">
        <f>VLOOKUP($AM1002,PATRIMONIALE!$AV1003:AX$1003,3,FALSE)</f>
        <v>#N/A</v>
      </c>
      <c r="AP1002" s="310" t="e">
        <f>VLOOKUP($AM1002,PATRIMONIALE!$AV1003:AY$1003,4,FALSE)</f>
        <v>#N/A</v>
      </c>
      <c r="AQ1002" s="748" t="e">
        <f>VLOOKUP($AM1002,PATRIMONIALE!$AV1003:AZ$1003,5,FALSE)</f>
        <v>#N/A</v>
      </c>
      <c r="AR1002" s="1"/>
      <c r="AS1002" s="461" t="str">
        <f t="shared" si="170"/>
        <v/>
      </c>
      <c r="AT1002" s="370"/>
    </row>
    <row r="1003" spans="1:46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435">
        <f>IF(AND(W1003&gt;=$U$1,W1003&lt;=$U$2),IF(X1003='ESTRATTO CONTO'!$E$2,1+COUNTIF(U$4:U1002,"&gt;0"),0),0)</f>
        <v>0</v>
      </c>
      <c r="V1003" s="417">
        <f t="shared" si="171"/>
        <v>1000</v>
      </c>
      <c r="W1003" s="509"/>
      <c r="X1003" s="321"/>
      <c r="Y1003" s="321"/>
      <c r="Z1003" s="433"/>
      <c r="AA1003" s="356"/>
      <c r="AB1003" s="306" t="str">
        <f t="shared" si="166"/>
        <v/>
      </c>
      <c r="AC1003" s="893">
        <f t="shared" si="167"/>
        <v>0</v>
      </c>
      <c r="AD1003" s="322"/>
      <c r="AE1003" s="46"/>
      <c r="AF1003" s="223">
        <f>IF(ISBLANK(AD1003),0,COUNTIF(AF$4:AF1002,"&gt;0")+1)</f>
        <v>0</v>
      </c>
      <c r="AG1003" s="164">
        <f t="shared" ref="AG1003" si="176">IF($AF1003=0,0,W1003)</f>
        <v>0</v>
      </c>
      <c r="AH1003" s="99">
        <f t="shared" si="168"/>
        <v>0</v>
      </c>
      <c r="AI1003" s="99">
        <f t="shared" ref="AI1003" si="177">IF($AF1003=0,0,Y1003)</f>
        <v>0</v>
      </c>
      <c r="AJ1003" s="170">
        <f t="shared" ref="AJ1003" si="178">IF($AF1003=0,0,IF(RIGHT(AD1003)="-",IF(Z1003&gt;0,Z1003*-1,Z1003),Z1003))</f>
        <v>0</v>
      </c>
      <c r="AK1003" s="204">
        <f t="shared" ref="AK1003" si="179">X1003</f>
        <v>0</v>
      </c>
      <c r="AL1003" s="1049">
        <f>IF(ISERROR(AO1003),0,IF(AND(AN1003&gt;=$U$1,AN1003&lt;=$U$2),IF(AO1003='ESTRATTO CONTO'!$E$2,1+COUNTIF(AL$4:AL1002,"&gt;0")+U$1009,0),0))</f>
        <v>0</v>
      </c>
      <c r="AM1003" s="747" t="e">
        <f>#REF!+1</f>
        <v>#REF!</v>
      </c>
      <c r="AN1003" s="164" t="e">
        <f>VLOOKUP($AM1003,PATRIMONIALE!$AV1003:AW$1003,2,FALSE)</f>
        <v>#REF!</v>
      </c>
      <c r="AO1003" s="310" t="e">
        <f>VLOOKUP($AM1003,PATRIMONIALE!$AV1003:AX$1003,3,FALSE)</f>
        <v>#REF!</v>
      </c>
      <c r="AP1003" s="310" t="e">
        <f>VLOOKUP($AM1003,PATRIMONIALE!$AV1003:AY$1003,4,FALSE)</f>
        <v>#REF!</v>
      </c>
      <c r="AQ1003" s="748" t="e">
        <f>VLOOKUP($AM1003,PATRIMONIALE!$AV1003:AZ$1003,5,FALSE)</f>
        <v>#REF!</v>
      </c>
      <c r="AR1003" s="46"/>
      <c r="AS1003" s="461" t="str">
        <f t="shared" ref="AS1003" si="180">IF(X1003="","",IF(ISERROR(VLOOKUP(X1003,B$9:E$13,1,FALSE)),1,0))</f>
        <v/>
      </c>
      <c r="AT1003" s="370"/>
    </row>
    <row r="1004" spans="1:46" ht="3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28"/>
      <c r="W1004" s="29"/>
      <c r="X1004" s="30"/>
      <c r="Y1004" s="30"/>
      <c r="Z1004" s="31"/>
      <c r="AA1004" s="26"/>
      <c r="AB1004" s="91"/>
      <c r="AC1004" s="46"/>
      <c r="AD1004" s="91"/>
      <c r="AE1004" s="46"/>
      <c r="AF1004" s="46"/>
      <c r="AG1004" s="173"/>
      <c r="AH1004" s="143"/>
      <c r="AI1004" s="143"/>
      <c r="AJ1004" s="174"/>
      <c r="AK1004" s="46"/>
      <c r="AL1004" s="1"/>
      <c r="AM1004" s="1"/>
      <c r="AN1004" s="29"/>
      <c r="AO1004" s="30"/>
      <c r="AP1004" s="30"/>
      <c r="AQ1004" s="169"/>
      <c r="AR1004" s="46"/>
      <c r="AS1004" s="1"/>
      <c r="AT1004" s="370"/>
    </row>
    <row r="1005" spans="1:46" ht="4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3"/>
      <c r="W1005" s="3"/>
      <c r="X1005" s="3"/>
      <c r="Y1005" s="3"/>
      <c r="Z1005" s="3"/>
      <c r="AA1005" s="3"/>
      <c r="AB1005" s="33"/>
      <c r="AC1005" s="46"/>
      <c r="AD1005" s="3"/>
      <c r="AE1005" s="46"/>
      <c r="AF1005" s="46"/>
      <c r="AG1005" s="33"/>
      <c r="AH1005" s="33"/>
      <c r="AI1005" s="33"/>
      <c r="AJ1005" s="33"/>
      <c r="AK1005" s="46"/>
      <c r="AL1005" s="1"/>
      <c r="AM1005" s="1"/>
      <c r="AN1005" s="3"/>
      <c r="AO1005" s="3"/>
      <c r="AP1005" s="3"/>
      <c r="AQ1005" s="3"/>
      <c r="AR1005" s="46"/>
      <c r="AS1005" s="1"/>
      <c r="AT1005" s="370"/>
    </row>
    <row r="1006" spans="1:46" ht="18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32"/>
      <c r="W1006" s="506">
        <f>SUBTOTAL(3,W4:W1003)</f>
        <v>30</v>
      </c>
      <c r="X1006" s="1235" t="str">
        <f>CONCATENATE("Nr. Record                                                  Totale ",W1)</f>
        <v>Nr. Record                                                  Totale REGISTRO delle ENTRATE / ENTI</v>
      </c>
      <c r="Y1006" s="1236"/>
      <c r="Z1006" s="432">
        <f>SUBTOTAL(9,Z4:Z1003)</f>
        <v>2600</v>
      </c>
      <c r="AA1006" s="3"/>
      <c r="AB1006" s="46"/>
      <c r="AC1006" s="46"/>
      <c r="AD1006" s="93"/>
      <c r="AE1006" s="46"/>
      <c r="AF1006" s="46"/>
      <c r="AG1006" s="434">
        <f>MAX(AF4:AF1003)</f>
        <v>30</v>
      </c>
      <c r="AH1006" s="176" t="s">
        <v>86</v>
      </c>
      <c r="AI1006" s="46"/>
      <c r="AJ1006" s="46"/>
      <c r="AK1006" s="46"/>
      <c r="AL1006" s="1"/>
      <c r="AM1006" s="1"/>
      <c r="AN1006" s="33"/>
      <c r="AO1006" s="92"/>
      <c r="AP1006" s="656" t="s">
        <v>367</v>
      </c>
      <c r="AQ1006" s="432" t="e">
        <f>SUBTOTAL(9,AQ4:AQ1003)</f>
        <v>#N/A</v>
      </c>
      <c r="AR1006" s="46"/>
      <c r="AS1006" s="1"/>
      <c r="AT1006" s="370"/>
    </row>
    <row r="1007" spans="1:46" ht="16.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3"/>
      <c r="AB1007" s="46"/>
      <c r="AC1007" s="46"/>
      <c r="AD1007" s="1"/>
      <c r="AE1007" s="46"/>
      <c r="AF1007" s="46"/>
      <c r="AG1007" s="46"/>
      <c r="AH1007" s="46"/>
      <c r="AI1007" s="46"/>
      <c r="AJ1007" s="46"/>
      <c r="AK1007" s="46"/>
      <c r="AL1007" s="1"/>
      <c r="AM1007" s="1"/>
      <c r="AN1007" s="1"/>
      <c r="AO1007" s="1"/>
      <c r="AP1007" s="1"/>
      <c r="AQ1007" s="1"/>
      <c r="AR1007" s="46"/>
      <c r="AS1007" s="1"/>
      <c r="AT1007" s="1095"/>
    </row>
    <row r="1008" spans="1:46" ht="16.5" hidden="1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911">
        <f>COUNTIF(W4:W1003,"&gt;0")</f>
        <v>30</v>
      </c>
      <c r="X1008" s="332" t="s">
        <v>323</v>
      </c>
      <c r="Y1008" s="1"/>
      <c r="Z1008" s="1"/>
      <c r="AA1008" s="3"/>
      <c r="AB1008" s="95"/>
      <c r="AC1008" s="46"/>
      <c r="AD1008" s="1"/>
      <c r="AE1008" s="46"/>
      <c r="AF1008" s="46"/>
      <c r="AG1008" s="95"/>
      <c r="AH1008" s="95"/>
      <c r="AI1008" s="95"/>
      <c r="AJ1008" s="95"/>
      <c r="AK1008" s="46"/>
      <c r="AL1008" s="1"/>
      <c r="AM1008" s="1"/>
      <c r="AN1008" s="1"/>
      <c r="AO1008" s="1"/>
      <c r="AP1008" s="1"/>
      <c r="AQ1008" s="1"/>
      <c r="AR1008" s="46"/>
      <c r="AS1008" s="1"/>
      <c r="AT1008" s="370"/>
    </row>
    <row r="1009" spans="1:46" ht="16.5" hidden="1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899" t="s">
        <v>495</v>
      </c>
      <c r="O1009" s="1"/>
      <c r="P1009" s="886">
        <f>W1009</f>
        <v>45292</v>
      </c>
      <c r="Q1009" s="887">
        <f>W1010</f>
        <v>45657</v>
      </c>
      <c r="R1009" s="1"/>
      <c r="S1009" s="1"/>
      <c r="T1009" s="1"/>
      <c r="U1009" s="435">
        <f>IF(AND($P$4=$N$1009,$J$1045=0),0,COUNTIF(U4:U1003,"&gt;0"))</f>
        <v>0</v>
      </c>
      <c r="V1009" s="1"/>
      <c r="W1009" s="874">
        <f>Presentazione!$B$210</f>
        <v>45292</v>
      </c>
      <c r="X1009" s="292" t="s">
        <v>164</v>
      </c>
      <c r="Y1009" s="737" t="s">
        <v>100</v>
      </c>
      <c r="Z1009" s="901">
        <f>MAX($W$4:$W$1003)</f>
        <v>45656</v>
      </c>
      <c r="AA1009" s="34"/>
      <c r="AB1009" s="95"/>
      <c r="AC1009" s="156">
        <v>1</v>
      </c>
      <c r="AD1009" s="103" t="str">
        <f>PATRIMONIALE!B9</f>
        <v>CASSA</v>
      </c>
      <c r="AE1009" s="46"/>
      <c r="AF1009" s="46"/>
      <c r="AG1009" s="95"/>
      <c r="AH1009" s="95"/>
      <c r="AI1009" s="95"/>
      <c r="AJ1009" s="95"/>
      <c r="AK1009" s="156"/>
      <c r="AL1009" s="931">
        <f>IF(AND($P$4=$N$1009,$J$1045=0),0,IF(MAX(AL4:AL1003)&gt;AL1010,"ERROR",COUNTIF(AL4:AL1003,"&gt;0")))</f>
        <v>0</v>
      </c>
      <c r="AM1009" s="28"/>
      <c r="AN1009" s="198"/>
      <c r="AO1009" s="176"/>
      <c r="AP1009" s="1"/>
      <c r="AQ1009" s="1"/>
      <c r="AR1009" s="156"/>
      <c r="AT1009" s="370"/>
    </row>
    <row r="1010" spans="1:46" ht="16.5" hidden="1" customHeight="1">
      <c r="A1010" s="1"/>
      <c r="B1010" s="1"/>
      <c r="C1010" s="1"/>
      <c r="D1010" s="1"/>
      <c r="E1010" s="103" t="s">
        <v>64</v>
      </c>
      <c r="F1010" s="1"/>
      <c r="G1010" s="1226" t="str">
        <f>COSTI!I1079</f>
        <v>Ripartizione:  1 - in MILLESIMI   I</v>
      </c>
      <c r="H1010" s="1227"/>
      <c r="I1010" s="1228"/>
      <c r="J1010" s="1226" t="str">
        <f>COSTI!C1076</f>
        <v>1 - in MILLESIMI   I</v>
      </c>
      <c r="K1010" s="1227"/>
      <c r="L1010" s="1228"/>
      <c r="M1010" s="878">
        <f>S1010-P1010</f>
        <v>90</v>
      </c>
      <c r="N1010" s="877" t="s">
        <v>491</v>
      </c>
      <c r="O1010" s="877" t="s">
        <v>1</v>
      </c>
      <c r="P1010" s="880">
        <f>HLOOKUP(O1010,Presentazione!$B$206:$M$210,5,FALSE)</f>
        <v>45292</v>
      </c>
      <c r="Q1010" s="883">
        <f>IF(AND(M1010&gt;85,M1010&lt;95),S1010,DATE(YEAR(S1010)+1,MONTH(S1010),DAY(S1010)))</f>
        <v>45382</v>
      </c>
      <c r="R1010" s="835"/>
      <c r="S1010" s="879">
        <f>P1011-1</f>
        <v>45382</v>
      </c>
      <c r="T1010" s="1"/>
      <c r="U1010" s="1"/>
      <c r="V1010" s="1"/>
      <c r="W1010" s="875">
        <f>Presentazione!$N$210</f>
        <v>45657</v>
      </c>
      <c r="X1010" s="293" t="s">
        <v>488</v>
      </c>
      <c r="Y1010" s="900" t="s">
        <v>505</v>
      </c>
      <c r="Z1010" s="902">
        <f>MIN($W$4:$W$1003)</f>
        <v>45297</v>
      </c>
      <c r="AA1010" s="34"/>
      <c r="AB1010" s="95"/>
      <c r="AC1010" s="156">
        <f>IF(AD1010=0,0,1+MAX(AC$1009:AC1009))</f>
        <v>2</v>
      </c>
      <c r="AD1010" s="104" t="str">
        <f>PATRIMONIALE!B10</f>
        <v>BANCA C/C nr. 1234567</v>
      </c>
      <c r="AE1010" s="46"/>
      <c r="AF1010" s="46"/>
      <c r="AG1010" s="95"/>
      <c r="AH1010" s="95"/>
      <c r="AI1010" s="95"/>
      <c r="AJ1010" s="95"/>
      <c r="AK1010" s="156"/>
      <c r="AL1010" s="181">
        <v>200</v>
      </c>
      <c r="AM1010" s="176"/>
      <c r="AN1010" s="95"/>
      <c r="AO1010" s="1"/>
      <c r="AP1010" s="1"/>
      <c r="AQ1010" s="1"/>
      <c r="AR1010" s="156"/>
      <c r="AT1010" s="370"/>
    </row>
    <row r="1011" spans="1:46" ht="16.5" hidden="1" customHeight="1">
      <c r="A1011" s="1"/>
      <c r="B1011" s="1"/>
      <c r="C1011" s="1"/>
      <c r="D1011" s="1"/>
      <c r="E1011" s="104" t="s">
        <v>65</v>
      </c>
      <c r="F1011" s="1"/>
      <c r="G1011" s="1226" t="str">
        <f>COSTI!I1080</f>
        <v>Ripartizione:  2 - in MILLESIMI   II</v>
      </c>
      <c r="H1011" s="1227"/>
      <c r="I1011" s="1228"/>
      <c r="J1011" s="1226" t="str">
        <f>COSTI!C1077</f>
        <v>2 - in MILLESIMI   II</v>
      </c>
      <c r="K1011" s="1227"/>
      <c r="L1011" s="1228"/>
      <c r="M1011" s="878">
        <f>S1011-P1011</f>
        <v>90</v>
      </c>
      <c r="N1011" s="877" t="s">
        <v>492</v>
      </c>
      <c r="O1011" s="877" t="s">
        <v>4</v>
      </c>
      <c r="P1011" s="881">
        <f>HLOOKUP(O1011,Presentazione!$B$206:$M$210,5,FALSE)</f>
        <v>45383</v>
      </c>
      <c r="Q1011" s="884">
        <f>IF(AND(M1011&gt;85,M1011&lt;95),S1011,DATE(YEAR(S1011)+1,MONTH(S1011),DAY(S1011)))</f>
        <v>45473</v>
      </c>
      <c r="R1011" s="835"/>
      <c r="S1011" s="879">
        <f>P1012-1</f>
        <v>45473</v>
      </c>
      <c r="T1011" s="1"/>
      <c r="U1011" s="1"/>
      <c r="V1011" s="1"/>
      <c r="W1011" s="835"/>
      <c r="X1011" s="835"/>
      <c r="Y1011" s="737" t="s">
        <v>101</v>
      </c>
      <c r="Z1011" s="901">
        <f>MAX(PATRIMONIALE!$W$4:$W$1003)</f>
        <v>45657</v>
      </c>
      <c r="AA1011" s="3"/>
      <c r="AB1011" s="95"/>
      <c r="AC1011" s="156">
        <f>IF(AD1011=0,0,1+MAX(AC$1009:AC1010))</f>
        <v>3</v>
      </c>
      <c r="AD1011" s="104" t="str">
        <f>PATRIMONIALE!B11</f>
        <v>POSTA C/C nr. 7654321</v>
      </c>
      <c r="AE1011" s="46"/>
      <c r="AF1011" s="46"/>
      <c r="AG1011" s="95"/>
      <c r="AH1011" s="95"/>
      <c r="AI1011" s="95"/>
      <c r="AJ1011" s="95"/>
      <c r="AK1011" s="156"/>
      <c r="AL1011" s="1"/>
      <c r="AM1011" s="1"/>
      <c r="AN1011" s="95"/>
      <c r="AO1011" s="1"/>
      <c r="AP1011" s="1"/>
      <c r="AQ1011" s="1"/>
      <c r="AR1011" s="156"/>
      <c r="AT1011" s="370"/>
    </row>
    <row r="1012" spans="1:46" ht="16.5" hidden="1" customHeight="1">
      <c r="A1012" s="1"/>
      <c r="B1012" s="1"/>
      <c r="C1012" s="1"/>
      <c r="D1012" s="1"/>
      <c r="E1012" s="104" t="s">
        <v>66</v>
      </c>
      <c r="F1012" s="1"/>
      <c r="G1012" s="1226" t="str">
        <f>COSTI!I1083</f>
        <v>Ripartizione:  5 - es. PER PIANO in Millesimi</v>
      </c>
      <c r="H1012" s="1227"/>
      <c r="I1012" s="1228"/>
      <c r="J1012" s="1226" t="str">
        <f>COSTI!C1080</f>
        <v>5 - es. PER PIANO in Millesimi</v>
      </c>
      <c r="K1012" s="1227"/>
      <c r="L1012" s="1228"/>
      <c r="M1012" s="878">
        <f>S1012-P1012</f>
        <v>91</v>
      </c>
      <c r="N1012" s="877" t="s">
        <v>493</v>
      </c>
      <c r="O1012" s="877" t="s">
        <v>7</v>
      </c>
      <c r="P1012" s="881">
        <f>HLOOKUP(O1012,Presentazione!$B$206:$M$210,5,FALSE)</f>
        <v>45474</v>
      </c>
      <c r="Q1012" s="884">
        <f>IF(AND(M1012&gt;85,M1012&lt;95),S1012,DATE(YEAR(S1012)+1,MONTH(S1012),DAY(S1012)))</f>
        <v>45565</v>
      </c>
      <c r="R1012" s="835"/>
      <c r="S1012" s="879">
        <f>P1013-1</f>
        <v>45565</v>
      </c>
      <c r="T1012" s="1"/>
      <c r="U1012" s="1"/>
      <c r="V1012" s="888">
        <f>MONTH(W1012)</f>
        <v>1</v>
      </c>
      <c r="W1012" s="874">
        <f>VLOOKUP(P4,N1009:P1013,3,FALSE)</f>
        <v>45292</v>
      </c>
      <c r="X1012" s="292" t="s">
        <v>164</v>
      </c>
      <c r="Y1012" s="900" t="s">
        <v>506</v>
      </c>
      <c r="Z1012" s="902">
        <f>MIN(PATRIMONIALE!$W$4:$W$1003)</f>
        <v>45298</v>
      </c>
      <c r="AA1012" s="3"/>
      <c r="AB1012" s="95"/>
      <c r="AC1012" s="156">
        <f>IF(AD1012=0,0,1+MAX(AC$1009:AC1011))</f>
        <v>0</v>
      </c>
      <c r="AD1012" s="104">
        <f>PATRIMONIALE!B12</f>
        <v>0</v>
      </c>
      <c r="AE1012" s="46"/>
      <c r="AF1012" s="46"/>
      <c r="AG1012" s="95"/>
      <c r="AH1012" s="95"/>
      <c r="AI1012" s="95"/>
      <c r="AJ1012" s="95"/>
      <c r="AK1012" s="156"/>
      <c r="AL1012" s="1"/>
      <c r="AM1012" s="1"/>
      <c r="AN1012" s="95"/>
      <c r="AO1012" s="1"/>
      <c r="AP1012" s="1"/>
      <c r="AQ1012" s="1"/>
      <c r="AR1012" s="156"/>
      <c r="AT1012" s="370"/>
    </row>
    <row r="1013" spans="1:46" ht="16.5" hidden="1" customHeight="1">
      <c r="A1013" s="1"/>
      <c r="B1013" s="1"/>
      <c r="C1013" s="1"/>
      <c r="D1013" s="1"/>
      <c r="E1013" s="105" t="s">
        <v>67</v>
      </c>
      <c r="F1013" s="1"/>
      <c r="G1013" s="1226" t="str">
        <f>COSTI!I1084</f>
        <v>Ripartizione:  6 - es. PER PIANO in Percentuale</v>
      </c>
      <c r="H1013" s="1227"/>
      <c r="I1013" s="1228"/>
      <c r="J1013" s="1226" t="str">
        <f>COSTI!C1081</f>
        <v>6 - es. PER PIANO in Percentuale</v>
      </c>
      <c r="K1013" s="1227"/>
      <c r="L1013" s="1228"/>
      <c r="M1013" s="878">
        <f>S1013-P1013</f>
        <v>-275</v>
      </c>
      <c r="N1013" s="877" t="s">
        <v>494</v>
      </c>
      <c r="O1013" s="877" t="s">
        <v>10</v>
      </c>
      <c r="P1013" s="882">
        <f>HLOOKUP(O1013,Presentazione!$B$206:$M$210,5,FALSE)</f>
        <v>45566</v>
      </c>
      <c r="Q1013" s="885">
        <f>IF(AND(M1013&gt;85,M1013&lt;95),S1013,DATE(YEAR(S1013)+1,MONTH(S1013),DAY(S1013)))</f>
        <v>45657</v>
      </c>
      <c r="R1013" s="835"/>
      <c r="S1013" s="879">
        <f>HLOOKUP(O1010,Presentazione!$B$206:$M$210,5,FALSE)-1</f>
        <v>45291</v>
      </c>
      <c r="T1013" s="1"/>
      <c r="U1013" s="1"/>
      <c r="V1013" s="888">
        <f>MONTH(W1013)</f>
        <v>12</v>
      </c>
      <c r="W1013" s="875">
        <f>VLOOKUP(P4,N1009:Q1013,4,FALSE)</f>
        <v>45657</v>
      </c>
      <c r="X1013" s="293" t="s">
        <v>365</v>
      </c>
      <c r="Y1013" s="737" t="s">
        <v>102</v>
      </c>
      <c r="Z1013" s="901">
        <f>MAX(COSTI!$W$4:$W$1003,COSTI!$AF$1009:$AF$1374)</f>
        <v>45657</v>
      </c>
      <c r="AA1013" s="3"/>
      <c r="AB1013" s="95"/>
      <c r="AC1013" s="156">
        <f>IF(AD1013=0,0,1+MAX(AC$1009:AC1012))</f>
        <v>0</v>
      </c>
      <c r="AD1013" s="104">
        <f>PATRIMONIALE!B13</f>
        <v>0</v>
      </c>
      <c r="AE1013" s="46"/>
      <c r="AF1013" s="46"/>
      <c r="AG1013" s="95"/>
      <c r="AH1013" s="95"/>
      <c r="AI1013" s="95"/>
      <c r="AJ1013" s="95"/>
      <c r="AK1013" s="156"/>
      <c r="AL1013" s="1"/>
      <c r="AM1013" s="1"/>
      <c r="AN1013" s="95"/>
      <c r="AO1013" s="1"/>
      <c r="AP1013" s="1"/>
      <c r="AQ1013" s="1"/>
      <c r="AR1013" s="156"/>
    </row>
    <row r="1014" spans="1:46" ht="16.5" hidden="1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229" t="s">
        <v>497</v>
      </c>
      <c r="Q1014" s="1229"/>
      <c r="R1014" s="1"/>
      <c r="S1014" s="1"/>
      <c r="T1014" s="1"/>
      <c r="U1014" s="1"/>
      <c r="V1014" s="835"/>
      <c r="W1014" s="835"/>
      <c r="X1014" s="835"/>
      <c r="Y1014" s="900" t="s">
        <v>507</v>
      </c>
      <c r="Z1014" s="907">
        <f>MIN(COSTI!$W$4:$W$1003,COSTI!$AF$1009:$AF$1374)</f>
        <v>45292</v>
      </c>
      <c r="AA1014" s="3"/>
      <c r="AB1014" s="95"/>
      <c r="AC1014" s="156">
        <f>IF(AD1014=0,0,1+MAX(AC$1009:AC1013))</f>
        <v>4</v>
      </c>
      <c r="AD1014" s="104" t="str">
        <f>PATRIMONIALE!B14</f>
        <v>DEBITO 1</v>
      </c>
      <c r="AE1014" s="46"/>
      <c r="AF1014" s="46"/>
      <c r="AG1014" s="95"/>
      <c r="AH1014" s="95"/>
      <c r="AI1014" s="95"/>
      <c r="AJ1014" s="95"/>
      <c r="AK1014" s="156"/>
      <c r="AL1014" s="1"/>
      <c r="AM1014" s="1"/>
      <c r="AN1014" s="95"/>
      <c r="AO1014" s="1"/>
      <c r="AP1014" s="1"/>
      <c r="AQ1014" s="1"/>
      <c r="AR1014" s="156"/>
    </row>
    <row r="1015" spans="1:46" ht="16.5" hidden="1" customHeight="1">
      <c r="A1015" s="1"/>
      <c r="B1015" s="1"/>
      <c r="C1015" s="897">
        <f>SUM(F1015:Q1015)</f>
        <v>12</v>
      </c>
      <c r="D1015" s="1"/>
      <c r="E1015" s="1"/>
      <c r="F1015" s="914">
        <f t="shared" ref="F1015:P1015" si="181">IF(AND($J$1045=0,$P$4=$N$1009),0,IF($P$4=$N$1009,IF(OR((G1016-1)&lt;$Z$1016,F1016&gt;$Z$1015),0,1),IF(AND(F1029&gt;=$V$1012,F1029&lt;=$V$1013),1,0)))</f>
        <v>1</v>
      </c>
      <c r="G1015" s="914">
        <f t="shared" si="181"/>
        <v>1</v>
      </c>
      <c r="H1015" s="914">
        <f t="shared" si="181"/>
        <v>1</v>
      </c>
      <c r="I1015" s="914">
        <f t="shared" si="181"/>
        <v>1</v>
      </c>
      <c r="J1015" s="914">
        <f t="shared" si="181"/>
        <v>1</v>
      </c>
      <c r="K1015" s="914">
        <f t="shared" si="181"/>
        <v>1</v>
      </c>
      <c r="L1015" s="914">
        <f t="shared" si="181"/>
        <v>1</v>
      </c>
      <c r="M1015" s="914">
        <f t="shared" si="181"/>
        <v>1</v>
      </c>
      <c r="N1015" s="914">
        <f t="shared" si="181"/>
        <v>1</v>
      </c>
      <c r="O1015" s="914">
        <f t="shared" si="181"/>
        <v>1</v>
      </c>
      <c r="P1015" s="914">
        <f t="shared" si="181"/>
        <v>1</v>
      </c>
      <c r="Q1015" s="914">
        <f>IF(AND($J$1045=0,$P$4=$N$1009),0,IF($P$4=$N$1009,IF(OR(S1016&lt;$Z$1016,Q1016&gt;$Z$1015),0,1),IF(AND(Q1029&gt;=$V$1012,Q1029&lt;=$V$1013),1,0)))</f>
        <v>1</v>
      </c>
      <c r="R1015" s="1"/>
      <c r="S1015" s="1"/>
      <c r="T1015" s="1"/>
      <c r="U1015" s="1"/>
      <c r="V1015" s="835"/>
      <c r="W1015" s="835"/>
      <c r="X1015" s="835"/>
      <c r="Y1015" s="903" t="s">
        <v>511</v>
      </c>
      <c r="Z1015" s="908">
        <f>MAX(Z1009,Z1011,Z1013)</f>
        <v>45657</v>
      </c>
      <c r="AA1015" s="3"/>
      <c r="AB1015" s="95"/>
      <c r="AC1015" s="156">
        <f>IF(AD1015=0,0,1+MAX(AC$1009:AC1014))</f>
        <v>5</v>
      </c>
      <c r="AD1015" s="105" t="str">
        <f>PATRIMONIALE!B15</f>
        <v>RISERVA ACCANTONATA</v>
      </c>
      <c r="AE1015" s="46"/>
      <c r="AF1015" s="46"/>
      <c r="AG1015" s="95"/>
      <c r="AH1015" s="95"/>
      <c r="AI1015" s="95"/>
      <c r="AJ1015" s="95"/>
      <c r="AK1015" s="156"/>
      <c r="AL1015" s="1"/>
      <c r="AM1015" s="1"/>
      <c r="AN1015" s="95"/>
      <c r="AO1015" s="1"/>
      <c r="AP1015" s="1"/>
      <c r="AQ1015" s="1"/>
      <c r="AR1015" s="156"/>
    </row>
    <row r="1016" spans="1:46" ht="16.5" hidden="1" customHeight="1">
      <c r="A1016" s="1"/>
      <c r="B1016" s="1"/>
      <c r="C1016" s="1"/>
      <c r="D1016" s="1"/>
      <c r="E1016" s="1"/>
      <c r="F1016" s="915">
        <f>Presentazione!B210</f>
        <v>45292</v>
      </c>
      <c r="G1016" s="915">
        <f>Presentazione!C210</f>
        <v>45323</v>
      </c>
      <c r="H1016" s="915">
        <f>Presentazione!D210</f>
        <v>45352</v>
      </c>
      <c r="I1016" s="915">
        <f>Presentazione!E210</f>
        <v>45383</v>
      </c>
      <c r="J1016" s="915">
        <f>Presentazione!F210</f>
        <v>45413</v>
      </c>
      <c r="K1016" s="915">
        <f>Presentazione!G210</f>
        <v>45444</v>
      </c>
      <c r="L1016" s="915">
        <f>Presentazione!H210</f>
        <v>45474</v>
      </c>
      <c r="M1016" s="915">
        <f>Presentazione!I210</f>
        <v>45505</v>
      </c>
      <c r="N1016" s="915">
        <f>Presentazione!J210</f>
        <v>45536</v>
      </c>
      <c r="O1016" s="915">
        <f>Presentazione!K210</f>
        <v>45566</v>
      </c>
      <c r="P1016" s="915">
        <f>Presentazione!L210</f>
        <v>45597</v>
      </c>
      <c r="Q1016" s="913">
        <f>Presentazione!M210</f>
        <v>45627</v>
      </c>
      <c r="R1016" s="1"/>
      <c r="S1016" s="916">
        <f>Presentazione!N210</f>
        <v>45657</v>
      </c>
      <c r="T1016" s="1"/>
      <c r="U1016" s="1"/>
      <c r="V1016" s="835"/>
      <c r="W1016" s="835"/>
      <c r="X1016" s="835"/>
      <c r="Y1016" s="904" t="s">
        <v>512</v>
      </c>
      <c r="Z1016" s="909">
        <f>MIN(Z1010,Z1012,Z1014)</f>
        <v>45292</v>
      </c>
      <c r="AA1016" s="3"/>
      <c r="AB1016" s="95"/>
      <c r="AC1016" s="46"/>
      <c r="AD1016" s="1"/>
      <c r="AE1016" s="46"/>
      <c r="AF1016" s="46"/>
      <c r="AG1016" s="95"/>
      <c r="AH1016" s="95"/>
      <c r="AI1016" s="95"/>
      <c r="AJ1016" s="95"/>
      <c r="AK1016" s="46"/>
      <c r="AL1016" s="1"/>
      <c r="AM1016" s="1"/>
      <c r="AN1016" s="95"/>
      <c r="AO1016" s="1"/>
      <c r="AP1016" s="1"/>
      <c r="AQ1016" s="1"/>
      <c r="AR1016" s="46"/>
    </row>
    <row r="1017" spans="1:46" ht="16.5" hidden="1" customHeight="1">
      <c r="A1017" s="1"/>
      <c r="B1017" s="1"/>
      <c r="C1017" s="59" t="s">
        <v>18</v>
      </c>
      <c r="D1017" s="1"/>
      <c r="E1017" s="60">
        <f>IF($B$21&lt;0,$B$21*$E17*-1,$B$21*$E17)</f>
        <v>162.5</v>
      </c>
      <c r="F1017" s="61">
        <f t="shared" ref="F1017:Q1021" si="182">IF(F$1015=0,0,IF(F$6-$B$21&gt;0,IF(F$6-$B$21&gt;$E1017,$E1017,F$6-$B$21),0))</f>
        <v>0</v>
      </c>
      <c r="G1017" s="62">
        <f t="shared" si="182"/>
        <v>33.333333333333343</v>
      </c>
      <c r="H1017" s="62">
        <f t="shared" si="182"/>
        <v>0</v>
      </c>
      <c r="I1017" s="62">
        <f t="shared" si="182"/>
        <v>133.33333333333334</v>
      </c>
      <c r="J1017" s="62">
        <f t="shared" si="182"/>
        <v>0</v>
      </c>
      <c r="K1017" s="62">
        <f t="shared" si="182"/>
        <v>0</v>
      </c>
      <c r="L1017" s="62">
        <f t="shared" si="182"/>
        <v>0</v>
      </c>
      <c r="M1017" s="62">
        <f t="shared" si="182"/>
        <v>162.5</v>
      </c>
      <c r="N1017" s="62">
        <f t="shared" si="182"/>
        <v>0</v>
      </c>
      <c r="O1017" s="62">
        <f t="shared" si="182"/>
        <v>0</v>
      </c>
      <c r="P1017" s="62">
        <f t="shared" si="182"/>
        <v>133.33333333333334</v>
      </c>
      <c r="Q1017" s="63">
        <f t="shared" si="182"/>
        <v>0</v>
      </c>
      <c r="R1017" s="1"/>
      <c r="S1017" s="1"/>
      <c r="T1017" s="1"/>
      <c r="U1017" s="1"/>
      <c r="V1017" s="835"/>
      <c r="W1017" s="835"/>
      <c r="X1017" s="835"/>
      <c r="Y1017" s="835"/>
      <c r="Z1017" s="835"/>
      <c r="AA1017" s="3"/>
      <c r="AB1017" s="95"/>
      <c r="AC1017" s="156">
        <v>1</v>
      </c>
      <c r="AD1017" s="103" t="str">
        <f>VLOOKUP(AC1017,AC$1009:AD$1015,2,FALSE)</f>
        <v>CASSA</v>
      </c>
      <c r="AE1017" s="46"/>
      <c r="AF1017" s="46"/>
      <c r="AG1017" s="95"/>
      <c r="AH1017" s="95"/>
      <c r="AI1017" s="95"/>
      <c r="AJ1017" s="95"/>
      <c r="AK1017" s="156"/>
      <c r="AL1017" s="1"/>
      <c r="AM1017" s="1"/>
      <c r="AN1017" s="95"/>
      <c r="AO1017" s="1"/>
      <c r="AP1017" s="1"/>
      <c r="AQ1017" s="1"/>
      <c r="AR1017" s="156"/>
    </row>
    <row r="1018" spans="1:46" ht="16.5" hidden="1" customHeight="1">
      <c r="A1018" s="1"/>
      <c r="B1018" s="1"/>
      <c r="C1018" s="64"/>
      <c r="D1018" s="64"/>
      <c r="E1018" s="65">
        <f>IF($B$21&lt;0,$B$21*$E18*-1,$B$21*$E18)</f>
        <v>108.33333333333333</v>
      </c>
      <c r="F1018" s="66">
        <f t="shared" si="182"/>
        <v>0</v>
      </c>
      <c r="G1018" s="67">
        <f t="shared" si="182"/>
        <v>33.333333333333343</v>
      </c>
      <c r="H1018" s="67">
        <f t="shared" si="182"/>
        <v>0</v>
      </c>
      <c r="I1018" s="67">
        <f t="shared" si="182"/>
        <v>108.33333333333333</v>
      </c>
      <c r="J1018" s="67">
        <f t="shared" si="182"/>
        <v>0</v>
      </c>
      <c r="K1018" s="67">
        <f t="shared" si="182"/>
        <v>0</v>
      </c>
      <c r="L1018" s="67">
        <f t="shared" si="182"/>
        <v>0</v>
      </c>
      <c r="M1018" s="67">
        <f t="shared" si="182"/>
        <v>108.33333333333333</v>
      </c>
      <c r="N1018" s="67">
        <f t="shared" si="182"/>
        <v>0</v>
      </c>
      <c r="O1018" s="67">
        <f t="shared" si="182"/>
        <v>0</v>
      </c>
      <c r="P1018" s="67">
        <f t="shared" si="182"/>
        <v>108.33333333333333</v>
      </c>
      <c r="Q1018" s="68">
        <f t="shared" si="182"/>
        <v>0</v>
      </c>
      <c r="R1018" s="1"/>
      <c r="S1018" s="1"/>
      <c r="T1018" s="1"/>
      <c r="U1018" s="1"/>
      <c r="V1018" s="912"/>
      <c r="W1018" s="835"/>
      <c r="X1018" s="835"/>
      <c r="Y1018" s="229" t="s">
        <v>103</v>
      </c>
      <c r="Z1018" s="213">
        <f>MAX(Z1019:Z1021)</f>
        <v>12</v>
      </c>
      <c r="AA1018" s="3"/>
      <c r="AB1018" s="95"/>
      <c r="AC1018" s="156">
        <v>2</v>
      </c>
      <c r="AD1018" s="104" t="str">
        <f t="shared" ref="AD1018:AD1023" si="183">VLOOKUP(AC1018,AC$1009:AD$1015,2,FALSE)</f>
        <v>BANCA C/C nr. 1234567</v>
      </c>
      <c r="AE1018" s="46"/>
      <c r="AF1018" s="46"/>
      <c r="AG1018" s="95"/>
      <c r="AH1018" s="95"/>
      <c r="AI1018" s="95"/>
      <c r="AJ1018" s="95"/>
      <c r="AK1018" s="156"/>
      <c r="AL1018" s="1"/>
      <c r="AM1018" s="1"/>
      <c r="AN1018" s="95"/>
      <c r="AO1018" s="1"/>
      <c r="AP1018" s="1"/>
      <c r="AQ1018" s="1"/>
      <c r="AR1018" s="156"/>
    </row>
    <row r="1019" spans="1:46" ht="16.5" hidden="1" customHeight="1">
      <c r="A1019" s="1"/>
      <c r="B1019" s="1218" t="s">
        <v>504</v>
      </c>
      <c r="C1019" s="1218"/>
      <c r="D1019" s="69"/>
      <c r="E1019" s="65">
        <f>IF($B$21&lt;0,$B$21*$E19*-1,$B$21*$E19)</f>
        <v>54.166666666666664</v>
      </c>
      <c r="F1019" s="66">
        <f t="shared" si="182"/>
        <v>0</v>
      </c>
      <c r="G1019" s="67">
        <f t="shared" si="182"/>
        <v>33.333333333333343</v>
      </c>
      <c r="H1019" s="67">
        <f t="shared" si="182"/>
        <v>0</v>
      </c>
      <c r="I1019" s="67">
        <f t="shared" si="182"/>
        <v>54.166666666666664</v>
      </c>
      <c r="J1019" s="67">
        <f t="shared" si="182"/>
        <v>0</v>
      </c>
      <c r="K1019" s="67">
        <f t="shared" si="182"/>
        <v>0</v>
      </c>
      <c r="L1019" s="67">
        <f t="shared" si="182"/>
        <v>0</v>
      </c>
      <c r="M1019" s="67">
        <f t="shared" si="182"/>
        <v>54.166666666666664</v>
      </c>
      <c r="N1019" s="67">
        <f t="shared" si="182"/>
        <v>0</v>
      </c>
      <c r="O1019" s="67">
        <f t="shared" si="182"/>
        <v>0</v>
      </c>
      <c r="P1019" s="67">
        <f t="shared" si="182"/>
        <v>54.166666666666664</v>
      </c>
      <c r="Q1019" s="68">
        <f t="shared" si="182"/>
        <v>0</v>
      </c>
      <c r="R1019" s="1"/>
      <c r="S1019" s="1"/>
      <c r="T1019" s="1"/>
      <c r="U1019" s="1"/>
      <c r="V1019" s="1"/>
      <c r="W1019" s="1"/>
      <c r="X1019" s="1"/>
      <c r="Y1019" s="1"/>
      <c r="Z1019" s="44">
        <f>IF(Z1009=0,0,HLOOKUP(MONTH(Z1009),Presentazione!$B$207:$M$209,3,FALSE))</f>
        <v>12</v>
      </c>
      <c r="AA1019" s="3"/>
      <c r="AB1019" s="95"/>
      <c r="AC1019" s="156">
        <v>3</v>
      </c>
      <c r="AD1019" s="104" t="str">
        <f t="shared" si="183"/>
        <v>POSTA C/C nr. 7654321</v>
      </c>
      <c r="AE1019" s="46"/>
      <c r="AF1019" s="46"/>
      <c r="AG1019" s="95"/>
      <c r="AH1019" s="95"/>
      <c r="AI1019" s="95"/>
      <c r="AJ1019" s="95"/>
      <c r="AK1019" s="156"/>
      <c r="AL1019" s="1"/>
      <c r="AM1019" s="1"/>
      <c r="AN1019" s="95"/>
      <c r="AO1019" s="1"/>
      <c r="AP1019" s="1"/>
      <c r="AQ1019" s="1"/>
      <c r="AR1019" s="156"/>
    </row>
    <row r="1020" spans="1:46" ht="16.5" hidden="1" customHeight="1">
      <c r="A1020" s="1"/>
      <c r="B1020" s="70"/>
      <c r="C1020" s="891">
        <f>IF(C1015=12,IF(CEILING(C1026/30,1)&gt;12,12,CEILING(C1026/30,1)),C1015)</f>
        <v>12</v>
      </c>
      <c r="D1020" s="1"/>
      <c r="E1020" s="65">
        <f>IF($B$21&lt;0,$B$21*$E20*-1,$B$21*$E20)</f>
        <v>21.666666666666668</v>
      </c>
      <c r="F1020" s="66">
        <f t="shared" si="182"/>
        <v>0</v>
      </c>
      <c r="G1020" s="67">
        <f t="shared" si="182"/>
        <v>21.666666666666668</v>
      </c>
      <c r="H1020" s="67">
        <f t="shared" si="182"/>
        <v>0</v>
      </c>
      <c r="I1020" s="67">
        <f t="shared" si="182"/>
        <v>21.666666666666668</v>
      </c>
      <c r="J1020" s="67">
        <f t="shared" si="182"/>
        <v>0</v>
      </c>
      <c r="K1020" s="67">
        <f t="shared" si="182"/>
        <v>0</v>
      </c>
      <c r="L1020" s="67">
        <f t="shared" si="182"/>
        <v>0</v>
      </c>
      <c r="M1020" s="67">
        <f t="shared" si="182"/>
        <v>21.666666666666668</v>
      </c>
      <c r="N1020" s="67">
        <f t="shared" si="182"/>
        <v>0</v>
      </c>
      <c r="O1020" s="67">
        <f t="shared" si="182"/>
        <v>0</v>
      </c>
      <c r="P1020" s="67">
        <f t="shared" si="182"/>
        <v>21.666666666666668</v>
      </c>
      <c r="Q1020" s="68">
        <f t="shared" si="182"/>
        <v>0</v>
      </c>
      <c r="R1020" s="1"/>
      <c r="S1020" s="1"/>
      <c r="T1020" s="1"/>
      <c r="U1020" s="1"/>
      <c r="V1020" s="1"/>
      <c r="W1020" s="1"/>
      <c r="X1020" s="1"/>
      <c r="Y1020" s="1"/>
      <c r="Z1020" s="44">
        <f>IF(Z1011=0,0,HLOOKUP(MONTH(Z1011),Presentazione!$B$207:$M$209,3,FALSE))</f>
        <v>12</v>
      </c>
      <c r="AA1020" s="3"/>
      <c r="AB1020" s="95"/>
      <c r="AC1020" s="156">
        <v>4</v>
      </c>
      <c r="AD1020" s="104" t="str">
        <f t="shared" si="183"/>
        <v>DEBITO 1</v>
      </c>
      <c r="AE1020" s="46"/>
      <c r="AF1020" s="46"/>
      <c r="AG1020" s="95"/>
      <c r="AH1020" s="95"/>
      <c r="AI1020" s="95"/>
      <c r="AJ1020" s="95"/>
      <c r="AK1020" s="156"/>
      <c r="AL1020" s="1"/>
      <c r="AM1020" s="1"/>
      <c r="AN1020" s="95"/>
      <c r="AO1020" s="1"/>
      <c r="AP1020" s="1"/>
      <c r="AQ1020" s="1"/>
      <c r="AR1020" s="156"/>
    </row>
    <row r="1021" spans="1:46" ht="16.5" hidden="1" customHeight="1">
      <c r="A1021" s="1"/>
      <c r="B1021" s="1"/>
      <c r="C1021" s="71" t="s">
        <v>33</v>
      </c>
      <c r="D1021" s="1"/>
      <c r="E1021" s="72">
        <f>IF($B$21&lt;0,$B$21*$E21*-1,$B$21*$E21)</f>
        <v>10.833333333333334</v>
      </c>
      <c r="F1021" s="73">
        <f t="shared" si="182"/>
        <v>0</v>
      </c>
      <c r="G1021" s="74">
        <f t="shared" si="182"/>
        <v>10.833333333333334</v>
      </c>
      <c r="H1021" s="74">
        <f t="shared" si="182"/>
        <v>0</v>
      </c>
      <c r="I1021" s="74">
        <f t="shared" si="182"/>
        <v>10.833333333333334</v>
      </c>
      <c r="J1021" s="74">
        <f t="shared" si="182"/>
        <v>0</v>
      </c>
      <c r="K1021" s="74">
        <f t="shared" si="182"/>
        <v>0</v>
      </c>
      <c r="L1021" s="74">
        <f t="shared" si="182"/>
        <v>0</v>
      </c>
      <c r="M1021" s="74">
        <f t="shared" si="182"/>
        <v>10.833333333333334</v>
      </c>
      <c r="N1021" s="74">
        <f t="shared" si="182"/>
        <v>0</v>
      </c>
      <c r="O1021" s="74">
        <f t="shared" si="182"/>
        <v>0</v>
      </c>
      <c r="P1021" s="74">
        <f t="shared" si="182"/>
        <v>10.833333333333334</v>
      </c>
      <c r="Q1021" s="75">
        <f t="shared" si="182"/>
        <v>0</v>
      </c>
      <c r="R1021" s="1"/>
      <c r="S1021" s="1"/>
      <c r="T1021" s="1"/>
      <c r="U1021" s="1"/>
      <c r="V1021" s="1"/>
      <c r="W1021" s="1"/>
      <c r="X1021" s="1"/>
      <c r="Y1021" s="1"/>
      <c r="Z1021" s="44">
        <f>IF(Z1013=0,0,HLOOKUP(MONTH(Z1013),Presentazione!$B$207:$M$209,3,FALSE))</f>
        <v>12</v>
      </c>
      <c r="AA1021" s="3"/>
      <c r="AB1021" s="95"/>
      <c r="AC1021" s="156">
        <v>5</v>
      </c>
      <c r="AD1021" s="104" t="str">
        <f t="shared" si="183"/>
        <v>RISERVA ACCANTONATA</v>
      </c>
      <c r="AE1021" s="46"/>
      <c r="AF1021" s="46"/>
      <c r="AG1021" s="95"/>
      <c r="AH1021" s="95"/>
      <c r="AI1021" s="95"/>
      <c r="AJ1021" s="95"/>
      <c r="AK1021" s="156"/>
      <c r="AL1021" s="1"/>
      <c r="AM1021" s="1"/>
      <c r="AN1021" s="95"/>
      <c r="AO1021" s="1"/>
      <c r="AP1021" s="1"/>
      <c r="AQ1021" s="1"/>
      <c r="AR1021" s="156"/>
    </row>
    <row r="1022" spans="1:46" ht="16.5" hidden="1" customHeight="1">
      <c r="A1022" s="1"/>
      <c r="B1022" s="1"/>
      <c r="C1022" s="71" t="s">
        <v>72</v>
      </c>
      <c r="D1022" s="1"/>
      <c r="E1022" s="45" t="s">
        <v>17</v>
      </c>
      <c r="F1022" s="76">
        <f t="shared" ref="F1022:Q1022" si="184">F$6-$B$21</f>
        <v>-66.666666666666657</v>
      </c>
      <c r="G1022" s="77">
        <f t="shared" si="184"/>
        <v>33.333333333333343</v>
      </c>
      <c r="H1022" s="77">
        <f t="shared" si="184"/>
        <v>-66.666666666666657</v>
      </c>
      <c r="I1022" s="77">
        <f t="shared" si="184"/>
        <v>133.33333333333334</v>
      </c>
      <c r="J1022" s="77">
        <f t="shared" si="184"/>
        <v>-16.666666666666657</v>
      </c>
      <c r="K1022" s="77">
        <f t="shared" si="184"/>
        <v>-66.666666666666657</v>
      </c>
      <c r="L1022" s="77">
        <f t="shared" si="184"/>
        <v>-116.66666666666666</v>
      </c>
      <c r="M1022" s="77">
        <f t="shared" si="184"/>
        <v>183.33333333333334</v>
      </c>
      <c r="N1022" s="77">
        <f t="shared" si="184"/>
        <v>-16.666666666666657</v>
      </c>
      <c r="O1022" s="77">
        <f t="shared" si="184"/>
        <v>-116.66666666666666</v>
      </c>
      <c r="P1022" s="77">
        <f t="shared" si="184"/>
        <v>133.33333333333334</v>
      </c>
      <c r="Q1022" s="78">
        <f t="shared" si="184"/>
        <v>-16.666666666666657</v>
      </c>
      <c r="R1022" s="1"/>
      <c r="S1022" s="1"/>
      <c r="T1022" s="1"/>
      <c r="U1022" s="1"/>
      <c r="V1022" s="1"/>
      <c r="W1022" s="1"/>
      <c r="X1022" s="1"/>
      <c r="Y1022" s="1"/>
      <c r="Z1022" s="1"/>
      <c r="AA1022" s="3"/>
      <c r="AB1022" s="95"/>
      <c r="AC1022" s="156">
        <v>6</v>
      </c>
      <c r="AD1022" s="104" t="e">
        <f t="shared" si="183"/>
        <v>#N/A</v>
      </c>
      <c r="AE1022" s="46"/>
      <c r="AF1022" s="46"/>
      <c r="AG1022" s="95"/>
      <c r="AH1022" s="95"/>
      <c r="AI1022" s="95"/>
      <c r="AJ1022" s="95"/>
      <c r="AK1022" s="156"/>
      <c r="AL1022" s="1"/>
      <c r="AM1022" s="1"/>
      <c r="AN1022" s="95"/>
      <c r="AO1022" s="1"/>
      <c r="AP1022" s="1"/>
      <c r="AQ1022" s="1"/>
      <c r="AR1022" s="156"/>
    </row>
    <row r="1023" spans="1:46" ht="16.5" hidden="1" customHeight="1">
      <c r="A1023" s="1"/>
      <c r="B1023" s="1"/>
      <c r="C1023" s="1"/>
      <c r="D1023" s="1"/>
      <c r="E1023" s="79">
        <f>E1021*-1</f>
        <v>-10.833333333333334</v>
      </c>
      <c r="F1023" s="61">
        <f t="shared" ref="F1023:Q1023" si="185">IF(F$1015=0,0,IF(F1031&gt;0,IF(F$6-$B$21&lt;0,IF(F$6-$B$21&lt;$E1023,$E1023,F$6-$B$21),0),0))</f>
        <v>-10.833333333333334</v>
      </c>
      <c r="G1023" s="62">
        <f t="shared" si="185"/>
        <v>0</v>
      </c>
      <c r="H1023" s="62">
        <f t="shared" si="185"/>
        <v>-10.833333333333334</v>
      </c>
      <c r="I1023" s="62">
        <f t="shared" si="185"/>
        <v>0</v>
      </c>
      <c r="J1023" s="62">
        <f t="shared" si="185"/>
        <v>-10.833333333333334</v>
      </c>
      <c r="K1023" s="62">
        <f t="shared" si="185"/>
        <v>-10.833333333333334</v>
      </c>
      <c r="L1023" s="62">
        <f t="shared" si="185"/>
        <v>-10.833333333333334</v>
      </c>
      <c r="M1023" s="62">
        <f t="shared" si="185"/>
        <v>0</v>
      </c>
      <c r="N1023" s="62">
        <f t="shared" si="185"/>
        <v>-10.833333333333334</v>
      </c>
      <c r="O1023" s="62">
        <f t="shared" si="185"/>
        <v>-10.833333333333334</v>
      </c>
      <c r="P1023" s="62">
        <f t="shared" si="185"/>
        <v>0</v>
      </c>
      <c r="Q1023" s="63">
        <f t="shared" si="185"/>
        <v>-10.833333333333334</v>
      </c>
      <c r="R1023" s="1"/>
      <c r="S1023" s="1"/>
      <c r="T1023" s="1"/>
      <c r="U1023" s="1"/>
      <c r="V1023" s="1"/>
      <c r="W1023" s="1"/>
      <c r="X1023" s="1"/>
      <c r="Y1023" s="1"/>
      <c r="Z1023" s="1"/>
      <c r="AA1023" s="3"/>
      <c r="AB1023" s="95"/>
      <c r="AC1023" s="156">
        <v>7</v>
      </c>
      <c r="AD1023" s="105" t="e">
        <f t="shared" si="183"/>
        <v>#N/A</v>
      </c>
      <c r="AE1023" s="46"/>
      <c r="AF1023" s="46"/>
      <c r="AG1023" s="95"/>
      <c r="AH1023" s="95"/>
      <c r="AI1023" s="95"/>
      <c r="AJ1023" s="95"/>
      <c r="AK1023" s="156"/>
      <c r="AL1023" s="1"/>
      <c r="AM1023" s="1"/>
      <c r="AN1023" s="95"/>
      <c r="AO1023" s="1"/>
      <c r="AP1023" s="1"/>
      <c r="AQ1023" s="1"/>
      <c r="AR1023" s="156"/>
    </row>
    <row r="1024" spans="1:46" ht="16.5" hidden="1" customHeight="1">
      <c r="A1024" s="1"/>
      <c r="B1024" s="1"/>
      <c r="C1024" s="1"/>
      <c r="D1024" s="1"/>
      <c r="E1024" s="80">
        <f>E1020*-1</f>
        <v>-21.666666666666668</v>
      </c>
      <c r="F1024" s="66">
        <f t="shared" ref="F1024:Q1024" si="186">IF(F$1015=0,0,IF(F1031&gt;0,IF(F$6-$B$21&lt;0,IF(F$6-$B$21&lt;$E1024,$E1024,F$6-$B$21),0),0))</f>
        <v>-21.666666666666668</v>
      </c>
      <c r="G1024" s="67">
        <f t="shared" si="186"/>
        <v>0</v>
      </c>
      <c r="H1024" s="67">
        <f t="shared" si="186"/>
        <v>-21.666666666666668</v>
      </c>
      <c r="I1024" s="67">
        <f t="shared" si="186"/>
        <v>0</v>
      </c>
      <c r="J1024" s="67">
        <f t="shared" si="186"/>
        <v>-16.666666666666657</v>
      </c>
      <c r="K1024" s="67">
        <f t="shared" si="186"/>
        <v>-21.666666666666668</v>
      </c>
      <c r="L1024" s="67">
        <f t="shared" si="186"/>
        <v>-21.666666666666668</v>
      </c>
      <c r="M1024" s="67">
        <f t="shared" si="186"/>
        <v>0</v>
      </c>
      <c r="N1024" s="67">
        <f t="shared" si="186"/>
        <v>-16.666666666666657</v>
      </c>
      <c r="O1024" s="67">
        <f t="shared" si="186"/>
        <v>-21.666666666666668</v>
      </c>
      <c r="P1024" s="67">
        <f t="shared" si="186"/>
        <v>0</v>
      </c>
      <c r="Q1024" s="68">
        <f t="shared" si="186"/>
        <v>-16.666666666666657</v>
      </c>
      <c r="R1024" s="1"/>
      <c r="S1024" s="1"/>
      <c r="T1024" s="1"/>
      <c r="U1024" s="1"/>
      <c r="V1024" s="1"/>
      <c r="W1024" s="1"/>
      <c r="X1024" s="1"/>
      <c r="Y1024" s="1"/>
      <c r="Z1024" s="1"/>
      <c r="AA1024" s="3"/>
      <c r="AB1024" s="95"/>
      <c r="AC1024" s="46"/>
      <c r="AD1024" s="1"/>
      <c r="AE1024" s="46"/>
      <c r="AF1024" s="46"/>
      <c r="AG1024" s="95"/>
      <c r="AH1024" s="95"/>
      <c r="AI1024" s="95"/>
      <c r="AJ1024" s="95"/>
      <c r="AK1024" s="46"/>
      <c r="AL1024" s="1"/>
      <c r="AM1024" s="1"/>
      <c r="AN1024" s="95"/>
      <c r="AO1024" s="1"/>
      <c r="AP1024" s="1"/>
      <c r="AQ1024" s="1"/>
      <c r="AR1024" s="46"/>
    </row>
    <row r="1025" spans="1:44" ht="16.5" hidden="1" customHeight="1">
      <c r="A1025" s="1"/>
      <c r="B1025" s="1"/>
      <c r="C1025" s="71" t="s">
        <v>510</v>
      </c>
      <c r="D1025" s="1"/>
      <c r="E1025" s="80">
        <f>E1019*-1</f>
        <v>-54.166666666666664</v>
      </c>
      <c r="F1025" s="66">
        <f t="shared" ref="F1025:Q1025" si="187">IF(F$1015=0,0,IF(F1031&gt;0,IF(F$6-$B$21&lt;0,IF(F$6-$B$21&lt;$E1025,$E1025,F$6-$B$21),0),0))</f>
        <v>-54.166666666666664</v>
      </c>
      <c r="G1025" s="67">
        <f t="shared" si="187"/>
        <v>0</v>
      </c>
      <c r="H1025" s="67">
        <f t="shared" si="187"/>
        <v>-54.166666666666664</v>
      </c>
      <c r="I1025" s="67">
        <f t="shared" si="187"/>
        <v>0</v>
      </c>
      <c r="J1025" s="67">
        <f t="shared" si="187"/>
        <v>-16.666666666666657</v>
      </c>
      <c r="K1025" s="67">
        <f t="shared" si="187"/>
        <v>-54.166666666666664</v>
      </c>
      <c r="L1025" s="67">
        <f t="shared" si="187"/>
        <v>-54.166666666666664</v>
      </c>
      <c r="M1025" s="67">
        <f t="shared" si="187"/>
        <v>0</v>
      </c>
      <c r="N1025" s="67">
        <f t="shared" si="187"/>
        <v>-16.666666666666657</v>
      </c>
      <c r="O1025" s="67">
        <f t="shared" si="187"/>
        <v>-54.166666666666664</v>
      </c>
      <c r="P1025" s="67">
        <f t="shared" si="187"/>
        <v>0</v>
      </c>
      <c r="Q1025" s="68">
        <f t="shared" si="187"/>
        <v>-16.666666666666657</v>
      </c>
      <c r="R1025" s="1"/>
      <c r="S1025" s="1"/>
      <c r="T1025" s="1"/>
      <c r="U1025" s="1"/>
      <c r="V1025" s="1"/>
      <c r="W1025" s="1"/>
      <c r="X1025" s="1"/>
      <c r="Y1025" s="1"/>
      <c r="Z1025" s="1"/>
      <c r="AA1025" s="3"/>
      <c r="AB1025" s="95"/>
      <c r="AC1025" s="156"/>
      <c r="AD1025" s="103" t="str">
        <f>IF(ISERROR(AD1017)," ",CONCATENATE(AD1017,"   +"))</f>
        <v>CASSA   +</v>
      </c>
      <c r="AE1025" s="46"/>
      <c r="AF1025" s="46"/>
      <c r="AG1025" s="95"/>
      <c r="AH1025" s="103" t="str">
        <f>AD1017</f>
        <v>CASSA</v>
      </c>
      <c r="AI1025" s="95"/>
      <c r="AJ1025" s="95"/>
      <c r="AK1025" s="156"/>
      <c r="AL1025" s="1"/>
      <c r="AM1025" s="1"/>
      <c r="AN1025" s="95"/>
      <c r="AO1025" s="1"/>
      <c r="AP1025" s="1"/>
      <c r="AQ1025" s="1"/>
      <c r="AR1025" s="156"/>
    </row>
    <row r="1026" spans="1:44" ht="16.5" hidden="1" customHeight="1">
      <c r="A1026" s="1"/>
      <c r="B1026" s="1"/>
      <c r="C1026" s="891">
        <f>Z1015-Z1016</f>
        <v>365</v>
      </c>
      <c r="D1026" s="1"/>
      <c r="E1026" s="80">
        <f>E1018*-1</f>
        <v>-108.33333333333333</v>
      </c>
      <c r="F1026" s="66">
        <f t="shared" ref="F1026:Q1026" si="188">IF(F$1015=0,0,IF(F1031&gt;0,IF(F$6-$B$21&lt;0,IF(F$6-$B$21&lt;$E1026,$E1026,F$6-$B$21),0),0))</f>
        <v>-66.666666666666657</v>
      </c>
      <c r="G1026" s="67">
        <f t="shared" si="188"/>
        <v>0</v>
      </c>
      <c r="H1026" s="67">
        <f t="shared" si="188"/>
        <v>-66.666666666666657</v>
      </c>
      <c r="I1026" s="67">
        <f t="shared" si="188"/>
        <v>0</v>
      </c>
      <c r="J1026" s="67">
        <f t="shared" si="188"/>
        <v>-16.666666666666657</v>
      </c>
      <c r="K1026" s="67">
        <f t="shared" si="188"/>
        <v>-66.666666666666657</v>
      </c>
      <c r="L1026" s="67">
        <f t="shared" si="188"/>
        <v>-108.33333333333333</v>
      </c>
      <c r="M1026" s="67">
        <f t="shared" si="188"/>
        <v>0</v>
      </c>
      <c r="N1026" s="67">
        <f t="shared" si="188"/>
        <v>-16.666666666666657</v>
      </c>
      <c r="O1026" s="67">
        <f t="shared" si="188"/>
        <v>-108.33333333333333</v>
      </c>
      <c r="P1026" s="67">
        <f t="shared" si="188"/>
        <v>0</v>
      </c>
      <c r="Q1026" s="68">
        <f t="shared" si="188"/>
        <v>-16.666666666666657</v>
      </c>
      <c r="R1026" s="1"/>
      <c r="S1026" s="1"/>
      <c r="T1026" s="1"/>
      <c r="U1026" s="1"/>
      <c r="V1026" s="1"/>
      <c r="W1026" s="1"/>
      <c r="X1026" s="1"/>
      <c r="Y1026" s="1"/>
      <c r="Z1026" s="1"/>
      <c r="AA1026" s="3"/>
      <c r="AB1026" s="95"/>
      <c r="AC1026" s="156"/>
      <c r="AD1026" s="161" t="str">
        <f>IF(ISERROR(AD1017)," ",CONCATENATE(AD1017,"   -"))</f>
        <v>CASSA   -</v>
      </c>
      <c r="AE1026" s="46"/>
      <c r="AF1026" s="46"/>
      <c r="AG1026" s="95"/>
      <c r="AH1026" s="161" t="str">
        <f>AH1025</f>
        <v>CASSA</v>
      </c>
      <c r="AI1026" s="95"/>
      <c r="AJ1026" s="95"/>
      <c r="AK1026" s="156"/>
      <c r="AL1026" s="1"/>
      <c r="AM1026" s="1"/>
      <c r="AN1026" s="95"/>
      <c r="AO1026" s="1"/>
      <c r="AP1026" s="1"/>
      <c r="AQ1026" s="1"/>
      <c r="AR1026" s="156"/>
    </row>
    <row r="1027" spans="1:44" ht="16.5" hidden="1" customHeight="1">
      <c r="A1027" s="1"/>
      <c r="B1027" s="1"/>
      <c r="C1027" s="1"/>
      <c r="D1027" s="1"/>
      <c r="E1027" s="81">
        <f>E1017*-1</f>
        <v>-162.5</v>
      </c>
      <c r="F1027" s="73">
        <f t="shared" ref="F1027:Q1027" si="189">IF(F$1015=0,0,IF(F1031&gt;0,IF(F$6-$B$21&lt;0,IF(F$6-$B$21&lt;$E1027,$E1027,F$6-$B$21),0),0))</f>
        <v>-66.666666666666657</v>
      </c>
      <c r="G1027" s="74">
        <f t="shared" si="189"/>
        <v>0</v>
      </c>
      <c r="H1027" s="74">
        <f t="shared" si="189"/>
        <v>-66.666666666666657</v>
      </c>
      <c r="I1027" s="74">
        <f t="shared" si="189"/>
        <v>0</v>
      </c>
      <c r="J1027" s="74">
        <f t="shared" si="189"/>
        <v>-16.666666666666657</v>
      </c>
      <c r="K1027" s="74">
        <f t="shared" si="189"/>
        <v>-66.666666666666657</v>
      </c>
      <c r="L1027" s="74">
        <f t="shared" si="189"/>
        <v>-116.66666666666666</v>
      </c>
      <c r="M1027" s="74">
        <f t="shared" si="189"/>
        <v>0</v>
      </c>
      <c r="N1027" s="74">
        <f t="shared" si="189"/>
        <v>-16.666666666666657</v>
      </c>
      <c r="O1027" s="74">
        <f t="shared" si="189"/>
        <v>-116.66666666666666</v>
      </c>
      <c r="P1027" s="74">
        <f t="shared" si="189"/>
        <v>0</v>
      </c>
      <c r="Q1027" s="75">
        <f t="shared" si="189"/>
        <v>-16.666666666666657</v>
      </c>
      <c r="R1027" s="1"/>
      <c r="S1027" s="1"/>
      <c r="T1027" s="1"/>
      <c r="U1027" s="3"/>
      <c r="V1027" s="1"/>
      <c r="W1027" s="1"/>
      <c r="X1027" s="1"/>
      <c r="Y1027" s="1"/>
      <c r="Z1027" s="1"/>
      <c r="AA1027" s="1"/>
      <c r="AB1027" s="95"/>
      <c r="AC1027" s="156"/>
      <c r="AD1027" s="104" t="str">
        <f>IF(ISERROR(AD1018)," ",CONCATENATE(AD1018,"   +"))</f>
        <v>BANCA C/C nr. 1234567   +</v>
      </c>
      <c r="AE1027" s="46"/>
      <c r="AF1027" s="46"/>
      <c r="AG1027" s="95"/>
      <c r="AH1027" s="104" t="str">
        <f>AD1018</f>
        <v>BANCA C/C nr. 1234567</v>
      </c>
      <c r="AI1027" s="95"/>
      <c r="AJ1027" s="95"/>
      <c r="AK1027" s="156"/>
      <c r="AL1027" s="1"/>
      <c r="AM1027" s="1"/>
      <c r="AN1027" s="95"/>
      <c r="AO1027" s="1"/>
      <c r="AP1027" s="1"/>
      <c r="AQ1027" s="1"/>
      <c r="AR1027" s="156"/>
    </row>
    <row r="1028" spans="1:44" ht="16.5" hidden="1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95"/>
      <c r="AC1028" s="156"/>
      <c r="AD1028" s="104" t="str">
        <f>IF(ISERROR(AD1018)," ",CONCATENATE(AD1018,"   -"))</f>
        <v>BANCA C/C nr. 1234567   -</v>
      </c>
      <c r="AE1028" s="46"/>
      <c r="AF1028" s="46"/>
      <c r="AG1028" s="95"/>
      <c r="AH1028" s="161" t="str">
        <f>AH1027</f>
        <v>BANCA C/C nr. 1234567</v>
      </c>
      <c r="AI1028" s="95"/>
      <c r="AJ1028" s="95"/>
      <c r="AK1028" s="156"/>
      <c r="AL1028" s="1"/>
      <c r="AM1028" s="1"/>
      <c r="AN1028" s="95"/>
      <c r="AO1028" s="1"/>
      <c r="AP1028" s="1"/>
      <c r="AQ1028" s="1"/>
      <c r="AR1028" s="156"/>
    </row>
    <row r="1029" spans="1:44" ht="16.5" hidden="1" customHeight="1">
      <c r="A1029" s="1"/>
      <c r="B1029" s="1"/>
      <c r="C1029" s="1"/>
      <c r="D1029" s="1"/>
      <c r="E1029" s="1"/>
      <c r="F1029" s="889">
        <f>IF(AND($J$1045=0,$P$4=$N$1009),0,Presentazione!B207)</f>
        <v>1</v>
      </c>
      <c r="G1029" s="889">
        <f>IF(AND($J$1045=0,$P$4=$N$1009),0,Presentazione!C207)</f>
        <v>2</v>
      </c>
      <c r="H1029" s="889">
        <f>IF(AND($J$1045=0,$P$4=$N$1009),0,Presentazione!D207)</f>
        <v>3</v>
      </c>
      <c r="I1029" s="889">
        <f>IF(AND($J$1045=0,$P$4=$N$1009),0,Presentazione!E207)</f>
        <v>4</v>
      </c>
      <c r="J1029" s="889">
        <f>IF(AND($J$1045=0,$P$4=$N$1009),0,Presentazione!F207)</f>
        <v>5</v>
      </c>
      <c r="K1029" s="889">
        <f>IF(AND($J$1045=0,$P$4=$N$1009),0,Presentazione!G207)</f>
        <v>6</v>
      </c>
      <c r="L1029" s="889">
        <f>IF(AND($J$1045=0,$P$4=$N$1009),0,Presentazione!H207)</f>
        <v>7</v>
      </c>
      <c r="M1029" s="889">
        <f>IF(AND($J$1045=0,$P$4=$N$1009),0,Presentazione!I207)</f>
        <v>8</v>
      </c>
      <c r="N1029" s="889">
        <f>IF(AND($J$1045=0,$P$4=$N$1009),0,Presentazione!J207)</f>
        <v>9</v>
      </c>
      <c r="O1029" s="889">
        <f>IF(AND($J$1045=0,$P$4=$N$1009),0,Presentazione!K207)</f>
        <v>10</v>
      </c>
      <c r="P1029" s="889">
        <f>IF(AND($J$1045=0,$P$4=$N$1009),0,Presentazione!L207)</f>
        <v>11</v>
      </c>
      <c r="Q1029" s="889">
        <f>IF(AND($J$1045=0,$P$4=$N$1009),0,Presentazione!M207)</f>
        <v>12</v>
      </c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95"/>
      <c r="AC1029" s="156"/>
      <c r="AD1029" s="104" t="str">
        <f>IF(ISERROR(AD1019)," ",CONCATENATE(AD1019,"   +"))</f>
        <v>POSTA C/C nr. 7654321   +</v>
      </c>
      <c r="AE1029" s="46"/>
      <c r="AF1029" s="46"/>
      <c r="AG1029" s="95"/>
      <c r="AH1029" s="104" t="str">
        <f>AD1019</f>
        <v>POSTA C/C nr. 7654321</v>
      </c>
      <c r="AI1029" s="95"/>
      <c r="AJ1029" s="95"/>
      <c r="AK1029" s="156"/>
      <c r="AL1029" s="1"/>
      <c r="AM1029" s="1"/>
      <c r="AN1029" s="95"/>
      <c r="AO1029" s="1"/>
      <c r="AP1029" s="1"/>
      <c r="AQ1029" s="1"/>
      <c r="AR1029" s="156"/>
    </row>
    <row r="1030" spans="1:44" ht="16.5" hidden="1" customHeight="1">
      <c r="A1030" s="1"/>
      <c r="B1030" s="1"/>
      <c r="C1030" s="1"/>
      <c r="D1030" s="1"/>
      <c r="E1030" s="1"/>
      <c r="F1030" s="892">
        <f>IF(F1015=1,1,0)</f>
        <v>1</v>
      </c>
      <c r="G1030" s="892">
        <f t="shared" ref="G1030:Q1030" si="190">IF(G1015=1,1,0)</f>
        <v>1</v>
      </c>
      <c r="H1030" s="892">
        <f t="shared" si="190"/>
        <v>1</v>
      </c>
      <c r="I1030" s="892">
        <f t="shared" si="190"/>
        <v>1</v>
      </c>
      <c r="J1030" s="892">
        <f t="shared" si="190"/>
        <v>1</v>
      </c>
      <c r="K1030" s="892">
        <f t="shared" si="190"/>
        <v>1</v>
      </c>
      <c r="L1030" s="892">
        <f t="shared" si="190"/>
        <v>1</v>
      </c>
      <c r="M1030" s="892">
        <f t="shared" si="190"/>
        <v>1</v>
      </c>
      <c r="N1030" s="892">
        <f t="shared" si="190"/>
        <v>1</v>
      </c>
      <c r="O1030" s="892">
        <f t="shared" si="190"/>
        <v>1</v>
      </c>
      <c r="P1030" s="892">
        <f t="shared" si="190"/>
        <v>1</v>
      </c>
      <c r="Q1030" s="892">
        <f t="shared" si="190"/>
        <v>1</v>
      </c>
      <c r="R1030" s="1"/>
      <c r="S1030" s="652" t="s">
        <v>366</v>
      </c>
      <c r="T1030" s="3"/>
      <c r="U1030" s="1"/>
      <c r="V1030" s="1"/>
      <c r="W1030" s="1"/>
      <c r="X1030" s="1"/>
      <c r="Y1030" s="1"/>
      <c r="Z1030" s="1"/>
      <c r="AA1030" s="1"/>
      <c r="AB1030" s="95"/>
      <c r="AC1030" s="156"/>
      <c r="AD1030" s="104" t="str">
        <f>IF(ISERROR(AD1019)," ",CONCATENATE(AD1019,"   -"))</f>
        <v>POSTA C/C nr. 7654321   -</v>
      </c>
      <c r="AE1030" s="46"/>
      <c r="AF1030" s="46"/>
      <c r="AG1030" s="95"/>
      <c r="AH1030" s="161" t="str">
        <f>AH1029</f>
        <v>POSTA C/C nr. 7654321</v>
      </c>
      <c r="AI1030" s="95"/>
      <c r="AJ1030" s="95"/>
      <c r="AK1030" s="156"/>
      <c r="AL1030" s="1"/>
      <c r="AM1030" s="1"/>
      <c r="AN1030" s="95"/>
      <c r="AO1030" s="1"/>
      <c r="AP1030" s="1"/>
      <c r="AQ1030" s="1"/>
      <c r="AR1030" s="156"/>
    </row>
    <row r="1031" spans="1:44" ht="16.5" hidden="1" customHeight="1">
      <c r="A1031" s="1"/>
      <c r="B1031" s="1"/>
      <c r="C1031" s="1"/>
      <c r="D1031" s="1"/>
      <c r="E1031" s="1"/>
      <c r="F1031" s="889">
        <f>IF(F1015=0,0,F1036)</f>
        <v>1</v>
      </c>
      <c r="G1031" s="889">
        <f t="shared" ref="G1031:Q1031" si="191">IF(G1015=0,0,G1036)</f>
        <v>2</v>
      </c>
      <c r="H1031" s="889">
        <f t="shared" si="191"/>
        <v>3</v>
      </c>
      <c r="I1031" s="889">
        <f t="shared" si="191"/>
        <v>4</v>
      </c>
      <c r="J1031" s="889">
        <f t="shared" si="191"/>
        <v>5</v>
      </c>
      <c r="K1031" s="889">
        <f t="shared" si="191"/>
        <v>6</v>
      </c>
      <c r="L1031" s="889">
        <f t="shared" si="191"/>
        <v>7</v>
      </c>
      <c r="M1031" s="889">
        <f t="shared" si="191"/>
        <v>8</v>
      </c>
      <c r="N1031" s="889">
        <f t="shared" si="191"/>
        <v>9</v>
      </c>
      <c r="O1031" s="889">
        <f t="shared" si="191"/>
        <v>10</v>
      </c>
      <c r="P1031" s="889">
        <f t="shared" si="191"/>
        <v>11</v>
      </c>
      <c r="Q1031" s="889">
        <f t="shared" si="191"/>
        <v>12</v>
      </c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95"/>
      <c r="AC1031" s="156"/>
      <c r="AD1031" s="104" t="str">
        <f>IF(ISERROR(AD1020)," ",CONCATENATE(AD1020,"   +"))</f>
        <v>DEBITO 1   +</v>
      </c>
      <c r="AE1031" s="46"/>
      <c r="AF1031" s="46"/>
      <c r="AG1031" s="95"/>
      <c r="AH1031" s="104" t="str">
        <f>AD1020</f>
        <v>DEBITO 1</v>
      </c>
      <c r="AI1031" s="95"/>
      <c r="AJ1031" s="95"/>
      <c r="AK1031" s="156"/>
      <c r="AL1031" s="1"/>
      <c r="AM1031" s="1"/>
      <c r="AN1031" s="95"/>
      <c r="AO1031" s="1"/>
      <c r="AP1031" s="1"/>
      <c r="AQ1031" s="1"/>
      <c r="AR1031" s="156"/>
    </row>
    <row r="1032" spans="1:44" ht="16.5" hidden="1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95"/>
      <c r="AC1032" s="46"/>
      <c r="AD1032" s="104" t="str">
        <f>IF(ISERROR(AD1020)," ",CONCATENATE(AD1020,"   -"))</f>
        <v>DEBITO 1   -</v>
      </c>
      <c r="AE1032" s="46"/>
      <c r="AF1032" s="46"/>
      <c r="AG1032" s="95"/>
      <c r="AH1032" s="161" t="str">
        <f>AH1031</f>
        <v>DEBITO 1</v>
      </c>
      <c r="AI1032" s="95"/>
      <c r="AJ1032" s="95"/>
      <c r="AK1032" s="46"/>
      <c r="AL1032" s="1"/>
      <c r="AM1032" s="1"/>
      <c r="AN1032" s="95"/>
      <c r="AO1032" s="1"/>
      <c r="AP1032" s="1"/>
      <c r="AQ1032" s="1"/>
      <c r="AR1032" s="46"/>
    </row>
    <row r="1033" spans="1:44" ht="16.5" hidden="1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95"/>
      <c r="AC1033" s="46"/>
      <c r="AD1033" s="104" t="str">
        <f>IF(ISERROR(AD1021)," ",CONCATENATE(AD1021,"   +"))</f>
        <v>RISERVA ACCANTONATA   +</v>
      </c>
      <c r="AE1033" s="46"/>
      <c r="AF1033" s="46"/>
      <c r="AG1033" s="95"/>
      <c r="AH1033" s="104" t="str">
        <f>AD1021</f>
        <v>RISERVA ACCANTONATA</v>
      </c>
      <c r="AI1033" s="95"/>
      <c r="AJ1033" s="95"/>
      <c r="AK1033" s="46"/>
      <c r="AL1033" s="1"/>
      <c r="AM1033" s="1"/>
      <c r="AN1033" s="95"/>
      <c r="AO1033" s="1"/>
      <c r="AP1033" s="1"/>
      <c r="AQ1033" s="1"/>
      <c r="AR1033" s="46"/>
    </row>
    <row r="1034" spans="1:44" ht="16.5" hidden="1" customHeight="1">
      <c r="A1034" s="1"/>
      <c r="B1034" s="1"/>
      <c r="C1034" s="1"/>
      <c r="D1034" s="1"/>
      <c r="E1034" s="203" t="str">
        <f>'ESTRATTO CONTO'!E2</f>
        <v>CASSA</v>
      </c>
      <c r="F1034" s="76" t="e">
        <f>VLOOKUP(VLOOKUP($E1034,$B9:$T13,19,FALSE)-7,RIPARTIZIONI!$B37:G41,F1036+5,FALSE)</f>
        <v>#N/A</v>
      </c>
      <c r="G1034" s="77" t="e">
        <f>VLOOKUP(VLOOKUP($E1034,$B9:$T13,19,FALSE)-7,RIPARTIZIONI!$B37:H41,G1036+5,FALSE)</f>
        <v>#N/A</v>
      </c>
      <c r="H1034" s="77" t="e">
        <f>VLOOKUP(VLOOKUP($E1034,$B9:$T13,19,FALSE)-7,RIPARTIZIONI!$B37:I41,H1036+5,FALSE)</f>
        <v>#N/A</v>
      </c>
      <c r="I1034" s="77" t="e">
        <f>VLOOKUP(VLOOKUP($E1034,$B9:$T13,19,FALSE)-7,RIPARTIZIONI!$B37:J41,I1036+5,FALSE)</f>
        <v>#N/A</v>
      </c>
      <c r="J1034" s="77" t="e">
        <f>VLOOKUP(VLOOKUP($E1034,$B9:$T13,19,FALSE)-7,RIPARTIZIONI!$B37:K41,J1036+5,FALSE)</f>
        <v>#N/A</v>
      </c>
      <c r="K1034" s="77" t="e">
        <f>VLOOKUP(VLOOKUP($E1034,$B9:$T13,19,FALSE)-7,RIPARTIZIONI!$B37:L41,K1036+5,FALSE)</f>
        <v>#N/A</v>
      </c>
      <c r="L1034" s="77" t="e">
        <f>VLOOKUP(VLOOKUP($E1034,$B9:$T13,19,FALSE)-7,RIPARTIZIONI!$B37:M41,L1036+5,FALSE)</f>
        <v>#N/A</v>
      </c>
      <c r="M1034" s="77" t="e">
        <f>VLOOKUP(VLOOKUP($E1034,$B9:$T13,19,FALSE)-7,RIPARTIZIONI!$B37:N41,M1036+5,FALSE)</f>
        <v>#N/A</v>
      </c>
      <c r="N1034" s="77" t="e">
        <f>VLOOKUP(VLOOKUP($E1034,$B9:$T13,19,FALSE)-7,RIPARTIZIONI!$B37:O41,N1036+5,FALSE)</f>
        <v>#N/A</v>
      </c>
      <c r="O1034" s="77" t="e">
        <f>VLOOKUP(VLOOKUP($E1034,$B9:$T13,19,FALSE)-7,RIPARTIZIONI!$B37:P41,O1036+5,FALSE)</f>
        <v>#N/A</v>
      </c>
      <c r="P1034" s="77" t="e">
        <f>VLOOKUP(VLOOKUP($E1034,$B9:$T13,19,FALSE)-7,RIPARTIZIONI!$B37:Q41,P1036+5,FALSE)</f>
        <v>#N/A</v>
      </c>
      <c r="Q1034" s="78" t="e">
        <f>VLOOKUP(VLOOKUP($E1034,$B9:$T13,19,FALSE)-7,RIPARTIZIONI!$B37:R41,Q1036+5,FALSE)</f>
        <v>#N/A</v>
      </c>
      <c r="R1034" s="3"/>
      <c r="S1034" s="3"/>
      <c r="T1034" s="1"/>
      <c r="U1034" s="1"/>
      <c r="V1034" s="1"/>
      <c r="W1034" s="1"/>
      <c r="X1034" s="1"/>
      <c r="Y1034" s="1"/>
      <c r="Z1034" s="1"/>
      <c r="AA1034" s="1"/>
      <c r="AB1034" s="95"/>
      <c r="AC1034" s="46"/>
      <c r="AD1034" s="104" t="str">
        <f>IF(ISERROR(AD1021)," ",CONCATENATE(AD1021,"   -"))</f>
        <v>RISERVA ACCANTONATA   -</v>
      </c>
      <c r="AE1034" s="46"/>
      <c r="AF1034" s="46"/>
      <c r="AG1034" s="95"/>
      <c r="AH1034" s="161" t="str">
        <f>AH1033</f>
        <v>RISERVA ACCANTONATA</v>
      </c>
      <c r="AI1034" s="95"/>
      <c r="AJ1034" s="95"/>
      <c r="AK1034" s="46"/>
      <c r="AL1034" s="1"/>
      <c r="AM1034" s="1"/>
      <c r="AN1034" s="95"/>
      <c r="AO1034" s="1"/>
      <c r="AP1034" s="1"/>
      <c r="AQ1034" s="1"/>
      <c r="AR1034" s="46"/>
    </row>
    <row r="1035" spans="1:44" ht="16.5" hidden="1" customHeight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95"/>
      <c r="AC1035" s="46"/>
      <c r="AD1035" s="104" t="str">
        <f>IF(ISERROR(AD1022)," ",CONCATENATE(AD1022,"   +"))</f>
        <v xml:space="preserve"> </v>
      </c>
      <c r="AE1035" s="46"/>
      <c r="AF1035" s="46"/>
      <c r="AG1035" s="95"/>
      <c r="AH1035" s="104" t="e">
        <f>AD1022</f>
        <v>#N/A</v>
      </c>
      <c r="AI1035" s="95"/>
      <c r="AJ1035" s="95"/>
      <c r="AK1035" s="46"/>
      <c r="AL1035" s="1"/>
      <c r="AM1035" s="1"/>
      <c r="AN1035" s="95"/>
      <c r="AO1035" s="1"/>
      <c r="AP1035" s="1"/>
      <c r="AQ1035" s="1"/>
      <c r="AR1035" s="46"/>
    </row>
    <row r="1036" spans="1:44" ht="16.5" hidden="1" customHeight="1">
      <c r="A1036" s="1"/>
      <c r="B1036" s="1"/>
      <c r="C1036" s="1"/>
      <c r="D1036" s="1"/>
      <c r="E1036" s="1"/>
      <c r="F1036" s="889">
        <v>1</v>
      </c>
      <c r="G1036" s="889">
        <v>2</v>
      </c>
      <c r="H1036" s="889">
        <v>3</v>
      </c>
      <c r="I1036" s="889">
        <v>4</v>
      </c>
      <c r="J1036" s="889">
        <v>5</v>
      </c>
      <c r="K1036" s="889">
        <v>6</v>
      </c>
      <c r="L1036" s="889">
        <v>7</v>
      </c>
      <c r="M1036" s="889">
        <v>8</v>
      </c>
      <c r="N1036" s="889">
        <v>9</v>
      </c>
      <c r="O1036" s="889">
        <v>10</v>
      </c>
      <c r="P1036" s="889">
        <v>11</v>
      </c>
      <c r="Q1036" s="889">
        <v>12</v>
      </c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95"/>
      <c r="AC1036" s="46"/>
      <c r="AD1036" s="163" t="str">
        <f>IF(ISERROR(AD1022)," ",CONCATENATE(AD1022,"   -"))</f>
        <v xml:space="preserve"> </v>
      </c>
      <c r="AE1036" s="46"/>
      <c r="AF1036" s="46"/>
      <c r="AG1036" s="95"/>
      <c r="AH1036" s="161" t="e">
        <f>AH1035</f>
        <v>#N/A</v>
      </c>
      <c r="AI1036" s="95"/>
      <c r="AJ1036" s="95"/>
      <c r="AK1036" s="46"/>
      <c r="AL1036" s="1"/>
      <c r="AM1036" s="1"/>
      <c r="AN1036" s="95"/>
      <c r="AO1036" s="1"/>
      <c r="AP1036" s="1"/>
      <c r="AQ1036" s="1"/>
      <c r="AR1036" s="46"/>
    </row>
    <row r="1037" spans="1:44" ht="16.5" hidden="1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95"/>
      <c r="AC1037" s="46"/>
      <c r="AD1037" s="163" t="str">
        <f>IF(ISERROR(AD1023)," ",CONCATENATE(AD1023,"   +"))</f>
        <v xml:space="preserve"> </v>
      </c>
      <c r="AE1037" s="46"/>
      <c r="AF1037" s="46"/>
      <c r="AG1037" s="95"/>
      <c r="AH1037" s="163" t="e">
        <f>AD1023</f>
        <v>#N/A</v>
      </c>
      <c r="AI1037" s="95"/>
      <c r="AJ1037" s="95"/>
      <c r="AK1037" s="46"/>
      <c r="AL1037" s="1"/>
      <c r="AM1037" s="1"/>
      <c r="AN1037" s="95"/>
      <c r="AO1037" s="1"/>
      <c r="AP1037" s="1"/>
      <c r="AQ1037" s="1"/>
      <c r="AR1037" s="46"/>
    </row>
    <row r="1038" spans="1:44" ht="16.5" hidden="1" customHeight="1">
      <c r="A1038" s="1"/>
      <c r="B1038" s="1"/>
      <c r="C1038" s="1"/>
      <c r="D1038" s="1"/>
      <c r="E1038" s="106" t="s">
        <v>169</v>
      </c>
      <c r="F1038" s="1"/>
      <c r="G1038" s="1"/>
      <c r="H1038" s="1"/>
      <c r="I1038" s="1"/>
      <c r="J1038" s="1"/>
      <c r="K1038" s="1"/>
      <c r="L1038" s="1"/>
      <c r="M1038" s="71" t="s">
        <v>186</v>
      </c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95"/>
      <c r="AC1038" s="46"/>
      <c r="AD1038" s="105" t="str">
        <f>IF(ISERROR(AD1023)," ",CONCATENATE(AD1023,"   -"))</f>
        <v xml:space="preserve"> </v>
      </c>
      <c r="AE1038" s="46"/>
      <c r="AF1038" s="46"/>
      <c r="AG1038" s="95"/>
      <c r="AH1038" s="105" t="e">
        <f>AH1037</f>
        <v>#N/A</v>
      </c>
      <c r="AI1038" s="95"/>
      <c r="AJ1038" s="95"/>
      <c r="AK1038" s="46"/>
      <c r="AL1038" s="1"/>
      <c r="AM1038" s="1"/>
      <c r="AN1038" s="95"/>
      <c r="AO1038" s="1"/>
      <c r="AP1038" s="1"/>
      <c r="AQ1038" s="1"/>
      <c r="AR1038" s="46"/>
    </row>
    <row r="1039" spans="1:44" ht="16.5" hidden="1" customHeight="1">
      <c r="A1039" s="1"/>
      <c r="B1039" s="1"/>
      <c r="C1039" s="1"/>
      <c r="D1039" s="1"/>
      <c r="E1039" s="107" t="s">
        <v>372</v>
      </c>
      <c r="F1039" s="1"/>
      <c r="G1039" s="1"/>
      <c r="H1039" s="1"/>
      <c r="I1039" s="1"/>
      <c r="J1039" s="1"/>
      <c r="K1039" s="1"/>
      <c r="L1039" s="1"/>
      <c r="M1039" s="107" t="s">
        <v>187</v>
      </c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95"/>
      <c r="AC1039" s="46"/>
      <c r="AD1039" s="1"/>
      <c r="AE1039" s="46"/>
      <c r="AF1039" s="46"/>
      <c r="AG1039" s="95"/>
      <c r="AH1039" s="95"/>
      <c r="AI1039" s="95"/>
      <c r="AJ1039" s="95"/>
      <c r="AK1039" s="46"/>
      <c r="AL1039" s="1"/>
      <c r="AM1039" s="1"/>
      <c r="AN1039" s="95"/>
      <c r="AO1039" s="1"/>
      <c r="AP1039" s="1"/>
      <c r="AQ1039" s="1"/>
      <c r="AR1039" s="46"/>
    </row>
    <row r="1040" spans="1:44" ht="16.5" hidden="1" customHeight="1">
      <c r="A1040" s="1"/>
      <c r="B1040" s="1"/>
      <c r="C1040" s="1"/>
      <c r="D1040" s="1"/>
      <c r="E1040" s="106" t="s">
        <v>182</v>
      </c>
      <c r="F1040" s="1"/>
      <c r="G1040" s="1"/>
      <c r="H1040" s="1"/>
      <c r="I1040" s="1"/>
      <c r="J1040" s="1"/>
      <c r="K1040" s="1"/>
      <c r="L1040" s="1"/>
      <c r="M1040" s="308" t="s">
        <v>191</v>
      </c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95"/>
      <c r="AC1040" s="46"/>
      <c r="AD1040" s="1"/>
      <c r="AE1040" s="46"/>
      <c r="AF1040" s="46"/>
      <c r="AG1040" s="95"/>
      <c r="AH1040" s="95"/>
      <c r="AI1040" s="95"/>
      <c r="AJ1040" s="95"/>
      <c r="AK1040" s="46"/>
      <c r="AL1040" s="1"/>
      <c r="AM1040" s="1"/>
      <c r="AN1040" s="95"/>
      <c r="AO1040" s="1"/>
      <c r="AP1040" s="1"/>
      <c r="AQ1040" s="1"/>
      <c r="AR1040" s="46"/>
    </row>
    <row r="1041" spans="1:46" ht="16.5" hidden="1" customHeight="1">
      <c r="A1041" s="1"/>
      <c r="B1041" s="1"/>
      <c r="C1041" s="1"/>
      <c r="D1041" s="1"/>
      <c r="E1041" s="107" t="str">
        <f>CIRCOLARI!C5</f>
        <v>Inserisci qui il NOME   -   P.I./C.F codice fiscale condominio</v>
      </c>
      <c r="F1041" s="1"/>
      <c r="G1041" s="1"/>
      <c r="H1041" s="1"/>
      <c r="I1041" s="1"/>
      <c r="J1041" s="1"/>
      <c r="K1041" s="1"/>
      <c r="L1041" s="1"/>
      <c r="M1041" s="308" t="str">
        <f>CONCATENATE("Questi valori relativi al frazionamento automatico del costo ",M1042," confluiscono nei totali del report precedente.")</f>
        <v>Questi valori relativi al frazionamento automatico del costo AMMINISTRATORE confluiscono nei totali del report precedente.</v>
      </c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95"/>
      <c r="AC1041" s="46"/>
      <c r="AD1041" s="1"/>
      <c r="AE1041" s="46"/>
      <c r="AF1041" s="46"/>
      <c r="AG1041" s="95"/>
      <c r="AH1041" s="95"/>
      <c r="AI1041" s="95"/>
      <c r="AJ1041" s="95"/>
      <c r="AK1041" s="46"/>
      <c r="AL1041" s="1"/>
      <c r="AM1041" s="1"/>
      <c r="AN1041" s="95"/>
      <c r="AO1041" s="1"/>
      <c r="AP1041" s="1"/>
      <c r="AQ1041" s="1"/>
      <c r="AR1041" s="46"/>
    </row>
    <row r="1042" spans="1:46" ht="16.5" hidden="1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07" t="str">
        <f>UPPER(COSTI!B78)</f>
        <v>AMMINISTRATORE</v>
      </c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95"/>
      <c r="AC1042" s="46"/>
      <c r="AD1042" s="1"/>
      <c r="AE1042" s="46"/>
      <c r="AF1042" s="46"/>
      <c r="AG1042" s="95"/>
      <c r="AH1042" s="95"/>
      <c r="AI1042" s="95"/>
      <c r="AJ1042" s="95"/>
      <c r="AK1042" s="46"/>
      <c r="AL1042" s="1"/>
      <c r="AM1042" s="1"/>
      <c r="AN1042" s="95"/>
      <c r="AO1042" s="1"/>
      <c r="AP1042" s="1"/>
      <c r="AQ1042" s="1"/>
      <c r="AR1042" s="46"/>
    </row>
    <row r="1043" spans="1:46" ht="16.5" hidden="1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95"/>
      <c r="AC1043" s="46"/>
      <c r="AD1043" s="1"/>
      <c r="AE1043" s="46"/>
      <c r="AF1043" s="46"/>
      <c r="AG1043" s="95"/>
      <c r="AH1043" s="95"/>
      <c r="AI1043" s="95"/>
      <c r="AJ1043" s="95"/>
      <c r="AK1043" s="46"/>
      <c r="AL1043" s="1"/>
      <c r="AM1043" s="1"/>
      <c r="AN1043" s="95"/>
      <c r="AO1043" s="1"/>
      <c r="AP1043" s="1"/>
      <c r="AQ1043" s="1"/>
      <c r="AR1043" s="46"/>
    </row>
    <row r="1044" spans="1:46" ht="16.5" hidden="1" customHeight="1">
      <c r="A1044" s="1"/>
      <c r="B1044" s="1"/>
      <c r="C1044" s="1"/>
      <c r="D1044" s="1"/>
      <c r="E1044" s="1"/>
      <c r="F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95"/>
      <c r="AC1044" s="46"/>
      <c r="AD1044" s="1"/>
      <c r="AE1044" s="46"/>
      <c r="AF1044" s="46"/>
      <c r="AG1044" s="95"/>
      <c r="AH1044" s="95"/>
      <c r="AI1044" s="95"/>
      <c r="AJ1044" s="95"/>
      <c r="AK1044" s="46"/>
      <c r="AL1044" s="1"/>
      <c r="AM1044" s="1"/>
      <c r="AN1044" s="95"/>
      <c r="AO1044" s="1"/>
      <c r="AP1044" s="1"/>
      <c r="AQ1044" s="1"/>
      <c r="AR1044" s="46"/>
    </row>
    <row r="1045" spans="1:46" ht="16.5" hidden="1" customHeight="1">
      <c r="A1045" s="1"/>
      <c r="B1045" s="1"/>
      <c r="C1045" s="1"/>
      <c r="D1045" s="1"/>
      <c r="E1045" s="893" t="s">
        <v>14</v>
      </c>
      <c r="F1045" s="739">
        <v>1</v>
      </c>
      <c r="G1045" s="893" t="s">
        <v>513</v>
      </c>
      <c r="H1045" s="739" t="b">
        <f>Presentazione!$E$181</f>
        <v>1</v>
      </c>
      <c r="I1045" s="917" t="s">
        <v>215</v>
      </c>
      <c r="J1045" s="739">
        <f>Presentazione!$H$181</f>
        <v>1</v>
      </c>
      <c r="K1045" s="893" t="s">
        <v>548</v>
      </c>
      <c r="L1045" s="739" t="b">
        <f>Presentazione!$L$181</f>
        <v>1</v>
      </c>
      <c r="M1045" s="835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95"/>
      <c r="AC1045" s="46"/>
      <c r="AD1045" s="1"/>
      <c r="AE1045" s="46"/>
      <c r="AF1045" s="46"/>
      <c r="AG1045" s="95"/>
      <c r="AH1045" s="95"/>
      <c r="AI1045" s="95"/>
      <c r="AJ1045" s="95"/>
      <c r="AK1045" s="46"/>
      <c r="AL1045" s="1"/>
      <c r="AM1045" s="1"/>
      <c r="AN1045" s="95"/>
      <c r="AO1045" s="1"/>
      <c r="AP1045" s="1"/>
      <c r="AQ1045" s="1"/>
      <c r="AR1045" s="46"/>
    </row>
    <row r="1046" spans="1:46" ht="16.5" hidden="1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95"/>
      <c r="AC1046" s="46"/>
      <c r="AD1046" s="1"/>
      <c r="AE1046" s="46"/>
      <c r="AF1046" s="46"/>
      <c r="AG1046" s="95"/>
      <c r="AH1046" s="95"/>
      <c r="AI1046" s="95"/>
      <c r="AJ1046" s="95"/>
      <c r="AK1046" s="46"/>
      <c r="AL1046" s="1"/>
      <c r="AM1046" s="1"/>
      <c r="AN1046" s="95"/>
      <c r="AO1046" s="1"/>
      <c r="AP1046" s="1"/>
      <c r="AQ1046" s="1"/>
      <c r="AR1046" s="46"/>
      <c r="AT1046" s="373"/>
    </row>
  </sheetData>
  <sheetProtection algorithmName="SHA-512" hashValue="Uc+tjHp/hL62dS3sbjTA60t79uJghuywd41LGaTn1HcB+ngFkIYD5iAv4TmEyl/l0je/SsdlaO4G5f23riBLCA==" saltValue="STZ2DkbjpWQ05vQEi5AXcg==" spinCount="100000" sheet="1" objects="1" scenarios="1" selectLockedCells="1" autoFilter="0"/>
  <autoFilter ref="V3:AQ1003"/>
  <mergeCells count="42">
    <mergeCell ref="E30:Q30"/>
    <mergeCell ref="I31:S31"/>
    <mergeCell ref="B25:C25"/>
    <mergeCell ref="B26:C26"/>
    <mergeCell ref="B21:C21"/>
    <mergeCell ref="B13:E13"/>
    <mergeCell ref="B24:C24"/>
    <mergeCell ref="H2:I2"/>
    <mergeCell ref="B10:E10"/>
    <mergeCell ref="P4:Q4"/>
    <mergeCell ref="B17:C17"/>
    <mergeCell ref="B14:C14"/>
    <mergeCell ref="AN1:AQ1"/>
    <mergeCell ref="B6:E6"/>
    <mergeCell ref="B5:D5"/>
    <mergeCell ref="B1:E1"/>
    <mergeCell ref="B8:E8"/>
    <mergeCell ref="S7:S8"/>
    <mergeCell ref="W1:X1"/>
    <mergeCell ref="F1:S1"/>
    <mergeCell ref="B2:G2"/>
    <mergeCell ref="X1006:Y1006"/>
    <mergeCell ref="J1010:L1010"/>
    <mergeCell ref="G1011:I1011"/>
    <mergeCell ref="G1012:I1012"/>
    <mergeCell ref="G1013:I1013"/>
    <mergeCell ref="B1019:C1019"/>
    <mergeCell ref="J2:S2"/>
    <mergeCell ref="B30:D30"/>
    <mergeCell ref="B20:C20"/>
    <mergeCell ref="B22:C22"/>
    <mergeCell ref="B11:E11"/>
    <mergeCell ref="B34:S34"/>
    <mergeCell ref="J1012:L1012"/>
    <mergeCell ref="J1011:L1011"/>
    <mergeCell ref="B12:E12"/>
    <mergeCell ref="P1014:Q1014"/>
    <mergeCell ref="J1013:L1013"/>
    <mergeCell ref="G1010:I1010"/>
    <mergeCell ref="B32:H32"/>
    <mergeCell ref="I32:S32"/>
    <mergeCell ref="B9:E9"/>
  </mergeCells>
  <phoneticPr fontId="4" type="noConversion"/>
  <conditionalFormatting sqref="AA4:AA1003">
    <cfRule type="expression" dxfId="655" priority="86" stopIfTrue="1">
      <formula>AND(#REF!="somma",$AA4="totale")</formula>
    </cfRule>
  </conditionalFormatting>
  <conditionalFormatting sqref="AB4:AB1003">
    <cfRule type="expression" dxfId="654" priority="87" stopIfTrue="1">
      <formula>AND($AA4="somma",$AC4="totale")</formula>
    </cfRule>
  </conditionalFormatting>
  <conditionalFormatting sqref="X4:X23 X28:X1003">
    <cfRule type="expression" dxfId="653" priority="88" stopIfTrue="1">
      <formula>AND($Z4&lt;&gt;0,ISBLANK($X4))</formula>
    </cfRule>
    <cfRule type="expression" dxfId="652" priority="89" stopIfTrue="1">
      <formula>$AS4=1</formula>
    </cfRule>
  </conditionalFormatting>
  <conditionalFormatting sqref="Y4:Y23 Y30:Y1003">
    <cfRule type="expression" dxfId="651" priority="90" stopIfTrue="1">
      <formula>$AS4=1</formula>
    </cfRule>
  </conditionalFormatting>
  <conditionalFormatting sqref="Z4:Z1003">
    <cfRule type="expression" dxfId="650" priority="91" stopIfTrue="1">
      <formula>$AS4=1</formula>
    </cfRule>
  </conditionalFormatting>
  <conditionalFormatting sqref="A9:A13">
    <cfRule type="expression" dxfId="649" priority="92" stopIfTrue="1">
      <formula>$B9=""</formula>
    </cfRule>
  </conditionalFormatting>
  <conditionalFormatting sqref="AD4:AD1003">
    <cfRule type="expression" dxfId="648" priority="93" stopIfTrue="1">
      <formula>AND($Z4&lt;&gt;0,ISBLANK($AD4))</formula>
    </cfRule>
    <cfRule type="expression" dxfId="647" priority="94" stopIfTrue="1">
      <formula>OR(ISERROR($AC4),AND($AD4&lt;&gt;"",$Z4=0))</formula>
    </cfRule>
    <cfRule type="expression" dxfId="646" priority="95" stopIfTrue="1">
      <formula>RIGHT($AD4,1)="-"</formula>
    </cfRule>
  </conditionalFormatting>
  <conditionalFormatting sqref="E1023:Q1027 F1022:Q1022 E1017:Q1021 F1034:Q1034 AG1006 AL1010 AN1009 B21:C21 AF5:AF1003 AK4:AK1003">
    <cfRule type="cellIs" dxfId="645" priority="107" stopIfTrue="1" operator="equal">
      <formula>0</formula>
    </cfRule>
  </conditionalFormatting>
  <conditionalFormatting sqref="D21">
    <cfRule type="cellIs" dxfId="644" priority="109" stopIfTrue="1" operator="equal">
      <formula>0</formula>
    </cfRule>
  </conditionalFormatting>
  <conditionalFormatting sqref="U1009 F1030:Q1030 F1015:Q1015 U4:U1003 AL5:AL1003">
    <cfRule type="cellIs" dxfId="643" priority="111" stopIfTrue="1" operator="equal">
      <formula>0</formula>
    </cfRule>
  </conditionalFormatting>
  <conditionalFormatting sqref="AG4:AJ1003">
    <cfRule type="cellIs" dxfId="642" priority="112" stopIfTrue="1" operator="equal">
      <formula>0</formula>
    </cfRule>
  </conditionalFormatting>
  <conditionalFormatting sqref="AN4:AQ1003">
    <cfRule type="expression" dxfId="641" priority="113" stopIfTrue="1">
      <formula>ISERROR(AN4)</formula>
    </cfRule>
  </conditionalFormatting>
  <conditionalFormatting sqref="B22:C22">
    <cfRule type="expression" dxfId="640" priority="117" stopIfTrue="1">
      <formula>ISERROR($B$22)</formula>
    </cfRule>
  </conditionalFormatting>
  <conditionalFormatting sqref="AQ1006">
    <cfRule type="expression" dxfId="639" priority="119" stopIfTrue="1">
      <formula>ISERROR(AQ1006)</formula>
    </cfRule>
  </conditionalFormatting>
  <conditionalFormatting sqref="AP1006">
    <cfRule type="expression" dxfId="638" priority="120" stopIfTrue="1">
      <formula>ISERROR(AQ1006)</formula>
    </cfRule>
  </conditionalFormatting>
  <conditionalFormatting sqref="F26:Q26">
    <cfRule type="cellIs" dxfId="637" priority="49" stopIfTrue="1" operator="lessThan">
      <formula>0</formula>
    </cfRule>
  </conditionalFormatting>
  <conditionalFormatting sqref="F17:Q17">
    <cfRule type="cellIs" dxfId="636" priority="44" stopIfTrue="1" operator="greaterThan">
      <formula>0</formula>
    </cfRule>
  </conditionalFormatting>
  <conditionalFormatting sqref="X24:X25">
    <cfRule type="expression" dxfId="635" priority="17" stopIfTrue="1">
      <formula>AND($Z24&lt;&gt;0,ISBLANK($X24))</formula>
    </cfRule>
    <cfRule type="expression" dxfId="634" priority="18" stopIfTrue="1">
      <formula>$AS24=1</formula>
    </cfRule>
  </conditionalFormatting>
  <conditionalFormatting sqref="Y24:Y25">
    <cfRule type="expression" dxfId="633" priority="19" stopIfTrue="1">
      <formula>$AS24=1</formula>
    </cfRule>
  </conditionalFormatting>
  <conditionalFormatting sqref="S4">
    <cfRule type="expression" dxfId="632" priority="15">
      <formula>$P$4=""</formula>
    </cfRule>
  </conditionalFormatting>
  <conditionalFormatting sqref="X26:X27">
    <cfRule type="expression" dxfId="631" priority="11" stopIfTrue="1">
      <formula>AND($Z26&lt;&gt;0,ISBLANK($X26))</formula>
    </cfRule>
    <cfRule type="expression" dxfId="630" priority="12" stopIfTrue="1">
      <formula>$AS26=1</formula>
    </cfRule>
  </conditionalFormatting>
  <conditionalFormatting sqref="Y26:Y29">
    <cfRule type="expression" dxfId="629" priority="13" stopIfTrue="1">
      <formula>$AS26=1</formula>
    </cfRule>
  </conditionalFormatting>
  <conditionalFormatting sqref="B21:C21">
    <cfRule type="containsErrors" dxfId="628" priority="6" stopIfTrue="1">
      <formula>ISERROR(B21)</formula>
    </cfRule>
  </conditionalFormatting>
  <conditionalFormatting sqref="F6:Q6">
    <cfRule type="expression" dxfId="627" priority="221" stopIfTrue="1">
      <formula>OR($H$1045=FALSE,$L$1045=FALSE)</formula>
    </cfRule>
    <cfRule type="expression" dxfId="626" priority="222" stopIfTrue="1">
      <formula>F$1015=0</formula>
    </cfRule>
    <cfRule type="cellIs" dxfId="625" priority="223" stopIfTrue="1" operator="equal">
      <formula>0</formula>
    </cfRule>
  </conditionalFormatting>
  <conditionalFormatting sqref="W2:Z2">
    <cfRule type="expression" dxfId="624" priority="226" stopIfTrue="1">
      <formula>$H$1045=FALSE</formula>
    </cfRule>
  </conditionalFormatting>
  <conditionalFormatting sqref="S6">
    <cfRule type="expression" dxfId="623" priority="227" stopIfTrue="1">
      <formula>$H$1045=FALSE</formula>
    </cfRule>
    <cfRule type="cellIs" dxfId="622" priority="228" stopIfTrue="1" operator="equal">
      <formula>0</formula>
    </cfRule>
  </conditionalFormatting>
  <conditionalFormatting sqref="F5:Q5 F8:Q8">
    <cfRule type="expression" dxfId="621" priority="229" stopIfTrue="1">
      <formula>OR(F$1015=1,$J$1045=1)</formula>
    </cfRule>
  </conditionalFormatting>
  <conditionalFormatting sqref="B1:S1 J2:S2">
    <cfRule type="expression" dxfId="620" priority="231" stopIfTrue="1">
      <formula>$J$1045=1</formula>
    </cfRule>
  </conditionalFormatting>
  <conditionalFormatting sqref="B2:I2">
    <cfRule type="expression" dxfId="619" priority="233" stopIfTrue="1">
      <formula>$J$1045=1</formula>
    </cfRule>
  </conditionalFormatting>
  <conditionalFormatting sqref="F18:Q18">
    <cfRule type="expression" dxfId="618" priority="42" stopIfTrue="1">
      <formula>AND(F18&gt;0,F17=0)</formula>
    </cfRule>
    <cfRule type="cellIs" dxfId="617" priority="43" stopIfTrue="1" operator="greaterThan">
      <formula>0</formula>
    </cfRule>
  </conditionalFormatting>
  <conditionalFormatting sqref="F19:Q19">
    <cfRule type="expression" dxfId="616" priority="37" stopIfTrue="1">
      <formula>AND(F19&gt;0,F18=0)</formula>
    </cfRule>
    <cfRule type="cellIs" dxfId="615" priority="38" stopIfTrue="1" operator="greaterThan">
      <formula>0</formula>
    </cfRule>
  </conditionalFormatting>
  <conditionalFormatting sqref="F20:Q20">
    <cfRule type="expression" dxfId="614" priority="35" stopIfTrue="1">
      <formula>AND(F20&gt;0,F19=0)</formula>
    </cfRule>
    <cfRule type="cellIs" dxfId="613" priority="36" stopIfTrue="1" operator="greaterThan">
      <formula>0</formula>
    </cfRule>
  </conditionalFormatting>
  <conditionalFormatting sqref="F21:Q21">
    <cfRule type="expression" dxfId="612" priority="39" stopIfTrue="1">
      <formula>AND(F21&gt;0,F20=0)</formula>
    </cfRule>
    <cfRule type="cellIs" dxfId="611" priority="40" stopIfTrue="1" operator="greaterThan">
      <formula>0</formula>
    </cfRule>
    <cfRule type="cellIs" dxfId="610" priority="41" stopIfTrue="1" operator="equal">
      <formula>0</formula>
    </cfRule>
  </conditionalFormatting>
  <conditionalFormatting sqref="F22:Q22">
    <cfRule type="expression" dxfId="609" priority="45" stopIfTrue="1">
      <formula>AND(F22&lt;0,F23=0)</formula>
    </cfRule>
    <cfRule type="cellIs" dxfId="608" priority="46" stopIfTrue="1" operator="lessThan">
      <formula>0</formula>
    </cfRule>
  </conditionalFormatting>
  <conditionalFormatting sqref="F23:Q25">
    <cfRule type="expression" dxfId="607" priority="47" stopIfTrue="1">
      <formula>AND(F23&lt;0,F24=0)</formula>
    </cfRule>
    <cfRule type="cellIs" dxfId="606" priority="48" stopIfTrue="1" operator="lessThan">
      <formula>0</formula>
    </cfRule>
  </conditionalFormatting>
  <conditionalFormatting sqref="E5">
    <cfRule type="cellIs" dxfId="605" priority="1" operator="equal">
      <formula>0</formula>
    </cfRule>
  </conditionalFormatting>
  <conditionalFormatting sqref="S9:S13">
    <cfRule type="expression" dxfId="604" priority="5243" stopIfTrue="1">
      <formula>$H$1045=FALSE</formula>
    </cfRule>
    <cfRule type="cellIs" dxfId="603" priority="5244" stopIfTrue="1" operator="equal">
      <formula>0</formula>
    </cfRule>
    <cfRule type="containsErrors" dxfId="602" priority="5245" stopIfTrue="1">
      <formula>ISERROR(S9)</formula>
    </cfRule>
  </conditionalFormatting>
  <conditionalFormatting sqref="W4:W1003">
    <cfRule type="expression" dxfId="601" priority="5658" stopIfTrue="1">
      <formula>AND($Z4&lt;&gt;0,ISBLANK($W4))</formula>
    </cfRule>
    <cfRule type="expression" dxfId="600" priority="5659" stopIfTrue="1">
      <formula>$AS4=1</formula>
    </cfRule>
    <cfRule type="expression" dxfId="599" priority="5660" stopIfTrue="1">
      <formula>OR($W4&lt;$W$1009,$W4&gt;$W$1010)</formula>
    </cfRule>
  </conditionalFormatting>
  <conditionalFormatting sqref="B24:C26">
    <cfRule type="expression" dxfId="598" priority="5666">
      <formula>OR($J$1045=0,$P$4&lt;&gt;$N$1009)</formula>
    </cfRule>
  </conditionalFormatting>
  <conditionalFormatting sqref="O4">
    <cfRule type="expression" dxfId="597" priority="5667">
      <formula>AND($J$1045=0,$P$4=$N$1009)</formula>
    </cfRule>
  </conditionalFormatting>
  <conditionalFormatting sqref="F9:Q13">
    <cfRule type="expression" dxfId="596" priority="5668" stopIfTrue="1">
      <formula>AND(F$1015=0,$J$1045=0)</formula>
    </cfRule>
    <cfRule type="expression" dxfId="595" priority="5669">
      <formula>AND($J$1045=1,$P$4&lt;&gt;$N$1009,F$1015=1)</formula>
    </cfRule>
    <cfRule type="cellIs" dxfId="594" priority="5670" stopIfTrue="1" operator="equal">
      <formula>0</formula>
    </cfRule>
  </conditionalFormatting>
  <dataValidations count="8">
    <dataValidation type="decimal" operator="greaterThan" allowBlank="1" showInputMessage="1" showErrorMessage="1" sqref="E18:E20">
      <formula1>E19</formula1>
    </dataValidation>
    <dataValidation type="decimal" allowBlank="1" showInputMessage="1" showErrorMessage="1" sqref="E17">
      <formula1>E18</formula1>
      <formula2>100</formula2>
    </dataValidation>
    <dataValidation type="list" allowBlank="1" showInputMessage="1" showErrorMessage="1" sqref="AA1004">
      <formula1>#REF!</formula1>
    </dataValidation>
    <dataValidation type="decimal" operator="greaterThan" allowBlank="1" showInputMessage="1" showErrorMessage="1" sqref="E21">
      <formula1>0</formula1>
    </dataValidation>
    <dataValidation type="list" allowBlank="1" showInputMessage="1" showErrorMessage="1" sqref="P4:Q4">
      <formula1>$N$1008:$N$1013</formula1>
    </dataValidation>
    <dataValidation type="list" allowBlank="1" showInputMessage="1" showErrorMessage="1" sqref="AD4:AD1003">
      <formula1>$AD$1025:$AD$1038</formula1>
    </dataValidation>
    <dataValidation type="date" allowBlank="1" showInputMessage="1" showErrorMessage="1" errorTitle="DATA non ammessa" error="La data non coincide con le tue impostazioni" sqref="W4:W1003">
      <formula1>$W$1009</formula1>
      <formula2>$W$1010</formula2>
    </dataValidation>
    <dataValidation type="list" allowBlank="1" showInputMessage="1" showErrorMessage="1" sqref="X4:X1003">
      <formula1>$B$9:$B$13</formula1>
    </dataValidation>
  </dataValidations>
  <hyperlinks>
    <hyperlink ref="H2:I2" location="ENTI!AE4" display="VAI AL REGISTRO"/>
    <hyperlink ref="Z1" location="ENTI!A4" display="Vai ai riepiloghi"/>
    <hyperlink ref="AD2" location="PATRIMONIALE!B10:B15" display="Controconto +/-  (qui)"/>
  </hyperlinks>
  <printOptions horizontalCentered="1"/>
  <pageMargins left="0" right="0" top="0.19685039370078741" bottom="0.19685039370078741" header="0.51181102362204722" footer="0"/>
  <pageSetup paperSize="9" scale="80" orientation="landscape" verticalDpi="300" r:id="rId1"/>
  <headerFooter alignWithMargins="0"/>
  <colBreaks count="2" manualBreakCount="2">
    <brk id="21" max="1048575" man="1"/>
    <brk id="3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>
    <pageSetUpPr autoPageBreaks="0"/>
  </sheetPr>
  <dimension ref="A1:CQ1445"/>
  <sheetViews>
    <sheetView showGridLines="0" showRowColHeaders="0" zoomScaleNormal="100" workbookViewId="0">
      <pane ySplit="3" topLeftCell="A4" activePane="bottomLeft" state="frozen"/>
      <selection pane="bottomLeft" activeCell="P4" sqref="P4:Q4"/>
    </sheetView>
  </sheetViews>
  <sheetFormatPr defaultRowHeight="12.75"/>
  <cols>
    <col min="1" max="1" width="5" style="2" customWidth="1"/>
    <col min="2" max="2" width="4.28515625" style="2" customWidth="1"/>
    <col min="3" max="3" width="15.5703125" style="2" customWidth="1"/>
    <col min="4" max="4" width="4.28515625" style="2" customWidth="1"/>
    <col min="5" max="17" width="10" style="2" customWidth="1"/>
    <col min="18" max="18" width="1.28515625" style="2" customWidth="1"/>
    <col min="19" max="19" width="12.85546875" style="2" customWidth="1"/>
    <col min="20" max="20" width="4.2851562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7.140625" style="2" customWidth="1"/>
    <col min="25" max="25" width="55.7109375" style="2" customWidth="1"/>
    <col min="26" max="26" width="12.85546875" style="2" customWidth="1"/>
    <col min="27" max="27" width="2.140625" style="2" hidden="1" customWidth="1"/>
    <col min="28" max="28" width="30.28515625" style="2" hidden="1" customWidth="1"/>
    <col min="29" max="29" width="25.7109375" style="2" customWidth="1"/>
    <col min="30" max="32" width="9.28515625" style="2" customWidth="1"/>
    <col min="33" max="37" width="9.28515625" style="2" hidden="1" customWidth="1"/>
    <col min="38" max="38" width="9.28515625" style="2" customWidth="1"/>
    <col min="39" max="88" width="9.28515625" style="2" hidden="1" customWidth="1"/>
    <col min="89" max="89" width="9.28515625" style="2" customWidth="1"/>
    <col min="90" max="91" width="5.7109375" style="2" hidden="1" customWidth="1"/>
    <col min="92" max="92" width="9.28515625" style="2" hidden="1" customWidth="1"/>
    <col min="93" max="93" width="30.7109375" style="2" hidden="1" customWidth="1"/>
    <col min="94" max="94" width="23" style="2" hidden="1" customWidth="1"/>
    <col min="95" max="95" width="5.7109375" style="2" hidden="1" customWidth="1"/>
    <col min="96" max="16384" width="9.140625" style="2"/>
  </cols>
  <sheetData>
    <row r="1" spans="1:95" ht="22.5" customHeight="1">
      <c r="A1" s="3"/>
      <c r="B1" s="1241" t="str">
        <f>IF(J1444=1,E1128,E1126)</f>
        <v>TITOLARE del sistema:</v>
      </c>
      <c r="C1" s="1241"/>
      <c r="D1" s="1241"/>
      <c r="E1" s="1241"/>
      <c r="F1" s="1"/>
      <c r="G1" s="71"/>
      <c r="H1" s="71"/>
      <c r="I1" s="71"/>
      <c r="J1" s="71"/>
      <c r="K1" s="71"/>
      <c r="L1" s="71"/>
      <c r="M1" s="71"/>
      <c r="N1" s="71"/>
      <c r="O1" s="71"/>
      <c r="P1" s="737" t="s">
        <v>325</v>
      </c>
      <c r="Q1" s="736" t="str">
        <f>IF(CK1014&gt;0,RIPARTIZIONI!L25,VLOOKUP(TRUE,A1076:C1081,3,FALSE))</f>
        <v>1 - in MILLESIMI   I</v>
      </c>
      <c r="R1" s="736"/>
      <c r="S1" s="736"/>
      <c r="T1" s="3"/>
      <c r="U1" s="1047">
        <f>VLOOKUP($P$4,$N$1417:$Q$1421,3,FALSE)</f>
        <v>45292</v>
      </c>
      <c r="V1" s="15" t="s">
        <v>183</v>
      </c>
      <c r="W1" s="1285" t="s">
        <v>258</v>
      </c>
      <c r="X1" s="1285"/>
      <c r="Y1" s="542"/>
      <c r="Z1" s="638" t="s">
        <v>324</v>
      </c>
      <c r="AA1" s="123"/>
      <c r="AB1" s="123"/>
      <c r="AC1" s="123"/>
      <c r="AD1" s="1084" t="s">
        <v>327</v>
      </c>
      <c r="AE1" s="1083"/>
      <c r="AF1" s="1083"/>
      <c r="AG1" s="1083"/>
      <c r="AH1" s="1083"/>
      <c r="AI1" s="1083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452"/>
      <c r="BL1" s="452"/>
      <c r="BM1" s="452"/>
      <c r="BN1" s="452"/>
      <c r="BO1" s="452"/>
      <c r="BP1" s="452"/>
      <c r="BQ1" s="452"/>
      <c r="BR1" s="452"/>
      <c r="BS1" s="452"/>
      <c r="BT1" s="452"/>
      <c r="BU1" s="452"/>
      <c r="BV1" s="452"/>
      <c r="BW1" s="452"/>
      <c r="BX1" s="452"/>
      <c r="BY1" s="452"/>
      <c r="BZ1" s="452"/>
      <c r="CA1" s="452"/>
      <c r="CB1" s="452"/>
      <c r="CC1" s="452"/>
      <c r="CD1" s="452"/>
      <c r="CE1" s="452"/>
      <c r="CF1" s="452"/>
      <c r="CG1" s="452"/>
      <c r="CH1" s="452"/>
      <c r="CI1" s="452"/>
      <c r="CJ1" s="452"/>
      <c r="CK1" s="696"/>
      <c r="CL1" s="1"/>
      <c r="CM1" s="1"/>
      <c r="CN1" s="529">
        <f>IF(CN2="ERROR","ERROR",IF(OR(VLOOKUP(RENDICONTO!F10,RENDICONTO!B128:C139,2,FALSE)&lt;CO1,VLOOKUP(RENDICONTO!F10,RENDICONTO!B128:C139,2,FALSE)&gt;CO2),CO2,VLOOKUP(RENDICONTO!F10,RENDICONTO!B128:C139,2,FALSE)))</f>
        <v>45292</v>
      </c>
      <c r="CO1" s="529">
        <f>IF(OR(P4="",AND(P4=N1417,J1444=0)),0,VLOOKUP(P4,N1417:P1421,3,FALSE))</f>
        <v>45292</v>
      </c>
      <c r="CP1" s="1"/>
      <c r="CQ1" s="714"/>
    </row>
    <row r="2" spans="1:95" ht="18.75" customHeight="1">
      <c r="A2" s="3"/>
      <c r="B2" s="1246" t="str">
        <f>IF(J1444=1,E1129,E1127)</f>
        <v>Inserisci qui il NOME   -   P.I./C.F codice fiscale condominio</v>
      </c>
      <c r="C2" s="1246"/>
      <c r="D2" s="1246"/>
      <c r="E2" s="1246"/>
      <c r="F2" s="1246"/>
      <c r="G2" s="1246"/>
      <c r="H2" s="1252" t="s">
        <v>203</v>
      </c>
      <c r="I2" s="1252"/>
      <c r="J2" s="1252" t="s">
        <v>436</v>
      </c>
      <c r="K2" s="1252"/>
      <c r="L2" s="735" t="s">
        <v>326</v>
      </c>
      <c r="M2" s="735"/>
      <c r="N2" s="735"/>
      <c r="O2" s="735"/>
      <c r="P2" s="735"/>
      <c r="Q2" s="735"/>
      <c r="R2" s="735"/>
      <c r="S2" s="735"/>
      <c r="T2" s="3"/>
      <c r="U2" s="1048">
        <f>VLOOKUP($P$4,$N$1417:$Q$1421,4,FALSE)</f>
        <v>45657</v>
      </c>
      <c r="V2" s="544">
        <f>V1003-W1436</f>
        <v>970</v>
      </c>
      <c r="W2" s="194" t="s">
        <v>163</v>
      </c>
      <c r="X2" s="376" t="s">
        <v>39</v>
      </c>
      <c r="Y2" s="376" t="s">
        <v>15</v>
      </c>
      <c r="Z2" s="377" t="str">
        <f>Presentazione!$K$26</f>
        <v>EURO</v>
      </c>
      <c r="AA2" s="1"/>
      <c r="AB2" s="1"/>
      <c r="AC2" s="789" t="s">
        <v>389</v>
      </c>
      <c r="AD2" s="449">
        <v>1</v>
      </c>
      <c r="AE2" s="450">
        <v>2</v>
      </c>
      <c r="AF2" s="450">
        <v>3</v>
      </c>
      <c r="AG2" s="450"/>
      <c r="AH2" s="450"/>
      <c r="AI2" s="450"/>
      <c r="AJ2" s="450"/>
      <c r="AK2" s="450"/>
      <c r="AL2" s="450">
        <v>4</v>
      </c>
      <c r="AM2" s="450"/>
      <c r="AN2" s="450"/>
      <c r="AO2" s="450"/>
      <c r="AP2" s="450"/>
      <c r="AQ2" s="450"/>
      <c r="AR2" s="450"/>
      <c r="AS2" s="450"/>
      <c r="AT2" s="450"/>
      <c r="AU2" s="450"/>
      <c r="AV2" s="450"/>
      <c r="AW2" s="450"/>
      <c r="AX2" s="450"/>
      <c r="AY2" s="450"/>
      <c r="AZ2" s="450"/>
      <c r="BA2" s="450"/>
      <c r="BB2" s="450"/>
      <c r="BC2" s="450"/>
      <c r="BD2" s="450"/>
      <c r="BE2" s="450"/>
      <c r="BF2" s="450"/>
      <c r="BG2" s="450"/>
      <c r="BH2" s="450"/>
      <c r="BI2" s="450"/>
      <c r="BJ2" s="450"/>
      <c r="BK2" s="450"/>
      <c r="BL2" s="450"/>
      <c r="BM2" s="450"/>
      <c r="BN2" s="450"/>
      <c r="BO2" s="450"/>
      <c r="BP2" s="450"/>
      <c r="BQ2" s="450"/>
      <c r="BR2" s="450"/>
      <c r="BS2" s="450"/>
      <c r="BT2" s="450"/>
      <c r="BU2" s="450"/>
      <c r="BV2" s="450"/>
      <c r="BW2" s="450"/>
      <c r="BX2" s="450"/>
      <c r="BY2" s="450"/>
      <c r="BZ2" s="450"/>
      <c r="CA2" s="450"/>
      <c r="CB2" s="450"/>
      <c r="CC2" s="450"/>
      <c r="CD2" s="450"/>
      <c r="CE2" s="450"/>
      <c r="CF2" s="450"/>
      <c r="CG2" s="450"/>
      <c r="CH2" s="450"/>
      <c r="CI2" s="450"/>
      <c r="CJ2" s="450"/>
      <c r="CK2" s="451">
        <v>5</v>
      </c>
      <c r="CL2" s="1"/>
      <c r="CM2" s="123" t="s">
        <v>261</v>
      </c>
      <c r="CN2" s="528">
        <f>IF(RENDICONTO!K10="",IF(OR(VLOOKUP(RENDICONTO!I10,RENDICONTO!B128:D139,3,FALSE)&lt;CO1,VLOOKUP(RENDICONTO!I10,RENDICONTO!B128:D139,3,FALSE)&gt;CO2),0,VLOOKUP(RENDICONTO!I10,RENDICONTO!B128:D139,3,FALSE)),RENDICONTO!K10)</f>
        <v>45657</v>
      </c>
      <c r="CO2" s="528">
        <f>IF(OR(P4="",AND(P4=N1417,J1444=0)),0,VLOOKUP(P4,N1417:Q1421,4,FALSE))</f>
        <v>45657</v>
      </c>
      <c r="CP2" s="567" t="s">
        <v>387</v>
      </c>
      <c r="CQ2" s="714"/>
    </row>
    <row r="3" spans="1:95" ht="11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3"/>
      <c r="V3" s="3"/>
      <c r="W3" s="22"/>
      <c r="X3" s="23"/>
      <c r="Y3" s="23"/>
      <c r="Z3" s="24"/>
      <c r="AA3" s="1"/>
      <c r="AB3" s="84"/>
      <c r="AC3" s="10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5" ht="16.5" customHeight="1">
      <c r="A4" s="1091"/>
      <c r="B4" s="1009" t="str">
        <f>ENTI!B4</f>
        <v/>
      </c>
      <c r="C4" s="835"/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  <c r="O4" s="906" t="s">
        <v>496</v>
      </c>
      <c r="P4" s="1361" t="s">
        <v>495</v>
      </c>
      <c r="Q4" s="1362"/>
      <c r="R4" s="835"/>
      <c r="S4" s="876" t="s">
        <v>490</v>
      </c>
      <c r="T4" s="1"/>
      <c r="U4" s="435">
        <f>IF(AND(W4&gt;=$U$1,W4&lt;=$U$2),IF(X4='ESTRATTO CONTO'!$E$2,1,0),0)</f>
        <v>0</v>
      </c>
      <c r="V4" s="416" t="s">
        <v>175</v>
      </c>
      <c r="W4" s="509">
        <f>ENTI!W4+1</f>
        <v>45298</v>
      </c>
      <c r="X4" s="321" t="s">
        <v>584</v>
      </c>
      <c r="Y4" s="321" t="s">
        <v>352</v>
      </c>
      <c r="Z4" s="433">
        <v>100</v>
      </c>
      <c r="AA4" s="918">
        <f t="shared" ref="AA4:AA67" si="0">IF(OR(W4&lt;$W$1433,W4&gt;$W$1434),1,0)</f>
        <v>0</v>
      </c>
      <c r="AB4" s="306" t="str">
        <f t="shared" ref="AB4:AB67" si="1">IF(W4&gt;0,IF(AND(W4&gt;=W$1438,W4&lt;=W$1439),CONCATENATE(MONTH(W4)&amp;X4),0),"")</f>
        <v>1Assicurazione</v>
      </c>
      <c r="AC4" s="788"/>
      <c r="AD4" s="116">
        <f t="shared" ref="AD4:AF23" si="2">IF($AB4=0,0,ROUND($Z4*VLOOKUP(AD$2,$F$1010:$Q$1014,VLOOKUP($CP4,$C$1076:$E$1081,3,FALSE),FALSE),2))</f>
        <v>10</v>
      </c>
      <c r="AE4" s="117">
        <f t="shared" si="2"/>
        <v>10</v>
      </c>
      <c r="AF4" s="117">
        <f t="shared" si="2"/>
        <v>20</v>
      </c>
      <c r="AG4" s="117"/>
      <c r="AH4" s="117"/>
      <c r="AI4" s="117"/>
      <c r="AJ4" s="117"/>
      <c r="AK4" s="117"/>
      <c r="AL4" s="117">
        <f t="shared" ref="AL4:AL67" si="3">IF($AB4=0,0,ROUND($Z4*VLOOKUP(AL$2,$F$1010:$Q$1014,VLOOKUP($CP4,$C$1076:$E$1081,3,FALSE),FALSE),2))</f>
        <v>20</v>
      </c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8">
        <f t="shared" ref="CK4:CK67" si="4">IF($AB4=0,0,ROUND($Z4*VLOOKUP(CK$2,$F$1010:$Q$1014,VLOOKUP($CP4,$C$1076:$E$1081,3,FALSE),FALSE),2))</f>
        <v>40</v>
      </c>
      <c r="CL4" s="122">
        <f t="shared" ref="CL4:CL67" si="5">IF(CK$1014&gt;0,0,IF(ISBLANK(W4),0,MONTH(W4)))</f>
        <v>1</v>
      </c>
      <c r="CM4" s="524">
        <f>IF(X4="","",IF(ISERROR(VLOOKUP(X4,B$9:E$45,1,FALSE)),1,0))</f>
        <v>0</v>
      </c>
      <c r="CN4" s="525">
        <f>IF(AND(W4&gt;=CN$1,W4&lt;=CN$2),Z4,0)</f>
        <v>100</v>
      </c>
      <c r="CO4" s="122" t="str">
        <f>IF(CN4&lt;&gt;0,X4,0)</f>
        <v>Assicurazione</v>
      </c>
      <c r="CP4" s="45" t="str">
        <f t="shared" ref="CP4:CP67" si="6">IF(ISBLANK(AC4),Q$1,AC4)</f>
        <v>1 - in MILLESIMI   I</v>
      </c>
      <c r="CQ4" s="1"/>
    </row>
    <row r="5" spans="1:95" ht="16.5" customHeight="1">
      <c r="A5" s="3"/>
      <c r="B5" s="1240" t="s">
        <v>13</v>
      </c>
      <c r="C5" s="1240"/>
      <c r="D5" s="1240"/>
      <c r="E5" s="386">
        <f>Presentazione!$J$26</f>
        <v>2024</v>
      </c>
      <c r="F5" s="223" t="str">
        <f>Presentazione!B204</f>
        <v>GEN</v>
      </c>
      <c r="G5" s="650" t="str">
        <f>Presentazione!C204</f>
        <v>FEB</v>
      </c>
      <c r="H5" s="650" t="str">
        <f>Presentazione!D204</f>
        <v>MAR</v>
      </c>
      <c r="I5" s="650" t="str">
        <f>Presentazione!E204</f>
        <v>APR</v>
      </c>
      <c r="J5" s="650" t="str">
        <f>Presentazione!F204</f>
        <v>MAG</v>
      </c>
      <c r="K5" s="650" t="str">
        <f>Presentazione!G204</f>
        <v>GIU</v>
      </c>
      <c r="L5" s="650" t="str">
        <f>Presentazione!H204</f>
        <v>LUG</v>
      </c>
      <c r="M5" s="650" t="str">
        <f>Presentazione!I204</f>
        <v>AGO</v>
      </c>
      <c r="N5" s="650" t="str">
        <f>Presentazione!J204</f>
        <v>SET</v>
      </c>
      <c r="O5" s="650" t="str">
        <f>Presentazione!K204</f>
        <v>OTT</v>
      </c>
      <c r="P5" s="650" t="str">
        <f>Presentazione!L204</f>
        <v>NOV</v>
      </c>
      <c r="Q5" s="223" t="str">
        <f>Presentazione!M204</f>
        <v>DIC</v>
      </c>
      <c r="R5" s="3"/>
      <c r="S5" s="223" t="s">
        <v>332</v>
      </c>
      <c r="T5" s="3"/>
      <c r="U5" s="435">
        <f>IF(AND(W5&gt;=$U$1,W5&lt;=$U$2),IF(X5='ESTRATTO CONTO'!$E$2,1+COUNTIF(U$4:U4,"&gt;0"),0),0)</f>
        <v>0</v>
      </c>
      <c r="V5" s="417">
        <f>V4+1</f>
        <v>2</v>
      </c>
      <c r="W5" s="509">
        <f>ENTI!W5+1</f>
        <v>45311</v>
      </c>
      <c r="X5" s="321" t="s">
        <v>32</v>
      </c>
      <c r="Y5" s="905" t="s">
        <v>591</v>
      </c>
      <c r="Z5" s="433">
        <v>100</v>
      </c>
      <c r="AA5" s="918">
        <f t="shared" si="0"/>
        <v>0</v>
      </c>
      <c r="AB5" s="306" t="str">
        <f t="shared" si="1"/>
        <v>1Attrezzatura</v>
      </c>
      <c r="AC5" s="788" t="s">
        <v>383</v>
      </c>
      <c r="AD5" s="119">
        <f t="shared" si="2"/>
        <v>6.67</v>
      </c>
      <c r="AE5" s="108">
        <f t="shared" si="2"/>
        <v>13.33</v>
      </c>
      <c r="AF5" s="108">
        <f t="shared" si="2"/>
        <v>20</v>
      </c>
      <c r="AG5" s="108"/>
      <c r="AH5" s="108"/>
      <c r="AI5" s="108"/>
      <c r="AJ5" s="108"/>
      <c r="AK5" s="108"/>
      <c r="AL5" s="108">
        <f t="shared" si="3"/>
        <v>26.67</v>
      </c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20">
        <f t="shared" si="4"/>
        <v>33.33</v>
      </c>
      <c r="CL5" s="122">
        <f t="shared" si="5"/>
        <v>1</v>
      </c>
      <c r="CM5" s="524">
        <f t="shared" ref="CM5:CM68" si="7">IF(X5="","",IF(ISERROR(VLOOKUP(X5,B$9:E$45,1,FALSE)),1,0))</f>
        <v>0</v>
      </c>
      <c r="CN5" s="526">
        <f t="shared" ref="CN5:CN68" si="8">IF(AND(W5&gt;=CN$1,W5&lt;=CN$2),Z5,0)</f>
        <v>100</v>
      </c>
      <c r="CO5" s="122" t="str">
        <f t="shared" ref="CO5:CO68" si="9">IF(CN5&lt;&gt;0,X5,0)</f>
        <v>Attrezzatura</v>
      </c>
      <c r="CP5" s="45" t="str">
        <f t="shared" si="6"/>
        <v>2 - in MILLESIMI   II</v>
      </c>
      <c r="CQ5" s="1"/>
    </row>
    <row r="6" spans="1:95" ht="16.5" customHeight="1">
      <c r="A6" s="3"/>
      <c r="B6" s="1294" t="s">
        <v>80</v>
      </c>
      <c r="C6" s="1294"/>
      <c r="D6" s="1294"/>
      <c r="E6" s="1295"/>
      <c r="F6" s="841">
        <f t="shared" ref="F6:Q6" ca="1" si="10">IF(AND($J$1444=0,$P$4=$N$1417),0,SUM(F9:F45))</f>
        <v>505</v>
      </c>
      <c r="G6" s="842">
        <f t="shared" ca="1" si="10"/>
        <v>500</v>
      </c>
      <c r="H6" s="842">
        <f t="shared" ca="1" si="10"/>
        <v>350</v>
      </c>
      <c r="I6" s="842">
        <f t="shared" ca="1" si="10"/>
        <v>300</v>
      </c>
      <c r="J6" s="842">
        <f t="shared" ca="1" si="10"/>
        <v>250</v>
      </c>
      <c r="K6" s="842">
        <f t="shared" ca="1" si="10"/>
        <v>100</v>
      </c>
      <c r="L6" s="842">
        <f t="shared" ca="1" si="10"/>
        <v>150</v>
      </c>
      <c r="M6" s="842">
        <f t="shared" ca="1" si="10"/>
        <v>100</v>
      </c>
      <c r="N6" s="842">
        <f t="shared" ca="1" si="10"/>
        <v>150</v>
      </c>
      <c r="O6" s="842">
        <f t="shared" ca="1" si="10"/>
        <v>200</v>
      </c>
      <c r="P6" s="842">
        <f t="shared" ca="1" si="10"/>
        <v>300</v>
      </c>
      <c r="Q6" s="843">
        <f t="shared" ca="1" si="10"/>
        <v>300</v>
      </c>
      <c r="R6" s="3"/>
      <c r="S6" s="464">
        <f ca="1">SUM(F6:Q6)</f>
        <v>3205</v>
      </c>
      <c r="T6" s="3"/>
      <c r="U6" s="435">
        <f>IF(AND(W6&gt;=$U$1,W6&lt;=$U$2),IF(X6='ESTRATTO CONTO'!$E$2,1+COUNTIF(U$4:U5,"&gt;0"),0),0)</f>
        <v>0</v>
      </c>
      <c r="V6" s="417">
        <f t="shared" ref="V6:V69" si="11">V5+1</f>
        <v>3</v>
      </c>
      <c r="W6" s="509">
        <f>ENTI!W6+1</f>
        <v>45324</v>
      </c>
      <c r="X6" s="321" t="s">
        <v>56</v>
      </c>
      <c r="Y6" s="905" t="s">
        <v>594</v>
      </c>
      <c r="Z6" s="433">
        <v>100</v>
      </c>
      <c r="AA6" s="918">
        <f t="shared" si="0"/>
        <v>0</v>
      </c>
      <c r="AB6" s="306" t="str">
        <f t="shared" si="1"/>
        <v>2Spese Postali - Notarili - Documenti</v>
      </c>
      <c r="AC6" s="788" t="s">
        <v>384</v>
      </c>
      <c r="AD6" s="119">
        <f t="shared" si="2"/>
        <v>5</v>
      </c>
      <c r="AE6" s="108">
        <f t="shared" si="2"/>
        <v>10</v>
      </c>
      <c r="AF6" s="108">
        <f t="shared" si="2"/>
        <v>12.5</v>
      </c>
      <c r="AG6" s="108"/>
      <c r="AH6" s="108"/>
      <c r="AI6" s="108"/>
      <c r="AJ6" s="108"/>
      <c r="AK6" s="108"/>
      <c r="AL6" s="108">
        <f t="shared" si="3"/>
        <v>25</v>
      </c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20">
        <f t="shared" si="4"/>
        <v>47.5</v>
      </c>
      <c r="CL6" s="122">
        <f t="shared" si="5"/>
        <v>2</v>
      </c>
      <c r="CM6" s="524">
        <f t="shared" si="7"/>
        <v>0</v>
      </c>
      <c r="CN6" s="526">
        <f t="shared" si="8"/>
        <v>100</v>
      </c>
      <c r="CO6" s="122" t="str">
        <f t="shared" si="9"/>
        <v>Spese Postali - Notarili - Documenti</v>
      </c>
      <c r="CP6" s="45" t="str">
        <f t="shared" si="6"/>
        <v>3 - in MILLESIMI   III</v>
      </c>
      <c r="CQ6" s="1"/>
    </row>
    <row r="7" spans="1:95" ht="16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243" t="str">
        <f>Presentazione!$K$26</f>
        <v>EURO</v>
      </c>
      <c r="T7" s="1"/>
      <c r="U7" s="435">
        <f>IF(AND(W7&gt;=$U$1,W7&lt;=$U$2),IF(X7='ESTRATTO CONTO'!$E$2,1+COUNTIF(U$4:U6,"&gt;0"),0),0)</f>
        <v>0</v>
      </c>
      <c r="V7" s="417">
        <f t="shared" si="11"/>
        <v>4</v>
      </c>
      <c r="W7" s="509">
        <f>ENTI!W7+1</f>
        <v>45337</v>
      </c>
      <c r="X7" s="321" t="s">
        <v>50</v>
      </c>
      <c r="Y7" s="905" t="s">
        <v>595</v>
      </c>
      <c r="Z7" s="433">
        <v>100</v>
      </c>
      <c r="AA7" s="918">
        <f t="shared" si="0"/>
        <v>0</v>
      </c>
      <c r="AB7" s="306" t="str">
        <f t="shared" si="1"/>
        <v>2Spese Bancarie</v>
      </c>
      <c r="AC7" s="788" t="s">
        <v>385</v>
      </c>
      <c r="AD7" s="119">
        <f t="shared" si="2"/>
        <v>15</v>
      </c>
      <c r="AE7" s="108">
        <f t="shared" si="2"/>
        <v>15</v>
      </c>
      <c r="AF7" s="108">
        <f t="shared" si="2"/>
        <v>15</v>
      </c>
      <c r="AG7" s="108"/>
      <c r="AH7" s="108"/>
      <c r="AI7" s="108"/>
      <c r="AJ7" s="108"/>
      <c r="AK7" s="108"/>
      <c r="AL7" s="108">
        <f t="shared" si="3"/>
        <v>15</v>
      </c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20">
        <f t="shared" si="4"/>
        <v>40</v>
      </c>
      <c r="CL7" s="122">
        <f t="shared" si="5"/>
        <v>2</v>
      </c>
      <c r="CM7" s="524">
        <f t="shared" si="7"/>
        <v>0</v>
      </c>
      <c r="CN7" s="526">
        <f t="shared" si="8"/>
        <v>100</v>
      </c>
      <c r="CO7" s="122" t="str">
        <f t="shared" si="9"/>
        <v>Spese Bancarie</v>
      </c>
      <c r="CP7" s="45" t="str">
        <f t="shared" si="6"/>
        <v>4 - in PERCENTUALE</v>
      </c>
      <c r="CQ7" s="1"/>
    </row>
    <row r="8" spans="1:95" ht="16.5" customHeight="1">
      <c r="A8" s="3"/>
      <c r="B8" s="1242" t="s">
        <v>245</v>
      </c>
      <c r="C8" s="1242"/>
      <c r="D8" s="1242"/>
      <c r="E8" s="1242"/>
      <c r="F8" s="375" t="str">
        <f>Presentazione!B206</f>
        <v>Gennaio</v>
      </c>
      <c r="G8" s="649" t="str">
        <f>Presentazione!C206</f>
        <v>Febbraio</v>
      </c>
      <c r="H8" s="649" t="str">
        <f>Presentazione!D206</f>
        <v>Marzo</v>
      </c>
      <c r="I8" s="649" t="str">
        <f>Presentazione!E206</f>
        <v>Aprile</v>
      </c>
      <c r="J8" s="649" t="str">
        <f>Presentazione!F206</f>
        <v>Maggio</v>
      </c>
      <c r="K8" s="649" t="str">
        <f>Presentazione!G206</f>
        <v>Giugno</v>
      </c>
      <c r="L8" s="649" t="str">
        <f>Presentazione!H206</f>
        <v>Luglio</v>
      </c>
      <c r="M8" s="649" t="str">
        <f>Presentazione!I206</f>
        <v>Agosto</v>
      </c>
      <c r="N8" s="649" t="str">
        <f>Presentazione!J206</f>
        <v>Settembre</v>
      </c>
      <c r="O8" s="649" t="str">
        <f>Presentazione!K206</f>
        <v>Ottobre</v>
      </c>
      <c r="P8" s="649" t="str">
        <f>Presentazione!L206</f>
        <v>Novembre</v>
      </c>
      <c r="Q8" s="375" t="str">
        <f>Presentazione!M206</f>
        <v>Dicembre</v>
      </c>
      <c r="R8" s="3"/>
      <c r="S8" s="1244"/>
      <c r="T8" s="3"/>
      <c r="U8" s="435">
        <f>IF(AND(W8&gt;=$U$1,W8&lt;=$U$2),IF(X8='ESTRATTO CONTO'!$E$2,1+COUNTIF(U$4:U7,"&gt;0"),0),0)</f>
        <v>0</v>
      </c>
      <c r="V8" s="417">
        <f t="shared" si="11"/>
        <v>5</v>
      </c>
      <c r="W8" s="509">
        <f>ENTI!W8+1</f>
        <v>45350</v>
      </c>
      <c r="X8" s="321" t="s">
        <v>51</v>
      </c>
      <c r="Y8" s="905" t="s">
        <v>596</v>
      </c>
      <c r="Z8" s="433">
        <v>100</v>
      </c>
      <c r="AA8" s="918">
        <f t="shared" si="0"/>
        <v>0</v>
      </c>
      <c r="AB8" s="306" t="str">
        <f t="shared" si="1"/>
        <v>2Imposte e tasse condominiali</v>
      </c>
      <c r="AC8" s="788" t="s">
        <v>592</v>
      </c>
      <c r="AD8" s="119">
        <f t="shared" si="2"/>
        <v>10</v>
      </c>
      <c r="AE8" s="108">
        <f t="shared" si="2"/>
        <v>15</v>
      </c>
      <c r="AF8" s="108">
        <f t="shared" si="2"/>
        <v>15</v>
      </c>
      <c r="AG8" s="108"/>
      <c r="AH8" s="108"/>
      <c r="AI8" s="108"/>
      <c r="AJ8" s="108"/>
      <c r="AK8" s="108"/>
      <c r="AL8" s="108">
        <f t="shared" si="3"/>
        <v>30</v>
      </c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20">
        <f t="shared" si="4"/>
        <v>30</v>
      </c>
      <c r="CL8" s="122">
        <f t="shared" si="5"/>
        <v>2</v>
      </c>
      <c r="CM8" s="524">
        <f t="shared" si="7"/>
        <v>0</v>
      </c>
      <c r="CN8" s="526">
        <f t="shared" si="8"/>
        <v>100</v>
      </c>
      <c r="CO8" s="122" t="str">
        <f t="shared" si="9"/>
        <v>Imposte e tasse condominiali</v>
      </c>
      <c r="CP8" s="45" t="str">
        <f t="shared" si="6"/>
        <v>5 - es. PER PIANO in Millesimi</v>
      </c>
      <c r="CQ8" s="1"/>
    </row>
    <row r="9" spans="1:95" ht="16.5" customHeight="1">
      <c r="A9" s="435">
        <v>1</v>
      </c>
      <c r="B9" s="1232" t="s">
        <v>584</v>
      </c>
      <c r="C9" s="1233"/>
      <c r="D9" s="1233"/>
      <c r="E9" s="1234"/>
      <c r="F9" s="921">
        <f t="shared" ref="F9:Q18" si="12">SUMIF($AB$4:$AB$1003,CONCATENATE(F$1437,$B9),$Z$4:$Z$1003)</f>
        <v>100</v>
      </c>
      <c r="G9" s="922">
        <f t="shared" si="12"/>
        <v>0</v>
      </c>
      <c r="H9" s="922">
        <f t="shared" si="12"/>
        <v>0</v>
      </c>
      <c r="I9" s="922">
        <f t="shared" si="12"/>
        <v>0</v>
      </c>
      <c r="J9" s="922">
        <f t="shared" si="12"/>
        <v>0</v>
      </c>
      <c r="K9" s="922">
        <f t="shared" si="12"/>
        <v>0</v>
      </c>
      <c r="L9" s="922">
        <f t="shared" si="12"/>
        <v>0</v>
      </c>
      <c r="M9" s="922">
        <f t="shared" si="12"/>
        <v>0</v>
      </c>
      <c r="N9" s="922">
        <f t="shared" si="12"/>
        <v>50</v>
      </c>
      <c r="O9" s="922">
        <f t="shared" si="12"/>
        <v>0</v>
      </c>
      <c r="P9" s="922">
        <f t="shared" si="12"/>
        <v>0</v>
      </c>
      <c r="Q9" s="923">
        <f t="shared" si="12"/>
        <v>0</v>
      </c>
      <c r="R9" s="27"/>
      <c r="S9" s="838">
        <f t="shared" ref="S9:S45" si="13">IF(AND($J$1444=0,$P$4=$N$1417),0,SUM(F9:Q9))</f>
        <v>150</v>
      </c>
      <c r="T9" s="27"/>
      <c r="U9" s="435">
        <f>IF(AND(W9&gt;=$U$1,W9&lt;=$U$2),IF(X9='ESTRATTO CONTO'!$E$2,1+COUNTIF(U$4:U8,"&gt;0"),0),0)</f>
        <v>0</v>
      </c>
      <c r="V9" s="417">
        <f t="shared" si="11"/>
        <v>6</v>
      </c>
      <c r="W9" s="509">
        <f>ENTI!W9+1</f>
        <v>45363</v>
      </c>
      <c r="X9" s="321" t="s">
        <v>435</v>
      </c>
      <c r="Y9" s="321"/>
      <c r="Z9" s="433">
        <v>100</v>
      </c>
      <c r="AA9" s="918">
        <f t="shared" si="0"/>
        <v>0</v>
      </c>
      <c r="AB9" s="306" t="str">
        <f t="shared" si="1"/>
        <v>3Fornitura combustibile</v>
      </c>
      <c r="AC9" s="788" t="s">
        <v>593</v>
      </c>
      <c r="AD9" s="119">
        <f t="shared" si="2"/>
        <v>15</v>
      </c>
      <c r="AE9" s="108">
        <f t="shared" si="2"/>
        <v>15</v>
      </c>
      <c r="AF9" s="108">
        <f t="shared" si="2"/>
        <v>15</v>
      </c>
      <c r="AG9" s="108"/>
      <c r="AH9" s="108"/>
      <c r="AI9" s="108"/>
      <c r="AJ9" s="108"/>
      <c r="AK9" s="108"/>
      <c r="AL9" s="108">
        <f t="shared" si="3"/>
        <v>27.5</v>
      </c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20">
        <f t="shared" si="4"/>
        <v>27.5</v>
      </c>
      <c r="CL9" s="122">
        <f t="shared" si="5"/>
        <v>3</v>
      </c>
      <c r="CM9" s="524">
        <f t="shared" si="7"/>
        <v>0</v>
      </c>
      <c r="CN9" s="526">
        <f t="shared" si="8"/>
        <v>100</v>
      </c>
      <c r="CO9" s="122" t="str">
        <f t="shared" si="9"/>
        <v>Fornitura combustibile</v>
      </c>
      <c r="CP9" s="45" t="str">
        <f t="shared" si="6"/>
        <v>6 - es. PER PIANO in Percentuale</v>
      </c>
      <c r="CQ9" s="1"/>
    </row>
    <row r="10" spans="1:95" ht="16.5" customHeight="1">
      <c r="A10" s="435">
        <v>2</v>
      </c>
      <c r="B10" s="1222" t="s">
        <v>32</v>
      </c>
      <c r="C10" s="1223"/>
      <c r="D10" s="1223"/>
      <c r="E10" s="1224"/>
      <c r="F10" s="924">
        <f t="shared" si="12"/>
        <v>100</v>
      </c>
      <c r="G10" s="925">
        <f t="shared" si="12"/>
        <v>0</v>
      </c>
      <c r="H10" s="925">
        <f t="shared" si="12"/>
        <v>0</v>
      </c>
      <c r="I10" s="925">
        <f t="shared" si="12"/>
        <v>0</v>
      </c>
      <c r="J10" s="925">
        <f t="shared" si="12"/>
        <v>0</v>
      </c>
      <c r="K10" s="925">
        <f t="shared" si="12"/>
        <v>0</v>
      </c>
      <c r="L10" s="925">
        <f t="shared" si="12"/>
        <v>0</v>
      </c>
      <c r="M10" s="925">
        <f t="shared" si="12"/>
        <v>0</v>
      </c>
      <c r="N10" s="925">
        <f t="shared" si="12"/>
        <v>50</v>
      </c>
      <c r="O10" s="925">
        <f t="shared" si="12"/>
        <v>0</v>
      </c>
      <c r="P10" s="925">
        <f t="shared" si="12"/>
        <v>0</v>
      </c>
      <c r="Q10" s="926">
        <f t="shared" si="12"/>
        <v>0</v>
      </c>
      <c r="R10" s="27"/>
      <c r="S10" s="839">
        <f t="shared" si="13"/>
        <v>150</v>
      </c>
      <c r="T10" s="27"/>
      <c r="U10" s="435">
        <f>IF(AND(W10&gt;=$U$1,W10&lt;=$U$2),IF(X10='ESTRATTO CONTO'!$E$2,1+COUNTIF(U$4:U9,"&gt;0"),0),0)</f>
        <v>0</v>
      </c>
      <c r="V10" s="417">
        <f t="shared" si="11"/>
        <v>7</v>
      </c>
      <c r="W10" s="509">
        <f>ENTI!W10+1</f>
        <v>45376</v>
      </c>
      <c r="X10" s="321" t="s">
        <v>52</v>
      </c>
      <c r="Y10" s="905" t="s">
        <v>578</v>
      </c>
      <c r="Z10" s="433">
        <v>50</v>
      </c>
      <c r="AA10" s="918">
        <f t="shared" si="0"/>
        <v>0</v>
      </c>
      <c r="AB10" s="306" t="str">
        <f t="shared" si="1"/>
        <v>3Risc.to - Manutenzioni ordinarie</v>
      </c>
      <c r="AC10" s="788"/>
      <c r="AD10" s="119">
        <f t="shared" si="2"/>
        <v>5</v>
      </c>
      <c r="AE10" s="108">
        <f t="shared" si="2"/>
        <v>5</v>
      </c>
      <c r="AF10" s="108">
        <f t="shared" si="2"/>
        <v>10</v>
      </c>
      <c r="AG10" s="108"/>
      <c r="AH10" s="108"/>
      <c r="AI10" s="108"/>
      <c r="AJ10" s="108"/>
      <c r="AK10" s="108"/>
      <c r="AL10" s="108">
        <f t="shared" si="3"/>
        <v>10</v>
      </c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20">
        <f t="shared" si="4"/>
        <v>20</v>
      </c>
      <c r="CL10" s="122">
        <f t="shared" si="5"/>
        <v>3</v>
      </c>
      <c r="CM10" s="524">
        <f t="shared" si="7"/>
        <v>0</v>
      </c>
      <c r="CN10" s="526">
        <f t="shared" si="8"/>
        <v>50</v>
      </c>
      <c r="CO10" s="122" t="str">
        <f t="shared" si="9"/>
        <v>Risc.to - Manutenzioni ordinarie</v>
      </c>
      <c r="CP10" s="45" t="str">
        <f t="shared" si="6"/>
        <v>1 - in MILLESIMI   I</v>
      </c>
      <c r="CQ10" s="1"/>
    </row>
    <row r="11" spans="1:95" ht="16.5" customHeight="1">
      <c r="A11" s="435">
        <v>3</v>
      </c>
      <c r="B11" s="1222" t="s">
        <v>56</v>
      </c>
      <c r="C11" s="1223"/>
      <c r="D11" s="1223"/>
      <c r="E11" s="1224"/>
      <c r="F11" s="924">
        <f t="shared" si="12"/>
        <v>0</v>
      </c>
      <c r="G11" s="925">
        <f t="shared" si="12"/>
        <v>100</v>
      </c>
      <c r="H11" s="925">
        <f t="shared" si="12"/>
        <v>0</v>
      </c>
      <c r="I11" s="925">
        <f t="shared" si="12"/>
        <v>0</v>
      </c>
      <c r="J11" s="925">
        <f t="shared" si="12"/>
        <v>0</v>
      </c>
      <c r="K11" s="925">
        <f t="shared" si="12"/>
        <v>0</v>
      </c>
      <c r="L11" s="925">
        <f t="shared" si="12"/>
        <v>0</v>
      </c>
      <c r="M11" s="925">
        <f t="shared" si="12"/>
        <v>0</v>
      </c>
      <c r="N11" s="925">
        <f t="shared" si="12"/>
        <v>50</v>
      </c>
      <c r="O11" s="925">
        <f t="shared" si="12"/>
        <v>0</v>
      </c>
      <c r="P11" s="925">
        <f t="shared" si="12"/>
        <v>0</v>
      </c>
      <c r="Q11" s="926">
        <f t="shared" si="12"/>
        <v>0</v>
      </c>
      <c r="R11" s="27"/>
      <c r="S11" s="839">
        <f t="shared" si="13"/>
        <v>150</v>
      </c>
      <c r="T11" s="27"/>
      <c r="U11" s="435">
        <f>IF(AND(W11&gt;=$U$1,W11&lt;=$U$2),IF(X11='ESTRATTO CONTO'!$E$2,1+COUNTIF(U$4:U10,"&gt;0"),0),0)</f>
        <v>0</v>
      </c>
      <c r="V11" s="417">
        <f t="shared" si="11"/>
        <v>8</v>
      </c>
      <c r="W11" s="509">
        <f>ENTI!W11+1</f>
        <v>45389</v>
      </c>
      <c r="X11" s="321" t="s">
        <v>53</v>
      </c>
      <c r="Y11" s="905"/>
      <c r="Z11" s="433">
        <v>50</v>
      </c>
      <c r="AA11" s="918">
        <f t="shared" si="0"/>
        <v>0</v>
      </c>
      <c r="AB11" s="306" t="str">
        <f t="shared" si="1"/>
        <v>4Risc.to - Rip. e Manut.ni straordinarie</v>
      </c>
      <c r="AC11" s="788"/>
      <c r="AD11" s="119">
        <f t="shared" si="2"/>
        <v>5</v>
      </c>
      <c r="AE11" s="108">
        <f t="shared" si="2"/>
        <v>5</v>
      </c>
      <c r="AF11" s="108">
        <f t="shared" si="2"/>
        <v>10</v>
      </c>
      <c r="AG11" s="108"/>
      <c r="AH11" s="108"/>
      <c r="AI11" s="108"/>
      <c r="AJ11" s="108"/>
      <c r="AK11" s="108"/>
      <c r="AL11" s="108">
        <f t="shared" si="3"/>
        <v>10</v>
      </c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20">
        <f t="shared" si="4"/>
        <v>20</v>
      </c>
      <c r="CL11" s="122">
        <f t="shared" si="5"/>
        <v>4</v>
      </c>
      <c r="CM11" s="524">
        <f t="shared" si="7"/>
        <v>0</v>
      </c>
      <c r="CN11" s="526">
        <f t="shared" si="8"/>
        <v>50</v>
      </c>
      <c r="CO11" s="122" t="str">
        <f t="shared" si="9"/>
        <v>Risc.to - Rip. e Manut.ni straordinarie</v>
      </c>
      <c r="CP11" s="45" t="str">
        <f t="shared" si="6"/>
        <v>1 - in MILLESIMI   I</v>
      </c>
      <c r="CQ11" s="1"/>
    </row>
    <row r="12" spans="1:95" ht="16.5" customHeight="1">
      <c r="A12" s="435">
        <v>4</v>
      </c>
      <c r="B12" s="1222" t="s">
        <v>50</v>
      </c>
      <c r="C12" s="1223"/>
      <c r="D12" s="1223"/>
      <c r="E12" s="1224"/>
      <c r="F12" s="924">
        <f t="shared" si="12"/>
        <v>0</v>
      </c>
      <c r="G12" s="925">
        <f t="shared" si="12"/>
        <v>100</v>
      </c>
      <c r="H12" s="925">
        <f t="shared" si="12"/>
        <v>0</v>
      </c>
      <c r="I12" s="925">
        <f t="shared" si="12"/>
        <v>0</v>
      </c>
      <c r="J12" s="925">
        <f t="shared" si="12"/>
        <v>0</v>
      </c>
      <c r="K12" s="925">
        <f t="shared" si="12"/>
        <v>0</v>
      </c>
      <c r="L12" s="925">
        <f t="shared" si="12"/>
        <v>0</v>
      </c>
      <c r="M12" s="925">
        <f t="shared" si="12"/>
        <v>0</v>
      </c>
      <c r="N12" s="925">
        <f t="shared" si="12"/>
        <v>0</v>
      </c>
      <c r="O12" s="925">
        <f t="shared" si="12"/>
        <v>100</v>
      </c>
      <c r="P12" s="925">
        <f t="shared" si="12"/>
        <v>0</v>
      </c>
      <c r="Q12" s="926">
        <f t="shared" si="12"/>
        <v>0</v>
      </c>
      <c r="R12" s="27"/>
      <c r="S12" s="839">
        <f t="shared" si="13"/>
        <v>200</v>
      </c>
      <c r="T12" s="27"/>
      <c r="U12" s="435">
        <f>IF(AND(W12&gt;=$U$1,W12&lt;=$U$2),IF(X12='ESTRATTO CONTO'!$E$2,1+COUNTIF(U$4:U11,"&gt;0"),0),0)</f>
        <v>0</v>
      </c>
      <c r="V12" s="417">
        <f t="shared" si="11"/>
        <v>9</v>
      </c>
      <c r="W12" s="509">
        <f>ENTI!W12+1</f>
        <v>45402</v>
      </c>
      <c r="X12" s="321" t="s">
        <v>54</v>
      </c>
      <c r="Y12" s="905" t="s">
        <v>588</v>
      </c>
      <c r="Z12" s="433">
        <v>50</v>
      </c>
      <c r="AA12" s="918">
        <f t="shared" si="0"/>
        <v>0</v>
      </c>
      <c r="AB12" s="306" t="str">
        <f t="shared" si="1"/>
        <v>4Illuminazione</v>
      </c>
      <c r="AC12" s="788"/>
      <c r="AD12" s="119">
        <f t="shared" si="2"/>
        <v>5</v>
      </c>
      <c r="AE12" s="108">
        <f t="shared" si="2"/>
        <v>5</v>
      </c>
      <c r="AF12" s="108">
        <f t="shared" si="2"/>
        <v>10</v>
      </c>
      <c r="AG12" s="108"/>
      <c r="AH12" s="108"/>
      <c r="AI12" s="108"/>
      <c r="AJ12" s="108"/>
      <c r="AK12" s="108"/>
      <c r="AL12" s="108">
        <f t="shared" si="3"/>
        <v>10</v>
      </c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20">
        <f t="shared" si="4"/>
        <v>20</v>
      </c>
      <c r="CL12" s="122">
        <f t="shared" si="5"/>
        <v>4</v>
      </c>
      <c r="CM12" s="524">
        <f t="shared" si="7"/>
        <v>0</v>
      </c>
      <c r="CN12" s="526">
        <f t="shared" si="8"/>
        <v>50</v>
      </c>
      <c r="CO12" s="122" t="str">
        <f t="shared" si="9"/>
        <v>Illuminazione</v>
      </c>
      <c r="CP12" s="45" t="str">
        <f t="shared" si="6"/>
        <v>1 - in MILLESIMI   I</v>
      </c>
      <c r="CQ12" s="1"/>
    </row>
    <row r="13" spans="1:95" ht="16.5" customHeight="1">
      <c r="A13" s="435">
        <v>5</v>
      </c>
      <c r="B13" s="1222" t="s">
        <v>51</v>
      </c>
      <c r="C13" s="1223"/>
      <c r="D13" s="1223"/>
      <c r="E13" s="1224"/>
      <c r="F13" s="924">
        <f t="shared" si="12"/>
        <v>0</v>
      </c>
      <c r="G13" s="925">
        <f t="shared" si="12"/>
        <v>100</v>
      </c>
      <c r="H13" s="925">
        <f t="shared" si="12"/>
        <v>0</v>
      </c>
      <c r="I13" s="925">
        <f t="shared" si="12"/>
        <v>0</v>
      </c>
      <c r="J13" s="925">
        <f t="shared" si="12"/>
        <v>0</v>
      </c>
      <c r="K13" s="925">
        <f t="shared" si="12"/>
        <v>0</v>
      </c>
      <c r="L13" s="925">
        <f t="shared" si="12"/>
        <v>0</v>
      </c>
      <c r="M13" s="925">
        <f t="shared" si="12"/>
        <v>0</v>
      </c>
      <c r="N13" s="925">
        <f t="shared" si="12"/>
        <v>0</v>
      </c>
      <c r="O13" s="925">
        <f t="shared" si="12"/>
        <v>100</v>
      </c>
      <c r="P13" s="925">
        <f t="shared" si="12"/>
        <v>0</v>
      </c>
      <c r="Q13" s="926">
        <f t="shared" si="12"/>
        <v>0</v>
      </c>
      <c r="R13" s="27"/>
      <c r="S13" s="839">
        <f t="shared" si="13"/>
        <v>200</v>
      </c>
      <c r="T13" s="27"/>
      <c r="U13" s="435">
        <f>IF(AND(W13&gt;=$U$1,W13&lt;=$U$2),IF(X13='ESTRATTO CONTO'!$E$2,1+COUNTIF(U$4:U12,"&gt;0"),0),0)</f>
        <v>0</v>
      </c>
      <c r="V13" s="417">
        <f t="shared" si="11"/>
        <v>10</v>
      </c>
      <c r="W13" s="509">
        <f>ENTI!W13+1</f>
        <v>45415</v>
      </c>
      <c r="X13" s="321" t="s">
        <v>55</v>
      </c>
      <c r="Y13" s="905" t="s">
        <v>589</v>
      </c>
      <c r="Z13" s="433">
        <v>50</v>
      </c>
      <c r="AA13" s="918">
        <f t="shared" si="0"/>
        <v>0</v>
      </c>
      <c r="AB13" s="306" t="str">
        <f t="shared" si="1"/>
        <v>5Piccole manutenzioni ordinarie</v>
      </c>
      <c r="AC13" s="788"/>
      <c r="AD13" s="119">
        <f t="shared" si="2"/>
        <v>5</v>
      </c>
      <c r="AE13" s="108">
        <f t="shared" si="2"/>
        <v>5</v>
      </c>
      <c r="AF13" s="108">
        <f t="shared" si="2"/>
        <v>10</v>
      </c>
      <c r="AG13" s="108"/>
      <c r="AH13" s="108"/>
      <c r="AI13" s="108"/>
      <c r="AJ13" s="108"/>
      <c r="AK13" s="108"/>
      <c r="AL13" s="108">
        <f t="shared" si="3"/>
        <v>10</v>
      </c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20">
        <f t="shared" si="4"/>
        <v>20</v>
      </c>
      <c r="CL13" s="122">
        <f t="shared" si="5"/>
        <v>5</v>
      </c>
      <c r="CM13" s="524">
        <f t="shared" si="7"/>
        <v>0</v>
      </c>
      <c r="CN13" s="526">
        <f t="shared" si="8"/>
        <v>50</v>
      </c>
      <c r="CO13" s="122" t="str">
        <f t="shared" si="9"/>
        <v>Piccole manutenzioni ordinarie</v>
      </c>
      <c r="CP13" s="45" t="str">
        <f t="shared" si="6"/>
        <v>1 - in MILLESIMI   I</v>
      </c>
      <c r="CQ13" s="1"/>
    </row>
    <row r="14" spans="1:95" ht="16.5" customHeight="1">
      <c r="A14" s="435">
        <v>6</v>
      </c>
      <c r="B14" s="1222" t="s">
        <v>435</v>
      </c>
      <c r="C14" s="1223"/>
      <c r="D14" s="1223"/>
      <c r="E14" s="1224"/>
      <c r="F14" s="924">
        <f t="shared" si="12"/>
        <v>0</v>
      </c>
      <c r="G14" s="925">
        <f t="shared" si="12"/>
        <v>0</v>
      </c>
      <c r="H14" s="925">
        <f t="shared" si="12"/>
        <v>100</v>
      </c>
      <c r="I14" s="925">
        <f t="shared" si="12"/>
        <v>0</v>
      </c>
      <c r="J14" s="925">
        <f t="shared" si="12"/>
        <v>0</v>
      </c>
      <c r="K14" s="925">
        <f t="shared" si="12"/>
        <v>0</v>
      </c>
      <c r="L14" s="925">
        <f t="shared" si="12"/>
        <v>0</v>
      </c>
      <c r="M14" s="925">
        <f t="shared" si="12"/>
        <v>0</v>
      </c>
      <c r="N14" s="925">
        <f t="shared" si="12"/>
        <v>0</v>
      </c>
      <c r="O14" s="925">
        <f t="shared" si="12"/>
        <v>0</v>
      </c>
      <c r="P14" s="925">
        <f t="shared" si="12"/>
        <v>100</v>
      </c>
      <c r="Q14" s="926">
        <f t="shared" si="12"/>
        <v>0</v>
      </c>
      <c r="R14" s="27"/>
      <c r="S14" s="839">
        <f t="shared" si="13"/>
        <v>200</v>
      </c>
      <c r="T14" s="27"/>
      <c r="U14" s="435">
        <f>IF(AND(W14&gt;=$U$1,W14&lt;=$U$2),IF(X14='ESTRATTO CONTO'!$E$2,1+COUNTIF(U$4:U13,"&gt;0"),0),0)</f>
        <v>0</v>
      </c>
      <c r="V14" s="417">
        <f t="shared" si="11"/>
        <v>11</v>
      </c>
      <c r="W14" s="509">
        <f>ENTI!W14+1</f>
        <v>45428</v>
      </c>
      <c r="X14" s="321" t="s">
        <v>31</v>
      </c>
      <c r="Y14" s="905" t="s">
        <v>628</v>
      </c>
      <c r="Z14" s="433">
        <v>50</v>
      </c>
      <c r="AA14" s="918">
        <f t="shared" si="0"/>
        <v>0</v>
      </c>
      <c r="AB14" s="306" t="str">
        <f t="shared" si="1"/>
        <v>5Giardino</v>
      </c>
      <c r="AC14" s="788"/>
      <c r="AD14" s="119">
        <f t="shared" si="2"/>
        <v>5</v>
      </c>
      <c r="AE14" s="108">
        <f t="shared" si="2"/>
        <v>5</v>
      </c>
      <c r="AF14" s="108">
        <f t="shared" si="2"/>
        <v>10</v>
      </c>
      <c r="AG14" s="108"/>
      <c r="AH14" s="108"/>
      <c r="AI14" s="108"/>
      <c r="AJ14" s="108"/>
      <c r="AK14" s="108"/>
      <c r="AL14" s="108">
        <f t="shared" si="3"/>
        <v>10</v>
      </c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20">
        <f t="shared" si="4"/>
        <v>20</v>
      </c>
      <c r="CL14" s="122">
        <f t="shared" si="5"/>
        <v>5</v>
      </c>
      <c r="CM14" s="524">
        <f t="shared" si="7"/>
        <v>0</v>
      </c>
      <c r="CN14" s="526">
        <f t="shared" si="8"/>
        <v>50</v>
      </c>
      <c r="CO14" s="122" t="str">
        <f t="shared" si="9"/>
        <v>Giardino</v>
      </c>
      <c r="CP14" s="45" t="str">
        <f t="shared" si="6"/>
        <v>1 - in MILLESIMI   I</v>
      </c>
      <c r="CQ14" s="1"/>
    </row>
    <row r="15" spans="1:95" ht="16.5" customHeight="1">
      <c r="A15" s="435">
        <v>7</v>
      </c>
      <c r="B15" s="1222" t="s">
        <v>52</v>
      </c>
      <c r="C15" s="1223"/>
      <c r="D15" s="1223"/>
      <c r="E15" s="1224"/>
      <c r="F15" s="924">
        <f t="shared" si="12"/>
        <v>0</v>
      </c>
      <c r="G15" s="925">
        <f t="shared" si="12"/>
        <v>0</v>
      </c>
      <c r="H15" s="925">
        <f t="shared" si="12"/>
        <v>50</v>
      </c>
      <c r="I15" s="925">
        <f t="shared" si="12"/>
        <v>0</v>
      </c>
      <c r="J15" s="925">
        <f t="shared" si="12"/>
        <v>0</v>
      </c>
      <c r="K15" s="925">
        <f t="shared" si="12"/>
        <v>0</v>
      </c>
      <c r="L15" s="925">
        <f t="shared" si="12"/>
        <v>0</v>
      </c>
      <c r="M15" s="925">
        <f t="shared" si="12"/>
        <v>0</v>
      </c>
      <c r="N15" s="925">
        <f t="shared" si="12"/>
        <v>0</v>
      </c>
      <c r="O15" s="925">
        <f t="shared" si="12"/>
        <v>0</v>
      </c>
      <c r="P15" s="925">
        <f t="shared" si="12"/>
        <v>100</v>
      </c>
      <c r="Q15" s="926">
        <f t="shared" si="12"/>
        <v>0</v>
      </c>
      <c r="R15" s="27"/>
      <c r="S15" s="839">
        <f t="shared" si="13"/>
        <v>150</v>
      </c>
      <c r="T15" s="27"/>
      <c r="U15" s="435">
        <f>IF(AND(W15&gt;=$U$1,W15&lt;=$U$2),IF(X15='ESTRATTO CONTO'!$E$2,1+COUNTIF(U$4:U14,"&gt;0"),0),0)</f>
        <v>0</v>
      </c>
      <c r="V15" s="417">
        <f t="shared" si="11"/>
        <v>12</v>
      </c>
      <c r="W15" s="509">
        <f>ENTI!W15+1</f>
        <v>45441</v>
      </c>
      <c r="X15" s="321" t="s">
        <v>57</v>
      </c>
      <c r="Y15" s="905" t="s">
        <v>590</v>
      </c>
      <c r="Z15" s="433">
        <v>50</v>
      </c>
      <c r="AA15" s="918">
        <f t="shared" si="0"/>
        <v>0</v>
      </c>
      <c r="AB15" s="306" t="str">
        <f t="shared" si="1"/>
        <v>5Consumo idrico condominiale</v>
      </c>
      <c r="AC15" s="788"/>
      <c r="AD15" s="119">
        <f t="shared" si="2"/>
        <v>5</v>
      </c>
      <c r="AE15" s="108">
        <f t="shared" si="2"/>
        <v>5</v>
      </c>
      <c r="AF15" s="108">
        <f t="shared" si="2"/>
        <v>10</v>
      </c>
      <c r="AG15" s="108"/>
      <c r="AH15" s="108"/>
      <c r="AI15" s="108"/>
      <c r="AJ15" s="108"/>
      <c r="AK15" s="108"/>
      <c r="AL15" s="108">
        <f t="shared" si="3"/>
        <v>10</v>
      </c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20">
        <f t="shared" si="4"/>
        <v>20</v>
      </c>
      <c r="CL15" s="122">
        <f t="shared" si="5"/>
        <v>5</v>
      </c>
      <c r="CM15" s="524">
        <f t="shared" si="7"/>
        <v>0</v>
      </c>
      <c r="CN15" s="526">
        <f t="shared" si="8"/>
        <v>50</v>
      </c>
      <c r="CO15" s="122" t="str">
        <f t="shared" si="9"/>
        <v>Consumo idrico condominiale</v>
      </c>
      <c r="CP15" s="45" t="str">
        <f t="shared" si="6"/>
        <v>1 - in MILLESIMI   I</v>
      </c>
      <c r="CQ15" s="1"/>
    </row>
    <row r="16" spans="1:95" ht="16.5" customHeight="1">
      <c r="A16" s="435">
        <v>8</v>
      </c>
      <c r="B16" s="1222" t="s">
        <v>53</v>
      </c>
      <c r="C16" s="1223"/>
      <c r="D16" s="1223"/>
      <c r="E16" s="1224"/>
      <c r="F16" s="924">
        <f t="shared" si="12"/>
        <v>0</v>
      </c>
      <c r="G16" s="925">
        <f t="shared" si="12"/>
        <v>0</v>
      </c>
      <c r="H16" s="925">
        <f t="shared" si="12"/>
        <v>0</v>
      </c>
      <c r="I16" s="925">
        <f t="shared" si="12"/>
        <v>50</v>
      </c>
      <c r="J16" s="925">
        <f t="shared" si="12"/>
        <v>0</v>
      </c>
      <c r="K16" s="925">
        <f t="shared" si="12"/>
        <v>0</v>
      </c>
      <c r="L16" s="925">
        <f t="shared" si="12"/>
        <v>0</v>
      </c>
      <c r="M16" s="925">
        <f t="shared" si="12"/>
        <v>0</v>
      </c>
      <c r="N16" s="925">
        <f t="shared" si="12"/>
        <v>0</v>
      </c>
      <c r="O16" s="925">
        <f t="shared" si="12"/>
        <v>0</v>
      </c>
      <c r="P16" s="925">
        <f t="shared" si="12"/>
        <v>100</v>
      </c>
      <c r="Q16" s="926">
        <f t="shared" si="12"/>
        <v>0</v>
      </c>
      <c r="R16" s="27"/>
      <c r="S16" s="839">
        <f t="shared" si="13"/>
        <v>150</v>
      </c>
      <c r="T16" s="27"/>
      <c r="U16" s="435">
        <f>IF(AND(W16&gt;=$U$1,W16&lt;=$U$2),IF(X16='ESTRATTO CONTO'!$E$2,1+COUNTIF(U$4:U15,"&gt;0"),0),0)</f>
        <v>0</v>
      </c>
      <c r="V16" s="417">
        <f t="shared" si="11"/>
        <v>13</v>
      </c>
      <c r="W16" s="509">
        <f>ENTI!W16+1</f>
        <v>45453</v>
      </c>
      <c r="X16" s="321" t="s">
        <v>58</v>
      </c>
      <c r="Y16" s="905" t="s">
        <v>630</v>
      </c>
      <c r="Z16" s="433">
        <v>50</v>
      </c>
      <c r="AA16" s="918">
        <f t="shared" si="0"/>
        <v>0</v>
      </c>
      <c r="AB16" s="306" t="str">
        <f t="shared" si="1"/>
        <v>6Materiale di consumo</v>
      </c>
      <c r="AC16" s="788"/>
      <c r="AD16" s="119">
        <f t="shared" si="2"/>
        <v>5</v>
      </c>
      <c r="AE16" s="108">
        <f t="shared" si="2"/>
        <v>5</v>
      </c>
      <c r="AF16" s="108">
        <f t="shared" si="2"/>
        <v>10</v>
      </c>
      <c r="AG16" s="108"/>
      <c r="AH16" s="108"/>
      <c r="AI16" s="108"/>
      <c r="AJ16" s="108"/>
      <c r="AK16" s="108"/>
      <c r="AL16" s="108">
        <f t="shared" si="3"/>
        <v>10</v>
      </c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20">
        <f t="shared" si="4"/>
        <v>20</v>
      </c>
      <c r="CL16" s="122">
        <f t="shared" si="5"/>
        <v>6</v>
      </c>
      <c r="CM16" s="524">
        <f t="shared" si="7"/>
        <v>0</v>
      </c>
      <c r="CN16" s="526">
        <f t="shared" si="8"/>
        <v>50</v>
      </c>
      <c r="CO16" s="122" t="str">
        <f t="shared" si="9"/>
        <v>Materiale di consumo</v>
      </c>
      <c r="CP16" s="45" t="str">
        <f t="shared" si="6"/>
        <v>1 - in MILLESIMI   I</v>
      </c>
      <c r="CQ16" s="1"/>
    </row>
    <row r="17" spans="1:95" ht="16.5" customHeight="1">
      <c r="A17" s="435">
        <v>9</v>
      </c>
      <c r="B17" s="1222" t="s">
        <v>54</v>
      </c>
      <c r="C17" s="1223"/>
      <c r="D17" s="1223"/>
      <c r="E17" s="1224"/>
      <c r="F17" s="924">
        <f t="shared" si="12"/>
        <v>0</v>
      </c>
      <c r="G17" s="925">
        <f t="shared" si="12"/>
        <v>0</v>
      </c>
      <c r="H17" s="925">
        <f t="shared" si="12"/>
        <v>0</v>
      </c>
      <c r="I17" s="925">
        <f t="shared" si="12"/>
        <v>50</v>
      </c>
      <c r="J17" s="925">
        <f t="shared" si="12"/>
        <v>0</v>
      </c>
      <c r="K17" s="925">
        <f t="shared" si="12"/>
        <v>0</v>
      </c>
      <c r="L17" s="925">
        <f t="shared" si="12"/>
        <v>0</v>
      </c>
      <c r="M17" s="925">
        <f t="shared" si="12"/>
        <v>0</v>
      </c>
      <c r="N17" s="925">
        <f t="shared" si="12"/>
        <v>0</v>
      </c>
      <c r="O17" s="925">
        <f t="shared" si="12"/>
        <v>0</v>
      </c>
      <c r="P17" s="925">
        <f t="shared" si="12"/>
        <v>0</v>
      </c>
      <c r="Q17" s="926">
        <f t="shared" si="12"/>
        <v>100</v>
      </c>
      <c r="R17" s="27"/>
      <c r="S17" s="839">
        <f t="shared" si="13"/>
        <v>150</v>
      </c>
      <c r="T17" s="27"/>
      <c r="U17" s="435">
        <f>IF(AND(W17&gt;=$U$1,W17&lt;=$U$2),IF(X17='ESTRATTO CONTO'!$E$2,1+COUNTIF(U$4:U16,"&gt;0"),0),0)</f>
        <v>0</v>
      </c>
      <c r="V17" s="417">
        <f t="shared" si="11"/>
        <v>14</v>
      </c>
      <c r="W17" s="509">
        <f>ENTI!W17+1</f>
        <v>45465</v>
      </c>
      <c r="X17" s="321" t="s">
        <v>59</v>
      </c>
      <c r="Y17" s="321"/>
      <c r="Z17" s="433">
        <v>50</v>
      </c>
      <c r="AA17" s="918">
        <f t="shared" si="0"/>
        <v>0</v>
      </c>
      <c r="AB17" s="306" t="str">
        <f t="shared" si="1"/>
        <v>6Collaboratori</v>
      </c>
      <c r="AC17" s="788"/>
      <c r="AD17" s="119">
        <f t="shared" si="2"/>
        <v>5</v>
      </c>
      <c r="AE17" s="108">
        <f t="shared" si="2"/>
        <v>5</v>
      </c>
      <c r="AF17" s="108">
        <f t="shared" si="2"/>
        <v>10</v>
      </c>
      <c r="AG17" s="108"/>
      <c r="AH17" s="108"/>
      <c r="AI17" s="108"/>
      <c r="AJ17" s="108"/>
      <c r="AK17" s="108"/>
      <c r="AL17" s="108">
        <f t="shared" si="3"/>
        <v>10</v>
      </c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20">
        <f t="shared" si="4"/>
        <v>20</v>
      </c>
      <c r="CL17" s="122">
        <f t="shared" si="5"/>
        <v>6</v>
      </c>
      <c r="CM17" s="524">
        <f t="shared" si="7"/>
        <v>0</v>
      </c>
      <c r="CN17" s="526">
        <f t="shared" si="8"/>
        <v>50</v>
      </c>
      <c r="CO17" s="122" t="str">
        <f t="shared" si="9"/>
        <v>Collaboratori</v>
      </c>
      <c r="CP17" s="45" t="str">
        <f t="shared" si="6"/>
        <v>1 - in MILLESIMI   I</v>
      </c>
      <c r="CQ17" s="1"/>
    </row>
    <row r="18" spans="1:95" ht="16.5" customHeight="1">
      <c r="A18" s="435">
        <v>10</v>
      </c>
      <c r="B18" s="1222" t="s">
        <v>55</v>
      </c>
      <c r="C18" s="1223"/>
      <c r="D18" s="1223"/>
      <c r="E18" s="1224"/>
      <c r="F18" s="924">
        <f t="shared" si="12"/>
        <v>0</v>
      </c>
      <c r="G18" s="925">
        <f t="shared" si="12"/>
        <v>0</v>
      </c>
      <c r="H18" s="925">
        <f t="shared" si="12"/>
        <v>0</v>
      </c>
      <c r="I18" s="925">
        <f t="shared" si="12"/>
        <v>0</v>
      </c>
      <c r="J18" s="925">
        <f t="shared" si="12"/>
        <v>50</v>
      </c>
      <c r="K18" s="925">
        <f t="shared" si="12"/>
        <v>0</v>
      </c>
      <c r="L18" s="925">
        <f t="shared" si="12"/>
        <v>0</v>
      </c>
      <c r="M18" s="925">
        <f t="shared" si="12"/>
        <v>0</v>
      </c>
      <c r="N18" s="925">
        <f t="shared" si="12"/>
        <v>0</v>
      </c>
      <c r="O18" s="925">
        <f t="shared" si="12"/>
        <v>0</v>
      </c>
      <c r="P18" s="925">
        <f t="shared" si="12"/>
        <v>0</v>
      </c>
      <c r="Q18" s="926">
        <f t="shared" si="12"/>
        <v>100</v>
      </c>
      <c r="R18" s="27"/>
      <c r="S18" s="839">
        <f t="shared" si="13"/>
        <v>150</v>
      </c>
      <c r="T18" s="27"/>
      <c r="U18" s="435">
        <f>IF(AND(W18&gt;=$U$1,W18&lt;=$U$2),IF(X18='ESTRATTO CONTO'!$E$2,1+COUNTIF(U$4:U17,"&gt;0"),0),0)</f>
        <v>0</v>
      </c>
      <c r="V18" s="417">
        <f t="shared" si="11"/>
        <v>15</v>
      </c>
      <c r="W18" s="509">
        <f>ENTI!W18+1</f>
        <v>45477</v>
      </c>
      <c r="X18" s="321" t="s">
        <v>60</v>
      </c>
      <c r="Y18" s="321"/>
      <c r="Z18" s="433">
        <v>50</v>
      </c>
      <c r="AA18" s="918">
        <f t="shared" si="0"/>
        <v>0</v>
      </c>
      <c r="AB18" s="306" t="str">
        <f t="shared" si="1"/>
        <v>7Ascensore - Manutenzione</v>
      </c>
      <c r="AC18" s="788"/>
      <c r="AD18" s="119">
        <f t="shared" si="2"/>
        <v>5</v>
      </c>
      <c r="AE18" s="108">
        <f t="shared" si="2"/>
        <v>5</v>
      </c>
      <c r="AF18" s="108">
        <f t="shared" si="2"/>
        <v>10</v>
      </c>
      <c r="AG18" s="108"/>
      <c r="AH18" s="108"/>
      <c r="AI18" s="108"/>
      <c r="AJ18" s="108"/>
      <c r="AK18" s="108"/>
      <c r="AL18" s="108">
        <f t="shared" si="3"/>
        <v>10</v>
      </c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20">
        <f t="shared" si="4"/>
        <v>20</v>
      </c>
      <c r="CL18" s="122">
        <f t="shared" si="5"/>
        <v>7</v>
      </c>
      <c r="CM18" s="524">
        <f t="shared" si="7"/>
        <v>0</v>
      </c>
      <c r="CN18" s="526">
        <f t="shared" si="8"/>
        <v>50</v>
      </c>
      <c r="CO18" s="122" t="str">
        <f t="shared" si="9"/>
        <v>Ascensore - Manutenzione</v>
      </c>
      <c r="CP18" s="45" t="str">
        <f t="shared" si="6"/>
        <v>1 - in MILLESIMI   I</v>
      </c>
      <c r="CQ18" s="1"/>
    </row>
    <row r="19" spans="1:95" ht="16.5" customHeight="1">
      <c r="A19" s="435">
        <v>11</v>
      </c>
      <c r="B19" s="1222" t="s">
        <v>31</v>
      </c>
      <c r="C19" s="1223"/>
      <c r="D19" s="1223"/>
      <c r="E19" s="1224"/>
      <c r="F19" s="924">
        <f t="shared" ref="F19:Q28" si="14">SUMIF($AB$4:$AB$1003,CONCATENATE(F$1437,$B19),$Z$4:$Z$1003)</f>
        <v>0</v>
      </c>
      <c r="G19" s="925">
        <f t="shared" si="14"/>
        <v>0</v>
      </c>
      <c r="H19" s="925">
        <f t="shared" si="14"/>
        <v>0</v>
      </c>
      <c r="I19" s="925">
        <f t="shared" si="14"/>
        <v>0</v>
      </c>
      <c r="J19" s="925">
        <f t="shared" si="14"/>
        <v>50</v>
      </c>
      <c r="K19" s="925">
        <f t="shared" si="14"/>
        <v>0</v>
      </c>
      <c r="L19" s="925">
        <f t="shared" si="14"/>
        <v>0</v>
      </c>
      <c r="M19" s="925">
        <f t="shared" si="14"/>
        <v>0</v>
      </c>
      <c r="N19" s="925">
        <f t="shared" si="14"/>
        <v>0</v>
      </c>
      <c r="O19" s="925">
        <f t="shared" si="14"/>
        <v>0</v>
      </c>
      <c r="P19" s="925">
        <f t="shared" si="14"/>
        <v>0</v>
      </c>
      <c r="Q19" s="926">
        <f t="shared" si="14"/>
        <v>100</v>
      </c>
      <c r="R19" s="27"/>
      <c r="S19" s="839">
        <f t="shared" si="13"/>
        <v>150</v>
      </c>
      <c r="T19" s="27"/>
      <c r="U19" s="435">
        <f>IF(AND(W19&gt;=$U$1,W19&lt;=$U$2),IF(X19='ESTRATTO CONTO'!$E$2,1+COUNTIF(U$4:U18,"&gt;0"),0),0)</f>
        <v>0</v>
      </c>
      <c r="V19" s="417">
        <f t="shared" si="11"/>
        <v>16</v>
      </c>
      <c r="W19" s="509">
        <f>ENTI!W19+1</f>
        <v>45489</v>
      </c>
      <c r="X19" s="321" t="s">
        <v>61</v>
      </c>
      <c r="Y19" s="321"/>
      <c r="Z19" s="433">
        <v>50</v>
      </c>
      <c r="AA19" s="918">
        <f t="shared" si="0"/>
        <v>0</v>
      </c>
      <c r="AB19" s="306" t="str">
        <f t="shared" si="1"/>
        <v>7Ascensore - Oneri accessori</v>
      </c>
      <c r="AC19" s="788"/>
      <c r="AD19" s="119">
        <f t="shared" si="2"/>
        <v>5</v>
      </c>
      <c r="AE19" s="108">
        <f t="shared" si="2"/>
        <v>5</v>
      </c>
      <c r="AF19" s="108">
        <f t="shared" si="2"/>
        <v>10</v>
      </c>
      <c r="AG19" s="108"/>
      <c r="AH19" s="108"/>
      <c r="AI19" s="108"/>
      <c r="AJ19" s="108"/>
      <c r="AK19" s="108"/>
      <c r="AL19" s="108">
        <f t="shared" si="3"/>
        <v>10</v>
      </c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20">
        <f t="shared" si="4"/>
        <v>20</v>
      </c>
      <c r="CL19" s="122">
        <f t="shared" si="5"/>
        <v>7</v>
      </c>
      <c r="CM19" s="524">
        <f t="shared" si="7"/>
        <v>0</v>
      </c>
      <c r="CN19" s="526">
        <f t="shared" si="8"/>
        <v>50</v>
      </c>
      <c r="CO19" s="122" t="str">
        <f t="shared" si="9"/>
        <v>Ascensore - Oneri accessori</v>
      </c>
      <c r="CP19" s="45" t="str">
        <f t="shared" si="6"/>
        <v>1 - in MILLESIMI   I</v>
      </c>
      <c r="CQ19" s="1"/>
    </row>
    <row r="20" spans="1:95" ht="16.5" customHeight="1">
      <c r="A20" s="435">
        <v>12</v>
      </c>
      <c r="B20" s="1222" t="s">
        <v>57</v>
      </c>
      <c r="C20" s="1223"/>
      <c r="D20" s="1223"/>
      <c r="E20" s="1224"/>
      <c r="F20" s="924">
        <f t="shared" si="14"/>
        <v>0</v>
      </c>
      <c r="G20" s="925">
        <f t="shared" si="14"/>
        <v>0</v>
      </c>
      <c r="H20" s="925">
        <f t="shared" si="14"/>
        <v>0</v>
      </c>
      <c r="I20" s="925">
        <f t="shared" si="14"/>
        <v>0</v>
      </c>
      <c r="J20" s="925">
        <f t="shared" si="14"/>
        <v>50</v>
      </c>
      <c r="K20" s="925">
        <f t="shared" si="14"/>
        <v>0</v>
      </c>
      <c r="L20" s="925">
        <f t="shared" si="14"/>
        <v>0</v>
      </c>
      <c r="M20" s="925">
        <f t="shared" si="14"/>
        <v>0</v>
      </c>
      <c r="N20" s="925">
        <f t="shared" si="14"/>
        <v>0</v>
      </c>
      <c r="O20" s="925">
        <f t="shared" si="14"/>
        <v>0</v>
      </c>
      <c r="P20" s="925">
        <f t="shared" si="14"/>
        <v>0</v>
      </c>
      <c r="Q20" s="926">
        <f t="shared" si="14"/>
        <v>0</v>
      </c>
      <c r="R20" s="27"/>
      <c r="S20" s="839">
        <f t="shared" si="13"/>
        <v>50</v>
      </c>
      <c r="T20" s="27"/>
      <c r="U20" s="435">
        <f>IF(AND(W20&gt;=$U$1,W20&lt;=$U$2),IF(X20='ESTRATTO CONTO'!$E$2,1+COUNTIF(U$4:U19,"&gt;0"),0),0)</f>
        <v>0</v>
      </c>
      <c r="V20" s="417">
        <f t="shared" si="11"/>
        <v>17</v>
      </c>
      <c r="W20" s="509">
        <f>ENTI!W20+1</f>
        <v>45501</v>
      </c>
      <c r="X20" s="321" t="s">
        <v>587</v>
      </c>
      <c r="Y20" s="321"/>
      <c r="Z20" s="433">
        <v>50</v>
      </c>
      <c r="AA20" s="918">
        <f t="shared" si="0"/>
        <v>0</v>
      </c>
      <c r="AB20" s="306" t="str">
        <f t="shared" si="1"/>
        <v>7Decorazioni</v>
      </c>
      <c r="AC20" s="788"/>
      <c r="AD20" s="119">
        <f t="shared" si="2"/>
        <v>5</v>
      </c>
      <c r="AE20" s="108">
        <f t="shared" si="2"/>
        <v>5</v>
      </c>
      <c r="AF20" s="108">
        <f t="shared" si="2"/>
        <v>10</v>
      </c>
      <c r="AG20" s="108"/>
      <c r="AH20" s="108"/>
      <c r="AI20" s="108"/>
      <c r="AJ20" s="108"/>
      <c r="AK20" s="108"/>
      <c r="AL20" s="108">
        <f t="shared" si="3"/>
        <v>10</v>
      </c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20">
        <f t="shared" si="4"/>
        <v>20</v>
      </c>
      <c r="CL20" s="122">
        <f t="shared" si="5"/>
        <v>7</v>
      </c>
      <c r="CM20" s="524">
        <f t="shared" si="7"/>
        <v>0</v>
      </c>
      <c r="CN20" s="526">
        <f t="shared" si="8"/>
        <v>50</v>
      </c>
      <c r="CO20" s="122" t="str">
        <f t="shared" si="9"/>
        <v>Decorazioni</v>
      </c>
      <c r="CP20" s="45" t="str">
        <f t="shared" si="6"/>
        <v>1 - in MILLESIMI   I</v>
      </c>
      <c r="CQ20" s="1"/>
    </row>
    <row r="21" spans="1:95" ht="16.5" customHeight="1">
      <c r="A21" s="435">
        <v>13</v>
      </c>
      <c r="B21" s="1222" t="s">
        <v>58</v>
      </c>
      <c r="C21" s="1223"/>
      <c r="D21" s="1223"/>
      <c r="E21" s="1224"/>
      <c r="F21" s="924">
        <f t="shared" si="14"/>
        <v>0</v>
      </c>
      <c r="G21" s="925">
        <f t="shared" si="14"/>
        <v>0</v>
      </c>
      <c r="H21" s="925">
        <f t="shared" si="14"/>
        <v>0</v>
      </c>
      <c r="I21" s="925">
        <f t="shared" si="14"/>
        <v>0</v>
      </c>
      <c r="J21" s="925">
        <f t="shared" si="14"/>
        <v>0</v>
      </c>
      <c r="K21" s="925">
        <f t="shared" si="14"/>
        <v>50</v>
      </c>
      <c r="L21" s="925">
        <f t="shared" si="14"/>
        <v>0</v>
      </c>
      <c r="M21" s="925">
        <f t="shared" si="14"/>
        <v>0</v>
      </c>
      <c r="N21" s="925">
        <f t="shared" si="14"/>
        <v>0</v>
      </c>
      <c r="O21" s="925">
        <f t="shared" si="14"/>
        <v>0</v>
      </c>
      <c r="P21" s="925">
        <f t="shared" si="14"/>
        <v>0</v>
      </c>
      <c r="Q21" s="926">
        <f t="shared" si="14"/>
        <v>0</v>
      </c>
      <c r="R21" s="27"/>
      <c r="S21" s="839">
        <f t="shared" si="13"/>
        <v>50</v>
      </c>
      <c r="T21" s="27"/>
      <c r="U21" s="435">
        <f>IF(AND(W21&gt;=$U$1,W21&lt;=$U$2),IF(X21='ESTRATTO CONTO'!$E$2,1+COUNTIF(U$4:U20,"&gt;0"),0),0)</f>
        <v>0</v>
      </c>
      <c r="V21" s="417">
        <f t="shared" si="11"/>
        <v>18</v>
      </c>
      <c r="W21" s="509">
        <f>ENTI!W21+1</f>
        <v>45513</v>
      </c>
      <c r="X21" s="321" t="s">
        <v>452</v>
      </c>
      <c r="Y21" s="321"/>
      <c r="Z21" s="433">
        <v>50</v>
      </c>
      <c r="AA21" s="918">
        <f t="shared" si="0"/>
        <v>0</v>
      </c>
      <c r="AB21" s="306" t="str">
        <f t="shared" si="1"/>
        <v>8Software contabilità</v>
      </c>
      <c r="AC21" s="788"/>
      <c r="AD21" s="119">
        <f t="shared" si="2"/>
        <v>5</v>
      </c>
      <c r="AE21" s="108">
        <f t="shared" si="2"/>
        <v>5</v>
      </c>
      <c r="AF21" s="108">
        <f t="shared" si="2"/>
        <v>10</v>
      </c>
      <c r="AG21" s="108"/>
      <c r="AH21" s="108"/>
      <c r="AI21" s="108"/>
      <c r="AJ21" s="108"/>
      <c r="AK21" s="108"/>
      <c r="AL21" s="108">
        <f t="shared" si="3"/>
        <v>10</v>
      </c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20">
        <f t="shared" si="4"/>
        <v>20</v>
      </c>
      <c r="CL21" s="122">
        <f t="shared" si="5"/>
        <v>8</v>
      </c>
      <c r="CM21" s="524">
        <f t="shared" si="7"/>
        <v>0</v>
      </c>
      <c r="CN21" s="526">
        <f t="shared" si="8"/>
        <v>50</v>
      </c>
      <c r="CO21" s="122" t="str">
        <f t="shared" si="9"/>
        <v>Software contabilità</v>
      </c>
      <c r="CP21" s="45" t="str">
        <f t="shared" si="6"/>
        <v>1 - in MILLESIMI   I</v>
      </c>
      <c r="CQ21" s="1"/>
    </row>
    <row r="22" spans="1:95" ht="16.5" customHeight="1">
      <c r="A22" s="435">
        <v>14</v>
      </c>
      <c r="B22" s="1222" t="s">
        <v>59</v>
      </c>
      <c r="C22" s="1223"/>
      <c r="D22" s="1223"/>
      <c r="E22" s="1224"/>
      <c r="F22" s="924">
        <f t="shared" si="14"/>
        <v>0</v>
      </c>
      <c r="G22" s="925">
        <f t="shared" si="14"/>
        <v>0</v>
      </c>
      <c r="H22" s="925">
        <f t="shared" si="14"/>
        <v>0</v>
      </c>
      <c r="I22" s="925">
        <f t="shared" si="14"/>
        <v>0</v>
      </c>
      <c r="J22" s="925">
        <f t="shared" si="14"/>
        <v>0</v>
      </c>
      <c r="K22" s="925">
        <f t="shared" si="14"/>
        <v>50</v>
      </c>
      <c r="L22" s="925">
        <f t="shared" si="14"/>
        <v>0</v>
      </c>
      <c r="M22" s="925">
        <f t="shared" si="14"/>
        <v>0</v>
      </c>
      <c r="N22" s="925">
        <f t="shared" si="14"/>
        <v>0</v>
      </c>
      <c r="O22" s="925">
        <f t="shared" si="14"/>
        <v>0</v>
      </c>
      <c r="P22" s="925">
        <f t="shared" si="14"/>
        <v>0</v>
      </c>
      <c r="Q22" s="926">
        <f t="shared" si="14"/>
        <v>0</v>
      </c>
      <c r="R22" s="27"/>
      <c r="S22" s="839">
        <f t="shared" si="13"/>
        <v>50</v>
      </c>
      <c r="T22" s="27"/>
      <c r="U22" s="435">
        <f>IF(AND(W22&gt;=$U$1,W22&lt;=$U$2),IF(X22='ESTRATTO CONTO'!$E$2,1+COUNTIF(U$4:U21,"&gt;0"),0),0)</f>
        <v>0</v>
      </c>
      <c r="V22" s="417">
        <f t="shared" si="11"/>
        <v>19</v>
      </c>
      <c r="W22" s="509">
        <f>ENTI!W22+1</f>
        <v>45525</v>
      </c>
      <c r="X22" s="321" t="s">
        <v>586</v>
      </c>
      <c r="Y22" s="321"/>
      <c r="Z22" s="433">
        <v>50</v>
      </c>
      <c r="AA22" s="918">
        <f t="shared" si="0"/>
        <v>0</v>
      </c>
      <c r="AB22" s="306" t="str">
        <f t="shared" si="1"/>
        <v>8Ultimo COSTO disponibile</v>
      </c>
      <c r="AC22" s="788"/>
      <c r="AD22" s="119">
        <f t="shared" si="2"/>
        <v>5</v>
      </c>
      <c r="AE22" s="108">
        <f t="shared" si="2"/>
        <v>5</v>
      </c>
      <c r="AF22" s="108">
        <f t="shared" si="2"/>
        <v>10</v>
      </c>
      <c r="AG22" s="108"/>
      <c r="AH22" s="108"/>
      <c r="AI22" s="108"/>
      <c r="AJ22" s="108"/>
      <c r="AK22" s="108"/>
      <c r="AL22" s="108">
        <f t="shared" si="3"/>
        <v>10</v>
      </c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20">
        <f t="shared" si="4"/>
        <v>20</v>
      </c>
      <c r="CL22" s="122">
        <f t="shared" si="5"/>
        <v>8</v>
      </c>
      <c r="CM22" s="524">
        <f t="shared" si="7"/>
        <v>0</v>
      </c>
      <c r="CN22" s="526">
        <f t="shared" si="8"/>
        <v>50</v>
      </c>
      <c r="CO22" s="122" t="str">
        <f t="shared" si="9"/>
        <v>Ultimo COSTO disponibile</v>
      </c>
      <c r="CP22" s="45" t="str">
        <f t="shared" si="6"/>
        <v>1 - in MILLESIMI   I</v>
      </c>
      <c r="CQ22" s="1"/>
    </row>
    <row r="23" spans="1:95" ht="16.5" customHeight="1">
      <c r="A23" s="435">
        <v>15</v>
      </c>
      <c r="B23" s="1222" t="s">
        <v>60</v>
      </c>
      <c r="C23" s="1223"/>
      <c r="D23" s="1223"/>
      <c r="E23" s="1224"/>
      <c r="F23" s="924">
        <f t="shared" si="14"/>
        <v>0</v>
      </c>
      <c r="G23" s="925">
        <f t="shared" si="14"/>
        <v>0</v>
      </c>
      <c r="H23" s="925">
        <f t="shared" si="14"/>
        <v>0</v>
      </c>
      <c r="I23" s="925">
        <f t="shared" si="14"/>
        <v>0</v>
      </c>
      <c r="J23" s="925">
        <f t="shared" si="14"/>
        <v>0</v>
      </c>
      <c r="K23" s="925">
        <f t="shared" si="14"/>
        <v>0</v>
      </c>
      <c r="L23" s="925">
        <f t="shared" si="14"/>
        <v>50</v>
      </c>
      <c r="M23" s="925">
        <f t="shared" si="14"/>
        <v>0</v>
      </c>
      <c r="N23" s="925">
        <f t="shared" si="14"/>
        <v>0</v>
      </c>
      <c r="O23" s="925">
        <f t="shared" si="14"/>
        <v>0</v>
      </c>
      <c r="P23" s="925">
        <f t="shared" si="14"/>
        <v>0</v>
      </c>
      <c r="Q23" s="926">
        <f t="shared" si="14"/>
        <v>0</v>
      </c>
      <c r="R23" s="27"/>
      <c r="S23" s="839">
        <f t="shared" si="13"/>
        <v>50</v>
      </c>
      <c r="T23" s="27"/>
      <c r="U23" s="435">
        <f>IF(AND(W23&gt;=$U$1,W23&lt;=$U$2),IF(X23='ESTRATTO CONTO'!$E$2,1+COUNTIF(U$4:U22,"&gt;0"),0),0)</f>
        <v>0</v>
      </c>
      <c r="V23" s="417">
        <f t="shared" si="11"/>
        <v>20</v>
      </c>
      <c r="W23" s="509">
        <f>ENTI!W23+1</f>
        <v>45537</v>
      </c>
      <c r="X23" s="321" t="s">
        <v>584</v>
      </c>
      <c r="Y23" s="321"/>
      <c r="Z23" s="433">
        <v>50</v>
      </c>
      <c r="AA23" s="918">
        <f t="shared" si="0"/>
        <v>0</v>
      </c>
      <c r="AB23" s="306" t="str">
        <f t="shared" si="1"/>
        <v>9Assicurazione</v>
      </c>
      <c r="AC23" s="788"/>
      <c r="AD23" s="119">
        <f t="shared" si="2"/>
        <v>5</v>
      </c>
      <c r="AE23" s="108">
        <f t="shared" si="2"/>
        <v>5</v>
      </c>
      <c r="AF23" s="108">
        <f t="shared" si="2"/>
        <v>10</v>
      </c>
      <c r="AG23" s="108"/>
      <c r="AH23" s="108"/>
      <c r="AI23" s="108"/>
      <c r="AJ23" s="108"/>
      <c r="AK23" s="108"/>
      <c r="AL23" s="108">
        <f t="shared" si="3"/>
        <v>10</v>
      </c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20">
        <f t="shared" si="4"/>
        <v>20</v>
      </c>
      <c r="CL23" s="122">
        <f t="shared" si="5"/>
        <v>9</v>
      </c>
      <c r="CM23" s="524">
        <f t="shared" si="7"/>
        <v>0</v>
      </c>
      <c r="CN23" s="526">
        <f t="shared" si="8"/>
        <v>50</v>
      </c>
      <c r="CO23" s="122" t="str">
        <f t="shared" si="9"/>
        <v>Assicurazione</v>
      </c>
      <c r="CP23" s="45" t="str">
        <f t="shared" si="6"/>
        <v>1 - in MILLESIMI   I</v>
      </c>
      <c r="CQ23" s="1"/>
    </row>
    <row r="24" spans="1:95" ht="16.5" customHeight="1">
      <c r="A24" s="435">
        <v>16</v>
      </c>
      <c r="B24" s="1222" t="s">
        <v>61</v>
      </c>
      <c r="C24" s="1223"/>
      <c r="D24" s="1223"/>
      <c r="E24" s="1224"/>
      <c r="F24" s="924">
        <f t="shared" si="14"/>
        <v>0</v>
      </c>
      <c r="G24" s="925">
        <f t="shared" si="14"/>
        <v>0</v>
      </c>
      <c r="H24" s="925">
        <f t="shared" si="14"/>
        <v>0</v>
      </c>
      <c r="I24" s="925">
        <f t="shared" si="14"/>
        <v>0</v>
      </c>
      <c r="J24" s="925">
        <f t="shared" si="14"/>
        <v>0</v>
      </c>
      <c r="K24" s="925">
        <f t="shared" si="14"/>
        <v>0</v>
      </c>
      <c r="L24" s="925">
        <f t="shared" si="14"/>
        <v>50</v>
      </c>
      <c r="M24" s="925">
        <f t="shared" si="14"/>
        <v>0</v>
      </c>
      <c r="N24" s="925">
        <f t="shared" si="14"/>
        <v>0</v>
      </c>
      <c r="O24" s="925">
        <f t="shared" si="14"/>
        <v>0</v>
      </c>
      <c r="P24" s="925">
        <f t="shared" si="14"/>
        <v>0</v>
      </c>
      <c r="Q24" s="926">
        <f t="shared" si="14"/>
        <v>0</v>
      </c>
      <c r="R24" s="27"/>
      <c r="S24" s="839">
        <f t="shared" si="13"/>
        <v>50</v>
      </c>
      <c r="T24" s="27"/>
      <c r="U24" s="435">
        <f>IF(AND(W24&gt;=$U$1,W24&lt;=$U$2),IF(X24='ESTRATTO CONTO'!$E$2,1+COUNTIF(U$4:U23,"&gt;0"),0),0)</f>
        <v>0</v>
      </c>
      <c r="V24" s="417">
        <f t="shared" si="11"/>
        <v>21</v>
      </c>
      <c r="W24" s="509">
        <f>ENTI!W24+1</f>
        <v>45549</v>
      </c>
      <c r="X24" s="321" t="s">
        <v>32</v>
      </c>
      <c r="Y24" s="321"/>
      <c r="Z24" s="433">
        <v>50</v>
      </c>
      <c r="AA24" s="918">
        <f t="shared" si="0"/>
        <v>0</v>
      </c>
      <c r="AB24" s="306" t="str">
        <f t="shared" si="1"/>
        <v>9Attrezzatura</v>
      </c>
      <c r="AC24" s="788"/>
      <c r="AD24" s="119">
        <f t="shared" ref="AD24:AF43" si="15">IF($AB24=0,0,ROUND($Z24*VLOOKUP(AD$2,$F$1010:$Q$1014,VLOOKUP($CP24,$C$1076:$E$1081,3,FALSE),FALSE),2))</f>
        <v>5</v>
      </c>
      <c r="AE24" s="108">
        <f t="shared" si="15"/>
        <v>5</v>
      </c>
      <c r="AF24" s="108">
        <f t="shared" si="15"/>
        <v>10</v>
      </c>
      <c r="AG24" s="108"/>
      <c r="AH24" s="108"/>
      <c r="AI24" s="108"/>
      <c r="AJ24" s="108"/>
      <c r="AK24" s="108"/>
      <c r="AL24" s="108">
        <f t="shared" si="3"/>
        <v>10</v>
      </c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20">
        <f t="shared" si="4"/>
        <v>20</v>
      </c>
      <c r="CL24" s="122">
        <f t="shared" si="5"/>
        <v>9</v>
      </c>
      <c r="CM24" s="524">
        <f t="shared" si="7"/>
        <v>0</v>
      </c>
      <c r="CN24" s="526">
        <f t="shared" si="8"/>
        <v>50</v>
      </c>
      <c r="CO24" s="122" t="str">
        <f t="shared" si="9"/>
        <v>Attrezzatura</v>
      </c>
      <c r="CP24" s="45" t="str">
        <f t="shared" si="6"/>
        <v>1 - in MILLESIMI   I</v>
      </c>
      <c r="CQ24" s="1"/>
    </row>
    <row r="25" spans="1:95" ht="16.5" customHeight="1">
      <c r="A25" s="435">
        <v>17</v>
      </c>
      <c r="B25" s="1222" t="s">
        <v>587</v>
      </c>
      <c r="C25" s="1223"/>
      <c r="D25" s="1223"/>
      <c r="E25" s="1224"/>
      <c r="F25" s="924">
        <f t="shared" si="14"/>
        <v>0</v>
      </c>
      <c r="G25" s="925">
        <f t="shared" si="14"/>
        <v>0</v>
      </c>
      <c r="H25" s="925">
        <f t="shared" si="14"/>
        <v>0</v>
      </c>
      <c r="I25" s="925">
        <f t="shared" si="14"/>
        <v>0</v>
      </c>
      <c r="J25" s="925">
        <f t="shared" si="14"/>
        <v>0</v>
      </c>
      <c r="K25" s="925">
        <f t="shared" si="14"/>
        <v>0</v>
      </c>
      <c r="L25" s="925">
        <f t="shared" si="14"/>
        <v>50</v>
      </c>
      <c r="M25" s="925">
        <f t="shared" si="14"/>
        <v>0</v>
      </c>
      <c r="N25" s="925">
        <f t="shared" si="14"/>
        <v>0</v>
      </c>
      <c r="O25" s="925">
        <f t="shared" si="14"/>
        <v>0</v>
      </c>
      <c r="P25" s="925">
        <f t="shared" si="14"/>
        <v>0</v>
      </c>
      <c r="Q25" s="926">
        <f t="shared" si="14"/>
        <v>0</v>
      </c>
      <c r="R25" s="27"/>
      <c r="S25" s="839">
        <f t="shared" si="13"/>
        <v>50</v>
      </c>
      <c r="T25" s="27"/>
      <c r="U25" s="435">
        <f>IF(AND(W25&gt;=$U$1,W25&lt;=$U$2),IF(X25='ESTRATTO CONTO'!$E$2,1+COUNTIF(U$4:U24,"&gt;0"),0),0)</f>
        <v>0</v>
      </c>
      <c r="V25" s="417">
        <f t="shared" si="11"/>
        <v>22</v>
      </c>
      <c r="W25" s="509">
        <f>ENTI!W25+1</f>
        <v>45561</v>
      </c>
      <c r="X25" s="321" t="s">
        <v>56</v>
      </c>
      <c r="Y25" s="321"/>
      <c r="Z25" s="433">
        <v>50</v>
      </c>
      <c r="AA25" s="918">
        <f t="shared" si="0"/>
        <v>0</v>
      </c>
      <c r="AB25" s="306" t="str">
        <f t="shared" si="1"/>
        <v>9Spese Postali - Notarili - Documenti</v>
      </c>
      <c r="AC25" s="788"/>
      <c r="AD25" s="119">
        <f t="shared" si="15"/>
        <v>5</v>
      </c>
      <c r="AE25" s="108">
        <f t="shared" si="15"/>
        <v>5</v>
      </c>
      <c r="AF25" s="108">
        <f t="shared" si="15"/>
        <v>10</v>
      </c>
      <c r="AG25" s="108"/>
      <c r="AH25" s="108"/>
      <c r="AI25" s="108"/>
      <c r="AJ25" s="108"/>
      <c r="AK25" s="108"/>
      <c r="AL25" s="108">
        <f t="shared" si="3"/>
        <v>10</v>
      </c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20">
        <f t="shared" si="4"/>
        <v>20</v>
      </c>
      <c r="CL25" s="122">
        <f t="shared" si="5"/>
        <v>9</v>
      </c>
      <c r="CM25" s="524">
        <f t="shared" si="7"/>
        <v>0</v>
      </c>
      <c r="CN25" s="526">
        <f t="shared" si="8"/>
        <v>50</v>
      </c>
      <c r="CO25" s="122" t="str">
        <f t="shared" si="9"/>
        <v>Spese Postali - Notarili - Documenti</v>
      </c>
      <c r="CP25" s="45" t="str">
        <f t="shared" si="6"/>
        <v>1 - in MILLESIMI   I</v>
      </c>
      <c r="CQ25" s="1"/>
    </row>
    <row r="26" spans="1:95" ht="16.5" customHeight="1">
      <c r="A26" s="435">
        <v>18</v>
      </c>
      <c r="B26" s="1222" t="s">
        <v>452</v>
      </c>
      <c r="C26" s="1223"/>
      <c r="D26" s="1223"/>
      <c r="E26" s="1224"/>
      <c r="F26" s="924">
        <f t="shared" si="14"/>
        <v>0</v>
      </c>
      <c r="G26" s="925">
        <f t="shared" si="14"/>
        <v>0</v>
      </c>
      <c r="H26" s="925">
        <f t="shared" si="14"/>
        <v>0</v>
      </c>
      <c r="I26" s="925">
        <f t="shared" si="14"/>
        <v>0</v>
      </c>
      <c r="J26" s="925">
        <f t="shared" si="14"/>
        <v>0</v>
      </c>
      <c r="K26" s="925">
        <f t="shared" si="14"/>
        <v>0</v>
      </c>
      <c r="L26" s="925">
        <f t="shared" si="14"/>
        <v>0</v>
      </c>
      <c r="M26" s="925">
        <f t="shared" si="14"/>
        <v>50</v>
      </c>
      <c r="N26" s="925">
        <f t="shared" si="14"/>
        <v>0</v>
      </c>
      <c r="O26" s="925">
        <f t="shared" si="14"/>
        <v>0</v>
      </c>
      <c r="P26" s="925">
        <f t="shared" si="14"/>
        <v>0</v>
      </c>
      <c r="Q26" s="926">
        <f t="shared" si="14"/>
        <v>0</v>
      </c>
      <c r="R26" s="27"/>
      <c r="S26" s="839">
        <f t="shared" si="13"/>
        <v>50</v>
      </c>
      <c r="T26" s="27"/>
      <c r="U26" s="435">
        <f>IF(AND(W26&gt;=$U$1,W26&lt;=$U$2),IF(X26='ESTRATTO CONTO'!$E$2,1+COUNTIF(U$4:U25,"&gt;0"),0),0)</f>
        <v>0</v>
      </c>
      <c r="V26" s="417">
        <f t="shared" si="11"/>
        <v>23</v>
      </c>
      <c r="W26" s="509">
        <f>ENTI!W26+1</f>
        <v>45573</v>
      </c>
      <c r="X26" s="321" t="s">
        <v>50</v>
      </c>
      <c r="Y26" s="321"/>
      <c r="Z26" s="433">
        <v>100</v>
      </c>
      <c r="AA26" s="918">
        <f t="shared" si="0"/>
        <v>0</v>
      </c>
      <c r="AB26" s="306" t="str">
        <f t="shared" si="1"/>
        <v>10Spese Bancarie</v>
      </c>
      <c r="AC26" s="788"/>
      <c r="AD26" s="119">
        <f t="shared" si="15"/>
        <v>10</v>
      </c>
      <c r="AE26" s="108">
        <f t="shared" si="15"/>
        <v>10</v>
      </c>
      <c r="AF26" s="108">
        <f t="shared" si="15"/>
        <v>20</v>
      </c>
      <c r="AG26" s="108"/>
      <c r="AH26" s="108"/>
      <c r="AI26" s="108"/>
      <c r="AJ26" s="108"/>
      <c r="AK26" s="108"/>
      <c r="AL26" s="108">
        <f t="shared" si="3"/>
        <v>20</v>
      </c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20">
        <f t="shared" si="4"/>
        <v>40</v>
      </c>
      <c r="CL26" s="122">
        <f t="shared" si="5"/>
        <v>10</v>
      </c>
      <c r="CM26" s="524">
        <f t="shared" si="7"/>
        <v>0</v>
      </c>
      <c r="CN26" s="526">
        <f t="shared" si="8"/>
        <v>100</v>
      </c>
      <c r="CO26" s="122" t="str">
        <f t="shared" si="9"/>
        <v>Spese Bancarie</v>
      </c>
      <c r="CP26" s="45" t="str">
        <f t="shared" si="6"/>
        <v>1 - in MILLESIMI   I</v>
      </c>
      <c r="CQ26" s="1"/>
    </row>
    <row r="27" spans="1:95" ht="16.5" customHeight="1">
      <c r="A27" s="435">
        <v>19</v>
      </c>
      <c r="B27" s="1222" t="s">
        <v>585</v>
      </c>
      <c r="C27" s="1223"/>
      <c r="D27" s="1223"/>
      <c r="E27" s="1224"/>
      <c r="F27" s="924">
        <f t="shared" si="14"/>
        <v>0</v>
      </c>
      <c r="G27" s="925">
        <f t="shared" si="14"/>
        <v>0</v>
      </c>
      <c r="H27" s="925">
        <f t="shared" si="14"/>
        <v>0</v>
      </c>
      <c r="I27" s="925">
        <f t="shared" si="14"/>
        <v>0</v>
      </c>
      <c r="J27" s="925">
        <f t="shared" si="14"/>
        <v>0</v>
      </c>
      <c r="K27" s="925">
        <f t="shared" si="14"/>
        <v>0</v>
      </c>
      <c r="L27" s="925">
        <f t="shared" si="14"/>
        <v>0</v>
      </c>
      <c r="M27" s="925">
        <f t="shared" si="14"/>
        <v>0</v>
      </c>
      <c r="N27" s="925">
        <f t="shared" si="14"/>
        <v>0</v>
      </c>
      <c r="O27" s="925">
        <f t="shared" si="14"/>
        <v>0</v>
      </c>
      <c r="P27" s="925">
        <f t="shared" si="14"/>
        <v>0</v>
      </c>
      <c r="Q27" s="926">
        <f t="shared" si="14"/>
        <v>0</v>
      </c>
      <c r="R27" s="27"/>
      <c r="S27" s="839">
        <f t="shared" si="13"/>
        <v>0</v>
      </c>
      <c r="T27" s="27"/>
      <c r="U27" s="435">
        <f>IF(AND(W27&gt;=$U$1,W27&lt;=$U$2),IF(X27='ESTRATTO CONTO'!$E$2,1+COUNTIF(U$4:U26,"&gt;0"),0),0)</f>
        <v>0</v>
      </c>
      <c r="V27" s="417">
        <f t="shared" si="11"/>
        <v>24</v>
      </c>
      <c r="W27" s="509">
        <f>ENTI!W27+1</f>
        <v>45585</v>
      </c>
      <c r="X27" s="321" t="s">
        <v>51</v>
      </c>
      <c r="Y27" s="321"/>
      <c r="Z27" s="433">
        <v>100</v>
      </c>
      <c r="AA27" s="918">
        <f t="shared" si="0"/>
        <v>0</v>
      </c>
      <c r="AB27" s="306" t="str">
        <f t="shared" si="1"/>
        <v>10Imposte e tasse condominiali</v>
      </c>
      <c r="AC27" s="788"/>
      <c r="AD27" s="119">
        <f t="shared" si="15"/>
        <v>10</v>
      </c>
      <c r="AE27" s="108">
        <f t="shared" si="15"/>
        <v>10</v>
      </c>
      <c r="AF27" s="108">
        <f t="shared" si="15"/>
        <v>20</v>
      </c>
      <c r="AG27" s="108"/>
      <c r="AH27" s="108"/>
      <c r="AI27" s="108"/>
      <c r="AJ27" s="108"/>
      <c r="AK27" s="108"/>
      <c r="AL27" s="108">
        <f t="shared" si="3"/>
        <v>20</v>
      </c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20">
        <f t="shared" si="4"/>
        <v>40</v>
      </c>
      <c r="CL27" s="122">
        <f t="shared" si="5"/>
        <v>10</v>
      </c>
      <c r="CM27" s="524">
        <f t="shared" si="7"/>
        <v>0</v>
      </c>
      <c r="CN27" s="526">
        <f t="shared" si="8"/>
        <v>100</v>
      </c>
      <c r="CO27" s="122" t="str">
        <f t="shared" si="9"/>
        <v>Imposte e tasse condominiali</v>
      </c>
      <c r="CP27" s="45" t="str">
        <f t="shared" si="6"/>
        <v>1 - in MILLESIMI   I</v>
      </c>
      <c r="CQ27" s="1"/>
    </row>
    <row r="28" spans="1:95" ht="16.5" customHeight="1">
      <c r="A28" s="435">
        <v>20</v>
      </c>
      <c r="B28" s="1222"/>
      <c r="C28" s="1223"/>
      <c r="D28" s="1223"/>
      <c r="E28" s="1224"/>
      <c r="F28" s="924">
        <f t="shared" si="14"/>
        <v>0</v>
      </c>
      <c r="G28" s="925">
        <f t="shared" si="14"/>
        <v>0</v>
      </c>
      <c r="H28" s="925">
        <f t="shared" si="14"/>
        <v>0</v>
      </c>
      <c r="I28" s="925">
        <f t="shared" si="14"/>
        <v>0</v>
      </c>
      <c r="J28" s="925">
        <f t="shared" si="14"/>
        <v>0</v>
      </c>
      <c r="K28" s="925">
        <f t="shared" si="14"/>
        <v>0</v>
      </c>
      <c r="L28" s="925">
        <f t="shared" si="14"/>
        <v>0</v>
      </c>
      <c r="M28" s="925">
        <f t="shared" si="14"/>
        <v>0</v>
      </c>
      <c r="N28" s="925">
        <f t="shared" si="14"/>
        <v>0</v>
      </c>
      <c r="O28" s="925">
        <f t="shared" si="14"/>
        <v>0</v>
      </c>
      <c r="P28" s="925">
        <f t="shared" si="14"/>
        <v>0</v>
      </c>
      <c r="Q28" s="926">
        <f t="shared" si="14"/>
        <v>0</v>
      </c>
      <c r="R28" s="27"/>
      <c r="S28" s="839">
        <f t="shared" si="13"/>
        <v>0</v>
      </c>
      <c r="T28" s="27"/>
      <c r="U28" s="435">
        <f>IF(AND(W28&gt;=$U$1,W28&lt;=$U$2),IF(X28='ESTRATTO CONTO'!$E$2,1+COUNTIF(U$4:U27,"&gt;0"),0),0)</f>
        <v>0</v>
      </c>
      <c r="V28" s="417">
        <f t="shared" si="11"/>
        <v>25</v>
      </c>
      <c r="W28" s="509">
        <f>ENTI!W28+1</f>
        <v>45597</v>
      </c>
      <c r="X28" s="321" t="s">
        <v>435</v>
      </c>
      <c r="Y28" s="321"/>
      <c r="Z28" s="433">
        <v>100</v>
      </c>
      <c r="AA28" s="918">
        <f t="shared" si="0"/>
        <v>0</v>
      </c>
      <c r="AB28" s="306" t="str">
        <f t="shared" si="1"/>
        <v>11Fornitura combustibile</v>
      </c>
      <c r="AC28" s="788"/>
      <c r="AD28" s="119">
        <f t="shared" si="15"/>
        <v>10</v>
      </c>
      <c r="AE28" s="108">
        <f t="shared" si="15"/>
        <v>10</v>
      </c>
      <c r="AF28" s="108">
        <f t="shared" si="15"/>
        <v>20</v>
      </c>
      <c r="AG28" s="108"/>
      <c r="AH28" s="108"/>
      <c r="AI28" s="108"/>
      <c r="AJ28" s="108"/>
      <c r="AK28" s="108"/>
      <c r="AL28" s="108">
        <f t="shared" si="3"/>
        <v>20</v>
      </c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20">
        <f t="shared" si="4"/>
        <v>40</v>
      </c>
      <c r="CL28" s="122">
        <f t="shared" si="5"/>
        <v>11</v>
      </c>
      <c r="CM28" s="524">
        <f t="shared" si="7"/>
        <v>0</v>
      </c>
      <c r="CN28" s="526">
        <f t="shared" si="8"/>
        <v>100</v>
      </c>
      <c r="CO28" s="122" t="str">
        <f t="shared" si="9"/>
        <v>Fornitura combustibile</v>
      </c>
      <c r="CP28" s="45" t="str">
        <f t="shared" si="6"/>
        <v>1 - in MILLESIMI   I</v>
      </c>
      <c r="CQ28" s="1"/>
    </row>
    <row r="29" spans="1:95" ht="16.5" customHeight="1">
      <c r="A29" s="435">
        <v>21</v>
      </c>
      <c r="B29" s="1222"/>
      <c r="C29" s="1223"/>
      <c r="D29" s="1223"/>
      <c r="E29" s="1224"/>
      <c r="F29" s="924">
        <f t="shared" ref="F29:Q38" si="16">SUMIF($AB$4:$AB$1003,CONCATENATE(F$1437,$B29),$Z$4:$Z$1003)</f>
        <v>0</v>
      </c>
      <c r="G29" s="925">
        <f t="shared" si="16"/>
        <v>0</v>
      </c>
      <c r="H29" s="925">
        <f t="shared" si="16"/>
        <v>0</v>
      </c>
      <c r="I29" s="925">
        <f t="shared" si="16"/>
        <v>0</v>
      </c>
      <c r="J29" s="925">
        <f t="shared" si="16"/>
        <v>0</v>
      </c>
      <c r="K29" s="925">
        <f t="shared" si="16"/>
        <v>0</v>
      </c>
      <c r="L29" s="925">
        <f t="shared" si="16"/>
        <v>0</v>
      </c>
      <c r="M29" s="925">
        <f t="shared" si="16"/>
        <v>0</v>
      </c>
      <c r="N29" s="925">
        <f t="shared" si="16"/>
        <v>0</v>
      </c>
      <c r="O29" s="925">
        <f t="shared" si="16"/>
        <v>0</v>
      </c>
      <c r="P29" s="925">
        <f t="shared" si="16"/>
        <v>0</v>
      </c>
      <c r="Q29" s="926">
        <f t="shared" si="16"/>
        <v>0</v>
      </c>
      <c r="R29" s="27"/>
      <c r="S29" s="839">
        <f t="shared" si="13"/>
        <v>0</v>
      </c>
      <c r="T29" s="27"/>
      <c r="U29" s="435">
        <f>IF(AND(W29&gt;=$U$1,W29&lt;=$U$2),IF(X29='ESTRATTO CONTO'!$E$2,1+COUNTIF(U$4:U28,"&gt;0"),0),0)</f>
        <v>0</v>
      </c>
      <c r="V29" s="417">
        <f t="shared" si="11"/>
        <v>26</v>
      </c>
      <c r="W29" s="509">
        <f>ENTI!W29+1</f>
        <v>45609</v>
      </c>
      <c r="X29" s="321" t="s">
        <v>52</v>
      </c>
      <c r="Y29" s="321"/>
      <c r="Z29" s="433">
        <v>100</v>
      </c>
      <c r="AA29" s="918">
        <f t="shared" si="0"/>
        <v>0</v>
      </c>
      <c r="AB29" s="306" t="str">
        <f t="shared" si="1"/>
        <v>11Risc.to - Manutenzioni ordinarie</v>
      </c>
      <c r="AC29" s="788"/>
      <c r="AD29" s="119">
        <f t="shared" si="15"/>
        <v>10</v>
      </c>
      <c r="AE29" s="108">
        <f t="shared" si="15"/>
        <v>10</v>
      </c>
      <c r="AF29" s="108">
        <f t="shared" si="15"/>
        <v>20</v>
      </c>
      <c r="AG29" s="108"/>
      <c r="AH29" s="108"/>
      <c r="AI29" s="108"/>
      <c r="AJ29" s="108"/>
      <c r="AK29" s="108"/>
      <c r="AL29" s="108">
        <f t="shared" si="3"/>
        <v>20</v>
      </c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20">
        <f t="shared" si="4"/>
        <v>40</v>
      </c>
      <c r="CL29" s="122">
        <f t="shared" si="5"/>
        <v>11</v>
      </c>
      <c r="CM29" s="524">
        <f t="shared" si="7"/>
        <v>0</v>
      </c>
      <c r="CN29" s="526">
        <f t="shared" si="8"/>
        <v>100</v>
      </c>
      <c r="CO29" s="122" t="str">
        <f t="shared" si="9"/>
        <v>Risc.to - Manutenzioni ordinarie</v>
      </c>
      <c r="CP29" s="45" t="str">
        <f t="shared" si="6"/>
        <v>1 - in MILLESIMI   I</v>
      </c>
      <c r="CQ29" s="1"/>
    </row>
    <row r="30" spans="1:95" ht="16.5" customHeight="1">
      <c r="A30" s="435">
        <v>22</v>
      </c>
      <c r="B30" s="1222"/>
      <c r="C30" s="1223"/>
      <c r="D30" s="1223"/>
      <c r="E30" s="1224"/>
      <c r="F30" s="924">
        <f t="shared" si="16"/>
        <v>0</v>
      </c>
      <c r="G30" s="925">
        <f t="shared" si="16"/>
        <v>0</v>
      </c>
      <c r="H30" s="925">
        <f t="shared" si="16"/>
        <v>0</v>
      </c>
      <c r="I30" s="925">
        <f t="shared" si="16"/>
        <v>0</v>
      </c>
      <c r="J30" s="925">
        <f t="shared" si="16"/>
        <v>0</v>
      </c>
      <c r="K30" s="925">
        <f t="shared" si="16"/>
        <v>0</v>
      </c>
      <c r="L30" s="925">
        <f t="shared" si="16"/>
        <v>0</v>
      </c>
      <c r="M30" s="925">
        <f t="shared" si="16"/>
        <v>0</v>
      </c>
      <c r="N30" s="925">
        <f t="shared" si="16"/>
        <v>0</v>
      </c>
      <c r="O30" s="925">
        <f t="shared" si="16"/>
        <v>0</v>
      </c>
      <c r="P30" s="925">
        <f t="shared" si="16"/>
        <v>0</v>
      </c>
      <c r="Q30" s="926">
        <f t="shared" si="16"/>
        <v>0</v>
      </c>
      <c r="R30" s="27"/>
      <c r="S30" s="839">
        <f t="shared" si="13"/>
        <v>0</v>
      </c>
      <c r="T30" s="27"/>
      <c r="U30" s="435">
        <f>IF(AND(W30&gt;=$U$1,W30&lt;=$U$2),IF(X30='ESTRATTO CONTO'!$E$2,1+COUNTIF(U$4:U29,"&gt;0"),0),0)</f>
        <v>0</v>
      </c>
      <c r="V30" s="417">
        <f t="shared" si="11"/>
        <v>27</v>
      </c>
      <c r="W30" s="509">
        <f>ENTI!W30+1</f>
        <v>45621</v>
      </c>
      <c r="X30" s="321" t="s">
        <v>53</v>
      </c>
      <c r="Y30" s="321"/>
      <c r="Z30" s="433">
        <v>100</v>
      </c>
      <c r="AA30" s="918">
        <f t="shared" si="0"/>
        <v>0</v>
      </c>
      <c r="AB30" s="306" t="str">
        <f t="shared" si="1"/>
        <v>11Risc.to - Rip. e Manut.ni straordinarie</v>
      </c>
      <c r="AC30" s="788"/>
      <c r="AD30" s="119">
        <f t="shared" si="15"/>
        <v>10</v>
      </c>
      <c r="AE30" s="108">
        <f t="shared" si="15"/>
        <v>10</v>
      </c>
      <c r="AF30" s="108">
        <f t="shared" si="15"/>
        <v>20</v>
      </c>
      <c r="AG30" s="108"/>
      <c r="AH30" s="108"/>
      <c r="AI30" s="108"/>
      <c r="AJ30" s="108"/>
      <c r="AK30" s="108"/>
      <c r="AL30" s="108">
        <f t="shared" si="3"/>
        <v>20</v>
      </c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20">
        <f t="shared" si="4"/>
        <v>40</v>
      </c>
      <c r="CL30" s="122">
        <f t="shared" si="5"/>
        <v>11</v>
      </c>
      <c r="CM30" s="524">
        <f t="shared" si="7"/>
        <v>0</v>
      </c>
      <c r="CN30" s="526">
        <f t="shared" si="8"/>
        <v>100</v>
      </c>
      <c r="CO30" s="122" t="str">
        <f t="shared" si="9"/>
        <v>Risc.to - Rip. e Manut.ni straordinarie</v>
      </c>
      <c r="CP30" s="45" t="str">
        <f t="shared" si="6"/>
        <v>1 - in MILLESIMI   I</v>
      </c>
      <c r="CQ30" s="1"/>
    </row>
    <row r="31" spans="1:95" ht="16.5" customHeight="1">
      <c r="A31" s="435">
        <v>23</v>
      </c>
      <c r="B31" s="1222"/>
      <c r="C31" s="1223"/>
      <c r="D31" s="1223"/>
      <c r="E31" s="1224"/>
      <c r="F31" s="924">
        <f t="shared" si="16"/>
        <v>0</v>
      </c>
      <c r="G31" s="925">
        <f t="shared" si="16"/>
        <v>0</v>
      </c>
      <c r="H31" s="925">
        <f t="shared" si="16"/>
        <v>0</v>
      </c>
      <c r="I31" s="925">
        <f t="shared" si="16"/>
        <v>0</v>
      </c>
      <c r="J31" s="925">
        <f t="shared" si="16"/>
        <v>0</v>
      </c>
      <c r="K31" s="925">
        <f t="shared" si="16"/>
        <v>0</v>
      </c>
      <c r="L31" s="925">
        <f t="shared" si="16"/>
        <v>0</v>
      </c>
      <c r="M31" s="925">
        <f t="shared" si="16"/>
        <v>0</v>
      </c>
      <c r="N31" s="925">
        <f t="shared" si="16"/>
        <v>0</v>
      </c>
      <c r="O31" s="925">
        <f t="shared" si="16"/>
        <v>0</v>
      </c>
      <c r="P31" s="925">
        <f t="shared" si="16"/>
        <v>0</v>
      </c>
      <c r="Q31" s="926">
        <f t="shared" si="16"/>
        <v>0</v>
      </c>
      <c r="R31" s="27"/>
      <c r="S31" s="839">
        <f t="shared" si="13"/>
        <v>0</v>
      </c>
      <c r="T31" s="27"/>
      <c r="U31" s="435">
        <f>IF(AND(W31&gt;=$U$1,W31&lt;=$U$2),IF(X31='ESTRATTO CONTO'!$E$2,1+COUNTIF(U$4:U30,"&gt;0"),0),0)</f>
        <v>0</v>
      </c>
      <c r="V31" s="417">
        <f t="shared" si="11"/>
        <v>28</v>
      </c>
      <c r="W31" s="509">
        <f>ENTI!W31+1</f>
        <v>45633</v>
      </c>
      <c r="X31" s="321" t="s">
        <v>54</v>
      </c>
      <c r="Y31" s="321"/>
      <c r="Z31" s="433">
        <v>100</v>
      </c>
      <c r="AA31" s="918">
        <f t="shared" si="0"/>
        <v>0</v>
      </c>
      <c r="AB31" s="306" t="str">
        <f t="shared" si="1"/>
        <v>12Illuminazione</v>
      </c>
      <c r="AC31" s="788"/>
      <c r="AD31" s="119">
        <f t="shared" si="15"/>
        <v>10</v>
      </c>
      <c r="AE31" s="108">
        <f t="shared" si="15"/>
        <v>10</v>
      </c>
      <c r="AF31" s="108">
        <f t="shared" si="15"/>
        <v>20</v>
      </c>
      <c r="AG31" s="108"/>
      <c r="AH31" s="108"/>
      <c r="AI31" s="108"/>
      <c r="AJ31" s="108"/>
      <c r="AK31" s="108"/>
      <c r="AL31" s="108">
        <f t="shared" si="3"/>
        <v>20</v>
      </c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20">
        <f t="shared" si="4"/>
        <v>40</v>
      </c>
      <c r="CL31" s="122">
        <f t="shared" si="5"/>
        <v>12</v>
      </c>
      <c r="CM31" s="524">
        <f t="shared" si="7"/>
        <v>0</v>
      </c>
      <c r="CN31" s="526">
        <f t="shared" si="8"/>
        <v>100</v>
      </c>
      <c r="CO31" s="122" t="str">
        <f t="shared" si="9"/>
        <v>Illuminazione</v>
      </c>
      <c r="CP31" s="45" t="str">
        <f t="shared" si="6"/>
        <v>1 - in MILLESIMI   I</v>
      </c>
      <c r="CQ31" s="1"/>
    </row>
    <row r="32" spans="1:95" ht="16.5" customHeight="1">
      <c r="A32" s="435">
        <v>24</v>
      </c>
      <c r="B32" s="1222"/>
      <c r="C32" s="1223"/>
      <c r="D32" s="1223"/>
      <c r="E32" s="1224"/>
      <c r="F32" s="924">
        <f t="shared" si="16"/>
        <v>0</v>
      </c>
      <c r="G32" s="925">
        <f t="shared" si="16"/>
        <v>0</v>
      </c>
      <c r="H32" s="925">
        <f t="shared" si="16"/>
        <v>0</v>
      </c>
      <c r="I32" s="925">
        <f t="shared" si="16"/>
        <v>0</v>
      </c>
      <c r="J32" s="925">
        <f t="shared" si="16"/>
        <v>0</v>
      </c>
      <c r="K32" s="925">
        <f t="shared" si="16"/>
        <v>0</v>
      </c>
      <c r="L32" s="925">
        <f t="shared" si="16"/>
        <v>0</v>
      </c>
      <c r="M32" s="925">
        <f t="shared" si="16"/>
        <v>0</v>
      </c>
      <c r="N32" s="925">
        <f t="shared" si="16"/>
        <v>0</v>
      </c>
      <c r="O32" s="925">
        <f t="shared" si="16"/>
        <v>0</v>
      </c>
      <c r="P32" s="925">
        <f t="shared" si="16"/>
        <v>0</v>
      </c>
      <c r="Q32" s="926">
        <f t="shared" si="16"/>
        <v>0</v>
      </c>
      <c r="R32" s="27"/>
      <c r="S32" s="839">
        <f t="shared" si="13"/>
        <v>0</v>
      </c>
      <c r="T32" s="27"/>
      <c r="U32" s="435">
        <f>IF(AND(W32&gt;=$U$1,W32&lt;=$U$2),IF(X32='ESTRATTO CONTO'!$E$2,1+COUNTIF(U$4:U31,"&gt;0"),0),0)</f>
        <v>0</v>
      </c>
      <c r="V32" s="417">
        <f t="shared" si="11"/>
        <v>29</v>
      </c>
      <c r="W32" s="509">
        <f>ENTI!W32+1</f>
        <v>45645</v>
      </c>
      <c r="X32" s="321" t="s">
        <v>55</v>
      </c>
      <c r="Y32" s="321"/>
      <c r="Z32" s="433">
        <v>100</v>
      </c>
      <c r="AA32" s="918">
        <f t="shared" si="0"/>
        <v>0</v>
      </c>
      <c r="AB32" s="306" t="str">
        <f t="shared" si="1"/>
        <v>12Piccole manutenzioni ordinarie</v>
      </c>
      <c r="AC32" s="788"/>
      <c r="AD32" s="119">
        <f t="shared" si="15"/>
        <v>10</v>
      </c>
      <c r="AE32" s="108">
        <f t="shared" si="15"/>
        <v>10</v>
      </c>
      <c r="AF32" s="108">
        <f t="shared" si="15"/>
        <v>20</v>
      </c>
      <c r="AG32" s="108"/>
      <c r="AH32" s="108"/>
      <c r="AI32" s="108"/>
      <c r="AJ32" s="108"/>
      <c r="AK32" s="108"/>
      <c r="AL32" s="108">
        <f t="shared" si="3"/>
        <v>20</v>
      </c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20">
        <f t="shared" si="4"/>
        <v>40</v>
      </c>
      <c r="CL32" s="122">
        <f t="shared" si="5"/>
        <v>12</v>
      </c>
      <c r="CM32" s="524">
        <f t="shared" si="7"/>
        <v>0</v>
      </c>
      <c r="CN32" s="526">
        <f t="shared" si="8"/>
        <v>100</v>
      </c>
      <c r="CO32" s="122" t="str">
        <f t="shared" si="9"/>
        <v>Piccole manutenzioni ordinarie</v>
      </c>
      <c r="CP32" s="45" t="str">
        <f t="shared" si="6"/>
        <v>1 - in MILLESIMI   I</v>
      </c>
      <c r="CQ32" s="1"/>
    </row>
    <row r="33" spans="1:95" ht="16.5" customHeight="1">
      <c r="A33" s="435">
        <v>25</v>
      </c>
      <c r="B33" s="1222"/>
      <c r="C33" s="1223"/>
      <c r="D33" s="1223"/>
      <c r="E33" s="1224"/>
      <c r="F33" s="924">
        <f t="shared" si="16"/>
        <v>0</v>
      </c>
      <c r="G33" s="925">
        <f t="shared" si="16"/>
        <v>0</v>
      </c>
      <c r="H33" s="925">
        <f t="shared" si="16"/>
        <v>0</v>
      </c>
      <c r="I33" s="925">
        <f t="shared" si="16"/>
        <v>0</v>
      </c>
      <c r="J33" s="925">
        <f t="shared" si="16"/>
        <v>0</v>
      </c>
      <c r="K33" s="925">
        <f t="shared" si="16"/>
        <v>0</v>
      </c>
      <c r="L33" s="925">
        <f t="shared" si="16"/>
        <v>0</v>
      </c>
      <c r="M33" s="925">
        <f t="shared" si="16"/>
        <v>0</v>
      </c>
      <c r="N33" s="925">
        <f t="shared" si="16"/>
        <v>0</v>
      </c>
      <c r="O33" s="925">
        <f t="shared" si="16"/>
        <v>0</v>
      </c>
      <c r="P33" s="925">
        <f t="shared" si="16"/>
        <v>0</v>
      </c>
      <c r="Q33" s="926">
        <f t="shared" si="16"/>
        <v>0</v>
      </c>
      <c r="R33" s="27"/>
      <c r="S33" s="839">
        <f t="shared" si="13"/>
        <v>0</v>
      </c>
      <c r="T33" s="27"/>
      <c r="U33" s="435">
        <f>IF(AND(W33&gt;=$U$1,W33&lt;=$U$2),IF(X33='ESTRATTO CONTO'!$E$2,1+COUNTIF(U$4:U32,"&gt;0"),0),0)</f>
        <v>0</v>
      </c>
      <c r="V33" s="417">
        <f t="shared" si="11"/>
        <v>30</v>
      </c>
      <c r="W33" s="509">
        <f>ENTI!W33+1</f>
        <v>45657</v>
      </c>
      <c r="X33" s="321" t="s">
        <v>31</v>
      </c>
      <c r="Y33" s="321"/>
      <c r="Z33" s="433">
        <v>100</v>
      </c>
      <c r="AA33" s="918">
        <f t="shared" si="0"/>
        <v>0</v>
      </c>
      <c r="AB33" s="306" t="str">
        <f t="shared" si="1"/>
        <v>12Giardino</v>
      </c>
      <c r="AC33" s="788"/>
      <c r="AD33" s="119">
        <f t="shared" si="15"/>
        <v>10</v>
      </c>
      <c r="AE33" s="108">
        <f t="shared" si="15"/>
        <v>10</v>
      </c>
      <c r="AF33" s="108">
        <f t="shared" si="15"/>
        <v>20</v>
      </c>
      <c r="AG33" s="108"/>
      <c r="AH33" s="108"/>
      <c r="AI33" s="108"/>
      <c r="AJ33" s="108"/>
      <c r="AK33" s="108"/>
      <c r="AL33" s="108">
        <f t="shared" si="3"/>
        <v>20</v>
      </c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20">
        <f t="shared" si="4"/>
        <v>40</v>
      </c>
      <c r="CL33" s="122">
        <f t="shared" si="5"/>
        <v>12</v>
      </c>
      <c r="CM33" s="524">
        <f t="shared" si="7"/>
        <v>0</v>
      </c>
      <c r="CN33" s="526">
        <f t="shared" si="8"/>
        <v>100</v>
      </c>
      <c r="CO33" s="122" t="str">
        <f t="shared" si="9"/>
        <v>Giardino</v>
      </c>
      <c r="CP33" s="45" t="str">
        <f t="shared" si="6"/>
        <v>1 - in MILLESIMI   I</v>
      </c>
      <c r="CQ33" s="1"/>
    </row>
    <row r="34" spans="1:95" ht="16.5" customHeight="1">
      <c r="A34" s="435">
        <v>26</v>
      </c>
      <c r="B34" s="1222"/>
      <c r="C34" s="1223"/>
      <c r="D34" s="1223"/>
      <c r="E34" s="1224"/>
      <c r="F34" s="924">
        <f t="shared" si="16"/>
        <v>0</v>
      </c>
      <c r="G34" s="925">
        <f t="shared" si="16"/>
        <v>0</v>
      </c>
      <c r="H34" s="925">
        <f t="shared" si="16"/>
        <v>0</v>
      </c>
      <c r="I34" s="925">
        <f t="shared" si="16"/>
        <v>0</v>
      </c>
      <c r="J34" s="925">
        <f t="shared" si="16"/>
        <v>0</v>
      </c>
      <c r="K34" s="925">
        <f t="shared" si="16"/>
        <v>0</v>
      </c>
      <c r="L34" s="925">
        <f t="shared" si="16"/>
        <v>0</v>
      </c>
      <c r="M34" s="925">
        <f t="shared" si="16"/>
        <v>0</v>
      </c>
      <c r="N34" s="925">
        <f t="shared" si="16"/>
        <v>0</v>
      </c>
      <c r="O34" s="925">
        <f t="shared" si="16"/>
        <v>0</v>
      </c>
      <c r="P34" s="925">
        <f t="shared" si="16"/>
        <v>0</v>
      </c>
      <c r="Q34" s="926">
        <f t="shared" si="16"/>
        <v>0</v>
      </c>
      <c r="R34" s="27"/>
      <c r="S34" s="839">
        <f t="shared" si="13"/>
        <v>0</v>
      </c>
      <c r="T34" s="27"/>
      <c r="U34" s="435">
        <f>IF(AND(W34&gt;=$U$1,W34&lt;=$U$2),IF(X34='ESTRATTO CONTO'!$E$2,1+COUNTIF(U$4:U33,"&gt;0"),0),0)</f>
        <v>0</v>
      </c>
      <c r="V34" s="417">
        <f t="shared" si="11"/>
        <v>31</v>
      </c>
      <c r="W34" s="509"/>
      <c r="X34" s="321"/>
      <c r="Y34" s="321"/>
      <c r="Z34" s="433"/>
      <c r="AA34" s="918">
        <f t="shared" si="0"/>
        <v>1</v>
      </c>
      <c r="AB34" s="306" t="str">
        <f t="shared" si="1"/>
        <v/>
      </c>
      <c r="AC34" s="788"/>
      <c r="AD34" s="119">
        <f t="shared" si="15"/>
        <v>0</v>
      </c>
      <c r="AE34" s="108">
        <f t="shared" si="15"/>
        <v>0</v>
      </c>
      <c r="AF34" s="108">
        <f t="shared" si="15"/>
        <v>0</v>
      </c>
      <c r="AG34" s="108"/>
      <c r="AH34" s="108"/>
      <c r="AI34" s="108"/>
      <c r="AJ34" s="108"/>
      <c r="AK34" s="108"/>
      <c r="AL34" s="108">
        <f t="shared" si="3"/>
        <v>0</v>
      </c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20">
        <f t="shared" si="4"/>
        <v>0</v>
      </c>
      <c r="CL34" s="122">
        <f t="shared" si="5"/>
        <v>0</v>
      </c>
      <c r="CM34" s="524" t="str">
        <f t="shared" si="7"/>
        <v/>
      </c>
      <c r="CN34" s="526">
        <f t="shared" si="8"/>
        <v>0</v>
      </c>
      <c r="CO34" s="122">
        <f t="shared" si="9"/>
        <v>0</v>
      </c>
      <c r="CP34" s="45" t="str">
        <f t="shared" si="6"/>
        <v>1 - in MILLESIMI   I</v>
      </c>
      <c r="CQ34" s="1"/>
    </row>
    <row r="35" spans="1:95" ht="16.5" customHeight="1">
      <c r="A35" s="435">
        <v>27</v>
      </c>
      <c r="B35" s="1222"/>
      <c r="C35" s="1223"/>
      <c r="D35" s="1223"/>
      <c r="E35" s="1224"/>
      <c r="F35" s="924">
        <f t="shared" si="16"/>
        <v>0</v>
      </c>
      <c r="G35" s="925">
        <f t="shared" si="16"/>
        <v>0</v>
      </c>
      <c r="H35" s="925">
        <f t="shared" si="16"/>
        <v>0</v>
      </c>
      <c r="I35" s="925">
        <f t="shared" si="16"/>
        <v>0</v>
      </c>
      <c r="J35" s="925">
        <f t="shared" si="16"/>
        <v>0</v>
      </c>
      <c r="K35" s="925">
        <f t="shared" si="16"/>
        <v>0</v>
      </c>
      <c r="L35" s="925">
        <f t="shared" si="16"/>
        <v>0</v>
      </c>
      <c r="M35" s="925">
        <f t="shared" si="16"/>
        <v>0</v>
      </c>
      <c r="N35" s="925">
        <f t="shared" si="16"/>
        <v>0</v>
      </c>
      <c r="O35" s="925">
        <f t="shared" si="16"/>
        <v>0</v>
      </c>
      <c r="P35" s="925">
        <f t="shared" si="16"/>
        <v>0</v>
      </c>
      <c r="Q35" s="926">
        <f t="shared" si="16"/>
        <v>0</v>
      </c>
      <c r="R35" s="27"/>
      <c r="S35" s="839">
        <f t="shared" si="13"/>
        <v>0</v>
      </c>
      <c r="T35" s="27"/>
      <c r="U35" s="435">
        <f>IF(AND(W35&gt;=$U$1,W35&lt;=$U$2),IF(X35='ESTRATTO CONTO'!$E$2,1+COUNTIF(U$4:U34,"&gt;0"),0),0)</f>
        <v>0</v>
      </c>
      <c r="V35" s="417">
        <f t="shared" si="11"/>
        <v>32</v>
      </c>
      <c r="W35" s="509"/>
      <c r="X35" s="905"/>
      <c r="Y35" s="321"/>
      <c r="Z35" s="433"/>
      <c r="AA35" s="918">
        <f t="shared" si="0"/>
        <v>1</v>
      </c>
      <c r="AB35" s="306" t="str">
        <f t="shared" si="1"/>
        <v/>
      </c>
      <c r="AC35" s="788"/>
      <c r="AD35" s="119">
        <f t="shared" si="15"/>
        <v>0</v>
      </c>
      <c r="AE35" s="108">
        <f t="shared" si="15"/>
        <v>0</v>
      </c>
      <c r="AF35" s="108">
        <f t="shared" si="15"/>
        <v>0</v>
      </c>
      <c r="AG35" s="108"/>
      <c r="AH35" s="108"/>
      <c r="AI35" s="108"/>
      <c r="AJ35" s="108"/>
      <c r="AK35" s="108"/>
      <c r="AL35" s="108">
        <f t="shared" si="3"/>
        <v>0</v>
      </c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20">
        <f t="shared" si="4"/>
        <v>0</v>
      </c>
      <c r="CL35" s="122">
        <f t="shared" si="5"/>
        <v>0</v>
      </c>
      <c r="CM35" s="524" t="str">
        <f t="shared" si="7"/>
        <v/>
      </c>
      <c r="CN35" s="526">
        <f t="shared" si="8"/>
        <v>0</v>
      </c>
      <c r="CO35" s="122">
        <f t="shared" si="9"/>
        <v>0</v>
      </c>
      <c r="CP35" s="45" t="str">
        <f t="shared" si="6"/>
        <v>1 - in MILLESIMI   I</v>
      </c>
      <c r="CQ35" s="1"/>
    </row>
    <row r="36" spans="1:95" ht="16.5" customHeight="1">
      <c r="A36" s="435">
        <v>28</v>
      </c>
      <c r="B36" s="1222"/>
      <c r="C36" s="1223"/>
      <c r="D36" s="1223"/>
      <c r="E36" s="1224"/>
      <c r="F36" s="924">
        <f t="shared" si="16"/>
        <v>0</v>
      </c>
      <c r="G36" s="925">
        <f t="shared" si="16"/>
        <v>0</v>
      </c>
      <c r="H36" s="925">
        <f t="shared" si="16"/>
        <v>0</v>
      </c>
      <c r="I36" s="925">
        <f t="shared" si="16"/>
        <v>0</v>
      </c>
      <c r="J36" s="925">
        <f t="shared" si="16"/>
        <v>0</v>
      </c>
      <c r="K36" s="925">
        <f t="shared" si="16"/>
        <v>0</v>
      </c>
      <c r="L36" s="925">
        <f t="shared" si="16"/>
        <v>0</v>
      </c>
      <c r="M36" s="925">
        <f t="shared" si="16"/>
        <v>0</v>
      </c>
      <c r="N36" s="925">
        <f t="shared" si="16"/>
        <v>0</v>
      </c>
      <c r="O36" s="925">
        <f t="shared" si="16"/>
        <v>0</v>
      </c>
      <c r="P36" s="925">
        <f t="shared" si="16"/>
        <v>0</v>
      </c>
      <c r="Q36" s="926">
        <f t="shared" si="16"/>
        <v>0</v>
      </c>
      <c r="R36" s="27"/>
      <c r="S36" s="839">
        <f t="shared" si="13"/>
        <v>0</v>
      </c>
      <c r="T36" s="27"/>
      <c r="U36" s="435">
        <f>IF(AND(W36&gt;=$U$1,W36&lt;=$U$2),IF(X36='ESTRATTO CONTO'!$E$2,1+COUNTIF(U$4:U35,"&gt;0"),0),0)</f>
        <v>0</v>
      </c>
      <c r="V36" s="417">
        <f t="shared" si="11"/>
        <v>33</v>
      </c>
      <c r="W36" s="509"/>
      <c r="X36" s="905"/>
      <c r="Y36" s="321"/>
      <c r="Z36" s="433"/>
      <c r="AA36" s="918">
        <f t="shared" si="0"/>
        <v>1</v>
      </c>
      <c r="AB36" s="306" t="str">
        <f t="shared" si="1"/>
        <v/>
      </c>
      <c r="AC36" s="788"/>
      <c r="AD36" s="119">
        <f t="shared" si="15"/>
        <v>0</v>
      </c>
      <c r="AE36" s="108">
        <f t="shared" si="15"/>
        <v>0</v>
      </c>
      <c r="AF36" s="108">
        <f t="shared" si="15"/>
        <v>0</v>
      </c>
      <c r="AG36" s="108"/>
      <c r="AH36" s="108"/>
      <c r="AI36" s="108"/>
      <c r="AJ36" s="108"/>
      <c r="AK36" s="108"/>
      <c r="AL36" s="108">
        <f t="shared" si="3"/>
        <v>0</v>
      </c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20">
        <f t="shared" si="4"/>
        <v>0</v>
      </c>
      <c r="CL36" s="122">
        <f t="shared" si="5"/>
        <v>0</v>
      </c>
      <c r="CM36" s="524" t="str">
        <f t="shared" si="7"/>
        <v/>
      </c>
      <c r="CN36" s="526">
        <f t="shared" si="8"/>
        <v>0</v>
      </c>
      <c r="CO36" s="122">
        <f t="shared" si="9"/>
        <v>0</v>
      </c>
      <c r="CP36" s="45" t="str">
        <f t="shared" si="6"/>
        <v>1 - in MILLESIMI   I</v>
      </c>
      <c r="CQ36" s="1"/>
    </row>
    <row r="37" spans="1:95" ht="16.5" customHeight="1">
      <c r="A37" s="435">
        <v>29</v>
      </c>
      <c r="B37" s="1222"/>
      <c r="C37" s="1223"/>
      <c r="D37" s="1223"/>
      <c r="E37" s="1224"/>
      <c r="F37" s="924">
        <f t="shared" si="16"/>
        <v>0</v>
      </c>
      <c r="G37" s="925">
        <f t="shared" si="16"/>
        <v>0</v>
      </c>
      <c r="H37" s="925">
        <f t="shared" si="16"/>
        <v>0</v>
      </c>
      <c r="I37" s="925">
        <f t="shared" si="16"/>
        <v>0</v>
      </c>
      <c r="J37" s="925">
        <f t="shared" si="16"/>
        <v>0</v>
      </c>
      <c r="K37" s="925">
        <f t="shared" si="16"/>
        <v>0</v>
      </c>
      <c r="L37" s="925">
        <f t="shared" si="16"/>
        <v>0</v>
      </c>
      <c r="M37" s="925">
        <f t="shared" si="16"/>
        <v>0</v>
      </c>
      <c r="N37" s="925">
        <f t="shared" si="16"/>
        <v>0</v>
      </c>
      <c r="O37" s="925">
        <f t="shared" si="16"/>
        <v>0</v>
      </c>
      <c r="P37" s="925">
        <f t="shared" si="16"/>
        <v>0</v>
      </c>
      <c r="Q37" s="926">
        <f t="shared" si="16"/>
        <v>0</v>
      </c>
      <c r="R37" s="27"/>
      <c r="S37" s="839">
        <f t="shared" si="13"/>
        <v>0</v>
      </c>
      <c r="T37" s="27"/>
      <c r="U37" s="435">
        <f>IF(AND(W37&gt;=$U$1,W37&lt;=$U$2),IF(X37='ESTRATTO CONTO'!$E$2,1+COUNTIF(U$4:U36,"&gt;0"),0),0)</f>
        <v>0</v>
      </c>
      <c r="V37" s="417">
        <f t="shared" si="11"/>
        <v>34</v>
      </c>
      <c r="W37" s="509"/>
      <c r="X37" s="905"/>
      <c r="Y37" s="321"/>
      <c r="Z37" s="433"/>
      <c r="AA37" s="918">
        <f t="shared" si="0"/>
        <v>1</v>
      </c>
      <c r="AB37" s="306" t="str">
        <f t="shared" si="1"/>
        <v/>
      </c>
      <c r="AC37" s="788"/>
      <c r="AD37" s="119">
        <f t="shared" si="15"/>
        <v>0</v>
      </c>
      <c r="AE37" s="108">
        <f t="shared" si="15"/>
        <v>0</v>
      </c>
      <c r="AF37" s="108">
        <f t="shared" si="15"/>
        <v>0</v>
      </c>
      <c r="AG37" s="108"/>
      <c r="AH37" s="108"/>
      <c r="AI37" s="108"/>
      <c r="AJ37" s="108"/>
      <c r="AK37" s="108"/>
      <c r="AL37" s="108">
        <f t="shared" si="3"/>
        <v>0</v>
      </c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20">
        <f t="shared" si="4"/>
        <v>0</v>
      </c>
      <c r="CL37" s="122">
        <f t="shared" si="5"/>
        <v>0</v>
      </c>
      <c r="CM37" s="524" t="str">
        <f t="shared" si="7"/>
        <v/>
      </c>
      <c r="CN37" s="526">
        <f t="shared" si="8"/>
        <v>0</v>
      </c>
      <c r="CO37" s="122">
        <f t="shared" si="9"/>
        <v>0</v>
      </c>
      <c r="CP37" s="45" t="str">
        <f t="shared" si="6"/>
        <v>1 - in MILLESIMI   I</v>
      </c>
      <c r="CQ37" s="1"/>
    </row>
    <row r="38" spans="1:95" ht="16.5" customHeight="1">
      <c r="A38" s="435">
        <v>30</v>
      </c>
      <c r="B38" s="1222"/>
      <c r="C38" s="1223"/>
      <c r="D38" s="1223"/>
      <c r="E38" s="1224"/>
      <c r="F38" s="924">
        <f t="shared" si="16"/>
        <v>0</v>
      </c>
      <c r="G38" s="925">
        <f t="shared" si="16"/>
        <v>0</v>
      </c>
      <c r="H38" s="925">
        <f t="shared" si="16"/>
        <v>0</v>
      </c>
      <c r="I38" s="925">
        <f t="shared" si="16"/>
        <v>0</v>
      </c>
      <c r="J38" s="925">
        <f t="shared" si="16"/>
        <v>0</v>
      </c>
      <c r="K38" s="925">
        <f t="shared" si="16"/>
        <v>0</v>
      </c>
      <c r="L38" s="925">
        <f t="shared" si="16"/>
        <v>0</v>
      </c>
      <c r="M38" s="925">
        <f t="shared" si="16"/>
        <v>0</v>
      </c>
      <c r="N38" s="925">
        <f t="shared" si="16"/>
        <v>0</v>
      </c>
      <c r="O38" s="925">
        <f t="shared" si="16"/>
        <v>0</v>
      </c>
      <c r="P38" s="925">
        <f t="shared" si="16"/>
        <v>0</v>
      </c>
      <c r="Q38" s="926">
        <f t="shared" si="16"/>
        <v>0</v>
      </c>
      <c r="R38" s="27"/>
      <c r="S38" s="839">
        <f t="shared" si="13"/>
        <v>0</v>
      </c>
      <c r="T38" s="27"/>
      <c r="U38" s="435">
        <f>IF(AND(W38&gt;=$U$1,W38&lt;=$U$2),IF(X38='ESTRATTO CONTO'!$E$2,1+COUNTIF(U$4:U37,"&gt;0"),0),0)</f>
        <v>0</v>
      </c>
      <c r="V38" s="417">
        <f t="shared" si="11"/>
        <v>35</v>
      </c>
      <c r="W38" s="509"/>
      <c r="X38" s="905"/>
      <c r="Y38" s="321"/>
      <c r="Z38" s="433"/>
      <c r="AA38" s="918">
        <f t="shared" si="0"/>
        <v>1</v>
      </c>
      <c r="AB38" s="306" t="str">
        <f t="shared" si="1"/>
        <v/>
      </c>
      <c r="AC38" s="788"/>
      <c r="AD38" s="119">
        <f t="shared" si="15"/>
        <v>0</v>
      </c>
      <c r="AE38" s="108">
        <f t="shared" si="15"/>
        <v>0</v>
      </c>
      <c r="AF38" s="108">
        <f t="shared" si="15"/>
        <v>0</v>
      </c>
      <c r="AG38" s="108"/>
      <c r="AH38" s="108"/>
      <c r="AI38" s="108"/>
      <c r="AJ38" s="108"/>
      <c r="AK38" s="108"/>
      <c r="AL38" s="108">
        <f t="shared" si="3"/>
        <v>0</v>
      </c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20">
        <f t="shared" si="4"/>
        <v>0</v>
      </c>
      <c r="CL38" s="122">
        <f t="shared" si="5"/>
        <v>0</v>
      </c>
      <c r="CM38" s="524" t="str">
        <f t="shared" si="7"/>
        <v/>
      </c>
      <c r="CN38" s="526">
        <f t="shared" si="8"/>
        <v>0</v>
      </c>
      <c r="CO38" s="122">
        <f t="shared" si="9"/>
        <v>0</v>
      </c>
      <c r="CP38" s="45" t="str">
        <f t="shared" si="6"/>
        <v>1 - in MILLESIMI   I</v>
      </c>
      <c r="CQ38" s="1"/>
    </row>
    <row r="39" spans="1:95" ht="16.5" customHeight="1">
      <c r="A39" s="435">
        <v>31</v>
      </c>
      <c r="B39" s="1222"/>
      <c r="C39" s="1223"/>
      <c r="D39" s="1223"/>
      <c r="E39" s="1224"/>
      <c r="F39" s="924">
        <f t="shared" ref="F39:Q44" si="17">SUMIF($AB$4:$AB$1003,CONCATENATE(F$1437,$B39),$Z$4:$Z$1003)</f>
        <v>0</v>
      </c>
      <c r="G39" s="925">
        <f t="shared" si="17"/>
        <v>0</v>
      </c>
      <c r="H39" s="925">
        <f t="shared" si="17"/>
        <v>0</v>
      </c>
      <c r="I39" s="925">
        <f t="shared" si="17"/>
        <v>0</v>
      </c>
      <c r="J39" s="925">
        <f t="shared" si="17"/>
        <v>0</v>
      </c>
      <c r="K39" s="925">
        <f t="shared" si="17"/>
        <v>0</v>
      </c>
      <c r="L39" s="925">
        <f t="shared" si="17"/>
        <v>0</v>
      </c>
      <c r="M39" s="925">
        <f t="shared" si="17"/>
        <v>0</v>
      </c>
      <c r="N39" s="925">
        <f t="shared" si="17"/>
        <v>0</v>
      </c>
      <c r="O39" s="925">
        <f t="shared" si="17"/>
        <v>0</v>
      </c>
      <c r="P39" s="925">
        <f t="shared" si="17"/>
        <v>0</v>
      </c>
      <c r="Q39" s="926">
        <f t="shared" si="17"/>
        <v>0</v>
      </c>
      <c r="R39" s="27"/>
      <c r="S39" s="839">
        <f t="shared" si="13"/>
        <v>0</v>
      </c>
      <c r="T39" s="27"/>
      <c r="U39" s="435">
        <f>IF(AND(W39&gt;=$U$1,W39&lt;=$U$2),IF(X39='ESTRATTO CONTO'!$E$2,1+COUNTIF(U$4:U38,"&gt;0"),0),0)</f>
        <v>0</v>
      </c>
      <c r="V39" s="417">
        <f t="shared" si="11"/>
        <v>36</v>
      </c>
      <c r="W39" s="509"/>
      <c r="X39" s="905"/>
      <c r="Y39" s="321"/>
      <c r="Z39" s="433"/>
      <c r="AA39" s="918">
        <f t="shared" si="0"/>
        <v>1</v>
      </c>
      <c r="AB39" s="306" t="str">
        <f t="shared" si="1"/>
        <v/>
      </c>
      <c r="AC39" s="788"/>
      <c r="AD39" s="119">
        <f t="shared" si="15"/>
        <v>0</v>
      </c>
      <c r="AE39" s="108">
        <f t="shared" si="15"/>
        <v>0</v>
      </c>
      <c r="AF39" s="108">
        <f t="shared" si="15"/>
        <v>0</v>
      </c>
      <c r="AG39" s="108"/>
      <c r="AH39" s="108"/>
      <c r="AI39" s="108"/>
      <c r="AJ39" s="108"/>
      <c r="AK39" s="108"/>
      <c r="AL39" s="108">
        <f t="shared" si="3"/>
        <v>0</v>
      </c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20">
        <f t="shared" si="4"/>
        <v>0</v>
      </c>
      <c r="CL39" s="122">
        <f t="shared" si="5"/>
        <v>0</v>
      </c>
      <c r="CM39" s="524" t="str">
        <f t="shared" si="7"/>
        <v/>
      </c>
      <c r="CN39" s="526">
        <f t="shared" si="8"/>
        <v>0</v>
      </c>
      <c r="CO39" s="122">
        <f t="shared" si="9"/>
        <v>0</v>
      </c>
      <c r="CP39" s="45" t="str">
        <f t="shared" si="6"/>
        <v>1 - in MILLESIMI   I</v>
      </c>
      <c r="CQ39" s="1"/>
    </row>
    <row r="40" spans="1:95" ht="16.5" customHeight="1">
      <c r="A40" s="435">
        <v>32</v>
      </c>
      <c r="B40" s="1222"/>
      <c r="C40" s="1223"/>
      <c r="D40" s="1223"/>
      <c r="E40" s="1224"/>
      <c r="F40" s="924">
        <f t="shared" si="17"/>
        <v>0</v>
      </c>
      <c r="G40" s="925">
        <f t="shared" si="17"/>
        <v>0</v>
      </c>
      <c r="H40" s="925">
        <f t="shared" si="17"/>
        <v>0</v>
      </c>
      <c r="I40" s="925">
        <f t="shared" si="17"/>
        <v>0</v>
      </c>
      <c r="J40" s="925">
        <f t="shared" si="17"/>
        <v>0</v>
      </c>
      <c r="K40" s="925">
        <f t="shared" si="17"/>
        <v>0</v>
      </c>
      <c r="L40" s="925">
        <f t="shared" si="17"/>
        <v>0</v>
      </c>
      <c r="M40" s="925">
        <f t="shared" si="17"/>
        <v>0</v>
      </c>
      <c r="N40" s="925">
        <f t="shared" si="17"/>
        <v>0</v>
      </c>
      <c r="O40" s="925">
        <f t="shared" si="17"/>
        <v>0</v>
      </c>
      <c r="P40" s="925">
        <f t="shared" si="17"/>
        <v>0</v>
      </c>
      <c r="Q40" s="926">
        <f t="shared" si="17"/>
        <v>0</v>
      </c>
      <c r="R40" s="27"/>
      <c r="S40" s="839">
        <f t="shared" si="13"/>
        <v>0</v>
      </c>
      <c r="T40" s="27"/>
      <c r="U40" s="435">
        <f>IF(AND(W40&gt;=$U$1,W40&lt;=$U$2),IF(X40='ESTRATTO CONTO'!$E$2,1+COUNTIF(U$4:U39,"&gt;0"),0),0)</f>
        <v>0</v>
      </c>
      <c r="V40" s="417">
        <f t="shared" si="11"/>
        <v>37</v>
      </c>
      <c r="W40" s="509"/>
      <c r="X40" s="905"/>
      <c r="Y40" s="321"/>
      <c r="Z40" s="433"/>
      <c r="AA40" s="918">
        <f t="shared" si="0"/>
        <v>1</v>
      </c>
      <c r="AB40" s="306" t="str">
        <f t="shared" si="1"/>
        <v/>
      </c>
      <c r="AC40" s="788"/>
      <c r="AD40" s="119">
        <f t="shared" si="15"/>
        <v>0</v>
      </c>
      <c r="AE40" s="108">
        <f t="shared" si="15"/>
        <v>0</v>
      </c>
      <c r="AF40" s="108">
        <f t="shared" si="15"/>
        <v>0</v>
      </c>
      <c r="AG40" s="108"/>
      <c r="AH40" s="108"/>
      <c r="AI40" s="108"/>
      <c r="AJ40" s="108"/>
      <c r="AK40" s="108"/>
      <c r="AL40" s="108">
        <f t="shared" si="3"/>
        <v>0</v>
      </c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20">
        <f t="shared" si="4"/>
        <v>0</v>
      </c>
      <c r="CL40" s="122">
        <f t="shared" si="5"/>
        <v>0</v>
      </c>
      <c r="CM40" s="524" t="str">
        <f t="shared" si="7"/>
        <v/>
      </c>
      <c r="CN40" s="526">
        <f t="shared" si="8"/>
        <v>0</v>
      </c>
      <c r="CO40" s="122">
        <f t="shared" si="9"/>
        <v>0</v>
      </c>
      <c r="CP40" s="45" t="str">
        <f t="shared" si="6"/>
        <v>1 - in MILLESIMI   I</v>
      </c>
      <c r="CQ40" s="1"/>
    </row>
    <row r="41" spans="1:95" ht="16.5" customHeight="1">
      <c r="A41" s="435">
        <v>33</v>
      </c>
      <c r="B41" s="1222"/>
      <c r="C41" s="1223"/>
      <c r="D41" s="1223"/>
      <c r="E41" s="1224"/>
      <c r="F41" s="924">
        <f t="shared" si="17"/>
        <v>0</v>
      </c>
      <c r="G41" s="925">
        <f t="shared" si="17"/>
        <v>0</v>
      </c>
      <c r="H41" s="925">
        <f t="shared" si="17"/>
        <v>0</v>
      </c>
      <c r="I41" s="925">
        <f t="shared" si="17"/>
        <v>0</v>
      </c>
      <c r="J41" s="925">
        <f t="shared" si="17"/>
        <v>0</v>
      </c>
      <c r="K41" s="925">
        <f t="shared" si="17"/>
        <v>0</v>
      </c>
      <c r="L41" s="925">
        <f t="shared" si="17"/>
        <v>0</v>
      </c>
      <c r="M41" s="925">
        <f t="shared" si="17"/>
        <v>0</v>
      </c>
      <c r="N41" s="925">
        <f t="shared" si="17"/>
        <v>0</v>
      </c>
      <c r="O41" s="925">
        <f t="shared" si="17"/>
        <v>0</v>
      </c>
      <c r="P41" s="925">
        <f t="shared" si="17"/>
        <v>0</v>
      </c>
      <c r="Q41" s="926">
        <f t="shared" si="17"/>
        <v>0</v>
      </c>
      <c r="R41" s="27"/>
      <c r="S41" s="839">
        <f t="shared" si="13"/>
        <v>0</v>
      </c>
      <c r="T41" s="27"/>
      <c r="U41" s="435">
        <f>IF(AND(W41&gt;=$U$1,W41&lt;=$U$2),IF(X41='ESTRATTO CONTO'!$E$2,1+COUNTIF(U$4:U40,"&gt;0"),0),0)</f>
        <v>0</v>
      </c>
      <c r="V41" s="417">
        <f t="shared" si="11"/>
        <v>38</v>
      </c>
      <c r="W41" s="509"/>
      <c r="X41" s="905"/>
      <c r="Y41" s="321"/>
      <c r="Z41" s="433"/>
      <c r="AA41" s="918">
        <f t="shared" si="0"/>
        <v>1</v>
      </c>
      <c r="AB41" s="306" t="str">
        <f t="shared" si="1"/>
        <v/>
      </c>
      <c r="AC41" s="788"/>
      <c r="AD41" s="119">
        <f t="shared" si="15"/>
        <v>0</v>
      </c>
      <c r="AE41" s="108">
        <f t="shared" si="15"/>
        <v>0</v>
      </c>
      <c r="AF41" s="108">
        <f t="shared" si="15"/>
        <v>0</v>
      </c>
      <c r="AG41" s="108"/>
      <c r="AH41" s="108"/>
      <c r="AI41" s="108"/>
      <c r="AJ41" s="108"/>
      <c r="AK41" s="108"/>
      <c r="AL41" s="108">
        <f t="shared" si="3"/>
        <v>0</v>
      </c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20">
        <f t="shared" si="4"/>
        <v>0</v>
      </c>
      <c r="CL41" s="122">
        <f t="shared" si="5"/>
        <v>0</v>
      </c>
      <c r="CM41" s="524" t="str">
        <f t="shared" si="7"/>
        <v/>
      </c>
      <c r="CN41" s="526">
        <f t="shared" si="8"/>
        <v>0</v>
      </c>
      <c r="CO41" s="122">
        <f t="shared" si="9"/>
        <v>0</v>
      </c>
      <c r="CP41" s="45" t="str">
        <f t="shared" si="6"/>
        <v>1 - in MILLESIMI   I</v>
      </c>
      <c r="CQ41" s="1"/>
    </row>
    <row r="42" spans="1:95" ht="16.5" customHeight="1">
      <c r="A42" s="435">
        <v>34</v>
      </c>
      <c r="B42" s="1222"/>
      <c r="C42" s="1223"/>
      <c r="D42" s="1223"/>
      <c r="E42" s="1224"/>
      <c r="F42" s="924">
        <f t="shared" si="17"/>
        <v>0</v>
      </c>
      <c r="G42" s="925">
        <f t="shared" si="17"/>
        <v>0</v>
      </c>
      <c r="H42" s="925">
        <f t="shared" si="17"/>
        <v>0</v>
      </c>
      <c r="I42" s="925">
        <f t="shared" si="17"/>
        <v>0</v>
      </c>
      <c r="J42" s="925">
        <f t="shared" si="17"/>
        <v>0</v>
      </c>
      <c r="K42" s="925">
        <f t="shared" si="17"/>
        <v>0</v>
      </c>
      <c r="L42" s="925">
        <f t="shared" si="17"/>
        <v>0</v>
      </c>
      <c r="M42" s="925">
        <f t="shared" si="17"/>
        <v>0</v>
      </c>
      <c r="N42" s="925">
        <f t="shared" si="17"/>
        <v>0</v>
      </c>
      <c r="O42" s="925">
        <f t="shared" si="17"/>
        <v>0</v>
      </c>
      <c r="P42" s="925">
        <f t="shared" si="17"/>
        <v>0</v>
      </c>
      <c r="Q42" s="926">
        <f t="shared" si="17"/>
        <v>0</v>
      </c>
      <c r="R42" s="27"/>
      <c r="S42" s="839">
        <f t="shared" si="13"/>
        <v>0</v>
      </c>
      <c r="T42" s="27"/>
      <c r="U42" s="435">
        <f>IF(AND(W42&gt;=$U$1,W42&lt;=$U$2),IF(X42='ESTRATTO CONTO'!$E$2,1+COUNTIF(U$4:U41,"&gt;0"),0),0)</f>
        <v>0</v>
      </c>
      <c r="V42" s="417">
        <f t="shared" si="11"/>
        <v>39</v>
      </c>
      <c r="W42" s="509"/>
      <c r="X42" s="905"/>
      <c r="Y42" s="321"/>
      <c r="Z42" s="433"/>
      <c r="AA42" s="918">
        <f t="shared" si="0"/>
        <v>1</v>
      </c>
      <c r="AB42" s="306" t="str">
        <f t="shared" si="1"/>
        <v/>
      </c>
      <c r="AC42" s="788"/>
      <c r="AD42" s="119">
        <f t="shared" si="15"/>
        <v>0</v>
      </c>
      <c r="AE42" s="108">
        <f t="shared" si="15"/>
        <v>0</v>
      </c>
      <c r="AF42" s="108">
        <f t="shared" si="15"/>
        <v>0</v>
      </c>
      <c r="AG42" s="108"/>
      <c r="AH42" s="108"/>
      <c r="AI42" s="108"/>
      <c r="AJ42" s="108"/>
      <c r="AK42" s="108"/>
      <c r="AL42" s="108">
        <f t="shared" si="3"/>
        <v>0</v>
      </c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20">
        <f t="shared" si="4"/>
        <v>0</v>
      </c>
      <c r="CL42" s="122">
        <f t="shared" si="5"/>
        <v>0</v>
      </c>
      <c r="CM42" s="524" t="str">
        <f t="shared" si="7"/>
        <v/>
      </c>
      <c r="CN42" s="526">
        <f t="shared" si="8"/>
        <v>0</v>
      </c>
      <c r="CO42" s="122">
        <f t="shared" si="9"/>
        <v>0</v>
      </c>
      <c r="CP42" s="45" t="str">
        <f t="shared" si="6"/>
        <v>1 - in MILLESIMI   I</v>
      </c>
      <c r="CQ42" s="1"/>
    </row>
    <row r="43" spans="1:95" ht="16.5" customHeight="1">
      <c r="A43" s="435">
        <v>35</v>
      </c>
      <c r="B43" s="1222"/>
      <c r="C43" s="1223"/>
      <c r="D43" s="1223"/>
      <c r="E43" s="1224"/>
      <c r="F43" s="924">
        <f t="shared" si="17"/>
        <v>0</v>
      </c>
      <c r="G43" s="925">
        <f t="shared" si="17"/>
        <v>0</v>
      </c>
      <c r="H43" s="925">
        <f t="shared" si="17"/>
        <v>0</v>
      </c>
      <c r="I43" s="925">
        <f t="shared" si="17"/>
        <v>0</v>
      </c>
      <c r="J43" s="925">
        <f t="shared" si="17"/>
        <v>0</v>
      </c>
      <c r="K43" s="925">
        <f t="shared" si="17"/>
        <v>0</v>
      </c>
      <c r="L43" s="925">
        <f t="shared" si="17"/>
        <v>0</v>
      </c>
      <c r="M43" s="925">
        <f t="shared" si="17"/>
        <v>0</v>
      </c>
      <c r="N43" s="925">
        <f t="shared" si="17"/>
        <v>0</v>
      </c>
      <c r="O43" s="925">
        <f t="shared" si="17"/>
        <v>0</v>
      </c>
      <c r="P43" s="925">
        <f t="shared" si="17"/>
        <v>0</v>
      </c>
      <c r="Q43" s="926">
        <f t="shared" si="17"/>
        <v>0</v>
      </c>
      <c r="R43" s="27"/>
      <c r="S43" s="839">
        <f t="shared" si="13"/>
        <v>0</v>
      </c>
      <c r="T43" s="27"/>
      <c r="U43" s="435">
        <f>IF(AND(W43&gt;=$U$1,W43&lt;=$U$2),IF(X43='ESTRATTO CONTO'!$E$2,1+COUNTIF(U$4:U42,"&gt;0"),0),0)</f>
        <v>0</v>
      </c>
      <c r="V43" s="417">
        <f t="shared" si="11"/>
        <v>40</v>
      </c>
      <c r="W43" s="509"/>
      <c r="X43" s="905"/>
      <c r="Y43" s="321"/>
      <c r="Z43" s="433"/>
      <c r="AA43" s="918">
        <f t="shared" si="0"/>
        <v>1</v>
      </c>
      <c r="AB43" s="306" t="str">
        <f t="shared" si="1"/>
        <v/>
      </c>
      <c r="AC43" s="788"/>
      <c r="AD43" s="119">
        <f t="shared" si="15"/>
        <v>0</v>
      </c>
      <c r="AE43" s="108">
        <f t="shared" si="15"/>
        <v>0</v>
      </c>
      <c r="AF43" s="108">
        <f t="shared" si="15"/>
        <v>0</v>
      </c>
      <c r="AG43" s="108"/>
      <c r="AH43" s="108"/>
      <c r="AI43" s="108"/>
      <c r="AJ43" s="108"/>
      <c r="AK43" s="108"/>
      <c r="AL43" s="108">
        <f t="shared" si="3"/>
        <v>0</v>
      </c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20">
        <f t="shared" si="4"/>
        <v>0</v>
      </c>
      <c r="CL43" s="122">
        <f t="shared" si="5"/>
        <v>0</v>
      </c>
      <c r="CM43" s="524" t="str">
        <f t="shared" si="7"/>
        <v/>
      </c>
      <c r="CN43" s="526">
        <f t="shared" si="8"/>
        <v>0</v>
      </c>
      <c r="CO43" s="122">
        <f t="shared" si="9"/>
        <v>0</v>
      </c>
      <c r="CP43" s="45" t="str">
        <f t="shared" si="6"/>
        <v>1 - in MILLESIMI   I</v>
      </c>
      <c r="CQ43" s="1"/>
    </row>
    <row r="44" spans="1:95" ht="16.5" customHeight="1">
      <c r="A44" s="435">
        <v>36</v>
      </c>
      <c r="B44" s="1222" t="s">
        <v>586</v>
      </c>
      <c r="C44" s="1223"/>
      <c r="D44" s="1223"/>
      <c r="E44" s="1224"/>
      <c r="F44" s="924">
        <f t="shared" si="17"/>
        <v>0</v>
      </c>
      <c r="G44" s="925">
        <f t="shared" si="17"/>
        <v>0</v>
      </c>
      <c r="H44" s="925">
        <f t="shared" si="17"/>
        <v>0</v>
      </c>
      <c r="I44" s="925">
        <f t="shared" si="17"/>
        <v>0</v>
      </c>
      <c r="J44" s="925">
        <f t="shared" si="17"/>
        <v>0</v>
      </c>
      <c r="K44" s="925">
        <f t="shared" si="17"/>
        <v>0</v>
      </c>
      <c r="L44" s="925">
        <f t="shared" si="17"/>
        <v>0</v>
      </c>
      <c r="M44" s="925">
        <f t="shared" si="17"/>
        <v>50</v>
      </c>
      <c r="N44" s="925">
        <f t="shared" si="17"/>
        <v>0</v>
      </c>
      <c r="O44" s="925">
        <f t="shared" si="17"/>
        <v>0</v>
      </c>
      <c r="P44" s="925">
        <f t="shared" si="17"/>
        <v>0</v>
      </c>
      <c r="Q44" s="926">
        <f t="shared" si="17"/>
        <v>0</v>
      </c>
      <c r="R44" s="27"/>
      <c r="S44" s="839">
        <f t="shared" si="13"/>
        <v>50</v>
      </c>
      <c r="T44" s="27"/>
      <c r="U44" s="435">
        <f>IF(AND(W44&gt;=$U$1,W44&lt;=$U$2),IF(X44='ESTRATTO CONTO'!$E$2,1+COUNTIF(U$4:U43,"&gt;0"),0),0)</f>
        <v>0</v>
      </c>
      <c r="V44" s="417">
        <f t="shared" si="11"/>
        <v>41</v>
      </c>
      <c r="W44" s="509"/>
      <c r="X44" s="321"/>
      <c r="Y44" s="321"/>
      <c r="Z44" s="433"/>
      <c r="AA44" s="918">
        <f t="shared" si="0"/>
        <v>1</v>
      </c>
      <c r="AB44" s="306" t="str">
        <f t="shared" si="1"/>
        <v/>
      </c>
      <c r="AC44" s="788"/>
      <c r="AD44" s="119">
        <f t="shared" ref="AD44:AF63" si="18">IF($AB44=0,0,ROUND($Z44*VLOOKUP(AD$2,$F$1010:$Q$1014,VLOOKUP($CP44,$C$1076:$E$1081,3,FALSE),FALSE),2))</f>
        <v>0</v>
      </c>
      <c r="AE44" s="108">
        <f t="shared" si="18"/>
        <v>0</v>
      </c>
      <c r="AF44" s="108">
        <f t="shared" si="18"/>
        <v>0</v>
      </c>
      <c r="AG44" s="108"/>
      <c r="AH44" s="108"/>
      <c r="AI44" s="108"/>
      <c r="AJ44" s="108"/>
      <c r="AK44" s="108"/>
      <c r="AL44" s="108">
        <f t="shared" si="3"/>
        <v>0</v>
      </c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20">
        <f t="shared" si="4"/>
        <v>0</v>
      </c>
      <c r="CL44" s="122">
        <f t="shared" si="5"/>
        <v>0</v>
      </c>
      <c r="CM44" s="524" t="str">
        <f t="shared" si="7"/>
        <v/>
      </c>
      <c r="CN44" s="526">
        <f t="shared" si="8"/>
        <v>0</v>
      </c>
      <c r="CO44" s="122">
        <f t="shared" si="9"/>
        <v>0</v>
      </c>
      <c r="CP44" s="45" t="str">
        <f t="shared" si="6"/>
        <v>1 - in MILLESIMI   I</v>
      </c>
      <c r="CQ44" s="1"/>
    </row>
    <row r="45" spans="1:95" ht="16.5" customHeight="1">
      <c r="A45" s="793" t="s">
        <v>457</v>
      </c>
      <c r="B45" s="1297" t="str">
        <f>B78</f>
        <v>AMMINISTRATORE</v>
      </c>
      <c r="C45" s="1298"/>
      <c r="D45" s="1298"/>
      <c r="E45" s="1298"/>
      <c r="F45" s="543">
        <f t="shared" ref="F45:Q45" ca="1" si="19">IF(ISERROR(F1423),0,IF(F1423=0,0,SUMIF($B$89:$B$140,F1437,$L$89:$L$140)+SUMIF($AB$4:$AB$1003,CONCATENATE(F$1437,$B45),$Z$4:$Z$1003)))</f>
        <v>305</v>
      </c>
      <c r="G45" s="543">
        <f t="shared" ca="1" si="19"/>
        <v>200</v>
      </c>
      <c r="H45" s="543">
        <f t="shared" ca="1" si="19"/>
        <v>200</v>
      </c>
      <c r="I45" s="543">
        <f t="shared" ca="1" si="19"/>
        <v>200</v>
      </c>
      <c r="J45" s="543">
        <f t="shared" ca="1" si="19"/>
        <v>100</v>
      </c>
      <c r="K45" s="543">
        <f t="shared" ca="1" si="19"/>
        <v>0</v>
      </c>
      <c r="L45" s="543">
        <f t="shared" ca="1" si="19"/>
        <v>0</v>
      </c>
      <c r="M45" s="543">
        <f t="shared" ca="1" si="19"/>
        <v>0</v>
      </c>
      <c r="N45" s="543">
        <f t="shared" ca="1" si="19"/>
        <v>0</v>
      </c>
      <c r="O45" s="543">
        <f t="shared" ca="1" si="19"/>
        <v>0</v>
      </c>
      <c r="P45" s="543">
        <f t="shared" ca="1" si="19"/>
        <v>0</v>
      </c>
      <c r="Q45" s="543">
        <f t="shared" ca="1" si="19"/>
        <v>0</v>
      </c>
      <c r="R45" s="663"/>
      <c r="S45" s="543">
        <f t="shared" ca="1" si="13"/>
        <v>1005</v>
      </c>
      <c r="T45" s="27"/>
      <c r="U45" s="435">
        <f>IF(AND(W45&gt;=$U$1,W45&lt;=$U$2),IF(X45='ESTRATTO CONTO'!$E$2,1+COUNTIF(U$4:U44,"&gt;0"),0),0)</f>
        <v>0</v>
      </c>
      <c r="V45" s="417">
        <f t="shared" si="11"/>
        <v>42</v>
      </c>
      <c r="W45" s="509"/>
      <c r="X45" s="321"/>
      <c r="Y45" s="321"/>
      <c r="Z45" s="433"/>
      <c r="AA45" s="918">
        <f t="shared" si="0"/>
        <v>1</v>
      </c>
      <c r="AB45" s="306" t="str">
        <f t="shared" si="1"/>
        <v/>
      </c>
      <c r="AC45" s="788"/>
      <c r="AD45" s="119">
        <f t="shared" si="18"/>
        <v>0</v>
      </c>
      <c r="AE45" s="108">
        <f t="shared" si="18"/>
        <v>0</v>
      </c>
      <c r="AF45" s="108">
        <f t="shared" si="18"/>
        <v>0</v>
      </c>
      <c r="AG45" s="108"/>
      <c r="AH45" s="108"/>
      <c r="AI45" s="108"/>
      <c r="AJ45" s="108"/>
      <c r="AK45" s="108"/>
      <c r="AL45" s="108">
        <f t="shared" si="3"/>
        <v>0</v>
      </c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20">
        <f t="shared" si="4"/>
        <v>0</v>
      </c>
      <c r="CL45" s="122">
        <f t="shared" si="5"/>
        <v>0</v>
      </c>
      <c r="CM45" s="524" t="str">
        <f t="shared" si="7"/>
        <v/>
      </c>
      <c r="CN45" s="526">
        <f t="shared" si="8"/>
        <v>0</v>
      </c>
      <c r="CO45" s="122">
        <f t="shared" si="9"/>
        <v>0</v>
      </c>
      <c r="CP45" s="45" t="str">
        <f t="shared" si="6"/>
        <v>1 - in MILLESIMI   I</v>
      </c>
      <c r="CQ45" s="1"/>
    </row>
    <row r="46" spans="1:95" ht="16.5" customHeight="1">
      <c r="A46" s="3"/>
      <c r="B46" s="662"/>
      <c r="C46" s="662"/>
      <c r="D46" s="662"/>
      <c r="E46" s="662"/>
      <c r="F46" s="662"/>
      <c r="G46" s="662"/>
      <c r="H46" s="662"/>
      <c r="I46" s="662"/>
      <c r="J46" s="662"/>
      <c r="K46" s="662"/>
      <c r="L46" s="662"/>
      <c r="M46" s="662"/>
      <c r="N46" s="662"/>
      <c r="O46" s="662"/>
      <c r="P46" s="662"/>
      <c r="Q46" s="1041" t="s">
        <v>524</v>
      </c>
      <c r="R46" s="90"/>
      <c r="S46" s="938">
        <f ca="1">IF(AND($J$1444=0,$P$4=$N$1417),0,(SUM(AD4:CK1003)+F72)-SUM(S9:S45)+RIPARTIZIONI!T56)</f>
        <v>0</v>
      </c>
      <c r="T46" s="3"/>
      <c r="U46" s="435">
        <f>IF(AND(W46&gt;=$U$1,W46&lt;=$U$2),IF(X46='ESTRATTO CONTO'!$E$2,1+COUNTIF(U$4:U45,"&gt;0"),0),0)</f>
        <v>0</v>
      </c>
      <c r="V46" s="417">
        <f t="shared" si="11"/>
        <v>43</v>
      </c>
      <c r="W46" s="509"/>
      <c r="X46" s="321"/>
      <c r="Y46" s="321"/>
      <c r="Z46" s="433"/>
      <c r="AA46" s="918">
        <f t="shared" si="0"/>
        <v>1</v>
      </c>
      <c r="AB46" s="306" t="str">
        <f t="shared" si="1"/>
        <v/>
      </c>
      <c r="AC46" s="788"/>
      <c r="AD46" s="119">
        <f t="shared" si="18"/>
        <v>0</v>
      </c>
      <c r="AE46" s="108">
        <f t="shared" si="18"/>
        <v>0</v>
      </c>
      <c r="AF46" s="108">
        <f t="shared" si="18"/>
        <v>0</v>
      </c>
      <c r="AG46" s="108"/>
      <c r="AH46" s="108"/>
      <c r="AI46" s="108"/>
      <c r="AJ46" s="108"/>
      <c r="AK46" s="108"/>
      <c r="AL46" s="108">
        <f t="shared" si="3"/>
        <v>0</v>
      </c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20">
        <f t="shared" si="4"/>
        <v>0</v>
      </c>
      <c r="CL46" s="122">
        <f t="shared" si="5"/>
        <v>0</v>
      </c>
      <c r="CM46" s="524" t="str">
        <f t="shared" si="7"/>
        <v/>
      </c>
      <c r="CN46" s="526">
        <f t="shared" si="8"/>
        <v>0</v>
      </c>
      <c r="CO46" s="122">
        <f t="shared" si="9"/>
        <v>0</v>
      </c>
      <c r="CP46" s="45" t="str">
        <f t="shared" si="6"/>
        <v>1 - in MILLESIMI   I</v>
      </c>
      <c r="CQ46" s="1"/>
    </row>
    <row r="47" spans="1:95" ht="16.5" customHeight="1">
      <c r="A47" s="1"/>
      <c r="B47" s="569"/>
      <c r="C47" s="569"/>
      <c r="D47" s="569"/>
      <c r="E47" s="569"/>
      <c r="F47" s="569"/>
      <c r="G47" s="569"/>
      <c r="H47" s="569"/>
      <c r="I47" s="569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1"/>
      <c r="U47" s="435">
        <f>IF(AND(W47&gt;=$U$1,W47&lt;=$U$2),IF(X47='ESTRATTO CONTO'!$E$2,1+COUNTIF(U$4:U46,"&gt;0"),0),0)</f>
        <v>0</v>
      </c>
      <c r="V47" s="417">
        <f t="shared" si="11"/>
        <v>44</v>
      </c>
      <c r="W47" s="509"/>
      <c r="X47" s="321"/>
      <c r="Y47" s="321"/>
      <c r="Z47" s="433"/>
      <c r="AA47" s="918">
        <f t="shared" si="0"/>
        <v>1</v>
      </c>
      <c r="AB47" s="306" t="str">
        <f t="shared" si="1"/>
        <v/>
      </c>
      <c r="AC47" s="788"/>
      <c r="AD47" s="119">
        <f t="shared" si="18"/>
        <v>0</v>
      </c>
      <c r="AE47" s="108">
        <f t="shared" si="18"/>
        <v>0</v>
      </c>
      <c r="AF47" s="108">
        <f t="shared" si="18"/>
        <v>0</v>
      </c>
      <c r="AG47" s="108"/>
      <c r="AH47" s="108"/>
      <c r="AI47" s="108"/>
      <c r="AJ47" s="108"/>
      <c r="AK47" s="108"/>
      <c r="AL47" s="108">
        <f t="shared" si="3"/>
        <v>0</v>
      </c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20">
        <f t="shared" si="4"/>
        <v>0</v>
      </c>
      <c r="CL47" s="122">
        <f t="shared" si="5"/>
        <v>0</v>
      </c>
      <c r="CM47" s="524" t="str">
        <f t="shared" si="7"/>
        <v/>
      </c>
      <c r="CN47" s="526">
        <f t="shared" si="8"/>
        <v>0</v>
      </c>
      <c r="CO47" s="122">
        <f t="shared" si="9"/>
        <v>0</v>
      </c>
      <c r="CP47" s="45" t="str">
        <f t="shared" si="6"/>
        <v>1 - in MILLESIMI   I</v>
      </c>
      <c r="CQ47" s="1"/>
    </row>
    <row r="48" spans="1:95" ht="16.5" customHeight="1">
      <c r="A48" s="1"/>
      <c r="B48" s="46"/>
      <c r="C48" s="46"/>
      <c r="D48" s="46"/>
      <c r="E48" s="326">
        <v>0.75</v>
      </c>
      <c r="F48" s="836">
        <f t="shared" ref="F48:Q48" ca="1" si="20">IF(ISERROR($B$52),0,IF(OR(F1425=$E1425,F1425&gt;F1426),F1430,0))</f>
        <v>237.91666666666669</v>
      </c>
      <c r="G48" s="836">
        <f t="shared" ca="1" si="20"/>
        <v>232.91666666666669</v>
      </c>
      <c r="H48" s="836">
        <f t="shared" ca="1" si="20"/>
        <v>0</v>
      </c>
      <c r="I48" s="836">
        <f t="shared" ca="1" si="20"/>
        <v>0</v>
      </c>
      <c r="J48" s="836">
        <f t="shared" ca="1" si="20"/>
        <v>0</v>
      </c>
      <c r="K48" s="836">
        <f t="shared" ca="1" si="20"/>
        <v>0</v>
      </c>
      <c r="L48" s="836">
        <f t="shared" ca="1" si="20"/>
        <v>0</v>
      </c>
      <c r="M48" s="836">
        <f t="shared" ca="1" si="20"/>
        <v>0</v>
      </c>
      <c r="N48" s="836">
        <f t="shared" ca="1" si="20"/>
        <v>0</v>
      </c>
      <c r="O48" s="836">
        <f t="shared" ca="1" si="20"/>
        <v>0</v>
      </c>
      <c r="P48" s="836">
        <f t="shared" ca="1" si="20"/>
        <v>0</v>
      </c>
      <c r="Q48" s="836">
        <f t="shared" ca="1" si="20"/>
        <v>0</v>
      </c>
      <c r="R48" s="46"/>
      <c r="S48" s="46"/>
      <c r="T48" s="1"/>
      <c r="U48" s="435">
        <f>IF(AND(W48&gt;=$U$1,W48&lt;=$U$2),IF(X48='ESTRATTO CONTO'!$E$2,1+COUNTIF(U$4:U47,"&gt;0"),0),0)</f>
        <v>0</v>
      </c>
      <c r="V48" s="417">
        <f t="shared" si="11"/>
        <v>45</v>
      </c>
      <c r="W48" s="509"/>
      <c r="X48" s="321"/>
      <c r="Y48" s="321"/>
      <c r="Z48" s="433"/>
      <c r="AA48" s="918">
        <f t="shared" si="0"/>
        <v>1</v>
      </c>
      <c r="AB48" s="306" t="str">
        <f t="shared" si="1"/>
        <v/>
      </c>
      <c r="AC48" s="788"/>
      <c r="AD48" s="119">
        <f t="shared" si="18"/>
        <v>0</v>
      </c>
      <c r="AE48" s="108">
        <f t="shared" si="18"/>
        <v>0</v>
      </c>
      <c r="AF48" s="108">
        <f t="shared" si="18"/>
        <v>0</v>
      </c>
      <c r="AG48" s="108"/>
      <c r="AH48" s="108"/>
      <c r="AI48" s="108"/>
      <c r="AJ48" s="108"/>
      <c r="AK48" s="108"/>
      <c r="AL48" s="108">
        <f t="shared" si="3"/>
        <v>0</v>
      </c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20">
        <f t="shared" si="4"/>
        <v>0</v>
      </c>
      <c r="CL48" s="122">
        <f t="shared" si="5"/>
        <v>0</v>
      </c>
      <c r="CM48" s="524" t="str">
        <f t="shared" si="7"/>
        <v/>
      </c>
      <c r="CN48" s="526">
        <f t="shared" si="8"/>
        <v>0</v>
      </c>
      <c r="CO48" s="122">
        <f t="shared" si="9"/>
        <v>0</v>
      </c>
      <c r="CP48" s="45" t="str">
        <f t="shared" si="6"/>
        <v>1 - in MILLESIMI   I</v>
      </c>
      <c r="CQ48" s="1"/>
    </row>
    <row r="49" spans="1:95" ht="16.5" customHeight="1">
      <c r="A49" s="1"/>
      <c r="B49" s="46"/>
      <c r="C49" s="46"/>
      <c r="D49" s="46"/>
      <c r="E49" s="326">
        <v>0.5</v>
      </c>
      <c r="F49" s="836">
        <f t="shared" ref="F49:Q49" ca="1" si="21">IF(ISERROR($B$52),0,IF(F1426=F1427,0,F1426))</f>
        <v>133.54166666666666</v>
      </c>
      <c r="G49" s="836">
        <f t="shared" ca="1" si="21"/>
        <v>133.54166666666666</v>
      </c>
      <c r="H49" s="836">
        <f t="shared" ca="1" si="21"/>
        <v>82.916666666666686</v>
      </c>
      <c r="I49" s="836">
        <f t="shared" ca="1" si="21"/>
        <v>0</v>
      </c>
      <c r="J49" s="836">
        <f t="shared" ca="1" si="21"/>
        <v>0</v>
      </c>
      <c r="K49" s="836">
        <f t="shared" ca="1" si="21"/>
        <v>0</v>
      </c>
      <c r="L49" s="836">
        <f t="shared" ca="1" si="21"/>
        <v>0</v>
      </c>
      <c r="M49" s="836">
        <f t="shared" ca="1" si="21"/>
        <v>0</v>
      </c>
      <c r="N49" s="836">
        <f t="shared" ca="1" si="21"/>
        <v>0</v>
      </c>
      <c r="O49" s="836">
        <f t="shared" ca="1" si="21"/>
        <v>0</v>
      </c>
      <c r="P49" s="836">
        <f t="shared" ca="1" si="21"/>
        <v>0</v>
      </c>
      <c r="Q49" s="836">
        <f t="shared" ca="1" si="21"/>
        <v>0</v>
      </c>
      <c r="R49" s="46"/>
      <c r="S49" s="46"/>
      <c r="T49" s="1"/>
      <c r="U49" s="435">
        <f>IF(AND(W49&gt;=$U$1,W49&lt;=$U$2),IF(X49='ESTRATTO CONTO'!$E$2,1+COUNTIF(U$4:U48,"&gt;0"),0),0)</f>
        <v>0</v>
      </c>
      <c r="V49" s="417">
        <f t="shared" si="11"/>
        <v>46</v>
      </c>
      <c r="W49" s="509"/>
      <c r="X49" s="321"/>
      <c r="Y49" s="321"/>
      <c r="Z49" s="433"/>
      <c r="AA49" s="918">
        <f t="shared" si="0"/>
        <v>1</v>
      </c>
      <c r="AB49" s="306" t="str">
        <f t="shared" si="1"/>
        <v/>
      </c>
      <c r="AC49" s="788"/>
      <c r="AD49" s="119">
        <f t="shared" si="18"/>
        <v>0</v>
      </c>
      <c r="AE49" s="108">
        <f t="shared" si="18"/>
        <v>0</v>
      </c>
      <c r="AF49" s="108">
        <f t="shared" si="18"/>
        <v>0</v>
      </c>
      <c r="AG49" s="108"/>
      <c r="AH49" s="108"/>
      <c r="AI49" s="108"/>
      <c r="AJ49" s="108"/>
      <c r="AK49" s="108"/>
      <c r="AL49" s="108">
        <f t="shared" si="3"/>
        <v>0</v>
      </c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20">
        <f t="shared" si="4"/>
        <v>0</v>
      </c>
      <c r="CL49" s="122">
        <f t="shared" si="5"/>
        <v>0</v>
      </c>
      <c r="CM49" s="524" t="str">
        <f t="shared" si="7"/>
        <v/>
      </c>
      <c r="CN49" s="526">
        <f t="shared" si="8"/>
        <v>0</v>
      </c>
      <c r="CO49" s="122">
        <f t="shared" si="9"/>
        <v>0</v>
      </c>
      <c r="CP49" s="45" t="str">
        <f t="shared" si="6"/>
        <v>1 - in MILLESIMI   I</v>
      </c>
      <c r="CQ49" s="1"/>
    </row>
    <row r="50" spans="1:95" ht="16.5" customHeight="1">
      <c r="A50" s="1"/>
      <c r="B50" s="46"/>
      <c r="C50" s="46"/>
      <c r="D50" s="46"/>
      <c r="E50" s="326">
        <v>0.25</v>
      </c>
      <c r="F50" s="836">
        <f t="shared" ref="F50:Q50" ca="1" si="22">IF(ISERROR($B$52),0,IF(F1427=F1428,0,F1427))</f>
        <v>66.770833333333329</v>
      </c>
      <c r="G50" s="836">
        <f t="shared" ca="1" si="22"/>
        <v>66.770833333333329</v>
      </c>
      <c r="H50" s="836">
        <f t="shared" ca="1" si="22"/>
        <v>66.770833333333329</v>
      </c>
      <c r="I50" s="836">
        <f t="shared" ca="1" si="22"/>
        <v>32.916666666666686</v>
      </c>
      <c r="J50" s="836">
        <f t="shared" ca="1" si="22"/>
        <v>0</v>
      </c>
      <c r="K50" s="836">
        <f t="shared" ca="1" si="22"/>
        <v>0</v>
      </c>
      <c r="L50" s="836">
        <f t="shared" ca="1" si="22"/>
        <v>0</v>
      </c>
      <c r="M50" s="836">
        <f t="shared" ca="1" si="22"/>
        <v>0</v>
      </c>
      <c r="N50" s="836">
        <f t="shared" ca="1" si="22"/>
        <v>0</v>
      </c>
      <c r="O50" s="836">
        <f t="shared" ca="1" si="22"/>
        <v>0</v>
      </c>
      <c r="P50" s="836">
        <f t="shared" ca="1" si="22"/>
        <v>32.916666666666686</v>
      </c>
      <c r="Q50" s="836">
        <f t="shared" ca="1" si="22"/>
        <v>32.916666666666686</v>
      </c>
      <c r="R50" s="46"/>
      <c r="S50" s="46"/>
      <c r="T50" s="1"/>
      <c r="U50" s="435">
        <f>IF(AND(W50&gt;=$U$1,W50&lt;=$U$2),IF(X50='ESTRATTO CONTO'!$E$2,1+COUNTIF(U$4:U49,"&gt;0"),0),0)</f>
        <v>0</v>
      </c>
      <c r="V50" s="417">
        <f t="shared" si="11"/>
        <v>47</v>
      </c>
      <c r="W50" s="509"/>
      <c r="X50" s="321"/>
      <c r="Y50" s="321"/>
      <c r="Z50" s="433"/>
      <c r="AA50" s="918">
        <f t="shared" si="0"/>
        <v>1</v>
      </c>
      <c r="AB50" s="306" t="str">
        <f t="shared" si="1"/>
        <v/>
      </c>
      <c r="AC50" s="788"/>
      <c r="AD50" s="119">
        <f t="shared" si="18"/>
        <v>0</v>
      </c>
      <c r="AE50" s="108">
        <f t="shared" si="18"/>
        <v>0</v>
      </c>
      <c r="AF50" s="108">
        <f t="shared" si="18"/>
        <v>0</v>
      </c>
      <c r="AG50" s="108"/>
      <c r="AH50" s="108"/>
      <c r="AI50" s="108"/>
      <c r="AJ50" s="108"/>
      <c r="AK50" s="108"/>
      <c r="AL50" s="108">
        <f t="shared" si="3"/>
        <v>0</v>
      </c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20">
        <f t="shared" si="4"/>
        <v>0</v>
      </c>
      <c r="CL50" s="122">
        <f t="shared" si="5"/>
        <v>0</v>
      </c>
      <c r="CM50" s="524" t="str">
        <f t="shared" si="7"/>
        <v/>
      </c>
      <c r="CN50" s="526">
        <f t="shared" si="8"/>
        <v>0</v>
      </c>
      <c r="CO50" s="122">
        <f t="shared" si="9"/>
        <v>0</v>
      </c>
      <c r="CP50" s="45" t="str">
        <f t="shared" si="6"/>
        <v>1 - in MILLESIMI   I</v>
      </c>
      <c r="CQ50" s="1"/>
    </row>
    <row r="51" spans="1:95" ht="16.5" customHeight="1">
      <c r="A51" s="1"/>
      <c r="B51" s="1221" t="str">
        <f>CONCATENATE("MEDIA per mese  ",Presentazione!$K$26)</f>
        <v>MEDIA per mese  EURO</v>
      </c>
      <c r="C51" s="1221"/>
      <c r="D51" s="49"/>
      <c r="E51" s="326">
        <v>0.1</v>
      </c>
      <c r="F51" s="836">
        <f t="shared" ref="F51:Q51" ca="1" si="23">IF(ISERROR($B$52),0,IF(F1428=F1429,0,F1428))</f>
        <v>26.708333333333332</v>
      </c>
      <c r="G51" s="836">
        <f t="shared" ca="1" si="23"/>
        <v>26.708333333333332</v>
      </c>
      <c r="H51" s="836">
        <f t="shared" ca="1" si="23"/>
        <v>26.708333333333332</v>
      </c>
      <c r="I51" s="836">
        <f t="shared" ca="1" si="23"/>
        <v>26.708333333333332</v>
      </c>
      <c r="J51" s="836">
        <f t="shared" ca="1" si="23"/>
        <v>0</v>
      </c>
      <c r="K51" s="836">
        <f t="shared" ca="1" si="23"/>
        <v>0</v>
      </c>
      <c r="L51" s="836">
        <f t="shared" ca="1" si="23"/>
        <v>0</v>
      </c>
      <c r="M51" s="836">
        <f t="shared" ca="1" si="23"/>
        <v>0</v>
      </c>
      <c r="N51" s="836">
        <f t="shared" ca="1" si="23"/>
        <v>0</v>
      </c>
      <c r="O51" s="836">
        <f t="shared" ca="1" si="23"/>
        <v>0</v>
      </c>
      <c r="P51" s="836">
        <f t="shared" ca="1" si="23"/>
        <v>26.708333333333332</v>
      </c>
      <c r="Q51" s="836">
        <f t="shared" ca="1" si="23"/>
        <v>26.708333333333332</v>
      </c>
      <c r="R51" s="46"/>
      <c r="S51" s="46"/>
      <c r="T51" s="1"/>
      <c r="U51" s="435">
        <f>IF(AND(W51&gt;=$U$1,W51&lt;=$U$2),IF(X51='ESTRATTO CONTO'!$E$2,1+COUNTIF(U$4:U50,"&gt;0"),0),0)</f>
        <v>0</v>
      </c>
      <c r="V51" s="417">
        <f t="shared" si="11"/>
        <v>48</v>
      </c>
      <c r="W51" s="509"/>
      <c r="X51" s="321"/>
      <c r="Y51" s="321"/>
      <c r="Z51" s="433"/>
      <c r="AA51" s="918">
        <f t="shared" si="0"/>
        <v>1</v>
      </c>
      <c r="AB51" s="306" t="str">
        <f t="shared" si="1"/>
        <v/>
      </c>
      <c r="AC51" s="788"/>
      <c r="AD51" s="119">
        <f t="shared" si="18"/>
        <v>0</v>
      </c>
      <c r="AE51" s="108">
        <f t="shared" si="18"/>
        <v>0</v>
      </c>
      <c r="AF51" s="108">
        <f t="shared" si="18"/>
        <v>0</v>
      </c>
      <c r="AG51" s="108"/>
      <c r="AH51" s="108"/>
      <c r="AI51" s="108"/>
      <c r="AJ51" s="108"/>
      <c r="AK51" s="108"/>
      <c r="AL51" s="108">
        <f t="shared" si="3"/>
        <v>0</v>
      </c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20">
        <f t="shared" si="4"/>
        <v>0</v>
      </c>
      <c r="CL51" s="122">
        <f t="shared" si="5"/>
        <v>0</v>
      </c>
      <c r="CM51" s="524" t="str">
        <f t="shared" si="7"/>
        <v/>
      </c>
      <c r="CN51" s="526">
        <f t="shared" si="8"/>
        <v>0</v>
      </c>
      <c r="CO51" s="122">
        <f t="shared" si="9"/>
        <v>0</v>
      </c>
      <c r="CP51" s="45" t="str">
        <f t="shared" si="6"/>
        <v>1 - in MILLESIMI   I</v>
      </c>
      <c r="CQ51" s="1"/>
    </row>
    <row r="52" spans="1:95" ht="16.5" customHeight="1">
      <c r="A52" s="1"/>
      <c r="B52" s="1296">
        <f ca="1">IF(S6=0,0,S6/C1428)</f>
        <v>267.08333333333331</v>
      </c>
      <c r="C52" s="1296"/>
      <c r="D52" s="50"/>
      <c r="E52" s="327">
        <v>0.05</v>
      </c>
      <c r="F52" s="837">
        <f t="shared" ref="F52:Q52" ca="1" si="24">IF(ISERROR($B$52),0,F1429)</f>
        <v>13.354166666666666</v>
      </c>
      <c r="G52" s="837">
        <f t="shared" ca="1" si="24"/>
        <v>13.354166666666666</v>
      </c>
      <c r="H52" s="837">
        <f t="shared" ca="1" si="24"/>
        <v>13.354166666666666</v>
      </c>
      <c r="I52" s="837">
        <f t="shared" ca="1" si="24"/>
        <v>13.354166666666666</v>
      </c>
      <c r="J52" s="837">
        <f t="shared" ca="1" si="24"/>
        <v>0</v>
      </c>
      <c r="K52" s="837">
        <f t="shared" ca="1" si="24"/>
        <v>0</v>
      </c>
      <c r="L52" s="837">
        <f t="shared" ca="1" si="24"/>
        <v>0</v>
      </c>
      <c r="M52" s="837">
        <f t="shared" ca="1" si="24"/>
        <v>0</v>
      </c>
      <c r="N52" s="837">
        <f t="shared" ca="1" si="24"/>
        <v>0</v>
      </c>
      <c r="O52" s="837">
        <f t="shared" ca="1" si="24"/>
        <v>0</v>
      </c>
      <c r="P52" s="837">
        <f t="shared" ca="1" si="24"/>
        <v>13.354166666666666</v>
      </c>
      <c r="Q52" s="837">
        <f t="shared" ca="1" si="24"/>
        <v>13.354166666666666</v>
      </c>
      <c r="R52" s="51"/>
      <c r="S52" s="51"/>
      <c r="T52" s="1"/>
      <c r="U52" s="435">
        <f>IF(AND(W52&gt;=$U$1,W52&lt;=$U$2),IF(X52='ESTRATTO CONTO'!$E$2,1+COUNTIF(U$4:U51,"&gt;0"),0),0)</f>
        <v>0</v>
      </c>
      <c r="V52" s="417">
        <f t="shared" si="11"/>
        <v>49</v>
      </c>
      <c r="W52" s="509"/>
      <c r="X52" s="321"/>
      <c r="Y52" s="321"/>
      <c r="Z52" s="433"/>
      <c r="AA52" s="918">
        <f t="shared" si="0"/>
        <v>1</v>
      </c>
      <c r="AB52" s="306" t="str">
        <f t="shared" si="1"/>
        <v/>
      </c>
      <c r="AC52" s="788"/>
      <c r="AD52" s="119">
        <f t="shared" si="18"/>
        <v>0</v>
      </c>
      <c r="AE52" s="108">
        <f t="shared" si="18"/>
        <v>0</v>
      </c>
      <c r="AF52" s="108">
        <f t="shared" si="18"/>
        <v>0</v>
      </c>
      <c r="AG52" s="108"/>
      <c r="AH52" s="108"/>
      <c r="AI52" s="108"/>
      <c r="AJ52" s="108"/>
      <c r="AK52" s="108"/>
      <c r="AL52" s="108">
        <f t="shared" si="3"/>
        <v>0</v>
      </c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20">
        <f t="shared" si="4"/>
        <v>0</v>
      </c>
      <c r="CL52" s="122">
        <f t="shared" si="5"/>
        <v>0</v>
      </c>
      <c r="CM52" s="524" t="str">
        <f t="shared" si="7"/>
        <v/>
      </c>
      <c r="CN52" s="526">
        <f t="shared" si="8"/>
        <v>0</v>
      </c>
      <c r="CO52" s="122">
        <f t="shared" si="9"/>
        <v>0</v>
      </c>
      <c r="CP52" s="45" t="str">
        <f t="shared" si="6"/>
        <v>1 - in MILLESIMI   I</v>
      </c>
      <c r="CQ52" s="1"/>
    </row>
    <row r="53" spans="1:95" ht="16.5" customHeight="1">
      <c r="A53" s="1"/>
      <c r="B53" s="1221" t="str">
        <f>CONCATENATE(C1429," ",C1428)</f>
        <v>Mesi conteggiati:  12</v>
      </c>
      <c r="C53" s="1221"/>
      <c r="D53" s="52"/>
      <c r="E53" s="317">
        <f>E52</f>
        <v>0.05</v>
      </c>
      <c r="F53" s="836">
        <f t="shared" ref="F53:Q53" ca="1" si="25">F1431</f>
        <v>0</v>
      </c>
      <c r="G53" s="836">
        <f t="shared" ca="1" si="25"/>
        <v>0</v>
      </c>
      <c r="H53" s="836">
        <f t="shared" ca="1" si="25"/>
        <v>0</v>
      </c>
      <c r="I53" s="836">
        <f t="shared" ca="1" si="25"/>
        <v>0</v>
      </c>
      <c r="J53" s="836">
        <f t="shared" ca="1" si="25"/>
        <v>-13.354166666666666</v>
      </c>
      <c r="K53" s="836">
        <f t="shared" ca="1" si="25"/>
        <v>-13.354166666666666</v>
      </c>
      <c r="L53" s="836">
        <f t="shared" ca="1" si="25"/>
        <v>-13.354166666666666</v>
      </c>
      <c r="M53" s="836">
        <f t="shared" ca="1" si="25"/>
        <v>-13.354166666666666</v>
      </c>
      <c r="N53" s="836">
        <f t="shared" ca="1" si="25"/>
        <v>-13.354166666666666</v>
      </c>
      <c r="O53" s="836">
        <f t="shared" ca="1" si="25"/>
        <v>-13.354166666666666</v>
      </c>
      <c r="P53" s="836">
        <f t="shared" ca="1" si="25"/>
        <v>0</v>
      </c>
      <c r="Q53" s="836">
        <f t="shared" ca="1" si="25"/>
        <v>0</v>
      </c>
      <c r="R53" s="53"/>
      <c r="S53" s="53"/>
      <c r="T53" s="1"/>
      <c r="U53" s="435">
        <f>IF(AND(W53&gt;=$U$1,W53&lt;=$U$2),IF(X53='ESTRATTO CONTO'!$E$2,1+COUNTIF(U$4:U52,"&gt;0"),0),0)</f>
        <v>0</v>
      </c>
      <c r="V53" s="417">
        <f t="shared" si="11"/>
        <v>50</v>
      </c>
      <c r="W53" s="509"/>
      <c r="X53" s="321"/>
      <c r="Y53" s="321"/>
      <c r="Z53" s="433"/>
      <c r="AA53" s="918">
        <f t="shared" si="0"/>
        <v>1</v>
      </c>
      <c r="AB53" s="306" t="str">
        <f t="shared" si="1"/>
        <v/>
      </c>
      <c r="AC53" s="788"/>
      <c r="AD53" s="119">
        <f t="shared" si="18"/>
        <v>0</v>
      </c>
      <c r="AE53" s="108">
        <f t="shared" si="18"/>
        <v>0</v>
      </c>
      <c r="AF53" s="108">
        <f t="shared" si="18"/>
        <v>0</v>
      </c>
      <c r="AG53" s="108"/>
      <c r="AH53" s="108"/>
      <c r="AI53" s="108"/>
      <c r="AJ53" s="108"/>
      <c r="AK53" s="108"/>
      <c r="AL53" s="108">
        <f t="shared" si="3"/>
        <v>0</v>
      </c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20">
        <f t="shared" si="4"/>
        <v>0</v>
      </c>
      <c r="CL53" s="122">
        <f t="shared" si="5"/>
        <v>0</v>
      </c>
      <c r="CM53" s="524" t="str">
        <f t="shared" si="7"/>
        <v/>
      </c>
      <c r="CN53" s="526">
        <f t="shared" si="8"/>
        <v>0</v>
      </c>
      <c r="CO53" s="122">
        <f t="shared" si="9"/>
        <v>0</v>
      </c>
      <c r="CP53" s="45" t="str">
        <f t="shared" si="6"/>
        <v>1 - in MILLESIMI   I</v>
      </c>
      <c r="CQ53" s="1"/>
    </row>
    <row r="54" spans="1:95" ht="16.5" customHeight="1">
      <c r="A54" s="1"/>
      <c r="B54" s="54"/>
      <c r="C54" s="46"/>
      <c r="D54" s="46"/>
      <c r="E54" s="318">
        <f>E51</f>
        <v>0.1</v>
      </c>
      <c r="F54" s="836">
        <f t="shared" ref="F54:Q54" ca="1" si="26">IF(F1432=F1431,0,F1432)</f>
        <v>0</v>
      </c>
      <c r="G54" s="836">
        <f t="shared" ca="1" si="26"/>
        <v>0</v>
      </c>
      <c r="H54" s="836">
        <f t="shared" ca="1" si="26"/>
        <v>0</v>
      </c>
      <c r="I54" s="836">
        <f t="shared" ca="1" si="26"/>
        <v>0</v>
      </c>
      <c r="J54" s="836">
        <f t="shared" ca="1" si="26"/>
        <v>-17.083333333333314</v>
      </c>
      <c r="K54" s="836">
        <f t="shared" ca="1" si="26"/>
        <v>-26.708333333333332</v>
      </c>
      <c r="L54" s="836">
        <f t="shared" ca="1" si="26"/>
        <v>-26.708333333333332</v>
      </c>
      <c r="M54" s="836">
        <f t="shared" ca="1" si="26"/>
        <v>-26.708333333333332</v>
      </c>
      <c r="N54" s="836">
        <f t="shared" ca="1" si="26"/>
        <v>-26.708333333333332</v>
      </c>
      <c r="O54" s="836">
        <f t="shared" ca="1" si="26"/>
        <v>-26.708333333333332</v>
      </c>
      <c r="P54" s="836">
        <f t="shared" ca="1" si="26"/>
        <v>0</v>
      </c>
      <c r="Q54" s="836">
        <f t="shared" ca="1" si="26"/>
        <v>0</v>
      </c>
      <c r="R54" s="46"/>
      <c r="S54" s="46"/>
      <c r="T54" s="1"/>
      <c r="U54" s="435">
        <f>IF(AND(W54&gt;=$U$1,W54&lt;=$U$2),IF(X54='ESTRATTO CONTO'!$E$2,1+COUNTIF(U$4:U53,"&gt;0"),0),0)</f>
        <v>0</v>
      </c>
      <c r="V54" s="417">
        <f t="shared" si="11"/>
        <v>51</v>
      </c>
      <c r="W54" s="509"/>
      <c r="X54" s="321"/>
      <c r="Y54" s="321"/>
      <c r="Z54" s="433"/>
      <c r="AA54" s="918">
        <f t="shared" si="0"/>
        <v>1</v>
      </c>
      <c r="AB54" s="306" t="str">
        <f t="shared" si="1"/>
        <v/>
      </c>
      <c r="AC54" s="788"/>
      <c r="AD54" s="119">
        <f t="shared" si="18"/>
        <v>0</v>
      </c>
      <c r="AE54" s="108">
        <f t="shared" si="18"/>
        <v>0</v>
      </c>
      <c r="AF54" s="108">
        <f t="shared" si="18"/>
        <v>0</v>
      </c>
      <c r="AG54" s="108"/>
      <c r="AH54" s="108"/>
      <c r="AI54" s="108"/>
      <c r="AJ54" s="108"/>
      <c r="AK54" s="108"/>
      <c r="AL54" s="108">
        <f t="shared" si="3"/>
        <v>0</v>
      </c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20">
        <f t="shared" si="4"/>
        <v>0</v>
      </c>
      <c r="CL54" s="122">
        <f t="shared" si="5"/>
        <v>0</v>
      </c>
      <c r="CM54" s="524" t="str">
        <f t="shared" si="7"/>
        <v/>
      </c>
      <c r="CN54" s="526">
        <f t="shared" si="8"/>
        <v>0</v>
      </c>
      <c r="CO54" s="122">
        <f t="shared" si="9"/>
        <v>0</v>
      </c>
      <c r="CP54" s="45" t="str">
        <f t="shared" si="6"/>
        <v>1 - in MILLESIMI   I</v>
      </c>
      <c r="CQ54" s="1"/>
    </row>
    <row r="55" spans="1:95" ht="16.5" customHeight="1">
      <c r="A55" s="1"/>
      <c r="B55" s="1250" t="s">
        <v>508</v>
      </c>
      <c r="C55" s="1251"/>
      <c r="D55" s="46"/>
      <c r="E55" s="318">
        <f>E50</f>
        <v>0.25</v>
      </c>
      <c r="F55" s="836">
        <f t="shared" ref="F55:Q55" ca="1" si="27">IF(F1433=F1432,0,F1433)</f>
        <v>0</v>
      </c>
      <c r="G55" s="836">
        <f t="shared" ca="1" si="27"/>
        <v>0</v>
      </c>
      <c r="H55" s="836">
        <f t="shared" ca="1" si="27"/>
        <v>0</v>
      </c>
      <c r="I55" s="836">
        <f t="shared" ca="1" si="27"/>
        <v>0</v>
      </c>
      <c r="J55" s="836">
        <f t="shared" ca="1" si="27"/>
        <v>0</v>
      </c>
      <c r="K55" s="836">
        <f t="shared" ca="1" si="27"/>
        <v>-66.770833333333329</v>
      </c>
      <c r="L55" s="836">
        <f t="shared" ca="1" si="27"/>
        <v>-66.770833333333329</v>
      </c>
      <c r="M55" s="836">
        <f t="shared" ca="1" si="27"/>
        <v>-66.770833333333329</v>
      </c>
      <c r="N55" s="836">
        <f t="shared" ca="1" si="27"/>
        <v>-66.770833333333329</v>
      </c>
      <c r="O55" s="836">
        <f t="shared" ca="1" si="27"/>
        <v>-66.770833333333329</v>
      </c>
      <c r="P55" s="836">
        <f t="shared" ca="1" si="27"/>
        <v>0</v>
      </c>
      <c r="Q55" s="836">
        <f t="shared" ca="1" si="27"/>
        <v>0</v>
      </c>
      <c r="R55" s="46"/>
      <c r="S55" s="46"/>
      <c r="T55" s="1"/>
      <c r="U55" s="435">
        <f>IF(AND(W55&gt;=$U$1,W55&lt;=$U$2),IF(X55='ESTRATTO CONTO'!$E$2,1+COUNTIF(U$4:U54,"&gt;0"),0),0)</f>
        <v>0</v>
      </c>
      <c r="V55" s="417">
        <f t="shared" si="11"/>
        <v>52</v>
      </c>
      <c r="W55" s="509"/>
      <c r="X55" s="321"/>
      <c r="Y55" s="321"/>
      <c r="Z55" s="433"/>
      <c r="AA55" s="918">
        <f t="shared" si="0"/>
        <v>1</v>
      </c>
      <c r="AB55" s="306" t="str">
        <f t="shared" si="1"/>
        <v/>
      </c>
      <c r="AC55" s="788"/>
      <c r="AD55" s="119">
        <f t="shared" si="18"/>
        <v>0</v>
      </c>
      <c r="AE55" s="108">
        <f t="shared" si="18"/>
        <v>0</v>
      </c>
      <c r="AF55" s="108">
        <f t="shared" si="18"/>
        <v>0</v>
      </c>
      <c r="AG55" s="108"/>
      <c r="AH55" s="108"/>
      <c r="AI55" s="108"/>
      <c r="AJ55" s="108"/>
      <c r="AK55" s="108"/>
      <c r="AL55" s="108">
        <f t="shared" si="3"/>
        <v>0</v>
      </c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20">
        <f t="shared" si="4"/>
        <v>0</v>
      </c>
      <c r="CL55" s="122">
        <f t="shared" si="5"/>
        <v>0</v>
      </c>
      <c r="CM55" s="524" t="str">
        <f t="shared" si="7"/>
        <v/>
      </c>
      <c r="CN55" s="526">
        <f t="shared" si="8"/>
        <v>0</v>
      </c>
      <c r="CO55" s="122">
        <f t="shared" si="9"/>
        <v>0</v>
      </c>
      <c r="CP55" s="45" t="str">
        <f t="shared" si="6"/>
        <v>1 - in MILLESIMI   I</v>
      </c>
      <c r="CQ55" s="1"/>
    </row>
    <row r="56" spans="1:95" ht="16.5" customHeight="1">
      <c r="A56" s="1"/>
      <c r="B56" s="1259" t="str">
        <f>CONCATENATE(C1433,"   ",C1434)</f>
        <v>nei REGISTRI:    365</v>
      </c>
      <c r="C56" s="1260"/>
      <c r="D56" s="46"/>
      <c r="E56" s="318">
        <f>E49</f>
        <v>0.5</v>
      </c>
      <c r="F56" s="836">
        <f t="shared" ref="F56:Q56" ca="1" si="28">IF(F1434=F1433,0,F1434)</f>
        <v>0</v>
      </c>
      <c r="G56" s="836">
        <f t="shared" ca="1" si="28"/>
        <v>0</v>
      </c>
      <c r="H56" s="836">
        <f t="shared" ca="1" si="28"/>
        <v>0</v>
      </c>
      <c r="I56" s="836">
        <f t="shared" ca="1" si="28"/>
        <v>0</v>
      </c>
      <c r="J56" s="836">
        <f t="shared" ca="1" si="28"/>
        <v>0</v>
      </c>
      <c r="K56" s="836">
        <f t="shared" ca="1" si="28"/>
        <v>-133.54166666666666</v>
      </c>
      <c r="L56" s="836">
        <f t="shared" ca="1" si="28"/>
        <v>-117.08333333333331</v>
      </c>
      <c r="M56" s="836">
        <f t="shared" ca="1" si="28"/>
        <v>-133.54166666666666</v>
      </c>
      <c r="N56" s="836">
        <f t="shared" ca="1" si="28"/>
        <v>-117.08333333333331</v>
      </c>
      <c r="O56" s="836">
        <f t="shared" ca="1" si="28"/>
        <v>-67.083333333333314</v>
      </c>
      <c r="P56" s="836">
        <f t="shared" ca="1" si="28"/>
        <v>0</v>
      </c>
      <c r="Q56" s="836">
        <f t="shared" ca="1" si="28"/>
        <v>0</v>
      </c>
      <c r="R56" s="46"/>
      <c r="S56" s="46"/>
      <c r="T56" s="1"/>
      <c r="U56" s="435">
        <f>IF(AND(W56&gt;=$U$1,W56&lt;=$U$2),IF(X56='ESTRATTO CONTO'!$E$2,1+COUNTIF(U$4:U55,"&gt;0"),0),0)</f>
        <v>0</v>
      </c>
      <c r="V56" s="417">
        <f t="shared" si="11"/>
        <v>53</v>
      </c>
      <c r="W56" s="509"/>
      <c r="X56" s="321"/>
      <c r="Y56" s="321"/>
      <c r="Z56" s="433"/>
      <c r="AA56" s="918">
        <f t="shared" si="0"/>
        <v>1</v>
      </c>
      <c r="AB56" s="306" t="str">
        <f t="shared" si="1"/>
        <v/>
      </c>
      <c r="AC56" s="788"/>
      <c r="AD56" s="119">
        <f t="shared" si="18"/>
        <v>0</v>
      </c>
      <c r="AE56" s="108">
        <f t="shared" si="18"/>
        <v>0</v>
      </c>
      <c r="AF56" s="108">
        <f t="shared" si="18"/>
        <v>0</v>
      </c>
      <c r="AG56" s="108"/>
      <c r="AH56" s="108"/>
      <c r="AI56" s="108"/>
      <c r="AJ56" s="108"/>
      <c r="AK56" s="108"/>
      <c r="AL56" s="108">
        <f t="shared" si="3"/>
        <v>0</v>
      </c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20">
        <f t="shared" si="4"/>
        <v>0</v>
      </c>
      <c r="CL56" s="122">
        <f t="shared" si="5"/>
        <v>0</v>
      </c>
      <c r="CM56" s="524" t="str">
        <f t="shared" si="7"/>
        <v/>
      </c>
      <c r="CN56" s="526">
        <f t="shared" si="8"/>
        <v>0</v>
      </c>
      <c r="CO56" s="122">
        <f t="shared" si="9"/>
        <v>0</v>
      </c>
      <c r="CP56" s="45" t="str">
        <f t="shared" si="6"/>
        <v>1 - in MILLESIMI   I</v>
      </c>
      <c r="CQ56" s="1"/>
    </row>
    <row r="57" spans="1:95" ht="16.5" customHeight="1">
      <c r="A57" s="1"/>
      <c r="B57" s="1261" t="s">
        <v>509</v>
      </c>
      <c r="C57" s="1262"/>
      <c r="D57" s="46"/>
      <c r="E57" s="318">
        <f>E48</f>
        <v>0.75</v>
      </c>
      <c r="F57" s="836">
        <f t="shared" ref="F57:Q57" ca="1" si="29">IF(ISERROR($B$52),0,IF(OR(F1435=$E1435,F1435&lt;F1434),F1430,0))</f>
        <v>0</v>
      </c>
      <c r="G57" s="836">
        <f t="shared" ca="1" si="29"/>
        <v>0</v>
      </c>
      <c r="H57" s="836">
        <f t="shared" ca="1" si="29"/>
        <v>0</v>
      </c>
      <c r="I57" s="836">
        <f t="shared" ca="1" si="29"/>
        <v>0</v>
      </c>
      <c r="J57" s="836">
        <f t="shared" ca="1" si="29"/>
        <v>0</v>
      </c>
      <c r="K57" s="836">
        <f t="shared" ca="1" si="29"/>
        <v>-167.08333333333331</v>
      </c>
      <c r="L57" s="836">
        <f t="shared" ca="1" si="29"/>
        <v>0</v>
      </c>
      <c r="M57" s="836">
        <f t="shared" ca="1" si="29"/>
        <v>-167.08333333333331</v>
      </c>
      <c r="N57" s="836">
        <f t="shared" ca="1" si="29"/>
        <v>0</v>
      </c>
      <c r="O57" s="836">
        <f t="shared" ca="1" si="29"/>
        <v>0</v>
      </c>
      <c r="P57" s="836">
        <f t="shared" ca="1" si="29"/>
        <v>0</v>
      </c>
      <c r="Q57" s="836">
        <f t="shared" ca="1" si="29"/>
        <v>0</v>
      </c>
      <c r="R57" s="46"/>
      <c r="S57" s="46"/>
      <c r="T57" s="1"/>
      <c r="U57" s="435">
        <f>IF(AND(W57&gt;=$U$1,W57&lt;=$U$2),IF(X57='ESTRATTO CONTO'!$E$2,1+COUNTIF(U$4:U56,"&gt;0"),0),0)</f>
        <v>0</v>
      </c>
      <c r="V57" s="417">
        <f t="shared" si="11"/>
        <v>54</v>
      </c>
      <c r="W57" s="509"/>
      <c r="X57" s="321"/>
      <c r="Y57" s="321"/>
      <c r="Z57" s="433"/>
      <c r="AA57" s="918">
        <f t="shared" si="0"/>
        <v>1</v>
      </c>
      <c r="AB57" s="306" t="str">
        <f t="shared" si="1"/>
        <v/>
      </c>
      <c r="AC57" s="788"/>
      <c r="AD57" s="119">
        <f t="shared" si="18"/>
        <v>0</v>
      </c>
      <c r="AE57" s="108">
        <f t="shared" si="18"/>
        <v>0</v>
      </c>
      <c r="AF57" s="108">
        <f t="shared" si="18"/>
        <v>0</v>
      </c>
      <c r="AG57" s="108"/>
      <c r="AH57" s="108"/>
      <c r="AI57" s="108"/>
      <c r="AJ57" s="108"/>
      <c r="AK57" s="108"/>
      <c r="AL57" s="108">
        <f t="shared" si="3"/>
        <v>0</v>
      </c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20">
        <f t="shared" si="4"/>
        <v>0</v>
      </c>
      <c r="CL57" s="122">
        <f t="shared" si="5"/>
        <v>0</v>
      </c>
      <c r="CM57" s="524" t="str">
        <f t="shared" si="7"/>
        <v/>
      </c>
      <c r="CN57" s="526">
        <f t="shared" si="8"/>
        <v>0</v>
      </c>
      <c r="CO57" s="122">
        <f t="shared" si="9"/>
        <v>0</v>
      </c>
      <c r="CP57" s="45" t="str">
        <f t="shared" si="6"/>
        <v>1 - in MILLESIMI   I</v>
      </c>
      <c r="CQ57" s="1"/>
    </row>
    <row r="58" spans="1:95" ht="16.5" customHeight="1">
      <c r="A58" s="1"/>
      <c r="B58" s="1"/>
      <c r="C58" s="46"/>
      <c r="D58" s="46"/>
      <c r="E58" s="55"/>
      <c r="F58" s="56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46"/>
      <c r="S58" s="121" t="s">
        <v>13</v>
      </c>
      <c r="T58" s="1"/>
      <c r="U58" s="435">
        <f>IF(AND(W58&gt;=$U$1,W58&lt;=$U$2),IF(X58='ESTRATTO CONTO'!$E$2,1+COUNTIF(U$4:U57,"&gt;0"),0),0)</f>
        <v>0</v>
      </c>
      <c r="V58" s="417">
        <f t="shared" si="11"/>
        <v>55</v>
      </c>
      <c r="W58" s="509"/>
      <c r="X58" s="321"/>
      <c r="Y58" s="321"/>
      <c r="Z58" s="433"/>
      <c r="AA58" s="918">
        <f t="shared" si="0"/>
        <v>1</v>
      </c>
      <c r="AB58" s="306" t="str">
        <f t="shared" si="1"/>
        <v/>
      </c>
      <c r="AC58" s="788"/>
      <c r="AD58" s="119">
        <f t="shared" si="18"/>
        <v>0</v>
      </c>
      <c r="AE58" s="108">
        <f t="shared" si="18"/>
        <v>0</v>
      </c>
      <c r="AF58" s="108">
        <f t="shared" si="18"/>
        <v>0</v>
      </c>
      <c r="AG58" s="108"/>
      <c r="AH58" s="108"/>
      <c r="AI58" s="108"/>
      <c r="AJ58" s="108"/>
      <c r="AK58" s="108"/>
      <c r="AL58" s="108">
        <f t="shared" si="3"/>
        <v>0</v>
      </c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20">
        <f t="shared" si="4"/>
        <v>0</v>
      </c>
      <c r="CL58" s="122">
        <f t="shared" si="5"/>
        <v>0</v>
      </c>
      <c r="CM58" s="524" t="str">
        <f t="shared" si="7"/>
        <v/>
      </c>
      <c r="CN58" s="526">
        <f t="shared" si="8"/>
        <v>0</v>
      </c>
      <c r="CO58" s="122">
        <f t="shared" si="9"/>
        <v>0</v>
      </c>
      <c r="CP58" s="45" t="str">
        <f t="shared" si="6"/>
        <v>1 - in MILLESIMI   I</v>
      </c>
      <c r="CQ58" s="1"/>
    </row>
    <row r="59" spans="1:95" ht="16.5" customHeight="1">
      <c r="A59" s="3"/>
      <c r="B59" s="1220" t="str">
        <f>Presentazione!$C$25</f>
        <v>CONDOMINIO:</v>
      </c>
      <c r="C59" s="1220"/>
      <c r="D59" s="1220"/>
      <c r="E59" s="1257" t="str">
        <f>Presentazione!$C$26</f>
        <v>Inserisci qui il NOME</v>
      </c>
      <c r="F59" s="1257"/>
      <c r="G59" s="1257"/>
      <c r="H59" s="1257"/>
      <c r="I59" s="1257"/>
      <c r="J59" s="1257"/>
      <c r="K59" s="1257"/>
      <c r="L59" s="1257"/>
      <c r="M59" s="1257"/>
      <c r="N59" s="1257"/>
      <c r="O59" s="1257"/>
      <c r="P59" s="1257"/>
      <c r="Q59" s="1257"/>
      <c r="R59" s="51"/>
      <c r="S59" s="661">
        <f>Presentazione!$J$26</f>
        <v>2024</v>
      </c>
      <c r="T59" s="3"/>
      <c r="U59" s="435">
        <f>IF(AND(W59&gt;=$U$1,W59&lt;=$U$2),IF(X59='ESTRATTO CONTO'!$E$2,1+COUNTIF(U$4:U58,"&gt;0"),0),0)</f>
        <v>0</v>
      </c>
      <c r="V59" s="417">
        <f t="shared" si="11"/>
        <v>56</v>
      </c>
      <c r="W59" s="509"/>
      <c r="X59" s="321"/>
      <c r="Y59" s="321"/>
      <c r="Z59" s="433"/>
      <c r="AA59" s="918">
        <f t="shared" si="0"/>
        <v>1</v>
      </c>
      <c r="AB59" s="306" t="str">
        <f t="shared" si="1"/>
        <v/>
      </c>
      <c r="AC59" s="788"/>
      <c r="AD59" s="119">
        <f t="shared" si="18"/>
        <v>0</v>
      </c>
      <c r="AE59" s="108">
        <f t="shared" si="18"/>
        <v>0</v>
      </c>
      <c r="AF59" s="108">
        <f t="shared" si="18"/>
        <v>0</v>
      </c>
      <c r="AG59" s="108"/>
      <c r="AH59" s="108"/>
      <c r="AI59" s="108"/>
      <c r="AJ59" s="108"/>
      <c r="AK59" s="108"/>
      <c r="AL59" s="108">
        <f t="shared" si="3"/>
        <v>0</v>
      </c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20">
        <f t="shared" si="4"/>
        <v>0</v>
      </c>
      <c r="CL59" s="122">
        <f t="shared" si="5"/>
        <v>0</v>
      </c>
      <c r="CM59" s="524" t="str">
        <f t="shared" si="7"/>
        <v/>
      </c>
      <c r="CN59" s="526">
        <f t="shared" si="8"/>
        <v>0</v>
      </c>
      <c r="CO59" s="122">
        <f t="shared" si="9"/>
        <v>0</v>
      </c>
      <c r="CP59" s="45" t="str">
        <f t="shared" si="6"/>
        <v>1 - in MILLESIMI   I</v>
      </c>
      <c r="CQ59" s="1"/>
    </row>
    <row r="60" spans="1:95" ht="16.5" customHeight="1">
      <c r="A60" s="1"/>
      <c r="B60" s="1"/>
      <c r="C60" s="1"/>
      <c r="D60" s="1"/>
      <c r="E60" s="1"/>
      <c r="F60" s="1"/>
      <c r="G60" s="1"/>
      <c r="H60" s="374"/>
      <c r="I60" s="1258" t="str">
        <f>Presentazione!$F$10</f>
        <v/>
      </c>
      <c r="J60" s="1258"/>
      <c r="K60" s="1258"/>
      <c r="L60" s="1258"/>
      <c r="M60" s="1258"/>
      <c r="N60" s="1258"/>
      <c r="O60" s="1258"/>
      <c r="P60" s="1258"/>
      <c r="Q60" s="1258"/>
      <c r="R60" s="1258"/>
      <c r="S60" s="1258"/>
      <c r="T60" s="1"/>
      <c r="U60" s="435">
        <f>IF(AND(W60&gt;=$U$1,W60&lt;=$U$2),IF(X60='ESTRATTO CONTO'!$E$2,1+COUNTIF(U$4:U59,"&gt;0"),0),0)</f>
        <v>0</v>
      </c>
      <c r="V60" s="417">
        <f t="shared" si="11"/>
        <v>57</v>
      </c>
      <c r="W60" s="509"/>
      <c r="X60" s="321"/>
      <c r="Y60" s="321"/>
      <c r="Z60" s="433"/>
      <c r="AA60" s="918">
        <f t="shared" si="0"/>
        <v>1</v>
      </c>
      <c r="AB60" s="306" t="str">
        <f t="shared" si="1"/>
        <v/>
      </c>
      <c r="AC60" s="788"/>
      <c r="AD60" s="119">
        <f t="shared" si="18"/>
        <v>0</v>
      </c>
      <c r="AE60" s="108">
        <f t="shared" si="18"/>
        <v>0</v>
      </c>
      <c r="AF60" s="108">
        <f t="shared" si="18"/>
        <v>0</v>
      </c>
      <c r="AG60" s="108"/>
      <c r="AH60" s="108"/>
      <c r="AI60" s="108"/>
      <c r="AJ60" s="108"/>
      <c r="AK60" s="108"/>
      <c r="AL60" s="108">
        <f t="shared" si="3"/>
        <v>0</v>
      </c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20">
        <f t="shared" si="4"/>
        <v>0</v>
      </c>
      <c r="CL60" s="122">
        <f t="shared" si="5"/>
        <v>0</v>
      </c>
      <c r="CM60" s="524" t="str">
        <f t="shared" si="7"/>
        <v/>
      </c>
      <c r="CN60" s="526">
        <f t="shared" si="8"/>
        <v>0</v>
      </c>
      <c r="CO60" s="122">
        <f t="shared" si="9"/>
        <v>0</v>
      </c>
      <c r="CP60" s="45" t="str">
        <f t="shared" si="6"/>
        <v>1 - in MILLESIMI   I</v>
      </c>
      <c r="CQ60" s="1"/>
    </row>
    <row r="61" spans="1:95" ht="16.5" customHeight="1">
      <c r="A61" s="1"/>
      <c r="B61" s="1197" t="str">
        <f>ENTI!B32</f>
        <v>www.marcopiccoli.it - Bilancio Condominiale 4.0.E05 FREE - per EXCEL .xlsx</v>
      </c>
      <c r="C61" s="1197"/>
      <c r="D61" s="1197"/>
      <c r="E61" s="1197"/>
      <c r="F61" s="1197"/>
      <c r="G61" s="1197"/>
      <c r="H61" s="413"/>
      <c r="I61" s="1354" t="str">
        <f>CONCATENATE(Presentazione!$E$93,"   -   ","P.I./C.F ",COSTI!N66)</f>
        <v>Inserisci qui il NOME   -   P.I./C.F codice fiscale condominio</v>
      </c>
      <c r="J61" s="1354"/>
      <c r="K61" s="1354"/>
      <c r="L61" s="1354"/>
      <c r="M61" s="1354"/>
      <c r="N61" s="1354"/>
      <c r="O61" s="1354"/>
      <c r="P61" s="1354"/>
      <c r="Q61" s="1354"/>
      <c r="R61" s="1354"/>
      <c r="S61" s="1354"/>
      <c r="T61" s="1"/>
      <c r="U61" s="435">
        <f>IF(AND(W61&gt;=$U$1,W61&lt;=$U$2),IF(X61='ESTRATTO CONTO'!$E$2,1+COUNTIF(U$4:U60,"&gt;0"),0),0)</f>
        <v>0</v>
      </c>
      <c r="V61" s="417">
        <f t="shared" si="11"/>
        <v>58</v>
      </c>
      <c r="W61" s="509"/>
      <c r="X61" s="321"/>
      <c r="Y61" s="321"/>
      <c r="Z61" s="433"/>
      <c r="AA61" s="918">
        <f t="shared" si="0"/>
        <v>1</v>
      </c>
      <c r="AB61" s="306" t="str">
        <f t="shared" si="1"/>
        <v/>
      </c>
      <c r="AC61" s="788"/>
      <c r="AD61" s="119">
        <f t="shared" si="18"/>
        <v>0</v>
      </c>
      <c r="AE61" s="108">
        <f t="shared" si="18"/>
        <v>0</v>
      </c>
      <c r="AF61" s="108">
        <f t="shared" si="18"/>
        <v>0</v>
      </c>
      <c r="AG61" s="108"/>
      <c r="AH61" s="108"/>
      <c r="AI61" s="108"/>
      <c r="AJ61" s="108"/>
      <c r="AK61" s="108"/>
      <c r="AL61" s="108">
        <f t="shared" si="3"/>
        <v>0</v>
      </c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20">
        <f t="shared" si="4"/>
        <v>0</v>
      </c>
      <c r="CL61" s="122">
        <f t="shared" si="5"/>
        <v>0</v>
      </c>
      <c r="CM61" s="524" t="str">
        <f t="shared" si="7"/>
        <v/>
      </c>
      <c r="CN61" s="526">
        <f t="shared" si="8"/>
        <v>0</v>
      </c>
      <c r="CO61" s="122">
        <f t="shared" si="9"/>
        <v>0</v>
      </c>
      <c r="CP61" s="45" t="str">
        <f t="shared" si="6"/>
        <v>1 - in MILLESIMI   I</v>
      </c>
      <c r="CQ61" s="1"/>
    </row>
    <row r="62" spans="1:95" ht="16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435">
        <f>IF(AND(W62&gt;=$U$1,W62&lt;=$U$2),IF(X62='ESTRATTO CONTO'!$E$2,1+COUNTIF(U$4:U61,"&gt;0"),0),0)</f>
        <v>0</v>
      </c>
      <c r="V62" s="417">
        <f t="shared" si="11"/>
        <v>59</v>
      </c>
      <c r="W62" s="509"/>
      <c r="X62" s="321"/>
      <c r="Y62" s="321"/>
      <c r="Z62" s="433"/>
      <c r="AA62" s="918">
        <f t="shared" si="0"/>
        <v>1</v>
      </c>
      <c r="AB62" s="306" t="str">
        <f t="shared" si="1"/>
        <v/>
      </c>
      <c r="AC62" s="788"/>
      <c r="AD62" s="119">
        <f t="shared" si="18"/>
        <v>0</v>
      </c>
      <c r="AE62" s="108">
        <f t="shared" si="18"/>
        <v>0</v>
      </c>
      <c r="AF62" s="108">
        <f t="shared" si="18"/>
        <v>0</v>
      </c>
      <c r="AG62" s="108"/>
      <c r="AH62" s="108"/>
      <c r="AI62" s="108"/>
      <c r="AJ62" s="108"/>
      <c r="AK62" s="108"/>
      <c r="AL62" s="108">
        <f t="shared" si="3"/>
        <v>0</v>
      </c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20">
        <f t="shared" si="4"/>
        <v>0</v>
      </c>
      <c r="CL62" s="122">
        <f t="shared" si="5"/>
        <v>0</v>
      </c>
      <c r="CM62" s="524" t="str">
        <f t="shared" si="7"/>
        <v/>
      </c>
      <c r="CN62" s="526">
        <f t="shared" si="8"/>
        <v>0</v>
      </c>
      <c r="CO62" s="122">
        <f t="shared" si="9"/>
        <v>0</v>
      </c>
      <c r="CP62" s="45" t="str">
        <f t="shared" si="6"/>
        <v>1 - in MILLESIMI   I</v>
      </c>
      <c r="CQ62" s="1"/>
    </row>
    <row r="63" spans="1:95" ht="16.5" customHeight="1">
      <c r="A63" s="1"/>
      <c r="B63" s="1"/>
      <c r="C63" s="1357" t="s">
        <v>152</v>
      </c>
      <c r="D63" s="1357"/>
      <c r="E63" s="1357"/>
      <c r="F63" s="1357"/>
      <c r="G63" s="1357"/>
      <c r="H63" s="1355" t="s">
        <v>375</v>
      </c>
      <c r="I63" s="1355"/>
      <c r="J63" s="245"/>
      <c r="K63" s="1356" t="s">
        <v>376</v>
      </c>
      <c r="L63" s="1356"/>
      <c r="M63" s="1"/>
      <c r="N63" s="1352" t="s">
        <v>73</v>
      </c>
      <c r="O63" s="1353"/>
      <c r="P63" s="1353"/>
      <c r="Q63" s="378"/>
      <c r="R63" s="1"/>
      <c r="S63" s="1"/>
      <c r="T63" s="1"/>
      <c r="U63" s="435">
        <f>IF(AND(W63&gt;=$U$1,W63&lt;=$U$2),IF(X63='ESTRATTO CONTO'!$E$2,1+COUNTIF(U$4:U62,"&gt;0"),0),0)</f>
        <v>0</v>
      </c>
      <c r="V63" s="417">
        <f t="shared" si="11"/>
        <v>60</v>
      </c>
      <c r="W63" s="509"/>
      <c r="X63" s="321"/>
      <c r="Y63" s="321"/>
      <c r="Z63" s="433"/>
      <c r="AA63" s="918">
        <f t="shared" si="0"/>
        <v>1</v>
      </c>
      <c r="AB63" s="306" t="str">
        <f t="shared" si="1"/>
        <v/>
      </c>
      <c r="AC63" s="788"/>
      <c r="AD63" s="119">
        <f t="shared" si="18"/>
        <v>0</v>
      </c>
      <c r="AE63" s="108">
        <f t="shared" si="18"/>
        <v>0</v>
      </c>
      <c r="AF63" s="108">
        <f t="shared" si="18"/>
        <v>0</v>
      </c>
      <c r="AG63" s="108"/>
      <c r="AH63" s="108"/>
      <c r="AI63" s="108"/>
      <c r="AJ63" s="108"/>
      <c r="AK63" s="108"/>
      <c r="AL63" s="108">
        <f t="shared" si="3"/>
        <v>0</v>
      </c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20">
        <f t="shared" si="4"/>
        <v>0</v>
      </c>
      <c r="CL63" s="122">
        <f t="shared" si="5"/>
        <v>0</v>
      </c>
      <c r="CM63" s="524" t="str">
        <f t="shared" si="7"/>
        <v/>
      </c>
      <c r="CN63" s="526">
        <f t="shared" si="8"/>
        <v>0</v>
      </c>
      <c r="CO63" s="122">
        <f t="shared" si="9"/>
        <v>0</v>
      </c>
      <c r="CP63" s="45" t="str">
        <f t="shared" si="6"/>
        <v>1 - in MILLESIMI   I</v>
      </c>
      <c r="CQ63" s="1"/>
    </row>
    <row r="64" spans="1:95" ht="16.5" customHeight="1">
      <c r="A64" s="1"/>
      <c r="B64" s="1"/>
      <c r="C64" s="1358" t="str">
        <f>Presentazione!E93</f>
        <v>Inserisci qui il NOME</v>
      </c>
      <c r="D64" s="1358"/>
      <c r="E64" s="1358"/>
      <c r="F64" s="1358"/>
      <c r="G64" s="1358"/>
      <c r="H64" s="1372" t="str">
        <f>Presentazione!J95</f>
        <v>01234567891</v>
      </c>
      <c r="I64" s="1373"/>
      <c r="J64" s="505" t="str">
        <f>IF(K64=0,"",IF(J1444=1,"","ERROR"))</f>
        <v/>
      </c>
      <c r="K64" s="1359">
        <f>Presentazione!J99</f>
        <v>0</v>
      </c>
      <c r="L64" s="1360"/>
      <c r="M64" s="302" t="str">
        <f>IF(J1444=1,"OK","")</f>
        <v>OK</v>
      </c>
      <c r="N64" s="1349" t="str">
        <f>Presentazione!C26</f>
        <v>Inserisci qui il NOME</v>
      </c>
      <c r="O64" s="1350"/>
      <c r="P64" s="1350"/>
      <c r="Q64" s="1351"/>
      <c r="R64" s="1"/>
      <c r="S64" s="1"/>
      <c r="T64" s="1"/>
      <c r="U64" s="435">
        <f>IF(AND(W64&gt;=$U$1,W64&lt;=$U$2),IF(X64='ESTRATTO CONTO'!$E$2,1+COUNTIF(U$4:U63,"&gt;0"),0),0)</f>
        <v>0</v>
      </c>
      <c r="V64" s="417">
        <f t="shared" si="11"/>
        <v>61</v>
      </c>
      <c r="W64" s="509"/>
      <c r="X64" s="321"/>
      <c r="Y64" s="321"/>
      <c r="Z64" s="433"/>
      <c r="AA64" s="918">
        <f t="shared" si="0"/>
        <v>1</v>
      </c>
      <c r="AB64" s="306" t="str">
        <f t="shared" si="1"/>
        <v/>
      </c>
      <c r="AC64" s="788"/>
      <c r="AD64" s="119">
        <f t="shared" ref="AD64:AF83" si="30">IF($AB64=0,0,ROUND($Z64*VLOOKUP(AD$2,$F$1010:$Q$1014,VLOOKUP($CP64,$C$1076:$E$1081,3,FALSE),FALSE),2))</f>
        <v>0</v>
      </c>
      <c r="AE64" s="108">
        <f t="shared" si="30"/>
        <v>0</v>
      </c>
      <c r="AF64" s="108">
        <f t="shared" si="30"/>
        <v>0</v>
      </c>
      <c r="AG64" s="108"/>
      <c r="AH64" s="108"/>
      <c r="AI64" s="108"/>
      <c r="AJ64" s="108"/>
      <c r="AK64" s="108"/>
      <c r="AL64" s="108">
        <f t="shared" si="3"/>
        <v>0</v>
      </c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20">
        <f t="shared" si="4"/>
        <v>0</v>
      </c>
      <c r="CL64" s="122">
        <f t="shared" si="5"/>
        <v>0</v>
      </c>
      <c r="CM64" s="524" t="str">
        <f t="shared" si="7"/>
        <v/>
      </c>
      <c r="CN64" s="526">
        <f t="shared" si="8"/>
        <v>0</v>
      </c>
      <c r="CO64" s="122">
        <f t="shared" si="9"/>
        <v>0</v>
      </c>
      <c r="CP64" s="45" t="str">
        <f t="shared" si="6"/>
        <v>1 - in MILLESIMI   I</v>
      </c>
      <c r="CQ64" s="1"/>
    </row>
    <row r="65" spans="1:95" ht="16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365" t="s">
        <v>74</v>
      </c>
      <c r="O65" s="1366"/>
      <c r="P65" s="1366"/>
      <c r="Q65" s="772"/>
      <c r="R65" s="1"/>
      <c r="S65" s="1"/>
      <c r="T65" s="1"/>
      <c r="U65" s="435">
        <f>IF(AND(W65&gt;=$U$1,W65&lt;=$U$2),IF(X65='ESTRATTO CONTO'!$E$2,1+COUNTIF(U$4:U64,"&gt;0"),0),0)</f>
        <v>0</v>
      </c>
      <c r="V65" s="417">
        <f t="shared" si="11"/>
        <v>62</v>
      </c>
      <c r="W65" s="509"/>
      <c r="X65" s="321"/>
      <c r="Y65" s="321"/>
      <c r="Z65" s="433"/>
      <c r="AA65" s="918">
        <f t="shared" si="0"/>
        <v>1</v>
      </c>
      <c r="AB65" s="306" t="str">
        <f t="shared" si="1"/>
        <v/>
      </c>
      <c r="AC65" s="788"/>
      <c r="AD65" s="119">
        <f t="shared" si="30"/>
        <v>0</v>
      </c>
      <c r="AE65" s="108">
        <f t="shared" si="30"/>
        <v>0</v>
      </c>
      <c r="AF65" s="108">
        <f t="shared" si="30"/>
        <v>0</v>
      </c>
      <c r="AG65" s="108"/>
      <c r="AH65" s="108"/>
      <c r="AI65" s="108"/>
      <c r="AJ65" s="108"/>
      <c r="AK65" s="108"/>
      <c r="AL65" s="108">
        <f t="shared" si="3"/>
        <v>0</v>
      </c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20">
        <f t="shared" si="4"/>
        <v>0</v>
      </c>
      <c r="CL65" s="122">
        <f t="shared" si="5"/>
        <v>0</v>
      </c>
      <c r="CM65" s="524" t="str">
        <f t="shared" si="7"/>
        <v/>
      </c>
      <c r="CN65" s="526">
        <f t="shared" si="8"/>
        <v>0</v>
      </c>
      <c r="CO65" s="122">
        <f t="shared" si="9"/>
        <v>0</v>
      </c>
      <c r="CP65" s="45" t="str">
        <f t="shared" si="6"/>
        <v>1 - in MILLESIMI   I</v>
      </c>
      <c r="CQ65" s="1"/>
    </row>
    <row r="66" spans="1:95" ht="16.5" customHeight="1">
      <c r="A66" s="1"/>
      <c r="B66" s="1"/>
      <c r="C66" s="1"/>
      <c r="D66" s="1"/>
      <c r="E66" s="1"/>
      <c r="F66" s="1385"/>
      <c r="G66" s="1386"/>
      <c r="H66" s="1"/>
      <c r="I66" s="1293" t="s">
        <v>598</v>
      </c>
      <c r="J66" s="1293"/>
      <c r="K66" s="1293" t="s">
        <v>242</v>
      </c>
      <c r="L66" s="1293"/>
      <c r="M66" s="1"/>
      <c r="N66" s="1291" t="s">
        <v>541</v>
      </c>
      <c r="O66" s="1292"/>
      <c r="P66" s="1292"/>
      <c r="Q66" s="773"/>
      <c r="R66" s="1"/>
      <c r="S66" s="1"/>
      <c r="T66" s="1"/>
      <c r="U66" s="435">
        <f>IF(AND(W66&gt;=$U$1,W66&lt;=$U$2),IF(X66='ESTRATTO CONTO'!$E$2,1+COUNTIF(U$4:U65,"&gt;0"),0),0)</f>
        <v>0</v>
      </c>
      <c r="V66" s="417">
        <f t="shared" si="11"/>
        <v>63</v>
      </c>
      <c r="W66" s="509"/>
      <c r="X66" s="321"/>
      <c r="Y66" s="321"/>
      <c r="Z66" s="433"/>
      <c r="AA66" s="918">
        <f t="shared" si="0"/>
        <v>1</v>
      </c>
      <c r="AB66" s="306" t="str">
        <f t="shared" si="1"/>
        <v/>
      </c>
      <c r="AC66" s="788"/>
      <c r="AD66" s="119">
        <f t="shared" si="30"/>
        <v>0</v>
      </c>
      <c r="AE66" s="108">
        <f t="shared" si="30"/>
        <v>0</v>
      </c>
      <c r="AF66" s="108">
        <f t="shared" si="30"/>
        <v>0</v>
      </c>
      <c r="AG66" s="108"/>
      <c r="AH66" s="108"/>
      <c r="AI66" s="108"/>
      <c r="AJ66" s="108"/>
      <c r="AK66" s="108"/>
      <c r="AL66" s="108">
        <f t="shared" si="3"/>
        <v>0</v>
      </c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20">
        <f t="shared" si="4"/>
        <v>0</v>
      </c>
      <c r="CL66" s="122">
        <f t="shared" si="5"/>
        <v>0</v>
      </c>
      <c r="CM66" s="524" t="str">
        <f t="shared" si="7"/>
        <v/>
      </c>
      <c r="CN66" s="526">
        <f t="shared" si="8"/>
        <v>0</v>
      </c>
      <c r="CO66" s="122">
        <f t="shared" si="9"/>
        <v>0</v>
      </c>
      <c r="CP66" s="45" t="str">
        <f t="shared" si="6"/>
        <v>1 - in MILLESIMI   I</v>
      </c>
      <c r="CQ66" s="1"/>
    </row>
    <row r="67" spans="1:95" ht="16.5" customHeight="1">
      <c r="A67" s="1"/>
      <c r="B67" s="1"/>
      <c r="C67" s="1303" t="str">
        <f>CONCATENATE("Compenso da incassare ",Presentazione!K26)</f>
        <v>Compenso da incassare EURO</v>
      </c>
      <c r="D67" s="1303"/>
      <c r="E67" s="1304"/>
      <c r="F67" s="1299">
        <v>100</v>
      </c>
      <c r="G67" s="1300"/>
      <c r="H67" s="246" t="s">
        <v>76</v>
      </c>
      <c r="I67" s="1301" t="s">
        <v>118</v>
      </c>
      <c r="J67" s="1302"/>
      <c r="K67" s="1306" t="s">
        <v>126</v>
      </c>
      <c r="L67" s="1307"/>
      <c r="M67" s="1"/>
      <c r="N67" s="1289" t="s">
        <v>75</v>
      </c>
      <c r="O67" s="1290"/>
      <c r="P67" s="1290"/>
      <c r="Q67" s="149"/>
      <c r="R67" s="1"/>
      <c r="S67" s="1"/>
      <c r="T67" s="1"/>
      <c r="U67" s="435">
        <f>IF(AND(W67&gt;=$U$1,W67&lt;=$U$2),IF(X67='ESTRATTO CONTO'!$E$2,1+COUNTIF(U$4:U66,"&gt;0"),0),0)</f>
        <v>0</v>
      </c>
      <c r="V67" s="417">
        <f t="shared" si="11"/>
        <v>64</v>
      </c>
      <c r="W67" s="509"/>
      <c r="X67" s="321"/>
      <c r="Y67" s="321"/>
      <c r="Z67" s="433"/>
      <c r="AA67" s="918">
        <f t="shared" si="0"/>
        <v>1</v>
      </c>
      <c r="AB67" s="306" t="str">
        <f t="shared" si="1"/>
        <v/>
      </c>
      <c r="AC67" s="788"/>
      <c r="AD67" s="119">
        <f t="shared" si="30"/>
        <v>0</v>
      </c>
      <c r="AE67" s="108">
        <f t="shared" si="30"/>
        <v>0</v>
      </c>
      <c r="AF67" s="108">
        <f t="shared" si="30"/>
        <v>0</v>
      </c>
      <c r="AG67" s="108"/>
      <c r="AH67" s="108"/>
      <c r="AI67" s="108"/>
      <c r="AJ67" s="108"/>
      <c r="AK67" s="108"/>
      <c r="AL67" s="108">
        <f t="shared" si="3"/>
        <v>0</v>
      </c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20">
        <f t="shared" si="4"/>
        <v>0</v>
      </c>
      <c r="CL67" s="122">
        <f t="shared" si="5"/>
        <v>0</v>
      </c>
      <c r="CM67" s="524" t="str">
        <f t="shared" si="7"/>
        <v/>
      </c>
      <c r="CN67" s="526">
        <f t="shared" si="8"/>
        <v>0</v>
      </c>
      <c r="CO67" s="122">
        <f t="shared" si="9"/>
        <v>0</v>
      </c>
      <c r="CP67" s="45" t="str">
        <f t="shared" si="6"/>
        <v>1 - in MILLESIMI   I</v>
      </c>
      <c r="CQ67" s="1"/>
    </row>
    <row r="68" spans="1:95" ht="16.5" customHeight="1">
      <c r="A68" s="1"/>
      <c r="B68" s="1"/>
      <c r="C68" s="745"/>
      <c r="D68" s="745"/>
      <c r="E68" s="744" t="s">
        <v>437</v>
      </c>
      <c r="F68" s="1305"/>
      <c r="G68" s="1305"/>
      <c r="H68" s="431" t="s">
        <v>125</v>
      </c>
      <c r="I68" s="1305"/>
      <c r="J68" s="1305"/>
      <c r="K68" s="1316" t="str">
        <f>IF(OR(AND(F68&gt;0,I68=0),AND(I68&gt;0,F68=0)),"&lt;---- INSERISCI","")</f>
        <v/>
      </c>
      <c r="L68" s="1316"/>
      <c r="M68" s="1"/>
      <c r="N68" s="1286" t="str">
        <f>Presentazione!D28</f>
        <v>Via del Condominio</v>
      </c>
      <c r="O68" s="1287"/>
      <c r="P68" s="1287"/>
      <c r="Q68" s="1288"/>
      <c r="R68" s="1"/>
      <c r="S68" s="1"/>
      <c r="T68" s="1"/>
      <c r="U68" s="435">
        <f>IF(AND(W68&gt;=$U$1,W68&lt;=$U$2),IF(X68='ESTRATTO CONTO'!$E$2,1+COUNTIF(U$4:U67,"&gt;0"),0),0)</f>
        <v>0</v>
      </c>
      <c r="V68" s="417">
        <f t="shared" si="11"/>
        <v>65</v>
      </c>
      <c r="W68" s="509"/>
      <c r="X68" s="321"/>
      <c r="Y68" s="321"/>
      <c r="Z68" s="433"/>
      <c r="AA68" s="918">
        <f t="shared" ref="AA68:AA131" si="31">IF(OR(W68&lt;$W$1433,W68&gt;$W$1434),1,0)</f>
        <v>1</v>
      </c>
      <c r="AB68" s="306" t="str">
        <f t="shared" ref="AB68:AB131" si="32">IF(W68&gt;0,IF(AND(W68&gt;=W$1438,W68&lt;=W$1439),CONCATENATE(MONTH(W68)&amp;X68),0),"")</f>
        <v/>
      </c>
      <c r="AC68" s="788"/>
      <c r="AD68" s="119">
        <f t="shared" si="30"/>
        <v>0</v>
      </c>
      <c r="AE68" s="108">
        <f t="shared" si="30"/>
        <v>0</v>
      </c>
      <c r="AF68" s="108">
        <f t="shared" si="30"/>
        <v>0</v>
      </c>
      <c r="AG68" s="108"/>
      <c r="AH68" s="108"/>
      <c r="AI68" s="108"/>
      <c r="AJ68" s="108"/>
      <c r="AK68" s="108"/>
      <c r="AL68" s="108">
        <f t="shared" ref="AL68:AL131" si="33">IF($AB68=0,0,ROUND($Z68*VLOOKUP(AL$2,$F$1010:$Q$1014,VLOOKUP($CP68,$C$1076:$E$1081,3,FALSE),FALSE),2))</f>
        <v>0</v>
      </c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20">
        <f t="shared" ref="CK68:CK131" si="34">IF($AB68=0,0,ROUND($Z68*VLOOKUP(CK$2,$F$1010:$Q$1014,VLOOKUP($CP68,$C$1076:$E$1081,3,FALSE),FALSE),2))</f>
        <v>0</v>
      </c>
      <c r="CL68" s="122">
        <f t="shared" ref="CL68:CL131" si="35">IF(CK$1014&gt;0,0,IF(ISBLANK(W68),0,MONTH(W68)))</f>
        <v>0</v>
      </c>
      <c r="CM68" s="524" t="str">
        <f t="shared" si="7"/>
        <v/>
      </c>
      <c r="CN68" s="526">
        <f t="shared" si="8"/>
        <v>0</v>
      </c>
      <c r="CO68" s="122">
        <f t="shared" si="9"/>
        <v>0</v>
      </c>
      <c r="CP68" s="45" t="str">
        <f t="shared" ref="CP68:CP131" si="36">IF(ISBLANK(AC68),Q$1,AC68)</f>
        <v>1 - in MILLESIMI   I</v>
      </c>
      <c r="CQ68" s="1"/>
    </row>
    <row r="69" spans="1:95" ht="16.5" customHeight="1">
      <c r="A69" s="1"/>
      <c r="B69" s="1"/>
      <c r="C69" s="1"/>
      <c r="D69" s="1"/>
      <c r="E69" s="1"/>
      <c r="F69" s="1"/>
      <c r="G69" s="1"/>
      <c r="H69" s="46"/>
      <c r="I69" s="1315" t="s">
        <v>248</v>
      </c>
      <c r="J69" s="1315"/>
      <c r="K69" s="1315"/>
      <c r="L69" s="1315"/>
      <c r="M69" s="1"/>
      <c r="N69" s="1367" t="str">
        <f>Presentazione!D29</f>
        <v>00000 - ROMA</v>
      </c>
      <c r="O69" s="1368"/>
      <c r="P69" s="1368"/>
      <c r="Q69" s="1369"/>
      <c r="R69" s="1"/>
      <c r="S69" s="1"/>
      <c r="T69" s="1"/>
      <c r="U69" s="435">
        <f>IF(AND(W69&gt;=$U$1,W69&lt;=$U$2),IF(X69='ESTRATTO CONTO'!$E$2,1+COUNTIF(U$4:U68,"&gt;0"),0),0)</f>
        <v>0</v>
      </c>
      <c r="V69" s="417">
        <f t="shared" si="11"/>
        <v>66</v>
      </c>
      <c r="W69" s="509"/>
      <c r="X69" s="321"/>
      <c r="Y69" s="321"/>
      <c r="Z69" s="433"/>
      <c r="AA69" s="918">
        <f t="shared" si="31"/>
        <v>1</v>
      </c>
      <c r="AB69" s="306" t="str">
        <f t="shared" si="32"/>
        <v/>
      </c>
      <c r="AC69" s="788"/>
      <c r="AD69" s="119">
        <f t="shared" si="30"/>
        <v>0</v>
      </c>
      <c r="AE69" s="108">
        <f t="shared" si="30"/>
        <v>0</v>
      </c>
      <c r="AF69" s="108">
        <f t="shared" si="30"/>
        <v>0</v>
      </c>
      <c r="AG69" s="108"/>
      <c r="AH69" s="108"/>
      <c r="AI69" s="108"/>
      <c r="AJ69" s="108"/>
      <c r="AK69" s="108"/>
      <c r="AL69" s="108">
        <f t="shared" si="33"/>
        <v>0</v>
      </c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20">
        <f t="shared" si="34"/>
        <v>0</v>
      </c>
      <c r="CL69" s="122">
        <f t="shared" si="35"/>
        <v>0</v>
      </c>
      <c r="CM69" s="524" t="str">
        <f t="shared" ref="CM69:CM132" si="37">IF(X69="","",IF(ISERROR(VLOOKUP(X69,B$9:E$45,1,FALSE)),1,0))</f>
        <v/>
      </c>
      <c r="CN69" s="526">
        <f t="shared" ref="CN69:CN132" si="38">IF(AND(W69&gt;=CN$1,W69&lt;=CN$2),Z69,0)</f>
        <v>0</v>
      </c>
      <c r="CO69" s="122">
        <f t="shared" ref="CO69:CO132" si="39">IF(CN69&lt;&gt;0,X69,0)</f>
        <v>0</v>
      </c>
      <c r="CP69" s="45" t="str">
        <f t="shared" si="36"/>
        <v>1 - in MILLESIMI   I</v>
      </c>
      <c r="CQ69" s="1"/>
    </row>
    <row r="70" spans="1:95" ht="16.5" customHeight="1">
      <c r="A70" s="1"/>
      <c r="B70" s="1"/>
      <c r="C70" s="1327" t="s">
        <v>146</v>
      </c>
      <c r="D70" s="1327"/>
      <c r="E70" s="1328"/>
      <c r="F70" s="1312">
        <f>IF(AND($J$1444=0,$P$4=$N$1417),0,COUNTIF(F80:Q84,"&gt;0")*F67)</f>
        <v>2700</v>
      </c>
      <c r="G70" s="1313"/>
      <c r="H70" s="45" t="str">
        <f>IF(AND(ISBLANK(F68),ISBLANK(I68)),"(ANNO)","")</f>
        <v>(ANNO)</v>
      </c>
      <c r="I70" s="1345" t="s">
        <v>597</v>
      </c>
      <c r="J70" s="1346"/>
      <c r="K70" s="1346"/>
      <c r="L70" s="1347"/>
      <c r="M70" s="1"/>
      <c r="N70" s="1370" t="s">
        <v>137</v>
      </c>
      <c r="O70" s="1371"/>
      <c r="P70" s="1371"/>
      <c r="Q70" s="774"/>
      <c r="R70" s="1"/>
      <c r="S70" s="1"/>
      <c r="T70" s="1"/>
      <c r="U70" s="435">
        <f>IF(AND(W70&gt;=$U$1,W70&lt;=$U$2),IF(X70='ESTRATTO CONTO'!$E$2,1+COUNTIF(U$4:U69,"&gt;0"),0),0)</f>
        <v>0</v>
      </c>
      <c r="V70" s="417">
        <f t="shared" ref="V70:V133" si="40">V69+1</f>
        <v>67</v>
      </c>
      <c r="W70" s="509"/>
      <c r="X70" s="321"/>
      <c r="Y70" s="321"/>
      <c r="Z70" s="433"/>
      <c r="AA70" s="918">
        <f t="shared" si="31"/>
        <v>1</v>
      </c>
      <c r="AB70" s="306" t="str">
        <f t="shared" si="32"/>
        <v/>
      </c>
      <c r="AC70" s="788"/>
      <c r="AD70" s="119">
        <f t="shared" si="30"/>
        <v>0</v>
      </c>
      <c r="AE70" s="108">
        <f t="shared" si="30"/>
        <v>0</v>
      </c>
      <c r="AF70" s="108">
        <f t="shared" si="30"/>
        <v>0</v>
      </c>
      <c r="AG70" s="108"/>
      <c r="AH70" s="108"/>
      <c r="AI70" s="108"/>
      <c r="AJ70" s="108"/>
      <c r="AK70" s="108"/>
      <c r="AL70" s="108">
        <f t="shared" si="33"/>
        <v>0</v>
      </c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20">
        <f t="shared" si="34"/>
        <v>0</v>
      </c>
      <c r="CL70" s="122">
        <f t="shared" si="35"/>
        <v>0</v>
      </c>
      <c r="CM70" s="524" t="str">
        <f t="shared" si="37"/>
        <v/>
      </c>
      <c r="CN70" s="526">
        <f t="shared" si="38"/>
        <v>0</v>
      </c>
      <c r="CO70" s="122">
        <f t="shared" si="39"/>
        <v>0</v>
      </c>
      <c r="CP70" s="45" t="str">
        <f t="shared" si="36"/>
        <v>1 - in MILLESIMI   I</v>
      </c>
      <c r="CQ70" s="1"/>
    </row>
    <row r="71" spans="1:95" ht="16.5" customHeight="1">
      <c r="A71" s="1"/>
      <c r="B71" s="1"/>
      <c r="C71" s="1"/>
      <c r="D71" s="1"/>
      <c r="E71" s="1"/>
      <c r="F71" s="1"/>
      <c r="G71" s="1"/>
      <c r="H71" s="1"/>
      <c r="I71" s="1314" t="s">
        <v>377</v>
      </c>
      <c r="J71" s="1314"/>
      <c r="K71" s="1314"/>
      <c r="L71" s="1314"/>
      <c r="M71" s="1"/>
      <c r="N71" s="1342" t="s">
        <v>188</v>
      </c>
      <c r="O71" s="1343"/>
      <c r="P71" s="1343"/>
      <c r="Q71" s="1344"/>
      <c r="R71" s="1"/>
      <c r="S71" s="1"/>
      <c r="T71" s="1"/>
      <c r="U71" s="435">
        <f>IF(AND(W71&gt;=$U$1,W71&lt;=$U$2),IF(X71='ESTRATTO CONTO'!$E$2,1+COUNTIF(U$4:U70,"&gt;0"),0),0)</f>
        <v>0</v>
      </c>
      <c r="V71" s="417">
        <f t="shared" si="40"/>
        <v>68</v>
      </c>
      <c r="W71" s="509"/>
      <c r="X71" s="321"/>
      <c r="Y71" s="321"/>
      <c r="Z71" s="433"/>
      <c r="AA71" s="918">
        <f t="shared" si="31"/>
        <v>1</v>
      </c>
      <c r="AB71" s="306" t="str">
        <f t="shared" si="32"/>
        <v/>
      </c>
      <c r="AC71" s="788"/>
      <c r="AD71" s="119">
        <f t="shared" si="30"/>
        <v>0</v>
      </c>
      <c r="AE71" s="108">
        <f t="shared" si="30"/>
        <v>0</v>
      </c>
      <c r="AF71" s="108">
        <f t="shared" si="30"/>
        <v>0</v>
      </c>
      <c r="AG71" s="108"/>
      <c r="AH71" s="108"/>
      <c r="AI71" s="108"/>
      <c r="AJ71" s="108"/>
      <c r="AK71" s="108"/>
      <c r="AL71" s="108">
        <f t="shared" si="33"/>
        <v>0</v>
      </c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20">
        <f t="shared" si="34"/>
        <v>0</v>
      </c>
      <c r="CL71" s="122">
        <f t="shared" si="35"/>
        <v>0</v>
      </c>
      <c r="CM71" s="524" t="str">
        <f t="shared" si="37"/>
        <v/>
      </c>
      <c r="CN71" s="526">
        <f t="shared" si="38"/>
        <v>0</v>
      </c>
      <c r="CO71" s="122">
        <f t="shared" si="39"/>
        <v>0</v>
      </c>
      <c r="CP71" s="45" t="str">
        <f t="shared" si="36"/>
        <v>1 - in MILLESIMI   I</v>
      </c>
      <c r="CQ71" s="1"/>
    </row>
    <row r="72" spans="1:95" ht="16.5" customHeight="1">
      <c r="A72" s="1"/>
      <c r="B72" s="1"/>
      <c r="C72" s="1317" t="s">
        <v>147</v>
      </c>
      <c r="D72" s="1317"/>
      <c r="E72" s="1318"/>
      <c r="F72" s="1319">
        <f ca="1">SUMIF(CQ89:CQ140,1,L89:L140)</f>
        <v>1005</v>
      </c>
      <c r="G72" s="1320"/>
      <c r="H72" s="281">
        <v>1</v>
      </c>
      <c r="I72" s="1375" t="s">
        <v>150</v>
      </c>
      <c r="J72" s="1375"/>
      <c r="K72" s="1375"/>
      <c r="L72" s="1375"/>
      <c r="M72" s="1"/>
      <c r="N72" s="775" t="s">
        <v>189</v>
      </c>
      <c r="O72" s="1363" t="s">
        <v>208</v>
      </c>
      <c r="P72" s="1363"/>
      <c r="Q72" s="1364"/>
      <c r="R72" s="1"/>
      <c r="S72" s="1"/>
      <c r="T72" s="1"/>
      <c r="U72" s="435">
        <f>IF(AND(W72&gt;=$U$1,W72&lt;=$U$2),IF(X72='ESTRATTO CONTO'!$E$2,1+COUNTIF(U$4:U71,"&gt;0"),0),0)</f>
        <v>0</v>
      </c>
      <c r="V72" s="417">
        <f t="shared" si="40"/>
        <v>69</v>
      </c>
      <c r="W72" s="509"/>
      <c r="X72" s="321"/>
      <c r="Y72" s="321"/>
      <c r="Z72" s="433"/>
      <c r="AA72" s="918">
        <f t="shared" si="31"/>
        <v>1</v>
      </c>
      <c r="AB72" s="306" t="str">
        <f t="shared" si="32"/>
        <v/>
      </c>
      <c r="AC72" s="788"/>
      <c r="AD72" s="119">
        <f t="shared" si="30"/>
        <v>0</v>
      </c>
      <c r="AE72" s="108">
        <f t="shared" si="30"/>
        <v>0</v>
      </c>
      <c r="AF72" s="108">
        <f t="shared" si="30"/>
        <v>0</v>
      </c>
      <c r="AG72" s="108"/>
      <c r="AH72" s="108"/>
      <c r="AI72" s="108"/>
      <c r="AJ72" s="108"/>
      <c r="AK72" s="108"/>
      <c r="AL72" s="108">
        <f t="shared" si="33"/>
        <v>0</v>
      </c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20">
        <f t="shared" si="34"/>
        <v>0</v>
      </c>
      <c r="CL72" s="122">
        <f t="shared" si="35"/>
        <v>0</v>
      </c>
      <c r="CM72" s="524" t="str">
        <f t="shared" si="37"/>
        <v/>
      </c>
      <c r="CN72" s="526">
        <f t="shared" si="38"/>
        <v>0</v>
      </c>
      <c r="CO72" s="122">
        <f t="shared" si="39"/>
        <v>0</v>
      </c>
      <c r="CP72" s="45" t="str">
        <f t="shared" si="36"/>
        <v>1 - in MILLESIMI   I</v>
      </c>
      <c r="CQ72" s="1"/>
    </row>
    <row r="73" spans="1:95" ht="16.5" customHeight="1">
      <c r="A73" s="1"/>
      <c r="B73" s="1"/>
      <c r="C73" s="1330">
        <f ca="1">TODAY()</f>
        <v>45420</v>
      </c>
      <c r="D73" s="1331"/>
      <c r="E73" s="1332"/>
      <c r="F73" s="1321"/>
      <c r="G73" s="1322"/>
      <c r="H73" s="282">
        <v>2</v>
      </c>
      <c r="I73" s="1374" t="s">
        <v>153</v>
      </c>
      <c r="J73" s="1374"/>
      <c r="K73" s="1374"/>
      <c r="L73" s="1374"/>
      <c r="M73" s="1"/>
      <c r="N73" s="1339" t="s">
        <v>209</v>
      </c>
      <c r="O73" s="1340"/>
      <c r="P73" s="1340"/>
      <c r="Q73" s="1341"/>
      <c r="R73" s="1"/>
      <c r="S73" s="1"/>
      <c r="T73" s="1"/>
      <c r="U73" s="435">
        <f>IF(AND(W73&gt;=$U$1,W73&lt;=$U$2),IF(X73='ESTRATTO CONTO'!$E$2,1+COUNTIF(U$4:U72,"&gt;0"),0),0)</f>
        <v>0</v>
      </c>
      <c r="V73" s="417">
        <f t="shared" si="40"/>
        <v>70</v>
      </c>
      <c r="W73" s="509"/>
      <c r="X73" s="321"/>
      <c r="Y73" s="321"/>
      <c r="Z73" s="433"/>
      <c r="AA73" s="918">
        <f t="shared" si="31"/>
        <v>1</v>
      </c>
      <c r="AB73" s="306" t="str">
        <f t="shared" si="32"/>
        <v/>
      </c>
      <c r="AC73" s="788"/>
      <c r="AD73" s="119">
        <f t="shared" si="30"/>
        <v>0</v>
      </c>
      <c r="AE73" s="108">
        <f t="shared" si="30"/>
        <v>0</v>
      </c>
      <c r="AF73" s="108">
        <f t="shared" si="30"/>
        <v>0</v>
      </c>
      <c r="AG73" s="108"/>
      <c r="AH73" s="108"/>
      <c r="AI73" s="108"/>
      <c r="AJ73" s="108"/>
      <c r="AK73" s="108"/>
      <c r="AL73" s="108">
        <f t="shared" si="33"/>
        <v>0</v>
      </c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20">
        <f t="shared" si="34"/>
        <v>0</v>
      </c>
      <c r="CL73" s="122">
        <f t="shared" si="35"/>
        <v>0</v>
      </c>
      <c r="CM73" s="524" t="str">
        <f t="shared" si="37"/>
        <v/>
      </c>
      <c r="CN73" s="526">
        <f t="shared" si="38"/>
        <v>0</v>
      </c>
      <c r="CO73" s="122">
        <f t="shared" si="39"/>
        <v>0</v>
      </c>
      <c r="CP73" s="45" t="str">
        <f t="shared" si="36"/>
        <v>1 - in MILLESIMI   I</v>
      </c>
      <c r="CQ73" s="1"/>
    </row>
    <row r="74" spans="1:95" ht="16.5" customHeight="1">
      <c r="A74" s="1"/>
      <c r="B74" s="1"/>
      <c r="C74" s="1383" t="s">
        <v>617</v>
      </c>
      <c r="D74" s="1383"/>
      <c r="E74" s="1383"/>
      <c r="F74" s="1384" t="str">
        <f>IF(P4="","",P4)</f>
        <v>Totale in sistema</v>
      </c>
      <c r="G74" s="138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435">
        <f>IF(AND(W74&gt;=$U$1,W74&lt;=$U$2),IF(X74='ESTRATTO CONTO'!$E$2,1+COUNTIF(U$4:U73,"&gt;0"),0),0)</f>
        <v>0</v>
      </c>
      <c r="V74" s="417">
        <f t="shared" si="40"/>
        <v>71</v>
      </c>
      <c r="W74" s="509"/>
      <c r="X74" s="321"/>
      <c r="Y74" s="321"/>
      <c r="Z74" s="433"/>
      <c r="AA74" s="918">
        <f t="shared" si="31"/>
        <v>1</v>
      </c>
      <c r="AB74" s="306" t="str">
        <f t="shared" si="32"/>
        <v/>
      </c>
      <c r="AC74" s="788"/>
      <c r="AD74" s="119">
        <f t="shared" si="30"/>
        <v>0</v>
      </c>
      <c r="AE74" s="108">
        <f t="shared" si="30"/>
        <v>0</v>
      </c>
      <c r="AF74" s="108">
        <f t="shared" si="30"/>
        <v>0</v>
      </c>
      <c r="AG74" s="108"/>
      <c r="AH74" s="108"/>
      <c r="AI74" s="108"/>
      <c r="AJ74" s="108"/>
      <c r="AK74" s="108"/>
      <c r="AL74" s="108">
        <f t="shared" si="33"/>
        <v>0</v>
      </c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20">
        <f t="shared" si="34"/>
        <v>0</v>
      </c>
      <c r="CL74" s="122">
        <f t="shared" si="35"/>
        <v>0</v>
      </c>
      <c r="CM74" s="524" t="str">
        <f t="shared" si="37"/>
        <v/>
      </c>
      <c r="CN74" s="526">
        <f t="shared" si="38"/>
        <v>0</v>
      </c>
      <c r="CO74" s="122">
        <f t="shared" si="39"/>
        <v>0</v>
      </c>
      <c r="CP74" s="45" t="str">
        <f t="shared" si="36"/>
        <v>1 - in MILLESIMI   I</v>
      </c>
      <c r="CQ74" s="1"/>
    </row>
    <row r="75" spans="1:95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35">
        <f>IF(AND(W75&gt;=$U$1,W75&lt;=$U$2),IF(X75='ESTRATTO CONTO'!$E$2,1+COUNTIF(U$4:U74,"&gt;0"),0),0)</f>
        <v>0</v>
      </c>
      <c r="V75" s="417">
        <f t="shared" si="40"/>
        <v>72</v>
      </c>
      <c r="W75" s="509"/>
      <c r="X75" s="321"/>
      <c r="Y75" s="321"/>
      <c r="Z75" s="433"/>
      <c r="AA75" s="918">
        <f t="shared" si="31"/>
        <v>1</v>
      </c>
      <c r="AB75" s="306" t="str">
        <f t="shared" si="32"/>
        <v/>
      </c>
      <c r="AC75" s="788"/>
      <c r="AD75" s="119">
        <f t="shared" si="30"/>
        <v>0</v>
      </c>
      <c r="AE75" s="108">
        <f t="shared" si="30"/>
        <v>0</v>
      </c>
      <c r="AF75" s="108">
        <f t="shared" si="30"/>
        <v>0</v>
      </c>
      <c r="AG75" s="108"/>
      <c r="AH75" s="108"/>
      <c r="AI75" s="108"/>
      <c r="AJ75" s="108"/>
      <c r="AK75" s="108"/>
      <c r="AL75" s="108">
        <f t="shared" si="33"/>
        <v>0</v>
      </c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20">
        <f t="shared" si="34"/>
        <v>0</v>
      </c>
      <c r="CL75" s="122">
        <f t="shared" si="35"/>
        <v>0</v>
      </c>
      <c r="CM75" s="524" t="str">
        <f t="shared" si="37"/>
        <v/>
      </c>
      <c r="CN75" s="526">
        <f t="shared" si="38"/>
        <v>0</v>
      </c>
      <c r="CO75" s="122">
        <f t="shared" si="39"/>
        <v>0</v>
      </c>
      <c r="CP75" s="45" t="str">
        <f t="shared" si="36"/>
        <v>1 - in MILLESIMI   I</v>
      </c>
      <c r="CQ75" s="1"/>
    </row>
    <row r="76" spans="1:95" ht="16.5" customHeight="1">
      <c r="A76" s="1"/>
      <c r="B76" s="1"/>
      <c r="C76" s="1"/>
      <c r="D76" s="1"/>
      <c r="E76" s="269" t="s">
        <v>136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269" t="s">
        <v>247</v>
      </c>
      <c r="T76" s="1"/>
      <c r="U76" s="435">
        <f>IF(AND(W76&gt;=$U$1,W76&lt;=$U$2),IF(X76='ESTRATTO CONTO'!$E$2,1+COUNTIF(U$4:U75,"&gt;0"),0),0)</f>
        <v>0</v>
      </c>
      <c r="V76" s="417">
        <f t="shared" si="40"/>
        <v>73</v>
      </c>
      <c r="W76" s="509"/>
      <c r="X76" s="321"/>
      <c r="Y76" s="321"/>
      <c r="Z76" s="433"/>
      <c r="AA76" s="918">
        <f t="shared" si="31"/>
        <v>1</v>
      </c>
      <c r="AB76" s="306" t="str">
        <f t="shared" si="32"/>
        <v/>
      </c>
      <c r="AC76" s="788"/>
      <c r="AD76" s="119">
        <f t="shared" si="30"/>
        <v>0</v>
      </c>
      <c r="AE76" s="108">
        <f t="shared" si="30"/>
        <v>0</v>
      </c>
      <c r="AF76" s="108">
        <f t="shared" si="30"/>
        <v>0</v>
      </c>
      <c r="AG76" s="108"/>
      <c r="AH76" s="108"/>
      <c r="AI76" s="108"/>
      <c r="AJ76" s="108"/>
      <c r="AK76" s="108"/>
      <c r="AL76" s="108">
        <f t="shared" si="33"/>
        <v>0</v>
      </c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20">
        <f t="shared" si="34"/>
        <v>0</v>
      </c>
      <c r="CL76" s="122">
        <f t="shared" si="35"/>
        <v>0</v>
      </c>
      <c r="CM76" s="524" t="str">
        <f t="shared" si="37"/>
        <v/>
      </c>
      <c r="CN76" s="526">
        <f t="shared" si="38"/>
        <v>0</v>
      </c>
      <c r="CO76" s="122">
        <f t="shared" si="39"/>
        <v>0</v>
      </c>
      <c r="CP76" s="45" t="str">
        <f t="shared" si="36"/>
        <v>1 - in MILLESIMI   I</v>
      </c>
      <c r="CQ76" s="1"/>
    </row>
    <row r="77" spans="1:95" ht="16.5" customHeight="1">
      <c r="A77" s="1"/>
      <c r="B77" s="1336" t="s">
        <v>429</v>
      </c>
      <c r="C77" s="1336"/>
      <c r="D77" s="1336"/>
      <c r="E77" s="270" t="s">
        <v>135</v>
      </c>
      <c r="F77" s="395" t="str">
        <f t="shared" ref="F77:Q77" si="41">F5</f>
        <v>GEN</v>
      </c>
      <c r="G77" s="651" t="str">
        <f t="shared" si="41"/>
        <v>FEB</v>
      </c>
      <c r="H77" s="651" t="str">
        <f t="shared" si="41"/>
        <v>MAR</v>
      </c>
      <c r="I77" s="651" t="str">
        <f t="shared" si="41"/>
        <v>APR</v>
      </c>
      <c r="J77" s="651" t="str">
        <f t="shared" si="41"/>
        <v>MAG</v>
      </c>
      <c r="K77" s="651" t="str">
        <f t="shared" si="41"/>
        <v>GIU</v>
      </c>
      <c r="L77" s="651" t="str">
        <f t="shared" si="41"/>
        <v>LUG</v>
      </c>
      <c r="M77" s="651" t="str">
        <f t="shared" si="41"/>
        <v>AGO</v>
      </c>
      <c r="N77" s="651" t="str">
        <f t="shared" si="41"/>
        <v>SET</v>
      </c>
      <c r="O77" s="651" t="str">
        <f t="shared" si="41"/>
        <v>OTT</v>
      </c>
      <c r="P77" s="651" t="str">
        <f t="shared" si="41"/>
        <v>NOV</v>
      </c>
      <c r="Q77" s="395" t="str">
        <f t="shared" si="41"/>
        <v>DIC</v>
      </c>
      <c r="R77" s="1"/>
      <c r="S77" s="270" t="s">
        <v>148</v>
      </c>
      <c r="T77" s="1"/>
      <c r="U77" s="435">
        <f>IF(AND(W77&gt;=$U$1,W77&lt;=$U$2),IF(X77='ESTRATTO CONTO'!$E$2,1+COUNTIF(U$4:U76,"&gt;0"),0),0)</f>
        <v>0</v>
      </c>
      <c r="V77" s="417">
        <f t="shared" si="40"/>
        <v>74</v>
      </c>
      <c r="W77" s="509"/>
      <c r="X77" s="321"/>
      <c r="Y77" s="321"/>
      <c r="Z77" s="433"/>
      <c r="AA77" s="918">
        <f t="shared" si="31"/>
        <v>1</v>
      </c>
      <c r="AB77" s="306" t="str">
        <f t="shared" si="32"/>
        <v/>
      </c>
      <c r="AC77" s="788"/>
      <c r="AD77" s="119">
        <f t="shared" si="30"/>
        <v>0</v>
      </c>
      <c r="AE77" s="108">
        <f t="shared" si="30"/>
        <v>0</v>
      </c>
      <c r="AF77" s="108">
        <f t="shared" si="30"/>
        <v>0</v>
      </c>
      <c r="AG77" s="108"/>
      <c r="AH77" s="108"/>
      <c r="AI77" s="108"/>
      <c r="AJ77" s="108"/>
      <c r="AK77" s="108"/>
      <c r="AL77" s="108">
        <f t="shared" si="33"/>
        <v>0</v>
      </c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20">
        <f t="shared" si="34"/>
        <v>0</v>
      </c>
      <c r="CL77" s="122">
        <f t="shared" si="35"/>
        <v>0</v>
      </c>
      <c r="CM77" s="524" t="str">
        <f t="shared" si="37"/>
        <v/>
      </c>
      <c r="CN77" s="526">
        <f t="shared" si="38"/>
        <v>0</v>
      </c>
      <c r="CO77" s="122">
        <f t="shared" si="39"/>
        <v>0</v>
      </c>
      <c r="CP77" s="45" t="str">
        <f t="shared" si="36"/>
        <v>1 - in MILLESIMI   I</v>
      </c>
      <c r="CQ77" s="1"/>
    </row>
    <row r="78" spans="1:95" ht="16.5" customHeight="1">
      <c r="A78" s="1"/>
      <c r="B78" s="1324" t="s">
        <v>152</v>
      </c>
      <c r="C78" s="1325"/>
      <c r="D78" s="1326"/>
      <c r="E78" s="439">
        <v>0</v>
      </c>
      <c r="F78" s="440">
        <f t="shared" ref="F78:Q78" ca="1" si="42">IF(F1423=0,0,SUMIF($A$89:$A$140,F1437,$L$89:$L$140)-SUMIF($M$89:$M$140,F1437,$L$89:$L$140))</f>
        <v>0</v>
      </c>
      <c r="G78" s="441">
        <f t="shared" ca="1" si="42"/>
        <v>200</v>
      </c>
      <c r="H78" s="441">
        <f t="shared" ca="1" si="42"/>
        <v>200</v>
      </c>
      <c r="I78" s="441">
        <f t="shared" ca="1" si="42"/>
        <v>200</v>
      </c>
      <c r="J78" s="441">
        <f t="shared" ca="1" si="42"/>
        <v>100</v>
      </c>
      <c r="K78" s="441">
        <f t="shared" ca="1" si="42"/>
        <v>0</v>
      </c>
      <c r="L78" s="441">
        <f t="shared" ca="1" si="42"/>
        <v>0</v>
      </c>
      <c r="M78" s="441">
        <f t="shared" ca="1" si="42"/>
        <v>0</v>
      </c>
      <c r="N78" s="441">
        <f t="shared" ca="1" si="42"/>
        <v>0</v>
      </c>
      <c r="O78" s="441">
        <f t="shared" ca="1" si="42"/>
        <v>0</v>
      </c>
      <c r="P78" s="441">
        <f t="shared" ca="1" si="42"/>
        <v>0</v>
      </c>
      <c r="Q78" s="442">
        <f t="shared" ca="1" si="42"/>
        <v>0</v>
      </c>
      <c r="R78" s="27"/>
      <c r="S78" s="443">
        <f ca="1">IF(ISERROR(SUM(F78:Q78)),0,SUM(F78:Q78)+E78)</f>
        <v>700</v>
      </c>
      <c r="T78" s="1"/>
      <c r="U78" s="435">
        <f>IF(AND(W78&gt;=$U$1,W78&lt;=$U$2),IF(X78='ESTRATTO CONTO'!$E$2,1+COUNTIF(U$4:U77,"&gt;0"),0),0)</f>
        <v>0</v>
      </c>
      <c r="V78" s="417">
        <f t="shared" si="40"/>
        <v>75</v>
      </c>
      <c r="W78" s="509"/>
      <c r="X78" s="321"/>
      <c r="Y78" s="321"/>
      <c r="Z78" s="433"/>
      <c r="AA78" s="918">
        <f t="shared" si="31"/>
        <v>1</v>
      </c>
      <c r="AB78" s="306" t="str">
        <f t="shared" si="32"/>
        <v/>
      </c>
      <c r="AC78" s="788"/>
      <c r="AD78" s="119">
        <f t="shared" si="30"/>
        <v>0</v>
      </c>
      <c r="AE78" s="108">
        <f t="shared" si="30"/>
        <v>0</v>
      </c>
      <c r="AF78" s="108">
        <f t="shared" si="30"/>
        <v>0</v>
      </c>
      <c r="AG78" s="108"/>
      <c r="AH78" s="108"/>
      <c r="AI78" s="108"/>
      <c r="AJ78" s="108"/>
      <c r="AK78" s="108"/>
      <c r="AL78" s="108">
        <f t="shared" si="33"/>
        <v>0</v>
      </c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20">
        <f t="shared" si="34"/>
        <v>0</v>
      </c>
      <c r="CL78" s="122">
        <f t="shared" si="35"/>
        <v>0</v>
      </c>
      <c r="CM78" s="524" t="str">
        <f t="shared" si="37"/>
        <v/>
      </c>
      <c r="CN78" s="526">
        <f t="shared" si="38"/>
        <v>0</v>
      </c>
      <c r="CO78" s="122">
        <f t="shared" si="39"/>
        <v>0</v>
      </c>
      <c r="CP78" s="45" t="str">
        <f t="shared" si="36"/>
        <v>1 - in MILLESIMI   I</v>
      </c>
      <c r="CQ78" s="1"/>
    </row>
    <row r="79" spans="1:95" ht="16.5" customHeight="1">
      <c r="A79" s="1"/>
      <c r="B79" s="1266" t="str">
        <f>IF(ISERROR(VLOOKUP(I$67,G$1076:G$1078,1,FALSE)),IF(K67=G1086,G1091,G1093),G1089)</f>
        <v>la 1° settimana inizia</v>
      </c>
      <c r="C79" s="1266"/>
      <c r="D79" s="1266"/>
      <c r="E79" s="1"/>
      <c r="F79" s="1338" t="s">
        <v>173</v>
      </c>
      <c r="G79" s="1338"/>
      <c r="H79" s="1338"/>
      <c r="I79" s="1338"/>
      <c r="J79" s="1338"/>
      <c r="K79" s="1338"/>
      <c r="L79" s="1338"/>
      <c r="M79" s="1338"/>
      <c r="N79" s="1338"/>
      <c r="O79" s="1338"/>
      <c r="P79" s="1338"/>
      <c r="Q79" s="1338"/>
      <c r="R79" s="1"/>
      <c r="S79" s="1"/>
      <c r="T79" s="1"/>
      <c r="U79" s="435">
        <f>IF(AND(W79&gt;=$U$1,W79&lt;=$U$2),IF(X79='ESTRATTO CONTO'!$E$2,1+COUNTIF(U$4:U78,"&gt;0"),0),0)</f>
        <v>0</v>
      </c>
      <c r="V79" s="417">
        <f t="shared" si="40"/>
        <v>76</v>
      </c>
      <c r="W79" s="509"/>
      <c r="X79" s="321"/>
      <c r="Y79" s="321"/>
      <c r="Z79" s="433"/>
      <c r="AA79" s="918">
        <f t="shared" si="31"/>
        <v>1</v>
      </c>
      <c r="AB79" s="306" t="str">
        <f t="shared" si="32"/>
        <v/>
      </c>
      <c r="AC79" s="788"/>
      <c r="AD79" s="119">
        <f t="shared" si="30"/>
        <v>0</v>
      </c>
      <c r="AE79" s="108">
        <f t="shared" si="30"/>
        <v>0</v>
      </c>
      <c r="AF79" s="108">
        <f t="shared" si="30"/>
        <v>0</v>
      </c>
      <c r="AG79" s="108"/>
      <c r="AH79" s="108"/>
      <c r="AI79" s="108"/>
      <c r="AJ79" s="108"/>
      <c r="AK79" s="108"/>
      <c r="AL79" s="108">
        <f t="shared" si="33"/>
        <v>0</v>
      </c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20">
        <f t="shared" si="34"/>
        <v>0</v>
      </c>
      <c r="CL79" s="122">
        <f t="shared" si="35"/>
        <v>0</v>
      </c>
      <c r="CM79" s="524" t="str">
        <f t="shared" si="37"/>
        <v/>
      </c>
      <c r="CN79" s="526">
        <f t="shared" si="38"/>
        <v>0</v>
      </c>
      <c r="CO79" s="122">
        <f t="shared" si="39"/>
        <v>0</v>
      </c>
      <c r="CP79" s="45" t="str">
        <f t="shared" si="36"/>
        <v>1 - in MILLESIMI   I</v>
      </c>
      <c r="CQ79" s="1"/>
    </row>
    <row r="80" spans="1:95" ht="16.5" customHeight="1">
      <c r="A80" s="1"/>
      <c r="B80" s="1265" t="str">
        <f>IF(ISERROR(VLOOKUP(I$67,G$1076:G$1078,1,FALSE)),IF(K67=G1086,G1092,G1094),G1090)</f>
        <v>il 1° Lunedì:</v>
      </c>
      <c r="C80" s="1265"/>
      <c r="D80" s="1265"/>
      <c r="E80" s="265">
        <f>IF(OR(ISBLANK(I67),ISBLANK(K67)),0,IF(AD$1376&gt;0,1,0))</f>
        <v>1</v>
      </c>
      <c r="F80" s="264">
        <f t="shared" ref="F80:Q84" si="43">VLOOKUP(CONCATENATE(F$1437,"-",$E80),$AE$1009:$AF$1374,2,FALSE)</f>
        <v>45292</v>
      </c>
      <c r="G80" s="264">
        <f t="shared" si="43"/>
        <v>45334</v>
      </c>
      <c r="H80" s="264">
        <f t="shared" si="43"/>
        <v>45362</v>
      </c>
      <c r="I80" s="264">
        <f t="shared" si="43"/>
        <v>45390</v>
      </c>
      <c r="J80" s="264">
        <f t="shared" si="43"/>
        <v>45418</v>
      </c>
      <c r="K80" s="264">
        <f t="shared" si="43"/>
        <v>45446</v>
      </c>
      <c r="L80" s="264">
        <f t="shared" si="43"/>
        <v>45474</v>
      </c>
      <c r="M80" s="264">
        <f t="shared" si="43"/>
        <v>45516</v>
      </c>
      <c r="N80" s="264">
        <f t="shared" si="43"/>
        <v>45544</v>
      </c>
      <c r="O80" s="264">
        <f t="shared" si="43"/>
        <v>45572</v>
      </c>
      <c r="P80" s="264">
        <f t="shared" si="43"/>
        <v>45600</v>
      </c>
      <c r="Q80" s="264">
        <f t="shared" si="43"/>
        <v>45628</v>
      </c>
      <c r="R80" s="1"/>
      <c r="S80" s="45" t="str">
        <f>IF(E80&gt;0,"Scadenze","")</f>
        <v>Scadenze</v>
      </c>
      <c r="T80" s="1"/>
      <c r="U80" s="435">
        <f>IF(AND(W80&gt;=$U$1,W80&lt;=$U$2),IF(X80='ESTRATTO CONTO'!$E$2,1+COUNTIF(U$4:U79,"&gt;0"),0),0)</f>
        <v>0</v>
      </c>
      <c r="V80" s="417">
        <f t="shared" si="40"/>
        <v>77</v>
      </c>
      <c r="W80" s="509"/>
      <c r="X80" s="321"/>
      <c r="Y80" s="321"/>
      <c r="Z80" s="433"/>
      <c r="AA80" s="918">
        <f t="shared" si="31"/>
        <v>1</v>
      </c>
      <c r="AB80" s="306" t="str">
        <f t="shared" si="32"/>
        <v/>
      </c>
      <c r="AC80" s="788"/>
      <c r="AD80" s="119">
        <f t="shared" si="30"/>
        <v>0</v>
      </c>
      <c r="AE80" s="108">
        <f t="shared" si="30"/>
        <v>0</v>
      </c>
      <c r="AF80" s="108">
        <f t="shared" si="30"/>
        <v>0</v>
      </c>
      <c r="AG80" s="108"/>
      <c r="AH80" s="108"/>
      <c r="AI80" s="108"/>
      <c r="AJ80" s="108"/>
      <c r="AK80" s="108"/>
      <c r="AL80" s="108">
        <f t="shared" si="33"/>
        <v>0</v>
      </c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20">
        <f t="shared" si="34"/>
        <v>0</v>
      </c>
      <c r="CL80" s="122">
        <f t="shared" si="35"/>
        <v>0</v>
      </c>
      <c r="CM80" s="524" t="str">
        <f t="shared" si="37"/>
        <v/>
      </c>
      <c r="CN80" s="526">
        <f t="shared" si="38"/>
        <v>0</v>
      </c>
      <c r="CO80" s="122">
        <f t="shared" si="39"/>
        <v>0</v>
      </c>
      <c r="CP80" s="45" t="str">
        <f t="shared" si="36"/>
        <v>1 - in MILLESIMI   I</v>
      </c>
      <c r="CQ80" s="1"/>
    </row>
    <row r="81" spans="1:95" ht="16.5" customHeight="1">
      <c r="A81" s="1"/>
      <c r="B81" s="1264" t="str">
        <f>IF(ISERROR(VLOOKUP(I67,G1076:G1078,1,FALSE)),"",TEXT(VLOOKUP(1,V1009:W1015,2,FALSE),"gg/mm/aaaa"))</f>
        <v>01/01/2024</v>
      </c>
      <c r="C81" s="1264"/>
      <c r="D81" s="1264"/>
      <c r="E81" s="265">
        <f>IF(OR(ISBLANK(I67),ISBLANK(K67)),0,IF(AD$1376&gt;1,2,0))</f>
        <v>2</v>
      </c>
      <c r="F81" s="264">
        <f t="shared" si="43"/>
        <v>45306</v>
      </c>
      <c r="G81" s="264">
        <f t="shared" si="43"/>
        <v>45348</v>
      </c>
      <c r="H81" s="264">
        <f t="shared" si="43"/>
        <v>45376</v>
      </c>
      <c r="I81" s="264">
        <f t="shared" si="43"/>
        <v>45404</v>
      </c>
      <c r="J81" s="264">
        <f t="shared" si="43"/>
        <v>45432</v>
      </c>
      <c r="K81" s="264">
        <f t="shared" si="43"/>
        <v>45460</v>
      </c>
      <c r="L81" s="264">
        <f t="shared" si="43"/>
        <v>45488</v>
      </c>
      <c r="M81" s="264">
        <f t="shared" si="43"/>
        <v>45530</v>
      </c>
      <c r="N81" s="264">
        <f t="shared" si="43"/>
        <v>45558</v>
      </c>
      <c r="O81" s="264">
        <f t="shared" si="43"/>
        <v>45586</v>
      </c>
      <c r="P81" s="264">
        <f t="shared" si="43"/>
        <v>45614</v>
      </c>
      <c r="Q81" s="264">
        <f t="shared" si="43"/>
        <v>45642</v>
      </c>
      <c r="R81" s="1"/>
      <c r="S81" s="45" t="str">
        <f>IF(E81&gt;0,"Scadenze","")</f>
        <v>Scadenze</v>
      </c>
      <c r="T81" s="1"/>
      <c r="U81" s="435">
        <f>IF(AND(W81&gt;=$U$1,W81&lt;=$U$2),IF(X81='ESTRATTO CONTO'!$E$2,1+COUNTIF(U$4:U80,"&gt;0"),0),0)</f>
        <v>0</v>
      </c>
      <c r="V81" s="417">
        <f t="shared" si="40"/>
        <v>78</v>
      </c>
      <c r="W81" s="509"/>
      <c r="X81" s="321"/>
      <c r="Y81" s="321"/>
      <c r="Z81" s="433"/>
      <c r="AA81" s="918">
        <f t="shared" si="31"/>
        <v>1</v>
      </c>
      <c r="AB81" s="306" t="str">
        <f t="shared" si="32"/>
        <v/>
      </c>
      <c r="AC81" s="788"/>
      <c r="AD81" s="119">
        <f t="shared" si="30"/>
        <v>0</v>
      </c>
      <c r="AE81" s="108">
        <f t="shared" si="30"/>
        <v>0</v>
      </c>
      <c r="AF81" s="108">
        <f t="shared" si="30"/>
        <v>0</v>
      </c>
      <c r="AG81" s="108"/>
      <c r="AH81" s="108"/>
      <c r="AI81" s="108"/>
      <c r="AJ81" s="108"/>
      <c r="AK81" s="108"/>
      <c r="AL81" s="108">
        <f t="shared" si="33"/>
        <v>0</v>
      </c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20">
        <f t="shared" si="34"/>
        <v>0</v>
      </c>
      <c r="CL81" s="122">
        <f t="shared" si="35"/>
        <v>0</v>
      </c>
      <c r="CM81" s="524" t="str">
        <f t="shared" si="37"/>
        <v/>
      </c>
      <c r="CN81" s="526">
        <f t="shared" si="38"/>
        <v>0</v>
      </c>
      <c r="CO81" s="122">
        <f t="shared" si="39"/>
        <v>0</v>
      </c>
      <c r="CP81" s="45" t="str">
        <f t="shared" si="36"/>
        <v>1 - in MILLESIMI   I</v>
      </c>
      <c r="CQ81" s="1"/>
    </row>
    <row r="82" spans="1:95" ht="16.5" customHeight="1">
      <c r="A82" s="1"/>
      <c r="B82" s="1"/>
      <c r="C82" s="1"/>
      <c r="D82" s="1"/>
      <c r="E82" s="265">
        <f>IF(OR(ISBLANK(I67),ISBLANK(K67)),0,IF(AD$1376&gt;2,3,0))</f>
        <v>3</v>
      </c>
      <c r="F82" s="264">
        <f t="shared" si="43"/>
        <v>45320</v>
      </c>
      <c r="G82" s="264" t="e">
        <f t="shared" si="43"/>
        <v>#N/A</v>
      </c>
      <c r="H82" s="264" t="e">
        <f t="shared" si="43"/>
        <v>#N/A</v>
      </c>
      <c r="I82" s="264" t="e">
        <f t="shared" si="43"/>
        <v>#N/A</v>
      </c>
      <c r="J82" s="264" t="e">
        <f t="shared" si="43"/>
        <v>#N/A</v>
      </c>
      <c r="K82" s="264" t="e">
        <f t="shared" si="43"/>
        <v>#N/A</v>
      </c>
      <c r="L82" s="264">
        <f t="shared" si="43"/>
        <v>45502</v>
      </c>
      <c r="M82" s="264" t="e">
        <f t="shared" si="43"/>
        <v>#N/A</v>
      </c>
      <c r="N82" s="264" t="e">
        <f t="shared" si="43"/>
        <v>#N/A</v>
      </c>
      <c r="O82" s="264" t="e">
        <f t="shared" si="43"/>
        <v>#N/A</v>
      </c>
      <c r="P82" s="264" t="e">
        <f t="shared" si="43"/>
        <v>#N/A</v>
      </c>
      <c r="Q82" s="264">
        <f t="shared" si="43"/>
        <v>45656</v>
      </c>
      <c r="R82" s="1"/>
      <c r="S82" s="45" t="str">
        <f>IF(E82&gt;0,"Scadenze","")</f>
        <v>Scadenze</v>
      </c>
      <c r="T82" s="1"/>
      <c r="U82" s="435">
        <f>IF(AND(W82&gt;=$U$1,W82&lt;=$U$2),IF(X82='ESTRATTO CONTO'!$E$2,1+COUNTIF(U$4:U81,"&gt;0"),0),0)</f>
        <v>0</v>
      </c>
      <c r="V82" s="417">
        <f t="shared" si="40"/>
        <v>79</v>
      </c>
      <c r="W82" s="509"/>
      <c r="X82" s="321"/>
      <c r="Y82" s="321"/>
      <c r="Z82" s="433"/>
      <c r="AA82" s="918">
        <f t="shared" si="31"/>
        <v>1</v>
      </c>
      <c r="AB82" s="306" t="str">
        <f t="shared" si="32"/>
        <v/>
      </c>
      <c r="AC82" s="788"/>
      <c r="AD82" s="119">
        <f t="shared" si="30"/>
        <v>0</v>
      </c>
      <c r="AE82" s="108">
        <f t="shared" si="30"/>
        <v>0</v>
      </c>
      <c r="AF82" s="108">
        <f t="shared" si="30"/>
        <v>0</v>
      </c>
      <c r="AG82" s="108"/>
      <c r="AH82" s="108"/>
      <c r="AI82" s="108"/>
      <c r="AJ82" s="108"/>
      <c r="AK82" s="108"/>
      <c r="AL82" s="108">
        <f t="shared" si="33"/>
        <v>0</v>
      </c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20">
        <f t="shared" si="34"/>
        <v>0</v>
      </c>
      <c r="CL82" s="122">
        <f t="shared" si="35"/>
        <v>0</v>
      </c>
      <c r="CM82" s="524" t="str">
        <f t="shared" si="37"/>
        <v/>
      </c>
      <c r="CN82" s="526">
        <f t="shared" si="38"/>
        <v>0</v>
      </c>
      <c r="CO82" s="122">
        <f t="shared" si="39"/>
        <v>0</v>
      </c>
      <c r="CP82" s="45" t="str">
        <f t="shared" si="36"/>
        <v>1 - in MILLESIMI   I</v>
      </c>
      <c r="CQ82" s="1"/>
    </row>
    <row r="83" spans="1:95" ht="16.5" customHeight="1">
      <c r="A83" s="1"/>
      <c r="B83" s="1"/>
      <c r="C83" s="1"/>
      <c r="D83" s="1"/>
      <c r="E83" s="265">
        <f>IF(OR(ISBLANK(I67),ISBLANK(K67)),0,IF(AD$1376&gt;3,4,0))</f>
        <v>0</v>
      </c>
      <c r="F83" s="264" t="e">
        <f t="shared" si="43"/>
        <v>#N/A</v>
      </c>
      <c r="G83" s="264" t="e">
        <f t="shared" si="43"/>
        <v>#N/A</v>
      </c>
      <c r="H83" s="264" t="e">
        <f t="shared" si="43"/>
        <v>#N/A</v>
      </c>
      <c r="I83" s="264" t="e">
        <f t="shared" si="43"/>
        <v>#N/A</v>
      </c>
      <c r="J83" s="264" t="e">
        <f t="shared" si="43"/>
        <v>#N/A</v>
      </c>
      <c r="K83" s="264" t="e">
        <f t="shared" si="43"/>
        <v>#N/A</v>
      </c>
      <c r="L83" s="264" t="e">
        <f t="shared" si="43"/>
        <v>#N/A</v>
      </c>
      <c r="M83" s="264" t="e">
        <f t="shared" si="43"/>
        <v>#N/A</v>
      </c>
      <c r="N83" s="264" t="e">
        <f t="shared" si="43"/>
        <v>#N/A</v>
      </c>
      <c r="O83" s="264" t="e">
        <f t="shared" si="43"/>
        <v>#N/A</v>
      </c>
      <c r="P83" s="264" t="e">
        <f t="shared" si="43"/>
        <v>#N/A</v>
      </c>
      <c r="Q83" s="264" t="e">
        <f t="shared" si="43"/>
        <v>#N/A</v>
      </c>
      <c r="R83" s="1"/>
      <c r="S83" s="45" t="str">
        <f>IF(E83&gt;0,"Scadenze","")</f>
        <v/>
      </c>
      <c r="T83" s="1"/>
      <c r="U83" s="435">
        <f>IF(AND(W83&gt;=$U$1,W83&lt;=$U$2),IF(X83='ESTRATTO CONTO'!$E$2,1+COUNTIF(U$4:U82,"&gt;0"),0),0)</f>
        <v>0</v>
      </c>
      <c r="V83" s="417">
        <f t="shared" si="40"/>
        <v>80</v>
      </c>
      <c r="W83" s="509"/>
      <c r="X83" s="321"/>
      <c r="Y83" s="321"/>
      <c r="Z83" s="433"/>
      <c r="AA83" s="918">
        <f t="shared" si="31"/>
        <v>1</v>
      </c>
      <c r="AB83" s="306" t="str">
        <f t="shared" si="32"/>
        <v/>
      </c>
      <c r="AC83" s="788"/>
      <c r="AD83" s="119">
        <f t="shared" si="30"/>
        <v>0</v>
      </c>
      <c r="AE83" s="108">
        <f t="shared" si="30"/>
        <v>0</v>
      </c>
      <c r="AF83" s="108">
        <f t="shared" si="30"/>
        <v>0</v>
      </c>
      <c r="AG83" s="108"/>
      <c r="AH83" s="108"/>
      <c r="AI83" s="108"/>
      <c r="AJ83" s="108"/>
      <c r="AK83" s="108"/>
      <c r="AL83" s="108">
        <f t="shared" si="33"/>
        <v>0</v>
      </c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20">
        <f t="shared" si="34"/>
        <v>0</v>
      </c>
      <c r="CL83" s="122">
        <f t="shared" si="35"/>
        <v>0</v>
      </c>
      <c r="CM83" s="524" t="str">
        <f t="shared" si="37"/>
        <v/>
      </c>
      <c r="CN83" s="526">
        <f t="shared" si="38"/>
        <v>0</v>
      </c>
      <c r="CO83" s="122">
        <f t="shared" si="39"/>
        <v>0</v>
      </c>
      <c r="CP83" s="45" t="str">
        <f t="shared" si="36"/>
        <v>1 - in MILLESIMI   I</v>
      </c>
      <c r="CQ83" s="1"/>
    </row>
    <row r="84" spans="1:95" ht="16.5" customHeight="1">
      <c r="A84" s="1"/>
      <c r="B84" s="1"/>
      <c r="C84" s="1"/>
      <c r="D84" s="1"/>
      <c r="E84" s="265">
        <f>IF(OR(ISBLANK(I67),ISBLANK(K67)),0,IF(AD$1376&gt;4,5,0))</f>
        <v>0</v>
      </c>
      <c r="F84" s="264" t="e">
        <f t="shared" si="43"/>
        <v>#N/A</v>
      </c>
      <c r="G84" s="264" t="e">
        <f t="shared" si="43"/>
        <v>#N/A</v>
      </c>
      <c r="H84" s="264" t="e">
        <f t="shared" si="43"/>
        <v>#N/A</v>
      </c>
      <c r="I84" s="264" t="e">
        <f t="shared" si="43"/>
        <v>#N/A</v>
      </c>
      <c r="J84" s="264" t="e">
        <f t="shared" si="43"/>
        <v>#N/A</v>
      </c>
      <c r="K84" s="264" t="e">
        <f t="shared" si="43"/>
        <v>#N/A</v>
      </c>
      <c r="L84" s="264" t="e">
        <f t="shared" si="43"/>
        <v>#N/A</v>
      </c>
      <c r="M84" s="264" t="e">
        <f t="shared" si="43"/>
        <v>#N/A</v>
      </c>
      <c r="N84" s="264" t="e">
        <f t="shared" si="43"/>
        <v>#N/A</v>
      </c>
      <c r="O84" s="264" t="e">
        <f t="shared" si="43"/>
        <v>#N/A</v>
      </c>
      <c r="P84" s="264" t="e">
        <f t="shared" si="43"/>
        <v>#N/A</v>
      </c>
      <c r="Q84" s="264" t="e">
        <f t="shared" si="43"/>
        <v>#N/A</v>
      </c>
      <c r="R84" s="1"/>
      <c r="S84" s="45" t="str">
        <f>IF(E84&gt;0,"Scadenze","")</f>
        <v/>
      </c>
      <c r="T84" s="1"/>
      <c r="U84" s="435">
        <f>IF(AND(W84&gt;=$U$1,W84&lt;=$U$2),IF(X84='ESTRATTO CONTO'!$E$2,1+COUNTIF(U$4:U83,"&gt;0"),0),0)</f>
        <v>0</v>
      </c>
      <c r="V84" s="417">
        <f t="shared" si="40"/>
        <v>81</v>
      </c>
      <c r="W84" s="509"/>
      <c r="X84" s="321"/>
      <c r="Y84" s="321"/>
      <c r="Z84" s="433"/>
      <c r="AA84" s="918">
        <f t="shared" si="31"/>
        <v>1</v>
      </c>
      <c r="AB84" s="306" t="str">
        <f t="shared" si="32"/>
        <v/>
      </c>
      <c r="AC84" s="788"/>
      <c r="AD84" s="119">
        <f t="shared" ref="AD84:AF103" si="44">IF($AB84=0,0,ROUND($Z84*VLOOKUP(AD$2,$F$1010:$Q$1014,VLOOKUP($CP84,$C$1076:$E$1081,3,FALSE),FALSE),2))</f>
        <v>0</v>
      </c>
      <c r="AE84" s="108">
        <f t="shared" si="44"/>
        <v>0</v>
      </c>
      <c r="AF84" s="108">
        <f t="shared" si="44"/>
        <v>0</v>
      </c>
      <c r="AG84" s="108"/>
      <c r="AH84" s="108"/>
      <c r="AI84" s="108"/>
      <c r="AJ84" s="108"/>
      <c r="AK84" s="108"/>
      <c r="AL84" s="108">
        <f t="shared" si="33"/>
        <v>0</v>
      </c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20">
        <f t="shared" si="34"/>
        <v>0</v>
      </c>
      <c r="CL84" s="122">
        <f t="shared" si="35"/>
        <v>0</v>
      </c>
      <c r="CM84" s="524" t="str">
        <f t="shared" si="37"/>
        <v/>
      </c>
      <c r="CN84" s="526">
        <f t="shared" si="38"/>
        <v>0</v>
      </c>
      <c r="CO84" s="122">
        <f t="shared" si="39"/>
        <v>0</v>
      </c>
      <c r="CP84" s="45" t="str">
        <f t="shared" si="36"/>
        <v>1 - in MILLESIMI   I</v>
      </c>
      <c r="CQ84" s="1"/>
    </row>
    <row r="85" spans="1:95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435">
        <f>IF(AND(W85&gt;=$U$1,W85&lt;=$U$2),IF(X85='ESTRATTO CONTO'!$E$2,1+COUNTIF(U$4:U84,"&gt;0"),0),0)</f>
        <v>0</v>
      </c>
      <c r="V85" s="417">
        <f t="shared" si="40"/>
        <v>82</v>
      </c>
      <c r="W85" s="509"/>
      <c r="X85" s="321"/>
      <c r="Y85" s="321"/>
      <c r="Z85" s="433"/>
      <c r="AA85" s="918">
        <f t="shared" si="31"/>
        <v>1</v>
      </c>
      <c r="AB85" s="306" t="str">
        <f t="shared" si="32"/>
        <v/>
      </c>
      <c r="AC85" s="788"/>
      <c r="AD85" s="119">
        <f t="shared" si="44"/>
        <v>0</v>
      </c>
      <c r="AE85" s="108">
        <f t="shared" si="44"/>
        <v>0</v>
      </c>
      <c r="AF85" s="108">
        <f t="shared" si="44"/>
        <v>0</v>
      </c>
      <c r="AG85" s="108"/>
      <c r="AH85" s="108"/>
      <c r="AI85" s="108"/>
      <c r="AJ85" s="108"/>
      <c r="AK85" s="108"/>
      <c r="AL85" s="108">
        <f t="shared" si="33"/>
        <v>0</v>
      </c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20">
        <f t="shared" si="34"/>
        <v>0</v>
      </c>
      <c r="CL85" s="122">
        <f t="shared" si="35"/>
        <v>0</v>
      </c>
      <c r="CM85" s="524" t="str">
        <f t="shared" si="37"/>
        <v/>
      </c>
      <c r="CN85" s="526">
        <f t="shared" si="38"/>
        <v>0</v>
      </c>
      <c r="CO85" s="122">
        <f t="shared" si="39"/>
        <v>0</v>
      </c>
      <c r="CP85" s="45" t="str">
        <f t="shared" si="36"/>
        <v>1 - in MILLESIMI   I</v>
      </c>
      <c r="CQ85" s="1"/>
    </row>
    <row r="86" spans="1:95" ht="16.5" customHeight="1">
      <c r="A86" s="1"/>
      <c r="B86" s="1"/>
      <c r="C86" s="1"/>
      <c r="D86" s="1"/>
      <c r="E86" s="1267" t="s">
        <v>160</v>
      </c>
      <c r="F86" s="1267"/>
      <c r="G86" s="1267"/>
      <c r="H86" s="1267"/>
      <c r="I86" s="1267"/>
      <c r="J86" s="1267"/>
      <c r="K86" s="1267"/>
      <c r="L86" s="1267"/>
      <c r="M86" s="1"/>
      <c r="N86" s="1"/>
      <c r="O86" s="1"/>
      <c r="P86" s="1"/>
      <c r="Q86" s="1"/>
      <c r="R86" s="1"/>
      <c r="S86" s="1"/>
      <c r="T86" s="1"/>
      <c r="U86" s="435">
        <f>IF(AND(W86&gt;=$U$1,W86&lt;=$U$2),IF(X86='ESTRATTO CONTO'!$E$2,1+COUNTIF(U$4:U85,"&gt;0"),0),0)</f>
        <v>0</v>
      </c>
      <c r="V86" s="417">
        <f t="shared" si="40"/>
        <v>83</v>
      </c>
      <c r="W86" s="509"/>
      <c r="X86" s="321"/>
      <c r="Y86" s="321"/>
      <c r="Z86" s="433"/>
      <c r="AA86" s="918">
        <f t="shared" si="31"/>
        <v>1</v>
      </c>
      <c r="AB86" s="306" t="str">
        <f t="shared" si="32"/>
        <v/>
      </c>
      <c r="AC86" s="788"/>
      <c r="AD86" s="119">
        <f t="shared" si="44"/>
        <v>0</v>
      </c>
      <c r="AE86" s="108">
        <f t="shared" si="44"/>
        <v>0</v>
      </c>
      <c r="AF86" s="108">
        <f t="shared" si="44"/>
        <v>0</v>
      </c>
      <c r="AG86" s="108"/>
      <c r="AH86" s="108"/>
      <c r="AI86" s="108"/>
      <c r="AJ86" s="108"/>
      <c r="AK86" s="108"/>
      <c r="AL86" s="108">
        <f t="shared" si="33"/>
        <v>0</v>
      </c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20">
        <f t="shared" si="34"/>
        <v>0</v>
      </c>
      <c r="CL86" s="122">
        <f t="shared" si="35"/>
        <v>0</v>
      </c>
      <c r="CM86" s="524" t="str">
        <f t="shared" si="37"/>
        <v/>
      </c>
      <c r="CN86" s="526">
        <f t="shared" si="38"/>
        <v>0</v>
      </c>
      <c r="CO86" s="122">
        <f t="shared" si="39"/>
        <v>0</v>
      </c>
      <c r="CP86" s="45" t="str">
        <f t="shared" si="36"/>
        <v>1 - in MILLESIMI   I</v>
      </c>
      <c r="CQ86" s="1"/>
    </row>
    <row r="87" spans="1:95" ht="16.5" customHeight="1">
      <c r="A87" s="1"/>
      <c r="B87" s="1"/>
      <c r="C87" s="1"/>
      <c r="D87" s="1"/>
      <c r="E87" s="1333" t="s">
        <v>138</v>
      </c>
      <c r="F87" s="1334"/>
      <c r="G87" s="1335"/>
      <c r="H87" s="285" t="s">
        <v>142</v>
      </c>
      <c r="I87" s="1273" t="s">
        <v>143</v>
      </c>
      <c r="J87" s="1274"/>
      <c r="K87" s="1275"/>
      <c r="L87" s="272" t="s">
        <v>140</v>
      </c>
      <c r="M87" s="214"/>
      <c r="N87" s="1276" t="s">
        <v>168</v>
      </c>
      <c r="O87" s="1276"/>
      <c r="P87" s="1276"/>
      <c r="Q87" s="1277"/>
      <c r="R87" s="1"/>
      <c r="S87" s="1"/>
      <c r="T87" s="1"/>
      <c r="U87" s="435">
        <f>IF(AND(W87&gt;=$U$1,W87&lt;=$U$2),IF(X87='ESTRATTO CONTO'!$E$2,1+COUNTIF(U$4:U86,"&gt;0"),0),0)</f>
        <v>0</v>
      </c>
      <c r="V87" s="417">
        <f t="shared" si="40"/>
        <v>84</v>
      </c>
      <c r="W87" s="509"/>
      <c r="X87" s="321"/>
      <c r="Y87" s="321"/>
      <c r="Z87" s="433"/>
      <c r="AA87" s="918">
        <f t="shared" si="31"/>
        <v>1</v>
      </c>
      <c r="AB87" s="306" t="str">
        <f t="shared" si="32"/>
        <v/>
      </c>
      <c r="AC87" s="788"/>
      <c r="AD87" s="119">
        <f t="shared" si="44"/>
        <v>0</v>
      </c>
      <c r="AE87" s="108">
        <f t="shared" si="44"/>
        <v>0</v>
      </c>
      <c r="AF87" s="108">
        <f t="shared" si="44"/>
        <v>0</v>
      </c>
      <c r="AG87" s="108"/>
      <c r="AH87" s="108"/>
      <c r="AI87" s="108"/>
      <c r="AJ87" s="108"/>
      <c r="AK87" s="108"/>
      <c r="AL87" s="108">
        <f t="shared" si="33"/>
        <v>0</v>
      </c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20">
        <f t="shared" si="34"/>
        <v>0</v>
      </c>
      <c r="CL87" s="122">
        <f t="shared" si="35"/>
        <v>0</v>
      </c>
      <c r="CM87" s="524" t="str">
        <f t="shared" si="37"/>
        <v/>
      </c>
      <c r="CN87" s="526">
        <f t="shared" si="38"/>
        <v>0</v>
      </c>
      <c r="CO87" s="122">
        <f t="shared" si="39"/>
        <v>0</v>
      </c>
      <c r="CP87" s="45" t="str">
        <f t="shared" si="36"/>
        <v>1 - in MILLESIMI   I</v>
      </c>
      <c r="CQ87" s="1"/>
    </row>
    <row r="88" spans="1:95" ht="16.5" customHeight="1">
      <c r="A88" s="1"/>
      <c r="B88" s="1"/>
      <c r="C88" s="1"/>
      <c r="D88" s="1"/>
      <c r="E88" s="125" t="s">
        <v>0</v>
      </c>
      <c r="F88" s="271" t="s">
        <v>139</v>
      </c>
      <c r="G88" s="125" t="s">
        <v>141</v>
      </c>
      <c r="H88" s="286" t="s">
        <v>145</v>
      </c>
      <c r="I88" s="1270" t="s">
        <v>144</v>
      </c>
      <c r="J88" s="1271"/>
      <c r="K88" s="1272"/>
      <c r="L88" s="564" t="str">
        <f>Presentazione!K26</f>
        <v>EURO</v>
      </c>
      <c r="M88" s="214"/>
      <c r="N88" s="1348" t="s">
        <v>163</v>
      </c>
      <c r="O88" s="1348"/>
      <c r="P88" s="1278" t="s">
        <v>207</v>
      </c>
      <c r="Q88" s="1278"/>
      <c r="R88" s="1278"/>
      <c r="S88" s="1278"/>
      <c r="T88" s="1"/>
      <c r="U88" s="435">
        <f>IF(AND(W88&gt;=$U$1,W88&lt;=$U$2),IF(X88='ESTRATTO CONTO'!$E$2,1+COUNTIF(U$4:U87,"&gt;0"),0),0)</f>
        <v>0</v>
      </c>
      <c r="V88" s="417">
        <f t="shared" si="40"/>
        <v>85</v>
      </c>
      <c r="W88" s="509"/>
      <c r="X88" s="321"/>
      <c r="Y88" s="321"/>
      <c r="Z88" s="433"/>
      <c r="AA88" s="918">
        <f t="shared" si="31"/>
        <v>1</v>
      </c>
      <c r="AB88" s="306" t="str">
        <f t="shared" si="32"/>
        <v/>
      </c>
      <c r="AC88" s="788"/>
      <c r="AD88" s="119">
        <f t="shared" si="44"/>
        <v>0</v>
      </c>
      <c r="AE88" s="108">
        <f t="shared" si="44"/>
        <v>0</v>
      </c>
      <c r="AF88" s="108">
        <f t="shared" si="44"/>
        <v>0</v>
      </c>
      <c r="AG88" s="108"/>
      <c r="AH88" s="108"/>
      <c r="AI88" s="108"/>
      <c r="AJ88" s="108"/>
      <c r="AK88" s="108"/>
      <c r="AL88" s="108">
        <f t="shared" si="33"/>
        <v>0</v>
      </c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20">
        <f t="shared" si="34"/>
        <v>0</v>
      </c>
      <c r="CL88" s="122">
        <f t="shared" si="35"/>
        <v>0</v>
      </c>
      <c r="CM88" s="524" t="str">
        <f t="shared" si="37"/>
        <v/>
      </c>
      <c r="CN88" s="526">
        <f t="shared" si="38"/>
        <v>0</v>
      </c>
      <c r="CO88" s="122">
        <f t="shared" si="39"/>
        <v>0</v>
      </c>
      <c r="CP88" s="45" t="str">
        <f t="shared" si="36"/>
        <v>1 - in MILLESIMI   I</v>
      </c>
      <c r="CQ88" s="1"/>
    </row>
    <row r="89" spans="1:95" ht="16.5" customHeight="1">
      <c r="A89" s="641">
        <f>MONTH(E89)</f>
        <v>1</v>
      </c>
      <c r="B89" s="274">
        <f t="shared" ref="B89:B120" ca="1" si="45">IF(ISERROR(E89),0,IF(AND(J$1444=0,OR(E89&lt;W$1438,E89&gt;W$1439)),0,IF(E89&lt;(C$73+1),MONTH(E89),0)))</f>
        <v>1</v>
      </c>
      <c r="C89" s="274">
        <f>IF(ISERROR(E89),0,IF(AND(E89&gt;=$U$1,E89&lt;=$U$2),IF(B$78='ESTRATTO CONTO'!$E$2,1,0),0))</f>
        <v>0</v>
      </c>
      <c r="D89" s="27">
        <v>1</v>
      </c>
      <c r="E89" s="41">
        <f t="shared" ref="E89:E120" si="46">VLOOKUP(D89,$Z$1009:$AF$1374,7,FALSE)</f>
        <v>45292</v>
      </c>
      <c r="F89" s="323" t="s">
        <v>599</v>
      </c>
      <c r="G89" s="436">
        <f ca="1">IF(B89=0,0,IF(ISERROR(E89),0,F$67))</f>
        <v>100</v>
      </c>
      <c r="H89" s="728">
        <v>10</v>
      </c>
      <c r="I89" s="1268" t="s">
        <v>600</v>
      </c>
      <c r="J89" s="1269"/>
      <c r="K89" s="1269"/>
      <c r="L89" s="729">
        <f ca="1">IF(ISERROR(G89),0,IF(ISERROR(E89),0,G89+H89))</f>
        <v>110</v>
      </c>
      <c r="M89" s="274">
        <f>IF(AND(N89&gt;=$U$1,N89&lt;=$U$2),IF(N89&gt;0,MONTH(E89),""),"")</f>
        <v>1</v>
      </c>
      <c r="N89" s="1282">
        <v>45352</v>
      </c>
      <c r="O89" s="1284"/>
      <c r="P89" s="1279" t="s">
        <v>550</v>
      </c>
      <c r="Q89" s="1280"/>
      <c r="R89" s="1280"/>
      <c r="S89" s="1281"/>
      <c r="T89" s="274">
        <f>IF(AND(N89&gt;0,ISBLANK(P89)),1,0)</f>
        <v>0</v>
      </c>
      <c r="U89" s="435">
        <f>IF(AND(W89&gt;=$U$1,W89&lt;=$U$2),IF(X89='ESTRATTO CONTO'!$E$2,1+COUNTIF(U$4:U88,"&gt;0"),0),0)</f>
        <v>0</v>
      </c>
      <c r="V89" s="417">
        <f t="shared" si="40"/>
        <v>86</v>
      </c>
      <c r="W89" s="509"/>
      <c r="X89" s="321"/>
      <c r="Y89" s="321"/>
      <c r="Z89" s="433"/>
      <c r="AA89" s="918">
        <f t="shared" si="31"/>
        <v>1</v>
      </c>
      <c r="AB89" s="306" t="str">
        <f t="shared" si="32"/>
        <v/>
      </c>
      <c r="AC89" s="788"/>
      <c r="AD89" s="119">
        <f t="shared" si="44"/>
        <v>0</v>
      </c>
      <c r="AE89" s="108">
        <f t="shared" si="44"/>
        <v>0</v>
      </c>
      <c r="AF89" s="108">
        <f t="shared" si="44"/>
        <v>0</v>
      </c>
      <c r="AG89" s="108"/>
      <c r="AH89" s="108"/>
      <c r="AI89" s="108"/>
      <c r="AJ89" s="108"/>
      <c r="AK89" s="108"/>
      <c r="AL89" s="108">
        <f t="shared" si="33"/>
        <v>0</v>
      </c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20">
        <f t="shared" si="34"/>
        <v>0</v>
      </c>
      <c r="CL89" s="122">
        <f t="shared" si="35"/>
        <v>0</v>
      </c>
      <c r="CM89" s="524" t="str">
        <f t="shared" si="37"/>
        <v/>
      </c>
      <c r="CN89" s="526">
        <f t="shared" si="38"/>
        <v>0</v>
      </c>
      <c r="CO89" s="122">
        <f t="shared" si="39"/>
        <v>0</v>
      </c>
      <c r="CP89" s="45" t="str">
        <f t="shared" si="36"/>
        <v>1 - in MILLESIMI   I</v>
      </c>
      <c r="CQ89" s="1052">
        <f>IF(ISERROR(E89),0,IF(AND(E89&gt;=$U$1,E89&lt;=$U$2),1,0))</f>
        <v>1</v>
      </c>
    </row>
    <row r="90" spans="1:95" ht="16.5" customHeight="1">
      <c r="A90" s="641">
        <f t="shared" ref="A90:A140" si="47">MONTH(E90)</f>
        <v>1</v>
      </c>
      <c r="B90" s="274">
        <f t="shared" ca="1" si="45"/>
        <v>1</v>
      </c>
      <c r="C90" s="274">
        <f>IF(ISERROR(E90),0,IF(AND(E90&gt;=$U$1,E90&lt;=$U$2),IF(B$78='ESTRATTO CONTO'!$E$2,1+COUNTIF(C$89:C89,"&gt;0"),0),0))</f>
        <v>0</v>
      </c>
      <c r="D90" s="27">
        <v>2</v>
      </c>
      <c r="E90" s="41">
        <f t="shared" si="46"/>
        <v>45306</v>
      </c>
      <c r="F90" s="323"/>
      <c r="G90" s="436">
        <f ca="1">IF(B90=0,0,IF(ISERROR(E90),0,F$67))</f>
        <v>100</v>
      </c>
      <c r="H90" s="728">
        <v>-5</v>
      </c>
      <c r="I90" s="1268" t="s">
        <v>601</v>
      </c>
      <c r="J90" s="1269"/>
      <c r="K90" s="1269"/>
      <c r="L90" s="729">
        <f t="shared" ref="L90:L140" ca="1" si="48">IF(ISERROR(G90),0,IF(ISERROR(E90),0,G90+H90))</f>
        <v>95</v>
      </c>
      <c r="M90" s="274">
        <f t="shared" ref="M90:M140" si="49">IF(AND(N90&gt;=$U$1,N90&lt;=$U$2),IF(N90&gt;0,MONTH(E90),""),"")</f>
        <v>1</v>
      </c>
      <c r="N90" s="1282">
        <v>45352</v>
      </c>
      <c r="O90" s="1283"/>
      <c r="P90" s="1279" t="s">
        <v>550</v>
      </c>
      <c r="Q90" s="1280"/>
      <c r="R90" s="1280"/>
      <c r="S90" s="1281"/>
      <c r="T90" s="274">
        <f t="shared" ref="T90:T140" si="50">IF(AND(N90&gt;0,ISBLANK(P90)),1,0)</f>
        <v>0</v>
      </c>
      <c r="U90" s="435">
        <f>IF(AND(W90&gt;=$U$1,W90&lt;=$U$2),IF(X90='ESTRATTO CONTO'!$E$2,1+COUNTIF(U$4:U89,"&gt;0"),0),0)</f>
        <v>0</v>
      </c>
      <c r="V90" s="417">
        <f t="shared" si="40"/>
        <v>87</v>
      </c>
      <c r="W90" s="509"/>
      <c r="X90" s="321"/>
      <c r="Y90" s="321"/>
      <c r="Z90" s="433"/>
      <c r="AA90" s="918">
        <f t="shared" si="31"/>
        <v>1</v>
      </c>
      <c r="AB90" s="306" t="str">
        <f t="shared" si="32"/>
        <v/>
      </c>
      <c r="AC90" s="788"/>
      <c r="AD90" s="119">
        <f t="shared" si="44"/>
        <v>0</v>
      </c>
      <c r="AE90" s="108">
        <f t="shared" si="44"/>
        <v>0</v>
      </c>
      <c r="AF90" s="108">
        <f t="shared" si="44"/>
        <v>0</v>
      </c>
      <c r="AG90" s="108"/>
      <c r="AH90" s="108"/>
      <c r="AI90" s="108"/>
      <c r="AJ90" s="108"/>
      <c r="AK90" s="108"/>
      <c r="AL90" s="108">
        <f t="shared" si="33"/>
        <v>0</v>
      </c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20">
        <f t="shared" si="34"/>
        <v>0</v>
      </c>
      <c r="CL90" s="122">
        <f t="shared" si="35"/>
        <v>0</v>
      </c>
      <c r="CM90" s="524" t="str">
        <f t="shared" si="37"/>
        <v/>
      </c>
      <c r="CN90" s="526">
        <f t="shared" si="38"/>
        <v>0</v>
      </c>
      <c r="CO90" s="122">
        <f t="shared" si="39"/>
        <v>0</v>
      </c>
      <c r="CP90" s="45" t="str">
        <f t="shared" si="36"/>
        <v>1 - in MILLESIMI   I</v>
      </c>
      <c r="CQ90" s="1053">
        <f t="shared" ref="CQ90:CQ140" si="51">IF(ISERROR(E90),0,IF(AND(E90&gt;=$U$1,E90&lt;=$U$2),1,0))</f>
        <v>1</v>
      </c>
    </row>
    <row r="91" spans="1:95" ht="16.5" customHeight="1">
      <c r="A91" s="641">
        <f t="shared" si="47"/>
        <v>1</v>
      </c>
      <c r="B91" s="274">
        <f t="shared" ca="1" si="45"/>
        <v>1</v>
      </c>
      <c r="C91" s="274">
        <f>IF(ISERROR(E91),0,IF(AND(E91&gt;=$U$1,E91&lt;=$U$2),IF(B$78='ESTRATTO CONTO'!$E$2,1+COUNTIF(C$89:C90,"&gt;0"),0),0))</f>
        <v>0</v>
      </c>
      <c r="D91" s="27">
        <v>3</v>
      </c>
      <c r="E91" s="41">
        <f t="shared" si="46"/>
        <v>45320</v>
      </c>
      <c r="F91" s="323"/>
      <c r="G91" s="436">
        <f t="shared" ref="G91:G140" ca="1" si="52">IF(B91=0,0,IF(ISERROR(E91),0,F$67))</f>
        <v>100</v>
      </c>
      <c r="H91" s="728"/>
      <c r="I91" s="1268"/>
      <c r="J91" s="1269"/>
      <c r="K91" s="1269"/>
      <c r="L91" s="729">
        <f t="shared" ca="1" si="48"/>
        <v>100</v>
      </c>
      <c r="M91" s="274">
        <f t="shared" si="49"/>
        <v>1</v>
      </c>
      <c r="N91" s="1282">
        <v>45352</v>
      </c>
      <c r="O91" s="1283"/>
      <c r="P91" s="1279" t="s">
        <v>550</v>
      </c>
      <c r="Q91" s="1280"/>
      <c r="R91" s="1280"/>
      <c r="S91" s="1281"/>
      <c r="T91" s="274">
        <f t="shared" si="50"/>
        <v>0</v>
      </c>
      <c r="U91" s="435">
        <f>IF(AND(W91&gt;=$U$1,W91&lt;=$U$2),IF(X91='ESTRATTO CONTO'!$E$2,1+COUNTIF(U$4:U90,"&gt;0"),0),0)</f>
        <v>0</v>
      </c>
      <c r="V91" s="417">
        <f t="shared" si="40"/>
        <v>88</v>
      </c>
      <c r="W91" s="509"/>
      <c r="X91" s="321"/>
      <c r="Y91" s="321"/>
      <c r="Z91" s="433"/>
      <c r="AA91" s="918">
        <f t="shared" si="31"/>
        <v>1</v>
      </c>
      <c r="AB91" s="306" t="str">
        <f t="shared" si="32"/>
        <v/>
      </c>
      <c r="AC91" s="788"/>
      <c r="AD91" s="119">
        <f t="shared" si="44"/>
        <v>0</v>
      </c>
      <c r="AE91" s="108">
        <f t="shared" si="44"/>
        <v>0</v>
      </c>
      <c r="AF91" s="108">
        <f t="shared" si="44"/>
        <v>0</v>
      </c>
      <c r="AG91" s="108"/>
      <c r="AH91" s="108"/>
      <c r="AI91" s="108"/>
      <c r="AJ91" s="108"/>
      <c r="AK91" s="108"/>
      <c r="AL91" s="108">
        <f t="shared" si="33"/>
        <v>0</v>
      </c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20">
        <f t="shared" si="34"/>
        <v>0</v>
      </c>
      <c r="CL91" s="122">
        <f t="shared" si="35"/>
        <v>0</v>
      </c>
      <c r="CM91" s="524" t="str">
        <f t="shared" si="37"/>
        <v/>
      </c>
      <c r="CN91" s="526">
        <f t="shared" si="38"/>
        <v>0</v>
      </c>
      <c r="CO91" s="122">
        <f t="shared" si="39"/>
        <v>0</v>
      </c>
      <c r="CP91" s="45" t="str">
        <f t="shared" si="36"/>
        <v>1 - in MILLESIMI   I</v>
      </c>
      <c r="CQ91" s="1053">
        <f t="shared" si="51"/>
        <v>1</v>
      </c>
    </row>
    <row r="92" spans="1:95" ht="16.5" customHeight="1">
      <c r="A92" s="641">
        <f t="shared" si="47"/>
        <v>2</v>
      </c>
      <c r="B92" s="274">
        <f t="shared" ca="1" si="45"/>
        <v>2</v>
      </c>
      <c r="C92" s="274">
        <f>IF(ISERROR(E92),0,IF(AND(E92&gt;=$U$1,E92&lt;=$U$2),IF(B$78='ESTRATTO CONTO'!$E$2,1+COUNTIF(C$89:C91,"&gt;0"),0),0))</f>
        <v>0</v>
      </c>
      <c r="D92" s="27">
        <v>4</v>
      </c>
      <c r="E92" s="41">
        <f t="shared" si="46"/>
        <v>45334</v>
      </c>
      <c r="F92" s="323"/>
      <c r="G92" s="436">
        <f t="shared" ca="1" si="52"/>
        <v>100</v>
      </c>
      <c r="H92" s="728"/>
      <c r="I92" s="1268"/>
      <c r="J92" s="1269"/>
      <c r="K92" s="1269"/>
      <c r="L92" s="729">
        <f t="shared" ca="1" si="48"/>
        <v>100</v>
      </c>
      <c r="M92" s="274" t="str">
        <f t="shared" si="49"/>
        <v/>
      </c>
      <c r="N92" s="1282"/>
      <c r="O92" s="1283"/>
      <c r="P92" s="1279"/>
      <c r="Q92" s="1280"/>
      <c r="R92" s="1280"/>
      <c r="S92" s="1281"/>
      <c r="T92" s="274">
        <f t="shared" si="50"/>
        <v>0</v>
      </c>
      <c r="U92" s="435">
        <f>IF(AND(W92&gt;=$U$1,W92&lt;=$U$2),IF(X92='ESTRATTO CONTO'!$E$2,1+COUNTIF(U$4:U91,"&gt;0"),0),0)</f>
        <v>0</v>
      </c>
      <c r="V92" s="417">
        <f t="shared" si="40"/>
        <v>89</v>
      </c>
      <c r="W92" s="509"/>
      <c r="X92" s="321"/>
      <c r="Y92" s="321"/>
      <c r="Z92" s="433"/>
      <c r="AA92" s="918">
        <f t="shared" si="31"/>
        <v>1</v>
      </c>
      <c r="AB92" s="306" t="str">
        <f t="shared" si="32"/>
        <v/>
      </c>
      <c r="AC92" s="788"/>
      <c r="AD92" s="119">
        <f t="shared" si="44"/>
        <v>0</v>
      </c>
      <c r="AE92" s="108">
        <f t="shared" si="44"/>
        <v>0</v>
      </c>
      <c r="AF92" s="108">
        <f t="shared" si="44"/>
        <v>0</v>
      </c>
      <c r="AG92" s="108"/>
      <c r="AH92" s="108"/>
      <c r="AI92" s="108"/>
      <c r="AJ92" s="108"/>
      <c r="AK92" s="108"/>
      <c r="AL92" s="108">
        <f t="shared" si="33"/>
        <v>0</v>
      </c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20">
        <f t="shared" si="34"/>
        <v>0</v>
      </c>
      <c r="CL92" s="122">
        <f t="shared" si="35"/>
        <v>0</v>
      </c>
      <c r="CM92" s="524" t="str">
        <f t="shared" si="37"/>
        <v/>
      </c>
      <c r="CN92" s="526">
        <f t="shared" si="38"/>
        <v>0</v>
      </c>
      <c r="CO92" s="122">
        <f t="shared" si="39"/>
        <v>0</v>
      </c>
      <c r="CP92" s="45" t="str">
        <f t="shared" si="36"/>
        <v>1 - in MILLESIMI   I</v>
      </c>
      <c r="CQ92" s="1053">
        <f t="shared" si="51"/>
        <v>1</v>
      </c>
    </row>
    <row r="93" spans="1:95" ht="16.5" customHeight="1">
      <c r="A93" s="641">
        <f t="shared" si="47"/>
        <v>2</v>
      </c>
      <c r="B93" s="274">
        <f t="shared" ca="1" si="45"/>
        <v>2</v>
      </c>
      <c r="C93" s="274">
        <f>IF(ISERROR(E93),0,IF(AND(E93&gt;=$U$1,E93&lt;=$U$2),IF(B$78='ESTRATTO CONTO'!$E$2,1+COUNTIF(C$89:C92,"&gt;0"),0),0))</f>
        <v>0</v>
      </c>
      <c r="D93" s="27">
        <v>5</v>
      </c>
      <c r="E93" s="41">
        <f t="shared" si="46"/>
        <v>45348</v>
      </c>
      <c r="F93" s="323"/>
      <c r="G93" s="436">
        <f t="shared" ca="1" si="52"/>
        <v>100</v>
      </c>
      <c r="H93" s="728"/>
      <c r="I93" s="1268"/>
      <c r="J93" s="1269"/>
      <c r="K93" s="1269"/>
      <c r="L93" s="729">
        <f t="shared" ca="1" si="48"/>
        <v>100</v>
      </c>
      <c r="M93" s="274" t="str">
        <f t="shared" si="49"/>
        <v/>
      </c>
      <c r="N93" s="1282"/>
      <c r="O93" s="1283"/>
      <c r="P93" s="1279"/>
      <c r="Q93" s="1280"/>
      <c r="R93" s="1280"/>
      <c r="S93" s="1281"/>
      <c r="T93" s="274">
        <f t="shared" si="50"/>
        <v>0</v>
      </c>
      <c r="U93" s="435">
        <f>IF(AND(W93&gt;=$U$1,W93&lt;=$U$2),IF(X93='ESTRATTO CONTO'!$E$2,1+COUNTIF(U$4:U92,"&gt;0"),0),0)</f>
        <v>0</v>
      </c>
      <c r="V93" s="417">
        <f t="shared" si="40"/>
        <v>90</v>
      </c>
      <c r="W93" s="509"/>
      <c r="X93" s="321"/>
      <c r="Y93" s="321"/>
      <c r="Z93" s="433"/>
      <c r="AA93" s="918">
        <f t="shared" si="31"/>
        <v>1</v>
      </c>
      <c r="AB93" s="306" t="str">
        <f t="shared" si="32"/>
        <v/>
      </c>
      <c r="AC93" s="788"/>
      <c r="AD93" s="119">
        <f t="shared" si="44"/>
        <v>0</v>
      </c>
      <c r="AE93" s="108">
        <f t="shared" si="44"/>
        <v>0</v>
      </c>
      <c r="AF93" s="108">
        <f t="shared" si="44"/>
        <v>0</v>
      </c>
      <c r="AG93" s="108"/>
      <c r="AH93" s="108"/>
      <c r="AI93" s="108"/>
      <c r="AJ93" s="108"/>
      <c r="AK93" s="108"/>
      <c r="AL93" s="108">
        <f t="shared" si="33"/>
        <v>0</v>
      </c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20">
        <f t="shared" si="34"/>
        <v>0</v>
      </c>
      <c r="CL93" s="122">
        <f t="shared" si="35"/>
        <v>0</v>
      </c>
      <c r="CM93" s="524" t="str">
        <f t="shared" si="37"/>
        <v/>
      </c>
      <c r="CN93" s="526">
        <f t="shared" si="38"/>
        <v>0</v>
      </c>
      <c r="CO93" s="122">
        <f t="shared" si="39"/>
        <v>0</v>
      </c>
      <c r="CP93" s="45" t="str">
        <f t="shared" si="36"/>
        <v>1 - in MILLESIMI   I</v>
      </c>
      <c r="CQ93" s="1053">
        <f t="shared" si="51"/>
        <v>1</v>
      </c>
    </row>
    <row r="94" spans="1:95" ht="16.5" customHeight="1">
      <c r="A94" s="641">
        <f t="shared" si="47"/>
        <v>3</v>
      </c>
      <c r="B94" s="274">
        <f t="shared" ca="1" si="45"/>
        <v>3</v>
      </c>
      <c r="C94" s="274">
        <f>IF(ISERROR(E94),0,IF(AND(E94&gt;=$U$1,E94&lt;=$U$2),IF(B$78='ESTRATTO CONTO'!$E$2,1+COUNTIF(C$89:C93,"&gt;0"),0),0))</f>
        <v>0</v>
      </c>
      <c r="D94" s="27">
        <v>6</v>
      </c>
      <c r="E94" s="41">
        <f t="shared" si="46"/>
        <v>45362</v>
      </c>
      <c r="F94" s="323"/>
      <c r="G94" s="436">
        <f t="shared" ca="1" si="52"/>
        <v>100</v>
      </c>
      <c r="H94" s="728"/>
      <c r="I94" s="1268"/>
      <c r="J94" s="1269"/>
      <c r="K94" s="1269"/>
      <c r="L94" s="729">
        <f t="shared" ca="1" si="48"/>
        <v>100</v>
      </c>
      <c r="M94" s="274" t="str">
        <f t="shared" si="49"/>
        <v/>
      </c>
      <c r="N94" s="1282"/>
      <c r="O94" s="1283"/>
      <c r="P94" s="1279"/>
      <c r="Q94" s="1280"/>
      <c r="R94" s="1280"/>
      <c r="S94" s="1281"/>
      <c r="T94" s="274">
        <f t="shared" si="50"/>
        <v>0</v>
      </c>
      <c r="U94" s="435">
        <f>IF(AND(W94&gt;=$U$1,W94&lt;=$U$2),IF(X94='ESTRATTO CONTO'!$E$2,1+COUNTIF(U$4:U93,"&gt;0"),0),0)</f>
        <v>0</v>
      </c>
      <c r="V94" s="417">
        <f t="shared" si="40"/>
        <v>91</v>
      </c>
      <c r="W94" s="509"/>
      <c r="X94" s="321"/>
      <c r="Y94" s="321"/>
      <c r="Z94" s="433"/>
      <c r="AA94" s="918">
        <f t="shared" si="31"/>
        <v>1</v>
      </c>
      <c r="AB94" s="306" t="str">
        <f t="shared" si="32"/>
        <v/>
      </c>
      <c r="AC94" s="788"/>
      <c r="AD94" s="119">
        <f t="shared" si="44"/>
        <v>0</v>
      </c>
      <c r="AE94" s="108">
        <f t="shared" si="44"/>
        <v>0</v>
      </c>
      <c r="AF94" s="108">
        <f t="shared" si="44"/>
        <v>0</v>
      </c>
      <c r="AG94" s="108"/>
      <c r="AH94" s="108"/>
      <c r="AI94" s="108"/>
      <c r="AJ94" s="108"/>
      <c r="AK94" s="108"/>
      <c r="AL94" s="108">
        <f t="shared" si="33"/>
        <v>0</v>
      </c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20">
        <f t="shared" si="34"/>
        <v>0</v>
      </c>
      <c r="CL94" s="122">
        <f t="shared" si="35"/>
        <v>0</v>
      </c>
      <c r="CM94" s="524" t="str">
        <f t="shared" si="37"/>
        <v/>
      </c>
      <c r="CN94" s="526">
        <f t="shared" si="38"/>
        <v>0</v>
      </c>
      <c r="CO94" s="122">
        <f t="shared" si="39"/>
        <v>0</v>
      </c>
      <c r="CP94" s="45" t="str">
        <f t="shared" si="36"/>
        <v>1 - in MILLESIMI   I</v>
      </c>
      <c r="CQ94" s="1053">
        <f t="shared" si="51"/>
        <v>1</v>
      </c>
    </row>
    <row r="95" spans="1:95" ht="16.5" customHeight="1">
      <c r="A95" s="641">
        <f t="shared" si="47"/>
        <v>3</v>
      </c>
      <c r="B95" s="274">
        <f t="shared" ca="1" si="45"/>
        <v>3</v>
      </c>
      <c r="C95" s="274">
        <f>IF(ISERROR(E95),0,IF(AND(E95&gt;=$U$1,E95&lt;=$U$2),IF(B$78='ESTRATTO CONTO'!$E$2,1+COUNTIF(C$89:C94,"&gt;0"),0),0))</f>
        <v>0</v>
      </c>
      <c r="D95" s="27">
        <v>7</v>
      </c>
      <c r="E95" s="41">
        <f t="shared" si="46"/>
        <v>45376</v>
      </c>
      <c r="F95" s="323"/>
      <c r="G95" s="436">
        <f t="shared" ca="1" si="52"/>
        <v>100</v>
      </c>
      <c r="H95" s="728"/>
      <c r="I95" s="1268"/>
      <c r="J95" s="1269"/>
      <c r="K95" s="1269"/>
      <c r="L95" s="729">
        <f t="shared" ca="1" si="48"/>
        <v>100</v>
      </c>
      <c r="M95" s="274" t="str">
        <f t="shared" si="49"/>
        <v/>
      </c>
      <c r="N95" s="1282"/>
      <c r="O95" s="1283"/>
      <c r="P95" s="1279"/>
      <c r="Q95" s="1280"/>
      <c r="R95" s="1280"/>
      <c r="S95" s="1281"/>
      <c r="T95" s="274">
        <f t="shared" si="50"/>
        <v>0</v>
      </c>
      <c r="U95" s="435">
        <f>IF(AND(W95&gt;=$U$1,W95&lt;=$U$2),IF(X95='ESTRATTO CONTO'!$E$2,1+COUNTIF(U$4:U94,"&gt;0"),0),0)</f>
        <v>0</v>
      </c>
      <c r="V95" s="417">
        <f t="shared" si="40"/>
        <v>92</v>
      </c>
      <c r="W95" s="509"/>
      <c r="X95" s="321"/>
      <c r="Y95" s="321"/>
      <c r="Z95" s="433"/>
      <c r="AA95" s="918">
        <f t="shared" si="31"/>
        <v>1</v>
      </c>
      <c r="AB95" s="306" t="str">
        <f t="shared" si="32"/>
        <v/>
      </c>
      <c r="AC95" s="788"/>
      <c r="AD95" s="119">
        <f t="shared" si="44"/>
        <v>0</v>
      </c>
      <c r="AE95" s="108">
        <f t="shared" si="44"/>
        <v>0</v>
      </c>
      <c r="AF95" s="108">
        <f t="shared" si="44"/>
        <v>0</v>
      </c>
      <c r="AG95" s="108"/>
      <c r="AH95" s="108"/>
      <c r="AI95" s="108"/>
      <c r="AJ95" s="108"/>
      <c r="AK95" s="108"/>
      <c r="AL95" s="108">
        <f t="shared" si="33"/>
        <v>0</v>
      </c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20">
        <f t="shared" si="34"/>
        <v>0</v>
      </c>
      <c r="CL95" s="122">
        <f t="shared" si="35"/>
        <v>0</v>
      </c>
      <c r="CM95" s="524" t="str">
        <f t="shared" si="37"/>
        <v/>
      </c>
      <c r="CN95" s="526">
        <f t="shared" si="38"/>
        <v>0</v>
      </c>
      <c r="CO95" s="122">
        <f t="shared" si="39"/>
        <v>0</v>
      </c>
      <c r="CP95" s="45" t="str">
        <f t="shared" si="36"/>
        <v>1 - in MILLESIMI   I</v>
      </c>
      <c r="CQ95" s="1053">
        <f t="shared" si="51"/>
        <v>1</v>
      </c>
    </row>
    <row r="96" spans="1:95" ht="16.5" customHeight="1">
      <c r="A96" s="641">
        <f t="shared" si="47"/>
        <v>4</v>
      </c>
      <c r="B96" s="274">
        <f t="shared" ca="1" si="45"/>
        <v>4</v>
      </c>
      <c r="C96" s="274">
        <f>IF(ISERROR(E96),0,IF(AND(E96&gt;=$U$1,E96&lt;=$U$2),IF(B$78='ESTRATTO CONTO'!$E$2,1+COUNTIF(C$89:C95,"&gt;0"),0),0))</f>
        <v>0</v>
      </c>
      <c r="D96" s="27">
        <v>8</v>
      </c>
      <c r="E96" s="41">
        <f t="shared" si="46"/>
        <v>45390</v>
      </c>
      <c r="F96" s="323"/>
      <c r="G96" s="436">
        <f t="shared" ca="1" si="52"/>
        <v>100</v>
      </c>
      <c r="H96" s="728"/>
      <c r="I96" s="1268"/>
      <c r="J96" s="1269"/>
      <c r="K96" s="1269"/>
      <c r="L96" s="729">
        <f t="shared" ca="1" si="48"/>
        <v>100</v>
      </c>
      <c r="M96" s="274" t="str">
        <f t="shared" si="49"/>
        <v/>
      </c>
      <c r="N96" s="1282"/>
      <c r="O96" s="1284"/>
      <c r="P96" s="1279"/>
      <c r="Q96" s="1280"/>
      <c r="R96" s="1280"/>
      <c r="S96" s="1281"/>
      <c r="T96" s="274">
        <f t="shared" si="50"/>
        <v>0</v>
      </c>
      <c r="U96" s="435">
        <f>IF(AND(W96&gt;=$U$1,W96&lt;=$U$2),IF(X96='ESTRATTO CONTO'!$E$2,1+COUNTIF(U$4:U95,"&gt;0"),0),0)</f>
        <v>0</v>
      </c>
      <c r="V96" s="417">
        <f t="shared" si="40"/>
        <v>93</v>
      </c>
      <c r="W96" s="509"/>
      <c r="X96" s="321"/>
      <c r="Y96" s="321"/>
      <c r="Z96" s="433"/>
      <c r="AA96" s="918">
        <f t="shared" si="31"/>
        <v>1</v>
      </c>
      <c r="AB96" s="306" t="str">
        <f t="shared" si="32"/>
        <v/>
      </c>
      <c r="AC96" s="788"/>
      <c r="AD96" s="119">
        <f t="shared" si="44"/>
        <v>0</v>
      </c>
      <c r="AE96" s="108">
        <f t="shared" si="44"/>
        <v>0</v>
      </c>
      <c r="AF96" s="108">
        <f t="shared" si="44"/>
        <v>0</v>
      </c>
      <c r="AG96" s="108"/>
      <c r="AH96" s="108"/>
      <c r="AI96" s="108"/>
      <c r="AJ96" s="108"/>
      <c r="AK96" s="108"/>
      <c r="AL96" s="108">
        <f t="shared" si="33"/>
        <v>0</v>
      </c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20">
        <f t="shared" si="34"/>
        <v>0</v>
      </c>
      <c r="CL96" s="122">
        <f t="shared" si="35"/>
        <v>0</v>
      </c>
      <c r="CM96" s="524" t="str">
        <f t="shared" si="37"/>
        <v/>
      </c>
      <c r="CN96" s="526">
        <f t="shared" si="38"/>
        <v>0</v>
      </c>
      <c r="CO96" s="122">
        <f t="shared" si="39"/>
        <v>0</v>
      </c>
      <c r="CP96" s="45" t="str">
        <f t="shared" si="36"/>
        <v>1 - in MILLESIMI   I</v>
      </c>
      <c r="CQ96" s="1053">
        <f t="shared" si="51"/>
        <v>1</v>
      </c>
    </row>
    <row r="97" spans="1:95" ht="16.5" customHeight="1">
      <c r="A97" s="641">
        <f t="shared" si="47"/>
        <v>4</v>
      </c>
      <c r="B97" s="274">
        <f t="shared" ca="1" si="45"/>
        <v>4</v>
      </c>
      <c r="C97" s="274">
        <f>IF(ISERROR(E97),0,IF(AND(E97&gt;=$U$1,E97&lt;=$U$2),IF(B$78='ESTRATTO CONTO'!$E$2,1+COUNTIF(C$89:C96,"&gt;0"),0),0))</f>
        <v>0</v>
      </c>
      <c r="D97" s="27">
        <v>9</v>
      </c>
      <c r="E97" s="41">
        <f t="shared" si="46"/>
        <v>45404</v>
      </c>
      <c r="F97" s="323"/>
      <c r="G97" s="436">
        <f t="shared" ca="1" si="52"/>
        <v>100</v>
      </c>
      <c r="H97" s="728"/>
      <c r="I97" s="1268"/>
      <c r="J97" s="1269"/>
      <c r="K97" s="1269"/>
      <c r="L97" s="729">
        <f t="shared" ca="1" si="48"/>
        <v>100</v>
      </c>
      <c r="M97" s="274" t="str">
        <f t="shared" si="49"/>
        <v/>
      </c>
      <c r="N97" s="1282"/>
      <c r="O97" s="1283"/>
      <c r="P97" s="1279"/>
      <c r="Q97" s="1280"/>
      <c r="R97" s="1280"/>
      <c r="S97" s="1281"/>
      <c r="T97" s="274">
        <f t="shared" si="50"/>
        <v>0</v>
      </c>
      <c r="U97" s="435">
        <f>IF(AND(W97&gt;=$U$1,W97&lt;=$U$2),IF(X97='ESTRATTO CONTO'!$E$2,1+COUNTIF(U$4:U96,"&gt;0"),0),0)</f>
        <v>0</v>
      </c>
      <c r="V97" s="417">
        <f t="shared" si="40"/>
        <v>94</v>
      </c>
      <c r="W97" s="509"/>
      <c r="X97" s="321"/>
      <c r="Y97" s="321"/>
      <c r="Z97" s="433"/>
      <c r="AA97" s="918">
        <f t="shared" si="31"/>
        <v>1</v>
      </c>
      <c r="AB97" s="306" t="str">
        <f t="shared" si="32"/>
        <v/>
      </c>
      <c r="AC97" s="788"/>
      <c r="AD97" s="119">
        <f t="shared" si="44"/>
        <v>0</v>
      </c>
      <c r="AE97" s="108">
        <f t="shared" si="44"/>
        <v>0</v>
      </c>
      <c r="AF97" s="108">
        <f t="shared" si="44"/>
        <v>0</v>
      </c>
      <c r="AG97" s="108"/>
      <c r="AH97" s="108"/>
      <c r="AI97" s="108"/>
      <c r="AJ97" s="108"/>
      <c r="AK97" s="108"/>
      <c r="AL97" s="108">
        <f t="shared" si="33"/>
        <v>0</v>
      </c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20">
        <f t="shared" si="34"/>
        <v>0</v>
      </c>
      <c r="CL97" s="122">
        <f t="shared" si="35"/>
        <v>0</v>
      </c>
      <c r="CM97" s="524" t="str">
        <f t="shared" si="37"/>
        <v/>
      </c>
      <c r="CN97" s="526">
        <f t="shared" si="38"/>
        <v>0</v>
      </c>
      <c r="CO97" s="122">
        <f t="shared" si="39"/>
        <v>0</v>
      </c>
      <c r="CP97" s="45" t="str">
        <f t="shared" si="36"/>
        <v>1 - in MILLESIMI   I</v>
      </c>
      <c r="CQ97" s="1053">
        <f t="shared" si="51"/>
        <v>1</v>
      </c>
    </row>
    <row r="98" spans="1:95" ht="16.5" customHeight="1">
      <c r="A98" s="641">
        <f t="shared" si="47"/>
        <v>5</v>
      </c>
      <c r="B98" s="274">
        <f t="shared" ca="1" si="45"/>
        <v>5</v>
      </c>
      <c r="C98" s="274">
        <f>IF(ISERROR(E98),0,IF(AND(E98&gt;=$U$1,E98&lt;=$U$2),IF(B$78='ESTRATTO CONTO'!$E$2,1+COUNTIF(C$89:C97,"&gt;0"),0),0))</f>
        <v>0</v>
      </c>
      <c r="D98" s="27">
        <v>10</v>
      </c>
      <c r="E98" s="41">
        <f t="shared" si="46"/>
        <v>45418</v>
      </c>
      <c r="F98" s="323"/>
      <c r="G98" s="436">
        <f t="shared" ca="1" si="52"/>
        <v>100</v>
      </c>
      <c r="H98" s="728"/>
      <c r="I98" s="1268"/>
      <c r="J98" s="1269"/>
      <c r="K98" s="1269"/>
      <c r="L98" s="729">
        <f t="shared" ca="1" si="48"/>
        <v>100</v>
      </c>
      <c r="M98" s="274" t="str">
        <f t="shared" si="49"/>
        <v/>
      </c>
      <c r="N98" s="1282"/>
      <c r="O98" s="1284"/>
      <c r="P98" s="1279"/>
      <c r="Q98" s="1280"/>
      <c r="R98" s="1280"/>
      <c r="S98" s="1281"/>
      <c r="T98" s="274">
        <f t="shared" si="50"/>
        <v>0</v>
      </c>
      <c r="U98" s="435">
        <f>IF(AND(W98&gt;=$U$1,W98&lt;=$U$2),IF(X98='ESTRATTO CONTO'!$E$2,1+COUNTIF(U$4:U97,"&gt;0"),0),0)</f>
        <v>0</v>
      </c>
      <c r="V98" s="417">
        <f t="shared" si="40"/>
        <v>95</v>
      </c>
      <c r="W98" s="509"/>
      <c r="X98" s="321"/>
      <c r="Y98" s="321"/>
      <c r="Z98" s="433"/>
      <c r="AA98" s="918">
        <f t="shared" si="31"/>
        <v>1</v>
      </c>
      <c r="AB98" s="306" t="str">
        <f t="shared" si="32"/>
        <v/>
      </c>
      <c r="AC98" s="788"/>
      <c r="AD98" s="119">
        <f t="shared" si="44"/>
        <v>0</v>
      </c>
      <c r="AE98" s="108">
        <f t="shared" si="44"/>
        <v>0</v>
      </c>
      <c r="AF98" s="108">
        <f t="shared" si="44"/>
        <v>0</v>
      </c>
      <c r="AG98" s="108"/>
      <c r="AH98" s="108"/>
      <c r="AI98" s="108"/>
      <c r="AJ98" s="108"/>
      <c r="AK98" s="108"/>
      <c r="AL98" s="108">
        <f t="shared" si="33"/>
        <v>0</v>
      </c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20">
        <f t="shared" si="34"/>
        <v>0</v>
      </c>
      <c r="CL98" s="122">
        <f t="shared" si="35"/>
        <v>0</v>
      </c>
      <c r="CM98" s="524" t="str">
        <f t="shared" si="37"/>
        <v/>
      </c>
      <c r="CN98" s="526">
        <f t="shared" si="38"/>
        <v>0</v>
      </c>
      <c r="CO98" s="122">
        <f t="shared" si="39"/>
        <v>0</v>
      </c>
      <c r="CP98" s="45" t="str">
        <f t="shared" si="36"/>
        <v>1 - in MILLESIMI   I</v>
      </c>
      <c r="CQ98" s="1053">
        <f t="shared" si="51"/>
        <v>1</v>
      </c>
    </row>
    <row r="99" spans="1:95" ht="16.5" customHeight="1">
      <c r="A99" s="641">
        <f t="shared" si="47"/>
        <v>5</v>
      </c>
      <c r="B99" s="274">
        <f t="shared" ca="1" si="45"/>
        <v>0</v>
      </c>
      <c r="C99" s="274">
        <f>IF(ISERROR(E99),0,IF(AND(E99&gt;=$U$1,E99&lt;=$U$2),IF(B$78='ESTRATTO CONTO'!$E$2,1+COUNTIF(C$89:C98,"&gt;0"),0),0))</f>
        <v>0</v>
      </c>
      <c r="D99" s="27">
        <v>11</v>
      </c>
      <c r="E99" s="41">
        <f t="shared" si="46"/>
        <v>45432</v>
      </c>
      <c r="F99" s="323"/>
      <c r="G99" s="436">
        <f t="shared" ca="1" si="52"/>
        <v>0</v>
      </c>
      <c r="H99" s="728"/>
      <c r="I99" s="1268"/>
      <c r="J99" s="1269"/>
      <c r="K99" s="1269"/>
      <c r="L99" s="729">
        <f t="shared" ca="1" si="48"/>
        <v>0</v>
      </c>
      <c r="M99" s="274" t="str">
        <f t="shared" si="49"/>
        <v/>
      </c>
      <c r="N99" s="1282"/>
      <c r="O99" s="1283"/>
      <c r="P99" s="1279"/>
      <c r="Q99" s="1280"/>
      <c r="R99" s="1280"/>
      <c r="S99" s="1281"/>
      <c r="T99" s="274">
        <f t="shared" si="50"/>
        <v>0</v>
      </c>
      <c r="U99" s="435">
        <f>IF(AND(W99&gt;=$U$1,W99&lt;=$U$2),IF(X99='ESTRATTO CONTO'!$E$2,1+COUNTIF(U$4:U98,"&gt;0"),0),0)</f>
        <v>0</v>
      </c>
      <c r="V99" s="417">
        <f t="shared" si="40"/>
        <v>96</v>
      </c>
      <c r="W99" s="509"/>
      <c r="X99" s="321"/>
      <c r="Y99" s="321"/>
      <c r="Z99" s="433"/>
      <c r="AA99" s="918">
        <f t="shared" si="31"/>
        <v>1</v>
      </c>
      <c r="AB99" s="306" t="str">
        <f t="shared" si="32"/>
        <v/>
      </c>
      <c r="AC99" s="788"/>
      <c r="AD99" s="119">
        <f t="shared" si="44"/>
        <v>0</v>
      </c>
      <c r="AE99" s="108">
        <f t="shared" si="44"/>
        <v>0</v>
      </c>
      <c r="AF99" s="108">
        <f t="shared" si="44"/>
        <v>0</v>
      </c>
      <c r="AG99" s="108"/>
      <c r="AH99" s="108"/>
      <c r="AI99" s="108"/>
      <c r="AJ99" s="108"/>
      <c r="AK99" s="108"/>
      <c r="AL99" s="108">
        <f t="shared" si="33"/>
        <v>0</v>
      </c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20">
        <f t="shared" si="34"/>
        <v>0</v>
      </c>
      <c r="CL99" s="122">
        <f t="shared" si="35"/>
        <v>0</v>
      </c>
      <c r="CM99" s="524" t="str">
        <f t="shared" si="37"/>
        <v/>
      </c>
      <c r="CN99" s="526">
        <f t="shared" si="38"/>
        <v>0</v>
      </c>
      <c r="CO99" s="122">
        <f t="shared" si="39"/>
        <v>0</v>
      </c>
      <c r="CP99" s="45" t="str">
        <f t="shared" si="36"/>
        <v>1 - in MILLESIMI   I</v>
      </c>
      <c r="CQ99" s="1053">
        <f t="shared" si="51"/>
        <v>1</v>
      </c>
    </row>
    <row r="100" spans="1:95" ht="16.5" customHeight="1">
      <c r="A100" s="641">
        <f t="shared" si="47"/>
        <v>6</v>
      </c>
      <c r="B100" s="274">
        <f t="shared" ca="1" si="45"/>
        <v>0</v>
      </c>
      <c r="C100" s="274">
        <f>IF(ISERROR(E100),0,IF(AND(E100&gt;=$U$1,E100&lt;=$U$2),IF(B$78='ESTRATTO CONTO'!$E$2,1+COUNTIF(C$89:C99,"&gt;0"),0),0))</f>
        <v>0</v>
      </c>
      <c r="D100" s="27">
        <v>12</v>
      </c>
      <c r="E100" s="41">
        <f t="shared" si="46"/>
        <v>45446</v>
      </c>
      <c r="F100" s="323"/>
      <c r="G100" s="436">
        <f t="shared" ca="1" si="52"/>
        <v>0</v>
      </c>
      <c r="H100" s="728"/>
      <c r="I100" s="1268"/>
      <c r="J100" s="1269"/>
      <c r="K100" s="1269"/>
      <c r="L100" s="729">
        <f t="shared" ca="1" si="48"/>
        <v>0</v>
      </c>
      <c r="M100" s="274" t="str">
        <f t="shared" si="49"/>
        <v/>
      </c>
      <c r="N100" s="1282"/>
      <c r="O100" s="1283"/>
      <c r="P100" s="1279"/>
      <c r="Q100" s="1280"/>
      <c r="R100" s="1280"/>
      <c r="S100" s="1281"/>
      <c r="T100" s="274">
        <f t="shared" si="50"/>
        <v>0</v>
      </c>
      <c r="U100" s="435">
        <f>IF(AND(W100&gt;=$U$1,W100&lt;=$U$2),IF(X100='ESTRATTO CONTO'!$E$2,1+COUNTIF(U$4:U99,"&gt;0"),0),0)</f>
        <v>0</v>
      </c>
      <c r="V100" s="417">
        <f t="shared" si="40"/>
        <v>97</v>
      </c>
      <c r="W100" s="509"/>
      <c r="X100" s="321"/>
      <c r="Y100" s="321"/>
      <c r="Z100" s="433"/>
      <c r="AA100" s="918">
        <f t="shared" si="31"/>
        <v>1</v>
      </c>
      <c r="AB100" s="306" t="str">
        <f t="shared" si="32"/>
        <v/>
      </c>
      <c r="AC100" s="788"/>
      <c r="AD100" s="119">
        <f t="shared" si="44"/>
        <v>0</v>
      </c>
      <c r="AE100" s="108">
        <f t="shared" si="44"/>
        <v>0</v>
      </c>
      <c r="AF100" s="108">
        <f t="shared" si="44"/>
        <v>0</v>
      </c>
      <c r="AG100" s="108"/>
      <c r="AH100" s="108"/>
      <c r="AI100" s="108"/>
      <c r="AJ100" s="108"/>
      <c r="AK100" s="108"/>
      <c r="AL100" s="108">
        <f t="shared" si="33"/>
        <v>0</v>
      </c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20">
        <f t="shared" si="34"/>
        <v>0</v>
      </c>
      <c r="CL100" s="122">
        <f t="shared" si="35"/>
        <v>0</v>
      </c>
      <c r="CM100" s="524" t="str">
        <f t="shared" si="37"/>
        <v/>
      </c>
      <c r="CN100" s="526">
        <f t="shared" si="38"/>
        <v>0</v>
      </c>
      <c r="CO100" s="122">
        <f t="shared" si="39"/>
        <v>0</v>
      </c>
      <c r="CP100" s="45" t="str">
        <f t="shared" si="36"/>
        <v>1 - in MILLESIMI   I</v>
      </c>
      <c r="CQ100" s="1053">
        <f t="shared" si="51"/>
        <v>1</v>
      </c>
    </row>
    <row r="101" spans="1:95" ht="16.5" customHeight="1">
      <c r="A101" s="641">
        <f t="shared" si="47"/>
        <v>6</v>
      </c>
      <c r="B101" s="274">
        <f t="shared" ca="1" si="45"/>
        <v>0</v>
      </c>
      <c r="C101" s="274">
        <f>IF(ISERROR(E101),0,IF(AND(E101&gt;=$U$1,E101&lt;=$U$2),IF(B$78='ESTRATTO CONTO'!$E$2,1+COUNTIF(C$89:C100,"&gt;0"),0),0))</f>
        <v>0</v>
      </c>
      <c r="D101" s="27">
        <v>13</v>
      </c>
      <c r="E101" s="41">
        <f t="shared" si="46"/>
        <v>45460</v>
      </c>
      <c r="F101" s="323"/>
      <c r="G101" s="436">
        <f t="shared" ca="1" si="52"/>
        <v>0</v>
      </c>
      <c r="H101" s="728"/>
      <c r="I101" s="1268"/>
      <c r="J101" s="1269"/>
      <c r="K101" s="1269"/>
      <c r="L101" s="729">
        <f t="shared" ca="1" si="48"/>
        <v>0</v>
      </c>
      <c r="M101" s="274" t="str">
        <f t="shared" si="49"/>
        <v/>
      </c>
      <c r="N101" s="1282"/>
      <c r="O101" s="1283"/>
      <c r="P101" s="1279"/>
      <c r="Q101" s="1280"/>
      <c r="R101" s="1280"/>
      <c r="S101" s="1281"/>
      <c r="T101" s="274">
        <f t="shared" si="50"/>
        <v>0</v>
      </c>
      <c r="U101" s="435">
        <f>IF(AND(W101&gt;=$U$1,W101&lt;=$U$2),IF(X101='ESTRATTO CONTO'!$E$2,1+COUNTIF(U$4:U100,"&gt;0"),0),0)</f>
        <v>0</v>
      </c>
      <c r="V101" s="417">
        <f t="shared" si="40"/>
        <v>98</v>
      </c>
      <c r="W101" s="509"/>
      <c r="X101" s="321"/>
      <c r="Y101" s="321"/>
      <c r="Z101" s="433"/>
      <c r="AA101" s="918">
        <f t="shared" si="31"/>
        <v>1</v>
      </c>
      <c r="AB101" s="306" t="str">
        <f t="shared" si="32"/>
        <v/>
      </c>
      <c r="AC101" s="788"/>
      <c r="AD101" s="119">
        <f t="shared" si="44"/>
        <v>0</v>
      </c>
      <c r="AE101" s="108">
        <f t="shared" si="44"/>
        <v>0</v>
      </c>
      <c r="AF101" s="108">
        <f t="shared" si="44"/>
        <v>0</v>
      </c>
      <c r="AG101" s="108"/>
      <c r="AH101" s="108"/>
      <c r="AI101" s="108"/>
      <c r="AJ101" s="108"/>
      <c r="AK101" s="108"/>
      <c r="AL101" s="108">
        <f t="shared" si="33"/>
        <v>0</v>
      </c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20">
        <f t="shared" si="34"/>
        <v>0</v>
      </c>
      <c r="CL101" s="122">
        <f t="shared" si="35"/>
        <v>0</v>
      </c>
      <c r="CM101" s="524" t="str">
        <f t="shared" si="37"/>
        <v/>
      </c>
      <c r="CN101" s="526">
        <f t="shared" si="38"/>
        <v>0</v>
      </c>
      <c r="CO101" s="122">
        <f t="shared" si="39"/>
        <v>0</v>
      </c>
      <c r="CP101" s="45" t="str">
        <f t="shared" si="36"/>
        <v>1 - in MILLESIMI   I</v>
      </c>
      <c r="CQ101" s="1053">
        <f t="shared" si="51"/>
        <v>1</v>
      </c>
    </row>
    <row r="102" spans="1:95" ht="16.5" customHeight="1">
      <c r="A102" s="641">
        <f t="shared" si="47"/>
        <v>7</v>
      </c>
      <c r="B102" s="274">
        <f t="shared" ca="1" si="45"/>
        <v>0</v>
      </c>
      <c r="C102" s="274">
        <f>IF(ISERROR(E102),0,IF(AND(E102&gt;=$U$1,E102&lt;=$U$2),IF(B$78='ESTRATTO CONTO'!$E$2,1+COUNTIF(C$89:C101,"&gt;0"),0),0))</f>
        <v>0</v>
      </c>
      <c r="D102" s="27">
        <v>14</v>
      </c>
      <c r="E102" s="41">
        <f t="shared" si="46"/>
        <v>45474</v>
      </c>
      <c r="F102" s="323"/>
      <c r="G102" s="436">
        <f t="shared" ca="1" si="52"/>
        <v>0</v>
      </c>
      <c r="H102" s="728"/>
      <c r="I102" s="1268"/>
      <c r="J102" s="1269"/>
      <c r="K102" s="1269"/>
      <c r="L102" s="729">
        <f t="shared" ca="1" si="48"/>
        <v>0</v>
      </c>
      <c r="M102" s="274" t="str">
        <f t="shared" si="49"/>
        <v/>
      </c>
      <c r="N102" s="1282"/>
      <c r="O102" s="1283"/>
      <c r="P102" s="1279"/>
      <c r="Q102" s="1280"/>
      <c r="R102" s="1280"/>
      <c r="S102" s="1281"/>
      <c r="T102" s="274">
        <f t="shared" si="50"/>
        <v>0</v>
      </c>
      <c r="U102" s="435">
        <f>IF(AND(W102&gt;=$U$1,W102&lt;=$U$2),IF(X102='ESTRATTO CONTO'!$E$2,1+COUNTIF(U$4:U101,"&gt;0"),0),0)</f>
        <v>0</v>
      </c>
      <c r="V102" s="417">
        <f t="shared" si="40"/>
        <v>99</v>
      </c>
      <c r="W102" s="509"/>
      <c r="X102" s="321"/>
      <c r="Y102" s="321"/>
      <c r="Z102" s="433"/>
      <c r="AA102" s="918">
        <f t="shared" si="31"/>
        <v>1</v>
      </c>
      <c r="AB102" s="306" t="str">
        <f t="shared" si="32"/>
        <v/>
      </c>
      <c r="AC102" s="788"/>
      <c r="AD102" s="119">
        <f t="shared" si="44"/>
        <v>0</v>
      </c>
      <c r="AE102" s="108">
        <f t="shared" si="44"/>
        <v>0</v>
      </c>
      <c r="AF102" s="108">
        <f t="shared" si="44"/>
        <v>0</v>
      </c>
      <c r="AG102" s="108"/>
      <c r="AH102" s="108"/>
      <c r="AI102" s="108"/>
      <c r="AJ102" s="108"/>
      <c r="AK102" s="108"/>
      <c r="AL102" s="108">
        <f t="shared" si="33"/>
        <v>0</v>
      </c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20">
        <f t="shared" si="34"/>
        <v>0</v>
      </c>
      <c r="CL102" s="122">
        <f t="shared" si="35"/>
        <v>0</v>
      </c>
      <c r="CM102" s="524" t="str">
        <f t="shared" si="37"/>
        <v/>
      </c>
      <c r="CN102" s="526">
        <f t="shared" si="38"/>
        <v>0</v>
      </c>
      <c r="CO102" s="122">
        <f t="shared" si="39"/>
        <v>0</v>
      </c>
      <c r="CP102" s="45" t="str">
        <f t="shared" si="36"/>
        <v>1 - in MILLESIMI   I</v>
      </c>
      <c r="CQ102" s="1053">
        <f t="shared" si="51"/>
        <v>1</v>
      </c>
    </row>
    <row r="103" spans="1:95" ht="16.5" customHeight="1">
      <c r="A103" s="641">
        <f t="shared" si="47"/>
        <v>7</v>
      </c>
      <c r="B103" s="274">
        <f t="shared" ca="1" si="45"/>
        <v>0</v>
      </c>
      <c r="C103" s="274">
        <f>IF(ISERROR(E103),0,IF(AND(E103&gt;=$U$1,E103&lt;=$U$2),IF(B$78='ESTRATTO CONTO'!$E$2,1+COUNTIF(C$89:C102,"&gt;0"),0),0))</f>
        <v>0</v>
      </c>
      <c r="D103" s="27">
        <v>15</v>
      </c>
      <c r="E103" s="41">
        <f t="shared" si="46"/>
        <v>45488</v>
      </c>
      <c r="F103" s="323"/>
      <c r="G103" s="436">
        <f t="shared" ca="1" si="52"/>
        <v>0</v>
      </c>
      <c r="H103" s="728"/>
      <c r="I103" s="1268"/>
      <c r="J103" s="1269"/>
      <c r="K103" s="1269"/>
      <c r="L103" s="729">
        <f t="shared" ca="1" si="48"/>
        <v>0</v>
      </c>
      <c r="M103" s="274" t="str">
        <f t="shared" si="49"/>
        <v/>
      </c>
      <c r="N103" s="1282"/>
      <c r="O103" s="1283"/>
      <c r="P103" s="1279"/>
      <c r="Q103" s="1280"/>
      <c r="R103" s="1280"/>
      <c r="S103" s="1281"/>
      <c r="T103" s="274">
        <f t="shared" si="50"/>
        <v>0</v>
      </c>
      <c r="U103" s="435">
        <f>IF(AND(W103&gt;=$U$1,W103&lt;=$U$2),IF(X103='ESTRATTO CONTO'!$E$2,1+COUNTIF(U$4:U102,"&gt;0"),0),0)</f>
        <v>0</v>
      </c>
      <c r="V103" s="417">
        <f t="shared" si="40"/>
        <v>100</v>
      </c>
      <c r="W103" s="509"/>
      <c r="X103" s="321"/>
      <c r="Y103" s="321"/>
      <c r="Z103" s="433"/>
      <c r="AA103" s="918">
        <f t="shared" si="31"/>
        <v>1</v>
      </c>
      <c r="AB103" s="306" t="str">
        <f t="shared" si="32"/>
        <v/>
      </c>
      <c r="AC103" s="788"/>
      <c r="AD103" s="119">
        <f t="shared" si="44"/>
        <v>0</v>
      </c>
      <c r="AE103" s="108">
        <f t="shared" si="44"/>
        <v>0</v>
      </c>
      <c r="AF103" s="108">
        <f t="shared" si="44"/>
        <v>0</v>
      </c>
      <c r="AG103" s="108"/>
      <c r="AH103" s="108"/>
      <c r="AI103" s="108"/>
      <c r="AJ103" s="108"/>
      <c r="AK103" s="108"/>
      <c r="AL103" s="108">
        <f t="shared" si="33"/>
        <v>0</v>
      </c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20">
        <f t="shared" si="34"/>
        <v>0</v>
      </c>
      <c r="CL103" s="122">
        <f t="shared" si="35"/>
        <v>0</v>
      </c>
      <c r="CM103" s="524" t="str">
        <f t="shared" si="37"/>
        <v/>
      </c>
      <c r="CN103" s="526">
        <f t="shared" si="38"/>
        <v>0</v>
      </c>
      <c r="CO103" s="122">
        <f t="shared" si="39"/>
        <v>0</v>
      </c>
      <c r="CP103" s="45" t="str">
        <f t="shared" si="36"/>
        <v>1 - in MILLESIMI   I</v>
      </c>
      <c r="CQ103" s="1053">
        <f t="shared" si="51"/>
        <v>1</v>
      </c>
    </row>
    <row r="104" spans="1:95" ht="16.5" customHeight="1">
      <c r="A104" s="641">
        <f t="shared" si="47"/>
        <v>7</v>
      </c>
      <c r="B104" s="274">
        <f t="shared" ca="1" si="45"/>
        <v>0</v>
      </c>
      <c r="C104" s="274">
        <f>IF(ISERROR(E104),0,IF(AND(E104&gt;=$U$1,E104&lt;=$U$2),IF(B$78='ESTRATTO CONTO'!$E$2,1+COUNTIF(C$89:C103,"&gt;0"),0),0))</f>
        <v>0</v>
      </c>
      <c r="D104" s="27">
        <v>16</v>
      </c>
      <c r="E104" s="41">
        <f t="shared" si="46"/>
        <v>45502</v>
      </c>
      <c r="F104" s="323"/>
      <c r="G104" s="436">
        <f t="shared" ca="1" si="52"/>
        <v>0</v>
      </c>
      <c r="H104" s="728"/>
      <c r="I104" s="1268"/>
      <c r="J104" s="1269"/>
      <c r="K104" s="1269"/>
      <c r="L104" s="729">
        <f t="shared" ca="1" si="48"/>
        <v>0</v>
      </c>
      <c r="M104" s="274" t="str">
        <f t="shared" si="49"/>
        <v/>
      </c>
      <c r="N104" s="1282"/>
      <c r="O104" s="1283"/>
      <c r="P104" s="1279"/>
      <c r="Q104" s="1280"/>
      <c r="R104" s="1280"/>
      <c r="S104" s="1281"/>
      <c r="T104" s="274">
        <f t="shared" si="50"/>
        <v>0</v>
      </c>
      <c r="U104" s="435">
        <f>IF(AND(W104&gt;=$U$1,W104&lt;=$U$2),IF(X104='ESTRATTO CONTO'!$E$2,1+COUNTIF(U$4:U103,"&gt;0"),0),0)</f>
        <v>0</v>
      </c>
      <c r="V104" s="417">
        <f t="shared" si="40"/>
        <v>101</v>
      </c>
      <c r="W104" s="509"/>
      <c r="X104" s="321"/>
      <c r="Y104" s="321"/>
      <c r="Z104" s="433"/>
      <c r="AA104" s="918">
        <f t="shared" si="31"/>
        <v>1</v>
      </c>
      <c r="AB104" s="306" t="str">
        <f t="shared" si="32"/>
        <v/>
      </c>
      <c r="AC104" s="788"/>
      <c r="AD104" s="119">
        <f t="shared" ref="AD104:AF123" si="53">IF($AB104=0,0,ROUND($Z104*VLOOKUP(AD$2,$F$1010:$Q$1014,VLOOKUP($CP104,$C$1076:$E$1081,3,FALSE),FALSE),2))</f>
        <v>0</v>
      </c>
      <c r="AE104" s="108">
        <f t="shared" si="53"/>
        <v>0</v>
      </c>
      <c r="AF104" s="108">
        <f t="shared" si="53"/>
        <v>0</v>
      </c>
      <c r="AG104" s="108"/>
      <c r="AH104" s="108"/>
      <c r="AI104" s="108"/>
      <c r="AJ104" s="108"/>
      <c r="AK104" s="108"/>
      <c r="AL104" s="108">
        <f t="shared" si="33"/>
        <v>0</v>
      </c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20">
        <f t="shared" si="34"/>
        <v>0</v>
      </c>
      <c r="CL104" s="122">
        <f t="shared" si="35"/>
        <v>0</v>
      </c>
      <c r="CM104" s="524" t="str">
        <f t="shared" si="37"/>
        <v/>
      </c>
      <c r="CN104" s="526">
        <f t="shared" si="38"/>
        <v>0</v>
      </c>
      <c r="CO104" s="122">
        <f t="shared" si="39"/>
        <v>0</v>
      </c>
      <c r="CP104" s="45" t="str">
        <f t="shared" si="36"/>
        <v>1 - in MILLESIMI   I</v>
      </c>
      <c r="CQ104" s="1053">
        <f t="shared" si="51"/>
        <v>1</v>
      </c>
    </row>
    <row r="105" spans="1:95" ht="16.5" customHeight="1">
      <c r="A105" s="641">
        <f t="shared" si="47"/>
        <v>8</v>
      </c>
      <c r="B105" s="274">
        <f t="shared" ca="1" si="45"/>
        <v>0</v>
      </c>
      <c r="C105" s="274">
        <f>IF(ISERROR(E105),0,IF(AND(E105&gt;=$U$1,E105&lt;=$U$2),IF(B$78='ESTRATTO CONTO'!$E$2,1+COUNTIF(C$89:C104,"&gt;0"),0),0))</f>
        <v>0</v>
      </c>
      <c r="D105" s="27">
        <v>17</v>
      </c>
      <c r="E105" s="41">
        <f t="shared" si="46"/>
        <v>45516</v>
      </c>
      <c r="F105" s="323"/>
      <c r="G105" s="436">
        <f t="shared" ca="1" si="52"/>
        <v>0</v>
      </c>
      <c r="H105" s="728"/>
      <c r="I105" s="1268"/>
      <c r="J105" s="1269"/>
      <c r="K105" s="1269"/>
      <c r="L105" s="729">
        <f t="shared" ca="1" si="48"/>
        <v>0</v>
      </c>
      <c r="M105" s="274" t="str">
        <f t="shared" si="49"/>
        <v/>
      </c>
      <c r="N105" s="1282"/>
      <c r="O105" s="1283"/>
      <c r="P105" s="1279"/>
      <c r="Q105" s="1280"/>
      <c r="R105" s="1280"/>
      <c r="S105" s="1281"/>
      <c r="T105" s="274">
        <f t="shared" si="50"/>
        <v>0</v>
      </c>
      <c r="U105" s="435">
        <f>IF(AND(W105&gt;=$U$1,W105&lt;=$U$2),IF(X105='ESTRATTO CONTO'!$E$2,1+COUNTIF(U$4:U104,"&gt;0"),0),0)</f>
        <v>0</v>
      </c>
      <c r="V105" s="417">
        <f t="shared" si="40"/>
        <v>102</v>
      </c>
      <c r="W105" s="509"/>
      <c r="X105" s="321"/>
      <c r="Y105" s="321"/>
      <c r="Z105" s="433"/>
      <c r="AA105" s="918">
        <f t="shared" si="31"/>
        <v>1</v>
      </c>
      <c r="AB105" s="306" t="str">
        <f t="shared" si="32"/>
        <v/>
      </c>
      <c r="AC105" s="788"/>
      <c r="AD105" s="119">
        <f t="shared" si="53"/>
        <v>0</v>
      </c>
      <c r="AE105" s="108">
        <f t="shared" si="53"/>
        <v>0</v>
      </c>
      <c r="AF105" s="108">
        <f t="shared" si="53"/>
        <v>0</v>
      </c>
      <c r="AG105" s="108"/>
      <c r="AH105" s="108"/>
      <c r="AI105" s="108"/>
      <c r="AJ105" s="108"/>
      <c r="AK105" s="108"/>
      <c r="AL105" s="108">
        <f t="shared" si="33"/>
        <v>0</v>
      </c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20">
        <f t="shared" si="34"/>
        <v>0</v>
      </c>
      <c r="CL105" s="122">
        <f t="shared" si="35"/>
        <v>0</v>
      </c>
      <c r="CM105" s="524" t="str">
        <f t="shared" si="37"/>
        <v/>
      </c>
      <c r="CN105" s="526">
        <f t="shared" si="38"/>
        <v>0</v>
      </c>
      <c r="CO105" s="122">
        <f t="shared" si="39"/>
        <v>0</v>
      </c>
      <c r="CP105" s="45" t="str">
        <f t="shared" si="36"/>
        <v>1 - in MILLESIMI   I</v>
      </c>
      <c r="CQ105" s="1053">
        <f t="shared" si="51"/>
        <v>1</v>
      </c>
    </row>
    <row r="106" spans="1:95" ht="16.5" customHeight="1">
      <c r="A106" s="641">
        <f t="shared" si="47"/>
        <v>8</v>
      </c>
      <c r="B106" s="274">
        <f t="shared" ca="1" si="45"/>
        <v>0</v>
      </c>
      <c r="C106" s="274">
        <f>IF(ISERROR(E106),0,IF(AND(E106&gt;=$U$1,E106&lt;=$U$2),IF(B$78='ESTRATTO CONTO'!$E$2,1+COUNTIF(C$89:C105,"&gt;0"),0),0))</f>
        <v>0</v>
      </c>
      <c r="D106" s="27">
        <v>18</v>
      </c>
      <c r="E106" s="41">
        <f t="shared" si="46"/>
        <v>45530</v>
      </c>
      <c r="F106" s="323"/>
      <c r="G106" s="436">
        <f t="shared" ca="1" si="52"/>
        <v>0</v>
      </c>
      <c r="H106" s="728"/>
      <c r="I106" s="1268"/>
      <c r="J106" s="1269"/>
      <c r="K106" s="1269"/>
      <c r="L106" s="729">
        <f t="shared" ca="1" si="48"/>
        <v>0</v>
      </c>
      <c r="M106" s="274" t="str">
        <f t="shared" si="49"/>
        <v/>
      </c>
      <c r="N106" s="1282"/>
      <c r="O106" s="1283"/>
      <c r="P106" s="1279"/>
      <c r="Q106" s="1280"/>
      <c r="R106" s="1280"/>
      <c r="S106" s="1281"/>
      <c r="T106" s="274">
        <f t="shared" si="50"/>
        <v>0</v>
      </c>
      <c r="U106" s="435">
        <f>IF(AND(W106&gt;=$U$1,W106&lt;=$U$2),IF(X106='ESTRATTO CONTO'!$E$2,1+COUNTIF(U$4:U105,"&gt;0"),0),0)</f>
        <v>0</v>
      </c>
      <c r="V106" s="417">
        <f t="shared" si="40"/>
        <v>103</v>
      </c>
      <c r="W106" s="509"/>
      <c r="X106" s="321"/>
      <c r="Y106" s="321"/>
      <c r="Z106" s="433"/>
      <c r="AA106" s="918">
        <f t="shared" si="31"/>
        <v>1</v>
      </c>
      <c r="AB106" s="306" t="str">
        <f t="shared" si="32"/>
        <v/>
      </c>
      <c r="AC106" s="788"/>
      <c r="AD106" s="119">
        <f t="shared" si="53"/>
        <v>0</v>
      </c>
      <c r="AE106" s="108">
        <f t="shared" si="53"/>
        <v>0</v>
      </c>
      <c r="AF106" s="108">
        <f t="shared" si="53"/>
        <v>0</v>
      </c>
      <c r="AG106" s="108"/>
      <c r="AH106" s="108"/>
      <c r="AI106" s="108"/>
      <c r="AJ106" s="108"/>
      <c r="AK106" s="108"/>
      <c r="AL106" s="108">
        <f t="shared" si="33"/>
        <v>0</v>
      </c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20">
        <f t="shared" si="34"/>
        <v>0</v>
      </c>
      <c r="CL106" s="122">
        <f t="shared" si="35"/>
        <v>0</v>
      </c>
      <c r="CM106" s="524" t="str">
        <f t="shared" si="37"/>
        <v/>
      </c>
      <c r="CN106" s="526">
        <f t="shared" si="38"/>
        <v>0</v>
      </c>
      <c r="CO106" s="122">
        <f t="shared" si="39"/>
        <v>0</v>
      </c>
      <c r="CP106" s="45" t="str">
        <f t="shared" si="36"/>
        <v>1 - in MILLESIMI   I</v>
      </c>
      <c r="CQ106" s="1053">
        <f t="shared" si="51"/>
        <v>1</v>
      </c>
    </row>
    <row r="107" spans="1:95" ht="16.5" customHeight="1">
      <c r="A107" s="641">
        <f t="shared" si="47"/>
        <v>9</v>
      </c>
      <c r="B107" s="274">
        <f t="shared" ca="1" si="45"/>
        <v>0</v>
      </c>
      <c r="C107" s="274">
        <f>IF(ISERROR(E107),0,IF(AND(E107&gt;=$U$1,E107&lt;=$U$2),IF(B$78='ESTRATTO CONTO'!$E$2,1+COUNTIF(C$89:C106,"&gt;0"),0),0))</f>
        <v>0</v>
      </c>
      <c r="D107" s="27">
        <v>19</v>
      </c>
      <c r="E107" s="41">
        <f t="shared" si="46"/>
        <v>45544</v>
      </c>
      <c r="F107" s="323"/>
      <c r="G107" s="436">
        <f t="shared" ca="1" si="52"/>
        <v>0</v>
      </c>
      <c r="H107" s="728"/>
      <c r="I107" s="1268"/>
      <c r="J107" s="1269"/>
      <c r="K107" s="1269"/>
      <c r="L107" s="729">
        <f t="shared" ca="1" si="48"/>
        <v>0</v>
      </c>
      <c r="M107" s="274" t="str">
        <f t="shared" si="49"/>
        <v/>
      </c>
      <c r="N107" s="1282"/>
      <c r="O107" s="1283"/>
      <c r="P107" s="1279"/>
      <c r="Q107" s="1280"/>
      <c r="R107" s="1280"/>
      <c r="S107" s="1281"/>
      <c r="T107" s="274">
        <f t="shared" si="50"/>
        <v>0</v>
      </c>
      <c r="U107" s="435">
        <f>IF(AND(W107&gt;=$U$1,W107&lt;=$U$2),IF(X107='ESTRATTO CONTO'!$E$2,1+COUNTIF(U$4:U106,"&gt;0"),0),0)</f>
        <v>0</v>
      </c>
      <c r="V107" s="417">
        <f t="shared" si="40"/>
        <v>104</v>
      </c>
      <c r="W107" s="509"/>
      <c r="X107" s="321"/>
      <c r="Y107" s="321"/>
      <c r="Z107" s="433"/>
      <c r="AA107" s="918">
        <f t="shared" si="31"/>
        <v>1</v>
      </c>
      <c r="AB107" s="306" t="str">
        <f t="shared" si="32"/>
        <v/>
      </c>
      <c r="AC107" s="788"/>
      <c r="AD107" s="119">
        <f t="shared" si="53"/>
        <v>0</v>
      </c>
      <c r="AE107" s="108">
        <f t="shared" si="53"/>
        <v>0</v>
      </c>
      <c r="AF107" s="108">
        <f t="shared" si="53"/>
        <v>0</v>
      </c>
      <c r="AG107" s="108"/>
      <c r="AH107" s="108"/>
      <c r="AI107" s="108"/>
      <c r="AJ107" s="108"/>
      <c r="AK107" s="108"/>
      <c r="AL107" s="108">
        <f t="shared" si="33"/>
        <v>0</v>
      </c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20">
        <f t="shared" si="34"/>
        <v>0</v>
      </c>
      <c r="CL107" s="122">
        <f t="shared" si="35"/>
        <v>0</v>
      </c>
      <c r="CM107" s="524" t="str">
        <f t="shared" si="37"/>
        <v/>
      </c>
      <c r="CN107" s="526">
        <f t="shared" si="38"/>
        <v>0</v>
      </c>
      <c r="CO107" s="122">
        <f t="shared" si="39"/>
        <v>0</v>
      </c>
      <c r="CP107" s="45" t="str">
        <f t="shared" si="36"/>
        <v>1 - in MILLESIMI   I</v>
      </c>
      <c r="CQ107" s="1053">
        <f t="shared" si="51"/>
        <v>1</v>
      </c>
    </row>
    <row r="108" spans="1:95" ht="16.5" customHeight="1">
      <c r="A108" s="641">
        <f t="shared" si="47"/>
        <v>9</v>
      </c>
      <c r="B108" s="274">
        <f t="shared" ca="1" si="45"/>
        <v>0</v>
      </c>
      <c r="C108" s="274">
        <f>IF(ISERROR(E108),0,IF(AND(E108&gt;=$U$1,E108&lt;=$U$2),IF(B$78='ESTRATTO CONTO'!$E$2,1+COUNTIF(C$89:C107,"&gt;0"),0),0))</f>
        <v>0</v>
      </c>
      <c r="D108" s="27">
        <v>20</v>
      </c>
      <c r="E108" s="41">
        <f t="shared" si="46"/>
        <v>45558</v>
      </c>
      <c r="F108" s="323"/>
      <c r="G108" s="436">
        <f t="shared" ca="1" si="52"/>
        <v>0</v>
      </c>
      <c r="H108" s="728"/>
      <c r="I108" s="1268"/>
      <c r="J108" s="1269"/>
      <c r="K108" s="1269"/>
      <c r="L108" s="729">
        <f t="shared" ca="1" si="48"/>
        <v>0</v>
      </c>
      <c r="M108" s="274" t="str">
        <f t="shared" si="49"/>
        <v/>
      </c>
      <c r="N108" s="1282"/>
      <c r="O108" s="1283"/>
      <c r="P108" s="1279"/>
      <c r="Q108" s="1280"/>
      <c r="R108" s="1280"/>
      <c r="S108" s="1281"/>
      <c r="T108" s="274">
        <f t="shared" si="50"/>
        <v>0</v>
      </c>
      <c r="U108" s="435">
        <f>IF(AND(W108&gt;=$U$1,W108&lt;=$U$2),IF(X108='ESTRATTO CONTO'!$E$2,1+COUNTIF(U$4:U107,"&gt;0"),0),0)</f>
        <v>0</v>
      </c>
      <c r="V108" s="417">
        <f t="shared" si="40"/>
        <v>105</v>
      </c>
      <c r="W108" s="509"/>
      <c r="X108" s="321"/>
      <c r="Y108" s="321"/>
      <c r="Z108" s="433"/>
      <c r="AA108" s="918">
        <f t="shared" si="31"/>
        <v>1</v>
      </c>
      <c r="AB108" s="306" t="str">
        <f t="shared" si="32"/>
        <v/>
      </c>
      <c r="AC108" s="788"/>
      <c r="AD108" s="119">
        <f t="shared" si="53"/>
        <v>0</v>
      </c>
      <c r="AE108" s="108">
        <f t="shared" si="53"/>
        <v>0</v>
      </c>
      <c r="AF108" s="108">
        <f t="shared" si="53"/>
        <v>0</v>
      </c>
      <c r="AG108" s="108"/>
      <c r="AH108" s="108"/>
      <c r="AI108" s="108"/>
      <c r="AJ108" s="108"/>
      <c r="AK108" s="108"/>
      <c r="AL108" s="108">
        <f t="shared" si="33"/>
        <v>0</v>
      </c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20">
        <f t="shared" si="34"/>
        <v>0</v>
      </c>
      <c r="CL108" s="122">
        <f t="shared" si="35"/>
        <v>0</v>
      </c>
      <c r="CM108" s="524" t="str">
        <f t="shared" si="37"/>
        <v/>
      </c>
      <c r="CN108" s="526">
        <f t="shared" si="38"/>
        <v>0</v>
      </c>
      <c r="CO108" s="122">
        <f t="shared" si="39"/>
        <v>0</v>
      </c>
      <c r="CP108" s="45" t="str">
        <f t="shared" si="36"/>
        <v>1 - in MILLESIMI   I</v>
      </c>
      <c r="CQ108" s="1053">
        <f t="shared" si="51"/>
        <v>1</v>
      </c>
    </row>
    <row r="109" spans="1:95" ht="16.5" customHeight="1">
      <c r="A109" s="641">
        <f t="shared" si="47"/>
        <v>10</v>
      </c>
      <c r="B109" s="274">
        <f t="shared" ca="1" si="45"/>
        <v>0</v>
      </c>
      <c r="C109" s="274">
        <f>IF(ISERROR(E109),0,IF(AND(E109&gt;=$U$1,E109&lt;=$U$2),IF(B$78='ESTRATTO CONTO'!$E$2,1+COUNTIF(C$89:C108,"&gt;0"),0),0))</f>
        <v>0</v>
      </c>
      <c r="D109" s="27">
        <v>21</v>
      </c>
      <c r="E109" s="41">
        <f t="shared" si="46"/>
        <v>45572</v>
      </c>
      <c r="F109" s="323"/>
      <c r="G109" s="436">
        <f t="shared" ca="1" si="52"/>
        <v>0</v>
      </c>
      <c r="H109" s="728"/>
      <c r="I109" s="1268"/>
      <c r="J109" s="1269"/>
      <c r="K109" s="1269"/>
      <c r="L109" s="729">
        <f t="shared" ca="1" si="48"/>
        <v>0</v>
      </c>
      <c r="M109" s="274" t="str">
        <f t="shared" si="49"/>
        <v/>
      </c>
      <c r="N109" s="1282"/>
      <c r="O109" s="1283"/>
      <c r="P109" s="1279"/>
      <c r="Q109" s="1280"/>
      <c r="R109" s="1280"/>
      <c r="S109" s="1281"/>
      <c r="T109" s="274">
        <f t="shared" si="50"/>
        <v>0</v>
      </c>
      <c r="U109" s="435">
        <f>IF(AND(W109&gt;=$U$1,W109&lt;=$U$2),IF(X109='ESTRATTO CONTO'!$E$2,1+COUNTIF(U$4:U108,"&gt;0"),0),0)</f>
        <v>0</v>
      </c>
      <c r="V109" s="417">
        <f t="shared" si="40"/>
        <v>106</v>
      </c>
      <c r="W109" s="509"/>
      <c r="X109" s="321"/>
      <c r="Y109" s="321"/>
      <c r="Z109" s="433"/>
      <c r="AA109" s="918">
        <f t="shared" si="31"/>
        <v>1</v>
      </c>
      <c r="AB109" s="306" t="str">
        <f t="shared" si="32"/>
        <v/>
      </c>
      <c r="AC109" s="788"/>
      <c r="AD109" s="119">
        <f t="shared" si="53"/>
        <v>0</v>
      </c>
      <c r="AE109" s="108">
        <f t="shared" si="53"/>
        <v>0</v>
      </c>
      <c r="AF109" s="108">
        <f t="shared" si="53"/>
        <v>0</v>
      </c>
      <c r="AG109" s="108"/>
      <c r="AH109" s="108"/>
      <c r="AI109" s="108"/>
      <c r="AJ109" s="108"/>
      <c r="AK109" s="108"/>
      <c r="AL109" s="108">
        <f t="shared" si="33"/>
        <v>0</v>
      </c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20">
        <f t="shared" si="34"/>
        <v>0</v>
      </c>
      <c r="CL109" s="122">
        <f t="shared" si="35"/>
        <v>0</v>
      </c>
      <c r="CM109" s="524" t="str">
        <f t="shared" si="37"/>
        <v/>
      </c>
      <c r="CN109" s="526">
        <f t="shared" si="38"/>
        <v>0</v>
      </c>
      <c r="CO109" s="122">
        <f t="shared" si="39"/>
        <v>0</v>
      </c>
      <c r="CP109" s="45" t="str">
        <f t="shared" si="36"/>
        <v>1 - in MILLESIMI   I</v>
      </c>
      <c r="CQ109" s="1053">
        <f t="shared" si="51"/>
        <v>1</v>
      </c>
    </row>
    <row r="110" spans="1:95" ht="16.5" customHeight="1">
      <c r="A110" s="641">
        <f t="shared" si="47"/>
        <v>10</v>
      </c>
      <c r="B110" s="274">
        <f t="shared" ca="1" si="45"/>
        <v>0</v>
      </c>
      <c r="C110" s="274">
        <f>IF(ISERROR(E110),0,IF(AND(E110&gt;=$U$1,E110&lt;=$U$2),IF(B$78='ESTRATTO CONTO'!$E$2,1+COUNTIF(C$89:C109,"&gt;0"),0),0))</f>
        <v>0</v>
      </c>
      <c r="D110" s="27">
        <v>22</v>
      </c>
      <c r="E110" s="41">
        <f t="shared" si="46"/>
        <v>45586</v>
      </c>
      <c r="F110" s="323"/>
      <c r="G110" s="436">
        <f t="shared" ca="1" si="52"/>
        <v>0</v>
      </c>
      <c r="H110" s="728"/>
      <c r="I110" s="1268"/>
      <c r="J110" s="1269"/>
      <c r="K110" s="1269"/>
      <c r="L110" s="729">
        <f t="shared" ca="1" si="48"/>
        <v>0</v>
      </c>
      <c r="M110" s="274" t="str">
        <f t="shared" si="49"/>
        <v/>
      </c>
      <c r="N110" s="1282"/>
      <c r="O110" s="1283"/>
      <c r="P110" s="1279"/>
      <c r="Q110" s="1280"/>
      <c r="R110" s="1280"/>
      <c r="S110" s="1281"/>
      <c r="T110" s="274">
        <f t="shared" si="50"/>
        <v>0</v>
      </c>
      <c r="U110" s="435">
        <f>IF(AND(W110&gt;=$U$1,W110&lt;=$U$2),IF(X110='ESTRATTO CONTO'!$E$2,1+COUNTIF(U$4:U109,"&gt;0"),0),0)</f>
        <v>0</v>
      </c>
      <c r="V110" s="417">
        <f t="shared" si="40"/>
        <v>107</v>
      </c>
      <c r="W110" s="509"/>
      <c r="X110" s="321"/>
      <c r="Y110" s="321"/>
      <c r="Z110" s="433"/>
      <c r="AA110" s="918">
        <f t="shared" si="31"/>
        <v>1</v>
      </c>
      <c r="AB110" s="306" t="str">
        <f t="shared" si="32"/>
        <v/>
      </c>
      <c r="AC110" s="788"/>
      <c r="AD110" s="119">
        <f t="shared" si="53"/>
        <v>0</v>
      </c>
      <c r="AE110" s="108">
        <f t="shared" si="53"/>
        <v>0</v>
      </c>
      <c r="AF110" s="108">
        <f t="shared" si="53"/>
        <v>0</v>
      </c>
      <c r="AG110" s="108"/>
      <c r="AH110" s="108"/>
      <c r="AI110" s="108"/>
      <c r="AJ110" s="108"/>
      <c r="AK110" s="108"/>
      <c r="AL110" s="108">
        <f t="shared" si="33"/>
        <v>0</v>
      </c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20">
        <f t="shared" si="34"/>
        <v>0</v>
      </c>
      <c r="CL110" s="122">
        <f t="shared" si="35"/>
        <v>0</v>
      </c>
      <c r="CM110" s="524" t="str">
        <f t="shared" si="37"/>
        <v/>
      </c>
      <c r="CN110" s="526">
        <f t="shared" si="38"/>
        <v>0</v>
      </c>
      <c r="CO110" s="122">
        <f t="shared" si="39"/>
        <v>0</v>
      </c>
      <c r="CP110" s="45" t="str">
        <f t="shared" si="36"/>
        <v>1 - in MILLESIMI   I</v>
      </c>
      <c r="CQ110" s="1053">
        <f t="shared" si="51"/>
        <v>1</v>
      </c>
    </row>
    <row r="111" spans="1:95" ht="16.5" customHeight="1">
      <c r="A111" s="641">
        <f t="shared" si="47"/>
        <v>11</v>
      </c>
      <c r="B111" s="274">
        <f t="shared" ca="1" si="45"/>
        <v>0</v>
      </c>
      <c r="C111" s="274">
        <f>IF(ISERROR(E111),0,IF(AND(E111&gt;=$U$1,E111&lt;=$U$2),IF(B$78='ESTRATTO CONTO'!$E$2,1+COUNTIF(C$89:C110,"&gt;0"),0),0))</f>
        <v>0</v>
      </c>
      <c r="D111" s="27">
        <v>23</v>
      </c>
      <c r="E111" s="41">
        <f t="shared" si="46"/>
        <v>45600</v>
      </c>
      <c r="F111" s="323"/>
      <c r="G111" s="436">
        <f t="shared" ca="1" si="52"/>
        <v>0</v>
      </c>
      <c r="H111" s="728"/>
      <c r="I111" s="1268"/>
      <c r="J111" s="1269"/>
      <c r="K111" s="1269"/>
      <c r="L111" s="729">
        <f t="shared" ca="1" si="48"/>
        <v>0</v>
      </c>
      <c r="M111" s="274" t="str">
        <f t="shared" si="49"/>
        <v/>
      </c>
      <c r="N111" s="1282"/>
      <c r="O111" s="1283"/>
      <c r="P111" s="1279"/>
      <c r="Q111" s="1280"/>
      <c r="R111" s="1280"/>
      <c r="S111" s="1281"/>
      <c r="T111" s="274">
        <f t="shared" si="50"/>
        <v>0</v>
      </c>
      <c r="U111" s="435">
        <f>IF(AND(W111&gt;=$U$1,W111&lt;=$U$2),IF(X111='ESTRATTO CONTO'!$E$2,1+COUNTIF(U$4:U110,"&gt;0"),0),0)</f>
        <v>0</v>
      </c>
      <c r="V111" s="417">
        <f t="shared" si="40"/>
        <v>108</v>
      </c>
      <c r="W111" s="509"/>
      <c r="X111" s="321"/>
      <c r="Y111" s="321"/>
      <c r="Z111" s="433"/>
      <c r="AA111" s="918">
        <f t="shared" si="31"/>
        <v>1</v>
      </c>
      <c r="AB111" s="306" t="str">
        <f t="shared" si="32"/>
        <v/>
      </c>
      <c r="AC111" s="788"/>
      <c r="AD111" s="119">
        <f t="shared" si="53"/>
        <v>0</v>
      </c>
      <c r="AE111" s="108">
        <f t="shared" si="53"/>
        <v>0</v>
      </c>
      <c r="AF111" s="108">
        <f t="shared" si="53"/>
        <v>0</v>
      </c>
      <c r="AG111" s="108"/>
      <c r="AH111" s="108"/>
      <c r="AI111" s="108"/>
      <c r="AJ111" s="108"/>
      <c r="AK111" s="108"/>
      <c r="AL111" s="108">
        <f t="shared" si="33"/>
        <v>0</v>
      </c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20">
        <f t="shared" si="34"/>
        <v>0</v>
      </c>
      <c r="CL111" s="122">
        <f t="shared" si="35"/>
        <v>0</v>
      </c>
      <c r="CM111" s="524" t="str">
        <f t="shared" si="37"/>
        <v/>
      </c>
      <c r="CN111" s="526">
        <f t="shared" si="38"/>
        <v>0</v>
      </c>
      <c r="CO111" s="122">
        <f t="shared" si="39"/>
        <v>0</v>
      </c>
      <c r="CP111" s="45" t="str">
        <f t="shared" si="36"/>
        <v>1 - in MILLESIMI   I</v>
      </c>
      <c r="CQ111" s="1053">
        <f t="shared" si="51"/>
        <v>1</v>
      </c>
    </row>
    <row r="112" spans="1:95" ht="16.5" customHeight="1">
      <c r="A112" s="641">
        <f t="shared" si="47"/>
        <v>11</v>
      </c>
      <c r="B112" s="274">
        <f t="shared" ca="1" si="45"/>
        <v>0</v>
      </c>
      <c r="C112" s="274">
        <f>IF(ISERROR(E112),0,IF(AND(E112&gt;=$U$1,E112&lt;=$U$2),IF(B$78='ESTRATTO CONTO'!$E$2,1+COUNTIF(C$89:C111,"&gt;0"),0),0))</f>
        <v>0</v>
      </c>
      <c r="D112" s="27">
        <v>24</v>
      </c>
      <c r="E112" s="41">
        <f t="shared" si="46"/>
        <v>45614</v>
      </c>
      <c r="F112" s="323"/>
      <c r="G112" s="436">
        <f t="shared" ca="1" si="52"/>
        <v>0</v>
      </c>
      <c r="H112" s="728"/>
      <c r="I112" s="1268"/>
      <c r="J112" s="1269"/>
      <c r="K112" s="1269"/>
      <c r="L112" s="729">
        <f t="shared" ca="1" si="48"/>
        <v>0</v>
      </c>
      <c r="M112" s="274" t="str">
        <f t="shared" si="49"/>
        <v/>
      </c>
      <c r="N112" s="1282"/>
      <c r="O112" s="1283"/>
      <c r="P112" s="1279"/>
      <c r="Q112" s="1280"/>
      <c r="R112" s="1280"/>
      <c r="S112" s="1281"/>
      <c r="T112" s="274">
        <f t="shared" si="50"/>
        <v>0</v>
      </c>
      <c r="U112" s="435">
        <f>IF(AND(W112&gt;=$U$1,W112&lt;=$U$2),IF(X112='ESTRATTO CONTO'!$E$2,1+COUNTIF(U$4:U111,"&gt;0"),0),0)</f>
        <v>0</v>
      </c>
      <c r="V112" s="417">
        <f t="shared" si="40"/>
        <v>109</v>
      </c>
      <c r="W112" s="509"/>
      <c r="X112" s="321"/>
      <c r="Y112" s="321"/>
      <c r="Z112" s="433"/>
      <c r="AA112" s="918">
        <f t="shared" si="31"/>
        <v>1</v>
      </c>
      <c r="AB112" s="306" t="str">
        <f t="shared" si="32"/>
        <v/>
      </c>
      <c r="AC112" s="788"/>
      <c r="AD112" s="119">
        <f t="shared" si="53"/>
        <v>0</v>
      </c>
      <c r="AE112" s="108">
        <f t="shared" si="53"/>
        <v>0</v>
      </c>
      <c r="AF112" s="108">
        <f t="shared" si="53"/>
        <v>0</v>
      </c>
      <c r="AG112" s="108"/>
      <c r="AH112" s="108"/>
      <c r="AI112" s="108"/>
      <c r="AJ112" s="108"/>
      <c r="AK112" s="108"/>
      <c r="AL112" s="108">
        <f t="shared" si="33"/>
        <v>0</v>
      </c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20">
        <f t="shared" si="34"/>
        <v>0</v>
      </c>
      <c r="CL112" s="122">
        <f t="shared" si="35"/>
        <v>0</v>
      </c>
      <c r="CM112" s="524" t="str">
        <f t="shared" si="37"/>
        <v/>
      </c>
      <c r="CN112" s="526">
        <f t="shared" si="38"/>
        <v>0</v>
      </c>
      <c r="CO112" s="122">
        <f t="shared" si="39"/>
        <v>0</v>
      </c>
      <c r="CP112" s="45" t="str">
        <f t="shared" si="36"/>
        <v>1 - in MILLESIMI   I</v>
      </c>
      <c r="CQ112" s="1053">
        <f t="shared" si="51"/>
        <v>1</v>
      </c>
    </row>
    <row r="113" spans="1:95" ht="16.5" customHeight="1">
      <c r="A113" s="641">
        <f t="shared" si="47"/>
        <v>12</v>
      </c>
      <c r="B113" s="274">
        <f t="shared" ca="1" si="45"/>
        <v>0</v>
      </c>
      <c r="C113" s="274">
        <f>IF(ISERROR(E113),0,IF(AND(E113&gt;=$U$1,E113&lt;=$U$2),IF(B$78='ESTRATTO CONTO'!$E$2,1+COUNTIF(C$89:C112,"&gt;0"),0),0))</f>
        <v>0</v>
      </c>
      <c r="D113" s="27">
        <v>25</v>
      </c>
      <c r="E113" s="41">
        <f t="shared" si="46"/>
        <v>45628</v>
      </c>
      <c r="F113" s="323"/>
      <c r="G113" s="436">
        <f t="shared" ca="1" si="52"/>
        <v>0</v>
      </c>
      <c r="H113" s="728"/>
      <c r="I113" s="1268"/>
      <c r="J113" s="1269"/>
      <c r="K113" s="1269"/>
      <c r="L113" s="729">
        <f t="shared" ca="1" si="48"/>
        <v>0</v>
      </c>
      <c r="M113" s="274" t="str">
        <f t="shared" si="49"/>
        <v/>
      </c>
      <c r="N113" s="1282"/>
      <c r="O113" s="1283"/>
      <c r="P113" s="1279"/>
      <c r="Q113" s="1280"/>
      <c r="R113" s="1280"/>
      <c r="S113" s="1281"/>
      <c r="T113" s="274">
        <f t="shared" si="50"/>
        <v>0</v>
      </c>
      <c r="U113" s="435">
        <f>IF(AND(W113&gt;=$U$1,W113&lt;=$U$2),IF(X113='ESTRATTO CONTO'!$E$2,1+COUNTIF(U$4:U112,"&gt;0"),0),0)</f>
        <v>0</v>
      </c>
      <c r="V113" s="417">
        <f t="shared" si="40"/>
        <v>110</v>
      </c>
      <c r="W113" s="509"/>
      <c r="X113" s="321"/>
      <c r="Y113" s="321"/>
      <c r="Z113" s="433"/>
      <c r="AA113" s="918">
        <f t="shared" si="31"/>
        <v>1</v>
      </c>
      <c r="AB113" s="306" t="str">
        <f t="shared" si="32"/>
        <v/>
      </c>
      <c r="AC113" s="788"/>
      <c r="AD113" s="119">
        <f t="shared" si="53"/>
        <v>0</v>
      </c>
      <c r="AE113" s="108">
        <f t="shared" si="53"/>
        <v>0</v>
      </c>
      <c r="AF113" s="108">
        <f t="shared" si="53"/>
        <v>0</v>
      </c>
      <c r="AG113" s="108"/>
      <c r="AH113" s="108"/>
      <c r="AI113" s="108"/>
      <c r="AJ113" s="108"/>
      <c r="AK113" s="108"/>
      <c r="AL113" s="108">
        <f t="shared" si="33"/>
        <v>0</v>
      </c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20">
        <f t="shared" si="34"/>
        <v>0</v>
      </c>
      <c r="CL113" s="122">
        <f t="shared" si="35"/>
        <v>0</v>
      </c>
      <c r="CM113" s="524" t="str">
        <f t="shared" si="37"/>
        <v/>
      </c>
      <c r="CN113" s="526">
        <f t="shared" si="38"/>
        <v>0</v>
      </c>
      <c r="CO113" s="122">
        <f t="shared" si="39"/>
        <v>0</v>
      </c>
      <c r="CP113" s="45" t="str">
        <f t="shared" si="36"/>
        <v>1 - in MILLESIMI   I</v>
      </c>
      <c r="CQ113" s="1053">
        <f t="shared" si="51"/>
        <v>1</v>
      </c>
    </row>
    <row r="114" spans="1:95" ht="16.5" customHeight="1">
      <c r="A114" s="641">
        <f t="shared" si="47"/>
        <v>12</v>
      </c>
      <c r="B114" s="274">
        <f t="shared" ca="1" si="45"/>
        <v>0</v>
      </c>
      <c r="C114" s="274">
        <f>IF(ISERROR(E114),0,IF(AND(E114&gt;=$U$1,E114&lt;=$U$2),IF(B$78='ESTRATTO CONTO'!$E$2,1+COUNTIF(C$89:C113,"&gt;0"),0),0))</f>
        <v>0</v>
      </c>
      <c r="D114" s="27">
        <v>26</v>
      </c>
      <c r="E114" s="41">
        <f t="shared" si="46"/>
        <v>45642</v>
      </c>
      <c r="F114" s="323"/>
      <c r="G114" s="436">
        <f t="shared" ca="1" si="52"/>
        <v>0</v>
      </c>
      <c r="H114" s="728"/>
      <c r="I114" s="1268"/>
      <c r="J114" s="1269"/>
      <c r="K114" s="1269"/>
      <c r="L114" s="729">
        <f t="shared" ca="1" si="48"/>
        <v>0</v>
      </c>
      <c r="M114" s="27" t="str">
        <f t="shared" si="49"/>
        <v/>
      </c>
      <c r="N114" s="1282"/>
      <c r="O114" s="1283"/>
      <c r="P114" s="1279"/>
      <c r="Q114" s="1280"/>
      <c r="R114" s="1280"/>
      <c r="S114" s="1281"/>
      <c r="T114" s="274">
        <f t="shared" si="50"/>
        <v>0</v>
      </c>
      <c r="U114" s="435">
        <f>IF(AND(W114&gt;=$U$1,W114&lt;=$U$2),IF(X114='ESTRATTO CONTO'!$E$2,1+COUNTIF(U$4:U113,"&gt;0"),0),0)</f>
        <v>0</v>
      </c>
      <c r="V114" s="417">
        <f t="shared" si="40"/>
        <v>111</v>
      </c>
      <c r="W114" s="509"/>
      <c r="X114" s="321"/>
      <c r="Y114" s="321"/>
      <c r="Z114" s="433"/>
      <c r="AA114" s="918">
        <f t="shared" si="31"/>
        <v>1</v>
      </c>
      <c r="AB114" s="306" t="str">
        <f t="shared" si="32"/>
        <v/>
      </c>
      <c r="AC114" s="788"/>
      <c r="AD114" s="119">
        <f t="shared" si="53"/>
        <v>0</v>
      </c>
      <c r="AE114" s="108">
        <f t="shared" si="53"/>
        <v>0</v>
      </c>
      <c r="AF114" s="108">
        <f t="shared" si="53"/>
        <v>0</v>
      </c>
      <c r="AG114" s="108"/>
      <c r="AH114" s="108"/>
      <c r="AI114" s="108"/>
      <c r="AJ114" s="108"/>
      <c r="AK114" s="108"/>
      <c r="AL114" s="108">
        <f t="shared" si="33"/>
        <v>0</v>
      </c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20">
        <f t="shared" si="34"/>
        <v>0</v>
      </c>
      <c r="CL114" s="122">
        <f t="shared" si="35"/>
        <v>0</v>
      </c>
      <c r="CM114" s="524" t="str">
        <f t="shared" si="37"/>
        <v/>
      </c>
      <c r="CN114" s="526">
        <f t="shared" si="38"/>
        <v>0</v>
      </c>
      <c r="CO114" s="122">
        <f t="shared" si="39"/>
        <v>0</v>
      </c>
      <c r="CP114" s="45" t="str">
        <f t="shared" si="36"/>
        <v>1 - in MILLESIMI   I</v>
      </c>
      <c r="CQ114" s="1053">
        <f t="shared" si="51"/>
        <v>1</v>
      </c>
    </row>
    <row r="115" spans="1:95" ht="16.5" customHeight="1">
      <c r="A115" s="641">
        <f t="shared" si="47"/>
        <v>12</v>
      </c>
      <c r="B115" s="274">
        <f t="shared" ca="1" si="45"/>
        <v>0</v>
      </c>
      <c r="C115" s="274">
        <f>IF(ISERROR(E115),0,IF(AND(E115&gt;=$U$1,E115&lt;=$U$2),IF(B$78='ESTRATTO CONTO'!$E$2,1+COUNTIF(C$89:C114,"&gt;0"),0),0))</f>
        <v>0</v>
      </c>
      <c r="D115" s="27">
        <v>27</v>
      </c>
      <c r="E115" s="41">
        <f t="shared" si="46"/>
        <v>45656</v>
      </c>
      <c r="F115" s="323"/>
      <c r="G115" s="436">
        <f t="shared" ca="1" si="52"/>
        <v>0</v>
      </c>
      <c r="H115" s="728"/>
      <c r="I115" s="1268"/>
      <c r="J115" s="1269"/>
      <c r="K115" s="1269"/>
      <c r="L115" s="729">
        <f t="shared" ca="1" si="48"/>
        <v>0</v>
      </c>
      <c r="M115" s="27" t="str">
        <f t="shared" si="49"/>
        <v/>
      </c>
      <c r="N115" s="1282"/>
      <c r="O115" s="1283"/>
      <c r="P115" s="1279"/>
      <c r="Q115" s="1280"/>
      <c r="R115" s="1280"/>
      <c r="S115" s="1281"/>
      <c r="T115" s="274">
        <f t="shared" si="50"/>
        <v>0</v>
      </c>
      <c r="U115" s="435">
        <f>IF(AND(W115&gt;=$U$1,W115&lt;=$U$2),IF(X115='ESTRATTO CONTO'!$E$2,1+COUNTIF(U$4:U114,"&gt;0"),0),0)</f>
        <v>0</v>
      </c>
      <c r="V115" s="417">
        <f t="shared" si="40"/>
        <v>112</v>
      </c>
      <c r="W115" s="509"/>
      <c r="X115" s="321"/>
      <c r="Y115" s="321"/>
      <c r="Z115" s="433"/>
      <c r="AA115" s="918">
        <f t="shared" si="31"/>
        <v>1</v>
      </c>
      <c r="AB115" s="306" t="str">
        <f t="shared" si="32"/>
        <v/>
      </c>
      <c r="AC115" s="788"/>
      <c r="AD115" s="119">
        <f t="shared" si="53"/>
        <v>0</v>
      </c>
      <c r="AE115" s="108">
        <f t="shared" si="53"/>
        <v>0</v>
      </c>
      <c r="AF115" s="108">
        <f t="shared" si="53"/>
        <v>0</v>
      </c>
      <c r="AG115" s="108"/>
      <c r="AH115" s="108"/>
      <c r="AI115" s="108"/>
      <c r="AJ115" s="108"/>
      <c r="AK115" s="108"/>
      <c r="AL115" s="108">
        <f t="shared" si="33"/>
        <v>0</v>
      </c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20">
        <f t="shared" si="34"/>
        <v>0</v>
      </c>
      <c r="CL115" s="122">
        <f t="shared" si="35"/>
        <v>0</v>
      </c>
      <c r="CM115" s="524" t="str">
        <f t="shared" si="37"/>
        <v/>
      </c>
      <c r="CN115" s="526">
        <f t="shared" si="38"/>
        <v>0</v>
      </c>
      <c r="CO115" s="122">
        <f t="shared" si="39"/>
        <v>0</v>
      </c>
      <c r="CP115" s="45" t="str">
        <f t="shared" si="36"/>
        <v>1 - in MILLESIMI   I</v>
      </c>
      <c r="CQ115" s="1053">
        <f t="shared" si="51"/>
        <v>1</v>
      </c>
    </row>
    <row r="116" spans="1:95" ht="16.5" customHeight="1">
      <c r="A116" s="641" t="e">
        <f t="shared" si="47"/>
        <v>#N/A</v>
      </c>
      <c r="B116" s="274">
        <f t="shared" si="45"/>
        <v>0</v>
      </c>
      <c r="C116" s="274">
        <f>IF(ISERROR(E116),0,IF(AND(E116&gt;=$U$1,E116&lt;=$U$2),IF(B$78='ESTRATTO CONTO'!$E$2,1+COUNTIF(C$89:C115,"&gt;0"),0),0))</f>
        <v>0</v>
      </c>
      <c r="D116" s="27">
        <v>28</v>
      </c>
      <c r="E116" s="41" t="e">
        <f t="shared" si="46"/>
        <v>#N/A</v>
      </c>
      <c r="F116" s="323"/>
      <c r="G116" s="436">
        <f t="shared" si="52"/>
        <v>0</v>
      </c>
      <c r="H116" s="728"/>
      <c r="I116" s="1268"/>
      <c r="J116" s="1269"/>
      <c r="K116" s="1269"/>
      <c r="L116" s="729">
        <f t="shared" si="48"/>
        <v>0</v>
      </c>
      <c r="M116" s="27" t="str">
        <f t="shared" si="49"/>
        <v/>
      </c>
      <c r="N116" s="1282"/>
      <c r="O116" s="1283"/>
      <c r="P116" s="1279"/>
      <c r="Q116" s="1280"/>
      <c r="R116" s="1280"/>
      <c r="S116" s="1281"/>
      <c r="T116" s="274">
        <f t="shared" si="50"/>
        <v>0</v>
      </c>
      <c r="U116" s="435">
        <f>IF(AND(W116&gt;=$U$1,W116&lt;=$U$2),IF(X116='ESTRATTO CONTO'!$E$2,1+COUNTIF(U$4:U115,"&gt;0"),0),0)</f>
        <v>0</v>
      </c>
      <c r="V116" s="417">
        <f t="shared" si="40"/>
        <v>113</v>
      </c>
      <c r="W116" s="509"/>
      <c r="X116" s="321"/>
      <c r="Y116" s="321"/>
      <c r="Z116" s="433"/>
      <c r="AA116" s="918">
        <f t="shared" si="31"/>
        <v>1</v>
      </c>
      <c r="AB116" s="306" t="str">
        <f t="shared" si="32"/>
        <v/>
      </c>
      <c r="AC116" s="788"/>
      <c r="AD116" s="119">
        <f t="shared" si="53"/>
        <v>0</v>
      </c>
      <c r="AE116" s="108">
        <f t="shared" si="53"/>
        <v>0</v>
      </c>
      <c r="AF116" s="108">
        <f t="shared" si="53"/>
        <v>0</v>
      </c>
      <c r="AG116" s="108"/>
      <c r="AH116" s="108"/>
      <c r="AI116" s="108"/>
      <c r="AJ116" s="108"/>
      <c r="AK116" s="108"/>
      <c r="AL116" s="108">
        <f t="shared" si="33"/>
        <v>0</v>
      </c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20">
        <f t="shared" si="34"/>
        <v>0</v>
      </c>
      <c r="CL116" s="122">
        <f t="shared" si="35"/>
        <v>0</v>
      </c>
      <c r="CM116" s="524" t="str">
        <f t="shared" si="37"/>
        <v/>
      </c>
      <c r="CN116" s="526">
        <f t="shared" si="38"/>
        <v>0</v>
      </c>
      <c r="CO116" s="122">
        <f t="shared" si="39"/>
        <v>0</v>
      </c>
      <c r="CP116" s="45" t="str">
        <f t="shared" si="36"/>
        <v>1 - in MILLESIMI   I</v>
      </c>
      <c r="CQ116" s="1053">
        <f t="shared" si="51"/>
        <v>0</v>
      </c>
    </row>
    <row r="117" spans="1:95" ht="16.5" customHeight="1">
      <c r="A117" s="641" t="e">
        <f t="shared" si="47"/>
        <v>#N/A</v>
      </c>
      <c r="B117" s="274">
        <f t="shared" si="45"/>
        <v>0</v>
      </c>
      <c r="C117" s="274">
        <f>IF(ISERROR(E117),0,IF(AND(E117&gt;=$U$1,E117&lt;=$U$2),IF(B$78='ESTRATTO CONTO'!$E$2,1+COUNTIF(C$89:C116,"&gt;0"),0),0))</f>
        <v>0</v>
      </c>
      <c r="D117" s="27">
        <v>29</v>
      </c>
      <c r="E117" s="41" t="e">
        <f t="shared" si="46"/>
        <v>#N/A</v>
      </c>
      <c r="F117" s="323"/>
      <c r="G117" s="436">
        <f t="shared" si="52"/>
        <v>0</v>
      </c>
      <c r="H117" s="728"/>
      <c r="I117" s="1268"/>
      <c r="J117" s="1269"/>
      <c r="K117" s="1269"/>
      <c r="L117" s="729">
        <f t="shared" si="48"/>
        <v>0</v>
      </c>
      <c r="M117" s="27" t="str">
        <f t="shared" si="49"/>
        <v/>
      </c>
      <c r="N117" s="1282"/>
      <c r="O117" s="1283"/>
      <c r="P117" s="1279"/>
      <c r="Q117" s="1280"/>
      <c r="R117" s="1280"/>
      <c r="S117" s="1281"/>
      <c r="T117" s="274">
        <f t="shared" si="50"/>
        <v>0</v>
      </c>
      <c r="U117" s="435">
        <f>IF(AND(W117&gt;=$U$1,W117&lt;=$U$2),IF(X117='ESTRATTO CONTO'!$E$2,1+COUNTIF(U$4:U116,"&gt;0"),0),0)</f>
        <v>0</v>
      </c>
      <c r="V117" s="417">
        <f t="shared" si="40"/>
        <v>114</v>
      </c>
      <c r="W117" s="509"/>
      <c r="X117" s="321"/>
      <c r="Y117" s="321"/>
      <c r="Z117" s="433"/>
      <c r="AA117" s="918">
        <f t="shared" si="31"/>
        <v>1</v>
      </c>
      <c r="AB117" s="306" t="str">
        <f t="shared" si="32"/>
        <v/>
      </c>
      <c r="AC117" s="788"/>
      <c r="AD117" s="119">
        <f t="shared" si="53"/>
        <v>0</v>
      </c>
      <c r="AE117" s="108">
        <f t="shared" si="53"/>
        <v>0</v>
      </c>
      <c r="AF117" s="108">
        <f t="shared" si="53"/>
        <v>0</v>
      </c>
      <c r="AG117" s="108"/>
      <c r="AH117" s="108"/>
      <c r="AI117" s="108"/>
      <c r="AJ117" s="108"/>
      <c r="AK117" s="108"/>
      <c r="AL117" s="108">
        <f t="shared" si="33"/>
        <v>0</v>
      </c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20">
        <f t="shared" si="34"/>
        <v>0</v>
      </c>
      <c r="CL117" s="122">
        <f t="shared" si="35"/>
        <v>0</v>
      </c>
      <c r="CM117" s="524" t="str">
        <f t="shared" si="37"/>
        <v/>
      </c>
      <c r="CN117" s="526">
        <f t="shared" si="38"/>
        <v>0</v>
      </c>
      <c r="CO117" s="122">
        <f t="shared" si="39"/>
        <v>0</v>
      </c>
      <c r="CP117" s="45" t="str">
        <f t="shared" si="36"/>
        <v>1 - in MILLESIMI   I</v>
      </c>
      <c r="CQ117" s="1053">
        <f t="shared" si="51"/>
        <v>0</v>
      </c>
    </row>
    <row r="118" spans="1:95" ht="16.5" customHeight="1">
      <c r="A118" s="641" t="e">
        <f t="shared" si="47"/>
        <v>#N/A</v>
      </c>
      <c r="B118" s="274">
        <f t="shared" si="45"/>
        <v>0</v>
      </c>
      <c r="C118" s="274">
        <f>IF(ISERROR(E118),0,IF(AND(E118&gt;=$U$1,E118&lt;=$U$2),IF(B$78='ESTRATTO CONTO'!$E$2,1+COUNTIF(C$89:C117,"&gt;0"),0),0))</f>
        <v>0</v>
      </c>
      <c r="D118" s="27">
        <v>30</v>
      </c>
      <c r="E118" s="41" t="e">
        <f t="shared" si="46"/>
        <v>#N/A</v>
      </c>
      <c r="F118" s="323"/>
      <c r="G118" s="436">
        <f t="shared" si="52"/>
        <v>0</v>
      </c>
      <c r="H118" s="728"/>
      <c r="I118" s="1268"/>
      <c r="J118" s="1269"/>
      <c r="K118" s="1269"/>
      <c r="L118" s="729">
        <f t="shared" si="48"/>
        <v>0</v>
      </c>
      <c r="M118" s="27" t="str">
        <f t="shared" si="49"/>
        <v/>
      </c>
      <c r="N118" s="1282"/>
      <c r="O118" s="1283"/>
      <c r="P118" s="1279"/>
      <c r="Q118" s="1280"/>
      <c r="R118" s="1280"/>
      <c r="S118" s="1281"/>
      <c r="T118" s="274">
        <f t="shared" si="50"/>
        <v>0</v>
      </c>
      <c r="U118" s="435">
        <f>IF(AND(W118&gt;=$U$1,W118&lt;=$U$2),IF(X118='ESTRATTO CONTO'!$E$2,1+COUNTIF(U$4:U117,"&gt;0"),0),0)</f>
        <v>0</v>
      </c>
      <c r="V118" s="417">
        <f t="shared" si="40"/>
        <v>115</v>
      </c>
      <c r="W118" s="509"/>
      <c r="X118" s="321"/>
      <c r="Y118" s="321"/>
      <c r="Z118" s="433"/>
      <c r="AA118" s="918">
        <f t="shared" si="31"/>
        <v>1</v>
      </c>
      <c r="AB118" s="306" t="str">
        <f t="shared" si="32"/>
        <v/>
      </c>
      <c r="AC118" s="788"/>
      <c r="AD118" s="119">
        <f t="shared" si="53"/>
        <v>0</v>
      </c>
      <c r="AE118" s="108">
        <f t="shared" si="53"/>
        <v>0</v>
      </c>
      <c r="AF118" s="108">
        <f t="shared" si="53"/>
        <v>0</v>
      </c>
      <c r="AG118" s="108"/>
      <c r="AH118" s="108"/>
      <c r="AI118" s="108"/>
      <c r="AJ118" s="108"/>
      <c r="AK118" s="108"/>
      <c r="AL118" s="108">
        <f t="shared" si="33"/>
        <v>0</v>
      </c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20">
        <f t="shared" si="34"/>
        <v>0</v>
      </c>
      <c r="CL118" s="122">
        <f t="shared" si="35"/>
        <v>0</v>
      </c>
      <c r="CM118" s="524" t="str">
        <f t="shared" si="37"/>
        <v/>
      </c>
      <c r="CN118" s="526">
        <f t="shared" si="38"/>
        <v>0</v>
      </c>
      <c r="CO118" s="122">
        <f t="shared" si="39"/>
        <v>0</v>
      </c>
      <c r="CP118" s="45" t="str">
        <f t="shared" si="36"/>
        <v>1 - in MILLESIMI   I</v>
      </c>
      <c r="CQ118" s="1053">
        <f t="shared" si="51"/>
        <v>0</v>
      </c>
    </row>
    <row r="119" spans="1:95" ht="16.5" customHeight="1">
      <c r="A119" s="641" t="e">
        <f t="shared" si="47"/>
        <v>#N/A</v>
      </c>
      <c r="B119" s="274">
        <f t="shared" si="45"/>
        <v>0</v>
      </c>
      <c r="C119" s="274">
        <f>IF(ISERROR(E119),0,IF(AND(E119&gt;=$U$1,E119&lt;=$U$2),IF(B$78='ESTRATTO CONTO'!$E$2,1+COUNTIF(C$89:C118,"&gt;0"),0),0))</f>
        <v>0</v>
      </c>
      <c r="D119" s="27">
        <v>31</v>
      </c>
      <c r="E119" s="41" t="e">
        <f t="shared" si="46"/>
        <v>#N/A</v>
      </c>
      <c r="F119" s="323"/>
      <c r="G119" s="436">
        <f t="shared" si="52"/>
        <v>0</v>
      </c>
      <c r="H119" s="728"/>
      <c r="I119" s="1268"/>
      <c r="J119" s="1269"/>
      <c r="K119" s="1269"/>
      <c r="L119" s="729">
        <f t="shared" si="48"/>
        <v>0</v>
      </c>
      <c r="M119" s="27" t="str">
        <f t="shared" si="49"/>
        <v/>
      </c>
      <c r="N119" s="1282"/>
      <c r="O119" s="1283"/>
      <c r="P119" s="1279"/>
      <c r="Q119" s="1280"/>
      <c r="R119" s="1280"/>
      <c r="S119" s="1281"/>
      <c r="T119" s="274">
        <f t="shared" si="50"/>
        <v>0</v>
      </c>
      <c r="U119" s="435">
        <f>IF(AND(W119&gt;=$U$1,W119&lt;=$U$2),IF(X119='ESTRATTO CONTO'!$E$2,1+COUNTIF(U$4:U118,"&gt;0"),0),0)</f>
        <v>0</v>
      </c>
      <c r="V119" s="417">
        <f t="shared" si="40"/>
        <v>116</v>
      </c>
      <c r="W119" s="509"/>
      <c r="X119" s="321"/>
      <c r="Y119" s="321"/>
      <c r="Z119" s="433"/>
      <c r="AA119" s="918">
        <f t="shared" si="31"/>
        <v>1</v>
      </c>
      <c r="AB119" s="306" t="str">
        <f t="shared" si="32"/>
        <v/>
      </c>
      <c r="AC119" s="788"/>
      <c r="AD119" s="119">
        <f t="shared" si="53"/>
        <v>0</v>
      </c>
      <c r="AE119" s="108">
        <f t="shared" si="53"/>
        <v>0</v>
      </c>
      <c r="AF119" s="108">
        <f t="shared" si="53"/>
        <v>0</v>
      </c>
      <c r="AG119" s="108"/>
      <c r="AH119" s="108"/>
      <c r="AI119" s="108"/>
      <c r="AJ119" s="108"/>
      <c r="AK119" s="108"/>
      <c r="AL119" s="108">
        <f t="shared" si="33"/>
        <v>0</v>
      </c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20">
        <f t="shared" si="34"/>
        <v>0</v>
      </c>
      <c r="CL119" s="122">
        <f t="shared" si="35"/>
        <v>0</v>
      </c>
      <c r="CM119" s="524" t="str">
        <f t="shared" si="37"/>
        <v/>
      </c>
      <c r="CN119" s="526">
        <f t="shared" si="38"/>
        <v>0</v>
      </c>
      <c r="CO119" s="122">
        <f t="shared" si="39"/>
        <v>0</v>
      </c>
      <c r="CP119" s="45" t="str">
        <f t="shared" si="36"/>
        <v>1 - in MILLESIMI   I</v>
      </c>
      <c r="CQ119" s="1053">
        <f t="shared" si="51"/>
        <v>0</v>
      </c>
    </row>
    <row r="120" spans="1:95" ht="16.5" customHeight="1">
      <c r="A120" s="641" t="e">
        <f t="shared" si="47"/>
        <v>#N/A</v>
      </c>
      <c r="B120" s="274">
        <f t="shared" si="45"/>
        <v>0</v>
      </c>
      <c r="C120" s="274">
        <f>IF(ISERROR(E120),0,IF(AND(E120&gt;=$U$1,E120&lt;=$U$2),IF(B$78='ESTRATTO CONTO'!$E$2,1+COUNTIF(C$89:C119,"&gt;0"),0),0))</f>
        <v>0</v>
      </c>
      <c r="D120" s="27">
        <v>32</v>
      </c>
      <c r="E120" s="41" t="e">
        <f t="shared" si="46"/>
        <v>#N/A</v>
      </c>
      <c r="F120" s="323"/>
      <c r="G120" s="436">
        <f t="shared" si="52"/>
        <v>0</v>
      </c>
      <c r="H120" s="728"/>
      <c r="I120" s="1268"/>
      <c r="J120" s="1269"/>
      <c r="K120" s="1269"/>
      <c r="L120" s="729">
        <f t="shared" si="48"/>
        <v>0</v>
      </c>
      <c r="M120" s="27" t="str">
        <f t="shared" si="49"/>
        <v/>
      </c>
      <c r="N120" s="1282"/>
      <c r="O120" s="1283"/>
      <c r="P120" s="1279"/>
      <c r="Q120" s="1280"/>
      <c r="R120" s="1280"/>
      <c r="S120" s="1281"/>
      <c r="T120" s="274">
        <f t="shared" si="50"/>
        <v>0</v>
      </c>
      <c r="U120" s="435">
        <f>IF(AND(W120&gt;=$U$1,W120&lt;=$U$2),IF(X120='ESTRATTO CONTO'!$E$2,1+COUNTIF(U$4:U119,"&gt;0"),0),0)</f>
        <v>0</v>
      </c>
      <c r="V120" s="417">
        <f t="shared" si="40"/>
        <v>117</v>
      </c>
      <c r="W120" s="509"/>
      <c r="X120" s="321"/>
      <c r="Y120" s="321"/>
      <c r="Z120" s="433"/>
      <c r="AA120" s="918">
        <f t="shared" si="31"/>
        <v>1</v>
      </c>
      <c r="AB120" s="306" t="str">
        <f t="shared" si="32"/>
        <v/>
      </c>
      <c r="AC120" s="788"/>
      <c r="AD120" s="119">
        <f t="shared" si="53"/>
        <v>0</v>
      </c>
      <c r="AE120" s="108">
        <f t="shared" si="53"/>
        <v>0</v>
      </c>
      <c r="AF120" s="108">
        <f t="shared" si="53"/>
        <v>0</v>
      </c>
      <c r="AG120" s="108"/>
      <c r="AH120" s="108"/>
      <c r="AI120" s="108"/>
      <c r="AJ120" s="108"/>
      <c r="AK120" s="108"/>
      <c r="AL120" s="108">
        <f t="shared" si="33"/>
        <v>0</v>
      </c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20">
        <f t="shared" si="34"/>
        <v>0</v>
      </c>
      <c r="CL120" s="122">
        <f t="shared" si="35"/>
        <v>0</v>
      </c>
      <c r="CM120" s="524" t="str">
        <f t="shared" si="37"/>
        <v/>
      </c>
      <c r="CN120" s="526">
        <f t="shared" si="38"/>
        <v>0</v>
      </c>
      <c r="CO120" s="122">
        <f t="shared" si="39"/>
        <v>0</v>
      </c>
      <c r="CP120" s="45" t="str">
        <f t="shared" si="36"/>
        <v>1 - in MILLESIMI   I</v>
      </c>
      <c r="CQ120" s="1053">
        <f t="shared" si="51"/>
        <v>0</v>
      </c>
    </row>
    <row r="121" spans="1:95" ht="16.5" customHeight="1">
      <c r="A121" s="641" t="e">
        <f t="shared" si="47"/>
        <v>#N/A</v>
      </c>
      <c r="B121" s="274">
        <f t="shared" ref="B121:B140" si="54">IF(ISERROR(E121),0,IF(AND(J$1444=0,OR(E121&lt;W$1438,E121&gt;W$1439)),0,IF(E121&lt;(C$73+1),MONTH(E121),0)))</f>
        <v>0</v>
      </c>
      <c r="C121" s="274">
        <f>IF(ISERROR(E121),0,IF(AND(E121&gt;=$U$1,E121&lt;=$U$2),IF(B$78='ESTRATTO CONTO'!$E$2,1+COUNTIF(C$89:C120,"&gt;0"),0),0))</f>
        <v>0</v>
      </c>
      <c r="D121" s="27">
        <v>33</v>
      </c>
      <c r="E121" s="41" t="e">
        <f t="shared" ref="E121:E140" si="55">VLOOKUP(D121,$Z$1009:$AF$1374,7,FALSE)</f>
        <v>#N/A</v>
      </c>
      <c r="F121" s="323"/>
      <c r="G121" s="436">
        <f t="shared" si="52"/>
        <v>0</v>
      </c>
      <c r="H121" s="728"/>
      <c r="I121" s="1268"/>
      <c r="J121" s="1269"/>
      <c r="K121" s="1269"/>
      <c r="L121" s="729">
        <f t="shared" si="48"/>
        <v>0</v>
      </c>
      <c r="M121" s="27" t="str">
        <f t="shared" si="49"/>
        <v/>
      </c>
      <c r="N121" s="1282"/>
      <c r="O121" s="1283"/>
      <c r="P121" s="1279"/>
      <c r="Q121" s="1280"/>
      <c r="R121" s="1280"/>
      <c r="S121" s="1281"/>
      <c r="T121" s="274">
        <f t="shared" si="50"/>
        <v>0</v>
      </c>
      <c r="U121" s="435">
        <f>IF(AND(W121&gt;=$U$1,W121&lt;=$U$2),IF(X121='ESTRATTO CONTO'!$E$2,1+COUNTIF(U$4:U120,"&gt;0"),0),0)</f>
        <v>0</v>
      </c>
      <c r="V121" s="417">
        <f t="shared" si="40"/>
        <v>118</v>
      </c>
      <c r="W121" s="509"/>
      <c r="X121" s="321"/>
      <c r="Y121" s="321"/>
      <c r="Z121" s="433"/>
      <c r="AA121" s="918">
        <f t="shared" si="31"/>
        <v>1</v>
      </c>
      <c r="AB121" s="306" t="str">
        <f t="shared" si="32"/>
        <v/>
      </c>
      <c r="AC121" s="788"/>
      <c r="AD121" s="119">
        <f t="shared" si="53"/>
        <v>0</v>
      </c>
      <c r="AE121" s="108">
        <f t="shared" si="53"/>
        <v>0</v>
      </c>
      <c r="AF121" s="108">
        <f t="shared" si="53"/>
        <v>0</v>
      </c>
      <c r="AG121" s="108"/>
      <c r="AH121" s="108"/>
      <c r="AI121" s="108"/>
      <c r="AJ121" s="108"/>
      <c r="AK121" s="108"/>
      <c r="AL121" s="108">
        <f t="shared" si="33"/>
        <v>0</v>
      </c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20">
        <f t="shared" si="34"/>
        <v>0</v>
      </c>
      <c r="CL121" s="122">
        <f t="shared" si="35"/>
        <v>0</v>
      </c>
      <c r="CM121" s="524" t="str">
        <f t="shared" si="37"/>
        <v/>
      </c>
      <c r="CN121" s="526">
        <f t="shared" si="38"/>
        <v>0</v>
      </c>
      <c r="CO121" s="122">
        <f t="shared" si="39"/>
        <v>0</v>
      </c>
      <c r="CP121" s="45" t="str">
        <f t="shared" si="36"/>
        <v>1 - in MILLESIMI   I</v>
      </c>
      <c r="CQ121" s="1053">
        <f t="shared" si="51"/>
        <v>0</v>
      </c>
    </row>
    <row r="122" spans="1:95" ht="16.5" customHeight="1">
      <c r="A122" s="641" t="e">
        <f t="shared" si="47"/>
        <v>#N/A</v>
      </c>
      <c r="B122" s="274">
        <f t="shared" si="54"/>
        <v>0</v>
      </c>
      <c r="C122" s="274">
        <f>IF(ISERROR(E122),0,IF(AND(E122&gt;=$U$1,E122&lt;=$U$2),IF(B$78='ESTRATTO CONTO'!$E$2,1+COUNTIF(C$89:C121,"&gt;0"),0),0))</f>
        <v>0</v>
      </c>
      <c r="D122" s="27">
        <v>34</v>
      </c>
      <c r="E122" s="41" t="e">
        <f t="shared" si="55"/>
        <v>#N/A</v>
      </c>
      <c r="F122" s="323"/>
      <c r="G122" s="436">
        <f t="shared" si="52"/>
        <v>0</v>
      </c>
      <c r="H122" s="728"/>
      <c r="I122" s="1268"/>
      <c r="J122" s="1269"/>
      <c r="K122" s="1269"/>
      <c r="L122" s="729">
        <f t="shared" si="48"/>
        <v>0</v>
      </c>
      <c r="M122" s="27" t="str">
        <f t="shared" si="49"/>
        <v/>
      </c>
      <c r="N122" s="1282"/>
      <c r="O122" s="1283"/>
      <c r="P122" s="1279"/>
      <c r="Q122" s="1280"/>
      <c r="R122" s="1280"/>
      <c r="S122" s="1281"/>
      <c r="T122" s="274">
        <f t="shared" si="50"/>
        <v>0</v>
      </c>
      <c r="U122" s="435">
        <f>IF(AND(W122&gt;=$U$1,W122&lt;=$U$2),IF(X122='ESTRATTO CONTO'!$E$2,1+COUNTIF(U$4:U121,"&gt;0"),0),0)</f>
        <v>0</v>
      </c>
      <c r="V122" s="417">
        <f t="shared" si="40"/>
        <v>119</v>
      </c>
      <c r="W122" s="509"/>
      <c r="X122" s="321"/>
      <c r="Y122" s="321"/>
      <c r="Z122" s="433"/>
      <c r="AA122" s="918">
        <f t="shared" si="31"/>
        <v>1</v>
      </c>
      <c r="AB122" s="306" t="str">
        <f t="shared" si="32"/>
        <v/>
      </c>
      <c r="AC122" s="788"/>
      <c r="AD122" s="119">
        <f t="shared" si="53"/>
        <v>0</v>
      </c>
      <c r="AE122" s="108">
        <f t="shared" si="53"/>
        <v>0</v>
      </c>
      <c r="AF122" s="108">
        <f t="shared" si="53"/>
        <v>0</v>
      </c>
      <c r="AG122" s="108"/>
      <c r="AH122" s="108"/>
      <c r="AI122" s="108"/>
      <c r="AJ122" s="108"/>
      <c r="AK122" s="108"/>
      <c r="AL122" s="108">
        <f t="shared" si="33"/>
        <v>0</v>
      </c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20">
        <f t="shared" si="34"/>
        <v>0</v>
      </c>
      <c r="CL122" s="122">
        <f t="shared" si="35"/>
        <v>0</v>
      </c>
      <c r="CM122" s="524" t="str">
        <f t="shared" si="37"/>
        <v/>
      </c>
      <c r="CN122" s="526">
        <f t="shared" si="38"/>
        <v>0</v>
      </c>
      <c r="CO122" s="122">
        <f t="shared" si="39"/>
        <v>0</v>
      </c>
      <c r="CP122" s="45" t="str">
        <f t="shared" si="36"/>
        <v>1 - in MILLESIMI   I</v>
      </c>
      <c r="CQ122" s="1053">
        <f t="shared" si="51"/>
        <v>0</v>
      </c>
    </row>
    <row r="123" spans="1:95" ht="16.5" customHeight="1">
      <c r="A123" s="641" t="e">
        <f t="shared" si="47"/>
        <v>#N/A</v>
      </c>
      <c r="B123" s="274">
        <f t="shared" si="54"/>
        <v>0</v>
      </c>
      <c r="C123" s="274">
        <f>IF(ISERROR(E123),0,IF(AND(E123&gt;=$U$1,E123&lt;=$U$2),IF(B$78='ESTRATTO CONTO'!$E$2,1+COUNTIF(C$89:C122,"&gt;0"),0),0))</f>
        <v>0</v>
      </c>
      <c r="D123" s="27">
        <v>35</v>
      </c>
      <c r="E123" s="41" t="e">
        <f t="shared" si="55"/>
        <v>#N/A</v>
      </c>
      <c r="F123" s="323"/>
      <c r="G123" s="436">
        <f t="shared" si="52"/>
        <v>0</v>
      </c>
      <c r="H123" s="728"/>
      <c r="I123" s="1268"/>
      <c r="J123" s="1269"/>
      <c r="K123" s="1269"/>
      <c r="L123" s="729">
        <f t="shared" si="48"/>
        <v>0</v>
      </c>
      <c r="M123" s="27" t="str">
        <f t="shared" si="49"/>
        <v/>
      </c>
      <c r="N123" s="1282"/>
      <c r="O123" s="1283"/>
      <c r="P123" s="1279"/>
      <c r="Q123" s="1280"/>
      <c r="R123" s="1280"/>
      <c r="S123" s="1281"/>
      <c r="T123" s="274">
        <f t="shared" si="50"/>
        <v>0</v>
      </c>
      <c r="U123" s="435">
        <f>IF(AND(W123&gt;=$U$1,W123&lt;=$U$2),IF(X123='ESTRATTO CONTO'!$E$2,1+COUNTIF(U$4:U122,"&gt;0"),0),0)</f>
        <v>0</v>
      </c>
      <c r="V123" s="417">
        <f t="shared" si="40"/>
        <v>120</v>
      </c>
      <c r="W123" s="509"/>
      <c r="X123" s="321"/>
      <c r="Y123" s="321"/>
      <c r="Z123" s="433"/>
      <c r="AA123" s="918">
        <f t="shared" si="31"/>
        <v>1</v>
      </c>
      <c r="AB123" s="306" t="str">
        <f t="shared" si="32"/>
        <v/>
      </c>
      <c r="AC123" s="788"/>
      <c r="AD123" s="119">
        <f t="shared" si="53"/>
        <v>0</v>
      </c>
      <c r="AE123" s="108">
        <f t="shared" si="53"/>
        <v>0</v>
      </c>
      <c r="AF123" s="108">
        <f t="shared" si="53"/>
        <v>0</v>
      </c>
      <c r="AG123" s="108"/>
      <c r="AH123" s="108"/>
      <c r="AI123" s="108"/>
      <c r="AJ123" s="108"/>
      <c r="AK123" s="108"/>
      <c r="AL123" s="108">
        <f t="shared" si="33"/>
        <v>0</v>
      </c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20">
        <f t="shared" si="34"/>
        <v>0</v>
      </c>
      <c r="CL123" s="122">
        <f t="shared" si="35"/>
        <v>0</v>
      </c>
      <c r="CM123" s="524" t="str">
        <f t="shared" si="37"/>
        <v/>
      </c>
      <c r="CN123" s="526">
        <f t="shared" si="38"/>
        <v>0</v>
      </c>
      <c r="CO123" s="122">
        <f t="shared" si="39"/>
        <v>0</v>
      </c>
      <c r="CP123" s="45" t="str">
        <f t="shared" si="36"/>
        <v>1 - in MILLESIMI   I</v>
      </c>
      <c r="CQ123" s="1053">
        <f t="shared" si="51"/>
        <v>0</v>
      </c>
    </row>
    <row r="124" spans="1:95" ht="16.5" customHeight="1">
      <c r="A124" s="641" t="e">
        <f t="shared" si="47"/>
        <v>#N/A</v>
      </c>
      <c r="B124" s="274">
        <f t="shared" si="54"/>
        <v>0</v>
      </c>
      <c r="C124" s="274">
        <f>IF(ISERROR(E124),0,IF(AND(E124&gt;=$U$1,E124&lt;=$U$2),IF(B$78='ESTRATTO CONTO'!$E$2,1+COUNTIF(C$89:C123,"&gt;0"),0),0))</f>
        <v>0</v>
      </c>
      <c r="D124" s="27">
        <v>36</v>
      </c>
      <c r="E124" s="41" t="e">
        <f t="shared" si="55"/>
        <v>#N/A</v>
      </c>
      <c r="F124" s="323"/>
      <c r="G124" s="436">
        <f t="shared" si="52"/>
        <v>0</v>
      </c>
      <c r="H124" s="728"/>
      <c r="I124" s="1268"/>
      <c r="J124" s="1269"/>
      <c r="K124" s="1269"/>
      <c r="L124" s="729">
        <f t="shared" si="48"/>
        <v>0</v>
      </c>
      <c r="M124" s="27" t="str">
        <f t="shared" si="49"/>
        <v/>
      </c>
      <c r="N124" s="1282"/>
      <c r="O124" s="1283"/>
      <c r="P124" s="1279"/>
      <c r="Q124" s="1280"/>
      <c r="R124" s="1280"/>
      <c r="S124" s="1281"/>
      <c r="T124" s="274">
        <f t="shared" si="50"/>
        <v>0</v>
      </c>
      <c r="U124" s="435">
        <f>IF(AND(W124&gt;=$U$1,W124&lt;=$U$2),IF(X124='ESTRATTO CONTO'!$E$2,1+COUNTIF(U$4:U123,"&gt;0"),0),0)</f>
        <v>0</v>
      </c>
      <c r="V124" s="417">
        <f t="shared" si="40"/>
        <v>121</v>
      </c>
      <c r="W124" s="509"/>
      <c r="X124" s="321"/>
      <c r="Y124" s="321"/>
      <c r="Z124" s="433"/>
      <c r="AA124" s="918">
        <f t="shared" si="31"/>
        <v>1</v>
      </c>
      <c r="AB124" s="306" t="str">
        <f t="shared" si="32"/>
        <v/>
      </c>
      <c r="AC124" s="788"/>
      <c r="AD124" s="119">
        <f t="shared" ref="AD124:AF143" si="56">IF($AB124=0,0,ROUND($Z124*VLOOKUP(AD$2,$F$1010:$Q$1014,VLOOKUP($CP124,$C$1076:$E$1081,3,FALSE),FALSE),2))</f>
        <v>0</v>
      </c>
      <c r="AE124" s="108">
        <f t="shared" si="56"/>
        <v>0</v>
      </c>
      <c r="AF124" s="108">
        <f t="shared" si="56"/>
        <v>0</v>
      </c>
      <c r="AG124" s="108"/>
      <c r="AH124" s="108"/>
      <c r="AI124" s="108"/>
      <c r="AJ124" s="108"/>
      <c r="AK124" s="108"/>
      <c r="AL124" s="108">
        <f t="shared" si="33"/>
        <v>0</v>
      </c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20">
        <f t="shared" si="34"/>
        <v>0</v>
      </c>
      <c r="CL124" s="122">
        <f t="shared" si="35"/>
        <v>0</v>
      </c>
      <c r="CM124" s="524" t="str">
        <f t="shared" si="37"/>
        <v/>
      </c>
      <c r="CN124" s="526">
        <f t="shared" si="38"/>
        <v>0</v>
      </c>
      <c r="CO124" s="122">
        <f t="shared" si="39"/>
        <v>0</v>
      </c>
      <c r="CP124" s="45" t="str">
        <f t="shared" si="36"/>
        <v>1 - in MILLESIMI   I</v>
      </c>
      <c r="CQ124" s="1053">
        <f t="shared" si="51"/>
        <v>0</v>
      </c>
    </row>
    <row r="125" spans="1:95" ht="16.5" customHeight="1">
      <c r="A125" s="641" t="e">
        <f t="shared" si="47"/>
        <v>#N/A</v>
      </c>
      <c r="B125" s="274">
        <f t="shared" si="54"/>
        <v>0</v>
      </c>
      <c r="C125" s="274">
        <f>IF(ISERROR(E125),0,IF(AND(E125&gt;=$U$1,E125&lt;=$U$2),IF(B$78='ESTRATTO CONTO'!$E$2,1+COUNTIF(C$89:C124,"&gt;0"),0),0))</f>
        <v>0</v>
      </c>
      <c r="D125" s="27">
        <v>37</v>
      </c>
      <c r="E125" s="41" t="e">
        <f t="shared" si="55"/>
        <v>#N/A</v>
      </c>
      <c r="F125" s="323"/>
      <c r="G125" s="436">
        <f t="shared" si="52"/>
        <v>0</v>
      </c>
      <c r="H125" s="728"/>
      <c r="I125" s="1268"/>
      <c r="J125" s="1269"/>
      <c r="K125" s="1269"/>
      <c r="L125" s="729">
        <f t="shared" si="48"/>
        <v>0</v>
      </c>
      <c r="M125" s="27" t="str">
        <f t="shared" si="49"/>
        <v/>
      </c>
      <c r="N125" s="1282"/>
      <c r="O125" s="1283"/>
      <c r="P125" s="1279"/>
      <c r="Q125" s="1280"/>
      <c r="R125" s="1280"/>
      <c r="S125" s="1281"/>
      <c r="T125" s="274">
        <f t="shared" si="50"/>
        <v>0</v>
      </c>
      <c r="U125" s="435">
        <f>IF(AND(W125&gt;=$U$1,W125&lt;=$U$2),IF(X125='ESTRATTO CONTO'!$E$2,1+COUNTIF(U$4:U124,"&gt;0"),0),0)</f>
        <v>0</v>
      </c>
      <c r="V125" s="417">
        <f t="shared" si="40"/>
        <v>122</v>
      </c>
      <c r="W125" s="509"/>
      <c r="X125" s="321"/>
      <c r="Y125" s="321"/>
      <c r="Z125" s="433"/>
      <c r="AA125" s="918">
        <f t="shared" si="31"/>
        <v>1</v>
      </c>
      <c r="AB125" s="306" t="str">
        <f t="shared" si="32"/>
        <v/>
      </c>
      <c r="AC125" s="788"/>
      <c r="AD125" s="119">
        <f t="shared" si="56"/>
        <v>0</v>
      </c>
      <c r="AE125" s="108">
        <f t="shared" si="56"/>
        <v>0</v>
      </c>
      <c r="AF125" s="108">
        <f t="shared" si="56"/>
        <v>0</v>
      </c>
      <c r="AG125" s="108"/>
      <c r="AH125" s="108"/>
      <c r="AI125" s="108"/>
      <c r="AJ125" s="108"/>
      <c r="AK125" s="108"/>
      <c r="AL125" s="108">
        <f t="shared" si="33"/>
        <v>0</v>
      </c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20">
        <f t="shared" si="34"/>
        <v>0</v>
      </c>
      <c r="CL125" s="122">
        <f t="shared" si="35"/>
        <v>0</v>
      </c>
      <c r="CM125" s="524" t="str">
        <f t="shared" si="37"/>
        <v/>
      </c>
      <c r="CN125" s="526">
        <f t="shared" si="38"/>
        <v>0</v>
      </c>
      <c r="CO125" s="122">
        <f t="shared" si="39"/>
        <v>0</v>
      </c>
      <c r="CP125" s="45" t="str">
        <f t="shared" si="36"/>
        <v>1 - in MILLESIMI   I</v>
      </c>
      <c r="CQ125" s="1053">
        <f t="shared" si="51"/>
        <v>0</v>
      </c>
    </row>
    <row r="126" spans="1:95" ht="16.5" customHeight="1">
      <c r="A126" s="641" t="e">
        <f t="shared" si="47"/>
        <v>#N/A</v>
      </c>
      <c r="B126" s="274">
        <f t="shared" si="54"/>
        <v>0</v>
      </c>
      <c r="C126" s="274">
        <f>IF(ISERROR(E126),0,IF(AND(E126&gt;=$U$1,E126&lt;=$U$2),IF(B$78='ESTRATTO CONTO'!$E$2,1+COUNTIF(C$89:C125,"&gt;0"),0),0))</f>
        <v>0</v>
      </c>
      <c r="D126" s="27">
        <v>38</v>
      </c>
      <c r="E126" s="41" t="e">
        <f t="shared" si="55"/>
        <v>#N/A</v>
      </c>
      <c r="F126" s="323"/>
      <c r="G126" s="436">
        <f t="shared" si="52"/>
        <v>0</v>
      </c>
      <c r="H126" s="728"/>
      <c r="I126" s="1268"/>
      <c r="J126" s="1269"/>
      <c r="K126" s="1269"/>
      <c r="L126" s="729">
        <f t="shared" si="48"/>
        <v>0</v>
      </c>
      <c r="M126" s="27" t="str">
        <f t="shared" si="49"/>
        <v/>
      </c>
      <c r="N126" s="1282"/>
      <c r="O126" s="1283"/>
      <c r="P126" s="1279"/>
      <c r="Q126" s="1280"/>
      <c r="R126" s="1280"/>
      <c r="S126" s="1281"/>
      <c r="T126" s="274">
        <f t="shared" si="50"/>
        <v>0</v>
      </c>
      <c r="U126" s="435">
        <f>IF(AND(W126&gt;=$U$1,W126&lt;=$U$2),IF(X126='ESTRATTO CONTO'!$E$2,1+COUNTIF(U$4:U125,"&gt;0"),0),0)</f>
        <v>0</v>
      </c>
      <c r="V126" s="417">
        <f t="shared" si="40"/>
        <v>123</v>
      </c>
      <c r="W126" s="509"/>
      <c r="X126" s="321"/>
      <c r="Y126" s="321"/>
      <c r="Z126" s="433"/>
      <c r="AA126" s="918">
        <f t="shared" si="31"/>
        <v>1</v>
      </c>
      <c r="AB126" s="306" t="str">
        <f t="shared" si="32"/>
        <v/>
      </c>
      <c r="AC126" s="788"/>
      <c r="AD126" s="119">
        <f t="shared" si="56"/>
        <v>0</v>
      </c>
      <c r="AE126" s="108">
        <f t="shared" si="56"/>
        <v>0</v>
      </c>
      <c r="AF126" s="108">
        <f t="shared" si="56"/>
        <v>0</v>
      </c>
      <c r="AG126" s="108"/>
      <c r="AH126" s="108"/>
      <c r="AI126" s="108"/>
      <c r="AJ126" s="108"/>
      <c r="AK126" s="108"/>
      <c r="AL126" s="108">
        <f t="shared" si="33"/>
        <v>0</v>
      </c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20">
        <f t="shared" si="34"/>
        <v>0</v>
      </c>
      <c r="CL126" s="122">
        <f t="shared" si="35"/>
        <v>0</v>
      </c>
      <c r="CM126" s="524" t="str">
        <f t="shared" si="37"/>
        <v/>
      </c>
      <c r="CN126" s="526">
        <f t="shared" si="38"/>
        <v>0</v>
      </c>
      <c r="CO126" s="122">
        <f t="shared" si="39"/>
        <v>0</v>
      </c>
      <c r="CP126" s="45" t="str">
        <f t="shared" si="36"/>
        <v>1 - in MILLESIMI   I</v>
      </c>
      <c r="CQ126" s="1053">
        <f t="shared" si="51"/>
        <v>0</v>
      </c>
    </row>
    <row r="127" spans="1:95" ht="16.5" customHeight="1">
      <c r="A127" s="641" t="e">
        <f t="shared" si="47"/>
        <v>#N/A</v>
      </c>
      <c r="B127" s="274">
        <f t="shared" si="54"/>
        <v>0</v>
      </c>
      <c r="C127" s="274">
        <f>IF(ISERROR(E127),0,IF(AND(E127&gt;=$U$1,E127&lt;=$U$2),IF(B$78='ESTRATTO CONTO'!$E$2,1+COUNTIF(C$89:C126,"&gt;0"),0),0))</f>
        <v>0</v>
      </c>
      <c r="D127" s="27">
        <v>39</v>
      </c>
      <c r="E127" s="41" t="e">
        <f t="shared" si="55"/>
        <v>#N/A</v>
      </c>
      <c r="F127" s="323"/>
      <c r="G127" s="436">
        <f t="shared" si="52"/>
        <v>0</v>
      </c>
      <c r="H127" s="728"/>
      <c r="I127" s="1268"/>
      <c r="J127" s="1269"/>
      <c r="K127" s="1269"/>
      <c r="L127" s="729">
        <f t="shared" si="48"/>
        <v>0</v>
      </c>
      <c r="M127" s="27" t="str">
        <f t="shared" si="49"/>
        <v/>
      </c>
      <c r="N127" s="1282"/>
      <c r="O127" s="1283"/>
      <c r="P127" s="1279"/>
      <c r="Q127" s="1280"/>
      <c r="R127" s="1280"/>
      <c r="S127" s="1281"/>
      <c r="T127" s="274">
        <f t="shared" si="50"/>
        <v>0</v>
      </c>
      <c r="U127" s="435">
        <f>IF(AND(W127&gt;=$U$1,W127&lt;=$U$2),IF(X127='ESTRATTO CONTO'!$E$2,1+COUNTIF(U$4:U126,"&gt;0"),0),0)</f>
        <v>0</v>
      </c>
      <c r="V127" s="417">
        <f t="shared" si="40"/>
        <v>124</v>
      </c>
      <c r="W127" s="509"/>
      <c r="X127" s="321"/>
      <c r="Y127" s="321"/>
      <c r="Z127" s="433"/>
      <c r="AA127" s="918">
        <f t="shared" si="31"/>
        <v>1</v>
      </c>
      <c r="AB127" s="306" t="str">
        <f t="shared" si="32"/>
        <v/>
      </c>
      <c r="AC127" s="788"/>
      <c r="AD127" s="119">
        <f t="shared" si="56"/>
        <v>0</v>
      </c>
      <c r="AE127" s="108">
        <f t="shared" si="56"/>
        <v>0</v>
      </c>
      <c r="AF127" s="108">
        <f t="shared" si="56"/>
        <v>0</v>
      </c>
      <c r="AG127" s="108"/>
      <c r="AH127" s="108"/>
      <c r="AI127" s="108"/>
      <c r="AJ127" s="108"/>
      <c r="AK127" s="108"/>
      <c r="AL127" s="108">
        <f t="shared" si="33"/>
        <v>0</v>
      </c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20">
        <f t="shared" si="34"/>
        <v>0</v>
      </c>
      <c r="CL127" s="122">
        <f t="shared" si="35"/>
        <v>0</v>
      </c>
      <c r="CM127" s="524" t="str">
        <f t="shared" si="37"/>
        <v/>
      </c>
      <c r="CN127" s="526">
        <f t="shared" si="38"/>
        <v>0</v>
      </c>
      <c r="CO127" s="122">
        <f t="shared" si="39"/>
        <v>0</v>
      </c>
      <c r="CP127" s="45" t="str">
        <f t="shared" si="36"/>
        <v>1 - in MILLESIMI   I</v>
      </c>
      <c r="CQ127" s="1053">
        <f t="shared" si="51"/>
        <v>0</v>
      </c>
    </row>
    <row r="128" spans="1:95" ht="16.5" customHeight="1">
      <c r="A128" s="641" t="e">
        <f t="shared" si="47"/>
        <v>#N/A</v>
      </c>
      <c r="B128" s="274">
        <f t="shared" si="54"/>
        <v>0</v>
      </c>
      <c r="C128" s="274">
        <f>IF(ISERROR(E128),0,IF(AND(E128&gt;=$U$1,E128&lt;=$U$2),IF(B$78='ESTRATTO CONTO'!$E$2,1+COUNTIF(C$89:C127,"&gt;0"),0),0))</f>
        <v>0</v>
      </c>
      <c r="D128" s="27">
        <v>40</v>
      </c>
      <c r="E128" s="41" t="e">
        <f t="shared" si="55"/>
        <v>#N/A</v>
      </c>
      <c r="F128" s="323"/>
      <c r="G128" s="436">
        <f t="shared" si="52"/>
        <v>0</v>
      </c>
      <c r="H128" s="728"/>
      <c r="I128" s="1268"/>
      <c r="J128" s="1269"/>
      <c r="K128" s="1269"/>
      <c r="L128" s="729">
        <f t="shared" si="48"/>
        <v>0</v>
      </c>
      <c r="M128" s="27" t="str">
        <f t="shared" si="49"/>
        <v/>
      </c>
      <c r="N128" s="1282"/>
      <c r="O128" s="1283"/>
      <c r="P128" s="1279"/>
      <c r="Q128" s="1280"/>
      <c r="R128" s="1280"/>
      <c r="S128" s="1281"/>
      <c r="T128" s="274">
        <f t="shared" si="50"/>
        <v>0</v>
      </c>
      <c r="U128" s="435">
        <f>IF(AND(W128&gt;=$U$1,W128&lt;=$U$2),IF(X128='ESTRATTO CONTO'!$E$2,1+COUNTIF(U$4:U127,"&gt;0"),0),0)</f>
        <v>0</v>
      </c>
      <c r="V128" s="417">
        <f t="shared" si="40"/>
        <v>125</v>
      </c>
      <c r="W128" s="509"/>
      <c r="X128" s="321"/>
      <c r="Y128" s="321"/>
      <c r="Z128" s="433"/>
      <c r="AA128" s="918">
        <f t="shared" si="31"/>
        <v>1</v>
      </c>
      <c r="AB128" s="306" t="str">
        <f t="shared" si="32"/>
        <v/>
      </c>
      <c r="AC128" s="788"/>
      <c r="AD128" s="119">
        <f t="shared" si="56"/>
        <v>0</v>
      </c>
      <c r="AE128" s="108">
        <f t="shared" si="56"/>
        <v>0</v>
      </c>
      <c r="AF128" s="108">
        <f t="shared" si="56"/>
        <v>0</v>
      </c>
      <c r="AG128" s="108"/>
      <c r="AH128" s="108"/>
      <c r="AI128" s="108"/>
      <c r="AJ128" s="108"/>
      <c r="AK128" s="108"/>
      <c r="AL128" s="108">
        <f t="shared" si="33"/>
        <v>0</v>
      </c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20">
        <f t="shared" si="34"/>
        <v>0</v>
      </c>
      <c r="CL128" s="122">
        <f t="shared" si="35"/>
        <v>0</v>
      </c>
      <c r="CM128" s="524" t="str">
        <f t="shared" si="37"/>
        <v/>
      </c>
      <c r="CN128" s="526">
        <f t="shared" si="38"/>
        <v>0</v>
      </c>
      <c r="CO128" s="122">
        <f t="shared" si="39"/>
        <v>0</v>
      </c>
      <c r="CP128" s="45" t="str">
        <f t="shared" si="36"/>
        <v>1 - in MILLESIMI   I</v>
      </c>
      <c r="CQ128" s="1053">
        <f t="shared" si="51"/>
        <v>0</v>
      </c>
    </row>
    <row r="129" spans="1:95" ht="16.5" customHeight="1">
      <c r="A129" s="641" t="e">
        <f t="shared" si="47"/>
        <v>#N/A</v>
      </c>
      <c r="B129" s="274">
        <f t="shared" si="54"/>
        <v>0</v>
      </c>
      <c r="C129" s="274">
        <f>IF(ISERROR(E129),0,IF(AND(E129&gt;=$U$1,E129&lt;=$U$2),IF(B$78='ESTRATTO CONTO'!$E$2,1+COUNTIF(C$89:C128,"&gt;0"),0),0))</f>
        <v>0</v>
      </c>
      <c r="D129" s="27">
        <v>41</v>
      </c>
      <c r="E129" s="41" t="e">
        <f t="shared" si="55"/>
        <v>#N/A</v>
      </c>
      <c r="F129" s="323"/>
      <c r="G129" s="436">
        <f t="shared" si="52"/>
        <v>0</v>
      </c>
      <c r="H129" s="728"/>
      <c r="I129" s="1268"/>
      <c r="J129" s="1269"/>
      <c r="K129" s="1269"/>
      <c r="L129" s="729">
        <f t="shared" si="48"/>
        <v>0</v>
      </c>
      <c r="M129" s="27" t="str">
        <f t="shared" si="49"/>
        <v/>
      </c>
      <c r="N129" s="1282"/>
      <c r="O129" s="1283"/>
      <c r="P129" s="1279"/>
      <c r="Q129" s="1280"/>
      <c r="R129" s="1280"/>
      <c r="S129" s="1281"/>
      <c r="T129" s="274">
        <f t="shared" si="50"/>
        <v>0</v>
      </c>
      <c r="U129" s="435">
        <f>IF(AND(W129&gt;=$U$1,W129&lt;=$U$2),IF(X129='ESTRATTO CONTO'!$E$2,1+COUNTIF(U$4:U128,"&gt;0"),0),0)</f>
        <v>0</v>
      </c>
      <c r="V129" s="417">
        <f t="shared" si="40"/>
        <v>126</v>
      </c>
      <c r="W129" s="509"/>
      <c r="X129" s="321"/>
      <c r="Y129" s="321"/>
      <c r="Z129" s="433"/>
      <c r="AA129" s="918">
        <f t="shared" si="31"/>
        <v>1</v>
      </c>
      <c r="AB129" s="306" t="str">
        <f t="shared" si="32"/>
        <v/>
      </c>
      <c r="AC129" s="788"/>
      <c r="AD129" s="119">
        <f t="shared" si="56"/>
        <v>0</v>
      </c>
      <c r="AE129" s="108">
        <f t="shared" si="56"/>
        <v>0</v>
      </c>
      <c r="AF129" s="108">
        <f t="shared" si="56"/>
        <v>0</v>
      </c>
      <c r="AG129" s="108"/>
      <c r="AH129" s="108"/>
      <c r="AI129" s="108"/>
      <c r="AJ129" s="108"/>
      <c r="AK129" s="108"/>
      <c r="AL129" s="108">
        <f t="shared" si="33"/>
        <v>0</v>
      </c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20">
        <f t="shared" si="34"/>
        <v>0</v>
      </c>
      <c r="CL129" s="122">
        <f t="shared" si="35"/>
        <v>0</v>
      </c>
      <c r="CM129" s="524" t="str">
        <f t="shared" si="37"/>
        <v/>
      </c>
      <c r="CN129" s="526">
        <f t="shared" si="38"/>
        <v>0</v>
      </c>
      <c r="CO129" s="122">
        <f t="shared" si="39"/>
        <v>0</v>
      </c>
      <c r="CP129" s="45" t="str">
        <f t="shared" si="36"/>
        <v>1 - in MILLESIMI   I</v>
      </c>
      <c r="CQ129" s="1053">
        <f t="shared" si="51"/>
        <v>0</v>
      </c>
    </row>
    <row r="130" spans="1:95" ht="16.5" customHeight="1">
      <c r="A130" s="641" t="e">
        <f t="shared" si="47"/>
        <v>#N/A</v>
      </c>
      <c r="B130" s="274">
        <f t="shared" si="54"/>
        <v>0</v>
      </c>
      <c r="C130" s="274">
        <f>IF(ISERROR(E130),0,IF(AND(E130&gt;=$U$1,E130&lt;=$U$2),IF(B$78='ESTRATTO CONTO'!$E$2,1+COUNTIF(C$89:C129,"&gt;0"),0),0))</f>
        <v>0</v>
      </c>
      <c r="D130" s="27">
        <v>42</v>
      </c>
      <c r="E130" s="41" t="e">
        <f t="shared" si="55"/>
        <v>#N/A</v>
      </c>
      <c r="F130" s="323"/>
      <c r="G130" s="436">
        <f t="shared" si="52"/>
        <v>0</v>
      </c>
      <c r="H130" s="728"/>
      <c r="I130" s="1268"/>
      <c r="J130" s="1269"/>
      <c r="K130" s="1269"/>
      <c r="L130" s="729">
        <f t="shared" si="48"/>
        <v>0</v>
      </c>
      <c r="M130" s="27" t="str">
        <f t="shared" si="49"/>
        <v/>
      </c>
      <c r="N130" s="1282"/>
      <c r="O130" s="1283"/>
      <c r="P130" s="1279"/>
      <c r="Q130" s="1280"/>
      <c r="R130" s="1280"/>
      <c r="S130" s="1281"/>
      <c r="T130" s="274">
        <f t="shared" si="50"/>
        <v>0</v>
      </c>
      <c r="U130" s="435">
        <f>IF(AND(W130&gt;=$U$1,W130&lt;=$U$2),IF(X130='ESTRATTO CONTO'!$E$2,1+COUNTIF(U$4:U129,"&gt;0"),0),0)</f>
        <v>0</v>
      </c>
      <c r="V130" s="417">
        <f t="shared" si="40"/>
        <v>127</v>
      </c>
      <c r="W130" s="509"/>
      <c r="X130" s="321"/>
      <c r="Y130" s="321"/>
      <c r="Z130" s="433"/>
      <c r="AA130" s="918">
        <f t="shared" si="31"/>
        <v>1</v>
      </c>
      <c r="AB130" s="306" t="str">
        <f t="shared" si="32"/>
        <v/>
      </c>
      <c r="AC130" s="788"/>
      <c r="AD130" s="119">
        <f t="shared" si="56"/>
        <v>0</v>
      </c>
      <c r="AE130" s="108">
        <f t="shared" si="56"/>
        <v>0</v>
      </c>
      <c r="AF130" s="108">
        <f t="shared" si="56"/>
        <v>0</v>
      </c>
      <c r="AG130" s="108"/>
      <c r="AH130" s="108"/>
      <c r="AI130" s="108"/>
      <c r="AJ130" s="108"/>
      <c r="AK130" s="108"/>
      <c r="AL130" s="108">
        <f t="shared" si="33"/>
        <v>0</v>
      </c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20">
        <f t="shared" si="34"/>
        <v>0</v>
      </c>
      <c r="CL130" s="122">
        <f t="shared" si="35"/>
        <v>0</v>
      </c>
      <c r="CM130" s="524" t="str">
        <f t="shared" si="37"/>
        <v/>
      </c>
      <c r="CN130" s="526">
        <f t="shared" si="38"/>
        <v>0</v>
      </c>
      <c r="CO130" s="122">
        <f t="shared" si="39"/>
        <v>0</v>
      </c>
      <c r="CP130" s="45" t="str">
        <f t="shared" si="36"/>
        <v>1 - in MILLESIMI   I</v>
      </c>
      <c r="CQ130" s="1053">
        <f t="shared" si="51"/>
        <v>0</v>
      </c>
    </row>
    <row r="131" spans="1:95" ht="16.5" customHeight="1">
      <c r="A131" s="641" t="e">
        <f t="shared" si="47"/>
        <v>#N/A</v>
      </c>
      <c r="B131" s="274">
        <f t="shared" si="54"/>
        <v>0</v>
      </c>
      <c r="C131" s="274">
        <f>IF(ISERROR(E131),0,IF(AND(E131&gt;=$U$1,E131&lt;=$U$2),IF(B$78='ESTRATTO CONTO'!$E$2,1+COUNTIF(C$89:C130,"&gt;0"),0),0))</f>
        <v>0</v>
      </c>
      <c r="D131" s="27">
        <v>43</v>
      </c>
      <c r="E131" s="41" t="e">
        <f t="shared" si="55"/>
        <v>#N/A</v>
      </c>
      <c r="F131" s="323"/>
      <c r="G131" s="436">
        <f t="shared" si="52"/>
        <v>0</v>
      </c>
      <c r="H131" s="728"/>
      <c r="I131" s="1268"/>
      <c r="J131" s="1269"/>
      <c r="K131" s="1269"/>
      <c r="L131" s="729">
        <f t="shared" si="48"/>
        <v>0</v>
      </c>
      <c r="M131" s="27" t="str">
        <f t="shared" si="49"/>
        <v/>
      </c>
      <c r="N131" s="1282"/>
      <c r="O131" s="1283"/>
      <c r="P131" s="1279"/>
      <c r="Q131" s="1280"/>
      <c r="R131" s="1280"/>
      <c r="S131" s="1281"/>
      <c r="T131" s="274">
        <f t="shared" si="50"/>
        <v>0</v>
      </c>
      <c r="U131" s="435">
        <f>IF(AND(W131&gt;=$U$1,W131&lt;=$U$2),IF(X131='ESTRATTO CONTO'!$E$2,1+COUNTIF(U$4:U130,"&gt;0"),0),0)</f>
        <v>0</v>
      </c>
      <c r="V131" s="417">
        <f t="shared" si="40"/>
        <v>128</v>
      </c>
      <c r="W131" s="509"/>
      <c r="X131" s="321"/>
      <c r="Y131" s="321"/>
      <c r="Z131" s="433"/>
      <c r="AA131" s="918">
        <f t="shared" si="31"/>
        <v>1</v>
      </c>
      <c r="AB131" s="306" t="str">
        <f t="shared" si="32"/>
        <v/>
      </c>
      <c r="AC131" s="788"/>
      <c r="AD131" s="119">
        <f t="shared" si="56"/>
        <v>0</v>
      </c>
      <c r="AE131" s="108">
        <f t="shared" si="56"/>
        <v>0</v>
      </c>
      <c r="AF131" s="108">
        <f t="shared" si="56"/>
        <v>0</v>
      </c>
      <c r="AG131" s="108"/>
      <c r="AH131" s="108"/>
      <c r="AI131" s="108"/>
      <c r="AJ131" s="108"/>
      <c r="AK131" s="108"/>
      <c r="AL131" s="108">
        <f t="shared" si="33"/>
        <v>0</v>
      </c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20">
        <f t="shared" si="34"/>
        <v>0</v>
      </c>
      <c r="CL131" s="122">
        <f t="shared" si="35"/>
        <v>0</v>
      </c>
      <c r="CM131" s="524" t="str">
        <f t="shared" si="37"/>
        <v/>
      </c>
      <c r="CN131" s="526">
        <f t="shared" si="38"/>
        <v>0</v>
      </c>
      <c r="CO131" s="122">
        <f t="shared" si="39"/>
        <v>0</v>
      </c>
      <c r="CP131" s="45" t="str">
        <f t="shared" si="36"/>
        <v>1 - in MILLESIMI   I</v>
      </c>
      <c r="CQ131" s="1053">
        <f t="shared" si="51"/>
        <v>0</v>
      </c>
    </row>
    <row r="132" spans="1:95" ht="16.5" customHeight="1">
      <c r="A132" s="641" t="e">
        <f t="shared" si="47"/>
        <v>#N/A</v>
      </c>
      <c r="B132" s="274">
        <f t="shared" si="54"/>
        <v>0</v>
      </c>
      <c r="C132" s="274">
        <f>IF(ISERROR(E132),0,IF(AND(E132&gt;=$U$1,E132&lt;=$U$2),IF(B$78='ESTRATTO CONTO'!$E$2,1+COUNTIF(C$89:C131,"&gt;0"),0),0))</f>
        <v>0</v>
      </c>
      <c r="D132" s="27">
        <v>44</v>
      </c>
      <c r="E132" s="41" t="e">
        <f t="shared" si="55"/>
        <v>#N/A</v>
      </c>
      <c r="F132" s="323"/>
      <c r="G132" s="436">
        <f t="shared" si="52"/>
        <v>0</v>
      </c>
      <c r="H132" s="728"/>
      <c r="I132" s="1268"/>
      <c r="J132" s="1269"/>
      <c r="K132" s="1269"/>
      <c r="L132" s="729">
        <f t="shared" si="48"/>
        <v>0</v>
      </c>
      <c r="M132" s="27" t="str">
        <f t="shared" si="49"/>
        <v/>
      </c>
      <c r="N132" s="1282"/>
      <c r="O132" s="1283"/>
      <c r="P132" s="1279"/>
      <c r="Q132" s="1280"/>
      <c r="R132" s="1280"/>
      <c r="S132" s="1281"/>
      <c r="T132" s="274">
        <f t="shared" si="50"/>
        <v>0</v>
      </c>
      <c r="U132" s="435">
        <f>IF(AND(W132&gt;=$U$1,W132&lt;=$U$2),IF(X132='ESTRATTO CONTO'!$E$2,1+COUNTIF(U$4:U131,"&gt;0"),0),0)</f>
        <v>0</v>
      </c>
      <c r="V132" s="417">
        <f t="shared" si="40"/>
        <v>129</v>
      </c>
      <c r="W132" s="509"/>
      <c r="X132" s="321"/>
      <c r="Y132" s="321"/>
      <c r="Z132" s="433"/>
      <c r="AA132" s="918">
        <f t="shared" ref="AA132:AA195" si="57">IF(OR(W132&lt;$W$1433,W132&gt;$W$1434),1,0)</f>
        <v>1</v>
      </c>
      <c r="AB132" s="306" t="str">
        <f t="shared" ref="AB132:AB195" si="58">IF(W132&gt;0,IF(AND(W132&gt;=W$1438,W132&lt;=W$1439),CONCATENATE(MONTH(W132)&amp;X132),0),"")</f>
        <v/>
      </c>
      <c r="AC132" s="788"/>
      <c r="AD132" s="119">
        <f t="shared" si="56"/>
        <v>0</v>
      </c>
      <c r="AE132" s="108">
        <f t="shared" si="56"/>
        <v>0</v>
      </c>
      <c r="AF132" s="108">
        <f t="shared" si="56"/>
        <v>0</v>
      </c>
      <c r="AG132" s="108"/>
      <c r="AH132" s="108"/>
      <c r="AI132" s="108"/>
      <c r="AJ132" s="108"/>
      <c r="AK132" s="108"/>
      <c r="AL132" s="108">
        <f t="shared" ref="AL132:AL195" si="59">IF($AB132=0,0,ROUND($Z132*VLOOKUP(AL$2,$F$1010:$Q$1014,VLOOKUP($CP132,$C$1076:$E$1081,3,FALSE),FALSE),2))</f>
        <v>0</v>
      </c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20">
        <f t="shared" ref="CK132:CK195" si="60">IF($AB132=0,0,ROUND($Z132*VLOOKUP(CK$2,$F$1010:$Q$1014,VLOOKUP($CP132,$C$1076:$E$1081,3,FALSE),FALSE),2))</f>
        <v>0</v>
      </c>
      <c r="CL132" s="122">
        <f t="shared" ref="CL132:CL195" si="61">IF(CK$1014&gt;0,0,IF(ISBLANK(W132),0,MONTH(W132)))</f>
        <v>0</v>
      </c>
      <c r="CM132" s="524" t="str">
        <f t="shared" si="37"/>
        <v/>
      </c>
      <c r="CN132" s="526">
        <f t="shared" si="38"/>
        <v>0</v>
      </c>
      <c r="CO132" s="122">
        <f t="shared" si="39"/>
        <v>0</v>
      </c>
      <c r="CP132" s="45" t="str">
        <f t="shared" ref="CP132:CP195" si="62">IF(ISBLANK(AC132),Q$1,AC132)</f>
        <v>1 - in MILLESIMI   I</v>
      </c>
      <c r="CQ132" s="1053">
        <f t="shared" si="51"/>
        <v>0</v>
      </c>
    </row>
    <row r="133" spans="1:95" ht="16.5" customHeight="1">
      <c r="A133" s="641" t="e">
        <f t="shared" si="47"/>
        <v>#N/A</v>
      </c>
      <c r="B133" s="274">
        <f t="shared" si="54"/>
        <v>0</v>
      </c>
      <c r="C133" s="274">
        <f>IF(ISERROR(E133),0,IF(AND(E133&gt;=$U$1,E133&lt;=$U$2),IF(B$78='ESTRATTO CONTO'!$E$2,1+COUNTIF(C$89:C132,"&gt;0"),0),0))</f>
        <v>0</v>
      </c>
      <c r="D133" s="27">
        <v>45</v>
      </c>
      <c r="E133" s="41" t="e">
        <f t="shared" si="55"/>
        <v>#N/A</v>
      </c>
      <c r="F133" s="323"/>
      <c r="G133" s="436">
        <f t="shared" si="52"/>
        <v>0</v>
      </c>
      <c r="H133" s="728"/>
      <c r="I133" s="1268"/>
      <c r="J133" s="1269"/>
      <c r="K133" s="1269"/>
      <c r="L133" s="729">
        <f t="shared" si="48"/>
        <v>0</v>
      </c>
      <c r="M133" s="27" t="str">
        <f t="shared" si="49"/>
        <v/>
      </c>
      <c r="N133" s="1282"/>
      <c r="O133" s="1283"/>
      <c r="P133" s="1279"/>
      <c r="Q133" s="1280"/>
      <c r="R133" s="1280"/>
      <c r="S133" s="1281"/>
      <c r="T133" s="274">
        <f t="shared" si="50"/>
        <v>0</v>
      </c>
      <c r="U133" s="435">
        <f>IF(AND(W133&gt;=$U$1,W133&lt;=$U$2),IF(X133='ESTRATTO CONTO'!$E$2,1+COUNTIF(U$4:U132,"&gt;0"),0),0)</f>
        <v>0</v>
      </c>
      <c r="V133" s="417">
        <f t="shared" si="40"/>
        <v>130</v>
      </c>
      <c r="W133" s="509"/>
      <c r="X133" s="321"/>
      <c r="Y133" s="321"/>
      <c r="Z133" s="433"/>
      <c r="AA133" s="918">
        <f t="shared" si="57"/>
        <v>1</v>
      </c>
      <c r="AB133" s="306" t="str">
        <f t="shared" si="58"/>
        <v/>
      </c>
      <c r="AC133" s="788"/>
      <c r="AD133" s="119">
        <f t="shared" si="56"/>
        <v>0</v>
      </c>
      <c r="AE133" s="108">
        <f t="shared" si="56"/>
        <v>0</v>
      </c>
      <c r="AF133" s="108">
        <f t="shared" si="56"/>
        <v>0</v>
      </c>
      <c r="AG133" s="108"/>
      <c r="AH133" s="108"/>
      <c r="AI133" s="108"/>
      <c r="AJ133" s="108"/>
      <c r="AK133" s="108"/>
      <c r="AL133" s="108">
        <f t="shared" si="59"/>
        <v>0</v>
      </c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20">
        <f t="shared" si="60"/>
        <v>0</v>
      </c>
      <c r="CL133" s="122">
        <f t="shared" si="61"/>
        <v>0</v>
      </c>
      <c r="CM133" s="524" t="str">
        <f t="shared" ref="CM133:CM196" si="63">IF(X133="","",IF(ISERROR(VLOOKUP(X133,B$9:E$45,1,FALSE)),1,0))</f>
        <v/>
      </c>
      <c r="CN133" s="526">
        <f t="shared" ref="CN133:CN196" si="64">IF(AND(W133&gt;=CN$1,W133&lt;=CN$2),Z133,0)</f>
        <v>0</v>
      </c>
      <c r="CO133" s="122">
        <f t="shared" ref="CO133:CO196" si="65">IF(CN133&lt;&gt;0,X133,0)</f>
        <v>0</v>
      </c>
      <c r="CP133" s="45" t="str">
        <f t="shared" si="62"/>
        <v>1 - in MILLESIMI   I</v>
      </c>
      <c r="CQ133" s="1053">
        <f t="shared" si="51"/>
        <v>0</v>
      </c>
    </row>
    <row r="134" spans="1:95" ht="16.5" customHeight="1">
      <c r="A134" s="641" t="e">
        <f t="shared" si="47"/>
        <v>#N/A</v>
      </c>
      <c r="B134" s="274">
        <f t="shared" si="54"/>
        <v>0</v>
      </c>
      <c r="C134" s="274">
        <f>IF(ISERROR(E134),0,IF(AND(E134&gt;=$U$1,E134&lt;=$U$2),IF(B$78='ESTRATTO CONTO'!$E$2,1+COUNTIF(C$89:C133,"&gt;0"),0),0))</f>
        <v>0</v>
      </c>
      <c r="D134" s="27">
        <v>46</v>
      </c>
      <c r="E134" s="41" t="e">
        <f t="shared" si="55"/>
        <v>#N/A</v>
      </c>
      <c r="F134" s="323"/>
      <c r="G134" s="436">
        <f t="shared" si="52"/>
        <v>0</v>
      </c>
      <c r="H134" s="728"/>
      <c r="I134" s="1268"/>
      <c r="J134" s="1269"/>
      <c r="K134" s="1269"/>
      <c r="L134" s="729">
        <f t="shared" si="48"/>
        <v>0</v>
      </c>
      <c r="M134" s="27" t="str">
        <f t="shared" si="49"/>
        <v/>
      </c>
      <c r="N134" s="1282"/>
      <c r="O134" s="1283"/>
      <c r="P134" s="1279"/>
      <c r="Q134" s="1280"/>
      <c r="R134" s="1280"/>
      <c r="S134" s="1281"/>
      <c r="T134" s="274">
        <f t="shared" si="50"/>
        <v>0</v>
      </c>
      <c r="U134" s="435">
        <f>IF(AND(W134&gt;=$U$1,W134&lt;=$U$2),IF(X134='ESTRATTO CONTO'!$E$2,1+COUNTIF(U$4:U133,"&gt;0"),0),0)</f>
        <v>0</v>
      </c>
      <c r="V134" s="417">
        <f t="shared" ref="V134:V197" si="66">V133+1</f>
        <v>131</v>
      </c>
      <c r="W134" s="509"/>
      <c r="X134" s="321"/>
      <c r="Y134" s="321"/>
      <c r="Z134" s="433"/>
      <c r="AA134" s="918">
        <f t="shared" si="57"/>
        <v>1</v>
      </c>
      <c r="AB134" s="306" t="str">
        <f t="shared" si="58"/>
        <v/>
      </c>
      <c r="AC134" s="788"/>
      <c r="AD134" s="119">
        <f t="shared" si="56"/>
        <v>0</v>
      </c>
      <c r="AE134" s="108">
        <f t="shared" si="56"/>
        <v>0</v>
      </c>
      <c r="AF134" s="108">
        <f t="shared" si="56"/>
        <v>0</v>
      </c>
      <c r="AG134" s="108"/>
      <c r="AH134" s="108"/>
      <c r="AI134" s="108"/>
      <c r="AJ134" s="108"/>
      <c r="AK134" s="108"/>
      <c r="AL134" s="108">
        <f t="shared" si="59"/>
        <v>0</v>
      </c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20">
        <f t="shared" si="60"/>
        <v>0</v>
      </c>
      <c r="CL134" s="122">
        <f t="shared" si="61"/>
        <v>0</v>
      </c>
      <c r="CM134" s="524" t="str">
        <f t="shared" si="63"/>
        <v/>
      </c>
      <c r="CN134" s="526">
        <f t="shared" si="64"/>
        <v>0</v>
      </c>
      <c r="CO134" s="122">
        <f t="shared" si="65"/>
        <v>0</v>
      </c>
      <c r="CP134" s="45" t="str">
        <f t="shared" si="62"/>
        <v>1 - in MILLESIMI   I</v>
      </c>
      <c r="CQ134" s="1053">
        <f t="shared" si="51"/>
        <v>0</v>
      </c>
    </row>
    <row r="135" spans="1:95" ht="16.5" customHeight="1">
      <c r="A135" s="641" t="e">
        <f t="shared" si="47"/>
        <v>#N/A</v>
      </c>
      <c r="B135" s="274">
        <f t="shared" si="54"/>
        <v>0</v>
      </c>
      <c r="C135" s="274">
        <f>IF(ISERROR(E135),0,IF(AND(E135&gt;=$U$1,E135&lt;=$U$2),IF(B$78='ESTRATTO CONTO'!$E$2,1+COUNTIF(C$89:C134,"&gt;0"),0),0))</f>
        <v>0</v>
      </c>
      <c r="D135" s="27">
        <v>47</v>
      </c>
      <c r="E135" s="41" t="e">
        <f t="shared" si="55"/>
        <v>#N/A</v>
      </c>
      <c r="F135" s="323"/>
      <c r="G135" s="436">
        <f t="shared" si="52"/>
        <v>0</v>
      </c>
      <c r="H135" s="728"/>
      <c r="I135" s="1268"/>
      <c r="J135" s="1269"/>
      <c r="K135" s="1269"/>
      <c r="L135" s="729">
        <f t="shared" si="48"/>
        <v>0</v>
      </c>
      <c r="M135" s="27" t="str">
        <f t="shared" si="49"/>
        <v/>
      </c>
      <c r="N135" s="1282"/>
      <c r="O135" s="1283"/>
      <c r="P135" s="1279"/>
      <c r="Q135" s="1280"/>
      <c r="R135" s="1280"/>
      <c r="S135" s="1281"/>
      <c r="T135" s="274">
        <f t="shared" si="50"/>
        <v>0</v>
      </c>
      <c r="U135" s="435">
        <f>IF(AND(W135&gt;=$U$1,W135&lt;=$U$2),IF(X135='ESTRATTO CONTO'!$E$2,1+COUNTIF(U$4:U134,"&gt;0"),0),0)</f>
        <v>0</v>
      </c>
      <c r="V135" s="417">
        <f t="shared" si="66"/>
        <v>132</v>
      </c>
      <c r="W135" s="509"/>
      <c r="X135" s="321"/>
      <c r="Y135" s="321"/>
      <c r="Z135" s="433"/>
      <c r="AA135" s="918">
        <f t="shared" si="57"/>
        <v>1</v>
      </c>
      <c r="AB135" s="306" t="str">
        <f t="shared" si="58"/>
        <v/>
      </c>
      <c r="AC135" s="788"/>
      <c r="AD135" s="119">
        <f t="shared" si="56"/>
        <v>0</v>
      </c>
      <c r="AE135" s="108">
        <f t="shared" si="56"/>
        <v>0</v>
      </c>
      <c r="AF135" s="108">
        <f t="shared" si="56"/>
        <v>0</v>
      </c>
      <c r="AG135" s="108"/>
      <c r="AH135" s="108"/>
      <c r="AI135" s="108"/>
      <c r="AJ135" s="108"/>
      <c r="AK135" s="108"/>
      <c r="AL135" s="108">
        <f t="shared" si="59"/>
        <v>0</v>
      </c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20">
        <f t="shared" si="60"/>
        <v>0</v>
      </c>
      <c r="CL135" s="122">
        <f t="shared" si="61"/>
        <v>0</v>
      </c>
      <c r="CM135" s="524" t="str">
        <f t="shared" si="63"/>
        <v/>
      </c>
      <c r="CN135" s="526">
        <f t="shared" si="64"/>
        <v>0</v>
      </c>
      <c r="CO135" s="122">
        <f t="shared" si="65"/>
        <v>0</v>
      </c>
      <c r="CP135" s="45" t="str">
        <f t="shared" si="62"/>
        <v>1 - in MILLESIMI   I</v>
      </c>
      <c r="CQ135" s="1053">
        <f t="shared" si="51"/>
        <v>0</v>
      </c>
    </row>
    <row r="136" spans="1:95" ht="16.5" customHeight="1">
      <c r="A136" s="641" t="e">
        <f t="shared" si="47"/>
        <v>#N/A</v>
      </c>
      <c r="B136" s="274">
        <f t="shared" si="54"/>
        <v>0</v>
      </c>
      <c r="C136" s="274">
        <f>IF(ISERROR(E136),0,IF(AND(E136&gt;=$U$1,E136&lt;=$U$2),IF(B$78='ESTRATTO CONTO'!$E$2,1+COUNTIF(C$89:C135,"&gt;0"),0),0))</f>
        <v>0</v>
      </c>
      <c r="D136" s="27">
        <v>48</v>
      </c>
      <c r="E136" s="41" t="e">
        <f t="shared" si="55"/>
        <v>#N/A</v>
      </c>
      <c r="F136" s="323"/>
      <c r="G136" s="436">
        <f t="shared" si="52"/>
        <v>0</v>
      </c>
      <c r="H136" s="728"/>
      <c r="I136" s="1268"/>
      <c r="J136" s="1269"/>
      <c r="K136" s="1269"/>
      <c r="L136" s="729">
        <f t="shared" si="48"/>
        <v>0</v>
      </c>
      <c r="M136" s="27" t="str">
        <f t="shared" si="49"/>
        <v/>
      </c>
      <c r="N136" s="1282"/>
      <c r="O136" s="1283"/>
      <c r="P136" s="1279"/>
      <c r="Q136" s="1280"/>
      <c r="R136" s="1280"/>
      <c r="S136" s="1281"/>
      <c r="T136" s="274">
        <f t="shared" si="50"/>
        <v>0</v>
      </c>
      <c r="U136" s="435">
        <f>IF(AND(W136&gt;=$U$1,W136&lt;=$U$2),IF(X136='ESTRATTO CONTO'!$E$2,1+COUNTIF(U$4:U135,"&gt;0"),0),0)</f>
        <v>0</v>
      </c>
      <c r="V136" s="417">
        <f t="shared" si="66"/>
        <v>133</v>
      </c>
      <c r="W136" s="509"/>
      <c r="X136" s="321"/>
      <c r="Y136" s="321"/>
      <c r="Z136" s="433"/>
      <c r="AA136" s="918">
        <f t="shared" si="57"/>
        <v>1</v>
      </c>
      <c r="AB136" s="306" t="str">
        <f t="shared" si="58"/>
        <v/>
      </c>
      <c r="AC136" s="788"/>
      <c r="AD136" s="119">
        <f t="shared" si="56"/>
        <v>0</v>
      </c>
      <c r="AE136" s="108">
        <f t="shared" si="56"/>
        <v>0</v>
      </c>
      <c r="AF136" s="108">
        <f t="shared" si="56"/>
        <v>0</v>
      </c>
      <c r="AG136" s="108"/>
      <c r="AH136" s="108"/>
      <c r="AI136" s="108"/>
      <c r="AJ136" s="108"/>
      <c r="AK136" s="108"/>
      <c r="AL136" s="108">
        <f t="shared" si="59"/>
        <v>0</v>
      </c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20">
        <f t="shared" si="60"/>
        <v>0</v>
      </c>
      <c r="CL136" s="122">
        <f t="shared" si="61"/>
        <v>0</v>
      </c>
      <c r="CM136" s="524" t="str">
        <f t="shared" si="63"/>
        <v/>
      </c>
      <c r="CN136" s="526">
        <f t="shared" si="64"/>
        <v>0</v>
      </c>
      <c r="CO136" s="122">
        <f t="shared" si="65"/>
        <v>0</v>
      </c>
      <c r="CP136" s="45" t="str">
        <f t="shared" si="62"/>
        <v>1 - in MILLESIMI   I</v>
      </c>
      <c r="CQ136" s="1053">
        <f t="shared" si="51"/>
        <v>0</v>
      </c>
    </row>
    <row r="137" spans="1:95" ht="16.5" customHeight="1">
      <c r="A137" s="641" t="e">
        <f t="shared" si="47"/>
        <v>#N/A</v>
      </c>
      <c r="B137" s="274">
        <f t="shared" si="54"/>
        <v>0</v>
      </c>
      <c r="C137" s="274">
        <f>IF(ISERROR(E137),0,IF(AND(E137&gt;=$U$1,E137&lt;=$U$2),IF(B$78='ESTRATTO CONTO'!$E$2,1+COUNTIF(C$89:C136,"&gt;0"),0),0))</f>
        <v>0</v>
      </c>
      <c r="D137" s="27">
        <v>49</v>
      </c>
      <c r="E137" s="41" t="e">
        <f t="shared" si="55"/>
        <v>#N/A</v>
      </c>
      <c r="F137" s="323"/>
      <c r="G137" s="436">
        <f t="shared" si="52"/>
        <v>0</v>
      </c>
      <c r="H137" s="728"/>
      <c r="I137" s="1268"/>
      <c r="J137" s="1269"/>
      <c r="K137" s="1269"/>
      <c r="L137" s="729">
        <f t="shared" si="48"/>
        <v>0</v>
      </c>
      <c r="M137" s="27" t="str">
        <f t="shared" si="49"/>
        <v/>
      </c>
      <c r="N137" s="1282"/>
      <c r="O137" s="1283"/>
      <c r="P137" s="1279"/>
      <c r="Q137" s="1280"/>
      <c r="R137" s="1280"/>
      <c r="S137" s="1281"/>
      <c r="T137" s="274">
        <f t="shared" si="50"/>
        <v>0</v>
      </c>
      <c r="U137" s="435">
        <f>IF(AND(W137&gt;=$U$1,W137&lt;=$U$2),IF(X137='ESTRATTO CONTO'!$E$2,1+COUNTIF(U$4:U136,"&gt;0"),0),0)</f>
        <v>0</v>
      </c>
      <c r="V137" s="417">
        <f t="shared" si="66"/>
        <v>134</v>
      </c>
      <c r="W137" s="509"/>
      <c r="X137" s="321"/>
      <c r="Y137" s="321"/>
      <c r="Z137" s="433"/>
      <c r="AA137" s="918">
        <f t="shared" si="57"/>
        <v>1</v>
      </c>
      <c r="AB137" s="306" t="str">
        <f t="shared" si="58"/>
        <v/>
      </c>
      <c r="AC137" s="788"/>
      <c r="AD137" s="119">
        <f t="shared" si="56"/>
        <v>0</v>
      </c>
      <c r="AE137" s="108">
        <f t="shared" si="56"/>
        <v>0</v>
      </c>
      <c r="AF137" s="108">
        <f t="shared" si="56"/>
        <v>0</v>
      </c>
      <c r="AG137" s="108"/>
      <c r="AH137" s="108"/>
      <c r="AI137" s="108"/>
      <c r="AJ137" s="108"/>
      <c r="AK137" s="108"/>
      <c r="AL137" s="108">
        <f t="shared" si="59"/>
        <v>0</v>
      </c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20">
        <f t="shared" si="60"/>
        <v>0</v>
      </c>
      <c r="CL137" s="122">
        <f t="shared" si="61"/>
        <v>0</v>
      </c>
      <c r="CM137" s="524" t="str">
        <f t="shared" si="63"/>
        <v/>
      </c>
      <c r="CN137" s="526">
        <f t="shared" si="64"/>
        <v>0</v>
      </c>
      <c r="CO137" s="122">
        <f t="shared" si="65"/>
        <v>0</v>
      </c>
      <c r="CP137" s="45" t="str">
        <f t="shared" si="62"/>
        <v>1 - in MILLESIMI   I</v>
      </c>
      <c r="CQ137" s="1053">
        <f t="shared" si="51"/>
        <v>0</v>
      </c>
    </row>
    <row r="138" spans="1:95" ht="16.5" customHeight="1">
      <c r="A138" s="641" t="e">
        <f t="shared" si="47"/>
        <v>#N/A</v>
      </c>
      <c r="B138" s="274">
        <f t="shared" si="54"/>
        <v>0</v>
      </c>
      <c r="C138" s="274">
        <f>IF(ISERROR(E138),0,IF(AND(E138&gt;=$U$1,E138&lt;=$U$2),IF(B$78='ESTRATTO CONTO'!$E$2,1+COUNTIF(C$89:C137,"&gt;0"),0),0))</f>
        <v>0</v>
      </c>
      <c r="D138" s="27">
        <v>50</v>
      </c>
      <c r="E138" s="41" t="e">
        <f t="shared" si="55"/>
        <v>#N/A</v>
      </c>
      <c r="F138" s="323"/>
      <c r="G138" s="436">
        <f t="shared" si="52"/>
        <v>0</v>
      </c>
      <c r="H138" s="728"/>
      <c r="I138" s="1268"/>
      <c r="J138" s="1269"/>
      <c r="K138" s="1269"/>
      <c r="L138" s="729">
        <f t="shared" si="48"/>
        <v>0</v>
      </c>
      <c r="M138" s="27" t="str">
        <f t="shared" si="49"/>
        <v/>
      </c>
      <c r="N138" s="1282"/>
      <c r="O138" s="1283"/>
      <c r="P138" s="1279"/>
      <c r="Q138" s="1280"/>
      <c r="R138" s="1280"/>
      <c r="S138" s="1281"/>
      <c r="T138" s="274">
        <f t="shared" si="50"/>
        <v>0</v>
      </c>
      <c r="U138" s="435">
        <f>IF(AND(W138&gt;=$U$1,W138&lt;=$U$2),IF(X138='ESTRATTO CONTO'!$E$2,1+COUNTIF(U$4:U137,"&gt;0"),0),0)</f>
        <v>0</v>
      </c>
      <c r="V138" s="417">
        <f t="shared" si="66"/>
        <v>135</v>
      </c>
      <c r="W138" s="509"/>
      <c r="X138" s="321"/>
      <c r="Y138" s="321"/>
      <c r="Z138" s="433"/>
      <c r="AA138" s="918">
        <f t="shared" si="57"/>
        <v>1</v>
      </c>
      <c r="AB138" s="306" t="str">
        <f t="shared" si="58"/>
        <v/>
      </c>
      <c r="AC138" s="788"/>
      <c r="AD138" s="119">
        <f t="shared" si="56"/>
        <v>0</v>
      </c>
      <c r="AE138" s="108">
        <f t="shared" si="56"/>
        <v>0</v>
      </c>
      <c r="AF138" s="108">
        <f t="shared" si="56"/>
        <v>0</v>
      </c>
      <c r="AG138" s="108"/>
      <c r="AH138" s="108"/>
      <c r="AI138" s="108"/>
      <c r="AJ138" s="108"/>
      <c r="AK138" s="108"/>
      <c r="AL138" s="108">
        <f t="shared" si="59"/>
        <v>0</v>
      </c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20">
        <f t="shared" si="60"/>
        <v>0</v>
      </c>
      <c r="CL138" s="122">
        <f t="shared" si="61"/>
        <v>0</v>
      </c>
      <c r="CM138" s="524" t="str">
        <f t="shared" si="63"/>
        <v/>
      </c>
      <c r="CN138" s="526">
        <f t="shared" si="64"/>
        <v>0</v>
      </c>
      <c r="CO138" s="122">
        <f t="shared" si="65"/>
        <v>0</v>
      </c>
      <c r="CP138" s="45" t="str">
        <f t="shared" si="62"/>
        <v>1 - in MILLESIMI   I</v>
      </c>
      <c r="CQ138" s="1053">
        <f t="shared" si="51"/>
        <v>0</v>
      </c>
    </row>
    <row r="139" spans="1:95" ht="16.5" customHeight="1">
      <c r="A139" s="641" t="e">
        <f t="shared" si="47"/>
        <v>#N/A</v>
      </c>
      <c r="B139" s="274">
        <f t="shared" si="54"/>
        <v>0</v>
      </c>
      <c r="C139" s="274">
        <f>IF(ISERROR(E139),0,IF(AND(E139&gt;=$U$1,E139&lt;=$U$2),IF(B$78='ESTRATTO CONTO'!$E$2,1+COUNTIF(C$89:C138,"&gt;0"),0),0))</f>
        <v>0</v>
      </c>
      <c r="D139" s="27">
        <v>51</v>
      </c>
      <c r="E139" s="41" t="e">
        <f t="shared" si="55"/>
        <v>#N/A</v>
      </c>
      <c r="F139" s="323"/>
      <c r="G139" s="436">
        <f t="shared" si="52"/>
        <v>0</v>
      </c>
      <c r="H139" s="728"/>
      <c r="I139" s="1268"/>
      <c r="J139" s="1269"/>
      <c r="K139" s="1269"/>
      <c r="L139" s="729">
        <f t="shared" si="48"/>
        <v>0</v>
      </c>
      <c r="M139" s="27" t="str">
        <f t="shared" si="49"/>
        <v/>
      </c>
      <c r="N139" s="1282"/>
      <c r="O139" s="1283"/>
      <c r="P139" s="1279"/>
      <c r="Q139" s="1280"/>
      <c r="R139" s="1280"/>
      <c r="S139" s="1281"/>
      <c r="T139" s="274">
        <f t="shared" si="50"/>
        <v>0</v>
      </c>
      <c r="U139" s="435">
        <f>IF(AND(W139&gt;=$U$1,W139&lt;=$U$2),IF(X139='ESTRATTO CONTO'!$E$2,1+COUNTIF(U$4:U138,"&gt;0"),0),0)</f>
        <v>0</v>
      </c>
      <c r="V139" s="417">
        <f t="shared" si="66"/>
        <v>136</v>
      </c>
      <c r="W139" s="509"/>
      <c r="X139" s="321"/>
      <c r="Y139" s="321"/>
      <c r="Z139" s="433"/>
      <c r="AA139" s="918">
        <f t="shared" si="57"/>
        <v>1</v>
      </c>
      <c r="AB139" s="306" t="str">
        <f t="shared" si="58"/>
        <v/>
      </c>
      <c r="AC139" s="788"/>
      <c r="AD139" s="119">
        <f t="shared" si="56"/>
        <v>0</v>
      </c>
      <c r="AE139" s="108">
        <f t="shared" si="56"/>
        <v>0</v>
      </c>
      <c r="AF139" s="108">
        <f t="shared" si="56"/>
        <v>0</v>
      </c>
      <c r="AG139" s="108"/>
      <c r="AH139" s="108"/>
      <c r="AI139" s="108"/>
      <c r="AJ139" s="108"/>
      <c r="AK139" s="108"/>
      <c r="AL139" s="108">
        <f t="shared" si="59"/>
        <v>0</v>
      </c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20">
        <f t="shared" si="60"/>
        <v>0</v>
      </c>
      <c r="CL139" s="122">
        <f t="shared" si="61"/>
        <v>0</v>
      </c>
      <c r="CM139" s="524" t="str">
        <f t="shared" si="63"/>
        <v/>
      </c>
      <c r="CN139" s="526">
        <f t="shared" si="64"/>
        <v>0</v>
      </c>
      <c r="CO139" s="122">
        <f t="shared" si="65"/>
        <v>0</v>
      </c>
      <c r="CP139" s="45" t="str">
        <f t="shared" si="62"/>
        <v>1 - in MILLESIMI   I</v>
      </c>
      <c r="CQ139" s="1053">
        <f t="shared" si="51"/>
        <v>0</v>
      </c>
    </row>
    <row r="140" spans="1:95" ht="16.5" customHeight="1">
      <c r="A140" s="641" t="e">
        <f t="shared" si="47"/>
        <v>#N/A</v>
      </c>
      <c r="B140" s="274">
        <f t="shared" si="54"/>
        <v>0</v>
      </c>
      <c r="C140" s="274">
        <f>IF(ISERROR(E140),0,IF(AND(E140&gt;=$U$1,E140&lt;=$U$2),IF(B$78='ESTRATTO CONTO'!$E$2,1+COUNTIF(C$89:C139,"&gt;0"),0),0))</f>
        <v>0</v>
      </c>
      <c r="D140" s="27">
        <v>52</v>
      </c>
      <c r="E140" s="41" t="e">
        <f t="shared" si="55"/>
        <v>#N/A</v>
      </c>
      <c r="F140" s="323"/>
      <c r="G140" s="436">
        <f t="shared" si="52"/>
        <v>0</v>
      </c>
      <c r="H140" s="728"/>
      <c r="I140" s="1268"/>
      <c r="J140" s="1269"/>
      <c r="K140" s="1269"/>
      <c r="L140" s="729">
        <f t="shared" si="48"/>
        <v>0</v>
      </c>
      <c r="M140" s="27" t="str">
        <f t="shared" si="49"/>
        <v/>
      </c>
      <c r="N140" s="1282"/>
      <c r="O140" s="1283"/>
      <c r="P140" s="1279"/>
      <c r="Q140" s="1280"/>
      <c r="R140" s="1280"/>
      <c r="S140" s="1281"/>
      <c r="T140" s="274">
        <f t="shared" si="50"/>
        <v>0</v>
      </c>
      <c r="U140" s="435">
        <f>IF(AND(W140&gt;=$U$1,W140&lt;=$U$2),IF(X140='ESTRATTO CONTO'!$E$2,1+COUNTIF(U$4:U139,"&gt;0"),0),0)</f>
        <v>0</v>
      </c>
      <c r="V140" s="417">
        <f t="shared" si="66"/>
        <v>137</v>
      </c>
      <c r="W140" s="509"/>
      <c r="X140" s="321"/>
      <c r="Y140" s="321"/>
      <c r="Z140" s="433"/>
      <c r="AA140" s="918">
        <f t="shared" si="57"/>
        <v>1</v>
      </c>
      <c r="AB140" s="306" t="str">
        <f t="shared" si="58"/>
        <v/>
      </c>
      <c r="AC140" s="788"/>
      <c r="AD140" s="119">
        <f t="shared" si="56"/>
        <v>0</v>
      </c>
      <c r="AE140" s="108">
        <f t="shared" si="56"/>
        <v>0</v>
      </c>
      <c r="AF140" s="108">
        <f t="shared" si="56"/>
        <v>0</v>
      </c>
      <c r="AG140" s="108"/>
      <c r="AH140" s="108"/>
      <c r="AI140" s="108"/>
      <c r="AJ140" s="108"/>
      <c r="AK140" s="108"/>
      <c r="AL140" s="108">
        <f t="shared" si="59"/>
        <v>0</v>
      </c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20">
        <f t="shared" si="60"/>
        <v>0</v>
      </c>
      <c r="CL140" s="122">
        <f t="shared" si="61"/>
        <v>0</v>
      </c>
      <c r="CM140" s="524" t="str">
        <f t="shared" si="63"/>
        <v/>
      </c>
      <c r="CN140" s="526">
        <f t="shared" si="64"/>
        <v>0</v>
      </c>
      <c r="CO140" s="122">
        <f t="shared" si="65"/>
        <v>0</v>
      </c>
      <c r="CP140" s="45" t="str">
        <f t="shared" si="62"/>
        <v>1 - in MILLESIMI   I</v>
      </c>
      <c r="CQ140" s="1054">
        <f t="shared" si="51"/>
        <v>0</v>
      </c>
    </row>
    <row r="141" spans="1:95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435">
        <f>IF(AND(W141&gt;=$U$1,W141&lt;=$U$2),IF(X141='ESTRATTO CONTO'!$E$2,1+COUNTIF(U$4:U140,"&gt;0"),0),0)</f>
        <v>0</v>
      </c>
      <c r="V141" s="417">
        <f t="shared" si="66"/>
        <v>138</v>
      </c>
      <c r="W141" s="509"/>
      <c r="X141" s="321"/>
      <c r="Y141" s="321"/>
      <c r="Z141" s="433"/>
      <c r="AA141" s="918">
        <f t="shared" si="57"/>
        <v>1</v>
      </c>
      <c r="AB141" s="306" t="str">
        <f t="shared" si="58"/>
        <v/>
      </c>
      <c r="AC141" s="788"/>
      <c r="AD141" s="119">
        <f t="shared" si="56"/>
        <v>0</v>
      </c>
      <c r="AE141" s="108">
        <f t="shared" si="56"/>
        <v>0</v>
      </c>
      <c r="AF141" s="108">
        <f t="shared" si="56"/>
        <v>0</v>
      </c>
      <c r="AG141" s="108"/>
      <c r="AH141" s="108"/>
      <c r="AI141" s="108"/>
      <c r="AJ141" s="108"/>
      <c r="AK141" s="108"/>
      <c r="AL141" s="108">
        <f t="shared" si="59"/>
        <v>0</v>
      </c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20">
        <f t="shared" si="60"/>
        <v>0</v>
      </c>
      <c r="CL141" s="122">
        <f t="shared" si="61"/>
        <v>0</v>
      </c>
      <c r="CM141" s="524" t="str">
        <f t="shared" si="63"/>
        <v/>
      </c>
      <c r="CN141" s="526">
        <f t="shared" si="64"/>
        <v>0</v>
      </c>
      <c r="CO141" s="122">
        <f t="shared" si="65"/>
        <v>0</v>
      </c>
      <c r="CP141" s="45" t="str">
        <f t="shared" si="62"/>
        <v>1 - in MILLESIMI   I</v>
      </c>
      <c r="CQ141" s="1"/>
    </row>
    <row r="142" spans="1:95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435">
        <f>IF(AND(W142&gt;=$U$1,W142&lt;=$U$2),IF(X142='ESTRATTO CONTO'!$E$2,1+COUNTIF(U$4:U141,"&gt;0"),0),0)</f>
        <v>0</v>
      </c>
      <c r="V142" s="417">
        <f t="shared" si="66"/>
        <v>139</v>
      </c>
      <c r="W142" s="509"/>
      <c r="X142" s="321"/>
      <c r="Y142" s="321"/>
      <c r="Z142" s="433"/>
      <c r="AA142" s="918">
        <f t="shared" si="57"/>
        <v>1</v>
      </c>
      <c r="AB142" s="306" t="str">
        <f t="shared" si="58"/>
        <v/>
      </c>
      <c r="AC142" s="788"/>
      <c r="AD142" s="119">
        <f t="shared" si="56"/>
        <v>0</v>
      </c>
      <c r="AE142" s="108">
        <f t="shared" si="56"/>
        <v>0</v>
      </c>
      <c r="AF142" s="108">
        <f t="shared" si="56"/>
        <v>0</v>
      </c>
      <c r="AG142" s="108"/>
      <c r="AH142" s="108"/>
      <c r="AI142" s="108"/>
      <c r="AJ142" s="108"/>
      <c r="AK142" s="108"/>
      <c r="AL142" s="108">
        <f t="shared" si="59"/>
        <v>0</v>
      </c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20">
        <f t="shared" si="60"/>
        <v>0</v>
      </c>
      <c r="CL142" s="122">
        <f t="shared" si="61"/>
        <v>0</v>
      </c>
      <c r="CM142" s="524" t="str">
        <f t="shared" si="63"/>
        <v/>
      </c>
      <c r="CN142" s="526">
        <f t="shared" si="64"/>
        <v>0</v>
      </c>
      <c r="CO142" s="122">
        <f t="shared" si="65"/>
        <v>0</v>
      </c>
      <c r="CP142" s="45" t="str">
        <f t="shared" si="62"/>
        <v>1 - in MILLESIMI   I</v>
      </c>
      <c r="CQ142" s="1"/>
    </row>
    <row r="143" spans="1:95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435">
        <f>IF(AND(W143&gt;=$U$1,W143&lt;=$U$2),IF(X143='ESTRATTO CONTO'!$E$2,1+COUNTIF(U$4:U142,"&gt;0"),0),0)</f>
        <v>0</v>
      </c>
      <c r="V143" s="417">
        <f t="shared" si="66"/>
        <v>140</v>
      </c>
      <c r="W143" s="509"/>
      <c r="X143" s="321"/>
      <c r="Y143" s="321"/>
      <c r="Z143" s="433"/>
      <c r="AA143" s="918">
        <f t="shared" si="57"/>
        <v>1</v>
      </c>
      <c r="AB143" s="306" t="str">
        <f t="shared" si="58"/>
        <v/>
      </c>
      <c r="AC143" s="788"/>
      <c r="AD143" s="119">
        <f t="shared" si="56"/>
        <v>0</v>
      </c>
      <c r="AE143" s="108">
        <f t="shared" si="56"/>
        <v>0</v>
      </c>
      <c r="AF143" s="108">
        <f t="shared" si="56"/>
        <v>0</v>
      </c>
      <c r="AG143" s="108"/>
      <c r="AH143" s="108"/>
      <c r="AI143" s="108"/>
      <c r="AJ143" s="108"/>
      <c r="AK143" s="108"/>
      <c r="AL143" s="108">
        <f t="shared" si="59"/>
        <v>0</v>
      </c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20">
        <f t="shared" si="60"/>
        <v>0</v>
      </c>
      <c r="CL143" s="122">
        <f t="shared" si="61"/>
        <v>0</v>
      </c>
      <c r="CM143" s="524" t="str">
        <f t="shared" si="63"/>
        <v/>
      </c>
      <c r="CN143" s="526">
        <f t="shared" si="64"/>
        <v>0</v>
      </c>
      <c r="CO143" s="122">
        <f t="shared" si="65"/>
        <v>0</v>
      </c>
      <c r="CP143" s="45" t="str">
        <f t="shared" si="62"/>
        <v>1 - in MILLESIMI   I</v>
      </c>
      <c r="CQ143" s="1"/>
    </row>
    <row r="144" spans="1:95" ht="16.5" customHeight="1">
      <c r="A144" s="1"/>
      <c r="B144" s="1"/>
      <c r="C144" s="1337" t="str">
        <f>Presentazione!$B$85</f>
        <v>Questo file risulta al momento completamente funzionante ed il sistema rileva tutti i suoi fogli.</v>
      </c>
      <c r="D144" s="1337"/>
      <c r="E144" s="1337"/>
      <c r="F144" s="1337"/>
      <c r="G144" s="1337"/>
      <c r="H144" s="1337"/>
      <c r="I144" s="1337"/>
      <c r="J144" s="1337"/>
      <c r="K144" s="1337"/>
      <c r="L144" s="1337"/>
      <c r="M144" s="1337"/>
      <c r="N144" s="1337"/>
      <c r="O144" s="1337"/>
      <c r="P144" s="1337"/>
      <c r="Q144" s="1"/>
      <c r="R144" s="1"/>
      <c r="S144" s="1"/>
      <c r="T144" s="1"/>
      <c r="U144" s="435">
        <f>IF(AND(W144&gt;=$U$1,W144&lt;=$U$2),IF(X144='ESTRATTO CONTO'!$E$2,1+COUNTIF(U$4:U143,"&gt;0"),0),0)</f>
        <v>0</v>
      </c>
      <c r="V144" s="417">
        <f t="shared" si="66"/>
        <v>141</v>
      </c>
      <c r="W144" s="509"/>
      <c r="X144" s="321"/>
      <c r="Y144" s="321"/>
      <c r="Z144" s="433"/>
      <c r="AA144" s="918">
        <f t="shared" si="57"/>
        <v>1</v>
      </c>
      <c r="AB144" s="306" t="str">
        <f t="shared" si="58"/>
        <v/>
      </c>
      <c r="AC144" s="788"/>
      <c r="AD144" s="119">
        <f t="shared" ref="AD144:AF163" si="67">IF($AB144=0,0,ROUND($Z144*VLOOKUP(AD$2,$F$1010:$Q$1014,VLOOKUP($CP144,$C$1076:$E$1081,3,FALSE),FALSE),2))</f>
        <v>0</v>
      </c>
      <c r="AE144" s="108">
        <f t="shared" si="67"/>
        <v>0</v>
      </c>
      <c r="AF144" s="108">
        <f t="shared" si="67"/>
        <v>0</v>
      </c>
      <c r="AG144" s="108"/>
      <c r="AH144" s="108"/>
      <c r="AI144" s="108"/>
      <c r="AJ144" s="108"/>
      <c r="AK144" s="108"/>
      <c r="AL144" s="108">
        <f t="shared" si="59"/>
        <v>0</v>
      </c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20">
        <f t="shared" si="60"/>
        <v>0</v>
      </c>
      <c r="CL144" s="122">
        <f t="shared" si="61"/>
        <v>0</v>
      </c>
      <c r="CM144" s="524" t="str">
        <f t="shared" si="63"/>
        <v/>
      </c>
      <c r="CN144" s="526">
        <f t="shared" si="64"/>
        <v>0</v>
      </c>
      <c r="CO144" s="122">
        <f t="shared" si="65"/>
        <v>0</v>
      </c>
      <c r="CP144" s="45" t="str">
        <f t="shared" si="62"/>
        <v>1 - in MILLESIMI   I</v>
      </c>
      <c r="CQ144" s="1"/>
    </row>
    <row r="145" spans="1:95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435">
        <f>IF(AND(W145&gt;=$U$1,W145&lt;=$U$2),IF(X145='ESTRATTO CONTO'!$E$2,1+COUNTIF(U$4:U144,"&gt;0"),0),0)</f>
        <v>0</v>
      </c>
      <c r="V145" s="417">
        <f t="shared" si="66"/>
        <v>142</v>
      </c>
      <c r="W145" s="509"/>
      <c r="X145" s="321"/>
      <c r="Y145" s="321"/>
      <c r="Z145" s="433"/>
      <c r="AA145" s="918">
        <f t="shared" si="57"/>
        <v>1</v>
      </c>
      <c r="AB145" s="306" t="str">
        <f t="shared" si="58"/>
        <v/>
      </c>
      <c r="AC145" s="788"/>
      <c r="AD145" s="119">
        <f t="shared" si="67"/>
        <v>0</v>
      </c>
      <c r="AE145" s="108">
        <f t="shared" si="67"/>
        <v>0</v>
      </c>
      <c r="AF145" s="108">
        <f t="shared" si="67"/>
        <v>0</v>
      </c>
      <c r="AG145" s="108"/>
      <c r="AH145" s="108"/>
      <c r="AI145" s="108"/>
      <c r="AJ145" s="108"/>
      <c r="AK145" s="108"/>
      <c r="AL145" s="108">
        <f t="shared" si="59"/>
        <v>0</v>
      </c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20">
        <f t="shared" si="60"/>
        <v>0</v>
      </c>
      <c r="CL145" s="122">
        <f t="shared" si="61"/>
        <v>0</v>
      </c>
      <c r="CM145" s="524" t="str">
        <f t="shared" si="63"/>
        <v/>
      </c>
      <c r="CN145" s="526">
        <f t="shared" si="64"/>
        <v>0</v>
      </c>
      <c r="CO145" s="122">
        <f t="shared" si="65"/>
        <v>0</v>
      </c>
      <c r="CP145" s="45" t="str">
        <f t="shared" si="62"/>
        <v>1 - in MILLESIMI   I</v>
      </c>
      <c r="CQ145" s="1"/>
    </row>
    <row r="146" spans="1:95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435">
        <f>IF(AND(W146&gt;=$U$1,W146&lt;=$U$2),IF(X146='ESTRATTO CONTO'!$E$2,1+COUNTIF(U$4:U145,"&gt;0"),0),0)</f>
        <v>0</v>
      </c>
      <c r="V146" s="417">
        <f t="shared" si="66"/>
        <v>143</v>
      </c>
      <c r="W146" s="509"/>
      <c r="X146" s="321"/>
      <c r="Y146" s="321"/>
      <c r="Z146" s="433"/>
      <c r="AA146" s="918">
        <f t="shared" si="57"/>
        <v>1</v>
      </c>
      <c r="AB146" s="306" t="str">
        <f t="shared" si="58"/>
        <v/>
      </c>
      <c r="AC146" s="788"/>
      <c r="AD146" s="119">
        <f t="shared" si="67"/>
        <v>0</v>
      </c>
      <c r="AE146" s="108">
        <f t="shared" si="67"/>
        <v>0</v>
      </c>
      <c r="AF146" s="108">
        <f t="shared" si="67"/>
        <v>0</v>
      </c>
      <c r="AG146" s="108"/>
      <c r="AH146" s="108"/>
      <c r="AI146" s="108"/>
      <c r="AJ146" s="108"/>
      <c r="AK146" s="108"/>
      <c r="AL146" s="108">
        <f t="shared" si="59"/>
        <v>0</v>
      </c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20">
        <f t="shared" si="60"/>
        <v>0</v>
      </c>
      <c r="CL146" s="122">
        <f t="shared" si="61"/>
        <v>0</v>
      </c>
      <c r="CM146" s="524" t="str">
        <f t="shared" si="63"/>
        <v/>
      </c>
      <c r="CN146" s="526">
        <f t="shared" si="64"/>
        <v>0</v>
      </c>
      <c r="CO146" s="122">
        <f t="shared" si="65"/>
        <v>0</v>
      </c>
      <c r="CP146" s="45" t="str">
        <f t="shared" si="62"/>
        <v>1 - in MILLESIMI   I</v>
      </c>
      <c r="CQ146" s="1"/>
    </row>
    <row r="147" spans="1:95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435">
        <f>IF(AND(W147&gt;=$U$1,W147&lt;=$U$2),IF(X147='ESTRATTO CONTO'!$E$2,1+COUNTIF(U$4:U146,"&gt;0"),0),0)</f>
        <v>0</v>
      </c>
      <c r="V147" s="417">
        <f t="shared" si="66"/>
        <v>144</v>
      </c>
      <c r="W147" s="509"/>
      <c r="X147" s="321"/>
      <c r="Y147" s="321"/>
      <c r="Z147" s="433"/>
      <c r="AA147" s="918">
        <f t="shared" si="57"/>
        <v>1</v>
      </c>
      <c r="AB147" s="306" t="str">
        <f t="shared" si="58"/>
        <v/>
      </c>
      <c r="AC147" s="788"/>
      <c r="AD147" s="119">
        <f t="shared" si="67"/>
        <v>0</v>
      </c>
      <c r="AE147" s="108">
        <f t="shared" si="67"/>
        <v>0</v>
      </c>
      <c r="AF147" s="108">
        <f t="shared" si="67"/>
        <v>0</v>
      </c>
      <c r="AG147" s="108"/>
      <c r="AH147" s="108"/>
      <c r="AI147" s="108"/>
      <c r="AJ147" s="108"/>
      <c r="AK147" s="108"/>
      <c r="AL147" s="108">
        <f t="shared" si="59"/>
        <v>0</v>
      </c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20">
        <f t="shared" si="60"/>
        <v>0</v>
      </c>
      <c r="CL147" s="122">
        <f t="shared" si="61"/>
        <v>0</v>
      </c>
      <c r="CM147" s="524" t="str">
        <f t="shared" si="63"/>
        <v/>
      </c>
      <c r="CN147" s="526">
        <f t="shared" si="64"/>
        <v>0</v>
      </c>
      <c r="CO147" s="122">
        <f t="shared" si="65"/>
        <v>0</v>
      </c>
      <c r="CP147" s="45" t="str">
        <f t="shared" si="62"/>
        <v>1 - in MILLESIMI   I</v>
      </c>
      <c r="CQ147" s="1"/>
    </row>
    <row r="148" spans="1:95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435">
        <f>IF(AND(W148&gt;=$U$1,W148&lt;=$U$2),IF(X148='ESTRATTO CONTO'!$E$2,1+COUNTIF(U$4:U147,"&gt;0"),0),0)</f>
        <v>0</v>
      </c>
      <c r="V148" s="417">
        <f t="shared" si="66"/>
        <v>145</v>
      </c>
      <c r="W148" s="509"/>
      <c r="X148" s="321"/>
      <c r="Y148" s="321"/>
      <c r="Z148" s="433"/>
      <c r="AA148" s="918">
        <f t="shared" si="57"/>
        <v>1</v>
      </c>
      <c r="AB148" s="306" t="str">
        <f t="shared" si="58"/>
        <v/>
      </c>
      <c r="AC148" s="788"/>
      <c r="AD148" s="119">
        <f t="shared" si="67"/>
        <v>0</v>
      </c>
      <c r="AE148" s="108">
        <f t="shared" si="67"/>
        <v>0</v>
      </c>
      <c r="AF148" s="108">
        <f t="shared" si="67"/>
        <v>0</v>
      </c>
      <c r="AG148" s="108"/>
      <c r="AH148" s="108"/>
      <c r="AI148" s="108"/>
      <c r="AJ148" s="108"/>
      <c r="AK148" s="108"/>
      <c r="AL148" s="108">
        <f t="shared" si="59"/>
        <v>0</v>
      </c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20">
        <f t="shared" si="60"/>
        <v>0</v>
      </c>
      <c r="CL148" s="122">
        <f t="shared" si="61"/>
        <v>0</v>
      </c>
      <c r="CM148" s="524" t="str">
        <f t="shared" si="63"/>
        <v/>
      </c>
      <c r="CN148" s="526">
        <f t="shared" si="64"/>
        <v>0</v>
      </c>
      <c r="CO148" s="122">
        <f t="shared" si="65"/>
        <v>0</v>
      </c>
      <c r="CP148" s="45" t="str">
        <f t="shared" si="62"/>
        <v>1 - in MILLESIMI   I</v>
      </c>
      <c r="CQ148" s="1"/>
    </row>
    <row r="149" spans="1:95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435">
        <f>IF(AND(W149&gt;=$U$1,W149&lt;=$U$2),IF(X149='ESTRATTO CONTO'!$E$2,1+COUNTIF(U$4:U148,"&gt;0"),0),0)</f>
        <v>0</v>
      </c>
      <c r="V149" s="417">
        <f t="shared" si="66"/>
        <v>146</v>
      </c>
      <c r="W149" s="509"/>
      <c r="X149" s="321"/>
      <c r="Y149" s="321"/>
      <c r="Z149" s="433"/>
      <c r="AA149" s="918">
        <f t="shared" si="57"/>
        <v>1</v>
      </c>
      <c r="AB149" s="306" t="str">
        <f t="shared" si="58"/>
        <v/>
      </c>
      <c r="AC149" s="788"/>
      <c r="AD149" s="119">
        <f t="shared" si="67"/>
        <v>0</v>
      </c>
      <c r="AE149" s="108">
        <f t="shared" si="67"/>
        <v>0</v>
      </c>
      <c r="AF149" s="108">
        <f t="shared" si="67"/>
        <v>0</v>
      </c>
      <c r="AG149" s="108"/>
      <c r="AH149" s="108"/>
      <c r="AI149" s="108"/>
      <c r="AJ149" s="108"/>
      <c r="AK149" s="108"/>
      <c r="AL149" s="108">
        <f t="shared" si="59"/>
        <v>0</v>
      </c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20">
        <f t="shared" si="60"/>
        <v>0</v>
      </c>
      <c r="CL149" s="122">
        <f t="shared" si="61"/>
        <v>0</v>
      </c>
      <c r="CM149" s="524" t="str">
        <f t="shared" si="63"/>
        <v/>
      </c>
      <c r="CN149" s="526">
        <f t="shared" si="64"/>
        <v>0</v>
      </c>
      <c r="CO149" s="122">
        <f t="shared" si="65"/>
        <v>0</v>
      </c>
      <c r="CP149" s="45" t="str">
        <f t="shared" si="62"/>
        <v>1 - in MILLESIMI   I</v>
      </c>
      <c r="CQ149" s="1"/>
    </row>
    <row r="150" spans="1:95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435">
        <f>IF(AND(W150&gt;=$U$1,W150&lt;=$U$2),IF(X150='ESTRATTO CONTO'!$E$2,1+COUNTIF(U$4:U149,"&gt;0"),0),0)</f>
        <v>0</v>
      </c>
      <c r="V150" s="417">
        <f t="shared" si="66"/>
        <v>147</v>
      </c>
      <c r="W150" s="509"/>
      <c r="X150" s="321"/>
      <c r="Y150" s="321"/>
      <c r="Z150" s="433"/>
      <c r="AA150" s="918">
        <f t="shared" si="57"/>
        <v>1</v>
      </c>
      <c r="AB150" s="306" t="str">
        <f t="shared" si="58"/>
        <v/>
      </c>
      <c r="AC150" s="788"/>
      <c r="AD150" s="119">
        <f t="shared" si="67"/>
        <v>0</v>
      </c>
      <c r="AE150" s="108">
        <f t="shared" si="67"/>
        <v>0</v>
      </c>
      <c r="AF150" s="108">
        <f t="shared" si="67"/>
        <v>0</v>
      </c>
      <c r="AG150" s="108"/>
      <c r="AH150" s="108"/>
      <c r="AI150" s="108"/>
      <c r="AJ150" s="108"/>
      <c r="AK150" s="108"/>
      <c r="AL150" s="108">
        <f t="shared" si="59"/>
        <v>0</v>
      </c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20">
        <f t="shared" si="60"/>
        <v>0</v>
      </c>
      <c r="CL150" s="122">
        <f t="shared" si="61"/>
        <v>0</v>
      </c>
      <c r="CM150" s="524" t="str">
        <f t="shared" si="63"/>
        <v/>
      </c>
      <c r="CN150" s="526">
        <f t="shared" si="64"/>
        <v>0</v>
      </c>
      <c r="CO150" s="122">
        <f t="shared" si="65"/>
        <v>0</v>
      </c>
      <c r="CP150" s="45" t="str">
        <f t="shared" si="62"/>
        <v>1 - in MILLESIMI   I</v>
      </c>
      <c r="CQ150" s="1"/>
    </row>
    <row r="151" spans="1:95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435">
        <f>IF(AND(W151&gt;=$U$1,W151&lt;=$U$2),IF(X151='ESTRATTO CONTO'!$E$2,1+COUNTIF(U$4:U150,"&gt;0"),0),0)</f>
        <v>0</v>
      </c>
      <c r="V151" s="417">
        <f t="shared" si="66"/>
        <v>148</v>
      </c>
      <c r="W151" s="509"/>
      <c r="X151" s="321"/>
      <c r="Y151" s="321"/>
      <c r="Z151" s="433"/>
      <c r="AA151" s="918">
        <f t="shared" si="57"/>
        <v>1</v>
      </c>
      <c r="AB151" s="306" t="str">
        <f t="shared" si="58"/>
        <v/>
      </c>
      <c r="AC151" s="788"/>
      <c r="AD151" s="119">
        <f t="shared" si="67"/>
        <v>0</v>
      </c>
      <c r="AE151" s="108">
        <f t="shared" si="67"/>
        <v>0</v>
      </c>
      <c r="AF151" s="108">
        <f t="shared" si="67"/>
        <v>0</v>
      </c>
      <c r="AG151" s="108"/>
      <c r="AH151" s="108"/>
      <c r="AI151" s="108"/>
      <c r="AJ151" s="108"/>
      <c r="AK151" s="108"/>
      <c r="AL151" s="108">
        <f t="shared" si="59"/>
        <v>0</v>
      </c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20">
        <f t="shared" si="60"/>
        <v>0</v>
      </c>
      <c r="CL151" s="122">
        <f t="shared" si="61"/>
        <v>0</v>
      </c>
      <c r="CM151" s="524" t="str">
        <f t="shared" si="63"/>
        <v/>
      </c>
      <c r="CN151" s="526">
        <f t="shared" si="64"/>
        <v>0</v>
      </c>
      <c r="CO151" s="122">
        <f t="shared" si="65"/>
        <v>0</v>
      </c>
      <c r="CP151" s="45" t="str">
        <f t="shared" si="62"/>
        <v>1 - in MILLESIMI   I</v>
      </c>
      <c r="CQ151" s="1"/>
    </row>
    <row r="152" spans="1:95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435">
        <f>IF(AND(W152&gt;=$U$1,W152&lt;=$U$2),IF(X152='ESTRATTO CONTO'!$E$2,1+COUNTIF(U$4:U151,"&gt;0"),0),0)</f>
        <v>0</v>
      </c>
      <c r="V152" s="417">
        <f t="shared" si="66"/>
        <v>149</v>
      </c>
      <c r="W152" s="509"/>
      <c r="X152" s="321"/>
      <c r="Y152" s="321"/>
      <c r="Z152" s="433"/>
      <c r="AA152" s="918">
        <f t="shared" si="57"/>
        <v>1</v>
      </c>
      <c r="AB152" s="306" t="str">
        <f t="shared" si="58"/>
        <v/>
      </c>
      <c r="AC152" s="788"/>
      <c r="AD152" s="119">
        <f t="shared" si="67"/>
        <v>0</v>
      </c>
      <c r="AE152" s="108">
        <f t="shared" si="67"/>
        <v>0</v>
      </c>
      <c r="AF152" s="108">
        <f t="shared" si="67"/>
        <v>0</v>
      </c>
      <c r="AG152" s="108"/>
      <c r="AH152" s="108"/>
      <c r="AI152" s="108"/>
      <c r="AJ152" s="108"/>
      <c r="AK152" s="108"/>
      <c r="AL152" s="108">
        <f t="shared" si="59"/>
        <v>0</v>
      </c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20">
        <f t="shared" si="60"/>
        <v>0</v>
      </c>
      <c r="CL152" s="122">
        <f t="shared" si="61"/>
        <v>0</v>
      </c>
      <c r="CM152" s="524" t="str">
        <f t="shared" si="63"/>
        <v/>
      </c>
      <c r="CN152" s="526">
        <f t="shared" si="64"/>
        <v>0</v>
      </c>
      <c r="CO152" s="122">
        <f t="shared" si="65"/>
        <v>0</v>
      </c>
      <c r="CP152" s="45" t="str">
        <f t="shared" si="62"/>
        <v>1 - in MILLESIMI   I</v>
      </c>
      <c r="CQ152" s="1"/>
    </row>
    <row r="153" spans="1:95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435">
        <f>IF(AND(W153&gt;=$U$1,W153&lt;=$U$2),IF(X153='ESTRATTO CONTO'!$E$2,1+COUNTIF(U$4:U152,"&gt;0"),0),0)</f>
        <v>0</v>
      </c>
      <c r="V153" s="417">
        <f t="shared" si="66"/>
        <v>150</v>
      </c>
      <c r="W153" s="509"/>
      <c r="X153" s="321"/>
      <c r="Y153" s="321"/>
      <c r="Z153" s="433"/>
      <c r="AA153" s="918">
        <f t="shared" si="57"/>
        <v>1</v>
      </c>
      <c r="AB153" s="306" t="str">
        <f t="shared" si="58"/>
        <v/>
      </c>
      <c r="AC153" s="788"/>
      <c r="AD153" s="119">
        <f t="shared" si="67"/>
        <v>0</v>
      </c>
      <c r="AE153" s="108">
        <f t="shared" si="67"/>
        <v>0</v>
      </c>
      <c r="AF153" s="108">
        <f t="shared" si="67"/>
        <v>0</v>
      </c>
      <c r="AG153" s="108"/>
      <c r="AH153" s="108"/>
      <c r="AI153" s="108"/>
      <c r="AJ153" s="108"/>
      <c r="AK153" s="108"/>
      <c r="AL153" s="108">
        <f t="shared" si="59"/>
        <v>0</v>
      </c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20">
        <f t="shared" si="60"/>
        <v>0</v>
      </c>
      <c r="CL153" s="122">
        <f t="shared" si="61"/>
        <v>0</v>
      </c>
      <c r="CM153" s="524" t="str">
        <f t="shared" si="63"/>
        <v/>
      </c>
      <c r="CN153" s="526">
        <f t="shared" si="64"/>
        <v>0</v>
      </c>
      <c r="CO153" s="122">
        <f t="shared" si="65"/>
        <v>0</v>
      </c>
      <c r="CP153" s="45" t="str">
        <f t="shared" si="62"/>
        <v>1 - in MILLESIMI   I</v>
      </c>
      <c r="CQ153" s="1"/>
    </row>
    <row r="154" spans="1:95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435">
        <f>IF(AND(W154&gt;=$U$1,W154&lt;=$U$2),IF(X154='ESTRATTO CONTO'!$E$2,1+COUNTIF(U$4:U153,"&gt;0"),0),0)</f>
        <v>0</v>
      </c>
      <c r="V154" s="417">
        <f t="shared" si="66"/>
        <v>151</v>
      </c>
      <c r="W154" s="509"/>
      <c r="X154" s="321"/>
      <c r="Y154" s="321"/>
      <c r="Z154" s="433"/>
      <c r="AA154" s="918">
        <f t="shared" si="57"/>
        <v>1</v>
      </c>
      <c r="AB154" s="306" t="str">
        <f t="shared" si="58"/>
        <v/>
      </c>
      <c r="AC154" s="788"/>
      <c r="AD154" s="119">
        <f t="shared" si="67"/>
        <v>0</v>
      </c>
      <c r="AE154" s="108">
        <f t="shared" si="67"/>
        <v>0</v>
      </c>
      <c r="AF154" s="108">
        <f t="shared" si="67"/>
        <v>0</v>
      </c>
      <c r="AG154" s="108"/>
      <c r="AH154" s="108"/>
      <c r="AI154" s="108"/>
      <c r="AJ154" s="108"/>
      <c r="AK154" s="108"/>
      <c r="AL154" s="108">
        <f t="shared" si="59"/>
        <v>0</v>
      </c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20">
        <f t="shared" si="60"/>
        <v>0</v>
      </c>
      <c r="CL154" s="122">
        <f t="shared" si="61"/>
        <v>0</v>
      </c>
      <c r="CM154" s="524" t="str">
        <f t="shared" si="63"/>
        <v/>
      </c>
      <c r="CN154" s="526">
        <f t="shared" si="64"/>
        <v>0</v>
      </c>
      <c r="CO154" s="122">
        <f t="shared" si="65"/>
        <v>0</v>
      </c>
      <c r="CP154" s="45" t="str">
        <f t="shared" si="62"/>
        <v>1 - in MILLESIMI   I</v>
      </c>
      <c r="CQ154" s="1"/>
    </row>
    <row r="155" spans="1:95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435">
        <f>IF(AND(W155&gt;=$U$1,W155&lt;=$U$2),IF(X155='ESTRATTO CONTO'!$E$2,1+COUNTIF(U$4:U154,"&gt;0"),0),0)</f>
        <v>0</v>
      </c>
      <c r="V155" s="417">
        <f t="shared" si="66"/>
        <v>152</v>
      </c>
      <c r="W155" s="509"/>
      <c r="X155" s="321"/>
      <c r="Y155" s="321"/>
      <c r="Z155" s="433"/>
      <c r="AA155" s="918">
        <f t="shared" si="57"/>
        <v>1</v>
      </c>
      <c r="AB155" s="306" t="str">
        <f t="shared" si="58"/>
        <v/>
      </c>
      <c r="AC155" s="788"/>
      <c r="AD155" s="119">
        <f t="shared" si="67"/>
        <v>0</v>
      </c>
      <c r="AE155" s="108">
        <f t="shared" si="67"/>
        <v>0</v>
      </c>
      <c r="AF155" s="108">
        <f t="shared" si="67"/>
        <v>0</v>
      </c>
      <c r="AG155" s="108"/>
      <c r="AH155" s="108"/>
      <c r="AI155" s="108"/>
      <c r="AJ155" s="108"/>
      <c r="AK155" s="108"/>
      <c r="AL155" s="108">
        <f t="shared" si="59"/>
        <v>0</v>
      </c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20">
        <f t="shared" si="60"/>
        <v>0</v>
      </c>
      <c r="CL155" s="122">
        <f t="shared" si="61"/>
        <v>0</v>
      </c>
      <c r="CM155" s="524" t="str">
        <f t="shared" si="63"/>
        <v/>
      </c>
      <c r="CN155" s="526">
        <f t="shared" si="64"/>
        <v>0</v>
      </c>
      <c r="CO155" s="122">
        <f t="shared" si="65"/>
        <v>0</v>
      </c>
      <c r="CP155" s="45" t="str">
        <f t="shared" si="62"/>
        <v>1 - in MILLESIMI   I</v>
      </c>
      <c r="CQ155" s="1"/>
    </row>
    <row r="156" spans="1:95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435">
        <f>IF(AND(W156&gt;=$U$1,W156&lt;=$U$2),IF(X156='ESTRATTO CONTO'!$E$2,1+COUNTIF(U$4:U155,"&gt;0"),0),0)</f>
        <v>0</v>
      </c>
      <c r="V156" s="417">
        <f t="shared" si="66"/>
        <v>153</v>
      </c>
      <c r="W156" s="509"/>
      <c r="X156" s="321"/>
      <c r="Y156" s="321"/>
      <c r="Z156" s="433"/>
      <c r="AA156" s="918">
        <f t="shared" si="57"/>
        <v>1</v>
      </c>
      <c r="AB156" s="306" t="str">
        <f t="shared" si="58"/>
        <v/>
      </c>
      <c r="AC156" s="788"/>
      <c r="AD156" s="119">
        <f t="shared" si="67"/>
        <v>0</v>
      </c>
      <c r="AE156" s="108">
        <f t="shared" si="67"/>
        <v>0</v>
      </c>
      <c r="AF156" s="108">
        <f t="shared" si="67"/>
        <v>0</v>
      </c>
      <c r="AG156" s="108"/>
      <c r="AH156" s="108"/>
      <c r="AI156" s="108"/>
      <c r="AJ156" s="108"/>
      <c r="AK156" s="108"/>
      <c r="AL156" s="108">
        <f t="shared" si="59"/>
        <v>0</v>
      </c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20">
        <f t="shared" si="60"/>
        <v>0</v>
      </c>
      <c r="CL156" s="122">
        <f t="shared" si="61"/>
        <v>0</v>
      </c>
      <c r="CM156" s="524" t="str">
        <f t="shared" si="63"/>
        <v/>
      </c>
      <c r="CN156" s="526">
        <f t="shared" si="64"/>
        <v>0</v>
      </c>
      <c r="CO156" s="122">
        <f t="shared" si="65"/>
        <v>0</v>
      </c>
      <c r="CP156" s="45" t="str">
        <f t="shared" si="62"/>
        <v>1 - in MILLESIMI   I</v>
      </c>
      <c r="CQ156" s="1"/>
    </row>
    <row r="157" spans="1:95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435">
        <f>IF(AND(W157&gt;=$U$1,W157&lt;=$U$2),IF(X157='ESTRATTO CONTO'!$E$2,1+COUNTIF(U$4:U156,"&gt;0"),0),0)</f>
        <v>0</v>
      </c>
      <c r="V157" s="417">
        <f t="shared" si="66"/>
        <v>154</v>
      </c>
      <c r="W157" s="509"/>
      <c r="X157" s="321"/>
      <c r="Y157" s="321"/>
      <c r="Z157" s="433"/>
      <c r="AA157" s="918">
        <f t="shared" si="57"/>
        <v>1</v>
      </c>
      <c r="AB157" s="306" t="str">
        <f t="shared" si="58"/>
        <v/>
      </c>
      <c r="AC157" s="788"/>
      <c r="AD157" s="119">
        <f t="shared" si="67"/>
        <v>0</v>
      </c>
      <c r="AE157" s="108">
        <f t="shared" si="67"/>
        <v>0</v>
      </c>
      <c r="AF157" s="108">
        <f t="shared" si="67"/>
        <v>0</v>
      </c>
      <c r="AG157" s="108"/>
      <c r="AH157" s="108"/>
      <c r="AI157" s="108"/>
      <c r="AJ157" s="108"/>
      <c r="AK157" s="108"/>
      <c r="AL157" s="108">
        <f t="shared" si="59"/>
        <v>0</v>
      </c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20">
        <f t="shared" si="60"/>
        <v>0</v>
      </c>
      <c r="CL157" s="122">
        <f t="shared" si="61"/>
        <v>0</v>
      </c>
      <c r="CM157" s="524" t="str">
        <f t="shared" si="63"/>
        <v/>
      </c>
      <c r="CN157" s="526">
        <f t="shared" si="64"/>
        <v>0</v>
      </c>
      <c r="CO157" s="122">
        <f t="shared" si="65"/>
        <v>0</v>
      </c>
      <c r="CP157" s="45" t="str">
        <f t="shared" si="62"/>
        <v>1 - in MILLESIMI   I</v>
      </c>
      <c r="CQ157" s="1"/>
    </row>
    <row r="158" spans="1:95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435">
        <f>IF(AND(W158&gt;=$U$1,W158&lt;=$U$2),IF(X158='ESTRATTO CONTO'!$E$2,1+COUNTIF(U$4:U157,"&gt;0"),0),0)</f>
        <v>0</v>
      </c>
      <c r="V158" s="417">
        <f t="shared" si="66"/>
        <v>155</v>
      </c>
      <c r="W158" s="509"/>
      <c r="X158" s="321"/>
      <c r="Y158" s="321"/>
      <c r="Z158" s="433"/>
      <c r="AA158" s="918">
        <f t="shared" si="57"/>
        <v>1</v>
      </c>
      <c r="AB158" s="306" t="str">
        <f t="shared" si="58"/>
        <v/>
      </c>
      <c r="AC158" s="788"/>
      <c r="AD158" s="119">
        <f t="shared" si="67"/>
        <v>0</v>
      </c>
      <c r="AE158" s="108">
        <f t="shared" si="67"/>
        <v>0</v>
      </c>
      <c r="AF158" s="108">
        <f t="shared" si="67"/>
        <v>0</v>
      </c>
      <c r="AG158" s="108"/>
      <c r="AH158" s="108"/>
      <c r="AI158" s="108"/>
      <c r="AJ158" s="108"/>
      <c r="AK158" s="108"/>
      <c r="AL158" s="108">
        <f t="shared" si="59"/>
        <v>0</v>
      </c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20">
        <f t="shared" si="60"/>
        <v>0</v>
      </c>
      <c r="CL158" s="122">
        <f t="shared" si="61"/>
        <v>0</v>
      </c>
      <c r="CM158" s="524" t="str">
        <f t="shared" si="63"/>
        <v/>
      </c>
      <c r="CN158" s="526">
        <f t="shared" si="64"/>
        <v>0</v>
      </c>
      <c r="CO158" s="122">
        <f t="shared" si="65"/>
        <v>0</v>
      </c>
      <c r="CP158" s="45" t="str">
        <f t="shared" si="62"/>
        <v>1 - in MILLESIMI   I</v>
      </c>
      <c r="CQ158" s="1"/>
    </row>
    <row r="159" spans="1:95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435">
        <f>IF(AND(W159&gt;=$U$1,W159&lt;=$U$2),IF(X159='ESTRATTO CONTO'!$E$2,1+COUNTIF(U$4:U158,"&gt;0"),0),0)</f>
        <v>0</v>
      </c>
      <c r="V159" s="417">
        <f t="shared" si="66"/>
        <v>156</v>
      </c>
      <c r="W159" s="509"/>
      <c r="X159" s="321"/>
      <c r="Y159" s="321"/>
      <c r="Z159" s="433"/>
      <c r="AA159" s="918">
        <f t="shared" si="57"/>
        <v>1</v>
      </c>
      <c r="AB159" s="306" t="str">
        <f t="shared" si="58"/>
        <v/>
      </c>
      <c r="AC159" s="788"/>
      <c r="AD159" s="119">
        <f t="shared" si="67"/>
        <v>0</v>
      </c>
      <c r="AE159" s="108">
        <f t="shared" si="67"/>
        <v>0</v>
      </c>
      <c r="AF159" s="108">
        <f t="shared" si="67"/>
        <v>0</v>
      </c>
      <c r="AG159" s="108"/>
      <c r="AH159" s="108"/>
      <c r="AI159" s="108"/>
      <c r="AJ159" s="108"/>
      <c r="AK159" s="108"/>
      <c r="AL159" s="108">
        <f t="shared" si="59"/>
        <v>0</v>
      </c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20">
        <f t="shared" si="60"/>
        <v>0</v>
      </c>
      <c r="CL159" s="122">
        <f t="shared" si="61"/>
        <v>0</v>
      </c>
      <c r="CM159" s="524" t="str">
        <f t="shared" si="63"/>
        <v/>
      </c>
      <c r="CN159" s="526">
        <f t="shared" si="64"/>
        <v>0</v>
      </c>
      <c r="CO159" s="122">
        <f t="shared" si="65"/>
        <v>0</v>
      </c>
      <c r="CP159" s="45" t="str">
        <f t="shared" si="62"/>
        <v>1 - in MILLESIMI   I</v>
      </c>
      <c r="CQ159" s="1"/>
    </row>
    <row r="160" spans="1:95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435">
        <f>IF(AND(W160&gt;=$U$1,W160&lt;=$U$2),IF(X160='ESTRATTO CONTO'!$E$2,1+COUNTIF(U$4:U159,"&gt;0"),0),0)</f>
        <v>0</v>
      </c>
      <c r="V160" s="417">
        <f t="shared" si="66"/>
        <v>157</v>
      </c>
      <c r="W160" s="509"/>
      <c r="X160" s="321"/>
      <c r="Y160" s="321"/>
      <c r="Z160" s="433"/>
      <c r="AA160" s="918">
        <f t="shared" si="57"/>
        <v>1</v>
      </c>
      <c r="AB160" s="306" t="str">
        <f t="shared" si="58"/>
        <v/>
      </c>
      <c r="AC160" s="788"/>
      <c r="AD160" s="119">
        <f t="shared" si="67"/>
        <v>0</v>
      </c>
      <c r="AE160" s="108">
        <f t="shared" si="67"/>
        <v>0</v>
      </c>
      <c r="AF160" s="108">
        <f t="shared" si="67"/>
        <v>0</v>
      </c>
      <c r="AG160" s="108"/>
      <c r="AH160" s="108"/>
      <c r="AI160" s="108"/>
      <c r="AJ160" s="108"/>
      <c r="AK160" s="108"/>
      <c r="AL160" s="108">
        <f t="shared" si="59"/>
        <v>0</v>
      </c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20">
        <f t="shared" si="60"/>
        <v>0</v>
      </c>
      <c r="CL160" s="122">
        <f t="shared" si="61"/>
        <v>0</v>
      </c>
      <c r="CM160" s="524" t="str">
        <f t="shared" si="63"/>
        <v/>
      </c>
      <c r="CN160" s="526">
        <f t="shared" si="64"/>
        <v>0</v>
      </c>
      <c r="CO160" s="122">
        <f t="shared" si="65"/>
        <v>0</v>
      </c>
      <c r="CP160" s="45" t="str">
        <f t="shared" si="62"/>
        <v>1 - in MILLESIMI   I</v>
      </c>
      <c r="CQ160" s="1"/>
    </row>
    <row r="161" spans="1:95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435">
        <f>IF(AND(W161&gt;=$U$1,W161&lt;=$U$2),IF(X161='ESTRATTO CONTO'!$E$2,1+COUNTIF(U$4:U160,"&gt;0"),0),0)</f>
        <v>0</v>
      </c>
      <c r="V161" s="417">
        <f t="shared" si="66"/>
        <v>158</v>
      </c>
      <c r="W161" s="509"/>
      <c r="X161" s="321"/>
      <c r="Y161" s="321"/>
      <c r="Z161" s="433"/>
      <c r="AA161" s="918">
        <f t="shared" si="57"/>
        <v>1</v>
      </c>
      <c r="AB161" s="306" t="str">
        <f t="shared" si="58"/>
        <v/>
      </c>
      <c r="AC161" s="788"/>
      <c r="AD161" s="119">
        <f t="shared" si="67"/>
        <v>0</v>
      </c>
      <c r="AE161" s="108">
        <f t="shared" si="67"/>
        <v>0</v>
      </c>
      <c r="AF161" s="108">
        <f t="shared" si="67"/>
        <v>0</v>
      </c>
      <c r="AG161" s="108"/>
      <c r="AH161" s="108"/>
      <c r="AI161" s="108"/>
      <c r="AJ161" s="108"/>
      <c r="AK161" s="108"/>
      <c r="AL161" s="108">
        <f t="shared" si="59"/>
        <v>0</v>
      </c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20">
        <f t="shared" si="60"/>
        <v>0</v>
      </c>
      <c r="CL161" s="122">
        <f t="shared" si="61"/>
        <v>0</v>
      </c>
      <c r="CM161" s="524" t="str">
        <f t="shared" si="63"/>
        <v/>
      </c>
      <c r="CN161" s="526">
        <f t="shared" si="64"/>
        <v>0</v>
      </c>
      <c r="CO161" s="122">
        <f t="shared" si="65"/>
        <v>0</v>
      </c>
      <c r="CP161" s="45" t="str">
        <f t="shared" si="62"/>
        <v>1 - in MILLESIMI   I</v>
      </c>
      <c r="CQ161" s="1"/>
    </row>
    <row r="162" spans="1:95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435">
        <f>IF(AND(W162&gt;=$U$1,W162&lt;=$U$2),IF(X162='ESTRATTO CONTO'!$E$2,1+COUNTIF(U$4:U161,"&gt;0"),0),0)</f>
        <v>0</v>
      </c>
      <c r="V162" s="417">
        <f t="shared" si="66"/>
        <v>159</v>
      </c>
      <c r="W162" s="509"/>
      <c r="X162" s="321"/>
      <c r="Y162" s="321"/>
      <c r="Z162" s="433"/>
      <c r="AA162" s="918">
        <f t="shared" si="57"/>
        <v>1</v>
      </c>
      <c r="AB162" s="306" t="str">
        <f t="shared" si="58"/>
        <v/>
      </c>
      <c r="AC162" s="788"/>
      <c r="AD162" s="119">
        <f t="shared" si="67"/>
        <v>0</v>
      </c>
      <c r="AE162" s="108">
        <f t="shared" si="67"/>
        <v>0</v>
      </c>
      <c r="AF162" s="108">
        <f t="shared" si="67"/>
        <v>0</v>
      </c>
      <c r="AG162" s="108"/>
      <c r="AH162" s="108"/>
      <c r="AI162" s="108"/>
      <c r="AJ162" s="108"/>
      <c r="AK162" s="108"/>
      <c r="AL162" s="108">
        <f t="shared" si="59"/>
        <v>0</v>
      </c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20">
        <f t="shared" si="60"/>
        <v>0</v>
      </c>
      <c r="CL162" s="122">
        <f t="shared" si="61"/>
        <v>0</v>
      </c>
      <c r="CM162" s="524" t="str">
        <f t="shared" si="63"/>
        <v/>
      </c>
      <c r="CN162" s="526">
        <f t="shared" si="64"/>
        <v>0</v>
      </c>
      <c r="CO162" s="122">
        <f t="shared" si="65"/>
        <v>0</v>
      </c>
      <c r="CP162" s="45" t="str">
        <f t="shared" si="62"/>
        <v>1 - in MILLESIMI   I</v>
      </c>
      <c r="CQ162" s="1"/>
    </row>
    <row r="163" spans="1:95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435">
        <f>IF(AND(W163&gt;=$U$1,W163&lt;=$U$2),IF(X163='ESTRATTO CONTO'!$E$2,1+COUNTIF(U$4:U162,"&gt;0"),0),0)</f>
        <v>0</v>
      </c>
      <c r="V163" s="417">
        <f t="shared" si="66"/>
        <v>160</v>
      </c>
      <c r="W163" s="509"/>
      <c r="X163" s="321"/>
      <c r="Y163" s="321"/>
      <c r="Z163" s="433"/>
      <c r="AA163" s="918">
        <f t="shared" si="57"/>
        <v>1</v>
      </c>
      <c r="AB163" s="306" t="str">
        <f t="shared" si="58"/>
        <v/>
      </c>
      <c r="AC163" s="788"/>
      <c r="AD163" s="119">
        <f t="shared" si="67"/>
        <v>0</v>
      </c>
      <c r="AE163" s="108">
        <f t="shared" si="67"/>
        <v>0</v>
      </c>
      <c r="AF163" s="108">
        <f t="shared" si="67"/>
        <v>0</v>
      </c>
      <c r="AG163" s="108"/>
      <c r="AH163" s="108"/>
      <c r="AI163" s="108"/>
      <c r="AJ163" s="108"/>
      <c r="AK163" s="108"/>
      <c r="AL163" s="108">
        <f t="shared" si="59"/>
        <v>0</v>
      </c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20">
        <f t="shared" si="60"/>
        <v>0</v>
      </c>
      <c r="CL163" s="122">
        <f t="shared" si="61"/>
        <v>0</v>
      </c>
      <c r="CM163" s="524" t="str">
        <f t="shared" si="63"/>
        <v/>
      </c>
      <c r="CN163" s="526">
        <f t="shared" si="64"/>
        <v>0</v>
      </c>
      <c r="CO163" s="122">
        <f t="shared" si="65"/>
        <v>0</v>
      </c>
      <c r="CP163" s="45" t="str">
        <f t="shared" si="62"/>
        <v>1 - in MILLESIMI   I</v>
      </c>
      <c r="CQ163" s="1"/>
    </row>
    <row r="164" spans="1:95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435">
        <f>IF(AND(W164&gt;=$U$1,W164&lt;=$U$2),IF(X164='ESTRATTO CONTO'!$E$2,1+COUNTIF(U$4:U163,"&gt;0"),0),0)</f>
        <v>0</v>
      </c>
      <c r="V164" s="417">
        <f t="shared" si="66"/>
        <v>161</v>
      </c>
      <c r="W164" s="509"/>
      <c r="X164" s="321"/>
      <c r="Y164" s="321"/>
      <c r="Z164" s="433"/>
      <c r="AA164" s="918">
        <f t="shared" si="57"/>
        <v>1</v>
      </c>
      <c r="AB164" s="306" t="str">
        <f t="shared" si="58"/>
        <v/>
      </c>
      <c r="AC164" s="788"/>
      <c r="AD164" s="119">
        <f t="shared" ref="AD164:AF183" si="68">IF($AB164=0,0,ROUND($Z164*VLOOKUP(AD$2,$F$1010:$Q$1014,VLOOKUP($CP164,$C$1076:$E$1081,3,FALSE),FALSE),2))</f>
        <v>0</v>
      </c>
      <c r="AE164" s="108">
        <f t="shared" si="68"/>
        <v>0</v>
      </c>
      <c r="AF164" s="108">
        <f t="shared" si="68"/>
        <v>0</v>
      </c>
      <c r="AG164" s="108"/>
      <c r="AH164" s="108"/>
      <c r="AI164" s="108"/>
      <c r="AJ164" s="108"/>
      <c r="AK164" s="108"/>
      <c r="AL164" s="108">
        <f t="shared" si="59"/>
        <v>0</v>
      </c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20">
        <f t="shared" si="60"/>
        <v>0</v>
      </c>
      <c r="CL164" s="122">
        <f t="shared" si="61"/>
        <v>0</v>
      </c>
      <c r="CM164" s="524" t="str">
        <f t="shared" si="63"/>
        <v/>
      </c>
      <c r="CN164" s="526">
        <f t="shared" si="64"/>
        <v>0</v>
      </c>
      <c r="CO164" s="122">
        <f t="shared" si="65"/>
        <v>0</v>
      </c>
      <c r="CP164" s="45" t="str">
        <f t="shared" si="62"/>
        <v>1 - in MILLESIMI   I</v>
      </c>
      <c r="CQ164" s="1"/>
    </row>
    <row r="165" spans="1:95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435">
        <f>IF(AND(W165&gt;=$U$1,W165&lt;=$U$2),IF(X165='ESTRATTO CONTO'!$E$2,1+COUNTIF(U$4:U164,"&gt;0"),0),0)</f>
        <v>0</v>
      </c>
      <c r="V165" s="417">
        <f t="shared" si="66"/>
        <v>162</v>
      </c>
      <c r="W165" s="509"/>
      <c r="X165" s="321"/>
      <c r="Y165" s="321"/>
      <c r="Z165" s="433"/>
      <c r="AA165" s="918">
        <f t="shared" si="57"/>
        <v>1</v>
      </c>
      <c r="AB165" s="306" t="str">
        <f t="shared" si="58"/>
        <v/>
      </c>
      <c r="AC165" s="788"/>
      <c r="AD165" s="119">
        <f t="shared" si="68"/>
        <v>0</v>
      </c>
      <c r="AE165" s="108">
        <f t="shared" si="68"/>
        <v>0</v>
      </c>
      <c r="AF165" s="108">
        <f t="shared" si="68"/>
        <v>0</v>
      </c>
      <c r="AG165" s="108"/>
      <c r="AH165" s="108"/>
      <c r="AI165" s="108"/>
      <c r="AJ165" s="108"/>
      <c r="AK165" s="108"/>
      <c r="AL165" s="108">
        <f t="shared" si="59"/>
        <v>0</v>
      </c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20">
        <f t="shared" si="60"/>
        <v>0</v>
      </c>
      <c r="CL165" s="122">
        <f t="shared" si="61"/>
        <v>0</v>
      </c>
      <c r="CM165" s="524" t="str">
        <f t="shared" si="63"/>
        <v/>
      </c>
      <c r="CN165" s="526">
        <f t="shared" si="64"/>
        <v>0</v>
      </c>
      <c r="CO165" s="122">
        <f t="shared" si="65"/>
        <v>0</v>
      </c>
      <c r="CP165" s="45" t="str">
        <f t="shared" si="62"/>
        <v>1 - in MILLESIMI   I</v>
      </c>
      <c r="CQ165" s="1"/>
    </row>
    <row r="166" spans="1:95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435">
        <f>IF(AND(W166&gt;=$U$1,W166&lt;=$U$2),IF(X166='ESTRATTO CONTO'!$E$2,1+COUNTIF(U$4:U165,"&gt;0"),0),0)</f>
        <v>0</v>
      </c>
      <c r="V166" s="417">
        <f t="shared" si="66"/>
        <v>163</v>
      </c>
      <c r="W166" s="509"/>
      <c r="X166" s="321"/>
      <c r="Y166" s="321"/>
      <c r="Z166" s="433"/>
      <c r="AA166" s="918">
        <f t="shared" si="57"/>
        <v>1</v>
      </c>
      <c r="AB166" s="306" t="str">
        <f t="shared" si="58"/>
        <v/>
      </c>
      <c r="AC166" s="788"/>
      <c r="AD166" s="119">
        <f t="shared" si="68"/>
        <v>0</v>
      </c>
      <c r="AE166" s="108">
        <f t="shared" si="68"/>
        <v>0</v>
      </c>
      <c r="AF166" s="108">
        <f t="shared" si="68"/>
        <v>0</v>
      </c>
      <c r="AG166" s="108"/>
      <c r="AH166" s="108"/>
      <c r="AI166" s="108"/>
      <c r="AJ166" s="108"/>
      <c r="AK166" s="108"/>
      <c r="AL166" s="108">
        <f t="shared" si="59"/>
        <v>0</v>
      </c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20">
        <f t="shared" si="60"/>
        <v>0</v>
      </c>
      <c r="CL166" s="122">
        <f t="shared" si="61"/>
        <v>0</v>
      </c>
      <c r="CM166" s="524" t="str">
        <f t="shared" si="63"/>
        <v/>
      </c>
      <c r="CN166" s="526">
        <f t="shared" si="64"/>
        <v>0</v>
      </c>
      <c r="CO166" s="122">
        <f t="shared" si="65"/>
        <v>0</v>
      </c>
      <c r="CP166" s="45" t="str">
        <f t="shared" si="62"/>
        <v>1 - in MILLESIMI   I</v>
      </c>
      <c r="CQ166" s="1"/>
    </row>
    <row r="167" spans="1:95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435">
        <f>IF(AND(W167&gt;=$U$1,W167&lt;=$U$2),IF(X167='ESTRATTO CONTO'!$E$2,1+COUNTIF(U$4:U166,"&gt;0"),0),0)</f>
        <v>0</v>
      </c>
      <c r="V167" s="417">
        <f t="shared" si="66"/>
        <v>164</v>
      </c>
      <c r="W167" s="509"/>
      <c r="X167" s="321"/>
      <c r="Y167" s="321"/>
      <c r="Z167" s="433"/>
      <c r="AA167" s="918">
        <f t="shared" si="57"/>
        <v>1</v>
      </c>
      <c r="AB167" s="306" t="str">
        <f t="shared" si="58"/>
        <v/>
      </c>
      <c r="AC167" s="788"/>
      <c r="AD167" s="119">
        <f t="shared" si="68"/>
        <v>0</v>
      </c>
      <c r="AE167" s="108">
        <f t="shared" si="68"/>
        <v>0</v>
      </c>
      <c r="AF167" s="108">
        <f t="shared" si="68"/>
        <v>0</v>
      </c>
      <c r="AG167" s="108"/>
      <c r="AH167" s="108"/>
      <c r="AI167" s="108"/>
      <c r="AJ167" s="108"/>
      <c r="AK167" s="108"/>
      <c r="AL167" s="108">
        <f t="shared" si="59"/>
        <v>0</v>
      </c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20">
        <f t="shared" si="60"/>
        <v>0</v>
      </c>
      <c r="CL167" s="122">
        <f t="shared" si="61"/>
        <v>0</v>
      </c>
      <c r="CM167" s="524" t="str">
        <f t="shared" si="63"/>
        <v/>
      </c>
      <c r="CN167" s="526">
        <f t="shared" si="64"/>
        <v>0</v>
      </c>
      <c r="CO167" s="122">
        <f t="shared" si="65"/>
        <v>0</v>
      </c>
      <c r="CP167" s="45" t="str">
        <f t="shared" si="62"/>
        <v>1 - in MILLESIMI   I</v>
      </c>
      <c r="CQ167" s="1"/>
    </row>
    <row r="168" spans="1:95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435">
        <f>IF(AND(W168&gt;=$U$1,W168&lt;=$U$2),IF(X168='ESTRATTO CONTO'!$E$2,1+COUNTIF(U$4:U167,"&gt;0"),0),0)</f>
        <v>0</v>
      </c>
      <c r="V168" s="417">
        <f t="shared" si="66"/>
        <v>165</v>
      </c>
      <c r="W168" s="509"/>
      <c r="X168" s="321"/>
      <c r="Y168" s="321"/>
      <c r="Z168" s="433"/>
      <c r="AA168" s="918">
        <f t="shared" si="57"/>
        <v>1</v>
      </c>
      <c r="AB168" s="306" t="str">
        <f t="shared" si="58"/>
        <v/>
      </c>
      <c r="AC168" s="788"/>
      <c r="AD168" s="119">
        <f t="shared" si="68"/>
        <v>0</v>
      </c>
      <c r="AE168" s="108">
        <f t="shared" si="68"/>
        <v>0</v>
      </c>
      <c r="AF168" s="108">
        <f t="shared" si="68"/>
        <v>0</v>
      </c>
      <c r="AG168" s="108"/>
      <c r="AH168" s="108"/>
      <c r="AI168" s="108"/>
      <c r="AJ168" s="108"/>
      <c r="AK168" s="108"/>
      <c r="AL168" s="108">
        <f t="shared" si="59"/>
        <v>0</v>
      </c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20">
        <f t="shared" si="60"/>
        <v>0</v>
      </c>
      <c r="CL168" s="122">
        <f t="shared" si="61"/>
        <v>0</v>
      </c>
      <c r="CM168" s="524" t="str">
        <f t="shared" si="63"/>
        <v/>
      </c>
      <c r="CN168" s="526">
        <f t="shared" si="64"/>
        <v>0</v>
      </c>
      <c r="CO168" s="122">
        <f t="shared" si="65"/>
        <v>0</v>
      </c>
      <c r="CP168" s="45" t="str">
        <f t="shared" si="62"/>
        <v>1 - in MILLESIMI   I</v>
      </c>
      <c r="CQ168" s="1"/>
    </row>
    <row r="169" spans="1:95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435">
        <f>IF(AND(W169&gt;=$U$1,W169&lt;=$U$2),IF(X169='ESTRATTO CONTO'!$E$2,1+COUNTIF(U$4:U168,"&gt;0"),0),0)</f>
        <v>0</v>
      </c>
      <c r="V169" s="417">
        <f t="shared" si="66"/>
        <v>166</v>
      </c>
      <c r="W169" s="509"/>
      <c r="X169" s="321"/>
      <c r="Y169" s="321"/>
      <c r="Z169" s="433"/>
      <c r="AA169" s="918">
        <f t="shared" si="57"/>
        <v>1</v>
      </c>
      <c r="AB169" s="306" t="str">
        <f t="shared" si="58"/>
        <v/>
      </c>
      <c r="AC169" s="788"/>
      <c r="AD169" s="119">
        <f t="shared" si="68"/>
        <v>0</v>
      </c>
      <c r="AE169" s="108">
        <f t="shared" si="68"/>
        <v>0</v>
      </c>
      <c r="AF169" s="108">
        <f t="shared" si="68"/>
        <v>0</v>
      </c>
      <c r="AG169" s="108"/>
      <c r="AH169" s="108"/>
      <c r="AI169" s="108"/>
      <c r="AJ169" s="108"/>
      <c r="AK169" s="108"/>
      <c r="AL169" s="108">
        <f t="shared" si="59"/>
        <v>0</v>
      </c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20">
        <f t="shared" si="60"/>
        <v>0</v>
      </c>
      <c r="CL169" s="122">
        <f t="shared" si="61"/>
        <v>0</v>
      </c>
      <c r="CM169" s="524" t="str">
        <f t="shared" si="63"/>
        <v/>
      </c>
      <c r="CN169" s="526">
        <f t="shared" si="64"/>
        <v>0</v>
      </c>
      <c r="CO169" s="122">
        <f t="shared" si="65"/>
        <v>0</v>
      </c>
      <c r="CP169" s="45" t="str">
        <f t="shared" si="62"/>
        <v>1 - in MILLESIMI   I</v>
      </c>
      <c r="CQ169" s="1"/>
    </row>
    <row r="170" spans="1:95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435">
        <f>IF(AND(W170&gt;=$U$1,W170&lt;=$U$2),IF(X170='ESTRATTO CONTO'!$E$2,1+COUNTIF(U$4:U169,"&gt;0"),0),0)</f>
        <v>0</v>
      </c>
      <c r="V170" s="417">
        <f t="shared" si="66"/>
        <v>167</v>
      </c>
      <c r="W170" s="509"/>
      <c r="X170" s="321"/>
      <c r="Y170" s="321"/>
      <c r="Z170" s="433"/>
      <c r="AA170" s="918">
        <f t="shared" si="57"/>
        <v>1</v>
      </c>
      <c r="AB170" s="306" t="str">
        <f t="shared" si="58"/>
        <v/>
      </c>
      <c r="AC170" s="788"/>
      <c r="AD170" s="119">
        <f t="shared" si="68"/>
        <v>0</v>
      </c>
      <c r="AE170" s="108">
        <f t="shared" si="68"/>
        <v>0</v>
      </c>
      <c r="AF170" s="108">
        <f t="shared" si="68"/>
        <v>0</v>
      </c>
      <c r="AG170" s="108"/>
      <c r="AH170" s="108"/>
      <c r="AI170" s="108"/>
      <c r="AJ170" s="108"/>
      <c r="AK170" s="108"/>
      <c r="AL170" s="108">
        <f t="shared" si="59"/>
        <v>0</v>
      </c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20">
        <f t="shared" si="60"/>
        <v>0</v>
      </c>
      <c r="CL170" s="122">
        <f t="shared" si="61"/>
        <v>0</v>
      </c>
      <c r="CM170" s="524" t="str">
        <f t="shared" si="63"/>
        <v/>
      </c>
      <c r="CN170" s="526">
        <f t="shared" si="64"/>
        <v>0</v>
      </c>
      <c r="CO170" s="122">
        <f t="shared" si="65"/>
        <v>0</v>
      </c>
      <c r="CP170" s="45" t="str">
        <f t="shared" si="62"/>
        <v>1 - in MILLESIMI   I</v>
      </c>
      <c r="CQ170" s="1"/>
    </row>
    <row r="171" spans="1:95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435">
        <f>IF(AND(W171&gt;=$U$1,W171&lt;=$U$2),IF(X171='ESTRATTO CONTO'!$E$2,1+COUNTIF(U$4:U170,"&gt;0"),0),0)</f>
        <v>0</v>
      </c>
      <c r="V171" s="417">
        <f t="shared" si="66"/>
        <v>168</v>
      </c>
      <c r="W171" s="509"/>
      <c r="X171" s="321"/>
      <c r="Y171" s="321"/>
      <c r="Z171" s="433"/>
      <c r="AA171" s="918">
        <f t="shared" si="57"/>
        <v>1</v>
      </c>
      <c r="AB171" s="306" t="str">
        <f t="shared" si="58"/>
        <v/>
      </c>
      <c r="AC171" s="788"/>
      <c r="AD171" s="119">
        <f t="shared" si="68"/>
        <v>0</v>
      </c>
      <c r="AE171" s="108">
        <f t="shared" si="68"/>
        <v>0</v>
      </c>
      <c r="AF171" s="108">
        <f t="shared" si="68"/>
        <v>0</v>
      </c>
      <c r="AG171" s="108"/>
      <c r="AH171" s="108"/>
      <c r="AI171" s="108"/>
      <c r="AJ171" s="108"/>
      <c r="AK171" s="108"/>
      <c r="AL171" s="108">
        <f t="shared" si="59"/>
        <v>0</v>
      </c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20">
        <f t="shared" si="60"/>
        <v>0</v>
      </c>
      <c r="CL171" s="122">
        <f t="shared" si="61"/>
        <v>0</v>
      </c>
      <c r="CM171" s="524" t="str">
        <f t="shared" si="63"/>
        <v/>
      </c>
      <c r="CN171" s="526">
        <f t="shared" si="64"/>
        <v>0</v>
      </c>
      <c r="CO171" s="122">
        <f t="shared" si="65"/>
        <v>0</v>
      </c>
      <c r="CP171" s="45" t="str">
        <f t="shared" si="62"/>
        <v>1 - in MILLESIMI   I</v>
      </c>
      <c r="CQ171" s="1"/>
    </row>
    <row r="172" spans="1:95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435">
        <f>IF(AND(W172&gt;=$U$1,W172&lt;=$U$2),IF(X172='ESTRATTO CONTO'!$E$2,1+COUNTIF(U$4:U171,"&gt;0"),0),0)</f>
        <v>0</v>
      </c>
      <c r="V172" s="417">
        <f t="shared" si="66"/>
        <v>169</v>
      </c>
      <c r="W172" s="509"/>
      <c r="X172" s="321"/>
      <c r="Y172" s="321"/>
      <c r="Z172" s="433"/>
      <c r="AA172" s="918">
        <f t="shared" si="57"/>
        <v>1</v>
      </c>
      <c r="AB172" s="306" t="str">
        <f t="shared" si="58"/>
        <v/>
      </c>
      <c r="AC172" s="788"/>
      <c r="AD172" s="119">
        <f t="shared" si="68"/>
        <v>0</v>
      </c>
      <c r="AE172" s="108">
        <f t="shared" si="68"/>
        <v>0</v>
      </c>
      <c r="AF172" s="108">
        <f t="shared" si="68"/>
        <v>0</v>
      </c>
      <c r="AG172" s="108"/>
      <c r="AH172" s="108"/>
      <c r="AI172" s="108"/>
      <c r="AJ172" s="108"/>
      <c r="AK172" s="108"/>
      <c r="AL172" s="108">
        <f t="shared" si="59"/>
        <v>0</v>
      </c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20">
        <f t="shared" si="60"/>
        <v>0</v>
      </c>
      <c r="CL172" s="122">
        <f t="shared" si="61"/>
        <v>0</v>
      </c>
      <c r="CM172" s="524" t="str">
        <f t="shared" si="63"/>
        <v/>
      </c>
      <c r="CN172" s="526">
        <f t="shared" si="64"/>
        <v>0</v>
      </c>
      <c r="CO172" s="122">
        <f t="shared" si="65"/>
        <v>0</v>
      </c>
      <c r="CP172" s="45" t="str">
        <f t="shared" si="62"/>
        <v>1 - in MILLESIMI   I</v>
      </c>
      <c r="CQ172" s="1"/>
    </row>
    <row r="173" spans="1:95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435">
        <f>IF(AND(W173&gt;=$U$1,W173&lt;=$U$2),IF(X173='ESTRATTO CONTO'!$E$2,1+COUNTIF(U$4:U172,"&gt;0"),0),0)</f>
        <v>0</v>
      </c>
      <c r="V173" s="417">
        <f t="shared" si="66"/>
        <v>170</v>
      </c>
      <c r="W173" s="509"/>
      <c r="X173" s="321"/>
      <c r="Y173" s="321"/>
      <c r="Z173" s="433"/>
      <c r="AA173" s="918">
        <f t="shared" si="57"/>
        <v>1</v>
      </c>
      <c r="AB173" s="306" t="str">
        <f t="shared" si="58"/>
        <v/>
      </c>
      <c r="AC173" s="788"/>
      <c r="AD173" s="119">
        <f t="shared" si="68"/>
        <v>0</v>
      </c>
      <c r="AE173" s="108">
        <f t="shared" si="68"/>
        <v>0</v>
      </c>
      <c r="AF173" s="108">
        <f t="shared" si="68"/>
        <v>0</v>
      </c>
      <c r="AG173" s="108"/>
      <c r="AH173" s="108"/>
      <c r="AI173" s="108"/>
      <c r="AJ173" s="108"/>
      <c r="AK173" s="108"/>
      <c r="AL173" s="108">
        <f t="shared" si="59"/>
        <v>0</v>
      </c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20">
        <f t="shared" si="60"/>
        <v>0</v>
      </c>
      <c r="CL173" s="122">
        <f t="shared" si="61"/>
        <v>0</v>
      </c>
      <c r="CM173" s="524" t="str">
        <f t="shared" si="63"/>
        <v/>
      </c>
      <c r="CN173" s="526">
        <f t="shared" si="64"/>
        <v>0</v>
      </c>
      <c r="CO173" s="122">
        <f t="shared" si="65"/>
        <v>0</v>
      </c>
      <c r="CP173" s="45" t="str">
        <f t="shared" si="62"/>
        <v>1 - in MILLESIMI   I</v>
      </c>
      <c r="CQ173" s="1"/>
    </row>
    <row r="174" spans="1:95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435">
        <f>IF(AND(W174&gt;=$U$1,W174&lt;=$U$2),IF(X174='ESTRATTO CONTO'!$E$2,1+COUNTIF(U$4:U173,"&gt;0"),0),0)</f>
        <v>0</v>
      </c>
      <c r="V174" s="417">
        <f t="shared" si="66"/>
        <v>171</v>
      </c>
      <c r="W174" s="509"/>
      <c r="X174" s="321"/>
      <c r="Y174" s="321"/>
      <c r="Z174" s="433"/>
      <c r="AA174" s="918">
        <f t="shared" si="57"/>
        <v>1</v>
      </c>
      <c r="AB174" s="306" t="str">
        <f t="shared" si="58"/>
        <v/>
      </c>
      <c r="AC174" s="788"/>
      <c r="AD174" s="119">
        <f t="shared" si="68"/>
        <v>0</v>
      </c>
      <c r="AE174" s="108">
        <f t="shared" si="68"/>
        <v>0</v>
      </c>
      <c r="AF174" s="108">
        <f t="shared" si="68"/>
        <v>0</v>
      </c>
      <c r="AG174" s="108"/>
      <c r="AH174" s="108"/>
      <c r="AI174" s="108"/>
      <c r="AJ174" s="108"/>
      <c r="AK174" s="108"/>
      <c r="AL174" s="108">
        <f t="shared" si="59"/>
        <v>0</v>
      </c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20">
        <f t="shared" si="60"/>
        <v>0</v>
      </c>
      <c r="CL174" s="122">
        <f t="shared" si="61"/>
        <v>0</v>
      </c>
      <c r="CM174" s="524" t="str">
        <f t="shared" si="63"/>
        <v/>
      </c>
      <c r="CN174" s="526">
        <f t="shared" si="64"/>
        <v>0</v>
      </c>
      <c r="CO174" s="122">
        <f t="shared" si="65"/>
        <v>0</v>
      </c>
      <c r="CP174" s="45" t="str">
        <f t="shared" si="62"/>
        <v>1 - in MILLESIMI   I</v>
      </c>
      <c r="CQ174" s="1"/>
    </row>
    <row r="175" spans="1:95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435">
        <f>IF(AND(W175&gt;=$U$1,W175&lt;=$U$2),IF(X175='ESTRATTO CONTO'!$E$2,1+COUNTIF(U$4:U174,"&gt;0"),0),0)</f>
        <v>0</v>
      </c>
      <c r="V175" s="417">
        <f t="shared" si="66"/>
        <v>172</v>
      </c>
      <c r="W175" s="509"/>
      <c r="X175" s="321"/>
      <c r="Y175" s="321"/>
      <c r="Z175" s="433"/>
      <c r="AA175" s="918">
        <f t="shared" si="57"/>
        <v>1</v>
      </c>
      <c r="AB175" s="306" t="str">
        <f t="shared" si="58"/>
        <v/>
      </c>
      <c r="AC175" s="788"/>
      <c r="AD175" s="119">
        <f t="shared" si="68"/>
        <v>0</v>
      </c>
      <c r="AE175" s="108">
        <f t="shared" si="68"/>
        <v>0</v>
      </c>
      <c r="AF175" s="108">
        <f t="shared" si="68"/>
        <v>0</v>
      </c>
      <c r="AG175" s="108"/>
      <c r="AH175" s="108"/>
      <c r="AI175" s="108"/>
      <c r="AJ175" s="108"/>
      <c r="AK175" s="108"/>
      <c r="AL175" s="108">
        <f t="shared" si="59"/>
        <v>0</v>
      </c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20">
        <f t="shared" si="60"/>
        <v>0</v>
      </c>
      <c r="CL175" s="122">
        <f t="shared" si="61"/>
        <v>0</v>
      </c>
      <c r="CM175" s="524" t="str">
        <f t="shared" si="63"/>
        <v/>
      </c>
      <c r="CN175" s="526">
        <f t="shared" si="64"/>
        <v>0</v>
      </c>
      <c r="CO175" s="122">
        <f t="shared" si="65"/>
        <v>0</v>
      </c>
      <c r="CP175" s="45" t="str">
        <f t="shared" si="62"/>
        <v>1 - in MILLESIMI   I</v>
      </c>
      <c r="CQ175" s="1"/>
    </row>
    <row r="176" spans="1:95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435">
        <f>IF(AND(W176&gt;=$U$1,W176&lt;=$U$2),IF(X176='ESTRATTO CONTO'!$E$2,1+COUNTIF(U$4:U175,"&gt;0"),0),0)</f>
        <v>0</v>
      </c>
      <c r="V176" s="417">
        <f t="shared" si="66"/>
        <v>173</v>
      </c>
      <c r="W176" s="509"/>
      <c r="X176" s="321"/>
      <c r="Y176" s="321"/>
      <c r="Z176" s="433"/>
      <c r="AA176" s="918">
        <f t="shared" si="57"/>
        <v>1</v>
      </c>
      <c r="AB176" s="306" t="str">
        <f t="shared" si="58"/>
        <v/>
      </c>
      <c r="AC176" s="788"/>
      <c r="AD176" s="119">
        <f t="shared" si="68"/>
        <v>0</v>
      </c>
      <c r="AE176" s="108">
        <f t="shared" si="68"/>
        <v>0</v>
      </c>
      <c r="AF176" s="108">
        <f t="shared" si="68"/>
        <v>0</v>
      </c>
      <c r="AG176" s="108"/>
      <c r="AH176" s="108"/>
      <c r="AI176" s="108"/>
      <c r="AJ176" s="108"/>
      <c r="AK176" s="108"/>
      <c r="AL176" s="108">
        <f t="shared" si="59"/>
        <v>0</v>
      </c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20">
        <f t="shared" si="60"/>
        <v>0</v>
      </c>
      <c r="CL176" s="122">
        <f t="shared" si="61"/>
        <v>0</v>
      </c>
      <c r="CM176" s="524" t="str">
        <f t="shared" si="63"/>
        <v/>
      </c>
      <c r="CN176" s="526">
        <f t="shared" si="64"/>
        <v>0</v>
      </c>
      <c r="CO176" s="122">
        <f t="shared" si="65"/>
        <v>0</v>
      </c>
      <c r="CP176" s="45" t="str">
        <f t="shared" si="62"/>
        <v>1 - in MILLESIMI   I</v>
      </c>
      <c r="CQ176" s="1"/>
    </row>
    <row r="177" spans="1:95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435">
        <f>IF(AND(W177&gt;=$U$1,W177&lt;=$U$2),IF(X177='ESTRATTO CONTO'!$E$2,1+COUNTIF(U$4:U176,"&gt;0"),0),0)</f>
        <v>0</v>
      </c>
      <c r="V177" s="417">
        <f t="shared" si="66"/>
        <v>174</v>
      </c>
      <c r="W177" s="509"/>
      <c r="X177" s="321"/>
      <c r="Y177" s="321"/>
      <c r="Z177" s="433"/>
      <c r="AA177" s="918">
        <f t="shared" si="57"/>
        <v>1</v>
      </c>
      <c r="AB177" s="306" t="str">
        <f t="shared" si="58"/>
        <v/>
      </c>
      <c r="AC177" s="788"/>
      <c r="AD177" s="119">
        <f t="shared" si="68"/>
        <v>0</v>
      </c>
      <c r="AE177" s="108">
        <f t="shared" si="68"/>
        <v>0</v>
      </c>
      <c r="AF177" s="108">
        <f t="shared" si="68"/>
        <v>0</v>
      </c>
      <c r="AG177" s="108"/>
      <c r="AH177" s="108"/>
      <c r="AI177" s="108"/>
      <c r="AJ177" s="108"/>
      <c r="AK177" s="108"/>
      <c r="AL177" s="108">
        <f t="shared" si="59"/>
        <v>0</v>
      </c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20">
        <f t="shared" si="60"/>
        <v>0</v>
      </c>
      <c r="CL177" s="122">
        <f t="shared" si="61"/>
        <v>0</v>
      </c>
      <c r="CM177" s="524" t="str">
        <f t="shared" si="63"/>
        <v/>
      </c>
      <c r="CN177" s="526">
        <f t="shared" si="64"/>
        <v>0</v>
      </c>
      <c r="CO177" s="122">
        <f t="shared" si="65"/>
        <v>0</v>
      </c>
      <c r="CP177" s="45" t="str">
        <f t="shared" si="62"/>
        <v>1 - in MILLESIMI   I</v>
      </c>
      <c r="CQ177" s="1"/>
    </row>
    <row r="178" spans="1:95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435">
        <f>IF(AND(W178&gt;=$U$1,W178&lt;=$U$2),IF(X178='ESTRATTO CONTO'!$E$2,1+COUNTIF(U$4:U177,"&gt;0"),0),0)</f>
        <v>0</v>
      </c>
      <c r="V178" s="417">
        <f t="shared" si="66"/>
        <v>175</v>
      </c>
      <c r="W178" s="509"/>
      <c r="X178" s="321"/>
      <c r="Y178" s="321"/>
      <c r="Z178" s="433"/>
      <c r="AA178" s="918">
        <f t="shared" si="57"/>
        <v>1</v>
      </c>
      <c r="AB178" s="306" t="str">
        <f t="shared" si="58"/>
        <v/>
      </c>
      <c r="AC178" s="788"/>
      <c r="AD178" s="119">
        <f t="shared" si="68"/>
        <v>0</v>
      </c>
      <c r="AE178" s="108">
        <f t="shared" si="68"/>
        <v>0</v>
      </c>
      <c r="AF178" s="108">
        <f t="shared" si="68"/>
        <v>0</v>
      </c>
      <c r="AG178" s="108"/>
      <c r="AH178" s="108"/>
      <c r="AI178" s="108"/>
      <c r="AJ178" s="108"/>
      <c r="AK178" s="108"/>
      <c r="AL178" s="108">
        <f t="shared" si="59"/>
        <v>0</v>
      </c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20">
        <f t="shared" si="60"/>
        <v>0</v>
      </c>
      <c r="CL178" s="122">
        <f t="shared" si="61"/>
        <v>0</v>
      </c>
      <c r="CM178" s="524" t="str">
        <f t="shared" si="63"/>
        <v/>
      </c>
      <c r="CN178" s="526">
        <f t="shared" si="64"/>
        <v>0</v>
      </c>
      <c r="CO178" s="122">
        <f t="shared" si="65"/>
        <v>0</v>
      </c>
      <c r="CP178" s="45" t="str">
        <f t="shared" si="62"/>
        <v>1 - in MILLESIMI   I</v>
      </c>
      <c r="CQ178" s="1"/>
    </row>
    <row r="179" spans="1:95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435">
        <f>IF(AND(W179&gt;=$U$1,W179&lt;=$U$2),IF(X179='ESTRATTO CONTO'!$E$2,1+COUNTIF(U$4:U178,"&gt;0"),0),0)</f>
        <v>0</v>
      </c>
      <c r="V179" s="417">
        <f t="shared" si="66"/>
        <v>176</v>
      </c>
      <c r="W179" s="509"/>
      <c r="X179" s="321"/>
      <c r="Y179" s="321"/>
      <c r="Z179" s="433"/>
      <c r="AA179" s="918">
        <f t="shared" si="57"/>
        <v>1</v>
      </c>
      <c r="AB179" s="306" t="str">
        <f t="shared" si="58"/>
        <v/>
      </c>
      <c r="AC179" s="788"/>
      <c r="AD179" s="119">
        <f t="shared" si="68"/>
        <v>0</v>
      </c>
      <c r="AE179" s="108">
        <f t="shared" si="68"/>
        <v>0</v>
      </c>
      <c r="AF179" s="108">
        <f t="shared" si="68"/>
        <v>0</v>
      </c>
      <c r="AG179" s="108"/>
      <c r="AH179" s="108"/>
      <c r="AI179" s="108"/>
      <c r="AJ179" s="108"/>
      <c r="AK179" s="108"/>
      <c r="AL179" s="108">
        <f t="shared" si="59"/>
        <v>0</v>
      </c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20">
        <f t="shared" si="60"/>
        <v>0</v>
      </c>
      <c r="CL179" s="122">
        <f t="shared" si="61"/>
        <v>0</v>
      </c>
      <c r="CM179" s="524" t="str">
        <f t="shared" si="63"/>
        <v/>
      </c>
      <c r="CN179" s="526">
        <f t="shared" si="64"/>
        <v>0</v>
      </c>
      <c r="CO179" s="122">
        <f t="shared" si="65"/>
        <v>0</v>
      </c>
      <c r="CP179" s="45" t="str">
        <f t="shared" si="62"/>
        <v>1 - in MILLESIMI   I</v>
      </c>
      <c r="CQ179" s="1"/>
    </row>
    <row r="180" spans="1:95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435">
        <f>IF(AND(W180&gt;=$U$1,W180&lt;=$U$2),IF(X180='ESTRATTO CONTO'!$E$2,1+COUNTIF(U$4:U179,"&gt;0"),0),0)</f>
        <v>0</v>
      </c>
      <c r="V180" s="417">
        <f t="shared" si="66"/>
        <v>177</v>
      </c>
      <c r="W180" s="509"/>
      <c r="X180" s="321"/>
      <c r="Y180" s="321"/>
      <c r="Z180" s="433"/>
      <c r="AA180" s="918">
        <f t="shared" si="57"/>
        <v>1</v>
      </c>
      <c r="AB180" s="306" t="str">
        <f t="shared" si="58"/>
        <v/>
      </c>
      <c r="AC180" s="788"/>
      <c r="AD180" s="119">
        <f t="shared" si="68"/>
        <v>0</v>
      </c>
      <c r="AE180" s="108">
        <f t="shared" si="68"/>
        <v>0</v>
      </c>
      <c r="AF180" s="108">
        <f t="shared" si="68"/>
        <v>0</v>
      </c>
      <c r="AG180" s="108"/>
      <c r="AH180" s="108"/>
      <c r="AI180" s="108"/>
      <c r="AJ180" s="108"/>
      <c r="AK180" s="108"/>
      <c r="AL180" s="108">
        <f t="shared" si="59"/>
        <v>0</v>
      </c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20">
        <f t="shared" si="60"/>
        <v>0</v>
      </c>
      <c r="CL180" s="122">
        <f t="shared" si="61"/>
        <v>0</v>
      </c>
      <c r="CM180" s="524" t="str">
        <f t="shared" si="63"/>
        <v/>
      </c>
      <c r="CN180" s="526">
        <f t="shared" si="64"/>
        <v>0</v>
      </c>
      <c r="CO180" s="122">
        <f t="shared" si="65"/>
        <v>0</v>
      </c>
      <c r="CP180" s="45" t="str">
        <f t="shared" si="62"/>
        <v>1 - in MILLESIMI   I</v>
      </c>
      <c r="CQ180" s="1"/>
    </row>
    <row r="181" spans="1:95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435">
        <f>IF(AND(W181&gt;=$U$1,W181&lt;=$U$2),IF(X181='ESTRATTO CONTO'!$E$2,1+COUNTIF(U$4:U180,"&gt;0"),0),0)</f>
        <v>0</v>
      </c>
      <c r="V181" s="417">
        <f t="shared" si="66"/>
        <v>178</v>
      </c>
      <c r="W181" s="509"/>
      <c r="X181" s="321"/>
      <c r="Y181" s="321"/>
      <c r="Z181" s="433"/>
      <c r="AA181" s="918">
        <f t="shared" si="57"/>
        <v>1</v>
      </c>
      <c r="AB181" s="306" t="str">
        <f t="shared" si="58"/>
        <v/>
      </c>
      <c r="AC181" s="788"/>
      <c r="AD181" s="119">
        <f t="shared" si="68"/>
        <v>0</v>
      </c>
      <c r="AE181" s="108">
        <f t="shared" si="68"/>
        <v>0</v>
      </c>
      <c r="AF181" s="108">
        <f t="shared" si="68"/>
        <v>0</v>
      </c>
      <c r="AG181" s="108"/>
      <c r="AH181" s="108"/>
      <c r="AI181" s="108"/>
      <c r="AJ181" s="108"/>
      <c r="AK181" s="108"/>
      <c r="AL181" s="108">
        <f t="shared" si="59"/>
        <v>0</v>
      </c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20">
        <f t="shared" si="60"/>
        <v>0</v>
      </c>
      <c r="CL181" s="122">
        <f t="shared" si="61"/>
        <v>0</v>
      </c>
      <c r="CM181" s="524" t="str">
        <f t="shared" si="63"/>
        <v/>
      </c>
      <c r="CN181" s="526">
        <f t="shared" si="64"/>
        <v>0</v>
      </c>
      <c r="CO181" s="122">
        <f t="shared" si="65"/>
        <v>0</v>
      </c>
      <c r="CP181" s="45" t="str">
        <f t="shared" si="62"/>
        <v>1 - in MILLESIMI   I</v>
      </c>
      <c r="CQ181" s="1"/>
    </row>
    <row r="182" spans="1:95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435">
        <f>IF(AND(W182&gt;=$U$1,W182&lt;=$U$2),IF(X182='ESTRATTO CONTO'!$E$2,1+COUNTIF(U$4:U181,"&gt;0"),0),0)</f>
        <v>0</v>
      </c>
      <c r="V182" s="417">
        <f t="shared" si="66"/>
        <v>179</v>
      </c>
      <c r="W182" s="509"/>
      <c r="X182" s="321"/>
      <c r="Y182" s="321"/>
      <c r="Z182" s="433"/>
      <c r="AA182" s="918">
        <f t="shared" si="57"/>
        <v>1</v>
      </c>
      <c r="AB182" s="306" t="str">
        <f t="shared" si="58"/>
        <v/>
      </c>
      <c r="AC182" s="788"/>
      <c r="AD182" s="119">
        <f t="shared" si="68"/>
        <v>0</v>
      </c>
      <c r="AE182" s="108">
        <f t="shared" si="68"/>
        <v>0</v>
      </c>
      <c r="AF182" s="108">
        <f t="shared" si="68"/>
        <v>0</v>
      </c>
      <c r="AG182" s="108"/>
      <c r="AH182" s="108"/>
      <c r="AI182" s="108"/>
      <c r="AJ182" s="108"/>
      <c r="AK182" s="108"/>
      <c r="AL182" s="108">
        <f t="shared" si="59"/>
        <v>0</v>
      </c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20">
        <f t="shared" si="60"/>
        <v>0</v>
      </c>
      <c r="CL182" s="122">
        <f t="shared" si="61"/>
        <v>0</v>
      </c>
      <c r="CM182" s="524" t="str">
        <f t="shared" si="63"/>
        <v/>
      </c>
      <c r="CN182" s="526">
        <f t="shared" si="64"/>
        <v>0</v>
      </c>
      <c r="CO182" s="122">
        <f t="shared" si="65"/>
        <v>0</v>
      </c>
      <c r="CP182" s="45" t="str">
        <f t="shared" si="62"/>
        <v>1 - in MILLESIMI   I</v>
      </c>
      <c r="CQ182" s="1"/>
    </row>
    <row r="183" spans="1:95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435">
        <f>IF(AND(W183&gt;=$U$1,W183&lt;=$U$2),IF(X183='ESTRATTO CONTO'!$E$2,1+COUNTIF(U$4:U182,"&gt;0"),0),0)</f>
        <v>0</v>
      </c>
      <c r="V183" s="417">
        <f t="shared" si="66"/>
        <v>180</v>
      </c>
      <c r="W183" s="509"/>
      <c r="X183" s="321"/>
      <c r="Y183" s="321"/>
      <c r="Z183" s="433"/>
      <c r="AA183" s="918">
        <f t="shared" si="57"/>
        <v>1</v>
      </c>
      <c r="AB183" s="306" t="str">
        <f t="shared" si="58"/>
        <v/>
      </c>
      <c r="AC183" s="788"/>
      <c r="AD183" s="119">
        <f t="shared" si="68"/>
        <v>0</v>
      </c>
      <c r="AE183" s="108">
        <f t="shared" si="68"/>
        <v>0</v>
      </c>
      <c r="AF183" s="108">
        <f t="shared" si="68"/>
        <v>0</v>
      </c>
      <c r="AG183" s="108"/>
      <c r="AH183" s="108"/>
      <c r="AI183" s="108"/>
      <c r="AJ183" s="108"/>
      <c r="AK183" s="108"/>
      <c r="AL183" s="108">
        <f t="shared" si="59"/>
        <v>0</v>
      </c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20">
        <f t="shared" si="60"/>
        <v>0</v>
      </c>
      <c r="CL183" s="122">
        <f t="shared" si="61"/>
        <v>0</v>
      </c>
      <c r="CM183" s="524" t="str">
        <f t="shared" si="63"/>
        <v/>
      </c>
      <c r="CN183" s="526">
        <f t="shared" si="64"/>
        <v>0</v>
      </c>
      <c r="CO183" s="122">
        <f t="shared" si="65"/>
        <v>0</v>
      </c>
      <c r="CP183" s="45" t="str">
        <f t="shared" si="62"/>
        <v>1 - in MILLESIMI   I</v>
      </c>
      <c r="CQ183" s="1"/>
    </row>
    <row r="184" spans="1:95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435">
        <f>IF(AND(W184&gt;=$U$1,W184&lt;=$U$2),IF(X184='ESTRATTO CONTO'!$E$2,1+COUNTIF(U$4:U183,"&gt;0"),0),0)</f>
        <v>0</v>
      </c>
      <c r="V184" s="417">
        <f t="shared" si="66"/>
        <v>181</v>
      </c>
      <c r="W184" s="509"/>
      <c r="X184" s="321"/>
      <c r="Y184" s="321"/>
      <c r="Z184" s="433"/>
      <c r="AA184" s="918">
        <f t="shared" si="57"/>
        <v>1</v>
      </c>
      <c r="AB184" s="306" t="str">
        <f t="shared" si="58"/>
        <v/>
      </c>
      <c r="AC184" s="788"/>
      <c r="AD184" s="119">
        <f t="shared" ref="AD184:AF203" si="69">IF($AB184=0,0,ROUND($Z184*VLOOKUP(AD$2,$F$1010:$Q$1014,VLOOKUP($CP184,$C$1076:$E$1081,3,FALSE),FALSE),2))</f>
        <v>0</v>
      </c>
      <c r="AE184" s="108">
        <f t="shared" si="69"/>
        <v>0</v>
      </c>
      <c r="AF184" s="108">
        <f t="shared" si="69"/>
        <v>0</v>
      </c>
      <c r="AG184" s="108"/>
      <c r="AH184" s="108"/>
      <c r="AI184" s="108"/>
      <c r="AJ184" s="108"/>
      <c r="AK184" s="108"/>
      <c r="AL184" s="108">
        <f t="shared" si="59"/>
        <v>0</v>
      </c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20">
        <f t="shared" si="60"/>
        <v>0</v>
      </c>
      <c r="CL184" s="122">
        <f t="shared" si="61"/>
        <v>0</v>
      </c>
      <c r="CM184" s="524" t="str">
        <f t="shared" si="63"/>
        <v/>
      </c>
      <c r="CN184" s="526">
        <f t="shared" si="64"/>
        <v>0</v>
      </c>
      <c r="CO184" s="122">
        <f t="shared" si="65"/>
        <v>0</v>
      </c>
      <c r="CP184" s="45" t="str">
        <f t="shared" si="62"/>
        <v>1 - in MILLESIMI   I</v>
      </c>
      <c r="CQ184" s="1"/>
    </row>
    <row r="185" spans="1:95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435">
        <f>IF(AND(W185&gt;=$U$1,W185&lt;=$U$2),IF(X185='ESTRATTO CONTO'!$E$2,1+COUNTIF(U$4:U184,"&gt;0"),0),0)</f>
        <v>0</v>
      </c>
      <c r="V185" s="417">
        <f t="shared" si="66"/>
        <v>182</v>
      </c>
      <c r="W185" s="509"/>
      <c r="X185" s="321"/>
      <c r="Y185" s="321"/>
      <c r="Z185" s="433"/>
      <c r="AA185" s="918">
        <f t="shared" si="57"/>
        <v>1</v>
      </c>
      <c r="AB185" s="306" t="str">
        <f t="shared" si="58"/>
        <v/>
      </c>
      <c r="AC185" s="788"/>
      <c r="AD185" s="119">
        <f t="shared" si="69"/>
        <v>0</v>
      </c>
      <c r="AE185" s="108">
        <f t="shared" si="69"/>
        <v>0</v>
      </c>
      <c r="AF185" s="108">
        <f t="shared" si="69"/>
        <v>0</v>
      </c>
      <c r="AG185" s="108"/>
      <c r="AH185" s="108"/>
      <c r="AI185" s="108"/>
      <c r="AJ185" s="108"/>
      <c r="AK185" s="108"/>
      <c r="AL185" s="108">
        <f t="shared" si="59"/>
        <v>0</v>
      </c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20">
        <f t="shared" si="60"/>
        <v>0</v>
      </c>
      <c r="CL185" s="122">
        <f t="shared" si="61"/>
        <v>0</v>
      </c>
      <c r="CM185" s="524" t="str">
        <f t="shared" si="63"/>
        <v/>
      </c>
      <c r="CN185" s="526">
        <f t="shared" si="64"/>
        <v>0</v>
      </c>
      <c r="CO185" s="122">
        <f t="shared" si="65"/>
        <v>0</v>
      </c>
      <c r="CP185" s="45" t="str">
        <f t="shared" si="62"/>
        <v>1 - in MILLESIMI   I</v>
      </c>
      <c r="CQ185" s="1"/>
    </row>
    <row r="186" spans="1:95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435">
        <f>IF(AND(W186&gt;=$U$1,W186&lt;=$U$2),IF(X186='ESTRATTO CONTO'!$E$2,1+COUNTIF(U$4:U185,"&gt;0"),0),0)</f>
        <v>0</v>
      </c>
      <c r="V186" s="417">
        <f t="shared" si="66"/>
        <v>183</v>
      </c>
      <c r="W186" s="509"/>
      <c r="X186" s="321"/>
      <c r="Y186" s="321"/>
      <c r="Z186" s="433"/>
      <c r="AA186" s="918">
        <f t="shared" si="57"/>
        <v>1</v>
      </c>
      <c r="AB186" s="306" t="str">
        <f t="shared" si="58"/>
        <v/>
      </c>
      <c r="AC186" s="788"/>
      <c r="AD186" s="119">
        <f t="shared" si="69"/>
        <v>0</v>
      </c>
      <c r="AE186" s="108">
        <f t="shared" si="69"/>
        <v>0</v>
      </c>
      <c r="AF186" s="108">
        <f t="shared" si="69"/>
        <v>0</v>
      </c>
      <c r="AG186" s="108"/>
      <c r="AH186" s="108"/>
      <c r="AI186" s="108"/>
      <c r="AJ186" s="108"/>
      <c r="AK186" s="108"/>
      <c r="AL186" s="108">
        <f t="shared" si="59"/>
        <v>0</v>
      </c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20">
        <f t="shared" si="60"/>
        <v>0</v>
      </c>
      <c r="CL186" s="122">
        <f t="shared" si="61"/>
        <v>0</v>
      </c>
      <c r="CM186" s="524" t="str">
        <f t="shared" si="63"/>
        <v/>
      </c>
      <c r="CN186" s="526">
        <f t="shared" si="64"/>
        <v>0</v>
      </c>
      <c r="CO186" s="122">
        <f t="shared" si="65"/>
        <v>0</v>
      </c>
      <c r="CP186" s="45" t="str">
        <f t="shared" si="62"/>
        <v>1 - in MILLESIMI   I</v>
      </c>
      <c r="CQ186" s="1"/>
    </row>
    <row r="187" spans="1:95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435">
        <f>IF(AND(W187&gt;=$U$1,W187&lt;=$U$2),IF(X187='ESTRATTO CONTO'!$E$2,1+COUNTIF(U$4:U186,"&gt;0"),0),0)</f>
        <v>0</v>
      </c>
      <c r="V187" s="417">
        <f t="shared" si="66"/>
        <v>184</v>
      </c>
      <c r="W187" s="509"/>
      <c r="X187" s="321"/>
      <c r="Y187" s="321"/>
      <c r="Z187" s="433"/>
      <c r="AA187" s="918">
        <f t="shared" si="57"/>
        <v>1</v>
      </c>
      <c r="AB187" s="306" t="str">
        <f t="shared" si="58"/>
        <v/>
      </c>
      <c r="AC187" s="788"/>
      <c r="AD187" s="119">
        <f t="shared" si="69"/>
        <v>0</v>
      </c>
      <c r="AE187" s="108">
        <f t="shared" si="69"/>
        <v>0</v>
      </c>
      <c r="AF187" s="108">
        <f t="shared" si="69"/>
        <v>0</v>
      </c>
      <c r="AG187" s="108"/>
      <c r="AH187" s="108"/>
      <c r="AI187" s="108"/>
      <c r="AJ187" s="108"/>
      <c r="AK187" s="108"/>
      <c r="AL187" s="108">
        <f t="shared" si="59"/>
        <v>0</v>
      </c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20">
        <f t="shared" si="60"/>
        <v>0</v>
      </c>
      <c r="CL187" s="122">
        <f t="shared" si="61"/>
        <v>0</v>
      </c>
      <c r="CM187" s="524" t="str">
        <f t="shared" si="63"/>
        <v/>
      </c>
      <c r="CN187" s="526">
        <f t="shared" si="64"/>
        <v>0</v>
      </c>
      <c r="CO187" s="122">
        <f t="shared" si="65"/>
        <v>0</v>
      </c>
      <c r="CP187" s="45" t="str">
        <f t="shared" si="62"/>
        <v>1 - in MILLESIMI   I</v>
      </c>
      <c r="CQ187" s="1"/>
    </row>
    <row r="188" spans="1:95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435">
        <f>IF(AND(W188&gt;=$U$1,W188&lt;=$U$2),IF(X188='ESTRATTO CONTO'!$E$2,1+COUNTIF(U$4:U187,"&gt;0"),0),0)</f>
        <v>0</v>
      </c>
      <c r="V188" s="417">
        <f t="shared" si="66"/>
        <v>185</v>
      </c>
      <c r="W188" s="509"/>
      <c r="X188" s="321"/>
      <c r="Y188" s="321"/>
      <c r="Z188" s="433"/>
      <c r="AA188" s="918">
        <f t="shared" si="57"/>
        <v>1</v>
      </c>
      <c r="AB188" s="306" t="str">
        <f t="shared" si="58"/>
        <v/>
      </c>
      <c r="AC188" s="788"/>
      <c r="AD188" s="119">
        <f t="shared" si="69"/>
        <v>0</v>
      </c>
      <c r="AE188" s="108">
        <f t="shared" si="69"/>
        <v>0</v>
      </c>
      <c r="AF188" s="108">
        <f t="shared" si="69"/>
        <v>0</v>
      </c>
      <c r="AG188" s="108"/>
      <c r="AH188" s="108"/>
      <c r="AI188" s="108"/>
      <c r="AJ188" s="108"/>
      <c r="AK188" s="108"/>
      <c r="AL188" s="108">
        <f t="shared" si="59"/>
        <v>0</v>
      </c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20">
        <f t="shared" si="60"/>
        <v>0</v>
      </c>
      <c r="CL188" s="122">
        <f t="shared" si="61"/>
        <v>0</v>
      </c>
      <c r="CM188" s="524" t="str">
        <f t="shared" si="63"/>
        <v/>
      </c>
      <c r="CN188" s="526">
        <f t="shared" si="64"/>
        <v>0</v>
      </c>
      <c r="CO188" s="122">
        <f t="shared" si="65"/>
        <v>0</v>
      </c>
      <c r="CP188" s="45" t="str">
        <f t="shared" si="62"/>
        <v>1 - in MILLESIMI   I</v>
      </c>
      <c r="CQ188" s="1"/>
    </row>
    <row r="189" spans="1:95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435">
        <f>IF(AND(W189&gt;=$U$1,W189&lt;=$U$2),IF(X189='ESTRATTO CONTO'!$E$2,1+COUNTIF(U$4:U188,"&gt;0"),0),0)</f>
        <v>0</v>
      </c>
      <c r="V189" s="417">
        <f t="shared" si="66"/>
        <v>186</v>
      </c>
      <c r="W189" s="509"/>
      <c r="X189" s="321"/>
      <c r="Y189" s="321"/>
      <c r="Z189" s="433"/>
      <c r="AA189" s="918">
        <f t="shared" si="57"/>
        <v>1</v>
      </c>
      <c r="AB189" s="306" t="str">
        <f t="shared" si="58"/>
        <v/>
      </c>
      <c r="AC189" s="788"/>
      <c r="AD189" s="119">
        <f t="shared" si="69"/>
        <v>0</v>
      </c>
      <c r="AE189" s="108">
        <f t="shared" si="69"/>
        <v>0</v>
      </c>
      <c r="AF189" s="108">
        <f t="shared" si="69"/>
        <v>0</v>
      </c>
      <c r="AG189" s="108"/>
      <c r="AH189" s="108"/>
      <c r="AI189" s="108"/>
      <c r="AJ189" s="108"/>
      <c r="AK189" s="108"/>
      <c r="AL189" s="108">
        <f t="shared" si="59"/>
        <v>0</v>
      </c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20">
        <f t="shared" si="60"/>
        <v>0</v>
      </c>
      <c r="CL189" s="122">
        <f t="shared" si="61"/>
        <v>0</v>
      </c>
      <c r="CM189" s="524" t="str">
        <f t="shared" si="63"/>
        <v/>
      </c>
      <c r="CN189" s="526">
        <f t="shared" si="64"/>
        <v>0</v>
      </c>
      <c r="CO189" s="122">
        <f t="shared" si="65"/>
        <v>0</v>
      </c>
      <c r="CP189" s="45" t="str">
        <f t="shared" si="62"/>
        <v>1 - in MILLESIMI   I</v>
      </c>
      <c r="CQ189" s="1"/>
    </row>
    <row r="190" spans="1:95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435">
        <f>IF(AND(W190&gt;=$U$1,W190&lt;=$U$2),IF(X190='ESTRATTO CONTO'!$E$2,1+COUNTIF(U$4:U189,"&gt;0"),0),0)</f>
        <v>0</v>
      </c>
      <c r="V190" s="417">
        <f t="shared" si="66"/>
        <v>187</v>
      </c>
      <c r="W190" s="509"/>
      <c r="X190" s="321"/>
      <c r="Y190" s="321"/>
      <c r="Z190" s="433"/>
      <c r="AA190" s="918">
        <f t="shared" si="57"/>
        <v>1</v>
      </c>
      <c r="AB190" s="306" t="str">
        <f t="shared" si="58"/>
        <v/>
      </c>
      <c r="AC190" s="788"/>
      <c r="AD190" s="119">
        <f t="shared" si="69"/>
        <v>0</v>
      </c>
      <c r="AE190" s="108">
        <f t="shared" si="69"/>
        <v>0</v>
      </c>
      <c r="AF190" s="108">
        <f t="shared" si="69"/>
        <v>0</v>
      </c>
      <c r="AG190" s="108"/>
      <c r="AH190" s="108"/>
      <c r="AI190" s="108"/>
      <c r="AJ190" s="108"/>
      <c r="AK190" s="108"/>
      <c r="AL190" s="108">
        <f t="shared" si="59"/>
        <v>0</v>
      </c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20">
        <f t="shared" si="60"/>
        <v>0</v>
      </c>
      <c r="CL190" s="122">
        <f t="shared" si="61"/>
        <v>0</v>
      </c>
      <c r="CM190" s="524" t="str">
        <f t="shared" si="63"/>
        <v/>
      </c>
      <c r="CN190" s="526">
        <f t="shared" si="64"/>
        <v>0</v>
      </c>
      <c r="CO190" s="122">
        <f t="shared" si="65"/>
        <v>0</v>
      </c>
      <c r="CP190" s="45" t="str">
        <f t="shared" si="62"/>
        <v>1 - in MILLESIMI   I</v>
      </c>
      <c r="CQ190" s="1"/>
    </row>
    <row r="191" spans="1:95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435">
        <f>IF(AND(W191&gt;=$U$1,W191&lt;=$U$2),IF(X191='ESTRATTO CONTO'!$E$2,1+COUNTIF(U$4:U190,"&gt;0"),0),0)</f>
        <v>0</v>
      </c>
      <c r="V191" s="417">
        <f t="shared" si="66"/>
        <v>188</v>
      </c>
      <c r="W191" s="509"/>
      <c r="X191" s="321"/>
      <c r="Y191" s="321"/>
      <c r="Z191" s="433"/>
      <c r="AA191" s="918">
        <f t="shared" si="57"/>
        <v>1</v>
      </c>
      <c r="AB191" s="306" t="str">
        <f t="shared" si="58"/>
        <v/>
      </c>
      <c r="AC191" s="788"/>
      <c r="AD191" s="119">
        <f t="shared" si="69"/>
        <v>0</v>
      </c>
      <c r="AE191" s="108">
        <f t="shared" si="69"/>
        <v>0</v>
      </c>
      <c r="AF191" s="108">
        <f t="shared" si="69"/>
        <v>0</v>
      </c>
      <c r="AG191" s="108"/>
      <c r="AH191" s="108"/>
      <c r="AI191" s="108"/>
      <c r="AJ191" s="108"/>
      <c r="AK191" s="108"/>
      <c r="AL191" s="108">
        <f t="shared" si="59"/>
        <v>0</v>
      </c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20">
        <f t="shared" si="60"/>
        <v>0</v>
      </c>
      <c r="CL191" s="122">
        <f t="shared" si="61"/>
        <v>0</v>
      </c>
      <c r="CM191" s="524" t="str">
        <f t="shared" si="63"/>
        <v/>
      </c>
      <c r="CN191" s="526">
        <f t="shared" si="64"/>
        <v>0</v>
      </c>
      <c r="CO191" s="122">
        <f t="shared" si="65"/>
        <v>0</v>
      </c>
      <c r="CP191" s="45" t="str">
        <f t="shared" si="62"/>
        <v>1 - in MILLESIMI   I</v>
      </c>
      <c r="CQ191" s="1"/>
    </row>
    <row r="192" spans="1:95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435">
        <f>IF(AND(W192&gt;=$U$1,W192&lt;=$U$2),IF(X192='ESTRATTO CONTO'!$E$2,1+COUNTIF(U$4:U191,"&gt;0"),0),0)</f>
        <v>0</v>
      </c>
      <c r="V192" s="417">
        <f t="shared" si="66"/>
        <v>189</v>
      </c>
      <c r="W192" s="509"/>
      <c r="X192" s="321"/>
      <c r="Y192" s="321"/>
      <c r="Z192" s="433"/>
      <c r="AA192" s="918">
        <f t="shared" si="57"/>
        <v>1</v>
      </c>
      <c r="AB192" s="306" t="str">
        <f t="shared" si="58"/>
        <v/>
      </c>
      <c r="AC192" s="788"/>
      <c r="AD192" s="119">
        <f t="shared" si="69"/>
        <v>0</v>
      </c>
      <c r="AE192" s="108">
        <f t="shared" si="69"/>
        <v>0</v>
      </c>
      <c r="AF192" s="108">
        <f t="shared" si="69"/>
        <v>0</v>
      </c>
      <c r="AG192" s="108"/>
      <c r="AH192" s="108"/>
      <c r="AI192" s="108"/>
      <c r="AJ192" s="108"/>
      <c r="AK192" s="108"/>
      <c r="AL192" s="108">
        <f t="shared" si="59"/>
        <v>0</v>
      </c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20">
        <f t="shared" si="60"/>
        <v>0</v>
      </c>
      <c r="CL192" s="122">
        <f t="shared" si="61"/>
        <v>0</v>
      </c>
      <c r="CM192" s="524" t="str">
        <f t="shared" si="63"/>
        <v/>
      </c>
      <c r="CN192" s="526">
        <f t="shared" si="64"/>
        <v>0</v>
      </c>
      <c r="CO192" s="122">
        <f t="shared" si="65"/>
        <v>0</v>
      </c>
      <c r="CP192" s="45" t="str">
        <f t="shared" si="62"/>
        <v>1 - in MILLESIMI   I</v>
      </c>
      <c r="CQ192" s="1"/>
    </row>
    <row r="193" spans="1:95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435">
        <f>IF(AND(W193&gt;=$U$1,W193&lt;=$U$2),IF(X193='ESTRATTO CONTO'!$E$2,1+COUNTIF(U$4:U192,"&gt;0"),0),0)</f>
        <v>0</v>
      </c>
      <c r="V193" s="417">
        <f t="shared" si="66"/>
        <v>190</v>
      </c>
      <c r="W193" s="509"/>
      <c r="X193" s="321"/>
      <c r="Y193" s="321"/>
      <c r="Z193" s="433"/>
      <c r="AA193" s="918">
        <f t="shared" si="57"/>
        <v>1</v>
      </c>
      <c r="AB193" s="306" t="str">
        <f t="shared" si="58"/>
        <v/>
      </c>
      <c r="AC193" s="788"/>
      <c r="AD193" s="119">
        <f t="shared" si="69"/>
        <v>0</v>
      </c>
      <c r="AE193" s="108">
        <f t="shared" si="69"/>
        <v>0</v>
      </c>
      <c r="AF193" s="108">
        <f t="shared" si="69"/>
        <v>0</v>
      </c>
      <c r="AG193" s="108"/>
      <c r="AH193" s="108"/>
      <c r="AI193" s="108"/>
      <c r="AJ193" s="108"/>
      <c r="AK193" s="108"/>
      <c r="AL193" s="108">
        <f t="shared" si="59"/>
        <v>0</v>
      </c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20">
        <f t="shared" si="60"/>
        <v>0</v>
      </c>
      <c r="CL193" s="122">
        <f t="shared" si="61"/>
        <v>0</v>
      </c>
      <c r="CM193" s="524" t="str">
        <f t="shared" si="63"/>
        <v/>
      </c>
      <c r="CN193" s="526">
        <f t="shared" si="64"/>
        <v>0</v>
      </c>
      <c r="CO193" s="122">
        <f t="shared" si="65"/>
        <v>0</v>
      </c>
      <c r="CP193" s="45" t="str">
        <f t="shared" si="62"/>
        <v>1 - in MILLESIMI   I</v>
      </c>
      <c r="CQ193" s="1"/>
    </row>
    <row r="194" spans="1:95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435">
        <f>IF(AND(W194&gt;=$U$1,W194&lt;=$U$2),IF(X194='ESTRATTO CONTO'!$E$2,1+COUNTIF(U$4:U193,"&gt;0"),0),0)</f>
        <v>0</v>
      </c>
      <c r="V194" s="417">
        <f t="shared" si="66"/>
        <v>191</v>
      </c>
      <c r="W194" s="509"/>
      <c r="X194" s="321"/>
      <c r="Y194" s="321"/>
      <c r="Z194" s="433"/>
      <c r="AA194" s="918">
        <f t="shared" si="57"/>
        <v>1</v>
      </c>
      <c r="AB194" s="306" t="str">
        <f t="shared" si="58"/>
        <v/>
      </c>
      <c r="AC194" s="788"/>
      <c r="AD194" s="119">
        <f t="shared" si="69"/>
        <v>0</v>
      </c>
      <c r="AE194" s="108">
        <f t="shared" si="69"/>
        <v>0</v>
      </c>
      <c r="AF194" s="108">
        <f t="shared" si="69"/>
        <v>0</v>
      </c>
      <c r="AG194" s="108"/>
      <c r="AH194" s="108"/>
      <c r="AI194" s="108"/>
      <c r="AJ194" s="108"/>
      <c r="AK194" s="108"/>
      <c r="AL194" s="108">
        <f t="shared" si="59"/>
        <v>0</v>
      </c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20">
        <f t="shared" si="60"/>
        <v>0</v>
      </c>
      <c r="CL194" s="122">
        <f t="shared" si="61"/>
        <v>0</v>
      </c>
      <c r="CM194" s="524" t="str">
        <f t="shared" si="63"/>
        <v/>
      </c>
      <c r="CN194" s="526">
        <f t="shared" si="64"/>
        <v>0</v>
      </c>
      <c r="CO194" s="122">
        <f t="shared" si="65"/>
        <v>0</v>
      </c>
      <c r="CP194" s="45" t="str">
        <f t="shared" si="62"/>
        <v>1 - in MILLESIMI   I</v>
      </c>
      <c r="CQ194" s="1"/>
    </row>
    <row r="195" spans="1:95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435">
        <f>IF(AND(W195&gt;=$U$1,W195&lt;=$U$2),IF(X195='ESTRATTO CONTO'!$E$2,1+COUNTIF(U$4:U194,"&gt;0"),0),0)</f>
        <v>0</v>
      </c>
      <c r="V195" s="417">
        <f t="shared" si="66"/>
        <v>192</v>
      </c>
      <c r="W195" s="509"/>
      <c r="X195" s="321"/>
      <c r="Y195" s="321"/>
      <c r="Z195" s="433"/>
      <c r="AA195" s="918">
        <f t="shared" si="57"/>
        <v>1</v>
      </c>
      <c r="AB195" s="306" t="str">
        <f t="shared" si="58"/>
        <v/>
      </c>
      <c r="AC195" s="788"/>
      <c r="AD195" s="119">
        <f t="shared" si="69"/>
        <v>0</v>
      </c>
      <c r="AE195" s="108">
        <f t="shared" si="69"/>
        <v>0</v>
      </c>
      <c r="AF195" s="108">
        <f t="shared" si="69"/>
        <v>0</v>
      </c>
      <c r="AG195" s="108"/>
      <c r="AH195" s="108"/>
      <c r="AI195" s="108"/>
      <c r="AJ195" s="108"/>
      <c r="AK195" s="108"/>
      <c r="AL195" s="108">
        <f t="shared" si="59"/>
        <v>0</v>
      </c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20">
        <f t="shared" si="60"/>
        <v>0</v>
      </c>
      <c r="CL195" s="122">
        <f t="shared" si="61"/>
        <v>0</v>
      </c>
      <c r="CM195" s="524" t="str">
        <f t="shared" si="63"/>
        <v/>
      </c>
      <c r="CN195" s="526">
        <f t="shared" si="64"/>
        <v>0</v>
      </c>
      <c r="CO195" s="122">
        <f t="shared" si="65"/>
        <v>0</v>
      </c>
      <c r="CP195" s="45" t="str">
        <f t="shared" si="62"/>
        <v>1 - in MILLESIMI   I</v>
      </c>
      <c r="CQ195" s="1"/>
    </row>
    <row r="196" spans="1:95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435">
        <f>IF(AND(W196&gt;=$U$1,W196&lt;=$U$2),IF(X196='ESTRATTO CONTO'!$E$2,1+COUNTIF(U$4:U195,"&gt;0"),0),0)</f>
        <v>0</v>
      </c>
      <c r="V196" s="417">
        <f t="shared" si="66"/>
        <v>193</v>
      </c>
      <c r="W196" s="509"/>
      <c r="X196" s="321"/>
      <c r="Y196" s="321"/>
      <c r="Z196" s="433"/>
      <c r="AA196" s="918">
        <f t="shared" ref="AA196:AA259" si="70">IF(OR(W196&lt;$W$1433,W196&gt;$W$1434),1,0)</f>
        <v>1</v>
      </c>
      <c r="AB196" s="306" t="str">
        <f t="shared" ref="AB196:AB259" si="71">IF(W196&gt;0,IF(AND(W196&gt;=W$1438,W196&lt;=W$1439),CONCATENATE(MONTH(W196)&amp;X196),0),"")</f>
        <v/>
      </c>
      <c r="AC196" s="788"/>
      <c r="AD196" s="119">
        <f t="shared" si="69"/>
        <v>0</v>
      </c>
      <c r="AE196" s="108">
        <f t="shared" si="69"/>
        <v>0</v>
      </c>
      <c r="AF196" s="108">
        <f t="shared" si="69"/>
        <v>0</v>
      </c>
      <c r="AG196" s="108"/>
      <c r="AH196" s="108"/>
      <c r="AI196" s="108"/>
      <c r="AJ196" s="108"/>
      <c r="AK196" s="108"/>
      <c r="AL196" s="108">
        <f t="shared" ref="AL196:AL259" si="72">IF($AB196=0,0,ROUND($Z196*VLOOKUP(AL$2,$F$1010:$Q$1014,VLOOKUP($CP196,$C$1076:$E$1081,3,FALSE),FALSE),2))</f>
        <v>0</v>
      </c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20">
        <f t="shared" ref="CK196:CK259" si="73">IF($AB196=0,0,ROUND($Z196*VLOOKUP(CK$2,$F$1010:$Q$1014,VLOOKUP($CP196,$C$1076:$E$1081,3,FALSE),FALSE),2))</f>
        <v>0</v>
      </c>
      <c r="CL196" s="122">
        <f t="shared" ref="CL196:CL259" si="74">IF(CK$1014&gt;0,0,IF(ISBLANK(W196),0,MONTH(W196)))</f>
        <v>0</v>
      </c>
      <c r="CM196" s="524" t="str">
        <f t="shared" si="63"/>
        <v/>
      </c>
      <c r="CN196" s="526">
        <f t="shared" si="64"/>
        <v>0</v>
      </c>
      <c r="CO196" s="122">
        <f t="shared" si="65"/>
        <v>0</v>
      </c>
      <c r="CP196" s="45" t="str">
        <f t="shared" ref="CP196:CP259" si="75">IF(ISBLANK(AC196),Q$1,AC196)</f>
        <v>1 - in MILLESIMI   I</v>
      </c>
      <c r="CQ196" s="1"/>
    </row>
    <row r="197" spans="1:95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435">
        <f>IF(AND(W197&gt;=$U$1,W197&lt;=$U$2),IF(X197='ESTRATTO CONTO'!$E$2,1+COUNTIF(U$4:U196,"&gt;0"),0),0)</f>
        <v>0</v>
      </c>
      <c r="V197" s="417">
        <f t="shared" si="66"/>
        <v>194</v>
      </c>
      <c r="W197" s="509"/>
      <c r="X197" s="321"/>
      <c r="Y197" s="321"/>
      <c r="Z197" s="433"/>
      <c r="AA197" s="918">
        <f t="shared" si="70"/>
        <v>1</v>
      </c>
      <c r="AB197" s="306" t="str">
        <f t="shared" si="71"/>
        <v/>
      </c>
      <c r="AC197" s="788"/>
      <c r="AD197" s="119">
        <f t="shared" si="69"/>
        <v>0</v>
      </c>
      <c r="AE197" s="108">
        <f t="shared" si="69"/>
        <v>0</v>
      </c>
      <c r="AF197" s="108">
        <f t="shared" si="69"/>
        <v>0</v>
      </c>
      <c r="AG197" s="108"/>
      <c r="AH197" s="108"/>
      <c r="AI197" s="108"/>
      <c r="AJ197" s="108"/>
      <c r="AK197" s="108"/>
      <c r="AL197" s="108">
        <f t="shared" si="72"/>
        <v>0</v>
      </c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20">
        <f t="shared" si="73"/>
        <v>0</v>
      </c>
      <c r="CL197" s="122">
        <f t="shared" si="74"/>
        <v>0</v>
      </c>
      <c r="CM197" s="524" t="str">
        <f t="shared" ref="CM197:CM260" si="76">IF(X197="","",IF(ISERROR(VLOOKUP(X197,B$9:E$45,1,FALSE)),1,0))</f>
        <v/>
      </c>
      <c r="CN197" s="526">
        <f t="shared" ref="CN197:CN260" si="77">IF(AND(W197&gt;=CN$1,W197&lt;=CN$2),Z197,0)</f>
        <v>0</v>
      </c>
      <c r="CO197" s="122">
        <f t="shared" ref="CO197:CO260" si="78">IF(CN197&lt;&gt;0,X197,0)</f>
        <v>0</v>
      </c>
      <c r="CP197" s="45" t="str">
        <f t="shared" si="75"/>
        <v>1 - in MILLESIMI   I</v>
      </c>
      <c r="CQ197" s="1"/>
    </row>
    <row r="198" spans="1:95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435">
        <f>IF(AND(W198&gt;=$U$1,W198&lt;=$U$2),IF(X198='ESTRATTO CONTO'!$E$2,1+COUNTIF(U$4:U197,"&gt;0"),0),0)</f>
        <v>0</v>
      </c>
      <c r="V198" s="417">
        <f t="shared" ref="V198:V261" si="79">V197+1</f>
        <v>195</v>
      </c>
      <c r="W198" s="509"/>
      <c r="X198" s="321"/>
      <c r="Y198" s="321"/>
      <c r="Z198" s="433"/>
      <c r="AA198" s="918">
        <f t="shared" si="70"/>
        <v>1</v>
      </c>
      <c r="AB198" s="306" t="str">
        <f t="shared" si="71"/>
        <v/>
      </c>
      <c r="AC198" s="788"/>
      <c r="AD198" s="119">
        <f t="shared" si="69"/>
        <v>0</v>
      </c>
      <c r="AE198" s="108">
        <f t="shared" si="69"/>
        <v>0</v>
      </c>
      <c r="AF198" s="108">
        <f t="shared" si="69"/>
        <v>0</v>
      </c>
      <c r="AG198" s="108"/>
      <c r="AH198" s="108"/>
      <c r="AI198" s="108"/>
      <c r="AJ198" s="108"/>
      <c r="AK198" s="108"/>
      <c r="AL198" s="108">
        <f t="shared" si="72"/>
        <v>0</v>
      </c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20">
        <f t="shared" si="73"/>
        <v>0</v>
      </c>
      <c r="CL198" s="122">
        <f t="shared" si="74"/>
        <v>0</v>
      </c>
      <c r="CM198" s="524" t="str">
        <f t="shared" si="76"/>
        <v/>
      </c>
      <c r="CN198" s="526">
        <f t="shared" si="77"/>
        <v>0</v>
      </c>
      <c r="CO198" s="122">
        <f t="shared" si="78"/>
        <v>0</v>
      </c>
      <c r="CP198" s="45" t="str">
        <f t="shared" si="75"/>
        <v>1 - in MILLESIMI   I</v>
      </c>
      <c r="CQ198" s="1"/>
    </row>
    <row r="199" spans="1:95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435">
        <f>IF(AND(W199&gt;=$U$1,W199&lt;=$U$2),IF(X199='ESTRATTO CONTO'!$E$2,1+COUNTIF(U$4:U198,"&gt;0"),0),0)</f>
        <v>0</v>
      </c>
      <c r="V199" s="417">
        <f t="shared" si="79"/>
        <v>196</v>
      </c>
      <c r="W199" s="509"/>
      <c r="X199" s="321"/>
      <c r="Y199" s="321"/>
      <c r="Z199" s="433"/>
      <c r="AA199" s="918">
        <f t="shared" si="70"/>
        <v>1</v>
      </c>
      <c r="AB199" s="306" t="str">
        <f t="shared" si="71"/>
        <v/>
      </c>
      <c r="AC199" s="788"/>
      <c r="AD199" s="119">
        <f t="shared" si="69"/>
        <v>0</v>
      </c>
      <c r="AE199" s="108">
        <f t="shared" si="69"/>
        <v>0</v>
      </c>
      <c r="AF199" s="108">
        <f t="shared" si="69"/>
        <v>0</v>
      </c>
      <c r="AG199" s="108"/>
      <c r="AH199" s="108"/>
      <c r="AI199" s="108"/>
      <c r="AJ199" s="108"/>
      <c r="AK199" s="108"/>
      <c r="AL199" s="108">
        <f t="shared" si="72"/>
        <v>0</v>
      </c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20">
        <f t="shared" si="73"/>
        <v>0</v>
      </c>
      <c r="CL199" s="122">
        <f t="shared" si="74"/>
        <v>0</v>
      </c>
      <c r="CM199" s="524" t="str">
        <f t="shared" si="76"/>
        <v/>
      </c>
      <c r="CN199" s="526">
        <f t="shared" si="77"/>
        <v>0</v>
      </c>
      <c r="CO199" s="122">
        <f t="shared" si="78"/>
        <v>0</v>
      </c>
      <c r="CP199" s="45" t="str">
        <f t="shared" si="75"/>
        <v>1 - in MILLESIMI   I</v>
      </c>
      <c r="CQ199" s="1"/>
    </row>
    <row r="200" spans="1:95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435">
        <f>IF(AND(W200&gt;=$U$1,W200&lt;=$U$2),IF(X200='ESTRATTO CONTO'!$E$2,1+COUNTIF(U$4:U199,"&gt;0"),0),0)</f>
        <v>0</v>
      </c>
      <c r="V200" s="417">
        <f t="shared" si="79"/>
        <v>197</v>
      </c>
      <c r="W200" s="509"/>
      <c r="X200" s="321"/>
      <c r="Y200" s="321"/>
      <c r="Z200" s="433"/>
      <c r="AA200" s="918">
        <f t="shared" si="70"/>
        <v>1</v>
      </c>
      <c r="AB200" s="306" t="str">
        <f t="shared" si="71"/>
        <v/>
      </c>
      <c r="AC200" s="788"/>
      <c r="AD200" s="119">
        <f t="shared" si="69"/>
        <v>0</v>
      </c>
      <c r="AE200" s="108">
        <f t="shared" si="69"/>
        <v>0</v>
      </c>
      <c r="AF200" s="108">
        <f t="shared" si="69"/>
        <v>0</v>
      </c>
      <c r="AG200" s="108"/>
      <c r="AH200" s="108"/>
      <c r="AI200" s="108"/>
      <c r="AJ200" s="108"/>
      <c r="AK200" s="108"/>
      <c r="AL200" s="108">
        <f t="shared" si="72"/>
        <v>0</v>
      </c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20">
        <f t="shared" si="73"/>
        <v>0</v>
      </c>
      <c r="CL200" s="122">
        <f t="shared" si="74"/>
        <v>0</v>
      </c>
      <c r="CM200" s="524" t="str">
        <f t="shared" si="76"/>
        <v/>
      </c>
      <c r="CN200" s="526">
        <f t="shared" si="77"/>
        <v>0</v>
      </c>
      <c r="CO200" s="122">
        <f t="shared" si="78"/>
        <v>0</v>
      </c>
      <c r="CP200" s="45" t="str">
        <f t="shared" si="75"/>
        <v>1 - in MILLESIMI   I</v>
      </c>
      <c r="CQ200" s="1"/>
    </row>
    <row r="201" spans="1:95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435">
        <f>IF(AND(W201&gt;=$U$1,W201&lt;=$U$2),IF(X201='ESTRATTO CONTO'!$E$2,1+COUNTIF(U$4:U200,"&gt;0"),0),0)</f>
        <v>0</v>
      </c>
      <c r="V201" s="417">
        <f t="shared" si="79"/>
        <v>198</v>
      </c>
      <c r="W201" s="509"/>
      <c r="X201" s="321"/>
      <c r="Y201" s="321"/>
      <c r="Z201" s="433"/>
      <c r="AA201" s="918">
        <f t="shared" si="70"/>
        <v>1</v>
      </c>
      <c r="AB201" s="306" t="str">
        <f t="shared" si="71"/>
        <v/>
      </c>
      <c r="AC201" s="788"/>
      <c r="AD201" s="119">
        <f t="shared" si="69"/>
        <v>0</v>
      </c>
      <c r="AE201" s="108">
        <f t="shared" si="69"/>
        <v>0</v>
      </c>
      <c r="AF201" s="108">
        <f t="shared" si="69"/>
        <v>0</v>
      </c>
      <c r="AG201" s="108"/>
      <c r="AH201" s="108"/>
      <c r="AI201" s="108"/>
      <c r="AJ201" s="108"/>
      <c r="AK201" s="108"/>
      <c r="AL201" s="108">
        <f t="shared" si="72"/>
        <v>0</v>
      </c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20">
        <f t="shared" si="73"/>
        <v>0</v>
      </c>
      <c r="CL201" s="122">
        <f t="shared" si="74"/>
        <v>0</v>
      </c>
      <c r="CM201" s="524" t="str">
        <f t="shared" si="76"/>
        <v/>
      </c>
      <c r="CN201" s="526">
        <f t="shared" si="77"/>
        <v>0</v>
      </c>
      <c r="CO201" s="122">
        <f t="shared" si="78"/>
        <v>0</v>
      </c>
      <c r="CP201" s="45" t="str">
        <f t="shared" si="75"/>
        <v>1 - in MILLESIMI   I</v>
      </c>
      <c r="CQ201" s="1"/>
    </row>
    <row r="202" spans="1:95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435">
        <f>IF(AND(W202&gt;=$U$1,W202&lt;=$U$2),IF(X202='ESTRATTO CONTO'!$E$2,1+COUNTIF(U$4:U201,"&gt;0"),0),0)</f>
        <v>0</v>
      </c>
      <c r="V202" s="417">
        <f t="shared" si="79"/>
        <v>199</v>
      </c>
      <c r="W202" s="509"/>
      <c r="X202" s="321"/>
      <c r="Y202" s="321"/>
      <c r="Z202" s="433"/>
      <c r="AA202" s="918">
        <f t="shared" si="70"/>
        <v>1</v>
      </c>
      <c r="AB202" s="306" t="str">
        <f t="shared" si="71"/>
        <v/>
      </c>
      <c r="AC202" s="788"/>
      <c r="AD202" s="119">
        <f t="shared" si="69"/>
        <v>0</v>
      </c>
      <c r="AE202" s="108">
        <f t="shared" si="69"/>
        <v>0</v>
      </c>
      <c r="AF202" s="108">
        <f t="shared" si="69"/>
        <v>0</v>
      </c>
      <c r="AG202" s="108"/>
      <c r="AH202" s="108"/>
      <c r="AI202" s="108"/>
      <c r="AJ202" s="108"/>
      <c r="AK202" s="108"/>
      <c r="AL202" s="108">
        <f t="shared" si="72"/>
        <v>0</v>
      </c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20">
        <f t="shared" si="73"/>
        <v>0</v>
      </c>
      <c r="CL202" s="122">
        <f t="shared" si="74"/>
        <v>0</v>
      </c>
      <c r="CM202" s="524" t="str">
        <f t="shared" si="76"/>
        <v/>
      </c>
      <c r="CN202" s="526">
        <f t="shared" si="77"/>
        <v>0</v>
      </c>
      <c r="CO202" s="122">
        <f t="shared" si="78"/>
        <v>0</v>
      </c>
      <c r="CP202" s="45" t="str">
        <f t="shared" si="75"/>
        <v>1 - in MILLESIMI   I</v>
      </c>
      <c r="CQ202" s="1"/>
    </row>
    <row r="203" spans="1:95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435">
        <f>IF(AND(W203&gt;=$U$1,W203&lt;=$U$2),IF(X203='ESTRATTO CONTO'!$E$2,1+COUNTIF(U$4:U202,"&gt;0"),0),0)</f>
        <v>0</v>
      </c>
      <c r="V203" s="417">
        <f t="shared" si="79"/>
        <v>200</v>
      </c>
      <c r="W203" s="509"/>
      <c r="X203" s="321"/>
      <c r="Y203" s="321"/>
      <c r="Z203" s="433"/>
      <c r="AA203" s="918">
        <f t="shared" si="70"/>
        <v>1</v>
      </c>
      <c r="AB203" s="306" t="str">
        <f t="shared" si="71"/>
        <v/>
      </c>
      <c r="AC203" s="788"/>
      <c r="AD203" s="119">
        <f t="shared" si="69"/>
        <v>0</v>
      </c>
      <c r="AE203" s="108">
        <f t="shared" si="69"/>
        <v>0</v>
      </c>
      <c r="AF203" s="108">
        <f t="shared" si="69"/>
        <v>0</v>
      </c>
      <c r="AG203" s="108"/>
      <c r="AH203" s="108"/>
      <c r="AI203" s="108"/>
      <c r="AJ203" s="108"/>
      <c r="AK203" s="108"/>
      <c r="AL203" s="108">
        <f t="shared" si="72"/>
        <v>0</v>
      </c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20">
        <f t="shared" si="73"/>
        <v>0</v>
      </c>
      <c r="CL203" s="122">
        <f t="shared" si="74"/>
        <v>0</v>
      </c>
      <c r="CM203" s="524" t="str">
        <f t="shared" si="76"/>
        <v/>
      </c>
      <c r="CN203" s="526">
        <f t="shared" si="77"/>
        <v>0</v>
      </c>
      <c r="CO203" s="122">
        <f t="shared" si="78"/>
        <v>0</v>
      </c>
      <c r="CP203" s="45" t="str">
        <f t="shared" si="75"/>
        <v>1 - in MILLESIMI   I</v>
      </c>
      <c r="CQ203" s="1"/>
    </row>
    <row r="204" spans="1:95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435">
        <f>IF(AND(W204&gt;=$U$1,W204&lt;=$U$2),IF(X204='ESTRATTO CONTO'!$E$2,1+COUNTIF(U$4:U203,"&gt;0"),0),0)</f>
        <v>0</v>
      </c>
      <c r="V204" s="417">
        <f t="shared" si="79"/>
        <v>201</v>
      </c>
      <c r="W204" s="509"/>
      <c r="X204" s="321"/>
      <c r="Y204" s="321"/>
      <c r="Z204" s="433"/>
      <c r="AA204" s="918">
        <f t="shared" si="70"/>
        <v>1</v>
      </c>
      <c r="AB204" s="306" t="str">
        <f t="shared" si="71"/>
        <v/>
      </c>
      <c r="AC204" s="788"/>
      <c r="AD204" s="119">
        <f t="shared" ref="AD204:AF223" si="80">IF($AB204=0,0,ROUND($Z204*VLOOKUP(AD$2,$F$1010:$Q$1014,VLOOKUP($CP204,$C$1076:$E$1081,3,FALSE),FALSE),2))</f>
        <v>0</v>
      </c>
      <c r="AE204" s="108">
        <f t="shared" si="80"/>
        <v>0</v>
      </c>
      <c r="AF204" s="108">
        <f t="shared" si="80"/>
        <v>0</v>
      </c>
      <c r="AG204" s="108"/>
      <c r="AH204" s="108"/>
      <c r="AI204" s="108"/>
      <c r="AJ204" s="108"/>
      <c r="AK204" s="108"/>
      <c r="AL204" s="108">
        <f t="shared" si="72"/>
        <v>0</v>
      </c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20">
        <f t="shared" si="73"/>
        <v>0</v>
      </c>
      <c r="CL204" s="122">
        <f t="shared" si="74"/>
        <v>0</v>
      </c>
      <c r="CM204" s="524" t="str">
        <f t="shared" si="76"/>
        <v/>
      </c>
      <c r="CN204" s="526">
        <f t="shared" si="77"/>
        <v>0</v>
      </c>
      <c r="CO204" s="122">
        <f t="shared" si="78"/>
        <v>0</v>
      </c>
      <c r="CP204" s="45" t="str">
        <f t="shared" si="75"/>
        <v>1 - in MILLESIMI   I</v>
      </c>
      <c r="CQ204" s="1"/>
    </row>
    <row r="205" spans="1:95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435">
        <f>IF(AND(W205&gt;=$U$1,W205&lt;=$U$2),IF(X205='ESTRATTO CONTO'!$E$2,1+COUNTIF(U$4:U204,"&gt;0"),0),0)</f>
        <v>0</v>
      </c>
      <c r="V205" s="417">
        <f t="shared" si="79"/>
        <v>202</v>
      </c>
      <c r="W205" s="509"/>
      <c r="X205" s="321"/>
      <c r="Y205" s="321"/>
      <c r="Z205" s="433"/>
      <c r="AA205" s="918">
        <f t="shared" si="70"/>
        <v>1</v>
      </c>
      <c r="AB205" s="306" t="str">
        <f t="shared" si="71"/>
        <v/>
      </c>
      <c r="AC205" s="788"/>
      <c r="AD205" s="119">
        <f t="shared" si="80"/>
        <v>0</v>
      </c>
      <c r="AE205" s="108">
        <f t="shared" si="80"/>
        <v>0</v>
      </c>
      <c r="AF205" s="108">
        <f t="shared" si="80"/>
        <v>0</v>
      </c>
      <c r="AG205" s="108"/>
      <c r="AH205" s="108"/>
      <c r="AI205" s="108"/>
      <c r="AJ205" s="108"/>
      <c r="AK205" s="108"/>
      <c r="AL205" s="108">
        <f t="shared" si="72"/>
        <v>0</v>
      </c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20">
        <f t="shared" si="73"/>
        <v>0</v>
      </c>
      <c r="CL205" s="122">
        <f t="shared" si="74"/>
        <v>0</v>
      </c>
      <c r="CM205" s="524" t="str">
        <f t="shared" si="76"/>
        <v/>
      </c>
      <c r="CN205" s="526">
        <f t="shared" si="77"/>
        <v>0</v>
      </c>
      <c r="CO205" s="122">
        <f t="shared" si="78"/>
        <v>0</v>
      </c>
      <c r="CP205" s="45" t="str">
        <f t="shared" si="75"/>
        <v>1 - in MILLESIMI   I</v>
      </c>
      <c r="CQ205" s="1"/>
    </row>
    <row r="206" spans="1:95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435">
        <f>IF(AND(W206&gt;=$U$1,W206&lt;=$U$2),IF(X206='ESTRATTO CONTO'!$E$2,1+COUNTIF(U$4:U205,"&gt;0"),0),0)</f>
        <v>0</v>
      </c>
      <c r="V206" s="417">
        <f t="shared" si="79"/>
        <v>203</v>
      </c>
      <c r="W206" s="509"/>
      <c r="X206" s="321"/>
      <c r="Y206" s="321"/>
      <c r="Z206" s="433"/>
      <c r="AA206" s="918">
        <f t="shared" si="70"/>
        <v>1</v>
      </c>
      <c r="AB206" s="306" t="str">
        <f t="shared" si="71"/>
        <v/>
      </c>
      <c r="AC206" s="788"/>
      <c r="AD206" s="119">
        <f t="shared" si="80"/>
        <v>0</v>
      </c>
      <c r="AE206" s="108">
        <f t="shared" si="80"/>
        <v>0</v>
      </c>
      <c r="AF206" s="108">
        <f t="shared" si="80"/>
        <v>0</v>
      </c>
      <c r="AG206" s="108"/>
      <c r="AH206" s="108"/>
      <c r="AI206" s="108"/>
      <c r="AJ206" s="108"/>
      <c r="AK206" s="108"/>
      <c r="AL206" s="108">
        <f t="shared" si="72"/>
        <v>0</v>
      </c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20">
        <f t="shared" si="73"/>
        <v>0</v>
      </c>
      <c r="CL206" s="122">
        <f t="shared" si="74"/>
        <v>0</v>
      </c>
      <c r="CM206" s="524" t="str">
        <f t="shared" si="76"/>
        <v/>
      </c>
      <c r="CN206" s="526">
        <f t="shared" si="77"/>
        <v>0</v>
      </c>
      <c r="CO206" s="122">
        <f t="shared" si="78"/>
        <v>0</v>
      </c>
      <c r="CP206" s="45" t="str">
        <f t="shared" si="75"/>
        <v>1 - in MILLESIMI   I</v>
      </c>
      <c r="CQ206" s="1"/>
    </row>
    <row r="207" spans="1:95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435">
        <f>IF(AND(W207&gt;=$U$1,W207&lt;=$U$2),IF(X207='ESTRATTO CONTO'!$E$2,1+COUNTIF(U$4:U206,"&gt;0"),0),0)</f>
        <v>0</v>
      </c>
      <c r="V207" s="417">
        <f t="shared" si="79"/>
        <v>204</v>
      </c>
      <c r="W207" s="509"/>
      <c r="X207" s="321"/>
      <c r="Y207" s="321"/>
      <c r="Z207" s="433"/>
      <c r="AA207" s="918">
        <f t="shared" si="70"/>
        <v>1</v>
      </c>
      <c r="AB207" s="306" t="str">
        <f t="shared" si="71"/>
        <v/>
      </c>
      <c r="AC207" s="788"/>
      <c r="AD207" s="119">
        <f t="shared" si="80"/>
        <v>0</v>
      </c>
      <c r="AE207" s="108">
        <f t="shared" si="80"/>
        <v>0</v>
      </c>
      <c r="AF207" s="108">
        <f t="shared" si="80"/>
        <v>0</v>
      </c>
      <c r="AG207" s="108"/>
      <c r="AH207" s="108"/>
      <c r="AI207" s="108"/>
      <c r="AJ207" s="108"/>
      <c r="AK207" s="108"/>
      <c r="AL207" s="108">
        <f t="shared" si="72"/>
        <v>0</v>
      </c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20">
        <f t="shared" si="73"/>
        <v>0</v>
      </c>
      <c r="CL207" s="122">
        <f t="shared" si="74"/>
        <v>0</v>
      </c>
      <c r="CM207" s="524" t="str">
        <f t="shared" si="76"/>
        <v/>
      </c>
      <c r="CN207" s="526">
        <f t="shared" si="77"/>
        <v>0</v>
      </c>
      <c r="CO207" s="122">
        <f t="shared" si="78"/>
        <v>0</v>
      </c>
      <c r="CP207" s="45" t="str">
        <f t="shared" si="75"/>
        <v>1 - in MILLESIMI   I</v>
      </c>
      <c r="CQ207" s="1"/>
    </row>
    <row r="208" spans="1:95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435">
        <f>IF(AND(W208&gt;=$U$1,W208&lt;=$U$2),IF(X208='ESTRATTO CONTO'!$E$2,1+COUNTIF(U$4:U207,"&gt;0"),0),0)</f>
        <v>0</v>
      </c>
      <c r="V208" s="417">
        <f t="shared" si="79"/>
        <v>205</v>
      </c>
      <c r="W208" s="509"/>
      <c r="X208" s="321"/>
      <c r="Y208" s="321"/>
      <c r="Z208" s="433"/>
      <c r="AA208" s="918">
        <f t="shared" si="70"/>
        <v>1</v>
      </c>
      <c r="AB208" s="306" t="str">
        <f t="shared" si="71"/>
        <v/>
      </c>
      <c r="AC208" s="788"/>
      <c r="AD208" s="119">
        <f t="shared" si="80"/>
        <v>0</v>
      </c>
      <c r="AE208" s="108">
        <f t="shared" si="80"/>
        <v>0</v>
      </c>
      <c r="AF208" s="108">
        <f t="shared" si="80"/>
        <v>0</v>
      </c>
      <c r="AG208" s="108"/>
      <c r="AH208" s="108"/>
      <c r="AI208" s="108"/>
      <c r="AJ208" s="108"/>
      <c r="AK208" s="108"/>
      <c r="AL208" s="108">
        <f t="shared" si="72"/>
        <v>0</v>
      </c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20">
        <f t="shared" si="73"/>
        <v>0</v>
      </c>
      <c r="CL208" s="122">
        <f t="shared" si="74"/>
        <v>0</v>
      </c>
      <c r="CM208" s="524" t="str">
        <f t="shared" si="76"/>
        <v/>
      </c>
      <c r="CN208" s="526">
        <f t="shared" si="77"/>
        <v>0</v>
      </c>
      <c r="CO208" s="122">
        <f t="shared" si="78"/>
        <v>0</v>
      </c>
      <c r="CP208" s="45" t="str">
        <f t="shared" si="75"/>
        <v>1 - in MILLESIMI   I</v>
      </c>
      <c r="CQ208" s="1"/>
    </row>
    <row r="209" spans="1:95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435">
        <f>IF(AND(W209&gt;=$U$1,W209&lt;=$U$2),IF(X209='ESTRATTO CONTO'!$E$2,1+COUNTIF(U$4:U208,"&gt;0"),0),0)</f>
        <v>0</v>
      </c>
      <c r="V209" s="417">
        <f t="shared" si="79"/>
        <v>206</v>
      </c>
      <c r="W209" s="509"/>
      <c r="X209" s="321"/>
      <c r="Y209" s="321"/>
      <c r="Z209" s="433"/>
      <c r="AA209" s="918">
        <f t="shared" si="70"/>
        <v>1</v>
      </c>
      <c r="AB209" s="306" t="str">
        <f t="shared" si="71"/>
        <v/>
      </c>
      <c r="AC209" s="788"/>
      <c r="AD209" s="119">
        <f t="shared" si="80"/>
        <v>0</v>
      </c>
      <c r="AE209" s="108">
        <f t="shared" si="80"/>
        <v>0</v>
      </c>
      <c r="AF209" s="108">
        <f t="shared" si="80"/>
        <v>0</v>
      </c>
      <c r="AG209" s="108"/>
      <c r="AH209" s="108"/>
      <c r="AI209" s="108"/>
      <c r="AJ209" s="108"/>
      <c r="AK209" s="108"/>
      <c r="AL209" s="108">
        <f t="shared" si="72"/>
        <v>0</v>
      </c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20">
        <f t="shared" si="73"/>
        <v>0</v>
      </c>
      <c r="CL209" s="122">
        <f t="shared" si="74"/>
        <v>0</v>
      </c>
      <c r="CM209" s="524" t="str">
        <f t="shared" si="76"/>
        <v/>
      </c>
      <c r="CN209" s="526">
        <f t="shared" si="77"/>
        <v>0</v>
      </c>
      <c r="CO209" s="122">
        <f t="shared" si="78"/>
        <v>0</v>
      </c>
      <c r="CP209" s="45" t="str">
        <f t="shared" si="75"/>
        <v>1 - in MILLESIMI   I</v>
      </c>
      <c r="CQ209" s="1"/>
    </row>
    <row r="210" spans="1:95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435">
        <f>IF(AND(W210&gt;=$U$1,W210&lt;=$U$2),IF(X210='ESTRATTO CONTO'!$E$2,1+COUNTIF(U$4:U209,"&gt;0"),0),0)</f>
        <v>0</v>
      </c>
      <c r="V210" s="417">
        <f t="shared" si="79"/>
        <v>207</v>
      </c>
      <c r="W210" s="509"/>
      <c r="X210" s="321"/>
      <c r="Y210" s="321"/>
      <c r="Z210" s="433"/>
      <c r="AA210" s="918">
        <f t="shared" si="70"/>
        <v>1</v>
      </c>
      <c r="AB210" s="306" t="str">
        <f t="shared" si="71"/>
        <v/>
      </c>
      <c r="AC210" s="788"/>
      <c r="AD210" s="119">
        <f t="shared" si="80"/>
        <v>0</v>
      </c>
      <c r="AE210" s="108">
        <f t="shared" si="80"/>
        <v>0</v>
      </c>
      <c r="AF210" s="108">
        <f t="shared" si="80"/>
        <v>0</v>
      </c>
      <c r="AG210" s="108"/>
      <c r="AH210" s="108"/>
      <c r="AI210" s="108"/>
      <c r="AJ210" s="108"/>
      <c r="AK210" s="108"/>
      <c r="AL210" s="108">
        <f t="shared" si="72"/>
        <v>0</v>
      </c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20">
        <f t="shared" si="73"/>
        <v>0</v>
      </c>
      <c r="CL210" s="122">
        <f t="shared" si="74"/>
        <v>0</v>
      </c>
      <c r="CM210" s="524" t="str">
        <f t="shared" si="76"/>
        <v/>
      </c>
      <c r="CN210" s="526">
        <f t="shared" si="77"/>
        <v>0</v>
      </c>
      <c r="CO210" s="122">
        <f t="shared" si="78"/>
        <v>0</v>
      </c>
      <c r="CP210" s="45" t="str">
        <f t="shared" si="75"/>
        <v>1 - in MILLESIMI   I</v>
      </c>
      <c r="CQ210" s="1"/>
    </row>
    <row r="211" spans="1:95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435">
        <f>IF(AND(W211&gt;=$U$1,W211&lt;=$U$2),IF(X211='ESTRATTO CONTO'!$E$2,1+COUNTIF(U$4:U210,"&gt;0"),0),0)</f>
        <v>0</v>
      </c>
      <c r="V211" s="417">
        <f t="shared" si="79"/>
        <v>208</v>
      </c>
      <c r="W211" s="509"/>
      <c r="X211" s="321"/>
      <c r="Y211" s="321"/>
      <c r="Z211" s="433"/>
      <c r="AA211" s="918">
        <f t="shared" si="70"/>
        <v>1</v>
      </c>
      <c r="AB211" s="306" t="str">
        <f t="shared" si="71"/>
        <v/>
      </c>
      <c r="AC211" s="788"/>
      <c r="AD211" s="119">
        <f t="shared" si="80"/>
        <v>0</v>
      </c>
      <c r="AE211" s="108">
        <f t="shared" si="80"/>
        <v>0</v>
      </c>
      <c r="AF211" s="108">
        <f t="shared" si="80"/>
        <v>0</v>
      </c>
      <c r="AG211" s="108"/>
      <c r="AH211" s="108"/>
      <c r="AI211" s="108"/>
      <c r="AJ211" s="108"/>
      <c r="AK211" s="108"/>
      <c r="AL211" s="108">
        <f t="shared" si="72"/>
        <v>0</v>
      </c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20">
        <f t="shared" si="73"/>
        <v>0</v>
      </c>
      <c r="CL211" s="122">
        <f t="shared" si="74"/>
        <v>0</v>
      </c>
      <c r="CM211" s="524" t="str">
        <f t="shared" si="76"/>
        <v/>
      </c>
      <c r="CN211" s="526">
        <f t="shared" si="77"/>
        <v>0</v>
      </c>
      <c r="CO211" s="122">
        <f t="shared" si="78"/>
        <v>0</v>
      </c>
      <c r="CP211" s="45" t="str">
        <f t="shared" si="75"/>
        <v>1 - in MILLESIMI   I</v>
      </c>
      <c r="CQ211" s="1"/>
    </row>
    <row r="212" spans="1:95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435">
        <f>IF(AND(W212&gt;=$U$1,W212&lt;=$U$2),IF(X212='ESTRATTO CONTO'!$E$2,1+COUNTIF(U$4:U211,"&gt;0"),0),0)</f>
        <v>0</v>
      </c>
      <c r="V212" s="417">
        <f t="shared" si="79"/>
        <v>209</v>
      </c>
      <c r="W212" s="509"/>
      <c r="X212" s="321"/>
      <c r="Y212" s="321"/>
      <c r="Z212" s="433"/>
      <c r="AA212" s="918">
        <f t="shared" si="70"/>
        <v>1</v>
      </c>
      <c r="AB212" s="306" t="str">
        <f t="shared" si="71"/>
        <v/>
      </c>
      <c r="AC212" s="788"/>
      <c r="AD212" s="119">
        <f t="shared" si="80"/>
        <v>0</v>
      </c>
      <c r="AE212" s="108">
        <f t="shared" si="80"/>
        <v>0</v>
      </c>
      <c r="AF212" s="108">
        <f t="shared" si="80"/>
        <v>0</v>
      </c>
      <c r="AG212" s="108"/>
      <c r="AH212" s="108"/>
      <c r="AI212" s="108"/>
      <c r="AJ212" s="108"/>
      <c r="AK212" s="108"/>
      <c r="AL212" s="108">
        <f t="shared" si="72"/>
        <v>0</v>
      </c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20">
        <f t="shared" si="73"/>
        <v>0</v>
      </c>
      <c r="CL212" s="122">
        <f t="shared" si="74"/>
        <v>0</v>
      </c>
      <c r="CM212" s="524" t="str">
        <f t="shared" si="76"/>
        <v/>
      </c>
      <c r="CN212" s="526">
        <f t="shared" si="77"/>
        <v>0</v>
      </c>
      <c r="CO212" s="122">
        <f t="shared" si="78"/>
        <v>0</v>
      </c>
      <c r="CP212" s="45" t="str">
        <f t="shared" si="75"/>
        <v>1 - in MILLESIMI   I</v>
      </c>
      <c r="CQ212" s="1"/>
    </row>
    <row r="213" spans="1:95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435">
        <f>IF(AND(W213&gt;=$U$1,W213&lt;=$U$2),IF(X213='ESTRATTO CONTO'!$E$2,1+COUNTIF(U$4:U212,"&gt;0"),0),0)</f>
        <v>0</v>
      </c>
      <c r="V213" s="417">
        <f t="shared" si="79"/>
        <v>210</v>
      </c>
      <c r="W213" s="509"/>
      <c r="X213" s="321"/>
      <c r="Y213" s="321"/>
      <c r="Z213" s="433"/>
      <c r="AA213" s="918">
        <f t="shared" si="70"/>
        <v>1</v>
      </c>
      <c r="AB213" s="306" t="str">
        <f t="shared" si="71"/>
        <v/>
      </c>
      <c r="AC213" s="788"/>
      <c r="AD213" s="119">
        <f t="shared" si="80"/>
        <v>0</v>
      </c>
      <c r="AE213" s="108">
        <f t="shared" si="80"/>
        <v>0</v>
      </c>
      <c r="AF213" s="108">
        <f t="shared" si="80"/>
        <v>0</v>
      </c>
      <c r="AG213" s="108"/>
      <c r="AH213" s="108"/>
      <c r="AI213" s="108"/>
      <c r="AJ213" s="108"/>
      <c r="AK213" s="108"/>
      <c r="AL213" s="108">
        <f t="shared" si="72"/>
        <v>0</v>
      </c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20">
        <f t="shared" si="73"/>
        <v>0</v>
      </c>
      <c r="CL213" s="122">
        <f t="shared" si="74"/>
        <v>0</v>
      </c>
      <c r="CM213" s="524" t="str">
        <f t="shared" si="76"/>
        <v/>
      </c>
      <c r="CN213" s="526">
        <f t="shared" si="77"/>
        <v>0</v>
      </c>
      <c r="CO213" s="122">
        <f t="shared" si="78"/>
        <v>0</v>
      </c>
      <c r="CP213" s="45" t="str">
        <f t="shared" si="75"/>
        <v>1 - in MILLESIMI   I</v>
      </c>
      <c r="CQ213" s="1"/>
    </row>
    <row r="214" spans="1:95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435">
        <f>IF(AND(W214&gt;=$U$1,W214&lt;=$U$2),IF(X214='ESTRATTO CONTO'!$E$2,1+COUNTIF(U$4:U213,"&gt;0"),0),0)</f>
        <v>0</v>
      </c>
      <c r="V214" s="417">
        <f t="shared" si="79"/>
        <v>211</v>
      </c>
      <c r="W214" s="509"/>
      <c r="X214" s="321"/>
      <c r="Y214" s="321"/>
      <c r="Z214" s="433"/>
      <c r="AA214" s="918">
        <f t="shared" si="70"/>
        <v>1</v>
      </c>
      <c r="AB214" s="306" t="str">
        <f t="shared" si="71"/>
        <v/>
      </c>
      <c r="AC214" s="788"/>
      <c r="AD214" s="119">
        <f t="shared" si="80"/>
        <v>0</v>
      </c>
      <c r="AE214" s="108">
        <f t="shared" si="80"/>
        <v>0</v>
      </c>
      <c r="AF214" s="108">
        <f t="shared" si="80"/>
        <v>0</v>
      </c>
      <c r="AG214" s="108"/>
      <c r="AH214" s="108"/>
      <c r="AI214" s="108"/>
      <c r="AJ214" s="108"/>
      <c r="AK214" s="108"/>
      <c r="AL214" s="108">
        <f t="shared" si="72"/>
        <v>0</v>
      </c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20">
        <f t="shared" si="73"/>
        <v>0</v>
      </c>
      <c r="CL214" s="122">
        <f t="shared" si="74"/>
        <v>0</v>
      </c>
      <c r="CM214" s="524" t="str">
        <f t="shared" si="76"/>
        <v/>
      </c>
      <c r="CN214" s="526">
        <f t="shared" si="77"/>
        <v>0</v>
      </c>
      <c r="CO214" s="122">
        <f t="shared" si="78"/>
        <v>0</v>
      </c>
      <c r="CP214" s="45" t="str">
        <f t="shared" si="75"/>
        <v>1 - in MILLESIMI   I</v>
      </c>
      <c r="CQ214" s="1"/>
    </row>
    <row r="215" spans="1:95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435">
        <f>IF(AND(W215&gt;=$U$1,W215&lt;=$U$2),IF(X215='ESTRATTO CONTO'!$E$2,1+COUNTIF(U$4:U214,"&gt;0"),0),0)</f>
        <v>0</v>
      </c>
      <c r="V215" s="417">
        <f t="shared" si="79"/>
        <v>212</v>
      </c>
      <c r="W215" s="509"/>
      <c r="X215" s="321"/>
      <c r="Y215" s="321"/>
      <c r="Z215" s="433"/>
      <c r="AA215" s="918">
        <f t="shared" si="70"/>
        <v>1</v>
      </c>
      <c r="AB215" s="306" t="str">
        <f t="shared" si="71"/>
        <v/>
      </c>
      <c r="AC215" s="788"/>
      <c r="AD215" s="119">
        <f t="shared" si="80"/>
        <v>0</v>
      </c>
      <c r="AE215" s="108">
        <f t="shared" si="80"/>
        <v>0</v>
      </c>
      <c r="AF215" s="108">
        <f t="shared" si="80"/>
        <v>0</v>
      </c>
      <c r="AG215" s="108"/>
      <c r="AH215" s="108"/>
      <c r="AI215" s="108"/>
      <c r="AJ215" s="108"/>
      <c r="AK215" s="108"/>
      <c r="AL215" s="108">
        <f t="shared" si="72"/>
        <v>0</v>
      </c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20">
        <f t="shared" si="73"/>
        <v>0</v>
      </c>
      <c r="CL215" s="122">
        <f t="shared" si="74"/>
        <v>0</v>
      </c>
      <c r="CM215" s="524" t="str">
        <f t="shared" si="76"/>
        <v/>
      </c>
      <c r="CN215" s="526">
        <f t="shared" si="77"/>
        <v>0</v>
      </c>
      <c r="CO215" s="122">
        <f t="shared" si="78"/>
        <v>0</v>
      </c>
      <c r="CP215" s="45" t="str">
        <f t="shared" si="75"/>
        <v>1 - in MILLESIMI   I</v>
      </c>
      <c r="CQ215" s="1"/>
    </row>
    <row r="216" spans="1:95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435">
        <f>IF(AND(W216&gt;=$U$1,W216&lt;=$U$2),IF(X216='ESTRATTO CONTO'!$E$2,1+COUNTIF(U$4:U215,"&gt;0"),0),0)</f>
        <v>0</v>
      </c>
      <c r="V216" s="417">
        <f t="shared" si="79"/>
        <v>213</v>
      </c>
      <c r="W216" s="509"/>
      <c r="X216" s="321"/>
      <c r="Y216" s="321"/>
      <c r="Z216" s="433"/>
      <c r="AA216" s="918">
        <f t="shared" si="70"/>
        <v>1</v>
      </c>
      <c r="AB216" s="306" t="str">
        <f t="shared" si="71"/>
        <v/>
      </c>
      <c r="AC216" s="788"/>
      <c r="AD216" s="119">
        <f t="shared" si="80"/>
        <v>0</v>
      </c>
      <c r="AE216" s="108">
        <f t="shared" si="80"/>
        <v>0</v>
      </c>
      <c r="AF216" s="108">
        <f t="shared" si="80"/>
        <v>0</v>
      </c>
      <c r="AG216" s="108"/>
      <c r="AH216" s="108"/>
      <c r="AI216" s="108"/>
      <c r="AJ216" s="108"/>
      <c r="AK216" s="108"/>
      <c r="AL216" s="108">
        <f t="shared" si="72"/>
        <v>0</v>
      </c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20">
        <f t="shared" si="73"/>
        <v>0</v>
      </c>
      <c r="CL216" s="122">
        <f t="shared" si="74"/>
        <v>0</v>
      </c>
      <c r="CM216" s="524" t="str">
        <f t="shared" si="76"/>
        <v/>
      </c>
      <c r="CN216" s="526">
        <f t="shared" si="77"/>
        <v>0</v>
      </c>
      <c r="CO216" s="122">
        <f t="shared" si="78"/>
        <v>0</v>
      </c>
      <c r="CP216" s="45" t="str">
        <f t="shared" si="75"/>
        <v>1 - in MILLESIMI   I</v>
      </c>
      <c r="CQ216" s="1"/>
    </row>
    <row r="217" spans="1:95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435">
        <f>IF(AND(W217&gt;=$U$1,W217&lt;=$U$2),IF(X217='ESTRATTO CONTO'!$E$2,1+COUNTIF(U$4:U216,"&gt;0"),0),0)</f>
        <v>0</v>
      </c>
      <c r="V217" s="417">
        <f t="shared" si="79"/>
        <v>214</v>
      </c>
      <c r="W217" s="509"/>
      <c r="X217" s="321"/>
      <c r="Y217" s="321"/>
      <c r="Z217" s="433"/>
      <c r="AA217" s="918">
        <f t="shared" si="70"/>
        <v>1</v>
      </c>
      <c r="AB217" s="306" t="str">
        <f t="shared" si="71"/>
        <v/>
      </c>
      <c r="AC217" s="788"/>
      <c r="AD217" s="119">
        <f t="shared" si="80"/>
        <v>0</v>
      </c>
      <c r="AE217" s="108">
        <f t="shared" si="80"/>
        <v>0</v>
      </c>
      <c r="AF217" s="108">
        <f t="shared" si="80"/>
        <v>0</v>
      </c>
      <c r="AG217" s="108"/>
      <c r="AH217" s="108"/>
      <c r="AI217" s="108"/>
      <c r="AJ217" s="108"/>
      <c r="AK217" s="108"/>
      <c r="AL217" s="108">
        <f t="shared" si="72"/>
        <v>0</v>
      </c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20">
        <f t="shared" si="73"/>
        <v>0</v>
      </c>
      <c r="CL217" s="122">
        <f t="shared" si="74"/>
        <v>0</v>
      </c>
      <c r="CM217" s="524" t="str">
        <f t="shared" si="76"/>
        <v/>
      </c>
      <c r="CN217" s="526">
        <f t="shared" si="77"/>
        <v>0</v>
      </c>
      <c r="CO217" s="122">
        <f t="shared" si="78"/>
        <v>0</v>
      </c>
      <c r="CP217" s="45" t="str">
        <f t="shared" si="75"/>
        <v>1 - in MILLESIMI   I</v>
      </c>
      <c r="CQ217" s="1"/>
    </row>
    <row r="218" spans="1:95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435">
        <f>IF(AND(W218&gt;=$U$1,W218&lt;=$U$2),IF(X218='ESTRATTO CONTO'!$E$2,1+COUNTIF(U$4:U217,"&gt;0"),0),0)</f>
        <v>0</v>
      </c>
      <c r="V218" s="417">
        <f t="shared" si="79"/>
        <v>215</v>
      </c>
      <c r="W218" s="509"/>
      <c r="X218" s="321"/>
      <c r="Y218" s="321"/>
      <c r="Z218" s="433"/>
      <c r="AA218" s="918">
        <f t="shared" si="70"/>
        <v>1</v>
      </c>
      <c r="AB218" s="306" t="str">
        <f t="shared" si="71"/>
        <v/>
      </c>
      <c r="AC218" s="788"/>
      <c r="AD218" s="119">
        <f t="shared" si="80"/>
        <v>0</v>
      </c>
      <c r="AE218" s="108">
        <f t="shared" si="80"/>
        <v>0</v>
      </c>
      <c r="AF218" s="108">
        <f t="shared" si="80"/>
        <v>0</v>
      </c>
      <c r="AG218" s="108"/>
      <c r="AH218" s="108"/>
      <c r="AI218" s="108"/>
      <c r="AJ218" s="108"/>
      <c r="AK218" s="108"/>
      <c r="AL218" s="108">
        <f t="shared" si="72"/>
        <v>0</v>
      </c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20">
        <f t="shared" si="73"/>
        <v>0</v>
      </c>
      <c r="CL218" s="122">
        <f t="shared" si="74"/>
        <v>0</v>
      </c>
      <c r="CM218" s="524" t="str">
        <f t="shared" si="76"/>
        <v/>
      </c>
      <c r="CN218" s="526">
        <f t="shared" si="77"/>
        <v>0</v>
      </c>
      <c r="CO218" s="122">
        <f t="shared" si="78"/>
        <v>0</v>
      </c>
      <c r="CP218" s="45" t="str">
        <f t="shared" si="75"/>
        <v>1 - in MILLESIMI   I</v>
      </c>
      <c r="CQ218" s="1"/>
    </row>
    <row r="219" spans="1:95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435">
        <f>IF(AND(W219&gt;=$U$1,W219&lt;=$U$2),IF(X219='ESTRATTO CONTO'!$E$2,1+COUNTIF(U$4:U218,"&gt;0"),0),0)</f>
        <v>0</v>
      </c>
      <c r="V219" s="417">
        <f t="shared" si="79"/>
        <v>216</v>
      </c>
      <c r="W219" s="509"/>
      <c r="X219" s="321"/>
      <c r="Y219" s="321"/>
      <c r="Z219" s="433"/>
      <c r="AA219" s="918">
        <f t="shared" si="70"/>
        <v>1</v>
      </c>
      <c r="AB219" s="306" t="str">
        <f t="shared" si="71"/>
        <v/>
      </c>
      <c r="AC219" s="788"/>
      <c r="AD219" s="119">
        <f t="shared" si="80"/>
        <v>0</v>
      </c>
      <c r="AE219" s="108">
        <f t="shared" si="80"/>
        <v>0</v>
      </c>
      <c r="AF219" s="108">
        <f t="shared" si="80"/>
        <v>0</v>
      </c>
      <c r="AG219" s="108"/>
      <c r="AH219" s="108"/>
      <c r="AI219" s="108"/>
      <c r="AJ219" s="108"/>
      <c r="AK219" s="108"/>
      <c r="AL219" s="108">
        <f t="shared" si="72"/>
        <v>0</v>
      </c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20">
        <f t="shared" si="73"/>
        <v>0</v>
      </c>
      <c r="CL219" s="122">
        <f t="shared" si="74"/>
        <v>0</v>
      </c>
      <c r="CM219" s="524" t="str">
        <f t="shared" si="76"/>
        <v/>
      </c>
      <c r="CN219" s="526">
        <f t="shared" si="77"/>
        <v>0</v>
      </c>
      <c r="CO219" s="122">
        <f t="shared" si="78"/>
        <v>0</v>
      </c>
      <c r="CP219" s="45" t="str">
        <f t="shared" si="75"/>
        <v>1 - in MILLESIMI   I</v>
      </c>
      <c r="CQ219" s="1"/>
    </row>
    <row r="220" spans="1:95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435">
        <f>IF(AND(W220&gt;=$U$1,W220&lt;=$U$2),IF(X220='ESTRATTO CONTO'!$E$2,1+COUNTIF(U$4:U219,"&gt;0"),0),0)</f>
        <v>0</v>
      </c>
      <c r="V220" s="417">
        <f t="shared" si="79"/>
        <v>217</v>
      </c>
      <c r="W220" s="509"/>
      <c r="X220" s="321"/>
      <c r="Y220" s="321"/>
      <c r="Z220" s="433"/>
      <c r="AA220" s="918">
        <f t="shared" si="70"/>
        <v>1</v>
      </c>
      <c r="AB220" s="306" t="str">
        <f t="shared" si="71"/>
        <v/>
      </c>
      <c r="AC220" s="788"/>
      <c r="AD220" s="119">
        <f t="shared" si="80"/>
        <v>0</v>
      </c>
      <c r="AE220" s="108">
        <f t="shared" si="80"/>
        <v>0</v>
      </c>
      <c r="AF220" s="108">
        <f t="shared" si="80"/>
        <v>0</v>
      </c>
      <c r="AG220" s="108"/>
      <c r="AH220" s="108"/>
      <c r="AI220" s="108"/>
      <c r="AJ220" s="108"/>
      <c r="AK220" s="108"/>
      <c r="AL220" s="108">
        <f t="shared" si="72"/>
        <v>0</v>
      </c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20">
        <f t="shared" si="73"/>
        <v>0</v>
      </c>
      <c r="CL220" s="122">
        <f t="shared" si="74"/>
        <v>0</v>
      </c>
      <c r="CM220" s="524" t="str">
        <f t="shared" si="76"/>
        <v/>
      </c>
      <c r="CN220" s="526">
        <f t="shared" si="77"/>
        <v>0</v>
      </c>
      <c r="CO220" s="122">
        <f t="shared" si="78"/>
        <v>0</v>
      </c>
      <c r="CP220" s="45" t="str">
        <f t="shared" si="75"/>
        <v>1 - in MILLESIMI   I</v>
      </c>
      <c r="CQ220" s="1"/>
    </row>
    <row r="221" spans="1:95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435">
        <f>IF(AND(W221&gt;=$U$1,W221&lt;=$U$2),IF(X221='ESTRATTO CONTO'!$E$2,1+COUNTIF(U$4:U220,"&gt;0"),0),0)</f>
        <v>0</v>
      </c>
      <c r="V221" s="417">
        <f t="shared" si="79"/>
        <v>218</v>
      </c>
      <c r="W221" s="509"/>
      <c r="X221" s="321"/>
      <c r="Y221" s="321"/>
      <c r="Z221" s="433"/>
      <c r="AA221" s="918">
        <f t="shared" si="70"/>
        <v>1</v>
      </c>
      <c r="AB221" s="306" t="str">
        <f t="shared" si="71"/>
        <v/>
      </c>
      <c r="AC221" s="788"/>
      <c r="AD221" s="119">
        <f t="shared" si="80"/>
        <v>0</v>
      </c>
      <c r="AE221" s="108">
        <f t="shared" si="80"/>
        <v>0</v>
      </c>
      <c r="AF221" s="108">
        <f t="shared" si="80"/>
        <v>0</v>
      </c>
      <c r="AG221" s="108"/>
      <c r="AH221" s="108"/>
      <c r="AI221" s="108"/>
      <c r="AJ221" s="108"/>
      <c r="AK221" s="108"/>
      <c r="AL221" s="108">
        <f t="shared" si="72"/>
        <v>0</v>
      </c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20">
        <f t="shared" si="73"/>
        <v>0</v>
      </c>
      <c r="CL221" s="122">
        <f t="shared" si="74"/>
        <v>0</v>
      </c>
      <c r="CM221" s="524" t="str">
        <f t="shared" si="76"/>
        <v/>
      </c>
      <c r="CN221" s="526">
        <f t="shared" si="77"/>
        <v>0</v>
      </c>
      <c r="CO221" s="122">
        <f t="shared" si="78"/>
        <v>0</v>
      </c>
      <c r="CP221" s="45" t="str">
        <f t="shared" si="75"/>
        <v>1 - in MILLESIMI   I</v>
      </c>
      <c r="CQ221" s="1"/>
    </row>
    <row r="222" spans="1:95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435">
        <f>IF(AND(W222&gt;=$U$1,W222&lt;=$U$2),IF(X222='ESTRATTO CONTO'!$E$2,1+COUNTIF(U$4:U221,"&gt;0"),0),0)</f>
        <v>0</v>
      </c>
      <c r="V222" s="417">
        <f t="shared" si="79"/>
        <v>219</v>
      </c>
      <c r="W222" s="509"/>
      <c r="X222" s="321"/>
      <c r="Y222" s="321"/>
      <c r="Z222" s="433"/>
      <c r="AA222" s="918">
        <f t="shared" si="70"/>
        <v>1</v>
      </c>
      <c r="AB222" s="306" t="str">
        <f t="shared" si="71"/>
        <v/>
      </c>
      <c r="AC222" s="788"/>
      <c r="AD222" s="119">
        <f t="shared" si="80"/>
        <v>0</v>
      </c>
      <c r="AE222" s="108">
        <f t="shared" si="80"/>
        <v>0</v>
      </c>
      <c r="AF222" s="108">
        <f t="shared" si="80"/>
        <v>0</v>
      </c>
      <c r="AG222" s="108"/>
      <c r="AH222" s="108"/>
      <c r="AI222" s="108"/>
      <c r="AJ222" s="108"/>
      <c r="AK222" s="108"/>
      <c r="AL222" s="108">
        <f t="shared" si="72"/>
        <v>0</v>
      </c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20">
        <f t="shared" si="73"/>
        <v>0</v>
      </c>
      <c r="CL222" s="122">
        <f t="shared" si="74"/>
        <v>0</v>
      </c>
      <c r="CM222" s="524" t="str">
        <f t="shared" si="76"/>
        <v/>
      </c>
      <c r="CN222" s="526">
        <f t="shared" si="77"/>
        <v>0</v>
      </c>
      <c r="CO222" s="122">
        <f t="shared" si="78"/>
        <v>0</v>
      </c>
      <c r="CP222" s="45" t="str">
        <f t="shared" si="75"/>
        <v>1 - in MILLESIMI   I</v>
      </c>
      <c r="CQ222" s="1"/>
    </row>
    <row r="223" spans="1:95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435">
        <f>IF(AND(W223&gt;=$U$1,W223&lt;=$U$2),IF(X223='ESTRATTO CONTO'!$E$2,1+COUNTIF(U$4:U222,"&gt;0"),0),0)</f>
        <v>0</v>
      </c>
      <c r="V223" s="417">
        <f t="shared" si="79"/>
        <v>220</v>
      </c>
      <c r="W223" s="509"/>
      <c r="X223" s="321"/>
      <c r="Y223" s="321"/>
      <c r="Z223" s="433"/>
      <c r="AA223" s="918">
        <f t="shared" si="70"/>
        <v>1</v>
      </c>
      <c r="AB223" s="306" t="str">
        <f t="shared" si="71"/>
        <v/>
      </c>
      <c r="AC223" s="788"/>
      <c r="AD223" s="119">
        <f t="shared" si="80"/>
        <v>0</v>
      </c>
      <c r="AE223" s="108">
        <f t="shared" si="80"/>
        <v>0</v>
      </c>
      <c r="AF223" s="108">
        <f t="shared" si="80"/>
        <v>0</v>
      </c>
      <c r="AG223" s="108"/>
      <c r="AH223" s="108"/>
      <c r="AI223" s="108"/>
      <c r="AJ223" s="108"/>
      <c r="AK223" s="108"/>
      <c r="AL223" s="108">
        <f t="shared" si="72"/>
        <v>0</v>
      </c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20">
        <f t="shared" si="73"/>
        <v>0</v>
      </c>
      <c r="CL223" s="122">
        <f t="shared" si="74"/>
        <v>0</v>
      </c>
      <c r="CM223" s="524" t="str">
        <f t="shared" si="76"/>
        <v/>
      </c>
      <c r="CN223" s="526">
        <f t="shared" si="77"/>
        <v>0</v>
      </c>
      <c r="CO223" s="122">
        <f t="shared" si="78"/>
        <v>0</v>
      </c>
      <c r="CP223" s="45" t="str">
        <f t="shared" si="75"/>
        <v>1 - in MILLESIMI   I</v>
      </c>
      <c r="CQ223" s="1"/>
    </row>
    <row r="224" spans="1:95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435">
        <f>IF(AND(W224&gt;=$U$1,W224&lt;=$U$2),IF(X224='ESTRATTO CONTO'!$E$2,1+COUNTIF(U$4:U223,"&gt;0"),0),0)</f>
        <v>0</v>
      </c>
      <c r="V224" s="417">
        <f t="shared" si="79"/>
        <v>221</v>
      </c>
      <c r="W224" s="509"/>
      <c r="X224" s="321"/>
      <c r="Y224" s="321"/>
      <c r="Z224" s="433"/>
      <c r="AA224" s="918">
        <f t="shared" si="70"/>
        <v>1</v>
      </c>
      <c r="AB224" s="306" t="str">
        <f t="shared" si="71"/>
        <v/>
      </c>
      <c r="AC224" s="788"/>
      <c r="AD224" s="119">
        <f t="shared" ref="AD224:AF243" si="81">IF($AB224=0,0,ROUND($Z224*VLOOKUP(AD$2,$F$1010:$Q$1014,VLOOKUP($CP224,$C$1076:$E$1081,3,FALSE),FALSE),2))</f>
        <v>0</v>
      </c>
      <c r="AE224" s="108">
        <f t="shared" si="81"/>
        <v>0</v>
      </c>
      <c r="AF224" s="108">
        <f t="shared" si="81"/>
        <v>0</v>
      </c>
      <c r="AG224" s="108"/>
      <c r="AH224" s="108"/>
      <c r="AI224" s="108"/>
      <c r="AJ224" s="108"/>
      <c r="AK224" s="108"/>
      <c r="AL224" s="108">
        <f t="shared" si="72"/>
        <v>0</v>
      </c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20">
        <f t="shared" si="73"/>
        <v>0</v>
      </c>
      <c r="CL224" s="122">
        <f t="shared" si="74"/>
        <v>0</v>
      </c>
      <c r="CM224" s="524" t="str">
        <f t="shared" si="76"/>
        <v/>
      </c>
      <c r="CN224" s="526">
        <f t="shared" si="77"/>
        <v>0</v>
      </c>
      <c r="CO224" s="122">
        <f t="shared" si="78"/>
        <v>0</v>
      </c>
      <c r="CP224" s="45" t="str">
        <f t="shared" si="75"/>
        <v>1 - in MILLESIMI   I</v>
      </c>
      <c r="CQ224" s="1"/>
    </row>
    <row r="225" spans="1:95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435">
        <f>IF(AND(W225&gt;=$U$1,W225&lt;=$U$2),IF(X225='ESTRATTO CONTO'!$E$2,1+COUNTIF(U$4:U224,"&gt;0"),0),0)</f>
        <v>0</v>
      </c>
      <c r="V225" s="417">
        <f t="shared" si="79"/>
        <v>222</v>
      </c>
      <c r="W225" s="509"/>
      <c r="X225" s="321"/>
      <c r="Y225" s="321"/>
      <c r="Z225" s="433"/>
      <c r="AA225" s="918">
        <f t="shared" si="70"/>
        <v>1</v>
      </c>
      <c r="AB225" s="306" t="str">
        <f t="shared" si="71"/>
        <v/>
      </c>
      <c r="AC225" s="788"/>
      <c r="AD225" s="119">
        <f t="shared" si="81"/>
        <v>0</v>
      </c>
      <c r="AE225" s="108">
        <f t="shared" si="81"/>
        <v>0</v>
      </c>
      <c r="AF225" s="108">
        <f t="shared" si="81"/>
        <v>0</v>
      </c>
      <c r="AG225" s="108"/>
      <c r="AH225" s="108"/>
      <c r="AI225" s="108"/>
      <c r="AJ225" s="108"/>
      <c r="AK225" s="108"/>
      <c r="AL225" s="108">
        <f t="shared" si="72"/>
        <v>0</v>
      </c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20">
        <f t="shared" si="73"/>
        <v>0</v>
      </c>
      <c r="CL225" s="122">
        <f t="shared" si="74"/>
        <v>0</v>
      </c>
      <c r="CM225" s="524" t="str">
        <f t="shared" si="76"/>
        <v/>
      </c>
      <c r="CN225" s="526">
        <f t="shared" si="77"/>
        <v>0</v>
      </c>
      <c r="CO225" s="122">
        <f t="shared" si="78"/>
        <v>0</v>
      </c>
      <c r="CP225" s="45" t="str">
        <f t="shared" si="75"/>
        <v>1 - in MILLESIMI   I</v>
      </c>
      <c r="CQ225" s="1"/>
    </row>
    <row r="226" spans="1:95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435">
        <f>IF(AND(W226&gt;=$U$1,W226&lt;=$U$2),IF(X226='ESTRATTO CONTO'!$E$2,1+COUNTIF(U$4:U225,"&gt;0"),0),0)</f>
        <v>0</v>
      </c>
      <c r="V226" s="417">
        <f t="shared" si="79"/>
        <v>223</v>
      </c>
      <c r="W226" s="509"/>
      <c r="X226" s="321"/>
      <c r="Y226" s="321"/>
      <c r="Z226" s="433"/>
      <c r="AA226" s="918">
        <f t="shared" si="70"/>
        <v>1</v>
      </c>
      <c r="AB226" s="306" t="str">
        <f t="shared" si="71"/>
        <v/>
      </c>
      <c r="AC226" s="788"/>
      <c r="AD226" s="119">
        <f t="shared" si="81"/>
        <v>0</v>
      </c>
      <c r="AE226" s="108">
        <f t="shared" si="81"/>
        <v>0</v>
      </c>
      <c r="AF226" s="108">
        <f t="shared" si="81"/>
        <v>0</v>
      </c>
      <c r="AG226" s="108"/>
      <c r="AH226" s="108"/>
      <c r="AI226" s="108"/>
      <c r="AJ226" s="108"/>
      <c r="AK226" s="108"/>
      <c r="AL226" s="108">
        <f t="shared" si="72"/>
        <v>0</v>
      </c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20">
        <f t="shared" si="73"/>
        <v>0</v>
      </c>
      <c r="CL226" s="122">
        <f t="shared" si="74"/>
        <v>0</v>
      </c>
      <c r="CM226" s="524" t="str">
        <f t="shared" si="76"/>
        <v/>
      </c>
      <c r="CN226" s="526">
        <f t="shared" si="77"/>
        <v>0</v>
      </c>
      <c r="CO226" s="122">
        <f t="shared" si="78"/>
        <v>0</v>
      </c>
      <c r="CP226" s="45" t="str">
        <f t="shared" si="75"/>
        <v>1 - in MILLESIMI   I</v>
      </c>
      <c r="CQ226" s="1"/>
    </row>
    <row r="227" spans="1:95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435">
        <f>IF(AND(W227&gt;=$U$1,W227&lt;=$U$2),IF(X227='ESTRATTO CONTO'!$E$2,1+COUNTIF(U$4:U226,"&gt;0"),0),0)</f>
        <v>0</v>
      </c>
      <c r="V227" s="417">
        <f t="shared" si="79"/>
        <v>224</v>
      </c>
      <c r="W227" s="509"/>
      <c r="X227" s="321"/>
      <c r="Y227" s="321"/>
      <c r="Z227" s="433"/>
      <c r="AA227" s="918">
        <f t="shared" si="70"/>
        <v>1</v>
      </c>
      <c r="AB227" s="306" t="str">
        <f t="shared" si="71"/>
        <v/>
      </c>
      <c r="AC227" s="788"/>
      <c r="AD227" s="119">
        <f t="shared" si="81"/>
        <v>0</v>
      </c>
      <c r="AE227" s="108">
        <f t="shared" si="81"/>
        <v>0</v>
      </c>
      <c r="AF227" s="108">
        <f t="shared" si="81"/>
        <v>0</v>
      </c>
      <c r="AG227" s="108"/>
      <c r="AH227" s="108"/>
      <c r="AI227" s="108"/>
      <c r="AJ227" s="108"/>
      <c r="AK227" s="108"/>
      <c r="AL227" s="108">
        <f t="shared" si="72"/>
        <v>0</v>
      </c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20">
        <f t="shared" si="73"/>
        <v>0</v>
      </c>
      <c r="CL227" s="122">
        <f t="shared" si="74"/>
        <v>0</v>
      </c>
      <c r="CM227" s="524" t="str">
        <f t="shared" si="76"/>
        <v/>
      </c>
      <c r="CN227" s="526">
        <f t="shared" si="77"/>
        <v>0</v>
      </c>
      <c r="CO227" s="122">
        <f t="shared" si="78"/>
        <v>0</v>
      </c>
      <c r="CP227" s="45" t="str">
        <f t="shared" si="75"/>
        <v>1 - in MILLESIMI   I</v>
      </c>
      <c r="CQ227" s="1"/>
    </row>
    <row r="228" spans="1:95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435">
        <f>IF(AND(W228&gt;=$U$1,W228&lt;=$U$2),IF(X228='ESTRATTO CONTO'!$E$2,1+COUNTIF(U$4:U227,"&gt;0"),0),0)</f>
        <v>0</v>
      </c>
      <c r="V228" s="417">
        <f t="shared" si="79"/>
        <v>225</v>
      </c>
      <c r="W228" s="509"/>
      <c r="X228" s="321"/>
      <c r="Y228" s="321"/>
      <c r="Z228" s="433"/>
      <c r="AA228" s="918">
        <f t="shared" si="70"/>
        <v>1</v>
      </c>
      <c r="AB228" s="306" t="str">
        <f t="shared" si="71"/>
        <v/>
      </c>
      <c r="AC228" s="788"/>
      <c r="AD228" s="119">
        <f t="shared" si="81"/>
        <v>0</v>
      </c>
      <c r="AE228" s="108">
        <f t="shared" si="81"/>
        <v>0</v>
      </c>
      <c r="AF228" s="108">
        <f t="shared" si="81"/>
        <v>0</v>
      </c>
      <c r="AG228" s="108"/>
      <c r="AH228" s="108"/>
      <c r="AI228" s="108"/>
      <c r="AJ228" s="108"/>
      <c r="AK228" s="108"/>
      <c r="AL228" s="108">
        <f t="shared" si="72"/>
        <v>0</v>
      </c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20">
        <f t="shared" si="73"/>
        <v>0</v>
      </c>
      <c r="CL228" s="122">
        <f t="shared" si="74"/>
        <v>0</v>
      </c>
      <c r="CM228" s="524" t="str">
        <f t="shared" si="76"/>
        <v/>
      </c>
      <c r="CN228" s="526">
        <f t="shared" si="77"/>
        <v>0</v>
      </c>
      <c r="CO228" s="122">
        <f t="shared" si="78"/>
        <v>0</v>
      </c>
      <c r="CP228" s="45" t="str">
        <f t="shared" si="75"/>
        <v>1 - in MILLESIMI   I</v>
      </c>
      <c r="CQ228" s="1"/>
    </row>
    <row r="229" spans="1:95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435">
        <f>IF(AND(W229&gt;=$U$1,W229&lt;=$U$2),IF(X229='ESTRATTO CONTO'!$E$2,1+COUNTIF(U$4:U228,"&gt;0"),0),0)</f>
        <v>0</v>
      </c>
      <c r="V229" s="417">
        <f t="shared" si="79"/>
        <v>226</v>
      </c>
      <c r="W229" s="509"/>
      <c r="X229" s="321"/>
      <c r="Y229" s="321"/>
      <c r="Z229" s="433"/>
      <c r="AA229" s="918">
        <f t="shared" si="70"/>
        <v>1</v>
      </c>
      <c r="AB229" s="306" t="str">
        <f t="shared" si="71"/>
        <v/>
      </c>
      <c r="AC229" s="788"/>
      <c r="AD229" s="119">
        <f t="shared" si="81"/>
        <v>0</v>
      </c>
      <c r="AE229" s="108">
        <f t="shared" si="81"/>
        <v>0</v>
      </c>
      <c r="AF229" s="108">
        <f t="shared" si="81"/>
        <v>0</v>
      </c>
      <c r="AG229" s="108"/>
      <c r="AH229" s="108"/>
      <c r="AI229" s="108"/>
      <c r="AJ229" s="108"/>
      <c r="AK229" s="108"/>
      <c r="AL229" s="108">
        <f t="shared" si="72"/>
        <v>0</v>
      </c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20">
        <f t="shared" si="73"/>
        <v>0</v>
      </c>
      <c r="CL229" s="122">
        <f t="shared" si="74"/>
        <v>0</v>
      </c>
      <c r="CM229" s="524" t="str">
        <f t="shared" si="76"/>
        <v/>
      </c>
      <c r="CN229" s="526">
        <f t="shared" si="77"/>
        <v>0</v>
      </c>
      <c r="CO229" s="122">
        <f t="shared" si="78"/>
        <v>0</v>
      </c>
      <c r="CP229" s="45" t="str">
        <f t="shared" si="75"/>
        <v>1 - in MILLESIMI   I</v>
      </c>
      <c r="CQ229" s="1"/>
    </row>
    <row r="230" spans="1:95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435">
        <f>IF(AND(W230&gt;=$U$1,W230&lt;=$U$2),IF(X230='ESTRATTO CONTO'!$E$2,1+COUNTIF(U$4:U229,"&gt;0"),0),0)</f>
        <v>0</v>
      </c>
      <c r="V230" s="417">
        <f t="shared" si="79"/>
        <v>227</v>
      </c>
      <c r="W230" s="509"/>
      <c r="X230" s="321"/>
      <c r="Y230" s="321"/>
      <c r="Z230" s="433"/>
      <c r="AA230" s="918">
        <f t="shared" si="70"/>
        <v>1</v>
      </c>
      <c r="AB230" s="306" t="str">
        <f t="shared" si="71"/>
        <v/>
      </c>
      <c r="AC230" s="788"/>
      <c r="AD230" s="119">
        <f t="shared" si="81"/>
        <v>0</v>
      </c>
      <c r="AE230" s="108">
        <f t="shared" si="81"/>
        <v>0</v>
      </c>
      <c r="AF230" s="108">
        <f t="shared" si="81"/>
        <v>0</v>
      </c>
      <c r="AG230" s="108"/>
      <c r="AH230" s="108"/>
      <c r="AI230" s="108"/>
      <c r="AJ230" s="108"/>
      <c r="AK230" s="108"/>
      <c r="AL230" s="108">
        <f t="shared" si="72"/>
        <v>0</v>
      </c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20">
        <f t="shared" si="73"/>
        <v>0</v>
      </c>
      <c r="CL230" s="122">
        <f t="shared" si="74"/>
        <v>0</v>
      </c>
      <c r="CM230" s="524" t="str">
        <f t="shared" si="76"/>
        <v/>
      </c>
      <c r="CN230" s="526">
        <f t="shared" si="77"/>
        <v>0</v>
      </c>
      <c r="CO230" s="122">
        <f t="shared" si="78"/>
        <v>0</v>
      </c>
      <c r="CP230" s="45" t="str">
        <f t="shared" si="75"/>
        <v>1 - in MILLESIMI   I</v>
      </c>
      <c r="CQ230" s="1"/>
    </row>
    <row r="231" spans="1:95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435">
        <f>IF(AND(W231&gt;=$U$1,W231&lt;=$U$2),IF(X231='ESTRATTO CONTO'!$E$2,1+COUNTIF(U$4:U230,"&gt;0"),0),0)</f>
        <v>0</v>
      </c>
      <c r="V231" s="417">
        <f t="shared" si="79"/>
        <v>228</v>
      </c>
      <c r="W231" s="509"/>
      <c r="X231" s="321"/>
      <c r="Y231" s="321"/>
      <c r="Z231" s="433"/>
      <c r="AA231" s="918">
        <f t="shared" si="70"/>
        <v>1</v>
      </c>
      <c r="AB231" s="306" t="str">
        <f t="shared" si="71"/>
        <v/>
      </c>
      <c r="AC231" s="788"/>
      <c r="AD231" s="119">
        <f t="shared" si="81"/>
        <v>0</v>
      </c>
      <c r="AE231" s="108">
        <f t="shared" si="81"/>
        <v>0</v>
      </c>
      <c r="AF231" s="108">
        <f t="shared" si="81"/>
        <v>0</v>
      </c>
      <c r="AG231" s="108"/>
      <c r="AH231" s="108"/>
      <c r="AI231" s="108"/>
      <c r="AJ231" s="108"/>
      <c r="AK231" s="108"/>
      <c r="AL231" s="108">
        <f t="shared" si="72"/>
        <v>0</v>
      </c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20">
        <f t="shared" si="73"/>
        <v>0</v>
      </c>
      <c r="CL231" s="122">
        <f t="shared" si="74"/>
        <v>0</v>
      </c>
      <c r="CM231" s="524" t="str">
        <f t="shared" si="76"/>
        <v/>
      </c>
      <c r="CN231" s="526">
        <f t="shared" si="77"/>
        <v>0</v>
      </c>
      <c r="CO231" s="122">
        <f t="shared" si="78"/>
        <v>0</v>
      </c>
      <c r="CP231" s="45" t="str">
        <f t="shared" si="75"/>
        <v>1 - in MILLESIMI   I</v>
      </c>
      <c r="CQ231" s="1"/>
    </row>
    <row r="232" spans="1:95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435">
        <f>IF(AND(W232&gt;=$U$1,W232&lt;=$U$2),IF(X232='ESTRATTO CONTO'!$E$2,1+COUNTIF(U$4:U231,"&gt;0"),0),0)</f>
        <v>0</v>
      </c>
      <c r="V232" s="417">
        <f t="shared" si="79"/>
        <v>229</v>
      </c>
      <c r="W232" s="509"/>
      <c r="X232" s="321"/>
      <c r="Y232" s="321"/>
      <c r="Z232" s="433"/>
      <c r="AA232" s="918">
        <f t="shared" si="70"/>
        <v>1</v>
      </c>
      <c r="AB232" s="306" t="str">
        <f t="shared" si="71"/>
        <v/>
      </c>
      <c r="AC232" s="788"/>
      <c r="AD232" s="119">
        <f t="shared" si="81"/>
        <v>0</v>
      </c>
      <c r="AE232" s="108">
        <f t="shared" si="81"/>
        <v>0</v>
      </c>
      <c r="AF232" s="108">
        <f t="shared" si="81"/>
        <v>0</v>
      </c>
      <c r="AG232" s="108"/>
      <c r="AH232" s="108"/>
      <c r="AI232" s="108"/>
      <c r="AJ232" s="108"/>
      <c r="AK232" s="108"/>
      <c r="AL232" s="108">
        <f t="shared" si="72"/>
        <v>0</v>
      </c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20">
        <f t="shared" si="73"/>
        <v>0</v>
      </c>
      <c r="CL232" s="122">
        <f t="shared" si="74"/>
        <v>0</v>
      </c>
      <c r="CM232" s="524" t="str">
        <f t="shared" si="76"/>
        <v/>
      </c>
      <c r="CN232" s="526">
        <f t="shared" si="77"/>
        <v>0</v>
      </c>
      <c r="CO232" s="122">
        <f t="shared" si="78"/>
        <v>0</v>
      </c>
      <c r="CP232" s="45" t="str">
        <f t="shared" si="75"/>
        <v>1 - in MILLESIMI   I</v>
      </c>
      <c r="CQ232" s="1"/>
    </row>
    <row r="233" spans="1:95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435">
        <f>IF(AND(W233&gt;=$U$1,W233&lt;=$U$2),IF(X233='ESTRATTO CONTO'!$E$2,1+COUNTIF(U$4:U232,"&gt;0"),0),0)</f>
        <v>0</v>
      </c>
      <c r="V233" s="417">
        <f t="shared" si="79"/>
        <v>230</v>
      </c>
      <c r="W233" s="509"/>
      <c r="X233" s="321"/>
      <c r="Y233" s="321"/>
      <c r="Z233" s="433"/>
      <c r="AA233" s="918">
        <f t="shared" si="70"/>
        <v>1</v>
      </c>
      <c r="AB233" s="306" t="str">
        <f t="shared" si="71"/>
        <v/>
      </c>
      <c r="AC233" s="788"/>
      <c r="AD233" s="119">
        <f t="shared" si="81"/>
        <v>0</v>
      </c>
      <c r="AE233" s="108">
        <f t="shared" si="81"/>
        <v>0</v>
      </c>
      <c r="AF233" s="108">
        <f t="shared" si="81"/>
        <v>0</v>
      </c>
      <c r="AG233" s="108"/>
      <c r="AH233" s="108"/>
      <c r="AI233" s="108"/>
      <c r="AJ233" s="108"/>
      <c r="AK233" s="108"/>
      <c r="AL233" s="108">
        <f t="shared" si="72"/>
        <v>0</v>
      </c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20">
        <f t="shared" si="73"/>
        <v>0</v>
      </c>
      <c r="CL233" s="122">
        <f t="shared" si="74"/>
        <v>0</v>
      </c>
      <c r="CM233" s="524" t="str">
        <f t="shared" si="76"/>
        <v/>
      </c>
      <c r="CN233" s="526">
        <f t="shared" si="77"/>
        <v>0</v>
      </c>
      <c r="CO233" s="122">
        <f t="shared" si="78"/>
        <v>0</v>
      </c>
      <c r="CP233" s="45" t="str">
        <f t="shared" si="75"/>
        <v>1 - in MILLESIMI   I</v>
      </c>
      <c r="CQ233" s="1"/>
    </row>
    <row r="234" spans="1:95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435">
        <f>IF(AND(W234&gt;=$U$1,W234&lt;=$U$2),IF(X234='ESTRATTO CONTO'!$E$2,1+COUNTIF(U$4:U233,"&gt;0"),0),0)</f>
        <v>0</v>
      </c>
      <c r="V234" s="417">
        <f t="shared" si="79"/>
        <v>231</v>
      </c>
      <c r="W234" s="509"/>
      <c r="X234" s="321"/>
      <c r="Y234" s="321"/>
      <c r="Z234" s="433"/>
      <c r="AA234" s="918">
        <f t="shared" si="70"/>
        <v>1</v>
      </c>
      <c r="AB234" s="306" t="str">
        <f t="shared" si="71"/>
        <v/>
      </c>
      <c r="AC234" s="788"/>
      <c r="AD234" s="119">
        <f t="shared" si="81"/>
        <v>0</v>
      </c>
      <c r="AE234" s="108">
        <f t="shared" si="81"/>
        <v>0</v>
      </c>
      <c r="AF234" s="108">
        <f t="shared" si="81"/>
        <v>0</v>
      </c>
      <c r="AG234" s="108"/>
      <c r="AH234" s="108"/>
      <c r="AI234" s="108"/>
      <c r="AJ234" s="108"/>
      <c r="AK234" s="108"/>
      <c r="AL234" s="108">
        <f t="shared" si="72"/>
        <v>0</v>
      </c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20">
        <f t="shared" si="73"/>
        <v>0</v>
      </c>
      <c r="CL234" s="122">
        <f t="shared" si="74"/>
        <v>0</v>
      </c>
      <c r="CM234" s="524" t="str">
        <f t="shared" si="76"/>
        <v/>
      </c>
      <c r="CN234" s="526">
        <f t="shared" si="77"/>
        <v>0</v>
      </c>
      <c r="CO234" s="122">
        <f t="shared" si="78"/>
        <v>0</v>
      </c>
      <c r="CP234" s="45" t="str">
        <f t="shared" si="75"/>
        <v>1 - in MILLESIMI   I</v>
      </c>
      <c r="CQ234" s="1"/>
    </row>
    <row r="235" spans="1:95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435">
        <f>IF(AND(W235&gt;=$U$1,W235&lt;=$U$2),IF(X235='ESTRATTO CONTO'!$E$2,1+COUNTIF(U$4:U234,"&gt;0"),0),0)</f>
        <v>0</v>
      </c>
      <c r="V235" s="417">
        <f t="shared" si="79"/>
        <v>232</v>
      </c>
      <c r="W235" s="509"/>
      <c r="X235" s="321"/>
      <c r="Y235" s="321"/>
      <c r="Z235" s="433"/>
      <c r="AA235" s="918">
        <f t="shared" si="70"/>
        <v>1</v>
      </c>
      <c r="AB235" s="306" t="str">
        <f t="shared" si="71"/>
        <v/>
      </c>
      <c r="AC235" s="788"/>
      <c r="AD235" s="119">
        <f t="shared" si="81"/>
        <v>0</v>
      </c>
      <c r="AE235" s="108">
        <f t="shared" si="81"/>
        <v>0</v>
      </c>
      <c r="AF235" s="108">
        <f t="shared" si="81"/>
        <v>0</v>
      </c>
      <c r="AG235" s="108"/>
      <c r="AH235" s="108"/>
      <c r="AI235" s="108"/>
      <c r="AJ235" s="108"/>
      <c r="AK235" s="108"/>
      <c r="AL235" s="108">
        <f t="shared" si="72"/>
        <v>0</v>
      </c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20">
        <f t="shared" si="73"/>
        <v>0</v>
      </c>
      <c r="CL235" s="122">
        <f t="shared" si="74"/>
        <v>0</v>
      </c>
      <c r="CM235" s="524" t="str">
        <f t="shared" si="76"/>
        <v/>
      </c>
      <c r="CN235" s="526">
        <f t="shared" si="77"/>
        <v>0</v>
      </c>
      <c r="CO235" s="122">
        <f t="shared" si="78"/>
        <v>0</v>
      </c>
      <c r="CP235" s="45" t="str">
        <f t="shared" si="75"/>
        <v>1 - in MILLESIMI   I</v>
      </c>
      <c r="CQ235" s="1"/>
    </row>
    <row r="236" spans="1:95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435">
        <f>IF(AND(W236&gt;=$U$1,W236&lt;=$U$2),IF(X236='ESTRATTO CONTO'!$E$2,1+COUNTIF(U$4:U235,"&gt;0"),0),0)</f>
        <v>0</v>
      </c>
      <c r="V236" s="417">
        <f t="shared" si="79"/>
        <v>233</v>
      </c>
      <c r="W236" s="509"/>
      <c r="X236" s="321"/>
      <c r="Y236" s="321"/>
      <c r="Z236" s="433"/>
      <c r="AA236" s="918">
        <f t="shared" si="70"/>
        <v>1</v>
      </c>
      <c r="AB236" s="306" t="str">
        <f t="shared" si="71"/>
        <v/>
      </c>
      <c r="AC236" s="788"/>
      <c r="AD236" s="119">
        <f t="shared" si="81"/>
        <v>0</v>
      </c>
      <c r="AE236" s="108">
        <f t="shared" si="81"/>
        <v>0</v>
      </c>
      <c r="AF236" s="108">
        <f t="shared" si="81"/>
        <v>0</v>
      </c>
      <c r="AG236" s="108"/>
      <c r="AH236" s="108"/>
      <c r="AI236" s="108"/>
      <c r="AJ236" s="108"/>
      <c r="AK236" s="108"/>
      <c r="AL236" s="108">
        <f t="shared" si="72"/>
        <v>0</v>
      </c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20">
        <f t="shared" si="73"/>
        <v>0</v>
      </c>
      <c r="CL236" s="122">
        <f t="shared" si="74"/>
        <v>0</v>
      </c>
      <c r="CM236" s="524" t="str">
        <f t="shared" si="76"/>
        <v/>
      </c>
      <c r="CN236" s="526">
        <f t="shared" si="77"/>
        <v>0</v>
      </c>
      <c r="CO236" s="122">
        <f t="shared" si="78"/>
        <v>0</v>
      </c>
      <c r="CP236" s="45" t="str">
        <f t="shared" si="75"/>
        <v>1 - in MILLESIMI   I</v>
      </c>
      <c r="CQ236" s="1"/>
    </row>
    <row r="237" spans="1:95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435">
        <f>IF(AND(W237&gt;=$U$1,W237&lt;=$U$2),IF(X237='ESTRATTO CONTO'!$E$2,1+COUNTIF(U$4:U236,"&gt;0"),0),0)</f>
        <v>0</v>
      </c>
      <c r="V237" s="417">
        <f t="shared" si="79"/>
        <v>234</v>
      </c>
      <c r="W237" s="509"/>
      <c r="X237" s="321"/>
      <c r="Y237" s="321"/>
      <c r="Z237" s="433"/>
      <c r="AA237" s="918">
        <f t="shared" si="70"/>
        <v>1</v>
      </c>
      <c r="AB237" s="306" t="str">
        <f t="shared" si="71"/>
        <v/>
      </c>
      <c r="AC237" s="788"/>
      <c r="AD237" s="119">
        <f t="shared" si="81"/>
        <v>0</v>
      </c>
      <c r="AE237" s="108">
        <f t="shared" si="81"/>
        <v>0</v>
      </c>
      <c r="AF237" s="108">
        <f t="shared" si="81"/>
        <v>0</v>
      </c>
      <c r="AG237" s="108"/>
      <c r="AH237" s="108"/>
      <c r="AI237" s="108"/>
      <c r="AJ237" s="108"/>
      <c r="AK237" s="108"/>
      <c r="AL237" s="108">
        <f t="shared" si="72"/>
        <v>0</v>
      </c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20">
        <f t="shared" si="73"/>
        <v>0</v>
      </c>
      <c r="CL237" s="122">
        <f t="shared" si="74"/>
        <v>0</v>
      </c>
      <c r="CM237" s="524" t="str">
        <f t="shared" si="76"/>
        <v/>
      </c>
      <c r="CN237" s="526">
        <f t="shared" si="77"/>
        <v>0</v>
      </c>
      <c r="CO237" s="122">
        <f t="shared" si="78"/>
        <v>0</v>
      </c>
      <c r="CP237" s="45" t="str">
        <f t="shared" si="75"/>
        <v>1 - in MILLESIMI   I</v>
      </c>
      <c r="CQ237" s="1"/>
    </row>
    <row r="238" spans="1:95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435">
        <f>IF(AND(W238&gt;=$U$1,W238&lt;=$U$2),IF(X238='ESTRATTO CONTO'!$E$2,1+COUNTIF(U$4:U237,"&gt;0"),0),0)</f>
        <v>0</v>
      </c>
      <c r="V238" s="417">
        <f t="shared" si="79"/>
        <v>235</v>
      </c>
      <c r="W238" s="509"/>
      <c r="X238" s="321"/>
      <c r="Y238" s="321"/>
      <c r="Z238" s="433"/>
      <c r="AA238" s="918">
        <f t="shared" si="70"/>
        <v>1</v>
      </c>
      <c r="AB238" s="306" t="str">
        <f t="shared" si="71"/>
        <v/>
      </c>
      <c r="AC238" s="788"/>
      <c r="AD238" s="119">
        <f t="shared" si="81"/>
        <v>0</v>
      </c>
      <c r="AE238" s="108">
        <f t="shared" si="81"/>
        <v>0</v>
      </c>
      <c r="AF238" s="108">
        <f t="shared" si="81"/>
        <v>0</v>
      </c>
      <c r="AG238" s="108"/>
      <c r="AH238" s="108"/>
      <c r="AI238" s="108"/>
      <c r="AJ238" s="108"/>
      <c r="AK238" s="108"/>
      <c r="AL238" s="108">
        <f t="shared" si="72"/>
        <v>0</v>
      </c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20">
        <f t="shared" si="73"/>
        <v>0</v>
      </c>
      <c r="CL238" s="122">
        <f t="shared" si="74"/>
        <v>0</v>
      </c>
      <c r="CM238" s="524" t="str">
        <f t="shared" si="76"/>
        <v/>
      </c>
      <c r="CN238" s="526">
        <f t="shared" si="77"/>
        <v>0</v>
      </c>
      <c r="CO238" s="122">
        <f t="shared" si="78"/>
        <v>0</v>
      </c>
      <c r="CP238" s="45" t="str">
        <f t="shared" si="75"/>
        <v>1 - in MILLESIMI   I</v>
      </c>
      <c r="CQ238" s="1"/>
    </row>
    <row r="239" spans="1:95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435">
        <f>IF(AND(W239&gt;=$U$1,W239&lt;=$U$2),IF(X239='ESTRATTO CONTO'!$E$2,1+COUNTIF(U$4:U238,"&gt;0"),0),0)</f>
        <v>0</v>
      </c>
      <c r="V239" s="417">
        <f t="shared" si="79"/>
        <v>236</v>
      </c>
      <c r="W239" s="509"/>
      <c r="X239" s="321"/>
      <c r="Y239" s="321"/>
      <c r="Z239" s="433"/>
      <c r="AA239" s="918">
        <f t="shared" si="70"/>
        <v>1</v>
      </c>
      <c r="AB239" s="306" t="str">
        <f t="shared" si="71"/>
        <v/>
      </c>
      <c r="AC239" s="788"/>
      <c r="AD239" s="119">
        <f t="shared" si="81"/>
        <v>0</v>
      </c>
      <c r="AE239" s="108">
        <f t="shared" si="81"/>
        <v>0</v>
      </c>
      <c r="AF239" s="108">
        <f t="shared" si="81"/>
        <v>0</v>
      </c>
      <c r="AG239" s="108"/>
      <c r="AH239" s="108"/>
      <c r="AI239" s="108"/>
      <c r="AJ239" s="108"/>
      <c r="AK239" s="108"/>
      <c r="AL239" s="108">
        <f t="shared" si="72"/>
        <v>0</v>
      </c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20">
        <f t="shared" si="73"/>
        <v>0</v>
      </c>
      <c r="CL239" s="122">
        <f t="shared" si="74"/>
        <v>0</v>
      </c>
      <c r="CM239" s="524" t="str">
        <f t="shared" si="76"/>
        <v/>
      </c>
      <c r="CN239" s="526">
        <f t="shared" si="77"/>
        <v>0</v>
      </c>
      <c r="CO239" s="122">
        <f t="shared" si="78"/>
        <v>0</v>
      </c>
      <c r="CP239" s="45" t="str">
        <f t="shared" si="75"/>
        <v>1 - in MILLESIMI   I</v>
      </c>
      <c r="CQ239" s="1"/>
    </row>
    <row r="240" spans="1:95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435">
        <f>IF(AND(W240&gt;=$U$1,W240&lt;=$U$2),IF(X240='ESTRATTO CONTO'!$E$2,1+COUNTIF(U$4:U239,"&gt;0"),0),0)</f>
        <v>0</v>
      </c>
      <c r="V240" s="417">
        <f t="shared" si="79"/>
        <v>237</v>
      </c>
      <c r="W240" s="509"/>
      <c r="X240" s="321"/>
      <c r="Y240" s="321"/>
      <c r="Z240" s="433"/>
      <c r="AA240" s="918">
        <f t="shared" si="70"/>
        <v>1</v>
      </c>
      <c r="AB240" s="306" t="str">
        <f t="shared" si="71"/>
        <v/>
      </c>
      <c r="AC240" s="788"/>
      <c r="AD240" s="119">
        <f t="shared" si="81"/>
        <v>0</v>
      </c>
      <c r="AE240" s="108">
        <f t="shared" si="81"/>
        <v>0</v>
      </c>
      <c r="AF240" s="108">
        <f t="shared" si="81"/>
        <v>0</v>
      </c>
      <c r="AG240" s="108"/>
      <c r="AH240" s="108"/>
      <c r="AI240" s="108"/>
      <c r="AJ240" s="108"/>
      <c r="AK240" s="108"/>
      <c r="AL240" s="108">
        <f t="shared" si="72"/>
        <v>0</v>
      </c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20">
        <f t="shared" si="73"/>
        <v>0</v>
      </c>
      <c r="CL240" s="122">
        <f t="shared" si="74"/>
        <v>0</v>
      </c>
      <c r="CM240" s="524" t="str">
        <f t="shared" si="76"/>
        <v/>
      </c>
      <c r="CN240" s="526">
        <f t="shared" si="77"/>
        <v>0</v>
      </c>
      <c r="CO240" s="122">
        <f t="shared" si="78"/>
        <v>0</v>
      </c>
      <c r="CP240" s="45" t="str">
        <f t="shared" si="75"/>
        <v>1 - in MILLESIMI   I</v>
      </c>
      <c r="CQ240" s="1"/>
    </row>
    <row r="241" spans="1:95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435">
        <f>IF(AND(W241&gt;=$U$1,W241&lt;=$U$2),IF(X241='ESTRATTO CONTO'!$E$2,1+COUNTIF(U$4:U240,"&gt;0"),0),0)</f>
        <v>0</v>
      </c>
      <c r="V241" s="417">
        <f t="shared" si="79"/>
        <v>238</v>
      </c>
      <c r="W241" s="509"/>
      <c r="X241" s="321"/>
      <c r="Y241" s="321"/>
      <c r="Z241" s="433"/>
      <c r="AA241" s="918">
        <f t="shared" si="70"/>
        <v>1</v>
      </c>
      <c r="AB241" s="306" t="str">
        <f t="shared" si="71"/>
        <v/>
      </c>
      <c r="AC241" s="788"/>
      <c r="AD241" s="119">
        <f t="shared" si="81"/>
        <v>0</v>
      </c>
      <c r="AE241" s="108">
        <f t="shared" si="81"/>
        <v>0</v>
      </c>
      <c r="AF241" s="108">
        <f t="shared" si="81"/>
        <v>0</v>
      </c>
      <c r="AG241" s="108"/>
      <c r="AH241" s="108"/>
      <c r="AI241" s="108"/>
      <c r="AJ241" s="108"/>
      <c r="AK241" s="108"/>
      <c r="AL241" s="108">
        <f t="shared" si="72"/>
        <v>0</v>
      </c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20">
        <f t="shared" si="73"/>
        <v>0</v>
      </c>
      <c r="CL241" s="122">
        <f t="shared" si="74"/>
        <v>0</v>
      </c>
      <c r="CM241" s="524" t="str">
        <f t="shared" si="76"/>
        <v/>
      </c>
      <c r="CN241" s="526">
        <f t="shared" si="77"/>
        <v>0</v>
      </c>
      <c r="CO241" s="122">
        <f t="shared" si="78"/>
        <v>0</v>
      </c>
      <c r="CP241" s="45" t="str">
        <f t="shared" si="75"/>
        <v>1 - in MILLESIMI   I</v>
      </c>
      <c r="CQ241" s="1"/>
    </row>
    <row r="242" spans="1:95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435">
        <f>IF(AND(W242&gt;=$U$1,W242&lt;=$U$2),IF(X242='ESTRATTO CONTO'!$E$2,1+COUNTIF(U$4:U241,"&gt;0"),0),0)</f>
        <v>0</v>
      </c>
      <c r="V242" s="417">
        <f t="shared" si="79"/>
        <v>239</v>
      </c>
      <c r="W242" s="509"/>
      <c r="X242" s="321"/>
      <c r="Y242" s="321"/>
      <c r="Z242" s="433"/>
      <c r="AA242" s="918">
        <f t="shared" si="70"/>
        <v>1</v>
      </c>
      <c r="AB242" s="306" t="str">
        <f t="shared" si="71"/>
        <v/>
      </c>
      <c r="AC242" s="788"/>
      <c r="AD242" s="119">
        <f t="shared" si="81"/>
        <v>0</v>
      </c>
      <c r="AE242" s="108">
        <f t="shared" si="81"/>
        <v>0</v>
      </c>
      <c r="AF242" s="108">
        <f t="shared" si="81"/>
        <v>0</v>
      </c>
      <c r="AG242" s="108"/>
      <c r="AH242" s="108"/>
      <c r="AI242" s="108"/>
      <c r="AJ242" s="108"/>
      <c r="AK242" s="108"/>
      <c r="AL242" s="108">
        <f t="shared" si="72"/>
        <v>0</v>
      </c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20">
        <f t="shared" si="73"/>
        <v>0</v>
      </c>
      <c r="CL242" s="122">
        <f t="shared" si="74"/>
        <v>0</v>
      </c>
      <c r="CM242" s="524" t="str">
        <f t="shared" si="76"/>
        <v/>
      </c>
      <c r="CN242" s="526">
        <f t="shared" si="77"/>
        <v>0</v>
      </c>
      <c r="CO242" s="122">
        <f t="shared" si="78"/>
        <v>0</v>
      </c>
      <c r="CP242" s="45" t="str">
        <f t="shared" si="75"/>
        <v>1 - in MILLESIMI   I</v>
      </c>
      <c r="CQ242" s="1"/>
    </row>
    <row r="243" spans="1:95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435">
        <f>IF(AND(W243&gt;=$U$1,W243&lt;=$U$2),IF(X243='ESTRATTO CONTO'!$E$2,1+COUNTIF(U$4:U242,"&gt;0"),0),0)</f>
        <v>0</v>
      </c>
      <c r="V243" s="417">
        <f t="shared" si="79"/>
        <v>240</v>
      </c>
      <c r="W243" s="509"/>
      <c r="X243" s="321"/>
      <c r="Y243" s="321"/>
      <c r="Z243" s="433"/>
      <c r="AA243" s="918">
        <f t="shared" si="70"/>
        <v>1</v>
      </c>
      <c r="AB243" s="306" t="str">
        <f t="shared" si="71"/>
        <v/>
      </c>
      <c r="AC243" s="788"/>
      <c r="AD243" s="119">
        <f t="shared" si="81"/>
        <v>0</v>
      </c>
      <c r="AE243" s="108">
        <f t="shared" si="81"/>
        <v>0</v>
      </c>
      <c r="AF243" s="108">
        <f t="shared" si="81"/>
        <v>0</v>
      </c>
      <c r="AG243" s="108"/>
      <c r="AH243" s="108"/>
      <c r="AI243" s="108"/>
      <c r="AJ243" s="108"/>
      <c r="AK243" s="108"/>
      <c r="AL243" s="108">
        <f t="shared" si="72"/>
        <v>0</v>
      </c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20">
        <f t="shared" si="73"/>
        <v>0</v>
      </c>
      <c r="CL243" s="122">
        <f t="shared" si="74"/>
        <v>0</v>
      </c>
      <c r="CM243" s="524" t="str">
        <f t="shared" si="76"/>
        <v/>
      </c>
      <c r="CN243" s="526">
        <f t="shared" si="77"/>
        <v>0</v>
      </c>
      <c r="CO243" s="122">
        <f t="shared" si="78"/>
        <v>0</v>
      </c>
      <c r="CP243" s="45" t="str">
        <f t="shared" si="75"/>
        <v>1 - in MILLESIMI   I</v>
      </c>
      <c r="CQ243" s="1"/>
    </row>
    <row r="244" spans="1:95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435">
        <f>IF(AND(W244&gt;=$U$1,W244&lt;=$U$2),IF(X244='ESTRATTO CONTO'!$E$2,1+COUNTIF(U$4:U243,"&gt;0"),0),0)</f>
        <v>0</v>
      </c>
      <c r="V244" s="417">
        <f t="shared" si="79"/>
        <v>241</v>
      </c>
      <c r="W244" s="509"/>
      <c r="X244" s="321"/>
      <c r="Y244" s="321"/>
      <c r="Z244" s="433"/>
      <c r="AA244" s="918">
        <f t="shared" si="70"/>
        <v>1</v>
      </c>
      <c r="AB244" s="306" t="str">
        <f t="shared" si="71"/>
        <v/>
      </c>
      <c r="AC244" s="788"/>
      <c r="AD244" s="119">
        <f t="shared" ref="AD244:AF263" si="82">IF($AB244=0,0,ROUND($Z244*VLOOKUP(AD$2,$F$1010:$Q$1014,VLOOKUP($CP244,$C$1076:$E$1081,3,FALSE),FALSE),2))</f>
        <v>0</v>
      </c>
      <c r="AE244" s="108">
        <f t="shared" si="82"/>
        <v>0</v>
      </c>
      <c r="AF244" s="108">
        <f t="shared" si="82"/>
        <v>0</v>
      </c>
      <c r="AG244" s="108"/>
      <c r="AH244" s="108"/>
      <c r="AI244" s="108"/>
      <c r="AJ244" s="108"/>
      <c r="AK244" s="108"/>
      <c r="AL244" s="108">
        <f t="shared" si="72"/>
        <v>0</v>
      </c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20">
        <f t="shared" si="73"/>
        <v>0</v>
      </c>
      <c r="CL244" s="122">
        <f t="shared" si="74"/>
        <v>0</v>
      </c>
      <c r="CM244" s="524" t="str">
        <f t="shared" si="76"/>
        <v/>
      </c>
      <c r="CN244" s="526">
        <f t="shared" si="77"/>
        <v>0</v>
      </c>
      <c r="CO244" s="122">
        <f t="shared" si="78"/>
        <v>0</v>
      </c>
      <c r="CP244" s="45" t="str">
        <f t="shared" si="75"/>
        <v>1 - in MILLESIMI   I</v>
      </c>
      <c r="CQ244" s="1"/>
    </row>
    <row r="245" spans="1:95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435">
        <f>IF(AND(W245&gt;=$U$1,W245&lt;=$U$2),IF(X245='ESTRATTO CONTO'!$E$2,1+COUNTIF(U$4:U244,"&gt;0"),0),0)</f>
        <v>0</v>
      </c>
      <c r="V245" s="417">
        <f t="shared" si="79"/>
        <v>242</v>
      </c>
      <c r="W245" s="509"/>
      <c r="X245" s="321"/>
      <c r="Y245" s="321"/>
      <c r="Z245" s="433"/>
      <c r="AA245" s="918">
        <f t="shared" si="70"/>
        <v>1</v>
      </c>
      <c r="AB245" s="306" t="str">
        <f t="shared" si="71"/>
        <v/>
      </c>
      <c r="AC245" s="788"/>
      <c r="AD245" s="119">
        <f t="shared" si="82"/>
        <v>0</v>
      </c>
      <c r="AE245" s="108">
        <f t="shared" si="82"/>
        <v>0</v>
      </c>
      <c r="AF245" s="108">
        <f t="shared" si="82"/>
        <v>0</v>
      </c>
      <c r="AG245" s="108"/>
      <c r="AH245" s="108"/>
      <c r="AI245" s="108"/>
      <c r="AJ245" s="108"/>
      <c r="AK245" s="108"/>
      <c r="AL245" s="108">
        <f t="shared" si="72"/>
        <v>0</v>
      </c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20">
        <f t="shared" si="73"/>
        <v>0</v>
      </c>
      <c r="CL245" s="122">
        <f t="shared" si="74"/>
        <v>0</v>
      </c>
      <c r="CM245" s="524" t="str">
        <f t="shared" si="76"/>
        <v/>
      </c>
      <c r="CN245" s="526">
        <f t="shared" si="77"/>
        <v>0</v>
      </c>
      <c r="CO245" s="122">
        <f t="shared" si="78"/>
        <v>0</v>
      </c>
      <c r="CP245" s="45" t="str">
        <f t="shared" si="75"/>
        <v>1 - in MILLESIMI   I</v>
      </c>
      <c r="CQ245" s="1"/>
    </row>
    <row r="246" spans="1:95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435">
        <f>IF(AND(W246&gt;=$U$1,W246&lt;=$U$2),IF(X246='ESTRATTO CONTO'!$E$2,1+COUNTIF(U$4:U245,"&gt;0"),0),0)</f>
        <v>0</v>
      </c>
      <c r="V246" s="417">
        <f t="shared" si="79"/>
        <v>243</v>
      </c>
      <c r="W246" s="509"/>
      <c r="X246" s="321"/>
      <c r="Y246" s="321"/>
      <c r="Z246" s="433"/>
      <c r="AA246" s="918">
        <f t="shared" si="70"/>
        <v>1</v>
      </c>
      <c r="AB246" s="306" t="str">
        <f t="shared" si="71"/>
        <v/>
      </c>
      <c r="AC246" s="788"/>
      <c r="AD246" s="119">
        <f t="shared" si="82"/>
        <v>0</v>
      </c>
      <c r="AE246" s="108">
        <f t="shared" si="82"/>
        <v>0</v>
      </c>
      <c r="AF246" s="108">
        <f t="shared" si="82"/>
        <v>0</v>
      </c>
      <c r="AG246" s="108"/>
      <c r="AH246" s="108"/>
      <c r="AI246" s="108"/>
      <c r="AJ246" s="108"/>
      <c r="AK246" s="108"/>
      <c r="AL246" s="108">
        <f t="shared" si="72"/>
        <v>0</v>
      </c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20">
        <f t="shared" si="73"/>
        <v>0</v>
      </c>
      <c r="CL246" s="122">
        <f t="shared" si="74"/>
        <v>0</v>
      </c>
      <c r="CM246" s="524" t="str">
        <f t="shared" si="76"/>
        <v/>
      </c>
      <c r="CN246" s="526">
        <f t="shared" si="77"/>
        <v>0</v>
      </c>
      <c r="CO246" s="122">
        <f t="shared" si="78"/>
        <v>0</v>
      </c>
      <c r="CP246" s="45" t="str">
        <f t="shared" si="75"/>
        <v>1 - in MILLESIMI   I</v>
      </c>
      <c r="CQ246" s="1"/>
    </row>
    <row r="247" spans="1:95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435">
        <f>IF(AND(W247&gt;=$U$1,W247&lt;=$U$2),IF(X247='ESTRATTO CONTO'!$E$2,1+COUNTIF(U$4:U246,"&gt;0"),0),0)</f>
        <v>0</v>
      </c>
      <c r="V247" s="417">
        <f t="shared" si="79"/>
        <v>244</v>
      </c>
      <c r="W247" s="509"/>
      <c r="X247" s="321"/>
      <c r="Y247" s="321"/>
      <c r="Z247" s="433"/>
      <c r="AA247" s="918">
        <f t="shared" si="70"/>
        <v>1</v>
      </c>
      <c r="AB247" s="306" t="str">
        <f t="shared" si="71"/>
        <v/>
      </c>
      <c r="AC247" s="788"/>
      <c r="AD247" s="119">
        <f t="shared" si="82"/>
        <v>0</v>
      </c>
      <c r="AE247" s="108">
        <f t="shared" si="82"/>
        <v>0</v>
      </c>
      <c r="AF247" s="108">
        <f t="shared" si="82"/>
        <v>0</v>
      </c>
      <c r="AG247" s="108"/>
      <c r="AH247" s="108"/>
      <c r="AI247" s="108"/>
      <c r="AJ247" s="108"/>
      <c r="AK247" s="108"/>
      <c r="AL247" s="108">
        <f t="shared" si="72"/>
        <v>0</v>
      </c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20">
        <f t="shared" si="73"/>
        <v>0</v>
      </c>
      <c r="CL247" s="122">
        <f t="shared" si="74"/>
        <v>0</v>
      </c>
      <c r="CM247" s="524" t="str">
        <f t="shared" si="76"/>
        <v/>
      </c>
      <c r="CN247" s="526">
        <f t="shared" si="77"/>
        <v>0</v>
      </c>
      <c r="CO247" s="122">
        <f t="shared" si="78"/>
        <v>0</v>
      </c>
      <c r="CP247" s="45" t="str">
        <f t="shared" si="75"/>
        <v>1 - in MILLESIMI   I</v>
      </c>
      <c r="CQ247" s="1"/>
    </row>
    <row r="248" spans="1:95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435">
        <f>IF(AND(W248&gt;=$U$1,W248&lt;=$U$2),IF(X248='ESTRATTO CONTO'!$E$2,1+COUNTIF(U$4:U247,"&gt;0"),0),0)</f>
        <v>0</v>
      </c>
      <c r="V248" s="417">
        <f t="shared" si="79"/>
        <v>245</v>
      </c>
      <c r="W248" s="509"/>
      <c r="X248" s="321"/>
      <c r="Y248" s="321"/>
      <c r="Z248" s="433"/>
      <c r="AA248" s="918">
        <f t="shared" si="70"/>
        <v>1</v>
      </c>
      <c r="AB248" s="306" t="str">
        <f t="shared" si="71"/>
        <v/>
      </c>
      <c r="AC248" s="788"/>
      <c r="AD248" s="119">
        <f t="shared" si="82"/>
        <v>0</v>
      </c>
      <c r="AE248" s="108">
        <f t="shared" si="82"/>
        <v>0</v>
      </c>
      <c r="AF248" s="108">
        <f t="shared" si="82"/>
        <v>0</v>
      </c>
      <c r="AG248" s="108"/>
      <c r="AH248" s="108"/>
      <c r="AI248" s="108"/>
      <c r="AJ248" s="108"/>
      <c r="AK248" s="108"/>
      <c r="AL248" s="108">
        <f t="shared" si="72"/>
        <v>0</v>
      </c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20">
        <f t="shared" si="73"/>
        <v>0</v>
      </c>
      <c r="CL248" s="122">
        <f t="shared" si="74"/>
        <v>0</v>
      </c>
      <c r="CM248" s="524" t="str">
        <f t="shared" si="76"/>
        <v/>
      </c>
      <c r="CN248" s="526">
        <f t="shared" si="77"/>
        <v>0</v>
      </c>
      <c r="CO248" s="122">
        <f t="shared" si="78"/>
        <v>0</v>
      </c>
      <c r="CP248" s="45" t="str">
        <f t="shared" si="75"/>
        <v>1 - in MILLESIMI   I</v>
      </c>
      <c r="CQ248" s="1"/>
    </row>
    <row r="249" spans="1:95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435">
        <f>IF(AND(W249&gt;=$U$1,W249&lt;=$U$2),IF(X249='ESTRATTO CONTO'!$E$2,1+COUNTIF(U$4:U248,"&gt;0"),0),0)</f>
        <v>0</v>
      </c>
      <c r="V249" s="417">
        <f t="shared" si="79"/>
        <v>246</v>
      </c>
      <c r="W249" s="509"/>
      <c r="X249" s="321"/>
      <c r="Y249" s="321"/>
      <c r="Z249" s="433"/>
      <c r="AA249" s="918">
        <f t="shared" si="70"/>
        <v>1</v>
      </c>
      <c r="AB249" s="306" t="str">
        <f t="shared" si="71"/>
        <v/>
      </c>
      <c r="AC249" s="788"/>
      <c r="AD249" s="119">
        <f t="shared" si="82"/>
        <v>0</v>
      </c>
      <c r="AE249" s="108">
        <f t="shared" si="82"/>
        <v>0</v>
      </c>
      <c r="AF249" s="108">
        <f t="shared" si="82"/>
        <v>0</v>
      </c>
      <c r="AG249" s="108"/>
      <c r="AH249" s="108"/>
      <c r="AI249" s="108"/>
      <c r="AJ249" s="108"/>
      <c r="AK249" s="108"/>
      <c r="AL249" s="108">
        <f t="shared" si="72"/>
        <v>0</v>
      </c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20">
        <f t="shared" si="73"/>
        <v>0</v>
      </c>
      <c r="CL249" s="122">
        <f t="shared" si="74"/>
        <v>0</v>
      </c>
      <c r="CM249" s="524" t="str">
        <f t="shared" si="76"/>
        <v/>
      </c>
      <c r="CN249" s="526">
        <f t="shared" si="77"/>
        <v>0</v>
      </c>
      <c r="CO249" s="122">
        <f t="shared" si="78"/>
        <v>0</v>
      </c>
      <c r="CP249" s="45" t="str">
        <f t="shared" si="75"/>
        <v>1 - in MILLESIMI   I</v>
      </c>
      <c r="CQ249" s="1"/>
    </row>
    <row r="250" spans="1:95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435">
        <f>IF(AND(W250&gt;=$U$1,W250&lt;=$U$2),IF(X250='ESTRATTO CONTO'!$E$2,1+COUNTIF(U$4:U249,"&gt;0"),0),0)</f>
        <v>0</v>
      </c>
      <c r="V250" s="417">
        <f t="shared" si="79"/>
        <v>247</v>
      </c>
      <c r="W250" s="509"/>
      <c r="X250" s="321"/>
      <c r="Y250" s="321"/>
      <c r="Z250" s="433"/>
      <c r="AA250" s="918">
        <f t="shared" si="70"/>
        <v>1</v>
      </c>
      <c r="AB250" s="306" t="str">
        <f t="shared" si="71"/>
        <v/>
      </c>
      <c r="AC250" s="788"/>
      <c r="AD250" s="119">
        <f t="shared" si="82"/>
        <v>0</v>
      </c>
      <c r="AE250" s="108">
        <f t="shared" si="82"/>
        <v>0</v>
      </c>
      <c r="AF250" s="108">
        <f t="shared" si="82"/>
        <v>0</v>
      </c>
      <c r="AG250" s="108"/>
      <c r="AH250" s="108"/>
      <c r="AI250" s="108"/>
      <c r="AJ250" s="108"/>
      <c r="AK250" s="108"/>
      <c r="AL250" s="108">
        <f t="shared" si="72"/>
        <v>0</v>
      </c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20">
        <f t="shared" si="73"/>
        <v>0</v>
      </c>
      <c r="CL250" s="122">
        <f t="shared" si="74"/>
        <v>0</v>
      </c>
      <c r="CM250" s="524" t="str">
        <f t="shared" si="76"/>
        <v/>
      </c>
      <c r="CN250" s="526">
        <f t="shared" si="77"/>
        <v>0</v>
      </c>
      <c r="CO250" s="122">
        <f t="shared" si="78"/>
        <v>0</v>
      </c>
      <c r="CP250" s="45" t="str">
        <f t="shared" si="75"/>
        <v>1 - in MILLESIMI   I</v>
      </c>
      <c r="CQ250" s="1"/>
    </row>
    <row r="251" spans="1:95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435">
        <f>IF(AND(W251&gt;=$U$1,W251&lt;=$U$2),IF(X251='ESTRATTO CONTO'!$E$2,1+COUNTIF(U$4:U250,"&gt;0"),0),0)</f>
        <v>0</v>
      </c>
      <c r="V251" s="417">
        <f t="shared" si="79"/>
        <v>248</v>
      </c>
      <c r="W251" s="509"/>
      <c r="X251" s="321"/>
      <c r="Y251" s="321"/>
      <c r="Z251" s="433"/>
      <c r="AA251" s="918">
        <f t="shared" si="70"/>
        <v>1</v>
      </c>
      <c r="AB251" s="306" t="str">
        <f t="shared" si="71"/>
        <v/>
      </c>
      <c r="AC251" s="788"/>
      <c r="AD251" s="119">
        <f t="shared" si="82"/>
        <v>0</v>
      </c>
      <c r="AE251" s="108">
        <f t="shared" si="82"/>
        <v>0</v>
      </c>
      <c r="AF251" s="108">
        <f t="shared" si="82"/>
        <v>0</v>
      </c>
      <c r="AG251" s="108"/>
      <c r="AH251" s="108"/>
      <c r="AI251" s="108"/>
      <c r="AJ251" s="108"/>
      <c r="AK251" s="108"/>
      <c r="AL251" s="108">
        <f t="shared" si="72"/>
        <v>0</v>
      </c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20">
        <f t="shared" si="73"/>
        <v>0</v>
      </c>
      <c r="CL251" s="122">
        <f t="shared" si="74"/>
        <v>0</v>
      </c>
      <c r="CM251" s="524" t="str">
        <f t="shared" si="76"/>
        <v/>
      </c>
      <c r="CN251" s="526">
        <f t="shared" si="77"/>
        <v>0</v>
      </c>
      <c r="CO251" s="122">
        <f t="shared" si="78"/>
        <v>0</v>
      </c>
      <c r="CP251" s="45" t="str">
        <f t="shared" si="75"/>
        <v>1 - in MILLESIMI   I</v>
      </c>
      <c r="CQ251" s="1"/>
    </row>
    <row r="252" spans="1:95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435">
        <f>IF(AND(W252&gt;=$U$1,W252&lt;=$U$2),IF(X252='ESTRATTO CONTO'!$E$2,1+COUNTIF(U$4:U251,"&gt;0"),0),0)</f>
        <v>0</v>
      </c>
      <c r="V252" s="417">
        <f t="shared" si="79"/>
        <v>249</v>
      </c>
      <c r="W252" s="509"/>
      <c r="X252" s="321"/>
      <c r="Y252" s="321"/>
      <c r="Z252" s="433"/>
      <c r="AA252" s="918">
        <f t="shared" si="70"/>
        <v>1</v>
      </c>
      <c r="AB252" s="306" t="str">
        <f t="shared" si="71"/>
        <v/>
      </c>
      <c r="AC252" s="788"/>
      <c r="AD252" s="119">
        <f t="shared" si="82"/>
        <v>0</v>
      </c>
      <c r="AE252" s="108">
        <f t="shared" si="82"/>
        <v>0</v>
      </c>
      <c r="AF252" s="108">
        <f t="shared" si="82"/>
        <v>0</v>
      </c>
      <c r="AG252" s="108"/>
      <c r="AH252" s="108"/>
      <c r="AI252" s="108"/>
      <c r="AJ252" s="108"/>
      <c r="AK252" s="108"/>
      <c r="AL252" s="108">
        <f t="shared" si="72"/>
        <v>0</v>
      </c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20">
        <f t="shared" si="73"/>
        <v>0</v>
      </c>
      <c r="CL252" s="122">
        <f t="shared" si="74"/>
        <v>0</v>
      </c>
      <c r="CM252" s="524" t="str">
        <f t="shared" si="76"/>
        <v/>
      </c>
      <c r="CN252" s="526">
        <f t="shared" si="77"/>
        <v>0</v>
      </c>
      <c r="CO252" s="122">
        <f t="shared" si="78"/>
        <v>0</v>
      </c>
      <c r="CP252" s="45" t="str">
        <f t="shared" si="75"/>
        <v>1 - in MILLESIMI   I</v>
      </c>
      <c r="CQ252" s="1"/>
    </row>
    <row r="253" spans="1:95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435">
        <f>IF(AND(W253&gt;=$U$1,W253&lt;=$U$2),IF(X253='ESTRATTO CONTO'!$E$2,1+COUNTIF(U$4:U252,"&gt;0"),0),0)</f>
        <v>0</v>
      </c>
      <c r="V253" s="417">
        <f t="shared" si="79"/>
        <v>250</v>
      </c>
      <c r="W253" s="509"/>
      <c r="X253" s="321"/>
      <c r="Y253" s="321"/>
      <c r="Z253" s="433"/>
      <c r="AA253" s="918">
        <f t="shared" si="70"/>
        <v>1</v>
      </c>
      <c r="AB253" s="306" t="str">
        <f t="shared" si="71"/>
        <v/>
      </c>
      <c r="AC253" s="788"/>
      <c r="AD253" s="119">
        <f t="shared" si="82"/>
        <v>0</v>
      </c>
      <c r="AE253" s="108">
        <f t="shared" si="82"/>
        <v>0</v>
      </c>
      <c r="AF253" s="108">
        <f t="shared" si="82"/>
        <v>0</v>
      </c>
      <c r="AG253" s="108"/>
      <c r="AH253" s="108"/>
      <c r="AI253" s="108"/>
      <c r="AJ253" s="108"/>
      <c r="AK253" s="108"/>
      <c r="AL253" s="108">
        <f t="shared" si="72"/>
        <v>0</v>
      </c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20">
        <f t="shared" si="73"/>
        <v>0</v>
      </c>
      <c r="CL253" s="122">
        <f t="shared" si="74"/>
        <v>0</v>
      </c>
      <c r="CM253" s="524" t="str">
        <f t="shared" si="76"/>
        <v/>
      </c>
      <c r="CN253" s="526">
        <f t="shared" si="77"/>
        <v>0</v>
      </c>
      <c r="CO253" s="122">
        <f t="shared" si="78"/>
        <v>0</v>
      </c>
      <c r="CP253" s="45" t="str">
        <f t="shared" si="75"/>
        <v>1 - in MILLESIMI   I</v>
      </c>
      <c r="CQ253" s="1"/>
    </row>
    <row r="254" spans="1:95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435">
        <f>IF(AND(W254&gt;=$U$1,W254&lt;=$U$2),IF(X254='ESTRATTO CONTO'!$E$2,1+COUNTIF(U$4:U253,"&gt;0"),0),0)</f>
        <v>0</v>
      </c>
      <c r="V254" s="417">
        <f t="shared" si="79"/>
        <v>251</v>
      </c>
      <c r="W254" s="509"/>
      <c r="X254" s="321"/>
      <c r="Y254" s="321"/>
      <c r="Z254" s="433"/>
      <c r="AA254" s="918">
        <f t="shared" si="70"/>
        <v>1</v>
      </c>
      <c r="AB254" s="306" t="str">
        <f t="shared" si="71"/>
        <v/>
      </c>
      <c r="AC254" s="788"/>
      <c r="AD254" s="119">
        <f t="shared" si="82"/>
        <v>0</v>
      </c>
      <c r="AE254" s="108">
        <f t="shared" si="82"/>
        <v>0</v>
      </c>
      <c r="AF254" s="108">
        <f t="shared" si="82"/>
        <v>0</v>
      </c>
      <c r="AG254" s="108"/>
      <c r="AH254" s="108"/>
      <c r="AI254" s="108"/>
      <c r="AJ254" s="108"/>
      <c r="AK254" s="108"/>
      <c r="AL254" s="108">
        <f t="shared" si="72"/>
        <v>0</v>
      </c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20">
        <f t="shared" si="73"/>
        <v>0</v>
      </c>
      <c r="CL254" s="122">
        <f t="shared" si="74"/>
        <v>0</v>
      </c>
      <c r="CM254" s="524" t="str">
        <f t="shared" si="76"/>
        <v/>
      </c>
      <c r="CN254" s="526">
        <f t="shared" si="77"/>
        <v>0</v>
      </c>
      <c r="CO254" s="122">
        <f t="shared" si="78"/>
        <v>0</v>
      </c>
      <c r="CP254" s="45" t="str">
        <f t="shared" si="75"/>
        <v>1 - in MILLESIMI   I</v>
      </c>
      <c r="CQ254" s="1"/>
    </row>
    <row r="255" spans="1:95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435">
        <f>IF(AND(W255&gt;=$U$1,W255&lt;=$U$2),IF(X255='ESTRATTO CONTO'!$E$2,1+COUNTIF(U$4:U254,"&gt;0"),0),0)</f>
        <v>0</v>
      </c>
      <c r="V255" s="417">
        <f t="shared" si="79"/>
        <v>252</v>
      </c>
      <c r="W255" s="509"/>
      <c r="X255" s="321"/>
      <c r="Y255" s="321"/>
      <c r="Z255" s="433"/>
      <c r="AA255" s="918">
        <f t="shared" si="70"/>
        <v>1</v>
      </c>
      <c r="AB255" s="306" t="str">
        <f t="shared" si="71"/>
        <v/>
      </c>
      <c r="AC255" s="788"/>
      <c r="AD255" s="119">
        <f t="shared" si="82"/>
        <v>0</v>
      </c>
      <c r="AE255" s="108">
        <f t="shared" si="82"/>
        <v>0</v>
      </c>
      <c r="AF255" s="108">
        <f t="shared" si="82"/>
        <v>0</v>
      </c>
      <c r="AG255" s="108"/>
      <c r="AH255" s="108"/>
      <c r="AI255" s="108"/>
      <c r="AJ255" s="108"/>
      <c r="AK255" s="108"/>
      <c r="AL255" s="108">
        <f t="shared" si="72"/>
        <v>0</v>
      </c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20">
        <f t="shared" si="73"/>
        <v>0</v>
      </c>
      <c r="CL255" s="122">
        <f t="shared" si="74"/>
        <v>0</v>
      </c>
      <c r="CM255" s="524" t="str">
        <f t="shared" si="76"/>
        <v/>
      </c>
      <c r="CN255" s="526">
        <f t="shared" si="77"/>
        <v>0</v>
      </c>
      <c r="CO255" s="122">
        <f t="shared" si="78"/>
        <v>0</v>
      </c>
      <c r="CP255" s="45" t="str">
        <f t="shared" si="75"/>
        <v>1 - in MILLESIMI   I</v>
      </c>
      <c r="CQ255" s="1"/>
    </row>
    <row r="256" spans="1:95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435">
        <f>IF(AND(W256&gt;=$U$1,W256&lt;=$U$2),IF(X256='ESTRATTO CONTO'!$E$2,1+COUNTIF(U$4:U255,"&gt;0"),0),0)</f>
        <v>0</v>
      </c>
      <c r="V256" s="417">
        <f t="shared" si="79"/>
        <v>253</v>
      </c>
      <c r="W256" s="509"/>
      <c r="X256" s="321"/>
      <c r="Y256" s="321"/>
      <c r="Z256" s="433"/>
      <c r="AA256" s="918">
        <f t="shared" si="70"/>
        <v>1</v>
      </c>
      <c r="AB256" s="306" t="str">
        <f t="shared" si="71"/>
        <v/>
      </c>
      <c r="AC256" s="788"/>
      <c r="AD256" s="119">
        <f t="shared" si="82"/>
        <v>0</v>
      </c>
      <c r="AE256" s="108">
        <f t="shared" si="82"/>
        <v>0</v>
      </c>
      <c r="AF256" s="108">
        <f t="shared" si="82"/>
        <v>0</v>
      </c>
      <c r="AG256" s="108"/>
      <c r="AH256" s="108"/>
      <c r="AI256" s="108"/>
      <c r="AJ256" s="108"/>
      <c r="AK256" s="108"/>
      <c r="AL256" s="108">
        <f t="shared" si="72"/>
        <v>0</v>
      </c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20">
        <f t="shared" si="73"/>
        <v>0</v>
      </c>
      <c r="CL256" s="122">
        <f t="shared" si="74"/>
        <v>0</v>
      </c>
      <c r="CM256" s="524" t="str">
        <f t="shared" si="76"/>
        <v/>
      </c>
      <c r="CN256" s="526">
        <f t="shared" si="77"/>
        <v>0</v>
      </c>
      <c r="CO256" s="122">
        <f t="shared" si="78"/>
        <v>0</v>
      </c>
      <c r="CP256" s="45" t="str">
        <f t="shared" si="75"/>
        <v>1 - in MILLESIMI   I</v>
      </c>
      <c r="CQ256" s="1"/>
    </row>
    <row r="257" spans="1:95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435">
        <f>IF(AND(W257&gt;=$U$1,W257&lt;=$U$2),IF(X257='ESTRATTO CONTO'!$E$2,1+COUNTIF(U$4:U256,"&gt;0"),0),0)</f>
        <v>0</v>
      </c>
      <c r="V257" s="417">
        <f t="shared" si="79"/>
        <v>254</v>
      </c>
      <c r="W257" s="509"/>
      <c r="X257" s="321"/>
      <c r="Y257" s="321"/>
      <c r="Z257" s="433"/>
      <c r="AA257" s="918">
        <f t="shared" si="70"/>
        <v>1</v>
      </c>
      <c r="AB257" s="306" t="str">
        <f t="shared" si="71"/>
        <v/>
      </c>
      <c r="AC257" s="788"/>
      <c r="AD257" s="119">
        <f t="shared" si="82"/>
        <v>0</v>
      </c>
      <c r="AE257" s="108">
        <f t="shared" si="82"/>
        <v>0</v>
      </c>
      <c r="AF257" s="108">
        <f t="shared" si="82"/>
        <v>0</v>
      </c>
      <c r="AG257" s="108"/>
      <c r="AH257" s="108"/>
      <c r="AI257" s="108"/>
      <c r="AJ257" s="108"/>
      <c r="AK257" s="108"/>
      <c r="AL257" s="108">
        <f t="shared" si="72"/>
        <v>0</v>
      </c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20">
        <f t="shared" si="73"/>
        <v>0</v>
      </c>
      <c r="CL257" s="122">
        <f t="shared" si="74"/>
        <v>0</v>
      </c>
      <c r="CM257" s="524" t="str">
        <f t="shared" si="76"/>
        <v/>
      </c>
      <c r="CN257" s="526">
        <f t="shared" si="77"/>
        <v>0</v>
      </c>
      <c r="CO257" s="122">
        <f t="shared" si="78"/>
        <v>0</v>
      </c>
      <c r="CP257" s="45" t="str">
        <f t="shared" si="75"/>
        <v>1 - in MILLESIMI   I</v>
      </c>
      <c r="CQ257" s="1"/>
    </row>
    <row r="258" spans="1:95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435">
        <f>IF(AND(W258&gt;=$U$1,W258&lt;=$U$2),IF(X258='ESTRATTO CONTO'!$E$2,1+COUNTIF(U$4:U257,"&gt;0"),0),0)</f>
        <v>0</v>
      </c>
      <c r="V258" s="417">
        <f t="shared" si="79"/>
        <v>255</v>
      </c>
      <c r="W258" s="509"/>
      <c r="X258" s="321"/>
      <c r="Y258" s="321"/>
      <c r="Z258" s="433"/>
      <c r="AA258" s="918">
        <f t="shared" si="70"/>
        <v>1</v>
      </c>
      <c r="AB258" s="306" t="str">
        <f t="shared" si="71"/>
        <v/>
      </c>
      <c r="AC258" s="788"/>
      <c r="AD258" s="119">
        <f t="shared" si="82"/>
        <v>0</v>
      </c>
      <c r="AE258" s="108">
        <f t="shared" si="82"/>
        <v>0</v>
      </c>
      <c r="AF258" s="108">
        <f t="shared" si="82"/>
        <v>0</v>
      </c>
      <c r="AG258" s="108"/>
      <c r="AH258" s="108"/>
      <c r="AI258" s="108"/>
      <c r="AJ258" s="108"/>
      <c r="AK258" s="108"/>
      <c r="AL258" s="108">
        <f t="shared" si="72"/>
        <v>0</v>
      </c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20">
        <f t="shared" si="73"/>
        <v>0</v>
      </c>
      <c r="CL258" s="122">
        <f t="shared" si="74"/>
        <v>0</v>
      </c>
      <c r="CM258" s="524" t="str">
        <f t="shared" si="76"/>
        <v/>
      </c>
      <c r="CN258" s="526">
        <f t="shared" si="77"/>
        <v>0</v>
      </c>
      <c r="CO258" s="122">
        <f t="shared" si="78"/>
        <v>0</v>
      </c>
      <c r="CP258" s="45" t="str">
        <f t="shared" si="75"/>
        <v>1 - in MILLESIMI   I</v>
      </c>
      <c r="CQ258" s="1"/>
    </row>
    <row r="259" spans="1:95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435">
        <f>IF(AND(W259&gt;=$U$1,W259&lt;=$U$2),IF(X259='ESTRATTO CONTO'!$E$2,1+COUNTIF(U$4:U258,"&gt;0"),0),0)</f>
        <v>0</v>
      </c>
      <c r="V259" s="417">
        <f t="shared" si="79"/>
        <v>256</v>
      </c>
      <c r="W259" s="509"/>
      <c r="X259" s="321"/>
      <c r="Y259" s="321"/>
      <c r="Z259" s="433"/>
      <c r="AA259" s="918">
        <f t="shared" si="70"/>
        <v>1</v>
      </c>
      <c r="AB259" s="306" t="str">
        <f t="shared" si="71"/>
        <v/>
      </c>
      <c r="AC259" s="788"/>
      <c r="AD259" s="119">
        <f t="shared" si="82"/>
        <v>0</v>
      </c>
      <c r="AE259" s="108">
        <f t="shared" si="82"/>
        <v>0</v>
      </c>
      <c r="AF259" s="108">
        <f t="shared" si="82"/>
        <v>0</v>
      </c>
      <c r="AG259" s="108"/>
      <c r="AH259" s="108"/>
      <c r="AI259" s="108"/>
      <c r="AJ259" s="108"/>
      <c r="AK259" s="108"/>
      <c r="AL259" s="108">
        <f t="shared" si="72"/>
        <v>0</v>
      </c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20">
        <f t="shared" si="73"/>
        <v>0</v>
      </c>
      <c r="CL259" s="122">
        <f t="shared" si="74"/>
        <v>0</v>
      </c>
      <c r="CM259" s="524" t="str">
        <f t="shared" si="76"/>
        <v/>
      </c>
      <c r="CN259" s="526">
        <f t="shared" si="77"/>
        <v>0</v>
      </c>
      <c r="CO259" s="122">
        <f t="shared" si="78"/>
        <v>0</v>
      </c>
      <c r="CP259" s="45" t="str">
        <f t="shared" si="75"/>
        <v>1 - in MILLESIMI   I</v>
      </c>
      <c r="CQ259" s="1"/>
    </row>
    <row r="260" spans="1:95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435">
        <f>IF(AND(W260&gt;=$U$1,W260&lt;=$U$2),IF(X260='ESTRATTO CONTO'!$E$2,1+COUNTIF(U$4:U259,"&gt;0"),0),0)</f>
        <v>0</v>
      </c>
      <c r="V260" s="417">
        <f t="shared" si="79"/>
        <v>257</v>
      </c>
      <c r="W260" s="509"/>
      <c r="X260" s="321"/>
      <c r="Y260" s="321"/>
      <c r="Z260" s="433"/>
      <c r="AA260" s="918">
        <f t="shared" ref="AA260:AA323" si="83">IF(OR(W260&lt;$W$1433,W260&gt;$W$1434),1,0)</f>
        <v>1</v>
      </c>
      <c r="AB260" s="306" t="str">
        <f t="shared" ref="AB260:AB323" si="84">IF(W260&gt;0,IF(AND(W260&gt;=W$1438,W260&lt;=W$1439),CONCATENATE(MONTH(W260)&amp;X260),0),"")</f>
        <v/>
      </c>
      <c r="AC260" s="788"/>
      <c r="AD260" s="119">
        <f t="shared" si="82"/>
        <v>0</v>
      </c>
      <c r="AE260" s="108">
        <f t="shared" si="82"/>
        <v>0</v>
      </c>
      <c r="AF260" s="108">
        <f t="shared" si="82"/>
        <v>0</v>
      </c>
      <c r="AG260" s="108"/>
      <c r="AH260" s="108"/>
      <c r="AI260" s="108"/>
      <c r="AJ260" s="108"/>
      <c r="AK260" s="108"/>
      <c r="AL260" s="108">
        <f t="shared" ref="AL260:AL323" si="85">IF($AB260=0,0,ROUND($Z260*VLOOKUP(AL$2,$F$1010:$Q$1014,VLOOKUP($CP260,$C$1076:$E$1081,3,FALSE),FALSE),2))</f>
        <v>0</v>
      </c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20">
        <f t="shared" ref="CK260:CK323" si="86">IF($AB260=0,0,ROUND($Z260*VLOOKUP(CK$2,$F$1010:$Q$1014,VLOOKUP($CP260,$C$1076:$E$1081,3,FALSE),FALSE),2))</f>
        <v>0</v>
      </c>
      <c r="CL260" s="122">
        <f t="shared" ref="CL260:CL323" si="87">IF(CK$1014&gt;0,0,IF(ISBLANK(W260),0,MONTH(W260)))</f>
        <v>0</v>
      </c>
      <c r="CM260" s="524" t="str">
        <f t="shared" si="76"/>
        <v/>
      </c>
      <c r="CN260" s="526">
        <f t="shared" si="77"/>
        <v>0</v>
      </c>
      <c r="CO260" s="122">
        <f t="shared" si="78"/>
        <v>0</v>
      </c>
      <c r="CP260" s="45" t="str">
        <f t="shared" ref="CP260:CP323" si="88">IF(ISBLANK(AC260),Q$1,AC260)</f>
        <v>1 - in MILLESIMI   I</v>
      </c>
      <c r="CQ260" s="1"/>
    </row>
    <row r="261" spans="1:95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435">
        <f>IF(AND(W261&gt;=$U$1,W261&lt;=$U$2),IF(X261='ESTRATTO CONTO'!$E$2,1+COUNTIF(U$4:U260,"&gt;0"),0),0)</f>
        <v>0</v>
      </c>
      <c r="V261" s="417">
        <f t="shared" si="79"/>
        <v>258</v>
      </c>
      <c r="W261" s="509"/>
      <c r="X261" s="321"/>
      <c r="Y261" s="321"/>
      <c r="Z261" s="433"/>
      <c r="AA261" s="918">
        <f t="shared" si="83"/>
        <v>1</v>
      </c>
      <c r="AB261" s="306" t="str">
        <f t="shared" si="84"/>
        <v/>
      </c>
      <c r="AC261" s="788"/>
      <c r="AD261" s="119">
        <f t="shared" si="82"/>
        <v>0</v>
      </c>
      <c r="AE261" s="108">
        <f t="shared" si="82"/>
        <v>0</v>
      </c>
      <c r="AF261" s="108">
        <f t="shared" si="82"/>
        <v>0</v>
      </c>
      <c r="AG261" s="108"/>
      <c r="AH261" s="108"/>
      <c r="AI261" s="108"/>
      <c r="AJ261" s="108"/>
      <c r="AK261" s="108"/>
      <c r="AL261" s="108">
        <f t="shared" si="85"/>
        <v>0</v>
      </c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20">
        <f t="shared" si="86"/>
        <v>0</v>
      </c>
      <c r="CL261" s="122">
        <f t="shared" si="87"/>
        <v>0</v>
      </c>
      <c r="CM261" s="524" t="str">
        <f t="shared" ref="CM261:CM324" si="89">IF(X261="","",IF(ISERROR(VLOOKUP(X261,B$9:E$45,1,FALSE)),1,0))</f>
        <v/>
      </c>
      <c r="CN261" s="526">
        <f t="shared" ref="CN261:CN324" si="90">IF(AND(W261&gt;=CN$1,W261&lt;=CN$2),Z261,0)</f>
        <v>0</v>
      </c>
      <c r="CO261" s="122">
        <f t="shared" ref="CO261:CO324" si="91">IF(CN261&lt;&gt;0,X261,0)</f>
        <v>0</v>
      </c>
      <c r="CP261" s="45" t="str">
        <f t="shared" si="88"/>
        <v>1 - in MILLESIMI   I</v>
      </c>
      <c r="CQ261" s="1"/>
    </row>
    <row r="262" spans="1:95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435">
        <f>IF(AND(W262&gt;=$U$1,W262&lt;=$U$2),IF(X262='ESTRATTO CONTO'!$E$2,1+COUNTIF(U$4:U261,"&gt;0"),0),0)</f>
        <v>0</v>
      </c>
      <c r="V262" s="417">
        <f t="shared" ref="V262:V325" si="92">V261+1</f>
        <v>259</v>
      </c>
      <c r="W262" s="509"/>
      <c r="X262" s="321"/>
      <c r="Y262" s="321"/>
      <c r="Z262" s="433"/>
      <c r="AA262" s="918">
        <f t="shared" si="83"/>
        <v>1</v>
      </c>
      <c r="AB262" s="306" t="str">
        <f t="shared" si="84"/>
        <v/>
      </c>
      <c r="AC262" s="788"/>
      <c r="AD262" s="119">
        <f t="shared" si="82"/>
        <v>0</v>
      </c>
      <c r="AE262" s="108">
        <f t="shared" si="82"/>
        <v>0</v>
      </c>
      <c r="AF262" s="108">
        <f t="shared" si="82"/>
        <v>0</v>
      </c>
      <c r="AG262" s="108"/>
      <c r="AH262" s="108"/>
      <c r="AI262" s="108"/>
      <c r="AJ262" s="108"/>
      <c r="AK262" s="108"/>
      <c r="AL262" s="108">
        <f t="shared" si="85"/>
        <v>0</v>
      </c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20">
        <f t="shared" si="86"/>
        <v>0</v>
      </c>
      <c r="CL262" s="122">
        <f t="shared" si="87"/>
        <v>0</v>
      </c>
      <c r="CM262" s="524" t="str">
        <f t="shared" si="89"/>
        <v/>
      </c>
      <c r="CN262" s="526">
        <f t="shared" si="90"/>
        <v>0</v>
      </c>
      <c r="CO262" s="122">
        <f t="shared" si="91"/>
        <v>0</v>
      </c>
      <c r="CP262" s="45" t="str">
        <f t="shared" si="88"/>
        <v>1 - in MILLESIMI   I</v>
      </c>
      <c r="CQ262" s="1"/>
    </row>
    <row r="263" spans="1:95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435">
        <f>IF(AND(W263&gt;=$U$1,W263&lt;=$U$2),IF(X263='ESTRATTO CONTO'!$E$2,1+COUNTIF(U$4:U262,"&gt;0"),0),0)</f>
        <v>0</v>
      </c>
      <c r="V263" s="417">
        <f t="shared" si="92"/>
        <v>260</v>
      </c>
      <c r="W263" s="509"/>
      <c r="X263" s="321"/>
      <c r="Y263" s="321"/>
      <c r="Z263" s="433"/>
      <c r="AA263" s="918">
        <f t="shared" si="83"/>
        <v>1</v>
      </c>
      <c r="AB263" s="306" t="str">
        <f t="shared" si="84"/>
        <v/>
      </c>
      <c r="AC263" s="788"/>
      <c r="AD263" s="119">
        <f t="shared" si="82"/>
        <v>0</v>
      </c>
      <c r="AE263" s="108">
        <f t="shared" si="82"/>
        <v>0</v>
      </c>
      <c r="AF263" s="108">
        <f t="shared" si="82"/>
        <v>0</v>
      </c>
      <c r="AG263" s="108"/>
      <c r="AH263" s="108"/>
      <c r="AI263" s="108"/>
      <c r="AJ263" s="108"/>
      <c r="AK263" s="108"/>
      <c r="AL263" s="108">
        <f t="shared" si="85"/>
        <v>0</v>
      </c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20">
        <f t="shared" si="86"/>
        <v>0</v>
      </c>
      <c r="CL263" s="122">
        <f t="shared" si="87"/>
        <v>0</v>
      </c>
      <c r="CM263" s="524" t="str">
        <f t="shared" si="89"/>
        <v/>
      </c>
      <c r="CN263" s="526">
        <f t="shared" si="90"/>
        <v>0</v>
      </c>
      <c r="CO263" s="122">
        <f t="shared" si="91"/>
        <v>0</v>
      </c>
      <c r="CP263" s="45" t="str">
        <f t="shared" si="88"/>
        <v>1 - in MILLESIMI   I</v>
      </c>
      <c r="CQ263" s="1"/>
    </row>
    <row r="264" spans="1:95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435">
        <f>IF(AND(W264&gt;=$U$1,W264&lt;=$U$2),IF(X264='ESTRATTO CONTO'!$E$2,1+COUNTIF(U$4:U263,"&gt;0"),0),0)</f>
        <v>0</v>
      </c>
      <c r="V264" s="417">
        <f t="shared" si="92"/>
        <v>261</v>
      </c>
      <c r="W264" s="509"/>
      <c r="X264" s="321"/>
      <c r="Y264" s="321"/>
      <c r="Z264" s="433"/>
      <c r="AA264" s="918">
        <f t="shared" si="83"/>
        <v>1</v>
      </c>
      <c r="AB264" s="306" t="str">
        <f t="shared" si="84"/>
        <v/>
      </c>
      <c r="AC264" s="788"/>
      <c r="AD264" s="119">
        <f t="shared" ref="AD264:AF283" si="93">IF($AB264=0,0,ROUND($Z264*VLOOKUP(AD$2,$F$1010:$Q$1014,VLOOKUP($CP264,$C$1076:$E$1081,3,FALSE),FALSE),2))</f>
        <v>0</v>
      </c>
      <c r="AE264" s="108">
        <f t="shared" si="93"/>
        <v>0</v>
      </c>
      <c r="AF264" s="108">
        <f t="shared" si="93"/>
        <v>0</v>
      </c>
      <c r="AG264" s="108"/>
      <c r="AH264" s="108"/>
      <c r="AI264" s="108"/>
      <c r="AJ264" s="108"/>
      <c r="AK264" s="108"/>
      <c r="AL264" s="108">
        <f t="shared" si="85"/>
        <v>0</v>
      </c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20">
        <f t="shared" si="86"/>
        <v>0</v>
      </c>
      <c r="CL264" s="122">
        <f t="shared" si="87"/>
        <v>0</v>
      </c>
      <c r="CM264" s="524" t="str">
        <f t="shared" si="89"/>
        <v/>
      </c>
      <c r="CN264" s="526">
        <f t="shared" si="90"/>
        <v>0</v>
      </c>
      <c r="CO264" s="122">
        <f t="shared" si="91"/>
        <v>0</v>
      </c>
      <c r="CP264" s="45" t="str">
        <f t="shared" si="88"/>
        <v>1 - in MILLESIMI   I</v>
      </c>
      <c r="CQ264" s="1"/>
    </row>
    <row r="265" spans="1:95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435">
        <f>IF(AND(W265&gt;=$U$1,W265&lt;=$U$2),IF(X265='ESTRATTO CONTO'!$E$2,1+COUNTIF(U$4:U264,"&gt;0"),0),0)</f>
        <v>0</v>
      </c>
      <c r="V265" s="417">
        <f t="shared" si="92"/>
        <v>262</v>
      </c>
      <c r="W265" s="509"/>
      <c r="X265" s="321"/>
      <c r="Y265" s="321"/>
      <c r="Z265" s="433"/>
      <c r="AA265" s="918">
        <f t="shared" si="83"/>
        <v>1</v>
      </c>
      <c r="AB265" s="306" t="str">
        <f t="shared" si="84"/>
        <v/>
      </c>
      <c r="AC265" s="788"/>
      <c r="AD265" s="119">
        <f t="shared" si="93"/>
        <v>0</v>
      </c>
      <c r="AE265" s="108">
        <f t="shared" si="93"/>
        <v>0</v>
      </c>
      <c r="AF265" s="108">
        <f t="shared" si="93"/>
        <v>0</v>
      </c>
      <c r="AG265" s="108"/>
      <c r="AH265" s="108"/>
      <c r="AI265" s="108"/>
      <c r="AJ265" s="108"/>
      <c r="AK265" s="108"/>
      <c r="AL265" s="108">
        <f t="shared" si="85"/>
        <v>0</v>
      </c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20">
        <f t="shared" si="86"/>
        <v>0</v>
      </c>
      <c r="CL265" s="122">
        <f t="shared" si="87"/>
        <v>0</v>
      </c>
      <c r="CM265" s="524" t="str">
        <f t="shared" si="89"/>
        <v/>
      </c>
      <c r="CN265" s="526">
        <f t="shared" si="90"/>
        <v>0</v>
      </c>
      <c r="CO265" s="122">
        <f t="shared" si="91"/>
        <v>0</v>
      </c>
      <c r="CP265" s="45" t="str">
        <f t="shared" si="88"/>
        <v>1 - in MILLESIMI   I</v>
      </c>
      <c r="CQ265" s="1"/>
    </row>
    <row r="266" spans="1:95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435">
        <f>IF(AND(W266&gt;=$U$1,W266&lt;=$U$2),IF(X266='ESTRATTO CONTO'!$E$2,1+COUNTIF(U$4:U265,"&gt;0"),0),0)</f>
        <v>0</v>
      </c>
      <c r="V266" s="417">
        <f t="shared" si="92"/>
        <v>263</v>
      </c>
      <c r="W266" s="509"/>
      <c r="X266" s="321"/>
      <c r="Y266" s="321"/>
      <c r="Z266" s="433"/>
      <c r="AA266" s="918">
        <f t="shared" si="83"/>
        <v>1</v>
      </c>
      <c r="AB266" s="306" t="str">
        <f t="shared" si="84"/>
        <v/>
      </c>
      <c r="AC266" s="788"/>
      <c r="AD266" s="119">
        <f t="shared" si="93"/>
        <v>0</v>
      </c>
      <c r="AE266" s="108">
        <f t="shared" si="93"/>
        <v>0</v>
      </c>
      <c r="AF266" s="108">
        <f t="shared" si="93"/>
        <v>0</v>
      </c>
      <c r="AG266" s="108"/>
      <c r="AH266" s="108"/>
      <c r="AI266" s="108"/>
      <c r="AJ266" s="108"/>
      <c r="AK266" s="108"/>
      <c r="AL266" s="108">
        <f t="shared" si="85"/>
        <v>0</v>
      </c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20">
        <f t="shared" si="86"/>
        <v>0</v>
      </c>
      <c r="CL266" s="122">
        <f t="shared" si="87"/>
        <v>0</v>
      </c>
      <c r="CM266" s="524" t="str">
        <f t="shared" si="89"/>
        <v/>
      </c>
      <c r="CN266" s="526">
        <f t="shared" si="90"/>
        <v>0</v>
      </c>
      <c r="CO266" s="122">
        <f t="shared" si="91"/>
        <v>0</v>
      </c>
      <c r="CP266" s="45" t="str">
        <f t="shared" si="88"/>
        <v>1 - in MILLESIMI   I</v>
      </c>
      <c r="CQ266" s="1"/>
    </row>
    <row r="267" spans="1:95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435">
        <f>IF(AND(W267&gt;=$U$1,W267&lt;=$U$2),IF(X267='ESTRATTO CONTO'!$E$2,1+COUNTIF(U$4:U266,"&gt;0"),0),0)</f>
        <v>0</v>
      </c>
      <c r="V267" s="417">
        <f t="shared" si="92"/>
        <v>264</v>
      </c>
      <c r="W267" s="509"/>
      <c r="X267" s="321"/>
      <c r="Y267" s="321"/>
      <c r="Z267" s="433"/>
      <c r="AA267" s="918">
        <f t="shared" si="83"/>
        <v>1</v>
      </c>
      <c r="AB267" s="306" t="str">
        <f t="shared" si="84"/>
        <v/>
      </c>
      <c r="AC267" s="788"/>
      <c r="AD267" s="119">
        <f t="shared" si="93"/>
        <v>0</v>
      </c>
      <c r="AE267" s="108">
        <f t="shared" si="93"/>
        <v>0</v>
      </c>
      <c r="AF267" s="108">
        <f t="shared" si="93"/>
        <v>0</v>
      </c>
      <c r="AG267" s="108"/>
      <c r="AH267" s="108"/>
      <c r="AI267" s="108"/>
      <c r="AJ267" s="108"/>
      <c r="AK267" s="108"/>
      <c r="AL267" s="108">
        <f t="shared" si="85"/>
        <v>0</v>
      </c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20">
        <f t="shared" si="86"/>
        <v>0</v>
      </c>
      <c r="CL267" s="122">
        <f t="shared" si="87"/>
        <v>0</v>
      </c>
      <c r="CM267" s="524" t="str">
        <f t="shared" si="89"/>
        <v/>
      </c>
      <c r="CN267" s="526">
        <f t="shared" si="90"/>
        <v>0</v>
      </c>
      <c r="CO267" s="122">
        <f t="shared" si="91"/>
        <v>0</v>
      </c>
      <c r="CP267" s="45" t="str">
        <f t="shared" si="88"/>
        <v>1 - in MILLESIMI   I</v>
      </c>
      <c r="CQ267" s="1"/>
    </row>
    <row r="268" spans="1:95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435">
        <f>IF(AND(W268&gt;=$U$1,W268&lt;=$U$2),IF(X268='ESTRATTO CONTO'!$E$2,1+COUNTIF(U$4:U267,"&gt;0"),0),0)</f>
        <v>0</v>
      </c>
      <c r="V268" s="417">
        <f t="shared" si="92"/>
        <v>265</v>
      </c>
      <c r="W268" s="509"/>
      <c r="X268" s="321"/>
      <c r="Y268" s="321"/>
      <c r="Z268" s="433"/>
      <c r="AA268" s="918">
        <f t="shared" si="83"/>
        <v>1</v>
      </c>
      <c r="AB268" s="306" t="str">
        <f t="shared" si="84"/>
        <v/>
      </c>
      <c r="AC268" s="788"/>
      <c r="AD268" s="119">
        <f t="shared" si="93"/>
        <v>0</v>
      </c>
      <c r="AE268" s="108">
        <f t="shared" si="93"/>
        <v>0</v>
      </c>
      <c r="AF268" s="108">
        <f t="shared" si="93"/>
        <v>0</v>
      </c>
      <c r="AG268" s="108"/>
      <c r="AH268" s="108"/>
      <c r="AI268" s="108"/>
      <c r="AJ268" s="108"/>
      <c r="AK268" s="108"/>
      <c r="AL268" s="108">
        <f t="shared" si="85"/>
        <v>0</v>
      </c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20">
        <f t="shared" si="86"/>
        <v>0</v>
      </c>
      <c r="CL268" s="122">
        <f t="shared" si="87"/>
        <v>0</v>
      </c>
      <c r="CM268" s="524" t="str">
        <f t="shared" si="89"/>
        <v/>
      </c>
      <c r="CN268" s="526">
        <f t="shared" si="90"/>
        <v>0</v>
      </c>
      <c r="CO268" s="122">
        <f t="shared" si="91"/>
        <v>0</v>
      </c>
      <c r="CP268" s="45" t="str">
        <f t="shared" si="88"/>
        <v>1 - in MILLESIMI   I</v>
      </c>
      <c r="CQ268" s="1"/>
    </row>
    <row r="269" spans="1:95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435">
        <f>IF(AND(W269&gt;=$U$1,W269&lt;=$U$2),IF(X269='ESTRATTO CONTO'!$E$2,1+COUNTIF(U$4:U268,"&gt;0"),0),0)</f>
        <v>0</v>
      </c>
      <c r="V269" s="417">
        <f t="shared" si="92"/>
        <v>266</v>
      </c>
      <c r="W269" s="509"/>
      <c r="X269" s="321"/>
      <c r="Y269" s="321"/>
      <c r="Z269" s="433"/>
      <c r="AA269" s="918">
        <f t="shared" si="83"/>
        <v>1</v>
      </c>
      <c r="AB269" s="306" t="str">
        <f t="shared" si="84"/>
        <v/>
      </c>
      <c r="AC269" s="788"/>
      <c r="AD269" s="119">
        <f t="shared" si="93"/>
        <v>0</v>
      </c>
      <c r="AE269" s="108">
        <f t="shared" si="93"/>
        <v>0</v>
      </c>
      <c r="AF269" s="108">
        <f t="shared" si="93"/>
        <v>0</v>
      </c>
      <c r="AG269" s="108"/>
      <c r="AH269" s="108"/>
      <c r="AI269" s="108"/>
      <c r="AJ269" s="108"/>
      <c r="AK269" s="108"/>
      <c r="AL269" s="108">
        <f t="shared" si="85"/>
        <v>0</v>
      </c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20">
        <f t="shared" si="86"/>
        <v>0</v>
      </c>
      <c r="CL269" s="122">
        <f t="shared" si="87"/>
        <v>0</v>
      </c>
      <c r="CM269" s="524" t="str">
        <f t="shared" si="89"/>
        <v/>
      </c>
      <c r="CN269" s="526">
        <f t="shared" si="90"/>
        <v>0</v>
      </c>
      <c r="CO269" s="122">
        <f t="shared" si="91"/>
        <v>0</v>
      </c>
      <c r="CP269" s="45" t="str">
        <f t="shared" si="88"/>
        <v>1 - in MILLESIMI   I</v>
      </c>
      <c r="CQ269" s="1"/>
    </row>
    <row r="270" spans="1:95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435">
        <f>IF(AND(W270&gt;=$U$1,W270&lt;=$U$2),IF(X270='ESTRATTO CONTO'!$E$2,1+COUNTIF(U$4:U269,"&gt;0"),0),0)</f>
        <v>0</v>
      </c>
      <c r="V270" s="417">
        <f t="shared" si="92"/>
        <v>267</v>
      </c>
      <c r="W270" s="509"/>
      <c r="X270" s="321"/>
      <c r="Y270" s="321"/>
      <c r="Z270" s="433"/>
      <c r="AA270" s="918">
        <f t="shared" si="83"/>
        <v>1</v>
      </c>
      <c r="AB270" s="306" t="str">
        <f t="shared" si="84"/>
        <v/>
      </c>
      <c r="AC270" s="788"/>
      <c r="AD270" s="119">
        <f t="shared" si="93"/>
        <v>0</v>
      </c>
      <c r="AE270" s="108">
        <f t="shared" si="93"/>
        <v>0</v>
      </c>
      <c r="AF270" s="108">
        <f t="shared" si="93"/>
        <v>0</v>
      </c>
      <c r="AG270" s="108"/>
      <c r="AH270" s="108"/>
      <c r="AI270" s="108"/>
      <c r="AJ270" s="108"/>
      <c r="AK270" s="108"/>
      <c r="AL270" s="108">
        <f t="shared" si="85"/>
        <v>0</v>
      </c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20">
        <f t="shared" si="86"/>
        <v>0</v>
      </c>
      <c r="CL270" s="122">
        <f t="shared" si="87"/>
        <v>0</v>
      </c>
      <c r="CM270" s="524" t="str">
        <f t="shared" si="89"/>
        <v/>
      </c>
      <c r="CN270" s="526">
        <f t="shared" si="90"/>
        <v>0</v>
      </c>
      <c r="CO270" s="122">
        <f t="shared" si="91"/>
        <v>0</v>
      </c>
      <c r="CP270" s="45" t="str">
        <f t="shared" si="88"/>
        <v>1 - in MILLESIMI   I</v>
      </c>
      <c r="CQ270" s="1"/>
    </row>
    <row r="271" spans="1:95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435">
        <f>IF(AND(W271&gt;=$U$1,W271&lt;=$U$2),IF(X271='ESTRATTO CONTO'!$E$2,1+COUNTIF(U$4:U270,"&gt;0"),0),0)</f>
        <v>0</v>
      </c>
      <c r="V271" s="417">
        <f t="shared" si="92"/>
        <v>268</v>
      </c>
      <c r="W271" s="509"/>
      <c r="X271" s="321"/>
      <c r="Y271" s="321"/>
      <c r="Z271" s="433"/>
      <c r="AA271" s="918">
        <f t="shared" si="83"/>
        <v>1</v>
      </c>
      <c r="AB271" s="306" t="str">
        <f t="shared" si="84"/>
        <v/>
      </c>
      <c r="AC271" s="788"/>
      <c r="AD271" s="119">
        <f t="shared" si="93"/>
        <v>0</v>
      </c>
      <c r="AE271" s="108">
        <f t="shared" si="93"/>
        <v>0</v>
      </c>
      <c r="AF271" s="108">
        <f t="shared" si="93"/>
        <v>0</v>
      </c>
      <c r="AG271" s="108"/>
      <c r="AH271" s="108"/>
      <c r="AI271" s="108"/>
      <c r="AJ271" s="108"/>
      <c r="AK271" s="108"/>
      <c r="AL271" s="108">
        <f t="shared" si="85"/>
        <v>0</v>
      </c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20">
        <f t="shared" si="86"/>
        <v>0</v>
      </c>
      <c r="CL271" s="122">
        <f t="shared" si="87"/>
        <v>0</v>
      </c>
      <c r="CM271" s="524" t="str">
        <f t="shared" si="89"/>
        <v/>
      </c>
      <c r="CN271" s="526">
        <f t="shared" si="90"/>
        <v>0</v>
      </c>
      <c r="CO271" s="122">
        <f t="shared" si="91"/>
        <v>0</v>
      </c>
      <c r="CP271" s="45" t="str">
        <f t="shared" si="88"/>
        <v>1 - in MILLESIMI   I</v>
      </c>
      <c r="CQ271" s="1"/>
    </row>
    <row r="272" spans="1:95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435">
        <f>IF(AND(W272&gt;=$U$1,W272&lt;=$U$2),IF(X272='ESTRATTO CONTO'!$E$2,1+COUNTIF(U$4:U271,"&gt;0"),0),0)</f>
        <v>0</v>
      </c>
      <c r="V272" s="417">
        <f t="shared" si="92"/>
        <v>269</v>
      </c>
      <c r="W272" s="509"/>
      <c r="X272" s="321"/>
      <c r="Y272" s="321"/>
      <c r="Z272" s="433"/>
      <c r="AA272" s="918">
        <f t="shared" si="83"/>
        <v>1</v>
      </c>
      <c r="AB272" s="306" t="str">
        <f t="shared" si="84"/>
        <v/>
      </c>
      <c r="AC272" s="788"/>
      <c r="AD272" s="119">
        <f t="shared" si="93"/>
        <v>0</v>
      </c>
      <c r="AE272" s="108">
        <f t="shared" si="93"/>
        <v>0</v>
      </c>
      <c r="AF272" s="108">
        <f t="shared" si="93"/>
        <v>0</v>
      </c>
      <c r="AG272" s="108"/>
      <c r="AH272" s="108"/>
      <c r="AI272" s="108"/>
      <c r="AJ272" s="108"/>
      <c r="AK272" s="108"/>
      <c r="AL272" s="108">
        <f t="shared" si="85"/>
        <v>0</v>
      </c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20">
        <f t="shared" si="86"/>
        <v>0</v>
      </c>
      <c r="CL272" s="122">
        <f t="shared" si="87"/>
        <v>0</v>
      </c>
      <c r="CM272" s="524" t="str">
        <f t="shared" si="89"/>
        <v/>
      </c>
      <c r="CN272" s="526">
        <f t="shared" si="90"/>
        <v>0</v>
      </c>
      <c r="CO272" s="122">
        <f t="shared" si="91"/>
        <v>0</v>
      </c>
      <c r="CP272" s="45" t="str">
        <f t="shared" si="88"/>
        <v>1 - in MILLESIMI   I</v>
      </c>
      <c r="CQ272" s="1"/>
    </row>
    <row r="273" spans="1:95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435">
        <f>IF(AND(W273&gt;=$U$1,W273&lt;=$U$2),IF(X273='ESTRATTO CONTO'!$E$2,1+COUNTIF(U$4:U272,"&gt;0"),0),0)</f>
        <v>0</v>
      </c>
      <c r="V273" s="417">
        <f t="shared" si="92"/>
        <v>270</v>
      </c>
      <c r="W273" s="509"/>
      <c r="X273" s="321"/>
      <c r="Y273" s="321"/>
      <c r="Z273" s="433"/>
      <c r="AA273" s="918">
        <f t="shared" si="83"/>
        <v>1</v>
      </c>
      <c r="AB273" s="306" t="str">
        <f t="shared" si="84"/>
        <v/>
      </c>
      <c r="AC273" s="788"/>
      <c r="AD273" s="119">
        <f t="shared" si="93"/>
        <v>0</v>
      </c>
      <c r="AE273" s="108">
        <f t="shared" si="93"/>
        <v>0</v>
      </c>
      <c r="AF273" s="108">
        <f t="shared" si="93"/>
        <v>0</v>
      </c>
      <c r="AG273" s="108"/>
      <c r="AH273" s="108"/>
      <c r="AI273" s="108"/>
      <c r="AJ273" s="108"/>
      <c r="AK273" s="108"/>
      <c r="AL273" s="108">
        <f t="shared" si="85"/>
        <v>0</v>
      </c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20">
        <f t="shared" si="86"/>
        <v>0</v>
      </c>
      <c r="CL273" s="122">
        <f t="shared" si="87"/>
        <v>0</v>
      </c>
      <c r="CM273" s="524" t="str">
        <f t="shared" si="89"/>
        <v/>
      </c>
      <c r="CN273" s="526">
        <f t="shared" si="90"/>
        <v>0</v>
      </c>
      <c r="CO273" s="122">
        <f t="shared" si="91"/>
        <v>0</v>
      </c>
      <c r="CP273" s="45" t="str">
        <f t="shared" si="88"/>
        <v>1 - in MILLESIMI   I</v>
      </c>
      <c r="CQ273" s="1"/>
    </row>
    <row r="274" spans="1:95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435">
        <f>IF(AND(W274&gt;=$U$1,W274&lt;=$U$2),IF(X274='ESTRATTO CONTO'!$E$2,1+COUNTIF(U$4:U273,"&gt;0"),0),0)</f>
        <v>0</v>
      </c>
      <c r="V274" s="417">
        <f t="shared" si="92"/>
        <v>271</v>
      </c>
      <c r="W274" s="509"/>
      <c r="X274" s="321"/>
      <c r="Y274" s="321"/>
      <c r="Z274" s="433"/>
      <c r="AA274" s="918">
        <f t="shared" si="83"/>
        <v>1</v>
      </c>
      <c r="AB274" s="306" t="str">
        <f t="shared" si="84"/>
        <v/>
      </c>
      <c r="AC274" s="788"/>
      <c r="AD274" s="119">
        <f t="shared" si="93"/>
        <v>0</v>
      </c>
      <c r="AE274" s="108">
        <f t="shared" si="93"/>
        <v>0</v>
      </c>
      <c r="AF274" s="108">
        <f t="shared" si="93"/>
        <v>0</v>
      </c>
      <c r="AG274" s="108"/>
      <c r="AH274" s="108"/>
      <c r="AI274" s="108"/>
      <c r="AJ274" s="108"/>
      <c r="AK274" s="108"/>
      <c r="AL274" s="108">
        <f t="shared" si="85"/>
        <v>0</v>
      </c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20">
        <f t="shared" si="86"/>
        <v>0</v>
      </c>
      <c r="CL274" s="122">
        <f t="shared" si="87"/>
        <v>0</v>
      </c>
      <c r="CM274" s="524" t="str">
        <f t="shared" si="89"/>
        <v/>
      </c>
      <c r="CN274" s="526">
        <f t="shared" si="90"/>
        <v>0</v>
      </c>
      <c r="CO274" s="122">
        <f t="shared" si="91"/>
        <v>0</v>
      </c>
      <c r="CP274" s="45" t="str">
        <f t="shared" si="88"/>
        <v>1 - in MILLESIMI   I</v>
      </c>
      <c r="CQ274" s="1"/>
    </row>
    <row r="275" spans="1:95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435">
        <f>IF(AND(W275&gt;=$U$1,W275&lt;=$U$2),IF(X275='ESTRATTO CONTO'!$E$2,1+COUNTIF(U$4:U274,"&gt;0"),0),0)</f>
        <v>0</v>
      </c>
      <c r="V275" s="417">
        <f t="shared" si="92"/>
        <v>272</v>
      </c>
      <c r="W275" s="509"/>
      <c r="X275" s="321"/>
      <c r="Y275" s="321"/>
      <c r="Z275" s="433"/>
      <c r="AA275" s="918">
        <f t="shared" si="83"/>
        <v>1</v>
      </c>
      <c r="AB275" s="306" t="str">
        <f t="shared" si="84"/>
        <v/>
      </c>
      <c r="AC275" s="788"/>
      <c r="AD275" s="119">
        <f t="shared" si="93"/>
        <v>0</v>
      </c>
      <c r="AE275" s="108">
        <f t="shared" si="93"/>
        <v>0</v>
      </c>
      <c r="AF275" s="108">
        <f t="shared" si="93"/>
        <v>0</v>
      </c>
      <c r="AG275" s="108"/>
      <c r="AH275" s="108"/>
      <c r="AI275" s="108"/>
      <c r="AJ275" s="108"/>
      <c r="AK275" s="108"/>
      <c r="AL275" s="108">
        <f t="shared" si="85"/>
        <v>0</v>
      </c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20">
        <f t="shared" si="86"/>
        <v>0</v>
      </c>
      <c r="CL275" s="122">
        <f t="shared" si="87"/>
        <v>0</v>
      </c>
      <c r="CM275" s="524" t="str">
        <f t="shared" si="89"/>
        <v/>
      </c>
      <c r="CN275" s="526">
        <f t="shared" si="90"/>
        <v>0</v>
      </c>
      <c r="CO275" s="122">
        <f t="shared" si="91"/>
        <v>0</v>
      </c>
      <c r="CP275" s="45" t="str">
        <f t="shared" si="88"/>
        <v>1 - in MILLESIMI   I</v>
      </c>
      <c r="CQ275" s="1"/>
    </row>
    <row r="276" spans="1:95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435">
        <f>IF(AND(W276&gt;=$U$1,W276&lt;=$U$2),IF(X276='ESTRATTO CONTO'!$E$2,1+COUNTIF(U$4:U275,"&gt;0"),0),0)</f>
        <v>0</v>
      </c>
      <c r="V276" s="417">
        <f t="shared" si="92"/>
        <v>273</v>
      </c>
      <c r="W276" s="509"/>
      <c r="X276" s="321"/>
      <c r="Y276" s="321"/>
      <c r="Z276" s="433"/>
      <c r="AA276" s="918">
        <f t="shared" si="83"/>
        <v>1</v>
      </c>
      <c r="AB276" s="306" t="str">
        <f t="shared" si="84"/>
        <v/>
      </c>
      <c r="AC276" s="788"/>
      <c r="AD276" s="119">
        <f t="shared" si="93"/>
        <v>0</v>
      </c>
      <c r="AE276" s="108">
        <f t="shared" si="93"/>
        <v>0</v>
      </c>
      <c r="AF276" s="108">
        <f t="shared" si="93"/>
        <v>0</v>
      </c>
      <c r="AG276" s="108"/>
      <c r="AH276" s="108"/>
      <c r="AI276" s="108"/>
      <c r="AJ276" s="108"/>
      <c r="AK276" s="108"/>
      <c r="AL276" s="108">
        <f t="shared" si="85"/>
        <v>0</v>
      </c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20">
        <f t="shared" si="86"/>
        <v>0</v>
      </c>
      <c r="CL276" s="122">
        <f t="shared" si="87"/>
        <v>0</v>
      </c>
      <c r="CM276" s="524" t="str">
        <f t="shared" si="89"/>
        <v/>
      </c>
      <c r="CN276" s="526">
        <f t="shared" si="90"/>
        <v>0</v>
      </c>
      <c r="CO276" s="122">
        <f t="shared" si="91"/>
        <v>0</v>
      </c>
      <c r="CP276" s="45" t="str">
        <f t="shared" si="88"/>
        <v>1 - in MILLESIMI   I</v>
      </c>
      <c r="CQ276" s="1"/>
    </row>
    <row r="277" spans="1:95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435">
        <f>IF(AND(W277&gt;=$U$1,W277&lt;=$U$2),IF(X277='ESTRATTO CONTO'!$E$2,1+COUNTIF(U$4:U276,"&gt;0"),0),0)</f>
        <v>0</v>
      </c>
      <c r="V277" s="417">
        <f t="shared" si="92"/>
        <v>274</v>
      </c>
      <c r="W277" s="509"/>
      <c r="X277" s="321"/>
      <c r="Y277" s="321"/>
      <c r="Z277" s="433"/>
      <c r="AA277" s="918">
        <f t="shared" si="83"/>
        <v>1</v>
      </c>
      <c r="AB277" s="306" t="str">
        <f t="shared" si="84"/>
        <v/>
      </c>
      <c r="AC277" s="788"/>
      <c r="AD277" s="119">
        <f t="shared" si="93"/>
        <v>0</v>
      </c>
      <c r="AE277" s="108">
        <f t="shared" si="93"/>
        <v>0</v>
      </c>
      <c r="AF277" s="108">
        <f t="shared" si="93"/>
        <v>0</v>
      </c>
      <c r="AG277" s="108"/>
      <c r="AH277" s="108"/>
      <c r="AI277" s="108"/>
      <c r="AJ277" s="108"/>
      <c r="AK277" s="108"/>
      <c r="AL277" s="108">
        <f t="shared" si="85"/>
        <v>0</v>
      </c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20">
        <f t="shared" si="86"/>
        <v>0</v>
      </c>
      <c r="CL277" s="122">
        <f t="shared" si="87"/>
        <v>0</v>
      </c>
      <c r="CM277" s="524" t="str">
        <f t="shared" si="89"/>
        <v/>
      </c>
      <c r="CN277" s="526">
        <f t="shared" si="90"/>
        <v>0</v>
      </c>
      <c r="CO277" s="122">
        <f t="shared" si="91"/>
        <v>0</v>
      </c>
      <c r="CP277" s="45" t="str">
        <f t="shared" si="88"/>
        <v>1 - in MILLESIMI   I</v>
      </c>
      <c r="CQ277" s="1"/>
    </row>
    <row r="278" spans="1:95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435">
        <f>IF(AND(W278&gt;=$U$1,W278&lt;=$U$2),IF(X278='ESTRATTO CONTO'!$E$2,1+COUNTIF(U$4:U277,"&gt;0"),0),0)</f>
        <v>0</v>
      </c>
      <c r="V278" s="417">
        <f t="shared" si="92"/>
        <v>275</v>
      </c>
      <c r="W278" s="509"/>
      <c r="X278" s="321"/>
      <c r="Y278" s="321"/>
      <c r="Z278" s="433"/>
      <c r="AA278" s="918">
        <f t="shared" si="83"/>
        <v>1</v>
      </c>
      <c r="AB278" s="306" t="str">
        <f t="shared" si="84"/>
        <v/>
      </c>
      <c r="AC278" s="788"/>
      <c r="AD278" s="119">
        <f t="shared" si="93"/>
        <v>0</v>
      </c>
      <c r="AE278" s="108">
        <f t="shared" si="93"/>
        <v>0</v>
      </c>
      <c r="AF278" s="108">
        <f t="shared" si="93"/>
        <v>0</v>
      </c>
      <c r="AG278" s="108"/>
      <c r="AH278" s="108"/>
      <c r="AI278" s="108"/>
      <c r="AJ278" s="108"/>
      <c r="AK278" s="108"/>
      <c r="AL278" s="108">
        <f t="shared" si="85"/>
        <v>0</v>
      </c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20">
        <f t="shared" si="86"/>
        <v>0</v>
      </c>
      <c r="CL278" s="122">
        <f t="shared" si="87"/>
        <v>0</v>
      </c>
      <c r="CM278" s="524" t="str">
        <f t="shared" si="89"/>
        <v/>
      </c>
      <c r="CN278" s="526">
        <f t="shared" si="90"/>
        <v>0</v>
      </c>
      <c r="CO278" s="122">
        <f t="shared" si="91"/>
        <v>0</v>
      </c>
      <c r="CP278" s="45" t="str">
        <f t="shared" si="88"/>
        <v>1 - in MILLESIMI   I</v>
      </c>
      <c r="CQ278" s="1"/>
    </row>
    <row r="279" spans="1:95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435">
        <f>IF(AND(W279&gt;=$U$1,W279&lt;=$U$2),IF(X279='ESTRATTO CONTO'!$E$2,1+COUNTIF(U$4:U278,"&gt;0"),0),0)</f>
        <v>0</v>
      </c>
      <c r="V279" s="417">
        <f t="shared" si="92"/>
        <v>276</v>
      </c>
      <c r="W279" s="509"/>
      <c r="X279" s="321"/>
      <c r="Y279" s="321"/>
      <c r="Z279" s="433"/>
      <c r="AA279" s="918">
        <f t="shared" si="83"/>
        <v>1</v>
      </c>
      <c r="AB279" s="306" t="str">
        <f t="shared" si="84"/>
        <v/>
      </c>
      <c r="AC279" s="788"/>
      <c r="AD279" s="119">
        <f t="shared" si="93"/>
        <v>0</v>
      </c>
      <c r="AE279" s="108">
        <f t="shared" si="93"/>
        <v>0</v>
      </c>
      <c r="AF279" s="108">
        <f t="shared" si="93"/>
        <v>0</v>
      </c>
      <c r="AG279" s="108"/>
      <c r="AH279" s="108"/>
      <c r="AI279" s="108"/>
      <c r="AJ279" s="108"/>
      <c r="AK279" s="108"/>
      <c r="AL279" s="108">
        <f t="shared" si="85"/>
        <v>0</v>
      </c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20">
        <f t="shared" si="86"/>
        <v>0</v>
      </c>
      <c r="CL279" s="122">
        <f t="shared" si="87"/>
        <v>0</v>
      </c>
      <c r="CM279" s="524" t="str">
        <f t="shared" si="89"/>
        <v/>
      </c>
      <c r="CN279" s="526">
        <f t="shared" si="90"/>
        <v>0</v>
      </c>
      <c r="CO279" s="122">
        <f t="shared" si="91"/>
        <v>0</v>
      </c>
      <c r="CP279" s="45" t="str">
        <f t="shared" si="88"/>
        <v>1 - in MILLESIMI   I</v>
      </c>
      <c r="CQ279" s="1"/>
    </row>
    <row r="280" spans="1:95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435">
        <f>IF(AND(W280&gt;=$U$1,W280&lt;=$U$2),IF(X280='ESTRATTO CONTO'!$E$2,1+COUNTIF(U$4:U279,"&gt;0"),0),0)</f>
        <v>0</v>
      </c>
      <c r="V280" s="417">
        <f t="shared" si="92"/>
        <v>277</v>
      </c>
      <c r="W280" s="509"/>
      <c r="X280" s="321"/>
      <c r="Y280" s="321"/>
      <c r="Z280" s="433"/>
      <c r="AA280" s="918">
        <f t="shared" si="83"/>
        <v>1</v>
      </c>
      <c r="AB280" s="306" t="str">
        <f t="shared" si="84"/>
        <v/>
      </c>
      <c r="AC280" s="788"/>
      <c r="AD280" s="119">
        <f t="shared" si="93"/>
        <v>0</v>
      </c>
      <c r="AE280" s="108">
        <f t="shared" si="93"/>
        <v>0</v>
      </c>
      <c r="AF280" s="108">
        <f t="shared" si="93"/>
        <v>0</v>
      </c>
      <c r="AG280" s="108"/>
      <c r="AH280" s="108"/>
      <c r="AI280" s="108"/>
      <c r="AJ280" s="108"/>
      <c r="AK280" s="108"/>
      <c r="AL280" s="108">
        <f t="shared" si="85"/>
        <v>0</v>
      </c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20">
        <f t="shared" si="86"/>
        <v>0</v>
      </c>
      <c r="CL280" s="122">
        <f t="shared" si="87"/>
        <v>0</v>
      </c>
      <c r="CM280" s="524" t="str">
        <f t="shared" si="89"/>
        <v/>
      </c>
      <c r="CN280" s="526">
        <f t="shared" si="90"/>
        <v>0</v>
      </c>
      <c r="CO280" s="122">
        <f t="shared" si="91"/>
        <v>0</v>
      </c>
      <c r="CP280" s="45" t="str">
        <f t="shared" si="88"/>
        <v>1 - in MILLESIMI   I</v>
      </c>
      <c r="CQ280" s="1"/>
    </row>
    <row r="281" spans="1:95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435">
        <f>IF(AND(W281&gt;=$U$1,W281&lt;=$U$2),IF(X281='ESTRATTO CONTO'!$E$2,1+COUNTIF(U$4:U280,"&gt;0"),0),0)</f>
        <v>0</v>
      </c>
      <c r="V281" s="417">
        <f t="shared" si="92"/>
        <v>278</v>
      </c>
      <c r="W281" s="509"/>
      <c r="X281" s="321"/>
      <c r="Y281" s="321"/>
      <c r="Z281" s="433"/>
      <c r="AA281" s="918">
        <f t="shared" si="83"/>
        <v>1</v>
      </c>
      <c r="AB281" s="306" t="str">
        <f t="shared" si="84"/>
        <v/>
      </c>
      <c r="AC281" s="788"/>
      <c r="AD281" s="119">
        <f t="shared" si="93"/>
        <v>0</v>
      </c>
      <c r="AE281" s="108">
        <f t="shared" si="93"/>
        <v>0</v>
      </c>
      <c r="AF281" s="108">
        <f t="shared" si="93"/>
        <v>0</v>
      </c>
      <c r="AG281" s="108"/>
      <c r="AH281" s="108"/>
      <c r="AI281" s="108"/>
      <c r="AJ281" s="108"/>
      <c r="AK281" s="108"/>
      <c r="AL281" s="108">
        <f t="shared" si="85"/>
        <v>0</v>
      </c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20">
        <f t="shared" si="86"/>
        <v>0</v>
      </c>
      <c r="CL281" s="122">
        <f t="shared" si="87"/>
        <v>0</v>
      </c>
      <c r="CM281" s="524" t="str">
        <f t="shared" si="89"/>
        <v/>
      </c>
      <c r="CN281" s="526">
        <f t="shared" si="90"/>
        <v>0</v>
      </c>
      <c r="CO281" s="122">
        <f t="shared" si="91"/>
        <v>0</v>
      </c>
      <c r="CP281" s="45" t="str">
        <f t="shared" si="88"/>
        <v>1 - in MILLESIMI   I</v>
      </c>
      <c r="CQ281" s="1"/>
    </row>
    <row r="282" spans="1:95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435">
        <f>IF(AND(W282&gt;=$U$1,W282&lt;=$U$2),IF(X282='ESTRATTO CONTO'!$E$2,1+COUNTIF(U$4:U281,"&gt;0"),0),0)</f>
        <v>0</v>
      </c>
      <c r="V282" s="417">
        <f t="shared" si="92"/>
        <v>279</v>
      </c>
      <c r="W282" s="509"/>
      <c r="X282" s="321"/>
      <c r="Y282" s="321"/>
      <c r="Z282" s="433"/>
      <c r="AA282" s="918">
        <f t="shared" si="83"/>
        <v>1</v>
      </c>
      <c r="AB282" s="306" t="str">
        <f t="shared" si="84"/>
        <v/>
      </c>
      <c r="AC282" s="788"/>
      <c r="AD282" s="119">
        <f t="shared" si="93"/>
        <v>0</v>
      </c>
      <c r="AE282" s="108">
        <f t="shared" si="93"/>
        <v>0</v>
      </c>
      <c r="AF282" s="108">
        <f t="shared" si="93"/>
        <v>0</v>
      </c>
      <c r="AG282" s="108"/>
      <c r="AH282" s="108"/>
      <c r="AI282" s="108"/>
      <c r="AJ282" s="108"/>
      <c r="AK282" s="108"/>
      <c r="AL282" s="108">
        <f t="shared" si="85"/>
        <v>0</v>
      </c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20">
        <f t="shared" si="86"/>
        <v>0</v>
      </c>
      <c r="CL282" s="122">
        <f t="shared" si="87"/>
        <v>0</v>
      </c>
      <c r="CM282" s="524" t="str">
        <f t="shared" si="89"/>
        <v/>
      </c>
      <c r="CN282" s="526">
        <f t="shared" si="90"/>
        <v>0</v>
      </c>
      <c r="CO282" s="122">
        <f t="shared" si="91"/>
        <v>0</v>
      </c>
      <c r="CP282" s="45" t="str">
        <f t="shared" si="88"/>
        <v>1 - in MILLESIMI   I</v>
      </c>
      <c r="CQ282" s="1"/>
    </row>
    <row r="283" spans="1:95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435">
        <f>IF(AND(W283&gt;=$U$1,W283&lt;=$U$2),IF(X283='ESTRATTO CONTO'!$E$2,1+COUNTIF(U$4:U282,"&gt;0"),0),0)</f>
        <v>0</v>
      </c>
      <c r="V283" s="417">
        <f t="shared" si="92"/>
        <v>280</v>
      </c>
      <c r="W283" s="509"/>
      <c r="X283" s="321"/>
      <c r="Y283" s="321"/>
      <c r="Z283" s="433"/>
      <c r="AA283" s="918">
        <f t="shared" si="83"/>
        <v>1</v>
      </c>
      <c r="AB283" s="306" t="str">
        <f t="shared" si="84"/>
        <v/>
      </c>
      <c r="AC283" s="788"/>
      <c r="AD283" s="119">
        <f t="shared" si="93"/>
        <v>0</v>
      </c>
      <c r="AE283" s="108">
        <f t="shared" si="93"/>
        <v>0</v>
      </c>
      <c r="AF283" s="108">
        <f t="shared" si="93"/>
        <v>0</v>
      </c>
      <c r="AG283" s="108"/>
      <c r="AH283" s="108"/>
      <c r="AI283" s="108"/>
      <c r="AJ283" s="108"/>
      <c r="AK283" s="108"/>
      <c r="AL283" s="108">
        <f t="shared" si="85"/>
        <v>0</v>
      </c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20">
        <f t="shared" si="86"/>
        <v>0</v>
      </c>
      <c r="CL283" s="122">
        <f t="shared" si="87"/>
        <v>0</v>
      </c>
      <c r="CM283" s="524" t="str">
        <f t="shared" si="89"/>
        <v/>
      </c>
      <c r="CN283" s="526">
        <f t="shared" si="90"/>
        <v>0</v>
      </c>
      <c r="CO283" s="122">
        <f t="shared" si="91"/>
        <v>0</v>
      </c>
      <c r="CP283" s="45" t="str">
        <f t="shared" si="88"/>
        <v>1 - in MILLESIMI   I</v>
      </c>
      <c r="CQ283" s="1"/>
    </row>
    <row r="284" spans="1:95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435">
        <f>IF(AND(W284&gt;=$U$1,W284&lt;=$U$2),IF(X284='ESTRATTO CONTO'!$E$2,1+COUNTIF(U$4:U283,"&gt;0"),0),0)</f>
        <v>0</v>
      </c>
      <c r="V284" s="417">
        <f t="shared" si="92"/>
        <v>281</v>
      </c>
      <c r="W284" s="509"/>
      <c r="X284" s="321"/>
      <c r="Y284" s="321"/>
      <c r="Z284" s="433"/>
      <c r="AA284" s="918">
        <f t="shared" si="83"/>
        <v>1</v>
      </c>
      <c r="AB284" s="306" t="str">
        <f t="shared" si="84"/>
        <v/>
      </c>
      <c r="AC284" s="788"/>
      <c r="AD284" s="119">
        <f t="shared" ref="AD284:AF303" si="94">IF($AB284=0,0,ROUND($Z284*VLOOKUP(AD$2,$F$1010:$Q$1014,VLOOKUP($CP284,$C$1076:$E$1081,3,FALSE),FALSE),2))</f>
        <v>0</v>
      </c>
      <c r="AE284" s="108">
        <f t="shared" si="94"/>
        <v>0</v>
      </c>
      <c r="AF284" s="108">
        <f t="shared" si="94"/>
        <v>0</v>
      </c>
      <c r="AG284" s="108"/>
      <c r="AH284" s="108"/>
      <c r="AI284" s="108"/>
      <c r="AJ284" s="108"/>
      <c r="AK284" s="108"/>
      <c r="AL284" s="108">
        <f t="shared" si="85"/>
        <v>0</v>
      </c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20">
        <f t="shared" si="86"/>
        <v>0</v>
      </c>
      <c r="CL284" s="122">
        <f t="shared" si="87"/>
        <v>0</v>
      </c>
      <c r="CM284" s="524" t="str">
        <f t="shared" si="89"/>
        <v/>
      </c>
      <c r="CN284" s="526">
        <f t="shared" si="90"/>
        <v>0</v>
      </c>
      <c r="CO284" s="122">
        <f t="shared" si="91"/>
        <v>0</v>
      </c>
      <c r="CP284" s="45" t="str">
        <f t="shared" si="88"/>
        <v>1 - in MILLESIMI   I</v>
      </c>
      <c r="CQ284" s="1"/>
    </row>
    <row r="285" spans="1:95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435">
        <f>IF(AND(W285&gt;=$U$1,W285&lt;=$U$2),IF(X285='ESTRATTO CONTO'!$E$2,1+COUNTIF(U$4:U284,"&gt;0"),0),0)</f>
        <v>0</v>
      </c>
      <c r="V285" s="417">
        <f t="shared" si="92"/>
        <v>282</v>
      </c>
      <c r="W285" s="509"/>
      <c r="X285" s="321"/>
      <c r="Y285" s="321"/>
      <c r="Z285" s="433"/>
      <c r="AA285" s="918">
        <f t="shared" si="83"/>
        <v>1</v>
      </c>
      <c r="AB285" s="306" t="str">
        <f t="shared" si="84"/>
        <v/>
      </c>
      <c r="AC285" s="788"/>
      <c r="AD285" s="119">
        <f t="shared" si="94"/>
        <v>0</v>
      </c>
      <c r="AE285" s="108">
        <f t="shared" si="94"/>
        <v>0</v>
      </c>
      <c r="AF285" s="108">
        <f t="shared" si="94"/>
        <v>0</v>
      </c>
      <c r="AG285" s="108"/>
      <c r="AH285" s="108"/>
      <c r="AI285" s="108"/>
      <c r="AJ285" s="108"/>
      <c r="AK285" s="108"/>
      <c r="AL285" s="108">
        <f t="shared" si="85"/>
        <v>0</v>
      </c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20">
        <f t="shared" si="86"/>
        <v>0</v>
      </c>
      <c r="CL285" s="122">
        <f t="shared" si="87"/>
        <v>0</v>
      </c>
      <c r="CM285" s="524" t="str">
        <f t="shared" si="89"/>
        <v/>
      </c>
      <c r="CN285" s="526">
        <f t="shared" si="90"/>
        <v>0</v>
      </c>
      <c r="CO285" s="122">
        <f t="shared" si="91"/>
        <v>0</v>
      </c>
      <c r="CP285" s="45" t="str">
        <f t="shared" si="88"/>
        <v>1 - in MILLESIMI   I</v>
      </c>
      <c r="CQ285" s="1"/>
    </row>
    <row r="286" spans="1:95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435">
        <f>IF(AND(W286&gt;=$U$1,W286&lt;=$U$2),IF(X286='ESTRATTO CONTO'!$E$2,1+COUNTIF(U$4:U285,"&gt;0"),0),0)</f>
        <v>0</v>
      </c>
      <c r="V286" s="417">
        <f t="shared" si="92"/>
        <v>283</v>
      </c>
      <c r="W286" s="509"/>
      <c r="X286" s="321"/>
      <c r="Y286" s="321"/>
      <c r="Z286" s="433"/>
      <c r="AA286" s="918">
        <f t="shared" si="83"/>
        <v>1</v>
      </c>
      <c r="AB286" s="306" t="str">
        <f t="shared" si="84"/>
        <v/>
      </c>
      <c r="AC286" s="788"/>
      <c r="AD286" s="119">
        <f t="shared" si="94"/>
        <v>0</v>
      </c>
      <c r="AE286" s="108">
        <f t="shared" si="94"/>
        <v>0</v>
      </c>
      <c r="AF286" s="108">
        <f t="shared" si="94"/>
        <v>0</v>
      </c>
      <c r="AG286" s="108"/>
      <c r="AH286" s="108"/>
      <c r="AI286" s="108"/>
      <c r="AJ286" s="108"/>
      <c r="AK286" s="108"/>
      <c r="AL286" s="108">
        <f t="shared" si="85"/>
        <v>0</v>
      </c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20">
        <f t="shared" si="86"/>
        <v>0</v>
      </c>
      <c r="CL286" s="122">
        <f t="shared" si="87"/>
        <v>0</v>
      </c>
      <c r="CM286" s="524" t="str">
        <f t="shared" si="89"/>
        <v/>
      </c>
      <c r="CN286" s="526">
        <f t="shared" si="90"/>
        <v>0</v>
      </c>
      <c r="CO286" s="122">
        <f t="shared" si="91"/>
        <v>0</v>
      </c>
      <c r="CP286" s="45" t="str">
        <f t="shared" si="88"/>
        <v>1 - in MILLESIMI   I</v>
      </c>
      <c r="CQ286" s="1"/>
    </row>
    <row r="287" spans="1:95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435">
        <f>IF(AND(W287&gt;=$U$1,W287&lt;=$U$2),IF(X287='ESTRATTO CONTO'!$E$2,1+COUNTIF(U$4:U286,"&gt;0"),0),0)</f>
        <v>0</v>
      </c>
      <c r="V287" s="417">
        <f t="shared" si="92"/>
        <v>284</v>
      </c>
      <c r="W287" s="509"/>
      <c r="X287" s="321"/>
      <c r="Y287" s="321"/>
      <c r="Z287" s="433"/>
      <c r="AA287" s="918">
        <f t="shared" si="83"/>
        <v>1</v>
      </c>
      <c r="AB287" s="306" t="str">
        <f t="shared" si="84"/>
        <v/>
      </c>
      <c r="AC287" s="788"/>
      <c r="AD287" s="119">
        <f t="shared" si="94"/>
        <v>0</v>
      </c>
      <c r="AE287" s="108">
        <f t="shared" si="94"/>
        <v>0</v>
      </c>
      <c r="AF287" s="108">
        <f t="shared" si="94"/>
        <v>0</v>
      </c>
      <c r="AG287" s="108"/>
      <c r="AH287" s="108"/>
      <c r="AI287" s="108"/>
      <c r="AJ287" s="108"/>
      <c r="AK287" s="108"/>
      <c r="AL287" s="108">
        <f t="shared" si="85"/>
        <v>0</v>
      </c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20">
        <f t="shared" si="86"/>
        <v>0</v>
      </c>
      <c r="CL287" s="122">
        <f t="shared" si="87"/>
        <v>0</v>
      </c>
      <c r="CM287" s="524" t="str">
        <f t="shared" si="89"/>
        <v/>
      </c>
      <c r="CN287" s="526">
        <f t="shared" si="90"/>
        <v>0</v>
      </c>
      <c r="CO287" s="122">
        <f t="shared" si="91"/>
        <v>0</v>
      </c>
      <c r="CP287" s="45" t="str">
        <f t="shared" si="88"/>
        <v>1 - in MILLESIMI   I</v>
      </c>
      <c r="CQ287" s="1"/>
    </row>
    <row r="288" spans="1:95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435">
        <f>IF(AND(W288&gt;=$U$1,W288&lt;=$U$2),IF(X288='ESTRATTO CONTO'!$E$2,1+COUNTIF(U$4:U287,"&gt;0"),0),0)</f>
        <v>0</v>
      </c>
      <c r="V288" s="417">
        <f t="shared" si="92"/>
        <v>285</v>
      </c>
      <c r="W288" s="509"/>
      <c r="X288" s="321"/>
      <c r="Y288" s="321"/>
      <c r="Z288" s="433"/>
      <c r="AA288" s="918">
        <f t="shared" si="83"/>
        <v>1</v>
      </c>
      <c r="AB288" s="306" t="str">
        <f t="shared" si="84"/>
        <v/>
      </c>
      <c r="AC288" s="788"/>
      <c r="AD288" s="119">
        <f t="shared" si="94"/>
        <v>0</v>
      </c>
      <c r="AE288" s="108">
        <f t="shared" si="94"/>
        <v>0</v>
      </c>
      <c r="AF288" s="108">
        <f t="shared" si="94"/>
        <v>0</v>
      </c>
      <c r="AG288" s="108"/>
      <c r="AH288" s="108"/>
      <c r="AI288" s="108"/>
      <c r="AJ288" s="108"/>
      <c r="AK288" s="108"/>
      <c r="AL288" s="108">
        <f t="shared" si="85"/>
        <v>0</v>
      </c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20">
        <f t="shared" si="86"/>
        <v>0</v>
      </c>
      <c r="CL288" s="122">
        <f t="shared" si="87"/>
        <v>0</v>
      </c>
      <c r="CM288" s="524" t="str">
        <f t="shared" si="89"/>
        <v/>
      </c>
      <c r="CN288" s="526">
        <f t="shared" si="90"/>
        <v>0</v>
      </c>
      <c r="CO288" s="122">
        <f t="shared" si="91"/>
        <v>0</v>
      </c>
      <c r="CP288" s="45" t="str">
        <f t="shared" si="88"/>
        <v>1 - in MILLESIMI   I</v>
      </c>
      <c r="CQ288" s="1"/>
    </row>
    <row r="289" spans="1:95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435">
        <f>IF(AND(W289&gt;=$U$1,W289&lt;=$U$2),IF(X289='ESTRATTO CONTO'!$E$2,1+COUNTIF(U$4:U288,"&gt;0"),0),0)</f>
        <v>0</v>
      </c>
      <c r="V289" s="417">
        <f t="shared" si="92"/>
        <v>286</v>
      </c>
      <c r="W289" s="509"/>
      <c r="X289" s="321"/>
      <c r="Y289" s="321"/>
      <c r="Z289" s="433"/>
      <c r="AA289" s="918">
        <f t="shared" si="83"/>
        <v>1</v>
      </c>
      <c r="AB289" s="306" t="str">
        <f t="shared" si="84"/>
        <v/>
      </c>
      <c r="AC289" s="788"/>
      <c r="AD289" s="119">
        <f t="shared" si="94"/>
        <v>0</v>
      </c>
      <c r="AE289" s="108">
        <f t="shared" si="94"/>
        <v>0</v>
      </c>
      <c r="AF289" s="108">
        <f t="shared" si="94"/>
        <v>0</v>
      </c>
      <c r="AG289" s="108"/>
      <c r="AH289" s="108"/>
      <c r="AI289" s="108"/>
      <c r="AJ289" s="108"/>
      <c r="AK289" s="108"/>
      <c r="AL289" s="108">
        <f t="shared" si="85"/>
        <v>0</v>
      </c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20">
        <f t="shared" si="86"/>
        <v>0</v>
      </c>
      <c r="CL289" s="122">
        <f t="shared" si="87"/>
        <v>0</v>
      </c>
      <c r="CM289" s="524" t="str">
        <f t="shared" si="89"/>
        <v/>
      </c>
      <c r="CN289" s="526">
        <f t="shared" si="90"/>
        <v>0</v>
      </c>
      <c r="CO289" s="122">
        <f t="shared" si="91"/>
        <v>0</v>
      </c>
      <c r="CP289" s="45" t="str">
        <f t="shared" si="88"/>
        <v>1 - in MILLESIMI   I</v>
      </c>
      <c r="CQ289" s="1"/>
    </row>
    <row r="290" spans="1:95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435">
        <f>IF(AND(W290&gt;=$U$1,W290&lt;=$U$2),IF(X290='ESTRATTO CONTO'!$E$2,1+COUNTIF(U$4:U289,"&gt;0"),0),0)</f>
        <v>0</v>
      </c>
      <c r="V290" s="417">
        <f t="shared" si="92"/>
        <v>287</v>
      </c>
      <c r="W290" s="509"/>
      <c r="X290" s="321"/>
      <c r="Y290" s="321"/>
      <c r="Z290" s="433"/>
      <c r="AA290" s="918">
        <f t="shared" si="83"/>
        <v>1</v>
      </c>
      <c r="AB290" s="306" t="str">
        <f t="shared" si="84"/>
        <v/>
      </c>
      <c r="AC290" s="788"/>
      <c r="AD290" s="119">
        <f t="shared" si="94"/>
        <v>0</v>
      </c>
      <c r="AE290" s="108">
        <f t="shared" si="94"/>
        <v>0</v>
      </c>
      <c r="AF290" s="108">
        <f t="shared" si="94"/>
        <v>0</v>
      </c>
      <c r="AG290" s="108"/>
      <c r="AH290" s="108"/>
      <c r="AI290" s="108"/>
      <c r="AJ290" s="108"/>
      <c r="AK290" s="108"/>
      <c r="AL290" s="108">
        <f t="shared" si="85"/>
        <v>0</v>
      </c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20">
        <f t="shared" si="86"/>
        <v>0</v>
      </c>
      <c r="CL290" s="122">
        <f t="shared" si="87"/>
        <v>0</v>
      </c>
      <c r="CM290" s="524" t="str">
        <f t="shared" si="89"/>
        <v/>
      </c>
      <c r="CN290" s="526">
        <f t="shared" si="90"/>
        <v>0</v>
      </c>
      <c r="CO290" s="122">
        <f t="shared" si="91"/>
        <v>0</v>
      </c>
      <c r="CP290" s="45" t="str">
        <f t="shared" si="88"/>
        <v>1 - in MILLESIMI   I</v>
      </c>
      <c r="CQ290" s="1"/>
    </row>
    <row r="291" spans="1:95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435">
        <f>IF(AND(W291&gt;=$U$1,W291&lt;=$U$2),IF(X291='ESTRATTO CONTO'!$E$2,1+COUNTIF(U$4:U290,"&gt;0"),0),0)</f>
        <v>0</v>
      </c>
      <c r="V291" s="417">
        <f t="shared" si="92"/>
        <v>288</v>
      </c>
      <c r="W291" s="509"/>
      <c r="X291" s="321"/>
      <c r="Y291" s="321"/>
      <c r="Z291" s="433"/>
      <c r="AA291" s="918">
        <f t="shared" si="83"/>
        <v>1</v>
      </c>
      <c r="AB291" s="306" t="str">
        <f t="shared" si="84"/>
        <v/>
      </c>
      <c r="AC291" s="788"/>
      <c r="AD291" s="119">
        <f t="shared" si="94"/>
        <v>0</v>
      </c>
      <c r="AE291" s="108">
        <f t="shared" si="94"/>
        <v>0</v>
      </c>
      <c r="AF291" s="108">
        <f t="shared" si="94"/>
        <v>0</v>
      </c>
      <c r="AG291" s="108"/>
      <c r="AH291" s="108"/>
      <c r="AI291" s="108"/>
      <c r="AJ291" s="108"/>
      <c r="AK291" s="108"/>
      <c r="AL291" s="108">
        <f t="shared" si="85"/>
        <v>0</v>
      </c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20">
        <f t="shared" si="86"/>
        <v>0</v>
      </c>
      <c r="CL291" s="122">
        <f t="shared" si="87"/>
        <v>0</v>
      </c>
      <c r="CM291" s="524" t="str">
        <f t="shared" si="89"/>
        <v/>
      </c>
      <c r="CN291" s="526">
        <f t="shared" si="90"/>
        <v>0</v>
      </c>
      <c r="CO291" s="122">
        <f t="shared" si="91"/>
        <v>0</v>
      </c>
      <c r="CP291" s="45" t="str">
        <f t="shared" si="88"/>
        <v>1 - in MILLESIMI   I</v>
      </c>
      <c r="CQ291" s="1"/>
    </row>
    <row r="292" spans="1:95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435">
        <f>IF(AND(W292&gt;=$U$1,W292&lt;=$U$2),IF(X292='ESTRATTO CONTO'!$E$2,1+COUNTIF(U$4:U291,"&gt;0"),0),0)</f>
        <v>0</v>
      </c>
      <c r="V292" s="417">
        <f t="shared" si="92"/>
        <v>289</v>
      </c>
      <c r="W292" s="509"/>
      <c r="X292" s="321"/>
      <c r="Y292" s="321"/>
      <c r="Z292" s="433"/>
      <c r="AA292" s="918">
        <f t="shared" si="83"/>
        <v>1</v>
      </c>
      <c r="AB292" s="306" t="str">
        <f t="shared" si="84"/>
        <v/>
      </c>
      <c r="AC292" s="788"/>
      <c r="AD292" s="119">
        <f t="shared" si="94"/>
        <v>0</v>
      </c>
      <c r="AE292" s="108">
        <f t="shared" si="94"/>
        <v>0</v>
      </c>
      <c r="AF292" s="108">
        <f t="shared" si="94"/>
        <v>0</v>
      </c>
      <c r="AG292" s="108"/>
      <c r="AH292" s="108"/>
      <c r="AI292" s="108"/>
      <c r="AJ292" s="108"/>
      <c r="AK292" s="108"/>
      <c r="AL292" s="108">
        <f t="shared" si="85"/>
        <v>0</v>
      </c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20">
        <f t="shared" si="86"/>
        <v>0</v>
      </c>
      <c r="CL292" s="122">
        <f t="shared" si="87"/>
        <v>0</v>
      </c>
      <c r="CM292" s="524" t="str">
        <f t="shared" si="89"/>
        <v/>
      </c>
      <c r="CN292" s="526">
        <f t="shared" si="90"/>
        <v>0</v>
      </c>
      <c r="CO292" s="122">
        <f t="shared" si="91"/>
        <v>0</v>
      </c>
      <c r="CP292" s="45" t="str">
        <f t="shared" si="88"/>
        <v>1 - in MILLESIMI   I</v>
      </c>
      <c r="CQ292" s="1"/>
    </row>
    <row r="293" spans="1:95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435">
        <f>IF(AND(W293&gt;=$U$1,W293&lt;=$U$2),IF(X293='ESTRATTO CONTO'!$E$2,1+COUNTIF(U$4:U292,"&gt;0"),0),0)</f>
        <v>0</v>
      </c>
      <c r="V293" s="417">
        <f t="shared" si="92"/>
        <v>290</v>
      </c>
      <c r="W293" s="509"/>
      <c r="X293" s="321"/>
      <c r="Y293" s="321"/>
      <c r="Z293" s="433"/>
      <c r="AA293" s="918">
        <f t="shared" si="83"/>
        <v>1</v>
      </c>
      <c r="AB293" s="306" t="str">
        <f t="shared" si="84"/>
        <v/>
      </c>
      <c r="AC293" s="788"/>
      <c r="AD293" s="119">
        <f t="shared" si="94"/>
        <v>0</v>
      </c>
      <c r="AE293" s="108">
        <f t="shared" si="94"/>
        <v>0</v>
      </c>
      <c r="AF293" s="108">
        <f t="shared" si="94"/>
        <v>0</v>
      </c>
      <c r="AG293" s="108"/>
      <c r="AH293" s="108"/>
      <c r="AI293" s="108"/>
      <c r="AJ293" s="108"/>
      <c r="AK293" s="108"/>
      <c r="AL293" s="108">
        <f t="shared" si="85"/>
        <v>0</v>
      </c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20">
        <f t="shared" si="86"/>
        <v>0</v>
      </c>
      <c r="CL293" s="122">
        <f t="shared" si="87"/>
        <v>0</v>
      </c>
      <c r="CM293" s="524" t="str">
        <f t="shared" si="89"/>
        <v/>
      </c>
      <c r="CN293" s="526">
        <f t="shared" si="90"/>
        <v>0</v>
      </c>
      <c r="CO293" s="122">
        <f t="shared" si="91"/>
        <v>0</v>
      </c>
      <c r="CP293" s="45" t="str">
        <f t="shared" si="88"/>
        <v>1 - in MILLESIMI   I</v>
      </c>
      <c r="CQ293" s="1"/>
    </row>
    <row r="294" spans="1:95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435">
        <f>IF(AND(W294&gt;=$U$1,W294&lt;=$U$2),IF(X294='ESTRATTO CONTO'!$E$2,1+COUNTIF(U$4:U293,"&gt;0"),0),0)</f>
        <v>0</v>
      </c>
      <c r="V294" s="417">
        <f t="shared" si="92"/>
        <v>291</v>
      </c>
      <c r="W294" s="509"/>
      <c r="X294" s="321"/>
      <c r="Y294" s="321"/>
      <c r="Z294" s="433"/>
      <c r="AA294" s="918">
        <f t="shared" si="83"/>
        <v>1</v>
      </c>
      <c r="AB294" s="306" t="str">
        <f t="shared" si="84"/>
        <v/>
      </c>
      <c r="AC294" s="788"/>
      <c r="AD294" s="119">
        <f t="shared" si="94"/>
        <v>0</v>
      </c>
      <c r="AE294" s="108">
        <f t="shared" si="94"/>
        <v>0</v>
      </c>
      <c r="AF294" s="108">
        <f t="shared" si="94"/>
        <v>0</v>
      </c>
      <c r="AG294" s="108"/>
      <c r="AH294" s="108"/>
      <c r="AI294" s="108"/>
      <c r="AJ294" s="108"/>
      <c r="AK294" s="108"/>
      <c r="AL294" s="108">
        <f t="shared" si="85"/>
        <v>0</v>
      </c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20">
        <f t="shared" si="86"/>
        <v>0</v>
      </c>
      <c r="CL294" s="122">
        <f t="shared" si="87"/>
        <v>0</v>
      </c>
      <c r="CM294" s="524" t="str">
        <f t="shared" si="89"/>
        <v/>
      </c>
      <c r="CN294" s="526">
        <f t="shared" si="90"/>
        <v>0</v>
      </c>
      <c r="CO294" s="122">
        <f t="shared" si="91"/>
        <v>0</v>
      </c>
      <c r="CP294" s="45" t="str">
        <f t="shared" si="88"/>
        <v>1 - in MILLESIMI   I</v>
      </c>
      <c r="CQ294" s="1"/>
    </row>
    <row r="295" spans="1:95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435">
        <f>IF(AND(W295&gt;=$U$1,W295&lt;=$U$2),IF(X295='ESTRATTO CONTO'!$E$2,1+COUNTIF(U$4:U294,"&gt;0"),0),0)</f>
        <v>0</v>
      </c>
      <c r="V295" s="417">
        <f t="shared" si="92"/>
        <v>292</v>
      </c>
      <c r="W295" s="509"/>
      <c r="X295" s="321"/>
      <c r="Y295" s="321"/>
      <c r="Z295" s="433"/>
      <c r="AA295" s="918">
        <f t="shared" si="83"/>
        <v>1</v>
      </c>
      <c r="AB295" s="306" t="str">
        <f t="shared" si="84"/>
        <v/>
      </c>
      <c r="AC295" s="788"/>
      <c r="AD295" s="119">
        <f t="shared" si="94"/>
        <v>0</v>
      </c>
      <c r="AE295" s="108">
        <f t="shared" si="94"/>
        <v>0</v>
      </c>
      <c r="AF295" s="108">
        <f t="shared" si="94"/>
        <v>0</v>
      </c>
      <c r="AG295" s="108"/>
      <c r="AH295" s="108"/>
      <c r="AI295" s="108"/>
      <c r="AJ295" s="108"/>
      <c r="AK295" s="108"/>
      <c r="AL295" s="108">
        <f t="shared" si="85"/>
        <v>0</v>
      </c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20">
        <f t="shared" si="86"/>
        <v>0</v>
      </c>
      <c r="CL295" s="122">
        <f t="shared" si="87"/>
        <v>0</v>
      </c>
      <c r="CM295" s="524" t="str">
        <f t="shared" si="89"/>
        <v/>
      </c>
      <c r="CN295" s="526">
        <f t="shared" si="90"/>
        <v>0</v>
      </c>
      <c r="CO295" s="122">
        <f t="shared" si="91"/>
        <v>0</v>
      </c>
      <c r="CP295" s="45" t="str">
        <f t="shared" si="88"/>
        <v>1 - in MILLESIMI   I</v>
      </c>
      <c r="CQ295" s="1"/>
    </row>
    <row r="296" spans="1:95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435">
        <f>IF(AND(W296&gt;=$U$1,W296&lt;=$U$2),IF(X296='ESTRATTO CONTO'!$E$2,1+COUNTIF(U$4:U295,"&gt;0"),0),0)</f>
        <v>0</v>
      </c>
      <c r="V296" s="417">
        <f t="shared" si="92"/>
        <v>293</v>
      </c>
      <c r="W296" s="509"/>
      <c r="X296" s="321"/>
      <c r="Y296" s="321"/>
      <c r="Z296" s="433"/>
      <c r="AA296" s="918">
        <f t="shared" si="83"/>
        <v>1</v>
      </c>
      <c r="AB296" s="306" t="str">
        <f t="shared" si="84"/>
        <v/>
      </c>
      <c r="AC296" s="788"/>
      <c r="AD296" s="119">
        <f t="shared" si="94"/>
        <v>0</v>
      </c>
      <c r="AE296" s="108">
        <f t="shared" si="94"/>
        <v>0</v>
      </c>
      <c r="AF296" s="108">
        <f t="shared" si="94"/>
        <v>0</v>
      </c>
      <c r="AG296" s="108"/>
      <c r="AH296" s="108"/>
      <c r="AI296" s="108"/>
      <c r="AJ296" s="108"/>
      <c r="AK296" s="108"/>
      <c r="AL296" s="108">
        <f t="shared" si="85"/>
        <v>0</v>
      </c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20">
        <f t="shared" si="86"/>
        <v>0</v>
      </c>
      <c r="CL296" s="122">
        <f t="shared" si="87"/>
        <v>0</v>
      </c>
      <c r="CM296" s="524" t="str">
        <f t="shared" si="89"/>
        <v/>
      </c>
      <c r="CN296" s="526">
        <f t="shared" si="90"/>
        <v>0</v>
      </c>
      <c r="CO296" s="122">
        <f t="shared" si="91"/>
        <v>0</v>
      </c>
      <c r="CP296" s="45" t="str">
        <f t="shared" si="88"/>
        <v>1 - in MILLESIMI   I</v>
      </c>
      <c r="CQ296" s="1"/>
    </row>
    <row r="297" spans="1:95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435">
        <f>IF(AND(W297&gt;=$U$1,W297&lt;=$U$2),IF(X297='ESTRATTO CONTO'!$E$2,1+COUNTIF(U$4:U296,"&gt;0"),0),0)</f>
        <v>0</v>
      </c>
      <c r="V297" s="417">
        <f t="shared" si="92"/>
        <v>294</v>
      </c>
      <c r="W297" s="509"/>
      <c r="X297" s="321"/>
      <c r="Y297" s="321"/>
      <c r="Z297" s="433"/>
      <c r="AA297" s="918">
        <f t="shared" si="83"/>
        <v>1</v>
      </c>
      <c r="AB297" s="306" t="str">
        <f t="shared" si="84"/>
        <v/>
      </c>
      <c r="AC297" s="788"/>
      <c r="AD297" s="119">
        <f t="shared" si="94"/>
        <v>0</v>
      </c>
      <c r="AE297" s="108">
        <f t="shared" si="94"/>
        <v>0</v>
      </c>
      <c r="AF297" s="108">
        <f t="shared" si="94"/>
        <v>0</v>
      </c>
      <c r="AG297" s="108"/>
      <c r="AH297" s="108"/>
      <c r="AI297" s="108"/>
      <c r="AJ297" s="108"/>
      <c r="AK297" s="108"/>
      <c r="AL297" s="108">
        <f t="shared" si="85"/>
        <v>0</v>
      </c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20">
        <f t="shared" si="86"/>
        <v>0</v>
      </c>
      <c r="CL297" s="122">
        <f t="shared" si="87"/>
        <v>0</v>
      </c>
      <c r="CM297" s="524" t="str">
        <f t="shared" si="89"/>
        <v/>
      </c>
      <c r="CN297" s="526">
        <f t="shared" si="90"/>
        <v>0</v>
      </c>
      <c r="CO297" s="122">
        <f t="shared" si="91"/>
        <v>0</v>
      </c>
      <c r="CP297" s="45" t="str">
        <f t="shared" si="88"/>
        <v>1 - in MILLESIMI   I</v>
      </c>
      <c r="CQ297" s="1"/>
    </row>
    <row r="298" spans="1:95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435">
        <f>IF(AND(W298&gt;=$U$1,W298&lt;=$U$2),IF(X298='ESTRATTO CONTO'!$E$2,1+COUNTIF(U$4:U297,"&gt;0"),0),0)</f>
        <v>0</v>
      </c>
      <c r="V298" s="417">
        <f t="shared" si="92"/>
        <v>295</v>
      </c>
      <c r="W298" s="509"/>
      <c r="X298" s="321"/>
      <c r="Y298" s="321"/>
      <c r="Z298" s="433"/>
      <c r="AA298" s="918">
        <f t="shared" si="83"/>
        <v>1</v>
      </c>
      <c r="AB298" s="306" t="str">
        <f t="shared" si="84"/>
        <v/>
      </c>
      <c r="AC298" s="788"/>
      <c r="AD298" s="119">
        <f t="shared" si="94"/>
        <v>0</v>
      </c>
      <c r="AE298" s="108">
        <f t="shared" si="94"/>
        <v>0</v>
      </c>
      <c r="AF298" s="108">
        <f t="shared" si="94"/>
        <v>0</v>
      </c>
      <c r="AG298" s="108"/>
      <c r="AH298" s="108"/>
      <c r="AI298" s="108"/>
      <c r="AJ298" s="108"/>
      <c r="AK298" s="108"/>
      <c r="AL298" s="108">
        <f t="shared" si="85"/>
        <v>0</v>
      </c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20">
        <f t="shared" si="86"/>
        <v>0</v>
      </c>
      <c r="CL298" s="122">
        <f t="shared" si="87"/>
        <v>0</v>
      </c>
      <c r="CM298" s="524" t="str">
        <f t="shared" si="89"/>
        <v/>
      </c>
      <c r="CN298" s="526">
        <f t="shared" si="90"/>
        <v>0</v>
      </c>
      <c r="CO298" s="122">
        <f t="shared" si="91"/>
        <v>0</v>
      </c>
      <c r="CP298" s="45" t="str">
        <f t="shared" si="88"/>
        <v>1 - in MILLESIMI   I</v>
      </c>
      <c r="CQ298" s="1"/>
    </row>
    <row r="299" spans="1:95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435">
        <f>IF(AND(W299&gt;=$U$1,W299&lt;=$U$2),IF(X299='ESTRATTO CONTO'!$E$2,1+COUNTIF(U$4:U298,"&gt;0"),0),0)</f>
        <v>0</v>
      </c>
      <c r="V299" s="417">
        <f t="shared" si="92"/>
        <v>296</v>
      </c>
      <c r="W299" s="509"/>
      <c r="X299" s="321"/>
      <c r="Y299" s="321"/>
      <c r="Z299" s="433"/>
      <c r="AA299" s="918">
        <f t="shared" si="83"/>
        <v>1</v>
      </c>
      <c r="AB299" s="306" t="str">
        <f t="shared" si="84"/>
        <v/>
      </c>
      <c r="AC299" s="788"/>
      <c r="AD299" s="119">
        <f t="shared" si="94"/>
        <v>0</v>
      </c>
      <c r="AE299" s="108">
        <f t="shared" si="94"/>
        <v>0</v>
      </c>
      <c r="AF299" s="108">
        <f t="shared" si="94"/>
        <v>0</v>
      </c>
      <c r="AG299" s="108"/>
      <c r="AH299" s="108"/>
      <c r="AI299" s="108"/>
      <c r="AJ299" s="108"/>
      <c r="AK299" s="108"/>
      <c r="AL299" s="108">
        <f t="shared" si="85"/>
        <v>0</v>
      </c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20">
        <f t="shared" si="86"/>
        <v>0</v>
      </c>
      <c r="CL299" s="122">
        <f t="shared" si="87"/>
        <v>0</v>
      </c>
      <c r="CM299" s="524" t="str">
        <f t="shared" si="89"/>
        <v/>
      </c>
      <c r="CN299" s="526">
        <f t="shared" si="90"/>
        <v>0</v>
      </c>
      <c r="CO299" s="122">
        <f t="shared" si="91"/>
        <v>0</v>
      </c>
      <c r="CP299" s="45" t="str">
        <f t="shared" si="88"/>
        <v>1 - in MILLESIMI   I</v>
      </c>
      <c r="CQ299" s="1"/>
    </row>
    <row r="300" spans="1:95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435">
        <f>IF(AND(W300&gt;=$U$1,W300&lt;=$U$2),IF(X300='ESTRATTO CONTO'!$E$2,1+COUNTIF(U$4:U299,"&gt;0"),0),0)</f>
        <v>0</v>
      </c>
      <c r="V300" s="417">
        <f t="shared" si="92"/>
        <v>297</v>
      </c>
      <c r="W300" s="509"/>
      <c r="X300" s="321"/>
      <c r="Y300" s="321"/>
      <c r="Z300" s="433"/>
      <c r="AA300" s="918">
        <f t="shared" si="83"/>
        <v>1</v>
      </c>
      <c r="AB300" s="306" t="str">
        <f t="shared" si="84"/>
        <v/>
      </c>
      <c r="AC300" s="788"/>
      <c r="AD300" s="119">
        <f t="shared" si="94"/>
        <v>0</v>
      </c>
      <c r="AE300" s="108">
        <f t="shared" si="94"/>
        <v>0</v>
      </c>
      <c r="AF300" s="108">
        <f t="shared" si="94"/>
        <v>0</v>
      </c>
      <c r="AG300" s="108"/>
      <c r="AH300" s="108"/>
      <c r="AI300" s="108"/>
      <c r="AJ300" s="108"/>
      <c r="AK300" s="108"/>
      <c r="AL300" s="108">
        <f t="shared" si="85"/>
        <v>0</v>
      </c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20">
        <f t="shared" si="86"/>
        <v>0</v>
      </c>
      <c r="CL300" s="122">
        <f t="shared" si="87"/>
        <v>0</v>
      </c>
      <c r="CM300" s="524" t="str">
        <f t="shared" si="89"/>
        <v/>
      </c>
      <c r="CN300" s="526">
        <f t="shared" si="90"/>
        <v>0</v>
      </c>
      <c r="CO300" s="122">
        <f t="shared" si="91"/>
        <v>0</v>
      </c>
      <c r="CP300" s="45" t="str">
        <f t="shared" si="88"/>
        <v>1 - in MILLESIMI   I</v>
      </c>
      <c r="CQ300" s="1"/>
    </row>
    <row r="301" spans="1:95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435">
        <f>IF(AND(W301&gt;=$U$1,W301&lt;=$U$2),IF(X301='ESTRATTO CONTO'!$E$2,1+COUNTIF(U$4:U300,"&gt;0"),0),0)</f>
        <v>0</v>
      </c>
      <c r="V301" s="417">
        <f t="shared" si="92"/>
        <v>298</v>
      </c>
      <c r="W301" s="509"/>
      <c r="X301" s="321"/>
      <c r="Y301" s="321"/>
      <c r="Z301" s="433"/>
      <c r="AA301" s="918">
        <f t="shared" si="83"/>
        <v>1</v>
      </c>
      <c r="AB301" s="306" t="str">
        <f t="shared" si="84"/>
        <v/>
      </c>
      <c r="AC301" s="788"/>
      <c r="AD301" s="119">
        <f t="shared" si="94"/>
        <v>0</v>
      </c>
      <c r="AE301" s="108">
        <f t="shared" si="94"/>
        <v>0</v>
      </c>
      <c r="AF301" s="108">
        <f t="shared" si="94"/>
        <v>0</v>
      </c>
      <c r="AG301" s="108"/>
      <c r="AH301" s="108"/>
      <c r="AI301" s="108"/>
      <c r="AJ301" s="108"/>
      <c r="AK301" s="108"/>
      <c r="AL301" s="108">
        <f t="shared" si="85"/>
        <v>0</v>
      </c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20">
        <f t="shared" si="86"/>
        <v>0</v>
      </c>
      <c r="CL301" s="122">
        <f t="shared" si="87"/>
        <v>0</v>
      </c>
      <c r="CM301" s="524" t="str">
        <f t="shared" si="89"/>
        <v/>
      </c>
      <c r="CN301" s="526">
        <f t="shared" si="90"/>
        <v>0</v>
      </c>
      <c r="CO301" s="122">
        <f t="shared" si="91"/>
        <v>0</v>
      </c>
      <c r="CP301" s="45" t="str">
        <f t="shared" si="88"/>
        <v>1 - in MILLESIMI   I</v>
      </c>
      <c r="CQ301" s="1"/>
    </row>
    <row r="302" spans="1:95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435">
        <f>IF(AND(W302&gt;=$U$1,W302&lt;=$U$2),IF(X302='ESTRATTO CONTO'!$E$2,1+COUNTIF(U$4:U301,"&gt;0"),0),0)</f>
        <v>0</v>
      </c>
      <c r="V302" s="417">
        <f t="shared" si="92"/>
        <v>299</v>
      </c>
      <c r="W302" s="509"/>
      <c r="X302" s="321"/>
      <c r="Y302" s="321"/>
      <c r="Z302" s="433"/>
      <c r="AA302" s="918">
        <f t="shared" si="83"/>
        <v>1</v>
      </c>
      <c r="AB302" s="306" t="str">
        <f t="shared" si="84"/>
        <v/>
      </c>
      <c r="AC302" s="788"/>
      <c r="AD302" s="119">
        <f t="shared" si="94"/>
        <v>0</v>
      </c>
      <c r="AE302" s="108">
        <f t="shared" si="94"/>
        <v>0</v>
      </c>
      <c r="AF302" s="108">
        <f t="shared" si="94"/>
        <v>0</v>
      </c>
      <c r="AG302" s="108"/>
      <c r="AH302" s="108"/>
      <c r="AI302" s="108"/>
      <c r="AJ302" s="108"/>
      <c r="AK302" s="108"/>
      <c r="AL302" s="108">
        <f t="shared" si="85"/>
        <v>0</v>
      </c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20">
        <f t="shared" si="86"/>
        <v>0</v>
      </c>
      <c r="CL302" s="122">
        <f t="shared" si="87"/>
        <v>0</v>
      </c>
      <c r="CM302" s="524" t="str">
        <f t="shared" si="89"/>
        <v/>
      </c>
      <c r="CN302" s="526">
        <f t="shared" si="90"/>
        <v>0</v>
      </c>
      <c r="CO302" s="122">
        <f t="shared" si="91"/>
        <v>0</v>
      </c>
      <c r="CP302" s="45" t="str">
        <f t="shared" si="88"/>
        <v>1 - in MILLESIMI   I</v>
      </c>
      <c r="CQ302" s="1"/>
    </row>
    <row r="303" spans="1:95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435">
        <f>IF(AND(W303&gt;=$U$1,W303&lt;=$U$2),IF(X303='ESTRATTO CONTO'!$E$2,1+COUNTIF(U$4:U302,"&gt;0"),0),0)</f>
        <v>0</v>
      </c>
      <c r="V303" s="417">
        <f t="shared" si="92"/>
        <v>300</v>
      </c>
      <c r="W303" s="509"/>
      <c r="X303" s="321"/>
      <c r="Y303" s="321"/>
      <c r="Z303" s="433"/>
      <c r="AA303" s="918">
        <f t="shared" si="83"/>
        <v>1</v>
      </c>
      <c r="AB303" s="306" t="str">
        <f t="shared" si="84"/>
        <v/>
      </c>
      <c r="AC303" s="788"/>
      <c r="AD303" s="119">
        <f t="shared" si="94"/>
        <v>0</v>
      </c>
      <c r="AE303" s="108">
        <f t="shared" si="94"/>
        <v>0</v>
      </c>
      <c r="AF303" s="108">
        <f t="shared" si="94"/>
        <v>0</v>
      </c>
      <c r="AG303" s="108"/>
      <c r="AH303" s="108"/>
      <c r="AI303" s="108"/>
      <c r="AJ303" s="108"/>
      <c r="AK303" s="108"/>
      <c r="AL303" s="108">
        <f t="shared" si="85"/>
        <v>0</v>
      </c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20">
        <f t="shared" si="86"/>
        <v>0</v>
      </c>
      <c r="CL303" s="122">
        <f t="shared" si="87"/>
        <v>0</v>
      </c>
      <c r="CM303" s="524" t="str">
        <f t="shared" si="89"/>
        <v/>
      </c>
      <c r="CN303" s="526">
        <f t="shared" si="90"/>
        <v>0</v>
      </c>
      <c r="CO303" s="122">
        <f t="shared" si="91"/>
        <v>0</v>
      </c>
      <c r="CP303" s="45" t="str">
        <f t="shared" si="88"/>
        <v>1 - in MILLESIMI   I</v>
      </c>
      <c r="CQ303" s="1"/>
    </row>
    <row r="304" spans="1:95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435">
        <f>IF(AND(W304&gt;=$U$1,W304&lt;=$U$2),IF(X304='ESTRATTO CONTO'!$E$2,1+COUNTIF(U$4:U303,"&gt;0"),0),0)</f>
        <v>0</v>
      </c>
      <c r="V304" s="417">
        <f t="shared" si="92"/>
        <v>301</v>
      </c>
      <c r="W304" s="509"/>
      <c r="X304" s="321"/>
      <c r="Y304" s="321"/>
      <c r="Z304" s="433"/>
      <c r="AA304" s="918">
        <f t="shared" si="83"/>
        <v>1</v>
      </c>
      <c r="AB304" s="306" t="str">
        <f t="shared" si="84"/>
        <v/>
      </c>
      <c r="AC304" s="788"/>
      <c r="AD304" s="119">
        <f t="shared" ref="AD304:AF323" si="95">IF($AB304=0,0,ROUND($Z304*VLOOKUP(AD$2,$F$1010:$Q$1014,VLOOKUP($CP304,$C$1076:$E$1081,3,FALSE),FALSE),2))</f>
        <v>0</v>
      </c>
      <c r="AE304" s="108">
        <f t="shared" si="95"/>
        <v>0</v>
      </c>
      <c r="AF304" s="108">
        <f t="shared" si="95"/>
        <v>0</v>
      </c>
      <c r="AG304" s="108"/>
      <c r="AH304" s="108"/>
      <c r="AI304" s="108"/>
      <c r="AJ304" s="108"/>
      <c r="AK304" s="108"/>
      <c r="AL304" s="108">
        <f t="shared" si="85"/>
        <v>0</v>
      </c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20">
        <f t="shared" si="86"/>
        <v>0</v>
      </c>
      <c r="CL304" s="122">
        <f t="shared" si="87"/>
        <v>0</v>
      </c>
      <c r="CM304" s="524" t="str">
        <f t="shared" si="89"/>
        <v/>
      </c>
      <c r="CN304" s="526">
        <f t="shared" si="90"/>
        <v>0</v>
      </c>
      <c r="CO304" s="122">
        <f t="shared" si="91"/>
        <v>0</v>
      </c>
      <c r="CP304" s="45" t="str">
        <f t="shared" si="88"/>
        <v>1 - in MILLESIMI   I</v>
      </c>
      <c r="CQ304" s="1"/>
    </row>
    <row r="305" spans="1:95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435">
        <f>IF(AND(W305&gt;=$U$1,W305&lt;=$U$2),IF(X305='ESTRATTO CONTO'!$E$2,1+COUNTIF(U$4:U304,"&gt;0"),0),0)</f>
        <v>0</v>
      </c>
      <c r="V305" s="417">
        <f t="shared" si="92"/>
        <v>302</v>
      </c>
      <c r="W305" s="509"/>
      <c r="X305" s="321"/>
      <c r="Y305" s="321"/>
      <c r="Z305" s="433"/>
      <c r="AA305" s="918">
        <f t="shared" si="83"/>
        <v>1</v>
      </c>
      <c r="AB305" s="306" t="str">
        <f t="shared" si="84"/>
        <v/>
      </c>
      <c r="AC305" s="788"/>
      <c r="AD305" s="119">
        <f t="shared" si="95"/>
        <v>0</v>
      </c>
      <c r="AE305" s="108">
        <f t="shared" si="95"/>
        <v>0</v>
      </c>
      <c r="AF305" s="108">
        <f t="shared" si="95"/>
        <v>0</v>
      </c>
      <c r="AG305" s="108"/>
      <c r="AH305" s="108"/>
      <c r="AI305" s="108"/>
      <c r="AJ305" s="108"/>
      <c r="AK305" s="108"/>
      <c r="AL305" s="108">
        <f t="shared" si="85"/>
        <v>0</v>
      </c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20">
        <f t="shared" si="86"/>
        <v>0</v>
      </c>
      <c r="CL305" s="122">
        <f t="shared" si="87"/>
        <v>0</v>
      </c>
      <c r="CM305" s="524" t="str">
        <f t="shared" si="89"/>
        <v/>
      </c>
      <c r="CN305" s="526">
        <f t="shared" si="90"/>
        <v>0</v>
      </c>
      <c r="CO305" s="122">
        <f t="shared" si="91"/>
        <v>0</v>
      </c>
      <c r="CP305" s="45" t="str">
        <f t="shared" si="88"/>
        <v>1 - in MILLESIMI   I</v>
      </c>
      <c r="CQ305" s="1"/>
    </row>
    <row r="306" spans="1:95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435">
        <f>IF(AND(W306&gt;=$U$1,W306&lt;=$U$2),IF(X306='ESTRATTO CONTO'!$E$2,1+COUNTIF(U$4:U305,"&gt;0"),0),0)</f>
        <v>0</v>
      </c>
      <c r="V306" s="417">
        <f t="shared" si="92"/>
        <v>303</v>
      </c>
      <c r="W306" s="509"/>
      <c r="X306" s="321"/>
      <c r="Y306" s="321"/>
      <c r="Z306" s="433"/>
      <c r="AA306" s="918">
        <f t="shared" si="83"/>
        <v>1</v>
      </c>
      <c r="AB306" s="306" t="str">
        <f t="shared" si="84"/>
        <v/>
      </c>
      <c r="AC306" s="788"/>
      <c r="AD306" s="119">
        <f t="shared" si="95"/>
        <v>0</v>
      </c>
      <c r="AE306" s="108">
        <f t="shared" si="95"/>
        <v>0</v>
      </c>
      <c r="AF306" s="108">
        <f t="shared" si="95"/>
        <v>0</v>
      </c>
      <c r="AG306" s="108"/>
      <c r="AH306" s="108"/>
      <c r="AI306" s="108"/>
      <c r="AJ306" s="108"/>
      <c r="AK306" s="108"/>
      <c r="AL306" s="108">
        <f t="shared" si="85"/>
        <v>0</v>
      </c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20">
        <f t="shared" si="86"/>
        <v>0</v>
      </c>
      <c r="CL306" s="122">
        <f t="shared" si="87"/>
        <v>0</v>
      </c>
      <c r="CM306" s="524" t="str">
        <f t="shared" si="89"/>
        <v/>
      </c>
      <c r="CN306" s="526">
        <f t="shared" si="90"/>
        <v>0</v>
      </c>
      <c r="CO306" s="122">
        <f t="shared" si="91"/>
        <v>0</v>
      </c>
      <c r="CP306" s="45" t="str">
        <f t="shared" si="88"/>
        <v>1 - in MILLESIMI   I</v>
      </c>
      <c r="CQ306" s="1"/>
    </row>
    <row r="307" spans="1:95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435">
        <f>IF(AND(W307&gt;=$U$1,W307&lt;=$U$2),IF(X307='ESTRATTO CONTO'!$E$2,1+COUNTIF(U$4:U306,"&gt;0"),0),0)</f>
        <v>0</v>
      </c>
      <c r="V307" s="417">
        <f t="shared" si="92"/>
        <v>304</v>
      </c>
      <c r="W307" s="509"/>
      <c r="X307" s="321"/>
      <c r="Y307" s="321"/>
      <c r="Z307" s="433"/>
      <c r="AA307" s="918">
        <f t="shared" si="83"/>
        <v>1</v>
      </c>
      <c r="AB307" s="306" t="str">
        <f t="shared" si="84"/>
        <v/>
      </c>
      <c r="AC307" s="788"/>
      <c r="AD307" s="119">
        <f t="shared" si="95"/>
        <v>0</v>
      </c>
      <c r="AE307" s="108">
        <f t="shared" si="95"/>
        <v>0</v>
      </c>
      <c r="AF307" s="108">
        <f t="shared" si="95"/>
        <v>0</v>
      </c>
      <c r="AG307" s="108"/>
      <c r="AH307" s="108"/>
      <c r="AI307" s="108"/>
      <c r="AJ307" s="108"/>
      <c r="AK307" s="108"/>
      <c r="AL307" s="108">
        <f t="shared" si="85"/>
        <v>0</v>
      </c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20">
        <f t="shared" si="86"/>
        <v>0</v>
      </c>
      <c r="CL307" s="122">
        <f t="shared" si="87"/>
        <v>0</v>
      </c>
      <c r="CM307" s="524" t="str">
        <f t="shared" si="89"/>
        <v/>
      </c>
      <c r="CN307" s="526">
        <f t="shared" si="90"/>
        <v>0</v>
      </c>
      <c r="CO307" s="122">
        <f t="shared" si="91"/>
        <v>0</v>
      </c>
      <c r="CP307" s="45" t="str">
        <f t="shared" si="88"/>
        <v>1 - in MILLESIMI   I</v>
      </c>
      <c r="CQ307" s="1"/>
    </row>
    <row r="308" spans="1:95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435">
        <f>IF(AND(W308&gt;=$U$1,W308&lt;=$U$2),IF(X308='ESTRATTO CONTO'!$E$2,1+COUNTIF(U$4:U307,"&gt;0"),0),0)</f>
        <v>0</v>
      </c>
      <c r="V308" s="417">
        <f t="shared" si="92"/>
        <v>305</v>
      </c>
      <c r="W308" s="509"/>
      <c r="X308" s="321"/>
      <c r="Y308" s="321"/>
      <c r="Z308" s="433"/>
      <c r="AA308" s="918">
        <f t="shared" si="83"/>
        <v>1</v>
      </c>
      <c r="AB308" s="306" t="str">
        <f t="shared" si="84"/>
        <v/>
      </c>
      <c r="AC308" s="788"/>
      <c r="AD308" s="119">
        <f t="shared" si="95"/>
        <v>0</v>
      </c>
      <c r="AE308" s="108">
        <f t="shared" si="95"/>
        <v>0</v>
      </c>
      <c r="AF308" s="108">
        <f t="shared" si="95"/>
        <v>0</v>
      </c>
      <c r="AG308" s="108"/>
      <c r="AH308" s="108"/>
      <c r="AI308" s="108"/>
      <c r="AJ308" s="108"/>
      <c r="AK308" s="108"/>
      <c r="AL308" s="108">
        <f t="shared" si="85"/>
        <v>0</v>
      </c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20">
        <f t="shared" si="86"/>
        <v>0</v>
      </c>
      <c r="CL308" s="122">
        <f t="shared" si="87"/>
        <v>0</v>
      </c>
      <c r="CM308" s="524" t="str">
        <f t="shared" si="89"/>
        <v/>
      </c>
      <c r="CN308" s="526">
        <f t="shared" si="90"/>
        <v>0</v>
      </c>
      <c r="CO308" s="122">
        <f t="shared" si="91"/>
        <v>0</v>
      </c>
      <c r="CP308" s="45" t="str">
        <f t="shared" si="88"/>
        <v>1 - in MILLESIMI   I</v>
      </c>
      <c r="CQ308" s="1"/>
    </row>
    <row r="309" spans="1:95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435">
        <f>IF(AND(W309&gt;=$U$1,W309&lt;=$U$2),IF(X309='ESTRATTO CONTO'!$E$2,1+COUNTIF(U$4:U308,"&gt;0"),0),0)</f>
        <v>0</v>
      </c>
      <c r="V309" s="417">
        <f t="shared" si="92"/>
        <v>306</v>
      </c>
      <c r="W309" s="509"/>
      <c r="X309" s="321"/>
      <c r="Y309" s="321"/>
      <c r="Z309" s="433"/>
      <c r="AA309" s="918">
        <f t="shared" si="83"/>
        <v>1</v>
      </c>
      <c r="AB309" s="306" t="str">
        <f t="shared" si="84"/>
        <v/>
      </c>
      <c r="AC309" s="788"/>
      <c r="AD309" s="119">
        <f t="shared" si="95"/>
        <v>0</v>
      </c>
      <c r="AE309" s="108">
        <f t="shared" si="95"/>
        <v>0</v>
      </c>
      <c r="AF309" s="108">
        <f t="shared" si="95"/>
        <v>0</v>
      </c>
      <c r="AG309" s="108"/>
      <c r="AH309" s="108"/>
      <c r="AI309" s="108"/>
      <c r="AJ309" s="108"/>
      <c r="AK309" s="108"/>
      <c r="AL309" s="108">
        <f t="shared" si="85"/>
        <v>0</v>
      </c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20">
        <f t="shared" si="86"/>
        <v>0</v>
      </c>
      <c r="CL309" s="122">
        <f t="shared" si="87"/>
        <v>0</v>
      </c>
      <c r="CM309" s="524" t="str">
        <f t="shared" si="89"/>
        <v/>
      </c>
      <c r="CN309" s="526">
        <f t="shared" si="90"/>
        <v>0</v>
      </c>
      <c r="CO309" s="122">
        <f t="shared" si="91"/>
        <v>0</v>
      </c>
      <c r="CP309" s="45" t="str">
        <f t="shared" si="88"/>
        <v>1 - in MILLESIMI   I</v>
      </c>
      <c r="CQ309" s="1"/>
    </row>
    <row r="310" spans="1:95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435">
        <f>IF(AND(W310&gt;=$U$1,W310&lt;=$U$2),IF(X310='ESTRATTO CONTO'!$E$2,1+COUNTIF(U$4:U309,"&gt;0"),0),0)</f>
        <v>0</v>
      </c>
      <c r="V310" s="417">
        <f t="shared" si="92"/>
        <v>307</v>
      </c>
      <c r="W310" s="509"/>
      <c r="X310" s="321"/>
      <c r="Y310" s="321"/>
      <c r="Z310" s="433"/>
      <c r="AA310" s="918">
        <f t="shared" si="83"/>
        <v>1</v>
      </c>
      <c r="AB310" s="306" t="str">
        <f t="shared" si="84"/>
        <v/>
      </c>
      <c r="AC310" s="788"/>
      <c r="AD310" s="119">
        <f t="shared" si="95"/>
        <v>0</v>
      </c>
      <c r="AE310" s="108">
        <f t="shared" si="95"/>
        <v>0</v>
      </c>
      <c r="AF310" s="108">
        <f t="shared" si="95"/>
        <v>0</v>
      </c>
      <c r="AG310" s="108"/>
      <c r="AH310" s="108"/>
      <c r="AI310" s="108"/>
      <c r="AJ310" s="108"/>
      <c r="AK310" s="108"/>
      <c r="AL310" s="108">
        <f t="shared" si="85"/>
        <v>0</v>
      </c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20">
        <f t="shared" si="86"/>
        <v>0</v>
      </c>
      <c r="CL310" s="122">
        <f t="shared" si="87"/>
        <v>0</v>
      </c>
      <c r="CM310" s="524" t="str">
        <f t="shared" si="89"/>
        <v/>
      </c>
      <c r="CN310" s="526">
        <f t="shared" si="90"/>
        <v>0</v>
      </c>
      <c r="CO310" s="122">
        <f t="shared" si="91"/>
        <v>0</v>
      </c>
      <c r="CP310" s="45" t="str">
        <f t="shared" si="88"/>
        <v>1 - in MILLESIMI   I</v>
      </c>
      <c r="CQ310" s="1"/>
    </row>
    <row r="311" spans="1:95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435">
        <f>IF(AND(W311&gt;=$U$1,W311&lt;=$U$2),IF(X311='ESTRATTO CONTO'!$E$2,1+COUNTIF(U$4:U310,"&gt;0"),0),0)</f>
        <v>0</v>
      </c>
      <c r="V311" s="417">
        <f t="shared" si="92"/>
        <v>308</v>
      </c>
      <c r="W311" s="509"/>
      <c r="X311" s="321"/>
      <c r="Y311" s="321"/>
      <c r="Z311" s="433"/>
      <c r="AA311" s="918">
        <f t="shared" si="83"/>
        <v>1</v>
      </c>
      <c r="AB311" s="306" t="str">
        <f t="shared" si="84"/>
        <v/>
      </c>
      <c r="AC311" s="788"/>
      <c r="AD311" s="119">
        <f t="shared" si="95"/>
        <v>0</v>
      </c>
      <c r="AE311" s="108">
        <f t="shared" si="95"/>
        <v>0</v>
      </c>
      <c r="AF311" s="108">
        <f t="shared" si="95"/>
        <v>0</v>
      </c>
      <c r="AG311" s="108"/>
      <c r="AH311" s="108"/>
      <c r="AI311" s="108"/>
      <c r="AJ311" s="108"/>
      <c r="AK311" s="108"/>
      <c r="AL311" s="108">
        <f t="shared" si="85"/>
        <v>0</v>
      </c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20">
        <f t="shared" si="86"/>
        <v>0</v>
      </c>
      <c r="CL311" s="122">
        <f t="shared" si="87"/>
        <v>0</v>
      </c>
      <c r="CM311" s="524" t="str">
        <f t="shared" si="89"/>
        <v/>
      </c>
      <c r="CN311" s="526">
        <f t="shared" si="90"/>
        <v>0</v>
      </c>
      <c r="CO311" s="122">
        <f t="shared" si="91"/>
        <v>0</v>
      </c>
      <c r="CP311" s="45" t="str">
        <f t="shared" si="88"/>
        <v>1 - in MILLESIMI   I</v>
      </c>
      <c r="CQ311" s="1"/>
    </row>
    <row r="312" spans="1:95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435">
        <f>IF(AND(W312&gt;=$U$1,W312&lt;=$U$2),IF(X312='ESTRATTO CONTO'!$E$2,1+COUNTIF(U$4:U311,"&gt;0"),0),0)</f>
        <v>0</v>
      </c>
      <c r="V312" s="417">
        <f t="shared" si="92"/>
        <v>309</v>
      </c>
      <c r="W312" s="509"/>
      <c r="X312" s="321"/>
      <c r="Y312" s="321"/>
      <c r="Z312" s="433"/>
      <c r="AA312" s="918">
        <f t="shared" si="83"/>
        <v>1</v>
      </c>
      <c r="AB312" s="306" t="str">
        <f t="shared" si="84"/>
        <v/>
      </c>
      <c r="AC312" s="788"/>
      <c r="AD312" s="119">
        <f t="shared" si="95"/>
        <v>0</v>
      </c>
      <c r="AE312" s="108">
        <f t="shared" si="95"/>
        <v>0</v>
      </c>
      <c r="AF312" s="108">
        <f t="shared" si="95"/>
        <v>0</v>
      </c>
      <c r="AG312" s="108"/>
      <c r="AH312" s="108"/>
      <c r="AI312" s="108"/>
      <c r="AJ312" s="108"/>
      <c r="AK312" s="108"/>
      <c r="AL312" s="108">
        <f t="shared" si="85"/>
        <v>0</v>
      </c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20">
        <f t="shared" si="86"/>
        <v>0</v>
      </c>
      <c r="CL312" s="122">
        <f t="shared" si="87"/>
        <v>0</v>
      </c>
      <c r="CM312" s="524" t="str">
        <f t="shared" si="89"/>
        <v/>
      </c>
      <c r="CN312" s="526">
        <f t="shared" si="90"/>
        <v>0</v>
      </c>
      <c r="CO312" s="122">
        <f t="shared" si="91"/>
        <v>0</v>
      </c>
      <c r="CP312" s="45" t="str">
        <f t="shared" si="88"/>
        <v>1 - in MILLESIMI   I</v>
      </c>
      <c r="CQ312" s="1"/>
    </row>
    <row r="313" spans="1:95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435">
        <f>IF(AND(W313&gt;=$U$1,W313&lt;=$U$2),IF(X313='ESTRATTO CONTO'!$E$2,1+COUNTIF(U$4:U312,"&gt;0"),0),0)</f>
        <v>0</v>
      </c>
      <c r="V313" s="417">
        <f t="shared" si="92"/>
        <v>310</v>
      </c>
      <c r="W313" s="509"/>
      <c r="X313" s="321"/>
      <c r="Y313" s="321"/>
      <c r="Z313" s="433"/>
      <c r="AA313" s="918">
        <f t="shared" si="83"/>
        <v>1</v>
      </c>
      <c r="AB313" s="306" t="str">
        <f t="shared" si="84"/>
        <v/>
      </c>
      <c r="AC313" s="788"/>
      <c r="AD313" s="119">
        <f t="shared" si="95"/>
        <v>0</v>
      </c>
      <c r="AE313" s="108">
        <f t="shared" si="95"/>
        <v>0</v>
      </c>
      <c r="AF313" s="108">
        <f t="shared" si="95"/>
        <v>0</v>
      </c>
      <c r="AG313" s="108"/>
      <c r="AH313" s="108"/>
      <c r="AI313" s="108"/>
      <c r="AJ313" s="108"/>
      <c r="AK313" s="108"/>
      <c r="AL313" s="108">
        <f t="shared" si="85"/>
        <v>0</v>
      </c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20">
        <f t="shared" si="86"/>
        <v>0</v>
      </c>
      <c r="CL313" s="122">
        <f t="shared" si="87"/>
        <v>0</v>
      </c>
      <c r="CM313" s="524" t="str">
        <f t="shared" si="89"/>
        <v/>
      </c>
      <c r="CN313" s="526">
        <f t="shared" si="90"/>
        <v>0</v>
      </c>
      <c r="CO313" s="122">
        <f t="shared" si="91"/>
        <v>0</v>
      </c>
      <c r="CP313" s="45" t="str">
        <f t="shared" si="88"/>
        <v>1 - in MILLESIMI   I</v>
      </c>
      <c r="CQ313" s="1"/>
    </row>
    <row r="314" spans="1:95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435">
        <f>IF(AND(W314&gt;=$U$1,W314&lt;=$U$2),IF(X314='ESTRATTO CONTO'!$E$2,1+COUNTIF(U$4:U313,"&gt;0"),0),0)</f>
        <v>0</v>
      </c>
      <c r="V314" s="417">
        <f t="shared" si="92"/>
        <v>311</v>
      </c>
      <c r="W314" s="509"/>
      <c r="X314" s="321"/>
      <c r="Y314" s="321"/>
      <c r="Z314" s="433"/>
      <c r="AA314" s="918">
        <f t="shared" si="83"/>
        <v>1</v>
      </c>
      <c r="AB314" s="306" t="str">
        <f t="shared" si="84"/>
        <v/>
      </c>
      <c r="AC314" s="788"/>
      <c r="AD314" s="119">
        <f t="shared" si="95"/>
        <v>0</v>
      </c>
      <c r="AE314" s="108">
        <f t="shared" si="95"/>
        <v>0</v>
      </c>
      <c r="AF314" s="108">
        <f t="shared" si="95"/>
        <v>0</v>
      </c>
      <c r="AG314" s="108"/>
      <c r="AH314" s="108"/>
      <c r="AI314" s="108"/>
      <c r="AJ314" s="108"/>
      <c r="AK314" s="108"/>
      <c r="AL314" s="108">
        <f t="shared" si="85"/>
        <v>0</v>
      </c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20">
        <f t="shared" si="86"/>
        <v>0</v>
      </c>
      <c r="CL314" s="122">
        <f t="shared" si="87"/>
        <v>0</v>
      </c>
      <c r="CM314" s="524" t="str">
        <f t="shared" si="89"/>
        <v/>
      </c>
      <c r="CN314" s="526">
        <f t="shared" si="90"/>
        <v>0</v>
      </c>
      <c r="CO314" s="122">
        <f t="shared" si="91"/>
        <v>0</v>
      </c>
      <c r="CP314" s="45" t="str">
        <f t="shared" si="88"/>
        <v>1 - in MILLESIMI   I</v>
      </c>
      <c r="CQ314" s="1"/>
    </row>
    <row r="315" spans="1:95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435">
        <f>IF(AND(W315&gt;=$U$1,W315&lt;=$U$2),IF(X315='ESTRATTO CONTO'!$E$2,1+COUNTIF(U$4:U314,"&gt;0"),0),0)</f>
        <v>0</v>
      </c>
      <c r="V315" s="417">
        <f t="shared" si="92"/>
        <v>312</v>
      </c>
      <c r="W315" s="509"/>
      <c r="X315" s="321"/>
      <c r="Y315" s="321"/>
      <c r="Z315" s="433"/>
      <c r="AA315" s="918">
        <f t="shared" si="83"/>
        <v>1</v>
      </c>
      <c r="AB315" s="306" t="str">
        <f t="shared" si="84"/>
        <v/>
      </c>
      <c r="AC315" s="788"/>
      <c r="AD315" s="119">
        <f t="shared" si="95"/>
        <v>0</v>
      </c>
      <c r="AE315" s="108">
        <f t="shared" si="95"/>
        <v>0</v>
      </c>
      <c r="AF315" s="108">
        <f t="shared" si="95"/>
        <v>0</v>
      </c>
      <c r="AG315" s="108"/>
      <c r="AH315" s="108"/>
      <c r="AI315" s="108"/>
      <c r="AJ315" s="108"/>
      <c r="AK315" s="108"/>
      <c r="AL315" s="108">
        <f t="shared" si="85"/>
        <v>0</v>
      </c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20">
        <f t="shared" si="86"/>
        <v>0</v>
      </c>
      <c r="CL315" s="122">
        <f t="shared" si="87"/>
        <v>0</v>
      </c>
      <c r="CM315" s="524" t="str">
        <f t="shared" si="89"/>
        <v/>
      </c>
      <c r="CN315" s="526">
        <f t="shared" si="90"/>
        <v>0</v>
      </c>
      <c r="CO315" s="122">
        <f t="shared" si="91"/>
        <v>0</v>
      </c>
      <c r="CP315" s="45" t="str">
        <f t="shared" si="88"/>
        <v>1 - in MILLESIMI   I</v>
      </c>
      <c r="CQ315" s="1"/>
    </row>
    <row r="316" spans="1:95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435">
        <f>IF(AND(W316&gt;=$U$1,W316&lt;=$U$2),IF(X316='ESTRATTO CONTO'!$E$2,1+COUNTIF(U$4:U315,"&gt;0"),0),0)</f>
        <v>0</v>
      </c>
      <c r="V316" s="417">
        <f t="shared" si="92"/>
        <v>313</v>
      </c>
      <c r="W316" s="509"/>
      <c r="X316" s="321"/>
      <c r="Y316" s="321"/>
      <c r="Z316" s="433"/>
      <c r="AA316" s="918">
        <f t="shared" si="83"/>
        <v>1</v>
      </c>
      <c r="AB316" s="306" t="str">
        <f t="shared" si="84"/>
        <v/>
      </c>
      <c r="AC316" s="788"/>
      <c r="AD316" s="119">
        <f t="shared" si="95"/>
        <v>0</v>
      </c>
      <c r="AE316" s="108">
        <f t="shared" si="95"/>
        <v>0</v>
      </c>
      <c r="AF316" s="108">
        <f t="shared" si="95"/>
        <v>0</v>
      </c>
      <c r="AG316" s="108"/>
      <c r="AH316" s="108"/>
      <c r="AI316" s="108"/>
      <c r="AJ316" s="108"/>
      <c r="AK316" s="108"/>
      <c r="AL316" s="108">
        <f t="shared" si="85"/>
        <v>0</v>
      </c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20">
        <f t="shared" si="86"/>
        <v>0</v>
      </c>
      <c r="CL316" s="122">
        <f t="shared" si="87"/>
        <v>0</v>
      </c>
      <c r="CM316" s="524" t="str">
        <f t="shared" si="89"/>
        <v/>
      </c>
      <c r="CN316" s="526">
        <f t="shared" si="90"/>
        <v>0</v>
      </c>
      <c r="CO316" s="122">
        <f t="shared" si="91"/>
        <v>0</v>
      </c>
      <c r="CP316" s="45" t="str">
        <f t="shared" si="88"/>
        <v>1 - in MILLESIMI   I</v>
      </c>
      <c r="CQ316" s="1"/>
    </row>
    <row r="317" spans="1:95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435">
        <f>IF(AND(W317&gt;=$U$1,W317&lt;=$U$2),IF(X317='ESTRATTO CONTO'!$E$2,1+COUNTIF(U$4:U316,"&gt;0"),0),0)</f>
        <v>0</v>
      </c>
      <c r="V317" s="417">
        <f t="shared" si="92"/>
        <v>314</v>
      </c>
      <c r="W317" s="509"/>
      <c r="X317" s="321"/>
      <c r="Y317" s="321"/>
      <c r="Z317" s="433"/>
      <c r="AA317" s="918">
        <f t="shared" si="83"/>
        <v>1</v>
      </c>
      <c r="AB317" s="306" t="str">
        <f t="shared" si="84"/>
        <v/>
      </c>
      <c r="AC317" s="788"/>
      <c r="AD317" s="119">
        <f t="shared" si="95"/>
        <v>0</v>
      </c>
      <c r="AE317" s="108">
        <f t="shared" si="95"/>
        <v>0</v>
      </c>
      <c r="AF317" s="108">
        <f t="shared" si="95"/>
        <v>0</v>
      </c>
      <c r="AG317" s="108"/>
      <c r="AH317" s="108"/>
      <c r="AI317" s="108"/>
      <c r="AJ317" s="108"/>
      <c r="AK317" s="108"/>
      <c r="AL317" s="108">
        <f t="shared" si="85"/>
        <v>0</v>
      </c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20">
        <f t="shared" si="86"/>
        <v>0</v>
      </c>
      <c r="CL317" s="122">
        <f t="shared" si="87"/>
        <v>0</v>
      </c>
      <c r="CM317" s="524" t="str">
        <f t="shared" si="89"/>
        <v/>
      </c>
      <c r="CN317" s="526">
        <f t="shared" si="90"/>
        <v>0</v>
      </c>
      <c r="CO317" s="122">
        <f t="shared" si="91"/>
        <v>0</v>
      </c>
      <c r="CP317" s="45" t="str">
        <f t="shared" si="88"/>
        <v>1 - in MILLESIMI   I</v>
      </c>
      <c r="CQ317" s="1"/>
    </row>
    <row r="318" spans="1:95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435">
        <f>IF(AND(W318&gt;=$U$1,W318&lt;=$U$2),IF(X318='ESTRATTO CONTO'!$E$2,1+COUNTIF(U$4:U317,"&gt;0"),0),0)</f>
        <v>0</v>
      </c>
      <c r="V318" s="417">
        <f t="shared" si="92"/>
        <v>315</v>
      </c>
      <c r="W318" s="509"/>
      <c r="X318" s="321"/>
      <c r="Y318" s="321"/>
      <c r="Z318" s="433"/>
      <c r="AA318" s="918">
        <f t="shared" si="83"/>
        <v>1</v>
      </c>
      <c r="AB318" s="306" t="str">
        <f t="shared" si="84"/>
        <v/>
      </c>
      <c r="AC318" s="788"/>
      <c r="AD318" s="119">
        <f t="shared" si="95"/>
        <v>0</v>
      </c>
      <c r="AE318" s="108">
        <f t="shared" si="95"/>
        <v>0</v>
      </c>
      <c r="AF318" s="108">
        <f t="shared" si="95"/>
        <v>0</v>
      </c>
      <c r="AG318" s="108"/>
      <c r="AH318" s="108"/>
      <c r="AI318" s="108"/>
      <c r="AJ318" s="108"/>
      <c r="AK318" s="108"/>
      <c r="AL318" s="108">
        <f t="shared" si="85"/>
        <v>0</v>
      </c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20">
        <f t="shared" si="86"/>
        <v>0</v>
      </c>
      <c r="CL318" s="122">
        <f t="shared" si="87"/>
        <v>0</v>
      </c>
      <c r="CM318" s="524" t="str">
        <f t="shared" si="89"/>
        <v/>
      </c>
      <c r="CN318" s="526">
        <f t="shared" si="90"/>
        <v>0</v>
      </c>
      <c r="CO318" s="122">
        <f t="shared" si="91"/>
        <v>0</v>
      </c>
      <c r="CP318" s="45" t="str">
        <f t="shared" si="88"/>
        <v>1 - in MILLESIMI   I</v>
      </c>
      <c r="CQ318" s="1"/>
    </row>
    <row r="319" spans="1:95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435">
        <f>IF(AND(W319&gt;=$U$1,W319&lt;=$U$2),IF(X319='ESTRATTO CONTO'!$E$2,1+COUNTIF(U$4:U318,"&gt;0"),0),0)</f>
        <v>0</v>
      </c>
      <c r="V319" s="417">
        <f t="shared" si="92"/>
        <v>316</v>
      </c>
      <c r="W319" s="509"/>
      <c r="X319" s="321"/>
      <c r="Y319" s="321"/>
      <c r="Z319" s="433"/>
      <c r="AA319" s="918">
        <f t="shared" si="83"/>
        <v>1</v>
      </c>
      <c r="AB319" s="306" t="str">
        <f t="shared" si="84"/>
        <v/>
      </c>
      <c r="AC319" s="788"/>
      <c r="AD319" s="119">
        <f t="shared" si="95"/>
        <v>0</v>
      </c>
      <c r="AE319" s="108">
        <f t="shared" si="95"/>
        <v>0</v>
      </c>
      <c r="AF319" s="108">
        <f t="shared" si="95"/>
        <v>0</v>
      </c>
      <c r="AG319" s="108"/>
      <c r="AH319" s="108"/>
      <c r="AI319" s="108"/>
      <c r="AJ319" s="108"/>
      <c r="AK319" s="108"/>
      <c r="AL319" s="108">
        <f t="shared" si="85"/>
        <v>0</v>
      </c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20">
        <f t="shared" si="86"/>
        <v>0</v>
      </c>
      <c r="CL319" s="122">
        <f t="shared" si="87"/>
        <v>0</v>
      </c>
      <c r="CM319" s="524" t="str">
        <f t="shared" si="89"/>
        <v/>
      </c>
      <c r="CN319" s="526">
        <f t="shared" si="90"/>
        <v>0</v>
      </c>
      <c r="CO319" s="122">
        <f t="shared" si="91"/>
        <v>0</v>
      </c>
      <c r="CP319" s="45" t="str">
        <f t="shared" si="88"/>
        <v>1 - in MILLESIMI   I</v>
      </c>
      <c r="CQ319" s="1"/>
    </row>
    <row r="320" spans="1:95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435">
        <f>IF(AND(W320&gt;=$U$1,W320&lt;=$U$2),IF(X320='ESTRATTO CONTO'!$E$2,1+COUNTIF(U$4:U319,"&gt;0"),0),0)</f>
        <v>0</v>
      </c>
      <c r="V320" s="417">
        <f t="shared" si="92"/>
        <v>317</v>
      </c>
      <c r="W320" s="509"/>
      <c r="X320" s="321"/>
      <c r="Y320" s="321"/>
      <c r="Z320" s="433"/>
      <c r="AA320" s="918">
        <f t="shared" si="83"/>
        <v>1</v>
      </c>
      <c r="AB320" s="306" t="str">
        <f t="shared" si="84"/>
        <v/>
      </c>
      <c r="AC320" s="788"/>
      <c r="AD320" s="119">
        <f t="shared" si="95"/>
        <v>0</v>
      </c>
      <c r="AE320" s="108">
        <f t="shared" si="95"/>
        <v>0</v>
      </c>
      <c r="AF320" s="108">
        <f t="shared" si="95"/>
        <v>0</v>
      </c>
      <c r="AG320" s="108"/>
      <c r="AH320" s="108"/>
      <c r="AI320" s="108"/>
      <c r="AJ320" s="108"/>
      <c r="AK320" s="108"/>
      <c r="AL320" s="108">
        <f t="shared" si="85"/>
        <v>0</v>
      </c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20">
        <f t="shared" si="86"/>
        <v>0</v>
      </c>
      <c r="CL320" s="122">
        <f t="shared" si="87"/>
        <v>0</v>
      </c>
      <c r="CM320" s="524" t="str">
        <f t="shared" si="89"/>
        <v/>
      </c>
      <c r="CN320" s="526">
        <f t="shared" si="90"/>
        <v>0</v>
      </c>
      <c r="CO320" s="122">
        <f t="shared" si="91"/>
        <v>0</v>
      </c>
      <c r="CP320" s="45" t="str">
        <f t="shared" si="88"/>
        <v>1 - in MILLESIMI   I</v>
      </c>
      <c r="CQ320" s="1"/>
    </row>
    <row r="321" spans="1:95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435">
        <f>IF(AND(W321&gt;=$U$1,W321&lt;=$U$2),IF(X321='ESTRATTO CONTO'!$E$2,1+COUNTIF(U$4:U320,"&gt;0"),0),0)</f>
        <v>0</v>
      </c>
      <c r="V321" s="417">
        <f t="shared" si="92"/>
        <v>318</v>
      </c>
      <c r="W321" s="509"/>
      <c r="X321" s="321"/>
      <c r="Y321" s="321"/>
      <c r="Z321" s="433"/>
      <c r="AA321" s="918">
        <f t="shared" si="83"/>
        <v>1</v>
      </c>
      <c r="AB321" s="306" t="str">
        <f t="shared" si="84"/>
        <v/>
      </c>
      <c r="AC321" s="788"/>
      <c r="AD321" s="119">
        <f t="shared" si="95"/>
        <v>0</v>
      </c>
      <c r="AE321" s="108">
        <f t="shared" si="95"/>
        <v>0</v>
      </c>
      <c r="AF321" s="108">
        <f t="shared" si="95"/>
        <v>0</v>
      </c>
      <c r="AG321" s="108"/>
      <c r="AH321" s="108"/>
      <c r="AI321" s="108"/>
      <c r="AJ321" s="108"/>
      <c r="AK321" s="108"/>
      <c r="AL321" s="108">
        <f t="shared" si="85"/>
        <v>0</v>
      </c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20">
        <f t="shared" si="86"/>
        <v>0</v>
      </c>
      <c r="CL321" s="122">
        <f t="shared" si="87"/>
        <v>0</v>
      </c>
      <c r="CM321" s="524" t="str">
        <f t="shared" si="89"/>
        <v/>
      </c>
      <c r="CN321" s="526">
        <f t="shared" si="90"/>
        <v>0</v>
      </c>
      <c r="CO321" s="122">
        <f t="shared" si="91"/>
        <v>0</v>
      </c>
      <c r="CP321" s="45" t="str">
        <f t="shared" si="88"/>
        <v>1 - in MILLESIMI   I</v>
      </c>
      <c r="CQ321" s="1"/>
    </row>
    <row r="322" spans="1:95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435">
        <f>IF(AND(W322&gt;=$U$1,W322&lt;=$U$2),IF(X322='ESTRATTO CONTO'!$E$2,1+COUNTIF(U$4:U321,"&gt;0"),0),0)</f>
        <v>0</v>
      </c>
      <c r="V322" s="417">
        <f t="shared" si="92"/>
        <v>319</v>
      </c>
      <c r="W322" s="509"/>
      <c r="X322" s="321"/>
      <c r="Y322" s="321"/>
      <c r="Z322" s="433"/>
      <c r="AA322" s="918">
        <f t="shared" si="83"/>
        <v>1</v>
      </c>
      <c r="AB322" s="306" t="str">
        <f t="shared" si="84"/>
        <v/>
      </c>
      <c r="AC322" s="788"/>
      <c r="AD322" s="119">
        <f t="shared" si="95"/>
        <v>0</v>
      </c>
      <c r="AE322" s="108">
        <f t="shared" si="95"/>
        <v>0</v>
      </c>
      <c r="AF322" s="108">
        <f t="shared" si="95"/>
        <v>0</v>
      </c>
      <c r="AG322" s="108"/>
      <c r="AH322" s="108"/>
      <c r="AI322" s="108"/>
      <c r="AJ322" s="108"/>
      <c r="AK322" s="108"/>
      <c r="AL322" s="108">
        <f t="shared" si="85"/>
        <v>0</v>
      </c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20">
        <f t="shared" si="86"/>
        <v>0</v>
      </c>
      <c r="CL322" s="122">
        <f t="shared" si="87"/>
        <v>0</v>
      </c>
      <c r="CM322" s="524" t="str">
        <f t="shared" si="89"/>
        <v/>
      </c>
      <c r="CN322" s="526">
        <f t="shared" si="90"/>
        <v>0</v>
      </c>
      <c r="CO322" s="122">
        <f t="shared" si="91"/>
        <v>0</v>
      </c>
      <c r="CP322" s="45" t="str">
        <f t="shared" si="88"/>
        <v>1 - in MILLESIMI   I</v>
      </c>
      <c r="CQ322" s="1"/>
    </row>
    <row r="323" spans="1:95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435">
        <f>IF(AND(W323&gt;=$U$1,W323&lt;=$U$2),IF(X323='ESTRATTO CONTO'!$E$2,1+COUNTIF(U$4:U322,"&gt;0"),0),0)</f>
        <v>0</v>
      </c>
      <c r="V323" s="417">
        <f t="shared" si="92"/>
        <v>320</v>
      </c>
      <c r="W323" s="509"/>
      <c r="X323" s="321"/>
      <c r="Y323" s="321"/>
      <c r="Z323" s="433"/>
      <c r="AA323" s="918">
        <f t="shared" si="83"/>
        <v>1</v>
      </c>
      <c r="AB323" s="306" t="str">
        <f t="shared" si="84"/>
        <v/>
      </c>
      <c r="AC323" s="788"/>
      <c r="AD323" s="119">
        <f t="shared" si="95"/>
        <v>0</v>
      </c>
      <c r="AE323" s="108">
        <f t="shared" si="95"/>
        <v>0</v>
      </c>
      <c r="AF323" s="108">
        <f t="shared" si="95"/>
        <v>0</v>
      </c>
      <c r="AG323" s="108"/>
      <c r="AH323" s="108"/>
      <c r="AI323" s="108"/>
      <c r="AJ323" s="108"/>
      <c r="AK323" s="108"/>
      <c r="AL323" s="108">
        <f t="shared" si="85"/>
        <v>0</v>
      </c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20">
        <f t="shared" si="86"/>
        <v>0</v>
      </c>
      <c r="CL323" s="122">
        <f t="shared" si="87"/>
        <v>0</v>
      </c>
      <c r="CM323" s="524" t="str">
        <f t="shared" si="89"/>
        <v/>
      </c>
      <c r="CN323" s="526">
        <f t="shared" si="90"/>
        <v>0</v>
      </c>
      <c r="CO323" s="122">
        <f t="shared" si="91"/>
        <v>0</v>
      </c>
      <c r="CP323" s="45" t="str">
        <f t="shared" si="88"/>
        <v>1 - in MILLESIMI   I</v>
      </c>
      <c r="CQ323" s="1"/>
    </row>
    <row r="324" spans="1:95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435">
        <f>IF(AND(W324&gt;=$U$1,W324&lt;=$U$2),IF(X324='ESTRATTO CONTO'!$E$2,1+COUNTIF(U$4:U323,"&gt;0"),0),0)</f>
        <v>0</v>
      </c>
      <c r="V324" s="417">
        <f t="shared" si="92"/>
        <v>321</v>
      </c>
      <c r="W324" s="509"/>
      <c r="X324" s="321"/>
      <c r="Y324" s="321"/>
      <c r="Z324" s="433"/>
      <c r="AA324" s="918">
        <f t="shared" ref="AA324:AA387" si="96">IF(OR(W324&lt;$W$1433,W324&gt;$W$1434),1,0)</f>
        <v>1</v>
      </c>
      <c r="AB324" s="306" t="str">
        <f t="shared" ref="AB324:AB387" si="97">IF(W324&gt;0,IF(AND(W324&gt;=W$1438,W324&lt;=W$1439),CONCATENATE(MONTH(W324)&amp;X324),0),"")</f>
        <v/>
      </c>
      <c r="AC324" s="788"/>
      <c r="AD324" s="119">
        <f t="shared" ref="AD324:AF343" si="98">IF($AB324=0,0,ROUND($Z324*VLOOKUP(AD$2,$F$1010:$Q$1014,VLOOKUP($CP324,$C$1076:$E$1081,3,FALSE),FALSE),2))</f>
        <v>0</v>
      </c>
      <c r="AE324" s="108">
        <f t="shared" si="98"/>
        <v>0</v>
      </c>
      <c r="AF324" s="108">
        <f t="shared" si="98"/>
        <v>0</v>
      </c>
      <c r="AG324" s="108"/>
      <c r="AH324" s="108"/>
      <c r="AI324" s="108"/>
      <c r="AJ324" s="108"/>
      <c r="AK324" s="108"/>
      <c r="AL324" s="108">
        <f t="shared" ref="AL324:AL387" si="99">IF($AB324=0,0,ROUND($Z324*VLOOKUP(AL$2,$F$1010:$Q$1014,VLOOKUP($CP324,$C$1076:$E$1081,3,FALSE),FALSE),2))</f>
        <v>0</v>
      </c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20">
        <f t="shared" ref="CK324:CK387" si="100">IF($AB324=0,0,ROUND($Z324*VLOOKUP(CK$2,$F$1010:$Q$1014,VLOOKUP($CP324,$C$1076:$E$1081,3,FALSE),FALSE),2))</f>
        <v>0</v>
      </c>
      <c r="CL324" s="122">
        <f t="shared" ref="CL324:CL387" si="101">IF(CK$1014&gt;0,0,IF(ISBLANK(W324),0,MONTH(W324)))</f>
        <v>0</v>
      </c>
      <c r="CM324" s="524" t="str">
        <f t="shared" si="89"/>
        <v/>
      </c>
      <c r="CN324" s="526">
        <f t="shared" si="90"/>
        <v>0</v>
      </c>
      <c r="CO324" s="122">
        <f t="shared" si="91"/>
        <v>0</v>
      </c>
      <c r="CP324" s="45" t="str">
        <f t="shared" ref="CP324:CP387" si="102">IF(ISBLANK(AC324),Q$1,AC324)</f>
        <v>1 - in MILLESIMI   I</v>
      </c>
      <c r="CQ324" s="1"/>
    </row>
    <row r="325" spans="1:95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435">
        <f>IF(AND(W325&gt;=$U$1,W325&lt;=$U$2),IF(X325='ESTRATTO CONTO'!$E$2,1+COUNTIF(U$4:U324,"&gt;0"),0),0)</f>
        <v>0</v>
      </c>
      <c r="V325" s="417">
        <f t="shared" si="92"/>
        <v>322</v>
      </c>
      <c r="W325" s="509"/>
      <c r="X325" s="321"/>
      <c r="Y325" s="321"/>
      <c r="Z325" s="433"/>
      <c r="AA325" s="918">
        <f t="shared" si="96"/>
        <v>1</v>
      </c>
      <c r="AB325" s="306" t="str">
        <f t="shared" si="97"/>
        <v/>
      </c>
      <c r="AC325" s="788"/>
      <c r="AD325" s="119">
        <f t="shared" si="98"/>
        <v>0</v>
      </c>
      <c r="AE325" s="108">
        <f t="shared" si="98"/>
        <v>0</v>
      </c>
      <c r="AF325" s="108">
        <f t="shared" si="98"/>
        <v>0</v>
      </c>
      <c r="AG325" s="108"/>
      <c r="AH325" s="108"/>
      <c r="AI325" s="108"/>
      <c r="AJ325" s="108"/>
      <c r="AK325" s="108"/>
      <c r="AL325" s="108">
        <f t="shared" si="99"/>
        <v>0</v>
      </c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20">
        <f t="shared" si="100"/>
        <v>0</v>
      </c>
      <c r="CL325" s="122">
        <f t="shared" si="101"/>
        <v>0</v>
      </c>
      <c r="CM325" s="524" t="str">
        <f t="shared" ref="CM325:CM388" si="103">IF(X325="","",IF(ISERROR(VLOOKUP(X325,B$9:E$45,1,FALSE)),1,0))</f>
        <v/>
      </c>
      <c r="CN325" s="526">
        <f t="shared" ref="CN325:CN388" si="104">IF(AND(W325&gt;=CN$1,W325&lt;=CN$2),Z325,0)</f>
        <v>0</v>
      </c>
      <c r="CO325" s="122">
        <f t="shared" ref="CO325:CO388" si="105">IF(CN325&lt;&gt;0,X325,0)</f>
        <v>0</v>
      </c>
      <c r="CP325" s="45" t="str">
        <f t="shared" si="102"/>
        <v>1 - in MILLESIMI   I</v>
      </c>
      <c r="CQ325" s="1"/>
    </row>
    <row r="326" spans="1:95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435">
        <f>IF(AND(W326&gt;=$U$1,W326&lt;=$U$2),IF(X326='ESTRATTO CONTO'!$E$2,1+COUNTIF(U$4:U325,"&gt;0"),0),0)</f>
        <v>0</v>
      </c>
      <c r="V326" s="417">
        <f t="shared" ref="V326:V389" si="106">V325+1</f>
        <v>323</v>
      </c>
      <c r="W326" s="509"/>
      <c r="X326" s="321"/>
      <c r="Y326" s="321"/>
      <c r="Z326" s="433"/>
      <c r="AA326" s="918">
        <f t="shared" si="96"/>
        <v>1</v>
      </c>
      <c r="AB326" s="306" t="str">
        <f t="shared" si="97"/>
        <v/>
      </c>
      <c r="AC326" s="788"/>
      <c r="AD326" s="119">
        <f t="shared" si="98"/>
        <v>0</v>
      </c>
      <c r="AE326" s="108">
        <f t="shared" si="98"/>
        <v>0</v>
      </c>
      <c r="AF326" s="108">
        <f t="shared" si="98"/>
        <v>0</v>
      </c>
      <c r="AG326" s="108"/>
      <c r="AH326" s="108"/>
      <c r="AI326" s="108"/>
      <c r="AJ326" s="108"/>
      <c r="AK326" s="108"/>
      <c r="AL326" s="108">
        <f t="shared" si="99"/>
        <v>0</v>
      </c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20">
        <f t="shared" si="100"/>
        <v>0</v>
      </c>
      <c r="CL326" s="122">
        <f t="shared" si="101"/>
        <v>0</v>
      </c>
      <c r="CM326" s="524" t="str">
        <f t="shared" si="103"/>
        <v/>
      </c>
      <c r="CN326" s="526">
        <f t="shared" si="104"/>
        <v>0</v>
      </c>
      <c r="CO326" s="122">
        <f t="shared" si="105"/>
        <v>0</v>
      </c>
      <c r="CP326" s="45" t="str">
        <f t="shared" si="102"/>
        <v>1 - in MILLESIMI   I</v>
      </c>
      <c r="CQ326" s="1"/>
    </row>
    <row r="327" spans="1:95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435">
        <f>IF(AND(W327&gt;=$U$1,W327&lt;=$U$2),IF(X327='ESTRATTO CONTO'!$E$2,1+COUNTIF(U$4:U326,"&gt;0"),0),0)</f>
        <v>0</v>
      </c>
      <c r="V327" s="417">
        <f t="shared" si="106"/>
        <v>324</v>
      </c>
      <c r="W327" s="509"/>
      <c r="X327" s="321"/>
      <c r="Y327" s="321"/>
      <c r="Z327" s="433"/>
      <c r="AA327" s="918">
        <f t="shared" si="96"/>
        <v>1</v>
      </c>
      <c r="AB327" s="306" t="str">
        <f t="shared" si="97"/>
        <v/>
      </c>
      <c r="AC327" s="788"/>
      <c r="AD327" s="119">
        <f t="shared" si="98"/>
        <v>0</v>
      </c>
      <c r="AE327" s="108">
        <f t="shared" si="98"/>
        <v>0</v>
      </c>
      <c r="AF327" s="108">
        <f t="shared" si="98"/>
        <v>0</v>
      </c>
      <c r="AG327" s="108"/>
      <c r="AH327" s="108"/>
      <c r="AI327" s="108"/>
      <c r="AJ327" s="108"/>
      <c r="AK327" s="108"/>
      <c r="AL327" s="108">
        <f t="shared" si="99"/>
        <v>0</v>
      </c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20">
        <f t="shared" si="100"/>
        <v>0</v>
      </c>
      <c r="CL327" s="122">
        <f t="shared" si="101"/>
        <v>0</v>
      </c>
      <c r="CM327" s="524" t="str">
        <f t="shared" si="103"/>
        <v/>
      </c>
      <c r="CN327" s="526">
        <f t="shared" si="104"/>
        <v>0</v>
      </c>
      <c r="CO327" s="122">
        <f t="shared" si="105"/>
        <v>0</v>
      </c>
      <c r="CP327" s="45" t="str">
        <f t="shared" si="102"/>
        <v>1 - in MILLESIMI   I</v>
      </c>
      <c r="CQ327" s="1"/>
    </row>
    <row r="328" spans="1:95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435">
        <f>IF(AND(W328&gt;=$U$1,W328&lt;=$U$2),IF(X328='ESTRATTO CONTO'!$E$2,1+COUNTIF(U$4:U327,"&gt;0"),0),0)</f>
        <v>0</v>
      </c>
      <c r="V328" s="417">
        <f t="shared" si="106"/>
        <v>325</v>
      </c>
      <c r="W328" s="509"/>
      <c r="X328" s="321"/>
      <c r="Y328" s="321"/>
      <c r="Z328" s="433"/>
      <c r="AA328" s="918">
        <f t="shared" si="96"/>
        <v>1</v>
      </c>
      <c r="AB328" s="306" t="str">
        <f t="shared" si="97"/>
        <v/>
      </c>
      <c r="AC328" s="788"/>
      <c r="AD328" s="119">
        <f t="shared" si="98"/>
        <v>0</v>
      </c>
      <c r="AE328" s="108">
        <f t="shared" si="98"/>
        <v>0</v>
      </c>
      <c r="AF328" s="108">
        <f t="shared" si="98"/>
        <v>0</v>
      </c>
      <c r="AG328" s="108"/>
      <c r="AH328" s="108"/>
      <c r="AI328" s="108"/>
      <c r="AJ328" s="108"/>
      <c r="AK328" s="108"/>
      <c r="AL328" s="108">
        <f t="shared" si="99"/>
        <v>0</v>
      </c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20">
        <f t="shared" si="100"/>
        <v>0</v>
      </c>
      <c r="CL328" s="122">
        <f t="shared" si="101"/>
        <v>0</v>
      </c>
      <c r="CM328" s="524" t="str">
        <f t="shared" si="103"/>
        <v/>
      </c>
      <c r="CN328" s="526">
        <f t="shared" si="104"/>
        <v>0</v>
      </c>
      <c r="CO328" s="122">
        <f t="shared" si="105"/>
        <v>0</v>
      </c>
      <c r="CP328" s="45" t="str">
        <f t="shared" si="102"/>
        <v>1 - in MILLESIMI   I</v>
      </c>
      <c r="CQ328" s="1"/>
    </row>
    <row r="329" spans="1:95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435">
        <f>IF(AND(W329&gt;=$U$1,W329&lt;=$U$2),IF(X329='ESTRATTO CONTO'!$E$2,1+COUNTIF(U$4:U328,"&gt;0"),0),0)</f>
        <v>0</v>
      </c>
      <c r="V329" s="417">
        <f t="shared" si="106"/>
        <v>326</v>
      </c>
      <c r="W329" s="509"/>
      <c r="X329" s="321"/>
      <c r="Y329" s="321"/>
      <c r="Z329" s="433"/>
      <c r="AA329" s="918">
        <f t="shared" si="96"/>
        <v>1</v>
      </c>
      <c r="AB329" s="306" t="str">
        <f t="shared" si="97"/>
        <v/>
      </c>
      <c r="AC329" s="788"/>
      <c r="AD329" s="119">
        <f t="shared" si="98"/>
        <v>0</v>
      </c>
      <c r="AE329" s="108">
        <f t="shared" si="98"/>
        <v>0</v>
      </c>
      <c r="AF329" s="108">
        <f t="shared" si="98"/>
        <v>0</v>
      </c>
      <c r="AG329" s="108"/>
      <c r="AH329" s="108"/>
      <c r="AI329" s="108"/>
      <c r="AJ329" s="108"/>
      <c r="AK329" s="108"/>
      <c r="AL329" s="108">
        <f t="shared" si="99"/>
        <v>0</v>
      </c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20">
        <f t="shared" si="100"/>
        <v>0</v>
      </c>
      <c r="CL329" s="122">
        <f t="shared" si="101"/>
        <v>0</v>
      </c>
      <c r="CM329" s="524" t="str">
        <f t="shared" si="103"/>
        <v/>
      </c>
      <c r="CN329" s="526">
        <f t="shared" si="104"/>
        <v>0</v>
      </c>
      <c r="CO329" s="122">
        <f t="shared" si="105"/>
        <v>0</v>
      </c>
      <c r="CP329" s="45" t="str">
        <f t="shared" si="102"/>
        <v>1 - in MILLESIMI   I</v>
      </c>
      <c r="CQ329" s="1"/>
    </row>
    <row r="330" spans="1:95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435">
        <f>IF(AND(W330&gt;=$U$1,W330&lt;=$U$2),IF(X330='ESTRATTO CONTO'!$E$2,1+COUNTIF(U$4:U329,"&gt;0"),0),0)</f>
        <v>0</v>
      </c>
      <c r="V330" s="417">
        <f t="shared" si="106"/>
        <v>327</v>
      </c>
      <c r="W330" s="509"/>
      <c r="X330" s="321"/>
      <c r="Y330" s="321"/>
      <c r="Z330" s="433"/>
      <c r="AA330" s="918">
        <f t="shared" si="96"/>
        <v>1</v>
      </c>
      <c r="AB330" s="306" t="str">
        <f t="shared" si="97"/>
        <v/>
      </c>
      <c r="AC330" s="788"/>
      <c r="AD330" s="119">
        <f t="shared" si="98"/>
        <v>0</v>
      </c>
      <c r="AE330" s="108">
        <f t="shared" si="98"/>
        <v>0</v>
      </c>
      <c r="AF330" s="108">
        <f t="shared" si="98"/>
        <v>0</v>
      </c>
      <c r="AG330" s="108"/>
      <c r="AH330" s="108"/>
      <c r="AI330" s="108"/>
      <c r="AJ330" s="108"/>
      <c r="AK330" s="108"/>
      <c r="AL330" s="108">
        <f t="shared" si="99"/>
        <v>0</v>
      </c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20">
        <f t="shared" si="100"/>
        <v>0</v>
      </c>
      <c r="CL330" s="122">
        <f t="shared" si="101"/>
        <v>0</v>
      </c>
      <c r="CM330" s="524" t="str">
        <f t="shared" si="103"/>
        <v/>
      </c>
      <c r="CN330" s="526">
        <f t="shared" si="104"/>
        <v>0</v>
      </c>
      <c r="CO330" s="122">
        <f t="shared" si="105"/>
        <v>0</v>
      </c>
      <c r="CP330" s="45" t="str">
        <f t="shared" si="102"/>
        <v>1 - in MILLESIMI   I</v>
      </c>
      <c r="CQ330" s="1"/>
    </row>
    <row r="331" spans="1:95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435">
        <f>IF(AND(W331&gt;=$U$1,W331&lt;=$U$2),IF(X331='ESTRATTO CONTO'!$E$2,1+COUNTIF(U$4:U330,"&gt;0"),0),0)</f>
        <v>0</v>
      </c>
      <c r="V331" s="417">
        <f t="shared" si="106"/>
        <v>328</v>
      </c>
      <c r="W331" s="509"/>
      <c r="X331" s="321"/>
      <c r="Y331" s="321"/>
      <c r="Z331" s="433"/>
      <c r="AA331" s="918">
        <f t="shared" si="96"/>
        <v>1</v>
      </c>
      <c r="AB331" s="306" t="str">
        <f t="shared" si="97"/>
        <v/>
      </c>
      <c r="AC331" s="788"/>
      <c r="AD331" s="119">
        <f t="shared" si="98"/>
        <v>0</v>
      </c>
      <c r="AE331" s="108">
        <f t="shared" si="98"/>
        <v>0</v>
      </c>
      <c r="AF331" s="108">
        <f t="shared" si="98"/>
        <v>0</v>
      </c>
      <c r="AG331" s="108"/>
      <c r="AH331" s="108"/>
      <c r="AI331" s="108"/>
      <c r="AJ331" s="108"/>
      <c r="AK331" s="108"/>
      <c r="AL331" s="108">
        <f t="shared" si="99"/>
        <v>0</v>
      </c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20">
        <f t="shared" si="100"/>
        <v>0</v>
      </c>
      <c r="CL331" s="122">
        <f t="shared" si="101"/>
        <v>0</v>
      </c>
      <c r="CM331" s="524" t="str">
        <f t="shared" si="103"/>
        <v/>
      </c>
      <c r="CN331" s="526">
        <f t="shared" si="104"/>
        <v>0</v>
      </c>
      <c r="CO331" s="122">
        <f t="shared" si="105"/>
        <v>0</v>
      </c>
      <c r="CP331" s="45" t="str">
        <f t="shared" si="102"/>
        <v>1 - in MILLESIMI   I</v>
      </c>
      <c r="CQ331" s="1"/>
    </row>
    <row r="332" spans="1:95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435">
        <f>IF(AND(W332&gt;=$U$1,W332&lt;=$U$2),IF(X332='ESTRATTO CONTO'!$E$2,1+COUNTIF(U$4:U331,"&gt;0"),0),0)</f>
        <v>0</v>
      </c>
      <c r="V332" s="417">
        <f t="shared" si="106"/>
        <v>329</v>
      </c>
      <c r="W332" s="509"/>
      <c r="X332" s="321"/>
      <c r="Y332" s="321"/>
      <c r="Z332" s="433"/>
      <c r="AA332" s="918">
        <f t="shared" si="96"/>
        <v>1</v>
      </c>
      <c r="AB332" s="306" t="str">
        <f t="shared" si="97"/>
        <v/>
      </c>
      <c r="AC332" s="788"/>
      <c r="AD332" s="119">
        <f t="shared" si="98"/>
        <v>0</v>
      </c>
      <c r="AE332" s="108">
        <f t="shared" si="98"/>
        <v>0</v>
      </c>
      <c r="AF332" s="108">
        <f t="shared" si="98"/>
        <v>0</v>
      </c>
      <c r="AG332" s="108"/>
      <c r="AH332" s="108"/>
      <c r="AI332" s="108"/>
      <c r="AJ332" s="108"/>
      <c r="AK332" s="108"/>
      <c r="AL332" s="108">
        <f t="shared" si="99"/>
        <v>0</v>
      </c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20">
        <f t="shared" si="100"/>
        <v>0</v>
      </c>
      <c r="CL332" s="122">
        <f t="shared" si="101"/>
        <v>0</v>
      </c>
      <c r="CM332" s="524" t="str">
        <f t="shared" si="103"/>
        <v/>
      </c>
      <c r="CN332" s="526">
        <f t="shared" si="104"/>
        <v>0</v>
      </c>
      <c r="CO332" s="122">
        <f t="shared" si="105"/>
        <v>0</v>
      </c>
      <c r="CP332" s="45" t="str">
        <f t="shared" si="102"/>
        <v>1 - in MILLESIMI   I</v>
      </c>
      <c r="CQ332" s="1"/>
    </row>
    <row r="333" spans="1:95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435">
        <f>IF(AND(W333&gt;=$U$1,W333&lt;=$U$2),IF(X333='ESTRATTO CONTO'!$E$2,1+COUNTIF(U$4:U332,"&gt;0"),0),0)</f>
        <v>0</v>
      </c>
      <c r="V333" s="417">
        <f t="shared" si="106"/>
        <v>330</v>
      </c>
      <c r="W333" s="509"/>
      <c r="X333" s="321"/>
      <c r="Y333" s="321"/>
      <c r="Z333" s="433"/>
      <c r="AA333" s="918">
        <f t="shared" si="96"/>
        <v>1</v>
      </c>
      <c r="AB333" s="306" t="str">
        <f t="shared" si="97"/>
        <v/>
      </c>
      <c r="AC333" s="788"/>
      <c r="AD333" s="119">
        <f t="shared" si="98"/>
        <v>0</v>
      </c>
      <c r="AE333" s="108">
        <f t="shared" si="98"/>
        <v>0</v>
      </c>
      <c r="AF333" s="108">
        <f t="shared" si="98"/>
        <v>0</v>
      </c>
      <c r="AG333" s="108"/>
      <c r="AH333" s="108"/>
      <c r="AI333" s="108"/>
      <c r="AJ333" s="108"/>
      <c r="AK333" s="108"/>
      <c r="AL333" s="108">
        <f t="shared" si="99"/>
        <v>0</v>
      </c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20">
        <f t="shared" si="100"/>
        <v>0</v>
      </c>
      <c r="CL333" s="122">
        <f t="shared" si="101"/>
        <v>0</v>
      </c>
      <c r="CM333" s="524" t="str">
        <f t="shared" si="103"/>
        <v/>
      </c>
      <c r="CN333" s="526">
        <f t="shared" si="104"/>
        <v>0</v>
      </c>
      <c r="CO333" s="122">
        <f t="shared" si="105"/>
        <v>0</v>
      </c>
      <c r="CP333" s="45" t="str">
        <f t="shared" si="102"/>
        <v>1 - in MILLESIMI   I</v>
      </c>
      <c r="CQ333" s="1"/>
    </row>
    <row r="334" spans="1:95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435">
        <f>IF(AND(W334&gt;=$U$1,W334&lt;=$U$2),IF(X334='ESTRATTO CONTO'!$E$2,1+COUNTIF(U$4:U333,"&gt;0"),0),0)</f>
        <v>0</v>
      </c>
      <c r="V334" s="417">
        <f t="shared" si="106"/>
        <v>331</v>
      </c>
      <c r="W334" s="509"/>
      <c r="X334" s="321"/>
      <c r="Y334" s="321"/>
      <c r="Z334" s="433"/>
      <c r="AA334" s="918">
        <f t="shared" si="96"/>
        <v>1</v>
      </c>
      <c r="AB334" s="306" t="str">
        <f t="shared" si="97"/>
        <v/>
      </c>
      <c r="AC334" s="788"/>
      <c r="AD334" s="119">
        <f t="shared" si="98"/>
        <v>0</v>
      </c>
      <c r="AE334" s="108">
        <f t="shared" si="98"/>
        <v>0</v>
      </c>
      <c r="AF334" s="108">
        <f t="shared" si="98"/>
        <v>0</v>
      </c>
      <c r="AG334" s="108"/>
      <c r="AH334" s="108"/>
      <c r="AI334" s="108"/>
      <c r="AJ334" s="108"/>
      <c r="AK334" s="108"/>
      <c r="AL334" s="108">
        <f t="shared" si="99"/>
        <v>0</v>
      </c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20">
        <f t="shared" si="100"/>
        <v>0</v>
      </c>
      <c r="CL334" s="122">
        <f t="shared" si="101"/>
        <v>0</v>
      </c>
      <c r="CM334" s="524" t="str">
        <f t="shared" si="103"/>
        <v/>
      </c>
      <c r="CN334" s="526">
        <f t="shared" si="104"/>
        <v>0</v>
      </c>
      <c r="CO334" s="122">
        <f t="shared" si="105"/>
        <v>0</v>
      </c>
      <c r="CP334" s="45" t="str">
        <f t="shared" si="102"/>
        <v>1 - in MILLESIMI   I</v>
      </c>
      <c r="CQ334" s="1"/>
    </row>
    <row r="335" spans="1:95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435">
        <f>IF(AND(W335&gt;=$U$1,W335&lt;=$U$2),IF(X335='ESTRATTO CONTO'!$E$2,1+COUNTIF(U$4:U334,"&gt;0"),0),0)</f>
        <v>0</v>
      </c>
      <c r="V335" s="417">
        <f t="shared" si="106"/>
        <v>332</v>
      </c>
      <c r="W335" s="509"/>
      <c r="X335" s="321"/>
      <c r="Y335" s="321"/>
      <c r="Z335" s="433"/>
      <c r="AA335" s="918">
        <f t="shared" si="96"/>
        <v>1</v>
      </c>
      <c r="AB335" s="306" t="str">
        <f t="shared" si="97"/>
        <v/>
      </c>
      <c r="AC335" s="788"/>
      <c r="AD335" s="119">
        <f t="shared" si="98"/>
        <v>0</v>
      </c>
      <c r="AE335" s="108">
        <f t="shared" si="98"/>
        <v>0</v>
      </c>
      <c r="AF335" s="108">
        <f t="shared" si="98"/>
        <v>0</v>
      </c>
      <c r="AG335" s="108"/>
      <c r="AH335" s="108"/>
      <c r="AI335" s="108"/>
      <c r="AJ335" s="108"/>
      <c r="AK335" s="108"/>
      <c r="AL335" s="108">
        <f t="shared" si="99"/>
        <v>0</v>
      </c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20">
        <f t="shared" si="100"/>
        <v>0</v>
      </c>
      <c r="CL335" s="122">
        <f t="shared" si="101"/>
        <v>0</v>
      </c>
      <c r="CM335" s="524" t="str">
        <f t="shared" si="103"/>
        <v/>
      </c>
      <c r="CN335" s="526">
        <f t="shared" si="104"/>
        <v>0</v>
      </c>
      <c r="CO335" s="122">
        <f t="shared" si="105"/>
        <v>0</v>
      </c>
      <c r="CP335" s="45" t="str">
        <f t="shared" si="102"/>
        <v>1 - in MILLESIMI   I</v>
      </c>
      <c r="CQ335" s="1"/>
    </row>
    <row r="336" spans="1:95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435">
        <f>IF(AND(W336&gt;=$U$1,W336&lt;=$U$2),IF(X336='ESTRATTO CONTO'!$E$2,1+COUNTIF(U$4:U335,"&gt;0"),0),0)</f>
        <v>0</v>
      </c>
      <c r="V336" s="417">
        <f t="shared" si="106"/>
        <v>333</v>
      </c>
      <c r="W336" s="509"/>
      <c r="X336" s="321"/>
      <c r="Y336" s="321"/>
      <c r="Z336" s="433"/>
      <c r="AA336" s="918">
        <f t="shared" si="96"/>
        <v>1</v>
      </c>
      <c r="AB336" s="306" t="str">
        <f t="shared" si="97"/>
        <v/>
      </c>
      <c r="AC336" s="788"/>
      <c r="AD336" s="119">
        <f t="shared" si="98"/>
        <v>0</v>
      </c>
      <c r="AE336" s="108">
        <f t="shared" si="98"/>
        <v>0</v>
      </c>
      <c r="AF336" s="108">
        <f t="shared" si="98"/>
        <v>0</v>
      </c>
      <c r="AG336" s="108"/>
      <c r="AH336" s="108"/>
      <c r="AI336" s="108"/>
      <c r="AJ336" s="108"/>
      <c r="AK336" s="108"/>
      <c r="AL336" s="108">
        <f t="shared" si="99"/>
        <v>0</v>
      </c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20">
        <f t="shared" si="100"/>
        <v>0</v>
      </c>
      <c r="CL336" s="122">
        <f t="shared" si="101"/>
        <v>0</v>
      </c>
      <c r="CM336" s="524" t="str">
        <f t="shared" si="103"/>
        <v/>
      </c>
      <c r="CN336" s="526">
        <f t="shared" si="104"/>
        <v>0</v>
      </c>
      <c r="CO336" s="122">
        <f t="shared" si="105"/>
        <v>0</v>
      </c>
      <c r="CP336" s="45" t="str">
        <f t="shared" si="102"/>
        <v>1 - in MILLESIMI   I</v>
      </c>
      <c r="CQ336" s="1"/>
    </row>
    <row r="337" spans="1:95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435">
        <f>IF(AND(W337&gt;=$U$1,W337&lt;=$U$2),IF(X337='ESTRATTO CONTO'!$E$2,1+COUNTIF(U$4:U336,"&gt;0"),0),0)</f>
        <v>0</v>
      </c>
      <c r="V337" s="417">
        <f t="shared" si="106"/>
        <v>334</v>
      </c>
      <c r="W337" s="509"/>
      <c r="X337" s="321"/>
      <c r="Y337" s="321"/>
      <c r="Z337" s="433"/>
      <c r="AA337" s="918">
        <f t="shared" si="96"/>
        <v>1</v>
      </c>
      <c r="AB337" s="306" t="str">
        <f t="shared" si="97"/>
        <v/>
      </c>
      <c r="AC337" s="788"/>
      <c r="AD337" s="119">
        <f t="shared" si="98"/>
        <v>0</v>
      </c>
      <c r="AE337" s="108">
        <f t="shared" si="98"/>
        <v>0</v>
      </c>
      <c r="AF337" s="108">
        <f t="shared" si="98"/>
        <v>0</v>
      </c>
      <c r="AG337" s="108"/>
      <c r="AH337" s="108"/>
      <c r="AI337" s="108"/>
      <c r="AJ337" s="108"/>
      <c r="AK337" s="108"/>
      <c r="AL337" s="108">
        <f t="shared" si="99"/>
        <v>0</v>
      </c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20">
        <f t="shared" si="100"/>
        <v>0</v>
      </c>
      <c r="CL337" s="122">
        <f t="shared" si="101"/>
        <v>0</v>
      </c>
      <c r="CM337" s="524" t="str">
        <f t="shared" si="103"/>
        <v/>
      </c>
      <c r="CN337" s="526">
        <f t="shared" si="104"/>
        <v>0</v>
      </c>
      <c r="CO337" s="122">
        <f t="shared" si="105"/>
        <v>0</v>
      </c>
      <c r="CP337" s="45" t="str">
        <f t="shared" si="102"/>
        <v>1 - in MILLESIMI   I</v>
      </c>
      <c r="CQ337" s="1"/>
    </row>
    <row r="338" spans="1:95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435">
        <f>IF(AND(W338&gt;=$U$1,W338&lt;=$U$2),IF(X338='ESTRATTO CONTO'!$E$2,1+COUNTIF(U$4:U337,"&gt;0"),0),0)</f>
        <v>0</v>
      </c>
      <c r="V338" s="417">
        <f t="shared" si="106"/>
        <v>335</v>
      </c>
      <c r="W338" s="509"/>
      <c r="X338" s="321"/>
      <c r="Y338" s="321"/>
      <c r="Z338" s="433"/>
      <c r="AA338" s="918">
        <f t="shared" si="96"/>
        <v>1</v>
      </c>
      <c r="AB338" s="306" t="str">
        <f t="shared" si="97"/>
        <v/>
      </c>
      <c r="AC338" s="788"/>
      <c r="AD338" s="119">
        <f t="shared" si="98"/>
        <v>0</v>
      </c>
      <c r="AE338" s="108">
        <f t="shared" si="98"/>
        <v>0</v>
      </c>
      <c r="AF338" s="108">
        <f t="shared" si="98"/>
        <v>0</v>
      </c>
      <c r="AG338" s="108"/>
      <c r="AH338" s="108"/>
      <c r="AI338" s="108"/>
      <c r="AJ338" s="108"/>
      <c r="AK338" s="108"/>
      <c r="AL338" s="108">
        <f t="shared" si="99"/>
        <v>0</v>
      </c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20">
        <f t="shared" si="100"/>
        <v>0</v>
      </c>
      <c r="CL338" s="122">
        <f t="shared" si="101"/>
        <v>0</v>
      </c>
      <c r="CM338" s="524" t="str">
        <f t="shared" si="103"/>
        <v/>
      </c>
      <c r="CN338" s="526">
        <f t="shared" si="104"/>
        <v>0</v>
      </c>
      <c r="CO338" s="122">
        <f t="shared" si="105"/>
        <v>0</v>
      </c>
      <c r="CP338" s="45" t="str">
        <f t="shared" si="102"/>
        <v>1 - in MILLESIMI   I</v>
      </c>
      <c r="CQ338" s="1"/>
    </row>
    <row r="339" spans="1:95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435">
        <f>IF(AND(W339&gt;=$U$1,W339&lt;=$U$2),IF(X339='ESTRATTO CONTO'!$E$2,1+COUNTIF(U$4:U338,"&gt;0"),0),0)</f>
        <v>0</v>
      </c>
      <c r="V339" s="417">
        <f t="shared" si="106"/>
        <v>336</v>
      </c>
      <c r="W339" s="509"/>
      <c r="X339" s="321"/>
      <c r="Y339" s="321"/>
      <c r="Z339" s="433"/>
      <c r="AA339" s="918">
        <f t="shared" si="96"/>
        <v>1</v>
      </c>
      <c r="AB339" s="306" t="str">
        <f t="shared" si="97"/>
        <v/>
      </c>
      <c r="AC339" s="788"/>
      <c r="AD339" s="119">
        <f t="shared" si="98"/>
        <v>0</v>
      </c>
      <c r="AE339" s="108">
        <f t="shared" si="98"/>
        <v>0</v>
      </c>
      <c r="AF339" s="108">
        <f t="shared" si="98"/>
        <v>0</v>
      </c>
      <c r="AG339" s="108"/>
      <c r="AH339" s="108"/>
      <c r="AI339" s="108"/>
      <c r="AJ339" s="108"/>
      <c r="AK339" s="108"/>
      <c r="AL339" s="108">
        <f t="shared" si="99"/>
        <v>0</v>
      </c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20">
        <f t="shared" si="100"/>
        <v>0</v>
      </c>
      <c r="CL339" s="122">
        <f t="shared" si="101"/>
        <v>0</v>
      </c>
      <c r="CM339" s="524" t="str">
        <f t="shared" si="103"/>
        <v/>
      </c>
      <c r="CN339" s="526">
        <f t="shared" si="104"/>
        <v>0</v>
      </c>
      <c r="CO339" s="122">
        <f t="shared" si="105"/>
        <v>0</v>
      </c>
      <c r="CP339" s="45" t="str">
        <f t="shared" si="102"/>
        <v>1 - in MILLESIMI   I</v>
      </c>
      <c r="CQ339" s="1"/>
    </row>
    <row r="340" spans="1:95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435">
        <f>IF(AND(W340&gt;=$U$1,W340&lt;=$U$2),IF(X340='ESTRATTO CONTO'!$E$2,1+COUNTIF(U$4:U339,"&gt;0"),0),0)</f>
        <v>0</v>
      </c>
      <c r="V340" s="417">
        <f t="shared" si="106"/>
        <v>337</v>
      </c>
      <c r="W340" s="509"/>
      <c r="X340" s="321"/>
      <c r="Y340" s="321"/>
      <c r="Z340" s="433"/>
      <c r="AA340" s="918">
        <f t="shared" si="96"/>
        <v>1</v>
      </c>
      <c r="AB340" s="306" t="str">
        <f t="shared" si="97"/>
        <v/>
      </c>
      <c r="AC340" s="788"/>
      <c r="AD340" s="119">
        <f t="shared" si="98"/>
        <v>0</v>
      </c>
      <c r="AE340" s="108">
        <f t="shared" si="98"/>
        <v>0</v>
      </c>
      <c r="AF340" s="108">
        <f t="shared" si="98"/>
        <v>0</v>
      </c>
      <c r="AG340" s="108"/>
      <c r="AH340" s="108"/>
      <c r="AI340" s="108"/>
      <c r="AJ340" s="108"/>
      <c r="AK340" s="108"/>
      <c r="AL340" s="108">
        <f t="shared" si="99"/>
        <v>0</v>
      </c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20">
        <f t="shared" si="100"/>
        <v>0</v>
      </c>
      <c r="CL340" s="122">
        <f t="shared" si="101"/>
        <v>0</v>
      </c>
      <c r="CM340" s="524" t="str">
        <f t="shared" si="103"/>
        <v/>
      </c>
      <c r="CN340" s="526">
        <f t="shared" si="104"/>
        <v>0</v>
      </c>
      <c r="CO340" s="122">
        <f t="shared" si="105"/>
        <v>0</v>
      </c>
      <c r="CP340" s="45" t="str">
        <f t="shared" si="102"/>
        <v>1 - in MILLESIMI   I</v>
      </c>
      <c r="CQ340" s="1"/>
    </row>
    <row r="341" spans="1:95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435">
        <f>IF(AND(W341&gt;=$U$1,W341&lt;=$U$2),IF(X341='ESTRATTO CONTO'!$E$2,1+COUNTIF(U$4:U340,"&gt;0"),0),0)</f>
        <v>0</v>
      </c>
      <c r="V341" s="417">
        <f t="shared" si="106"/>
        <v>338</v>
      </c>
      <c r="W341" s="509"/>
      <c r="X341" s="321"/>
      <c r="Y341" s="321"/>
      <c r="Z341" s="433"/>
      <c r="AA341" s="918">
        <f t="shared" si="96"/>
        <v>1</v>
      </c>
      <c r="AB341" s="306" t="str">
        <f t="shared" si="97"/>
        <v/>
      </c>
      <c r="AC341" s="788"/>
      <c r="AD341" s="119">
        <f t="shared" si="98"/>
        <v>0</v>
      </c>
      <c r="AE341" s="108">
        <f t="shared" si="98"/>
        <v>0</v>
      </c>
      <c r="AF341" s="108">
        <f t="shared" si="98"/>
        <v>0</v>
      </c>
      <c r="AG341" s="108"/>
      <c r="AH341" s="108"/>
      <c r="AI341" s="108"/>
      <c r="AJ341" s="108"/>
      <c r="AK341" s="108"/>
      <c r="AL341" s="108">
        <f t="shared" si="99"/>
        <v>0</v>
      </c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20">
        <f t="shared" si="100"/>
        <v>0</v>
      </c>
      <c r="CL341" s="122">
        <f t="shared" si="101"/>
        <v>0</v>
      </c>
      <c r="CM341" s="524" t="str">
        <f t="shared" si="103"/>
        <v/>
      </c>
      <c r="CN341" s="526">
        <f t="shared" si="104"/>
        <v>0</v>
      </c>
      <c r="CO341" s="122">
        <f t="shared" si="105"/>
        <v>0</v>
      </c>
      <c r="CP341" s="45" t="str">
        <f t="shared" si="102"/>
        <v>1 - in MILLESIMI   I</v>
      </c>
      <c r="CQ341" s="1"/>
    </row>
    <row r="342" spans="1:95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435">
        <f>IF(AND(W342&gt;=$U$1,W342&lt;=$U$2),IF(X342='ESTRATTO CONTO'!$E$2,1+COUNTIF(U$4:U341,"&gt;0"),0),0)</f>
        <v>0</v>
      </c>
      <c r="V342" s="417">
        <f t="shared" si="106"/>
        <v>339</v>
      </c>
      <c r="W342" s="509"/>
      <c r="X342" s="321"/>
      <c r="Y342" s="321"/>
      <c r="Z342" s="433"/>
      <c r="AA342" s="918">
        <f t="shared" si="96"/>
        <v>1</v>
      </c>
      <c r="AB342" s="306" t="str">
        <f t="shared" si="97"/>
        <v/>
      </c>
      <c r="AC342" s="788"/>
      <c r="AD342" s="119">
        <f t="shared" si="98"/>
        <v>0</v>
      </c>
      <c r="AE342" s="108">
        <f t="shared" si="98"/>
        <v>0</v>
      </c>
      <c r="AF342" s="108">
        <f t="shared" si="98"/>
        <v>0</v>
      </c>
      <c r="AG342" s="108"/>
      <c r="AH342" s="108"/>
      <c r="AI342" s="108"/>
      <c r="AJ342" s="108"/>
      <c r="AK342" s="108"/>
      <c r="AL342" s="108">
        <f t="shared" si="99"/>
        <v>0</v>
      </c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20">
        <f t="shared" si="100"/>
        <v>0</v>
      </c>
      <c r="CL342" s="122">
        <f t="shared" si="101"/>
        <v>0</v>
      </c>
      <c r="CM342" s="524" t="str">
        <f t="shared" si="103"/>
        <v/>
      </c>
      <c r="CN342" s="526">
        <f t="shared" si="104"/>
        <v>0</v>
      </c>
      <c r="CO342" s="122">
        <f t="shared" si="105"/>
        <v>0</v>
      </c>
      <c r="CP342" s="45" t="str">
        <f t="shared" si="102"/>
        <v>1 - in MILLESIMI   I</v>
      </c>
      <c r="CQ342" s="1"/>
    </row>
    <row r="343" spans="1:95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435">
        <f>IF(AND(W343&gt;=$U$1,W343&lt;=$U$2),IF(X343='ESTRATTO CONTO'!$E$2,1+COUNTIF(U$4:U342,"&gt;0"),0),0)</f>
        <v>0</v>
      </c>
      <c r="V343" s="417">
        <f t="shared" si="106"/>
        <v>340</v>
      </c>
      <c r="W343" s="509"/>
      <c r="X343" s="321"/>
      <c r="Y343" s="321"/>
      <c r="Z343" s="433"/>
      <c r="AA343" s="918">
        <f t="shared" si="96"/>
        <v>1</v>
      </c>
      <c r="AB343" s="306" t="str">
        <f t="shared" si="97"/>
        <v/>
      </c>
      <c r="AC343" s="788"/>
      <c r="AD343" s="119">
        <f t="shared" si="98"/>
        <v>0</v>
      </c>
      <c r="AE343" s="108">
        <f t="shared" si="98"/>
        <v>0</v>
      </c>
      <c r="AF343" s="108">
        <f t="shared" si="98"/>
        <v>0</v>
      </c>
      <c r="AG343" s="108"/>
      <c r="AH343" s="108"/>
      <c r="AI343" s="108"/>
      <c r="AJ343" s="108"/>
      <c r="AK343" s="108"/>
      <c r="AL343" s="108">
        <f t="shared" si="99"/>
        <v>0</v>
      </c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20">
        <f t="shared" si="100"/>
        <v>0</v>
      </c>
      <c r="CL343" s="122">
        <f t="shared" si="101"/>
        <v>0</v>
      </c>
      <c r="CM343" s="524" t="str">
        <f t="shared" si="103"/>
        <v/>
      </c>
      <c r="CN343" s="526">
        <f t="shared" si="104"/>
        <v>0</v>
      </c>
      <c r="CO343" s="122">
        <f t="shared" si="105"/>
        <v>0</v>
      </c>
      <c r="CP343" s="45" t="str">
        <f t="shared" si="102"/>
        <v>1 - in MILLESIMI   I</v>
      </c>
      <c r="CQ343" s="1"/>
    </row>
    <row r="344" spans="1:95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435">
        <f>IF(AND(W344&gt;=$U$1,W344&lt;=$U$2),IF(X344='ESTRATTO CONTO'!$E$2,1+COUNTIF(U$4:U343,"&gt;0"),0),0)</f>
        <v>0</v>
      </c>
      <c r="V344" s="417">
        <f t="shared" si="106"/>
        <v>341</v>
      </c>
      <c r="W344" s="509"/>
      <c r="X344" s="321"/>
      <c r="Y344" s="321"/>
      <c r="Z344" s="433"/>
      <c r="AA344" s="918">
        <f t="shared" si="96"/>
        <v>1</v>
      </c>
      <c r="AB344" s="306" t="str">
        <f t="shared" si="97"/>
        <v/>
      </c>
      <c r="AC344" s="788"/>
      <c r="AD344" s="119">
        <f t="shared" ref="AD344:AF363" si="107">IF($AB344=0,0,ROUND($Z344*VLOOKUP(AD$2,$F$1010:$Q$1014,VLOOKUP($CP344,$C$1076:$E$1081,3,FALSE),FALSE),2))</f>
        <v>0</v>
      </c>
      <c r="AE344" s="108">
        <f t="shared" si="107"/>
        <v>0</v>
      </c>
      <c r="AF344" s="108">
        <f t="shared" si="107"/>
        <v>0</v>
      </c>
      <c r="AG344" s="108"/>
      <c r="AH344" s="108"/>
      <c r="AI344" s="108"/>
      <c r="AJ344" s="108"/>
      <c r="AK344" s="108"/>
      <c r="AL344" s="108">
        <f t="shared" si="99"/>
        <v>0</v>
      </c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20">
        <f t="shared" si="100"/>
        <v>0</v>
      </c>
      <c r="CL344" s="122">
        <f t="shared" si="101"/>
        <v>0</v>
      </c>
      <c r="CM344" s="524" t="str">
        <f t="shared" si="103"/>
        <v/>
      </c>
      <c r="CN344" s="526">
        <f t="shared" si="104"/>
        <v>0</v>
      </c>
      <c r="CO344" s="122">
        <f t="shared" si="105"/>
        <v>0</v>
      </c>
      <c r="CP344" s="45" t="str">
        <f t="shared" si="102"/>
        <v>1 - in MILLESIMI   I</v>
      </c>
      <c r="CQ344" s="1"/>
    </row>
    <row r="345" spans="1:95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435">
        <f>IF(AND(W345&gt;=$U$1,W345&lt;=$U$2),IF(X345='ESTRATTO CONTO'!$E$2,1+COUNTIF(U$4:U344,"&gt;0"),0),0)</f>
        <v>0</v>
      </c>
      <c r="V345" s="417">
        <f t="shared" si="106"/>
        <v>342</v>
      </c>
      <c r="W345" s="509"/>
      <c r="X345" s="321"/>
      <c r="Y345" s="321"/>
      <c r="Z345" s="433"/>
      <c r="AA345" s="918">
        <f t="shared" si="96"/>
        <v>1</v>
      </c>
      <c r="AB345" s="306" t="str">
        <f t="shared" si="97"/>
        <v/>
      </c>
      <c r="AC345" s="788"/>
      <c r="AD345" s="119">
        <f t="shared" si="107"/>
        <v>0</v>
      </c>
      <c r="AE345" s="108">
        <f t="shared" si="107"/>
        <v>0</v>
      </c>
      <c r="AF345" s="108">
        <f t="shared" si="107"/>
        <v>0</v>
      </c>
      <c r="AG345" s="108"/>
      <c r="AH345" s="108"/>
      <c r="AI345" s="108"/>
      <c r="AJ345" s="108"/>
      <c r="AK345" s="108"/>
      <c r="AL345" s="108">
        <f t="shared" si="99"/>
        <v>0</v>
      </c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20">
        <f t="shared" si="100"/>
        <v>0</v>
      </c>
      <c r="CL345" s="122">
        <f t="shared" si="101"/>
        <v>0</v>
      </c>
      <c r="CM345" s="524" t="str">
        <f t="shared" si="103"/>
        <v/>
      </c>
      <c r="CN345" s="526">
        <f t="shared" si="104"/>
        <v>0</v>
      </c>
      <c r="CO345" s="122">
        <f t="shared" si="105"/>
        <v>0</v>
      </c>
      <c r="CP345" s="45" t="str">
        <f t="shared" si="102"/>
        <v>1 - in MILLESIMI   I</v>
      </c>
      <c r="CQ345" s="1"/>
    </row>
    <row r="346" spans="1:95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435">
        <f>IF(AND(W346&gt;=$U$1,W346&lt;=$U$2),IF(X346='ESTRATTO CONTO'!$E$2,1+COUNTIF(U$4:U345,"&gt;0"),0),0)</f>
        <v>0</v>
      </c>
      <c r="V346" s="417">
        <f t="shared" si="106"/>
        <v>343</v>
      </c>
      <c r="W346" s="509"/>
      <c r="X346" s="321"/>
      <c r="Y346" s="321"/>
      <c r="Z346" s="433"/>
      <c r="AA346" s="918">
        <f t="shared" si="96"/>
        <v>1</v>
      </c>
      <c r="AB346" s="306" t="str">
        <f t="shared" si="97"/>
        <v/>
      </c>
      <c r="AC346" s="788"/>
      <c r="AD346" s="119">
        <f t="shared" si="107"/>
        <v>0</v>
      </c>
      <c r="AE346" s="108">
        <f t="shared" si="107"/>
        <v>0</v>
      </c>
      <c r="AF346" s="108">
        <f t="shared" si="107"/>
        <v>0</v>
      </c>
      <c r="AG346" s="108"/>
      <c r="AH346" s="108"/>
      <c r="AI346" s="108"/>
      <c r="AJ346" s="108"/>
      <c r="AK346" s="108"/>
      <c r="AL346" s="108">
        <f t="shared" si="99"/>
        <v>0</v>
      </c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20">
        <f t="shared" si="100"/>
        <v>0</v>
      </c>
      <c r="CL346" s="122">
        <f t="shared" si="101"/>
        <v>0</v>
      </c>
      <c r="CM346" s="524" t="str">
        <f t="shared" si="103"/>
        <v/>
      </c>
      <c r="CN346" s="526">
        <f t="shared" si="104"/>
        <v>0</v>
      </c>
      <c r="CO346" s="122">
        <f t="shared" si="105"/>
        <v>0</v>
      </c>
      <c r="CP346" s="45" t="str">
        <f t="shared" si="102"/>
        <v>1 - in MILLESIMI   I</v>
      </c>
      <c r="CQ346" s="1"/>
    </row>
    <row r="347" spans="1:95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435">
        <f>IF(AND(W347&gt;=$U$1,W347&lt;=$U$2),IF(X347='ESTRATTO CONTO'!$E$2,1+COUNTIF(U$4:U346,"&gt;0"),0),0)</f>
        <v>0</v>
      </c>
      <c r="V347" s="417">
        <f t="shared" si="106"/>
        <v>344</v>
      </c>
      <c r="W347" s="509"/>
      <c r="X347" s="321"/>
      <c r="Y347" s="321"/>
      <c r="Z347" s="433"/>
      <c r="AA347" s="918">
        <f t="shared" si="96"/>
        <v>1</v>
      </c>
      <c r="AB347" s="306" t="str">
        <f t="shared" si="97"/>
        <v/>
      </c>
      <c r="AC347" s="788"/>
      <c r="AD347" s="119">
        <f t="shared" si="107"/>
        <v>0</v>
      </c>
      <c r="AE347" s="108">
        <f t="shared" si="107"/>
        <v>0</v>
      </c>
      <c r="AF347" s="108">
        <f t="shared" si="107"/>
        <v>0</v>
      </c>
      <c r="AG347" s="108"/>
      <c r="AH347" s="108"/>
      <c r="AI347" s="108"/>
      <c r="AJ347" s="108"/>
      <c r="AK347" s="108"/>
      <c r="AL347" s="108">
        <f t="shared" si="99"/>
        <v>0</v>
      </c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20">
        <f t="shared" si="100"/>
        <v>0</v>
      </c>
      <c r="CL347" s="122">
        <f t="shared" si="101"/>
        <v>0</v>
      </c>
      <c r="CM347" s="524" t="str">
        <f t="shared" si="103"/>
        <v/>
      </c>
      <c r="CN347" s="526">
        <f t="shared" si="104"/>
        <v>0</v>
      </c>
      <c r="CO347" s="122">
        <f t="shared" si="105"/>
        <v>0</v>
      </c>
      <c r="CP347" s="45" t="str">
        <f t="shared" si="102"/>
        <v>1 - in MILLESIMI   I</v>
      </c>
      <c r="CQ347" s="1"/>
    </row>
    <row r="348" spans="1:95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435">
        <f>IF(AND(W348&gt;=$U$1,W348&lt;=$U$2),IF(X348='ESTRATTO CONTO'!$E$2,1+COUNTIF(U$4:U347,"&gt;0"),0),0)</f>
        <v>0</v>
      </c>
      <c r="V348" s="417">
        <f t="shared" si="106"/>
        <v>345</v>
      </c>
      <c r="W348" s="509"/>
      <c r="X348" s="321"/>
      <c r="Y348" s="321"/>
      <c r="Z348" s="433"/>
      <c r="AA348" s="918">
        <f t="shared" si="96"/>
        <v>1</v>
      </c>
      <c r="AB348" s="306" t="str">
        <f t="shared" si="97"/>
        <v/>
      </c>
      <c r="AC348" s="788"/>
      <c r="AD348" s="119">
        <f t="shared" si="107"/>
        <v>0</v>
      </c>
      <c r="AE348" s="108">
        <f t="shared" si="107"/>
        <v>0</v>
      </c>
      <c r="AF348" s="108">
        <f t="shared" si="107"/>
        <v>0</v>
      </c>
      <c r="AG348" s="108"/>
      <c r="AH348" s="108"/>
      <c r="AI348" s="108"/>
      <c r="AJ348" s="108"/>
      <c r="AK348" s="108"/>
      <c r="AL348" s="108">
        <f t="shared" si="99"/>
        <v>0</v>
      </c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20">
        <f t="shared" si="100"/>
        <v>0</v>
      </c>
      <c r="CL348" s="122">
        <f t="shared" si="101"/>
        <v>0</v>
      </c>
      <c r="CM348" s="524" t="str">
        <f t="shared" si="103"/>
        <v/>
      </c>
      <c r="CN348" s="526">
        <f t="shared" si="104"/>
        <v>0</v>
      </c>
      <c r="CO348" s="122">
        <f t="shared" si="105"/>
        <v>0</v>
      </c>
      <c r="CP348" s="45" t="str">
        <f t="shared" si="102"/>
        <v>1 - in MILLESIMI   I</v>
      </c>
      <c r="CQ348" s="1"/>
    </row>
    <row r="349" spans="1:95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435">
        <f>IF(AND(W349&gt;=$U$1,W349&lt;=$U$2),IF(X349='ESTRATTO CONTO'!$E$2,1+COUNTIF(U$4:U348,"&gt;0"),0),0)</f>
        <v>0</v>
      </c>
      <c r="V349" s="417">
        <f t="shared" si="106"/>
        <v>346</v>
      </c>
      <c r="W349" s="509"/>
      <c r="X349" s="321"/>
      <c r="Y349" s="321"/>
      <c r="Z349" s="433"/>
      <c r="AA349" s="918">
        <f t="shared" si="96"/>
        <v>1</v>
      </c>
      <c r="AB349" s="306" t="str">
        <f t="shared" si="97"/>
        <v/>
      </c>
      <c r="AC349" s="788"/>
      <c r="AD349" s="119">
        <f t="shared" si="107"/>
        <v>0</v>
      </c>
      <c r="AE349" s="108">
        <f t="shared" si="107"/>
        <v>0</v>
      </c>
      <c r="AF349" s="108">
        <f t="shared" si="107"/>
        <v>0</v>
      </c>
      <c r="AG349" s="108"/>
      <c r="AH349" s="108"/>
      <c r="AI349" s="108"/>
      <c r="AJ349" s="108"/>
      <c r="AK349" s="108"/>
      <c r="AL349" s="108">
        <f t="shared" si="99"/>
        <v>0</v>
      </c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20">
        <f t="shared" si="100"/>
        <v>0</v>
      </c>
      <c r="CL349" s="122">
        <f t="shared" si="101"/>
        <v>0</v>
      </c>
      <c r="CM349" s="524" t="str">
        <f t="shared" si="103"/>
        <v/>
      </c>
      <c r="CN349" s="526">
        <f t="shared" si="104"/>
        <v>0</v>
      </c>
      <c r="CO349" s="122">
        <f t="shared" si="105"/>
        <v>0</v>
      </c>
      <c r="CP349" s="45" t="str">
        <f t="shared" si="102"/>
        <v>1 - in MILLESIMI   I</v>
      </c>
      <c r="CQ349" s="1"/>
    </row>
    <row r="350" spans="1:95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435">
        <f>IF(AND(W350&gt;=$U$1,W350&lt;=$U$2),IF(X350='ESTRATTO CONTO'!$E$2,1+COUNTIF(U$4:U349,"&gt;0"),0),0)</f>
        <v>0</v>
      </c>
      <c r="V350" s="417">
        <f t="shared" si="106"/>
        <v>347</v>
      </c>
      <c r="W350" s="509"/>
      <c r="X350" s="321"/>
      <c r="Y350" s="321"/>
      <c r="Z350" s="433"/>
      <c r="AA350" s="918">
        <f t="shared" si="96"/>
        <v>1</v>
      </c>
      <c r="AB350" s="306" t="str">
        <f t="shared" si="97"/>
        <v/>
      </c>
      <c r="AC350" s="788"/>
      <c r="AD350" s="119">
        <f t="shared" si="107"/>
        <v>0</v>
      </c>
      <c r="AE350" s="108">
        <f t="shared" si="107"/>
        <v>0</v>
      </c>
      <c r="AF350" s="108">
        <f t="shared" si="107"/>
        <v>0</v>
      </c>
      <c r="AG350" s="108"/>
      <c r="AH350" s="108"/>
      <c r="AI350" s="108"/>
      <c r="AJ350" s="108"/>
      <c r="AK350" s="108"/>
      <c r="AL350" s="108">
        <f t="shared" si="99"/>
        <v>0</v>
      </c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20">
        <f t="shared" si="100"/>
        <v>0</v>
      </c>
      <c r="CL350" s="122">
        <f t="shared" si="101"/>
        <v>0</v>
      </c>
      <c r="CM350" s="524" t="str">
        <f t="shared" si="103"/>
        <v/>
      </c>
      <c r="CN350" s="526">
        <f t="shared" si="104"/>
        <v>0</v>
      </c>
      <c r="CO350" s="122">
        <f t="shared" si="105"/>
        <v>0</v>
      </c>
      <c r="CP350" s="45" t="str">
        <f t="shared" si="102"/>
        <v>1 - in MILLESIMI   I</v>
      </c>
      <c r="CQ350" s="1"/>
    </row>
    <row r="351" spans="1:95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435">
        <f>IF(AND(W351&gt;=$U$1,W351&lt;=$U$2),IF(X351='ESTRATTO CONTO'!$E$2,1+COUNTIF(U$4:U350,"&gt;0"),0),0)</f>
        <v>0</v>
      </c>
      <c r="V351" s="417">
        <f t="shared" si="106"/>
        <v>348</v>
      </c>
      <c r="W351" s="509"/>
      <c r="X351" s="321"/>
      <c r="Y351" s="321"/>
      <c r="Z351" s="433"/>
      <c r="AA351" s="918">
        <f t="shared" si="96"/>
        <v>1</v>
      </c>
      <c r="AB351" s="306" t="str">
        <f t="shared" si="97"/>
        <v/>
      </c>
      <c r="AC351" s="788"/>
      <c r="AD351" s="119">
        <f t="shared" si="107"/>
        <v>0</v>
      </c>
      <c r="AE351" s="108">
        <f t="shared" si="107"/>
        <v>0</v>
      </c>
      <c r="AF351" s="108">
        <f t="shared" si="107"/>
        <v>0</v>
      </c>
      <c r="AG351" s="108"/>
      <c r="AH351" s="108"/>
      <c r="AI351" s="108"/>
      <c r="AJ351" s="108"/>
      <c r="AK351" s="108"/>
      <c r="AL351" s="108">
        <f t="shared" si="99"/>
        <v>0</v>
      </c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20">
        <f t="shared" si="100"/>
        <v>0</v>
      </c>
      <c r="CL351" s="122">
        <f t="shared" si="101"/>
        <v>0</v>
      </c>
      <c r="CM351" s="524" t="str">
        <f t="shared" si="103"/>
        <v/>
      </c>
      <c r="CN351" s="526">
        <f t="shared" si="104"/>
        <v>0</v>
      </c>
      <c r="CO351" s="122">
        <f t="shared" si="105"/>
        <v>0</v>
      </c>
      <c r="CP351" s="45" t="str">
        <f t="shared" si="102"/>
        <v>1 - in MILLESIMI   I</v>
      </c>
      <c r="CQ351" s="1"/>
    </row>
    <row r="352" spans="1:95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435">
        <f>IF(AND(W352&gt;=$U$1,W352&lt;=$U$2),IF(X352='ESTRATTO CONTO'!$E$2,1+COUNTIF(U$4:U351,"&gt;0"),0),0)</f>
        <v>0</v>
      </c>
      <c r="V352" s="417">
        <f t="shared" si="106"/>
        <v>349</v>
      </c>
      <c r="W352" s="509"/>
      <c r="X352" s="321"/>
      <c r="Y352" s="321"/>
      <c r="Z352" s="433"/>
      <c r="AA352" s="918">
        <f t="shared" si="96"/>
        <v>1</v>
      </c>
      <c r="AB352" s="306" t="str">
        <f t="shared" si="97"/>
        <v/>
      </c>
      <c r="AC352" s="788"/>
      <c r="AD352" s="119">
        <f t="shared" si="107"/>
        <v>0</v>
      </c>
      <c r="AE352" s="108">
        <f t="shared" si="107"/>
        <v>0</v>
      </c>
      <c r="AF352" s="108">
        <f t="shared" si="107"/>
        <v>0</v>
      </c>
      <c r="AG352" s="108"/>
      <c r="AH352" s="108"/>
      <c r="AI352" s="108"/>
      <c r="AJ352" s="108"/>
      <c r="AK352" s="108"/>
      <c r="AL352" s="108">
        <f t="shared" si="99"/>
        <v>0</v>
      </c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20">
        <f t="shared" si="100"/>
        <v>0</v>
      </c>
      <c r="CL352" s="122">
        <f t="shared" si="101"/>
        <v>0</v>
      </c>
      <c r="CM352" s="524" t="str">
        <f t="shared" si="103"/>
        <v/>
      </c>
      <c r="CN352" s="526">
        <f t="shared" si="104"/>
        <v>0</v>
      </c>
      <c r="CO352" s="122">
        <f t="shared" si="105"/>
        <v>0</v>
      </c>
      <c r="CP352" s="45" t="str">
        <f t="shared" si="102"/>
        <v>1 - in MILLESIMI   I</v>
      </c>
      <c r="CQ352" s="1"/>
    </row>
    <row r="353" spans="1:95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435">
        <f>IF(AND(W353&gt;=$U$1,W353&lt;=$U$2),IF(X353='ESTRATTO CONTO'!$E$2,1+COUNTIF(U$4:U352,"&gt;0"),0),0)</f>
        <v>0</v>
      </c>
      <c r="V353" s="417">
        <f t="shared" si="106"/>
        <v>350</v>
      </c>
      <c r="W353" s="509"/>
      <c r="X353" s="321"/>
      <c r="Y353" s="321"/>
      <c r="Z353" s="433"/>
      <c r="AA353" s="918">
        <f t="shared" si="96"/>
        <v>1</v>
      </c>
      <c r="AB353" s="306" t="str">
        <f t="shared" si="97"/>
        <v/>
      </c>
      <c r="AC353" s="788"/>
      <c r="AD353" s="119">
        <f t="shared" si="107"/>
        <v>0</v>
      </c>
      <c r="AE353" s="108">
        <f t="shared" si="107"/>
        <v>0</v>
      </c>
      <c r="AF353" s="108">
        <f t="shared" si="107"/>
        <v>0</v>
      </c>
      <c r="AG353" s="108"/>
      <c r="AH353" s="108"/>
      <c r="AI353" s="108"/>
      <c r="AJ353" s="108"/>
      <c r="AK353" s="108"/>
      <c r="AL353" s="108">
        <f t="shared" si="99"/>
        <v>0</v>
      </c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20">
        <f t="shared" si="100"/>
        <v>0</v>
      </c>
      <c r="CL353" s="122">
        <f t="shared" si="101"/>
        <v>0</v>
      </c>
      <c r="CM353" s="524" t="str">
        <f t="shared" si="103"/>
        <v/>
      </c>
      <c r="CN353" s="526">
        <f t="shared" si="104"/>
        <v>0</v>
      </c>
      <c r="CO353" s="122">
        <f t="shared" si="105"/>
        <v>0</v>
      </c>
      <c r="CP353" s="45" t="str">
        <f t="shared" si="102"/>
        <v>1 - in MILLESIMI   I</v>
      </c>
      <c r="CQ353" s="1"/>
    </row>
    <row r="354" spans="1:95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435">
        <f>IF(AND(W354&gt;=$U$1,W354&lt;=$U$2),IF(X354='ESTRATTO CONTO'!$E$2,1+COUNTIF(U$4:U353,"&gt;0"),0),0)</f>
        <v>0</v>
      </c>
      <c r="V354" s="417">
        <f t="shared" si="106"/>
        <v>351</v>
      </c>
      <c r="W354" s="509"/>
      <c r="X354" s="321"/>
      <c r="Y354" s="321"/>
      <c r="Z354" s="433"/>
      <c r="AA354" s="918">
        <f t="shared" si="96"/>
        <v>1</v>
      </c>
      <c r="AB354" s="306" t="str">
        <f t="shared" si="97"/>
        <v/>
      </c>
      <c r="AC354" s="788"/>
      <c r="AD354" s="119">
        <f t="shared" si="107"/>
        <v>0</v>
      </c>
      <c r="AE354" s="108">
        <f t="shared" si="107"/>
        <v>0</v>
      </c>
      <c r="AF354" s="108">
        <f t="shared" si="107"/>
        <v>0</v>
      </c>
      <c r="AG354" s="108"/>
      <c r="AH354" s="108"/>
      <c r="AI354" s="108"/>
      <c r="AJ354" s="108"/>
      <c r="AK354" s="108"/>
      <c r="AL354" s="108">
        <f t="shared" si="99"/>
        <v>0</v>
      </c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20">
        <f t="shared" si="100"/>
        <v>0</v>
      </c>
      <c r="CL354" s="122">
        <f t="shared" si="101"/>
        <v>0</v>
      </c>
      <c r="CM354" s="524" t="str">
        <f t="shared" si="103"/>
        <v/>
      </c>
      <c r="CN354" s="526">
        <f t="shared" si="104"/>
        <v>0</v>
      </c>
      <c r="CO354" s="122">
        <f t="shared" si="105"/>
        <v>0</v>
      </c>
      <c r="CP354" s="45" t="str">
        <f t="shared" si="102"/>
        <v>1 - in MILLESIMI   I</v>
      </c>
      <c r="CQ354" s="1"/>
    </row>
    <row r="355" spans="1:95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435">
        <f>IF(AND(W355&gt;=$U$1,W355&lt;=$U$2),IF(X355='ESTRATTO CONTO'!$E$2,1+COUNTIF(U$4:U354,"&gt;0"),0),0)</f>
        <v>0</v>
      </c>
      <c r="V355" s="417">
        <f t="shared" si="106"/>
        <v>352</v>
      </c>
      <c r="W355" s="509"/>
      <c r="X355" s="321"/>
      <c r="Y355" s="321"/>
      <c r="Z355" s="433"/>
      <c r="AA355" s="918">
        <f t="shared" si="96"/>
        <v>1</v>
      </c>
      <c r="AB355" s="306" t="str">
        <f t="shared" si="97"/>
        <v/>
      </c>
      <c r="AC355" s="788"/>
      <c r="AD355" s="119">
        <f t="shared" si="107"/>
        <v>0</v>
      </c>
      <c r="AE355" s="108">
        <f t="shared" si="107"/>
        <v>0</v>
      </c>
      <c r="AF355" s="108">
        <f t="shared" si="107"/>
        <v>0</v>
      </c>
      <c r="AG355" s="108"/>
      <c r="AH355" s="108"/>
      <c r="AI355" s="108"/>
      <c r="AJ355" s="108"/>
      <c r="AK355" s="108"/>
      <c r="AL355" s="108">
        <f t="shared" si="99"/>
        <v>0</v>
      </c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20">
        <f t="shared" si="100"/>
        <v>0</v>
      </c>
      <c r="CL355" s="122">
        <f t="shared" si="101"/>
        <v>0</v>
      </c>
      <c r="CM355" s="524" t="str">
        <f t="shared" si="103"/>
        <v/>
      </c>
      <c r="CN355" s="526">
        <f t="shared" si="104"/>
        <v>0</v>
      </c>
      <c r="CO355" s="122">
        <f t="shared" si="105"/>
        <v>0</v>
      </c>
      <c r="CP355" s="45" t="str">
        <f t="shared" si="102"/>
        <v>1 - in MILLESIMI   I</v>
      </c>
      <c r="CQ355" s="1"/>
    </row>
    <row r="356" spans="1:95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435">
        <f>IF(AND(W356&gt;=$U$1,W356&lt;=$U$2),IF(X356='ESTRATTO CONTO'!$E$2,1+COUNTIF(U$4:U355,"&gt;0"),0),0)</f>
        <v>0</v>
      </c>
      <c r="V356" s="417">
        <f t="shared" si="106"/>
        <v>353</v>
      </c>
      <c r="W356" s="509"/>
      <c r="X356" s="321"/>
      <c r="Y356" s="321"/>
      <c r="Z356" s="433"/>
      <c r="AA356" s="918">
        <f t="shared" si="96"/>
        <v>1</v>
      </c>
      <c r="AB356" s="306" t="str">
        <f t="shared" si="97"/>
        <v/>
      </c>
      <c r="AC356" s="788"/>
      <c r="AD356" s="119">
        <f t="shared" si="107"/>
        <v>0</v>
      </c>
      <c r="AE356" s="108">
        <f t="shared" si="107"/>
        <v>0</v>
      </c>
      <c r="AF356" s="108">
        <f t="shared" si="107"/>
        <v>0</v>
      </c>
      <c r="AG356" s="108"/>
      <c r="AH356" s="108"/>
      <c r="AI356" s="108"/>
      <c r="AJ356" s="108"/>
      <c r="AK356" s="108"/>
      <c r="AL356" s="108">
        <f t="shared" si="99"/>
        <v>0</v>
      </c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20">
        <f t="shared" si="100"/>
        <v>0</v>
      </c>
      <c r="CL356" s="122">
        <f t="shared" si="101"/>
        <v>0</v>
      </c>
      <c r="CM356" s="524" t="str">
        <f t="shared" si="103"/>
        <v/>
      </c>
      <c r="CN356" s="526">
        <f t="shared" si="104"/>
        <v>0</v>
      </c>
      <c r="CO356" s="122">
        <f t="shared" si="105"/>
        <v>0</v>
      </c>
      <c r="CP356" s="45" t="str">
        <f t="shared" si="102"/>
        <v>1 - in MILLESIMI   I</v>
      </c>
      <c r="CQ356" s="1"/>
    </row>
    <row r="357" spans="1:95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435">
        <f>IF(AND(W357&gt;=$U$1,W357&lt;=$U$2),IF(X357='ESTRATTO CONTO'!$E$2,1+COUNTIF(U$4:U356,"&gt;0"),0),0)</f>
        <v>0</v>
      </c>
      <c r="V357" s="417">
        <f t="shared" si="106"/>
        <v>354</v>
      </c>
      <c r="W357" s="509"/>
      <c r="X357" s="321"/>
      <c r="Y357" s="321"/>
      <c r="Z357" s="433"/>
      <c r="AA357" s="918">
        <f t="shared" si="96"/>
        <v>1</v>
      </c>
      <c r="AB357" s="306" t="str">
        <f t="shared" si="97"/>
        <v/>
      </c>
      <c r="AC357" s="788"/>
      <c r="AD357" s="119">
        <f t="shared" si="107"/>
        <v>0</v>
      </c>
      <c r="AE357" s="108">
        <f t="shared" si="107"/>
        <v>0</v>
      </c>
      <c r="AF357" s="108">
        <f t="shared" si="107"/>
        <v>0</v>
      </c>
      <c r="AG357" s="108"/>
      <c r="AH357" s="108"/>
      <c r="AI357" s="108"/>
      <c r="AJ357" s="108"/>
      <c r="AK357" s="108"/>
      <c r="AL357" s="108">
        <f t="shared" si="99"/>
        <v>0</v>
      </c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20">
        <f t="shared" si="100"/>
        <v>0</v>
      </c>
      <c r="CL357" s="122">
        <f t="shared" si="101"/>
        <v>0</v>
      </c>
      <c r="CM357" s="524" t="str">
        <f t="shared" si="103"/>
        <v/>
      </c>
      <c r="CN357" s="526">
        <f t="shared" si="104"/>
        <v>0</v>
      </c>
      <c r="CO357" s="122">
        <f t="shared" si="105"/>
        <v>0</v>
      </c>
      <c r="CP357" s="45" t="str">
        <f t="shared" si="102"/>
        <v>1 - in MILLESIMI   I</v>
      </c>
      <c r="CQ357" s="1"/>
    </row>
    <row r="358" spans="1:95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435">
        <f>IF(AND(W358&gt;=$U$1,W358&lt;=$U$2),IF(X358='ESTRATTO CONTO'!$E$2,1+COUNTIF(U$4:U357,"&gt;0"),0),0)</f>
        <v>0</v>
      </c>
      <c r="V358" s="417">
        <f t="shared" si="106"/>
        <v>355</v>
      </c>
      <c r="W358" s="509"/>
      <c r="X358" s="321"/>
      <c r="Y358" s="321"/>
      <c r="Z358" s="433"/>
      <c r="AA358" s="918">
        <f t="shared" si="96"/>
        <v>1</v>
      </c>
      <c r="AB358" s="306" t="str">
        <f t="shared" si="97"/>
        <v/>
      </c>
      <c r="AC358" s="788"/>
      <c r="AD358" s="119">
        <f t="shared" si="107"/>
        <v>0</v>
      </c>
      <c r="AE358" s="108">
        <f t="shared" si="107"/>
        <v>0</v>
      </c>
      <c r="AF358" s="108">
        <f t="shared" si="107"/>
        <v>0</v>
      </c>
      <c r="AG358" s="108"/>
      <c r="AH358" s="108"/>
      <c r="AI358" s="108"/>
      <c r="AJ358" s="108"/>
      <c r="AK358" s="108"/>
      <c r="AL358" s="108">
        <f t="shared" si="99"/>
        <v>0</v>
      </c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20">
        <f t="shared" si="100"/>
        <v>0</v>
      </c>
      <c r="CL358" s="122">
        <f t="shared" si="101"/>
        <v>0</v>
      </c>
      <c r="CM358" s="524" t="str">
        <f t="shared" si="103"/>
        <v/>
      </c>
      <c r="CN358" s="526">
        <f t="shared" si="104"/>
        <v>0</v>
      </c>
      <c r="CO358" s="122">
        <f t="shared" si="105"/>
        <v>0</v>
      </c>
      <c r="CP358" s="45" t="str">
        <f t="shared" si="102"/>
        <v>1 - in MILLESIMI   I</v>
      </c>
      <c r="CQ358" s="1"/>
    </row>
    <row r="359" spans="1:95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435">
        <f>IF(AND(W359&gt;=$U$1,W359&lt;=$U$2),IF(X359='ESTRATTO CONTO'!$E$2,1+COUNTIF(U$4:U358,"&gt;0"),0),0)</f>
        <v>0</v>
      </c>
      <c r="V359" s="417">
        <f t="shared" si="106"/>
        <v>356</v>
      </c>
      <c r="W359" s="509"/>
      <c r="X359" s="321"/>
      <c r="Y359" s="321"/>
      <c r="Z359" s="433"/>
      <c r="AA359" s="918">
        <f t="shared" si="96"/>
        <v>1</v>
      </c>
      <c r="AB359" s="306" t="str">
        <f t="shared" si="97"/>
        <v/>
      </c>
      <c r="AC359" s="788"/>
      <c r="AD359" s="119">
        <f t="shared" si="107"/>
        <v>0</v>
      </c>
      <c r="AE359" s="108">
        <f t="shared" si="107"/>
        <v>0</v>
      </c>
      <c r="AF359" s="108">
        <f t="shared" si="107"/>
        <v>0</v>
      </c>
      <c r="AG359" s="108"/>
      <c r="AH359" s="108"/>
      <c r="AI359" s="108"/>
      <c r="AJ359" s="108"/>
      <c r="AK359" s="108"/>
      <c r="AL359" s="108">
        <f t="shared" si="99"/>
        <v>0</v>
      </c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20">
        <f t="shared" si="100"/>
        <v>0</v>
      </c>
      <c r="CL359" s="122">
        <f t="shared" si="101"/>
        <v>0</v>
      </c>
      <c r="CM359" s="524" t="str">
        <f t="shared" si="103"/>
        <v/>
      </c>
      <c r="CN359" s="526">
        <f t="shared" si="104"/>
        <v>0</v>
      </c>
      <c r="CO359" s="122">
        <f t="shared" si="105"/>
        <v>0</v>
      </c>
      <c r="CP359" s="45" t="str">
        <f t="shared" si="102"/>
        <v>1 - in MILLESIMI   I</v>
      </c>
      <c r="CQ359" s="1"/>
    </row>
    <row r="360" spans="1:95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435">
        <f>IF(AND(W360&gt;=$U$1,W360&lt;=$U$2),IF(X360='ESTRATTO CONTO'!$E$2,1+COUNTIF(U$4:U359,"&gt;0"),0),0)</f>
        <v>0</v>
      </c>
      <c r="V360" s="417">
        <f t="shared" si="106"/>
        <v>357</v>
      </c>
      <c r="W360" s="509"/>
      <c r="X360" s="321"/>
      <c r="Y360" s="321"/>
      <c r="Z360" s="433"/>
      <c r="AA360" s="918">
        <f t="shared" si="96"/>
        <v>1</v>
      </c>
      <c r="AB360" s="306" t="str">
        <f t="shared" si="97"/>
        <v/>
      </c>
      <c r="AC360" s="788"/>
      <c r="AD360" s="119">
        <f t="shared" si="107"/>
        <v>0</v>
      </c>
      <c r="AE360" s="108">
        <f t="shared" si="107"/>
        <v>0</v>
      </c>
      <c r="AF360" s="108">
        <f t="shared" si="107"/>
        <v>0</v>
      </c>
      <c r="AG360" s="108"/>
      <c r="AH360" s="108"/>
      <c r="AI360" s="108"/>
      <c r="AJ360" s="108"/>
      <c r="AK360" s="108"/>
      <c r="AL360" s="108">
        <f t="shared" si="99"/>
        <v>0</v>
      </c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20">
        <f t="shared" si="100"/>
        <v>0</v>
      </c>
      <c r="CL360" s="122">
        <f t="shared" si="101"/>
        <v>0</v>
      </c>
      <c r="CM360" s="524" t="str">
        <f t="shared" si="103"/>
        <v/>
      </c>
      <c r="CN360" s="526">
        <f t="shared" si="104"/>
        <v>0</v>
      </c>
      <c r="CO360" s="122">
        <f t="shared" si="105"/>
        <v>0</v>
      </c>
      <c r="CP360" s="45" t="str">
        <f t="shared" si="102"/>
        <v>1 - in MILLESIMI   I</v>
      </c>
      <c r="CQ360" s="1"/>
    </row>
    <row r="361" spans="1:95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435">
        <f>IF(AND(W361&gt;=$U$1,W361&lt;=$U$2),IF(X361='ESTRATTO CONTO'!$E$2,1+COUNTIF(U$4:U360,"&gt;0"),0),0)</f>
        <v>0</v>
      </c>
      <c r="V361" s="417">
        <f t="shared" si="106"/>
        <v>358</v>
      </c>
      <c r="W361" s="509"/>
      <c r="X361" s="321"/>
      <c r="Y361" s="321"/>
      <c r="Z361" s="433"/>
      <c r="AA361" s="918">
        <f t="shared" si="96"/>
        <v>1</v>
      </c>
      <c r="AB361" s="306" t="str">
        <f t="shared" si="97"/>
        <v/>
      </c>
      <c r="AC361" s="788"/>
      <c r="AD361" s="119">
        <f t="shared" si="107"/>
        <v>0</v>
      </c>
      <c r="AE361" s="108">
        <f t="shared" si="107"/>
        <v>0</v>
      </c>
      <c r="AF361" s="108">
        <f t="shared" si="107"/>
        <v>0</v>
      </c>
      <c r="AG361" s="108"/>
      <c r="AH361" s="108"/>
      <c r="AI361" s="108"/>
      <c r="AJ361" s="108"/>
      <c r="AK361" s="108"/>
      <c r="AL361" s="108">
        <f t="shared" si="99"/>
        <v>0</v>
      </c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20">
        <f t="shared" si="100"/>
        <v>0</v>
      </c>
      <c r="CL361" s="122">
        <f t="shared" si="101"/>
        <v>0</v>
      </c>
      <c r="CM361" s="524" t="str">
        <f t="shared" si="103"/>
        <v/>
      </c>
      <c r="CN361" s="526">
        <f t="shared" si="104"/>
        <v>0</v>
      </c>
      <c r="CO361" s="122">
        <f t="shared" si="105"/>
        <v>0</v>
      </c>
      <c r="CP361" s="45" t="str">
        <f t="shared" si="102"/>
        <v>1 - in MILLESIMI   I</v>
      </c>
      <c r="CQ361" s="1"/>
    </row>
    <row r="362" spans="1:95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435">
        <f>IF(AND(W362&gt;=$U$1,W362&lt;=$U$2),IF(X362='ESTRATTO CONTO'!$E$2,1+COUNTIF(U$4:U361,"&gt;0"),0),0)</f>
        <v>0</v>
      </c>
      <c r="V362" s="417">
        <f t="shared" si="106"/>
        <v>359</v>
      </c>
      <c r="W362" s="509"/>
      <c r="X362" s="321"/>
      <c r="Y362" s="321"/>
      <c r="Z362" s="433"/>
      <c r="AA362" s="918">
        <f t="shared" si="96"/>
        <v>1</v>
      </c>
      <c r="AB362" s="306" t="str">
        <f t="shared" si="97"/>
        <v/>
      </c>
      <c r="AC362" s="788"/>
      <c r="AD362" s="119">
        <f t="shared" si="107"/>
        <v>0</v>
      </c>
      <c r="AE362" s="108">
        <f t="shared" si="107"/>
        <v>0</v>
      </c>
      <c r="AF362" s="108">
        <f t="shared" si="107"/>
        <v>0</v>
      </c>
      <c r="AG362" s="108"/>
      <c r="AH362" s="108"/>
      <c r="AI362" s="108"/>
      <c r="AJ362" s="108"/>
      <c r="AK362" s="108"/>
      <c r="AL362" s="108">
        <f t="shared" si="99"/>
        <v>0</v>
      </c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20">
        <f t="shared" si="100"/>
        <v>0</v>
      </c>
      <c r="CL362" s="122">
        <f t="shared" si="101"/>
        <v>0</v>
      </c>
      <c r="CM362" s="524" t="str">
        <f t="shared" si="103"/>
        <v/>
      </c>
      <c r="CN362" s="526">
        <f t="shared" si="104"/>
        <v>0</v>
      </c>
      <c r="CO362" s="122">
        <f t="shared" si="105"/>
        <v>0</v>
      </c>
      <c r="CP362" s="45" t="str">
        <f t="shared" si="102"/>
        <v>1 - in MILLESIMI   I</v>
      </c>
      <c r="CQ362" s="1"/>
    </row>
    <row r="363" spans="1:95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435">
        <f>IF(AND(W363&gt;=$U$1,W363&lt;=$U$2),IF(X363='ESTRATTO CONTO'!$E$2,1+COUNTIF(U$4:U362,"&gt;0"),0),0)</f>
        <v>0</v>
      </c>
      <c r="V363" s="417">
        <f t="shared" si="106"/>
        <v>360</v>
      </c>
      <c r="W363" s="509"/>
      <c r="X363" s="321"/>
      <c r="Y363" s="321"/>
      <c r="Z363" s="433"/>
      <c r="AA363" s="918">
        <f t="shared" si="96"/>
        <v>1</v>
      </c>
      <c r="AB363" s="306" t="str">
        <f t="shared" si="97"/>
        <v/>
      </c>
      <c r="AC363" s="788"/>
      <c r="AD363" s="119">
        <f t="shared" si="107"/>
        <v>0</v>
      </c>
      <c r="AE363" s="108">
        <f t="shared" si="107"/>
        <v>0</v>
      </c>
      <c r="AF363" s="108">
        <f t="shared" si="107"/>
        <v>0</v>
      </c>
      <c r="AG363" s="108"/>
      <c r="AH363" s="108"/>
      <c r="AI363" s="108"/>
      <c r="AJ363" s="108"/>
      <c r="AK363" s="108"/>
      <c r="AL363" s="108">
        <f t="shared" si="99"/>
        <v>0</v>
      </c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20">
        <f t="shared" si="100"/>
        <v>0</v>
      </c>
      <c r="CL363" s="122">
        <f t="shared" si="101"/>
        <v>0</v>
      </c>
      <c r="CM363" s="524" t="str">
        <f t="shared" si="103"/>
        <v/>
      </c>
      <c r="CN363" s="526">
        <f t="shared" si="104"/>
        <v>0</v>
      </c>
      <c r="CO363" s="122">
        <f t="shared" si="105"/>
        <v>0</v>
      </c>
      <c r="CP363" s="45" t="str">
        <f t="shared" si="102"/>
        <v>1 - in MILLESIMI   I</v>
      </c>
      <c r="CQ363" s="1"/>
    </row>
    <row r="364" spans="1:95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435">
        <f>IF(AND(W364&gt;=$U$1,W364&lt;=$U$2),IF(X364='ESTRATTO CONTO'!$E$2,1+COUNTIF(U$4:U363,"&gt;0"),0),0)</f>
        <v>0</v>
      </c>
      <c r="V364" s="417">
        <f t="shared" si="106"/>
        <v>361</v>
      </c>
      <c r="W364" s="509"/>
      <c r="X364" s="321"/>
      <c r="Y364" s="321"/>
      <c r="Z364" s="433"/>
      <c r="AA364" s="918">
        <f t="shared" si="96"/>
        <v>1</v>
      </c>
      <c r="AB364" s="306" t="str">
        <f t="shared" si="97"/>
        <v/>
      </c>
      <c r="AC364" s="788"/>
      <c r="AD364" s="119">
        <f t="shared" ref="AD364:AF383" si="108">IF($AB364=0,0,ROUND($Z364*VLOOKUP(AD$2,$F$1010:$Q$1014,VLOOKUP($CP364,$C$1076:$E$1081,3,FALSE),FALSE),2))</f>
        <v>0</v>
      </c>
      <c r="AE364" s="108">
        <f t="shared" si="108"/>
        <v>0</v>
      </c>
      <c r="AF364" s="108">
        <f t="shared" si="108"/>
        <v>0</v>
      </c>
      <c r="AG364" s="108"/>
      <c r="AH364" s="108"/>
      <c r="AI364" s="108"/>
      <c r="AJ364" s="108"/>
      <c r="AK364" s="108"/>
      <c r="AL364" s="108">
        <f t="shared" si="99"/>
        <v>0</v>
      </c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20">
        <f t="shared" si="100"/>
        <v>0</v>
      </c>
      <c r="CL364" s="122">
        <f t="shared" si="101"/>
        <v>0</v>
      </c>
      <c r="CM364" s="524" t="str">
        <f t="shared" si="103"/>
        <v/>
      </c>
      <c r="CN364" s="526">
        <f t="shared" si="104"/>
        <v>0</v>
      </c>
      <c r="CO364" s="122">
        <f t="shared" si="105"/>
        <v>0</v>
      </c>
      <c r="CP364" s="45" t="str">
        <f t="shared" si="102"/>
        <v>1 - in MILLESIMI   I</v>
      </c>
      <c r="CQ364" s="1"/>
    </row>
    <row r="365" spans="1:95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435">
        <f>IF(AND(W365&gt;=$U$1,W365&lt;=$U$2),IF(X365='ESTRATTO CONTO'!$E$2,1+COUNTIF(U$4:U364,"&gt;0"),0),0)</f>
        <v>0</v>
      </c>
      <c r="V365" s="417">
        <f t="shared" si="106"/>
        <v>362</v>
      </c>
      <c r="W365" s="509"/>
      <c r="X365" s="321"/>
      <c r="Y365" s="321"/>
      <c r="Z365" s="433"/>
      <c r="AA365" s="918">
        <f t="shared" si="96"/>
        <v>1</v>
      </c>
      <c r="AB365" s="306" t="str">
        <f t="shared" si="97"/>
        <v/>
      </c>
      <c r="AC365" s="788"/>
      <c r="AD365" s="119">
        <f t="shared" si="108"/>
        <v>0</v>
      </c>
      <c r="AE365" s="108">
        <f t="shared" si="108"/>
        <v>0</v>
      </c>
      <c r="AF365" s="108">
        <f t="shared" si="108"/>
        <v>0</v>
      </c>
      <c r="AG365" s="108"/>
      <c r="AH365" s="108"/>
      <c r="AI365" s="108"/>
      <c r="AJ365" s="108"/>
      <c r="AK365" s="108"/>
      <c r="AL365" s="108">
        <f t="shared" si="99"/>
        <v>0</v>
      </c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20">
        <f t="shared" si="100"/>
        <v>0</v>
      </c>
      <c r="CL365" s="122">
        <f t="shared" si="101"/>
        <v>0</v>
      </c>
      <c r="CM365" s="524" t="str">
        <f t="shared" si="103"/>
        <v/>
      </c>
      <c r="CN365" s="526">
        <f t="shared" si="104"/>
        <v>0</v>
      </c>
      <c r="CO365" s="122">
        <f t="shared" si="105"/>
        <v>0</v>
      </c>
      <c r="CP365" s="45" t="str">
        <f t="shared" si="102"/>
        <v>1 - in MILLESIMI   I</v>
      </c>
      <c r="CQ365" s="1"/>
    </row>
    <row r="366" spans="1:95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435">
        <f>IF(AND(W366&gt;=$U$1,W366&lt;=$U$2),IF(X366='ESTRATTO CONTO'!$E$2,1+COUNTIF(U$4:U365,"&gt;0"),0),0)</f>
        <v>0</v>
      </c>
      <c r="V366" s="417">
        <f t="shared" si="106"/>
        <v>363</v>
      </c>
      <c r="W366" s="509"/>
      <c r="X366" s="321"/>
      <c r="Y366" s="321"/>
      <c r="Z366" s="433"/>
      <c r="AA366" s="918">
        <f t="shared" si="96"/>
        <v>1</v>
      </c>
      <c r="AB366" s="306" t="str">
        <f t="shared" si="97"/>
        <v/>
      </c>
      <c r="AC366" s="788"/>
      <c r="AD366" s="119">
        <f t="shared" si="108"/>
        <v>0</v>
      </c>
      <c r="AE366" s="108">
        <f t="shared" si="108"/>
        <v>0</v>
      </c>
      <c r="AF366" s="108">
        <f t="shared" si="108"/>
        <v>0</v>
      </c>
      <c r="AG366" s="108"/>
      <c r="AH366" s="108"/>
      <c r="AI366" s="108"/>
      <c r="AJ366" s="108"/>
      <c r="AK366" s="108"/>
      <c r="AL366" s="108">
        <f t="shared" si="99"/>
        <v>0</v>
      </c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20">
        <f t="shared" si="100"/>
        <v>0</v>
      </c>
      <c r="CL366" s="122">
        <f t="shared" si="101"/>
        <v>0</v>
      </c>
      <c r="CM366" s="524" t="str">
        <f t="shared" si="103"/>
        <v/>
      </c>
      <c r="CN366" s="526">
        <f t="shared" si="104"/>
        <v>0</v>
      </c>
      <c r="CO366" s="122">
        <f t="shared" si="105"/>
        <v>0</v>
      </c>
      <c r="CP366" s="45" t="str">
        <f t="shared" si="102"/>
        <v>1 - in MILLESIMI   I</v>
      </c>
      <c r="CQ366" s="1"/>
    </row>
    <row r="367" spans="1:95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435">
        <f>IF(AND(W367&gt;=$U$1,W367&lt;=$U$2),IF(X367='ESTRATTO CONTO'!$E$2,1+COUNTIF(U$4:U366,"&gt;0"),0),0)</f>
        <v>0</v>
      </c>
      <c r="V367" s="417">
        <f t="shared" si="106"/>
        <v>364</v>
      </c>
      <c r="W367" s="509"/>
      <c r="X367" s="321"/>
      <c r="Y367" s="321"/>
      <c r="Z367" s="433"/>
      <c r="AA367" s="918">
        <f t="shared" si="96"/>
        <v>1</v>
      </c>
      <c r="AB367" s="306" t="str">
        <f t="shared" si="97"/>
        <v/>
      </c>
      <c r="AC367" s="788"/>
      <c r="AD367" s="119">
        <f t="shared" si="108"/>
        <v>0</v>
      </c>
      <c r="AE367" s="108">
        <f t="shared" si="108"/>
        <v>0</v>
      </c>
      <c r="AF367" s="108">
        <f t="shared" si="108"/>
        <v>0</v>
      </c>
      <c r="AG367" s="108"/>
      <c r="AH367" s="108"/>
      <c r="AI367" s="108"/>
      <c r="AJ367" s="108"/>
      <c r="AK367" s="108"/>
      <c r="AL367" s="108">
        <f t="shared" si="99"/>
        <v>0</v>
      </c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20">
        <f t="shared" si="100"/>
        <v>0</v>
      </c>
      <c r="CL367" s="122">
        <f t="shared" si="101"/>
        <v>0</v>
      </c>
      <c r="CM367" s="524" t="str">
        <f t="shared" si="103"/>
        <v/>
      </c>
      <c r="CN367" s="526">
        <f t="shared" si="104"/>
        <v>0</v>
      </c>
      <c r="CO367" s="122">
        <f t="shared" si="105"/>
        <v>0</v>
      </c>
      <c r="CP367" s="45" t="str">
        <f t="shared" si="102"/>
        <v>1 - in MILLESIMI   I</v>
      </c>
      <c r="CQ367" s="1"/>
    </row>
    <row r="368" spans="1:95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435">
        <f>IF(AND(W368&gt;=$U$1,W368&lt;=$U$2),IF(X368='ESTRATTO CONTO'!$E$2,1+COUNTIF(U$4:U367,"&gt;0"),0),0)</f>
        <v>0</v>
      </c>
      <c r="V368" s="417">
        <f t="shared" si="106"/>
        <v>365</v>
      </c>
      <c r="W368" s="509"/>
      <c r="X368" s="321"/>
      <c r="Y368" s="321"/>
      <c r="Z368" s="433"/>
      <c r="AA368" s="918">
        <f t="shared" si="96"/>
        <v>1</v>
      </c>
      <c r="AB368" s="306" t="str">
        <f t="shared" si="97"/>
        <v/>
      </c>
      <c r="AC368" s="788"/>
      <c r="AD368" s="119">
        <f t="shared" si="108"/>
        <v>0</v>
      </c>
      <c r="AE368" s="108">
        <f t="shared" si="108"/>
        <v>0</v>
      </c>
      <c r="AF368" s="108">
        <f t="shared" si="108"/>
        <v>0</v>
      </c>
      <c r="AG368" s="108"/>
      <c r="AH368" s="108"/>
      <c r="AI368" s="108"/>
      <c r="AJ368" s="108"/>
      <c r="AK368" s="108"/>
      <c r="AL368" s="108">
        <f t="shared" si="99"/>
        <v>0</v>
      </c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20">
        <f t="shared" si="100"/>
        <v>0</v>
      </c>
      <c r="CL368" s="122">
        <f t="shared" si="101"/>
        <v>0</v>
      </c>
      <c r="CM368" s="524" t="str">
        <f t="shared" si="103"/>
        <v/>
      </c>
      <c r="CN368" s="526">
        <f t="shared" si="104"/>
        <v>0</v>
      </c>
      <c r="CO368" s="122">
        <f t="shared" si="105"/>
        <v>0</v>
      </c>
      <c r="CP368" s="45" t="str">
        <f t="shared" si="102"/>
        <v>1 - in MILLESIMI   I</v>
      </c>
      <c r="CQ368" s="1"/>
    </row>
    <row r="369" spans="1:95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435">
        <f>IF(AND(W369&gt;=$U$1,W369&lt;=$U$2),IF(X369='ESTRATTO CONTO'!$E$2,1+COUNTIF(U$4:U368,"&gt;0"),0),0)</f>
        <v>0</v>
      </c>
      <c r="V369" s="417">
        <f t="shared" si="106"/>
        <v>366</v>
      </c>
      <c r="W369" s="509"/>
      <c r="X369" s="321"/>
      <c r="Y369" s="321"/>
      <c r="Z369" s="433"/>
      <c r="AA369" s="918">
        <f t="shared" si="96"/>
        <v>1</v>
      </c>
      <c r="AB369" s="306" t="str">
        <f t="shared" si="97"/>
        <v/>
      </c>
      <c r="AC369" s="788"/>
      <c r="AD369" s="119">
        <f t="shared" si="108"/>
        <v>0</v>
      </c>
      <c r="AE369" s="108">
        <f t="shared" si="108"/>
        <v>0</v>
      </c>
      <c r="AF369" s="108">
        <f t="shared" si="108"/>
        <v>0</v>
      </c>
      <c r="AG369" s="108"/>
      <c r="AH369" s="108"/>
      <c r="AI369" s="108"/>
      <c r="AJ369" s="108"/>
      <c r="AK369" s="108"/>
      <c r="AL369" s="108">
        <f t="shared" si="99"/>
        <v>0</v>
      </c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20">
        <f t="shared" si="100"/>
        <v>0</v>
      </c>
      <c r="CL369" s="122">
        <f t="shared" si="101"/>
        <v>0</v>
      </c>
      <c r="CM369" s="524" t="str">
        <f t="shared" si="103"/>
        <v/>
      </c>
      <c r="CN369" s="526">
        <f t="shared" si="104"/>
        <v>0</v>
      </c>
      <c r="CO369" s="122">
        <f t="shared" si="105"/>
        <v>0</v>
      </c>
      <c r="CP369" s="45" t="str">
        <f t="shared" si="102"/>
        <v>1 - in MILLESIMI   I</v>
      </c>
      <c r="CQ369" s="1"/>
    </row>
    <row r="370" spans="1:95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435">
        <f>IF(AND(W370&gt;=$U$1,W370&lt;=$U$2),IF(X370='ESTRATTO CONTO'!$E$2,1+COUNTIF(U$4:U369,"&gt;0"),0),0)</f>
        <v>0</v>
      </c>
      <c r="V370" s="417">
        <f t="shared" si="106"/>
        <v>367</v>
      </c>
      <c r="W370" s="509"/>
      <c r="X370" s="321"/>
      <c r="Y370" s="321"/>
      <c r="Z370" s="433"/>
      <c r="AA370" s="918">
        <f t="shared" si="96"/>
        <v>1</v>
      </c>
      <c r="AB370" s="306" t="str">
        <f t="shared" si="97"/>
        <v/>
      </c>
      <c r="AC370" s="788"/>
      <c r="AD370" s="119">
        <f t="shared" si="108"/>
        <v>0</v>
      </c>
      <c r="AE370" s="108">
        <f t="shared" si="108"/>
        <v>0</v>
      </c>
      <c r="AF370" s="108">
        <f t="shared" si="108"/>
        <v>0</v>
      </c>
      <c r="AG370" s="108"/>
      <c r="AH370" s="108"/>
      <c r="AI370" s="108"/>
      <c r="AJ370" s="108"/>
      <c r="AK370" s="108"/>
      <c r="AL370" s="108">
        <f t="shared" si="99"/>
        <v>0</v>
      </c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20">
        <f t="shared" si="100"/>
        <v>0</v>
      </c>
      <c r="CL370" s="122">
        <f t="shared" si="101"/>
        <v>0</v>
      </c>
      <c r="CM370" s="524" t="str">
        <f t="shared" si="103"/>
        <v/>
      </c>
      <c r="CN370" s="526">
        <f t="shared" si="104"/>
        <v>0</v>
      </c>
      <c r="CO370" s="122">
        <f t="shared" si="105"/>
        <v>0</v>
      </c>
      <c r="CP370" s="45" t="str">
        <f t="shared" si="102"/>
        <v>1 - in MILLESIMI   I</v>
      </c>
      <c r="CQ370" s="1"/>
    </row>
    <row r="371" spans="1:95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435">
        <f>IF(AND(W371&gt;=$U$1,W371&lt;=$U$2),IF(X371='ESTRATTO CONTO'!$E$2,1+COUNTIF(U$4:U370,"&gt;0"),0),0)</f>
        <v>0</v>
      </c>
      <c r="V371" s="417">
        <f t="shared" si="106"/>
        <v>368</v>
      </c>
      <c r="W371" s="509"/>
      <c r="X371" s="321"/>
      <c r="Y371" s="321"/>
      <c r="Z371" s="433"/>
      <c r="AA371" s="918">
        <f t="shared" si="96"/>
        <v>1</v>
      </c>
      <c r="AB371" s="306" t="str">
        <f t="shared" si="97"/>
        <v/>
      </c>
      <c r="AC371" s="788"/>
      <c r="AD371" s="119">
        <f t="shared" si="108"/>
        <v>0</v>
      </c>
      <c r="AE371" s="108">
        <f t="shared" si="108"/>
        <v>0</v>
      </c>
      <c r="AF371" s="108">
        <f t="shared" si="108"/>
        <v>0</v>
      </c>
      <c r="AG371" s="108"/>
      <c r="AH371" s="108"/>
      <c r="AI371" s="108"/>
      <c r="AJ371" s="108"/>
      <c r="AK371" s="108"/>
      <c r="AL371" s="108">
        <f t="shared" si="99"/>
        <v>0</v>
      </c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20">
        <f t="shared" si="100"/>
        <v>0</v>
      </c>
      <c r="CL371" s="122">
        <f t="shared" si="101"/>
        <v>0</v>
      </c>
      <c r="CM371" s="524" t="str">
        <f t="shared" si="103"/>
        <v/>
      </c>
      <c r="CN371" s="526">
        <f t="shared" si="104"/>
        <v>0</v>
      </c>
      <c r="CO371" s="122">
        <f t="shared" si="105"/>
        <v>0</v>
      </c>
      <c r="CP371" s="45" t="str">
        <f t="shared" si="102"/>
        <v>1 - in MILLESIMI   I</v>
      </c>
      <c r="CQ371" s="1"/>
    </row>
    <row r="372" spans="1:95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435">
        <f>IF(AND(W372&gt;=$U$1,W372&lt;=$U$2),IF(X372='ESTRATTO CONTO'!$E$2,1+COUNTIF(U$4:U371,"&gt;0"),0),0)</f>
        <v>0</v>
      </c>
      <c r="V372" s="417">
        <f t="shared" si="106"/>
        <v>369</v>
      </c>
      <c r="W372" s="509"/>
      <c r="X372" s="321"/>
      <c r="Y372" s="321"/>
      <c r="Z372" s="433"/>
      <c r="AA372" s="918">
        <f t="shared" si="96"/>
        <v>1</v>
      </c>
      <c r="AB372" s="306" t="str">
        <f t="shared" si="97"/>
        <v/>
      </c>
      <c r="AC372" s="788"/>
      <c r="AD372" s="119">
        <f t="shared" si="108"/>
        <v>0</v>
      </c>
      <c r="AE372" s="108">
        <f t="shared" si="108"/>
        <v>0</v>
      </c>
      <c r="AF372" s="108">
        <f t="shared" si="108"/>
        <v>0</v>
      </c>
      <c r="AG372" s="108"/>
      <c r="AH372" s="108"/>
      <c r="AI372" s="108"/>
      <c r="AJ372" s="108"/>
      <c r="AK372" s="108"/>
      <c r="AL372" s="108">
        <f t="shared" si="99"/>
        <v>0</v>
      </c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20">
        <f t="shared" si="100"/>
        <v>0</v>
      </c>
      <c r="CL372" s="122">
        <f t="shared" si="101"/>
        <v>0</v>
      </c>
      <c r="CM372" s="524" t="str">
        <f t="shared" si="103"/>
        <v/>
      </c>
      <c r="CN372" s="526">
        <f t="shared" si="104"/>
        <v>0</v>
      </c>
      <c r="CO372" s="122">
        <f t="shared" si="105"/>
        <v>0</v>
      </c>
      <c r="CP372" s="45" t="str">
        <f t="shared" si="102"/>
        <v>1 - in MILLESIMI   I</v>
      </c>
      <c r="CQ372" s="1"/>
    </row>
    <row r="373" spans="1:95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435">
        <f>IF(AND(W373&gt;=$U$1,W373&lt;=$U$2),IF(X373='ESTRATTO CONTO'!$E$2,1+COUNTIF(U$4:U372,"&gt;0"),0),0)</f>
        <v>0</v>
      </c>
      <c r="V373" s="417">
        <f t="shared" si="106"/>
        <v>370</v>
      </c>
      <c r="W373" s="509"/>
      <c r="X373" s="321"/>
      <c r="Y373" s="321"/>
      <c r="Z373" s="433"/>
      <c r="AA373" s="918">
        <f t="shared" si="96"/>
        <v>1</v>
      </c>
      <c r="AB373" s="306" t="str">
        <f t="shared" si="97"/>
        <v/>
      </c>
      <c r="AC373" s="788"/>
      <c r="AD373" s="119">
        <f t="shared" si="108"/>
        <v>0</v>
      </c>
      <c r="AE373" s="108">
        <f t="shared" si="108"/>
        <v>0</v>
      </c>
      <c r="AF373" s="108">
        <f t="shared" si="108"/>
        <v>0</v>
      </c>
      <c r="AG373" s="108"/>
      <c r="AH373" s="108"/>
      <c r="AI373" s="108"/>
      <c r="AJ373" s="108"/>
      <c r="AK373" s="108"/>
      <c r="AL373" s="108">
        <f t="shared" si="99"/>
        <v>0</v>
      </c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20">
        <f t="shared" si="100"/>
        <v>0</v>
      </c>
      <c r="CL373" s="122">
        <f t="shared" si="101"/>
        <v>0</v>
      </c>
      <c r="CM373" s="524" t="str">
        <f t="shared" si="103"/>
        <v/>
      </c>
      <c r="CN373" s="526">
        <f t="shared" si="104"/>
        <v>0</v>
      </c>
      <c r="CO373" s="122">
        <f t="shared" si="105"/>
        <v>0</v>
      </c>
      <c r="CP373" s="45" t="str">
        <f t="shared" si="102"/>
        <v>1 - in MILLESIMI   I</v>
      </c>
      <c r="CQ373" s="1"/>
    </row>
    <row r="374" spans="1:95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435">
        <f>IF(AND(W374&gt;=$U$1,W374&lt;=$U$2),IF(X374='ESTRATTO CONTO'!$E$2,1+COUNTIF(U$4:U373,"&gt;0"),0),0)</f>
        <v>0</v>
      </c>
      <c r="V374" s="417">
        <f t="shared" si="106"/>
        <v>371</v>
      </c>
      <c r="W374" s="509"/>
      <c r="X374" s="321"/>
      <c r="Y374" s="321"/>
      <c r="Z374" s="433"/>
      <c r="AA374" s="918">
        <f t="shared" si="96"/>
        <v>1</v>
      </c>
      <c r="AB374" s="306" t="str">
        <f t="shared" si="97"/>
        <v/>
      </c>
      <c r="AC374" s="788"/>
      <c r="AD374" s="119">
        <f t="shared" si="108"/>
        <v>0</v>
      </c>
      <c r="AE374" s="108">
        <f t="shared" si="108"/>
        <v>0</v>
      </c>
      <c r="AF374" s="108">
        <f t="shared" si="108"/>
        <v>0</v>
      </c>
      <c r="AG374" s="108"/>
      <c r="AH374" s="108"/>
      <c r="AI374" s="108"/>
      <c r="AJ374" s="108"/>
      <c r="AK374" s="108"/>
      <c r="AL374" s="108">
        <f t="shared" si="99"/>
        <v>0</v>
      </c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20">
        <f t="shared" si="100"/>
        <v>0</v>
      </c>
      <c r="CL374" s="122">
        <f t="shared" si="101"/>
        <v>0</v>
      </c>
      <c r="CM374" s="524" t="str">
        <f t="shared" si="103"/>
        <v/>
      </c>
      <c r="CN374" s="526">
        <f t="shared" si="104"/>
        <v>0</v>
      </c>
      <c r="CO374" s="122">
        <f t="shared" si="105"/>
        <v>0</v>
      </c>
      <c r="CP374" s="45" t="str">
        <f t="shared" si="102"/>
        <v>1 - in MILLESIMI   I</v>
      </c>
      <c r="CQ374" s="1"/>
    </row>
    <row r="375" spans="1:95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435">
        <f>IF(AND(W375&gt;=$U$1,W375&lt;=$U$2),IF(X375='ESTRATTO CONTO'!$E$2,1+COUNTIF(U$4:U374,"&gt;0"),0),0)</f>
        <v>0</v>
      </c>
      <c r="V375" s="417">
        <f t="shared" si="106"/>
        <v>372</v>
      </c>
      <c r="W375" s="509"/>
      <c r="X375" s="321"/>
      <c r="Y375" s="321"/>
      <c r="Z375" s="433"/>
      <c r="AA375" s="918">
        <f t="shared" si="96"/>
        <v>1</v>
      </c>
      <c r="AB375" s="306" t="str">
        <f t="shared" si="97"/>
        <v/>
      </c>
      <c r="AC375" s="788"/>
      <c r="AD375" s="119">
        <f t="shared" si="108"/>
        <v>0</v>
      </c>
      <c r="AE375" s="108">
        <f t="shared" si="108"/>
        <v>0</v>
      </c>
      <c r="AF375" s="108">
        <f t="shared" si="108"/>
        <v>0</v>
      </c>
      <c r="AG375" s="108"/>
      <c r="AH375" s="108"/>
      <c r="AI375" s="108"/>
      <c r="AJ375" s="108"/>
      <c r="AK375" s="108"/>
      <c r="AL375" s="108">
        <f t="shared" si="99"/>
        <v>0</v>
      </c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20">
        <f t="shared" si="100"/>
        <v>0</v>
      </c>
      <c r="CL375" s="122">
        <f t="shared" si="101"/>
        <v>0</v>
      </c>
      <c r="CM375" s="524" t="str">
        <f t="shared" si="103"/>
        <v/>
      </c>
      <c r="CN375" s="526">
        <f t="shared" si="104"/>
        <v>0</v>
      </c>
      <c r="CO375" s="122">
        <f t="shared" si="105"/>
        <v>0</v>
      </c>
      <c r="CP375" s="45" t="str">
        <f t="shared" si="102"/>
        <v>1 - in MILLESIMI   I</v>
      </c>
      <c r="CQ375" s="1"/>
    </row>
    <row r="376" spans="1:95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435">
        <f>IF(AND(W376&gt;=$U$1,W376&lt;=$U$2),IF(X376='ESTRATTO CONTO'!$E$2,1+COUNTIF(U$4:U375,"&gt;0"),0),0)</f>
        <v>0</v>
      </c>
      <c r="V376" s="417">
        <f t="shared" si="106"/>
        <v>373</v>
      </c>
      <c r="W376" s="509"/>
      <c r="X376" s="321"/>
      <c r="Y376" s="321"/>
      <c r="Z376" s="433"/>
      <c r="AA376" s="918">
        <f t="shared" si="96"/>
        <v>1</v>
      </c>
      <c r="AB376" s="306" t="str">
        <f t="shared" si="97"/>
        <v/>
      </c>
      <c r="AC376" s="788"/>
      <c r="AD376" s="119">
        <f t="shared" si="108"/>
        <v>0</v>
      </c>
      <c r="AE376" s="108">
        <f t="shared" si="108"/>
        <v>0</v>
      </c>
      <c r="AF376" s="108">
        <f t="shared" si="108"/>
        <v>0</v>
      </c>
      <c r="AG376" s="108"/>
      <c r="AH376" s="108"/>
      <c r="AI376" s="108"/>
      <c r="AJ376" s="108"/>
      <c r="AK376" s="108"/>
      <c r="AL376" s="108">
        <f t="shared" si="99"/>
        <v>0</v>
      </c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20">
        <f t="shared" si="100"/>
        <v>0</v>
      </c>
      <c r="CL376" s="122">
        <f t="shared" si="101"/>
        <v>0</v>
      </c>
      <c r="CM376" s="524" t="str">
        <f t="shared" si="103"/>
        <v/>
      </c>
      <c r="CN376" s="526">
        <f t="shared" si="104"/>
        <v>0</v>
      </c>
      <c r="CO376" s="122">
        <f t="shared" si="105"/>
        <v>0</v>
      </c>
      <c r="CP376" s="45" t="str">
        <f t="shared" si="102"/>
        <v>1 - in MILLESIMI   I</v>
      </c>
      <c r="CQ376" s="1"/>
    </row>
    <row r="377" spans="1:95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435">
        <f>IF(AND(W377&gt;=$U$1,W377&lt;=$U$2),IF(X377='ESTRATTO CONTO'!$E$2,1+COUNTIF(U$4:U376,"&gt;0"),0),0)</f>
        <v>0</v>
      </c>
      <c r="V377" s="417">
        <f t="shared" si="106"/>
        <v>374</v>
      </c>
      <c r="W377" s="509"/>
      <c r="X377" s="321"/>
      <c r="Y377" s="321"/>
      <c r="Z377" s="433"/>
      <c r="AA377" s="918">
        <f t="shared" si="96"/>
        <v>1</v>
      </c>
      <c r="AB377" s="306" t="str">
        <f t="shared" si="97"/>
        <v/>
      </c>
      <c r="AC377" s="788"/>
      <c r="AD377" s="119">
        <f t="shared" si="108"/>
        <v>0</v>
      </c>
      <c r="AE377" s="108">
        <f t="shared" si="108"/>
        <v>0</v>
      </c>
      <c r="AF377" s="108">
        <f t="shared" si="108"/>
        <v>0</v>
      </c>
      <c r="AG377" s="108"/>
      <c r="AH377" s="108"/>
      <c r="AI377" s="108"/>
      <c r="AJ377" s="108"/>
      <c r="AK377" s="108"/>
      <c r="AL377" s="108">
        <f t="shared" si="99"/>
        <v>0</v>
      </c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20">
        <f t="shared" si="100"/>
        <v>0</v>
      </c>
      <c r="CL377" s="122">
        <f t="shared" si="101"/>
        <v>0</v>
      </c>
      <c r="CM377" s="524" t="str">
        <f t="shared" si="103"/>
        <v/>
      </c>
      <c r="CN377" s="526">
        <f t="shared" si="104"/>
        <v>0</v>
      </c>
      <c r="CO377" s="122">
        <f t="shared" si="105"/>
        <v>0</v>
      </c>
      <c r="CP377" s="45" t="str">
        <f t="shared" si="102"/>
        <v>1 - in MILLESIMI   I</v>
      </c>
      <c r="CQ377" s="1"/>
    </row>
    <row r="378" spans="1:95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435">
        <f>IF(AND(W378&gt;=$U$1,W378&lt;=$U$2),IF(X378='ESTRATTO CONTO'!$E$2,1+COUNTIF(U$4:U377,"&gt;0"),0),0)</f>
        <v>0</v>
      </c>
      <c r="V378" s="417">
        <f t="shared" si="106"/>
        <v>375</v>
      </c>
      <c r="W378" s="509"/>
      <c r="X378" s="321"/>
      <c r="Y378" s="321"/>
      <c r="Z378" s="433"/>
      <c r="AA378" s="918">
        <f t="shared" si="96"/>
        <v>1</v>
      </c>
      <c r="AB378" s="306" t="str">
        <f t="shared" si="97"/>
        <v/>
      </c>
      <c r="AC378" s="788"/>
      <c r="AD378" s="119">
        <f t="shared" si="108"/>
        <v>0</v>
      </c>
      <c r="AE378" s="108">
        <f t="shared" si="108"/>
        <v>0</v>
      </c>
      <c r="AF378" s="108">
        <f t="shared" si="108"/>
        <v>0</v>
      </c>
      <c r="AG378" s="108"/>
      <c r="AH378" s="108"/>
      <c r="AI378" s="108"/>
      <c r="AJ378" s="108"/>
      <c r="AK378" s="108"/>
      <c r="AL378" s="108">
        <f t="shared" si="99"/>
        <v>0</v>
      </c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20">
        <f t="shared" si="100"/>
        <v>0</v>
      </c>
      <c r="CL378" s="122">
        <f t="shared" si="101"/>
        <v>0</v>
      </c>
      <c r="CM378" s="524" t="str">
        <f t="shared" si="103"/>
        <v/>
      </c>
      <c r="CN378" s="526">
        <f t="shared" si="104"/>
        <v>0</v>
      </c>
      <c r="CO378" s="122">
        <f t="shared" si="105"/>
        <v>0</v>
      </c>
      <c r="CP378" s="45" t="str">
        <f t="shared" si="102"/>
        <v>1 - in MILLESIMI   I</v>
      </c>
      <c r="CQ378" s="1"/>
    </row>
    <row r="379" spans="1:95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435">
        <f>IF(AND(W379&gt;=$U$1,W379&lt;=$U$2),IF(X379='ESTRATTO CONTO'!$E$2,1+COUNTIF(U$4:U378,"&gt;0"),0),0)</f>
        <v>0</v>
      </c>
      <c r="V379" s="417">
        <f t="shared" si="106"/>
        <v>376</v>
      </c>
      <c r="W379" s="509"/>
      <c r="X379" s="321"/>
      <c r="Y379" s="321"/>
      <c r="Z379" s="433"/>
      <c r="AA379" s="918">
        <f t="shared" si="96"/>
        <v>1</v>
      </c>
      <c r="AB379" s="306" t="str">
        <f t="shared" si="97"/>
        <v/>
      </c>
      <c r="AC379" s="788"/>
      <c r="AD379" s="119">
        <f t="shared" si="108"/>
        <v>0</v>
      </c>
      <c r="AE379" s="108">
        <f t="shared" si="108"/>
        <v>0</v>
      </c>
      <c r="AF379" s="108">
        <f t="shared" si="108"/>
        <v>0</v>
      </c>
      <c r="AG379" s="108"/>
      <c r="AH379" s="108"/>
      <c r="AI379" s="108"/>
      <c r="AJ379" s="108"/>
      <c r="AK379" s="108"/>
      <c r="AL379" s="108">
        <f t="shared" si="99"/>
        <v>0</v>
      </c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20">
        <f t="shared" si="100"/>
        <v>0</v>
      </c>
      <c r="CL379" s="122">
        <f t="shared" si="101"/>
        <v>0</v>
      </c>
      <c r="CM379" s="524" t="str">
        <f t="shared" si="103"/>
        <v/>
      </c>
      <c r="CN379" s="526">
        <f t="shared" si="104"/>
        <v>0</v>
      </c>
      <c r="CO379" s="122">
        <f t="shared" si="105"/>
        <v>0</v>
      </c>
      <c r="CP379" s="45" t="str">
        <f t="shared" si="102"/>
        <v>1 - in MILLESIMI   I</v>
      </c>
      <c r="CQ379" s="1"/>
    </row>
    <row r="380" spans="1:95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435">
        <f>IF(AND(W380&gt;=$U$1,W380&lt;=$U$2),IF(X380='ESTRATTO CONTO'!$E$2,1+COUNTIF(U$4:U379,"&gt;0"),0),0)</f>
        <v>0</v>
      </c>
      <c r="V380" s="417">
        <f t="shared" si="106"/>
        <v>377</v>
      </c>
      <c r="W380" s="509"/>
      <c r="X380" s="321"/>
      <c r="Y380" s="321"/>
      <c r="Z380" s="433"/>
      <c r="AA380" s="918">
        <f t="shared" si="96"/>
        <v>1</v>
      </c>
      <c r="AB380" s="306" t="str">
        <f t="shared" si="97"/>
        <v/>
      </c>
      <c r="AC380" s="788"/>
      <c r="AD380" s="119">
        <f t="shared" si="108"/>
        <v>0</v>
      </c>
      <c r="AE380" s="108">
        <f t="shared" si="108"/>
        <v>0</v>
      </c>
      <c r="AF380" s="108">
        <f t="shared" si="108"/>
        <v>0</v>
      </c>
      <c r="AG380" s="108"/>
      <c r="AH380" s="108"/>
      <c r="AI380" s="108"/>
      <c r="AJ380" s="108"/>
      <c r="AK380" s="108"/>
      <c r="AL380" s="108">
        <f t="shared" si="99"/>
        <v>0</v>
      </c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20">
        <f t="shared" si="100"/>
        <v>0</v>
      </c>
      <c r="CL380" s="122">
        <f t="shared" si="101"/>
        <v>0</v>
      </c>
      <c r="CM380" s="524" t="str">
        <f t="shared" si="103"/>
        <v/>
      </c>
      <c r="CN380" s="526">
        <f t="shared" si="104"/>
        <v>0</v>
      </c>
      <c r="CO380" s="122">
        <f t="shared" si="105"/>
        <v>0</v>
      </c>
      <c r="CP380" s="45" t="str">
        <f t="shared" si="102"/>
        <v>1 - in MILLESIMI   I</v>
      </c>
      <c r="CQ380" s="1"/>
    </row>
    <row r="381" spans="1:95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435">
        <f>IF(AND(W381&gt;=$U$1,W381&lt;=$U$2),IF(X381='ESTRATTO CONTO'!$E$2,1+COUNTIF(U$4:U380,"&gt;0"),0),0)</f>
        <v>0</v>
      </c>
      <c r="V381" s="417">
        <f t="shared" si="106"/>
        <v>378</v>
      </c>
      <c r="W381" s="509"/>
      <c r="X381" s="321"/>
      <c r="Y381" s="321"/>
      <c r="Z381" s="433"/>
      <c r="AA381" s="918">
        <f t="shared" si="96"/>
        <v>1</v>
      </c>
      <c r="AB381" s="306" t="str">
        <f t="shared" si="97"/>
        <v/>
      </c>
      <c r="AC381" s="788"/>
      <c r="AD381" s="119">
        <f t="shared" si="108"/>
        <v>0</v>
      </c>
      <c r="AE381" s="108">
        <f t="shared" si="108"/>
        <v>0</v>
      </c>
      <c r="AF381" s="108">
        <f t="shared" si="108"/>
        <v>0</v>
      </c>
      <c r="AG381" s="108"/>
      <c r="AH381" s="108"/>
      <c r="AI381" s="108"/>
      <c r="AJ381" s="108"/>
      <c r="AK381" s="108"/>
      <c r="AL381" s="108">
        <f t="shared" si="99"/>
        <v>0</v>
      </c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20">
        <f t="shared" si="100"/>
        <v>0</v>
      </c>
      <c r="CL381" s="122">
        <f t="shared" si="101"/>
        <v>0</v>
      </c>
      <c r="CM381" s="524" t="str">
        <f t="shared" si="103"/>
        <v/>
      </c>
      <c r="CN381" s="526">
        <f t="shared" si="104"/>
        <v>0</v>
      </c>
      <c r="CO381" s="122">
        <f t="shared" si="105"/>
        <v>0</v>
      </c>
      <c r="CP381" s="45" t="str">
        <f t="shared" si="102"/>
        <v>1 - in MILLESIMI   I</v>
      </c>
      <c r="CQ381" s="1"/>
    </row>
    <row r="382" spans="1:95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435">
        <f>IF(AND(W382&gt;=$U$1,W382&lt;=$U$2),IF(X382='ESTRATTO CONTO'!$E$2,1+COUNTIF(U$4:U381,"&gt;0"),0),0)</f>
        <v>0</v>
      </c>
      <c r="V382" s="417">
        <f t="shared" si="106"/>
        <v>379</v>
      </c>
      <c r="W382" s="509"/>
      <c r="X382" s="321"/>
      <c r="Y382" s="321"/>
      <c r="Z382" s="433"/>
      <c r="AA382" s="918">
        <f t="shared" si="96"/>
        <v>1</v>
      </c>
      <c r="AB382" s="306" t="str">
        <f t="shared" si="97"/>
        <v/>
      </c>
      <c r="AC382" s="788"/>
      <c r="AD382" s="119">
        <f t="shared" si="108"/>
        <v>0</v>
      </c>
      <c r="AE382" s="108">
        <f t="shared" si="108"/>
        <v>0</v>
      </c>
      <c r="AF382" s="108">
        <f t="shared" si="108"/>
        <v>0</v>
      </c>
      <c r="AG382" s="108"/>
      <c r="AH382" s="108"/>
      <c r="AI382" s="108"/>
      <c r="AJ382" s="108"/>
      <c r="AK382" s="108"/>
      <c r="AL382" s="108">
        <f t="shared" si="99"/>
        <v>0</v>
      </c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20">
        <f t="shared" si="100"/>
        <v>0</v>
      </c>
      <c r="CL382" s="122">
        <f t="shared" si="101"/>
        <v>0</v>
      </c>
      <c r="CM382" s="524" t="str">
        <f t="shared" si="103"/>
        <v/>
      </c>
      <c r="CN382" s="526">
        <f t="shared" si="104"/>
        <v>0</v>
      </c>
      <c r="CO382" s="122">
        <f t="shared" si="105"/>
        <v>0</v>
      </c>
      <c r="CP382" s="45" t="str">
        <f t="shared" si="102"/>
        <v>1 - in MILLESIMI   I</v>
      </c>
      <c r="CQ382" s="1"/>
    </row>
    <row r="383" spans="1:95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435">
        <f>IF(AND(W383&gt;=$U$1,W383&lt;=$U$2),IF(X383='ESTRATTO CONTO'!$E$2,1+COUNTIF(U$4:U382,"&gt;0"),0),0)</f>
        <v>0</v>
      </c>
      <c r="V383" s="417">
        <f t="shared" si="106"/>
        <v>380</v>
      </c>
      <c r="W383" s="509"/>
      <c r="X383" s="321"/>
      <c r="Y383" s="321"/>
      <c r="Z383" s="433"/>
      <c r="AA383" s="918">
        <f t="shared" si="96"/>
        <v>1</v>
      </c>
      <c r="AB383" s="306" t="str">
        <f t="shared" si="97"/>
        <v/>
      </c>
      <c r="AC383" s="788"/>
      <c r="AD383" s="119">
        <f t="shared" si="108"/>
        <v>0</v>
      </c>
      <c r="AE383" s="108">
        <f t="shared" si="108"/>
        <v>0</v>
      </c>
      <c r="AF383" s="108">
        <f t="shared" si="108"/>
        <v>0</v>
      </c>
      <c r="AG383" s="108"/>
      <c r="AH383" s="108"/>
      <c r="AI383" s="108"/>
      <c r="AJ383" s="108"/>
      <c r="AK383" s="108"/>
      <c r="AL383" s="108">
        <f t="shared" si="99"/>
        <v>0</v>
      </c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20">
        <f t="shared" si="100"/>
        <v>0</v>
      </c>
      <c r="CL383" s="122">
        <f t="shared" si="101"/>
        <v>0</v>
      </c>
      <c r="CM383" s="524" t="str">
        <f t="shared" si="103"/>
        <v/>
      </c>
      <c r="CN383" s="526">
        <f t="shared" si="104"/>
        <v>0</v>
      </c>
      <c r="CO383" s="122">
        <f t="shared" si="105"/>
        <v>0</v>
      </c>
      <c r="CP383" s="45" t="str">
        <f t="shared" si="102"/>
        <v>1 - in MILLESIMI   I</v>
      </c>
      <c r="CQ383" s="1"/>
    </row>
    <row r="384" spans="1:95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435">
        <f>IF(AND(W384&gt;=$U$1,W384&lt;=$U$2),IF(X384='ESTRATTO CONTO'!$E$2,1+COUNTIF(U$4:U383,"&gt;0"),0),0)</f>
        <v>0</v>
      </c>
      <c r="V384" s="417">
        <f t="shared" si="106"/>
        <v>381</v>
      </c>
      <c r="W384" s="509"/>
      <c r="X384" s="321"/>
      <c r="Y384" s="321"/>
      <c r="Z384" s="433"/>
      <c r="AA384" s="918">
        <f t="shared" si="96"/>
        <v>1</v>
      </c>
      <c r="AB384" s="306" t="str">
        <f t="shared" si="97"/>
        <v/>
      </c>
      <c r="AC384" s="788"/>
      <c r="AD384" s="119">
        <f t="shared" ref="AD384:AF403" si="109">IF($AB384=0,0,ROUND($Z384*VLOOKUP(AD$2,$F$1010:$Q$1014,VLOOKUP($CP384,$C$1076:$E$1081,3,FALSE),FALSE),2))</f>
        <v>0</v>
      </c>
      <c r="AE384" s="108">
        <f t="shared" si="109"/>
        <v>0</v>
      </c>
      <c r="AF384" s="108">
        <f t="shared" si="109"/>
        <v>0</v>
      </c>
      <c r="AG384" s="108"/>
      <c r="AH384" s="108"/>
      <c r="AI384" s="108"/>
      <c r="AJ384" s="108"/>
      <c r="AK384" s="108"/>
      <c r="AL384" s="108">
        <f t="shared" si="99"/>
        <v>0</v>
      </c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20">
        <f t="shared" si="100"/>
        <v>0</v>
      </c>
      <c r="CL384" s="122">
        <f t="shared" si="101"/>
        <v>0</v>
      </c>
      <c r="CM384" s="524" t="str">
        <f t="shared" si="103"/>
        <v/>
      </c>
      <c r="CN384" s="526">
        <f t="shared" si="104"/>
        <v>0</v>
      </c>
      <c r="CO384" s="122">
        <f t="shared" si="105"/>
        <v>0</v>
      </c>
      <c r="CP384" s="45" t="str">
        <f t="shared" si="102"/>
        <v>1 - in MILLESIMI   I</v>
      </c>
      <c r="CQ384" s="1"/>
    </row>
    <row r="385" spans="1:95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435">
        <f>IF(AND(W385&gt;=$U$1,W385&lt;=$U$2),IF(X385='ESTRATTO CONTO'!$E$2,1+COUNTIF(U$4:U384,"&gt;0"),0),0)</f>
        <v>0</v>
      </c>
      <c r="V385" s="417">
        <f t="shared" si="106"/>
        <v>382</v>
      </c>
      <c r="W385" s="509"/>
      <c r="X385" s="321"/>
      <c r="Y385" s="321"/>
      <c r="Z385" s="433"/>
      <c r="AA385" s="918">
        <f t="shared" si="96"/>
        <v>1</v>
      </c>
      <c r="AB385" s="306" t="str">
        <f t="shared" si="97"/>
        <v/>
      </c>
      <c r="AC385" s="788"/>
      <c r="AD385" s="119">
        <f t="shared" si="109"/>
        <v>0</v>
      </c>
      <c r="AE385" s="108">
        <f t="shared" si="109"/>
        <v>0</v>
      </c>
      <c r="AF385" s="108">
        <f t="shared" si="109"/>
        <v>0</v>
      </c>
      <c r="AG385" s="108"/>
      <c r="AH385" s="108"/>
      <c r="AI385" s="108"/>
      <c r="AJ385" s="108"/>
      <c r="AK385" s="108"/>
      <c r="AL385" s="108">
        <f t="shared" si="99"/>
        <v>0</v>
      </c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20">
        <f t="shared" si="100"/>
        <v>0</v>
      </c>
      <c r="CL385" s="122">
        <f t="shared" si="101"/>
        <v>0</v>
      </c>
      <c r="CM385" s="524" t="str">
        <f t="shared" si="103"/>
        <v/>
      </c>
      <c r="CN385" s="526">
        <f t="shared" si="104"/>
        <v>0</v>
      </c>
      <c r="CO385" s="122">
        <f t="shared" si="105"/>
        <v>0</v>
      </c>
      <c r="CP385" s="45" t="str">
        <f t="shared" si="102"/>
        <v>1 - in MILLESIMI   I</v>
      </c>
      <c r="CQ385" s="1"/>
    </row>
    <row r="386" spans="1:95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435">
        <f>IF(AND(W386&gt;=$U$1,W386&lt;=$U$2),IF(X386='ESTRATTO CONTO'!$E$2,1+COUNTIF(U$4:U385,"&gt;0"),0),0)</f>
        <v>0</v>
      </c>
      <c r="V386" s="417">
        <f t="shared" si="106"/>
        <v>383</v>
      </c>
      <c r="W386" s="509"/>
      <c r="X386" s="321"/>
      <c r="Y386" s="321"/>
      <c r="Z386" s="433"/>
      <c r="AA386" s="918">
        <f t="shared" si="96"/>
        <v>1</v>
      </c>
      <c r="AB386" s="306" t="str">
        <f t="shared" si="97"/>
        <v/>
      </c>
      <c r="AC386" s="788"/>
      <c r="AD386" s="119">
        <f t="shared" si="109"/>
        <v>0</v>
      </c>
      <c r="AE386" s="108">
        <f t="shared" si="109"/>
        <v>0</v>
      </c>
      <c r="AF386" s="108">
        <f t="shared" si="109"/>
        <v>0</v>
      </c>
      <c r="AG386" s="108"/>
      <c r="AH386" s="108"/>
      <c r="AI386" s="108"/>
      <c r="AJ386" s="108"/>
      <c r="AK386" s="108"/>
      <c r="AL386" s="108">
        <f t="shared" si="99"/>
        <v>0</v>
      </c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20">
        <f t="shared" si="100"/>
        <v>0</v>
      </c>
      <c r="CL386" s="122">
        <f t="shared" si="101"/>
        <v>0</v>
      </c>
      <c r="CM386" s="524" t="str">
        <f t="shared" si="103"/>
        <v/>
      </c>
      <c r="CN386" s="526">
        <f t="shared" si="104"/>
        <v>0</v>
      </c>
      <c r="CO386" s="122">
        <f t="shared" si="105"/>
        <v>0</v>
      </c>
      <c r="CP386" s="45" t="str">
        <f t="shared" si="102"/>
        <v>1 - in MILLESIMI   I</v>
      </c>
      <c r="CQ386" s="1"/>
    </row>
    <row r="387" spans="1:95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435">
        <f>IF(AND(W387&gt;=$U$1,W387&lt;=$U$2),IF(X387='ESTRATTO CONTO'!$E$2,1+COUNTIF(U$4:U386,"&gt;0"),0),0)</f>
        <v>0</v>
      </c>
      <c r="V387" s="417">
        <f t="shared" si="106"/>
        <v>384</v>
      </c>
      <c r="W387" s="509"/>
      <c r="X387" s="321"/>
      <c r="Y387" s="321"/>
      <c r="Z387" s="433"/>
      <c r="AA387" s="918">
        <f t="shared" si="96"/>
        <v>1</v>
      </c>
      <c r="AB387" s="306" t="str">
        <f t="shared" si="97"/>
        <v/>
      </c>
      <c r="AC387" s="788"/>
      <c r="AD387" s="119">
        <f t="shared" si="109"/>
        <v>0</v>
      </c>
      <c r="AE387" s="108">
        <f t="shared" si="109"/>
        <v>0</v>
      </c>
      <c r="AF387" s="108">
        <f t="shared" si="109"/>
        <v>0</v>
      </c>
      <c r="AG387" s="108"/>
      <c r="AH387" s="108"/>
      <c r="AI387" s="108"/>
      <c r="AJ387" s="108"/>
      <c r="AK387" s="108"/>
      <c r="AL387" s="108">
        <f t="shared" si="99"/>
        <v>0</v>
      </c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20">
        <f t="shared" si="100"/>
        <v>0</v>
      </c>
      <c r="CL387" s="122">
        <f t="shared" si="101"/>
        <v>0</v>
      </c>
      <c r="CM387" s="524" t="str">
        <f t="shared" si="103"/>
        <v/>
      </c>
      <c r="CN387" s="526">
        <f t="shared" si="104"/>
        <v>0</v>
      </c>
      <c r="CO387" s="122">
        <f t="shared" si="105"/>
        <v>0</v>
      </c>
      <c r="CP387" s="45" t="str">
        <f t="shared" si="102"/>
        <v>1 - in MILLESIMI   I</v>
      </c>
      <c r="CQ387" s="1"/>
    </row>
    <row r="388" spans="1:95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435">
        <f>IF(AND(W388&gt;=$U$1,W388&lt;=$U$2),IF(X388='ESTRATTO CONTO'!$E$2,1+COUNTIF(U$4:U387,"&gt;0"),0),0)</f>
        <v>0</v>
      </c>
      <c r="V388" s="417">
        <f t="shared" si="106"/>
        <v>385</v>
      </c>
      <c r="W388" s="509"/>
      <c r="X388" s="321"/>
      <c r="Y388" s="321"/>
      <c r="Z388" s="433"/>
      <c r="AA388" s="918">
        <f t="shared" ref="AA388:AA451" si="110">IF(OR(W388&lt;$W$1433,W388&gt;$W$1434),1,0)</f>
        <v>1</v>
      </c>
      <c r="AB388" s="306" t="str">
        <f t="shared" ref="AB388:AB451" si="111">IF(W388&gt;0,IF(AND(W388&gt;=W$1438,W388&lt;=W$1439),CONCATENATE(MONTH(W388)&amp;X388),0),"")</f>
        <v/>
      </c>
      <c r="AC388" s="788"/>
      <c r="AD388" s="119">
        <f t="shared" si="109"/>
        <v>0</v>
      </c>
      <c r="AE388" s="108">
        <f t="shared" si="109"/>
        <v>0</v>
      </c>
      <c r="AF388" s="108">
        <f t="shared" si="109"/>
        <v>0</v>
      </c>
      <c r="AG388" s="108"/>
      <c r="AH388" s="108"/>
      <c r="AI388" s="108"/>
      <c r="AJ388" s="108"/>
      <c r="AK388" s="108"/>
      <c r="AL388" s="108">
        <f t="shared" ref="AL388:AL451" si="112">IF($AB388=0,0,ROUND($Z388*VLOOKUP(AL$2,$F$1010:$Q$1014,VLOOKUP($CP388,$C$1076:$E$1081,3,FALSE),FALSE),2))</f>
        <v>0</v>
      </c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20">
        <f t="shared" ref="CK388:CK451" si="113">IF($AB388=0,0,ROUND($Z388*VLOOKUP(CK$2,$F$1010:$Q$1014,VLOOKUP($CP388,$C$1076:$E$1081,3,FALSE),FALSE),2))</f>
        <v>0</v>
      </c>
      <c r="CL388" s="122">
        <f t="shared" ref="CL388:CL451" si="114">IF(CK$1014&gt;0,0,IF(ISBLANK(W388),0,MONTH(W388)))</f>
        <v>0</v>
      </c>
      <c r="CM388" s="524" t="str">
        <f t="shared" si="103"/>
        <v/>
      </c>
      <c r="CN388" s="526">
        <f t="shared" si="104"/>
        <v>0</v>
      </c>
      <c r="CO388" s="122">
        <f t="shared" si="105"/>
        <v>0</v>
      </c>
      <c r="CP388" s="45" t="str">
        <f t="shared" ref="CP388:CP451" si="115">IF(ISBLANK(AC388),Q$1,AC388)</f>
        <v>1 - in MILLESIMI   I</v>
      </c>
      <c r="CQ388" s="1"/>
    </row>
    <row r="389" spans="1:95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435">
        <f>IF(AND(W389&gt;=$U$1,W389&lt;=$U$2),IF(X389='ESTRATTO CONTO'!$E$2,1+COUNTIF(U$4:U388,"&gt;0"),0),0)</f>
        <v>0</v>
      </c>
      <c r="V389" s="417">
        <f t="shared" si="106"/>
        <v>386</v>
      </c>
      <c r="W389" s="509"/>
      <c r="X389" s="321"/>
      <c r="Y389" s="321"/>
      <c r="Z389" s="433"/>
      <c r="AA389" s="918">
        <f t="shared" si="110"/>
        <v>1</v>
      </c>
      <c r="AB389" s="306" t="str">
        <f t="shared" si="111"/>
        <v/>
      </c>
      <c r="AC389" s="788"/>
      <c r="AD389" s="119">
        <f t="shared" si="109"/>
        <v>0</v>
      </c>
      <c r="AE389" s="108">
        <f t="shared" si="109"/>
        <v>0</v>
      </c>
      <c r="AF389" s="108">
        <f t="shared" si="109"/>
        <v>0</v>
      </c>
      <c r="AG389" s="108"/>
      <c r="AH389" s="108"/>
      <c r="AI389" s="108"/>
      <c r="AJ389" s="108"/>
      <c r="AK389" s="108"/>
      <c r="AL389" s="108">
        <f t="shared" si="112"/>
        <v>0</v>
      </c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20">
        <f t="shared" si="113"/>
        <v>0</v>
      </c>
      <c r="CL389" s="122">
        <f t="shared" si="114"/>
        <v>0</v>
      </c>
      <c r="CM389" s="524" t="str">
        <f t="shared" ref="CM389:CM452" si="116">IF(X389="","",IF(ISERROR(VLOOKUP(X389,B$9:E$45,1,FALSE)),1,0))</f>
        <v/>
      </c>
      <c r="CN389" s="526">
        <f t="shared" ref="CN389:CN452" si="117">IF(AND(W389&gt;=CN$1,W389&lt;=CN$2),Z389,0)</f>
        <v>0</v>
      </c>
      <c r="CO389" s="122">
        <f t="shared" ref="CO389:CO452" si="118">IF(CN389&lt;&gt;0,X389,0)</f>
        <v>0</v>
      </c>
      <c r="CP389" s="45" t="str">
        <f t="shared" si="115"/>
        <v>1 - in MILLESIMI   I</v>
      </c>
      <c r="CQ389" s="1"/>
    </row>
    <row r="390" spans="1:95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435">
        <f>IF(AND(W390&gt;=$U$1,W390&lt;=$U$2),IF(X390='ESTRATTO CONTO'!$E$2,1+COUNTIF(U$4:U389,"&gt;0"),0),0)</f>
        <v>0</v>
      </c>
      <c r="V390" s="417">
        <f t="shared" ref="V390:V453" si="119">V389+1</f>
        <v>387</v>
      </c>
      <c r="W390" s="509"/>
      <c r="X390" s="321"/>
      <c r="Y390" s="321"/>
      <c r="Z390" s="433"/>
      <c r="AA390" s="918">
        <f t="shared" si="110"/>
        <v>1</v>
      </c>
      <c r="AB390" s="306" t="str">
        <f t="shared" si="111"/>
        <v/>
      </c>
      <c r="AC390" s="788"/>
      <c r="AD390" s="119">
        <f t="shared" si="109"/>
        <v>0</v>
      </c>
      <c r="AE390" s="108">
        <f t="shared" si="109"/>
        <v>0</v>
      </c>
      <c r="AF390" s="108">
        <f t="shared" si="109"/>
        <v>0</v>
      </c>
      <c r="AG390" s="108"/>
      <c r="AH390" s="108"/>
      <c r="AI390" s="108"/>
      <c r="AJ390" s="108"/>
      <c r="AK390" s="108"/>
      <c r="AL390" s="108">
        <f t="shared" si="112"/>
        <v>0</v>
      </c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20">
        <f t="shared" si="113"/>
        <v>0</v>
      </c>
      <c r="CL390" s="122">
        <f t="shared" si="114"/>
        <v>0</v>
      </c>
      <c r="CM390" s="524" t="str">
        <f t="shared" si="116"/>
        <v/>
      </c>
      <c r="CN390" s="526">
        <f t="shared" si="117"/>
        <v>0</v>
      </c>
      <c r="CO390" s="122">
        <f t="shared" si="118"/>
        <v>0</v>
      </c>
      <c r="CP390" s="45" t="str">
        <f t="shared" si="115"/>
        <v>1 - in MILLESIMI   I</v>
      </c>
      <c r="CQ390" s="1"/>
    </row>
    <row r="391" spans="1:95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435">
        <f>IF(AND(W391&gt;=$U$1,W391&lt;=$U$2),IF(X391='ESTRATTO CONTO'!$E$2,1+COUNTIF(U$4:U390,"&gt;0"),0),0)</f>
        <v>0</v>
      </c>
      <c r="V391" s="417">
        <f t="shared" si="119"/>
        <v>388</v>
      </c>
      <c r="W391" s="509"/>
      <c r="X391" s="321"/>
      <c r="Y391" s="321"/>
      <c r="Z391" s="433"/>
      <c r="AA391" s="918">
        <f t="shared" si="110"/>
        <v>1</v>
      </c>
      <c r="AB391" s="306" t="str">
        <f t="shared" si="111"/>
        <v/>
      </c>
      <c r="AC391" s="788"/>
      <c r="AD391" s="119">
        <f t="shared" si="109"/>
        <v>0</v>
      </c>
      <c r="AE391" s="108">
        <f t="shared" si="109"/>
        <v>0</v>
      </c>
      <c r="AF391" s="108">
        <f t="shared" si="109"/>
        <v>0</v>
      </c>
      <c r="AG391" s="108"/>
      <c r="AH391" s="108"/>
      <c r="AI391" s="108"/>
      <c r="AJ391" s="108"/>
      <c r="AK391" s="108"/>
      <c r="AL391" s="108">
        <f t="shared" si="112"/>
        <v>0</v>
      </c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20">
        <f t="shared" si="113"/>
        <v>0</v>
      </c>
      <c r="CL391" s="122">
        <f t="shared" si="114"/>
        <v>0</v>
      </c>
      <c r="CM391" s="524" t="str">
        <f t="shared" si="116"/>
        <v/>
      </c>
      <c r="CN391" s="526">
        <f t="shared" si="117"/>
        <v>0</v>
      </c>
      <c r="CO391" s="122">
        <f t="shared" si="118"/>
        <v>0</v>
      </c>
      <c r="CP391" s="45" t="str">
        <f t="shared" si="115"/>
        <v>1 - in MILLESIMI   I</v>
      </c>
      <c r="CQ391" s="1"/>
    </row>
    <row r="392" spans="1:95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435">
        <f>IF(AND(W392&gt;=$U$1,W392&lt;=$U$2),IF(X392='ESTRATTO CONTO'!$E$2,1+COUNTIF(U$4:U391,"&gt;0"),0),0)</f>
        <v>0</v>
      </c>
      <c r="V392" s="417">
        <f t="shared" si="119"/>
        <v>389</v>
      </c>
      <c r="W392" s="509"/>
      <c r="X392" s="321"/>
      <c r="Y392" s="321"/>
      <c r="Z392" s="433"/>
      <c r="AA392" s="918">
        <f t="shared" si="110"/>
        <v>1</v>
      </c>
      <c r="AB392" s="306" t="str">
        <f t="shared" si="111"/>
        <v/>
      </c>
      <c r="AC392" s="788"/>
      <c r="AD392" s="119">
        <f t="shared" si="109"/>
        <v>0</v>
      </c>
      <c r="AE392" s="108">
        <f t="shared" si="109"/>
        <v>0</v>
      </c>
      <c r="AF392" s="108">
        <f t="shared" si="109"/>
        <v>0</v>
      </c>
      <c r="AG392" s="108"/>
      <c r="AH392" s="108"/>
      <c r="AI392" s="108"/>
      <c r="AJ392" s="108"/>
      <c r="AK392" s="108"/>
      <c r="AL392" s="108">
        <f t="shared" si="112"/>
        <v>0</v>
      </c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20">
        <f t="shared" si="113"/>
        <v>0</v>
      </c>
      <c r="CL392" s="122">
        <f t="shared" si="114"/>
        <v>0</v>
      </c>
      <c r="CM392" s="524" t="str">
        <f t="shared" si="116"/>
        <v/>
      </c>
      <c r="CN392" s="526">
        <f t="shared" si="117"/>
        <v>0</v>
      </c>
      <c r="CO392" s="122">
        <f t="shared" si="118"/>
        <v>0</v>
      </c>
      <c r="CP392" s="45" t="str">
        <f t="shared" si="115"/>
        <v>1 - in MILLESIMI   I</v>
      </c>
      <c r="CQ392" s="1"/>
    </row>
    <row r="393" spans="1:95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435">
        <f>IF(AND(W393&gt;=$U$1,W393&lt;=$U$2),IF(X393='ESTRATTO CONTO'!$E$2,1+COUNTIF(U$4:U392,"&gt;0"),0),0)</f>
        <v>0</v>
      </c>
      <c r="V393" s="417">
        <f t="shared" si="119"/>
        <v>390</v>
      </c>
      <c r="W393" s="509"/>
      <c r="X393" s="321"/>
      <c r="Y393" s="321"/>
      <c r="Z393" s="433"/>
      <c r="AA393" s="918">
        <f t="shared" si="110"/>
        <v>1</v>
      </c>
      <c r="AB393" s="306" t="str">
        <f t="shared" si="111"/>
        <v/>
      </c>
      <c r="AC393" s="788"/>
      <c r="AD393" s="119">
        <f t="shared" si="109"/>
        <v>0</v>
      </c>
      <c r="AE393" s="108">
        <f t="shared" si="109"/>
        <v>0</v>
      </c>
      <c r="AF393" s="108">
        <f t="shared" si="109"/>
        <v>0</v>
      </c>
      <c r="AG393" s="108"/>
      <c r="AH393" s="108"/>
      <c r="AI393" s="108"/>
      <c r="AJ393" s="108"/>
      <c r="AK393" s="108"/>
      <c r="AL393" s="108">
        <f t="shared" si="112"/>
        <v>0</v>
      </c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20">
        <f t="shared" si="113"/>
        <v>0</v>
      </c>
      <c r="CL393" s="122">
        <f t="shared" si="114"/>
        <v>0</v>
      </c>
      <c r="CM393" s="524" t="str">
        <f t="shared" si="116"/>
        <v/>
      </c>
      <c r="CN393" s="526">
        <f t="shared" si="117"/>
        <v>0</v>
      </c>
      <c r="CO393" s="122">
        <f t="shared" si="118"/>
        <v>0</v>
      </c>
      <c r="CP393" s="45" t="str">
        <f t="shared" si="115"/>
        <v>1 - in MILLESIMI   I</v>
      </c>
      <c r="CQ393" s="1"/>
    </row>
    <row r="394" spans="1:95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435">
        <f>IF(AND(W394&gt;=$U$1,W394&lt;=$U$2),IF(X394='ESTRATTO CONTO'!$E$2,1+COUNTIF(U$4:U393,"&gt;0"),0),0)</f>
        <v>0</v>
      </c>
      <c r="V394" s="417">
        <f t="shared" si="119"/>
        <v>391</v>
      </c>
      <c r="W394" s="509"/>
      <c r="X394" s="321"/>
      <c r="Y394" s="321"/>
      <c r="Z394" s="433"/>
      <c r="AA394" s="918">
        <f t="shared" si="110"/>
        <v>1</v>
      </c>
      <c r="AB394" s="306" t="str">
        <f t="shared" si="111"/>
        <v/>
      </c>
      <c r="AC394" s="788"/>
      <c r="AD394" s="119">
        <f t="shared" si="109"/>
        <v>0</v>
      </c>
      <c r="AE394" s="108">
        <f t="shared" si="109"/>
        <v>0</v>
      </c>
      <c r="AF394" s="108">
        <f t="shared" si="109"/>
        <v>0</v>
      </c>
      <c r="AG394" s="108"/>
      <c r="AH394" s="108"/>
      <c r="AI394" s="108"/>
      <c r="AJ394" s="108"/>
      <c r="AK394" s="108"/>
      <c r="AL394" s="108">
        <f t="shared" si="112"/>
        <v>0</v>
      </c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20">
        <f t="shared" si="113"/>
        <v>0</v>
      </c>
      <c r="CL394" s="122">
        <f t="shared" si="114"/>
        <v>0</v>
      </c>
      <c r="CM394" s="524" t="str">
        <f t="shared" si="116"/>
        <v/>
      </c>
      <c r="CN394" s="526">
        <f t="shared" si="117"/>
        <v>0</v>
      </c>
      <c r="CO394" s="122">
        <f t="shared" si="118"/>
        <v>0</v>
      </c>
      <c r="CP394" s="45" t="str">
        <f t="shared" si="115"/>
        <v>1 - in MILLESIMI   I</v>
      </c>
      <c r="CQ394" s="1"/>
    </row>
    <row r="395" spans="1:95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435">
        <f>IF(AND(W395&gt;=$U$1,W395&lt;=$U$2),IF(X395='ESTRATTO CONTO'!$E$2,1+COUNTIF(U$4:U394,"&gt;0"),0),0)</f>
        <v>0</v>
      </c>
      <c r="V395" s="417">
        <f t="shared" si="119"/>
        <v>392</v>
      </c>
      <c r="W395" s="509"/>
      <c r="X395" s="321"/>
      <c r="Y395" s="321"/>
      <c r="Z395" s="433"/>
      <c r="AA395" s="918">
        <f t="shared" si="110"/>
        <v>1</v>
      </c>
      <c r="AB395" s="306" t="str">
        <f t="shared" si="111"/>
        <v/>
      </c>
      <c r="AC395" s="788"/>
      <c r="AD395" s="119">
        <f t="shared" si="109"/>
        <v>0</v>
      </c>
      <c r="AE395" s="108">
        <f t="shared" si="109"/>
        <v>0</v>
      </c>
      <c r="AF395" s="108">
        <f t="shared" si="109"/>
        <v>0</v>
      </c>
      <c r="AG395" s="108"/>
      <c r="AH395" s="108"/>
      <c r="AI395" s="108"/>
      <c r="AJ395" s="108"/>
      <c r="AK395" s="108"/>
      <c r="AL395" s="108">
        <f t="shared" si="112"/>
        <v>0</v>
      </c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20">
        <f t="shared" si="113"/>
        <v>0</v>
      </c>
      <c r="CL395" s="122">
        <f t="shared" si="114"/>
        <v>0</v>
      </c>
      <c r="CM395" s="524" t="str">
        <f t="shared" si="116"/>
        <v/>
      </c>
      <c r="CN395" s="526">
        <f t="shared" si="117"/>
        <v>0</v>
      </c>
      <c r="CO395" s="122">
        <f t="shared" si="118"/>
        <v>0</v>
      </c>
      <c r="CP395" s="45" t="str">
        <f t="shared" si="115"/>
        <v>1 - in MILLESIMI   I</v>
      </c>
      <c r="CQ395" s="1"/>
    </row>
    <row r="396" spans="1:95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435">
        <f>IF(AND(W396&gt;=$U$1,W396&lt;=$U$2),IF(X396='ESTRATTO CONTO'!$E$2,1+COUNTIF(U$4:U395,"&gt;0"),0),0)</f>
        <v>0</v>
      </c>
      <c r="V396" s="417">
        <f t="shared" si="119"/>
        <v>393</v>
      </c>
      <c r="W396" s="509"/>
      <c r="X396" s="321"/>
      <c r="Y396" s="321"/>
      <c r="Z396" s="433"/>
      <c r="AA396" s="918">
        <f t="shared" si="110"/>
        <v>1</v>
      </c>
      <c r="AB396" s="306" t="str">
        <f t="shared" si="111"/>
        <v/>
      </c>
      <c r="AC396" s="788"/>
      <c r="AD396" s="119">
        <f t="shared" si="109"/>
        <v>0</v>
      </c>
      <c r="AE396" s="108">
        <f t="shared" si="109"/>
        <v>0</v>
      </c>
      <c r="AF396" s="108">
        <f t="shared" si="109"/>
        <v>0</v>
      </c>
      <c r="AG396" s="108"/>
      <c r="AH396" s="108"/>
      <c r="AI396" s="108"/>
      <c r="AJ396" s="108"/>
      <c r="AK396" s="108"/>
      <c r="AL396" s="108">
        <f t="shared" si="112"/>
        <v>0</v>
      </c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20">
        <f t="shared" si="113"/>
        <v>0</v>
      </c>
      <c r="CL396" s="122">
        <f t="shared" si="114"/>
        <v>0</v>
      </c>
      <c r="CM396" s="524" t="str">
        <f t="shared" si="116"/>
        <v/>
      </c>
      <c r="CN396" s="526">
        <f t="shared" si="117"/>
        <v>0</v>
      </c>
      <c r="CO396" s="122">
        <f t="shared" si="118"/>
        <v>0</v>
      </c>
      <c r="CP396" s="45" t="str">
        <f t="shared" si="115"/>
        <v>1 - in MILLESIMI   I</v>
      </c>
      <c r="CQ396" s="1"/>
    </row>
    <row r="397" spans="1:95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435">
        <f>IF(AND(W397&gt;=$U$1,W397&lt;=$U$2),IF(X397='ESTRATTO CONTO'!$E$2,1+COUNTIF(U$4:U396,"&gt;0"),0),0)</f>
        <v>0</v>
      </c>
      <c r="V397" s="417">
        <f t="shared" si="119"/>
        <v>394</v>
      </c>
      <c r="W397" s="509"/>
      <c r="X397" s="321"/>
      <c r="Y397" s="321"/>
      <c r="Z397" s="433"/>
      <c r="AA397" s="918">
        <f t="shared" si="110"/>
        <v>1</v>
      </c>
      <c r="AB397" s="306" t="str">
        <f t="shared" si="111"/>
        <v/>
      </c>
      <c r="AC397" s="788"/>
      <c r="AD397" s="119">
        <f t="shared" si="109"/>
        <v>0</v>
      </c>
      <c r="AE397" s="108">
        <f t="shared" si="109"/>
        <v>0</v>
      </c>
      <c r="AF397" s="108">
        <f t="shared" si="109"/>
        <v>0</v>
      </c>
      <c r="AG397" s="108"/>
      <c r="AH397" s="108"/>
      <c r="AI397" s="108"/>
      <c r="AJ397" s="108"/>
      <c r="AK397" s="108"/>
      <c r="AL397" s="108">
        <f t="shared" si="112"/>
        <v>0</v>
      </c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20">
        <f t="shared" si="113"/>
        <v>0</v>
      </c>
      <c r="CL397" s="122">
        <f t="shared" si="114"/>
        <v>0</v>
      </c>
      <c r="CM397" s="524" t="str">
        <f t="shared" si="116"/>
        <v/>
      </c>
      <c r="CN397" s="526">
        <f t="shared" si="117"/>
        <v>0</v>
      </c>
      <c r="CO397" s="122">
        <f t="shared" si="118"/>
        <v>0</v>
      </c>
      <c r="CP397" s="45" t="str">
        <f t="shared" si="115"/>
        <v>1 - in MILLESIMI   I</v>
      </c>
      <c r="CQ397" s="1"/>
    </row>
    <row r="398" spans="1:95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435">
        <f>IF(AND(W398&gt;=$U$1,W398&lt;=$U$2),IF(X398='ESTRATTO CONTO'!$E$2,1+COUNTIF(U$4:U397,"&gt;0"),0),0)</f>
        <v>0</v>
      </c>
      <c r="V398" s="417">
        <f t="shared" si="119"/>
        <v>395</v>
      </c>
      <c r="W398" s="509"/>
      <c r="X398" s="321"/>
      <c r="Y398" s="321"/>
      <c r="Z398" s="433"/>
      <c r="AA398" s="918">
        <f t="shared" si="110"/>
        <v>1</v>
      </c>
      <c r="AB398" s="306" t="str">
        <f t="shared" si="111"/>
        <v/>
      </c>
      <c r="AC398" s="788"/>
      <c r="AD398" s="119">
        <f t="shared" si="109"/>
        <v>0</v>
      </c>
      <c r="AE398" s="108">
        <f t="shared" si="109"/>
        <v>0</v>
      </c>
      <c r="AF398" s="108">
        <f t="shared" si="109"/>
        <v>0</v>
      </c>
      <c r="AG398" s="108"/>
      <c r="AH398" s="108"/>
      <c r="AI398" s="108"/>
      <c r="AJ398" s="108"/>
      <c r="AK398" s="108"/>
      <c r="AL398" s="108">
        <f t="shared" si="112"/>
        <v>0</v>
      </c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20">
        <f t="shared" si="113"/>
        <v>0</v>
      </c>
      <c r="CL398" s="122">
        <f t="shared" si="114"/>
        <v>0</v>
      </c>
      <c r="CM398" s="524" t="str">
        <f t="shared" si="116"/>
        <v/>
      </c>
      <c r="CN398" s="526">
        <f t="shared" si="117"/>
        <v>0</v>
      </c>
      <c r="CO398" s="122">
        <f t="shared" si="118"/>
        <v>0</v>
      </c>
      <c r="CP398" s="45" t="str">
        <f t="shared" si="115"/>
        <v>1 - in MILLESIMI   I</v>
      </c>
      <c r="CQ398" s="1"/>
    </row>
    <row r="399" spans="1:95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435">
        <f>IF(AND(W399&gt;=$U$1,W399&lt;=$U$2),IF(X399='ESTRATTO CONTO'!$E$2,1+COUNTIF(U$4:U398,"&gt;0"),0),0)</f>
        <v>0</v>
      </c>
      <c r="V399" s="417">
        <f t="shared" si="119"/>
        <v>396</v>
      </c>
      <c r="W399" s="509"/>
      <c r="X399" s="321"/>
      <c r="Y399" s="321"/>
      <c r="Z399" s="433"/>
      <c r="AA399" s="918">
        <f t="shared" si="110"/>
        <v>1</v>
      </c>
      <c r="AB399" s="306" t="str">
        <f t="shared" si="111"/>
        <v/>
      </c>
      <c r="AC399" s="788"/>
      <c r="AD399" s="119">
        <f t="shared" si="109"/>
        <v>0</v>
      </c>
      <c r="AE399" s="108">
        <f t="shared" si="109"/>
        <v>0</v>
      </c>
      <c r="AF399" s="108">
        <f t="shared" si="109"/>
        <v>0</v>
      </c>
      <c r="AG399" s="108"/>
      <c r="AH399" s="108"/>
      <c r="AI399" s="108"/>
      <c r="AJ399" s="108"/>
      <c r="AK399" s="108"/>
      <c r="AL399" s="108">
        <f t="shared" si="112"/>
        <v>0</v>
      </c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20">
        <f t="shared" si="113"/>
        <v>0</v>
      </c>
      <c r="CL399" s="122">
        <f t="shared" si="114"/>
        <v>0</v>
      </c>
      <c r="CM399" s="524" t="str">
        <f t="shared" si="116"/>
        <v/>
      </c>
      <c r="CN399" s="526">
        <f t="shared" si="117"/>
        <v>0</v>
      </c>
      <c r="CO399" s="122">
        <f t="shared" si="118"/>
        <v>0</v>
      </c>
      <c r="CP399" s="45" t="str">
        <f t="shared" si="115"/>
        <v>1 - in MILLESIMI   I</v>
      </c>
      <c r="CQ399" s="1"/>
    </row>
    <row r="400" spans="1:95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435">
        <f>IF(AND(W400&gt;=$U$1,W400&lt;=$U$2),IF(X400='ESTRATTO CONTO'!$E$2,1+COUNTIF(U$4:U399,"&gt;0"),0),0)</f>
        <v>0</v>
      </c>
      <c r="V400" s="417">
        <f t="shared" si="119"/>
        <v>397</v>
      </c>
      <c r="W400" s="509"/>
      <c r="X400" s="321"/>
      <c r="Y400" s="321"/>
      <c r="Z400" s="433"/>
      <c r="AA400" s="918">
        <f t="shared" si="110"/>
        <v>1</v>
      </c>
      <c r="AB400" s="306" t="str">
        <f t="shared" si="111"/>
        <v/>
      </c>
      <c r="AC400" s="788"/>
      <c r="AD400" s="119">
        <f t="shared" si="109"/>
        <v>0</v>
      </c>
      <c r="AE400" s="108">
        <f t="shared" si="109"/>
        <v>0</v>
      </c>
      <c r="AF400" s="108">
        <f t="shared" si="109"/>
        <v>0</v>
      </c>
      <c r="AG400" s="108"/>
      <c r="AH400" s="108"/>
      <c r="AI400" s="108"/>
      <c r="AJ400" s="108"/>
      <c r="AK400" s="108"/>
      <c r="AL400" s="108">
        <f t="shared" si="112"/>
        <v>0</v>
      </c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20">
        <f t="shared" si="113"/>
        <v>0</v>
      </c>
      <c r="CL400" s="122">
        <f t="shared" si="114"/>
        <v>0</v>
      </c>
      <c r="CM400" s="524" t="str">
        <f t="shared" si="116"/>
        <v/>
      </c>
      <c r="CN400" s="526">
        <f t="shared" si="117"/>
        <v>0</v>
      </c>
      <c r="CO400" s="122">
        <f t="shared" si="118"/>
        <v>0</v>
      </c>
      <c r="CP400" s="45" t="str">
        <f t="shared" si="115"/>
        <v>1 - in MILLESIMI   I</v>
      </c>
      <c r="CQ400" s="1"/>
    </row>
    <row r="401" spans="1:95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435">
        <f>IF(AND(W401&gt;=$U$1,W401&lt;=$U$2),IF(X401='ESTRATTO CONTO'!$E$2,1+COUNTIF(U$4:U400,"&gt;0"),0),0)</f>
        <v>0</v>
      </c>
      <c r="V401" s="417">
        <f t="shared" si="119"/>
        <v>398</v>
      </c>
      <c r="W401" s="509"/>
      <c r="X401" s="321"/>
      <c r="Y401" s="321"/>
      <c r="Z401" s="433"/>
      <c r="AA401" s="918">
        <f t="shared" si="110"/>
        <v>1</v>
      </c>
      <c r="AB401" s="306" t="str">
        <f t="shared" si="111"/>
        <v/>
      </c>
      <c r="AC401" s="788"/>
      <c r="AD401" s="119">
        <f t="shared" si="109"/>
        <v>0</v>
      </c>
      <c r="AE401" s="108">
        <f t="shared" si="109"/>
        <v>0</v>
      </c>
      <c r="AF401" s="108">
        <f t="shared" si="109"/>
        <v>0</v>
      </c>
      <c r="AG401" s="108"/>
      <c r="AH401" s="108"/>
      <c r="AI401" s="108"/>
      <c r="AJ401" s="108"/>
      <c r="AK401" s="108"/>
      <c r="AL401" s="108">
        <f t="shared" si="112"/>
        <v>0</v>
      </c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20">
        <f t="shared" si="113"/>
        <v>0</v>
      </c>
      <c r="CL401" s="122">
        <f t="shared" si="114"/>
        <v>0</v>
      </c>
      <c r="CM401" s="524" t="str">
        <f t="shared" si="116"/>
        <v/>
      </c>
      <c r="CN401" s="526">
        <f t="shared" si="117"/>
        <v>0</v>
      </c>
      <c r="CO401" s="122">
        <f t="shared" si="118"/>
        <v>0</v>
      </c>
      <c r="CP401" s="45" t="str">
        <f t="shared" si="115"/>
        <v>1 - in MILLESIMI   I</v>
      </c>
      <c r="CQ401" s="1"/>
    </row>
    <row r="402" spans="1:95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435">
        <f>IF(AND(W402&gt;=$U$1,W402&lt;=$U$2),IF(X402='ESTRATTO CONTO'!$E$2,1+COUNTIF(U$4:U401,"&gt;0"),0),0)</f>
        <v>0</v>
      </c>
      <c r="V402" s="417">
        <f t="shared" si="119"/>
        <v>399</v>
      </c>
      <c r="W402" s="509"/>
      <c r="X402" s="321"/>
      <c r="Y402" s="321"/>
      <c r="Z402" s="433"/>
      <c r="AA402" s="918">
        <f t="shared" si="110"/>
        <v>1</v>
      </c>
      <c r="AB402" s="306" t="str">
        <f t="shared" si="111"/>
        <v/>
      </c>
      <c r="AC402" s="788"/>
      <c r="AD402" s="119">
        <f t="shared" si="109"/>
        <v>0</v>
      </c>
      <c r="AE402" s="108">
        <f t="shared" si="109"/>
        <v>0</v>
      </c>
      <c r="AF402" s="108">
        <f t="shared" si="109"/>
        <v>0</v>
      </c>
      <c r="AG402" s="108"/>
      <c r="AH402" s="108"/>
      <c r="AI402" s="108"/>
      <c r="AJ402" s="108"/>
      <c r="AK402" s="108"/>
      <c r="AL402" s="108">
        <f t="shared" si="112"/>
        <v>0</v>
      </c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20">
        <f t="shared" si="113"/>
        <v>0</v>
      </c>
      <c r="CL402" s="122">
        <f t="shared" si="114"/>
        <v>0</v>
      </c>
      <c r="CM402" s="524" t="str">
        <f t="shared" si="116"/>
        <v/>
      </c>
      <c r="CN402" s="526">
        <f t="shared" si="117"/>
        <v>0</v>
      </c>
      <c r="CO402" s="122">
        <f t="shared" si="118"/>
        <v>0</v>
      </c>
      <c r="CP402" s="45" t="str">
        <f t="shared" si="115"/>
        <v>1 - in MILLESIMI   I</v>
      </c>
      <c r="CQ402" s="1"/>
    </row>
    <row r="403" spans="1:95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435">
        <f>IF(AND(W403&gt;=$U$1,W403&lt;=$U$2),IF(X403='ESTRATTO CONTO'!$E$2,1+COUNTIF(U$4:U402,"&gt;0"),0),0)</f>
        <v>0</v>
      </c>
      <c r="V403" s="417">
        <f t="shared" si="119"/>
        <v>400</v>
      </c>
      <c r="W403" s="509"/>
      <c r="X403" s="321"/>
      <c r="Y403" s="321"/>
      <c r="Z403" s="433"/>
      <c r="AA403" s="918">
        <f t="shared" si="110"/>
        <v>1</v>
      </c>
      <c r="AB403" s="306" t="str">
        <f t="shared" si="111"/>
        <v/>
      </c>
      <c r="AC403" s="788"/>
      <c r="AD403" s="119">
        <f t="shared" si="109"/>
        <v>0</v>
      </c>
      <c r="AE403" s="108">
        <f t="shared" si="109"/>
        <v>0</v>
      </c>
      <c r="AF403" s="108">
        <f t="shared" si="109"/>
        <v>0</v>
      </c>
      <c r="AG403" s="108"/>
      <c r="AH403" s="108"/>
      <c r="AI403" s="108"/>
      <c r="AJ403" s="108"/>
      <c r="AK403" s="108"/>
      <c r="AL403" s="108">
        <f t="shared" si="112"/>
        <v>0</v>
      </c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20">
        <f t="shared" si="113"/>
        <v>0</v>
      </c>
      <c r="CL403" s="122">
        <f t="shared" si="114"/>
        <v>0</v>
      </c>
      <c r="CM403" s="524" t="str">
        <f t="shared" si="116"/>
        <v/>
      </c>
      <c r="CN403" s="526">
        <f t="shared" si="117"/>
        <v>0</v>
      </c>
      <c r="CO403" s="122">
        <f t="shared" si="118"/>
        <v>0</v>
      </c>
      <c r="CP403" s="45" t="str">
        <f t="shared" si="115"/>
        <v>1 - in MILLESIMI   I</v>
      </c>
      <c r="CQ403" s="1"/>
    </row>
    <row r="404" spans="1:95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435">
        <f>IF(AND(W404&gt;=$U$1,W404&lt;=$U$2),IF(X404='ESTRATTO CONTO'!$E$2,1+COUNTIF(U$4:U403,"&gt;0"),0),0)</f>
        <v>0</v>
      </c>
      <c r="V404" s="417">
        <f t="shared" si="119"/>
        <v>401</v>
      </c>
      <c r="W404" s="509"/>
      <c r="X404" s="321"/>
      <c r="Y404" s="321"/>
      <c r="Z404" s="433"/>
      <c r="AA404" s="918">
        <f t="shared" si="110"/>
        <v>1</v>
      </c>
      <c r="AB404" s="306" t="str">
        <f t="shared" si="111"/>
        <v/>
      </c>
      <c r="AC404" s="788"/>
      <c r="AD404" s="119">
        <f t="shared" ref="AD404:AF423" si="120">IF($AB404=0,0,ROUND($Z404*VLOOKUP(AD$2,$F$1010:$Q$1014,VLOOKUP($CP404,$C$1076:$E$1081,3,FALSE),FALSE),2))</f>
        <v>0</v>
      </c>
      <c r="AE404" s="108">
        <f t="shared" si="120"/>
        <v>0</v>
      </c>
      <c r="AF404" s="108">
        <f t="shared" si="120"/>
        <v>0</v>
      </c>
      <c r="AG404" s="108"/>
      <c r="AH404" s="108"/>
      <c r="AI404" s="108"/>
      <c r="AJ404" s="108"/>
      <c r="AK404" s="108"/>
      <c r="AL404" s="108">
        <f t="shared" si="112"/>
        <v>0</v>
      </c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20">
        <f t="shared" si="113"/>
        <v>0</v>
      </c>
      <c r="CL404" s="122">
        <f t="shared" si="114"/>
        <v>0</v>
      </c>
      <c r="CM404" s="524" t="str">
        <f t="shared" si="116"/>
        <v/>
      </c>
      <c r="CN404" s="526">
        <f t="shared" si="117"/>
        <v>0</v>
      </c>
      <c r="CO404" s="122">
        <f t="shared" si="118"/>
        <v>0</v>
      </c>
      <c r="CP404" s="45" t="str">
        <f t="shared" si="115"/>
        <v>1 - in MILLESIMI   I</v>
      </c>
      <c r="CQ404" s="1"/>
    </row>
    <row r="405" spans="1:95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435">
        <f>IF(AND(W405&gt;=$U$1,W405&lt;=$U$2),IF(X405='ESTRATTO CONTO'!$E$2,1+COUNTIF(U$4:U404,"&gt;0"),0),0)</f>
        <v>0</v>
      </c>
      <c r="V405" s="417">
        <f t="shared" si="119"/>
        <v>402</v>
      </c>
      <c r="W405" s="509"/>
      <c r="X405" s="321"/>
      <c r="Y405" s="321"/>
      <c r="Z405" s="433"/>
      <c r="AA405" s="918">
        <f t="shared" si="110"/>
        <v>1</v>
      </c>
      <c r="AB405" s="306" t="str">
        <f t="shared" si="111"/>
        <v/>
      </c>
      <c r="AC405" s="788"/>
      <c r="AD405" s="119">
        <f t="shared" si="120"/>
        <v>0</v>
      </c>
      <c r="AE405" s="108">
        <f t="shared" si="120"/>
        <v>0</v>
      </c>
      <c r="AF405" s="108">
        <f t="shared" si="120"/>
        <v>0</v>
      </c>
      <c r="AG405" s="108"/>
      <c r="AH405" s="108"/>
      <c r="AI405" s="108"/>
      <c r="AJ405" s="108"/>
      <c r="AK405" s="108"/>
      <c r="AL405" s="108">
        <f t="shared" si="112"/>
        <v>0</v>
      </c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20">
        <f t="shared" si="113"/>
        <v>0</v>
      </c>
      <c r="CL405" s="122">
        <f t="shared" si="114"/>
        <v>0</v>
      </c>
      <c r="CM405" s="524" t="str">
        <f t="shared" si="116"/>
        <v/>
      </c>
      <c r="CN405" s="526">
        <f t="shared" si="117"/>
        <v>0</v>
      </c>
      <c r="CO405" s="122">
        <f t="shared" si="118"/>
        <v>0</v>
      </c>
      <c r="CP405" s="45" t="str">
        <f t="shared" si="115"/>
        <v>1 - in MILLESIMI   I</v>
      </c>
      <c r="CQ405" s="1"/>
    </row>
    <row r="406" spans="1:95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435">
        <f>IF(AND(W406&gt;=$U$1,W406&lt;=$U$2),IF(X406='ESTRATTO CONTO'!$E$2,1+COUNTIF(U$4:U405,"&gt;0"),0),0)</f>
        <v>0</v>
      </c>
      <c r="V406" s="417">
        <f t="shared" si="119"/>
        <v>403</v>
      </c>
      <c r="W406" s="509"/>
      <c r="X406" s="321"/>
      <c r="Y406" s="321"/>
      <c r="Z406" s="433"/>
      <c r="AA406" s="918">
        <f t="shared" si="110"/>
        <v>1</v>
      </c>
      <c r="AB406" s="306" t="str">
        <f t="shared" si="111"/>
        <v/>
      </c>
      <c r="AC406" s="788"/>
      <c r="AD406" s="119">
        <f t="shared" si="120"/>
        <v>0</v>
      </c>
      <c r="AE406" s="108">
        <f t="shared" si="120"/>
        <v>0</v>
      </c>
      <c r="AF406" s="108">
        <f t="shared" si="120"/>
        <v>0</v>
      </c>
      <c r="AG406" s="108"/>
      <c r="AH406" s="108"/>
      <c r="AI406" s="108"/>
      <c r="AJ406" s="108"/>
      <c r="AK406" s="108"/>
      <c r="AL406" s="108">
        <f t="shared" si="112"/>
        <v>0</v>
      </c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20">
        <f t="shared" si="113"/>
        <v>0</v>
      </c>
      <c r="CL406" s="122">
        <f t="shared" si="114"/>
        <v>0</v>
      </c>
      <c r="CM406" s="524" t="str">
        <f t="shared" si="116"/>
        <v/>
      </c>
      <c r="CN406" s="526">
        <f t="shared" si="117"/>
        <v>0</v>
      </c>
      <c r="CO406" s="122">
        <f t="shared" si="118"/>
        <v>0</v>
      </c>
      <c r="CP406" s="45" t="str">
        <f t="shared" si="115"/>
        <v>1 - in MILLESIMI   I</v>
      </c>
      <c r="CQ406" s="1"/>
    </row>
    <row r="407" spans="1:95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435">
        <f>IF(AND(W407&gt;=$U$1,W407&lt;=$U$2),IF(X407='ESTRATTO CONTO'!$E$2,1+COUNTIF(U$4:U406,"&gt;0"),0),0)</f>
        <v>0</v>
      </c>
      <c r="V407" s="417">
        <f t="shared" si="119"/>
        <v>404</v>
      </c>
      <c r="W407" s="509"/>
      <c r="X407" s="321"/>
      <c r="Y407" s="321"/>
      <c r="Z407" s="433"/>
      <c r="AA407" s="918">
        <f t="shared" si="110"/>
        <v>1</v>
      </c>
      <c r="AB407" s="306" t="str">
        <f t="shared" si="111"/>
        <v/>
      </c>
      <c r="AC407" s="788"/>
      <c r="AD407" s="119">
        <f t="shared" si="120"/>
        <v>0</v>
      </c>
      <c r="AE407" s="108">
        <f t="shared" si="120"/>
        <v>0</v>
      </c>
      <c r="AF407" s="108">
        <f t="shared" si="120"/>
        <v>0</v>
      </c>
      <c r="AG407" s="108"/>
      <c r="AH407" s="108"/>
      <c r="AI407" s="108"/>
      <c r="AJ407" s="108"/>
      <c r="AK407" s="108"/>
      <c r="AL407" s="108">
        <f t="shared" si="112"/>
        <v>0</v>
      </c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20">
        <f t="shared" si="113"/>
        <v>0</v>
      </c>
      <c r="CL407" s="122">
        <f t="shared" si="114"/>
        <v>0</v>
      </c>
      <c r="CM407" s="524" t="str">
        <f t="shared" si="116"/>
        <v/>
      </c>
      <c r="CN407" s="526">
        <f t="shared" si="117"/>
        <v>0</v>
      </c>
      <c r="CO407" s="122">
        <f t="shared" si="118"/>
        <v>0</v>
      </c>
      <c r="CP407" s="45" t="str">
        <f t="shared" si="115"/>
        <v>1 - in MILLESIMI   I</v>
      </c>
      <c r="CQ407" s="1"/>
    </row>
    <row r="408" spans="1:95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435">
        <f>IF(AND(W408&gt;=$U$1,W408&lt;=$U$2),IF(X408='ESTRATTO CONTO'!$E$2,1+COUNTIF(U$4:U407,"&gt;0"),0),0)</f>
        <v>0</v>
      </c>
      <c r="V408" s="417">
        <f t="shared" si="119"/>
        <v>405</v>
      </c>
      <c r="W408" s="509"/>
      <c r="X408" s="321"/>
      <c r="Y408" s="321"/>
      <c r="Z408" s="433"/>
      <c r="AA408" s="918">
        <f t="shared" si="110"/>
        <v>1</v>
      </c>
      <c r="AB408" s="306" t="str">
        <f t="shared" si="111"/>
        <v/>
      </c>
      <c r="AC408" s="788"/>
      <c r="AD408" s="119">
        <f t="shared" si="120"/>
        <v>0</v>
      </c>
      <c r="AE408" s="108">
        <f t="shared" si="120"/>
        <v>0</v>
      </c>
      <c r="AF408" s="108">
        <f t="shared" si="120"/>
        <v>0</v>
      </c>
      <c r="AG408" s="108"/>
      <c r="AH408" s="108"/>
      <c r="AI408" s="108"/>
      <c r="AJ408" s="108"/>
      <c r="AK408" s="108"/>
      <c r="AL408" s="108">
        <f t="shared" si="112"/>
        <v>0</v>
      </c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20">
        <f t="shared" si="113"/>
        <v>0</v>
      </c>
      <c r="CL408" s="122">
        <f t="shared" si="114"/>
        <v>0</v>
      </c>
      <c r="CM408" s="524" t="str">
        <f t="shared" si="116"/>
        <v/>
      </c>
      <c r="CN408" s="526">
        <f t="shared" si="117"/>
        <v>0</v>
      </c>
      <c r="CO408" s="122">
        <f t="shared" si="118"/>
        <v>0</v>
      </c>
      <c r="CP408" s="45" t="str">
        <f t="shared" si="115"/>
        <v>1 - in MILLESIMI   I</v>
      </c>
      <c r="CQ408" s="1"/>
    </row>
    <row r="409" spans="1:95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435">
        <f>IF(AND(W409&gt;=$U$1,W409&lt;=$U$2),IF(X409='ESTRATTO CONTO'!$E$2,1+COUNTIF(U$4:U408,"&gt;0"),0),0)</f>
        <v>0</v>
      </c>
      <c r="V409" s="417">
        <f t="shared" si="119"/>
        <v>406</v>
      </c>
      <c r="W409" s="509"/>
      <c r="X409" s="321"/>
      <c r="Y409" s="321"/>
      <c r="Z409" s="433"/>
      <c r="AA409" s="918">
        <f t="shared" si="110"/>
        <v>1</v>
      </c>
      <c r="AB409" s="306" t="str">
        <f t="shared" si="111"/>
        <v/>
      </c>
      <c r="AC409" s="788"/>
      <c r="AD409" s="119">
        <f t="shared" si="120"/>
        <v>0</v>
      </c>
      <c r="AE409" s="108">
        <f t="shared" si="120"/>
        <v>0</v>
      </c>
      <c r="AF409" s="108">
        <f t="shared" si="120"/>
        <v>0</v>
      </c>
      <c r="AG409" s="108"/>
      <c r="AH409" s="108"/>
      <c r="AI409" s="108"/>
      <c r="AJ409" s="108"/>
      <c r="AK409" s="108"/>
      <c r="AL409" s="108">
        <f t="shared" si="112"/>
        <v>0</v>
      </c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20">
        <f t="shared" si="113"/>
        <v>0</v>
      </c>
      <c r="CL409" s="122">
        <f t="shared" si="114"/>
        <v>0</v>
      </c>
      <c r="CM409" s="524" t="str">
        <f t="shared" si="116"/>
        <v/>
      </c>
      <c r="CN409" s="526">
        <f t="shared" si="117"/>
        <v>0</v>
      </c>
      <c r="CO409" s="122">
        <f t="shared" si="118"/>
        <v>0</v>
      </c>
      <c r="CP409" s="45" t="str">
        <f t="shared" si="115"/>
        <v>1 - in MILLESIMI   I</v>
      </c>
      <c r="CQ409" s="1"/>
    </row>
    <row r="410" spans="1:95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435">
        <f>IF(AND(W410&gt;=$U$1,W410&lt;=$U$2),IF(X410='ESTRATTO CONTO'!$E$2,1+COUNTIF(U$4:U409,"&gt;0"),0),0)</f>
        <v>0</v>
      </c>
      <c r="V410" s="417">
        <f t="shared" si="119"/>
        <v>407</v>
      </c>
      <c r="W410" s="509"/>
      <c r="X410" s="321"/>
      <c r="Y410" s="321"/>
      <c r="Z410" s="433"/>
      <c r="AA410" s="918">
        <f t="shared" si="110"/>
        <v>1</v>
      </c>
      <c r="AB410" s="306" t="str">
        <f t="shared" si="111"/>
        <v/>
      </c>
      <c r="AC410" s="788"/>
      <c r="AD410" s="119">
        <f t="shared" si="120"/>
        <v>0</v>
      </c>
      <c r="AE410" s="108">
        <f t="shared" si="120"/>
        <v>0</v>
      </c>
      <c r="AF410" s="108">
        <f t="shared" si="120"/>
        <v>0</v>
      </c>
      <c r="AG410" s="108"/>
      <c r="AH410" s="108"/>
      <c r="AI410" s="108"/>
      <c r="AJ410" s="108"/>
      <c r="AK410" s="108"/>
      <c r="AL410" s="108">
        <f t="shared" si="112"/>
        <v>0</v>
      </c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20">
        <f t="shared" si="113"/>
        <v>0</v>
      </c>
      <c r="CL410" s="122">
        <f t="shared" si="114"/>
        <v>0</v>
      </c>
      <c r="CM410" s="524" t="str">
        <f t="shared" si="116"/>
        <v/>
      </c>
      <c r="CN410" s="526">
        <f t="shared" si="117"/>
        <v>0</v>
      </c>
      <c r="CO410" s="122">
        <f t="shared" si="118"/>
        <v>0</v>
      </c>
      <c r="CP410" s="45" t="str">
        <f t="shared" si="115"/>
        <v>1 - in MILLESIMI   I</v>
      </c>
      <c r="CQ410" s="1"/>
    </row>
    <row r="411" spans="1:95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435">
        <f>IF(AND(W411&gt;=$U$1,W411&lt;=$U$2),IF(X411='ESTRATTO CONTO'!$E$2,1+COUNTIF(U$4:U410,"&gt;0"),0),0)</f>
        <v>0</v>
      </c>
      <c r="V411" s="417">
        <f t="shared" si="119"/>
        <v>408</v>
      </c>
      <c r="W411" s="509"/>
      <c r="X411" s="321"/>
      <c r="Y411" s="321"/>
      <c r="Z411" s="433"/>
      <c r="AA411" s="918">
        <f t="shared" si="110"/>
        <v>1</v>
      </c>
      <c r="AB411" s="306" t="str">
        <f t="shared" si="111"/>
        <v/>
      </c>
      <c r="AC411" s="788"/>
      <c r="AD411" s="119">
        <f t="shared" si="120"/>
        <v>0</v>
      </c>
      <c r="AE411" s="108">
        <f t="shared" si="120"/>
        <v>0</v>
      </c>
      <c r="AF411" s="108">
        <f t="shared" si="120"/>
        <v>0</v>
      </c>
      <c r="AG411" s="108"/>
      <c r="AH411" s="108"/>
      <c r="AI411" s="108"/>
      <c r="AJ411" s="108"/>
      <c r="AK411" s="108"/>
      <c r="AL411" s="108">
        <f t="shared" si="112"/>
        <v>0</v>
      </c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20">
        <f t="shared" si="113"/>
        <v>0</v>
      </c>
      <c r="CL411" s="122">
        <f t="shared" si="114"/>
        <v>0</v>
      </c>
      <c r="CM411" s="524" t="str">
        <f t="shared" si="116"/>
        <v/>
      </c>
      <c r="CN411" s="526">
        <f t="shared" si="117"/>
        <v>0</v>
      </c>
      <c r="CO411" s="122">
        <f t="shared" si="118"/>
        <v>0</v>
      </c>
      <c r="CP411" s="45" t="str">
        <f t="shared" si="115"/>
        <v>1 - in MILLESIMI   I</v>
      </c>
      <c r="CQ411" s="1"/>
    </row>
    <row r="412" spans="1:95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435">
        <f>IF(AND(W412&gt;=$U$1,W412&lt;=$U$2),IF(X412='ESTRATTO CONTO'!$E$2,1+COUNTIF(U$4:U411,"&gt;0"),0),0)</f>
        <v>0</v>
      </c>
      <c r="V412" s="417">
        <f t="shared" si="119"/>
        <v>409</v>
      </c>
      <c r="W412" s="509"/>
      <c r="X412" s="321"/>
      <c r="Y412" s="321"/>
      <c r="Z412" s="433"/>
      <c r="AA412" s="918">
        <f t="shared" si="110"/>
        <v>1</v>
      </c>
      <c r="AB412" s="306" t="str">
        <f t="shared" si="111"/>
        <v/>
      </c>
      <c r="AC412" s="788"/>
      <c r="AD412" s="119">
        <f t="shared" si="120"/>
        <v>0</v>
      </c>
      <c r="AE412" s="108">
        <f t="shared" si="120"/>
        <v>0</v>
      </c>
      <c r="AF412" s="108">
        <f t="shared" si="120"/>
        <v>0</v>
      </c>
      <c r="AG412" s="108"/>
      <c r="AH412" s="108"/>
      <c r="AI412" s="108"/>
      <c r="AJ412" s="108"/>
      <c r="AK412" s="108"/>
      <c r="AL412" s="108">
        <f t="shared" si="112"/>
        <v>0</v>
      </c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20">
        <f t="shared" si="113"/>
        <v>0</v>
      </c>
      <c r="CL412" s="122">
        <f t="shared" si="114"/>
        <v>0</v>
      </c>
      <c r="CM412" s="524" t="str">
        <f t="shared" si="116"/>
        <v/>
      </c>
      <c r="CN412" s="526">
        <f t="shared" si="117"/>
        <v>0</v>
      </c>
      <c r="CO412" s="122">
        <f t="shared" si="118"/>
        <v>0</v>
      </c>
      <c r="CP412" s="45" t="str">
        <f t="shared" si="115"/>
        <v>1 - in MILLESIMI   I</v>
      </c>
      <c r="CQ412" s="1"/>
    </row>
    <row r="413" spans="1:95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435">
        <f>IF(AND(W413&gt;=$U$1,W413&lt;=$U$2),IF(X413='ESTRATTO CONTO'!$E$2,1+COUNTIF(U$4:U412,"&gt;0"),0),0)</f>
        <v>0</v>
      </c>
      <c r="V413" s="417">
        <f t="shared" si="119"/>
        <v>410</v>
      </c>
      <c r="W413" s="509"/>
      <c r="X413" s="321"/>
      <c r="Y413" s="321"/>
      <c r="Z413" s="433"/>
      <c r="AA413" s="918">
        <f t="shared" si="110"/>
        <v>1</v>
      </c>
      <c r="AB413" s="306" t="str">
        <f t="shared" si="111"/>
        <v/>
      </c>
      <c r="AC413" s="788"/>
      <c r="AD413" s="119">
        <f t="shared" si="120"/>
        <v>0</v>
      </c>
      <c r="AE413" s="108">
        <f t="shared" si="120"/>
        <v>0</v>
      </c>
      <c r="AF413" s="108">
        <f t="shared" si="120"/>
        <v>0</v>
      </c>
      <c r="AG413" s="108"/>
      <c r="AH413" s="108"/>
      <c r="AI413" s="108"/>
      <c r="AJ413" s="108"/>
      <c r="AK413" s="108"/>
      <c r="AL413" s="108">
        <f t="shared" si="112"/>
        <v>0</v>
      </c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20">
        <f t="shared" si="113"/>
        <v>0</v>
      </c>
      <c r="CL413" s="122">
        <f t="shared" si="114"/>
        <v>0</v>
      </c>
      <c r="CM413" s="524" t="str">
        <f t="shared" si="116"/>
        <v/>
      </c>
      <c r="CN413" s="526">
        <f t="shared" si="117"/>
        <v>0</v>
      </c>
      <c r="CO413" s="122">
        <f t="shared" si="118"/>
        <v>0</v>
      </c>
      <c r="CP413" s="45" t="str">
        <f t="shared" si="115"/>
        <v>1 - in MILLESIMI   I</v>
      </c>
      <c r="CQ413" s="1"/>
    </row>
    <row r="414" spans="1:95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435">
        <f>IF(AND(W414&gt;=$U$1,W414&lt;=$U$2),IF(X414='ESTRATTO CONTO'!$E$2,1+COUNTIF(U$4:U413,"&gt;0"),0),0)</f>
        <v>0</v>
      </c>
      <c r="V414" s="417">
        <f t="shared" si="119"/>
        <v>411</v>
      </c>
      <c r="W414" s="509"/>
      <c r="X414" s="321"/>
      <c r="Y414" s="321"/>
      <c r="Z414" s="433"/>
      <c r="AA414" s="918">
        <f t="shared" si="110"/>
        <v>1</v>
      </c>
      <c r="AB414" s="306" t="str">
        <f t="shared" si="111"/>
        <v/>
      </c>
      <c r="AC414" s="788"/>
      <c r="AD414" s="119">
        <f t="shared" si="120"/>
        <v>0</v>
      </c>
      <c r="AE414" s="108">
        <f t="shared" si="120"/>
        <v>0</v>
      </c>
      <c r="AF414" s="108">
        <f t="shared" si="120"/>
        <v>0</v>
      </c>
      <c r="AG414" s="108"/>
      <c r="AH414" s="108"/>
      <c r="AI414" s="108"/>
      <c r="AJ414" s="108"/>
      <c r="AK414" s="108"/>
      <c r="AL414" s="108">
        <f t="shared" si="112"/>
        <v>0</v>
      </c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20">
        <f t="shared" si="113"/>
        <v>0</v>
      </c>
      <c r="CL414" s="122">
        <f t="shared" si="114"/>
        <v>0</v>
      </c>
      <c r="CM414" s="524" t="str">
        <f t="shared" si="116"/>
        <v/>
      </c>
      <c r="CN414" s="526">
        <f t="shared" si="117"/>
        <v>0</v>
      </c>
      <c r="CO414" s="122">
        <f t="shared" si="118"/>
        <v>0</v>
      </c>
      <c r="CP414" s="45" t="str">
        <f t="shared" si="115"/>
        <v>1 - in MILLESIMI   I</v>
      </c>
      <c r="CQ414" s="1"/>
    </row>
    <row r="415" spans="1:95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435">
        <f>IF(AND(W415&gt;=$U$1,W415&lt;=$U$2),IF(X415='ESTRATTO CONTO'!$E$2,1+COUNTIF(U$4:U414,"&gt;0"),0),0)</f>
        <v>0</v>
      </c>
      <c r="V415" s="417">
        <f t="shared" si="119"/>
        <v>412</v>
      </c>
      <c r="W415" s="509"/>
      <c r="X415" s="321"/>
      <c r="Y415" s="321"/>
      <c r="Z415" s="433"/>
      <c r="AA415" s="918">
        <f t="shared" si="110"/>
        <v>1</v>
      </c>
      <c r="AB415" s="306" t="str">
        <f t="shared" si="111"/>
        <v/>
      </c>
      <c r="AC415" s="788"/>
      <c r="AD415" s="119">
        <f t="shared" si="120"/>
        <v>0</v>
      </c>
      <c r="AE415" s="108">
        <f t="shared" si="120"/>
        <v>0</v>
      </c>
      <c r="AF415" s="108">
        <f t="shared" si="120"/>
        <v>0</v>
      </c>
      <c r="AG415" s="108"/>
      <c r="AH415" s="108"/>
      <c r="AI415" s="108"/>
      <c r="AJ415" s="108"/>
      <c r="AK415" s="108"/>
      <c r="AL415" s="108">
        <f t="shared" si="112"/>
        <v>0</v>
      </c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20">
        <f t="shared" si="113"/>
        <v>0</v>
      </c>
      <c r="CL415" s="122">
        <f t="shared" si="114"/>
        <v>0</v>
      </c>
      <c r="CM415" s="524" t="str">
        <f t="shared" si="116"/>
        <v/>
      </c>
      <c r="CN415" s="526">
        <f t="shared" si="117"/>
        <v>0</v>
      </c>
      <c r="CO415" s="122">
        <f t="shared" si="118"/>
        <v>0</v>
      </c>
      <c r="CP415" s="45" t="str">
        <f t="shared" si="115"/>
        <v>1 - in MILLESIMI   I</v>
      </c>
      <c r="CQ415" s="1"/>
    </row>
    <row r="416" spans="1:95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435">
        <f>IF(AND(W416&gt;=$U$1,W416&lt;=$U$2),IF(X416='ESTRATTO CONTO'!$E$2,1+COUNTIF(U$4:U415,"&gt;0"),0),0)</f>
        <v>0</v>
      </c>
      <c r="V416" s="417">
        <f t="shared" si="119"/>
        <v>413</v>
      </c>
      <c r="W416" s="509"/>
      <c r="X416" s="321"/>
      <c r="Y416" s="321"/>
      <c r="Z416" s="433"/>
      <c r="AA416" s="918">
        <f t="shared" si="110"/>
        <v>1</v>
      </c>
      <c r="AB416" s="306" t="str">
        <f t="shared" si="111"/>
        <v/>
      </c>
      <c r="AC416" s="788"/>
      <c r="AD416" s="119">
        <f t="shared" si="120"/>
        <v>0</v>
      </c>
      <c r="AE416" s="108">
        <f t="shared" si="120"/>
        <v>0</v>
      </c>
      <c r="AF416" s="108">
        <f t="shared" si="120"/>
        <v>0</v>
      </c>
      <c r="AG416" s="108"/>
      <c r="AH416" s="108"/>
      <c r="AI416" s="108"/>
      <c r="AJ416" s="108"/>
      <c r="AK416" s="108"/>
      <c r="AL416" s="108">
        <f t="shared" si="112"/>
        <v>0</v>
      </c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20">
        <f t="shared" si="113"/>
        <v>0</v>
      </c>
      <c r="CL416" s="122">
        <f t="shared" si="114"/>
        <v>0</v>
      </c>
      <c r="CM416" s="524" t="str">
        <f t="shared" si="116"/>
        <v/>
      </c>
      <c r="CN416" s="526">
        <f t="shared" si="117"/>
        <v>0</v>
      </c>
      <c r="CO416" s="122">
        <f t="shared" si="118"/>
        <v>0</v>
      </c>
      <c r="CP416" s="45" t="str">
        <f t="shared" si="115"/>
        <v>1 - in MILLESIMI   I</v>
      </c>
      <c r="CQ416" s="1"/>
    </row>
    <row r="417" spans="1:95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435">
        <f>IF(AND(W417&gt;=$U$1,W417&lt;=$U$2),IF(X417='ESTRATTO CONTO'!$E$2,1+COUNTIF(U$4:U416,"&gt;0"),0),0)</f>
        <v>0</v>
      </c>
      <c r="V417" s="417">
        <f t="shared" si="119"/>
        <v>414</v>
      </c>
      <c r="W417" s="509"/>
      <c r="X417" s="321"/>
      <c r="Y417" s="321"/>
      <c r="Z417" s="433"/>
      <c r="AA417" s="918">
        <f t="shared" si="110"/>
        <v>1</v>
      </c>
      <c r="AB417" s="306" t="str">
        <f t="shared" si="111"/>
        <v/>
      </c>
      <c r="AC417" s="788"/>
      <c r="AD417" s="119">
        <f t="shared" si="120"/>
        <v>0</v>
      </c>
      <c r="AE417" s="108">
        <f t="shared" si="120"/>
        <v>0</v>
      </c>
      <c r="AF417" s="108">
        <f t="shared" si="120"/>
        <v>0</v>
      </c>
      <c r="AG417" s="108"/>
      <c r="AH417" s="108"/>
      <c r="AI417" s="108"/>
      <c r="AJ417" s="108"/>
      <c r="AK417" s="108"/>
      <c r="AL417" s="108">
        <f t="shared" si="112"/>
        <v>0</v>
      </c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20">
        <f t="shared" si="113"/>
        <v>0</v>
      </c>
      <c r="CL417" s="122">
        <f t="shared" si="114"/>
        <v>0</v>
      </c>
      <c r="CM417" s="524" t="str">
        <f t="shared" si="116"/>
        <v/>
      </c>
      <c r="CN417" s="526">
        <f t="shared" si="117"/>
        <v>0</v>
      </c>
      <c r="CO417" s="122">
        <f t="shared" si="118"/>
        <v>0</v>
      </c>
      <c r="CP417" s="45" t="str">
        <f t="shared" si="115"/>
        <v>1 - in MILLESIMI   I</v>
      </c>
      <c r="CQ417" s="1"/>
    </row>
    <row r="418" spans="1:95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435">
        <f>IF(AND(W418&gt;=$U$1,W418&lt;=$U$2),IF(X418='ESTRATTO CONTO'!$E$2,1+COUNTIF(U$4:U417,"&gt;0"),0),0)</f>
        <v>0</v>
      </c>
      <c r="V418" s="417">
        <f t="shared" si="119"/>
        <v>415</v>
      </c>
      <c r="W418" s="509"/>
      <c r="X418" s="321"/>
      <c r="Y418" s="321"/>
      <c r="Z418" s="433"/>
      <c r="AA418" s="918">
        <f t="shared" si="110"/>
        <v>1</v>
      </c>
      <c r="AB418" s="306" t="str">
        <f t="shared" si="111"/>
        <v/>
      </c>
      <c r="AC418" s="788"/>
      <c r="AD418" s="119">
        <f t="shared" si="120"/>
        <v>0</v>
      </c>
      <c r="AE418" s="108">
        <f t="shared" si="120"/>
        <v>0</v>
      </c>
      <c r="AF418" s="108">
        <f t="shared" si="120"/>
        <v>0</v>
      </c>
      <c r="AG418" s="108"/>
      <c r="AH418" s="108"/>
      <c r="AI418" s="108"/>
      <c r="AJ418" s="108"/>
      <c r="AK418" s="108"/>
      <c r="AL418" s="108">
        <f t="shared" si="112"/>
        <v>0</v>
      </c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20">
        <f t="shared" si="113"/>
        <v>0</v>
      </c>
      <c r="CL418" s="122">
        <f t="shared" si="114"/>
        <v>0</v>
      </c>
      <c r="CM418" s="524" t="str">
        <f t="shared" si="116"/>
        <v/>
      </c>
      <c r="CN418" s="526">
        <f t="shared" si="117"/>
        <v>0</v>
      </c>
      <c r="CO418" s="122">
        <f t="shared" si="118"/>
        <v>0</v>
      </c>
      <c r="CP418" s="45" t="str">
        <f t="shared" si="115"/>
        <v>1 - in MILLESIMI   I</v>
      </c>
      <c r="CQ418" s="1"/>
    </row>
    <row r="419" spans="1:95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435">
        <f>IF(AND(W419&gt;=$U$1,W419&lt;=$U$2),IF(X419='ESTRATTO CONTO'!$E$2,1+COUNTIF(U$4:U418,"&gt;0"),0),0)</f>
        <v>0</v>
      </c>
      <c r="V419" s="417">
        <f t="shared" si="119"/>
        <v>416</v>
      </c>
      <c r="W419" s="509"/>
      <c r="X419" s="321"/>
      <c r="Y419" s="321"/>
      <c r="Z419" s="433"/>
      <c r="AA419" s="918">
        <f t="shared" si="110"/>
        <v>1</v>
      </c>
      <c r="AB419" s="306" t="str">
        <f t="shared" si="111"/>
        <v/>
      </c>
      <c r="AC419" s="788"/>
      <c r="AD419" s="119">
        <f t="shared" si="120"/>
        <v>0</v>
      </c>
      <c r="AE419" s="108">
        <f t="shared" si="120"/>
        <v>0</v>
      </c>
      <c r="AF419" s="108">
        <f t="shared" si="120"/>
        <v>0</v>
      </c>
      <c r="AG419" s="108"/>
      <c r="AH419" s="108"/>
      <c r="AI419" s="108"/>
      <c r="AJ419" s="108"/>
      <c r="AK419" s="108"/>
      <c r="AL419" s="108">
        <f t="shared" si="112"/>
        <v>0</v>
      </c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20">
        <f t="shared" si="113"/>
        <v>0</v>
      </c>
      <c r="CL419" s="122">
        <f t="shared" si="114"/>
        <v>0</v>
      </c>
      <c r="CM419" s="524" t="str">
        <f t="shared" si="116"/>
        <v/>
      </c>
      <c r="CN419" s="526">
        <f t="shared" si="117"/>
        <v>0</v>
      </c>
      <c r="CO419" s="122">
        <f t="shared" si="118"/>
        <v>0</v>
      </c>
      <c r="CP419" s="45" t="str">
        <f t="shared" si="115"/>
        <v>1 - in MILLESIMI   I</v>
      </c>
      <c r="CQ419" s="1"/>
    </row>
    <row r="420" spans="1:95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435">
        <f>IF(AND(W420&gt;=$U$1,W420&lt;=$U$2),IF(X420='ESTRATTO CONTO'!$E$2,1+COUNTIF(U$4:U419,"&gt;0"),0),0)</f>
        <v>0</v>
      </c>
      <c r="V420" s="417">
        <f t="shared" si="119"/>
        <v>417</v>
      </c>
      <c r="W420" s="509"/>
      <c r="X420" s="321"/>
      <c r="Y420" s="321"/>
      <c r="Z420" s="433"/>
      <c r="AA420" s="918">
        <f t="shared" si="110"/>
        <v>1</v>
      </c>
      <c r="AB420" s="306" t="str">
        <f t="shared" si="111"/>
        <v/>
      </c>
      <c r="AC420" s="788"/>
      <c r="AD420" s="119">
        <f t="shared" si="120"/>
        <v>0</v>
      </c>
      <c r="AE420" s="108">
        <f t="shared" si="120"/>
        <v>0</v>
      </c>
      <c r="AF420" s="108">
        <f t="shared" si="120"/>
        <v>0</v>
      </c>
      <c r="AG420" s="108"/>
      <c r="AH420" s="108"/>
      <c r="AI420" s="108"/>
      <c r="AJ420" s="108"/>
      <c r="AK420" s="108"/>
      <c r="AL420" s="108">
        <f t="shared" si="112"/>
        <v>0</v>
      </c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20">
        <f t="shared" si="113"/>
        <v>0</v>
      </c>
      <c r="CL420" s="122">
        <f t="shared" si="114"/>
        <v>0</v>
      </c>
      <c r="CM420" s="524" t="str">
        <f t="shared" si="116"/>
        <v/>
      </c>
      <c r="CN420" s="526">
        <f t="shared" si="117"/>
        <v>0</v>
      </c>
      <c r="CO420" s="122">
        <f t="shared" si="118"/>
        <v>0</v>
      </c>
      <c r="CP420" s="45" t="str">
        <f t="shared" si="115"/>
        <v>1 - in MILLESIMI   I</v>
      </c>
      <c r="CQ420" s="1"/>
    </row>
    <row r="421" spans="1:95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435">
        <f>IF(AND(W421&gt;=$U$1,W421&lt;=$U$2),IF(X421='ESTRATTO CONTO'!$E$2,1+COUNTIF(U$4:U420,"&gt;0"),0),0)</f>
        <v>0</v>
      </c>
      <c r="V421" s="417">
        <f t="shared" si="119"/>
        <v>418</v>
      </c>
      <c r="W421" s="509"/>
      <c r="X421" s="321"/>
      <c r="Y421" s="321"/>
      <c r="Z421" s="433"/>
      <c r="AA421" s="918">
        <f t="shared" si="110"/>
        <v>1</v>
      </c>
      <c r="AB421" s="306" t="str">
        <f t="shared" si="111"/>
        <v/>
      </c>
      <c r="AC421" s="788"/>
      <c r="AD421" s="119">
        <f t="shared" si="120"/>
        <v>0</v>
      </c>
      <c r="AE421" s="108">
        <f t="shared" si="120"/>
        <v>0</v>
      </c>
      <c r="AF421" s="108">
        <f t="shared" si="120"/>
        <v>0</v>
      </c>
      <c r="AG421" s="108"/>
      <c r="AH421" s="108"/>
      <c r="AI421" s="108"/>
      <c r="AJ421" s="108"/>
      <c r="AK421" s="108"/>
      <c r="AL421" s="108">
        <f t="shared" si="112"/>
        <v>0</v>
      </c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20">
        <f t="shared" si="113"/>
        <v>0</v>
      </c>
      <c r="CL421" s="122">
        <f t="shared" si="114"/>
        <v>0</v>
      </c>
      <c r="CM421" s="524" t="str">
        <f t="shared" si="116"/>
        <v/>
      </c>
      <c r="CN421" s="526">
        <f t="shared" si="117"/>
        <v>0</v>
      </c>
      <c r="CO421" s="122">
        <f t="shared" si="118"/>
        <v>0</v>
      </c>
      <c r="CP421" s="45" t="str">
        <f t="shared" si="115"/>
        <v>1 - in MILLESIMI   I</v>
      </c>
      <c r="CQ421" s="1"/>
    </row>
    <row r="422" spans="1:95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435">
        <f>IF(AND(W422&gt;=$U$1,W422&lt;=$U$2),IF(X422='ESTRATTO CONTO'!$E$2,1+COUNTIF(U$4:U421,"&gt;0"),0),0)</f>
        <v>0</v>
      </c>
      <c r="V422" s="417">
        <f t="shared" si="119"/>
        <v>419</v>
      </c>
      <c r="W422" s="509"/>
      <c r="X422" s="321"/>
      <c r="Y422" s="321"/>
      <c r="Z422" s="433"/>
      <c r="AA422" s="918">
        <f t="shared" si="110"/>
        <v>1</v>
      </c>
      <c r="AB422" s="306" t="str">
        <f t="shared" si="111"/>
        <v/>
      </c>
      <c r="AC422" s="788"/>
      <c r="AD422" s="119">
        <f t="shared" si="120"/>
        <v>0</v>
      </c>
      <c r="AE422" s="108">
        <f t="shared" si="120"/>
        <v>0</v>
      </c>
      <c r="AF422" s="108">
        <f t="shared" si="120"/>
        <v>0</v>
      </c>
      <c r="AG422" s="108"/>
      <c r="AH422" s="108"/>
      <c r="AI422" s="108"/>
      <c r="AJ422" s="108"/>
      <c r="AK422" s="108"/>
      <c r="AL422" s="108">
        <f t="shared" si="112"/>
        <v>0</v>
      </c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20">
        <f t="shared" si="113"/>
        <v>0</v>
      </c>
      <c r="CL422" s="122">
        <f t="shared" si="114"/>
        <v>0</v>
      </c>
      <c r="CM422" s="524" t="str">
        <f t="shared" si="116"/>
        <v/>
      </c>
      <c r="CN422" s="526">
        <f t="shared" si="117"/>
        <v>0</v>
      </c>
      <c r="CO422" s="122">
        <f t="shared" si="118"/>
        <v>0</v>
      </c>
      <c r="CP422" s="45" t="str">
        <f t="shared" si="115"/>
        <v>1 - in MILLESIMI   I</v>
      </c>
      <c r="CQ422" s="1"/>
    </row>
    <row r="423" spans="1:95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435">
        <f>IF(AND(W423&gt;=$U$1,W423&lt;=$U$2),IF(X423='ESTRATTO CONTO'!$E$2,1+COUNTIF(U$4:U422,"&gt;0"),0),0)</f>
        <v>0</v>
      </c>
      <c r="V423" s="417">
        <f t="shared" si="119"/>
        <v>420</v>
      </c>
      <c r="W423" s="509"/>
      <c r="X423" s="321"/>
      <c r="Y423" s="321"/>
      <c r="Z423" s="433"/>
      <c r="AA423" s="918">
        <f t="shared" si="110"/>
        <v>1</v>
      </c>
      <c r="AB423" s="306" t="str">
        <f t="shared" si="111"/>
        <v/>
      </c>
      <c r="AC423" s="788"/>
      <c r="AD423" s="119">
        <f t="shared" si="120"/>
        <v>0</v>
      </c>
      <c r="AE423" s="108">
        <f t="shared" si="120"/>
        <v>0</v>
      </c>
      <c r="AF423" s="108">
        <f t="shared" si="120"/>
        <v>0</v>
      </c>
      <c r="AG423" s="108"/>
      <c r="AH423" s="108"/>
      <c r="AI423" s="108"/>
      <c r="AJ423" s="108"/>
      <c r="AK423" s="108"/>
      <c r="AL423" s="108">
        <f t="shared" si="112"/>
        <v>0</v>
      </c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20">
        <f t="shared" si="113"/>
        <v>0</v>
      </c>
      <c r="CL423" s="122">
        <f t="shared" si="114"/>
        <v>0</v>
      </c>
      <c r="CM423" s="524" t="str">
        <f t="shared" si="116"/>
        <v/>
      </c>
      <c r="CN423" s="526">
        <f t="shared" si="117"/>
        <v>0</v>
      </c>
      <c r="CO423" s="122">
        <f t="shared" si="118"/>
        <v>0</v>
      </c>
      <c r="CP423" s="45" t="str">
        <f t="shared" si="115"/>
        <v>1 - in MILLESIMI   I</v>
      </c>
      <c r="CQ423" s="1"/>
    </row>
    <row r="424" spans="1:95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435">
        <f>IF(AND(W424&gt;=$U$1,W424&lt;=$U$2),IF(X424='ESTRATTO CONTO'!$E$2,1+COUNTIF(U$4:U423,"&gt;0"),0),0)</f>
        <v>0</v>
      </c>
      <c r="V424" s="417">
        <f t="shared" si="119"/>
        <v>421</v>
      </c>
      <c r="W424" s="509"/>
      <c r="X424" s="321"/>
      <c r="Y424" s="321"/>
      <c r="Z424" s="433"/>
      <c r="AA424" s="918">
        <f t="shared" si="110"/>
        <v>1</v>
      </c>
      <c r="AB424" s="306" t="str">
        <f t="shared" si="111"/>
        <v/>
      </c>
      <c r="AC424" s="788"/>
      <c r="AD424" s="119">
        <f t="shared" ref="AD424:AF443" si="121">IF($AB424=0,0,ROUND($Z424*VLOOKUP(AD$2,$F$1010:$Q$1014,VLOOKUP($CP424,$C$1076:$E$1081,3,FALSE),FALSE),2))</f>
        <v>0</v>
      </c>
      <c r="AE424" s="108">
        <f t="shared" si="121"/>
        <v>0</v>
      </c>
      <c r="AF424" s="108">
        <f t="shared" si="121"/>
        <v>0</v>
      </c>
      <c r="AG424" s="108"/>
      <c r="AH424" s="108"/>
      <c r="AI424" s="108"/>
      <c r="AJ424" s="108"/>
      <c r="AK424" s="108"/>
      <c r="AL424" s="108">
        <f t="shared" si="112"/>
        <v>0</v>
      </c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20">
        <f t="shared" si="113"/>
        <v>0</v>
      </c>
      <c r="CL424" s="122">
        <f t="shared" si="114"/>
        <v>0</v>
      </c>
      <c r="CM424" s="524" t="str">
        <f t="shared" si="116"/>
        <v/>
      </c>
      <c r="CN424" s="526">
        <f t="shared" si="117"/>
        <v>0</v>
      </c>
      <c r="CO424" s="122">
        <f t="shared" si="118"/>
        <v>0</v>
      </c>
      <c r="CP424" s="45" t="str">
        <f t="shared" si="115"/>
        <v>1 - in MILLESIMI   I</v>
      </c>
      <c r="CQ424" s="1"/>
    </row>
    <row r="425" spans="1:95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435">
        <f>IF(AND(W425&gt;=$U$1,W425&lt;=$U$2),IF(X425='ESTRATTO CONTO'!$E$2,1+COUNTIF(U$4:U424,"&gt;0"),0),0)</f>
        <v>0</v>
      </c>
      <c r="V425" s="417">
        <f t="shared" si="119"/>
        <v>422</v>
      </c>
      <c r="W425" s="509"/>
      <c r="X425" s="321"/>
      <c r="Y425" s="321"/>
      <c r="Z425" s="433"/>
      <c r="AA425" s="918">
        <f t="shared" si="110"/>
        <v>1</v>
      </c>
      <c r="AB425" s="306" t="str">
        <f t="shared" si="111"/>
        <v/>
      </c>
      <c r="AC425" s="788"/>
      <c r="AD425" s="119">
        <f t="shared" si="121"/>
        <v>0</v>
      </c>
      <c r="AE425" s="108">
        <f t="shared" si="121"/>
        <v>0</v>
      </c>
      <c r="AF425" s="108">
        <f t="shared" si="121"/>
        <v>0</v>
      </c>
      <c r="AG425" s="108"/>
      <c r="AH425" s="108"/>
      <c r="AI425" s="108"/>
      <c r="AJ425" s="108"/>
      <c r="AK425" s="108"/>
      <c r="AL425" s="108">
        <f t="shared" si="112"/>
        <v>0</v>
      </c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20">
        <f t="shared" si="113"/>
        <v>0</v>
      </c>
      <c r="CL425" s="122">
        <f t="shared" si="114"/>
        <v>0</v>
      </c>
      <c r="CM425" s="524" t="str">
        <f t="shared" si="116"/>
        <v/>
      </c>
      <c r="CN425" s="526">
        <f t="shared" si="117"/>
        <v>0</v>
      </c>
      <c r="CO425" s="122">
        <f t="shared" si="118"/>
        <v>0</v>
      </c>
      <c r="CP425" s="45" t="str">
        <f t="shared" si="115"/>
        <v>1 - in MILLESIMI   I</v>
      </c>
      <c r="CQ425" s="1"/>
    </row>
    <row r="426" spans="1:95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435">
        <f>IF(AND(W426&gt;=$U$1,W426&lt;=$U$2),IF(X426='ESTRATTO CONTO'!$E$2,1+COUNTIF(U$4:U425,"&gt;0"),0),0)</f>
        <v>0</v>
      </c>
      <c r="V426" s="417">
        <f t="shared" si="119"/>
        <v>423</v>
      </c>
      <c r="W426" s="509"/>
      <c r="X426" s="321"/>
      <c r="Y426" s="321"/>
      <c r="Z426" s="433"/>
      <c r="AA426" s="918">
        <f t="shared" si="110"/>
        <v>1</v>
      </c>
      <c r="AB426" s="306" t="str">
        <f t="shared" si="111"/>
        <v/>
      </c>
      <c r="AC426" s="788"/>
      <c r="AD426" s="119">
        <f t="shared" si="121"/>
        <v>0</v>
      </c>
      <c r="AE426" s="108">
        <f t="shared" si="121"/>
        <v>0</v>
      </c>
      <c r="AF426" s="108">
        <f t="shared" si="121"/>
        <v>0</v>
      </c>
      <c r="AG426" s="108"/>
      <c r="AH426" s="108"/>
      <c r="AI426" s="108"/>
      <c r="AJ426" s="108"/>
      <c r="AK426" s="108"/>
      <c r="AL426" s="108">
        <f t="shared" si="112"/>
        <v>0</v>
      </c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20">
        <f t="shared" si="113"/>
        <v>0</v>
      </c>
      <c r="CL426" s="122">
        <f t="shared" si="114"/>
        <v>0</v>
      </c>
      <c r="CM426" s="524" t="str">
        <f t="shared" si="116"/>
        <v/>
      </c>
      <c r="CN426" s="526">
        <f t="shared" si="117"/>
        <v>0</v>
      </c>
      <c r="CO426" s="122">
        <f t="shared" si="118"/>
        <v>0</v>
      </c>
      <c r="CP426" s="45" t="str">
        <f t="shared" si="115"/>
        <v>1 - in MILLESIMI   I</v>
      </c>
      <c r="CQ426" s="1"/>
    </row>
    <row r="427" spans="1:95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435">
        <f>IF(AND(W427&gt;=$U$1,W427&lt;=$U$2),IF(X427='ESTRATTO CONTO'!$E$2,1+COUNTIF(U$4:U426,"&gt;0"),0),0)</f>
        <v>0</v>
      </c>
      <c r="V427" s="417">
        <f t="shared" si="119"/>
        <v>424</v>
      </c>
      <c r="W427" s="509"/>
      <c r="X427" s="321"/>
      <c r="Y427" s="321"/>
      <c r="Z427" s="433"/>
      <c r="AA427" s="918">
        <f t="shared" si="110"/>
        <v>1</v>
      </c>
      <c r="AB427" s="306" t="str">
        <f t="shared" si="111"/>
        <v/>
      </c>
      <c r="AC427" s="788"/>
      <c r="AD427" s="119">
        <f t="shared" si="121"/>
        <v>0</v>
      </c>
      <c r="AE427" s="108">
        <f t="shared" si="121"/>
        <v>0</v>
      </c>
      <c r="AF427" s="108">
        <f t="shared" si="121"/>
        <v>0</v>
      </c>
      <c r="AG427" s="108"/>
      <c r="AH427" s="108"/>
      <c r="AI427" s="108"/>
      <c r="AJ427" s="108"/>
      <c r="AK427" s="108"/>
      <c r="AL427" s="108">
        <f t="shared" si="112"/>
        <v>0</v>
      </c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20">
        <f t="shared" si="113"/>
        <v>0</v>
      </c>
      <c r="CL427" s="122">
        <f t="shared" si="114"/>
        <v>0</v>
      </c>
      <c r="CM427" s="524" t="str">
        <f t="shared" si="116"/>
        <v/>
      </c>
      <c r="CN427" s="526">
        <f t="shared" si="117"/>
        <v>0</v>
      </c>
      <c r="CO427" s="122">
        <f t="shared" si="118"/>
        <v>0</v>
      </c>
      <c r="CP427" s="45" t="str">
        <f t="shared" si="115"/>
        <v>1 - in MILLESIMI   I</v>
      </c>
      <c r="CQ427" s="1"/>
    </row>
    <row r="428" spans="1:95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435">
        <f>IF(AND(W428&gt;=$U$1,W428&lt;=$U$2),IF(X428='ESTRATTO CONTO'!$E$2,1+COUNTIF(U$4:U427,"&gt;0"),0),0)</f>
        <v>0</v>
      </c>
      <c r="V428" s="417">
        <f t="shared" si="119"/>
        <v>425</v>
      </c>
      <c r="W428" s="509"/>
      <c r="X428" s="321"/>
      <c r="Y428" s="321"/>
      <c r="Z428" s="433"/>
      <c r="AA428" s="918">
        <f t="shared" si="110"/>
        <v>1</v>
      </c>
      <c r="AB428" s="306" t="str">
        <f t="shared" si="111"/>
        <v/>
      </c>
      <c r="AC428" s="788"/>
      <c r="AD428" s="119">
        <f t="shared" si="121"/>
        <v>0</v>
      </c>
      <c r="AE428" s="108">
        <f t="shared" si="121"/>
        <v>0</v>
      </c>
      <c r="AF428" s="108">
        <f t="shared" si="121"/>
        <v>0</v>
      </c>
      <c r="AG428" s="108"/>
      <c r="AH428" s="108"/>
      <c r="AI428" s="108"/>
      <c r="AJ428" s="108"/>
      <c r="AK428" s="108"/>
      <c r="AL428" s="108">
        <f t="shared" si="112"/>
        <v>0</v>
      </c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20">
        <f t="shared" si="113"/>
        <v>0</v>
      </c>
      <c r="CL428" s="122">
        <f t="shared" si="114"/>
        <v>0</v>
      </c>
      <c r="CM428" s="524" t="str">
        <f t="shared" si="116"/>
        <v/>
      </c>
      <c r="CN428" s="526">
        <f t="shared" si="117"/>
        <v>0</v>
      </c>
      <c r="CO428" s="122">
        <f t="shared" si="118"/>
        <v>0</v>
      </c>
      <c r="CP428" s="45" t="str">
        <f t="shared" si="115"/>
        <v>1 - in MILLESIMI   I</v>
      </c>
      <c r="CQ428" s="1"/>
    </row>
    <row r="429" spans="1:95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435">
        <f>IF(AND(W429&gt;=$U$1,W429&lt;=$U$2),IF(X429='ESTRATTO CONTO'!$E$2,1+COUNTIF(U$4:U428,"&gt;0"),0),0)</f>
        <v>0</v>
      </c>
      <c r="V429" s="417">
        <f t="shared" si="119"/>
        <v>426</v>
      </c>
      <c r="W429" s="509"/>
      <c r="X429" s="321"/>
      <c r="Y429" s="321"/>
      <c r="Z429" s="433"/>
      <c r="AA429" s="918">
        <f t="shared" si="110"/>
        <v>1</v>
      </c>
      <c r="AB429" s="306" t="str">
        <f t="shared" si="111"/>
        <v/>
      </c>
      <c r="AC429" s="788"/>
      <c r="AD429" s="119">
        <f t="shared" si="121"/>
        <v>0</v>
      </c>
      <c r="AE429" s="108">
        <f t="shared" si="121"/>
        <v>0</v>
      </c>
      <c r="AF429" s="108">
        <f t="shared" si="121"/>
        <v>0</v>
      </c>
      <c r="AG429" s="108"/>
      <c r="AH429" s="108"/>
      <c r="AI429" s="108"/>
      <c r="AJ429" s="108"/>
      <c r="AK429" s="108"/>
      <c r="AL429" s="108">
        <f t="shared" si="112"/>
        <v>0</v>
      </c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20">
        <f t="shared" si="113"/>
        <v>0</v>
      </c>
      <c r="CL429" s="122">
        <f t="shared" si="114"/>
        <v>0</v>
      </c>
      <c r="CM429" s="524" t="str">
        <f t="shared" si="116"/>
        <v/>
      </c>
      <c r="CN429" s="526">
        <f t="shared" si="117"/>
        <v>0</v>
      </c>
      <c r="CO429" s="122">
        <f t="shared" si="118"/>
        <v>0</v>
      </c>
      <c r="CP429" s="45" t="str">
        <f t="shared" si="115"/>
        <v>1 - in MILLESIMI   I</v>
      </c>
      <c r="CQ429" s="1"/>
    </row>
    <row r="430" spans="1:95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435">
        <f>IF(AND(W430&gt;=$U$1,W430&lt;=$U$2),IF(X430='ESTRATTO CONTO'!$E$2,1+COUNTIF(U$4:U429,"&gt;0"),0),0)</f>
        <v>0</v>
      </c>
      <c r="V430" s="417">
        <f t="shared" si="119"/>
        <v>427</v>
      </c>
      <c r="W430" s="509"/>
      <c r="X430" s="321"/>
      <c r="Y430" s="321"/>
      <c r="Z430" s="433"/>
      <c r="AA430" s="918">
        <f t="shared" si="110"/>
        <v>1</v>
      </c>
      <c r="AB430" s="306" t="str">
        <f t="shared" si="111"/>
        <v/>
      </c>
      <c r="AC430" s="788"/>
      <c r="AD430" s="119">
        <f t="shared" si="121"/>
        <v>0</v>
      </c>
      <c r="AE430" s="108">
        <f t="shared" si="121"/>
        <v>0</v>
      </c>
      <c r="AF430" s="108">
        <f t="shared" si="121"/>
        <v>0</v>
      </c>
      <c r="AG430" s="108"/>
      <c r="AH430" s="108"/>
      <c r="AI430" s="108"/>
      <c r="AJ430" s="108"/>
      <c r="AK430" s="108"/>
      <c r="AL430" s="108">
        <f t="shared" si="112"/>
        <v>0</v>
      </c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20">
        <f t="shared" si="113"/>
        <v>0</v>
      </c>
      <c r="CL430" s="122">
        <f t="shared" si="114"/>
        <v>0</v>
      </c>
      <c r="CM430" s="524" t="str">
        <f t="shared" si="116"/>
        <v/>
      </c>
      <c r="CN430" s="526">
        <f t="shared" si="117"/>
        <v>0</v>
      </c>
      <c r="CO430" s="122">
        <f t="shared" si="118"/>
        <v>0</v>
      </c>
      <c r="CP430" s="45" t="str">
        <f t="shared" si="115"/>
        <v>1 - in MILLESIMI   I</v>
      </c>
      <c r="CQ430" s="1"/>
    </row>
    <row r="431" spans="1:95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435">
        <f>IF(AND(W431&gt;=$U$1,W431&lt;=$U$2),IF(X431='ESTRATTO CONTO'!$E$2,1+COUNTIF(U$4:U430,"&gt;0"),0),0)</f>
        <v>0</v>
      </c>
      <c r="V431" s="417">
        <f t="shared" si="119"/>
        <v>428</v>
      </c>
      <c r="W431" s="509"/>
      <c r="X431" s="321"/>
      <c r="Y431" s="321"/>
      <c r="Z431" s="433"/>
      <c r="AA431" s="918">
        <f t="shared" si="110"/>
        <v>1</v>
      </c>
      <c r="AB431" s="306" t="str">
        <f t="shared" si="111"/>
        <v/>
      </c>
      <c r="AC431" s="788"/>
      <c r="AD431" s="119">
        <f t="shared" si="121"/>
        <v>0</v>
      </c>
      <c r="AE431" s="108">
        <f t="shared" si="121"/>
        <v>0</v>
      </c>
      <c r="AF431" s="108">
        <f t="shared" si="121"/>
        <v>0</v>
      </c>
      <c r="AG431" s="108"/>
      <c r="AH431" s="108"/>
      <c r="AI431" s="108"/>
      <c r="AJ431" s="108"/>
      <c r="AK431" s="108"/>
      <c r="AL431" s="108">
        <f t="shared" si="112"/>
        <v>0</v>
      </c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20">
        <f t="shared" si="113"/>
        <v>0</v>
      </c>
      <c r="CL431" s="122">
        <f t="shared" si="114"/>
        <v>0</v>
      </c>
      <c r="CM431" s="524" t="str">
        <f t="shared" si="116"/>
        <v/>
      </c>
      <c r="CN431" s="526">
        <f t="shared" si="117"/>
        <v>0</v>
      </c>
      <c r="CO431" s="122">
        <f t="shared" si="118"/>
        <v>0</v>
      </c>
      <c r="CP431" s="45" t="str">
        <f t="shared" si="115"/>
        <v>1 - in MILLESIMI   I</v>
      </c>
      <c r="CQ431" s="1"/>
    </row>
    <row r="432" spans="1:95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435">
        <f>IF(AND(W432&gt;=$U$1,W432&lt;=$U$2),IF(X432='ESTRATTO CONTO'!$E$2,1+COUNTIF(U$4:U431,"&gt;0"),0),0)</f>
        <v>0</v>
      </c>
      <c r="V432" s="417">
        <f t="shared" si="119"/>
        <v>429</v>
      </c>
      <c r="W432" s="509"/>
      <c r="X432" s="321"/>
      <c r="Y432" s="321"/>
      <c r="Z432" s="433"/>
      <c r="AA432" s="918">
        <f t="shared" si="110"/>
        <v>1</v>
      </c>
      <c r="AB432" s="306" t="str">
        <f t="shared" si="111"/>
        <v/>
      </c>
      <c r="AC432" s="788"/>
      <c r="AD432" s="119">
        <f t="shared" si="121"/>
        <v>0</v>
      </c>
      <c r="AE432" s="108">
        <f t="shared" si="121"/>
        <v>0</v>
      </c>
      <c r="AF432" s="108">
        <f t="shared" si="121"/>
        <v>0</v>
      </c>
      <c r="AG432" s="108"/>
      <c r="AH432" s="108"/>
      <c r="AI432" s="108"/>
      <c r="AJ432" s="108"/>
      <c r="AK432" s="108"/>
      <c r="AL432" s="108">
        <f t="shared" si="112"/>
        <v>0</v>
      </c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20">
        <f t="shared" si="113"/>
        <v>0</v>
      </c>
      <c r="CL432" s="122">
        <f t="shared" si="114"/>
        <v>0</v>
      </c>
      <c r="CM432" s="524" t="str">
        <f t="shared" si="116"/>
        <v/>
      </c>
      <c r="CN432" s="526">
        <f t="shared" si="117"/>
        <v>0</v>
      </c>
      <c r="CO432" s="122">
        <f t="shared" si="118"/>
        <v>0</v>
      </c>
      <c r="CP432" s="45" t="str">
        <f t="shared" si="115"/>
        <v>1 - in MILLESIMI   I</v>
      </c>
      <c r="CQ432" s="1"/>
    </row>
    <row r="433" spans="1:95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435">
        <f>IF(AND(W433&gt;=$U$1,W433&lt;=$U$2),IF(X433='ESTRATTO CONTO'!$E$2,1+COUNTIF(U$4:U432,"&gt;0"),0),0)</f>
        <v>0</v>
      </c>
      <c r="V433" s="417">
        <f t="shared" si="119"/>
        <v>430</v>
      </c>
      <c r="W433" s="509"/>
      <c r="X433" s="321"/>
      <c r="Y433" s="321"/>
      <c r="Z433" s="433"/>
      <c r="AA433" s="918">
        <f t="shared" si="110"/>
        <v>1</v>
      </c>
      <c r="AB433" s="306" t="str">
        <f t="shared" si="111"/>
        <v/>
      </c>
      <c r="AC433" s="788"/>
      <c r="AD433" s="119">
        <f t="shared" si="121"/>
        <v>0</v>
      </c>
      <c r="AE433" s="108">
        <f t="shared" si="121"/>
        <v>0</v>
      </c>
      <c r="AF433" s="108">
        <f t="shared" si="121"/>
        <v>0</v>
      </c>
      <c r="AG433" s="108"/>
      <c r="AH433" s="108"/>
      <c r="AI433" s="108"/>
      <c r="AJ433" s="108"/>
      <c r="AK433" s="108"/>
      <c r="AL433" s="108">
        <f t="shared" si="112"/>
        <v>0</v>
      </c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20">
        <f t="shared" si="113"/>
        <v>0</v>
      </c>
      <c r="CL433" s="122">
        <f t="shared" si="114"/>
        <v>0</v>
      </c>
      <c r="CM433" s="524" t="str">
        <f t="shared" si="116"/>
        <v/>
      </c>
      <c r="CN433" s="526">
        <f t="shared" si="117"/>
        <v>0</v>
      </c>
      <c r="CO433" s="122">
        <f t="shared" si="118"/>
        <v>0</v>
      </c>
      <c r="CP433" s="45" t="str">
        <f t="shared" si="115"/>
        <v>1 - in MILLESIMI   I</v>
      </c>
      <c r="CQ433" s="1"/>
    </row>
    <row r="434" spans="1:95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435">
        <f>IF(AND(W434&gt;=$U$1,W434&lt;=$U$2),IF(X434='ESTRATTO CONTO'!$E$2,1+COUNTIF(U$4:U433,"&gt;0"),0),0)</f>
        <v>0</v>
      </c>
      <c r="V434" s="417">
        <f t="shared" si="119"/>
        <v>431</v>
      </c>
      <c r="W434" s="509"/>
      <c r="X434" s="321"/>
      <c r="Y434" s="321"/>
      <c r="Z434" s="433"/>
      <c r="AA434" s="918">
        <f t="shared" si="110"/>
        <v>1</v>
      </c>
      <c r="AB434" s="306" t="str">
        <f t="shared" si="111"/>
        <v/>
      </c>
      <c r="AC434" s="788"/>
      <c r="AD434" s="119">
        <f t="shared" si="121"/>
        <v>0</v>
      </c>
      <c r="AE434" s="108">
        <f t="shared" si="121"/>
        <v>0</v>
      </c>
      <c r="AF434" s="108">
        <f t="shared" si="121"/>
        <v>0</v>
      </c>
      <c r="AG434" s="108"/>
      <c r="AH434" s="108"/>
      <c r="AI434" s="108"/>
      <c r="AJ434" s="108"/>
      <c r="AK434" s="108"/>
      <c r="AL434" s="108">
        <f t="shared" si="112"/>
        <v>0</v>
      </c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20">
        <f t="shared" si="113"/>
        <v>0</v>
      </c>
      <c r="CL434" s="122">
        <f t="shared" si="114"/>
        <v>0</v>
      </c>
      <c r="CM434" s="524" t="str">
        <f t="shared" si="116"/>
        <v/>
      </c>
      <c r="CN434" s="526">
        <f t="shared" si="117"/>
        <v>0</v>
      </c>
      <c r="CO434" s="122">
        <f t="shared" si="118"/>
        <v>0</v>
      </c>
      <c r="CP434" s="45" t="str">
        <f t="shared" si="115"/>
        <v>1 - in MILLESIMI   I</v>
      </c>
      <c r="CQ434" s="1"/>
    </row>
    <row r="435" spans="1:95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435">
        <f>IF(AND(W435&gt;=$U$1,W435&lt;=$U$2),IF(X435='ESTRATTO CONTO'!$E$2,1+COUNTIF(U$4:U434,"&gt;0"),0),0)</f>
        <v>0</v>
      </c>
      <c r="V435" s="417">
        <f t="shared" si="119"/>
        <v>432</v>
      </c>
      <c r="W435" s="509"/>
      <c r="X435" s="321"/>
      <c r="Y435" s="321"/>
      <c r="Z435" s="433"/>
      <c r="AA435" s="918">
        <f t="shared" si="110"/>
        <v>1</v>
      </c>
      <c r="AB435" s="306" t="str">
        <f t="shared" si="111"/>
        <v/>
      </c>
      <c r="AC435" s="788"/>
      <c r="AD435" s="119">
        <f t="shared" si="121"/>
        <v>0</v>
      </c>
      <c r="AE435" s="108">
        <f t="shared" si="121"/>
        <v>0</v>
      </c>
      <c r="AF435" s="108">
        <f t="shared" si="121"/>
        <v>0</v>
      </c>
      <c r="AG435" s="108"/>
      <c r="AH435" s="108"/>
      <c r="AI435" s="108"/>
      <c r="AJ435" s="108"/>
      <c r="AK435" s="108"/>
      <c r="AL435" s="108">
        <f t="shared" si="112"/>
        <v>0</v>
      </c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20">
        <f t="shared" si="113"/>
        <v>0</v>
      </c>
      <c r="CL435" s="122">
        <f t="shared" si="114"/>
        <v>0</v>
      </c>
      <c r="CM435" s="524" t="str">
        <f t="shared" si="116"/>
        <v/>
      </c>
      <c r="CN435" s="526">
        <f t="shared" si="117"/>
        <v>0</v>
      </c>
      <c r="CO435" s="122">
        <f t="shared" si="118"/>
        <v>0</v>
      </c>
      <c r="CP435" s="45" t="str">
        <f t="shared" si="115"/>
        <v>1 - in MILLESIMI   I</v>
      </c>
      <c r="CQ435" s="1"/>
    </row>
    <row r="436" spans="1:95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435">
        <f>IF(AND(W436&gt;=$U$1,W436&lt;=$U$2),IF(X436='ESTRATTO CONTO'!$E$2,1+COUNTIF(U$4:U435,"&gt;0"),0),0)</f>
        <v>0</v>
      </c>
      <c r="V436" s="417">
        <f t="shared" si="119"/>
        <v>433</v>
      </c>
      <c r="W436" s="509"/>
      <c r="X436" s="321"/>
      <c r="Y436" s="321"/>
      <c r="Z436" s="433"/>
      <c r="AA436" s="918">
        <f t="shared" si="110"/>
        <v>1</v>
      </c>
      <c r="AB436" s="306" t="str">
        <f t="shared" si="111"/>
        <v/>
      </c>
      <c r="AC436" s="788"/>
      <c r="AD436" s="119">
        <f t="shared" si="121"/>
        <v>0</v>
      </c>
      <c r="AE436" s="108">
        <f t="shared" si="121"/>
        <v>0</v>
      </c>
      <c r="AF436" s="108">
        <f t="shared" si="121"/>
        <v>0</v>
      </c>
      <c r="AG436" s="108"/>
      <c r="AH436" s="108"/>
      <c r="AI436" s="108"/>
      <c r="AJ436" s="108"/>
      <c r="AK436" s="108"/>
      <c r="AL436" s="108">
        <f t="shared" si="112"/>
        <v>0</v>
      </c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20">
        <f t="shared" si="113"/>
        <v>0</v>
      </c>
      <c r="CL436" s="122">
        <f t="shared" si="114"/>
        <v>0</v>
      </c>
      <c r="CM436" s="524" t="str">
        <f t="shared" si="116"/>
        <v/>
      </c>
      <c r="CN436" s="526">
        <f t="shared" si="117"/>
        <v>0</v>
      </c>
      <c r="CO436" s="122">
        <f t="shared" si="118"/>
        <v>0</v>
      </c>
      <c r="CP436" s="45" t="str">
        <f t="shared" si="115"/>
        <v>1 - in MILLESIMI   I</v>
      </c>
      <c r="CQ436" s="1"/>
    </row>
    <row r="437" spans="1:95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435">
        <f>IF(AND(W437&gt;=$U$1,W437&lt;=$U$2),IF(X437='ESTRATTO CONTO'!$E$2,1+COUNTIF(U$4:U436,"&gt;0"),0),0)</f>
        <v>0</v>
      </c>
      <c r="V437" s="417">
        <f t="shared" si="119"/>
        <v>434</v>
      </c>
      <c r="W437" s="509"/>
      <c r="X437" s="321"/>
      <c r="Y437" s="321"/>
      <c r="Z437" s="433"/>
      <c r="AA437" s="918">
        <f t="shared" si="110"/>
        <v>1</v>
      </c>
      <c r="AB437" s="306" t="str">
        <f t="shared" si="111"/>
        <v/>
      </c>
      <c r="AC437" s="788"/>
      <c r="AD437" s="119">
        <f t="shared" si="121"/>
        <v>0</v>
      </c>
      <c r="AE437" s="108">
        <f t="shared" si="121"/>
        <v>0</v>
      </c>
      <c r="AF437" s="108">
        <f t="shared" si="121"/>
        <v>0</v>
      </c>
      <c r="AG437" s="108"/>
      <c r="AH437" s="108"/>
      <c r="AI437" s="108"/>
      <c r="AJ437" s="108"/>
      <c r="AK437" s="108"/>
      <c r="AL437" s="108">
        <f t="shared" si="112"/>
        <v>0</v>
      </c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20">
        <f t="shared" si="113"/>
        <v>0</v>
      </c>
      <c r="CL437" s="122">
        <f t="shared" si="114"/>
        <v>0</v>
      </c>
      <c r="CM437" s="524" t="str">
        <f t="shared" si="116"/>
        <v/>
      </c>
      <c r="CN437" s="526">
        <f t="shared" si="117"/>
        <v>0</v>
      </c>
      <c r="CO437" s="122">
        <f t="shared" si="118"/>
        <v>0</v>
      </c>
      <c r="CP437" s="45" t="str">
        <f t="shared" si="115"/>
        <v>1 - in MILLESIMI   I</v>
      </c>
      <c r="CQ437" s="1"/>
    </row>
    <row r="438" spans="1:95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435">
        <f>IF(AND(W438&gt;=$U$1,W438&lt;=$U$2),IF(X438='ESTRATTO CONTO'!$E$2,1+COUNTIF(U$4:U437,"&gt;0"),0),0)</f>
        <v>0</v>
      </c>
      <c r="V438" s="417">
        <f t="shared" si="119"/>
        <v>435</v>
      </c>
      <c r="W438" s="509"/>
      <c r="X438" s="321"/>
      <c r="Y438" s="321"/>
      <c r="Z438" s="433"/>
      <c r="AA438" s="918">
        <f t="shared" si="110"/>
        <v>1</v>
      </c>
      <c r="AB438" s="306" t="str">
        <f t="shared" si="111"/>
        <v/>
      </c>
      <c r="AC438" s="788"/>
      <c r="AD438" s="119">
        <f t="shared" si="121"/>
        <v>0</v>
      </c>
      <c r="AE438" s="108">
        <f t="shared" si="121"/>
        <v>0</v>
      </c>
      <c r="AF438" s="108">
        <f t="shared" si="121"/>
        <v>0</v>
      </c>
      <c r="AG438" s="108"/>
      <c r="AH438" s="108"/>
      <c r="AI438" s="108"/>
      <c r="AJ438" s="108"/>
      <c r="AK438" s="108"/>
      <c r="AL438" s="108">
        <f t="shared" si="112"/>
        <v>0</v>
      </c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20">
        <f t="shared" si="113"/>
        <v>0</v>
      </c>
      <c r="CL438" s="122">
        <f t="shared" si="114"/>
        <v>0</v>
      </c>
      <c r="CM438" s="524" t="str">
        <f t="shared" si="116"/>
        <v/>
      </c>
      <c r="CN438" s="526">
        <f t="shared" si="117"/>
        <v>0</v>
      </c>
      <c r="CO438" s="122">
        <f t="shared" si="118"/>
        <v>0</v>
      </c>
      <c r="CP438" s="45" t="str">
        <f t="shared" si="115"/>
        <v>1 - in MILLESIMI   I</v>
      </c>
      <c r="CQ438" s="1"/>
    </row>
    <row r="439" spans="1:95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435">
        <f>IF(AND(W439&gt;=$U$1,W439&lt;=$U$2),IF(X439='ESTRATTO CONTO'!$E$2,1+COUNTIF(U$4:U438,"&gt;0"),0),0)</f>
        <v>0</v>
      </c>
      <c r="V439" s="417">
        <f t="shared" si="119"/>
        <v>436</v>
      </c>
      <c r="W439" s="509"/>
      <c r="X439" s="321"/>
      <c r="Y439" s="321"/>
      <c r="Z439" s="433"/>
      <c r="AA439" s="918">
        <f t="shared" si="110"/>
        <v>1</v>
      </c>
      <c r="AB439" s="306" t="str">
        <f t="shared" si="111"/>
        <v/>
      </c>
      <c r="AC439" s="788"/>
      <c r="AD439" s="119">
        <f t="shared" si="121"/>
        <v>0</v>
      </c>
      <c r="AE439" s="108">
        <f t="shared" si="121"/>
        <v>0</v>
      </c>
      <c r="AF439" s="108">
        <f t="shared" si="121"/>
        <v>0</v>
      </c>
      <c r="AG439" s="108"/>
      <c r="AH439" s="108"/>
      <c r="AI439" s="108"/>
      <c r="AJ439" s="108"/>
      <c r="AK439" s="108"/>
      <c r="AL439" s="108">
        <f t="shared" si="112"/>
        <v>0</v>
      </c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20">
        <f t="shared" si="113"/>
        <v>0</v>
      </c>
      <c r="CL439" s="122">
        <f t="shared" si="114"/>
        <v>0</v>
      </c>
      <c r="CM439" s="524" t="str">
        <f t="shared" si="116"/>
        <v/>
      </c>
      <c r="CN439" s="526">
        <f t="shared" si="117"/>
        <v>0</v>
      </c>
      <c r="CO439" s="122">
        <f t="shared" si="118"/>
        <v>0</v>
      </c>
      <c r="CP439" s="45" t="str">
        <f t="shared" si="115"/>
        <v>1 - in MILLESIMI   I</v>
      </c>
      <c r="CQ439" s="1"/>
    </row>
    <row r="440" spans="1:95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435">
        <f>IF(AND(W440&gt;=$U$1,W440&lt;=$U$2),IF(X440='ESTRATTO CONTO'!$E$2,1+COUNTIF(U$4:U439,"&gt;0"),0),0)</f>
        <v>0</v>
      </c>
      <c r="V440" s="417">
        <f t="shared" si="119"/>
        <v>437</v>
      </c>
      <c r="W440" s="509"/>
      <c r="X440" s="321"/>
      <c r="Y440" s="321"/>
      <c r="Z440" s="433"/>
      <c r="AA440" s="918">
        <f t="shared" si="110"/>
        <v>1</v>
      </c>
      <c r="AB440" s="306" t="str">
        <f t="shared" si="111"/>
        <v/>
      </c>
      <c r="AC440" s="788"/>
      <c r="AD440" s="119">
        <f t="shared" si="121"/>
        <v>0</v>
      </c>
      <c r="AE440" s="108">
        <f t="shared" si="121"/>
        <v>0</v>
      </c>
      <c r="AF440" s="108">
        <f t="shared" si="121"/>
        <v>0</v>
      </c>
      <c r="AG440" s="108"/>
      <c r="AH440" s="108"/>
      <c r="AI440" s="108"/>
      <c r="AJ440" s="108"/>
      <c r="AK440" s="108"/>
      <c r="AL440" s="108">
        <f t="shared" si="112"/>
        <v>0</v>
      </c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20">
        <f t="shared" si="113"/>
        <v>0</v>
      </c>
      <c r="CL440" s="122">
        <f t="shared" si="114"/>
        <v>0</v>
      </c>
      <c r="CM440" s="524" t="str">
        <f t="shared" si="116"/>
        <v/>
      </c>
      <c r="CN440" s="526">
        <f t="shared" si="117"/>
        <v>0</v>
      </c>
      <c r="CO440" s="122">
        <f t="shared" si="118"/>
        <v>0</v>
      </c>
      <c r="CP440" s="45" t="str">
        <f t="shared" si="115"/>
        <v>1 - in MILLESIMI   I</v>
      </c>
      <c r="CQ440" s="1"/>
    </row>
    <row r="441" spans="1:95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435">
        <f>IF(AND(W441&gt;=$U$1,W441&lt;=$U$2),IF(X441='ESTRATTO CONTO'!$E$2,1+COUNTIF(U$4:U440,"&gt;0"),0),0)</f>
        <v>0</v>
      </c>
      <c r="V441" s="417">
        <f t="shared" si="119"/>
        <v>438</v>
      </c>
      <c r="W441" s="509"/>
      <c r="X441" s="321"/>
      <c r="Y441" s="321"/>
      <c r="Z441" s="433"/>
      <c r="AA441" s="918">
        <f t="shared" si="110"/>
        <v>1</v>
      </c>
      <c r="AB441" s="306" t="str">
        <f t="shared" si="111"/>
        <v/>
      </c>
      <c r="AC441" s="788"/>
      <c r="AD441" s="119">
        <f t="shared" si="121"/>
        <v>0</v>
      </c>
      <c r="AE441" s="108">
        <f t="shared" si="121"/>
        <v>0</v>
      </c>
      <c r="AF441" s="108">
        <f t="shared" si="121"/>
        <v>0</v>
      </c>
      <c r="AG441" s="108"/>
      <c r="AH441" s="108"/>
      <c r="AI441" s="108"/>
      <c r="AJ441" s="108"/>
      <c r="AK441" s="108"/>
      <c r="AL441" s="108">
        <f t="shared" si="112"/>
        <v>0</v>
      </c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20">
        <f t="shared" si="113"/>
        <v>0</v>
      </c>
      <c r="CL441" s="122">
        <f t="shared" si="114"/>
        <v>0</v>
      </c>
      <c r="CM441" s="524" t="str">
        <f t="shared" si="116"/>
        <v/>
      </c>
      <c r="CN441" s="526">
        <f t="shared" si="117"/>
        <v>0</v>
      </c>
      <c r="CO441" s="122">
        <f t="shared" si="118"/>
        <v>0</v>
      </c>
      <c r="CP441" s="45" t="str">
        <f t="shared" si="115"/>
        <v>1 - in MILLESIMI   I</v>
      </c>
      <c r="CQ441" s="1"/>
    </row>
    <row r="442" spans="1:95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435">
        <f>IF(AND(W442&gt;=$U$1,W442&lt;=$U$2),IF(X442='ESTRATTO CONTO'!$E$2,1+COUNTIF(U$4:U441,"&gt;0"),0),0)</f>
        <v>0</v>
      </c>
      <c r="V442" s="417">
        <f t="shared" si="119"/>
        <v>439</v>
      </c>
      <c r="W442" s="509"/>
      <c r="X442" s="321"/>
      <c r="Y442" s="321"/>
      <c r="Z442" s="433"/>
      <c r="AA442" s="918">
        <f t="shared" si="110"/>
        <v>1</v>
      </c>
      <c r="AB442" s="306" t="str">
        <f t="shared" si="111"/>
        <v/>
      </c>
      <c r="AC442" s="788"/>
      <c r="AD442" s="119">
        <f t="shared" si="121"/>
        <v>0</v>
      </c>
      <c r="AE442" s="108">
        <f t="shared" si="121"/>
        <v>0</v>
      </c>
      <c r="AF442" s="108">
        <f t="shared" si="121"/>
        <v>0</v>
      </c>
      <c r="AG442" s="108"/>
      <c r="AH442" s="108"/>
      <c r="AI442" s="108"/>
      <c r="AJ442" s="108"/>
      <c r="AK442" s="108"/>
      <c r="AL442" s="108">
        <f t="shared" si="112"/>
        <v>0</v>
      </c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20">
        <f t="shared" si="113"/>
        <v>0</v>
      </c>
      <c r="CL442" s="122">
        <f t="shared" si="114"/>
        <v>0</v>
      </c>
      <c r="CM442" s="524" t="str">
        <f t="shared" si="116"/>
        <v/>
      </c>
      <c r="CN442" s="526">
        <f t="shared" si="117"/>
        <v>0</v>
      </c>
      <c r="CO442" s="122">
        <f t="shared" si="118"/>
        <v>0</v>
      </c>
      <c r="CP442" s="45" t="str">
        <f t="shared" si="115"/>
        <v>1 - in MILLESIMI   I</v>
      </c>
      <c r="CQ442" s="1"/>
    </row>
    <row r="443" spans="1:95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435">
        <f>IF(AND(W443&gt;=$U$1,W443&lt;=$U$2),IF(X443='ESTRATTO CONTO'!$E$2,1+COUNTIF(U$4:U442,"&gt;0"),0),0)</f>
        <v>0</v>
      </c>
      <c r="V443" s="417">
        <f t="shared" si="119"/>
        <v>440</v>
      </c>
      <c r="W443" s="509"/>
      <c r="X443" s="321"/>
      <c r="Y443" s="321"/>
      <c r="Z443" s="433"/>
      <c r="AA443" s="918">
        <f t="shared" si="110"/>
        <v>1</v>
      </c>
      <c r="AB443" s="306" t="str">
        <f t="shared" si="111"/>
        <v/>
      </c>
      <c r="AC443" s="788"/>
      <c r="AD443" s="119">
        <f t="shared" si="121"/>
        <v>0</v>
      </c>
      <c r="AE443" s="108">
        <f t="shared" si="121"/>
        <v>0</v>
      </c>
      <c r="AF443" s="108">
        <f t="shared" si="121"/>
        <v>0</v>
      </c>
      <c r="AG443" s="108"/>
      <c r="AH443" s="108"/>
      <c r="AI443" s="108"/>
      <c r="AJ443" s="108"/>
      <c r="AK443" s="108"/>
      <c r="AL443" s="108">
        <f t="shared" si="112"/>
        <v>0</v>
      </c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20">
        <f t="shared" si="113"/>
        <v>0</v>
      </c>
      <c r="CL443" s="122">
        <f t="shared" si="114"/>
        <v>0</v>
      </c>
      <c r="CM443" s="524" t="str">
        <f t="shared" si="116"/>
        <v/>
      </c>
      <c r="CN443" s="526">
        <f t="shared" si="117"/>
        <v>0</v>
      </c>
      <c r="CO443" s="122">
        <f t="shared" si="118"/>
        <v>0</v>
      </c>
      <c r="CP443" s="45" t="str">
        <f t="shared" si="115"/>
        <v>1 - in MILLESIMI   I</v>
      </c>
      <c r="CQ443" s="1"/>
    </row>
    <row r="444" spans="1:95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435">
        <f>IF(AND(W444&gt;=$U$1,W444&lt;=$U$2),IF(X444='ESTRATTO CONTO'!$E$2,1+COUNTIF(U$4:U443,"&gt;0"),0),0)</f>
        <v>0</v>
      </c>
      <c r="V444" s="417">
        <f t="shared" si="119"/>
        <v>441</v>
      </c>
      <c r="W444" s="509"/>
      <c r="X444" s="321"/>
      <c r="Y444" s="321"/>
      <c r="Z444" s="433"/>
      <c r="AA444" s="918">
        <f t="shared" si="110"/>
        <v>1</v>
      </c>
      <c r="AB444" s="306" t="str">
        <f t="shared" si="111"/>
        <v/>
      </c>
      <c r="AC444" s="788"/>
      <c r="AD444" s="119">
        <f t="shared" ref="AD444:AF463" si="122">IF($AB444=0,0,ROUND($Z444*VLOOKUP(AD$2,$F$1010:$Q$1014,VLOOKUP($CP444,$C$1076:$E$1081,3,FALSE),FALSE),2))</f>
        <v>0</v>
      </c>
      <c r="AE444" s="108">
        <f t="shared" si="122"/>
        <v>0</v>
      </c>
      <c r="AF444" s="108">
        <f t="shared" si="122"/>
        <v>0</v>
      </c>
      <c r="AG444" s="108"/>
      <c r="AH444" s="108"/>
      <c r="AI444" s="108"/>
      <c r="AJ444" s="108"/>
      <c r="AK444" s="108"/>
      <c r="AL444" s="108">
        <f t="shared" si="112"/>
        <v>0</v>
      </c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20">
        <f t="shared" si="113"/>
        <v>0</v>
      </c>
      <c r="CL444" s="122">
        <f t="shared" si="114"/>
        <v>0</v>
      </c>
      <c r="CM444" s="524" t="str">
        <f t="shared" si="116"/>
        <v/>
      </c>
      <c r="CN444" s="526">
        <f t="shared" si="117"/>
        <v>0</v>
      </c>
      <c r="CO444" s="122">
        <f t="shared" si="118"/>
        <v>0</v>
      </c>
      <c r="CP444" s="45" t="str">
        <f t="shared" si="115"/>
        <v>1 - in MILLESIMI   I</v>
      </c>
      <c r="CQ444" s="1"/>
    </row>
    <row r="445" spans="1:95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435">
        <f>IF(AND(W445&gt;=$U$1,W445&lt;=$U$2),IF(X445='ESTRATTO CONTO'!$E$2,1+COUNTIF(U$4:U444,"&gt;0"),0),0)</f>
        <v>0</v>
      </c>
      <c r="V445" s="417">
        <f t="shared" si="119"/>
        <v>442</v>
      </c>
      <c r="W445" s="509"/>
      <c r="X445" s="321"/>
      <c r="Y445" s="321"/>
      <c r="Z445" s="433"/>
      <c r="AA445" s="918">
        <f t="shared" si="110"/>
        <v>1</v>
      </c>
      <c r="AB445" s="306" t="str">
        <f t="shared" si="111"/>
        <v/>
      </c>
      <c r="AC445" s="788"/>
      <c r="AD445" s="119">
        <f t="shared" si="122"/>
        <v>0</v>
      </c>
      <c r="AE445" s="108">
        <f t="shared" si="122"/>
        <v>0</v>
      </c>
      <c r="AF445" s="108">
        <f t="shared" si="122"/>
        <v>0</v>
      </c>
      <c r="AG445" s="108"/>
      <c r="AH445" s="108"/>
      <c r="AI445" s="108"/>
      <c r="AJ445" s="108"/>
      <c r="AK445" s="108"/>
      <c r="AL445" s="108">
        <f t="shared" si="112"/>
        <v>0</v>
      </c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20">
        <f t="shared" si="113"/>
        <v>0</v>
      </c>
      <c r="CL445" s="122">
        <f t="shared" si="114"/>
        <v>0</v>
      </c>
      <c r="CM445" s="524" t="str">
        <f t="shared" si="116"/>
        <v/>
      </c>
      <c r="CN445" s="526">
        <f t="shared" si="117"/>
        <v>0</v>
      </c>
      <c r="CO445" s="122">
        <f t="shared" si="118"/>
        <v>0</v>
      </c>
      <c r="CP445" s="45" t="str">
        <f t="shared" si="115"/>
        <v>1 - in MILLESIMI   I</v>
      </c>
      <c r="CQ445" s="1"/>
    </row>
    <row r="446" spans="1:95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435">
        <f>IF(AND(W446&gt;=$U$1,W446&lt;=$U$2),IF(X446='ESTRATTO CONTO'!$E$2,1+COUNTIF(U$4:U445,"&gt;0"),0),0)</f>
        <v>0</v>
      </c>
      <c r="V446" s="417">
        <f t="shared" si="119"/>
        <v>443</v>
      </c>
      <c r="W446" s="509"/>
      <c r="X446" s="321"/>
      <c r="Y446" s="321"/>
      <c r="Z446" s="433"/>
      <c r="AA446" s="918">
        <f t="shared" si="110"/>
        <v>1</v>
      </c>
      <c r="AB446" s="306" t="str">
        <f t="shared" si="111"/>
        <v/>
      </c>
      <c r="AC446" s="788"/>
      <c r="AD446" s="119">
        <f t="shared" si="122"/>
        <v>0</v>
      </c>
      <c r="AE446" s="108">
        <f t="shared" si="122"/>
        <v>0</v>
      </c>
      <c r="AF446" s="108">
        <f t="shared" si="122"/>
        <v>0</v>
      </c>
      <c r="AG446" s="108"/>
      <c r="AH446" s="108"/>
      <c r="AI446" s="108"/>
      <c r="AJ446" s="108"/>
      <c r="AK446" s="108"/>
      <c r="AL446" s="108">
        <f t="shared" si="112"/>
        <v>0</v>
      </c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20">
        <f t="shared" si="113"/>
        <v>0</v>
      </c>
      <c r="CL446" s="122">
        <f t="shared" si="114"/>
        <v>0</v>
      </c>
      <c r="CM446" s="524" t="str">
        <f t="shared" si="116"/>
        <v/>
      </c>
      <c r="CN446" s="526">
        <f t="shared" si="117"/>
        <v>0</v>
      </c>
      <c r="CO446" s="122">
        <f t="shared" si="118"/>
        <v>0</v>
      </c>
      <c r="CP446" s="45" t="str">
        <f t="shared" si="115"/>
        <v>1 - in MILLESIMI   I</v>
      </c>
      <c r="CQ446" s="1"/>
    </row>
    <row r="447" spans="1:95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435">
        <f>IF(AND(W447&gt;=$U$1,W447&lt;=$U$2),IF(X447='ESTRATTO CONTO'!$E$2,1+COUNTIF(U$4:U446,"&gt;0"),0),0)</f>
        <v>0</v>
      </c>
      <c r="V447" s="417">
        <f t="shared" si="119"/>
        <v>444</v>
      </c>
      <c r="W447" s="509"/>
      <c r="X447" s="321"/>
      <c r="Y447" s="321"/>
      <c r="Z447" s="433"/>
      <c r="AA447" s="918">
        <f t="shared" si="110"/>
        <v>1</v>
      </c>
      <c r="AB447" s="306" t="str">
        <f t="shared" si="111"/>
        <v/>
      </c>
      <c r="AC447" s="788"/>
      <c r="AD447" s="119">
        <f t="shared" si="122"/>
        <v>0</v>
      </c>
      <c r="AE447" s="108">
        <f t="shared" si="122"/>
        <v>0</v>
      </c>
      <c r="AF447" s="108">
        <f t="shared" si="122"/>
        <v>0</v>
      </c>
      <c r="AG447" s="108"/>
      <c r="AH447" s="108"/>
      <c r="AI447" s="108"/>
      <c r="AJ447" s="108"/>
      <c r="AK447" s="108"/>
      <c r="AL447" s="108">
        <f t="shared" si="112"/>
        <v>0</v>
      </c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20">
        <f t="shared" si="113"/>
        <v>0</v>
      </c>
      <c r="CL447" s="122">
        <f t="shared" si="114"/>
        <v>0</v>
      </c>
      <c r="CM447" s="524" t="str">
        <f t="shared" si="116"/>
        <v/>
      </c>
      <c r="CN447" s="526">
        <f t="shared" si="117"/>
        <v>0</v>
      </c>
      <c r="CO447" s="122">
        <f t="shared" si="118"/>
        <v>0</v>
      </c>
      <c r="CP447" s="45" t="str">
        <f t="shared" si="115"/>
        <v>1 - in MILLESIMI   I</v>
      </c>
      <c r="CQ447" s="1"/>
    </row>
    <row r="448" spans="1:95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435">
        <f>IF(AND(W448&gt;=$U$1,W448&lt;=$U$2),IF(X448='ESTRATTO CONTO'!$E$2,1+COUNTIF(U$4:U447,"&gt;0"),0),0)</f>
        <v>0</v>
      </c>
      <c r="V448" s="417">
        <f t="shared" si="119"/>
        <v>445</v>
      </c>
      <c r="W448" s="509"/>
      <c r="X448" s="321"/>
      <c r="Y448" s="321"/>
      <c r="Z448" s="433"/>
      <c r="AA448" s="918">
        <f t="shared" si="110"/>
        <v>1</v>
      </c>
      <c r="AB448" s="306" t="str">
        <f t="shared" si="111"/>
        <v/>
      </c>
      <c r="AC448" s="788"/>
      <c r="AD448" s="119">
        <f t="shared" si="122"/>
        <v>0</v>
      </c>
      <c r="AE448" s="108">
        <f t="shared" si="122"/>
        <v>0</v>
      </c>
      <c r="AF448" s="108">
        <f t="shared" si="122"/>
        <v>0</v>
      </c>
      <c r="AG448" s="108"/>
      <c r="AH448" s="108"/>
      <c r="AI448" s="108"/>
      <c r="AJ448" s="108"/>
      <c r="AK448" s="108"/>
      <c r="AL448" s="108">
        <f t="shared" si="112"/>
        <v>0</v>
      </c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20">
        <f t="shared" si="113"/>
        <v>0</v>
      </c>
      <c r="CL448" s="122">
        <f t="shared" si="114"/>
        <v>0</v>
      </c>
      <c r="CM448" s="524" t="str">
        <f t="shared" si="116"/>
        <v/>
      </c>
      <c r="CN448" s="526">
        <f t="shared" si="117"/>
        <v>0</v>
      </c>
      <c r="CO448" s="122">
        <f t="shared" si="118"/>
        <v>0</v>
      </c>
      <c r="CP448" s="45" t="str">
        <f t="shared" si="115"/>
        <v>1 - in MILLESIMI   I</v>
      </c>
      <c r="CQ448" s="1"/>
    </row>
    <row r="449" spans="1:95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435">
        <f>IF(AND(W449&gt;=$U$1,W449&lt;=$U$2),IF(X449='ESTRATTO CONTO'!$E$2,1+COUNTIF(U$4:U448,"&gt;0"),0),0)</f>
        <v>0</v>
      </c>
      <c r="V449" s="417">
        <f t="shared" si="119"/>
        <v>446</v>
      </c>
      <c r="W449" s="509"/>
      <c r="X449" s="321"/>
      <c r="Y449" s="321"/>
      <c r="Z449" s="433"/>
      <c r="AA449" s="918">
        <f t="shared" si="110"/>
        <v>1</v>
      </c>
      <c r="AB449" s="306" t="str">
        <f t="shared" si="111"/>
        <v/>
      </c>
      <c r="AC449" s="788"/>
      <c r="AD449" s="119">
        <f t="shared" si="122"/>
        <v>0</v>
      </c>
      <c r="AE449" s="108">
        <f t="shared" si="122"/>
        <v>0</v>
      </c>
      <c r="AF449" s="108">
        <f t="shared" si="122"/>
        <v>0</v>
      </c>
      <c r="AG449" s="108"/>
      <c r="AH449" s="108"/>
      <c r="AI449" s="108"/>
      <c r="AJ449" s="108"/>
      <c r="AK449" s="108"/>
      <c r="AL449" s="108">
        <f t="shared" si="112"/>
        <v>0</v>
      </c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20">
        <f t="shared" si="113"/>
        <v>0</v>
      </c>
      <c r="CL449" s="122">
        <f t="shared" si="114"/>
        <v>0</v>
      </c>
      <c r="CM449" s="524" t="str">
        <f t="shared" si="116"/>
        <v/>
      </c>
      <c r="CN449" s="526">
        <f t="shared" si="117"/>
        <v>0</v>
      </c>
      <c r="CO449" s="122">
        <f t="shared" si="118"/>
        <v>0</v>
      </c>
      <c r="CP449" s="45" t="str">
        <f t="shared" si="115"/>
        <v>1 - in MILLESIMI   I</v>
      </c>
      <c r="CQ449" s="1"/>
    </row>
    <row r="450" spans="1:95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435">
        <f>IF(AND(W450&gt;=$U$1,W450&lt;=$U$2),IF(X450='ESTRATTO CONTO'!$E$2,1+COUNTIF(U$4:U449,"&gt;0"),0),0)</f>
        <v>0</v>
      </c>
      <c r="V450" s="417">
        <f t="shared" si="119"/>
        <v>447</v>
      </c>
      <c r="W450" s="509"/>
      <c r="X450" s="321"/>
      <c r="Y450" s="321"/>
      <c r="Z450" s="433"/>
      <c r="AA450" s="918">
        <f t="shared" si="110"/>
        <v>1</v>
      </c>
      <c r="AB450" s="306" t="str">
        <f t="shared" si="111"/>
        <v/>
      </c>
      <c r="AC450" s="788"/>
      <c r="AD450" s="119">
        <f t="shared" si="122"/>
        <v>0</v>
      </c>
      <c r="AE450" s="108">
        <f t="shared" si="122"/>
        <v>0</v>
      </c>
      <c r="AF450" s="108">
        <f t="shared" si="122"/>
        <v>0</v>
      </c>
      <c r="AG450" s="108"/>
      <c r="AH450" s="108"/>
      <c r="AI450" s="108"/>
      <c r="AJ450" s="108"/>
      <c r="AK450" s="108"/>
      <c r="AL450" s="108">
        <f t="shared" si="112"/>
        <v>0</v>
      </c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20">
        <f t="shared" si="113"/>
        <v>0</v>
      </c>
      <c r="CL450" s="122">
        <f t="shared" si="114"/>
        <v>0</v>
      </c>
      <c r="CM450" s="524" t="str">
        <f t="shared" si="116"/>
        <v/>
      </c>
      <c r="CN450" s="526">
        <f t="shared" si="117"/>
        <v>0</v>
      </c>
      <c r="CO450" s="122">
        <f t="shared" si="118"/>
        <v>0</v>
      </c>
      <c r="CP450" s="45" t="str">
        <f t="shared" si="115"/>
        <v>1 - in MILLESIMI   I</v>
      </c>
      <c r="CQ450" s="1"/>
    </row>
    <row r="451" spans="1:95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435">
        <f>IF(AND(W451&gt;=$U$1,W451&lt;=$U$2),IF(X451='ESTRATTO CONTO'!$E$2,1+COUNTIF(U$4:U450,"&gt;0"),0),0)</f>
        <v>0</v>
      </c>
      <c r="V451" s="417">
        <f t="shared" si="119"/>
        <v>448</v>
      </c>
      <c r="W451" s="509"/>
      <c r="X451" s="321"/>
      <c r="Y451" s="321"/>
      <c r="Z451" s="433"/>
      <c r="AA451" s="918">
        <f t="shared" si="110"/>
        <v>1</v>
      </c>
      <c r="AB451" s="306" t="str">
        <f t="shared" si="111"/>
        <v/>
      </c>
      <c r="AC451" s="788"/>
      <c r="AD451" s="119">
        <f t="shared" si="122"/>
        <v>0</v>
      </c>
      <c r="AE451" s="108">
        <f t="shared" si="122"/>
        <v>0</v>
      </c>
      <c r="AF451" s="108">
        <f t="shared" si="122"/>
        <v>0</v>
      </c>
      <c r="AG451" s="108"/>
      <c r="AH451" s="108"/>
      <c r="AI451" s="108"/>
      <c r="AJ451" s="108"/>
      <c r="AK451" s="108"/>
      <c r="AL451" s="108">
        <f t="shared" si="112"/>
        <v>0</v>
      </c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20">
        <f t="shared" si="113"/>
        <v>0</v>
      </c>
      <c r="CL451" s="122">
        <f t="shared" si="114"/>
        <v>0</v>
      </c>
      <c r="CM451" s="524" t="str">
        <f t="shared" si="116"/>
        <v/>
      </c>
      <c r="CN451" s="526">
        <f t="shared" si="117"/>
        <v>0</v>
      </c>
      <c r="CO451" s="122">
        <f t="shared" si="118"/>
        <v>0</v>
      </c>
      <c r="CP451" s="45" t="str">
        <f t="shared" si="115"/>
        <v>1 - in MILLESIMI   I</v>
      </c>
      <c r="CQ451" s="1"/>
    </row>
    <row r="452" spans="1:95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435">
        <f>IF(AND(W452&gt;=$U$1,W452&lt;=$U$2),IF(X452='ESTRATTO CONTO'!$E$2,1+COUNTIF(U$4:U451,"&gt;0"),0),0)</f>
        <v>0</v>
      </c>
      <c r="V452" s="417">
        <f t="shared" si="119"/>
        <v>449</v>
      </c>
      <c r="W452" s="509"/>
      <c r="X452" s="321"/>
      <c r="Y452" s="321"/>
      <c r="Z452" s="433"/>
      <c r="AA452" s="918">
        <f t="shared" ref="AA452:AA515" si="123">IF(OR(W452&lt;$W$1433,W452&gt;$W$1434),1,0)</f>
        <v>1</v>
      </c>
      <c r="AB452" s="306" t="str">
        <f t="shared" ref="AB452:AB515" si="124">IF(W452&gt;0,IF(AND(W452&gt;=W$1438,W452&lt;=W$1439),CONCATENATE(MONTH(W452)&amp;X452),0),"")</f>
        <v/>
      </c>
      <c r="AC452" s="788"/>
      <c r="AD452" s="119">
        <f t="shared" si="122"/>
        <v>0</v>
      </c>
      <c r="AE452" s="108">
        <f t="shared" si="122"/>
        <v>0</v>
      </c>
      <c r="AF452" s="108">
        <f t="shared" si="122"/>
        <v>0</v>
      </c>
      <c r="AG452" s="108"/>
      <c r="AH452" s="108"/>
      <c r="AI452" s="108"/>
      <c r="AJ452" s="108"/>
      <c r="AK452" s="108"/>
      <c r="AL452" s="108">
        <f t="shared" ref="AL452:AL515" si="125">IF($AB452=0,0,ROUND($Z452*VLOOKUP(AL$2,$F$1010:$Q$1014,VLOOKUP($CP452,$C$1076:$E$1081,3,FALSE),FALSE),2))</f>
        <v>0</v>
      </c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20">
        <f t="shared" ref="CK452:CK515" si="126">IF($AB452=0,0,ROUND($Z452*VLOOKUP(CK$2,$F$1010:$Q$1014,VLOOKUP($CP452,$C$1076:$E$1081,3,FALSE),FALSE),2))</f>
        <v>0</v>
      </c>
      <c r="CL452" s="122">
        <f t="shared" ref="CL452:CL515" si="127">IF(CK$1014&gt;0,0,IF(ISBLANK(W452),0,MONTH(W452)))</f>
        <v>0</v>
      </c>
      <c r="CM452" s="524" t="str">
        <f t="shared" si="116"/>
        <v/>
      </c>
      <c r="CN452" s="526">
        <f t="shared" si="117"/>
        <v>0</v>
      </c>
      <c r="CO452" s="122">
        <f t="shared" si="118"/>
        <v>0</v>
      </c>
      <c r="CP452" s="45" t="str">
        <f t="shared" ref="CP452:CP515" si="128">IF(ISBLANK(AC452),Q$1,AC452)</f>
        <v>1 - in MILLESIMI   I</v>
      </c>
      <c r="CQ452" s="1"/>
    </row>
    <row r="453" spans="1:95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435">
        <f>IF(AND(W453&gt;=$U$1,W453&lt;=$U$2),IF(X453='ESTRATTO CONTO'!$E$2,1+COUNTIF(U$4:U452,"&gt;0"),0),0)</f>
        <v>0</v>
      </c>
      <c r="V453" s="417">
        <f t="shared" si="119"/>
        <v>450</v>
      </c>
      <c r="W453" s="509"/>
      <c r="X453" s="321"/>
      <c r="Y453" s="321"/>
      <c r="Z453" s="433"/>
      <c r="AA453" s="918">
        <f t="shared" si="123"/>
        <v>1</v>
      </c>
      <c r="AB453" s="306" t="str">
        <f t="shared" si="124"/>
        <v/>
      </c>
      <c r="AC453" s="788"/>
      <c r="AD453" s="119">
        <f t="shared" si="122"/>
        <v>0</v>
      </c>
      <c r="AE453" s="108">
        <f t="shared" si="122"/>
        <v>0</v>
      </c>
      <c r="AF453" s="108">
        <f t="shared" si="122"/>
        <v>0</v>
      </c>
      <c r="AG453" s="108"/>
      <c r="AH453" s="108"/>
      <c r="AI453" s="108"/>
      <c r="AJ453" s="108"/>
      <c r="AK453" s="108"/>
      <c r="AL453" s="108">
        <f t="shared" si="125"/>
        <v>0</v>
      </c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20">
        <f t="shared" si="126"/>
        <v>0</v>
      </c>
      <c r="CL453" s="122">
        <f t="shared" si="127"/>
        <v>0</v>
      </c>
      <c r="CM453" s="524" t="str">
        <f t="shared" ref="CM453:CM516" si="129">IF(X453="","",IF(ISERROR(VLOOKUP(X453,B$9:E$45,1,FALSE)),1,0))</f>
        <v/>
      </c>
      <c r="CN453" s="526">
        <f t="shared" ref="CN453:CN516" si="130">IF(AND(W453&gt;=CN$1,W453&lt;=CN$2),Z453,0)</f>
        <v>0</v>
      </c>
      <c r="CO453" s="122">
        <f t="shared" ref="CO453:CO516" si="131">IF(CN453&lt;&gt;0,X453,0)</f>
        <v>0</v>
      </c>
      <c r="CP453" s="45" t="str">
        <f t="shared" si="128"/>
        <v>1 - in MILLESIMI   I</v>
      </c>
      <c r="CQ453" s="1"/>
    </row>
    <row r="454" spans="1:95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435">
        <f>IF(AND(W454&gt;=$U$1,W454&lt;=$U$2),IF(X454='ESTRATTO CONTO'!$E$2,1+COUNTIF(U$4:U453,"&gt;0"),0),0)</f>
        <v>0</v>
      </c>
      <c r="V454" s="417">
        <f t="shared" ref="V454:V517" si="132">V453+1</f>
        <v>451</v>
      </c>
      <c r="W454" s="509"/>
      <c r="X454" s="321"/>
      <c r="Y454" s="321"/>
      <c r="Z454" s="433"/>
      <c r="AA454" s="918">
        <f t="shared" si="123"/>
        <v>1</v>
      </c>
      <c r="AB454" s="306" t="str">
        <f t="shared" si="124"/>
        <v/>
      </c>
      <c r="AC454" s="788"/>
      <c r="AD454" s="119">
        <f t="shared" si="122"/>
        <v>0</v>
      </c>
      <c r="AE454" s="108">
        <f t="shared" si="122"/>
        <v>0</v>
      </c>
      <c r="AF454" s="108">
        <f t="shared" si="122"/>
        <v>0</v>
      </c>
      <c r="AG454" s="108"/>
      <c r="AH454" s="108"/>
      <c r="AI454" s="108"/>
      <c r="AJ454" s="108"/>
      <c r="AK454" s="108"/>
      <c r="AL454" s="108">
        <f t="shared" si="125"/>
        <v>0</v>
      </c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20">
        <f t="shared" si="126"/>
        <v>0</v>
      </c>
      <c r="CL454" s="122">
        <f t="shared" si="127"/>
        <v>0</v>
      </c>
      <c r="CM454" s="524" t="str">
        <f t="shared" si="129"/>
        <v/>
      </c>
      <c r="CN454" s="526">
        <f t="shared" si="130"/>
        <v>0</v>
      </c>
      <c r="CO454" s="122">
        <f t="shared" si="131"/>
        <v>0</v>
      </c>
      <c r="CP454" s="45" t="str">
        <f t="shared" si="128"/>
        <v>1 - in MILLESIMI   I</v>
      </c>
      <c r="CQ454" s="1"/>
    </row>
    <row r="455" spans="1:95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435">
        <f>IF(AND(W455&gt;=$U$1,W455&lt;=$U$2),IF(X455='ESTRATTO CONTO'!$E$2,1+COUNTIF(U$4:U454,"&gt;0"),0),0)</f>
        <v>0</v>
      </c>
      <c r="V455" s="417">
        <f t="shared" si="132"/>
        <v>452</v>
      </c>
      <c r="W455" s="509"/>
      <c r="X455" s="321"/>
      <c r="Y455" s="321"/>
      <c r="Z455" s="433"/>
      <c r="AA455" s="918">
        <f t="shared" si="123"/>
        <v>1</v>
      </c>
      <c r="AB455" s="306" t="str">
        <f t="shared" si="124"/>
        <v/>
      </c>
      <c r="AC455" s="788"/>
      <c r="AD455" s="119">
        <f t="shared" si="122"/>
        <v>0</v>
      </c>
      <c r="AE455" s="108">
        <f t="shared" si="122"/>
        <v>0</v>
      </c>
      <c r="AF455" s="108">
        <f t="shared" si="122"/>
        <v>0</v>
      </c>
      <c r="AG455" s="108"/>
      <c r="AH455" s="108"/>
      <c r="AI455" s="108"/>
      <c r="AJ455" s="108"/>
      <c r="AK455" s="108"/>
      <c r="AL455" s="108">
        <f t="shared" si="125"/>
        <v>0</v>
      </c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20">
        <f t="shared" si="126"/>
        <v>0</v>
      </c>
      <c r="CL455" s="122">
        <f t="shared" si="127"/>
        <v>0</v>
      </c>
      <c r="CM455" s="524" t="str">
        <f t="shared" si="129"/>
        <v/>
      </c>
      <c r="CN455" s="526">
        <f t="shared" si="130"/>
        <v>0</v>
      </c>
      <c r="CO455" s="122">
        <f t="shared" si="131"/>
        <v>0</v>
      </c>
      <c r="CP455" s="45" t="str">
        <f t="shared" si="128"/>
        <v>1 - in MILLESIMI   I</v>
      </c>
      <c r="CQ455" s="1"/>
    </row>
    <row r="456" spans="1:95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435">
        <f>IF(AND(W456&gt;=$U$1,W456&lt;=$U$2),IF(X456='ESTRATTO CONTO'!$E$2,1+COUNTIF(U$4:U455,"&gt;0"),0),0)</f>
        <v>0</v>
      </c>
      <c r="V456" s="417">
        <f t="shared" si="132"/>
        <v>453</v>
      </c>
      <c r="W456" s="509"/>
      <c r="X456" s="321"/>
      <c r="Y456" s="321"/>
      <c r="Z456" s="433"/>
      <c r="AA456" s="918">
        <f t="shared" si="123"/>
        <v>1</v>
      </c>
      <c r="AB456" s="306" t="str">
        <f t="shared" si="124"/>
        <v/>
      </c>
      <c r="AC456" s="788"/>
      <c r="AD456" s="119">
        <f t="shared" si="122"/>
        <v>0</v>
      </c>
      <c r="AE456" s="108">
        <f t="shared" si="122"/>
        <v>0</v>
      </c>
      <c r="AF456" s="108">
        <f t="shared" si="122"/>
        <v>0</v>
      </c>
      <c r="AG456" s="108"/>
      <c r="AH456" s="108"/>
      <c r="AI456" s="108"/>
      <c r="AJ456" s="108"/>
      <c r="AK456" s="108"/>
      <c r="AL456" s="108">
        <f t="shared" si="125"/>
        <v>0</v>
      </c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20">
        <f t="shared" si="126"/>
        <v>0</v>
      </c>
      <c r="CL456" s="122">
        <f t="shared" si="127"/>
        <v>0</v>
      </c>
      <c r="CM456" s="524" t="str">
        <f t="shared" si="129"/>
        <v/>
      </c>
      <c r="CN456" s="526">
        <f t="shared" si="130"/>
        <v>0</v>
      </c>
      <c r="CO456" s="122">
        <f t="shared" si="131"/>
        <v>0</v>
      </c>
      <c r="CP456" s="45" t="str">
        <f t="shared" si="128"/>
        <v>1 - in MILLESIMI   I</v>
      </c>
      <c r="CQ456" s="1"/>
    </row>
    <row r="457" spans="1:95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435">
        <f>IF(AND(W457&gt;=$U$1,W457&lt;=$U$2),IF(X457='ESTRATTO CONTO'!$E$2,1+COUNTIF(U$4:U456,"&gt;0"),0),0)</f>
        <v>0</v>
      </c>
      <c r="V457" s="417">
        <f t="shared" si="132"/>
        <v>454</v>
      </c>
      <c r="W457" s="509"/>
      <c r="X457" s="321"/>
      <c r="Y457" s="321"/>
      <c r="Z457" s="433"/>
      <c r="AA457" s="918">
        <f t="shared" si="123"/>
        <v>1</v>
      </c>
      <c r="AB457" s="306" t="str">
        <f t="shared" si="124"/>
        <v/>
      </c>
      <c r="AC457" s="788"/>
      <c r="AD457" s="119">
        <f t="shared" si="122"/>
        <v>0</v>
      </c>
      <c r="AE457" s="108">
        <f t="shared" si="122"/>
        <v>0</v>
      </c>
      <c r="AF457" s="108">
        <f t="shared" si="122"/>
        <v>0</v>
      </c>
      <c r="AG457" s="108"/>
      <c r="AH457" s="108"/>
      <c r="AI457" s="108"/>
      <c r="AJ457" s="108"/>
      <c r="AK457" s="108"/>
      <c r="AL457" s="108">
        <f t="shared" si="125"/>
        <v>0</v>
      </c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20">
        <f t="shared" si="126"/>
        <v>0</v>
      </c>
      <c r="CL457" s="122">
        <f t="shared" si="127"/>
        <v>0</v>
      </c>
      <c r="CM457" s="524" t="str">
        <f t="shared" si="129"/>
        <v/>
      </c>
      <c r="CN457" s="526">
        <f t="shared" si="130"/>
        <v>0</v>
      </c>
      <c r="CO457" s="122">
        <f t="shared" si="131"/>
        <v>0</v>
      </c>
      <c r="CP457" s="45" t="str">
        <f t="shared" si="128"/>
        <v>1 - in MILLESIMI   I</v>
      </c>
      <c r="CQ457" s="1"/>
    </row>
    <row r="458" spans="1:95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435">
        <f>IF(AND(W458&gt;=$U$1,W458&lt;=$U$2),IF(X458='ESTRATTO CONTO'!$E$2,1+COUNTIF(U$4:U457,"&gt;0"),0),0)</f>
        <v>0</v>
      </c>
      <c r="V458" s="417">
        <f t="shared" si="132"/>
        <v>455</v>
      </c>
      <c r="W458" s="509"/>
      <c r="X458" s="321"/>
      <c r="Y458" s="321"/>
      <c r="Z458" s="433"/>
      <c r="AA458" s="918">
        <f t="shared" si="123"/>
        <v>1</v>
      </c>
      <c r="AB458" s="306" t="str">
        <f t="shared" si="124"/>
        <v/>
      </c>
      <c r="AC458" s="788"/>
      <c r="AD458" s="119">
        <f t="shared" si="122"/>
        <v>0</v>
      </c>
      <c r="AE458" s="108">
        <f t="shared" si="122"/>
        <v>0</v>
      </c>
      <c r="AF458" s="108">
        <f t="shared" si="122"/>
        <v>0</v>
      </c>
      <c r="AG458" s="108"/>
      <c r="AH458" s="108"/>
      <c r="AI458" s="108"/>
      <c r="AJ458" s="108"/>
      <c r="AK458" s="108"/>
      <c r="AL458" s="108">
        <f t="shared" si="125"/>
        <v>0</v>
      </c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20">
        <f t="shared" si="126"/>
        <v>0</v>
      </c>
      <c r="CL458" s="122">
        <f t="shared" si="127"/>
        <v>0</v>
      </c>
      <c r="CM458" s="524" t="str">
        <f t="shared" si="129"/>
        <v/>
      </c>
      <c r="CN458" s="526">
        <f t="shared" si="130"/>
        <v>0</v>
      </c>
      <c r="CO458" s="122">
        <f t="shared" si="131"/>
        <v>0</v>
      </c>
      <c r="CP458" s="45" t="str">
        <f t="shared" si="128"/>
        <v>1 - in MILLESIMI   I</v>
      </c>
      <c r="CQ458" s="1"/>
    </row>
    <row r="459" spans="1:95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435">
        <f>IF(AND(W459&gt;=$U$1,W459&lt;=$U$2),IF(X459='ESTRATTO CONTO'!$E$2,1+COUNTIF(U$4:U458,"&gt;0"),0),0)</f>
        <v>0</v>
      </c>
      <c r="V459" s="417">
        <f t="shared" si="132"/>
        <v>456</v>
      </c>
      <c r="W459" s="509"/>
      <c r="X459" s="321"/>
      <c r="Y459" s="321"/>
      <c r="Z459" s="433"/>
      <c r="AA459" s="918">
        <f t="shared" si="123"/>
        <v>1</v>
      </c>
      <c r="AB459" s="306" t="str">
        <f t="shared" si="124"/>
        <v/>
      </c>
      <c r="AC459" s="788"/>
      <c r="AD459" s="119">
        <f t="shared" si="122"/>
        <v>0</v>
      </c>
      <c r="AE459" s="108">
        <f t="shared" si="122"/>
        <v>0</v>
      </c>
      <c r="AF459" s="108">
        <f t="shared" si="122"/>
        <v>0</v>
      </c>
      <c r="AG459" s="108"/>
      <c r="AH459" s="108"/>
      <c r="AI459" s="108"/>
      <c r="AJ459" s="108"/>
      <c r="AK459" s="108"/>
      <c r="AL459" s="108">
        <f t="shared" si="125"/>
        <v>0</v>
      </c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20">
        <f t="shared" si="126"/>
        <v>0</v>
      </c>
      <c r="CL459" s="122">
        <f t="shared" si="127"/>
        <v>0</v>
      </c>
      <c r="CM459" s="524" t="str">
        <f t="shared" si="129"/>
        <v/>
      </c>
      <c r="CN459" s="526">
        <f t="shared" si="130"/>
        <v>0</v>
      </c>
      <c r="CO459" s="122">
        <f t="shared" si="131"/>
        <v>0</v>
      </c>
      <c r="CP459" s="45" t="str">
        <f t="shared" si="128"/>
        <v>1 - in MILLESIMI   I</v>
      </c>
      <c r="CQ459" s="1"/>
    </row>
    <row r="460" spans="1:95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435">
        <f>IF(AND(W460&gt;=$U$1,W460&lt;=$U$2),IF(X460='ESTRATTO CONTO'!$E$2,1+COUNTIF(U$4:U459,"&gt;0"),0),0)</f>
        <v>0</v>
      </c>
      <c r="V460" s="417">
        <f t="shared" si="132"/>
        <v>457</v>
      </c>
      <c r="W460" s="509"/>
      <c r="X460" s="321"/>
      <c r="Y460" s="321"/>
      <c r="Z460" s="433"/>
      <c r="AA460" s="918">
        <f t="shared" si="123"/>
        <v>1</v>
      </c>
      <c r="AB460" s="306" t="str">
        <f t="shared" si="124"/>
        <v/>
      </c>
      <c r="AC460" s="788"/>
      <c r="AD460" s="119">
        <f t="shared" si="122"/>
        <v>0</v>
      </c>
      <c r="AE460" s="108">
        <f t="shared" si="122"/>
        <v>0</v>
      </c>
      <c r="AF460" s="108">
        <f t="shared" si="122"/>
        <v>0</v>
      </c>
      <c r="AG460" s="108"/>
      <c r="AH460" s="108"/>
      <c r="AI460" s="108"/>
      <c r="AJ460" s="108"/>
      <c r="AK460" s="108"/>
      <c r="AL460" s="108">
        <f t="shared" si="125"/>
        <v>0</v>
      </c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20">
        <f t="shared" si="126"/>
        <v>0</v>
      </c>
      <c r="CL460" s="122">
        <f t="shared" si="127"/>
        <v>0</v>
      </c>
      <c r="CM460" s="524" t="str">
        <f t="shared" si="129"/>
        <v/>
      </c>
      <c r="CN460" s="526">
        <f t="shared" si="130"/>
        <v>0</v>
      </c>
      <c r="CO460" s="122">
        <f t="shared" si="131"/>
        <v>0</v>
      </c>
      <c r="CP460" s="45" t="str">
        <f t="shared" si="128"/>
        <v>1 - in MILLESIMI   I</v>
      </c>
      <c r="CQ460" s="1"/>
    </row>
    <row r="461" spans="1:95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435">
        <f>IF(AND(W461&gt;=$U$1,W461&lt;=$U$2),IF(X461='ESTRATTO CONTO'!$E$2,1+COUNTIF(U$4:U460,"&gt;0"),0),0)</f>
        <v>0</v>
      </c>
      <c r="V461" s="417">
        <f t="shared" si="132"/>
        <v>458</v>
      </c>
      <c r="W461" s="509"/>
      <c r="X461" s="321"/>
      <c r="Y461" s="321"/>
      <c r="Z461" s="433"/>
      <c r="AA461" s="918">
        <f t="shared" si="123"/>
        <v>1</v>
      </c>
      <c r="AB461" s="306" t="str">
        <f t="shared" si="124"/>
        <v/>
      </c>
      <c r="AC461" s="788"/>
      <c r="AD461" s="119">
        <f t="shared" si="122"/>
        <v>0</v>
      </c>
      <c r="AE461" s="108">
        <f t="shared" si="122"/>
        <v>0</v>
      </c>
      <c r="AF461" s="108">
        <f t="shared" si="122"/>
        <v>0</v>
      </c>
      <c r="AG461" s="108"/>
      <c r="AH461" s="108"/>
      <c r="AI461" s="108"/>
      <c r="AJ461" s="108"/>
      <c r="AK461" s="108"/>
      <c r="AL461" s="108">
        <f t="shared" si="125"/>
        <v>0</v>
      </c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20">
        <f t="shared" si="126"/>
        <v>0</v>
      </c>
      <c r="CL461" s="122">
        <f t="shared" si="127"/>
        <v>0</v>
      </c>
      <c r="CM461" s="524" t="str">
        <f t="shared" si="129"/>
        <v/>
      </c>
      <c r="CN461" s="526">
        <f t="shared" si="130"/>
        <v>0</v>
      </c>
      <c r="CO461" s="122">
        <f t="shared" si="131"/>
        <v>0</v>
      </c>
      <c r="CP461" s="45" t="str">
        <f t="shared" si="128"/>
        <v>1 - in MILLESIMI   I</v>
      </c>
      <c r="CQ461" s="1"/>
    </row>
    <row r="462" spans="1:95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435">
        <f>IF(AND(W462&gt;=$U$1,W462&lt;=$U$2),IF(X462='ESTRATTO CONTO'!$E$2,1+COUNTIF(U$4:U461,"&gt;0"),0),0)</f>
        <v>0</v>
      </c>
      <c r="V462" s="417">
        <f t="shared" si="132"/>
        <v>459</v>
      </c>
      <c r="W462" s="509"/>
      <c r="X462" s="321"/>
      <c r="Y462" s="321"/>
      <c r="Z462" s="433"/>
      <c r="AA462" s="918">
        <f t="shared" si="123"/>
        <v>1</v>
      </c>
      <c r="AB462" s="306" t="str">
        <f t="shared" si="124"/>
        <v/>
      </c>
      <c r="AC462" s="788"/>
      <c r="AD462" s="119">
        <f t="shared" si="122"/>
        <v>0</v>
      </c>
      <c r="AE462" s="108">
        <f t="shared" si="122"/>
        <v>0</v>
      </c>
      <c r="AF462" s="108">
        <f t="shared" si="122"/>
        <v>0</v>
      </c>
      <c r="AG462" s="108"/>
      <c r="AH462" s="108"/>
      <c r="AI462" s="108"/>
      <c r="AJ462" s="108"/>
      <c r="AK462" s="108"/>
      <c r="AL462" s="108">
        <f t="shared" si="125"/>
        <v>0</v>
      </c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20">
        <f t="shared" si="126"/>
        <v>0</v>
      </c>
      <c r="CL462" s="122">
        <f t="shared" si="127"/>
        <v>0</v>
      </c>
      <c r="CM462" s="524" t="str">
        <f t="shared" si="129"/>
        <v/>
      </c>
      <c r="CN462" s="526">
        <f t="shared" si="130"/>
        <v>0</v>
      </c>
      <c r="CO462" s="122">
        <f t="shared" si="131"/>
        <v>0</v>
      </c>
      <c r="CP462" s="45" t="str">
        <f t="shared" si="128"/>
        <v>1 - in MILLESIMI   I</v>
      </c>
      <c r="CQ462" s="1"/>
    </row>
    <row r="463" spans="1:95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435">
        <f>IF(AND(W463&gt;=$U$1,W463&lt;=$U$2),IF(X463='ESTRATTO CONTO'!$E$2,1+COUNTIF(U$4:U462,"&gt;0"),0),0)</f>
        <v>0</v>
      </c>
      <c r="V463" s="417">
        <f t="shared" si="132"/>
        <v>460</v>
      </c>
      <c r="W463" s="509"/>
      <c r="X463" s="321"/>
      <c r="Y463" s="321"/>
      <c r="Z463" s="433"/>
      <c r="AA463" s="918">
        <f t="shared" si="123"/>
        <v>1</v>
      </c>
      <c r="AB463" s="306" t="str">
        <f t="shared" si="124"/>
        <v/>
      </c>
      <c r="AC463" s="788"/>
      <c r="AD463" s="119">
        <f t="shared" si="122"/>
        <v>0</v>
      </c>
      <c r="AE463" s="108">
        <f t="shared" si="122"/>
        <v>0</v>
      </c>
      <c r="AF463" s="108">
        <f t="shared" si="122"/>
        <v>0</v>
      </c>
      <c r="AG463" s="108"/>
      <c r="AH463" s="108"/>
      <c r="AI463" s="108"/>
      <c r="AJ463" s="108"/>
      <c r="AK463" s="108"/>
      <c r="AL463" s="108">
        <f t="shared" si="125"/>
        <v>0</v>
      </c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20">
        <f t="shared" si="126"/>
        <v>0</v>
      </c>
      <c r="CL463" s="122">
        <f t="shared" si="127"/>
        <v>0</v>
      </c>
      <c r="CM463" s="524" t="str">
        <f t="shared" si="129"/>
        <v/>
      </c>
      <c r="CN463" s="526">
        <f t="shared" si="130"/>
        <v>0</v>
      </c>
      <c r="CO463" s="122">
        <f t="shared" si="131"/>
        <v>0</v>
      </c>
      <c r="CP463" s="45" t="str">
        <f t="shared" si="128"/>
        <v>1 - in MILLESIMI   I</v>
      </c>
      <c r="CQ463" s="1"/>
    </row>
    <row r="464" spans="1:95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435">
        <f>IF(AND(W464&gt;=$U$1,W464&lt;=$U$2),IF(X464='ESTRATTO CONTO'!$E$2,1+COUNTIF(U$4:U463,"&gt;0"),0),0)</f>
        <v>0</v>
      </c>
      <c r="V464" s="417">
        <f t="shared" si="132"/>
        <v>461</v>
      </c>
      <c r="W464" s="509"/>
      <c r="X464" s="321"/>
      <c r="Y464" s="321"/>
      <c r="Z464" s="433"/>
      <c r="AA464" s="918">
        <f t="shared" si="123"/>
        <v>1</v>
      </c>
      <c r="AB464" s="306" t="str">
        <f t="shared" si="124"/>
        <v/>
      </c>
      <c r="AC464" s="788"/>
      <c r="AD464" s="119">
        <f t="shared" ref="AD464:AF483" si="133">IF($AB464=0,0,ROUND($Z464*VLOOKUP(AD$2,$F$1010:$Q$1014,VLOOKUP($CP464,$C$1076:$E$1081,3,FALSE),FALSE),2))</f>
        <v>0</v>
      </c>
      <c r="AE464" s="108">
        <f t="shared" si="133"/>
        <v>0</v>
      </c>
      <c r="AF464" s="108">
        <f t="shared" si="133"/>
        <v>0</v>
      </c>
      <c r="AG464" s="108"/>
      <c r="AH464" s="108"/>
      <c r="AI464" s="108"/>
      <c r="AJ464" s="108"/>
      <c r="AK464" s="108"/>
      <c r="AL464" s="108">
        <f t="shared" si="125"/>
        <v>0</v>
      </c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20">
        <f t="shared" si="126"/>
        <v>0</v>
      </c>
      <c r="CL464" s="122">
        <f t="shared" si="127"/>
        <v>0</v>
      </c>
      <c r="CM464" s="524" t="str">
        <f t="shared" si="129"/>
        <v/>
      </c>
      <c r="CN464" s="526">
        <f t="shared" si="130"/>
        <v>0</v>
      </c>
      <c r="CO464" s="122">
        <f t="shared" si="131"/>
        <v>0</v>
      </c>
      <c r="CP464" s="45" t="str">
        <f t="shared" si="128"/>
        <v>1 - in MILLESIMI   I</v>
      </c>
      <c r="CQ464" s="1"/>
    </row>
    <row r="465" spans="1:95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435">
        <f>IF(AND(W465&gt;=$U$1,W465&lt;=$U$2),IF(X465='ESTRATTO CONTO'!$E$2,1+COUNTIF(U$4:U464,"&gt;0"),0),0)</f>
        <v>0</v>
      </c>
      <c r="V465" s="417">
        <f t="shared" si="132"/>
        <v>462</v>
      </c>
      <c r="W465" s="509"/>
      <c r="X465" s="321"/>
      <c r="Y465" s="321"/>
      <c r="Z465" s="433"/>
      <c r="AA465" s="918">
        <f t="shared" si="123"/>
        <v>1</v>
      </c>
      <c r="AB465" s="306" t="str">
        <f t="shared" si="124"/>
        <v/>
      </c>
      <c r="AC465" s="788"/>
      <c r="AD465" s="119">
        <f t="shared" si="133"/>
        <v>0</v>
      </c>
      <c r="AE465" s="108">
        <f t="shared" si="133"/>
        <v>0</v>
      </c>
      <c r="AF465" s="108">
        <f t="shared" si="133"/>
        <v>0</v>
      </c>
      <c r="AG465" s="108"/>
      <c r="AH465" s="108"/>
      <c r="AI465" s="108"/>
      <c r="AJ465" s="108"/>
      <c r="AK465" s="108"/>
      <c r="AL465" s="108">
        <f t="shared" si="125"/>
        <v>0</v>
      </c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20">
        <f t="shared" si="126"/>
        <v>0</v>
      </c>
      <c r="CL465" s="122">
        <f t="shared" si="127"/>
        <v>0</v>
      </c>
      <c r="CM465" s="524" t="str">
        <f t="shared" si="129"/>
        <v/>
      </c>
      <c r="CN465" s="526">
        <f t="shared" si="130"/>
        <v>0</v>
      </c>
      <c r="CO465" s="122">
        <f t="shared" si="131"/>
        <v>0</v>
      </c>
      <c r="CP465" s="45" t="str">
        <f t="shared" si="128"/>
        <v>1 - in MILLESIMI   I</v>
      </c>
      <c r="CQ465" s="1"/>
    </row>
    <row r="466" spans="1:95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435">
        <f>IF(AND(W466&gt;=$U$1,W466&lt;=$U$2),IF(X466='ESTRATTO CONTO'!$E$2,1+COUNTIF(U$4:U465,"&gt;0"),0),0)</f>
        <v>0</v>
      </c>
      <c r="V466" s="417">
        <f t="shared" si="132"/>
        <v>463</v>
      </c>
      <c r="W466" s="509"/>
      <c r="X466" s="321"/>
      <c r="Y466" s="321"/>
      <c r="Z466" s="433"/>
      <c r="AA466" s="918">
        <f t="shared" si="123"/>
        <v>1</v>
      </c>
      <c r="AB466" s="306" t="str">
        <f t="shared" si="124"/>
        <v/>
      </c>
      <c r="AC466" s="788"/>
      <c r="AD466" s="119">
        <f t="shared" si="133"/>
        <v>0</v>
      </c>
      <c r="AE466" s="108">
        <f t="shared" si="133"/>
        <v>0</v>
      </c>
      <c r="AF466" s="108">
        <f t="shared" si="133"/>
        <v>0</v>
      </c>
      <c r="AG466" s="108"/>
      <c r="AH466" s="108"/>
      <c r="AI466" s="108"/>
      <c r="AJ466" s="108"/>
      <c r="AK466" s="108"/>
      <c r="AL466" s="108">
        <f t="shared" si="125"/>
        <v>0</v>
      </c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20">
        <f t="shared" si="126"/>
        <v>0</v>
      </c>
      <c r="CL466" s="122">
        <f t="shared" si="127"/>
        <v>0</v>
      </c>
      <c r="CM466" s="524" t="str">
        <f t="shared" si="129"/>
        <v/>
      </c>
      <c r="CN466" s="526">
        <f t="shared" si="130"/>
        <v>0</v>
      </c>
      <c r="CO466" s="122">
        <f t="shared" si="131"/>
        <v>0</v>
      </c>
      <c r="CP466" s="45" t="str">
        <f t="shared" si="128"/>
        <v>1 - in MILLESIMI   I</v>
      </c>
      <c r="CQ466" s="1"/>
    </row>
    <row r="467" spans="1:95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435">
        <f>IF(AND(W467&gt;=$U$1,W467&lt;=$U$2),IF(X467='ESTRATTO CONTO'!$E$2,1+COUNTIF(U$4:U466,"&gt;0"),0),0)</f>
        <v>0</v>
      </c>
      <c r="V467" s="417">
        <f t="shared" si="132"/>
        <v>464</v>
      </c>
      <c r="W467" s="509"/>
      <c r="X467" s="321"/>
      <c r="Y467" s="321"/>
      <c r="Z467" s="433"/>
      <c r="AA467" s="918">
        <f t="shared" si="123"/>
        <v>1</v>
      </c>
      <c r="AB467" s="306" t="str">
        <f t="shared" si="124"/>
        <v/>
      </c>
      <c r="AC467" s="788"/>
      <c r="AD467" s="119">
        <f t="shared" si="133"/>
        <v>0</v>
      </c>
      <c r="AE467" s="108">
        <f t="shared" si="133"/>
        <v>0</v>
      </c>
      <c r="AF467" s="108">
        <f t="shared" si="133"/>
        <v>0</v>
      </c>
      <c r="AG467" s="108"/>
      <c r="AH467" s="108"/>
      <c r="AI467" s="108"/>
      <c r="AJ467" s="108"/>
      <c r="AK467" s="108"/>
      <c r="AL467" s="108">
        <f t="shared" si="125"/>
        <v>0</v>
      </c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20">
        <f t="shared" si="126"/>
        <v>0</v>
      </c>
      <c r="CL467" s="122">
        <f t="shared" si="127"/>
        <v>0</v>
      </c>
      <c r="CM467" s="524" t="str">
        <f t="shared" si="129"/>
        <v/>
      </c>
      <c r="CN467" s="526">
        <f t="shared" si="130"/>
        <v>0</v>
      </c>
      <c r="CO467" s="122">
        <f t="shared" si="131"/>
        <v>0</v>
      </c>
      <c r="CP467" s="45" t="str">
        <f t="shared" si="128"/>
        <v>1 - in MILLESIMI   I</v>
      </c>
      <c r="CQ467" s="1"/>
    </row>
    <row r="468" spans="1:95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435">
        <f>IF(AND(W468&gt;=$U$1,W468&lt;=$U$2),IF(X468='ESTRATTO CONTO'!$E$2,1+COUNTIF(U$4:U467,"&gt;0"),0),0)</f>
        <v>0</v>
      </c>
      <c r="V468" s="417">
        <f t="shared" si="132"/>
        <v>465</v>
      </c>
      <c r="W468" s="509"/>
      <c r="X468" s="321"/>
      <c r="Y468" s="321"/>
      <c r="Z468" s="433"/>
      <c r="AA468" s="918">
        <f t="shared" si="123"/>
        <v>1</v>
      </c>
      <c r="AB468" s="306" t="str">
        <f t="shared" si="124"/>
        <v/>
      </c>
      <c r="AC468" s="788"/>
      <c r="AD468" s="119">
        <f t="shared" si="133"/>
        <v>0</v>
      </c>
      <c r="AE468" s="108">
        <f t="shared" si="133"/>
        <v>0</v>
      </c>
      <c r="AF468" s="108">
        <f t="shared" si="133"/>
        <v>0</v>
      </c>
      <c r="AG468" s="108"/>
      <c r="AH468" s="108"/>
      <c r="AI468" s="108"/>
      <c r="AJ468" s="108"/>
      <c r="AK468" s="108"/>
      <c r="AL468" s="108">
        <f t="shared" si="125"/>
        <v>0</v>
      </c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20">
        <f t="shared" si="126"/>
        <v>0</v>
      </c>
      <c r="CL468" s="122">
        <f t="shared" si="127"/>
        <v>0</v>
      </c>
      <c r="CM468" s="524" t="str">
        <f t="shared" si="129"/>
        <v/>
      </c>
      <c r="CN468" s="526">
        <f t="shared" si="130"/>
        <v>0</v>
      </c>
      <c r="CO468" s="122">
        <f t="shared" si="131"/>
        <v>0</v>
      </c>
      <c r="CP468" s="45" t="str">
        <f t="shared" si="128"/>
        <v>1 - in MILLESIMI   I</v>
      </c>
      <c r="CQ468" s="1"/>
    </row>
    <row r="469" spans="1:95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435">
        <f>IF(AND(W469&gt;=$U$1,W469&lt;=$U$2),IF(X469='ESTRATTO CONTO'!$E$2,1+COUNTIF(U$4:U468,"&gt;0"),0),0)</f>
        <v>0</v>
      </c>
      <c r="V469" s="417">
        <f t="shared" si="132"/>
        <v>466</v>
      </c>
      <c r="W469" s="509"/>
      <c r="X469" s="321"/>
      <c r="Y469" s="321"/>
      <c r="Z469" s="433"/>
      <c r="AA469" s="918">
        <f t="shared" si="123"/>
        <v>1</v>
      </c>
      <c r="AB469" s="306" t="str">
        <f t="shared" si="124"/>
        <v/>
      </c>
      <c r="AC469" s="788"/>
      <c r="AD469" s="119">
        <f t="shared" si="133"/>
        <v>0</v>
      </c>
      <c r="AE469" s="108">
        <f t="shared" si="133"/>
        <v>0</v>
      </c>
      <c r="AF469" s="108">
        <f t="shared" si="133"/>
        <v>0</v>
      </c>
      <c r="AG469" s="108"/>
      <c r="AH469" s="108"/>
      <c r="AI469" s="108"/>
      <c r="AJ469" s="108"/>
      <c r="AK469" s="108"/>
      <c r="AL469" s="108">
        <f t="shared" si="125"/>
        <v>0</v>
      </c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20">
        <f t="shared" si="126"/>
        <v>0</v>
      </c>
      <c r="CL469" s="122">
        <f t="shared" si="127"/>
        <v>0</v>
      </c>
      <c r="CM469" s="524" t="str">
        <f t="shared" si="129"/>
        <v/>
      </c>
      <c r="CN469" s="526">
        <f t="shared" si="130"/>
        <v>0</v>
      </c>
      <c r="CO469" s="122">
        <f t="shared" si="131"/>
        <v>0</v>
      </c>
      <c r="CP469" s="45" t="str">
        <f t="shared" si="128"/>
        <v>1 - in MILLESIMI   I</v>
      </c>
      <c r="CQ469" s="1"/>
    </row>
    <row r="470" spans="1:95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435">
        <f>IF(AND(W470&gt;=$U$1,W470&lt;=$U$2),IF(X470='ESTRATTO CONTO'!$E$2,1+COUNTIF(U$4:U469,"&gt;0"),0),0)</f>
        <v>0</v>
      </c>
      <c r="V470" s="417">
        <f t="shared" si="132"/>
        <v>467</v>
      </c>
      <c r="W470" s="509"/>
      <c r="X470" s="321"/>
      <c r="Y470" s="321"/>
      <c r="Z470" s="433"/>
      <c r="AA470" s="918">
        <f t="shared" si="123"/>
        <v>1</v>
      </c>
      <c r="AB470" s="306" t="str">
        <f t="shared" si="124"/>
        <v/>
      </c>
      <c r="AC470" s="788"/>
      <c r="AD470" s="119">
        <f t="shared" si="133"/>
        <v>0</v>
      </c>
      <c r="AE470" s="108">
        <f t="shared" si="133"/>
        <v>0</v>
      </c>
      <c r="AF470" s="108">
        <f t="shared" si="133"/>
        <v>0</v>
      </c>
      <c r="AG470" s="108"/>
      <c r="AH470" s="108"/>
      <c r="AI470" s="108"/>
      <c r="AJ470" s="108"/>
      <c r="AK470" s="108"/>
      <c r="AL470" s="108">
        <f t="shared" si="125"/>
        <v>0</v>
      </c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20">
        <f t="shared" si="126"/>
        <v>0</v>
      </c>
      <c r="CL470" s="122">
        <f t="shared" si="127"/>
        <v>0</v>
      </c>
      <c r="CM470" s="524" t="str">
        <f t="shared" si="129"/>
        <v/>
      </c>
      <c r="CN470" s="526">
        <f t="shared" si="130"/>
        <v>0</v>
      </c>
      <c r="CO470" s="122">
        <f t="shared" si="131"/>
        <v>0</v>
      </c>
      <c r="CP470" s="45" t="str">
        <f t="shared" si="128"/>
        <v>1 - in MILLESIMI   I</v>
      </c>
      <c r="CQ470" s="1"/>
    </row>
    <row r="471" spans="1:95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435">
        <f>IF(AND(W471&gt;=$U$1,W471&lt;=$U$2),IF(X471='ESTRATTO CONTO'!$E$2,1+COUNTIF(U$4:U470,"&gt;0"),0),0)</f>
        <v>0</v>
      </c>
      <c r="V471" s="417">
        <f t="shared" si="132"/>
        <v>468</v>
      </c>
      <c r="W471" s="509"/>
      <c r="X471" s="321"/>
      <c r="Y471" s="321"/>
      <c r="Z471" s="433"/>
      <c r="AA471" s="918">
        <f t="shared" si="123"/>
        <v>1</v>
      </c>
      <c r="AB471" s="306" t="str">
        <f t="shared" si="124"/>
        <v/>
      </c>
      <c r="AC471" s="788"/>
      <c r="AD471" s="119">
        <f t="shared" si="133"/>
        <v>0</v>
      </c>
      <c r="AE471" s="108">
        <f t="shared" si="133"/>
        <v>0</v>
      </c>
      <c r="AF471" s="108">
        <f t="shared" si="133"/>
        <v>0</v>
      </c>
      <c r="AG471" s="108"/>
      <c r="AH471" s="108"/>
      <c r="AI471" s="108"/>
      <c r="AJ471" s="108"/>
      <c r="AK471" s="108"/>
      <c r="AL471" s="108">
        <f t="shared" si="125"/>
        <v>0</v>
      </c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20">
        <f t="shared" si="126"/>
        <v>0</v>
      </c>
      <c r="CL471" s="122">
        <f t="shared" si="127"/>
        <v>0</v>
      </c>
      <c r="CM471" s="524" t="str">
        <f t="shared" si="129"/>
        <v/>
      </c>
      <c r="CN471" s="526">
        <f t="shared" si="130"/>
        <v>0</v>
      </c>
      <c r="CO471" s="122">
        <f t="shared" si="131"/>
        <v>0</v>
      </c>
      <c r="CP471" s="45" t="str">
        <f t="shared" si="128"/>
        <v>1 - in MILLESIMI   I</v>
      </c>
      <c r="CQ471" s="1"/>
    </row>
    <row r="472" spans="1:95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435">
        <f>IF(AND(W472&gt;=$U$1,W472&lt;=$U$2),IF(X472='ESTRATTO CONTO'!$E$2,1+COUNTIF(U$4:U471,"&gt;0"),0),0)</f>
        <v>0</v>
      </c>
      <c r="V472" s="417">
        <f t="shared" si="132"/>
        <v>469</v>
      </c>
      <c r="W472" s="509"/>
      <c r="X472" s="321"/>
      <c r="Y472" s="321"/>
      <c r="Z472" s="433"/>
      <c r="AA472" s="918">
        <f t="shared" si="123"/>
        <v>1</v>
      </c>
      <c r="AB472" s="306" t="str">
        <f t="shared" si="124"/>
        <v/>
      </c>
      <c r="AC472" s="788"/>
      <c r="AD472" s="119">
        <f t="shared" si="133"/>
        <v>0</v>
      </c>
      <c r="AE472" s="108">
        <f t="shared" si="133"/>
        <v>0</v>
      </c>
      <c r="AF472" s="108">
        <f t="shared" si="133"/>
        <v>0</v>
      </c>
      <c r="AG472" s="108"/>
      <c r="AH472" s="108"/>
      <c r="AI472" s="108"/>
      <c r="AJ472" s="108"/>
      <c r="AK472" s="108"/>
      <c r="AL472" s="108">
        <f t="shared" si="125"/>
        <v>0</v>
      </c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20">
        <f t="shared" si="126"/>
        <v>0</v>
      </c>
      <c r="CL472" s="122">
        <f t="shared" si="127"/>
        <v>0</v>
      </c>
      <c r="CM472" s="524" t="str">
        <f t="shared" si="129"/>
        <v/>
      </c>
      <c r="CN472" s="526">
        <f t="shared" si="130"/>
        <v>0</v>
      </c>
      <c r="CO472" s="122">
        <f t="shared" si="131"/>
        <v>0</v>
      </c>
      <c r="CP472" s="45" t="str">
        <f t="shared" si="128"/>
        <v>1 - in MILLESIMI   I</v>
      </c>
      <c r="CQ472" s="1"/>
    </row>
    <row r="473" spans="1:95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435">
        <f>IF(AND(W473&gt;=$U$1,W473&lt;=$U$2),IF(X473='ESTRATTO CONTO'!$E$2,1+COUNTIF(U$4:U472,"&gt;0"),0),0)</f>
        <v>0</v>
      </c>
      <c r="V473" s="417">
        <f t="shared" si="132"/>
        <v>470</v>
      </c>
      <c r="W473" s="509"/>
      <c r="X473" s="321"/>
      <c r="Y473" s="321"/>
      <c r="Z473" s="433"/>
      <c r="AA473" s="918">
        <f t="shared" si="123"/>
        <v>1</v>
      </c>
      <c r="AB473" s="306" t="str">
        <f t="shared" si="124"/>
        <v/>
      </c>
      <c r="AC473" s="788"/>
      <c r="AD473" s="119">
        <f t="shared" si="133"/>
        <v>0</v>
      </c>
      <c r="AE473" s="108">
        <f t="shared" si="133"/>
        <v>0</v>
      </c>
      <c r="AF473" s="108">
        <f t="shared" si="133"/>
        <v>0</v>
      </c>
      <c r="AG473" s="108"/>
      <c r="AH473" s="108"/>
      <c r="AI473" s="108"/>
      <c r="AJ473" s="108"/>
      <c r="AK473" s="108"/>
      <c r="AL473" s="108">
        <f t="shared" si="125"/>
        <v>0</v>
      </c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20">
        <f t="shared" si="126"/>
        <v>0</v>
      </c>
      <c r="CL473" s="122">
        <f t="shared" si="127"/>
        <v>0</v>
      </c>
      <c r="CM473" s="524" t="str">
        <f t="shared" si="129"/>
        <v/>
      </c>
      <c r="CN473" s="526">
        <f t="shared" si="130"/>
        <v>0</v>
      </c>
      <c r="CO473" s="122">
        <f t="shared" si="131"/>
        <v>0</v>
      </c>
      <c r="CP473" s="45" t="str">
        <f t="shared" si="128"/>
        <v>1 - in MILLESIMI   I</v>
      </c>
      <c r="CQ473" s="1"/>
    </row>
    <row r="474" spans="1:95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435">
        <f>IF(AND(W474&gt;=$U$1,W474&lt;=$U$2),IF(X474='ESTRATTO CONTO'!$E$2,1+COUNTIF(U$4:U473,"&gt;0"),0),0)</f>
        <v>0</v>
      </c>
      <c r="V474" s="417">
        <f t="shared" si="132"/>
        <v>471</v>
      </c>
      <c r="W474" s="509"/>
      <c r="X474" s="321"/>
      <c r="Y474" s="321"/>
      <c r="Z474" s="433"/>
      <c r="AA474" s="918">
        <f t="shared" si="123"/>
        <v>1</v>
      </c>
      <c r="AB474" s="306" t="str">
        <f t="shared" si="124"/>
        <v/>
      </c>
      <c r="AC474" s="788"/>
      <c r="AD474" s="119">
        <f t="shared" si="133"/>
        <v>0</v>
      </c>
      <c r="AE474" s="108">
        <f t="shared" si="133"/>
        <v>0</v>
      </c>
      <c r="AF474" s="108">
        <f t="shared" si="133"/>
        <v>0</v>
      </c>
      <c r="AG474" s="108"/>
      <c r="AH474" s="108"/>
      <c r="AI474" s="108"/>
      <c r="AJ474" s="108"/>
      <c r="AK474" s="108"/>
      <c r="AL474" s="108">
        <f t="shared" si="125"/>
        <v>0</v>
      </c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20">
        <f t="shared" si="126"/>
        <v>0</v>
      </c>
      <c r="CL474" s="122">
        <f t="shared" si="127"/>
        <v>0</v>
      </c>
      <c r="CM474" s="524" t="str">
        <f t="shared" si="129"/>
        <v/>
      </c>
      <c r="CN474" s="526">
        <f t="shared" si="130"/>
        <v>0</v>
      </c>
      <c r="CO474" s="122">
        <f t="shared" si="131"/>
        <v>0</v>
      </c>
      <c r="CP474" s="45" t="str">
        <f t="shared" si="128"/>
        <v>1 - in MILLESIMI   I</v>
      </c>
      <c r="CQ474" s="1"/>
    </row>
    <row r="475" spans="1:95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435">
        <f>IF(AND(W475&gt;=$U$1,W475&lt;=$U$2),IF(X475='ESTRATTO CONTO'!$E$2,1+COUNTIF(U$4:U474,"&gt;0"),0),0)</f>
        <v>0</v>
      </c>
      <c r="V475" s="417">
        <f t="shared" si="132"/>
        <v>472</v>
      </c>
      <c r="W475" s="509"/>
      <c r="X475" s="321"/>
      <c r="Y475" s="321"/>
      <c r="Z475" s="433"/>
      <c r="AA475" s="918">
        <f t="shared" si="123"/>
        <v>1</v>
      </c>
      <c r="AB475" s="306" t="str">
        <f t="shared" si="124"/>
        <v/>
      </c>
      <c r="AC475" s="788"/>
      <c r="AD475" s="119">
        <f t="shared" si="133"/>
        <v>0</v>
      </c>
      <c r="AE475" s="108">
        <f t="shared" si="133"/>
        <v>0</v>
      </c>
      <c r="AF475" s="108">
        <f t="shared" si="133"/>
        <v>0</v>
      </c>
      <c r="AG475" s="108"/>
      <c r="AH475" s="108"/>
      <c r="AI475" s="108"/>
      <c r="AJ475" s="108"/>
      <c r="AK475" s="108"/>
      <c r="AL475" s="108">
        <f t="shared" si="125"/>
        <v>0</v>
      </c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20">
        <f t="shared" si="126"/>
        <v>0</v>
      </c>
      <c r="CL475" s="122">
        <f t="shared" si="127"/>
        <v>0</v>
      </c>
      <c r="CM475" s="524" t="str">
        <f t="shared" si="129"/>
        <v/>
      </c>
      <c r="CN475" s="526">
        <f t="shared" si="130"/>
        <v>0</v>
      </c>
      <c r="CO475" s="122">
        <f t="shared" si="131"/>
        <v>0</v>
      </c>
      <c r="CP475" s="45" t="str">
        <f t="shared" si="128"/>
        <v>1 - in MILLESIMI   I</v>
      </c>
      <c r="CQ475" s="1"/>
    </row>
    <row r="476" spans="1:95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435">
        <f>IF(AND(W476&gt;=$U$1,W476&lt;=$U$2),IF(X476='ESTRATTO CONTO'!$E$2,1+COUNTIF(U$4:U475,"&gt;0"),0),0)</f>
        <v>0</v>
      </c>
      <c r="V476" s="417">
        <f t="shared" si="132"/>
        <v>473</v>
      </c>
      <c r="W476" s="509"/>
      <c r="X476" s="321"/>
      <c r="Y476" s="321"/>
      <c r="Z476" s="433"/>
      <c r="AA476" s="918">
        <f t="shared" si="123"/>
        <v>1</v>
      </c>
      <c r="AB476" s="306" t="str">
        <f t="shared" si="124"/>
        <v/>
      </c>
      <c r="AC476" s="788"/>
      <c r="AD476" s="119">
        <f t="shared" si="133"/>
        <v>0</v>
      </c>
      <c r="AE476" s="108">
        <f t="shared" si="133"/>
        <v>0</v>
      </c>
      <c r="AF476" s="108">
        <f t="shared" si="133"/>
        <v>0</v>
      </c>
      <c r="AG476" s="108"/>
      <c r="AH476" s="108"/>
      <c r="AI476" s="108"/>
      <c r="AJ476" s="108"/>
      <c r="AK476" s="108"/>
      <c r="AL476" s="108">
        <f t="shared" si="125"/>
        <v>0</v>
      </c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20">
        <f t="shared" si="126"/>
        <v>0</v>
      </c>
      <c r="CL476" s="122">
        <f t="shared" si="127"/>
        <v>0</v>
      </c>
      <c r="CM476" s="524" t="str">
        <f t="shared" si="129"/>
        <v/>
      </c>
      <c r="CN476" s="526">
        <f t="shared" si="130"/>
        <v>0</v>
      </c>
      <c r="CO476" s="122">
        <f t="shared" si="131"/>
        <v>0</v>
      </c>
      <c r="CP476" s="45" t="str">
        <f t="shared" si="128"/>
        <v>1 - in MILLESIMI   I</v>
      </c>
      <c r="CQ476" s="1"/>
    </row>
    <row r="477" spans="1:95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435">
        <f>IF(AND(W477&gt;=$U$1,W477&lt;=$U$2),IF(X477='ESTRATTO CONTO'!$E$2,1+COUNTIF(U$4:U476,"&gt;0"),0),0)</f>
        <v>0</v>
      </c>
      <c r="V477" s="417">
        <f t="shared" si="132"/>
        <v>474</v>
      </c>
      <c r="W477" s="509"/>
      <c r="X477" s="321"/>
      <c r="Y477" s="321"/>
      <c r="Z477" s="433"/>
      <c r="AA477" s="918">
        <f t="shared" si="123"/>
        <v>1</v>
      </c>
      <c r="AB477" s="306" t="str">
        <f t="shared" si="124"/>
        <v/>
      </c>
      <c r="AC477" s="788"/>
      <c r="AD477" s="119">
        <f t="shared" si="133"/>
        <v>0</v>
      </c>
      <c r="AE477" s="108">
        <f t="shared" si="133"/>
        <v>0</v>
      </c>
      <c r="AF477" s="108">
        <f t="shared" si="133"/>
        <v>0</v>
      </c>
      <c r="AG477" s="108"/>
      <c r="AH477" s="108"/>
      <c r="AI477" s="108"/>
      <c r="AJ477" s="108"/>
      <c r="AK477" s="108"/>
      <c r="AL477" s="108">
        <f t="shared" si="125"/>
        <v>0</v>
      </c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20">
        <f t="shared" si="126"/>
        <v>0</v>
      </c>
      <c r="CL477" s="122">
        <f t="shared" si="127"/>
        <v>0</v>
      </c>
      <c r="CM477" s="524" t="str">
        <f t="shared" si="129"/>
        <v/>
      </c>
      <c r="CN477" s="526">
        <f t="shared" si="130"/>
        <v>0</v>
      </c>
      <c r="CO477" s="122">
        <f t="shared" si="131"/>
        <v>0</v>
      </c>
      <c r="CP477" s="45" t="str">
        <f t="shared" si="128"/>
        <v>1 - in MILLESIMI   I</v>
      </c>
      <c r="CQ477" s="1"/>
    </row>
    <row r="478" spans="1:95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435">
        <f>IF(AND(W478&gt;=$U$1,W478&lt;=$U$2),IF(X478='ESTRATTO CONTO'!$E$2,1+COUNTIF(U$4:U477,"&gt;0"),0),0)</f>
        <v>0</v>
      </c>
      <c r="V478" s="417">
        <f t="shared" si="132"/>
        <v>475</v>
      </c>
      <c r="W478" s="509"/>
      <c r="X478" s="321"/>
      <c r="Y478" s="321"/>
      <c r="Z478" s="433"/>
      <c r="AA478" s="918">
        <f t="shared" si="123"/>
        <v>1</v>
      </c>
      <c r="AB478" s="306" t="str">
        <f t="shared" si="124"/>
        <v/>
      </c>
      <c r="AC478" s="788"/>
      <c r="AD478" s="119">
        <f t="shared" si="133"/>
        <v>0</v>
      </c>
      <c r="AE478" s="108">
        <f t="shared" si="133"/>
        <v>0</v>
      </c>
      <c r="AF478" s="108">
        <f t="shared" si="133"/>
        <v>0</v>
      </c>
      <c r="AG478" s="108"/>
      <c r="AH478" s="108"/>
      <c r="AI478" s="108"/>
      <c r="AJ478" s="108"/>
      <c r="AK478" s="108"/>
      <c r="AL478" s="108">
        <f t="shared" si="125"/>
        <v>0</v>
      </c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20">
        <f t="shared" si="126"/>
        <v>0</v>
      </c>
      <c r="CL478" s="122">
        <f t="shared" si="127"/>
        <v>0</v>
      </c>
      <c r="CM478" s="524" t="str">
        <f t="shared" si="129"/>
        <v/>
      </c>
      <c r="CN478" s="526">
        <f t="shared" si="130"/>
        <v>0</v>
      </c>
      <c r="CO478" s="122">
        <f t="shared" si="131"/>
        <v>0</v>
      </c>
      <c r="CP478" s="45" t="str">
        <f t="shared" si="128"/>
        <v>1 - in MILLESIMI   I</v>
      </c>
      <c r="CQ478" s="1"/>
    </row>
    <row r="479" spans="1:95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435">
        <f>IF(AND(W479&gt;=$U$1,W479&lt;=$U$2),IF(X479='ESTRATTO CONTO'!$E$2,1+COUNTIF(U$4:U478,"&gt;0"),0),0)</f>
        <v>0</v>
      </c>
      <c r="V479" s="417">
        <f t="shared" si="132"/>
        <v>476</v>
      </c>
      <c r="W479" s="509"/>
      <c r="X479" s="321"/>
      <c r="Y479" s="321"/>
      <c r="Z479" s="433"/>
      <c r="AA479" s="918">
        <f t="shared" si="123"/>
        <v>1</v>
      </c>
      <c r="AB479" s="306" t="str">
        <f t="shared" si="124"/>
        <v/>
      </c>
      <c r="AC479" s="788"/>
      <c r="AD479" s="119">
        <f t="shared" si="133"/>
        <v>0</v>
      </c>
      <c r="AE479" s="108">
        <f t="shared" si="133"/>
        <v>0</v>
      </c>
      <c r="AF479" s="108">
        <f t="shared" si="133"/>
        <v>0</v>
      </c>
      <c r="AG479" s="108"/>
      <c r="AH479" s="108"/>
      <c r="AI479" s="108"/>
      <c r="AJ479" s="108"/>
      <c r="AK479" s="108"/>
      <c r="AL479" s="108">
        <f t="shared" si="125"/>
        <v>0</v>
      </c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20">
        <f t="shared" si="126"/>
        <v>0</v>
      </c>
      <c r="CL479" s="122">
        <f t="shared" si="127"/>
        <v>0</v>
      </c>
      <c r="CM479" s="524" t="str">
        <f t="shared" si="129"/>
        <v/>
      </c>
      <c r="CN479" s="526">
        <f t="shared" si="130"/>
        <v>0</v>
      </c>
      <c r="CO479" s="122">
        <f t="shared" si="131"/>
        <v>0</v>
      </c>
      <c r="CP479" s="45" t="str">
        <f t="shared" si="128"/>
        <v>1 - in MILLESIMI   I</v>
      </c>
      <c r="CQ479" s="1"/>
    </row>
    <row r="480" spans="1:95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435">
        <f>IF(AND(W480&gt;=$U$1,W480&lt;=$U$2),IF(X480='ESTRATTO CONTO'!$E$2,1+COUNTIF(U$4:U479,"&gt;0"),0),0)</f>
        <v>0</v>
      </c>
      <c r="V480" s="417">
        <f t="shared" si="132"/>
        <v>477</v>
      </c>
      <c r="W480" s="509"/>
      <c r="X480" s="321"/>
      <c r="Y480" s="321"/>
      <c r="Z480" s="433"/>
      <c r="AA480" s="918">
        <f t="shared" si="123"/>
        <v>1</v>
      </c>
      <c r="AB480" s="306" t="str">
        <f t="shared" si="124"/>
        <v/>
      </c>
      <c r="AC480" s="788"/>
      <c r="AD480" s="119">
        <f t="shared" si="133"/>
        <v>0</v>
      </c>
      <c r="AE480" s="108">
        <f t="shared" si="133"/>
        <v>0</v>
      </c>
      <c r="AF480" s="108">
        <f t="shared" si="133"/>
        <v>0</v>
      </c>
      <c r="AG480" s="108"/>
      <c r="AH480" s="108"/>
      <c r="AI480" s="108"/>
      <c r="AJ480" s="108"/>
      <c r="AK480" s="108"/>
      <c r="AL480" s="108">
        <f t="shared" si="125"/>
        <v>0</v>
      </c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20">
        <f t="shared" si="126"/>
        <v>0</v>
      </c>
      <c r="CL480" s="122">
        <f t="shared" si="127"/>
        <v>0</v>
      </c>
      <c r="CM480" s="524" t="str">
        <f t="shared" si="129"/>
        <v/>
      </c>
      <c r="CN480" s="526">
        <f t="shared" si="130"/>
        <v>0</v>
      </c>
      <c r="CO480" s="122">
        <f t="shared" si="131"/>
        <v>0</v>
      </c>
      <c r="CP480" s="45" t="str">
        <f t="shared" si="128"/>
        <v>1 - in MILLESIMI   I</v>
      </c>
      <c r="CQ480" s="1"/>
    </row>
    <row r="481" spans="1:95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435">
        <f>IF(AND(W481&gt;=$U$1,W481&lt;=$U$2),IF(X481='ESTRATTO CONTO'!$E$2,1+COUNTIF(U$4:U480,"&gt;0"),0),0)</f>
        <v>0</v>
      </c>
      <c r="V481" s="417">
        <f t="shared" si="132"/>
        <v>478</v>
      </c>
      <c r="W481" s="509"/>
      <c r="X481" s="321"/>
      <c r="Y481" s="321"/>
      <c r="Z481" s="433"/>
      <c r="AA481" s="918">
        <f t="shared" si="123"/>
        <v>1</v>
      </c>
      <c r="AB481" s="306" t="str">
        <f t="shared" si="124"/>
        <v/>
      </c>
      <c r="AC481" s="788"/>
      <c r="AD481" s="119">
        <f t="shared" si="133"/>
        <v>0</v>
      </c>
      <c r="AE481" s="108">
        <f t="shared" si="133"/>
        <v>0</v>
      </c>
      <c r="AF481" s="108">
        <f t="shared" si="133"/>
        <v>0</v>
      </c>
      <c r="AG481" s="108"/>
      <c r="AH481" s="108"/>
      <c r="AI481" s="108"/>
      <c r="AJ481" s="108"/>
      <c r="AK481" s="108"/>
      <c r="AL481" s="108">
        <f t="shared" si="125"/>
        <v>0</v>
      </c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20">
        <f t="shared" si="126"/>
        <v>0</v>
      </c>
      <c r="CL481" s="122">
        <f t="shared" si="127"/>
        <v>0</v>
      </c>
      <c r="CM481" s="524" t="str">
        <f t="shared" si="129"/>
        <v/>
      </c>
      <c r="CN481" s="526">
        <f t="shared" si="130"/>
        <v>0</v>
      </c>
      <c r="CO481" s="122">
        <f t="shared" si="131"/>
        <v>0</v>
      </c>
      <c r="CP481" s="45" t="str">
        <f t="shared" si="128"/>
        <v>1 - in MILLESIMI   I</v>
      </c>
      <c r="CQ481" s="1"/>
    </row>
    <row r="482" spans="1:95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435">
        <f>IF(AND(W482&gt;=$U$1,W482&lt;=$U$2),IF(X482='ESTRATTO CONTO'!$E$2,1+COUNTIF(U$4:U481,"&gt;0"),0),0)</f>
        <v>0</v>
      </c>
      <c r="V482" s="417">
        <f t="shared" si="132"/>
        <v>479</v>
      </c>
      <c r="W482" s="509"/>
      <c r="X482" s="321"/>
      <c r="Y482" s="321"/>
      <c r="Z482" s="433"/>
      <c r="AA482" s="918">
        <f t="shared" si="123"/>
        <v>1</v>
      </c>
      <c r="AB482" s="306" t="str">
        <f t="shared" si="124"/>
        <v/>
      </c>
      <c r="AC482" s="788"/>
      <c r="AD482" s="119">
        <f t="shared" si="133"/>
        <v>0</v>
      </c>
      <c r="AE482" s="108">
        <f t="shared" si="133"/>
        <v>0</v>
      </c>
      <c r="AF482" s="108">
        <f t="shared" si="133"/>
        <v>0</v>
      </c>
      <c r="AG482" s="108"/>
      <c r="AH482" s="108"/>
      <c r="AI482" s="108"/>
      <c r="AJ482" s="108"/>
      <c r="AK482" s="108"/>
      <c r="AL482" s="108">
        <f t="shared" si="125"/>
        <v>0</v>
      </c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20">
        <f t="shared" si="126"/>
        <v>0</v>
      </c>
      <c r="CL482" s="122">
        <f t="shared" si="127"/>
        <v>0</v>
      </c>
      <c r="CM482" s="524" t="str">
        <f t="shared" si="129"/>
        <v/>
      </c>
      <c r="CN482" s="526">
        <f t="shared" si="130"/>
        <v>0</v>
      </c>
      <c r="CO482" s="122">
        <f t="shared" si="131"/>
        <v>0</v>
      </c>
      <c r="CP482" s="45" t="str">
        <f t="shared" si="128"/>
        <v>1 - in MILLESIMI   I</v>
      </c>
      <c r="CQ482" s="1"/>
    </row>
    <row r="483" spans="1:95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435">
        <f>IF(AND(W483&gt;=$U$1,W483&lt;=$U$2),IF(X483='ESTRATTO CONTO'!$E$2,1+COUNTIF(U$4:U482,"&gt;0"),0),0)</f>
        <v>0</v>
      </c>
      <c r="V483" s="417">
        <f t="shared" si="132"/>
        <v>480</v>
      </c>
      <c r="W483" s="509"/>
      <c r="X483" s="321"/>
      <c r="Y483" s="321"/>
      <c r="Z483" s="433"/>
      <c r="AA483" s="918">
        <f t="shared" si="123"/>
        <v>1</v>
      </c>
      <c r="AB483" s="306" t="str">
        <f t="shared" si="124"/>
        <v/>
      </c>
      <c r="AC483" s="788"/>
      <c r="AD483" s="119">
        <f t="shared" si="133"/>
        <v>0</v>
      </c>
      <c r="AE483" s="108">
        <f t="shared" si="133"/>
        <v>0</v>
      </c>
      <c r="AF483" s="108">
        <f t="shared" si="133"/>
        <v>0</v>
      </c>
      <c r="AG483" s="108"/>
      <c r="AH483" s="108"/>
      <c r="AI483" s="108"/>
      <c r="AJ483" s="108"/>
      <c r="AK483" s="108"/>
      <c r="AL483" s="108">
        <f t="shared" si="125"/>
        <v>0</v>
      </c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20">
        <f t="shared" si="126"/>
        <v>0</v>
      </c>
      <c r="CL483" s="122">
        <f t="shared" si="127"/>
        <v>0</v>
      </c>
      <c r="CM483" s="524" t="str">
        <f t="shared" si="129"/>
        <v/>
      </c>
      <c r="CN483" s="526">
        <f t="shared" si="130"/>
        <v>0</v>
      </c>
      <c r="CO483" s="122">
        <f t="shared" si="131"/>
        <v>0</v>
      </c>
      <c r="CP483" s="45" t="str">
        <f t="shared" si="128"/>
        <v>1 - in MILLESIMI   I</v>
      </c>
      <c r="CQ483" s="1"/>
    </row>
    <row r="484" spans="1:95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435">
        <f>IF(AND(W484&gt;=$U$1,W484&lt;=$U$2),IF(X484='ESTRATTO CONTO'!$E$2,1+COUNTIF(U$4:U483,"&gt;0"),0),0)</f>
        <v>0</v>
      </c>
      <c r="V484" s="417">
        <f t="shared" si="132"/>
        <v>481</v>
      </c>
      <c r="W484" s="509"/>
      <c r="X484" s="321"/>
      <c r="Y484" s="321"/>
      <c r="Z484" s="433"/>
      <c r="AA484" s="918">
        <f t="shared" si="123"/>
        <v>1</v>
      </c>
      <c r="AB484" s="306" t="str">
        <f t="shared" si="124"/>
        <v/>
      </c>
      <c r="AC484" s="788"/>
      <c r="AD484" s="119">
        <f t="shared" ref="AD484:AF503" si="134">IF($AB484=0,0,ROUND($Z484*VLOOKUP(AD$2,$F$1010:$Q$1014,VLOOKUP($CP484,$C$1076:$E$1081,3,FALSE),FALSE),2))</f>
        <v>0</v>
      </c>
      <c r="AE484" s="108">
        <f t="shared" si="134"/>
        <v>0</v>
      </c>
      <c r="AF484" s="108">
        <f t="shared" si="134"/>
        <v>0</v>
      </c>
      <c r="AG484" s="108"/>
      <c r="AH484" s="108"/>
      <c r="AI484" s="108"/>
      <c r="AJ484" s="108"/>
      <c r="AK484" s="108"/>
      <c r="AL484" s="108">
        <f t="shared" si="125"/>
        <v>0</v>
      </c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20">
        <f t="shared" si="126"/>
        <v>0</v>
      </c>
      <c r="CL484" s="122">
        <f t="shared" si="127"/>
        <v>0</v>
      </c>
      <c r="CM484" s="524" t="str">
        <f t="shared" si="129"/>
        <v/>
      </c>
      <c r="CN484" s="526">
        <f t="shared" si="130"/>
        <v>0</v>
      </c>
      <c r="CO484" s="122">
        <f t="shared" si="131"/>
        <v>0</v>
      </c>
      <c r="CP484" s="45" t="str">
        <f t="shared" si="128"/>
        <v>1 - in MILLESIMI   I</v>
      </c>
      <c r="CQ484" s="1"/>
    </row>
    <row r="485" spans="1:95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435">
        <f>IF(AND(W485&gt;=$U$1,W485&lt;=$U$2),IF(X485='ESTRATTO CONTO'!$E$2,1+COUNTIF(U$4:U484,"&gt;0"),0),0)</f>
        <v>0</v>
      </c>
      <c r="V485" s="417">
        <f t="shared" si="132"/>
        <v>482</v>
      </c>
      <c r="W485" s="509"/>
      <c r="X485" s="321"/>
      <c r="Y485" s="321"/>
      <c r="Z485" s="433"/>
      <c r="AA485" s="918">
        <f t="shared" si="123"/>
        <v>1</v>
      </c>
      <c r="AB485" s="306" t="str">
        <f t="shared" si="124"/>
        <v/>
      </c>
      <c r="AC485" s="788"/>
      <c r="AD485" s="119">
        <f t="shared" si="134"/>
        <v>0</v>
      </c>
      <c r="AE485" s="108">
        <f t="shared" si="134"/>
        <v>0</v>
      </c>
      <c r="AF485" s="108">
        <f t="shared" si="134"/>
        <v>0</v>
      </c>
      <c r="AG485" s="108"/>
      <c r="AH485" s="108"/>
      <c r="AI485" s="108"/>
      <c r="AJ485" s="108"/>
      <c r="AK485" s="108"/>
      <c r="AL485" s="108">
        <f t="shared" si="125"/>
        <v>0</v>
      </c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20">
        <f t="shared" si="126"/>
        <v>0</v>
      </c>
      <c r="CL485" s="122">
        <f t="shared" si="127"/>
        <v>0</v>
      </c>
      <c r="CM485" s="524" t="str">
        <f t="shared" si="129"/>
        <v/>
      </c>
      <c r="CN485" s="526">
        <f t="shared" si="130"/>
        <v>0</v>
      </c>
      <c r="CO485" s="122">
        <f t="shared" si="131"/>
        <v>0</v>
      </c>
      <c r="CP485" s="45" t="str">
        <f t="shared" si="128"/>
        <v>1 - in MILLESIMI   I</v>
      </c>
      <c r="CQ485" s="1"/>
    </row>
    <row r="486" spans="1:95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435">
        <f>IF(AND(W486&gt;=$U$1,W486&lt;=$U$2),IF(X486='ESTRATTO CONTO'!$E$2,1+COUNTIF(U$4:U485,"&gt;0"),0),0)</f>
        <v>0</v>
      </c>
      <c r="V486" s="417">
        <f t="shared" si="132"/>
        <v>483</v>
      </c>
      <c r="W486" s="509"/>
      <c r="X486" s="321"/>
      <c r="Y486" s="321"/>
      <c r="Z486" s="433"/>
      <c r="AA486" s="918">
        <f t="shared" si="123"/>
        <v>1</v>
      </c>
      <c r="AB486" s="306" t="str">
        <f t="shared" si="124"/>
        <v/>
      </c>
      <c r="AC486" s="788"/>
      <c r="AD486" s="119">
        <f t="shared" si="134"/>
        <v>0</v>
      </c>
      <c r="AE486" s="108">
        <f t="shared" si="134"/>
        <v>0</v>
      </c>
      <c r="AF486" s="108">
        <f t="shared" si="134"/>
        <v>0</v>
      </c>
      <c r="AG486" s="108"/>
      <c r="AH486" s="108"/>
      <c r="AI486" s="108"/>
      <c r="AJ486" s="108"/>
      <c r="AK486" s="108"/>
      <c r="AL486" s="108">
        <f t="shared" si="125"/>
        <v>0</v>
      </c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20">
        <f t="shared" si="126"/>
        <v>0</v>
      </c>
      <c r="CL486" s="122">
        <f t="shared" si="127"/>
        <v>0</v>
      </c>
      <c r="CM486" s="524" t="str">
        <f t="shared" si="129"/>
        <v/>
      </c>
      <c r="CN486" s="526">
        <f t="shared" si="130"/>
        <v>0</v>
      </c>
      <c r="CO486" s="122">
        <f t="shared" si="131"/>
        <v>0</v>
      </c>
      <c r="CP486" s="45" t="str">
        <f t="shared" si="128"/>
        <v>1 - in MILLESIMI   I</v>
      </c>
      <c r="CQ486" s="1"/>
    </row>
    <row r="487" spans="1:95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435">
        <f>IF(AND(W487&gt;=$U$1,W487&lt;=$U$2),IF(X487='ESTRATTO CONTO'!$E$2,1+COUNTIF(U$4:U486,"&gt;0"),0),0)</f>
        <v>0</v>
      </c>
      <c r="V487" s="417">
        <f t="shared" si="132"/>
        <v>484</v>
      </c>
      <c r="W487" s="509"/>
      <c r="X487" s="321"/>
      <c r="Y487" s="321"/>
      <c r="Z487" s="433"/>
      <c r="AA487" s="918">
        <f t="shared" si="123"/>
        <v>1</v>
      </c>
      <c r="AB487" s="306" t="str">
        <f t="shared" si="124"/>
        <v/>
      </c>
      <c r="AC487" s="788"/>
      <c r="AD487" s="119">
        <f t="shared" si="134"/>
        <v>0</v>
      </c>
      <c r="AE487" s="108">
        <f t="shared" si="134"/>
        <v>0</v>
      </c>
      <c r="AF487" s="108">
        <f t="shared" si="134"/>
        <v>0</v>
      </c>
      <c r="AG487" s="108"/>
      <c r="AH487" s="108"/>
      <c r="AI487" s="108"/>
      <c r="AJ487" s="108"/>
      <c r="AK487" s="108"/>
      <c r="AL487" s="108">
        <f t="shared" si="125"/>
        <v>0</v>
      </c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20">
        <f t="shared" si="126"/>
        <v>0</v>
      </c>
      <c r="CL487" s="122">
        <f t="shared" si="127"/>
        <v>0</v>
      </c>
      <c r="CM487" s="524" t="str">
        <f t="shared" si="129"/>
        <v/>
      </c>
      <c r="CN487" s="526">
        <f t="shared" si="130"/>
        <v>0</v>
      </c>
      <c r="CO487" s="122">
        <f t="shared" si="131"/>
        <v>0</v>
      </c>
      <c r="CP487" s="45" t="str">
        <f t="shared" si="128"/>
        <v>1 - in MILLESIMI   I</v>
      </c>
      <c r="CQ487" s="1"/>
    </row>
    <row r="488" spans="1:95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435">
        <f>IF(AND(W488&gt;=$U$1,W488&lt;=$U$2),IF(X488='ESTRATTO CONTO'!$E$2,1+COUNTIF(U$4:U487,"&gt;0"),0),0)</f>
        <v>0</v>
      </c>
      <c r="V488" s="417">
        <f t="shared" si="132"/>
        <v>485</v>
      </c>
      <c r="W488" s="509"/>
      <c r="X488" s="321"/>
      <c r="Y488" s="321"/>
      <c r="Z488" s="433"/>
      <c r="AA488" s="918">
        <f t="shared" si="123"/>
        <v>1</v>
      </c>
      <c r="AB488" s="306" t="str">
        <f t="shared" si="124"/>
        <v/>
      </c>
      <c r="AC488" s="788"/>
      <c r="AD488" s="119">
        <f t="shared" si="134"/>
        <v>0</v>
      </c>
      <c r="AE488" s="108">
        <f t="shared" si="134"/>
        <v>0</v>
      </c>
      <c r="AF488" s="108">
        <f t="shared" si="134"/>
        <v>0</v>
      </c>
      <c r="AG488" s="108"/>
      <c r="AH488" s="108"/>
      <c r="AI488" s="108"/>
      <c r="AJ488" s="108"/>
      <c r="AK488" s="108"/>
      <c r="AL488" s="108">
        <f t="shared" si="125"/>
        <v>0</v>
      </c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20">
        <f t="shared" si="126"/>
        <v>0</v>
      </c>
      <c r="CL488" s="122">
        <f t="shared" si="127"/>
        <v>0</v>
      </c>
      <c r="CM488" s="524" t="str">
        <f t="shared" si="129"/>
        <v/>
      </c>
      <c r="CN488" s="526">
        <f t="shared" si="130"/>
        <v>0</v>
      </c>
      <c r="CO488" s="122">
        <f t="shared" si="131"/>
        <v>0</v>
      </c>
      <c r="CP488" s="45" t="str">
        <f t="shared" si="128"/>
        <v>1 - in MILLESIMI   I</v>
      </c>
      <c r="CQ488" s="1"/>
    </row>
    <row r="489" spans="1:95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435">
        <f>IF(AND(W489&gt;=$U$1,W489&lt;=$U$2),IF(X489='ESTRATTO CONTO'!$E$2,1+COUNTIF(U$4:U488,"&gt;0"),0),0)</f>
        <v>0</v>
      </c>
      <c r="V489" s="417">
        <f t="shared" si="132"/>
        <v>486</v>
      </c>
      <c r="W489" s="509"/>
      <c r="X489" s="321"/>
      <c r="Y489" s="321"/>
      <c r="Z489" s="433"/>
      <c r="AA489" s="918">
        <f t="shared" si="123"/>
        <v>1</v>
      </c>
      <c r="AB489" s="306" t="str">
        <f t="shared" si="124"/>
        <v/>
      </c>
      <c r="AC489" s="788"/>
      <c r="AD489" s="119">
        <f t="shared" si="134"/>
        <v>0</v>
      </c>
      <c r="AE489" s="108">
        <f t="shared" si="134"/>
        <v>0</v>
      </c>
      <c r="AF489" s="108">
        <f t="shared" si="134"/>
        <v>0</v>
      </c>
      <c r="AG489" s="108"/>
      <c r="AH489" s="108"/>
      <c r="AI489" s="108"/>
      <c r="AJ489" s="108"/>
      <c r="AK489" s="108"/>
      <c r="AL489" s="108">
        <f t="shared" si="125"/>
        <v>0</v>
      </c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20">
        <f t="shared" si="126"/>
        <v>0</v>
      </c>
      <c r="CL489" s="122">
        <f t="shared" si="127"/>
        <v>0</v>
      </c>
      <c r="CM489" s="524" t="str">
        <f t="shared" si="129"/>
        <v/>
      </c>
      <c r="CN489" s="526">
        <f t="shared" si="130"/>
        <v>0</v>
      </c>
      <c r="CO489" s="122">
        <f t="shared" si="131"/>
        <v>0</v>
      </c>
      <c r="CP489" s="45" t="str">
        <f t="shared" si="128"/>
        <v>1 - in MILLESIMI   I</v>
      </c>
      <c r="CQ489" s="1"/>
    </row>
    <row r="490" spans="1:95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435">
        <f>IF(AND(W490&gt;=$U$1,W490&lt;=$U$2),IF(X490='ESTRATTO CONTO'!$E$2,1+COUNTIF(U$4:U489,"&gt;0"),0),0)</f>
        <v>0</v>
      </c>
      <c r="V490" s="417">
        <f t="shared" si="132"/>
        <v>487</v>
      </c>
      <c r="W490" s="509"/>
      <c r="X490" s="321"/>
      <c r="Y490" s="321"/>
      <c r="Z490" s="433"/>
      <c r="AA490" s="918">
        <f t="shared" si="123"/>
        <v>1</v>
      </c>
      <c r="AB490" s="306" t="str">
        <f t="shared" si="124"/>
        <v/>
      </c>
      <c r="AC490" s="788"/>
      <c r="AD490" s="119">
        <f t="shared" si="134"/>
        <v>0</v>
      </c>
      <c r="AE490" s="108">
        <f t="shared" si="134"/>
        <v>0</v>
      </c>
      <c r="AF490" s="108">
        <f t="shared" si="134"/>
        <v>0</v>
      </c>
      <c r="AG490" s="108"/>
      <c r="AH490" s="108"/>
      <c r="AI490" s="108"/>
      <c r="AJ490" s="108"/>
      <c r="AK490" s="108"/>
      <c r="AL490" s="108">
        <f t="shared" si="125"/>
        <v>0</v>
      </c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20">
        <f t="shared" si="126"/>
        <v>0</v>
      </c>
      <c r="CL490" s="122">
        <f t="shared" si="127"/>
        <v>0</v>
      </c>
      <c r="CM490" s="524" t="str">
        <f t="shared" si="129"/>
        <v/>
      </c>
      <c r="CN490" s="526">
        <f t="shared" si="130"/>
        <v>0</v>
      </c>
      <c r="CO490" s="122">
        <f t="shared" si="131"/>
        <v>0</v>
      </c>
      <c r="CP490" s="45" t="str">
        <f t="shared" si="128"/>
        <v>1 - in MILLESIMI   I</v>
      </c>
      <c r="CQ490" s="1"/>
    </row>
    <row r="491" spans="1:95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435">
        <f>IF(AND(W491&gt;=$U$1,W491&lt;=$U$2),IF(X491='ESTRATTO CONTO'!$E$2,1+COUNTIF(U$4:U490,"&gt;0"),0),0)</f>
        <v>0</v>
      </c>
      <c r="V491" s="417">
        <f t="shared" si="132"/>
        <v>488</v>
      </c>
      <c r="W491" s="509"/>
      <c r="X491" s="321"/>
      <c r="Y491" s="321"/>
      <c r="Z491" s="433"/>
      <c r="AA491" s="918">
        <f t="shared" si="123"/>
        <v>1</v>
      </c>
      <c r="AB491" s="306" t="str">
        <f t="shared" si="124"/>
        <v/>
      </c>
      <c r="AC491" s="788"/>
      <c r="AD491" s="119">
        <f t="shared" si="134"/>
        <v>0</v>
      </c>
      <c r="AE491" s="108">
        <f t="shared" si="134"/>
        <v>0</v>
      </c>
      <c r="AF491" s="108">
        <f t="shared" si="134"/>
        <v>0</v>
      </c>
      <c r="AG491" s="108"/>
      <c r="AH491" s="108"/>
      <c r="AI491" s="108"/>
      <c r="AJ491" s="108"/>
      <c r="AK491" s="108"/>
      <c r="AL491" s="108">
        <f t="shared" si="125"/>
        <v>0</v>
      </c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20">
        <f t="shared" si="126"/>
        <v>0</v>
      </c>
      <c r="CL491" s="122">
        <f t="shared" si="127"/>
        <v>0</v>
      </c>
      <c r="CM491" s="524" t="str">
        <f t="shared" si="129"/>
        <v/>
      </c>
      <c r="CN491" s="526">
        <f t="shared" si="130"/>
        <v>0</v>
      </c>
      <c r="CO491" s="122">
        <f t="shared" si="131"/>
        <v>0</v>
      </c>
      <c r="CP491" s="45" t="str">
        <f t="shared" si="128"/>
        <v>1 - in MILLESIMI   I</v>
      </c>
      <c r="CQ491" s="1"/>
    </row>
    <row r="492" spans="1:95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435">
        <f>IF(AND(W492&gt;=$U$1,W492&lt;=$U$2),IF(X492='ESTRATTO CONTO'!$E$2,1+COUNTIF(U$4:U491,"&gt;0"),0),0)</f>
        <v>0</v>
      </c>
      <c r="V492" s="417">
        <f t="shared" si="132"/>
        <v>489</v>
      </c>
      <c r="W492" s="509"/>
      <c r="X492" s="321"/>
      <c r="Y492" s="321"/>
      <c r="Z492" s="433"/>
      <c r="AA492" s="918">
        <f t="shared" si="123"/>
        <v>1</v>
      </c>
      <c r="AB492" s="306" t="str">
        <f t="shared" si="124"/>
        <v/>
      </c>
      <c r="AC492" s="788"/>
      <c r="AD492" s="119">
        <f t="shared" si="134"/>
        <v>0</v>
      </c>
      <c r="AE492" s="108">
        <f t="shared" si="134"/>
        <v>0</v>
      </c>
      <c r="AF492" s="108">
        <f t="shared" si="134"/>
        <v>0</v>
      </c>
      <c r="AG492" s="108"/>
      <c r="AH492" s="108"/>
      <c r="AI492" s="108"/>
      <c r="AJ492" s="108"/>
      <c r="AK492" s="108"/>
      <c r="AL492" s="108">
        <f t="shared" si="125"/>
        <v>0</v>
      </c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20">
        <f t="shared" si="126"/>
        <v>0</v>
      </c>
      <c r="CL492" s="122">
        <f t="shared" si="127"/>
        <v>0</v>
      </c>
      <c r="CM492" s="524" t="str">
        <f t="shared" si="129"/>
        <v/>
      </c>
      <c r="CN492" s="526">
        <f t="shared" si="130"/>
        <v>0</v>
      </c>
      <c r="CO492" s="122">
        <f t="shared" si="131"/>
        <v>0</v>
      </c>
      <c r="CP492" s="45" t="str">
        <f t="shared" si="128"/>
        <v>1 - in MILLESIMI   I</v>
      </c>
      <c r="CQ492" s="1"/>
    </row>
    <row r="493" spans="1:95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435">
        <f>IF(AND(W493&gt;=$U$1,W493&lt;=$U$2),IF(X493='ESTRATTO CONTO'!$E$2,1+COUNTIF(U$4:U492,"&gt;0"),0),0)</f>
        <v>0</v>
      </c>
      <c r="V493" s="417">
        <f t="shared" si="132"/>
        <v>490</v>
      </c>
      <c r="W493" s="509"/>
      <c r="X493" s="321"/>
      <c r="Y493" s="321"/>
      <c r="Z493" s="433"/>
      <c r="AA493" s="918">
        <f t="shared" si="123"/>
        <v>1</v>
      </c>
      <c r="AB493" s="306" t="str">
        <f t="shared" si="124"/>
        <v/>
      </c>
      <c r="AC493" s="788"/>
      <c r="AD493" s="119">
        <f t="shared" si="134"/>
        <v>0</v>
      </c>
      <c r="AE493" s="108">
        <f t="shared" si="134"/>
        <v>0</v>
      </c>
      <c r="AF493" s="108">
        <f t="shared" si="134"/>
        <v>0</v>
      </c>
      <c r="AG493" s="108"/>
      <c r="AH493" s="108"/>
      <c r="AI493" s="108"/>
      <c r="AJ493" s="108"/>
      <c r="AK493" s="108"/>
      <c r="AL493" s="108">
        <f t="shared" si="125"/>
        <v>0</v>
      </c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20">
        <f t="shared" si="126"/>
        <v>0</v>
      </c>
      <c r="CL493" s="122">
        <f t="shared" si="127"/>
        <v>0</v>
      </c>
      <c r="CM493" s="524" t="str">
        <f t="shared" si="129"/>
        <v/>
      </c>
      <c r="CN493" s="526">
        <f t="shared" si="130"/>
        <v>0</v>
      </c>
      <c r="CO493" s="122">
        <f t="shared" si="131"/>
        <v>0</v>
      </c>
      <c r="CP493" s="45" t="str">
        <f t="shared" si="128"/>
        <v>1 - in MILLESIMI   I</v>
      </c>
      <c r="CQ493" s="1"/>
    </row>
    <row r="494" spans="1:95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435">
        <f>IF(AND(W494&gt;=$U$1,W494&lt;=$U$2),IF(X494='ESTRATTO CONTO'!$E$2,1+COUNTIF(U$4:U493,"&gt;0"),0),0)</f>
        <v>0</v>
      </c>
      <c r="V494" s="417">
        <f t="shared" si="132"/>
        <v>491</v>
      </c>
      <c r="W494" s="509"/>
      <c r="X494" s="321"/>
      <c r="Y494" s="321"/>
      <c r="Z494" s="433"/>
      <c r="AA494" s="918">
        <f t="shared" si="123"/>
        <v>1</v>
      </c>
      <c r="AB494" s="306" t="str">
        <f t="shared" si="124"/>
        <v/>
      </c>
      <c r="AC494" s="788"/>
      <c r="AD494" s="119">
        <f t="shared" si="134"/>
        <v>0</v>
      </c>
      <c r="AE494" s="108">
        <f t="shared" si="134"/>
        <v>0</v>
      </c>
      <c r="AF494" s="108">
        <f t="shared" si="134"/>
        <v>0</v>
      </c>
      <c r="AG494" s="108"/>
      <c r="AH494" s="108"/>
      <c r="AI494" s="108"/>
      <c r="AJ494" s="108"/>
      <c r="AK494" s="108"/>
      <c r="AL494" s="108">
        <f t="shared" si="125"/>
        <v>0</v>
      </c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20">
        <f t="shared" si="126"/>
        <v>0</v>
      </c>
      <c r="CL494" s="122">
        <f t="shared" si="127"/>
        <v>0</v>
      </c>
      <c r="CM494" s="524" t="str">
        <f t="shared" si="129"/>
        <v/>
      </c>
      <c r="CN494" s="526">
        <f t="shared" si="130"/>
        <v>0</v>
      </c>
      <c r="CO494" s="122">
        <f t="shared" si="131"/>
        <v>0</v>
      </c>
      <c r="CP494" s="45" t="str">
        <f t="shared" si="128"/>
        <v>1 - in MILLESIMI   I</v>
      </c>
      <c r="CQ494" s="1"/>
    </row>
    <row r="495" spans="1:95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435">
        <f>IF(AND(W495&gt;=$U$1,W495&lt;=$U$2),IF(X495='ESTRATTO CONTO'!$E$2,1+COUNTIF(U$4:U494,"&gt;0"),0),0)</f>
        <v>0</v>
      </c>
      <c r="V495" s="417">
        <f t="shared" si="132"/>
        <v>492</v>
      </c>
      <c r="W495" s="509"/>
      <c r="X495" s="321"/>
      <c r="Y495" s="321"/>
      <c r="Z495" s="433"/>
      <c r="AA495" s="918">
        <f t="shared" si="123"/>
        <v>1</v>
      </c>
      <c r="AB495" s="306" t="str">
        <f t="shared" si="124"/>
        <v/>
      </c>
      <c r="AC495" s="788"/>
      <c r="AD495" s="119">
        <f t="shared" si="134"/>
        <v>0</v>
      </c>
      <c r="AE495" s="108">
        <f t="shared" si="134"/>
        <v>0</v>
      </c>
      <c r="AF495" s="108">
        <f t="shared" si="134"/>
        <v>0</v>
      </c>
      <c r="AG495" s="108"/>
      <c r="AH495" s="108"/>
      <c r="AI495" s="108"/>
      <c r="AJ495" s="108"/>
      <c r="AK495" s="108"/>
      <c r="AL495" s="108">
        <f t="shared" si="125"/>
        <v>0</v>
      </c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20">
        <f t="shared" si="126"/>
        <v>0</v>
      </c>
      <c r="CL495" s="122">
        <f t="shared" si="127"/>
        <v>0</v>
      </c>
      <c r="CM495" s="524" t="str">
        <f t="shared" si="129"/>
        <v/>
      </c>
      <c r="CN495" s="526">
        <f t="shared" si="130"/>
        <v>0</v>
      </c>
      <c r="CO495" s="122">
        <f t="shared" si="131"/>
        <v>0</v>
      </c>
      <c r="CP495" s="45" t="str">
        <f t="shared" si="128"/>
        <v>1 - in MILLESIMI   I</v>
      </c>
      <c r="CQ495" s="1"/>
    </row>
    <row r="496" spans="1:95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435">
        <f>IF(AND(W496&gt;=$U$1,W496&lt;=$U$2),IF(X496='ESTRATTO CONTO'!$E$2,1+COUNTIF(U$4:U495,"&gt;0"),0),0)</f>
        <v>0</v>
      </c>
      <c r="V496" s="417">
        <f t="shared" si="132"/>
        <v>493</v>
      </c>
      <c r="W496" s="509"/>
      <c r="X496" s="321"/>
      <c r="Y496" s="321"/>
      <c r="Z496" s="433"/>
      <c r="AA496" s="918">
        <f t="shared" si="123"/>
        <v>1</v>
      </c>
      <c r="AB496" s="306" t="str">
        <f t="shared" si="124"/>
        <v/>
      </c>
      <c r="AC496" s="788"/>
      <c r="AD496" s="119">
        <f t="shared" si="134"/>
        <v>0</v>
      </c>
      <c r="AE496" s="108">
        <f t="shared" si="134"/>
        <v>0</v>
      </c>
      <c r="AF496" s="108">
        <f t="shared" si="134"/>
        <v>0</v>
      </c>
      <c r="AG496" s="108"/>
      <c r="AH496" s="108"/>
      <c r="AI496" s="108"/>
      <c r="AJ496" s="108"/>
      <c r="AK496" s="108"/>
      <c r="AL496" s="108">
        <f t="shared" si="125"/>
        <v>0</v>
      </c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20">
        <f t="shared" si="126"/>
        <v>0</v>
      </c>
      <c r="CL496" s="122">
        <f t="shared" si="127"/>
        <v>0</v>
      </c>
      <c r="CM496" s="524" t="str">
        <f t="shared" si="129"/>
        <v/>
      </c>
      <c r="CN496" s="526">
        <f t="shared" si="130"/>
        <v>0</v>
      </c>
      <c r="CO496" s="122">
        <f t="shared" si="131"/>
        <v>0</v>
      </c>
      <c r="CP496" s="45" t="str">
        <f t="shared" si="128"/>
        <v>1 - in MILLESIMI   I</v>
      </c>
      <c r="CQ496" s="1"/>
    </row>
    <row r="497" spans="1:95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435">
        <f>IF(AND(W497&gt;=$U$1,W497&lt;=$U$2),IF(X497='ESTRATTO CONTO'!$E$2,1+COUNTIF(U$4:U496,"&gt;0"),0),0)</f>
        <v>0</v>
      </c>
      <c r="V497" s="417">
        <f t="shared" si="132"/>
        <v>494</v>
      </c>
      <c r="W497" s="509"/>
      <c r="X497" s="321"/>
      <c r="Y497" s="321"/>
      <c r="Z497" s="433"/>
      <c r="AA497" s="918">
        <f t="shared" si="123"/>
        <v>1</v>
      </c>
      <c r="AB497" s="306" t="str">
        <f t="shared" si="124"/>
        <v/>
      </c>
      <c r="AC497" s="788"/>
      <c r="AD497" s="119">
        <f t="shared" si="134"/>
        <v>0</v>
      </c>
      <c r="AE497" s="108">
        <f t="shared" si="134"/>
        <v>0</v>
      </c>
      <c r="AF497" s="108">
        <f t="shared" si="134"/>
        <v>0</v>
      </c>
      <c r="AG497" s="108"/>
      <c r="AH497" s="108"/>
      <c r="AI497" s="108"/>
      <c r="AJ497" s="108"/>
      <c r="AK497" s="108"/>
      <c r="AL497" s="108">
        <f t="shared" si="125"/>
        <v>0</v>
      </c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20">
        <f t="shared" si="126"/>
        <v>0</v>
      </c>
      <c r="CL497" s="122">
        <f t="shared" si="127"/>
        <v>0</v>
      </c>
      <c r="CM497" s="524" t="str">
        <f t="shared" si="129"/>
        <v/>
      </c>
      <c r="CN497" s="526">
        <f t="shared" si="130"/>
        <v>0</v>
      </c>
      <c r="CO497" s="122">
        <f t="shared" si="131"/>
        <v>0</v>
      </c>
      <c r="CP497" s="45" t="str">
        <f t="shared" si="128"/>
        <v>1 - in MILLESIMI   I</v>
      </c>
      <c r="CQ497" s="1"/>
    </row>
    <row r="498" spans="1:95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435">
        <f>IF(AND(W498&gt;=$U$1,W498&lt;=$U$2),IF(X498='ESTRATTO CONTO'!$E$2,1+COUNTIF(U$4:U497,"&gt;0"),0),0)</f>
        <v>0</v>
      </c>
      <c r="V498" s="417">
        <f t="shared" si="132"/>
        <v>495</v>
      </c>
      <c r="W498" s="509"/>
      <c r="X498" s="321"/>
      <c r="Y498" s="321"/>
      <c r="Z498" s="433"/>
      <c r="AA498" s="918">
        <f t="shared" si="123"/>
        <v>1</v>
      </c>
      <c r="AB498" s="306" t="str">
        <f t="shared" si="124"/>
        <v/>
      </c>
      <c r="AC498" s="788"/>
      <c r="AD498" s="119">
        <f t="shared" si="134"/>
        <v>0</v>
      </c>
      <c r="AE498" s="108">
        <f t="shared" si="134"/>
        <v>0</v>
      </c>
      <c r="AF498" s="108">
        <f t="shared" si="134"/>
        <v>0</v>
      </c>
      <c r="AG498" s="108"/>
      <c r="AH498" s="108"/>
      <c r="AI498" s="108"/>
      <c r="AJ498" s="108"/>
      <c r="AK498" s="108"/>
      <c r="AL498" s="108">
        <f t="shared" si="125"/>
        <v>0</v>
      </c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20">
        <f t="shared" si="126"/>
        <v>0</v>
      </c>
      <c r="CL498" s="122">
        <f t="shared" si="127"/>
        <v>0</v>
      </c>
      <c r="CM498" s="524" t="str">
        <f t="shared" si="129"/>
        <v/>
      </c>
      <c r="CN498" s="526">
        <f t="shared" si="130"/>
        <v>0</v>
      </c>
      <c r="CO498" s="122">
        <f t="shared" si="131"/>
        <v>0</v>
      </c>
      <c r="CP498" s="45" t="str">
        <f t="shared" si="128"/>
        <v>1 - in MILLESIMI   I</v>
      </c>
      <c r="CQ498" s="1"/>
    </row>
    <row r="499" spans="1:95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435">
        <f>IF(AND(W499&gt;=$U$1,W499&lt;=$U$2),IF(X499='ESTRATTO CONTO'!$E$2,1+COUNTIF(U$4:U498,"&gt;0"),0),0)</f>
        <v>0</v>
      </c>
      <c r="V499" s="417">
        <f t="shared" si="132"/>
        <v>496</v>
      </c>
      <c r="W499" s="509"/>
      <c r="X499" s="321"/>
      <c r="Y499" s="321"/>
      <c r="Z499" s="433"/>
      <c r="AA499" s="918">
        <f t="shared" si="123"/>
        <v>1</v>
      </c>
      <c r="AB499" s="306" t="str">
        <f t="shared" si="124"/>
        <v/>
      </c>
      <c r="AC499" s="788"/>
      <c r="AD499" s="119">
        <f t="shared" si="134"/>
        <v>0</v>
      </c>
      <c r="AE499" s="108">
        <f t="shared" si="134"/>
        <v>0</v>
      </c>
      <c r="AF499" s="108">
        <f t="shared" si="134"/>
        <v>0</v>
      </c>
      <c r="AG499" s="108"/>
      <c r="AH499" s="108"/>
      <c r="AI499" s="108"/>
      <c r="AJ499" s="108"/>
      <c r="AK499" s="108"/>
      <c r="AL499" s="108">
        <f t="shared" si="125"/>
        <v>0</v>
      </c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20">
        <f t="shared" si="126"/>
        <v>0</v>
      </c>
      <c r="CL499" s="122">
        <f t="shared" si="127"/>
        <v>0</v>
      </c>
      <c r="CM499" s="524" t="str">
        <f t="shared" si="129"/>
        <v/>
      </c>
      <c r="CN499" s="526">
        <f t="shared" si="130"/>
        <v>0</v>
      </c>
      <c r="CO499" s="122">
        <f t="shared" si="131"/>
        <v>0</v>
      </c>
      <c r="CP499" s="45" t="str">
        <f t="shared" si="128"/>
        <v>1 - in MILLESIMI   I</v>
      </c>
      <c r="CQ499" s="1"/>
    </row>
    <row r="500" spans="1:95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435">
        <f>IF(AND(W500&gt;=$U$1,W500&lt;=$U$2),IF(X500='ESTRATTO CONTO'!$E$2,1+COUNTIF(U$4:U499,"&gt;0"),0),0)</f>
        <v>0</v>
      </c>
      <c r="V500" s="417">
        <f t="shared" si="132"/>
        <v>497</v>
      </c>
      <c r="W500" s="509"/>
      <c r="X500" s="321"/>
      <c r="Y500" s="321"/>
      <c r="Z500" s="433"/>
      <c r="AA500" s="918">
        <f t="shared" si="123"/>
        <v>1</v>
      </c>
      <c r="AB500" s="306" t="str">
        <f t="shared" si="124"/>
        <v/>
      </c>
      <c r="AC500" s="788"/>
      <c r="AD500" s="119">
        <f t="shared" si="134"/>
        <v>0</v>
      </c>
      <c r="AE500" s="108">
        <f t="shared" si="134"/>
        <v>0</v>
      </c>
      <c r="AF500" s="108">
        <f t="shared" si="134"/>
        <v>0</v>
      </c>
      <c r="AG500" s="108"/>
      <c r="AH500" s="108"/>
      <c r="AI500" s="108"/>
      <c r="AJ500" s="108"/>
      <c r="AK500" s="108"/>
      <c r="AL500" s="108">
        <f t="shared" si="125"/>
        <v>0</v>
      </c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20">
        <f t="shared" si="126"/>
        <v>0</v>
      </c>
      <c r="CL500" s="122">
        <f t="shared" si="127"/>
        <v>0</v>
      </c>
      <c r="CM500" s="524" t="str">
        <f t="shared" si="129"/>
        <v/>
      </c>
      <c r="CN500" s="526">
        <f t="shared" si="130"/>
        <v>0</v>
      </c>
      <c r="CO500" s="122">
        <f t="shared" si="131"/>
        <v>0</v>
      </c>
      <c r="CP500" s="45" t="str">
        <f t="shared" si="128"/>
        <v>1 - in MILLESIMI   I</v>
      </c>
      <c r="CQ500" s="1"/>
    </row>
    <row r="501" spans="1:95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435">
        <f>IF(AND(W501&gt;=$U$1,W501&lt;=$U$2),IF(X501='ESTRATTO CONTO'!$E$2,1+COUNTIF(U$4:U500,"&gt;0"),0),0)</f>
        <v>0</v>
      </c>
      <c r="V501" s="417">
        <f t="shared" si="132"/>
        <v>498</v>
      </c>
      <c r="W501" s="509"/>
      <c r="X501" s="321"/>
      <c r="Y501" s="321"/>
      <c r="Z501" s="433"/>
      <c r="AA501" s="918">
        <f t="shared" si="123"/>
        <v>1</v>
      </c>
      <c r="AB501" s="306" t="str">
        <f t="shared" si="124"/>
        <v/>
      </c>
      <c r="AC501" s="788"/>
      <c r="AD501" s="119">
        <f t="shared" si="134"/>
        <v>0</v>
      </c>
      <c r="AE501" s="108">
        <f t="shared" si="134"/>
        <v>0</v>
      </c>
      <c r="AF501" s="108">
        <f t="shared" si="134"/>
        <v>0</v>
      </c>
      <c r="AG501" s="108"/>
      <c r="AH501" s="108"/>
      <c r="AI501" s="108"/>
      <c r="AJ501" s="108"/>
      <c r="AK501" s="108"/>
      <c r="AL501" s="108">
        <f t="shared" si="125"/>
        <v>0</v>
      </c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20">
        <f t="shared" si="126"/>
        <v>0</v>
      </c>
      <c r="CL501" s="122">
        <f t="shared" si="127"/>
        <v>0</v>
      </c>
      <c r="CM501" s="524" t="str">
        <f t="shared" si="129"/>
        <v/>
      </c>
      <c r="CN501" s="526">
        <f t="shared" si="130"/>
        <v>0</v>
      </c>
      <c r="CO501" s="122">
        <f t="shared" si="131"/>
        <v>0</v>
      </c>
      <c r="CP501" s="45" t="str">
        <f t="shared" si="128"/>
        <v>1 - in MILLESIMI   I</v>
      </c>
      <c r="CQ501" s="1"/>
    </row>
    <row r="502" spans="1:95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435">
        <f>IF(AND(W502&gt;=$U$1,W502&lt;=$U$2),IF(X502='ESTRATTO CONTO'!$E$2,1+COUNTIF(U$4:U501,"&gt;0"),0),0)</f>
        <v>0</v>
      </c>
      <c r="V502" s="417">
        <f t="shared" si="132"/>
        <v>499</v>
      </c>
      <c r="W502" s="509"/>
      <c r="X502" s="321"/>
      <c r="Y502" s="321"/>
      <c r="Z502" s="433"/>
      <c r="AA502" s="918">
        <f t="shared" si="123"/>
        <v>1</v>
      </c>
      <c r="AB502" s="306" t="str">
        <f t="shared" si="124"/>
        <v/>
      </c>
      <c r="AC502" s="788"/>
      <c r="AD502" s="119">
        <f t="shared" si="134"/>
        <v>0</v>
      </c>
      <c r="AE502" s="108">
        <f t="shared" si="134"/>
        <v>0</v>
      </c>
      <c r="AF502" s="108">
        <f t="shared" si="134"/>
        <v>0</v>
      </c>
      <c r="AG502" s="108"/>
      <c r="AH502" s="108"/>
      <c r="AI502" s="108"/>
      <c r="AJ502" s="108"/>
      <c r="AK502" s="108"/>
      <c r="AL502" s="108">
        <f t="shared" si="125"/>
        <v>0</v>
      </c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20">
        <f t="shared" si="126"/>
        <v>0</v>
      </c>
      <c r="CL502" s="122">
        <f t="shared" si="127"/>
        <v>0</v>
      </c>
      <c r="CM502" s="524" t="str">
        <f t="shared" si="129"/>
        <v/>
      </c>
      <c r="CN502" s="526">
        <f t="shared" si="130"/>
        <v>0</v>
      </c>
      <c r="CO502" s="122">
        <f t="shared" si="131"/>
        <v>0</v>
      </c>
      <c r="CP502" s="45" t="str">
        <f t="shared" si="128"/>
        <v>1 - in MILLESIMI   I</v>
      </c>
      <c r="CQ502" s="1"/>
    </row>
    <row r="503" spans="1:95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435">
        <f>IF(AND(W503&gt;=$U$1,W503&lt;=$U$2),IF(X503='ESTRATTO CONTO'!$E$2,1+COUNTIF(U$4:U502,"&gt;0"),0),0)</f>
        <v>0</v>
      </c>
      <c r="V503" s="417">
        <f t="shared" si="132"/>
        <v>500</v>
      </c>
      <c r="W503" s="509"/>
      <c r="X503" s="321"/>
      <c r="Y503" s="321"/>
      <c r="Z503" s="433"/>
      <c r="AA503" s="918">
        <f t="shared" si="123"/>
        <v>1</v>
      </c>
      <c r="AB503" s="306" t="str">
        <f t="shared" si="124"/>
        <v/>
      </c>
      <c r="AC503" s="788"/>
      <c r="AD503" s="119">
        <f t="shared" si="134"/>
        <v>0</v>
      </c>
      <c r="AE503" s="108">
        <f t="shared" si="134"/>
        <v>0</v>
      </c>
      <c r="AF503" s="108">
        <f t="shared" si="134"/>
        <v>0</v>
      </c>
      <c r="AG503" s="108"/>
      <c r="AH503" s="108"/>
      <c r="AI503" s="108"/>
      <c r="AJ503" s="108"/>
      <c r="AK503" s="108"/>
      <c r="AL503" s="108">
        <f t="shared" si="125"/>
        <v>0</v>
      </c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20">
        <f t="shared" si="126"/>
        <v>0</v>
      </c>
      <c r="CL503" s="122">
        <f t="shared" si="127"/>
        <v>0</v>
      </c>
      <c r="CM503" s="524" t="str">
        <f t="shared" si="129"/>
        <v/>
      </c>
      <c r="CN503" s="526">
        <f t="shared" si="130"/>
        <v>0</v>
      </c>
      <c r="CO503" s="122">
        <f t="shared" si="131"/>
        <v>0</v>
      </c>
      <c r="CP503" s="45" t="str">
        <f t="shared" si="128"/>
        <v>1 - in MILLESIMI   I</v>
      </c>
      <c r="CQ503" s="1"/>
    </row>
    <row r="504" spans="1:95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435">
        <f>IF(AND(W504&gt;=$U$1,W504&lt;=$U$2),IF(X504='ESTRATTO CONTO'!$E$2,1+COUNTIF(U$4:U503,"&gt;0"),0),0)</f>
        <v>0</v>
      </c>
      <c r="V504" s="417">
        <f t="shared" si="132"/>
        <v>501</v>
      </c>
      <c r="W504" s="509"/>
      <c r="X504" s="321"/>
      <c r="Y504" s="321"/>
      <c r="Z504" s="433"/>
      <c r="AA504" s="918">
        <f t="shared" si="123"/>
        <v>1</v>
      </c>
      <c r="AB504" s="306" t="str">
        <f t="shared" si="124"/>
        <v/>
      </c>
      <c r="AC504" s="788"/>
      <c r="AD504" s="119">
        <f t="shared" ref="AD504:AF523" si="135">IF($AB504=0,0,ROUND($Z504*VLOOKUP(AD$2,$F$1010:$Q$1014,VLOOKUP($CP504,$C$1076:$E$1081,3,FALSE),FALSE),2))</f>
        <v>0</v>
      </c>
      <c r="AE504" s="108">
        <f t="shared" si="135"/>
        <v>0</v>
      </c>
      <c r="AF504" s="108">
        <f t="shared" si="135"/>
        <v>0</v>
      </c>
      <c r="AG504" s="108"/>
      <c r="AH504" s="108"/>
      <c r="AI504" s="108"/>
      <c r="AJ504" s="108"/>
      <c r="AK504" s="108"/>
      <c r="AL504" s="108">
        <f t="shared" si="125"/>
        <v>0</v>
      </c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20">
        <f t="shared" si="126"/>
        <v>0</v>
      </c>
      <c r="CL504" s="122">
        <f t="shared" si="127"/>
        <v>0</v>
      </c>
      <c r="CM504" s="524" t="str">
        <f t="shared" si="129"/>
        <v/>
      </c>
      <c r="CN504" s="526">
        <f t="shared" si="130"/>
        <v>0</v>
      </c>
      <c r="CO504" s="122">
        <f t="shared" si="131"/>
        <v>0</v>
      </c>
      <c r="CP504" s="45" t="str">
        <f t="shared" si="128"/>
        <v>1 - in MILLESIMI   I</v>
      </c>
      <c r="CQ504" s="1"/>
    </row>
    <row r="505" spans="1:95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435">
        <f>IF(AND(W505&gt;=$U$1,W505&lt;=$U$2),IF(X505='ESTRATTO CONTO'!$E$2,1+COUNTIF(U$4:U504,"&gt;0"),0),0)</f>
        <v>0</v>
      </c>
      <c r="V505" s="417">
        <f t="shared" si="132"/>
        <v>502</v>
      </c>
      <c r="W505" s="509"/>
      <c r="X505" s="321"/>
      <c r="Y505" s="321"/>
      <c r="Z505" s="433"/>
      <c r="AA505" s="918">
        <f t="shared" si="123"/>
        <v>1</v>
      </c>
      <c r="AB505" s="306" t="str">
        <f t="shared" si="124"/>
        <v/>
      </c>
      <c r="AC505" s="788"/>
      <c r="AD505" s="119">
        <f t="shared" si="135"/>
        <v>0</v>
      </c>
      <c r="AE505" s="108">
        <f t="shared" si="135"/>
        <v>0</v>
      </c>
      <c r="AF505" s="108">
        <f t="shared" si="135"/>
        <v>0</v>
      </c>
      <c r="AG505" s="108"/>
      <c r="AH505" s="108"/>
      <c r="AI505" s="108"/>
      <c r="AJ505" s="108"/>
      <c r="AK505" s="108"/>
      <c r="AL505" s="108">
        <f t="shared" si="125"/>
        <v>0</v>
      </c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20">
        <f t="shared" si="126"/>
        <v>0</v>
      </c>
      <c r="CL505" s="122">
        <f t="shared" si="127"/>
        <v>0</v>
      </c>
      <c r="CM505" s="524" t="str">
        <f t="shared" si="129"/>
        <v/>
      </c>
      <c r="CN505" s="526">
        <f t="shared" si="130"/>
        <v>0</v>
      </c>
      <c r="CO505" s="122">
        <f t="shared" si="131"/>
        <v>0</v>
      </c>
      <c r="CP505" s="45" t="str">
        <f t="shared" si="128"/>
        <v>1 - in MILLESIMI   I</v>
      </c>
      <c r="CQ505" s="1"/>
    </row>
    <row r="506" spans="1:95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435">
        <f>IF(AND(W506&gt;=$U$1,W506&lt;=$U$2),IF(X506='ESTRATTO CONTO'!$E$2,1+COUNTIF(U$4:U505,"&gt;0"),0),0)</f>
        <v>0</v>
      </c>
      <c r="V506" s="417">
        <f t="shared" si="132"/>
        <v>503</v>
      </c>
      <c r="W506" s="509"/>
      <c r="X506" s="321"/>
      <c r="Y506" s="321"/>
      <c r="Z506" s="433"/>
      <c r="AA506" s="918">
        <f t="shared" si="123"/>
        <v>1</v>
      </c>
      <c r="AB506" s="306" t="str">
        <f t="shared" si="124"/>
        <v/>
      </c>
      <c r="AC506" s="788"/>
      <c r="AD506" s="119">
        <f t="shared" si="135"/>
        <v>0</v>
      </c>
      <c r="AE506" s="108">
        <f t="shared" si="135"/>
        <v>0</v>
      </c>
      <c r="AF506" s="108">
        <f t="shared" si="135"/>
        <v>0</v>
      </c>
      <c r="AG506" s="108"/>
      <c r="AH506" s="108"/>
      <c r="AI506" s="108"/>
      <c r="AJ506" s="108"/>
      <c r="AK506" s="108"/>
      <c r="AL506" s="108">
        <f t="shared" si="125"/>
        <v>0</v>
      </c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20">
        <f t="shared" si="126"/>
        <v>0</v>
      </c>
      <c r="CL506" s="122">
        <f t="shared" si="127"/>
        <v>0</v>
      </c>
      <c r="CM506" s="524" t="str">
        <f t="shared" si="129"/>
        <v/>
      </c>
      <c r="CN506" s="526">
        <f t="shared" si="130"/>
        <v>0</v>
      </c>
      <c r="CO506" s="122">
        <f t="shared" si="131"/>
        <v>0</v>
      </c>
      <c r="CP506" s="45" t="str">
        <f t="shared" si="128"/>
        <v>1 - in MILLESIMI   I</v>
      </c>
      <c r="CQ506" s="1"/>
    </row>
    <row r="507" spans="1:95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435">
        <f>IF(AND(W507&gt;=$U$1,W507&lt;=$U$2),IF(X507='ESTRATTO CONTO'!$E$2,1+COUNTIF(U$4:U506,"&gt;0"),0),0)</f>
        <v>0</v>
      </c>
      <c r="V507" s="417">
        <f t="shared" si="132"/>
        <v>504</v>
      </c>
      <c r="W507" s="509"/>
      <c r="X507" s="321"/>
      <c r="Y507" s="321"/>
      <c r="Z507" s="433"/>
      <c r="AA507" s="918">
        <f t="shared" si="123"/>
        <v>1</v>
      </c>
      <c r="AB507" s="306" t="str">
        <f t="shared" si="124"/>
        <v/>
      </c>
      <c r="AC507" s="788"/>
      <c r="AD507" s="119">
        <f t="shared" si="135"/>
        <v>0</v>
      </c>
      <c r="AE507" s="108">
        <f t="shared" si="135"/>
        <v>0</v>
      </c>
      <c r="AF507" s="108">
        <f t="shared" si="135"/>
        <v>0</v>
      </c>
      <c r="AG507" s="108"/>
      <c r="AH507" s="108"/>
      <c r="AI507" s="108"/>
      <c r="AJ507" s="108"/>
      <c r="AK507" s="108"/>
      <c r="AL507" s="108">
        <f t="shared" si="125"/>
        <v>0</v>
      </c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20">
        <f t="shared" si="126"/>
        <v>0</v>
      </c>
      <c r="CL507" s="122">
        <f t="shared" si="127"/>
        <v>0</v>
      </c>
      <c r="CM507" s="524" t="str">
        <f t="shared" si="129"/>
        <v/>
      </c>
      <c r="CN507" s="526">
        <f t="shared" si="130"/>
        <v>0</v>
      </c>
      <c r="CO507" s="122">
        <f t="shared" si="131"/>
        <v>0</v>
      </c>
      <c r="CP507" s="45" t="str">
        <f t="shared" si="128"/>
        <v>1 - in MILLESIMI   I</v>
      </c>
      <c r="CQ507" s="1"/>
    </row>
    <row r="508" spans="1:95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435">
        <f>IF(AND(W508&gt;=$U$1,W508&lt;=$U$2),IF(X508='ESTRATTO CONTO'!$E$2,1+COUNTIF(U$4:U507,"&gt;0"),0),0)</f>
        <v>0</v>
      </c>
      <c r="V508" s="417">
        <f t="shared" si="132"/>
        <v>505</v>
      </c>
      <c r="W508" s="509"/>
      <c r="X508" s="321"/>
      <c r="Y508" s="321"/>
      <c r="Z508" s="433"/>
      <c r="AA508" s="918">
        <f t="shared" si="123"/>
        <v>1</v>
      </c>
      <c r="AB508" s="306" t="str">
        <f t="shared" si="124"/>
        <v/>
      </c>
      <c r="AC508" s="788"/>
      <c r="AD508" s="119">
        <f t="shared" si="135"/>
        <v>0</v>
      </c>
      <c r="AE508" s="108">
        <f t="shared" si="135"/>
        <v>0</v>
      </c>
      <c r="AF508" s="108">
        <f t="shared" si="135"/>
        <v>0</v>
      </c>
      <c r="AG508" s="108"/>
      <c r="AH508" s="108"/>
      <c r="AI508" s="108"/>
      <c r="AJ508" s="108"/>
      <c r="AK508" s="108"/>
      <c r="AL508" s="108">
        <f t="shared" si="125"/>
        <v>0</v>
      </c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20">
        <f t="shared" si="126"/>
        <v>0</v>
      </c>
      <c r="CL508" s="122">
        <f t="shared" si="127"/>
        <v>0</v>
      </c>
      <c r="CM508" s="524" t="str">
        <f t="shared" si="129"/>
        <v/>
      </c>
      <c r="CN508" s="526">
        <f t="shared" si="130"/>
        <v>0</v>
      </c>
      <c r="CO508" s="122">
        <f t="shared" si="131"/>
        <v>0</v>
      </c>
      <c r="CP508" s="45" t="str">
        <f t="shared" si="128"/>
        <v>1 - in MILLESIMI   I</v>
      </c>
      <c r="CQ508" s="1"/>
    </row>
    <row r="509" spans="1:95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435">
        <f>IF(AND(W509&gt;=$U$1,W509&lt;=$U$2),IF(X509='ESTRATTO CONTO'!$E$2,1+COUNTIF(U$4:U508,"&gt;0"),0),0)</f>
        <v>0</v>
      </c>
      <c r="V509" s="417">
        <f t="shared" si="132"/>
        <v>506</v>
      </c>
      <c r="W509" s="509"/>
      <c r="X509" s="321"/>
      <c r="Y509" s="321"/>
      <c r="Z509" s="433"/>
      <c r="AA509" s="918">
        <f t="shared" si="123"/>
        <v>1</v>
      </c>
      <c r="AB509" s="306" t="str">
        <f t="shared" si="124"/>
        <v/>
      </c>
      <c r="AC509" s="788"/>
      <c r="AD509" s="119">
        <f t="shared" si="135"/>
        <v>0</v>
      </c>
      <c r="AE509" s="108">
        <f t="shared" si="135"/>
        <v>0</v>
      </c>
      <c r="AF509" s="108">
        <f t="shared" si="135"/>
        <v>0</v>
      </c>
      <c r="AG509" s="108"/>
      <c r="AH509" s="108"/>
      <c r="AI509" s="108"/>
      <c r="AJ509" s="108"/>
      <c r="AK509" s="108"/>
      <c r="AL509" s="108">
        <f t="shared" si="125"/>
        <v>0</v>
      </c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20">
        <f t="shared" si="126"/>
        <v>0</v>
      </c>
      <c r="CL509" s="122">
        <f t="shared" si="127"/>
        <v>0</v>
      </c>
      <c r="CM509" s="524" t="str">
        <f t="shared" si="129"/>
        <v/>
      </c>
      <c r="CN509" s="526">
        <f t="shared" si="130"/>
        <v>0</v>
      </c>
      <c r="CO509" s="122">
        <f t="shared" si="131"/>
        <v>0</v>
      </c>
      <c r="CP509" s="45" t="str">
        <f t="shared" si="128"/>
        <v>1 - in MILLESIMI   I</v>
      </c>
      <c r="CQ509" s="1"/>
    </row>
    <row r="510" spans="1:95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435">
        <f>IF(AND(W510&gt;=$U$1,W510&lt;=$U$2),IF(X510='ESTRATTO CONTO'!$E$2,1+COUNTIF(U$4:U509,"&gt;0"),0),0)</f>
        <v>0</v>
      </c>
      <c r="V510" s="417">
        <f t="shared" si="132"/>
        <v>507</v>
      </c>
      <c r="W510" s="509"/>
      <c r="X510" s="321"/>
      <c r="Y510" s="321"/>
      <c r="Z510" s="433"/>
      <c r="AA510" s="918">
        <f t="shared" si="123"/>
        <v>1</v>
      </c>
      <c r="AB510" s="306" t="str">
        <f t="shared" si="124"/>
        <v/>
      </c>
      <c r="AC510" s="788"/>
      <c r="AD510" s="119">
        <f t="shared" si="135"/>
        <v>0</v>
      </c>
      <c r="AE510" s="108">
        <f t="shared" si="135"/>
        <v>0</v>
      </c>
      <c r="AF510" s="108">
        <f t="shared" si="135"/>
        <v>0</v>
      </c>
      <c r="AG510" s="108"/>
      <c r="AH510" s="108"/>
      <c r="AI510" s="108"/>
      <c r="AJ510" s="108"/>
      <c r="AK510" s="108"/>
      <c r="AL510" s="108">
        <f t="shared" si="125"/>
        <v>0</v>
      </c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20">
        <f t="shared" si="126"/>
        <v>0</v>
      </c>
      <c r="CL510" s="122">
        <f t="shared" si="127"/>
        <v>0</v>
      </c>
      <c r="CM510" s="524" t="str">
        <f t="shared" si="129"/>
        <v/>
      </c>
      <c r="CN510" s="526">
        <f t="shared" si="130"/>
        <v>0</v>
      </c>
      <c r="CO510" s="122">
        <f t="shared" si="131"/>
        <v>0</v>
      </c>
      <c r="CP510" s="45" t="str">
        <f t="shared" si="128"/>
        <v>1 - in MILLESIMI   I</v>
      </c>
      <c r="CQ510" s="1"/>
    </row>
    <row r="511" spans="1:95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435">
        <f>IF(AND(W511&gt;=$U$1,W511&lt;=$U$2),IF(X511='ESTRATTO CONTO'!$E$2,1+COUNTIF(U$4:U510,"&gt;0"),0),0)</f>
        <v>0</v>
      </c>
      <c r="V511" s="417">
        <f t="shared" si="132"/>
        <v>508</v>
      </c>
      <c r="W511" s="509"/>
      <c r="X511" s="321"/>
      <c r="Y511" s="321"/>
      <c r="Z511" s="433"/>
      <c r="AA511" s="918">
        <f t="shared" si="123"/>
        <v>1</v>
      </c>
      <c r="AB511" s="306" t="str">
        <f t="shared" si="124"/>
        <v/>
      </c>
      <c r="AC511" s="788"/>
      <c r="AD511" s="119">
        <f t="shared" si="135"/>
        <v>0</v>
      </c>
      <c r="AE511" s="108">
        <f t="shared" si="135"/>
        <v>0</v>
      </c>
      <c r="AF511" s="108">
        <f t="shared" si="135"/>
        <v>0</v>
      </c>
      <c r="AG511" s="108"/>
      <c r="AH511" s="108"/>
      <c r="AI511" s="108"/>
      <c r="AJ511" s="108"/>
      <c r="AK511" s="108"/>
      <c r="AL511" s="108">
        <f t="shared" si="125"/>
        <v>0</v>
      </c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20">
        <f t="shared" si="126"/>
        <v>0</v>
      </c>
      <c r="CL511" s="122">
        <f t="shared" si="127"/>
        <v>0</v>
      </c>
      <c r="CM511" s="524" t="str">
        <f t="shared" si="129"/>
        <v/>
      </c>
      <c r="CN511" s="526">
        <f t="shared" si="130"/>
        <v>0</v>
      </c>
      <c r="CO511" s="122">
        <f t="shared" si="131"/>
        <v>0</v>
      </c>
      <c r="CP511" s="45" t="str">
        <f t="shared" si="128"/>
        <v>1 - in MILLESIMI   I</v>
      </c>
      <c r="CQ511" s="1"/>
    </row>
    <row r="512" spans="1:95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435">
        <f>IF(AND(W512&gt;=$U$1,W512&lt;=$U$2),IF(X512='ESTRATTO CONTO'!$E$2,1+COUNTIF(U$4:U511,"&gt;0"),0),0)</f>
        <v>0</v>
      </c>
      <c r="V512" s="417">
        <f t="shared" si="132"/>
        <v>509</v>
      </c>
      <c r="W512" s="509"/>
      <c r="X512" s="321"/>
      <c r="Y512" s="321"/>
      <c r="Z512" s="433"/>
      <c r="AA512" s="918">
        <f t="shared" si="123"/>
        <v>1</v>
      </c>
      <c r="AB512" s="306" t="str">
        <f t="shared" si="124"/>
        <v/>
      </c>
      <c r="AC512" s="788"/>
      <c r="AD512" s="119">
        <f t="shared" si="135"/>
        <v>0</v>
      </c>
      <c r="AE512" s="108">
        <f t="shared" si="135"/>
        <v>0</v>
      </c>
      <c r="AF512" s="108">
        <f t="shared" si="135"/>
        <v>0</v>
      </c>
      <c r="AG512" s="108"/>
      <c r="AH512" s="108"/>
      <c r="AI512" s="108"/>
      <c r="AJ512" s="108"/>
      <c r="AK512" s="108"/>
      <c r="AL512" s="108">
        <f t="shared" si="125"/>
        <v>0</v>
      </c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20">
        <f t="shared" si="126"/>
        <v>0</v>
      </c>
      <c r="CL512" s="122">
        <f t="shared" si="127"/>
        <v>0</v>
      </c>
      <c r="CM512" s="524" t="str">
        <f t="shared" si="129"/>
        <v/>
      </c>
      <c r="CN512" s="526">
        <f t="shared" si="130"/>
        <v>0</v>
      </c>
      <c r="CO512" s="122">
        <f t="shared" si="131"/>
        <v>0</v>
      </c>
      <c r="CP512" s="45" t="str">
        <f t="shared" si="128"/>
        <v>1 - in MILLESIMI   I</v>
      </c>
      <c r="CQ512" s="1"/>
    </row>
    <row r="513" spans="1:95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435">
        <f>IF(AND(W513&gt;=$U$1,W513&lt;=$U$2),IF(X513='ESTRATTO CONTO'!$E$2,1+COUNTIF(U$4:U512,"&gt;0"),0),0)</f>
        <v>0</v>
      </c>
      <c r="V513" s="417">
        <f t="shared" si="132"/>
        <v>510</v>
      </c>
      <c r="W513" s="509"/>
      <c r="X513" s="321"/>
      <c r="Y513" s="321"/>
      <c r="Z513" s="433"/>
      <c r="AA513" s="918">
        <f t="shared" si="123"/>
        <v>1</v>
      </c>
      <c r="AB513" s="306" t="str">
        <f t="shared" si="124"/>
        <v/>
      </c>
      <c r="AC513" s="788"/>
      <c r="AD513" s="119">
        <f t="shared" si="135"/>
        <v>0</v>
      </c>
      <c r="AE513" s="108">
        <f t="shared" si="135"/>
        <v>0</v>
      </c>
      <c r="AF513" s="108">
        <f t="shared" si="135"/>
        <v>0</v>
      </c>
      <c r="AG513" s="108"/>
      <c r="AH513" s="108"/>
      <c r="AI513" s="108"/>
      <c r="AJ513" s="108"/>
      <c r="AK513" s="108"/>
      <c r="AL513" s="108">
        <f t="shared" si="125"/>
        <v>0</v>
      </c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20">
        <f t="shared" si="126"/>
        <v>0</v>
      </c>
      <c r="CL513" s="122">
        <f t="shared" si="127"/>
        <v>0</v>
      </c>
      <c r="CM513" s="524" t="str">
        <f t="shared" si="129"/>
        <v/>
      </c>
      <c r="CN513" s="526">
        <f t="shared" si="130"/>
        <v>0</v>
      </c>
      <c r="CO513" s="122">
        <f t="shared" si="131"/>
        <v>0</v>
      </c>
      <c r="CP513" s="45" t="str">
        <f t="shared" si="128"/>
        <v>1 - in MILLESIMI   I</v>
      </c>
      <c r="CQ513" s="1"/>
    </row>
    <row r="514" spans="1:95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435">
        <f>IF(AND(W514&gt;=$U$1,W514&lt;=$U$2),IF(X514='ESTRATTO CONTO'!$E$2,1+COUNTIF(U$4:U513,"&gt;0"),0),0)</f>
        <v>0</v>
      </c>
      <c r="V514" s="417">
        <f t="shared" si="132"/>
        <v>511</v>
      </c>
      <c r="W514" s="509"/>
      <c r="X514" s="321"/>
      <c r="Y514" s="321"/>
      <c r="Z514" s="433"/>
      <c r="AA514" s="918">
        <f t="shared" si="123"/>
        <v>1</v>
      </c>
      <c r="AB514" s="306" t="str">
        <f t="shared" si="124"/>
        <v/>
      </c>
      <c r="AC514" s="788"/>
      <c r="AD514" s="119">
        <f t="shared" si="135"/>
        <v>0</v>
      </c>
      <c r="AE514" s="108">
        <f t="shared" si="135"/>
        <v>0</v>
      </c>
      <c r="AF514" s="108">
        <f t="shared" si="135"/>
        <v>0</v>
      </c>
      <c r="AG514" s="108"/>
      <c r="AH514" s="108"/>
      <c r="AI514" s="108"/>
      <c r="AJ514" s="108"/>
      <c r="AK514" s="108"/>
      <c r="AL514" s="108">
        <f t="shared" si="125"/>
        <v>0</v>
      </c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20">
        <f t="shared" si="126"/>
        <v>0</v>
      </c>
      <c r="CL514" s="122">
        <f t="shared" si="127"/>
        <v>0</v>
      </c>
      <c r="CM514" s="524" t="str">
        <f t="shared" si="129"/>
        <v/>
      </c>
      <c r="CN514" s="526">
        <f t="shared" si="130"/>
        <v>0</v>
      </c>
      <c r="CO514" s="122">
        <f t="shared" si="131"/>
        <v>0</v>
      </c>
      <c r="CP514" s="45" t="str">
        <f t="shared" si="128"/>
        <v>1 - in MILLESIMI   I</v>
      </c>
      <c r="CQ514" s="1"/>
    </row>
    <row r="515" spans="1:95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435">
        <f>IF(AND(W515&gt;=$U$1,W515&lt;=$U$2),IF(X515='ESTRATTO CONTO'!$E$2,1+COUNTIF(U$4:U514,"&gt;0"),0),0)</f>
        <v>0</v>
      </c>
      <c r="V515" s="417">
        <f t="shared" si="132"/>
        <v>512</v>
      </c>
      <c r="W515" s="509"/>
      <c r="X515" s="321"/>
      <c r="Y515" s="321"/>
      <c r="Z515" s="433"/>
      <c r="AA515" s="918">
        <f t="shared" si="123"/>
        <v>1</v>
      </c>
      <c r="AB515" s="306" t="str">
        <f t="shared" si="124"/>
        <v/>
      </c>
      <c r="AC515" s="788"/>
      <c r="AD515" s="119">
        <f t="shared" si="135"/>
        <v>0</v>
      </c>
      <c r="AE515" s="108">
        <f t="shared" si="135"/>
        <v>0</v>
      </c>
      <c r="AF515" s="108">
        <f t="shared" si="135"/>
        <v>0</v>
      </c>
      <c r="AG515" s="108"/>
      <c r="AH515" s="108"/>
      <c r="AI515" s="108"/>
      <c r="AJ515" s="108"/>
      <c r="AK515" s="108"/>
      <c r="AL515" s="108">
        <f t="shared" si="125"/>
        <v>0</v>
      </c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20">
        <f t="shared" si="126"/>
        <v>0</v>
      </c>
      <c r="CL515" s="122">
        <f t="shared" si="127"/>
        <v>0</v>
      </c>
      <c r="CM515" s="524" t="str">
        <f t="shared" si="129"/>
        <v/>
      </c>
      <c r="CN515" s="526">
        <f t="shared" si="130"/>
        <v>0</v>
      </c>
      <c r="CO515" s="122">
        <f t="shared" si="131"/>
        <v>0</v>
      </c>
      <c r="CP515" s="45" t="str">
        <f t="shared" si="128"/>
        <v>1 - in MILLESIMI   I</v>
      </c>
      <c r="CQ515" s="1"/>
    </row>
    <row r="516" spans="1:95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435">
        <f>IF(AND(W516&gt;=$U$1,W516&lt;=$U$2),IF(X516='ESTRATTO CONTO'!$E$2,1+COUNTIF(U$4:U515,"&gt;0"),0),0)</f>
        <v>0</v>
      </c>
      <c r="V516" s="417">
        <f t="shared" si="132"/>
        <v>513</v>
      </c>
      <c r="W516" s="509"/>
      <c r="X516" s="321"/>
      <c r="Y516" s="321"/>
      <c r="Z516" s="433"/>
      <c r="AA516" s="918">
        <f t="shared" ref="AA516:AA579" si="136">IF(OR(W516&lt;$W$1433,W516&gt;$W$1434),1,0)</f>
        <v>1</v>
      </c>
      <c r="AB516" s="306" t="str">
        <f t="shared" ref="AB516:AB579" si="137">IF(W516&gt;0,IF(AND(W516&gt;=W$1438,W516&lt;=W$1439),CONCATENATE(MONTH(W516)&amp;X516),0),"")</f>
        <v/>
      </c>
      <c r="AC516" s="788"/>
      <c r="AD516" s="119">
        <f t="shared" si="135"/>
        <v>0</v>
      </c>
      <c r="AE516" s="108">
        <f t="shared" si="135"/>
        <v>0</v>
      </c>
      <c r="AF516" s="108">
        <f t="shared" si="135"/>
        <v>0</v>
      </c>
      <c r="AG516" s="108"/>
      <c r="AH516" s="108"/>
      <c r="AI516" s="108"/>
      <c r="AJ516" s="108"/>
      <c r="AK516" s="108"/>
      <c r="AL516" s="108">
        <f t="shared" ref="AL516:AL579" si="138">IF($AB516=0,0,ROUND($Z516*VLOOKUP(AL$2,$F$1010:$Q$1014,VLOOKUP($CP516,$C$1076:$E$1081,3,FALSE),FALSE),2))</f>
        <v>0</v>
      </c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20">
        <f t="shared" ref="CK516:CK579" si="139">IF($AB516=0,0,ROUND($Z516*VLOOKUP(CK$2,$F$1010:$Q$1014,VLOOKUP($CP516,$C$1076:$E$1081,3,FALSE),FALSE),2))</f>
        <v>0</v>
      </c>
      <c r="CL516" s="122">
        <f t="shared" ref="CL516:CL579" si="140">IF(CK$1014&gt;0,0,IF(ISBLANK(W516),0,MONTH(W516)))</f>
        <v>0</v>
      </c>
      <c r="CM516" s="524" t="str">
        <f t="shared" si="129"/>
        <v/>
      </c>
      <c r="CN516" s="526">
        <f t="shared" si="130"/>
        <v>0</v>
      </c>
      <c r="CO516" s="122">
        <f t="shared" si="131"/>
        <v>0</v>
      </c>
      <c r="CP516" s="45" t="str">
        <f t="shared" ref="CP516:CP579" si="141">IF(ISBLANK(AC516),Q$1,AC516)</f>
        <v>1 - in MILLESIMI   I</v>
      </c>
      <c r="CQ516" s="1"/>
    </row>
    <row r="517" spans="1:95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435">
        <f>IF(AND(W517&gt;=$U$1,W517&lt;=$U$2),IF(X517='ESTRATTO CONTO'!$E$2,1+COUNTIF(U$4:U516,"&gt;0"),0),0)</f>
        <v>0</v>
      </c>
      <c r="V517" s="417">
        <f t="shared" si="132"/>
        <v>514</v>
      </c>
      <c r="W517" s="509"/>
      <c r="X517" s="321"/>
      <c r="Y517" s="321"/>
      <c r="Z517" s="433"/>
      <c r="AA517" s="918">
        <f t="shared" si="136"/>
        <v>1</v>
      </c>
      <c r="AB517" s="306" t="str">
        <f t="shared" si="137"/>
        <v/>
      </c>
      <c r="AC517" s="788"/>
      <c r="AD517" s="119">
        <f t="shared" si="135"/>
        <v>0</v>
      </c>
      <c r="AE517" s="108">
        <f t="shared" si="135"/>
        <v>0</v>
      </c>
      <c r="AF517" s="108">
        <f t="shared" si="135"/>
        <v>0</v>
      </c>
      <c r="AG517" s="108"/>
      <c r="AH517" s="108"/>
      <c r="AI517" s="108"/>
      <c r="AJ517" s="108"/>
      <c r="AK517" s="108"/>
      <c r="AL517" s="108">
        <f t="shared" si="138"/>
        <v>0</v>
      </c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20">
        <f t="shared" si="139"/>
        <v>0</v>
      </c>
      <c r="CL517" s="122">
        <f t="shared" si="140"/>
        <v>0</v>
      </c>
      <c r="CM517" s="524" t="str">
        <f t="shared" ref="CM517:CM580" si="142">IF(X517="","",IF(ISERROR(VLOOKUP(X517,B$9:E$45,1,FALSE)),1,0))</f>
        <v/>
      </c>
      <c r="CN517" s="526">
        <f t="shared" ref="CN517:CN580" si="143">IF(AND(W517&gt;=CN$1,W517&lt;=CN$2),Z517,0)</f>
        <v>0</v>
      </c>
      <c r="CO517" s="122">
        <f t="shared" ref="CO517:CO580" si="144">IF(CN517&lt;&gt;0,X517,0)</f>
        <v>0</v>
      </c>
      <c r="CP517" s="45" t="str">
        <f t="shared" si="141"/>
        <v>1 - in MILLESIMI   I</v>
      </c>
      <c r="CQ517" s="1"/>
    </row>
    <row r="518" spans="1:95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435">
        <f>IF(AND(W518&gt;=$U$1,W518&lt;=$U$2),IF(X518='ESTRATTO CONTO'!$E$2,1+COUNTIF(U$4:U517,"&gt;0"),0),0)</f>
        <v>0</v>
      </c>
      <c r="V518" s="417">
        <f t="shared" ref="V518:V581" si="145">V517+1</f>
        <v>515</v>
      </c>
      <c r="W518" s="509"/>
      <c r="X518" s="321"/>
      <c r="Y518" s="321"/>
      <c r="Z518" s="433"/>
      <c r="AA518" s="918">
        <f t="shared" si="136"/>
        <v>1</v>
      </c>
      <c r="AB518" s="306" t="str">
        <f t="shared" si="137"/>
        <v/>
      </c>
      <c r="AC518" s="788"/>
      <c r="AD518" s="119">
        <f t="shared" si="135"/>
        <v>0</v>
      </c>
      <c r="AE518" s="108">
        <f t="shared" si="135"/>
        <v>0</v>
      </c>
      <c r="AF518" s="108">
        <f t="shared" si="135"/>
        <v>0</v>
      </c>
      <c r="AG518" s="108"/>
      <c r="AH518" s="108"/>
      <c r="AI518" s="108"/>
      <c r="AJ518" s="108"/>
      <c r="AK518" s="108"/>
      <c r="AL518" s="108">
        <f t="shared" si="138"/>
        <v>0</v>
      </c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20">
        <f t="shared" si="139"/>
        <v>0</v>
      </c>
      <c r="CL518" s="122">
        <f t="shared" si="140"/>
        <v>0</v>
      </c>
      <c r="CM518" s="524" t="str">
        <f t="shared" si="142"/>
        <v/>
      </c>
      <c r="CN518" s="526">
        <f t="shared" si="143"/>
        <v>0</v>
      </c>
      <c r="CO518" s="122">
        <f t="shared" si="144"/>
        <v>0</v>
      </c>
      <c r="CP518" s="45" t="str">
        <f t="shared" si="141"/>
        <v>1 - in MILLESIMI   I</v>
      </c>
      <c r="CQ518" s="1"/>
    </row>
    <row r="519" spans="1:95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435">
        <f>IF(AND(W519&gt;=$U$1,W519&lt;=$U$2),IF(X519='ESTRATTO CONTO'!$E$2,1+COUNTIF(U$4:U518,"&gt;0"),0),0)</f>
        <v>0</v>
      </c>
      <c r="V519" s="417">
        <f t="shared" si="145"/>
        <v>516</v>
      </c>
      <c r="W519" s="509"/>
      <c r="X519" s="321"/>
      <c r="Y519" s="321"/>
      <c r="Z519" s="433"/>
      <c r="AA519" s="918">
        <f t="shared" si="136"/>
        <v>1</v>
      </c>
      <c r="AB519" s="306" t="str">
        <f t="shared" si="137"/>
        <v/>
      </c>
      <c r="AC519" s="788"/>
      <c r="AD519" s="119">
        <f t="shared" si="135"/>
        <v>0</v>
      </c>
      <c r="AE519" s="108">
        <f t="shared" si="135"/>
        <v>0</v>
      </c>
      <c r="AF519" s="108">
        <f t="shared" si="135"/>
        <v>0</v>
      </c>
      <c r="AG519" s="108"/>
      <c r="AH519" s="108"/>
      <c r="AI519" s="108"/>
      <c r="AJ519" s="108"/>
      <c r="AK519" s="108"/>
      <c r="AL519" s="108">
        <f t="shared" si="138"/>
        <v>0</v>
      </c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20">
        <f t="shared" si="139"/>
        <v>0</v>
      </c>
      <c r="CL519" s="122">
        <f t="shared" si="140"/>
        <v>0</v>
      </c>
      <c r="CM519" s="524" t="str">
        <f t="shared" si="142"/>
        <v/>
      </c>
      <c r="CN519" s="526">
        <f t="shared" si="143"/>
        <v>0</v>
      </c>
      <c r="CO519" s="122">
        <f t="shared" si="144"/>
        <v>0</v>
      </c>
      <c r="CP519" s="45" t="str">
        <f t="shared" si="141"/>
        <v>1 - in MILLESIMI   I</v>
      </c>
      <c r="CQ519" s="1"/>
    </row>
    <row r="520" spans="1:95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435">
        <f>IF(AND(W520&gt;=$U$1,W520&lt;=$U$2),IF(X520='ESTRATTO CONTO'!$E$2,1+COUNTIF(U$4:U519,"&gt;0"),0),0)</f>
        <v>0</v>
      </c>
      <c r="V520" s="417">
        <f t="shared" si="145"/>
        <v>517</v>
      </c>
      <c r="W520" s="509"/>
      <c r="X520" s="321"/>
      <c r="Y520" s="321"/>
      <c r="Z520" s="433"/>
      <c r="AA520" s="918">
        <f t="shared" si="136"/>
        <v>1</v>
      </c>
      <c r="AB520" s="306" t="str">
        <f t="shared" si="137"/>
        <v/>
      </c>
      <c r="AC520" s="788"/>
      <c r="AD520" s="119">
        <f t="shared" si="135"/>
        <v>0</v>
      </c>
      <c r="AE520" s="108">
        <f t="shared" si="135"/>
        <v>0</v>
      </c>
      <c r="AF520" s="108">
        <f t="shared" si="135"/>
        <v>0</v>
      </c>
      <c r="AG520" s="108"/>
      <c r="AH520" s="108"/>
      <c r="AI520" s="108"/>
      <c r="AJ520" s="108"/>
      <c r="AK520" s="108"/>
      <c r="AL520" s="108">
        <f t="shared" si="138"/>
        <v>0</v>
      </c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20">
        <f t="shared" si="139"/>
        <v>0</v>
      </c>
      <c r="CL520" s="122">
        <f t="shared" si="140"/>
        <v>0</v>
      </c>
      <c r="CM520" s="524" t="str">
        <f t="shared" si="142"/>
        <v/>
      </c>
      <c r="CN520" s="526">
        <f t="shared" si="143"/>
        <v>0</v>
      </c>
      <c r="CO520" s="122">
        <f t="shared" si="144"/>
        <v>0</v>
      </c>
      <c r="CP520" s="45" t="str">
        <f t="shared" si="141"/>
        <v>1 - in MILLESIMI   I</v>
      </c>
      <c r="CQ520" s="1"/>
    </row>
    <row r="521" spans="1:95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435">
        <f>IF(AND(W521&gt;=$U$1,W521&lt;=$U$2),IF(X521='ESTRATTO CONTO'!$E$2,1+COUNTIF(U$4:U520,"&gt;0"),0),0)</f>
        <v>0</v>
      </c>
      <c r="V521" s="417">
        <f t="shared" si="145"/>
        <v>518</v>
      </c>
      <c r="W521" s="509"/>
      <c r="X521" s="321"/>
      <c r="Y521" s="321"/>
      <c r="Z521" s="433"/>
      <c r="AA521" s="918">
        <f t="shared" si="136"/>
        <v>1</v>
      </c>
      <c r="AB521" s="306" t="str">
        <f t="shared" si="137"/>
        <v/>
      </c>
      <c r="AC521" s="788"/>
      <c r="AD521" s="119">
        <f t="shared" si="135"/>
        <v>0</v>
      </c>
      <c r="AE521" s="108">
        <f t="shared" si="135"/>
        <v>0</v>
      </c>
      <c r="AF521" s="108">
        <f t="shared" si="135"/>
        <v>0</v>
      </c>
      <c r="AG521" s="108"/>
      <c r="AH521" s="108"/>
      <c r="AI521" s="108"/>
      <c r="AJ521" s="108"/>
      <c r="AK521" s="108"/>
      <c r="AL521" s="108">
        <f t="shared" si="138"/>
        <v>0</v>
      </c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20">
        <f t="shared" si="139"/>
        <v>0</v>
      </c>
      <c r="CL521" s="122">
        <f t="shared" si="140"/>
        <v>0</v>
      </c>
      <c r="CM521" s="524" t="str">
        <f t="shared" si="142"/>
        <v/>
      </c>
      <c r="CN521" s="526">
        <f t="shared" si="143"/>
        <v>0</v>
      </c>
      <c r="CO521" s="122">
        <f t="shared" si="144"/>
        <v>0</v>
      </c>
      <c r="CP521" s="45" t="str">
        <f t="shared" si="141"/>
        <v>1 - in MILLESIMI   I</v>
      </c>
      <c r="CQ521" s="1"/>
    </row>
    <row r="522" spans="1:95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435">
        <f>IF(AND(W522&gt;=$U$1,W522&lt;=$U$2),IF(X522='ESTRATTO CONTO'!$E$2,1+COUNTIF(U$4:U521,"&gt;0"),0),0)</f>
        <v>0</v>
      </c>
      <c r="V522" s="417">
        <f t="shared" si="145"/>
        <v>519</v>
      </c>
      <c r="W522" s="509"/>
      <c r="X522" s="321"/>
      <c r="Y522" s="321"/>
      <c r="Z522" s="433"/>
      <c r="AA522" s="918">
        <f t="shared" si="136"/>
        <v>1</v>
      </c>
      <c r="AB522" s="306" t="str">
        <f t="shared" si="137"/>
        <v/>
      </c>
      <c r="AC522" s="788"/>
      <c r="AD522" s="119">
        <f t="shared" si="135"/>
        <v>0</v>
      </c>
      <c r="AE522" s="108">
        <f t="shared" si="135"/>
        <v>0</v>
      </c>
      <c r="AF522" s="108">
        <f t="shared" si="135"/>
        <v>0</v>
      </c>
      <c r="AG522" s="108"/>
      <c r="AH522" s="108"/>
      <c r="AI522" s="108"/>
      <c r="AJ522" s="108"/>
      <c r="AK522" s="108"/>
      <c r="AL522" s="108">
        <f t="shared" si="138"/>
        <v>0</v>
      </c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20">
        <f t="shared" si="139"/>
        <v>0</v>
      </c>
      <c r="CL522" s="122">
        <f t="shared" si="140"/>
        <v>0</v>
      </c>
      <c r="CM522" s="524" t="str">
        <f t="shared" si="142"/>
        <v/>
      </c>
      <c r="CN522" s="526">
        <f t="shared" si="143"/>
        <v>0</v>
      </c>
      <c r="CO522" s="122">
        <f t="shared" si="144"/>
        <v>0</v>
      </c>
      <c r="CP522" s="45" t="str">
        <f t="shared" si="141"/>
        <v>1 - in MILLESIMI   I</v>
      </c>
      <c r="CQ522" s="1"/>
    </row>
    <row r="523" spans="1:95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435">
        <f>IF(AND(W523&gt;=$U$1,W523&lt;=$U$2),IF(X523='ESTRATTO CONTO'!$E$2,1+COUNTIF(U$4:U522,"&gt;0"),0),0)</f>
        <v>0</v>
      </c>
      <c r="V523" s="417">
        <f t="shared" si="145"/>
        <v>520</v>
      </c>
      <c r="W523" s="509"/>
      <c r="X523" s="321"/>
      <c r="Y523" s="321"/>
      <c r="Z523" s="433"/>
      <c r="AA523" s="918">
        <f t="shared" si="136"/>
        <v>1</v>
      </c>
      <c r="AB523" s="306" t="str">
        <f t="shared" si="137"/>
        <v/>
      </c>
      <c r="AC523" s="788"/>
      <c r="AD523" s="119">
        <f t="shared" si="135"/>
        <v>0</v>
      </c>
      <c r="AE523" s="108">
        <f t="shared" si="135"/>
        <v>0</v>
      </c>
      <c r="AF523" s="108">
        <f t="shared" si="135"/>
        <v>0</v>
      </c>
      <c r="AG523" s="108"/>
      <c r="AH523" s="108"/>
      <c r="AI523" s="108"/>
      <c r="AJ523" s="108"/>
      <c r="AK523" s="108"/>
      <c r="AL523" s="108">
        <f t="shared" si="138"/>
        <v>0</v>
      </c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20">
        <f t="shared" si="139"/>
        <v>0</v>
      </c>
      <c r="CL523" s="122">
        <f t="shared" si="140"/>
        <v>0</v>
      </c>
      <c r="CM523" s="524" t="str">
        <f t="shared" si="142"/>
        <v/>
      </c>
      <c r="CN523" s="526">
        <f t="shared" si="143"/>
        <v>0</v>
      </c>
      <c r="CO523" s="122">
        <f t="shared" si="144"/>
        <v>0</v>
      </c>
      <c r="CP523" s="45" t="str">
        <f t="shared" si="141"/>
        <v>1 - in MILLESIMI   I</v>
      </c>
      <c r="CQ523" s="1"/>
    </row>
    <row r="524" spans="1:95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435">
        <f>IF(AND(W524&gt;=$U$1,W524&lt;=$U$2),IF(X524='ESTRATTO CONTO'!$E$2,1+COUNTIF(U$4:U523,"&gt;0"),0),0)</f>
        <v>0</v>
      </c>
      <c r="V524" s="417">
        <f t="shared" si="145"/>
        <v>521</v>
      </c>
      <c r="W524" s="509"/>
      <c r="X524" s="321"/>
      <c r="Y524" s="321"/>
      <c r="Z524" s="433"/>
      <c r="AA524" s="918">
        <f t="shared" si="136"/>
        <v>1</v>
      </c>
      <c r="AB524" s="306" t="str">
        <f t="shared" si="137"/>
        <v/>
      </c>
      <c r="AC524" s="788"/>
      <c r="AD524" s="119">
        <f t="shared" ref="AD524:AF543" si="146">IF($AB524=0,0,ROUND($Z524*VLOOKUP(AD$2,$F$1010:$Q$1014,VLOOKUP($CP524,$C$1076:$E$1081,3,FALSE),FALSE),2))</f>
        <v>0</v>
      </c>
      <c r="AE524" s="108">
        <f t="shared" si="146"/>
        <v>0</v>
      </c>
      <c r="AF524" s="108">
        <f t="shared" si="146"/>
        <v>0</v>
      </c>
      <c r="AG524" s="108"/>
      <c r="AH524" s="108"/>
      <c r="AI524" s="108"/>
      <c r="AJ524" s="108"/>
      <c r="AK524" s="108"/>
      <c r="AL524" s="108">
        <f t="shared" si="138"/>
        <v>0</v>
      </c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20">
        <f t="shared" si="139"/>
        <v>0</v>
      </c>
      <c r="CL524" s="122">
        <f t="shared" si="140"/>
        <v>0</v>
      </c>
      <c r="CM524" s="524" t="str">
        <f t="shared" si="142"/>
        <v/>
      </c>
      <c r="CN524" s="526">
        <f t="shared" si="143"/>
        <v>0</v>
      </c>
      <c r="CO524" s="122">
        <f t="shared" si="144"/>
        <v>0</v>
      </c>
      <c r="CP524" s="45" t="str">
        <f t="shared" si="141"/>
        <v>1 - in MILLESIMI   I</v>
      </c>
      <c r="CQ524" s="1"/>
    </row>
    <row r="525" spans="1:95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435">
        <f>IF(AND(W525&gt;=$U$1,W525&lt;=$U$2),IF(X525='ESTRATTO CONTO'!$E$2,1+COUNTIF(U$4:U524,"&gt;0"),0),0)</f>
        <v>0</v>
      </c>
      <c r="V525" s="417">
        <f t="shared" si="145"/>
        <v>522</v>
      </c>
      <c r="W525" s="509"/>
      <c r="X525" s="321"/>
      <c r="Y525" s="321"/>
      <c r="Z525" s="433"/>
      <c r="AA525" s="918">
        <f t="shared" si="136"/>
        <v>1</v>
      </c>
      <c r="AB525" s="306" t="str">
        <f t="shared" si="137"/>
        <v/>
      </c>
      <c r="AC525" s="788"/>
      <c r="AD525" s="119">
        <f t="shared" si="146"/>
        <v>0</v>
      </c>
      <c r="AE525" s="108">
        <f t="shared" si="146"/>
        <v>0</v>
      </c>
      <c r="AF525" s="108">
        <f t="shared" si="146"/>
        <v>0</v>
      </c>
      <c r="AG525" s="108"/>
      <c r="AH525" s="108"/>
      <c r="AI525" s="108"/>
      <c r="AJ525" s="108"/>
      <c r="AK525" s="108"/>
      <c r="AL525" s="108">
        <f t="shared" si="138"/>
        <v>0</v>
      </c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20">
        <f t="shared" si="139"/>
        <v>0</v>
      </c>
      <c r="CL525" s="122">
        <f t="shared" si="140"/>
        <v>0</v>
      </c>
      <c r="CM525" s="524" t="str">
        <f t="shared" si="142"/>
        <v/>
      </c>
      <c r="CN525" s="526">
        <f t="shared" si="143"/>
        <v>0</v>
      </c>
      <c r="CO525" s="122">
        <f t="shared" si="144"/>
        <v>0</v>
      </c>
      <c r="CP525" s="45" t="str">
        <f t="shared" si="141"/>
        <v>1 - in MILLESIMI   I</v>
      </c>
      <c r="CQ525" s="1"/>
    </row>
    <row r="526" spans="1:95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435">
        <f>IF(AND(W526&gt;=$U$1,W526&lt;=$U$2),IF(X526='ESTRATTO CONTO'!$E$2,1+COUNTIF(U$4:U525,"&gt;0"),0),0)</f>
        <v>0</v>
      </c>
      <c r="V526" s="417">
        <f t="shared" si="145"/>
        <v>523</v>
      </c>
      <c r="W526" s="509"/>
      <c r="X526" s="321"/>
      <c r="Y526" s="321"/>
      <c r="Z526" s="433"/>
      <c r="AA526" s="918">
        <f t="shared" si="136"/>
        <v>1</v>
      </c>
      <c r="AB526" s="306" t="str">
        <f t="shared" si="137"/>
        <v/>
      </c>
      <c r="AC526" s="788"/>
      <c r="AD526" s="119">
        <f t="shared" si="146"/>
        <v>0</v>
      </c>
      <c r="AE526" s="108">
        <f t="shared" si="146"/>
        <v>0</v>
      </c>
      <c r="AF526" s="108">
        <f t="shared" si="146"/>
        <v>0</v>
      </c>
      <c r="AG526" s="108"/>
      <c r="AH526" s="108"/>
      <c r="AI526" s="108"/>
      <c r="AJ526" s="108"/>
      <c r="AK526" s="108"/>
      <c r="AL526" s="108">
        <f t="shared" si="138"/>
        <v>0</v>
      </c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20">
        <f t="shared" si="139"/>
        <v>0</v>
      </c>
      <c r="CL526" s="122">
        <f t="shared" si="140"/>
        <v>0</v>
      </c>
      <c r="CM526" s="524" t="str">
        <f t="shared" si="142"/>
        <v/>
      </c>
      <c r="CN526" s="526">
        <f t="shared" si="143"/>
        <v>0</v>
      </c>
      <c r="CO526" s="122">
        <f t="shared" si="144"/>
        <v>0</v>
      </c>
      <c r="CP526" s="45" t="str">
        <f t="shared" si="141"/>
        <v>1 - in MILLESIMI   I</v>
      </c>
      <c r="CQ526" s="1"/>
    </row>
    <row r="527" spans="1:95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435">
        <f>IF(AND(W527&gt;=$U$1,W527&lt;=$U$2),IF(X527='ESTRATTO CONTO'!$E$2,1+COUNTIF(U$4:U526,"&gt;0"),0),0)</f>
        <v>0</v>
      </c>
      <c r="V527" s="417">
        <f t="shared" si="145"/>
        <v>524</v>
      </c>
      <c r="W527" s="509"/>
      <c r="X527" s="321"/>
      <c r="Y527" s="321"/>
      <c r="Z527" s="433"/>
      <c r="AA527" s="918">
        <f t="shared" si="136"/>
        <v>1</v>
      </c>
      <c r="AB527" s="306" t="str">
        <f t="shared" si="137"/>
        <v/>
      </c>
      <c r="AC527" s="788"/>
      <c r="AD527" s="119">
        <f t="shared" si="146"/>
        <v>0</v>
      </c>
      <c r="AE527" s="108">
        <f t="shared" si="146"/>
        <v>0</v>
      </c>
      <c r="AF527" s="108">
        <f t="shared" si="146"/>
        <v>0</v>
      </c>
      <c r="AG527" s="108"/>
      <c r="AH527" s="108"/>
      <c r="AI527" s="108"/>
      <c r="AJ527" s="108"/>
      <c r="AK527" s="108"/>
      <c r="AL527" s="108">
        <f t="shared" si="138"/>
        <v>0</v>
      </c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20">
        <f t="shared" si="139"/>
        <v>0</v>
      </c>
      <c r="CL527" s="122">
        <f t="shared" si="140"/>
        <v>0</v>
      </c>
      <c r="CM527" s="524" t="str">
        <f t="shared" si="142"/>
        <v/>
      </c>
      <c r="CN527" s="526">
        <f t="shared" si="143"/>
        <v>0</v>
      </c>
      <c r="CO527" s="122">
        <f t="shared" si="144"/>
        <v>0</v>
      </c>
      <c r="CP527" s="45" t="str">
        <f t="shared" si="141"/>
        <v>1 - in MILLESIMI   I</v>
      </c>
      <c r="CQ527" s="1"/>
    </row>
    <row r="528" spans="1:95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435">
        <f>IF(AND(W528&gt;=$U$1,W528&lt;=$U$2),IF(X528='ESTRATTO CONTO'!$E$2,1+COUNTIF(U$4:U527,"&gt;0"),0),0)</f>
        <v>0</v>
      </c>
      <c r="V528" s="417">
        <f t="shared" si="145"/>
        <v>525</v>
      </c>
      <c r="W528" s="509"/>
      <c r="X528" s="321"/>
      <c r="Y528" s="321"/>
      <c r="Z528" s="433"/>
      <c r="AA528" s="918">
        <f t="shared" si="136"/>
        <v>1</v>
      </c>
      <c r="AB528" s="306" t="str">
        <f t="shared" si="137"/>
        <v/>
      </c>
      <c r="AC528" s="788"/>
      <c r="AD528" s="119">
        <f t="shared" si="146"/>
        <v>0</v>
      </c>
      <c r="AE528" s="108">
        <f t="shared" si="146"/>
        <v>0</v>
      </c>
      <c r="AF528" s="108">
        <f t="shared" si="146"/>
        <v>0</v>
      </c>
      <c r="AG528" s="108"/>
      <c r="AH528" s="108"/>
      <c r="AI528" s="108"/>
      <c r="AJ528" s="108"/>
      <c r="AK528" s="108"/>
      <c r="AL528" s="108">
        <f t="shared" si="138"/>
        <v>0</v>
      </c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20">
        <f t="shared" si="139"/>
        <v>0</v>
      </c>
      <c r="CL528" s="122">
        <f t="shared" si="140"/>
        <v>0</v>
      </c>
      <c r="CM528" s="524" t="str">
        <f t="shared" si="142"/>
        <v/>
      </c>
      <c r="CN528" s="526">
        <f t="shared" si="143"/>
        <v>0</v>
      </c>
      <c r="CO528" s="122">
        <f t="shared" si="144"/>
        <v>0</v>
      </c>
      <c r="CP528" s="45" t="str">
        <f t="shared" si="141"/>
        <v>1 - in MILLESIMI   I</v>
      </c>
      <c r="CQ528" s="1"/>
    </row>
    <row r="529" spans="1:95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435">
        <f>IF(AND(W529&gt;=$U$1,W529&lt;=$U$2),IF(X529='ESTRATTO CONTO'!$E$2,1+COUNTIF(U$4:U528,"&gt;0"),0),0)</f>
        <v>0</v>
      </c>
      <c r="V529" s="417">
        <f t="shared" si="145"/>
        <v>526</v>
      </c>
      <c r="W529" s="509"/>
      <c r="X529" s="321"/>
      <c r="Y529" s="321"/>
      <c r="Z529" s="433"/>
      <c r="AA529" s="918">
        <f t="shared" si="136"/>
        <v>1</v>
      </c>
      <c r="AB529" s="306" t="str">
        <f t="shared" si="137"/>
        <v/>
      </c>
      <c r="AC529" s="788"/>
      <c r="AD529" s="119">
        <f t="shared" si="146"/>
        <v>0</v>
      </c>
      <c r="AE529" s="108">
        <f t="shared" si="146"/>
        <v>0</v>
      </c>
      <c r="AF529" s="108">
        <f t="shared" si="146"/>
        <v>0</v>
      </c>
      <c r="AG529" s="108"/>
      <c r="AH529" s="108"/>
      <c r="AI529" s="108"/>
      <c r="AJ529" s="108"/>
      <c r="AK529" s="108"/>
      <c r="AL529" s="108">
        <f t="shared" si="138"/>
        <v>0</v>
      </c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20">
        <f t="shared" si="139"/>
        <v>0</v>
      </c>
      <c r="CL529" s="122">
        <f t="shared" si="140"/>
        <v>0</v>
      </c>
      <c r="CM529" s="524" t="str">
        <f t="shared" si="142"/>
        <v/>
      </c>
      <c r="CN529" s="526">
        <f t="shared" si="143"/>
        <v>0</v>
      </c>
      <c r="CO529" s="122">
        <f t="shared" si="144"/>
        <v>0</v>
      </c>
      <c r="CP529" s="45" t="str">
        <f t="shared" si="141"/>
        <v>1 - in MILLESIMI   I</v>
      </c>
      <c r="CQ529" s="1"/>
    </row>
    <row r="530" spans="1:95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435">
        <f>IF(AND(W530&gt;=$U$1,W530&lt;=$U$2),IF(X530='ESTRATTO CONTO'!$E$2,1+COUNTIF(U$4:U529,"&gt;0"),0),0)</f>
        <v>0</v>
      </c>
      <c r="V530" s="417">
        <f t="shared" si="145"/>
        <v>527</v>
      </c>
      <c r="W530" s="509"/>
      <c r="X530" s="321"/>
      <c r="Y530" s="321"/>
      <c r="Z530" s="433"/>
      <c r="AA530" s="918">
        <f t="shared" si="136"/>
        <v>1</v>
      </c>
      <c r="AB530" s="306" t="str">
        <f t="shared" si="137"/>
        <v/>
      </c>
      <c r="AC530" s="788"/>
      <c r="AD530" s="119">
        <f t="shared" si="146"/>
        <v>0</v>
      </c>
      <c r="AE530" s="108">
        <f t="shared" si="146"/>
        <v>0</v>
      </c>
      <c r="AF530" s="108">
        <f t="shared" si="146"/>
        <v>0</v>
      </c>
      <c r="AG530" s="108"/>
      <c r="AH530" s="108"/>
      <c r="AI530" s="108"/>
      <c r="AJ530" s="108"/>
      <c r="AK530" s="108"/>
      <c r="AL530" s="108">
        <f t="shared" si="138"/>
        <v>0</v>
      </c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20">
        <f t="shared" si="139"/>
        <v>0</v>
      </c>
      <c r="CL530" s="122">
        <f t="shared" si="140"/>
        <v>0</v>
      </c>
      <c r="CM530" s="524" t="str">
        <f t="shared" si="142"/>
        <v/>
      </c>
      <c r="CN530" s="526">
        <f t="shared" si="143"/>
        <v>0</v>
      </c>
      <c r="CO530" s="122">
        <f t="shared" si="144"/>
        <v>0</v>
      </c>
      <c r="CP530" s="45" t="str">
        <f t="shared" si="141"/>
        <v>1 - in MILLESIMI   I</v>
      </c>
      <c r="CQ530" s="1"/>
    </row>
    <row r="531" spans="1:95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435">
        <f>IF(AND(W531&gt;=$U$1,W531&lt;=$U$2),IF(X531='ESTRATTO CONTO'!$E$2,1+COUNTIF(U$4:U530,"&gt;0"),0),0)</f>
        <v>0</v>
      </c>
      <c r="V531" s="417">
        <f t="shared" si="145"/>
        <v>528</v>
      </c>
      <c r="W531" s="509"/>
      <c r="X531" s="321"/>
      <c r="Y531" s="321"/>
      <c r="Z531" s="433"/>
      <c r="AA531" s="918">
        <f t="shared" si="136"/>
        <v>1</v>
      </c>
      <c r="AB531" s="306" t="str">
        <f t="shared" si="137"/>
        <v/>
      </c>
      <c r="AC531" s="788"/>
      <c r="AD531" s="119">
        <f t="shared" si="146"/>
        <v>0</v>
      </c>
      <c r="AE531" s="108">
        <f t="shared" si="146"/>
        <v>0</v>
      </c>
      <c r="AF531" s="108">
        <f t="shared" si="146"/>
        <v>0</v>
      </c>
      <c r="AG531" s="108"/>
      <c r="AH531" s="108"/>
      <c r="AI531" s="108"/>
      <c r="AJ531" s="108"/>
      <c r="AK531" s="108"/>
      <c r="AL531" s="108">
        <f t="shared" si="138"/>
        <v>0</v>
      </c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20">
        <f t="shared" si="139"/>
        <v>0</v>
      </c>
      <c r="CL531" s="122">
        <f t="shared" si="140"/>
        <v>0</v>
      </c>
      <c r="CM531" s="524" t="str">
        <f t="shared" si="142"/>
        <v/>
      </c>
      <c r="CN531" s="526">
        <f t="shared" si="143"/>
        <v>0</v>
      </c>
      <c r="CO531" s="122">
        <f t="shared" si="144"/>
        <v>0</v>
      </c>
      <c r="CP531" s="45" t="str">
        <f t="shared" si="141"/>
        <v>1 - in MILLESIMI   I</v>
      </c>
      <c r="CQ531" s="1"/>
    </row>
    <row r="532" spans="1:95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435">
        <f>IF(AND(W532&gt;=$U$1,W532&lt;=$U$2),IF(X532='ESTRATTO CONTO'!$E$2,1+COUNTIF(U$4:U531,"&gt;0"),0),0)</f>
        <v>0</v>
      </c>
      <c r="V532" s="417">
        <f t="shared" si="145"/>
        <v>529</v>
      </c>
      <c r="W532" s="509"/>
      <c r="X532" s="321"/>
      <c r="Y532" s="321"/>
      <c r="Z532" s="433"/>
      <c r="AA532" s="918">
        <f t="shared" si="136"/>
        <v>1</v>
      </c>
      <c r="AB532" s="306" t="str">
        <f t="shared" si="137"/>
        <v/>
      </c>
      <c r="AC532" s="788"/>
      <c r="AD532" s="119">
        <f t="shared" si="146"/>
        <v>0</v>
      </c>
      <c r="AE532" s="108">
        <f t="shared" si="146"/>
        <v>0</v>
      </c>
      <c r="AF532" s="108">
        <f t="shared" si="146"/>
        <v>0</v>
      </c>
      <c r="AG532" s="108"/>
      <c r="AH532" s="108"/>
      <c r="AI532" s="108"/>
      <c r="AJ532" s="108"/>
      <c r="AK532" s="108"/>
      <c r="AL532" s="108">
        <f t="shared" si="138"/>
        <v>0</v>
      </c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20">
        <f t="shared" si="139"/>
        <v>0</v>
      </c>
      <c r="CL532" s="122">
        <f t="shared" si="140"/>
        <v>0</v>
      </c>
      <c r="CM532" s="524" t="str">
        <f t="shared" si="142"/>
        <v/>
      </c>
      <c r="CN532" s="526">
        <f t="shared" si="143"/>
        <v>0</v>
      </c>
      <c r="CO532" s="122">
        <f t="shared" si="144"/>
        <v>0</v>
      </c>
      <c r="CP532" s="45" t="str">
        <f t="shared" si="141"/>
        <v>1 - in MILLESIMI   I</v>
      </c>
      <c r="CQ532" s="1"/>
    </row>
    <row r="533" spans="1:95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435">
        <f>IF(AND(W533&gt;=$U$1,W533&lt;=$U$2),IF(X533='ESTRATTO CONTO'!$E$2,1+COUNTIF(U$4:U532,"&gt;0"),0),0)</f>
        <v>0</v>
      </c>
      <c r="V533" s="417">
        <f t="shared" si="145"/>
        <v>530</v>
      </c>
      <c r="W533" s="509"/>
      <c r="X533" s="321"/>
      <c r="Y533" s="321"/>
      <c r="Z533" s="433"/>
      <c r="AA533" s="918">
        <f t="shared" si="136"/>
        <v>1</v>
      </c>
      <c r="AB533" s="306" t="str">
        <f t="shared" si="137"/>
        <v/>
      </c>
      <c r="AC533" s="788"/>
      <c r="AD533" s="119">
        <f t="shared" si="146"/>
        <v>0</v>
      </c>
      <c r="AE533" s="108">
        <f t="shared" si="146"/>
        <v>0</v>
      </c>
      <c r="AF533" s="108">
        <f t="shared" si="146"/>
        <v>0</v>
      </c>
      <c r="AG533" s="108"/>
      <c r="AH533" s="108"/>
      <c r="AI533" s="108"/>
      <c r="AJ533" s="108"/>
      <c r="AK533" s="108"/>
      <c r="AL533" s="108">
        <f t="shared" si="138"/>
        <v>0</v>
      </c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20">
        <f t="shared" si="139"/>
        <v>0</v>
      </c>
      <c r="CL533" s="122">
        <f t="shared" si="140"/>
        <v>0</v>
      </c>
      <c r="CM533" s="524" t="str">
        <f t="shared" si="142"/>
        <v/>
      </c>
      <c r="CN533" s="526">
        <f t="shared" si="143"/>
        <v>0</v>
      </c>
      <c r="CO533" s="122">
        <f t="shared" si="144"/>
        <v>0</v>
      </c>
      <c r="CP533" s="45" t="str">
        <f t="shared" si="141"/>
        <v>1 - in MILLESIMI   I</v>
      </c>
      <c r="CQ533" s="1"/>
    </row>
    <row r="534" spans="1:95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435">
        <f>IF(AND(W534&gt;=$U$1,W534&lt;=$U$2),IF(X534='ESTRATTO CONTO'!$E$2,1+COUNTIF(U$4:U533,"&gt;0"),0),0)</f>
        <v>0</v>
      </c>
      <c r="V534" s="417">
        <f t="shared" si="145"/>
        <v>531</v>
      </c>
      <c r="W534" s="509"/>
      <c r="X534" s="321"/>
      <c r="Y534" s="321"/>
      <c r="Z534" s="433"/>
      <c r="AA534" s="918">
        <f t="shared" si="136"/>
        <v>1</v>
      </c>
      <c r="AB534" s="306" t="str">
        <f t="shared" si="137"/>
        <v/>
      </c>
      <c r="AC534" s="788"/>
      <c r="AD534" s="119">
        <f t="shared" si="146"/>
        <v>0</v>
      </c>
      <c r="AE534" s="108">
        <f t="shared" si="146"/>
        <v>0</v>
      </c>
      <c r="AF534" s="108">
        <f t="shared" si="146"/>
        <v>0</v>
      </c>
      <c r="AG534" s="108"/>
      <c r="AH534" s="108"/>
      <c r="AI534" s="108"/>
      <c r="AJ534" s="108"/>
      <c r="AK534" s="108"/>
      <c r="AL534" s="108">
        <f t="shared" si="138"/>
        <v>0</v>
      </c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20">
        <f t="shared" si="139"/>
        <v>0</v>
      </c>
      <c r="CL534" s="122">
        <f t="shared" si="140"/>
        <v>0</v>
      </c>
      <c r="CM534" s="524" t="str">
        <f t="shared" si="142"/>
        <v/>
      </c>
      <c r="CN534" s="526">
        <f t="shared" si="143"/>
        <v>0</v>
      </c>
      <c r="CO534" s="122">
        <f t="shared" si="144"/>
        <v>0</v>
      </c>
      <c r="CP534" s="45" t="str">
        <f t="shared" si="141"/>
        <v>1 - in MILLESIMI   I</v>
      </c>
      <c r="CQ534" s="1"/>
    </row>
    <row r="535" spans="1:95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435">
        <f>IF(AND(W535&gt;=$U$1,W535&lt;=$U$2),IF(X535='ESTRATTO CONTO'!$E$2,1+COUNTIF(U$4:U534,"&gt;0"),0),0)</f>
        <v>0</v>
      </c>
      <c r="V535" s="417">
        <f t="shared" si="145"/>
        <v>532</v>
      </c>
      <c r="W535" s="509"/>
      <c r="X535" s="321"/>
      <c r="Y535" s="321"/>
      <c r="Z535" s="433"/>
      <c r="AA535" s="918">
        <f t="shared" si="136"/>
        <v>1</v>
      </c>
      <c r="AB535" s="306" t="str">
        <f t="shared" si="137"/>
        <v/>
      </c>
      <c r="AC535" s="788"/>
      <c r="AD535" s="119">
        <f t="shared" si="146"/>
        <v>0</v>
      </c>
      <c r="AE535" s="108">
        <f t="shared" si="146"/>
        <v>0</v>
      </c>
      <c r="AF535" s="108">
        <f t="shared" si="146"/>
        <v>0</v>
      </c>
      <c r="AG535" s="108"/>
      <c r="AH535" s="108"/>
      <c r="AI535" s="108"/>
      <c r="AJ535" s="108"/>
      <c r="AK535" s="108"/>
      <c r="AL535" s="108">
        <f t="shared" si="138"/>
        <v>0</v>
      </c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20">
        <f t="shared" si="139"/>
        <v>0</v>
      </c>
      <c r="CL535" s="122">
        <f t="shared" si="140"/>
        <v>0</v>
      </c>
      <c r="CM535" s="524" t="str">
        <f t="shared" si="142"/>
        <v/>
      </c>
      <c r="CN535" s="526">
        <f t="shared" si="143"/>
        <v>0</v>
      </c>
      <c r="CO535" s="122">
        <f t="shared" si="144"/>
        <v>0</v>
      </c>
      <c r="CP535" s="45" t="str">
        <f t="shared" si="141"/>
        <v>1 - in MILLESIMI   I</v>
      </c>
      <c r="CQ535" s="1"/>
    </row>
    <row r="536" spans="1:95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435">
        <f>IF(AND(W536&gt;=$U$1,W536&lt;=$U$2),IF(X536='ESTRATTO CONTO'!$E$2,1+COUNTIF(U$4:U535,"&gt;0"),0),0)</f>
        <v>0</v>
      </c>
      <c r="V536" s="417">
        <f t="shared" si="145"/>
        <v>533</v>
      </c>
      <c r="W536" s="509"/>
      <c r="X536" s="321"/>
      <c r="Y536" s="321"/>
      <c r="Z536" s="433"/>
      <c r="AA536" s="918">
        <f t="shared" si="136"/>
        <v>1</v>
      </c>
      <c r="AB536" s="306" t="str">
        <f t="shared" si="137"/>
        <v/>
      </c>
      <c r="AC536" s="788"/>
      <c r="AD536" s="119">
        <f t="shared" si="146"/>
        <v>0</v>
      </c>
      <c r="AE536" s="108">
        <f t="shared" si="146"/>
        <v>0</v>
      </c>
      <c r="AF536" s="108">
        <f t="shared" si="146"/>
        <v>0</v>
      </c>
      <c r="AG536" s="108"/>
      <c r="AH536" s="108"/>
      <c r="AI536" s="108"/>
      <c r="AJ536" s="108"/>
      <c r="AK536" s="108"/>
      <c r="AL536" s="108">
        <f t="shared" si="138"/>
        <v>0</v>
      </c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20">
        <f t="shared" si="139"/>
        <v>0</v>
      </c>
      <c r="CL536" s="122">
        <f t="shared" si="140"/>
        <v>0</v>
      </c>
      <c r="CM536" s="524" t="str">
        <f t="shared" si="142"/>
        <v/>
      </c>
      <c r="CN536" s="526">
        <f t="shared" si="143"/>
        <v>0</v>
      </c>
      <c r="CO536" s="122">
        <f t="shared" si="144"/>
        <v>0</v>
      </c>
      <c r="CP536" s="45" t="str">
        <f t="shared" si="141"/>
        <v>1 - in MILLESIMI   I</v>
      </c>
      <c r="CQ536" s="1"/>
    </row>
    <row r="537" spans="1:95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435">
        <f>IF(AND(W537&gt;=$U$1,W537&lt;=$U$2),IF(X537='ESTRATTO CONTO'!$E$2,1+COUNTIF(U$4:U536,"&gt;0"),0),0)</f>
        <v>0</v>
      </c>
      <c r="V537" s="417">
        <f t="shared" si="145"/>
        <v>534</v>
      </c>
      <c r="W537" s="509"/>
      <c r="X537" s="321"/>
      <c r="Y537" s="321"/>
      <c r="Z537" s="433"/>
      <c r="AA537" s="918">
        <f t="shared" si="136"/>
        <v>1</v>
      </c>
      <c r="AB537" s="306" t="str">
        <f t="shared" si="137"/>
        <v/>
      </c>
      <c r="AC537" s="788"/>
      <c r="AD537" s="119">
        <f t="shared" si="146"/>
        <v>0</v>
      </c>
      <c r="AE537" s="108">
        <f t="shared" si="146"/>
        <v>0</v>
      </c>
      <c r="AF537" s="108">
        <f t="shared" si="146"/>
        <v>0</v>
      </c>
      <c r="AG537" s="108"/>
      <c r="AH537" s="108"/>
      <c r="AI537" s="108"/>
      <c r="AJ537" s="108"/>
      <c r="AK537" s="108"/>
      <c r="AL537" s="108">
        <f t="shared" si="138"/>
        <v>0</v>
      </c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20">
        <f t="shared" si="139"/>
        <v>0</v>
      </c>
      <c r="CL537" s="122">
        <f t="shared" si="140"/>
        <v>0</v>
      </c>
      <c r="CM537" s="524" t="str">
        <f t="shared" si="142"/>
        <v/>
      </c>
      <c r="CN537" s="526">
        <f t="shared" si="143"/>
        <v>0</v>
      </c>
      <c r="CO537" s="122">
        <f t="shared" si="144"/>
        <v>0</v>
      </c>
      <c r="CP537" s="45" t="str">
        <f t="shared" si="141"/>
        <v>1 - in MILLESIMI   I</v>
      </c>
      <c r="CQ537" s="1"/>
    </row>
    <row r="538" spans="1:95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435">
        <f>IF(AND(W538&gt;=$U$1,W538&lt;=$U$2),IF(X538='ESTRATTO CONTO'!$E$2,1+COUNTIF(U$4:U537,"&gt;0"),0),0)</f>
        <v>0</v>
      </c>
      <c r="V538" s="417">
        <f t="shared" si="145"/>
        <v>535</v>
      </c>
      <c r="W538" s="509"/>
      <c r="X538" s="321"/>
      <c r="Y538" s="321"/>
      <c r="Z538" s="433"/>
      <c r="AA538" s="918">
        <f t="shared" si="136"/>
        <v>1</v>
      </c>
      <c r="AB538" s="306" t="str">
        <f t="shared" si="137"/>
        <v/>
      </c>
      <c r="AC538" s="788"/>
      <c r="AD538" s="119">
        <f t="shared" si="146"/>
        <v>0</v>
      </c>
      <c r="AE538" s="108">
        <f t="shared" si="146"/>
        <v>0</v>
      </c>
      <c r="AF538" s="108">
        <f t="shared" si="146"/>
        <v>0</v>
      </c>
      <c r="AG538" s="108"/>
      <c r="AH538" s="108"/>
      <c r="AI538" s="108"/>
      <c r="AJ538" s="108"/>
      <c r="AK538" s="108"/>
      <c r="AL538" s="108">
        <f t="shared" si="138"/>
        <v>0</v>
      </c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20">
        <f t="shared" si="139"/>
        <v>0</v>
      </c>
      <c r="CL538" s="122">
        <f t="shared" si="140"/>
        <v>0</v>
      </c>
      <c r="CM538" s="524" t="str">
        <f t="shared" si="142"/>
        <v/>
      </c>
      <c r="CN538" s="526">
        <f t="shared" si="143"/>
        <v>0</v>
      </c>
      <c r="CO538" s="122">
        <f t="shared" si="144"/>
        <v>0</v>
      </c>
      <c r="CP538" s="45" t="str">
        <f t="shared" si="141"/>
        <v>1 - in MILLESIMI   I</v>
      </c>
      <c r="CQ538" s="1"/>
    </row>
    <row r="539" spans="1:95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435">
        <f>IF(AND(W539&gt;=$U$1,W539&lt;=$U$2),IF(X539='ESTRATTO CONTO'!$E$2,1+COUNTIF(U$4:U538,"&gt;0"),0),0)</f>
        <v>0</v>
      </c>
      <c r="V539" s="417">
        <f t="shared" si="145"/>
        <v>536</v>
      </c>
      <c r="W539" s="509"/>
      <c r="X539" s="321"/>
      <c r="Y539" s="321"/>
      <c r="Z539" s="433"/>
      <c r="AA539" s="918">
        <f t="shared" si="136"/>
        <v>1</v>
      </c>
      <c r="AB539" s="306" t="str">
        <f t="shared" si="137"/>
        <v/>
      </c>
      <c r="AC539" s="788"/>
      <c r="AD539" s="119">
        <f t="shared" si="146"/>
        <v>0</v>
      </c>
      <c r="AE539" s="108">
        <f t="shared" si="146"/>
        <v>0</v>
      </c>
      <c r="AF539" s="108">
        <f t="shared" si="146"/>
        <v>0</v>
      </c>
      <c r="AG539" s="108"/>
      <c r="AH539" s="108"/>
      <c r="AI539" s="108"/>
      <c r="AJ539" s="108"/>
      <c r="AK539" s="108"/>
      <c r="AL539" s="108">
        <f t="shared" si="138"/>
        <v>0</v>
      </c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20">
        <f t="shared" si="139"/>
        <v>0</v>
      </c>
      <c r="CL539" s="122">
        <f t="shared" si="140"/>
        <v>0</v>
      </c>
      <c r="CM539" s="524" t="str">
        <f t="shared" si="142"/>
        <v/>
      </c>
      <c r="CN539" s="526">
        <f t="shared" si="143"/>
        <v>0</v>
      </c>
      <c r="CO539" s="122">
        <f t="shared" si="144"/>
        <v>0</v>
      </c>
      <c r="CP539" s="45" t="str">
        <f t="shared" si="141"/>
        <v>1 - in MILLESIMI   I</v>
      </c>
      <c r="CQ539" s="1"/>
    </row>
    <row r="540" spans="1:95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435">
        <f>IF(AND(W540&gt;=$U$1,W540&lt;=$U$2),IF(X540='ESTRATTO CONTO'!$E$2,1+COUNTIF(U$4:U539,"&gt;0"),0),0)</f>
        <v>0</v>
      </c>
      <c r="V540" s="417">
        <f t="shared" si="145"/>
        <v>537</v>
      </c>
      <c r="W540" s="509"/>
      <c r="X540" s="321"/>
      <c r="Y540" s="321"/>
      <c r="Z540" s="433"/>
      <c r="AA540" s="918">
        <f t="shared" si="136"/>
        <v>1</v>
      </c>
      <c r="AB540" s="306" t="str">
        <f t="shared" si="137"/>
        <v/>
      </c>
      <c r="AC540" s="788"/>
      <c r="AD540" s="119">
        <f t="shared" si="146"/>
        <v>0</v>
      </c>
      <c r="AE540" s="108">
        <f t="shared" si="146"/>
        <v>0</v>
      </c>
      <c r="AF540" s="108">
        <f t="shared" si="146"/>
        <v>0</v>
      </c>
      <c r="AG540" s="108"/>
      <c r="AH540" s="108"/>
      <c r="AI540" s="108"/>
      <c r="AJ540" s="108"/>
      <c r="AK540" s="108"/>
      <c r="AL540" s="108">
        <f t="shared" si="138"/>
        <v>0</v>
      </c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20">
        <f t="shared" si="139"/>
        <v>0</v>
      </c>
      <c r="CL540" s="122">
        <f t="shared" si="140"/>
        <v>0</v>
      </c>
      <c r="CM540" s="524" t="str">
        <f t="shared" si="142"/>
        <v/>
      </c>
      <c r="CN540" s="526">
        <f t="shared" si="143"/>
        <v>0</v>
      </c>
      <c r="CO540" s="122">
        <f t="shared" si="144"/>
        <v>0</v>
      </c>
      <c r="CP540" s="45" t="str">
        <f t="shared" si="141"/>
        <v>1 - in MILLESIMI   I</v>
      </c>
      <c r="CQ540" s="1"/>
    </row>
    <row r="541" spans="1:95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435">
        <f>IF(AND(W541&gt;=$U$1,W541&lt;=$U$2),IF(X541='ESTRATTO CONTO'!$E$2,1+COUNTIF(U$4:U540,"&gt;0"),0),0)</f>
        <v>0</v>
      </c>
      <c r="V541" s="417">
        <f t="shared" si="145"/>
        <v>538</v>
      </c>
      <c r="W541" s="509"/>
      <c r="X541" s="321"/>
      <c r="Y541" s="321"/>
      <c r="Z541" s="433"/>
      <c r="AA541" s="918">
        <f t="shared" si="136"/>
        <v>1</v>
      </c>
      <c r="AB541" s="306" t="str">
        <f t="shared" si="137"/>
        <v/>
      </c>
      <c r="AC541" s="788"/>
      <c r="AD541" s="119">
        <f t="shared" si="146"/>
        <v>0</v>
      </c>
      <c r="AE541" s="108">
        <f t="shared" si="146"/>
        <v>0</v>
      </c>
      <c r="AF541" s="108">
        <f t="shared" si="146"/>
        <v>0</v>
      </c>
      <c r="AG541" s="108"/>
      <c r="AH541" s="108"/>
      <c r="AI541" s="108"/>
      <c r="AJ541" s="108"/>
      <c r="AK541" s="108"/>
      <c r="AL541" s="108">
        <f t="shared" si="138"/>
        <v>0</v>
      </c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20">
        <f t="shared" si="139"/>
        <v>0</v>
      </c>
      <c r="CL541" s="122">
        <f t="shared" si="140"/>
        <v>0</v>
      </c>
      <c r="CM541" s="524" t="str">
        <f t="shared" si="142"/>
        <v/>
      </c>
      <c r="CN541" s="526">
        <f t="shared" si="143"/>
        <v>0</v>
      </c>
      <c r="CO541" s="122">
        <f t="shared" si="144"/>
        <v>0</v>
      </c>
      <c r="CP541" s="45" t="str">
        <f t="shared" si="141"/>
        <v>1 - in MILLESIMI   I</v>
      </c>
      <c r="CQ541" s="1"/>
    </row>
    <row r="542" spans="1:95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435">
        <f>IF(AND(W542&gt;=$U$1,W542&lt;=$U$2),IF(X542='ESTRATTO CONTO'!$E$2,1+COUNTIF(U$4:U541,"&gt;0"),0),0)</f>
        <v>0</v>
      </c>
      <c r="V542" s="417">
        <f t="shared" si="145"/>
        <v>539</v>
      </c>
      <c r="W542" s="509"/>
      <c r="X542" s="321"/>
      <c r="Y542" s="321"/>
      <c r="Z542" s="433"/>
      <c r="AA542" s="918">
        <f t="shared" si="136"/>
        <v>1</v>
      </c>
      <c r="AB542" s="306" t="str">
        <f t="shared" si="137"/>
        <v/>
      </c>
      <c r="AC542" s="788"/>
      <c r="AD542" s="119">
        <f t="shared" si="146"/>
        <v>0</v>
      </c>
      <c r="AE542" s="108">
        <f t="shared" si="146"/>
        <v>0</v>
      </c>
      <c r="AF542" s="108">
        <f t="shared" si="146"/>
        <v>0</v>
      </c>
      <c r="AG542" s="108"/>
      <c r="AH542" s="108"/>
      <c r="AI542" s="108"/>
      <c r="AJ542" s="108"/>
      <c r="AK542" s="108"/>
      <c r="AL542" s="108">
        <f t="shared" si="138"/>
        <v>0</v>
      </c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20">
        <f t="shared" si="139"/>
        <v>0</v>
      </c>
      <c r="CL542" s="122">
        <f t="shared" si="140"/>
        <v>0</v>
      </c>
      <c r="CM542" s="524" t="str">
        <f t="shared" si="142"/>
        <v/>
      </c>
      <c r="CN542" s="526">
        <f t="shared" si="143"/>
        <v>0</v>
      </c>
      <c r="CO542" s="122">
        <f t="shared" si="144"/>
        <v>0</v>
      </c>
      <c r="CP542" s="45" t="str">
        <f t="shared" si="141"/>
        <v>1 - in MILLESIMI   I</v>
      </c>
      <c r="CQ542" s="1"/>
    </row>
    <row r="543" spans="1:95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435">
        <f>IF(AND(W543&gt;=$U$1,W543&lt;=$U$2),IF(X543='ESTRATTO CONTO'!$E$2,1+COUNTIF(U$4:U542,"&gt;0"),0),0)</f>
        <v>0</v>
      </c>
      <c r="V543" s="417">
        <f t="shared" si="145"/>
        <v>540</v>
      </c>
      <c r="W543" s="509"/>
      <c r="X543" s="321"/>
      <c r="Y543" s="321"/>
      <c r="Z543" s="433"/>
      <c r="AA543" s="918">
        <f t="shared" si="136"/>
        <v>1</v>
      </c>
      <c r="AB543" s="306" t="str">
        <f t="shared" si="137"/>
        <v/>
      </c>
      <c r="AC543" s="788"/>
      <c r="AD543" s="119">
        <f t="shared" si="146"/>
        <v>0</v>
      </c>
      <c r="AE543" s="108">
        <f t="shared" si="146"/>
        <v>0</v>
      </c>
      <c r="AF543" s="108">
        <f t="shared" si="146"/>
        <v>0</v>
      </c>
      <c r="AG543" s="108"/>
      <c r="AH543" s="108"/>
      <c r="AI543" s="108"/>
      <c r="AJ543" s="108"/>
      <c r="AK543" s="108"/>
      <c r="AL543" s="108">
        <f t="shared" si="138"/>
        <v>0</v>
      </c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20">
        <f t="shared" si="139"/>
        <v>0</v>
      </c>
      <c r="CL543" s="122">
        <f t="shared" si="140"/>
        <v>0</v>
      </c>
      <c r="CM543" s="524" t="str">
        <f t="shared" si="142"/>
        <v/>
      </c>
      <c r="CN543" s="526">
        <f t="shared" si="143"/>
        <v>0</v>
      </c>
      <c r="CO543" s="122">
        <f t="shared" si="144"/>
        <v>0</v>
      </c>
      <c r="CP543" s="45" t="str">
        <f t="shared" si="141"/>
        <v>1 - in MILLESIMI   I</v>
      </c>
      <c r="CQ543" s="1"/>
    </row>
    <row r="544" spans="1:95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435">
        <f>IF(AND(W544&gt;=$U$1,W544&lt;=$U$2),IF(X544='ESTRATTO CONTO'!$E$2,1+COUNTIF(U$4:U543,"&gt;0"),0),0)</f>
        <v>0</v>
      </c>
      <c r="V544" s="417">
        <f t="shared" si="145"/>
        <v>541</v>
      </c>
      <c r="W544" s="509"/>
      <c r="X544" s="321"/>
      <c r="Y544" s="321"/>
      <c r="Z544" s="433"/>
      <c r="AA544" s="918">
        <f t="shared" si="136"/>
        <v>1</v>
      </c>
      <c r="AB544" s="306" t="str">
        <f t="shared" si="137"/>
        <v/>
      </c>
      <c r="AC544" s="788"/>
      <c r="AD544" s="119">
        <f t="shared" ref="AD544:AF563" si="147">IF($AB544=0,0,ROUND($Z544*VLOOKUP(AD$2,$F$1010:$Q$1014,VLOOKUP($CP544,$C$1076:$E$1081,3,FALSE),FALSE),2))</f>
        <v>0</v>
      </c>
      <c r="AE544" s="108">
        <f t="shared" si="147"/>
        <v>0</v>
      </c>
      <c r="AF544" s="108">
        <f t="shared" si="147"/>
        <v>0</v>
      </c>
      <c r="AG544" s="108"/>
      <c r="AH544" s="108"/>
      <c r="AI544" s="108"/>
      <c r="AJ544" s="108"/>
      <c r="AK544" s="108"/>
      <c r="AL544" s="108">
        <f t="shared" si="138"/>
        <v>0</v>
      </c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20">
        <f t="shared" si="139"/>
        <v>0</v>
      </c>
      <c r="CL544" s="122">
        <f t="shared" si="140"/>
        <v>0</v>
      </c>
      <c r="CM544" s="524" t="str">
        <f t="shared" si="142"/>
        <v/>
      </c>
      <c r="CN544" s="526">
        <f t="shared" si="143"/>
        <v>0</v>
      </c>
      <c r="CO544" s="122">
        <f t="shared" si="144"/>
        <v>0</v>
      </c>
      <c r="CP544" s="45" t="str">
        <f t="shared" si="141"/>
        <v>1 - in MILLESIMI   I</v>
      </c>
      <c r="CQ544" s="1"/>
    </row>
    <row r="545" spans="1:95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435">
        <f>IF(AND(W545&gt;=$U$1,W545&lt;=$U$2),IF(X545='ESTRATTO CONTO'!$E$2,1+COUNTIF(U$4:U544,"&gt;0"),0),0)</f>
        <v>0</v>
      </c>
      <c r="V545" s="417">
        <f t="shared" si="145"/>
        <v>542</v>
      </c>
      <c r="W545" s="509"/>
      <c r="X545" s="321"/>
      <c r="Y545" s="321"/>
      <c r="Z545" s="433"/>
      <c r="AA545" s="918">
        <f t="shared" si="136"/>
        <v>1</v>
      </c>
      <c r="AB545" s="306" t="str">
        <f t="shared" si="137"/>
        <v/>
      </c>
      <c r="AC545" s="788"/>
      <c r="AD545" s="119">
        <f t="shared" si="147"/>
        <v>0</v>
      </c>
      <c r="AE545" s="108">
        <f t="shared" si="147"/>
        <v>0</v>
      </c>
      <c r="AF545" s="108">
        <f t="shared" si="147"/>
        <v>0</v>
      </c>
      <c r="AG545" s="108"/>
      <c r="AH545" s="108"/>
      <c r="AI545" s="108"/>
      <c r="AJ545" s="108"/>
      <c r="AK545" s="108"/>
      <c r="AL545" s="108">
        <f t="shared" si="138"/>
        <v>0</v>
      </c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20">
        <f t="shared" si="139"/>
        <v>0</v>
      </c>
      <c r="CL545" s="122">
        <f t="shared" si="140"/>
        <v>0</v>
      </c>
      <c r="CM545" s="524" t="str">
        <f t="shared" si="142"/>
        <v/>
      </c>
      <c r="CN545" s="526">
        <f t="shared" si="143"/>
        <v>0</v>
      </c>
      <c r="CO545" s="122">
        <f t="shared" si="144"/>
        <v>0</v>
      </c>
      <c r="CP545" s="45" t="str">
        <f t="shared" si="141"/>
        <v>1 - in MILLESIMI   I</v>
      </c>
      <c r="CQ545" s="1"/>
    </row>
    <row r="546" spans="1:95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435">
        <f>IF(AND(W546&gt;=$U$1,W546&lt;=$U$2),IF(X546='ESTRATTO CONTO'!$E$2,1+COUNTIF(U$4:U545,"&gt;0"),0),0)</f>
        <v>0</v>
      </c>
      <c r="V546" s="417">
        <f t="shared" si="145"/>
        <v>543</v>
      </c>
      <c r="W546" s="509"/>
      <c r="X546" s="321"/>
      <c r="Y546" s="321"/>
      <c r="Z546" s="433"/>
      <c r="AA546" s="918">
        <f t="shared" si="136"/>
        <v>1</v>
      </c>
      <c r="AB546" s="306" t="str">
        <f t="shared" si="137"/>
        <v/>
      </c>
      <c r="AC546" s="788"/>
      <c r="AD546" s="119">
        <f t="shared" si="147"/>
        <v>0</v>
      </c>
      <c r="AE546" s="108">
        <f t="shared" si="147"/>
        <v>0</v>
      </c>
      <c r="AF546" s="108">
        <f t="shared" si="147"/>
        <v>0</v>
      </c>
      <c r="AG546" s="108"/>
      <c r="AH546" s="108"/>
      <c r="AI546" s="108"/>
      <c r="AJ546" s="108"/>
      <c r="AK546" s="108"/>
      <c r="AL546" s="108">
        <f t="shared" si="138"/>
        <v>0</v>
      </c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20">
        <f t="shared" si="139"/>
        <v>0</v>
      </c>
      <c r="CL546" s="122">
        <f t="shared" si="140"/>
        <v>0</v>
      </c>
      <c r="CM546" s="524" t="str">
        <f t="shared" si="142"/>
        <v/>
      </c>
      <c r="CN546" s="526">
        <f t="shared" si="143"/>
        <v>0</v>
      </c>
      <c r="CO546" s="122">
        <f t="shared" si="144"/>
        <v>0</v>
      </c>
      <c r="CP546" s="45" t="str">
        <f t="shared" si="141"/>
        <v>1 - in MILLESIMI   I</v>
      </c>
      <c r="CQ546" s="1"/>
    </row>
    <row r="547" spans="1:95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435">
        <f>IF(AND(W547&gt;=$U$1,W547&lt;=$U$2),IF(X547='ESTRATTO CONTO'!$E$2,1+COUNTIF(U$4:U546,"&gt;0"),0),0)</f>
        <v>0</v>
      </c>
      <c r="V547" s="417">
        <f t="shared" si="145"/>
        <v>544</v>
      </c>
      <c r="W547" s="509"/>
      <c r="X547" s="321"/>
      <c r="Y547" s="321"/>
      <c r="Z547" s="433"/>
      <c r="AA547" s="918">
        <f t="shared" si="136"/>
        <v>1</v>
      </c>
      <c r="AB547" s="306" t="str">
        <f t="shared" si="137"/>
        <v/>
      </c>
      <c r="AC547" s="788"/>
      <c r="AD547" s="119">
        <f t="shared" si="147"/>
        <v>0</v>
      </c>
      <c r="AE547" s="108">
        <f t="shared" si="147"/>
        <v>0</v>
      </c>
      <c r="AF547" s="108">
        <f t="shared" si="147"/>
        <v>0</v>
      </c>
      <c r="AG547" s="108"/>
      <c r="AH547" s="108"/>
      <c r="AI547" s="108"/>
      <c r="AJ547" s="108"/>
      <c r="AK547" s="108"/>
      <c r="AL547" s="108">
        <f t="shared" si="138"/>
        <v>0</v>
      </c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20">
        <f t="shared" si="139"/>
        <v>0</v>
      </c>
      <c r="CL547" s="122">
        <f t="shared" si="140"/>
        <v>0</v>
      </c>
      <c r="CM547" s="524" t="str">
        <f t="shared" si="142"/>
        <v/>
      </c>
      <c r="CN547" s="526">
        <f t="shared" si="143"/>
        <v>0</v>
      </c>
      <c r="CO547" s="122">
        <f t="shared" si="144"/>
        <v>0</v>
      </c>
      <c r="CP547" s="45" t="str">
        <f t="shared" si="141"/>
        <v>1 - in MILLESIMI   I</v>
      </c>
      <c r="CQ547" s="1"/>
    </row>
    <row r="548" spans="1:95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435">
        <f>IF(AND(W548&gt;=$U$1,W548&lt;=$U$2),IF(X548='ESTRATTO CONTO'!$E$2,1+COUNTIF(U$4:U547,"&gt;0"),0),0)</f>
        <v>0</v>
      </c>
      <c r="V548" s="417">
        <f t="shared" si="145"/>
        <v>545</v>
      </c>
      <c r="W548" s="509"/>
      <c r="X548" s="321"/>
      <c r="Y548" s="321"/>
      <c r="Z548" s="433"/>
      <c r="AA548" s="918">
        <f t="shared" si="136"/>
        <v>1</v>
      </c>
      <c r="AB548" s="306" t="str">
        <f t="shared" si="137"/>
        <v/>
      </c>
      <c r="AC548" s="788"/>
      <c r="AD548" s="119">
        <f t="shared" si="147"/>
        <v>0</v>
      </c>
      <c r="AE548" s="108">
        <f t="shared" si="147"/>
        <v>0</v>
      </c>
      <c r="AF548" s="108">
        <f t="shared" si="147"/>
        <v>0</v>
      </c>
      <c r="AG548" s="108"/>
      <c r="AH548" s="108"/>
      <c r="AI548" s="108"/>
      <c r="AJ548" s="108"/>
      <c r="AK548" s="108"/>
      <c r="AL548" s="108">
        <f t="shared" si="138"/>
        <v>0</v>
      </c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20">
        <f t="shared" si="139"/>
        <v>0</v>
      </c>
      <c r="CL548" s="122">
        <f t="shared" si="140"/>
        <v>0</v>
      </c>
      <c r="CM548" s="524" t="str">
        <f t="shared" si="142"/>
        <v/>
      </c>
      <c r="CN548" s="526">
        <f t="shared" si="143"/>
        <v>0</v>
      </c>
      <c r="CO548" s="122">
        <f t="shared" si="144"/>
        <v>0</v>
      </c>
      <c r="CP548" s="45" t="str">
        <f t="shared" si="141"/>
        <v>1 - in MILLESIMI   I</v>
      </c>
      <c r="CQ548" s="1"/>
    </row>
    <row r="549" spans="1:95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435">
        <f>IF(AND(W549&gt;=$U$1,W549&lt;=$U$2),IF(X549='ESTRATTO CONTO'!$E$2,1+COUNTIF(U$4:U548,"&gt;0"),0),0)</f>
        <v>0</v>
      </c>
      <c r="V549" s="417">
        <f t="shared" si="145"/>
        <v>546</v>
      </c>
      <c r="W549" s="509"/>
      <c r="X549" s="321"/>
      <c r="Y549" s="321"/>
      <c r="Z549" s="433"/>
      <c r="AA549" s="918">
        <f t="shared" si="136"/>
        <v>1</v>
      </c>
      <c r="AB549" s="306" t="str">
        <f t="shared" si="137"/>
        <v/>
      </c>
      <c r="AC549" s="788"/>
      <c r="AD549" s="119">
        <f t="shared" si="147"/>
        <v>0</v>
      </c>
      <c r="AE549" s="108">
        <f t="shared" si="147"/>
        <v>0</v>
      </c>
      <c r="AF549" s="108">
        <f t="shared" si="147"/>
        <v>0</v>
      </c>
      <c r="AG549" s="108"/>
      <c r="AH549" s="108"/>
      <c r="AI549" s="108"/>
      <c r="AJ549" s="108"/>
      <c r="AK549" s="108"/>
      <c r="AL549" s="108">
        <f t="shared" si="138"/>
        <v>0</v>
      </c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20">
        <f t="shared" si="139"/>
        <v>0</v>
      </c>
      <c r="CL549" s="122">
        <f t="shared" si="140"/>
        <v>0</v>
      </c>
      <c r="CM549" s="524" t="str">
        <f t="shared" si="142"/>
        <v/>
      </c>
      <c r="CN549" s="526">
        <f t="shared" si="143"/>
        <v>0</v>
      </c>
      <c r="CO549" s="122">
        <f t="shared" si="144"/>
        <v>0</v>
      </c>
      <c r="CP549" s="45" t="str">
        <f t="shared" si="141"/>
        <v>1 - in MILLESIMI   I</v>
      </c>
      <c r="CQ549" s="1"/>
    </row>
    <row r="550" spans="1:95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435">
        <f>IF(AND(W550&gt;=$U$1,W550&lt;=$U$2),IF(X550='ESTRATTO CONTO'!$E$2,1+COUNTIF(U$4:U549,"&gt;0"),0),0)</f>
        <v>0</v>
      </c>
      <c r="V550" s="417">
        <f t="shared" si="145"/>
        <v>547</v>
      </c>
      <c r="W550" s="509"/>
      <c r="X550" s="321"/>
      <c r="Y550" s="321"/>
      <c r="Z550" s="433"/>
      <c r="AA550" s="918">
        <f t="shared" si="136"/>
        <v>1</v>
      </c>
      <c r="AB550" s="306" t="str">
        <f t="shared" si="137"/>
        <v/>
      </c>
      <c r="AC550" s="788"/>
      <c r="AD550" s="119">
        <f t="shared" si="147"/>
        <v>0</v>
      </c>
      <c r="AE550" s="108">
        <f t="shared" si="147"/>
        <v>0</v>
      </c>
      <c r="AF550" s="108">
        <f t="shared" si="147"/>
        <v>0</v>
      </c>
      <c r="AG550" s="108"/>
      <c r="AH550" s="108"/>
      <c r="AI550" s="108"/>
      <c r="AJ550" s="108"/>
      <c r="AK550" s="108"/>
      <c r="AL550" s="108">
        <f t="shared" si="138"/>
        <v>0</v>
      </c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20">
        <f t="shared" si="139"/>
        <v>0</v>
      </c>
      <c r="CL550" s="122">
        <f t="shared" si="140"/>
        <v>0</v>
      </c>
      <c r="CM550" s="524" t="str">
        <f t="shared" si="142"/>
        <v/>
      </c>
      <c r="CN550" s="526">
        <f t="shared" si="143"/>
        <v>0</v>
      </c>
      <c r="CO550" s="122">
        <f t="shared" si="144"/>
        <v>0</v>
      </c>
      <c r="CP550" s="45" t="str">
        <f t="shared" si="141"/>
        <v>1 - in MILLESIMI   I</v>
      </c>
      <c r="CQ550" s="1"/>
    </row>
    <row r="551" spans="1:95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435">
        <f>IF(AND(W551&gt;=$U$1,W551&lt;=$U$2),IF(X551='ESTRATTO CONTO'!$E$2,1+COUNTIF(U$4:U550,"&gt;0"),0),0)</f>
        <v>0</v>
      </c>
      <c r="V551" s="417">
        <f t="shared" si="145"/>
        <v>548</v>
      </c>
      <c r="W551" s="509"/>
      <c r="X551" s="321"/>
      <c r="Y551" s="321"/>
      <c r="Z551" s="433"/>
      <c r="AA551" s="918">
        <f t="shared" si="136"/>
        <v>1</v>
      </c>
      <c r="AB551" s="306" t="str">
        <f t="shared" si="137"/>
        <v/>
      </c>
      <c r="AC551" s="788"/>
      <c r="AD551" s="119">
        <f t="shared" si="147"/>
        <v>0</v>
      </c>
      <c r="AE551" s="108">
        <f t="shared" si="147"/>
        <v>0</v>
      </c>
      <c r="AF551" s="108">
        <f t="shared" si="147"/>
        <v>0</v>
      </c>
      <c r="AG551" s="108"/>
      <c r="AH551" s="108"/>
      <c r="AI551" s="108"/>
      <c r="AJ551" s="108"/>
      <c r="AK551" s="108"/>
      <c r="AL551" s="108">
        <f t="shared" si="138"/>
        <v>0</v>
      </c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20">
        <f t="shared" si="139"/>
        <v>0</v>
      </c>
      <c r="CL551" s="122">
        <f t="shared" si="140"/>
        <v>0</v>
      </c>
      <c r="CM551" s="524" t="str">
        <f t="shared" si="142"/>
        <v/>
      </c>
      <c r="CN551" s="526">
        <f t="shared" si="143"/>
        <v>0</v>
      </c>
      <c r="CO551" s="122">
        <f t="shared" si="144"/>
        <v>0</v>
      </c>
      <c r="CP551" s="45" t="str">
        <f t="shared" si="141"/>
        <v>1 - in MILLESIMI   I</v>
      </c>
      <c r="CQ551" s="1"/>
    </row>
    <row r="552" spans="1:95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435">
        <f>IF(AND(W552&gt;=$U$1,W552&lt;=$U$2),IF(X552='ESTRATTO CONTO'!$E$2,1+COUNTIF(U$4:U551,"&gt;0"),0),0)</f>
        <v>0</v>
      </c>
      <c r="V552" s="417">
        <f t="shared" si="145"/>
        <v>549</v>
      </c>
      <c r="W552" s="509"/>
      <c r="X552" s="321"/>
      <c r="Y552" s="321"/>
      <c r="Z552" s="433"/>
      <c r="AA552" s="918">
        <f t="shared" si="136"/>
        <v>1</v>
      </c>
      <c r="AB552" s="306" t="str">
        <f t="shared" si="137"/>
        <v/>
      </c>
      <c r="AC552" s="788"/>
      <c r="AD552" s="119">
        <f t="shared" si="147"/>
        <v>0</v>
      </c>
      <c r="AE552" s="108">
        <f t="shared" si="147"/>
        <v>0</v>
      </c>
      <c r="AF552" s="108">
        <f t="shared" si="147"/>
        <v>0</v>
      </c>
      <c r="AG552" s="108"/>
      <c r="AH552" s="108"/>
      <c r="AI552" s="108"/>
      <c r="AJ552" s="108"/>
      <c r="AK552" s="108"/>
      <c r="AL552" s="108">
        <f t="shared" si="138"/>
        <v>0</v>
      </c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20">
        <f t="shared" si="139"/>
        <v>0</v>
      </c>
      <c r="CL552" s="122">
        <f t="shared" si="140"/>
        <v>0</v>
      </c>
      <c r="CM552" s="524" t="str">
        <f t="shared" si="142"/>
        <v/>
      </c>
      <c r="CN552" s="526">
        <f t="shared" si="143"/>
        <v>0</v>
      </c>
      <c r="CO552" s="122">
        <f t="shared" si="144"/>
        <v>0</v>
      </c>
      <c r="CP552" s="45" t="str">
        <f t="shared" si="141"/>
        <v>1 - in MILLESIMI   I</v>
      </c>
      <c r="CQ552" s="1"/>
    </row>
    <row r="553" spans="1:95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435">
        <f>IF(AND(W553&gt;=$U$1,W553&lt;=$U$2),IF(X553='ESTRATTO CONTO'!$E$2,1+COUNTIF(U$4:U552,"&gt;0"),0),0)</f>
        <v>0</v>
      </c>
      <c r="V553" s="417">
        <f t="shared" si="145"/>
        <v>550</v>
      </c>
      <c r="W553" s="509"/>
      <c r="X553" s="321"/>
      <c r="Y553" s="321"/>
      <c r="Z553" s="433"/>
      <c r="AA553" s="918">
        <f t="shared" si="136"/>
        <v>1</v>
      </c>
      <c r="AB553" s="306" t="str">
        <f t="shared" si="137"/>
        <v/>
      </c>
      <c r="AC553" s="788"/>
      <c r="AD553" s="119">
        <f t="shared" si="147"/>
        <v>0</v>
      </c>
      <c r="AE553" s="108">
        <f t="shared" si="147"/>
        <v>0</v>
      </c>
      <c r="AF553" s="108">
        <f t="shared" si="147"/>
        <v>0</v>
      </c>
      <c r="AG553" s="108"/>
      <c r="AH553" s="108"/>
      <c r="AI553" s="108"/>
      <c r="AJ553" s="108"/>
      <c r="AK553" s="108"/>
      <c r="AL553" s="108">
        <f t="shared" si="138"/>
        <v>0</v>
      </c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20">
        <f t="shared" si="139"/>
        <v>0</v>
      </c>
      <c r="CL553" s="122">
        <f t="shared" si="140"/>
        <v>0</v>
      </c>
      <c r="CM553" s="524" t="str">
        <f t="shared" si="142"/>
        <v/>
      </c>
      <c r="CN553" s="526">
        <f t="shared" si="143"/>
        <v>0</v>
      </c>
      <c r="CO553" s="122">
        <f t="shared" si="144"/>
        <v>0</v>
      </c>
      <c r="CP553" s="45" t="str">
        <f t="shared" si="141"/>
        <v>1 - in MILLESIMI   I</v>
      </c>
      <c r="CQ553" s="1"/>
    </row>
    <row r="554" spans="1:95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435">
        <f>IF(AND(W554&gt;=$U$1,W554&lt;=$U$2),IF(X554='ESTRATTO CONTO'!$E$2,1+COUNTIF(U$4:U553,"&gt;0"),0),0)</f>
        <v>0</v>
      </c>
      <c r="V554" s="417">
        <f t="shared" si="145"/>
        <v>551</v>
      </c>
      <c r="W554" s="509"/>
      <c r="X554" s="321"/>
      <c r="Y554" s="321"/>
      <c r="Z554" s="433"/>
      <c r="AA554" s="918">
        <f t="shared" si="136"/>
        <v>1</v>
      </c>
      <c r="AB554" s="306" t="str">
        <f t="shared" si="137"/>
        <v/>
      </c>
      <c r="AC554" s="788"/>
      <c r="AD554" s="119">
        <f t="shared" si="147"/>
        <v>0</v>
      </c>
      <c r="AE554" s="108">
        <f t="shared" si="147"/>
        <v>0</v>
      </c>
      <c r="AF554" s="108">
        <f t="shared" si="147"/>
        <v>0</v>
      </c>
      <c r="AG554" s="108"/>
      <c r="AH554" s="108"/>
      <c r="AI554" s="108"/>
      <c r="AJ554" s="108"/>
      <c r="AK554" s="108"/>
      <c r="AL554" s="108">
        <f t="shared" si="138"/>
        <v>0</v>
      </c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20">
        <f t="shared" si="139"/>
        <v>0</v>
      </c>
      <c r="CL554" s="122">
        <f t="shared" si="140"/>
        <v>0</v>
      </c>
      <c r="CM554" s="524" t="str">
        <f t="shared" si="142"/>
        <v/>
      </c>
      <c r="CN554" s="526">
        <f t="shared" si="143"/>
        <v>0</v>
      </c>
      <c r="CO554" s="122">
        <f t="shared" si="144"/>
        <v>0</v>
      </c>
      <c r="CP554" s="45" t="str">
        <f t="shared" si="141"/>
        <v>1 - in MILLESIMI   I</v>
      </c>
      <c r="CQ554" s="1"/>
    </row>
    <row r="555" spans="1:95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435">
        <f>IF(AND(W555&gt;=$U$1,W555&lt;=$U$2),IF(X555='ESTRATTO CONTO'!$E$2,1+COUNTIF(U$4:U554,"&gt;0"),0),0)</f>
        <v>0</v>
      </c>
      <c r="V555" s="417">
        <f t="shared" si="145"/>
        <v>552</v>
      </c>
      <c r="W555" s="509"/>
      <c r="X555" s="321"/>
      <c r="Y555" s="321"/>
      <c r="Z555" s="433"/>
      <c r="AA555" s="918">
        <f t="shared" si="136"/>
        <v>1</v>
      </c>
      <c r="AB555" s="306" t="str">
        <f t="shared" si="137"/>
        <v/>
      </c>
      <c r="AC555" s="788"/>
      <c r="AD555" s="119">
        <f t="shared" si="147"/>
        <v>0</v>
      </c>
      <c r="AE555" s="108">
        <f t="shared" si="147"/>
        <v>0</v>
      </c>
      <c r="AF555" s="108">
        <f t="shared" si="147"/>
        <v>0</v>
      </c>
      <c r="AG555" s="108"/>
      <c r="AH555" s="108"/>
      <c r="AI555" s="108"/>
      <c r="AJ555" s="108"/>
      <c r="AK555" s="108"/>
      <c r="AL555" s="108">
        <f t="shared" si="138"/>
        <v>0</v>
      </c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20">
        <f t="shared" si="139"/>
        <v>0</v>
      </c>
      <c r="CL555" s="122">
        <f t="shared" si="140"/>
        <v>0</v>
      </c>
      <c r="CM555" s="524" t="str">
        <f t="shared" si="142"/>
        <v/>
      </c>
      <c r="CN555" s="526">
        <f t="shared" si="143"/>
        <v>0</v>
      </c>
      <c r="CO555" s="122">
        <f t="shared" si="144"/>
        <v>0</v>
      </c>
      <c r="CP555" s="45" t="str">
        <f t="shared" si="141"/>
        <v>1 - in MILLESIMI   I</v>
      </c>
      <c r="CQ555" s="1"/>
    </row>
    <row r="556" spans="1:95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435">
        <f>IF(AND(W556&gt;=$U$1,W556&lt;=$U$2),IF(X556='ESTRATTO CONTO'!$E$2,1+COUNTIF(U$4:U555,"&gt;0"),0),0)</f>
        <v>0</v>
      </c>
      <c r="V556" s="417">
        <f t="shared" si="145"/>
        <v>553</v>
      </c>
      <c r="W556" s="509"/>
      <c r="X556" s="321"/>
      <c r="Y556" s="321"/>
      <c r="Z556" s="433"/>
      <c r="AA556" s="918">
        <f t="shared" si="136"/>
        <v>1</v>
      </c>
      <c r="AB556" s="306" t="str">
        <f t="shared" si="137"/>
        <v/>
      </c>
      <c r="AC556" s="788"/>
      <c r="AD556" s="119">
        <f t="shared" si="147"/>
        <v>0</v>
      </c>
      <c r="AE556" s="108">
        <f t="shared" si="147"/>
        <v>0</v>
      </c>
      <c r="AF556" s="108">
        <f t="shared" si="147"/>
        <v>0</v>
      </c>
      <c r="AG556" s="108"/>
      <c r="AH556" s="108"/>
      <c r="AI556" s="108"/>
      <c r="AJ556" s="108"/>
      <c r="AK556" s="108"/>
      <c r="AL556" s="108">
        <f t="shared" si="138"/>
        <v>0</v>
      </c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20">
        <f t="shared" si="139"/>
        <v>0</v>
      </c>
      <c r="CL556" s="122">
        <f t="shared" si="140"/>
        <v>0</v>
      </c>
      <c r="CM556" s="524" t="str">
        <f t="shared" si="142"/>
        <v/>
      </c>
      <c r="CN556" s="526">
        <f t="shared" si="143"/>
        <v>0</v>
      </c>
      <c r="CO556" s="122">
        <f t="shared" si="144"/>
        <v>0</v>
      </c>
      <c r="CP556" s="45" t="str">
        <f t="shared" si="141"/>
        <v>1 - in MILLESIMI   I</v>
      </c>
      <c r="CQ556" s="1"/>
    </row>
    <row r="557" spans="1:95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435">
        <f>IF(AND(W557&gt;=$U$1,W557&lt;=$U$2),IF(X557='ESTRATTO CONTO'!$E$2,1+COUNTIF(U$4:U556,"&gt;0"),0),0)</f>
        <v>0</v>
      </c>
      <c r="V557" s="417">
        <f t="shared" si="145"/>
        <v>554</v>
      </c>
      <c r="W557" s="509"/>
      <c r="X557" s="321"/>
      <c r="Y557" s="321"/>
      <c r="Z557" s="433"/>
      <c r="AA557" s="918">
        <f t="shared" si="136"/>
        <v>1</v>
      </c>
      <c r="AB557" s="306" t="str">
        <f t="shared" si="137"/>
        <v/>
      </c>
      <c r="AC557" s="788"/>
      <c r="AD557" s="119">
        <f t="shared" si="147"/>
        <v>0</v>
      </c>
      <c r="AE557" s="108">
        <f t="shared" si="147"/>
        <v>0</v>
      </c>
      <c r="AF557" s="108">
        <f t="shared" si="147"/>
        <v>0</v>
      </c>
      <c r="AG557" s="108"/>
      <c r="AH557" s="108"/>
      <c r="AI557" s="108"/>
      <c r="AJ557" s="108"/>
      <c r="AK557" s="108"/>
      <c r="AL557" s="108">
        <f t="shared" si="138"/>
        <v>0</v>
      </c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20">
        <f t="shared" si="139"/>
        <v>0</v>
      </c>
      <c r="CL557" s="122">
        <f t="shared" si="140"/>
        <v>0</v>
      </c>
      <c r="CM557" s="524" t="str">
        <f t="shared" si="142"/>
        <v/>
      </c>
      <c r="CN557" s="526">
        <f t="shared" si="143"/>
        <v>0</v>
      </c>
      <c r="CO557" s="122">
        <f t="shared" si="144"/>
        <v>0</v>
      </c>
      <c r="CP557" s="45" t="str">
        <f t="shared" si="141"/>
        <v>1 - in MILLESIMI   I</v>
      </c>
      <c r="CQ557" s="1"/>
    </row>
    <row r="558" spans="1:95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435">
        <f>IF(AND(W558&gt;=$U$1,W558&lt;=$U$2),IF(X558='ESTRATTO CONTO'!$E$2,1+COUNTIF(U$4:U557,"&gt;0"),0),0)</f>
        <v>0</v>
      </c>
      <c r="V558" s="417">
        <f t="shared" si="145"/>
        <v>555</v>
      </c>
      <c r="W558" s="509"/>
      <c r="X558" s="321"/>
      <c r="Y558" s="321"/>
      <c r="Z558" s="433"/>
      <c r="AA558" s="918">
        <f t="shared" si="136"/>
        <v>1</v>
      </c>
      <c r="AB558" s="306" t="str">
        <f t="shared" si="137"/>
        <v/>
      </c>
      <c r="AC558" s="788"/>
      <c r="AD558" s="119">
        <f t="shared" si="147"/>
        <v>0</v>
      </c>
      <c r="AE558" s="108">
        <f t="shared" si="147"/>
        <v>0</v>
      </c>
      <c r="AF558" s="108">
        <f t="shared" si="147"/>
        <v>0</v>
      </c>
      <c r="AG558" s="108"/>
      <c r="AH558" s="108"/>
      <c r="AI558" s="108"/>
      <c r="AJ558" s="108"/>
      <c r="AK558" s="108"/>
      <c r="AL558" s="108">
        <f t="shared" si="138"/>
        <v>0</v>
      </c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20">
        <f t="shared" si="139"/>
        <v>0</v>
      </c>
      <c r="CL558" s="122">
        <f t="shared" si="140"/>
        <v>0</v>
      </c>
      <c r="CM558" s="524" t="str">
        <f t="shared" si="142"/>
        <v/>
      </c>
      <c r="CN558" s="526">
        <f t="shared" si="143"/>
        <v>0</v>
      </c>
      <c r="CO558" s="122">
        <f t="shared" si="144"/>
        <v>0</v>
      </c>
      <c r="CP558" s="45" t="str">
        <f t="shared" si="141"/>
        <v>1 - in MILLESIMI   I</v>
      </c>
      <c r="CQ558" s="1"/>
    </row>
    <row r="559" spans="1:95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435">
        <f>IF(AND(W559&gt;=$U$1,W559&lt;=$U$2),IF(X559='ESTRATTO CONTO'!$E$2,1+COUNTIF(U$4:U558,"&gt;0"),0),0)</f>
        <v>0</v>
      </c>
      <c r="V559" s="417">
        <f t="shared" si="145"/>
        <v>556</v>
      </c>
      <c r="W559" s="509"/>
      <c r="X559" s="321"/>
      <c r="Y559" s="321"/>
      <c r="Z559" s="433"/>
      <c r="AA559" s="918">
        <f t="shared" si="136"/>
        <v>1</v>
      </c>
      <c r="AB559" s="306" t="str">
        <f t="shared" si="137"/>
        <v/>
      </c>
      <c r="AC559" s="788"/>
      <c r="AD559" s="119">
        <f t="shared" si="147"/>
        <v>0</v>
      </c>
      <c r="AE559" s="108">
        <f t="shared" si="147"/>
        <v>0</v>
      </c>
      <c r="AF559" s="108">
        <f t="shared" si="147"/>
        <v>0</v>
      </c>
      <c r="AG559" s="108"/>
      <c r="AH559" s="108"/>
      <c r="AI559" s="108"/>
      <c r="AJ559" s="108"/>
      <c r="AK559" s="108"/>
      <c r="AL559" s="108">
        <f t="shared" si="138"/>
        <v>0</v>
      </c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20">
        <f t="shared" si="139"/>
        <v>0</v>
      </c>
      <c r="CL559" s="122">
        <f t="shared" si="140"/>
        <v>0</v>
      </c>
      <c r="CM559" s="524" t="str">
        <f t="shared" si="142"/>
        <v/>
      </c>
      <c r="CN559" s="526">
        <f t="shared" si="143"/>
        <v>0</v>
      </c>
      <c r="CO559" s="122">
        <f t="shared" si="144"/>
        <v>0</v>
      </c>
      <c r="CP559" s="45" t="str">
        <f t="shared" si="141"/>
        <v>1 - in MILLESIMI   I</v>
      </c>
      <c r="CQ559" s="1"/>
    </row>
    <row r="560" spans="1:95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435">
        <f>IF(AND(W560&gt;=$U$1,W560&lt;=$U$2),IF(X560='ESTRATTO CONTO'!$E$2,1+COUNTIF(U$4:U559,"&gt;0"),0),0)</f>
        <v>0</v>
      </c>
      <c r="V560" s="417">
        <f t="shared" si="145"/>
        <v>557</v>
      </c>
      <c r="W560" s="509"/>
      <c r="X560" s="321"/>
      <c r="Y560" s="321"/>
      <c r="Z560" s="433"/>
      <c r="AA560" s="918">
        <f t="shared" si="136"/>
        <v>1</v>
      </c>
      <c r="AB560" s="306" t="str">
        <f t="shared" si="137"/>
        <v/>
      </c>
      <c r="AC560" s="788"/>
      <c r="AD560" s="119">
        <f t="shared" si="147"/>
        <v>0</v>
      </c>
      <c r="AE560" s="108">
        <f t="shared" si="147"/>
        <v>0</v>
      </c>
      <c r="AF560" s="108">
        <f t="shared" si="147"/>
        <v>0</v>
      </c>
      <c r="AG560" s="108"/>
      <c r="AH560" s="108"/>
      <c r="AI560" s="108"/>
      <c r="AJ560" s="108"/>
      <c r="AK560" s="108"/>
      <c r="AL560" s="108">
        <f t="shared" si="138"/>
        <v>0</v>
      </c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20">
        <f t="shared" si="139"/>
        <v>0</v>
      </c>
      <c r="CL560" s="122">
        <f t="shared" si="140"/>
        <v>0</v>
      </c>
      <c r="CM560" s="524" t="str">
        <f t="shared" si="142"/>
        <v/>
      </c>
      <c r="CN560" s="526">
        <f t="shared" si="143"/>
        <v>0</v>
      </c>
      <c r="CO560" s="122">
        <f t="shared" si="144"/>
        <v>0</v>
      </c>
      <c r="CP560" s="45" t="str">
        <f t="shared" si="141"/>
        <v>1 - in MILLESIMI   I</v>
      </c>
      <c r="CQ560" s="1"/>
    </row>
    <row r="561" spans="1:95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435">
        <f>IF(AND(W561&gt;=$U$1,W561&lt;=$U$2),IF(X561='ESTRATTO CONTO'!$E$2,1+COUNTIF(U$4:U560,"&gt;0"),0),0)</f>
        <v>0</v>
      </c>
      <c r="V561" s="417">
        <f t="shared" si="145"/>
        <v>558</v>
      </c>
      <c r="W561" s="509"/>
      <c r="X561" s="321"/>
      <c r="Y561" s="321"/>
      <c r="Z561" s="433"/>
      <c r="AA561" s="918">
        <f t="shared" si="136"/>
        <v>1</v>
      </c>
      <c r="AB561" s="306" t="str">
        <f t="shared" si="137"/>
        <v/>
      </c>
      <c r="AC561" s="788"/>
      <c r="AD561" s="119">
        <f t="shared" si="147"/>
        <v>0</v>
      </c>
      <c r="AE561" s="108">
        <f t="shared" si="147"/>
        <v>0</v>
      </c>
      <c r="AF561" s="108">
        <f t="shared" si="147"/>
        <v>0</v>
      </c>
      <c r="AG561" s="108"/>
      <c r="AH561" s="108"/>
      <c r="AI561" s="108"/>
      <c r="AJ561" s="108"/>
      <c r="AK561" s="108"/>
      <c r="AL561" s="108">
        <f t="shared" si="138"/>
        <v>0</v>
      </c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20">
        <f t="shared" si="139"/>
        <v>0</v>
      </c>
      <c r="CL561" s="122">
        <f t="shared" si="140"/>
        <v>0</v>
      </c>
      <c r="CM561" s="524" t="str">
        <f t="shared" si="142"/>
        <v/>
      </c>
      <c r="CN561" s="526">
        <f t="shared" si="143"/>
        <v>0</v>
      </c>
      <c r="CO561" s="122">
        <f t="shared" si="144"/>
        <v>0</v>
      </c>
      <c r="CP561" s="45" t="str">
        <f t="shared" si="141"/>
        <v>1 - in MILLESIMI   I</v>
      </c>
      <c r="CQ561" s="1"/>
    </row>
    <row r="562" spans="1:95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435">
        <f>IF(AND(W562&gt;=$U$1,W562&lt;=$U$2),IF(X562='ESTRATTO CONTO'!$E$2,1+COUNTIF(U$4:U561,"&gt;0"),0),0)</f>
        <v>0</v>
      </c>
      <c r="V562" s="417">
        <f t="shared" si="145"/>
        <v>559</v>
      </c>
      <c r="W562" s="509"/>
      <c r="X562" s="321"/>
      <c r="Y562" s="321"/>
      <c r="Z562" s="433"/>
      <c r="AA562" s="918">
        <f t="shared" si="136"/>
        <v>1</v>
      </c>
      <c r="AB562" s="306" t="str">
        <f t="shared" si="137"/>
        <v/>
      </c>
      <c r="AC562" s="788"/>
      <c r="AD562" s="119">
        <f t="shared" si="147"/>
        <v>0</v>
      </c>
      <c r="AE562" s="108">
        <f t="shared" si="147"/>
        <v>0</v>
      </c>
      <c r="AF562" s="108">
        <f t="shared" si="147"/>
        <v>0</v>
      </c>
      <c r="AG562" s="108"/>
      <c r="AH562" s="108"/>
      <c r="AI562" s="108"/>
      <c r="AJ562" s="108"/>
      <c r="AK562" s="108"/>
      <c r="AL562" s="108">
        <f t="shared" si="138"/>
        <v>0</v>
      </c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20">
        <f t="shared" si="139"/>
        <v>0</v>
      </c>
      <c r="CL562" s="122">
        <f t="shared" si="140"/>
        <v>0</v>
      </c>
      <c r="CM562" s="524" t="str">
        <f t="shared" si="142"/>
        <v/>
      </c>
      <c r="CN562" s="526">
        <f t="shared" si="143"/>
        <v>0</v>
      </c>
      <c r="CO562" s="122">
        <f t="shared" si="144"/>
        <v>0</v>
      </c>
      <c r="CP562" s="45" t="str">
        <f t="shared" si="141"/>
        <v>1 - in MILLESIMI   I</v>
      </c>
      <c r="CQ562" s="1"/>
    </row>
    <row r="563" spans="1:95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435">
        <f>IF(AND(W563&gt;=$U$1,W563&lt;=$U$2),IF(X563='ESTRATTO CONTO'!$E$2,1+COUNTIF(U$4:U562,"&gt;0"),0),0)</f>
        <v>0</v>
      </c>
      <c r="V563" s="417">
        <f t="shared" si="145"/>
        <v>560</v>
      </c>
      <c r="W563" s="509"/>
      <c r="X563" s="321"/>
      <c r="Y563" s="321"/>
      <c r="Z563" s="433"/>
      <c r="AA563" s="918">
        <f t="shared" si="136"/>
        <v>1</v>
      </c>
      <c r="AB563" s="306" t="str">
        <f t="shared" si="137"/>
        <v/>
      </c>
      <c r="AC563" s="788"/>
      <c r="AD563" s="119">
        <f t="shared" si="147"/>
        <v>0</v>
      </c>
      <c r="AE563" s="108">
        <f t="shared" si="147"/>
        <v>0</v>
      </c>
      <c r="AF563" s="108">
        <f t="shared" si="147"/>
        <v>0</v>
      </c>
      <c r="AG563" s="108"/>
      <c r="AH563" s="108"/>
      <c r="AI563" s="108"/>
      <c r="AJ563" s="108"/>
      <c r="AK563" s="108"/>
      <c r="AL563" s="108">
        <f t="shared" si="138"/>
        <v>0</v>
      </c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20">
        <f t="shared" si="139"/>
        <v>0</v>
      </c>
      <c r="CL563" s="122">
        <f t="shared" si="140"/>
        <v>0</v>
      </c>
      <c r="CM563" s="524" t="str">
        <f t="shared" si="142"/>
        <v/>
      </c>
      <c r="CN563" s="526">
        <f t="shared" si="143"/>
        <v>0</v>
      </c>
      <c r="CO563" s="122">
        <f t="shared" si="144"/>
        <v>0</v>
      </c>
      <c r="CP563" s="45" t="str">
        <f t="shared" si="141"/>
        <v>1 - in MILLESIMI   I</v>
      </c>
      <c r="CQ563" s="1"/>
    </row>
    <row r="564" spans="1:95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435">
        <f>IF(AND(W564&gt;=$U$1,W564&lt;=$U$2),IF(X564='ESTRATTO CONTO'!$E$2,1+COUNTIF(U$4:U563,"&gt;0"),0),0)</f>
        <v>0</v>
      </c>
      <c r="V564" s="417">
        <f t="shared" si="145"/>
        <v>561</v>
      </c>
      <c r="W564" s="509"/>
      <c r="X564" s="321"/>
      <c r="Y564" s="321"/>
      <c r="Z564" s="433"/>
      <c r="AA564" s="918">
        <f t="shared" si="136"/>
        <v>1</v>
      </c>
      <c r="AB564" s="306" t="str">
        <f t="shared" si="137"/>
        <v/>
      </c>
      <c r="AC564" s="788"/>
      <c r="AD564" s="119">
        <f t="shared" ref="AD564:AF583" si="148">IF($AB564=0,0,ROUND($Z564*VLOOKUP(AD$2,$F$1010:$Q$1014,VLOOKUP($CP564,$C$1076:$E$1081,3,FALSE),FALSE),2))</f>
        <v>0</v>
      </c>
      <c r="AE564" s="108">
        <f t="shared" si="148"/>
        <v>0</v>
      </c>
      <c r="AF564" s="108">
        <f t="shared" si="148"/>
        <v>0</v>
      </c>
      <c r="AG564" s="108"/>
      <c r="AH564" s="108"/>
      <c r="AI564" s="108"/>
      <c r="AJ564" s="108"/>
      <c r="AK564" s="108"/>
      <c r="AL564" s="108">
        <f t="shared" si="138"/>
        <v>0</v>
      </c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20">
        <f t="shared" si="139"/>
        <v>0</v>
      </c>
      <c r="CL564" s="122">
        <f t="shared" si="140"/>
        <v>0</v>
      </c>
      <c r="CM564" s="524" t="str">
        <f t="shared" si="142"/>
        <v/>
      </c>
      <c r="CN564" s="526">
        <f t="shared" si="143"/>
        <v>0</v>
      </c>
      <c r="CO564" s="122">
        <f t="shared" si="144"/>
        <v>0</v>
      </c>
      <c r="CP564" s="45" t="str">
        <f t="shared" si="141"/>
        <v>1 - in MILLESIMI   I</v>
      </c>
      <c r="CQ564" s="1"/>
    </row>
    <row r="565" spans="1:95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435">
        <f>IF(AND(W565&gt;=$U$1,W565&lt;=$U$2),IF(X565='ESTRATTO CONTO'!$E$2,1+COUNTIF(U$4:U564,"&gt;0"),0),0)</f>
        <v>0</v>
      </c>
      <c r="V565" s="417">
        <f t="shared" si="145"/>
        <v>562</v>
      </c>
      <c r="W565" s="509"/>
      <c r="X565" s="321"/>
      <c r="Y565" s="321"/>
      <c r="Z565" s="433"/>
      <c r="AA565" s="918">
        <f t="shared" si="136"/>
        <v>1</v>
      </c>
      <c r="AB565" s="306" t="str">
        <f t="shared" si="137"/>
        <v/>
      </c>
      <c r="AC565" s="788"/>
      <c r="AD565" s="119">
        <f t="shared" si="148"/>
        <v>0</v>
      </c>
      <c r="AE565" s="108">
        <f t="shared" si="148"/>
        <v>0</v>
      </c>
      <c r="AF565" s="108">
        <f t="shared" si="148"/>
        <v>0</v>
      </c>
      <c r="AG565" s="108"/>
      <c r="AH565" s="108"/>
      <c r="AI565" s="108"/>
      <c r="AJ565" s="108"/>
      <c r="AK565" s="108"/>
      <c r="AL565" s="108">
        <f t="shared" si="138"/>
        <v>0</v>
      </c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20">
        <f t="shared" si="139"/>
        <v>0</v>
      </c>
      <c r="CL565" s="122">
        <f t="shared" si="140"/>
        <v>0</v>
      </c>
      <c r="CM565" s="524" t="str">
        <f t="shared" si="142"/>
        <v/>
      </c>
      <c r="CN565" s="526">
        <f t="shared" si="143"/>
        <v>0</v>
      </c>
      <c r="CO565" s="122">
        <f t="shared" si="144"/>
        <v>0</v>
      </c>
      <c r="CP565" s="45" t="str">
        <f t="shared" si="141"/>
        <v>1 - in MILLESIMI   I</v>
      </c>
      <c r="CQ565" s="1"/>
    </row>
    <row r="566" spans="1:95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435">
        <f>IF(AND(W566&gt;=$U$1,W566&lt;=$U$2),IF(X566='ESTRATTO CONTO'!$E$2,1+COUNTIF(U$4:U565,"&gt;0"),0),0)</f>
        <v>0</v>
      </c>
      <c r="V566" s="417">
        <f t="shared" si="145"/>
        <v>563</v>
      </c>
      <c r="W566" s="509"/>
      <c r="X566" s="321"/>
      <c r="Y566" s="321"/>
      <c r="Z566" s="433"/>
      <c r="AA566" s="918">
        <f t="shared" si="136"/>
        <v>1</v>
      </c>
      <c r="AB566" s="306" t="str">
        <f t="shared" si="137"/>
        <v/>
      </c>
      <c r="AC566" s="788"/>
      <c r="AD566" s="119">
        <f t="shared" si="148"/>
        <v>0</v>
      </c>
      <c r="AE566" s="108">
        <f t="shared" si="148"/>
        <v>0</v>
      </c>
      <c r="AF566" s="108">
        <f t="shared" si="148"/>
        <v>0</v>
      </c>
      <c r="AG566" s="108"/>
      <c r="AH566" s="108"/>
      <c r="AI566" s="108"/>
      <c r="AJ566" s="108"/>
      <c r="AK566" s="108"/>
      <c r="AL566" s="108">
        <f t="shared" si="138"/>
        <v>0</v>
      </c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20">
        <f t="shared" si="139"/>
        <v>0</v>
      </c>
      <c r="CL566" s="122">
        <f t="shared" si="140"/>
        <v>0</v>
      </c>
      <c r="CM566" s="524" t="str">
        <f t="shared" si="142"/>
        <v/>
      </c>
      <c r="CN566" s="526">
        <f t="shared" si="143"/>
        <v>0</v>
      </c>
      <c r="CO566" s="122">
        <f t="shared" si="144"/>
        <v>0</v>
      </c>
      <c r="CP566" s="45" t="str">
        <f t="shared" si="141"/>
        <v>1 - in MILLESIMI   I</v>
      </c>
      <c r="CQ566" s="1"/>
    </row>
    <row r="567" spans="1:95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435">
        <f>IF(AND(W567&gt;=$U$1,W567&lt;=$U$2),IF(X567='ESTRATTO CONTO'!$E$2,1+COUNTIF(U$4:U566,"&gt;0"),0),0)</f>
        <v>0</v>
      </c>
      <c r="V567" s="417">
        <f t="shared" si="145"/>
        <v>564</v>
      </c>
      <c r="W567" s="509"/>
      <c r="X567" s="321"/>
      <c r="Y567" s="321"/>
      <c r="Z567" s="433"/>
      <c r="AA567" s="918">
        <f t="shared" si="136"/>
        <v>1</v>
      </c>
      <c r="AB567" s="306" t="str">
        <f t="shared" si="137"/>
        <v/>
      </c>
      <c r="AC567" s="788"/>
      <c r="AD567" s="119">
        <f t="shared" si="148"/>
        <v>0</v>
      </c>
      <c r="AE567" s="108">
        <f t="shared" si="148"/>
        <v>0</v>
      </c>
      <c r="AF567" s="108">
        <f t="shared" si="148"/>
        <v>0</v>
      </c>
      <c r="AG567" s="108"/>
      <c r="AH567" s="108"/>
      <c r="AI567" s="108"/>
      <c r="AJ567" s="108"/>
      <c r="AK567" s="108"/>
      <c r="AL567" s="108">
        <f t="shared" si="138"/>
        <v>0</v>
      </c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20">
        <f t="shared" si="139"/>
        <v>0</v>
      </c>
      <c r="CL567" s="122">
        <f t="shared" si="140"/>
        <v>0</v>
      </c>
      <c r="CM567" s="524" t="str">
        <f t="shared" si="142"/>
        <v/>
      </c>
      <c r="CN567" s="526">
        <f t="shared" si="143"/>
        <v>0</v>
      </c>
      <c r="CO567" s="122">
        <f t="shared" si="144"/>
        <v>0</v>
      </c>
      <c r="CP567" s="45" t="str">
        <f t="shared" si="141"/>
        <v>1 - in MILLESIMI   I</v>
      </c>
      <c r="CQ567" s="1"/>
    </row>
    <row r="568" spans="1:95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435">
        <f>IF(AND(W568&gt;=$U$1,W568&lt;=$U$2),IF(X568='ESTRATTO CONTO'!$E$2,1+COUNTIF(U$4:U567,"&gt;0"),0),0)</f>
        <v>0</v>
      </c>
      <c r="V568" s="417">
        <f t="shared" si="145"/>
        <v>565</v>
      </c>
      <c r="W568" s="509"/>
      <c r="X568" s="321"/>
      <c r="Y568" s="321"/>
      <c r="Z568" s="433"/>
      <c r="AA568" s="918">
        <f t="shared" si="136"/>
        <v>1</v>
      </c>
      <c r="AB568" s="306" t="str">
        <f t="shared" si="137"/>
        <v/>
      </c>
      <c r="AC568" s="788"/>
      <c r="AD568" s="119">
        <f t="shared" si="148"/>
        <v>0</v>
      </c>
      <c r="AE568" s="108">
        <f t="shared" si="148"/>
        <v>0</v>
      </c>
      <c r="AF568" s="108">
        <f t="shared" si="148"/>
        <v>0</v>
      </c>
      <c r="AG568" s="108"/>
      <c r="AH568" s="108"/>
      <c r="AI568" s="108"/>
      <c r="AJ568" s="108"/>
      <c r="AK568" s="108"/>
      <c r="AL568" s="108">
        <f t="shared" si="138"/>
        <v>0</v>
      </c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20">
        <f t="shared" si="139"/>
        <v>0</v>
      </c>
      <c r="CL568" s="122">
        <f t="shared" si="140"/>
        <v>0</v>
      </c>
      <c r="CM568" s="524" t="str">
        <f t="shared" si="142"/>
        <v/>
      </c>
      <c r="CN568" s="526">
        <f t="shared" si="143"/>
        <v>0</v>
      </c>
      <c r="CO568" s="122">
        <f t="shared" si="144"/>
        <v>0</v>
      </c>
      <c r="CP568" s="45" t="str">
        <f t="shared" si="141"/>
        <v>1 - in MILLESIMI   I</v>
      </c>
      <c r="CQ568" s="1"/>
    </row>
    <row r="569" spans="1:95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435">
        <f>IF(AND(W569&gt;=$U$1,W569&lt;=$U$2),IF(X569='ESTRATTO CONTO'!$E$2,1+COUNTIF(U$4:U568,"&gt;0"),0),0)</f>
        <v>0</v>
      </c>
      <c r="V569" s="417">
        <f t="shared" si="145"/>
        <v>566</v>
      </c>
      <c r="W569" s="509"/>
      <c r="X569" s="321"/>
      <c r="Y569" s="321"/>
      <c r="Z569" s="433"/>
      <c r="AA569" s="918">
        <f t="shared" si="136"/>
        <v>1</v>
      </c>
      <c r="AB569" s="306" t="str">
        <f t="shared" si="137"/>
        <v/>
      </c>
      <c r="AC569" s="788"/>
      <c r="AD569" s="119">
        <f t="shared" si="148"/>
        <v>0</v>
      </c>
      <c r="AE569" s="108">
        <f t="shared" si="148"/>
        <v>0</v>
      </c>
      <c r="AF569" s="108">
        <f t="shared" si="148"/>
        <v>0</v>
      </c>
      <c r="AG569" s="108"/>
      <c r="AH569" s="108"/>
      <c r="AI569" s="108"/>
      <c r="AJ569" s="108"/>
      <c r="AK569" s="108"/>
      <c r="AL569" s="108">
        <f t="shared" si="138"/>
        <v>0</v>
      </c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20">
        <f t="shared" si="139"/>
        <v>0</v>
      </c>
      <c r="CL569" s="122">
        <f t="shared" si="140"/>
        <v>0</v>
      </c>
      <c r="CM569" s="524" t="str">
        <f t="shared" si="142"/>
        <v/>
      </c>
      <c r="CN569" s="526">
        <f t="shared" si="143"/>
        <v>0</v>
      </c>
      <c r="CO569" s="122">
        <f t="shared" si="144"/>
        <v>0</v>
      </c>
      <c r="CP569" s="45" t="str">
        <f t="shared" si="141"/>
        <v>1 - in MILLESIMI   I</v>
      </c>
      <c r="CQ569" s="1"/>
    </row>
    <row r="570" spans="1:95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435">
        <f>IF(AND(W570&gt;=$U$1,W570&lt;=$U$2),IF(X570='ESTRATTO CONTO'!$E$2,1+COUNTIF(U$4:U569,"&gt;0"),0),0)</f>
        <v>0</v>
      </c>
      <c r="V570" s="417">
        <f t="shared" si="145"/>
        <v>567</v>
      </c>
      <c r="W570" s="509"/>
      <c r="X570" s="321"/>
      <c r="Y570" s="321"/>
      <c r="Z570" s="433"/>
      <c r="AA570" s="918">
        <f t="shared" si="136"/>
        <v>1</v>
      </c>
      <c r="AB570" s="306" t="str">
        <f t="shared" si="137"/>
        <v/>
      </c>
      <c r="AC570" s="788"/>
      <c r="AD570" s="119">
        <f t="shared" si="148"/>
        <v>0</v>
      </c>
      <c r="AE570" s="108">
        <f t="shared" si="148"/>
        <v>0</v>
      </c>
      <c r="AF570" s="108">
        <f t="shared" si="148"/>
        <v>0</v>
      </c>
      <c r="AG570" s="108"/>
      <c r="AH570" s="108"/>
      <c r="AI570" s="108"/>
      <c r="AJ570" s="108"/>
      <c r="AK570" s="108"/>
      <c r="AL570" s="108">
        <f t="shared" si="138"/>
        <v>0</v>
      </c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20">
        <f t="shared" si="139"/>
        <v>0</v>
      </c>
      <c r="CL570" s="122">
        <f t="shared" si="140"/>
        <v>0</v>
      </c>
      <c r="CM570" s="524" t="str">
        <f t="shared" si="142"/>
        <v/>
      </c>
      <c r="CN570" s="526">
        <f t="shared" si="143"/>
        <v>0</v>
      </c>
      <c r="CO570" s="122">
        <f t="shared" si="144"/>
        <v>0</v>
      </c>
      <c r="CP570" s="45" t="str">
        <f t="shared" si="141"/>
        <v>1 - in MILLESIMI   I</v>
      </c>
      <c r="CQ570" s="1"/>
    </row>
    <row r="571" spans="1:95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435">
        <f>IF(AND(W571&gt;=$U$1,W571&lt;=$U$2),IF(X571='ESTRATTO CONTO'!$E$2,1+COUNTIF(U$4:U570,"&gt;0"),0),0)</f>
        <v>0</v>
      </c>
      <c r="V571" s="417">
        <f t="shared" si="145"/>
        <v>568</v>
      </c>
      <c r="W571" s="509"/>
      <c r="X571" s="321"/>
      <c r="Y571" s="321"/>
      <c r="Z571" s="433"/>
      <c r="AA571" s="918">
        <f t="shared" si="136"/>
        <v>1</v>
      </c>
      <c r="AB571" s="306" t="str">
        <f t="shared" si="137"/>
        <v/>
      </c>
      <c r="AC571" s="788"/>
      <c r="AD571" s="119">
        <f t="shared" si="148"/>
        <v>0</v>
      </c>
      <c r="AE571" s="108">
        <f t="shared" si="148"/>
        <v>0</v>
      </c>
      <c r="AF571" s="108">
        <f t="shared" si="148"/>
        <v>0</v>
      </c>
      <c r="AG571" s="108"/>
      <c r="AH571" s="108"/>
      <c r="AI571" s="108"/>
      <c r="AJ571" s="108"/>
      <c r="AK571" s="108"/>
      <c r="AL571" s="108">
        <f t="shared" si="138"/>
        <v>0</v>
      </c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20">
        <f t="shared" si="139"/>
        <v>0</v>
      </c>
      <c r="CL571" s="122">
        <f t="shared" si="140"/>
        <v>0</v>
      </c>
      <c r="CM571" s="524" t="str">
        <f t="shared" si="142"/>
        <v/>
      </c>
      <c r="CN571" s="526">
        <f t="shared" si="143"/>
        <v>0</v>
      </c>
      <c r="CO571" s="122">
        <f t="shared" si="144"/>
        <v>0</v>
      </c>
      <c r="CP571" s="45" t="str">
        <f t="shared" si="141"/>
        <v>1 - in MILLESIMI   I</v>
      </c>
      <c r="CQ571" s="1"/>
    </row>
    <row r="572" spans="1:95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435">
        <f>IF(AND(W572&gt;=$U$1,W572&lt;=$U$2),IF(X572='ESTRATTO CONTO'!$E$2,1+COUNTIF(U$4:U571,"&gt;0"),0),0)</f>
        <v>0</v>
      </c>
      <c r="V572" s="417">
        <f t="shared" si="145"/>
        <v>569</v>
      </c>
      <c r="W572" s="509"/>
      <c r="X572" s="321"/>
      <c r="Y572" s="321"/>
      <c r="Z572" s="433"/>
      <c r="AA572" s="918">
        <f t="shared" si="136"/>
        <v>1</v>
      </c>
      <c r="AB572" s="306" t="str">
        <f t="shared" si="137"/>
        <v/>
      </c>
      <c r="AC572" s="788"/>
      <c r="AD572" s="119">
        <f t="shared" si="148"/>
        <v>0</v>
      </c>
      <c r="AE572" s="108">
        <f t="shared" si="148"/>
        <v>0</v>
      </c>
      <c r="AF572" s="108">
        <f t="shared" si="148"/>
        <v>0</v>
      </c>
      <c r="AG572" s="108"/>
      <c r="AH572" s="108"/>
      <c r="AI572" s="108"/>
      <c r="AJ572" s="108"/>
      <c r="AK572" s="108"/>
      <c r="AL572" s="108">
        <f t="shared" si="138"/>
        <v>0</v>
      </c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20">
        <f t="shared" si="139"/>
        <v>0</v>
      </c>
      <c r="CL572" s="122">
        <f t="shared" si="140"/>
        <v>0</v>
      </c>
      <c r="CM572" s="524" t="str">
        <f t="shared" si="142"/>
        <v/>
      </c>
      <c r="CN572" s="526">
        <f t="shared" si="143"/>
        <v>0</v>
      </c>
      <c r="CO572" s="122">
        <f t="shared" si="144"/>
        <v>0</v>
      </c>
      <c r="CP572" s="45" t="str">
        <f t="shared" si="141"/>
        <v>1 - in MILLESIMI   I</v>
      </c>
      <c r="CQ572" s="1"/>
    </row>
    <row r="573" spans="1:95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435">
        <f>IF(AND(W573&gt;=$U$1,W573&lt;=$U$2),IF(X573='ESTRATTO CONTO'!$E$2,1+COUNTIF(U$4:U572,"&gt;0"),0),0)</f>
        <v>0</v>
      </c>
      <c r="V573" s="417">
        <f t="shared" si="145"/>
        <v>570</v>
      </c>
      <c r="W573" s="509"/>
      <c r="X573" s="321"/>
      <c r="Y573" s="321"/>
      <c r="Z573" s="433"/>
      <c r="AA573" s="918">
        <f t="shared" si="136"/>
        <v>1</v>
      </c>
      <c r="AB573" s="306" t="str">
        <f t="shared" si="137"/>
        <v/>
      </c>
      <c r="AC573" s="788"/>
      <c r="AD573" s="119">
        <f t="shared" si="148"/>
        <v>0</v>
      </c>
      <c r="AE573" s="108">
        <f t="shared" si="148"/>
        <v>0</v>
      </c>
      <c r="AF573" s="108">
        <f t="shared" si="148"/>
        <v>0</v>
      </c>
      <c r="AG573" s="108"/>
      <c r="AH573" s="108"/>
      <c r="AI573" s="108"/>
      <c r="AJ573" s="108"/>
      <c r="AK573" s="108"/>
      <c r="AL573" s="108">
        <f t="shared" si="138"/>
        <v>0</v>
      </c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20">
        <f t="shared" si="139"/>
        <v>0</v>
      </c>
      <c r="CL573" s="122">
        <f t="shared" si="140"/>
        <v>0</v>
      </c>
      <c r="CM573" s="524" t="str">
        <f t="shared" si="142"/>
        <v/>
      </c>
      <c r="CN573" s="526">
        <f t="shared" si="143"/>
        <v>0</v>
      </c>
      <c r="CO573" s="122">
        <f t="shared" si="144"/>
        <v>0</v>
      </c>
      <c r="CP573" s="45" t="str">
        <f t="shared" si="141"/>
        <v>1 - in MILLESIMI   I</v>
      </c>
      <c r="CQ573" s="1"/>
    </row>
    <row r="574" spans="1:95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435">
        <f>IF(AND(W574&gt;=$U$1,W574&lt;=$U$2),IF(X574='ESTRATTO CONTO'!$E$2,1+COUNTIF(U$4:U573,"&gt;0"),0),0)</f>
        <v>0</v>
      </c>
      <c r="V574" s="417">
        <f t="shared" si="145"/>
        <v>571</v>
      </c>
      <c r="W574" s="509"/>
      <c r="X574" s="321"/>
      <c r="Y574" s="321"/>
      <c r="Z574" s="433"/>
      <c r="AA574" s="918">
        <f t="shared" si="136"/>
        <v>1</v>
      </c>
      <c r="AB574" s="306" t="str">
        <f t="shared" si="137"/>
        <v/>
      </c>
      <c r="AC574" s="788"/>
      <c r="AD574" s="119">
        <f t="shared" si="148"/>
        <v>0</v>
      </c>
      <c r="AE574" s="108">
        <f t="shared" si="148"/>
        <v>0</v>
      </c>
      <c r="AF574" s="108">
        <f t="shared" si="148"/>
        <v>0</v>
      </c>
      <c r="AG574" s="108"/>
      <c r="AH574" s="108"/>
      <c r="AI574" s="108"/>
      <c r="AJ574" s="108"/>
      <c r="AK574" s="108"/>
      <c r="AL574" s="108">
        <f t="shared" si="138"/>
        <v>0</v>
      </c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20">
        <f t="shared" si="139"/>
        <v>0</v>
      </c>
      <c r="CL574" s="122">
        <f t="shared" si="140"/>
        <v>0</v>
      </c>
      <c r="CM574" s="524" t="str">
        <f t="shared" si="142"/>
        <v/>
      </c>
      <c r="CN574" s="526">
        <f t="shared" si="143"/>
        <v>0</v>
      </c>
      <c r="CO574" s="122">
        <f t="shared" si="144"/>
        <v>0</v>
      </c>
      <c r="CP574" s="45" t="str">
        <f t="shared" si="141"/>
        <v>1 - in MILLESIMI   I</v>
      </c>
      <c r="CQ574" s="1"/>
    </row>
    <row r="575" spans="1:95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435">
        <f>IF(AND(W575&gt;=$U$1,W575&lt;=$U$2),IF(X575='ESTRATTO CONTO'!$E$2,1+COUNTIF(U$4:U574,"&gt;0"),0),0)</f>
        <v>0</v>
      </c>
      <c r="V575" s="417">
        <f t="shared" si="145"/>
        <v>572</v>
      </c>
      <c r="W575" s="509"/>
      <c r="X575" s="321"/>
      <c r="Y575" s="321"/>
      <c r="Z575" s="433"/>
      <c r="AA575" s="918">
        <f t="shared" si="136"/>
        <v>1</v>
      </c>
      <c r="AB575" s="306" t="str">
        <f t="shared" si="137"/>
        <v/>
      </c>
      <c r="AC575" s="788"/>
      <c r="AD575" s="119">
        <f t="shared" si="148"/>
        <v>0</v>
      </c>
      <c r="AE575" s="108">
        <f t="shared" si="148"/>
        <v>0</v>
      </c>
      <c r="AF575" s="108">
        <f t="shared" si="148"/>
        <v>0</v>
      </c>
      <c r="AG575" s="108"/>
      <c r="AH575" s="108"/>
      <c r="AI575" s="108"/>
      <c r="AJ575" s="108"/>
      <c r="AK575" s="108"/>
      <c r="AL575" s="108">
        <f t="shared" si="138"/>
        <v>0</v>
      </c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20">
        <f t="shared" si="139"/>
        <v>0</v>
      </c>
      <c r="CL575" s="122">
        <f t="shared" si="140"/>
        <v>0</v>
      </c>
      <c r="CM575" s="524" t="str">
        <f t="shared" si="142"/>
        <v/>
      </c>
      <c r="CN575" s="526">
        <f t="shared" si="143"/>
        <v>0</v>
      </c>
      <c r="CO575" s="122">
        <f t="shared" si="144"/>
        <v>0</v>
      </c>
      <c r="CP575" s="45" t="str">
        <f t="shared" si="141"/>
        <v>1 - in MILLESIMI   I</v>
      </c>
      <c r="CQ575" s="1"/>
    </row>
    <row r="576" spans="1:95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435">
        <f>IF(AND(W576&gt;=$U$1,W576&lt;=$U$2),IF(X576='ESTRATTO CONTO'!$E$2,1+COUNTIF(U$4:U575,"&gt;0"),0),0)</f>
        <v>0</v>
      </c>
      <c r="V576" s="417">
        <f t="shared" si="145"/>
        <v>573</v>
      </c>
      <c r="W576" s="509"/>
      <c r="X576" s="321"/>
      <c r="Y576" s="321"/>
      <c r="Z576" s="433"/>
      <c r="AA576" s="918">
        <f t="shared" si="136"/>
        <v>1</v>
      </c>
      <c r="AB576" s="306" t="str">
        <f t="shared" si="137"/>
        <v/>
      </c>
      <c r="AC576" s="788"/>
      <c r="AD576" s="119">
        <f t="shared" si="148"/>
        <v>0</v>
      </c>
      <c r="AE576" s="108">
        <f t="shared" si="148"/>
        <v>0</v>
      </c>
      <c r="AF576" s="108">
        <f t="shared" si="148"/>
        <v>0</v>
      </c>
      <c r="AG576" s="108"/>
      <c r="AH576" s="108"/>
      <c r="AI576" s="108"/>
      <c r="AJ576" s="108"/>
      <c r="AK576" s="108"/>
      <c r="AL576" s="108">
        <f t="shared" si="138"/>
        <v>0</v>
      </c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20">
        <f t="shared" si="139"/>
        <v>0</v>
      </c>
      <c r="CL576" s="122">
        <f t="shared" si="140"/>
        <v>0</v>
      </c>
      <c r="CM576" s="524" t="str">
        <f t="shared" si="142"/>
        <v/>
      </c>
      <c r="CN576" s="526">
        <f t="shared" si="143"/>
        <v>0</v>
      </c>
      <c r="CO576" s="122">
        <f t="shared" si="144"/>
        <v>0</v>
      </c>
      <c r="CP576" s="45" t="str">
        <f t="shared" si="141"/>
        <v>1 - in MILLESIMI   I</v>
      </c>
      <c r="CQ576" s="1"/>
    </row>
    <row r="577" spans="1:95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435">
        <f>IF(AND(W577&gt;=$U$1,W577&lt;=$U$2),IF(X577='ESTRATTO CONTO'!$E$2,1+COUNTIF(U$4:U576,"&gt;0"),0),0)</f>
        <v>0</v>
      </c>
      <c r="V577" s="417">
        <f t="shared" si="145"/>
        <v>574</v>
      </c>
      <c r="W577" s="509"/>
      <c r="X577" s="321"/>
      <c r="Y577" s="321"/>
      <c r="Z577" s="433"/>
      <c r="AA577" s="918">
        <f t="shared" si="136"/>
        <v>1</v>
      </c>
      <c r="AB577" s="306" t="str">
        <f t="shared" si="137"/>
        <v/>
      </c>
      <c r="AC577" s="788"/>
      <c r="AD577" s="119">
        <f t="shared" si="148"/>
        <v>0</v>
      </c>
      <c r="AE577" s="108">
        <f t="shared" si="148"/>
        <v>0</v>
      </c>
      <c r="AF577" s="108">
        <f t="shared" si="148"/>
        <v>0</v>
      </c>
      <c r="AG577" s="108"/>
      <c r="AH577" s="108"/>
      <c r="AI577" s="108"/>
      <c r="AJ577" s="108"/>
      <c r="AK577" s="108"/>
      <c r="AL577" s="108">
        <f t="shared" si="138"/>
        <v>0</v>
      </c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20">
        <f t="shared" si="139"/>
        <v>0</v>
      </c>
      <c r="CL577" s="122">
        <f t="shared" si="140"/>
        <v>0</v>
      </c>
      <c r="CM577" s="524" t="str">
        <f t="shared" si="142"/>
        <v/>
      </c>
      <c r="CN577" s="526">
        <f t="shared" si="143"/>
        <v>0</v>
      </c>
      <c r="CO577" s="122">
        <f t="shared" si="144"/>
        <v>0</v>
      </c>
      <c r="CP577" s="45" t="str">
        <f t="shared" si="141"/>
        <v>1 - in MILLESIMI   I</v>
      </c>
      <c r="CQ577" s="1"/>
    </row>
    <row r="578" spans="1:95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435">
        <f>IF(AND(W578&gt;=$U$1,W578&lt;=$U$2),IF(X578='ESTRATTO CONTO'!$E$2,1+COUNTIF(U$4:U577,"&gt;0"),0),0)</f>
        <v>0</v>
      </c>
      <c r="V578" s="417">
        <f t="shared" si="145"/>
        <v>575</v>
      </c>
      <c r="W578" s="509"/>
      <c r="X578" s="321"/>
      <c r="Y578" s="321"/>
      <c r="Z578" s="433"/>
      <c r="AA578" s="918">
        <f t="shared" si="136"/>
        <v>1</v>
      </c>
      <c r="AB578" s="306" t="str">
        <f t="shared" si="137"/>
        <v/>
      </c>
      <c r="AC578" s="788"/>
      <c r="AD578" s="119">
        <f t="shared" si="148"/>
        <v>0</v>
      </c>
      <c r="AE578" s="108">
        <f t="shared" si="148"/>
        <v>0</v>
      </c>
      <c r="AF578" s="108">
        <f t="shared" si="148"/>
        <v>0</v>
      </c>
      <c r="AG578" s="108"/>
      <c r="AH578" s="108"/>
      <c r="AI578" s="108"/>
      <c r="AJ578" s="108"/>
      <c r="AK578" s="108"/>
      <c r="AL578" s="108">
        <f t="shared" si="138"/>
        <v>0</v>
      </c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20">
        <f t="shared" si="139"/>
        <v>0</v>
      </c>
      <c r="CL578" s="122">
        <f t="shared" si="140"/>
        <v>0</v>
      </c>
      <c r="CM578" s="524" t="str">
        <f t="shared" si="142"/>
        <v/>
      </c>
      <c r="CN578" s="526">
        <f t="shared" si="143"/>
        <v>0</v>
      </c>
      <c r="CO578" s="122">
        <f t="shared" si="144"/>
        <v>0</v>
      </c>
      <c r="CP578" s="45" t="str">
        <f t="shared" si="141"/>
        <v>1 - in MILLESIMI   I</v>
      </c>
      <c r="CQ578" s="1"/>
    </row>
    <row r="579" spans="1:95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435">
        <f>IF(AND(W579&gt;=$U$1,W579&lt;=$U$2),IF(X579='ESTRATTO CONTO'!$E$2,1+COUNTIF(U$4:U578,"&gt;0"),0),0)</f>
        <v>0</v>
      </c>
      <c r="V579" s="417">
        <f t="shared" si="145"/>
        <v>576</v>
      </c>
      <c r="W579" s="509"/>
      <c r="X579" s="321"/>
      <c r="Y579" s="321"/>
      <c r="Z579" s="433"/>
      <c r="AA579" s="918">
        <f t="shared" si="136"/>
        <v>1</v>
      </c>
      <c r="AB579" s="306" t="str">
        <f t="shared" si="137"/>
        <v/>
      </c>
      <c r="AC579" s="788"/>
      <c r="AD579" s="119">
        <f t="shared" si="148"/>
        <v>0</v>
      </c>
      <c r="AE579" s="108">
        <f t="shared" si="148"/>
        <v>0</v>
      </c>
      <c r="AF579" s="108">
        <f t="shared" si="148"/>
        <v>0</v>
      </c>
      <c r="AG579" s="108"/>
      <c r="AH579" s="108"/>
      <c r="AI579" s="108"/>
      <c r="AJ579" s="108"/>
      <c r="AK579" s="108"/>
      <c r="AL579" s="108">
        <f t="shared" si="138"/>
        <v>0</v>
      </c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20">
        <f t="shared" si="139"/>
        <v>0</v>
      </c>
      <c r="CL579" s="122">
        <f t="shared" si="140"/>
        <v>0</v>
      </c>
      <c r="CM579" s="524" t="str">
        <f t="shared" si="142"/>
        <v/>
      </c>
      <c r="CN579" s="526">
        <f t="shared" si="143"/>
        <v>0</v>
      </c>
      <c r="CO579" s="122">
        <f t="shared" si="144"/>
        <v>0</v>
      </c>
      <c r="CP579" s="45" t="str">
        <f t="shared" si="141"/>
        <v>1 - in MILLESIMI   I</v>
      </c>
      <c r="CQ579" s="1"/>
    </row>
    <row r="580" spans="1:95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435">
        <f>IF(AND(W580&gt;=$U$1,W580&lt;=$U$2),IF(X580='ESTRATTO CONTO'!$E$2,1+COUNTIF(U$4:U579,"&gt;0"),0),0)</f>
        <v>0</v>
      </c>
      <c r="V580" s="417">
        <f t="shared" si="145"/>
        <v>577</v>
      </c>
      <c r="W580" s="509"/>
      <c r="X580" s="321"/>
      <c r="Y580" s="321"/>
      <c r="Z580" s="433"/>
      <c r="AA580" s="918">
        <f t="shared" ref="AA580:AA643" si="149">IF(OR(W580&lt;$W$1433,W580&gt;$W$1434),1,0)</f>
        <v>1</v>
      </c>
      <c r="AB580" s="306" t="str">
        <f t="shared" ref="AB580:AB643" si="150">IF(W580&gt;0,IF(AND(W580&gt;=W$1438,W580&lt;=W$1439),CONCATENATE(MONTH(W580)&amp;X580),0),"")</f>
        <v/>
      </c>
      <c r="AC580" s="788"/>
      <c r="AD580" s="119">
        <f t="shared" si="148"/>
        <v>0</v>
      </c>
      <c r="AE580" s="108">
        <f t="shared" si="148"/>
        <v>0</v>
      </c>
      <c r="AF580" s="108">
        <f t="shared" si="148"/>
        <v>0</v>
      </c>
      <c r="AG580" s="108"/>
      <c r="AH580" s="108"/>
      <c r="AI580" s="108"/>
      <c r="AJ580" s="108"/>
      <c r="AK580" s="108"/>
      <c r="AL580" s="108">
        <f t="shared" ref="AL580:AL643" si="151">IF($AB580=0,0,ROUND($Z580*VLOOKUP(AL$2,$F$1010:$Q$1014,VLOOKUP($CP580,$C$1076:$E$1081,3,FALSE),FALSE),2))</f>
        <v>0</v>
      </c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20">
        <f t="shared" ref="CK580:CK643" si="152">IF($AB580=0,0,ROUND($Z580*VLOOKUP(CK$2,$F$1010:$Q$1014,VLOOKUP($CP580,$C$1076:$E$1081,3,FALSE),FALSE),2))</f>
        <v>0</v>
      </c>
      <c r="CL580" s="122">
        <f t="shared" ref="CL580:CL643" si="153">IF(CK$1014&gt;0,0,IF(ISBLANK(W580),0,MONTH(W580)))</f>
        <v>0</v>
      </c>
      <c r="CM580" s="524" t="str">
        <f t="shared" si="142"/>
        <v/>
      </c>
      <c r="CN580" s="526">
        <f t="shared" si="143"/>
        <v>0</v>
      </c>
      <c r="CO580" s="122">
        <f t="shared" si="144"/>
        <v>0</v>
      </c>
      <c r="CP580" s="45" t="str">
        <f t="shared" ref="CP580:CP643" si="154">IF(ISBLANK(AC580),Q$1,AC580)</f>
        <v>1 - in MILLESIMI   I</v>
      </c>
      <c r="CQ580" s="1"/>
    </row>
    <row r="581" spans="1:95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435">
        <f>IF(AND(W581&gt;=$U$1,W581&lt;=$U$2),IF(X581='ESTRATTO CONTO'!$E$2,1+COUNTIF(U$4:U580,"&gt;0"),0),0)</f>
        <v>0</v>
      </c>
      <c r="V581" s="417">
        <f t="shared" si="145"/>
        <v>578</v>
      </c>
      <c r="W581" s="509"/>
      <c r="X581" s="321"/>
      <c r="Y581" s="321"/>
      <c r="Z581" s="433"/>
      <c r="AA581" s="918">
        <f t="shared" si="149"/>
        <v>1</v>
      </c>
      <c r="AB581" s="306" t="str">
        <f t="shared" si="150"/>
        <v/>
      </c>
      <c r="AC581" s="788"/>
      <c r="AD581" s="119">
        <f t="shared" si="148"/>
        <v>0</v>
      </c>
      <c r="AE581" s="108">
        <f t="shared" si="148"/>
        <v>0</v>
      </c>
      <c r="AF581" s="108">
        <f t="shared" si="148"/>
        <v>0</v>
      </c>
      <c r="AG581" s="108"/>
      <c r="AH581" s="108"/>
      <c r="AI581" s="108"/>
      <c r="AJ581" s="108"/>
      <c r="AK581" s="108"/>
      <c r="AL581" s="108">
        <f t="shared" si="151"/>
        <v>0</v>
      </c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20">
        <f t="shared" si="152"/>
        <v>0</v>
      </c>
      <c r="CL581" s="122">
        <f t="shared" si="153"/>
        <v>0</v>
      </c>
      <c r="CM581" s="524" t="str">
        <f t="shared" ref="CM581:CM644" si="155">IF(X581="","",IF(ISERROR(VLOOKUP(X581,B$9:E$45,1,FALSE)),1,0))</f>
        <v/>
      </c>
      <c r="CN581" s="526">
        <f t="shared" ref="CN581:CN644" si="156">IF(AND(W581&gt;=CN$1,W581&lt;=CN$2),Z581,0)</f>
        <v>0</v>
      </c>
      <c r="CO581" s="122">
        <f t="shared" ref="CO581:CO644" si="157">IF(CN581&lt;&gt;0,X581,0)</f>
        <v>0</v>
      </c>
      <c r="CP581" s="45" t="str">
        <f t="shared" si="154"/>
        <v>1 - in MILLESIMI   I</v>
      </c>
      <c r="CQ581" s="1"/>
    </row>
    <row r="582" spans="1:95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435">
        <f>IF(AND(W582&gt;=$U$1,W582&lt;=$U$2),IF(X582='ESTRATTO CONTO'!$E$2,1+COUNTIF(U$4:U581,"&gt;0"),0),0)</f>
        <v>0</v>
      </c>
      <c r="V582" s="417">
        <f t="shared" ref="V582:V645" si="158">V581+1</f>
        <v>579</v>
      </c>
      <c r="W582" s="509"/>
      <c r="X582" s="321"/>
      <c r="Y582" s="321"/>
      <c r="Z582" s="433"/>
      <c r="AA582" s="918">
        <f t="shared" si="149"/>
        <v>1</v>
      </c>
      <c r="AB582" s="306" t="str">
        <f t="shared" si="150"/>
        <v/>
      </c>
      <c r="AC582" s="788"/>
      <c r="AD582" s="119">
        <f t="shared" si="148"/>
        <v>0</v>
      </c>
      <c r="AE582" s="108">
        <f t="shared" si="148"/>
        <v>0</v>
      </c>
      <c r="AF582" s="108">
        <f t="shared" si="148"/>
        <v>0</v>
      </c>
      <c r="AG582" s="108"/>
      <c r="AH582" s="108"/>
      <c r="AI582" s="108"/>
      <c r="AJ582" s="108"/>
      <c r="AK582" s="108"/>
      <c r="AL582" s="108">
        <f t="shared" si="151"/>
        <v>0</v>
      </c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20">
        <f t="shared" si="152"/>
        <v>0</v>
      </c>
      <c r="CL582" s="122">
        <f t="shared" si="153"/>
        <v>0</v>
      </c>
      <c r="CM582" s="524" t="str">
        <f t="shared" si="155"/>
        <v/>
      </c>
      <c r="CN582" s="526">
        <f t="shared" si="156"/>
        <v>0</v>
      </c>
      <c r="CO582" s="122">
        <f t="shared" si="157"/>
        <v>0</v>
      </c>
      <c r="CP582" s="45" t="str">
        <f t="shared" si="154"/>
        <v>1 - in MILLESIMI   I</v>
      </c>
      <c r="CQ582" s="1"/>
    </row>
    <row r="583" spans="1:95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435">
        <f>IF(AND(W583&gt;=$U$1,W583&lt;=$U$2),IF(X583='ESTRATTO CONTO'!$E$2,1+COUNTIF(U$4:U582,"&gt;0"),0),0)</f>
        <v>0</v>
      </c>
      <c r="V583" s="417">
        <f t="shared" si="158"/>
        <v>580</v>
      </c>
      <c r="W583" s="509"/>
      <c r="X583" s="321"/>
      <c r="Y583" s="321"/>
      <c r="Z583" s="433"/>
      <c r="AA583" s="918">
        <f t="shared" si="149"/>
        <v>1</v>
      </c>
      <c r="AB583" s="306" t="str">
        <f t="shared" si="150"/>
        <v/>
      </c>
      <c r="AC583" s="788"/>
      <c r="AD583" s="119">
        <f t="shared" si="148"/>
        <v>0</v>
      </c>
      <c r="AE583" s="108">
        <f t="shared" si="148"/>
        <v>0</v>
      </c>
      <c r="AF583" s="108">
        <f t="shared" si="148"/>
        <v>0</v>
      </c>
      <c r="AG583" s="108"/>
      <c r="AH583" s="108"/>
      <c r="AI583" s="108"/>
      <c r="AJ583" s="108"/>
      <c r="AK583" s="108"/>
      <c r="AL583" s="108">
        <f t="shared" si="151"/>
        <v>0</v>
      </c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20">
        <f t="shared" si="152"/>
        <v>0</v>
      </c>
      <c r="CL583" s="122">
        <f t="shared" si="153"/>
        <v>0</v>
      </c>
      <c r="CM583" s="524" t="str">
        <f t="shared" si="155"/>
        <v/>
      </c>
      <c r="CN583" s="526">
        <f t="shared" si="156"/>
        <v>0</v>
      </c>
      <c r="CO583" s="122">
        <f t="shared" si="157"/>
        <v>0</v>
      </c>
      <c r="CP583" s="45" t="str">
        <f t="shared" si="154"/>
        <v>1 - in MILLESIMI   I</v>
      </c>
      <c r="CQ583" s="1"/>
    </row>
    <row r="584" spans="1:95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435">
        <f>IF(AND(W584&gt;=$U$1,W584&lt;=$U$2),IF(X584='ESTRATTO CONTO'!$E$2,1+COUNTIF(U$4:U583,"&gt;0"),0),0)</f>
        <v>0</v>
      </c>
      <c r="V584" s="417">
        <f t="shared" si="158"/>
        <v>581</v>
      </c>
      <c r="W584" s="509"/>
      <c r="X584" s="321"/>
      <c r="Y584" s="321"/>
      <c r="Z584" s="433"/>
      <c r="AA584" s="918">
        <f t="shared" si="149"/>
        <v>1</v>
      </c>
      <c r="AB584" s="306" t="str">
        <f t="shared" si="150"/>
        <v/>
      </c>
      <c r="AC584" s="788"/>
      <c r="AD584" s="119">
        <f t="shared" ref="AD584:AF603" si="159">IF($AB584=0,0,ROUND($Z584*VLOOKUP(AD$2,$F$1010:$Q$1014,VLOOKUP($CP584,$C$1076:$E$1081,3,FALSE),FALSE),2))</f>
        <v>0</v>
      </c>
      <c r="AE584" s="108">
        <f t="shared" si="159"/>
        <v>0</v>
      </c>
      <c r="AF584" s="108">
        <f t="shared" si="159"/>
        <v>0</v>
      </c>
      <c r="AG584" s="108"/>
      <c r="AH584" s="108"/>
      <c r="AI584" s="108"/>
      <c r="AJ584" s="108"/>
      <c r="AK584" s="108"/>
      <c r="AL584" s="108">
        <f t="shared" si="151"/>
        <v>0</v>
      </c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20">
        <f t="shared" si="152"/>
        <v>0</v>
      </c>
      <c r="CL584" s="122">
        <f t="shared" si="153"/>
        <v>0</v>
      </c>
      <c r="CM584" s="524" t="str">
        <f t="shared" si="155"/>
        <v/>
      </c>
      <c r="CN584" s="526">
        <f t="shared" si="156"/>
        <v>0</v>
      </c>
      <c r="CO584" s="122">
        <f t="shared" si="157"/>
        <v>0</v>
      </c>
      <c r="CP584" s="45" t="str">
        <f t="shared" si="154"/>
        <v>1 - in MILLESIMI   I</v>
      </c>
      <c r="CQ584" s="1"/>
    </row>
    <row r="585" spans="1:95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435">
        <f>IF(AND(W585&gt;=$U$1,W585&lt;=$U$2),IF(X585='ESTRATTO CONTO'!$E$2,1+COUNTIF(U$4:U584,"&gt;0"),0),0)</f>
        <v>0</v>
      </c>
      <c r="V585" s="417">
        <f t="shared" si="158"/>
        <v>582</v>
      </c>
      <c r="W585" s="509"/>
      <c r="X585" s="321"/>
      <c r="Y585" s="321"/>
      <c r="Z585" s="433"/>
      <c r="AA585" s="918">
        <f t="shared" si="149"/>
        <v>1</v>
      </c>
      <c r="AB585" s="306" t="str">
        <f t="shared" si="150"/>
        <v/>
      </c>
      <c r="AC585" s="788"/>
      <c r="AD585" s="119">
        <f t="shared" si="159"/>
        <v>0</v>
      </c>
      <c r="AE585" s="108">
        <f t="shared" si="159"/>
        <v>0</v>
      </c>
      <c r="AF585" s="108">
        <f t="shared" si="159"/>
        <v>0</v>
      </c>
      <c r="AG585" s="108"/>
      <c r="AH585" s="108"/>
      <c r="AI585" s="108"/>
      <c r="AJ585" s="108"/>
      <c r="AK585" s="108"/>
      <c r="AL585" s="108">
        <f t="shared" si="151"/>
        <v>0</v>
      </c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20">
        <f t="shared" si="152"/>
        <v>0</v>
      </c>
      <c r="CL585" s="122">
        <f t="shared" si="153"/>
        <v>0</v>
      </c>
      <c r="CM585" s="524" t="str">
        <f t="shared" si="155"/>
        <v/>
      </c>
      <c r="CN585" s="526">
        <f t="shared" si="156"/>
        <v>0</v>
      </c>
      <c r="CO585" s="122">
        <f t="shared" si="157"/>
        <v>0</v>
      </c>
      <c r="CP585" s="45" t="str">
        <f t="shared" si="154"/>
        <v>1 - in MILLESIMI   I</v>
      </c>
      <c r="CQ585" s="1"/>
    </row>
    <row r="586" spans="1:95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435">
        <f>IF(AND(W586&gt;=$U$1,W586&lt;=$U$2),IF(X586='ESTRATTO CONTO'!$E$2,1+COUNTIF(U$4:U585,"&gt;0"),0),0)</f>
        <v>0</v>
      </c>
      <c r="V586" s="417">
        <f t="shared" si="158"/>
        <v>583</v>
      </c>
      <c r="W586" s="509"/>
      <c r="X586" s="321"/>
      <c r="Y586" s="321"/>
      <c r="Z586" s="433"/>
      <c r="AA586" s="918">
        <f t="shared" si="149"/>
        <v>1</v>
      </c>
      <c r="AB586" s="306" t="str">
        <f t="shared" si="150"/>
        <v/>
      </c>
      <c r="AC586" s="788"/>
      <c r="AD586" s="119">
        <f t="shared" si="159"/>
        <v>0</v>
      </c>
      <c r="AE586" s="108">
        <f t="shared" si="159"/>
        <v>0</v>
      </c>
      <c r="AF586" s="108">
        <f t="shared" si="159"/>
        <v>0</v>
      </c>
      <c r="AG586" s="108"/>
      <c r="AH586" s="108"/>
      <c r="AI586" s="108"/>
      <c r="AJ586" s="108"/>
      <c r="AK586" s="108"/>
      <c r="AL586" s="108">
        <f t="shared" si="151"/>
        <v>0</v>
      </c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20">
        <f t="shared" si="152"/>
        <v>0</v>
      </c>
      <c r="CL586" s="122">
        <f t="shared" si="153"/>
        <v>0</v>
      </c>
      <c r="CM586" s="524" t="str">
        <f t="shared" si="155"/>
        <v/>
      </c>
      <c r="CN586" s="526">
        <f t="shared" si="156"/>
        <v>0</v>
      </c>
      <c r="CO586" s="122">
        <f t="shared" si="157"/>
        <v>0</v>
      </c>
      <c r="CP586" s="45" t="str">
        <f t="shared" si="154"/>
        <v>1 - in MILLESIMI   I</v>
      </c>
      <c r="CQ586" s="1"/>
    </row>
    <row r="587" spans="1:95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435">
        <f>IF(AND(W587&gt;=$U$1,W587&lt;=$U$2),IF(X587='ESTRATTO CONTO'!$E$2,1+COUNTIF(U$4:U586,"&gt;0"),0),0)</f>
        <v>0</v>
      </c>
      <c r="V587" s="417">
        <f t="shared" si="158"/>
        <v>584</v>
      </c>
      <c r="W587" s="509"/>
      <c r="X587" s="321"/>
      <c r="Y587" s="321"/>
      <c r="Z587" s="433"/>
      <c r="AA587" s="918">
        <f t="shared" si="149"/>
        <v>1</v>
      </c>
      <c r="AB587" s="306" t="str">
        <f t="shared" si="150"/>
        <v/>
      </c>
      <c r="AC587" s="788"/>
      <c r="AD587" s="119">
        <f t="shared" si="159"/>
        <v>0</v>
      </c>
      <c r="AE587" s="108">
        <f t="shared" si="159"/>
        <v>0</v>
      </c>
      <c r="AF587" s="108">
        <f t="shared" si="159"/>
        <v>0</v>
      </c>
      <c r="AG587" s="108"/>
      <c r="AH587" s="108"/>
      <c r="AI587" s="108"/>
      <c r="AJ587" s="108"/>
      <c r="AK587" s="108"/>
      <c r="AL587" s="108">
        <f t="shared" si="151"/>
        <v>0</v>
      </c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20">
        <f t="shared" si="152"/>
        <v>0</v>
      </c>
      <c r="CL587" s="122">
        <f t="shared" si="153"/>
        <v>0</v>
      </c>
      <c r="CM587" s="524" t="str">
        <f t="shared" si="155"/>
        <v/>
      </c>
      <c r="CN587" s="526">
        <f t="shared" si="156"/>
        <v>0</v>
      </c>
      <c r="CO587" s="122">
        <f t="shared" si="157"/>
        <v>0</v>
      </c>
      <c r="CP587" s="45" t="str">
        <f t="shared" si="154"/>
        <v>1 - in MILLESIMI   I</v>
      </c>
      <c r="CQ587" s="1"/>
    </row>
    <row r="588" spans="1:95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435">
        <f>IF(AND(W588&gt;=$U$1,W588&lt;=$U$2),IF(X588='ESTRATTO CONTO'!$E$2,1+COUNTIF(U$4:U587,"&gt;0"),0),0)</f>
        <v>0</v>
      </c>
      <c r="V588" s="417">
        <f t="shared" si="158"/>
        <v>585</v>
      </c>
      <c r="W588" s="509"/>
      <c r="X588" s="321"/>
      <c r="Y588" s="321"/>
      <c r="Z588" s="433"/>
      <c r="AA588" s="918">
        <f t="shared" si="149"/>
        <v>1</v>
      </c>
      <c r="AB588" s="306" t="str">
        <f t="shared" si="150"/>
        <v/>
      </c>
      <c r="AC588" s="788"/>
      <c r="AD588" s="119">
        <f t="shared" si="159"/>
        <v>0</v>
      </c>
      <c r="AE588" s="108">
        <f t="shared" si="159"/>
        <v>0</v>
      </c>
      <c r="AF588" s="108">
        <f t="shared" si="159"/>
        <v>0</v>
      </c>
      <c r="AG588" s="108"/>
      <c r="AH588" s="108"/>
      <c r="AI588" s="108"/>
      <c r="AJ588" s="108"/>
      <c r="AK588" s="108"/>
      <c r="AL588" s="108">
        <f t="shared" si="151"/>
        <v>0</v>
      </c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20">
        <f t="shared" si="152"/>
        <v>0</v>
      </c>
      <c r="CL588" s="122">
        <f t="shared" si="153"/>
        <v>0</v>
      </c>
      <c r="CM588" s="524" t="str">
        <f t="shared" si="155"/>
        <v/>
      </c>
      <c r="CN588" s="526">
        <f t="shared" si="156"/>
        <v>0</v>
      </c>
      <c r="CO588" s="122">
        <f t="shared" si="157"/>
        <v>0</v>
      </c>
      <c r="CP588" s="45" t="str">
        <f t="shared" si="154"/>
        <v>1 - in MILLESIMI   I</v>
      </c>
      <c r="CQ588" s="1"/>
    </row>
    <row r="589" spans="1:95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435">
        <f>IF(AND(W589&gt;=$U$1,W589&lt;=$U$2),IF(X589='ESTRATTO CONTO'!$E$2,1+COUNTIF(U$4:U588,"&gt;0"),0),0)</f>
        <v>0</v>
      </c>
      <c r="V589" s="417">
        <f t="shared" si="158"/>
        <v>586</v>
      </c>
      <c r="W589" s="509"/>
      <c r="X589" s="321"/>
      <c r="Y589" s="321"/>
      <c r="Z589" s="433"/>
      <c r="AA589" s="918">
        <f t="shared" si="149"/>
        <v>1</v>
      </c>
      <c r="AB589" s="306" t="str">
        <f t="shared" si="150"/>
        <v/>
      </c>
      <c r="AC589" s="788"/>
      <c r="AD589" s="119">
        <f t="shared" si="159"/>
        <v>0</v>
      </c>
      <c r="AE589" s="108">
        <f t="shared" si="159"/>
        <v>0</v>
      </c>
      <c r="AF589" s="108">
        <f t="shared" si="159"/>
        <v>0</v>
      </c>
      <c r="AG589" s="108"/>
      <c r="AH589" s="108"/>
      <c r="AI589" s="108"/>
      <c r="AJ589" s="108"/>
      <c r="AK589" s="108"/>
      <c r="AL589" s="108">
        <f t="shared" si="151"/>
        <v>0</v>
      </c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20">
        <f t="shared" si="152"/>
        <v>0</v>
      </c>
      <c r="CL589" s="122">
        <f t="shared" si="153"/>
        <v>0</v>
      </c>
      <c r="CM589" s="524" t="str">
        <f t="shared" si="155"/>
        <v/>
      </c>
      <c r="CN589" s="526">
        <f t="shared" si="156"/>
        <v>0</v>
      </c>
      <c r="CO589" s="122">
        <f t="shared" si="157"/>
        <v>0</v>
      </c>
      <c r="CP589" s="45" t="str">
        <f t="shared" si="154"/>
        <v>1 - in MILLESIMI   I</v>
      </c>
      <c r="CQ589" s="1"/>
    </row>
    <row r="590" spans="1:95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435">
        <f>IF(AND(W590&gt;=$U$1,W590&lt;=$U$2),IF(X590='ESTRATTO CONTO'!$E$2,1+COUNTIF(U$4:U589,"&gt;0"),0),0)</f>
        <v>0</v>
      </c>
      <c r="V590" s="417">
        <f t="shared" si="158"/>
        <v>587</v>
      </c>
      <c r="W590" s="509"/>
      <c r="X590" s="321"/>
      <c r="Y590" s="321"/>
      <c r="Z590" s="433"/>
      <c r="AA590" s="918">
        <f t="shared" si="149"/>
        <v>1</v>
      </c>
      <c r="AB590" s="306" t="str">
        <f t="shared" si="150"/>
        <v/>
      </c>
      <c r="AC590" s="788"/>
      <c r="AD590" s="119">
        <f t="shared" si="159"/>
        <v>0</v>
      </c>
      <c r="AE590" s="108">
        <f t="shared" si="159"/>
        <v>0</v>
      </c>
      <c r="AF590" s="108">
        <f t="shared" si="159"/>
        <v>0</v>
      </c>
      <c r="AG590" s="108"/>
      <c r="AH590" s="108"/>
      <c r="AI590" s="108"/>
      <c r="AJ590" s="108"/>
      <c r="AK590" s="108"/>
      <c r="AL590" s="108">
        <f t="shared" si="151"/>
        <v>0</v>
      </c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20">
        <f t="shared" si="152"/>
        <v>0</v>
      </c>
      <c r="CL590" s="122">
        <f t="shared" si="153"/>
        <v>0</v>
      </c>
      <c r="CM590" s="524" t="str">
        <f t="shared" si="155"/>
        <v/>
      </c>
      <c r="CN590" s="526">
        <f t="shared" si="156"/>
        <v>0</v>
      </c>
      <c r="CO590" s="122">
        <f t="shared" si="157"/>
        <v>0</v>
      </c>
      <c r="CP590" s="45" t="str">
        <f t="shared" si="154"/>
        <v>1 - in MILLESIMI   I</v>
      </c>
      <c r="CQ590" s="1"/>
    </row>
    <row r="591" spans="1:95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435">
        <f>IF(AND(W591&gt;=$U$1,W591&lt;=$U$2),IF(X591='ESTRATTO CONTO'!$E$2,1+COUNTIF(U$4:U590,"&gt;0"),0),0)</f>
        <v>0</v>
      </c>
      <c r="V591" s="417">
        <f t="shared" si="158"/>
        <v>588</v>
      </c>
      <c r="W591" s="509"/>
      <c r="X591" s="321"/>
      <c r="Y591" s="321"/>
      <c r="Z591" s="433"/>
      <c r="AA591" s="918">
        <f t="shared" si="149"/>
        <v>1</v>
      </c>
      <c r="AB591" s="306" t="str">
        <f t="shared" si="150"/>
        <v/>
      </c>
      <c r="AC591" s="788"/>
      <c r="AD591" s="119">
        <f t="shared" si="159"/>
        <v>0</v>
      </c>
      <c r="AE591" s="108">
        <f t="shared" si="159"/>
        <v>0</v>
      </c>
      <c r="AF591" s="108">
        <f t="shared" si="159"/>
        <v>0</v>
      </c>
      <c r="AG591" s="108"/>
      <c r="AH591" s="108"/>
      <c r="AI591" s="108"/>
      <c r="AJ591" s="108"/>
      <c r="AK591" s="108"/>
      <c r="AL591" s="108">
        <f t="shared" si="151"/>
        <v>0</v>
      </c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20">
        <f t="shared" si="152"/>
        <v>0</v>
      </c>
      <c r="CL591" s="122">
        <f t="shared" si="153"/>
        <v>0</v>
      </c>
      <c r="CM591" s="524" t="str">
        <f t="shared" si="155"/>
        <v/>
      </c>
      <c r="CN591" s="526">
        <f t="shared" si="156"/>
        <v>0</v>
      </c>
      <c r="CO591" s="122">
        <f t="shared" si="157"/>
        <v>0</v>
      </c>
      <c r="CP591" s="45" t="str">
        <f t="shared" si="154"/>
        <v>1 - in MILLESIMI   I</v>
      </c>
      <c r="CQ591" s="1"/>
    </row>
    <row r="592" spans="1:95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435">
        <f>IF(AND(W592&gt;=$U$1,W592&lt;=$U$2),IF(X592='ESTRATTO CONTO'!$E$2,1+COUNTIF(U$4:U591,"&gt;0"),0),0)</f>
        <v>0</v>
      </c>
      <c r="V592" s="417">
        <f t="shared" si="158"/>
        <v>589</v>
      </c>
      <c r="W592" s="509"/>
      <c r="X592" s="321"/>
      <c r="Y592" s="321"/>
      <c r="Z592" s="433"/>
      <c r="AA592" s="918">
        <f t="shared" si="149"/>
        <v>1</v>
      </c>
      <c r="AB592" s="306" t="str">
        <f t="shared" si="150"/>
        <v/>
      </c>
      <c r="AC592" s="788"/>
      <c r="AD592" s="119">
        <f t="shared" si="159"/>
        <v>0</v>
      </c>
      <c r="AE592" s="108">
        <f t="shared" si="159"/>
        <v>0</v>
      </c>
      <c r="AF592" s="108">
        <f t="shared" si="159"/>
        <v>0</v>
      </c>
      <c r="AG592" s="108"/>
      <c r="AH592" s="108"/>
      <c r="AI592" s="108"/>
      <c r="AJ592" s="108"/>
      <c r="AK592" s="108"/>
      <c r="AL592" s="108">
        <f t="shared" si="151"/>
        <v>0</v>
      </c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20">
        <f t="shared" si="152"/>
        <v>0</v>
      </c>
      <c r="CL592" s="122">
        <f t="shared" si="153"/>
        <v>0</v>
      </c>
      <c r="CM592" s="524" t="str">
        <f t="shared" si="155"/>
        <v/>
      </c>
      <c r="CN592" s="526">
        <f t="shared" si="156"/>
        <v>0</v>
      </c>
      <c r="CO592" s="122">
        <f t="shared" si="157"/>
        <v>0</v>
      </c>
      <c r="CP592" s="45" t="str">
        <f t="shared" si="154"/>
        <v>1 - in MILLESIMI   I</v>
      </c>
      <c r="CQ592" s="1"/>
    </row>
    <row r="593" spans="1:95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435">
        <f>IF(AND(W593&gt;=$U$1,W593&lt;=$U$2),IF(X593='ESTRATTO CONTO'!$E$2,1+COUNTIF(U$4:U592,"&gt;0"),0),0)</f>
        <v>0</v>
      </c>
      <c r="V593" s="417">
        <f t="shared" si="158"/>
        <v>590</v>
      </c>
      <c r="W593" s="509"/>
      <c r="X593" s="321"/>
      <c r="Y593" s="321"/>
      <c r="Z593" s="433"/>
      <c r="AA593" s="918">
        <f t="shared" si="149"/>
        <v>1</v>
      </c>
      <c r="AB593" s="306" t="str">
        <f t="shared" si="150"/>
        <v/>
      </c>
      <c r="AC593" s="788"/>
      <c r="AD593" s="119">
        <f t="shared" si="159"/>
        <v>0</v>
      </c>
      <c r="AE593" s="108">
        <f t="shared" si="159"/>
        <v>0</v>
      </c>
      <c r="AF593" s="108">
        <f t="shared" si="159"/>
        <v>0</v>
      </c>
      <c r="AG593" s="108"/>
      <c r="AH593" s="108"/>
      <c r="AI593" s="108"/>
      <c r="AJ593" s="108"/>
      <c r="AK593" s="108"/>
      <c r="AL593" s="108">
        <f t="shared" si="151"/>
        <v>0</v>
      </c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20">
        <f t="shared" si="152"/>
        <v>0</v>
      </c>
      <c r="CL593" s="122">
        <f t="shared" si="153"/>
        <v>0</v>
      </c>
      <c r="CM593" s="524" t="str">
        <f t="shared" si="155"/>
        <v/>
      </c>
      <c r="CN593" s="526">
        <f t="shared" si="156"/>
        <v>0</v>
      </c>
      <c r="CO593" s="122">
        <f t="shared" si="157"/>
        <v>0</v>
      </c>
      <c r="CP593" s="45" t="str">
        <f t="shared" si="154"/>
        <v>1 - in MILLESIMI   I</v>
      </c>
      <c r="CQ593" s="1"/>
    </row>
    <row r="594" spans="1:95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435">
        <f>IF(AND(W594&gt;=$U$1,W594&lt;=$U$2),IF(X594='ESTRATTO CONTO'!$E$2,1+COUNTIF(U$4:U593,"&gt;0"),0),0)</f>
        <v>0</v>
      </c>
      <c r="V594" s="417">
        <f t="shared" si="158"/>
        <v>591</v>
      </c>
      <c r="W594" s="509"/>
      <c r="X594" s="321"/>
      <c r="Y594" s="321"/>
      <c r="Z594" s="433"/>
      <c r="AA594" s="918">
        <f t="shared" si="149"/>
        <v>1</v>
      </c>
      <c r="AB594" s="306" t="str">
        <f t="shared" si="150"/>
        <v/>
      </c>
      <c r="AC594" s="788"/>
      <c r="AD594" s="119">
        <f t="shared" si="159"/>
        <v>0</v>
      </c>
      <c r="AE594" s="108">
        <f t="shared" si="159"/>
        <v>0</v>
      </c>
      <c r="AF594" s="108">
        <f t="shared" si="159"/>
        <v>0</v>
      </c>
      <c r="AG594" s="108"/>
      <c r="AH594" s="108"/>
      <c r="AI594" s="108"/>
      <c r="AJ594" s="108"/>
      <c r="AK594" s="108"/>
      <c r="AL594" s="108">
        <f t="shared" si="151"/>
        <v>0</v>
      </c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20">
        <f t="shared" si="152"/>
        <v>0</v>
      </c>
      <c r="CL594" s="122">
        <f t="shared" si="153"/>
        <v>0</v>
      </c>
      <c r="CM594" s="524" t="str">
        <f t="shared" si="155"/>
        <v/>
      </c>
      <c r="CN594" s="526">
        <f t="shared" si="156"/>
        <v>0</v>
      </c>
      <c r="CO594" s="122">
        <f t="shared" si="157"/>
        <v>0</v>
      </c>
      <c r="CP594" s="45" t="str">
        <f t="shared" si="154"/>
        <v>1 - in MILLESIMI   I</v>
      </c>
      <c r="CQ594" s="1"/>
    </row>
    <row r="595" spans="1:95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435">
        <f>IF(AND(W595&gt;=$U$1,W595&lt;=$U$2),IF(X595='ESTRATTO CONTO'!$E$2,1+COUNTIF(U$4:U594,"&gt;0"),0),0)</f>
        <v>0</v>
      </c>
      <c r="V595" s="417">
        <f t="shared" si="158"/>
        <v>592</v>
      </c>
      <c r="W595" s="509"/>
      <c r="X595" s="321"/>
      <c r="Y595" s="321"/>
      <c r="Z595" s="433"/>
      <c r="AA595" s="918">
        <f t="shared" si="149"/>
        <v>1</v>
      </c>
      <c r="AB595" s="306" t="str">
        <f t="shared" si="150"/>
        <v/>
      </c>
      <c r="AC595" s="788"/>
      <c r="AD595" s="119">
        <f t="shared" si="159"/>
        <v>0</v>
      </c>
      <c r="AE595" s="108">
        <f t="shared" si="159"/>
        <v>0</v>
      </c>
      <c r="AF595" s="108">
        <f t="shared" si="159"/>
        <v>0</v>
      </c>
      <c r="AG595" s="108"/>
      <c r="AH595" s="108"/>
      <c r="AI595" s="108"/>
      <c r="AJ595" s="108"/>
      <c r="AK595" s="108"/>
      <c r="AL595" s="108">
        <f t="shared" si="151"/>
        <v>0</v>
      </c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20">
        <f t="shared" si="152"/>
        <v>0</v>
      </c>
      <c r="CL595" s="122">
        <f t="shared" si="153"/>
        <v>0</v>
      </c>
      <c r="CM595" s="524" t="str">
        <f t="shared" si="155"/>
        <v/>
      </c>
      <c r="CN595" s="526">
        <f t="shared" si="156"/>
        <v>0</v>
      </c>
      <c r="CO595" s="122">
        <f t="shared" si="157"/>
        <v>0</v>
      </c>
      <c r="CP595" s="45" t="str">
        <f t="shared" si="154"/>
        <v>1 - in MILLESIMI   I</v>
      </c>
      <c r="CQ595" s="1"/>
    </row>
    <row r="596" spans="1:95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435">
        <f>IF(AND(W596&gt;=$U$1,W596&lt;=$U$2),IF(X596='ESTRATTO CONTO'!$E$2,1+COUNTIF(U$4:U595,"&gt;0"),0),0)</f>
        <v>0</v>
      </c>
      <c r="V596" s="417">
        <f t="shared" si="158"/>
        <v>593</v>
      </c>
      <c r="W596" s="509"/>
      <c r="X596" s="321"/>
      <c r="Y596" s="321"/>
      <c r="Z596" s="433"/>
      <c r="AA596" s="918">
        <f t="shared" si="149"/>
        <v>1</v>
      </c>
      <c r="AB596" s="306" t="str">
        <f t="shared" si="150"/>
        <v/>
      </c>
      <c r="AC596" s="788"/>
      <c r="AD596" s="119">
        <f t="shared" si="159"/>
        <v>0</v>
      </c>
      <c r="AE596" s="108">
        <f t="shared" si="159"/>
        <v>0</v>
      </c>
      <c r="AF596" s="108">
        <f t="shared" si="159"/>
        <v>0</v>
      </c>
      <c r="AG596" s="108"/>
      <c r="AH596" s="108"/>
      <c r="AI596" s="108"/>
      <c r="AJ596" s="108"/>
      <c r="AK596" s="108"/>
      <c r="AL596" s="108">
        <f t="shared" si="151"/>
        <v>0</v>
      </c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20">
        <f t="shared" si="152"/>
        <v>0</v>
      </c>
      <c r="CL596" s="122">
        <f t="shared" si="153"/>
        <v>0</v>
      </c>
      <c r="CM596" s="524" t="str">
        <f t="shared" si="155"/>
        <v/>
      </c>
      <c r="CN596" s="526">
        <f t="shared" si="156"/>
        <v>0</v>
      </c>
      <c r="CO596" s="122">
        <f t="shared" si="157"/>
        <v>0</v>
      </c>
      <c r="CP596" s="45" t="str">
        <f t="shared" si="154"/>
        <v>1 - in MILLESIMI   I</v>
      </c>
      <c r="CQ596" s="1"/>
    </row>
    <row r="597" spans="1:95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435">
        <f>IF(AND(W597&gt;=$U$1,W597&lt;=$U$2),IF(X597='ESTRATTO CONTO'!$E$2,1+COUNTIF(U$4:U596,"&gt;0"),0),0)</f>
        <v>0</v>
      </c>
      <c r="V597" s="417">
        <f t="shared" si="158"/>
        <v>594</v>
      </c>
      <c r="W597" s="509"/>
      <c r="X597" s="321"/>
      <c r="Y597" s="321"/>
      <c r="Z597" s="433"/>
      <c r="AA597" s="918">
        <f t="shared" si="149"/>
        <v>1</v>
      </c>
      <c r="AB597" s="306" t="str">
        <f t="shared" si="150"/>
        <v/>
      </c>
      <c r="AC597" s="788"/>
      <c r="AD597" s="119">
        <f t="shared" si="159"/>
        <v>0</v>
      </c>
      <c r="AE597" s="108">
        <f t="shared" si="159"/>
        <v>0</v>
      </c>
      <c r="AF597" s="108">
        <f t="shared" si="159"/>
        <v>0</v>
      </c>
      <c r="AG597" s="108"/>
      <c r="AH597" s="108"/>
      <c r="AI597" s="108"/>
      <c r="AJ597" s="108"/>
      <c r="AK597" s="108"/>
      <c r="AL597" s="108">
        <f t="shared" si="151"/>
        <v>0</v>
      </c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20">
        <f t="shared" si="152"/>
        <v>0</v>
      </c>
      <c r="CL597" s="122">
        <f t="shared" si="153"/>
        <v>0</v>
      </c>
      <c r="CM597" s="524" t="str">
        <f t="shared" si="155"/>
        <v/>
      </c>
      <c r="CN597" s="526">
        <f t="shared" si="156"/>
        <v>0</v>
      </c>
      <c r="CO597" s="122">
        <f t="shared" si="157"/>
        <v>0</v>
      </c>
      <c r="CP597" s="45" t="str">
        <f t="shared" si="154"/>
        <v>1 - in MILLESIMI   I</v>
      </c>
      <c r="CQ597" s="1"/>
    </row>
    <row r="598" spans="1:95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435">
        <f>IF(AND(W598&gt;=$U$1,W598&lt;=$U$2),IF(X598='ESTRATTO CONTO'!$E$2,1+COUNTIF(U$4:U597,"&gt;0"),0),0)</f>
        <v>0</v>
      </c>
      <c r="V598" s="417">
        <f t="shared" si="158"/>
        <v>595</v>
      </c>
      <c r="W598" s="509"/>
      <c r="X598" s="321"/>
      <c r="Y598" s="321"/>
      <c r="Z598" s="433"/>
      <c r="AA598" s="918">
        <f t="shared" si="149"/>
        <v>1</v>
      </c>
      <c r="AB598" s="306" t="str">
        <f t="shared" si="150"/>
        <v/>
      </c>
      <c r="AC598" s="788"/>
      <c r="AD598" s="119">
        <f t="shared" si="159"/>
        <v>0</v>
      </c>
      <c r="AE598" s="108">
        <f t="shared" si="159"/>
        <v>0</v>
      </c>
      <c r="AF598" s="108">
        <f t="shared" si="159"/>
        <v>0</v>
      </c>
      <c r="AG598" s="108"/>
      <c r="AH598" s="108"/>
      <c r="AI598" s="108"/>
      <c r="AJ598" s="108"/>
      <c r="AK598" s="108"/>
      <c r="AL598" s="108">
        <f t="shared" si="151"/>
        <v>0</v>
      </c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20">
        <f t="shared" si="152"/>
        <v>0</v>
      </c>
      <c r="CL598" s="122">
        <f t="shared" si="153"/>
        <v>0</v>
      </c>
      <c r="CM598" s="524" t="str">
        <f t="shared" si="155"/>
        <v/>
      </c>
      <c r="CN598" s="526">
        <f t="shared" si="156"/>
        <v>0</v>
      </c>
      <c r="CO598" s="122">
        <f t="shared" si="157"/>
        <v>0</v>
      </c>
      <c r="CP598" s="45" t="str">
        <f t="shared" si="154"/>
        <v>1 - in MILLESIMI   I</v>
      </c>
      <c r="CQ598" s="1"/>
    </row>
    <row r="599" spans="1:95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435">
        <f>IF(AND(W599&gt;=$U$1,W599&lt;=$U$2),IF(X599='ESTRATTO CONTO'!$E$2,1+COUNTIF(U$4:U598,"&gt;0"),0),0)</f>
        <v>0</v>
      </c>
      <c r="V599" s="417">
        <f t="shared" si="158"/>
        <v>596</v>
      </c>
      <c r="W599" s="509"/>
      <c r="X599" s="321"/>
      <c r="Y599" s="321"/>
      <c r="Z599" s="433"/>
      <c r="AA599" s="918">
        <f t="shared" si="149"/>
        <v>1</v>
      </c>
      <c r="AB599" s="306" t="str">
        <f t="shared" si="150"/>
        <v/>
      </c>
      <c r="AC599" s="788"/>
      <c r="AD599" s="119">
        <f t="shared" si="159"/>
        <v>0</v>
      </c>
      <c r="AE599" s="108">
        <f t="shared" si="159"/>
        <v>0</v>
      </c>
      <c r="AF599" s="108">
        <f t="shared" si="159"/>
        <v>0</v>
      </c>
      <c r="AG599" s="108"/>
      <c r="AH599" s="108"/>
      <c r="AI599" s="108"/>
      <c r="AJ599" s="108"/>
      <c r="AK599" s="108"/>
      <c r="AL599" s="108">
        <f t="shared" si="151"/>
        <v>0</v>
      </c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20">
        <f t="shared" si="152"/>
        <v>0</v>
      </c>
      <c r="CL599" s="122">
        <f t="shared" si="153"/>
        <v>0</v>
      </c>
      <c r="CM599" s="524" t="str">
        <f t="shared" si="155"/>
        <v/>
      </c>
      <c r="CN599" s="526">
        <f t="shared" si="156"/>
        <v>0</v>
      </c>
      <c r="CO599" s="122">
        <f t="shared" si="157"/>
        <v>0</v>
      </c>
      <c r="CP599" s="45" t="str">
        <f t="shared" si="154"/>
        <v>1 - in MILLESIMI   I</v>
      </c>
      <c r="CQ599" s="1"/>
    </row>
    <row r="600" spans="1:95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435">
        <f>IF(AND(W600&gt;=$U$1,W600&lt;=$U$2),IF(X600='ESTRATTO CONTO'!$E$2,1+COUNTIF(U$4:U599,"&gt;0"),0),0)</f>
        <v>0</v>
      </c>
      <c r="V600" s="417">
        <f t="shared" si="158"/>
        <v>597</v>
      </c>
      <c r="W600" s="509"/>
      <c r="X600" s="321"/>
      <c r="Y600" s="321"/>
      <c r="Z600" s="433"/>
      <c r="AA600" s="918">
        <f t="shared" si="149"/>
        <v>1</v>
      </c>
      <c r="AB600" s="306" t="str">
        <f t="shared" si="150"/>
        <v/>
      </c>
      <c r="AC600" s="788"/>
      <c r="AD600" s="119">
        <f t="shared" si="159"/>
        <v>0</v>
      </c>
      <c r="AE600" s="108">
        <f t="shared" si="159"/>
        <v>0</v>
      </c>
      <c r="AF600" s="108">
        <f t="shared" si="159"/>
        <v>0</v>
      </c>
      <c r="AG600" s="108"/>
      <c r="AH600" s="108"/>
      <c r="AI600" s="108"/>
      <c r="AJ600" s="108"/>
      <c r="AK600" s="108"/>
      <c r="AL600" s="108">
        <f t="shared" si="151"/>
        <v>0</v>
      </c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20">
        <f t="shared" si="152"/>
        <v>0</v>
      </c>
      <c r="CL600" s="122">
        <f t="shared" si="153"/>
        <v>0</v>
      </c>
      <c r="CM600" s="524" t="str">
        <f t="shared" si="155"/>
        <v/>
      </c>
      <c r="CN600" s="526">
        <f t="shared" si="156"/>
        <v>0</v>
      </c>
      <c r="CO600" s="122">
        <f t="shared" si="157"/>
        <v>0</v>
      </c>
      <c r="CP600" s="45" t="str">
        <f t="shared" si="154"/>
        <v>1 - in MILLESIMI   I</v>
      </c>
      <c r="CQ600" s="1"/>
    </row>
    <row r="601" spans="1:95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435">
        <f>IF(AND(W601&gt;=$U$1,W601&lt;=$U$2),IF(X601='ESTRATTO CONTO'!$E$2,1+COUNTIF(U$4:U600,"&gt;0"),0),0)</f>
        <v>0</v>
      </c>
      <c r="V601" s="417">
        <f t="shared" si="158"/>
        <v>598</v>
      </c>
      <c r="W601" s="509"/>
      <c r="X601" s="321"/>
      <c r="Y601" s="321"/>
      <c r="Z601" s="433"/>
      <c r="AA601" s="918">
        <f t="shared" si="149"/>
        <v>1</v>
      </c>
      <c r="AB601" s="306" t="str">
        <f t="shared" si="150"/>
        <v/>
      </c>
      <c r="AC601" s="788"/>
      <c r="AD601" s="119">
        <f t="shared" si="159"/>
        <v>0</v>
      </c>
      <c r="AE601" s="108">
        <f t="shared" si="159"/>
        <v>0</v>
      </c>
      <c r="AF601" s="108">
        <f t="shared" si="159"/>
        <v>0</v>
      </c>
      <c r="AG601" s="108"/>
      <c r="AH601" s="108"/>
      <c r="AI601" s="108"/>
      <c r="AJ601" s="108"/>
      <c r="AK601" s="108"/>
      <c r="AL601" s="108">
        <f t="shared" si="151"/>
        <v>0</v>
      </c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20">
        <f t="shared" si="152"/>
        <v>0</v>
      </c>
      <c r="CL601" s="122">
        <f t="shared" si="153"/>
        <v>0</v>
      </c>
      <c r="CM601" s="524" t="str">
        <f t="shared" si="155"/>
        <v/>
      </c>
      <c r="CN601" s="526">
        <f t="shared" si="156"/>
        <v>0</v>
      </c>
      <c r="CO601" s="122">
        <f t="shared" si="157"/>
        <v>0</v>
      </c>
      <c r="CP601" s="45" t="str">
        <f t="shared" si="154"/>
        <v>1 - in MILLESIMI   I</v>
      </c>
      <c r="CQ601" s="1"/>
    </row>
    <row r="602" spans="1:95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435">
        <f>IF(AND(W602&gt;=$U$1,W602&lt;=$U$2),IF(X602='ESTRATTO CONTO'!$E$2,1+COUNTIF(U$4:U601,"&gt;0"),0),0)</f>
        <v>0</v>
      </c>
      <c r="V602" s="417">
        <f t="shared" si="158"/>
        <v>599</v>
      </c>
      <c r="W602" s="509"/>
      <c r="X602" s="321"/>
      <c r="Y602" s="321"/>
      <c r="Z602" s="433"/>
      <c r="AA602" s="918">
        <f t="shared" si="149"/>
        <v>1</v>
      </c>
      <c r="AB602" s="306" t="str">
        <f t="shared" si="150"/>
        <v/>
      </c>
      <c r="AC602" s="788"/>
      <c r="AD602" s="119">
        <f t="shared" si="159"/>
        <v>0</v>
      </c>
      <c r="AE602" s="108">
        <f t="shared" si="159"/>
        <v>0</v>
      </c>
      <c r="AF602" s="108">
        <f t="shared" si="159"/>
        <v>0</v>
      </c>
      <c r="AG602" s="108"/>
      <c r="AH602" s="108"/>
      <c r="AI602" s="108"/>
      <c r="AJ602" s="108"/>
      <c r="AK602" s="108"/>
      <c r="AL602" s="108">
        <f t="shared" si="151"/>
        <v>0</v>
      </c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20">
        <f t="shared" si="152"/>
        <v>0</v>
      </c>
      <c r="CL602" s="122">
        <f t="shared" si="153"/>
        <v>0</v>
      </c>
      <c r="CM602" s="524" t="str">
        <f t="shared" si="155"/>
        <v/>
      </c>
      <c r="CN602" s="526">
        <f t="shared" si="156"/>
        <v>0</v>
      </c>
      <c r="CO602" s="122">
        <f t="shared" si="157"/>
        <v>0</v>
      </c>
      <c r="CP602" s="45" t="str">
        <f t="shared" si="154"/>
        <v>1 - in MILLESIMI   I</v>
      </c>
      <c r="CQ602" s="1"/>
    </row>
    <row r="603" spans="1:95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435">
        <f>IF(AND(W603&gt;=$U$1,W603&lt;=$U$2),IF(X603='ESTRATTO CONTO'!$E$2,1+COUNTIF(U$4:U602,"&gt;0"),0),0)</f>
        <v>0</v>
      </c>
      <c r="V603" s="417">
        <f t="shared" si="158"/>
        <v>600</v>
      </c>
      <c r="W603" s="509"/>
      <c r="X603" s="321"/>
      <c r="Y603" s="321"/>
      <c r="Z603" s="433"/>
      <c r="AA603" s="918">
        <f t="shared" si="149"/>
        <v>1</v>
      </c>
      <c r="AB603" s="306" t="str">
        <f t="shared" si="150"/>
        <v/>
      </c>
      <c r="AC603" s="788"/>
      <c r="AD603" s="119">
        <f t="shared" si="159"/>
        <v>0</v>
      </c>
      <c r="AE603" s="108">
        <f t="shared" si="159"/>
        <v>0</v>
      </c>
      <c r="AF603" s="108">
        <f t="shared" si="159"/>
        <v>0</v>
      </c>
      <c r="AG603" s="108"/>
      <c r="AH603" s="108"/>
      <c r="AI603" s="108"/>
      <c r="AJ603" s="108"/>
      <c r="AK603" s="108"/>
      <c r="AL603" s="108">
        <f t="shared" si="151"/>
        <v>0</v>
      </c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20">
        <f t="shared" si="152"/>
        <v>0</v>
      </c>
      <c r="CL603" s="122">
        <f t="shared" si="153"/>
        <v>0</v>
      </c>
      <c r="CM603" s="524" t="str">
        <f t="shared" si="155"/>
        <v/>
      </c>
      <c r="CN603" s="526">
        <f t="shared" si="156"/>
        <v>0</v>
      </c>
      <c r="CO603" s="122">
        <f t="shared" si="157"/>
        <v>0</v>
      </c>
      <c r="CP603" s="45" t="str">
        <f t="shared" si="154"/>
        <v>1 - in MILLESIMI   I</v>
      </c>
      <c r="CQ603" s="1"/>
    </row>
    <row r="604" spans="1:95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435">
        <f>IF(AND(W604&gt;=$U$1,W604&lt;=$U$2),IF(X604='ESTRATTO CONTO'!$E$2,1+COUNTIF(U$4:U603,"&gt;0"),0),0)</f>
        <v>0</v>
      </c>
      <c r="V604" s="417">
        <f t="shared" si="158"/>
        <v>601</v>
      </c>
      <c r="W604" s="509"/>
      <c r="X604" s="321"/>
      <c r="Y604" s="321"/>
      <c r="Z604" s="433"/>
      <c r="AA604" s="918">
        <f t="shared" si="149"/>
        <v>1</v>
      </c>
      <c r="AB604" s="306" t="str">
        <f t="shared" si="150"/>
        <v/>
      </c>
      <c r="AC604" s="788"/>
      <c r="AD604" s="119">
        <f t="shared" ref="AD604:AF623" si="160">IF($AB604=0,0,ROUND($Z604*VLOOKUP(AD$2,$F$1010:$Q$1014,VLOOKUP($CP604,$C$1076:$E$1081,3,FALSE),FALSE),2))</f>
        <v>0</v>
      </c>
      <c r="AE604" s="108">
        <f t="shared" si="160"/>
        <v>0</v>
      </c>
      <c r="AF604" s="108">
        <f t="shared" si="160"/>
        <v>0</v>
      </c>
      <c r="AG604" s="108"/>
      <c r="AH604" s="108"/>
      <c r="AI604" s="108"/>
      <c r="AJ604" s="108"/>
      <c r="AK604" s="108"/>
      <c r="AL604" s="108">
        <f t="shared" si="151"/>
        <v>0</v>
      </c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20">
        <f t="shared" si="152"/>
        <v>0</v>
      </c>
      <c r="CL604" s="122">
        <f t="shared" si="153"/>
        <v>0</v>
      </c>
      <c r="CM604" s="524" t="str">
        <f t="shared" si="155"/>
        <v/>
      </c>
      <c r="CN604" s="526">
        <f t="shared" si="156"/>
        <v>0</v>
      </c>
      <c r="CO604" s="122">
        <f t="shared" si="157"/>
        <v>0</v>
      </c>
      <c r="CP604" s="45" t="str">
        <f t="shared" si="154"/>
        <v>1 - in MILLESIMI   I</v>
      </c>
      <c r="CQ604" s="1"/>
    </row>
    <row r="605" spans="1:95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435">
        <f>IF(AND(W605&gt;=$U$1,W605&lt;=$U$2),IF(X605='ESTRATTO CONTO'!$E$2,1+COUNTIF(U$4:U604,"&gt;0"),0),0)</f>
        <v>0</v>
      </c>
      <c r="V605" s="417">
        <f t="shared" si="158"/>
        <v>602</v>
      </c>
      <c r="W605" s="509"/>
      <c r="X605" s="321"/>
      <c r="Y605" s="321"/>
      <c r="Z605" s="433"/>
      <c r="AA605" s="918">
        <f t="shared" si="149"/>
        <v>1</v>
      </c>
      <c r="AB605" s="306" t="str">
        <f t="shared" si="150"/>
        <v/>
      </c>
      <c r="AC605" s="788"/>
      <c r="AD605" s="119">
        <f t="shared" si="160"/>
        <v>0</v>
      </c>
      <c r="AE605" s="108">
        <f t="shared" si="160"/>
        <v>0</v>
      </c>
      <c r="AF605" s="108">
        <f t="shared" si="160"/>
        <v>0</v>
      </c>
      <c r="AG605" s="108"/>
      <c r="AH605" s="108"/>
      <c r="AI605" s="108"/>
      <c r="AJ605" s="108"/>
      <c r="AK605" s="108"/>
      <c r="AL605" s="108">
        <f t="shared" si="151"/>
        <v>0</v>
      </c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20">
        <f t="shared" si="152"/>
        <v>0</v>
      </c>
      <c r="CL605" s="122">
        <f t="shared" si="153"/>
        <v>0</v>
      </c>
      <c r="CM605" s="524" t="str">
        <f t="shared" si="155"/>
        <v/>
      </c>
      <c r="CN605" s="526">
        <f t="shared" si="156"/>
        <v>0</v>
      </c>
      <c r="CO605" s="122">
        <f t="shared" si="157"/>
        <v>0</v>
      </c>
      <c r="CP605" s="45" t="str">
        <f t="shared" si="154"/>
        <v>1 - in MILLESIMI   I</v>
      </c>
      <c r="CQ605" s="1"/>
    </row>
    <row r="606" spans="1:95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435">
        <f>IF(AND(W606&gt;=$U$1,W606&lt;=$U$2),IF(X606='ESTRATTO CONTO'!$E$2,1+COUNTIF(U$4:U605,"&gt;0"),0),0)</f>
        <v>0</v>
      </c>
      <c r="V606" s="417">
        <f t="shared" si="158"/>
        <v>603</v>
      </c>
      <c r="W606" s="509"/>
      <c r="X606" s="321"/>
      <c r="Y606" s="321"/>
      <c r="Z606" s="433"/>
      <c r="AA606" s="918">
        <f t="shared" si="149"/>
        <v>1</v>
      </c>
      <c r="AB606" s="306" t="str">
        <f t="shared" si="150"/>
        <v/>
      </c>
      <c r="AC606" s="788"/>
      <c r="AD606" s="119">
        <f t="shared" si="160"/>
        <v>0</v>
      </c>
      <c r="AE606" s="108">
        <f t="shared" si="160"/>
        <v>0</v>
      </c>
      <c r="AF606" s="108">
        <f t="shared" si="160"/>
        <v>0</v>
      </c>
      <c r="AG606" s="108"/>
      <c r="AH606" s="108"/>
      <c r="AI606" s="108"/>
      <c r="AJ606" s="108"/>
      <c r="AK606" s="108"/>
      <c r="AL606" s="108">
        <f t="shared" si="151"/>
        <v>0</v>
      </c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20">
        <f t="shared" si="152"/>
        <v>0</v>
      </c>
      <c r="CL606" s="122">
        <f t="shared" si="153"/>
        <v>0</v>
      </c>
      <c r="CM606" s="524" t="str">
        <f t="shared" si="155"/>
        <v/>
      </c>
      <c r="CN606" s="526">
        <f t="shared" si="156"/>
        <v>0</v>
      </c>
      <c r="CO606" s="122">
        <f t="shared" si="157"/>
        <v>0</v>
      </c>
      <c r="CP606" s="45" t="str">
        <f t="shared" si="154"/>
        <v>1 - in MILLESIMI   I</v>
      </c>
      <c r="CQ606" s="1"/>
    </row>
    <row r="607" spans="1:95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435">
        <f>IF(AND(W607&gt;=$U$1,W607&lt;=$U$2),IF(X607='ESTRATTO CONTO'!$E$2,1+COUNTIF(U$4:U606,"&gt;0"),0),0)</f>
        <v>0</v>
      </c>
      <c r="V607" s="417">
        <f t="shared" si="158"/>
        <v>604</v>
      </c>
      <c r="W607" s="509"/>
      <c r="X607" s="321"/>
      <c r="Y607" s="321"/>
      <c r="Z607" s="433"/>
      <c r="AA607" s="918">
        <f t="shared" si="149"/>
        <v>1</v>
      </c>
      <c r="AB607" s="306" t="str">
        <f t="shared" si="150"/>
        <v/>
      </c>
      <c r="AC607" s="788"/>
      <c r="AD607" s="119">
        <f t="shared" si="160"/>
        <v>0</v>
      </c>
      <c r="AE607" s="108">
        <f t="shared" si="160"/>
        <v>0</v>
      </c>
      <c r="AF607" s="108">
        <f t="shared" si="160"/>
        <v>0</v>
      </c>
      <c r="AG607" s="108"/>
      <c r="AH607" s="108"/>
      <c r="AI607" s="108"/>
      <c r="AJ607" s="108"/>
      <c r="AK607" s="108"/>
      <c r="AL607" s="108">
        <f t="shared" si="151"/>
        <v>0</v>
      </c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20">
        <f t="shared" si="152"/>
        <v>0</v>
      </c>
      <c r="CL607" s="122">
        <f t="shared" si="153"/>
        <v>0</v>
      </c>
      <c r="CM607" s="524" t="str">
        <f t="shared" si="155"/>
        <v/>
      </c>
      <c r="CN607" s="526">
        <f t="shared" si="156"/>
        <v>0</v>
      </c>
      <c r="CO607" s="122">
        <f t="shared" si="157"/>
        <v>0</v>
      </c>
      <c r="CP607" s="45" t="str">
        <f t="shared" si="154"/>
        <v>1 - in MILLESIMI   I</v>
      </c>
      <c r="CQ607" s="1"/>
    </row>
    <row r="608" spans="1:95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435">
        <f>IF(AND(W608&gt;=$U$1,W608&lt;=$U$2),IF(X608='ESTRATTO CONTO'!$E$2,1+COUNTIF(U$4:U607,"&gt;0"),0),0)</f>
        <v>0</v>
      </c>
      <c r="V608" s="417">
        <f t="shared" si="158"/>
        <v>605</v>
      </c>
      <c r="W608" s="509"/>
      <c r="X608" s="321"/>
      <c r="Y608" s="321"/>
      <c r="Z608" s="433"/>
      <c r="AA608" s="918">
        <f t="shared" si="149"/>
        <v>1</v>
      </c>
      <c r="AB608" s="306" t="str">
        <f t="shared" si="150"/>
        <v/>
      </c>
      <c r="AC608" s="788"/>
      <c r="AD608" s="119">
        <f t="shared" si="160"/>
        <v>0</v>
      </c>
      <c r="AE608" s="108">
        <f t="shared" si="160"/>
        <v>0</v>
      </c>
      <c r="AF608" s="108">
        <f t="shared" si="160"/>
        <v>0</v>
      </c>
      <c r="AG608" s="108"/>
      <c r="AH608" s="108"/>
      <c r="AI608" s="108"/>
      <c r="AJ608" s="108"/>
      <c r="AK608" s="108"/>
      <c r="AL608" s="108">
        <f t="shared" si="151"/>
        <v>0</v>
      </c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20">
        <f t="shared" si="152"/>
        <v>0</v>
      </c>
      <c r="CL608" s="122">
        <f t="shared" si="153"/>
        <v>0</v>
      </c>
      <c r="CM608" s="524" t="str">
        <f t="shared" si="155"/>
        <v/>
      </c>
      <c r="CN608" s="526">
        <f t="shared" si="156"/>
        <v>0</v>
      </c>
      <c r="CO608" s="122">
        <f t="shared" si="157"/>
        <v>0</v>
      </c>
      <c r="CP608" s="45" t="str">
        <f t="shared" si="154"/>
        <v>1 - in MILLESIMI   I</v>
      </c>
      <c r="CQ608" s="1"/>
    </row>
    <row r="609" spans="1:95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435">
        <f>IF(AND(W609&gt;=$U$1,W609&lt;=$U$2),IF(X609='ESTRATTO CONTO'!$E$2,1+COUNTIF(U$4:U608,"&gt;0"),0),0)</f>
        <v>0</v>
      </c>
      <c r="V609" s="417">
        <f t="shared" si="158"/>
        <v>606</v>
      </c>
      <c r="W609" s="509"/>
      <c r="X609" s="321"/>
      <c r="Y609" s="321"/>
      <c r="Z609" s="433"/>
      <c r="AA609" s="918">
        <f t="shared" si="149"/>
        <v>1</v>
      </c>
      <c r="AB609" s="306" t="str">
        <f t="shared" si="150"/>
        <v/>
      </c>
      <c r="AC609" s="788"/>
      <c r="AD609" s="119">
        <f t="shared" si="160"/>
        <v>0</v>
      </c>
      <c r="AE609" s="108">
        <f t="shared" si="160"/>
        <v>0</v>
      </c>
      <c r="AF609" s="108">
        <f t="shared" si="160"/>
        <v>0</v>
      </c>
      <c r="AG609" s="108"/>
      <c r="AH609" s="108"/>
      <c r="AI609" s="108"/>
      <c r="AJ609" s="108"/>
      <c r="AK609" s="108"/>
      <c r="AL609" s="108">
        <f t="shared" si="151"/>
        <v>0</v>
      </c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20">
        <f t="shared" si="152"/>
        <v>0</v>
      </c>
      <c r="CL609" s="122">
        <f t="shared" si="153"/>
        <v>0</v>
      </c>
      <c r="CM609" s="524" t="str">
        <f t="shared" si="155"/>
        <v/>
      </c>
      <c r="CN609" s="526">
        <f t="shared" si="156"/>
        <v>0</v>
      </c>
      <c r="CO609" s="122">
        <f t="shared" si="157"/>
        <v>0</v>
      </c>
      <c r="CP609" s="45" t="str">
        <f t="shared" si="154"/>
        <v>1 - in MILLESIMI   I</v>
      </c>
      <c r="CQ609" s="1"/>
    </row>
    <row r="610" spans="1:95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435">
        <f>IF(AND(W610&gt;=$U$1,W610&lt;=$U$2),IF(X610='ESTRATTO CONTO'!$E$2,1+COUNTIF(U$4:U609,"&gt;0"),0),0)</f>
        <v>0</v>
      </c>
      <c r="V610" s="417">
        <f t="shared" si="158"/>
        <v>607</v>
      </c>
      <c r="W610" s="509"/>
      <c r="X610" s="321"/>
      <c r="Y610" s="321"/>
      <c r="Z610" s="433"/>
      <c r="AA610" s="918">
        <f t="shared" si="149"/>
        <v>1</v>
      </c>
      <c r="AB610" s="306" t="str">
        <f t="shared" si="150"/>
        <v/>
      </c>
      <c r="AC610" s="788"/>
      <c r="AD610" s="119">
        <f t="shared" si="160"/>
        <v>0</v>
      </c>
      <c r="AE610" s="108">
        <f t="shared" si="160"/>
        <v>0</v>
      </c>
      <c r="AF610" s="108">
        <f t="shared" si="160"/>
        <v>0</v>
      </c>
      <c r="AG610" s="108"/>
      <c r="AH610" s="108"/>
      <c r="AI610" s="108"/>
      <c r="AJ610" s="108"/>
      <c r="AK610" s="108"/>
      <c r="AL610" s="108">
        <f t="shared" si="151"/>
        <v>0</v>
      </c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20">
        <f t="shared" si="152"/>
        <v>0</v>
      </c>
      <c r="CL610" s="122">
        <f t="shared" si="153"/>
        <v>0</v>
      </c>
      <c r="CM610" s="524" t="str">
        <f t="shared" si="155"/>
        <v/>
      </c>
      <c r="CN610" s="526">
        <f t="shared" si="156"/>
        <v>0</v>
      </c>
      <c r="CO610" s="122">
        <f t="shared" si="157"/>
        <v>0</v>
      </c>
      <c r="CP610" s="45" t="str">
        <f t="shared" si="154"/>
        <v>1 - in MILLESIMI   I</v>
      </c>
      <c r="CQ610" s="1"/>
    </row>
    <row r="611" spans="1:95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435">
        <f>IF(AND(W611&gt;=$U$1,W611&lt;=$U$2),IF(X611='ESTRATTO CONTO'!$E$2,1+COUNTIF(U$4:U610,"&gt;0"),0),0)</f>
        <v>0</v>
      </c>
      <c r="V611" s="417">
        <f t="shared" si="158"/>
        <v>608</v>
      </c>
      <c r="W611" s="509"/>
      <c r="X611" s="321"/>
      <c r="Y611" s="321"/>
      <c r="Z611" s="433"/>
      <c r="AA611" s="918">
        <f t="shared" si="149"/>
        <v>1</v>
      </c>
      <c r="AB611" s="306" t="str">
        <f t="shared" si="150"/>
        <v/>
      </c>
      <c r="AC611" s="788"/>
      <c r="AD611" s="119">
        <f t="shared" si="160"/>
        <v>0</v>
      </c>
      <c r="AE611" s="108">
        <f t="shared" si="160"/>
        <v>0</v>
      </c>
      <c r="AF611" s="108">
        <f t="shared" si="160"/>
        <v>0</v>
      </c>
      <c r="AG611" s="108"/>
      <c r="AH611" s="108"/>
      <c r="AI611" s="108"/>
      <c r="AJ611" s="108"/>
      <c r="AK611" s="108"/>
      <c r="AL611" s="108">
        <f t="shared" si="151"/>
        <v>0</v>
      </c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20">
        <f t="shared" si="152"/>
        <v>0</v>
      </c>
      <c r="CL611" s="122">
        <f t="shared" si="153"/>
        <v>0</v>
      </c>
      <c r="CM611" s="524" t="str">
        <f t="shared" si="155"/>
        <v/>
      </c>
      <c r="CN611" s="526">
        <f t="shared" si="156"/>
        <v>0</v>
      </c>
      <c r="CO611" s="122">
        <f t="shared" si="157"/>
        <v>0</v>
      </c>
      <c r="CP611" s="45" t="str">
        <f t="shared" si="154"/>
        <v>1 - in MILLESIMI   I</v>
      </c>
      <c r="CQ611" s="1"/>
    </row>
    <row r="612" spans="1:95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435">
        <f>IF(AND(W612&gt;=$U$1,W612&lt;=$U$2),IF(X612='ESTRATTO CONTO'!$E$2,1+COUNTIF(U$4:U611,"&gt;0"),0),0)</f>
        <v>0</v>
      </c>
      <c r="V612" s="417">
        <f t="shared" si="158"/>
        <v>609</v>
      </c>
      <c r="W612" s="509"/>
      <c r="X612" s="321"/>
      <c r="Y612" s="321"/>
      <c r="Z612" s="433"/>
      <c r="AA612" s="918">
        <f t="shared" si="149"/>
        <v>1</v>
      </c>
      <c r="AB612" s="306" t="str">
        <f t="shared" si="150"/>
        <v/>
      </c>
      <c r="AC612" s="788"/>
      <c r="AD612" s="119">
        <f t="shared" si="160"/>
        <v>0</v>
      </c>
      <c r="AE612" s="108">
        <f t="shared" si="160"/>
        <v>0</v>
      </c>
      <c r="AF612" s="108">
        <f t="shared" si="160"/>
        <v>0</v>
      </c>
      <c r="AG612" s="108"/>
      <c r="AH612" s="108"/>
      <c r="AI612" s="108"/>
      <c r="AJ612" s="108"/>
      <c r="AK612" s="108"/>
      <c r="AL612" s="108">
        <f t="shared" si="151"/>
        <v>0</v>
      </c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20">
        <f t="shared" si="152"/>
        <v>0</v>
      </c>
      <c r="CL612" s="122">
        <f t="shared" si="153"/>
        <v>0</v>
      </c>
      <c r="CM612" s="524" t="str">
        <f t="shared" si="155"/>
        <v/>
      </c>
      <c r="CN612" s="526">
        <f t="shared" si="156"/>
        <v>0</v>
      </c>
      <c r="CO612" s="122">
        <f t="shared" si="157"/>
        <v>0</v>
      </c>
      <c r="CP612" s="45" t="str">
        <f t="shared" si="154"/>
        <v>1 - in MILLESIMI   I</v>
      </c>
      <c r="CQ612" s="1"/>
    </row>
    <row r="613" spans="1:95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435">
        <f>IF(AND(W613&gt;=$U$1,W613&lt;=$U$2),IF(X613='ESTRATTO CONTO'!$E$2,1+COUNTIF(U$4:U612,"&gt;0"),0),0)</f>
        <v>0</v>
      </c>
      <c r="V613" s="417">
        <f t="shared" si="158"/>
        <v>610</v>
      </c>
      <c r="W613" s="509"/>
      <c r="X613" s="321"/>
      <c r="Y613" s="321"/>
      <c r="Z613" s="433"/>
      <c r="AA613" s="918">
        <f t="shared" si="149"/>
        <v>1</v>
      </c>
      <c r="AB613" s="306" t="str">
        <f t="shared" si="150"/>
        <v/>
      </c>
      <c r="AC613" s="788"/>
      <c r="AD613" s="119">
        <f t="shared" si="160"/>
        <v>0</v>
      </c>
      <c r="AE613" s="108">
        <f t="shared" si="160"/>
        <v>0</v>
      </c>
      <c r="AF613" s="108">
        <f t="shared" si="160"/>
        <v>0</v>
      </c>
      <c r="AG613" s="108"/>
      <c r="AH613" s="108"/>
      <c r="AI613" s="108"/>
      <c r="AJ613" s="108"/>
      <c r="AK613" s="108"/>
      <c r="AL613" s="108">
        <f t="shared" si="151"/>
        <v>0</v>
      </c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20">
        <f t="shared" si="152"/>
        <v>0</v>
      </c>
      <c r="CL613" s="122">
        <f t="shared" si="153"/>
        <v>0</v>
      </c>
      <c r="CM613" s="524" t="str">
        <f t="shared" si="155"/>
        <v/>
      </c>
      <c r="CN613" s="526">
        <f t="shared" si="156"/>
        <v>0</v>
      </c>
      <c r="CO613" s="122">
        <f t="shared" si="157"/>
        <v>0</v>
      </c>
      <c r="CP613" s="45" t="str">
        <f t="shared" si="154"/>
        <v>1 - in MILLESIMI   I</v>
      </c>
      <c r="CQ613" s="1"/>
    </row>
    <row r="614" spans="1:95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435">
        <f>IF(AND(W614&gt;=$U$1,W614&lt;=$U$2),IF(X614='ESTRATTO CONTO'!$E$2,1+COUNTIF(U$4:U613,"&gt;0"),0),0)</f>
        <v>0</v>
      </c>
      <c r="V614" s="417">
        <f t="shared" si="158"/>
        <v>611</v>
      </c>
      <c r="W614" s="509"/>
      <c r="X614" s="321"/>
      <c r="Y614" s="321"/>
      <c r="Z614" s="433"/>
      <c r="AA614" s="918">
        <f t="shared" si="149"/>
        <v>1</v>
      </c>
      <c r="AB614" s="306" t="str">
        <f t="shared" si="150"/>
        <v/>
      </c>
      <c r="AC614" s="788"/>
      <c r="AD614" s="119">
        <f t="shared" si="160"/>
        <v>0</v>
      </c>
      <c r="AE614" s="108">
        <f t="shared" si="160"/>
        <v>0</v>
      </c>
      <c r="AF614" s="108">
        <f t="shared" si="160"/>
        <v>0</v>
      </c>
      <c r="AG614" s="108"/>
      <c r="AH614" s="108"/>
      <c r="AI614" s="108"/>
      <c r="AJ614" s="108"/>
      <c r="AK614" s="108"/>
      <c r="AL614" s="108">
        <f t="shared" si="151"/>
        <v>0</v>
      </c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20">
        <f t="shared" si="152"/>
        <v>0</v>
      </c>
      <c r="CL614" s="122">
        <f t="shared" si="153"/>
        <v>0</v>
      </c>
      <c r="CM614" s="524" t="str">
        <f t="shared" si="155"/>
        <v/>
      </c>
      <c r="CN614" s="526">
        <f t="shared" si="156"/>
        <v>0</v>
      </c>
      <c r="CO614" s="122">
        <f t="shared" si="157"/>
        <v>0</v>
      </c>
      <c r="CP614" s="45" t="str">
        <f t="shared" si="154"/>
        <v>1 - in MILLESIMI   I</v>
      </c>
      <c r="CQ614" s="1"/>
    </row>
    <row r="615" spans="1:95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435">
        <f>IF(AND(W615&gt;=$U$1,W615&lt;=$U$2),IF(X615='ESTRATTO CONTO'!$E$2,1+COUNTIF(U$4:U614,"&gt;0"),0),0)</f>
        <v>0</v>
      </c>
      <c r="V615" s="417">
        <f t="shared" si="158"/>
        <v>612</v>
      </c>
      <c r="W615" s="509"/>
      <c r="X615" s="321"/>
      <c r="Y615" s="321"/>
      <c r="Z615" s="433"/>
      <c r="AA615" s="918">
        <f t="shared" si="149"/>
        <v>1</v>
      </c>
      <c r="AB615" s="306" t="str">
        <f t="shared" si="150"/>
        <v/>
      </c>
      <c r="AC615" s="788"/>
      <c r="AD615" s="119">
        <f t="shared" si="160"/>
        <v>0</v>
      </c>
      <c r="AE615" s="108">
        <f t="shared" si="160"/>
        <v>0</v>
      </c>
      <c r="AF615" s="108">
        <f t="shared" si="160"/>
        <v>0</v>
      </c>
      <c r="AG615" s="108"/>
      <c r="AH615" s="108"/>
      <c r="AI615" s="108"/>
      <c r="AJ615" s="108"/>
      <c r="AK615" s="108"/>
      <c r="AL615" s="108">
        <f t="shared" si="151"/>
        <v>0</v>
      </c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20">
        <f t="shared" si="152"/>
        <v>0</v>
      </c>
      <c r="CL615" s="122">
        <f t="shared" si="153"/>
        <v>0</v>
      </c>
      <c r="CM615" s="524" t="str">
        <f t="shared" si="155"/>
        <v/>
      </c>
      <c r="CN615" s="526">
        <f t="shared" si="156"/>
        <v>0</v>
      </c>
      <c r="CO615" s="122">
        <f t="shared" si="157"/>
        <v>0</v>
      </c>
      <c r="CP615" s="45" t="str">
        <f t="shared" si="154"/>
        <v>1 - in MILLESIMI   I</v>
      </c>
      <c r="CQ615" s="1"/>
    </row>
    <row r="616" spans="1:95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435">
        <f>IF(AND(W616&gt;=$U$1,W616&lt;=$U$2),IF(X616='ESTRATTO CONTO'!$E$2,1+COUNTIF(U$4:U615,"&gt;0"),0),0)</f>
        <v>0</v>
      </c>
      <c r="V616" s="417">
        <f t="shared" si="158"/>
        <v>613</v>
      </c>
      <c r="W616" s="509"/>
      <c r="X616" s="321"/>
      <c r="Y616" s="321"/>
      <c r="Z616" s="433"/>
      <c r="AA616" s="918">
        <f t="shared" si="149"/>
        <v>1</v>
      </c>
      <c r="AB616" s="306" t="str">
        <f t="shared" si="150"/>
        <v/>
      </c>
      <c r="AC616" s="788"/>
      <c r="AD616" s="119">
        <f t="shared" si="160"/>
        <v>0</v>
      </c>
      <c r="AE616" s="108">
        <f t="shared" si="160"/>
        <v>0</v>
      </c>
      <c r="AF616" s="108">
        <f t="shared" si="160"/>
        <v>0</v>
      </c>
      <c r="AG616" s="108"/>
      <c r="AH616" s="108"/>
      <c r="AI616" s="108"/>
      <c r="AJ616" s="108"/>
      <c r="AK616" s="108"/>
      <c r="AL616" s="108">
        <f t="shared" si="151"/>
        <v>0</v>
      </c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20">
        <f t="shared" si="152"/>
        <v>0</v>
      </c>
      <c r="CL616" s="122">
        <f t="shared" si="153"/>
        <v>0</v>
      </c>
      <c r="CM616" s="524" t="str">
        <f t="shared" si="155"/>
        <v/>
      </c>
      <c r="CN616" s="526">
        <f t="shared" si="156"/>
        <v>0</v>
      </c>
      <c r="CO616" s="122">
        <f t="shared" si="157"/>
        <v>0</v>
      </c>
      <c r="CP616" s="45" t="str">
        <f t="shared" si="154"/>
        <v>1 - in MILLESIMI   I</v>
      </c>
      <c r="CQ616" s="1"/>
    </row>
    <row r="617" spans="1:95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435">
        <f>IF(AND(W617&gt;=$U$1,W617&lt;=$U$2),IF(X617='ESTRATTO CONTO'!$E$2,1+COUNTIF(U$4:U616,"&gt;0"),0),0)</f>
        <v>0</v>
      </c>
      <c r="V617" s="417">
        <f t="shared" si="158"/>
        <v>614</v>
      </c>
      <c r="W617" s="509"/>
      <c r="X617" s="321"/>
      <c r="Y617" s="321"/>
      <c r="Z617" s="433"/>
      <c r="AA617" s="918">
        <f t="shared" si="149"/>
        <v>1</v>
      </c>
      <c r="AB617" s="306" t="str">
        <f t="shared" si="150"/>
        <v/>
      </c>
      <c r="AC617" s="788"/>
      <c r="AD617" s="119">
        <f t="shared" si="160"/>
        <v>0</v>
      </c>
      <c r="AE617" s="108">
        <f t="shared" si="160"/>
        <v>0</v>
      </c>
      <c r="AF617" s="108">
        <f t="shared" si="160"/>
        <v>0</v>
      </c>
      <c r="AG617" s="108"/>
      <c r="AH617" s="108"/>
      <c r="AI617" s="108"/>
      <c r="AJ617" s="108"/>
      <c r="AK617" s="108"/>
      <c r="AL617" s="108">
        <f t="shared" si="151"/>
        <v>0</v>
      </c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20">
        <f t="shared" si="152"/>
        <v>0</v>
      </c>
      <c r="CL617" s="122">
        <f t="shared" si="153"/>
        <v>0</v>
      </c>
      <c r="CM617" s="524" t="str">
        <f t="shared" si="155"/>
        <v/>
      </c>
      <c r="CN617" s="526">
        <f t="shared" si="156"/>
        <v>0</v>
      </c>
      <c r="CO617" s="122">
        <f t="shared" si="157"/>
        <v>0</v>
      </c>
      <c r="CP617" s="45" t="str">
        <f t="shared" si="154"/>
        <v>1 - in MILLESIMI   I</v>
      </c>
      <c r="CQ617" s="1"/>
    </row>
    <row r="618" spans="1:95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435">
        <f>IF(AND(W618&gt;=$U$1,W618&lt;=$U$2),IF(X618='ESTRATTO CONTO'!$E$2,1+COUNTIF(U$4:U617,"&gt;0"),0),0)</f>
        <v>0</v>
      </c>
      <c r="V618" s="417">
        <f t="shared" si="158"/>
        <v>615</v>
      </c>
      <c r="W618" s="509"/>
      <c r="X618" s="321"/>
      <c r="Y618" s="321"/>
      <c r="Z618" s="433"/>
      <c r="AA618" s="918">
        <f t="shared" si="149"/>
        <v>1</v>
      </c>
      <c r="AB618" s="306" t="str">
        <f t="shared" si="150"/>
        <v/>
      </c>
      <c r="AC618" s="788"/>
      <c r="AD618" s="119">
        <f t="shared" si="160"/>
        <v>0</v>
      </c>
      <c r="AE618" s="108">
        <f t="shared" si="160"/>
        <v>0</v>
      </c>
      <c r="AF618" s="108">
        <f t="shared" si="160"/>
        <v>0</v>
      </c>
      <c r="AG618" s="108"/>
      <c r="AH618" s="108"/>
      <c r="AI618" s="108"/>
      <c r="AJ618" s="108"/>
      <c r="AK618" s="108"/>
      <c r="AL618" s="108">
        <f t="shared" si="151"/>
        <v>0</v>
      </c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20">
        <f t="shared" si="152"/>
        <v>0</v>
      </c>
      <c r="CL618" s="122">
        <f t="shared" si="153"/>
        <v>0</v>
      </c>
      <c r="CM618" s="524" t="str">
        <f t="shared" si="155"/>
        <v/>
      </c>
      <c r="CN618" s="526">
        <f t="shared" si="156"/>
        <v>0</v>
      </c>
      <c r="CO618" s="122">
        <f t="shared" si="157"/>
        <v>0</v>
      </c>
      <c r="CP618" s="45" t="str">
        <f t="shared" si="154"/>
        <v>1 - in MILLESIMI   I</v>
      </c>
      <c r="CQ618" s="1"/>
    </row>
    <row r="619" spans="1:95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435">
        <f>IF(AND(W619&gt;=$U$1,W619&lt;=$U$2),IF(X619='ESTRATTO CONTO'!$E$2,1+COUNTIF(U$4:U618,"&gt;0"),0),0)</f>
        <v>0</v>
      </c>
      <c r="V619" s="417">
        <f t="shared" si="158"/>
        <v>616</v>
      </c>
      <c r="W619" s="509"/>
      <c r="X619" s="321"/>
      <c r="Y619" s="321"/>
      <c r="Z619" s="433"/>
      <c r="AA619" s="918">
        <f t="shared" si="149"/>
        <v>1</v>
      </c>
      <c r="AB619" s="306" t="str">
        <f t="shared" si="150"/>
        <v/>
      </c>
      <c r="AC619" s="788"/>
      <c r="AD619" s="119">
        <f t="shared" si="160"/>
        <v>0</v>
      </c>
      <c r="AE619" s="108">
        <f t="shared" si="160"/>
        <v>0</v>
      </c>
      <c r="AF619" s="108">
        <f t="shared" si="160"/>
        <v>0</v>
      </c>
      <c r="AG619" s="108"/>
      <c r="AH619" s="108"/>
      <c r="AI619" s="108"/>
      <c r="AJ619" s="108"/>
      <c r="AK619" s="108"/>
      <c r="AL619" s="108">
        <f t="shared" si="151"/>
        <v>0</v>
      </c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20">
        <f t="shared" si="152"/>
        <v>0</v>
      </c>
      <c r="CL619" s="122">
        <f t="shared" si="153"/>
        <v>0</v>
      </c>
      <c r="CM619" s="524" t="str">
        <f t="shared" si="155"/>
        <v/>
      </c>
      <c r="CN619" s="526">
        <f t="shared" si="156"/>
        <v>0</v>
      </c>
      <c r="CO619" s="122">
        <f t="shared" si="157"/>
        <v>0</v>
      </c>
      <c r="CP619" s="45" t="str">
        <f t="shared" si="154"/>
        <v>1 - in MILLESIMI   I</v>
      </c>
      <c r="CQ619" s="1"/>
    </row>
    <row r="620" spans="1:95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435">
        <f>IF(AND(W620&gt;=$U$1,W620&lt;=$U$2),IF(X620='ESTRATTO CONTO'!$E$2,1+COUNTIF(U$4:U619,"&gt;0"),0),0)</f>
        <v>0</v>
      </c>
      <c r="V620" s="417">
        <f t="shared" si="158"/>
        <v>617</v>
      </c>
      <c r="W620" s="509"/>
      <c r="X620" s="321"/>
      <c r="Y620" s="321"/>
      <c r="Z620" s="433"/>
      <c r="AA620" s="918">
        <f t="shared" si="149"/>
        <v>1</v>
      </c>
      <c r="AB620" s="306" t="str">
        <f t="shared" si="150"/>
        <v/>
      </c>
      <c r="AC620" s="788"/>
      <c r="AD620" s="119">
        <f t="shared" si="160"/>
        <v>0</v>
      </c>
      <c r="AE620" s="108">
        <f t="shared" si="160"/>
        <v>0</v>
      </c>
      <c r="AF620" s="108">
        <f t="shared" si="160"/>
        <v>0</v>
      </c>
      <c r="AG620" s="108"/>
      <c r="AH620" s="108"/>
      <c r="AI620" s="108"/>
      <c r="AJ620" s="108"/>
      <c r="AK620" s="108"/>
      <c r="AL620" s="108">
        <f t="shared" si="151"/>
        <v>0</v>
      </c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20">
        <f t="shared" si="152"/>
        <v>0</v>
      </c>
      <c r="CL620" s="122">
        <f t="shared" si="153"/>
        <v>0</v>
      </c>
      <c r="CM620" s="524" t="str">
        <f t="shared" si="155"/>
        <v/>
      </c>
      <c r="CN620" s="526">
        <f t="shared" si="156"/>
        <v>0</v>
      </c>
      <c r="CO620" s="122">
        <f t="shared" si="157"/>
        <v>0</v>
      </c>
      <c r="CP620" s="45" t="str">
        <f t="shared" si="154"/>
        <v>1 - in MILLESIMI   I</v>
      </c>
      <c r="CQ620" s="1"/>
    </row>
    <row r="621" spans="1:95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435">
        <f>IF(AND(W621&gt;=$U$1,W621&lt;=$U$2),IF(X621='ESTRATTO CONTO'!$E$2,1+COUNTIF(U$4:U620,"&gt;0"),0),0)</f>
        <v>0</v>
      </c>
      <c r="V621" s="417">
        <f t="shared" si="158"/>
        <v>618</v>
      </c>
      <c r="W621" s="509"/>
      <c r="X621" s="321"/>
      <c r="Y621" s="321"/>
      <c r="Z621" s="433"/>
      <c r="AA621" s="918">
        <f t="shared" si="149"/>
        <v>1</v>
      </c>
      <c r="AB621" s="306" t="str">
        <f t="shared" si="150"/>
        <v/>
      </c>
      <c r="AC621" s="788"/>
      <c r="AD621" s="119">
        <f t="shared" si="160"/>
        <v>0</v>
      </c>
      <c r="AE621" s="108">
        <f t="shared" si="160"/>
        <v>0</v>
      </c>
      <c r="AF621" s="108">
        <f t="shared" si="160"/>
        <v>0</v>
      </c>
      <c r="AG621" s="108"/>
      <c r="AH621" s="108"/>
      <c r="AI621" s="108"/>
      <c r="AJ621" s="108"/>
      <c r="AK621" s="108"/>
      <c r="AL621" s="108">
        <f t="shared" si="151"/>
        <v>0</v>
      </c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20">
        <f t="shared" si="152"/>
        <v>0</v>
      </c>
      <c r="CL621" s="122">
        <f t="shared" si="153"/>
        <v>0</v>
      </c>
      <c r="CM621" s="524" t="str">
        <f t="shared" si="155"/>
        <v/>
      </c>
      <c r="CN621" s="526">
        <f t="shared" si="156"/>
        <v>0</v>
      </c>
      <c r="CO621" s="122">
        <f t="shared" si="157"/>
        <v>0</v>
      </c>
      <c r="CP621" s="45" t="str">
        <f t="shared" si="154"/>
        <v>1 - in MILLESIMI   I</v>
      </c>
      <c r="CQ621" s="1"/>
    </row>
    <row r="622" spans="1:95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435">
        <f>IF(AND(W622&gt;=$U$1,W622&lt;=$U$2),IF(X622='ESTRATTO CONTO'!$E$2,1+COUNTIF(U$4:U621,"&gt;0"),0),0)</f>
        <v>0</v>
      </c>
      <c r="V622" s="417">
        <f t="shared" si="158"/>
        <v>619</v>
      </c>
      <c r="W622" s="509"/>
      <c r="X622" s="321"/>
      <c r="Y622" s="321"/>
      <c r="Z622" s="433"/>
      <c r="AA622" s="918">
        <f t="shared" si="149"/>
        <v>1</v>
      </c>
      <c r="AB622" s="306" t="str">
        <f t="shared" si="150"/>
        <v/>
      </c>
      <c r="AC622" s="788"/>
      <c r="AD622" s="119">
        <f t="shared" si="160"/>
        <v>0</v>
      </c>
      <c r="AE622" s="108">
        <f t="shared" si="160"/>
        <v>0</v>
      </c>
      <c r="AF622" s="108">
        <f t="shared" si="160"/>
        <v>0</v>
      </c>
      <c r="AG622" s="108"/>
      <c r="AH622" s="108"/>
      <c r="AI622" s="108"/>
      <c r="AJ622" s="108"/>
      <c r="AK622" s="108"/>
      <c r="AL622" s="108">
        <f t="shared" si="151"/>
        <v>0</v>
      </c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20">
        <f t="shared" si="152"/>
        <v>0</v>
      </c>
      <c r="CL622" s="122">
        <f t="shared" si="153"/>
        <v>0</v>
      </c>
      <c r="CM622" s="524" t="str">
        <f t="shared" si="155"/>
        <v/>
      </c>
      <c r="CN622" s="526">
        <f t="shared" si="156"/>
        <v>0</v>
      </c>
      <c r="CO622" s="122">
        <f t="shared" si="157"/>
        <v>0</v>
      </c>
      <c r="CP622" s="45" t="str">
        <f t="shared" si="154"/>
        <v>1 - in MILLESIMI   I</v>
      </c>
      <c r="CQ622" s="1"/>
    </row>
    <row r="623" spans="1:95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435">
        <f>IF(AND(W623&gt;=$U$1,W623&lt;=$U$2),IF(X623='ESTRATTO CONTO'!$E$2,1+COUNTIF(U$4:U622,"&gt;0"),0),0)</f>
        <v>0</v>
      </c>
      <c r="V623" s="417">
        <f t="shared" si="158"/>
        <v>620</v>
      </c>
      <c r="W623" s="509"/>
      <c r="X623" s="321"/>
      <c r="Y623" s="321"/>
      <c r="Z623" s="433"/>
      <c r="AA623" s="918">
        <f t="shared" si="149"/>
        <v>1</v>
      </c>
      <c r="AB623" s="306" t="str">
        <f t="shared" si="150"/>
        <v/>
      </c>
      <c r="AC623" s="788"/>
      <c r="AD623" s="119">
        <f t="shared" si="160"/>
        <v>0</v>
      </c>
      <c r="AE623" s="108">
        <f t="shared" si="160"/>
        <v>0</v>
      </c>
      <c r="AF623" s="108">
        <f t="shared" si="160"/>
        <v>0</v>
      </c>
      <c r="AG623" s="108"/>
      <c r="AH623" s="108"/>
      <c r="AI623" s="108"/>
      <c r="AJ623" s="108"/>
      <c r="AK623" s="108"/>
      <c r="AL623" s="108">
        <f t="shared" si="151"/>
        <v>0</v>
      </c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20">
        <f t="shared" si="152"/>
        <v>0</v>
      </c>
      <c r="CL623" s="122">
        <f t="shared" si="153"/>
        <v>0</v>
      </c>
      <c r="CM623" s="524" t="str">
        <f t="shared" si="155"/>
        <v/>
      </c>
      <c r="CN623" s="526">
        <f t="shared" si="156"/>
        <v>0</v>
      </c>
      <c r="CO623" s="122">
        <f t="shared" si="157"/>
        <v>0</v>
      </c>
      <c r="CP623" s="45" t="str">
        <f t="shared" si="154"/>
        <v>1 - in MILLESIMI   I</v>
      </c>
      <c r="CQ623" s="1"/>
    </row>
    <row r="624" spans="1:95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435">
        <f>IF(AND(W624&gt;=$U$1,W624&lt;=$U$2),IF(X624='ESTRATTO CONTO'!$E$2,1+COUNTIF(U$4:U623,"&gt;0"),0),0)</f>
        <v>0</v>
      </c>
      <c r="V624" s="417">
        <f t="shared" si="158"/>
        <v>621</v>
      </c>
      <c r="W624" s="509"/>
      <c r="X624" s="321"/>
      <c r="Y624" s="321"/>
      <c r="Z624" s="433"/>
      <c r="AA624" s="918">
        <f t="shared" si="149"/>
        <v>1</v>
      </c>
      <c r="AB624" s="306" t="str">
        <f t="shared" si="150"/>
        <v/>
      </c>
      <c r="AC624" s="788"/>
      <c r="AD624" s="119">
        <f t="shared" ref="AD624:AF643" si="161">IF($AB624=0,0,ROUND($Z624*VLOOKUP(AD$2,$F$1010:$Q$1014,VLOOKUP($CP624,$C$1076:$E$1081,3,FALSE),FALSE),2))</f>
        <v>0</v>
      </c>
      <c r="AE624" s="108">
        <f t="shared" si="161"/>
        <v>0</v>
      </c>
      <c r="AF624" s="108">
        <f t="shared" si="161"/>
        <v>0</v>
      </c>
      <c r="AG624" s="108"/>
      <c r="AH624" s="108"/>
      <c r="AI624" s="108"/>
      <c r="AJ624" s="108"/>
      <c r="AK624" s="108"/>
      <c r="AL624" s="108">
        <f t="shared" si="151"/>
        <v>0</v>
      </c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20">
        <f t="shared" si="152"/>
        <v>0</v>
      </c>
      <c r="CL624" s="122">
        <f t="shared" si="153"/>
        <v>0</v>
      </c>
      <c r="CM624" s="524" t="str">
        <f t="shared" si="155"/>
        <v/>
      </c>
      <c r="CN624" s="526">
        <f t="shared" si="156"/>
        <v>0</v>
      </c>
      <c r="CO624" s="122">
        <f t="shared" si="157"/>
        <v>0</v>
      </c>
      <c r="CP624" s="45" t="str">
        <f t="shared" si="154"/>
        <v>1 - in MILLESIMI   I</v>
      </c>
      <c r="CQ624" s="1"/>
    </row>
    <row r="625" spans="1:95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435">
        <f>IF(AND(W625&gt;=$U$1,W625&lt;=$U$2),IF(X625='ESTRATTO CONTO'!$E$2,1+COUNTIF(U$4:U624,"&gt;0"),0),0)</f>
        <v>0</v>
      </c>
      <c r="V625" s="417">
        <f t="shared" si="158"/>
        <v>622</v>
      </c>
      <c r="W625" s="509"/>
      <c r="X625" s="321"/>
      <c r="Y625" s="321"/>
      <c r="Z625" s="433"/>
      <c r="AA625" s="918">
        <f t="shared" si="149"/>
        <v>1</v>
      </c>
      <c r="AB625" s="306" t="str">
        <f t="shared" si="150"/>
        <v/>
      </c>
      <c r="AC625" s="788"/>
      <c r="AD625" s="119">
        <f t="shared" si="161"/>
        <v>0</v>
      </c>
      <c r="AE625" s="108">
        <f t="shared" si="161"/>
        <v>0</v>
      </c>
      <c r="AF625" s="108">
        <f t="shared" si="161"/>
        <v>0</v>
      </c>
      <c r="AG625" s="108"/>
      <c r="AH625" s="108"/>
      <c r="AI625" s="108"/>
      <c r="AJ625" s="108"/>
      <c r="AK625" s="108"/>
      <c r="AL625" s="108">
        <f t="shared" si="151"/>
        <v>0</v>
      </c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20">
        <f t="shared" si="152"/>
        <v>0</v>
      </c>
      <c r="CL625" s="122">
        <f t="shared" si="153"/>
        <v>0</v>
      </c>
      <c r="CM625" s="524" t="str">
        <f t="shared" si="155"/>
        <v/>
      </c>
      <c r="CN625" s="526">
        <f t="shared" si="156"/>
        <v>0</v>
      </c>
      <c r="CO625" s="122">
        <f t="shared" si="157"/>
        <v>0</v>
      </c>
      <c r="CP625" s="45" t="str">
        <f t="shared" si="154"/>
        <v>1 - in MILLESIMI   I</v>
      </c>
      <c r="CQ625" s="1"/>
    </row>
    <row r="626" spans="1:95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435">
        <f>IF(AND(W626&gt;=$U$1,W626&lt;=$U$2),IF(X626='ESTRATTO CONTO'!$E$2,1+COUNTIF(U$4:U625,"&gt;0"),0),0)</f>
        <v>0</v>
      </c>
      <c r="V626" s="417">
        <f t="shared" si="158"/>
        <v>623</v>
      </c>
      <c r="W626" s="509"/>
      <c r="X626" s="321"/>
      <c r="Y626" s="321"/>
      <c r="Z626" s="433"/>
      <c r="AA626" s="918">
        <f t="shared" si="149"/>
        <v>1</v>
      </c>
      <c r="AB626" s="306" t="str">
        <f t="shared" si="150"/>
        <v/>
      </c>
      <c r="AC626" s="788"/>
      <c r="AD626" s="119">
        <f t="shared" si="161"/>
        <v>0</v>
      </c>
      <c r="AE626" s="108">
        <f t="shared" si="161"/>
        <v>0</v>
      </c>
      <c r="AF626" s="108">
        <f t="shared" si="161"/>
        <v>0</v>
      </c>
      <c r="AG626" s="108"/>
      <c r="AH626" s="108"/>
      <c r="AI626" s="108"/>
      <c r="AJ626" s="108"/>
      <c r="AK626" s="108"/>
      <c r="AL626" s="108">
        <f t="shared" si="151"/>
        <v>0</v>
      </c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20">
        <f t="shared" si="152"/>
        <v>0</v>
      </c>
      <c r="CL626" s="122">
        <f t="shared" si="153"/>
        <v>0</v>
      </c>
      <c r="CM626" s="524" t="str">
        <f t="shared" si="155"/>
        <v/>
      </c>
      <c r="CN626" s="526">
        <f t="shared" si="156"/>
        <v>0</v>
      </c>
      <c r="CO626" s="122">
        <f t="shared" si="157"/>
        <v>0</v>
      </c>
      <c r="CP626" s="45" t="str">
        <f t="shared" si="154"/>
        <v>1 - in MILLESIMI   I</v>
      </c>
      <c r="CQ626" s="1"/>
    </row>
    <row r="627" spans="1:95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435">
        <f>IF(AND(W627&gt;=$U$1,W627&lt;=$U$2),IF(X627='ESTRATTO CONTO'!$E$2,1+COUNTIF(U$4:U626,"&gt;0"),0),0)</f>
        <v>0</v>
      </c>
      <c r="V627" s="417">
        <f t="shared" si="158"/>
        <v>624</v>
      </c>
      <c r="W627" s="509"/>
      <c r="X627" s="321"/>
      <c r="Y627" s="321"/>
      <c r="Z627" s="433"/>
      <c r="AA627" s="918">
        <f t="shared" si="149"/>
        <v>1</v>
      </c>
      <c r="AB627" s="306" t="str">
        <f t="shared" si="150"/>
        <v/>
      </c>
      <c r="AC627" s="788"/>
      <c r="AD627" s="119">
        <f t="shared" si="161"/>
        <v>0</v>
      </c>
      <c r="AE627" s="108">
        <f t="shared" si="161"/>
        <v>0</v>
      </c>
      <c r="AF627" s="108">
        <f t="shared" si="161"/>
        <v>0</v>
      </c>
      <c r="AG627" s="108"/>
      <c r="AH627" s="108"/>
      <c r="AI627" s="108"/>
      <c r="AJ627" s="108"/>
      <c r="AK627" s="108"/>
      <c r="AL627" s="108">
        <f t="shared" si="151"/>
        <v>0</v>
      </c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20">
        <f t="shared" si="152"/>
        <v>0</v>
      </c>
      <c r="CL627" s="122">
        <f t="shared" si="153"/>
        <v>0</v>
      </c>
      <c r="CM627" s="524" t="str">
        <f t="shared" si="155"/>
        <v/>
      </c>
      <c r="CN627" s="526">
        <f t="shared" si="156"/>
        <v>0</v>
      </c>
      <c r="CO627" s="122">
        <f t="shared" si="157"/>
        <v>0</v>
      </c>
      <c r="CP627" s="45" t="str">
        <f t="shared" si="154"/>
        <v>1 - in MILLESIMI   I</v>
      </c>
      <c r="CQ627" s="1"/>
    </row>
    <row r="628" spans="1:95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435">
        <f>IF(AND(W628&gt;=$U$1,W628&lt;=$U$2),IF(X628='ESTRATTO CONTO'!$E$2,1+COUNTIF(U$4:U627,"&gt;0"),0),0)</f>
        <v>0</v>
      </c>
      <c r="V628" s="417">
        <f t="shared" si="158"/>
        <v>625</v>
      </c>
      <c r="W628" s="509"/>
      <c r="X628" s="321"/>
      <c r="Y628" s="321"/>
      <c r="Z628" s="433"/>
      <c r="AA628" s="918">
        <f t="shared" si="149"/>
        <v>1</v>
      </c>
      <c r="AB628" s="306" t="str">
        <f t="shared" si="150"/>
        <v/>
      </c>
      <c r="AC628" s="788"/>
      <c r="AD628" s="119">
        <f t="shared" si="161"/>
        <v>0</v>
      </c>
      <c r="AE628" s="108">
        <f t="shared" si="161"/>
        <v>0</v>
      </c>
      <c r="AF628" s="108">
        <f t="shared" si="161"/>
        <v>0</v>
      </c>
      <c r="AG628" s="108"/>
      <c r="AH628" s="108"/>
      <c r="AI628" s="108"/>
      <c r="AJ628" s="108"/>
      <c r="AK628" s="108"/>
      <c r="AL628" s="108">
        <f t="shared" si="151"/>
        <v>0</v>
      </c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20">
        <f t="shared" si="152"/>
        <v>0</v>
      </c>
      <c r="CL628" s="122">
        <f t="shared" si="153"/>
        <v>0</v>
      </c>
      <c r="CM628" s="524" t="str">
        <f t="shared" si="155"/>
        <v/>
      </c>
      <c r="CN628" s="526">
        <f t="shared" si="156"/>
        <v>0</v>
      </c>
      <c r="CO628" s="122">
        <f t="shared" si="157"/>
        <v>0</v>
      </c>
      <c r="CP628" s="45" t="str">
        <f t="shared" si="154"/>
        <v>1 - in MILLESIMI   I</v>
      </c>
      <c r="CQ628" s="1"/>
    </row>
    <row r="629" spans="1:95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435">
        <f>IF(AND(W629&gt;=$U$1,W629&lt;=$U$2),IF(X629='ESTRATTO CONTO'!$E$2,1+COUNTIF(U$4:U628,"&gt;0"),0),0)</f>
        <v>0</v>
      </c>
      <c r="V629" s="417">
        <f t="shared" si="158"/>
        <v>626</v>
      </c>
      <c r="W629" s="509"/>
      <c r="X629" s="321"/>
      <c r="Y629" s="321"/>
      <c r="Z629" s="433"/>
      <c r="AA629" s="918">
        <f t="shared" si="149"/>
        <v>1</v>
      </c>
      <c r="AB629" s="306" t="str">
        <f t="shared" si="150"/>
        <v/>
      </c>
      <c r="AC629" s="788"/>
      <c r="AD629" s="119">
        <f t="shared" si="161"/>
        <v>0</v>
      </c>
      <c r="AE629" s="108">
        <f t="shared" si="161"/>
        <v>0</v>
      </c>
      <c r="AF629" s="108">
        <f t="shared" si="161"/>
        <v>0</v>
      </c>
      <c r="AG629" s="108"/>
      <c r="AH629" s="108"/>
      <c r="AI629" s="108"/>
      <c r="AJ629" s="108"/>
      <c r="AK629" s="108"/>
      <c r="AL629" s="108">
        <f t="shared" si="151"/>
        <v>0</v>
      </c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20">
        <f t="shared" si="152"/>
        <v>0</v>
      </c>
      <c r="CL629" s="122">
        <f t="shared" si="153"/>
        <v>0</v>
      </c>
      <c r="CM629" s="524" t="str">
        <f t="shared" si="155"/>
        <v/>
      </c>
      <c r="CN629" s="526">
        <f t="shared" si="156"/>
        <v>0</v>
      </c>
      <c r="CO629" s="122">
        <f t="shared" si="157"/>
        <v>0</v>
      </c>
      <c r="CP629" s="45" t="str">
        <f t="shared" si="154"/>
        <v>1 - in MILLESIMI   I</v>
      </c>
      <c r="CQ629" s="1"/>
    </row>
    <row r="630" spans="1:95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435">
        <f>IF(AND(W630&gt;=$U$1,W630&lt;=$U$2),IF(X630='ESTRATTO CONTO'!$E$2,1+COUNTIF(U$4:U629,"&gt;0"),0),0)</f>
        <v>0</v>
      </c>
      <c r="V630" s="417">
        <f t="shared" si="158"/>
        <v>627</v>
      </c>
      <c r="W630" s="509"/>
      <c r="X630" s="321"/>
      <c r="Y630" s="321"/>
      <c r="Z630" s="433"/>
      <c r="AA630" s="918">
        <f t="shared" si="149"/>
        <v>1</v>
      </c>
      <c r="AB630" s="306" t="str">
        <f t="shared" si="150"/>
        <v/>
      </c>
      <c r="AC630" s="788"/>
      <c r="AD630" s="119">
        <f t="shared" si="161"/>
        <v>0</v>
      </c>
      <c r="AE630" s="108">
        <f t="shared" si="161"/>
        <v>0</v>
      </c>
      <c r="AF630" s="108">
        <f t="shared" si="161"/>
        <v>0</v>
      </c>
      <c r="AG630" s="108"/>
      <c r="AH630" s="108"/>
      <c r="AI630" s="108"/>
      <c r="AJ630" s="108"/>
      <c r="AK630" s="108"/>
      <c r="AL630" s="108">
        <f t="shared" si="151"/>
        <v>0</v>
      </c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20">
        <f t="shared" si="152"/>
        <v>0</v>
      </c>
      <c r="CL630" s="122">
        <f t="shared" si="153"/>
        <v>0</v>
      </c>
      <c r="CM630" s="524" t="str">
        <f t="shared" si="155"/>
        <v/>
      </c>
      <c r="CN630" s="526">
        <f t="shared" si="156"/>
        <v>0</v>
      </c>
      <c r="CO630" s="122">
        <f t="shared" si="157"/>
        <v>0</v>
      </c>
      <c r="CP630" s="45" t="str">
        <f t="shared" si="154"/>
        <v>1 - in MILLESIMI   I</v>
      </c>
      <c r="CQ630" s="1"/>
    </row>
    <row r="631" spans="1:95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435">
        <f>IF(AND(W631&gt;=$U$1,W631&lt;=$U$2),IF(X631='ESTRATTO CONTO'!$E$2,1+COUNTIF(U$4:U630,"&gt;0"),0),0)</f>
        <v>0</v>
      </c>
      <c r="V631" s="417">
        <f t="shared" si="158"/>
        <v>628</v>
      </c>
      <c r="W631" s="509"/>
      <c r="X631" s="321"/>
      <c r="Y631" s="321"/>
      <c r="Z631" s="433"/>
      <c r="AA631" s="918">
        <f t="shared" si="149"/>
        <v>1</v>
      </c>
      <c r="AB631" s="306" t="str">
        <f t="shared" si="150"/>
        <v/>
      </c>
      <c r="AC631" s="788"/>
      <c r="AD631" s="119">
        <f t="shared" si="161"/>
        <v>0</v>
      </c>
      <c r="AE631" s="108">
        <f t="shared" si="161"/>
        <v>0</v>
      </c>
      <c r="AF631" s="108">
        <f t="shared" si="161"/>
        <v>0</v>
      </c>
      <c r="AG631" s="108"/>
      <c r="AH631" s="108"/>
      <c r="AI631" s="108"/>
      <c r="AJ631" s="108"/>
      <c r="AK631" s="108"/>
      <c r="AL631" s="108">
        <f t="shared" si="151"/>
        <v>0</v>
      </c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20">
        <f t="shared" si="152"/>
        <v>0</v>
      </c>
      <c r="CL631" s="122">
        <f t="shared" si="153"/>
        <v>0</v>
      </c>
      <c r="CM631" s="524" t="str">
        <f t="shared" si="155"/>
        <v/>
      </c>
      <c r="CN631" s="526">
        <f t="shared" si="156"/>
        <v>0</v>
      </c>
      <c r="CO631" s="122">
        <f t="shared" si="157"/>
        <v>0</v>
      </c>
      <c r="CP631" s="45" t="str">
        <f t="shared" si="154"/>
        <v>1 - in MILLESIMI   I</v>
      </c>
      <c r="CQ631" s="1"/>
    </row>
    <row r="632" spans="1:95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435">
        <f>IF(AND(W632&gt;=$U$1,W632&lt;=$U$2),IF(X632='ESTRATTO CONTO'!$E$2,1+COUNTIF(U$4:U631,"&gt;0"),0),0)</f>
        <v>0</v>
      </c>
      <c r="V632" s="417">
        <f t="shared" si="158"/>
        <v>629</v>
      </c>
      <c r="W632" s="509"/>
      <c r="X632" s="321"/>
      <c r="Y632" s="321"/>
      <c r="Z632" s="433"/>
      <c r="AA632" s="918">
        <f t="shared" si="149"/>
        <v>1</v>
      </c>
      <c r="AB632" s="306" t="str">
        <f t="shared" si="150"/>
        <v/>
      </c>
      <c r="AC632" s="788"/>
      <c r="AD632" s="119">
        <f t="shared" si="161"/>
        <v>0</v>
      </c>
      <c r="AE632" s="108">
        <f t="shared" si="161"/>
        <v>0</v>
      </c>
      <c r="AF632" s="108">
        <f t="shared" si="161"/>
        <v>0</v>
      </c>
      <c r="AG632" s="108"/>
      <c r="AH632" s="108"/>
      <c r="AI632" s="108"/>
      <c r="AJ632" s="108"/>
      <c r="AK632" s="108"/>
      <c r="AL632" s="108">
        <f t="shared" si="151"/>
        <v>0</v>
      </c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20">
        <f t="shared" si="152"/>
        <v>0</v>
      </c>
      <c r="CL632" s="122">
        <f t="shared" si="153"/>
        <v>0</v>
      </c>
      <c r="CM632" s="524" t="str">
        <f t="shared" si="155"/>
        <v/>
      </c>
      <c r="CN632" s="526">
        <f t="shared" si="156"/>
        <v>0</v>
      </c>
      <c r="CO632" s="122">
        <f t="shared" si="157"/>
        <v>0</v>
      </c>
      <c r="CP632" s="45" t="str">
        <f t="shared" si="154"/>
        <v>1 - in MILLESIMI   I</v>
      </c>
      <c r="CQ632" s="1"/>
    </row>
    <row r="633" spans="1:95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435">
        <f>IF(AND(W633&gt;=$U$1,W633&lt;=$U$2),IF(X633='ESTRATTO CONTO'!$E$2,1+COUNTIF(U$4:U632,"&gt;0"),0),0)</f>
        <v>0</v>
      </c>
      <c r="V633" s="417">
        <f t="shared" si="158"/>
        <v>630</v>
      </c>
      <c r="W633" s="509"/>
      <c r="X633" s="321"/>
      <c r="Y633" s="321"/>
      <c r="Z633" s="433"/>
      <c r="AA633" s="918">
        <f t="shared" si="149"/>
        <v>1</v>
      </c>
      <c r="AB633" s="306" t="str">
        <f t="shared" si="150"/>
        <v/>
      </c>
      <c r="AC633" s="788"/>
      <c r="AD633" s="119">
        <f t="shared" si="161"/>
        <v>0</v>
      </c>
      <c r="AE633" s="108">
        <f t="shared" si="161"/>
        <v>0</v>
      </c>
      <c r="AF633" s="108">
        <f t="shared" si="161"/>
        <v>0</v>
      </c>
      <c r="AG633" s="108"/>
      <c r="AH633" s="108"/>
      <c r="AI633" s="108"/>
      <c r="AJ633" s="108"/>
      <c r="AK633" s="108"/>
      <c r="AL633" s="108">
        <f t="shared" si="151"/>
        <v>0</v>
      </c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20">
        <f t="shared" si="152"/>
        <v>0</v>
      </c>
      <c r="CL633" s="122">
        <f t="shared" si="153"/>
        <v>0</v>
      </c>
      <c r="CM633" s="524" t="str">
        <f t="shared" si="155"/>
        <v/>
      </c>
      <c r="CN633" s="526">
        <f t="shared" si="156"/>
        <v>0</v>
      </c>
      <c r="CO633" s="122">
        <f t="shared" si="157"/>
        <v>0</v>
      </c>
      <c r="CP633" s="45" t="str">
        <f t="shared" si="154"/>
        <v>1 - in MILLESIMI   I</v>
      </c>
      <c r="CQ633" s="1"/>
    </row>
    <row r="634" spans="1:95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435">
        <f>IF(AND(W634&gt;=$U$1,W634&lt;=$U$2),IF(X634='ESTRATTO CONTO'!$E$2,1+COUNTIF(U$4:U633,"&gt;0"),0),0)</f>
        <v>0</v>
      </c>
      <c r="V634" s="417">
        <f t="shared" si="158"/>
        <v>631</v>
      </c>
      <c r="W634" s="509"/>
      <c r="X634" s="321"/>
      <c r="Y634" s="321"/>
      <c r="Z634" s="433"/>
      <c r="AA634" s="918">
        <f t="shared" si="149"/>
        <v>1</v>
      </c>
      <c r="AB634" s="306" t="str">
        <f t="shared" si="150"/>
        <v/>
      </c>
      <c r="AC634" s="788"/>
      <c r="AD634" s="119">
        <f t="shared" si="161"/>
        <v>0</v>
      </c>
      <c r="AE634" s="108">
        <f t="shared" si="161"/>
        <v>0</v>
      </c>
      <c r="AF634" s="108">
        <f t="shared" si="161"/>
        <v>0</v>
      </c>
      <c r="AG634" s="108"/>
      <c r="AH634" s="108"/>
      <c r="AI634" s="108"/>
      <c r="AJ634" s="108"/>
      <c r="AK634" s="108"/>
      <c r="AL634" s="108">
        <f t="shared" si="151"/>
        <v>0</v>
      </c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20">
        <f t="shared" si="152"/>
        <v>0</v>
      </c>
      <c r="CL634" s="122">
        <f t="shared" si="153"/>
        <v>0</v>
      </c>
      <c r="CM634" s="524" t="str">
        <f t="shared" si="155"/>
        <v/>
      </c>
      <c r="CN634" s="526">
        <f t="shared" si="156"/>
        <v>0</v>
      </c>
      <c r="CO634" s="122">
        <f t="shared" si="157"/>
        <v>0</v>
      </c>
      <c r="CP634" s="45" t="str">
        <f t="shared" si="154"/>
        <v>1 - in MILLESIMI   I</v>
      </c>
      <c r="CQ634" s="1"/>
    </row>
    <row r="635" spans="1:95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435">
        <f>IF(AND(W635&gt;=$U$1,W635&lt;=$U$2),IF(X635='ESTRATTO CONTO'!$E$2,1+COUNTIF(U$4:U634,"&gt;0"),0),0)</f>
        <v>0</v>
      </c>
      <c r="V635" s="417">
        <f t="shared" si="158"/>
        <v>632</v>
      </c>
      <c r="W635" s="509"/>
      <c r="X635" s="321"/>
      <c r="Y635" s="321"/>
      <c r="Z635" s="433"/>
      <c r="AA635" s="918">
        <f t="shared" si="149"/>
        <v>1</v>
      </c>
      <c r="AB635" s="306" t="str">
        <f t="shared" si="150"/>
        <v/>
      </c>
      <c r="AC635" s="788"/>
      <c r="AD635" s="119">
        <f t="shared" si="161"/>
        <v>0</v>
      </c>
      <c r="AE635" s="108">
        <f t="shared" si="161"/>
        <v>0</v>
      </c>
      <c r="AF635" s="108">
        <f t="shared" si="161"/>
        <v>0</v>
      </c>
      <c r="AG635" s="108"/>
      <c r="AH635" s="108"/>
      <c r="AI635" s="108"/>
      <c r="AJ635" s="108"/>
      <c r="AK635" s="108"/>
      <c r="AL635" s="108">
        <f t="shared" si="151"/>
        <v>0</v>
      </c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20">
        <f t="shared" si="152"/>
        <v>0</v>
      </c>
      <c r="CL635" s="122">
        <f t="shared" si="153"/>
        <v>0</v>
      </c>
      <c r="CM635" s="524" t="str">
        <f t="shared" si="155"/>
        <v/>
      </c>
      <c r="CN635" s="526">
        <f t="shared" si="156"/>
        <v>0</v>
      </c>
      <c r="CO635" s="122">
        <f t="shared" si="157"/>
        <v>0</v>
      </c>
      <c r="CP635" s="45" t="str">
        <f t="shared" si="154"/>
        <v>1 - in MILLESIMI   I</v>
      </c>
      <c r="CQ635" s="1"/>
    </row>
    <row r="636" spans="1:95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435">
        <f>IF(AND(W636&gt;=$U$1,W636&lt;=$U$2),IF(X636='ESTRATTO CONTO'!$E$2,1+COUNTIF(U$4:U635,"&gt;0"),0),0)</f>
        <v>0</v>
      </c>
      <c r="V636" s="417">
        <f t="shared" si="158"/>
        <v>633</v>
      </c>
      <c r="W636" s="509"/>
      <c r="X636" s="321"/>
      <c r="Y636" s="321"/>
      <c r="Z636" s="433"/>
      <c r="AA636" s="918">
        <f t="shared" si="149"/>
        <v>1</v>
      </c>
      <c r="AB636" s="306" t="str">
        <f t="shared" si="150"/>
        <v/>
      </c>
      <c r="AC636" s="788"/>
      <c r="AD636" s="119">
        <f t="shared" si="161"/>
        <v>0</v>
      </c>
      <c r="AE636" s="108">
        <f t="shared" si="161"/>
        <v>0</v>
      </c>
      <c r="AF636" s="108">
        <f t="shared" si="161"/>
        <v>0</v>
      </c>
      <c r="AG636" s="108"/>
      <c r="AH636" s="108"/>
      <c r="AI636" s="108"/>
      <c r="AJ636" s="108"/>
      <c r="AK636" s="108"/>
      <c r="AL636" s="108">
        <f t="shared" si="151"/>
        <v>0</v>
      </c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20">
        <f t="shared" si="152"/>
        <v>0</v>
      </c>
      <c r="CL636" s="122">
        <f t="shared" si="153"/>
        <v>0</v>
      </c>
      <c r="CM636" s="524" t="str">
        <f t="shared" si="155"/>
        <v/>
      </c>
      <c r="CN636" s="526">
        <f t="shared" si="156"/>
        <v>0</v>
      </c>
      <c r="CO636" s="122">
        <f t="shared" si="157"/>
        <v>0</v>
      </c>
      <c r="CP636" s="45" t="str">
        <f t="shared" si="154"/>
        <v>1 - in MILLESIMI   I</v>
      </c>
      <c r="CQ636" s="1"/>
    </row>
    <row r="637" spans="1:95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435">
        <f>IF(AND(W637&gt;=$U$1,W637&lt;=$U$2),IF(X637='ESTRATTO CONTO'!$E$2,1+COUNTIF(U$4:U636,"&gt;0"),0),0)</f>
        <v>0</v>
      </c>
      <c r="V637" s="417">
        <f t="shared" si="158"/>
        <v>634</v>
      </c>
      <c r="W637" s="509"/>
      <c r="X637" s="321"/>
      <c r="Y637" s="321"/>
      <c r="Z637" s="433"/>
      <c r="AA637" s="918">
        <f t="shared" si="149"/>
        <v>1</v>
      </c>
      <c r="AB637" s="306" t="str">
        <f t="shared" si="150"/>
        <v/>
      </c>
      <c r="AC637" s="788"/>
      <c r="AD637" s="119">
        <f t="shared" si="161"/>
        <v>0</v>
      </c>
      <c r="AE637" s="108">
        <f t="shared" si="161"/>
        <v>0</v>
      </c>
      <c r="AF637" s="108">
        <f t="shared" si="161"/>
        <v>0</v>
      </c>
      <c r="AG637" s="108"/>
      <c r="AH637" s="108"/>
      <c r="AI637" s="108"/>
      <c r="AJ637" s="108"/>
      <c r="AK637" s="108"/>
      <c r="AL637" s="108">
        <f t="shared" si="151"/>
        <v>0</v>
      </c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20">
        <f t="shared" si="152"/>
        <v>0</v>
      </c>
      <c r="CL637" s="122">
        <f t="shared" si="153"/>
        <v>0</v>
      </c>
      <c r="CM637" s="524" t="str">
        <f t="shared" si="155"/>
        <v/>
      </c>
      <c r="CN637" s="526">
        <f t="shared" si="156"/>
        <v>0</v>
      </c>
      <c r="CO637" s="122">
        <f t="shared" si="157"/>
        <v>0</v>
      </c>
      <c r="CP637" s="45" t="str">
        <f t="shared" si="154"/>
        <v>1 - in MILLESIMI   I</v>
      </c>
      <c r="CQ637" s="1"/>
    </row>
    <row r="638" spans="1:95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435">
        <f>IF(AND(W638&gt;=$U$1,W638&lt;=$U$2),IF(X638='ESTRATTO CONTO'!$E$2,1+COUNTIF(U$4:U637,"&gt;0"),0),0)</f>
        <v>0</v>
      </c>
      <c r="V638" s="417">
        <f t="shared" si="158"/>
        <v>635</v>
      </c>
      <c r="W638" s="509"/>
      <c r="X638" s="321"/>
      <c r="Y638" s="321"/>
      <c r="Z638" s="433"/>
      <c r="AA638" s="918">
        <f t="shared" si="149"/>
        <v>1</v>
      </c>
      <c r="AB638" s="306" t="str">
        <f t="shared" si="150"/>
        <v/>
      </c>
      <c r="AC638" s="788"/>
      <c r="AD638" s="119">
        <f t="shared" si="161"/>
        <v>0</v>
      </c>
      <c r="AE638" s="108">
        <f t="shared" si="161"/>
        <v>0</v>
      </c>
      <c r="AF638" s="108">
        <f t="shared" si="161"/>
        <v>0</v>
      </c>
      <c r="AG638" s="108"/>
      <c r="AH638" s="108"/>
      <c r="AI638" s="108"/>
      <c r="AJ638" s="108"/>
      <c r="AK638" s="108"/>
      <c r="AL638" s="108">
        <f t="shared" si="151"/>
        <v>0</v>
      </c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20">
        <f t="shared" si="152"/>
        <v>0</v>
      </c>
      <c r="CL638" s="122">
        <f t="shared" si="153"/>
        <v>0</v>
      </c>
      <c r="CM638" s="524" t="str">
        <f t="shared" si="155"/>
        <v/>
      </c>
      <c r="CN638" s="526">
        <f t="shared" si="156"/>
        <v>0</v>
      </c>
      <c r="CO638" s="122">
        <f t="shared" si="157"/>
        <v>0</v>
      </c>
      <c r="CP638" s="45" t="str">
        <f t="shared" si="154"/>
        <v>1 - in MILLESIMI   I</v>
      </c>
      <c r="CQ638" s="1"/>
    </row>
    <row r="639" spans="1:95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435">
        <f>IF(AND(W639&gt;=$U$1,W639&lt;=$U$2),IF(X639='ESTRATTO CONTO'!$E$2,1+COUNTIF(U$4:U638,"&gt;0"),0),0)</f>
        <v>0</v>
      </c>
      <c r="V639" s="417">
        <f t="shared" si="158"/>
        <v>636</v>
      </c>
      <c r="W639" s="509"/>
      <c r="X639" s="321"/>
      <c r="Y639" s="321"/>
      <c r="Z639" s="433"/>
      <c r="AA639" s="918">
        <f t="shared" si="149"/>
        <v>1</v>
      </c>
      <c r="AB639" s="306" t="str">
        <f t="shared" si="150"/>
        <v/>
      </c>
      <c r="AC639" s="788"/>
      <c r="AD639" s="119">
        <f t="shared" si="161"/>
        <v>0</v>
      </c>
      <c r="AE639" s="108">
        <f t="shared" si="161"/>
        <v>0</v>
      </c>
      <c r="AF639" s="108">
        <f t="shared" si="161"/>
        <v>0</v>
      </c>
      <c r="AG639" s="108"/>
      <c r="AH639" s="108"/>
      <c r="AI639" s="108"/>
      <c r="AJ639" s="108"/>
      <c r="AK639" s="108"/>
      <c r="AL639" s="108">
        <f t="shared" si="151"/>
        <v>0</v>
      </c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20">
        <f t="shared" si="152"/>
        <v>0</v>
      </c>
      <c r="CL639" s="122">
        <f t="shared" si="153"/>
        <v>0</v>
      </c>
      <c r="CM639" s="524" t="str">
        <f t="shared" si="155"/>
        <v/>
      </c>
      <c r="CN639" s="526">
        <f t="shared" si="156"/>
        <v>0</v>
      </c>
      <c r="CO639" s="122">
        <f t="shared" si="157"/>
        <v>0</v>
      </c>
      <c r="CP639" s="45" t="str">
        <f t="shared" si="154"/>
        <v>1 - in MILLESIMI   I</v>
      </c>
      <c r="CQ639" s="1"/>
    </row>
    <row r="640" spans="1:95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435">
        <f>IF(AND(W640&gt;=$U$1,W640&lt;=$U$2),IF(X640='ESTRATTO CONTO'!$E$2,1+COUNTIF(U$4:U639,"&gt;0"),0),0)</f>
        <v>0</v>
      </c>
      <c r="V640" s="417">
        <f t="shared" si="158"/>
        <v>637</v>
      </c>
      <c r="W640" s="509"/>
      <c r="X640" s="321"/>
      <c r="Y640" s="321"/>
      <c r="Z640" s="433"/>
      <c r="AA640" s="918">
        <f t="shared" si="149"/>
        <v>1</v>
      </c>
      <c r="AB640" s="306" t="str">
        <f t="shared" si="150"/>
        <v/>
      </c>
      <c r="AC640" s="788"/>
      <c r="AD640" s="119">
        <f t="shared" si="161"/>
        <v>0</v>
      </c>
      <c r="AE640" s="108">
        <f t="shared" si="161"/>
        <v>0</v>
      </c>
      <c r="AF640" s="108">
        <f t="shared" si="161"/>
        <v>0</v>
      </c>
      <c r="AG640" s="108"/>
      <c r="AH640" s="108"/>
      <c r="AI640" s="108"/>
      <c r="AJ640" s="108"/>
      <c r="AK640" s="108"/>
      <c r="AL640" s="108">
        <f t="shared" si="151"/>
        <v>0</v>
      </c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20">
        <f t="shared" si="152"/>
        <v>0</v>
      </c>
      <c r="CL640" s="122">
        <f t="shared" si="153"/>
        <v>0</v>
      </c>
      <c r="CM640" s="524" t="str">
        <f t="shared" si="155"/>
        <v/>
      </c>
      <c r="CN640" s="526">
        <f t="shared" si="156"/>
        <v>0</v>
      </c>
      <c r="CO640" s="122">
        <f t="shared" si="157"/>
        <v>0</v>
      </c>
      <c r="CP640" s="45" t="str">
        <f t="shared" si="154"/>
        <v>1 - in MILLESIMI   I</v>
      </c>
      <c r="CQ640" s="1"/>
    </row>
    <row r="641" spans="1:95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435">
        <f>IF(AND(W641&gt;=$U$1,W641&lt;=$U$2),IF(X641='ESTRATTO CONTO'!$E$2,1+COUNTIF(U$4:U640,"&gt;0"),0),0)</f>
        <v>0</v>
      </c>
      <c r="V641" s="417">
        <f t="shared" si="158"/>
        <v>638</v>
      </c>
      <c r="W641" s="509"/>
      <c r="X641" s="321"/>
      <c r="Y641" s="321"/>
      <c r="Z641" s="433"/>
      <c r="AA641" s="918">
        <f t="shared" si="149"/>
        <v>1</v>
      </c>
      <c r="AB641" s="306" t="str">
        <f t="shared" si="150"/>
        <v/>
      </c>
      <c r="AC641" s="788"/>
      <c r="AD641" s="119">
        <f t="shared" si="161"/>
        <v>0</v>
      </c>
      <c r="AE641" s="108">
        <f t="shared" si="161"/>
        <v>0</v>
      </c>
      <c r="AF641" s="108">
        <f t="shared" si="161"/>
        <v>0</v>
      </c>
      <c r="AG641" s="108"/>
      <c r="AH641" s="108"/>
      <c r="AI641" s="108"/>
      <c r="AJ641" s="108"/>
      <c r="AK641" s="108"/>
      <c r="AL641" s="108">
        <f t="shared" si="151"/>
        <v>0</v>
      </c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20">
        <f t="shared" si="152"/>
        <v>0</v>
      </c>
      <c r="CL641" s="122">
        <f t="shared" si="153"/>
        <v>0</v>
      </c>
      <c r="CM641" s="524" t="str">
        <f t="shared" si="155"/>
        <v/>
      </c>
      <c r="CN641" s="526">
        <f t="shared" si="156"/>
        <v>0</v>
      </c>
      <c r="CO641" s="122">
        <f t="shared" si="157"/>
        <v>0</v>
      </c>
      <c r="CP641" s="45" t="str">
        <f t="shared" si="154"/>
        <v>1 - in MILLESIMI   I</v>
      </c>
      <c r="CQ641" s="1"/>
    </row>
    <row r="642" spans="1:95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435">
        <f>IF(AND(W642&gt;=$U$1,W642&lt;=$U$2),IF(X642='ESTRATTO CONTO'!$E$2,1+COUNTIF(U$4:U641,"&gt;0"),0),0)</f>
        <v>0</v>
      </c>
      <c r="V642" s="417">
        <f t="shared" si="158"/>
        <v>639</v>
      </c>
      <c r="W642" s="509"/>
      <c r="X642" s="321"/>
      <c r="Y642" s="321"/>
      <c r="Z642" s="433"/>
      <c r="AA642" s="918">
        <f t="shared" si="149"/>
        <v>1</v>
      </c>
      <c r="AB642" s="306" t="str">
        <f t="shared" si="150"/>
        <v/>
      </c>
      <c r="AC642" s="788"/>
      <c r="AD642" s="119">
        <f t="shared" si="161"/>
        <v>0</v>
      </c>
      <c r="AE642" s="108">
        <f t="shared" si="161"/>
        <v>0</v>
      </c>
      <c r="AF642" s="108">
        <f t="shared" si="161"/>
        <v>0</v>
      </c>
      <c r="AG642" s="108"/>
      <c r="AH642" s="108"/>
      <c r="AI642" s="108"/>
      <c r="AJ642" s="108"/>
      <c r="AK642" s="108"/>
      <c r="AL642" s="108">
        <f t="shared" si="151"/>
        <v>0</v>
      </c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20">
        <f t="shared" si="152"/>
        <v>0</v>
      </c>
      <c r="CL642" s="122">
        <f t="shared" si="153"/>
        <v>0</v>
      </c>
      <c r="CM642" s="524" t="str">
        <f t="shared" si="155"/>
        <v/>
      </c>
      <c r="CN642" s="526">
        <f t="shared" si="156"/>
        <v>0</v>
      </c>
      <c r="CO642" s="122">
        <f t="shared" si="157"/>
        <v>0</v>
      </c>
      <c r="CP642" s="45" t="str">
        <f t="shared" si="154"/>
        <v>1 - in MILLESIMI   I</v>
      </c>
      <c r="CQ642" s="1"/>
    </row>
    <row r="643" spans="1:95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435">
        <f>IF(AND(W643&gt;=$U$1,W643&lt;=$U$2),IF(X643='ESTRATTO CONTO'!$E$2,1+COUNTIF(U$4:U642,"&gt;0"),0),0)</f>
        <v>0</v>
      </c>
      <c r="V643" s="417">
        <f t="shared" si="158"/>
        <v>640</v>
      </c>
      <c r="W643" s="509"/>
      <c r="X643" s="321"/>
      <c r="Y643" s="321"/>
      <c r="Z643" s="433"/>
      <c r="AA643" s="918">
        <f t="shared" si="149"/>
        <v>1</v>
      </c>
      <c r="AB643" s="306" t="str">
        <f t="shared" si="150"/>
        <v/>
      </c>
      <c r="AC643" s="788"/>
      <c r="AD643" s="119">
        <f t="shared" si="161"/>
        <v>0</v>
      </c>
      <c r="AE643" s="108">
        <f t="shared" si="161"/>
        <v>0</v>
      </c>
      <c r="AF643" s="108">
        <f t="shared" si="161"/>
        <v>0</v>
      </c>
      <c r="AG643" s="108"/>
      <c r="AH643" s="108"/>
      <c r="AI643" s="108"/>
      <c r="AJ643" s="108"/>
      <c r="AK643" s="108"/>
      <c r="AL643" s="108">
        <f t="shared" si="151"/>
        <v>0</v>
      </c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20">
        <f t="shared" si="152"/>
        <v>0</v>
      </c>
      <c r="CL643" s="122">
        <f t="shared" si="153"/>
        <v>0</v>
      </c>
      <c r="CM643" s="524" t="str">
        <f t="shared" si="155"/>
        <v/>
      </c>
      <c r="CN643" s="526">
        <f t="shared" si="156"/>
        <v>0</v>
      </c>
      <c r="CO643" s="122">
        <f t="shared" si="157"/>
        <v>0</v>
      </c>
      <c r="CP643" s="45" t="str">
        <f t="shared" si="154"/>
        <v>1 - in MILLESIMI   I</v>
      </c>
      <c r="CQ643" s="1"/>
    </row>
    <row r="644" spans="1:95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435">
        <f>IF(AND(W644&gt;=$U$1,W644&lt;=$U$2),IF(X644='ESTRATTO CONTO'!$E$2,1+COUNTIF(U$4:U643,"&gt;0"),0),0)</f>
        <v>0</v>
      </c>
      <c r="V644" s="417">
        <f t="shared" si="158"/>
        <v>641</v>
      </c>
      <c r="W644" s="509"/>
      <c r="X644" s="321"/>
      <c r="Y644" s="321"/>
      <c r="Z644" s="433"/>
      <c r="AA644" s="918">
        <f t="shared" ref="AA644:AA707" si="162">IF(OR(W644&lt;$W$1433,W644&gt;$W$1434),1,0)</f>
        <v>1</v>
      </c>
      <c r="AB644" s="306" t="str">
        <f t="shared" ref="AB644:AB707" si="163">IF(W644&gt;0,IF(AND(W644&gt;=W$1438,W644&lt;=W$1439),CONCATENATE(MONTH(W644)&amp;X644),0),"")</f>
        <v/>
      </c>
      <c r="AC644" s="788"/>
      <c r="AD644" s="119">
        <f t="shared" ref="AD644:AF663" si="164">IF($AB644=0,0,ROUND($Z644*VLOOKUP(AD$2,$F$1010:$Q$1014,VLOOKUP($CP644,$C$1076:$E$1081,3,FALSE),FALSE),2))</f>
        <v>0</v>
      </c>
      <c r="AE644" s="108">
        <f t="shared" si="164"/>
        <v>0</v>
      </c>
      <c r="AF644" s="108">
        <f t="shared" si="164"/>
        <v>0</v>
      </c>
      <c r="AG644" s="108"/>
      <c r="AH644" s="108"/>
      <c r="AI644" s="108"/>
      <c r="AJ644" s="108"/>
      <c r="AK644" s="108"/>
      <c r="AL644" s="108">
        <f t="shared" ref="AL644:AL707" si="165">IF($AB644=0,0,ROUND($Z644*VLOOKUP(AL$2,$F$1010:$Q$1014,VLOOKUP($CP644,$C$1076:$E$1081,3,FALSE),FALSE),2))</f>
        <v>0</v>
      </c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20">
        <f t="shared" ref="CK644:CK707" si="166">IF($AB644=0,0,ROUND($Z644*VLOOKUP(CK$2,$F$1010:$Q$1014,VLOOKUP($CP644,$C$1076:$E$1081,3,FALSE),FALSE),2))</f>
        <v>0</v>
      </c>
      <c r="CL644" s="122">
        <f t="shared" ref="CL644:CL707" si="167">IF(CK$1014&gt;0,0,IF(ISBLANK(W644),0,MONTH(W644)))</f>
        <v>0</v>
      </c>
      <c r="CM644" s="524" t="str">
        <f t="shared" si="155"/>
        <v/>
      </c>
      <c r="CN644" s="526">
        <f t="shared" si="156"/>
        <v>0</v>
      </c>
      <c r="CO644" s="122">
        <f t="shared" si="157"/>
        <v>0</v>
      </c>
      <c r="CP644" s="45" t="str">
        <f t="shared" ref="CP644:CP707" si="168">IF(ISBLANK(AC644),Q$1,AC644)</f>
        <v>1 - in MILLESIMI   I</v>
      </c>
      <c r="CQ644" s="1"/>
    </row>
    <row r="645" spans="1:95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435">
        <f>IF(AND(W645&gt;=$U$1,W645&lt;=$U$2),IF(X645='ESTRATTO CONTO'!$E$2,1+COUNTIF(U$4:U644,"&gt;0"),0),0)</f>
        <v>0</v>
      </c>
      <c r="V645" s="417">
        <f t="shared" si="158"/>
        <v>642</v>
      </c>
      <c r="W645" s="509"/>
      <c r="X645" s="321"/>
      <c r="Y645" s="321"/>
      <c r="Z645" s="433"/>
      <c r="AA645" s="918">
        <f t="shared" si="162"/>
        <v>1</v>
      </c>
      <c r="AB645" s="306" t="str">
        <f t="shared" si="163"/>
        <v/>
      </c>
      <c r="AC645" s="788"/>
      <c r="AD645" s="119">
        <f t="shared" si="164"/>
        <v>0</v>
      </c>
      <c r="AE645" s="108">
        <f t="shared" si="164"/>
        <v>0</v>
      </c>
      <c r="AF645" s="108">
        <f t="shared" si="164"/>
        <v>0</v>
      </c>
      <c r="AG645" s="108"/>
      <c r="AH645" s="108"/>
      <c r="AI645" s="108"/>
      <c r="AJ645" s="108"/>
      <c r="AK645" s="108"/>
      <c r="AL645" s="108">
        <f t="shared" si="165"/>
        <v>0</v>
      </c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20">
        <f t="shared" si="166"/>
        <v>0</v>
      </c>
      <c r="CL645" s="122">
        <f t="shared" si="167"/>
        <v>0</v>
      </c>
      <c r="CM645" s="524" t="str">
        <f t="shared" ref="CM645:CM708" si="169">IF(X645="","",IF(ISERROR(VLOOKUP(X645,B$9:E$45,1,FALSE)),1,0))</f>
        <v/>
      </c>
      <c r="CN645" s="526">
        <f t="shared" ref="CN645:CN708" si="170">IF(AND(W645&gt;=CN$1,W645&lt;=CN$2),Z645,0)</f>
        <v>0</v>
      </c>
      <c r="CO645" s="122">
        <f t="shared" ref="CO645:CO708" si="171">IF(CN645&lt;&gt;0,X645,0)</f>
        <v>0</v>
      </c>
      <c r="CP645" s="45" t="str">
        <f t="shared" si="168"/>
        <v>1 - in MILLESIMI   I</v>
      </c>
      <c r="CQ645" s="1"/>
    </row>
    <row r="646" spans="1:95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435">
        <f>IF(AND(W646&gt;=$U$1,W646&lt;=$U$2),IF(X646='ESTRATTO CONTO'!$E$2,1+COUNTIF(U$4:U645,"&gt;0"),0),0)</f>
        <v>0</v>
      </c>
      <c r="V646" s="417">
        <f t="shared" ref="V646:V709" si="172">V645+1</f>
        <v>643</v>
      </c>
      <c r="W646" s="509"/>
      <c r="X646" s="321"/>
      <c r="Y646" s="321"/>
      <c r="Z646" s="433"/>
      <c r="AA646" s="918">
        <f t="shared" si="162"/>
        <v>1</v>
      </c>
      <c r="AB646" s="306" t="str">
        <f t="shared" si="163"/>
        <v/>
      </c>
      <c r="AC646" s="788"/>
      <c r="AD646" s="119">
        <f t="shared" si="164"/>
        <v>0</v>
      </c>
      <c r="AE646" s="108">
        <f t="shared" si="164"/>
        <v>0</v>
      </c>
      <c r="AF646" s="108">
        <f t="shared" si="164"/>
        <v>0</v>
      </c>
      <c r="AG646" s="108"/>
      <c r="AH646" s="108"/>
      <c r="AI646" s="108"/>
      <c r="AJ646" s="108"/>
      <c r="AK646" s="108"/>
      <c r="AL646" s="108">
        <f t="shared" si="165"/>
        <v>0</v>
      </c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20">
        <f t="shared" si="166"/>
        <v>0</v>
      </c>
      <c r="CL646" s="122">
        <f t="shared" si="167"/>
        <v>0</v>
      </c>
      <c r="CM646" s="524" t="str">
        <f t="shared" si="169"/>
        <v/>
      </c>
      <c r="CN646" s="526">
        <f t="shared" si="170"/>
        <v>0</v>
      </c>
      <c r="CO646" s="122">
        <f t="shared" si="171"/>
        <v>0</v>
      </c>
      <c r="CP646" s="45" t="str">
        <f t="shared" si="168"/>
        <v>1 - in MILLESIMI   I</v>
      </c>
      <c r="CQ646" s="1"/>
    </row>
    <row r="647" spans="1:95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435">
        <f>IF(AND(W647&gt;=$U$1,W647&lt;=$U$2),IF(X647='ESTRATTO CONTO'!$E$2,1+COUNTIF(U$4:U646,"&gt;0"),0),0)</f>
        <v>0</v>
      </c>
      <c r="V647" s="417">
        <f t="shared" si="172"/>
        <v>644</v>
      </c>
      <c r="W647" s="509"/>
      <c r="X647" s="321"/>
      <c r="Y647" s="321"/>
      <c r="Z647" s="433"/>
      <c r="AA647" s="918">
        <f t="shared" si="162"/>
        <v>1</v>
      </c>
      <c r="AB647" s="306" t="str">
        <f t="shared" si="163"/>
        <v/>
      </c>
      <c r="AC647" s="788"/>
      <c r="AD647" s="119">
        <f t="shared" si="164"/>
        <v>0</v>
      </c>
      <c r="AE647" s="108">
        <f t="shared" si="164"/>
        <v>0</v>
      </c>
      <c r="AF647" s="108">
        <f t="shared" si="164"/>
        <v>0</v>
      </c>
      <c r="AG647" s="108"/>
      <c r="AH647" s="108"/>
      <c r="AI647" s="108"/>
      <c r="AJ647" s="108"/>
      <c r="AK647" s="108"/>
      <c r="AL647" s="108">
        <f t="shared" si="165"/>
        <v>0</v>
      </c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20">
        <f t="shared" si="166"/>
        <v>0</v>
      </c>
      <c r="CL647" s="122">
        <f t="shared" si="167"/>
        <v>0</v>
      </c>
      <c r="CM647" s="524" t="str">
        <f t="shared" si="169"/>
        <v/>
      </c>
      <c r="CN647" s="526">
        <f t="shared" si="170"/>
        <v>0</v>
      </c>
      <c r="CO647" s="122">
        <f t="shared" si="171"/>
        <v>0</v>
      </c>
      <c r="CP647" s="45" t="str">
        <f t="shared" si="168"/>
        <v>1 - in MILLESIMI   I</v>
      </c>
      <c r="CQ647" s="1"/>
    </row>
    <row r="648" spans="1:95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435">
        <f>IF(AND(W648&gt;=$U$1,W648&lt;=$U$2),IF(X648='ESTRATTO CONTO'!$E$2,1+COUNTIF(U$4:U647,"&gt;0"),0),0)</f>
        <v>0</v>
      </c>
      <c r="V648" s="417">
        <f t="shared" si="172"/>
        <v>645</v>
      </c>
      <c r="W648" s="509"/>
      <c r="X648" s="321"/>
      <c r="Y648" s="321"/>
      <c r="Z648" s="433"/>
      <c r="AA648" s="918">
        <f t="shared" si="162"/>
        <v>1</v>
      </c>
      <c r="AB648" s="306" t="str">
        <f t="shared" si="163"/>
        <v/>
      </c>
      <c r="AC648" s="788"/>
      <c r="AD648" s="119">
        <f t="shared" si="164"/>
        <v>0</v>
      </c>
      <c r="AE648" s="108">
        <f t="shared" si="164"/>
        <v>0</v>
      </c>
      <c r="AF648" s="108">
        <f t="shared" si="164"/>
        <v>0</v>
      </c>
      <c r="AG648" s="108"/>
      <c r="AH648" s="108"/>
      <c r="AI648" s="108"/>
      <c r="AJ648" s="108"/>
      <c r="AK648" s="108"/>
      <c r="AL648" s="108">
        <f t="shared" si="165"/>
        <v>0</v>
      </c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20">
        <f t="shared" si="166"/>
        <v>0</v>
      </c>
      <c r="CL648" s="122">
        <f t="shared" si="167"/>
        <v>0</v>
      </c>
      <c r="CM648" s="524" t="str">
        <f t="shared" si="169"/>
        <v/>
      </c>
      <c r="CN648" s="526">
        <f t="shared" si="170"/>
        <v>0</v>
      </c>
      <c r="CO648" s="122">
        <f t="shared" si="171"/>
        <v>0</v>
      </c>
      <c r="CP648" s="45" t="str">
        <f t="shared" si="168"/>
        <v>1 - in MILLESIMI   I</v>
      </c>
      <c r="CQ648" s="1"/>
    </row>
    <row r="649" spans="1:95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435">
        <f>IF(AND(W649&gt;=$U$1,W649&lt;=$U$2),IF(X649='ESTRATTO CONTO'!$E$2,1+COUNTIF(U$4:U648,"&gt;0"),0),0)</f>
        <v>0</v>
      </c>
      <c r="V649" s="417">
        <f t="shared" si="172"/>
        <v>646</v>
      </c>
      <c r="W649" s="509"/>
      <c r="X649" s="321"/>
      <c r="Y649" s="321"/>
      <c r="Z649" s="433"/>
      <c r="AA649" s="918">
        <f t="shared" si="162"/>
        <v>1</v>
      </c>
      <c r="AB649" s="306" t="str">
        <f t="shared" si="163"/>
        <v/>
      </c>
      <c r="AC649" s="788"/>
      <c r="AD649" s="119">
        <f t="shared" si="164"/>
        <v>0</v>
      </c>
      <c r="AE649" s="108">
        <f t="shared" si="164"/>
        <v>0</v>
      </c>
      <c r="AF649" s="108">
        <f t="shared" si="164"/>
        <v>0</v>
      </c>
      <c r="AG649" s="108"/>
      <c r="AH649" s="108"/>
      <c r="AI649" s="108"/>
      <c r="AJ649" s="108"/>
      <c r="AK649" s="108"/>
      <c r="AL649" s="108">
        <f t="shared" si="165"/>
        <v>0</v>
      </c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20">
        <f t="shared" si="166"/>
        <v>0</v>
      </c>
      <c r="CL649" s="122">
        <f t="shared" si="167"/>
        <v>0</v>
      </c>
      <c r="CM649" s="524" t="str">
        <f t="shared" si="169"/>
        <v/>
      </c>
      <c r="CN649" s="526">
        <f t="shared" si="170"/>
        <v>0</v>
      </c>
      <c r="CO649" s="122">
        <f t="shared" si="171"/>
        <v>0</v>
      </c>
      <c r="CP649" s="45" t="str">
        <f t="shared" si="168"/>
        <v>1 - in MILLESIMI   I</v>
      </c>
      <c r="CQ649" s="1"/>
    </row>
    <row r="650" spans="1:95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435">
        <f>IF(AND(W650&gt;=$U$1,W650&lt;=$U$2),IF(X650='ESTRATTO CONTO'!$E$2,1+COUNTIF(U$4:U649,"&gt;0"),0),0)</f>
        <v>0</v>
      </c>
      <c r="V650" s="417">
        <f t="shared" si="172"/>
        <v>647</v>
      </c>
      <c r="W650" s="509"/>
      <c r="X650" s="321"/>
      <c r="Y650" s="321"/>
      <c r="Z650" s="433"/>
      <c r="AA650" s="918">
        <f t="shared" si="162"/>
        <v>1</v>
      </c>
      <c r="AB650" s="306" t="str">
        <f t="shared" si="163"/>
        <v/>
      </c>
      <c r="AC650" s="788"/>
      <c r="AD650" s="119">
        <f t="shared" si="164"/>
        <v>0</v>
      </c>
      <c r="AE650" s="108">
        <f t="shared" si="164"/>
        <v>0</v>
      </c>
      <c r="AF650" s="108">
        <f t="shared" si="164"/>
        <v>0</v>
      </c>
      <c r="AG650" s="108"/>
      <c r="AH650" s="108"/>
      <c r="AI650" s="108"/>
      <c r="AJ650" s="108"/>
      <c r="AK650" s="108"/>
      <c r="AL650" s="108">
        <f t="shared" si="165"/>
        <v>0</v>
      </c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20">
        <f t="shared" si="166"/>
        <v>0</v>
      </c>
      <c r="CL650" s="122">
        <f t="shared" si="167"/>
        <v>0</v>
      </c>
      <c r="CM650" s="524" t="str">
        <f t="shared" si="169"/>
        <v/>
      </c>
      <c r="CN650" s="526">
        <f t="shared" si="170"/>
        <v>0</v>
      </c>
      <c r="CO650" s="122">
        <f t="shared" si="171"/>
        <v>0</v>
      </c>
      <c r="CP650" s="45" t="str">
        <f t="shared" si="168"/>
        <v>1 - in MILLESIMI   I</v>
      </c>
      <c r="CQ650" s="1"/>
    </row>
    <row r="651" spans="1:95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435">
        <f>IF(AND(W651&gt;=$U$1,W651&lt;=$U$2),IF(X651='ESTRATTO CONTO'!$E$2,1+COUNTIF(U$4:U650,"&gt;0"),0),0)</f>
        <v>0</v>
      </c>
      <c r="V651" s="417">
        <f t="shared" si="172"/>
        <v>648</v>
      </c>
      <c r="W651" s="509"/>
      <c r="X651" s="321"/>
      <c r="Y651" s="321"/>
      <c r="Z651" s="433"/>
      <c r="AA651" s="918">
        <f t="shared" si="162"/>
        <v>1</v>
      </c>
      <c r="AB651" s="306" t="str">
        <f t="shared" si="163"/>
        <v/>
      </c>
      <c r="AC651" s="788"/>
      <c r="AD651" s="119">
        <f t="shared" si="164"/>
        <v>0</v>
      </c>
      <c r="AE651" s="108">
        <f t="shared" si="164"/>
        <v>0</v>
      </c>
      <c r="AF651" s="108">
        <f t="shared" si="164"/>
        <v>0</v>
      </c>
      <c r="AG651" s="108"/>
      <c r="AH651" s="108"/>
      <c r="AI651" s="108"/>
      <c r="AJ651" s="108"/>
      <c r="AK651" s="108"/>
      <c r="AL651" s="108">
        <f t="shared" si="165"/>
        <v>0</v>
      </c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20">
        <f t="shared" si="166"/>
        <v>0</v>
      </c>
      <c r="CL651" s="122">
        <f t="shared" si="167"/>
        <v>0</v>
      </c>
      <c r="CM651" s="524" t="str">
        <f t="shared" si="169"/>
        <v/>
      </c>
      <c r="CN651" s="526">
        <f t="shared" si="170"/>
        <v>0</v>
      </c>
      <c r="CO651" s="122">
        <f t="shared" si="171"/>
        <v>0</v>
      </c>
      <c r="CP651" s="45" t="str">
        <f t="shared" si="168"/>
        <v>1 - in MILLESIMI   I</v>
      </c>
      <c r="CQ651" s="1"/>
    </row>
    <row r="652" spans="1:95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435">
        <f>IF(AND(W652&gt;=$U$1,W652&lt;=$U$2),IF(X652='ESTRATTO CONTO'!$E$2,1+COUNTIF(U$4:U651,"&gt;0"),0),0)</f>
        <v>0</v>
      </c>
      <c r="V652" s="417">
        <f t="shared" si="172"/>
        <v>649</v>
      </c>
      <c r="W652" s="509"/>
      <c r="X652" s="321"/>
      <c r="Y652" s="321"/>
      <c r="Z652" s="433"/>
      <c r="AA652" s="918">
        <f t="shared" si="162"/>
        <v>1</v>
      </c>
      <c r="AB652" s="306" t="str">
        <f t="shared" si="163"/>
        <v/>
      </c>
      <c r="AC652" s="788"/>
      <c r="AD652" s="119">
        <f t="shared" si="164"/>
        <v>0</v>
      </c>
      <c r="AE652" s="108">
        <f t="shared" si="164"/>
        <v>0</v>
      </c>
      <c r="AF652" s="108">
        <f t="shared" si="164"/>
        <v>0</v>
      </c>
      <c r="AG652" s="108"/>
      <c r="AH652" s="108"/>
      <c r="AI652" s="108"/>
      <c r="AJ652" s="108"/>
      <c r="AK652" s="108"/>
      <c r="AL652" s="108">
        <f t="shared" si="165"/>
        <v>0</v>
      </c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20">
        <f t="shared" si="166"/>
        <v>0</v>
      </c>
      <c r="CL652" s="122">
        <f t="shared" si="167"/>
        <v>0</v>
      </c>
      <c r="CM652" s="524" t="str">
        <f t="shared" si="169"/>
        <v/>
      </c>
      <c r="CN652" s="526">
        <f t="shared" si="170"/>
        <v>0</v>
      </c>
      <c r="CO652" s="122">
        <f t="shared" si="171"/>
        <v>0</v>
      </c>
      <c r="CP652" s="45" t="str">
        <f t="shared" si="168"/>
        <v>1 - in MILLESIMI   I</v>
      </c>
      <c r="CQ652" s="1"/>
    </row>
    <row r="653" spans="1:95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435">
        <f>IF(AND(W653&gt;=$U$1,W653&lt;=$U$2),IF(X653='ESTRATTO CONTO'!$E$2,1+COUNTIF(U$4:U652,"&gt;0"),0),0)</f>
        <v>0</v>
      </c>
      <c r="V653" s="417">
        <f t="shared" si="172"/>
        <v>650</v>
      </c>
      <c r="W653" s="509"/>
      <c r="X653" s="321"/>
      <c r="Y653" s="321"/>
      <c r="Z653" s="433"/>
      <c r="AA653" s="918">
        <f t="shared" si="162"/>
        <v>1</v>
      </c>
      <c r="AB653" s="306" t="str">
        <f t="shared" si="163"/>
        <v/>
      </c>
      <c r="AC653" s="788"/>
      <c r="AD653" s="119">
        <f t="shared" si="164"/>
        <v>0</v>
      </c>
      <c r="AE653" s="108">
        <f t="shared" si="164"/>
        <v>0</v>
      </c>
      <c r="AF653" s="108">
        <f t="shared" si="164"/>
        <v>0</v>
      </c>
      <c r="AG653" s="108"/>
      <c r="AH653" s="108"/>
      <c r="AI653" s="108"/>
      <c r="AJ653" s="108"/>
      <c r="AK653" s="108"/>
      <c r="AL653" s="108">
        <f t="shared" si="165"/>
        <v>0</v>
      </c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20">
        <f t="shared" si="166"/>
        <v>0</v>
      </c>
      <c r="CL653" s="122">
        <f t="shared" si="167"/>
        <v>0</v>
      </c>
      <c r="CM653" s="524" t="str">
        <f t="shared" si="169"/>
        <v/>
      </c>
      <c r="CN653" s="526">
        <f t="shared" si="170"/>
        <v>0</v>
      </c>
      <c r="CO653" s="122">
        <f t="shared" si="171"/>
        <v>0</v>
      </c>
      <c r="CP653" s="45" t="str">
        <f t="shared" si="168"/>
        <v>1 - in MILLESIMI   I</v>
      </c>
      <c r="CQ653" s="1"/>
    </row>
    <row r="654" spans="1:95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435">
        <f>IF(AND(W654&gt;=$U$1,W654&lt;=$U$2),IF(X654='ESTRATTO CONTO'!$E$2,1+COUNTIF(U$4:U653,"&gt;0"),0),0)</f>
        <v>0</v>
      </c>
      <c r="V654" s="417">
        <f t="shared" si="172"/>
        <v>651</v>
      </c>
      <c r="W654" s="509"/>
      <c r="X654" s="321"/>
      <c r="Y654" s="321"/>
      <c r="Z654" s="433"/>
      <c r="AA654" s="918">
        <f t="shared" si="162"/>
        <v>1</v>
      </c>
      <c r="AB654" s="306" t="str">
        <f t="shared" si="163"/>
        <v/>
      </c>
      <c r="AC654" s="788"/>
      <c r="AD654" s="119">
        <f t="shared" si="164"/>
        <v>0</v>
      </c>
      <c r="AE654" s="108">
        <f t="shared" si="164"/>
        <v>0</v>
      </c>
      <c r="AF654" s="108">
        <f t="shared" si="164"/>
        <v>0</v>
      </c>
      <c r="AG654" s="108"/>
      <c r="AH654" s="108"/>
      <c r="AI654" s="108"/>
      <c r="AJ654" s="108"/>
      <c r="AK654" s="108"/>
      <c r="AL654" s="108">
        <f t="shared" si="165"/>
        <v>0</v>
      </c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20">
        <f t="shared" si="166"/>
        <v>0</v>
      </c>
      <c r="CL654" s="122">
        <f t="shared" si="167"/>
        <v>0</v>
      </c>
      <c r="CM654" s="524" t="str">
        <f t="shared" si="169"/>
        <v/>
      </c>
      <c r="CN654" s="526">
        <f t="shared" si="170"/>
        <v>0</v>
      </c>
      <c r="CO654" s="122">
        <f t="shared" si="171"/>
        <v>0</v>
      </c>
      <c r="CP654" s="45" t="str">
        <f t="shared" si="168"/>
        <v>1 - in MILLESIMI   I</v>
      </c>
      <c r="CQ654" s="1"/>
    </row>
    <row r="655" spans="1:95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435">
        <f>IF(AND(W655&gt;=$U$1,W655&lt;=$U$2),IF(X655='ESTRATTO CONTO'!$E$2,1+COUNTIF(U$4:U654,"&gt;0"),0),0)</f>
        <v>0</v>
      </c>
      <c r="V655" s="417">
        <f t="shared" si="172"/>
        <v>652</v>
      </c>
      <c r="W655" s="509"/>
      <c r="X655" s="321"/>
      <c r="Y655" s="321"/>
      <c r="Z655" s="433"/>
      <c r="AA655" s="918">
        <f t="shared" si="162"/>
        <v>1</v>
      </c>
      <c r="AB655" s="306" t="str">
        <f t="shared" si="163"/>
        <v/>
      </c>
      <c r="AC655" s="788"/>
      <c r="AD655" s="119">
        <f t="shared" si="164"/>
        <v>0</v>
      </c>
      <c r="AE655" s="108">
        <f t="shared" si="164"/>
        <v>0</v>
      </c>
      <c r="AF655" s="108">
        <f t="shared" si="164"/>
        <v>0</v>
      </c>
      <c r="AG655" s="108"/>
      <c r="AH655" s="108"/>
      <c r="AI655" s="108"/>
      <c r="AJ655" s="108"/>
      <c r="AK655" s="108"/>
      <c r="AL655" s="108">
        <f t="shared" si="165"/>
        <v>0</v>
      </c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20">
        <f t="shared" si="166"/>
        <v>0</v>
      </c>
      <c r="CL655" s="122">
        <f t="shared" si="167"/>
        <v>0</v>
      </c>
      <c r="CM655" s="524" t="str">
        <f t="shared" si="169"/>
        <v/>
      </c>
      <c r="CN655" s="526">
        <f t="shared" si="170"/>
        <v>0</v>
      </c>
      <c r="CO655" s="122">
        <f t="shared" si="171"/>
        <v>0</v>
      </c>
      <c r="CP655" s="45" t="str">
        <f t="shared" si="168"/>
        <v>1 - in MILLESIMI   I</v>
      </c>
      <c r="CQ655" s="1"/>
    </row>
    <row r="656" spans="1:95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435">
        <f>IF(AND(W656&gt;=$U$1,W656&lt;=$U$2),IF(X656='ESTRATTO CONTO'!$E$2,1+COUNTIF(U$4:U655,"&gt;0"),0),0)</f>
        <v>0</v>
      </c>
      <c r="V656" s="417">
        <f t="shared" si="172"/>
        <v>653</v>
      </c>
      <c r="W656" s="509"/>
      <c r="X656" s="321"/>
      <c r="Y656" s="321"/>
      <c r="Z656" s="433"/>
      <c r="AA656" s="918">
        <f t="shared" si="162"/>
        <v>1</v>
      </c>
      <c r="AB656" s="306" t="str">
        <f t="shared" si="163"/>
        <v/>
      </c>
      <c r="AC656" s="788"/>
      <c r="AD656" s="119">
        <f t="shared" si="164"/>
        <v>0</v>
      </c>
      <c r="AE656" s="108">
        <f t="shared" si="164"/>
        <v>0</v>
      </c>
      <c r="AF656" s="108">
        <f t="shared" si="164"/>
        <v>0</v>
      </c>
      <c r="AG656" s="108"/>
      <c r="AH656" s="108"/>
      <c r="AI656" s="108"/>
      <c r="AJ656" s="108"/>
      <c r="AK656" s="108"/>
      <c r="AL656" s="108">
        <f t="shared" si="165"/>
        <v>0</v>
      </c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20">
        <f t="shared" si="166"/>
        <v>0</v>
      </c>
      <c r="CL656" s="122">
        <f t="shared" si="167"/>
        <v>0</v>
      </c>
      <c r="CM656" s="524" t="str">
        <f t="shared" si="169"/>
        <v/>
      </c>
      <c r="CN656" s="526">
        <f t="shared" si="170"/>
        <v>0</v>
      </c>
      <c r="CO656" s="122">
        <f t="shared" si="171"/>
        <v>0</v>
      </c>
      <c r="CP656" s="45" t="str">
        <f t="shared" si="168"/>
        <v>1 - in MILLESIMI   I</v>
      </c>
      <c r="CQ656" s="1"/>
    </row>
    <row r="657" spans="1:95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435">
        <f>IF(AND(W657&gt;=$U$1,W657&lt;=$U$2),IF(X657='ESTRATTO CONTO'!$E$2,1+COUNTIF(U$4:U656,"&gt;0"),0),0)</f>
        <v>0</v>
      </c>
      <c r="V657" s="417">
        <f t="shared" si="172"/>
        <v>654</v>
      </c>
      <c r="W657" s="509"/>
      <c r="X657" s="321"/>
      <c r="Y657" s="321"/>
      <c r="Z657" s="433"/>
      <c r="AA657" s="918">
        <f t="shared" si="162"/>
        <v>1</v>
      </c>
      <c r="AB657" s="306" t="str">
        <f t="shared" si="163"/>
        <v/>
      </c>
      <c r="AC657" s="788"/>
      <c r="AD657" s="119">
        <f t="shared" si="164"/>
        <v>0</v>
      </c>
      <c r="AE657" s="108">
        <f t="shared" si="164"/>
        <v>0</v>
      </c>
      <c r="AF657" s="108">
        <f t="shared" si="164"/>
        <v>0</v>
      </c>
      <c r="AG657" s="108"/>
      <c r="AH657" s="108"/>
      <c r="AI657" s="108"/>
      <c r="AJ657" s="108"/>
      <c r="AK657" s="108"/>
      <c r="AL657" s="108">
        <f t="shared" si="165"/>
        <v>0</v>
      </c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20">
        <f t="shared" si="166"/>
        <v>0</v>
      </c>
      <c r="CL657" s="122">
        <f t="shared" si="167"/>
        <v>0</v>
      </c>
      <c r="CM657" s="524" t="str">
        <f t="shared" si="169"/>
        <v/>
      </c>
      <c r="CN657" s="526">
        <f t="shared" si="170"/>
        <v>0</v>
      </c>
      <c r="CO657" s="122">
        <f t="shared" si="171"/>
        <v>0</v>
      </c>
      <c r="CP657" s="45" t="str">
        <f t="shared" si="168"/>
        <v>1 - in MILLESIMI   I</v>
      </c>
      <c r="CQ657" s="1"/>
    </row>
    <row r="658" spans="1:95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435">
        <f>IF(AND(W658&gt;=$U$1,W658&lt;=$U$2),IF(X658='ESTRATTO CONTO'!$E$2,1+COUNTIF(U$4:U657,"&gt;0"),0),0)</f>
        <v>0</v>
      </c>
      <c r="V658" s="417">
        <f t="shared" si="172"/>
        <v>655</v>
      </c>
      <c r="W658" s="509"/>
      <c r="X658" s="321"/>
      <c r="Y658" s="321"/>
      <c r="Z658" s="433"/>
      <c r="AA658" s="918">
        <f t="shared" si="162"/>
        <v>1</v>
      </c>
      <c r="AB658" s="306" t="str">
        <f t="shared" si="163"/>
        <v/>
      </c>
      <c r="AC658" s="788"/>
      <c r="AD658" s="119">
        <f t="shared" si="164"/>
        <v>0</v>
      </c>
      <c r="AE658" s="108">
        <f t="shared" si="164"/>
        <v>0</v>
      </c>
      <c r="AF658" s="108">
        <f t="shared" si="164"/>
        <v>0</v>
      </c>
      <c r="AG658" s="108"/>
      <c r="AH658" s="108"/>
      <c r="AI658" s="108"/>
      <c r="AJ658" s="108"/>
      <c r="AK658" s="108"/>
      <c r="AL658" s="108">
        <f t="shared" si="165"/>
        <v>0</v>
      </c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20">
        <f t="shared" si="166"/>
        <v>0</v>
      </c>
      <c r="CL658" s="122">
        <f t="shared" si="167"/>
        <v>0</v>
      </c>
      <c r="CM658" s="524" t="str">
        <f t="shared" si="169"/>
        <v/>
      </c>
      <c r="CN658" s="526">
        <f t="shared" si="170"/>
        <v>0</v>
      </c>
      <c r="CO658" s="122">
        <f t="shared" si="171"/>
        <v>0</v>
      </c>
      <c r="CP658" s="45" t="str">
        <f t="shared" si="168"/>
        <v>1 - in MILLESIMI   I</v>
      </c>
      <c r="CQ658" s="1"/>
    </row>
    <row r="659" spans="1:95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435">
        <f>IF(AND(W659&gt;=$U$1,W659&lt;=$U$2),IF(X659='ESTRATTO CONTO'!$E$2,1+COUNTIF(U$4:U658,"&gt;0"),0),0)</f>
        <v>0</v>
      </c>
      <c r="V659" s="417">
        <f t="shared" si="172"/>
        <v>656</v>
      </c>
      <c r="W659" s="509"/>
      <c r="X659" s="321"/>
      <c r="Y659" s="321"/>
      <c r="Z659" s="433"/>
      <c r="AA659" s="918">
        <f t="shared" si="162"/>
        <v>1</v>
      </c>
      <c r="AB659" s="306" t="str">
        <f t="shared" si="163"/>
        <v/>
      </c>
      <c r="AC659" s="788"/>
      <c r="AD659" s="119">
        <f t="shared" si="164"/>
        <v>0</v>
      </c>
      <c r="AE659" s="108">
        <f t="shared" si="164"/>
        <v>0</v>
      </c>
      <c r="AF659" s="108">
        <f t="shared" si="164"/>
        <v>0</v>
      </c>
      <c r="AG659" s="108"/>
      <c r="AH659" s="108"/>
      <c r="AI659" s="108"/>
      <c r="AJ659" s="108"/>
      <c r="AK659" s="108"/>
      <c r="AL659" s="108">
        <f t="shared" si="165"/>
        <v>0</v>
      </c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20">
        <f t="shared" si="166"/>
        <v>0</v>
      </c>
      <c r="CL659" s="122">
        <f t="shared" si="167"/>
        <v>0</v>
      </c>
      <c r="CM659" s="524" t="str">
        <f t="shared" si="169"/>
        <v/>
      </c>
      <c r="CN659" s="526">
        <f t="shared" si="170"/>
        <v>0</v>
      </c>
      <c r="CO659" s="122">
        <f t="shared" si="171"/>
        <v>0</v>
      </c>
      <c r="CP659" s="45" t="str">
        <f t="shared" si="168"/>
        <v>1 - in MILLESIMI   I</v>
      </c>
      <c r="CQ659" s="1"/>
    </row>
    <row r="660" spans="1:95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435">
        <f>IF(AND(W660&gt;=$U$1,W660&lt;=$U$2),IF(X660='ESTRATTO CONTO'!$E$2,1+COUNTIF(U$4:U659,"&gt;0"),0),0)</f>
        <v>0</v>
      </c>
      <c r="V660" s="417">
        <f t="shared" si="172"/>
        <v>657</v>
      </c>
      <c r="W660" s="509"/>
      <c r="X660" s="321"/>
      <c r="Y660" s="321"/>
      <c r="Z660" s="433"/>
      <c r="AA660" s="918">
        <f t="shared" si="162"/>
        <v>1</v>
      </c>
      <c r="AB660" s="306" t="str">
        <f t="shared" si="163"/>
        <v/>
      </c>
      <c r="AC660" s="788"/>
      <c r="AD660" s="119">
        <f t="shared" si="164"/>
        <v>0</v>
      </c>
      <c r="AE660" s="108">
        <f t="shared" si="164"/>
        <v>0</v>
      </c>
      <c r="AF660" s="108">
        <f t="shared" si="164"/>
        <v>0</v>
      </c>
      <c r="AG660" s="108"/>
      <c r="AH660" s="108"/>
      <c r="AI660" s="108"/>
      <c r="AJ660" s="108"/>
      <c r="AK660" s="108"/>
      <c r="AL660" s="108">
        <f t="shared" si="165"/>
        <v>0</v>
      </c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20">
        <f t="shared" si="166"/>
        <v>0</v>
      </c>
      <c r="CL660" s="122">
        <f t="shared" si="167"/>
        <v>0</v>
      </c>
      <c r="CM660" s="524" t="str">
        <f t="shared" si="169"/>
        <v/>
      </c>
      <c r="CN660" s="526">
        <f t="shared" si="170"/>
        <v>0</v>
      </c>
      <c r="CO660" s="122">
        <f t="shared" si="171"/>
        <v>0</v>
      </c>
      <c r="CP660" s="45" t="str">
        <f t="shared" si="168"/>
        <v>1 - in MILLESIMI   I</v>
      </c>
      <c r="CQ660" s="1"/>
    </row>
    <row r="661" spans="1:95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435">
        <f>IF(AND(W661&gt;=$U$1,W661&lt;=$U$2),IF(X661='ESTRATTO CONTO'!$E$2,1+COUNTIF(U$4:U660,"&gt;0"),0),0)</f>
        <v>0</v>
      </c>
      <c r="V661" s="417">
        <f t="shared" si="172"/>
        <v>658</v>
      </c>
      <c r="W661" s="509"/>
      <c r="X661" s="321"/>
      <c r="Y661" s="321"/>
      <c r="Z661" s="433"/>
      <c r="AA661" s="918">
        <f t="shared" si="162"/>
        <v>1</v>
      </c>
      <c r="AB661" s="306" t="str">
        <f t="shared" si="163"/>
        <v/>
      </c>
      <c r="AC661" s="788"/>
      <c r="AD661" s="119">
        <f t="shared" si="164"/>
        <v>0</v>
      </c>
      <c r="AE661" s="108">
        <f t="shared" si="164"/>
        <v>0</v>
      </c>
      <c r="AF661" s="108">
        <f t="shared" si="164"/>
        <v>0</v>
      </c>
      <c r="AG661" s="108"/>
      <c r="AH661" s="108"/>
      <c r="AI661" s="108"/>
      <c r="AJ661" s="108"/>
      <c r="AK661" s="108"/>
      <c r="AL661" s="108">
        <f t="shared" si="165"/>
        <v>0</v>
      </c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20">
        <f t="shared" si="166"/>
        <v>0</v>
      </c>
      <c r="CL661" s="122">
        <f t="shared" si="167"/>
        <v>0</v>
      </c>
      <c r="CM661" s="524" t="str">
        <f t="shared" si="169"/>
        <v/>
      </c>
      <c r="CN661" s="526">
        <f t="shared" si="170"/>
        <v>0</v>
      </c>
      <c r="CO661" s="122">
        <f t="shared" si="171"/>
        <v>0</v>
      </c>
      <c r="CP661" s="45" t="str">
        <f t="shared" si="168"/>
        <v>1 - in MILLESIMI   I</v>
      </c>
      <c r="CQ661" s="1"/>
    </row>
    <row r="662" spans="1:95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435">
        <f>IF(AND(W662&gt;=$U$1,W662&lt;=$U$2),IF(X662='ESTRATTO CONTO'!$E$2,1+COUNTIF(U$4:U661,"&gt;0"),0),0)</f>
        <v>0</v>
      </c>
      <c r="V662" s="417">
        <f t="shared" si="172"/>
        <v>659</v>
      </c>
      <c r="W662" s="509"/>
      <c r="X662" s="321"/>
      <c r="Y662" s="321"/>
      <c r="Z662" s="433"/>
      <c r="AA662" s="918">
        <f t="shared" si="162"/>
        <v>1</v>
      </c>
      <c r="AB662" s="306" t="str">
        <f t="shared" si="163"/>
        <v/>
      </c>
      <c r="AC662" s="788"/>
      <c r="AD662" s="119">
        <f t="shared" si="164"/>
        <v>0</v>
      </c>
      <c r="AE662" s="108">
        <f t="shared" si="164"/>
        <v>0</v>
      </c>
      <c r="AF662" s="108">
        <f t="shared" si="164"/>
        <v>0</v>
      </c>
      <c r="AG662" s="108"/>
      <c r="AH662" s="108"/>
      <c r="AI662" s="108"/>
      <c r="AJ662" s="108"/>
      <c r="AK662" s="108"/>
      <c r="AL662" s="108">
        <f t="shared" si="165"/>
        <v>0</v>
      </c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20">
        <f t="shared" si="166"/>
        <v>0</v>
      </c>
      <c r="CL662" s="122">
        <f t="shared" si="167"/>
        <v>0</v>
      </c>
      <c r="CM662" s="524" t="str">
        <f t="shared" si="169"/>
        <v/>
      </c>
      <c r="CN662" s="526">
        <f t="shared" si="170"/>
        <v>0</v>
      </c>
      <c r="CO662" s="122">
        <f t="shared" si="171"/>
        <v>0</v>
      </c>
      <c r="CP662" s="45" t="str">
        <f t="shared" si="168"/>
        <v>1 - in MILLESIMI   I</v>
      </c>
      <c r="CQ662" s="1"/>
    </row>
    <row r="663" spans="1:95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435">
        <f>IF(AND(W663&gt;=$U$1,W663&lt;=$U$2),IF(X663='ESTRATTO CONTO'!$E$2,1+COUNTIF(U$4:U662,"&gt;0"),0),0)</f>
        <v>0</v>
      </c>
      <c r="V663" s="417">
        <f t="shared" si="172"/>
        <v>660</v>
      </c>
      <c r="W663" s="509"/>
      <c r="X663" s="321"/>
      <c r="Y663" s="321"/>
      <c r="Z663" s="433"/>
      <c r="AA663" s="918">
        <f t="shared" si="162"/>
        <v>1</v>
      </c>
      <c r="AB663" s="306" t="str">
        <f t="shared" si="163"/>
        <v/>
      </c>
      <c r="AC663" s="788"/>
      <c r="AD663" s="119">
        <f t="shared" si="164"/>
        <v>0</v>
      </c>
      <c r="AE663" s="108">
        <f t="shared" si="164"/>
        <v>0</v>
      </c>
      <c r="AF663" s="108">
        <f t="shared" si="164"/>
        <v>0</v>
      </c>
      <c r="AG663" s="108"/>
      <c r="AH663" s="108"/>
      <c r="AI663" s="108"/>
      <c r="AJ663" s="108"/>
      <c r="AK663" s="108"/>
      <c r="AL663" s="108">
        <f t="shared" si="165"/>
        <v>0</v>
      </c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20">
        <f t="shared" si="166"/>
        <v>0</v>
      </c>
      <c r="CL663" s="122">
        <f t="shared" si="167"/>
        <v>0</v>
      </c>
      <c r="CM663" s="524" t="str">
        <f t="shared" si="169"/>
        <v/>
      </c>
      <c r="CN663" s="526">
        <f t="shared" si="170"/>
        <v>0</v>
      </c>
      <c r="CO663" s="122">
        <f t="shared" si="171"/>
        <v>0</v>
      </c>
      <c r="CP663" s="45" t="str">
        <f t="shared" si="168"/>
        <v>1 - in MILLESIMI   I</v>
      </c>
      <c r="CQ663" s="1"/>
    </row>
    <row r="664" spans="1:95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435">
        <f>IF(AND(W664&gt;=$U$1,W664&lt;=$U$2),IF(X664='ESTRATTO CONTO'!$E$2,1+COUNTIF(U$4:U663,"&gt;0"),0),0)</f>
        <v>0</v>
      </c>
      <c r="V664" s="417">
        <f t="shared" si="172"/>
        <v>661</v>
      </c>
      <c r="W664" s="509"/>
      <c r="X664" s="321"/>
      <c r="Y664" s="321"/>
      <c r="Z664" s="433"/>
      <c r="AA664" s="918">
        <f t="shared" si="162"/>
        <v>1</v>
      </c>
      <c r="AB664" s="306" t="str">
        <f t="shared" si="163"/>
        <v/>
      </c>
      <c r="AC664" s="788"/>
      <c r="AD664" s="119">
        <f t="shared" ref="AD664:AF683" si="173">IF($AB664=0,0,ROUND($Z664*VLOOKUP(AD$2,$F$1010:$Q$1014,VLOOKUP($CP664,$C$1076:$E$1081,3,FALSE),FALSE),2))</f>
        <v>0</v>
      </c>
      <c r="AE664" s="108">
        <f t="shared" si="173"/>
        <v>0</v>
      </c>
      <c r="AF664" s="108">
        <f t="shared" si="173"/>
        <v>0</v>
      </c>
      <c r="AG664" s="108"/>
      <c r="AH664" s="108"/>
      <c r="AI664" s="108"/>
      <c r="AJ664" s="108"/>
      <c r="AK664" s="108"/>
      <c r="AL664" s="108">
        <f t="shared" si="165"/>
        <v>0</v>
      </c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20">
        <f t="shared" si="166"/>
        <v>0</v>
      </c>
      <c r="CL664" s="122">
        <f t="shared" si="167"/>
        <v>0</v>
      </c>
      <c r="CM664" s="524" t="str">
        <f t="shared" si="169"/>
        <v/>
      </c>
      <c r="CN664" s="526">
        <f t="shared" si="170"/>
        <v>0</v>
      </c>
      <c r="CO664" s="122">
        <f t="shared" si="171"/>
        <v>0</v>
      </c>
      <c r="CP664" s="45" t="str">
        <f t="shared" si="168"/>
        <v>1 - in MILLESIMI   I</v>
      </c>
      <c r="CQ664" s="1"/>
    </row>
    <row r="665" spans="1:95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435">
        <f>IF(AND(W665&gt;=$U$1,W665&lt;=$U$2),IF(X665='ESTRATTO CONTO'!$E$2,1+COUNTIF(U$4:U664,"&gt;0"),0),0)</f>
        <v>0</v>
      </c>
      <c r="V665" s="417">
        <f t="shared" si="172"/>
        <v>662</v>
      </c>
      <c r="W665" s="509"/>
      <c r="X665" s="321"/>
      <c r="Y665" s="321"/>
      <c r="Z665" s="433"/>
      <c r="AA665" s="918">
        <f t="shared" si="162"/>
        <v>1</v>
      </c>
      <c r="AB665" s="306" t="str">
        <f t="shared" si="163"/>
        <v/>
      </c>
      <c r="AC665" s="788"/>
      <c r="AD665" s="119">
        <f t="shared" si="173"/>
        <v>0</v>
      </c>
      <c r="AE665" s="108">
        <f t="shared" si="173"/>
        <v>0</v>
      </c>
      <c r="AF665" s="108">
        <f t="shared" si="173"/>
        <v>0</v>
      </c>
      <c r="AG665" s="108"/>
      <c r="AH665" s="108"/>
      <c r="AI665" s="108"/>
      <c r="AJ665" s="108"/>
      <c r="AK665" s="108"/>
      <c r="AL665" s="108">
        <f t="shared" si="165"/>
        <v>0</v>
      </c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20">
        <f t="shared" si="166"/>
        <v>0</v>
      </c>
      <c r="CL665" s="122">
        <f t="shared" si="167"/>
        <v>0</v>
      </c>
      <c r="CM665" s="524" t="str">
        <f t="shared" si="169"/>
        <v/>
      </c>
      <c r="CN665" s="526">
        <f t="shared" si="170"/>
        <v>0</v>
      </c>
      <c r="CO665" s="122">
        <f t="shared" si="171"/>
        <v>0</v>
      </c>
      <c r="CP665" s="45" t="str">
        <f t="shared" si="168"/>
        <v>1 - in MILLESIMI   I</v>
      </c>
      <c r="CQ665" s="1"/>
    </row>
    <row r="666" spans="1:95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435">
        <f>IF(AND(W666&gt;=$U$1,W666&lt;=$U$2),IF(X666='ESTRATTO CONTO'!$E$2,1+COUNTIF(U$4:U665,"&gt;0"),0),0)</f>
        <v>0</v>
      </c>
      <c r="V666" s="417">
        <f t="shared" si="172"/>
        <v>663</v>
      </c>
      <c r="W666" s="509"/>
      <c r="X666" s="321"/>
      <c r="Y666" s="321"/>
      <c r="Z666" s="433"/>
      <c r="AA666" s="918">
        <f t="shared" si="162"/>
        <v>1</v>
      </c>
      <c r="AB666" s="306" t="str">
        <f t="shared" si="163"/>
        <v/>
      </c>
      <c r="AC666" s="788"/>
      <c r="AD666" s="119">
        <f t="shared" si="173"/>
        <v>0</v>
      </c>
      <c r="AE666" s="108">
        <f t="shared" si="173"/>
        <v>0</v>
      </c>
      <c r="AF666" s="108">
        <f t="shared" si="173"/>
        <v>0</v>
      </c>
      <c r="AG666" s="108"/>
      <c r="AH666" s="108"/>
      <c r="AI666" s="108"/>
      <c r="AJ666" s="108"/>
      <c r="AK666" s="108"/>
      <c r="AL666" s="108">
        <f t="shared" si="165"/>
        <v>0</v>
      </c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20">
        <f t="shared" si="166"/>
        <v>0</v>
      </c>
      <c r="CL666" s="122">
        <f t="shared" si="167"/>
        <v>0</v>
      </c>
      <c r="CM666" s="524" t="str">
        <f t="shared" si="169"/>
        <v/>
      </c>
      <c r="CN666" s="526">
        <f t="shared" si="170"/>
        <v>0</v>
      </c>
      <c r="CO666" s="122">
        <f t="shared" si="171"/>
        <v>0</v>
      </c>
      <c r="CP666" s="45" t="str">
        <f t="shared" si="168"/>
        <v>1 - in MILLESIMI   I</v>
      </c>
      <c r="CQ666" s="1"/>
    </row>
    <row r="667" spans="1:95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435">
        <f>IF(AND(W667&gt;=$U$1,W667&lt;=$U$2),IF(X667='ESTRATTO CONTO'!$E$2,1+COUNTIF(U$4:U666,"&gt;0"),0),0)</f>
        <v>0</v>
      </c>
      <c r="V667" s="417">
        <f t="shared" si="172"/>
        <v>664</v>
      </c>
      <c r="W667" s="509"/>
      <c r="X667" s="321"/>
      <c r="Y667" s="321"/>
      <c r="Z667" s="433"/>
      <c r="AA667" s="918">
        <f t="shared" si="162"/>
        <v>1</v>
      </c>
      <c r="AB667" s="306" t="str">
        <f t="shared" si="163"/>
        <v/>
      </c>
      <c r="AC667" s="788"/>
      <c r="AD667" s="119">
        <f t="shared" si="173"/>
        <v>0</v>
      </c>
      <c r="AE667" s="108">
        <f t="shared" si="173"/>
        <v>0</v>
      </c>
      <c r="AF667" s="108">
        <f t="shared" si="173"/>
        <v>0</v>
      </c>
      <c r="AG667" s="108"/>
      <c r="AH667" s="108"/>
      <c r="AI667" s="108"/>
      <c r="AJ667" s="108"/>
      <c r="AK667" s="108"/>
      <c r="AL667" s="108">
        <f t="shared" si="165"/>
        <v>0</v>
      </c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20">
        <f t="shared" si="166"/>
        <v>0</v>
      </c>
      <c r="CL667" s="122">
        <f t="shared" si="167"/>
        <v>0</v>
      </c>
      <c r="CM667" s="524" t="str">
        <f t="shared" si="169"/>
        <v/>
      </c>
      <c r="CN667" s="526">
        <f t="shared" si="170"/>
        <v>0</v>
      </c>
      <c r="CO667" s="122">
        <f t="shared" si="171"/>
        <v>0</v>
      </c>
      <c r="CP667" s="45" t="str">
        <f t="shared" si="168"/>
        <v>1 - in MILLESIMI   I</v>
      </c>
      <c r="CQ667" s="1"/>
    </row>
    <row r="668" spans="1:95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435">
        <f>IF(AND(W668&gt;=$U$1,W668&lt;=$U$2),IF(X668='ESTRATTO CONTO'!$E$2,1+COUNTIF(U$4:U667,"&gt;0"),0),0)</f>
        <v>0</v>
      </c>
      <c r="V668" s="417">
        <f t="shared" si="172"/>
        <v>665</v>
      </c>
      <c r="W668" s="509"/>
      <c r="X668" s="321"/>
      <c r="Y668" s="321"/>
      <c r="Z668" s="433"/>
      <c r="AA668" s="918">
        <f t="shared" si="162"/>
        <v>1</v>
      </c>
      <c r="AB668" s="306" t="str">
        <f t="shared" si="163"/>
        <v/>
      </c>
      <c r="AC668" s="788"/>
      <c r="AD668" s="119">
        <f t="shared" si="173"/>
        <v>0</v>
      </c>
      <c r="AE668" s="108">
        <f t="shared" si="173"/>
        <v>0</v>
      </c>
      <c r="AF668" s="108">
        <f t="shared" si="173"/>
        <v>0</v>
      </c>
      <c r="AG668" s="108"/>
      <c r="AH668" s="108"/>
      <c r="AI668" s="108"/>
      <c r="AJ668" s="108"/>
      <c r="AK668" s="108"/>
      <c r="AL668" s="108">
        <f t="shared" si="165"/>
        <v>0</v>
      </c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20">
        <f t="shared" si="166"/>
        <v>0</v>
      </c>
      <c r="CL668" s="122">
        <f t="shared" si="167"/>
        <v>0</v>
      </c>
      <c r="CM668" s="524" t="str">
        <f t="shared" si="169"/>
        <v/>
      </c>
      <c r="CN668" s="526">
        <f t="shared" si="170"/>
        <v>0</v>
      </c>
      <c r="CO668" s="122">
        <f t="shared" si="171"/>
        <v>0</v>
      </c>
      <c r="CP668" s="45" t="str">
        <f t="shared" si="168"/>
        <v>1 - in MILLESIMI   I</v>
      </c>
      <c r="CQ668" s="1"/>
    </row>
    <row r="669" spans="1:95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435">
        <f>IF(AND(W669&gt;=$U$1,W669&lt;=$U$2),IF(X669='ESTRATTO CONTO'!$E$2,1+COUNTIF(U$4:U668,"&gt;0"),0),0)</f>
        <v>0</v>
      </c>
      <c r="V669" s="417">
        <f t="shared" si="172"/>
        <v>666</v>
      </c>
      <c r="W669" s="509"/>
      <c r="X669" s="321"/>
      <c r="Y669" s="321"/>
      <c r="Z669" s="433"/>
      <c r="AA669" s="918">
        <f t="shared" si="162"/>
        <v>1</v>
      </c>
      <c r="AB669" s="306" t="str">
        <f t="shared" si="163"/>
        <v/>
      </c>
      <c r="AC669" s="788"/>
      <c r="AD669" s="119">
        <f t="shared" si="173"/>
        <v>0</v>
      </c>
      <c r="AE669" s="108">
        <f t="shared" si="173"/>
        <v>0</v>
      </c>
      <c r="AF669" s="108">
        <f t="shared" si="173"/>
        <v>0</v>
      </c>
      <c r="AG669" s="108"/>
      <c r="AH669" s="108"/>
      <c r="AI669" s="108"/>
      <c r="AJ669" s="108"/>
      <c r="AK669" s="108"/>
      <c r="AL669" s="108">
        <f t="shared" si="165"/>
        <v>0</v>
      </c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20">
        <f t="shared" si="166"/>
        <v>0</v>
      </c>
      <c r="CL669" s="122">
        <f t="shared" si="167"/>
        <v>0</v>
      </c>
      <c r="CM669" s="524" t="str">
        <f t="shared" si="169"/>
        <v/>
      </c>
      <c r="CN669" s="526">
        <f t="shared" si="170"/>
        <v>0</v>
      </c>
      <c r="CO669" s="122">
        <f t="shared" si="171"/>
        <v>0</v>
      </c>
      <c r="CP669" s="45" t="str">
        <f t="shared" si="168"/>
        <v>1 - in MILLESIMI   I</v>
      </c>
      <c r="CQ669" s="1"/>
    </row>
    <row r="670" spans="1:95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435">
        <f>IF(AND(W670&gt;=$U$1,W670&lt;=$U$2),IF(X670='ESTRATTO CONTO'!$E$2,1+COUNTIF(U$4:U669,"&gt;0"),0),0)</f>
        <v>0</v>
      </c>
      <c r="V670" s="417">
        <f t="shared" si="172"/>
        <v>667</v>
      </c>
      <c r="W670" s="509"/>
      <c r="X670" s="321"/>
      <c r="Y670" s="321"/>
      <c r="Z670" s="433"/>
      <c r="AA670" s="918">
        <f t="shared" si="162"/>
        <v>1</v>
      </c>
      <c r="AB670" s="306" t="str">
        <f t="shared" si="163"/>
        <v/>
      </c>
      <c r="AC670" s="788"/>
      <c r="AD670" s="119">
        <f t="shared" si="173"/>
        <v>0</v>
      </c>
      <c r="AE670" s="108">
        <f t="shared" si="173"/>
        <v>0</v>
      </c>
      <c r="AF670" s="108">
        <f t="shared" si="173"/>
        <v>0</v>
      </c>
      <c r="AG670" s="108"/>
      <c r="AH670" s="108"/>
      <c r="AI670" s="108"/>
      <c r="AJ670" s="108"/>
      <c r="AK670" s="108"/>
      <c r="AL670" s="108">
        <f t="shared" si="165"/>
        <v>0</v>
      </c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20">
        <f t="shared" si="166"/>
        <v>0</v>
      </c>
      <c r="CL670" s="122">
        <f t="shared" si="167"/>
        <v>0</v>
      </c>
      <c r="CM670" s="524" t="str">
        <f t="shared" si="169"/>
        <v/>
      </c>
      <c r="CN670" s="526">
        <f t="shared" si="170"/>
        <v>0</v>
      </c>
      <c r="CO670" s="122">
        <f t="shared" si="171"/>
        <v>0</v>
      </c>
      <c r="CP670" s="45" t="str">
        <f t="shared" si="168"/>
        <v>1 - in MILLESIMI   I</v>
      </c>
      <c r="CQ670" s="1"/>
    </row>
    <row r="671" spans="1:95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435">
        <f>IF(AND(W671&gt;=$U$1,W671&lt;=$U$2),IF(X671='ESTRATTO CONTO'!$E$2,1+COUNTIF(U$4:U670,"&gt;0"),0),0)</f>
        <v>0</v>
      </c>
      <c r="V671" s="417">
        <f t="shared" si="172"/>
        <v>668</v>
      </c>
      <c r="W671" s="509"/>
      <c r="X671" s="321"/>
      <c r="Y671" s="321"/>
      <c r="Z671" s="433"/>
      <c r="AA671" s="918">
        <f t="shared" si="162"/>
        <v>1</v>
      </c>
      <c r="AB671" s="306" t="str">
        <f t="shared" si="163"/>
        <v/>
      </c>
      <c r="AC671" s="788"/>
      <c r="AD671" s="119">
        <f t="shared" si="173"/>
        <v>0</v>
      </c>
      <c r="AE671" s="108">
        <f t="shared" si="173"/>
        <v>0</v>
      </c>
      <c r="AF671" s="108">
        <f t="shared" si="173"/>
        <v>0</v>
      </c>
      <c r="AG671" s="108"/>
      <c r="AH671" s="108"/>
      <c r="AI671" s="108"/>
      <c r="AJ671" s="108"/>
      <c r="AK671" s="108"/>
      <c r="AL671" s="108">
        <f t="shared" si="165"/>
        <v>0</v>
      </c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20">
        <f t="shared" si="166"/>
        <v>0</v>
      </c>
      <c r="CL671" s="122">
        <f t="shared" si="167"/>
        <v>0</v>
      </c>
      <c r="CM671" s="524" t="str">
        <f t="shared" si="169"/>
        <v/>
      </c>
      <c r="CN671" s="526">
        <f t="shared" si="170"/>
        <v>0</v>
      </c>
      <c r="CO671" s="122">
        <f t="shared" si="171"/>
        <v>0</v>
      </c>
      <c r="CP671" s="45" t="str">
        <f t="shared" si="168"/>
        <v>1 - in MILLESIMI   I</v>
      </c>
      <c r="CQ671" s="1"/>
    </row>
    <row r="672" spans="1:95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435">
        <f>IF(AND(W672&gt;=$U$1,W672&lt;=$U$2),IF(X672='ESTRATTO CONTO'!$E$2,1+COUNTIF(U$4:U671,"&gt;0"),0),0)</f>
        <v>0</v>
      </c>
      <c r="V672" s="417">
        <f t="shared" si="172"/>
        <v>669</v>
      </c>
      <c r="W672" s="509"/>
      <c r="X672" s="321"/>
      <c r="Y672" s="321"/>
      <c r="Z672" s="433"/>
      <c r="AA672" s="918">
        <f t="shared" si="162"/>
        <v>1</v>
      </c>
      <c r="AB672" s="306" t="str">
        <f t="shared" si="163"/>
        <v/>
      </c>
      <c r="AC672" s="788"/>
      <c r="AD672" s="119">
        <f t="shared" si="173"/>
        <v>0</v>
      </c>
      <c r="AE672" s="108">
        <f t="shared" si="173"/>
        <v>0</v>
      </c>
      <c r="AF672" s="108">
        <f t="shared" si="173"/>
        <v>0</v>
      </c>
      <c r="AG672" s="108"/>
      <c r="AH672" s="108"/>
      <c r="AI672" s="108"/>
      <c r="AJ672" s="108"/>
      <c r="AK672" s="108"/>
      <c r="AL672" s="108">
        <f t="shared" si="165"/>
        <v>0</v>
      </c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20">
        <f t="shared" si="166"/>
        <v>0</v>
      </c>
      <c r="CL672" s="122">
        <f t="shared" si="167"/>
        <v>0</v>
      </c>
      <c r="CM672" s="524" t="str">
        <f t="shared" si="169"/>
        <v/>
      </c>
      <c r="CN672" s="526">
        <f t="shared" si="170"/>
        <v>0</v>
      </c>
      <c r="CO672" s="122">
        <f t="shared" si="171"/>
        <v>0</v>
      </c>
      <c r="CP672" s="45" t="str">
        <f t="shared" si="168"/>
        <v>1 - in MILLESIMI   I</v>
      </c>
      <c r="CQ672" s="1"/>
    </row>
    <row r="673" spans="1:95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435">
        <f>IF(AND(W673&gt;=$U$1,W673&lt;=$U$2),IF(X673='ESTRATTO CONTO'!$E$2,1+COUNTIF(U$4:U672,"&gt;0"),0),0)</f>
        <v>0</v>
      </c>
      <c r="V673" s="417">
        <f t="shared" si="172"/>
        <v>670</v>
      </c>
      <c r="W673" s="509"/>
      <c r="X673" s="321"/>
      <c r="Y673" s="321"/>
      <c r="Z673" s="433"/>
      <c r="AA673" s="918">
        <f t="shared" si="162"/>
        <v>1</v>
      </c>
      <c r="AB673" s="306" t="str">
        <f t="shared" si="163"/>
        <v/>
      </c>
      <c r="AC673" s="788"/>
      <c r="AD673" s="119">
        <f t="shared" si="173"/>
        <v>0</v>
      </c>
      <c r="AE673" s="108">
        <f t="shared" si="173"/>
        <v>0</v>
      </c>
      <c r="AF673" s="108">
        <f t="shared" si="173"/>
        <v>0</v>
      </c>
      <c r="AG673" s="108"/>
      <c r="AH673" s="108"/>
      <c r="AI673" s="108"/>
      <c r="AJ673" s="108"/>
      <c r="AK673" s="108"/>
      <c r="AL673" s="108">
        <f t="shared" si="165"/>
        <v>0</v>
      </c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20">
        <f t="shared" si="166"/>
        <v>0</v>
      </c>
      <c r="CL673" s="122">
        <f t="shared" si="167"/>
        <v>0</v>
      </c>
      <c r="CM673" s="524" t="str">
        <f t="shared" si="169"/>
        <v/>
      </c>
      <c r="CN673" s="526">
        <f t="shared" si="170"/>
        <v>0</v>
      </c>
      <c r="CO673" s="122">
        <f t="shared" si="171"/>
        <v>0</v>
      </c>
      <c r="CP673" s="45" t="str">
        <f t="shared" si="168"/>
        <v>1 - in MILLESIMI   I</v>
      </c>
      <c r="CQ673" s="1"/>
    </row>
    <row r="674" spans="1:95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435">
        <f>IF(AND(W674&gt;=$U$1,W674&lt;=$U$2),IF(X674='ESTRATTO CONTO'!$E$2,1+COUNTIF(U$4:U673,"&gt;0"),0),0)</f>
        <v>0</v>
      </c>
      <c r="V674" s="417">
        <f t="shared" si="172"/>
        <v>671</v>
      </c>
      <c r="W674" s="509"/>
      <c r="X674" s="321"/>
      <c r="Y674" s="321"/>
      <c r="Z674" s="433"/>
      <c r="AA674" s="918">
        <f t="shared" si="162"/>
        <v>1</v>
      </c>
      <c r="AB674" s="306" t="str">
        <f t="shared" si="163"/>
        <v/>
      </c>
      <c r="AC674" s="788"/>
      <c r="AD674" s="119">
        <f t="shared" si="173"/>
        <v>0</v>
      </c>
      <c r="AE674" s="108">
        <f t="shared" si="173"/>
        <v>0</v>
      </c>
      <c r="AF674" s="108">
        <f t="shared" si="173"/>
        <v>0</v>
      </c>
      <c r="AG674" s="108"/>
      <c r="AH674" s="108"/>
      <c r="AI674" s="108"/>
      <c r="AJ674" s="108"/>
      <c r="AK674" s="108"/>
      <c r="AL674" s="108">
        <f t="shared" si="165"/>
        <v>0</v>
      </c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20">
        <f t="shared" si="166"/>
        <v>0</v>
      </c>
      <c r="CL674" s="122">
        <f t="shared" si="167"/>
        <v>0</v>
      </c>
      <c r="CM674" s="524" t="str">
        <f t="shared" si="169"/>
        <v/>
      </c>
      <c r="CN674" s="526">
        <f t="shared" si="170"/>
        <v>0</v>
      </c>
      <c r="CO674" s="122">
        <f t="shared" si="171"/>
        <v>0</v>
      </c>
      <c r="CP674" s="45" t="str">
        <f t="shared" si="168"/>
        <v>1 - in MILLESIMI   I</v>
      </c>
      <c r="CQ674" s="1"/>
    </row>
    <row r="675" spans="1:95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435">
        <f>IF(AND(W675&gt;=$U$1,W675&lt;=$U$2),IF(X675='ESTRATTO CONTO'!$E$2,1+COUNTIF(U$4:U674,"&gt;0"),0),0)</f>
        <v>0</v>
      </c>
      <c r="V675" s="417">
        <f t="shared" si="172"/>
        <v>672</v>
      </c>
      <c r="W675" s="509"/>
      <c r="X675" s="321"/>
      <c r="Y675" s="321"/>
      <c r="Z675" s="433"/>
      <c r="AA675" s="918">
        <f t="shared" si="162"/>
        <v>1</v>
      </c>
      <c r="AB675" s="306" t="str">
        <f t="shared" si="163"/>
        <v/>
      </c>
      <c r="AC675" s="788"/>
      <c r="AD675" s="119">
        <f t="shared" si="173"/>
        <v>0</v>
      </c>
      <c r="AE675" s="108">
        <f t="shared" si="173"/>
        <v>0</v>
      </c>
      <c r="AF675" s="108">
        <f t="shared" si="173"/>
        <v>0</v>
      </c>
      <c r="AG675" s="108"/>
      <c r="AH675" s="108"/>
      <c r="AI675" s="108"/>
      <c r="AJ675" s="108"/>
      <c r="AK675" s="108"/>
      <c r="AL675" s="108">
        <f t="shared" si="165"/>
        <v>0</v>
      </c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20">
        <f t="shared" si="166"/>
        <v>0</v>
      </c>
      <c r="CL675" s="122">
        <f t="shared" si="167"/>
        <v>0</v>
      </c>
      <c r="CM675" s="524" t="str">
        <f t="shared" si="169"/>
        <v/>
      </c>
      <c r="CN675" s="526">
        <f t="shared" si="170"/>
        <v>0</v>
      </c>
      <c r="CO675" s="122">
        <f t="shared" si="171"/>
        <v>0</v>
      </c>
      <c r="CP675" s="45" t="str">
        <f t="shared" si="168"/>
        <v>1 - in MILLESIMI   I</v>
      </c>
      <c r="CQ675" s="1"/>
    </row>
    <row r="676" spans="1:95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435">
        <f>IF(AND(W676&gt;=$U$1,W676&lt;=$U$2),IF(X676='ESTRATTO CONTO'!$E$2,1+COUNTIF(U$4:U675,"&gt;0"),0),0)</f>
        <v>0</v>
      </c>
      <c r="V676" s="417">
        <f t="shared" si="172"/>
        <v>673</v>
      </c>
      <c r="W676" s="509"/>
      <c r="X676" s="321"/>
      <c r="Y676" s="321"/>
      <c r="Z676" s="433"/>
      <c r="AA676" s="918">
        <f t="shared" si="162"/>
        <v>1</v>
      </c>
      <c r="AB676" s="306" t="str">
        <f t="shared" si="163"/>
        <v/>
      </c>
      <c r="AC676" s="788"/>
      <c r="AD676" s="119">
        <f t="shared" si="173"/>
        <v>0</v>
      </c>
      <c r="AE676" s="108">
        <f t="shared" si="173"/>
        <v>0</v>
      </c>
      <c r="AF676" s="108">
        <f t="shared" si="173"/>
        <v>0</v>
      </c>
      <c r="AG676" s="108"/>
      <c r="AH676" s="108"/>
      <c r="AI676" s="108"/>
      <c r="AJ676" s="108"/>
      <c r="AK676" s="108"/>
      <c r="AL676" s="108">
        <f t="shared" si="165"/>
        <v>0</v>
      </c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20">
        <f t="shared" si="166"/>
        <v>0</v>
      </c>
      <c r="CL676" s="122">
        <f t="shared" si="167"/>
        <v>0</v>
      </c>
      <c r="CM676" s="524" t="str">
        <f t="shared" si="169"/>
        <v/>
      </c>
      <c r="CN676" s="526">
        <f t="shared" si="170"/>
        <v>0</v>
      </c>
      <c r="CO676" s="122">
        <f t="shared" si="171"/>
        <v>0</v>
      </c>
      <c r="CP676" s="45" t="str">
        <f t="shared" si="168"/>
        <v>1 - in MILLESIMI   I</v>
      </c>
      <c r="CQ676" s="1"/>
    </row>
    <row r="677" spans="1:95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435">
        <f>IF(AND(W677&gt;=$U$1,W677&lt;=$U$2),IF(X677='ESTRATTO CONTO'!$E$2,1+COUNTIF(U$4:U676,"&gt;0"),0),0)</f>
        <v>0</v>
      </c>
      <c r="V677" s="417">
        <f t="shared" si="172"/>
        <v>674</v>
      </c>
      <c r="W677" s="509"/>
      <c r="X677" s="321"/>
      <c r="Y677" s="321"/>
      <c r="Z677" s="433"/>
      <c r="AA677" s="918">
        <f t="shared" si="162"/>
        <v>1</v>
      </c>
      <c r="AB677" s="306" t="str">
        <f t="shared" si="163"/>
        <v/>
      </c>
      <c r="AC677" s="788"/>
      <c r="AD677" s="119">
        <f t="shared" si="173"/>
        <v>0</v>
      </c>
      <c r="AE677" s="108">
        <f t="shared" si="173"/>
        <v>0</v>
      </c>
      <c r="AF677" s="108">
        <f t="shared" si="173"/>
        <v>0</v>
      </c>
      <c r="AG677" s="108"/>
      <c r="AH677" s="108"/>
      <c r="AI677" s="108"/>
      <c r="AJ677" s="108"/>
      <c r="AK677" s="108"/>
      <c r="AL677" s="108">
        <f t="shared" si="165"/>
        <v>0</v>
      </c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20">
        <f t="shared" si="166"/>
        <v>0</v>
      </c>
      <c r="CL677" s="122">
        <f t="shared" si="167"/>
        <v>0</v>
      </c>
      <c r="CM677" s="524" t="str">
        <f t="shared" si="169"/>
        <v/>
      </c>
      <c r="CN677" s="526">
        <f t="shared" si="170"/>
        <v>0</v>
      </c>
      <c r="CO677" s="122">
        <f t="shared" si="171"/>
        <v>0</v>
      </c>
      <c r="CP677" s="45" t="str">
        <f t="shared" si="168"/>
        <v>1 - in MILLESIMI   I</v>
      </c>
      <c r="CQ677" s="1"/>
    </row>
    <row r="678" spans="1:95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435">
        <f>IF(AND(W678&gt;=$U$1,W678&lt;=$U$2),IF(X678='ESTRATTO CONTO'!$E$2,1+COUNTIF(U$4:U677,"&gt;0"),0),0)</f>
        <v>0</v>
      </c>
      <c r="V678" s="417">
        <f t="shared" si="172"/>
        <v>675</v>
      </c>
      <c r="W678" s="509"/>
      <c r="X678" s="321"/>
      <c r="Y678" s="321"/>
      <c r="Z678" s="433"/>
      <c r="AA678" s="918">
        <f t="shared" si="162"/>
        <v>1</v>
      </c>
      <c r="AB678" s="306" t="str">
        <f t="shared" si="163"/>
        <v/>
      </c>
      <c r="AC678" s="788"/>
      <c r="AD678" s="119">
        <f t="shared" si="173"/>
        <v>0</v>
      </c>
      <c r="AE678" s="108">
        <f t="shared" si="173"/>
        <v>0</v>
      </c>
      <c r="AF678" s="108">
        <f t="shared" si="173"/>
        <v>0</v>
      </c>
      <c r="AG678" s="108"/>
      <c r="AH678" s="108"/>
      <c r="AI678" s="108"/>
      <c r="AJ678" s="108"/>
      <c r="AK678" s="108"/>
      <c r="AL678" s="108">
        <f t="shared" si="165"/>
        <v>0</v>
      </c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20">
        <f t="shared" si="166"/>
        <v>0</v>
      </c>
      <c r="CL678" s="122">
        <f t="shared" si="167"/>
        <v>0</v>
      </c>
      <c r="CM678" s="524" t="str">
        <f t="shared" si="169"/>
        <v/>
      </c>
      <c r="CN678" s="526">
        <f t="shared" si="170"/>
        <v>0</v>
      </c>
      <c r="CO678" s="122">
        <f t="shared" si="171"/>
        <v>0</v>
      </c>
      <c r="CP678" s="45" t="str">
        <f t="shared" si="168"/>
        <v>1 - in MILLESIMI   I</v>
      </c>
      <c r="CQ678" s="1"/>
    </row>
    <row r="679" spans="1:95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435">
        <f>IF(AND(W679&gt;=$U$1,W679&lt;=$U$2),IF(X679='ESTRATTO CONTO'!$E$2,1+COUNTIF(U$4:U678,"&gt;0"),0),0)</f>
        <v>0</v>
      </c>
      <c r="V679" s="417">
        <f t="shared" si="172"/>
        <v>676</v>
      </c>
      <c r="W679" s="509"/>
      <c r="X679" s="321"/>
      <c r="Y679" s="321"/>
      <c r="Z679" s="433"/>
      <c r="AA679" s="918">
        <f t="shared" si="162"/>
        <v>1</v>
      </c>
      <c r="AB679" s="306" t="str">
        <f t="shared" si="163"/>
        <v/>
      </c>
      <c r="AC679" s="788"/>
      <c r="AD679" s="119">
        <f t="shared" si="173"/>
        <v>0</v>
      </c>
      <c r="AE679" s="108">
        <f t="shared" si="173"/>
        <v>0</v>
      </c>
      <c r="AF679" s="108">
        <f t="shared" si="173"/>
        <v>0</v>
      </c>
      <c r="AG679" s="108"/>
      <c r="AH679" s="108"/>
      <c r="AI679" s="108"/>
      <c r="AJ679" s="108"/>
      <c r="AK679" s="108"/>
      <c r="AL679" s="108">
        <f t="shared" si="165"/>
        <v>0</v>
      </c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20">
        <f t="shared" si="166"/>
        <v>0</v>
      </c>
      <c r="CL679" s="122">
        <f t="shared" si="167"/>
        <v>0</v>
      </c>
      <c r="CM679" s="524" t="str">
        <f t="shared" si="169"/>
        <v/>
      </c>
      <c r="CN679" s="526">
        <f t="shared" si="170"/>
        <v>0</v>
      </c>
      <c r="CO679" s="122">
        <f t="shared" si="171"/>
        <v>0</v>
      </c>
      <c r="CP679" s="45" t="str">
        <f t="shared" si="168"/>
        <v>1 - in MILLESIMI   I</v>
      </c>
      <c r="CQ679" s="1"/>
    </row>
    <row r="680" spans="1:95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435">
        <f>IF(AND(W680&gt;=$U$1,W680&lt;=$U$2),IF(X680='ESTRATTO CONTO'!$E$2,1+COUNTIF(U$4:U679,"&gt;0"),0),0)</f>
        <v>0</v>
      </c>
      <c r="V680" s="417">
        <f t="shared" si="172"/>
        <v>677</v>
      </c>
      <c r="W680" s="509"/>
      <c r="X680" s="321"/>
      <c r="Y680" s="321"/>
      <c r="Z680" s="433"/>
      <c r="AA680" s="918">
        <f t="shared" si="162"/>
        <v>1</v>
      </c>
      <c r="AB680" s="306" t="str">
        <f t="shared" si="163"/>
        <v/>
      </c>
      <c r="AC680" s="788"/>
      <c r="AD680" s="119">
        <f t="shared" si="173"/>
        <v>0</v>
      </c>
      <c r="AE680" s="108">
        <f t="shared" si="173"/>
        <v>0</v>
      </c>
      <c r="AF680" s="108">
        <f t="shared" si="173"/>
        <v>0</v>
      </c>
      <c r="AG680" s="108"/>
      <c r="AH680" s="108"/>
      <c r="AI680" s="108"/>
      <c r="AJ680" s="108"/>
      <c r="AK680" s="108"/>
      <c r="AL680" s="108">
        <f t="shared" si="165"/>
        <v>0</v>
      </c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20">
        <f t="shared" si="166"/>
        <v>0</v>
      </c>
      <c r="CL680" s="122">
        <f t="shared" si="167"/>
        <v>0</v>
      </c>
      <c r="CM680" s="524" t="str">
        <f t="shared" si="169"/>
        <v/>
      </c>
      <c r="CN680" s="526">
        <f t="shared" si="170"/>
        <v>0</v>
      </c>
      <c r="CO680" s="122">
        <f t="shared" si="171"/>
        <v>0</v>
      </c>
      <c r="CP680" s="45" t="str">
        <f t="shared" si="168"/>
        <v>1 - in MILLESIMI   I</v>
      </c>
      <c r="CQ680" s="1"/>
    </row>
    <row r="681" spans="1:95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435">
        <f>IF(AND(W681&gt;=$U$1,W681&lt;=$U$2),IF(X681='ESTRATTO CONTO'!$E$2,1+COUNTIF(U$4:U680,"&gt;0"),0),0)</f>
        <v>0</v>
      </c>
      <c r="V681" s="417">
        <f t="shared" si="172"/>
        <v>678</v>
      </c>
      <c r="W681" s="509"/>
      <c r="X681" s="321"/>
      <c r="Y681" s="321"/>
      <c r="Z681" s="433"/>
      <c r="AA681" s="918">
        <f t="shared" si="162"/>
        <v>1</v>
      </c>
      <c r="AB681" s="306" t="str">
        <f t="shared" si="163"/>
        <v/>
      </c>
      <c r="AC681" s="788"/>
      <c r="AD681" s="119">
        <f t="shared" si="173"/>
        <v>0</v>
      </c>
      <c r="AE681" s="108">
        <f t="shared" si="173"/>
        <v>0</v>
      </c>
      <c r="AF681" s="108">
        <f t="shared" si="173"/>
        <v>0</v>
      </c>
      <c r="AG681" s="108"/>
      <c r="AH681" s="108"/>
      <c r="AI681" s="108"/>
      <c r="AJ681" s="108"/>
      <c r="AK681" s="108"/>
      <c r="AL681" s="108">
        <f t="shared" si="165"/>
        <v>0</v>
      </c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20">
        <f t="shared" si="166"/>
        <v>0</v>
      </c>
      <c r="CL681" s="122">
        <f t="shared" si="167"/>
        <v>0</v>
      </c>
      <c r="CM681" s="524" t="str">
        <f t="shared" si="169"/>
        <v/>
      </c>
      <c r="CN681" s="526">
        <f t="shared" si="170"/>
        <v>0</v>
      </c>
      <c r="CO681" s="122">
        <f t="shared" si="171"/>
        <v>0</v>
      </c>
      <c r="CP681" s="45" t="str">
        <f t="shared" si="168"/>
        <v>1 - in MILLESIMI   I</v>
      </c>
      <c r="CQ681" s="1"/>
    </row>
    <row r="682" spans="1:95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435">
        <f>IF(AND(W682&gt;=$U$1,W682&lt;=$U$2),IF(X682='ESTRATTO CONTO'!$E$2,1+COUNTIF(U$4:U681,"&gt;0"),0),0)</f>
        <v>0</v>
      </c>
      <c r="V682" s="417">
        <f t="shared" si="172"/>
        <v>679</v>
      </c>
      <c r="W682" s="509"/>
      <c r="X682" s="321"/>
      <c r="Y682" s="321"/>
      <c r="Z682" s="433"/>
      <c r="AA682" s="918">
        <f t="shared" si="162"/>
        <v>1</v>
      </c>
      <c r="AB682" s="306" t="str">
        <f t="shared" si="163"/>
        <v/>
      </c>
      <c r="AC682" s="788"/>
      <c r="AD682" s="119">
        <f t="shared" si="173"/>
        <v>0</v>
      </c>
      <c r="AE682" s="108">
        <f t="shared" si="173"/>
        <v>0</v>
      </c>
      <c r="AF682" s="108">
        <f t="shared" si="173"/>
        <v>0</v>
      </c>
      <c r="AG682" s="108"/>
      <c r="AH682" s="108"/>
      <c r="AI682" s="108"/>
      <c r="AJ682" s="108"/>
      <c r="AK682" s="108"/>
      <c r="AL682" s="108">
        <f t="shared" si="165"/>
        <v>0</v>
      </c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20">
        <f t="shared" si="166"/>
        <v>0</v>
      </c>
      <c r="CL682" s="122">
        <f t="shared" si="167"/>
        <v>0</v>
      </c>
      <c r="CM682" s="524" t="str">
        <f t="shared" si="169"/>
        <v/>
      </c>
      <c r="CN682" s="526">
        <f t="shared" si="170"/>
        <v>0</v>
      </c>
      <c r="CO682" s="122">
        <f t="shared" si="171"/>
        <v>0</v>
      </c>
      <c r="CP682" s="45" t="str">
        <f t="shared" si="168"/>
        <v>1 - in MILLESIMI   I</v>
      </c>
      <c r="CQ682" s="1"/>
    </row>
    <row r="683" spans="1:95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435">
        <f>IF(AND(W683&gt;=$U$1,W683&lt;=$U$2),IF(X683='ESTRATTO CONTO'!$E$2,1+COUNTIF(U$4:U682,"&gt;0"),0),0)</f>
        <v>0</v>
      </c>
      <c r="V683" s="417">
        <f t="shared" si="172"/>
        <v>680</v>
      </c>
      <c r="W683" s="509"/>
      <c r="X683" s="321"/>
      <c r="Y683" s="321"/>
      <c r="Z683" s="433"/>
      <c r="AA683" s="918">
        <f t="shared" si="162"/>
        <v>1</v>
      </c>
      <c r="AB683" s="306" t="str">
        <f t="shared" si="163"/>
        <v/>
      </c>
      <c r="AC683" s="788"/>
      <c r="AD683" s="119">
        <f t="shared" si="173"/>
        <v>0</v>
      </c>
      <c r="AE683" s="108">
        <f t="shared" si="173"/>
        <v>0</v>
      </c>
      <c r="AF683" s="108">
        <f t="shared" si="173"/>
        <v>0</v>
      </c>
      <c r="AG683" s="108"/>
      <c r="AH683" s="108"/>
      <c r="AI683" s="108"/>
      <c r="AJ683" s="108"/>
      <c r="AK683" s="108"/>
      <c r="AL683" s="108">
        <f t="shared" si="165"/>
        <v>0</v>
      </c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20">
        <f t="shared" si="166"/>
        <v>0</v>
      </c>
      <c r="CL683" s="122">
        <f t="shared" si="167"/>
        <v>0</v>
      </c>
      <c r="CM683" s="524" t="str">
        <f t="shared" si="169"/>
        <v/>
      </c>
      <c r="CN683" s="526">
        <f t="shared" si="170"/>
        <v>0</v>
      </c>
      <c r="CO683" s="122">
        <f t="shared" si="171"/>
        <v>0</v>
      </c>
      <c r="CP683" s="45" t="str">
        <f t="shared" si="168"/>
        <v>1 - in MILLESIMI   I</v>
      </c>
      <c r="CQ683" s="1"/>
    </row>
    <row r="684" spans="1:95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435">
        <f>IF(AND(W684&gt;=$U$1,W684&lt;=$U$2),IF(X684='ESTRATTO CONTO'!$E$2,1+COUNTIF(U$4:U683,"&gt;0"),0),0)</f>
        <v>0</v>
      </c>
      <c r="V684" s="417">
        <f t="shared" si="172"/>
        <v>681</v>
      </c>
      <c r="W684" s="509"/>
      <c r="X684" s="321"/>
      <c r="Y684" s="321"/>
      <c r="Z684" s="433"/>
      <c r="AA684" s="918">
        <f t="shared" si="162"/>
        <v>1</v>
      </c>
      <c r="AB684" s="306" t="str">
        <f t="shared" si="163"/>
        <v/>
      </c>
      <c r="AC684" s="788"/>
      <c r="AD684" s="119">
        <f t="shared" ref="AD684:AF703" si="174">IF($AB684=0,0,ROUND($Z684*VLOOKUP(AD$2,$F$1010:$Q$1014,VLOOKUP($CP684,$C$1076:$E$1081,3,FALSE),FALSE),2))</f>
        <v>0</v>
      </c>
      <c r="AE684" s="108">
        <f t="shared" si="174"/>
        <v>0</v>
      </c>
      <c r="AF684" s="108">
        <f t="shared" si="174"/>
        <v>0</v>
      </c>
      <c r="AG684" s="108"/>
      <c r="AH684" s="108"/>
      <c r="AI684" s="108"/>
      <c r="AJ684" s="108"/>
      <c r="AK684" s="108"/>
      <c r="AL684" s="108">
        <f t="shared" si="165"/>
        <v>0</v>
      </c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20">
        <f t="shared" si="166"/>
        <v>0</v>
      </c>
      <c r="CL684" s="122">
        <f t="shared" si="167"/>
        <v>0</v>
      </c>
      <c r="CM684" s="524" t="str">
        <f t="shared" si="169"/>
        <v/>
      </c>
      <c r="CN684" s="526">
        <f t="shared" si="170"/>
        <v>0</v>
      </c>
      <c r="CO684" s="122">
        <f t="shared" si="171"/>
        <v>0</v>
      </c>
      <c r="CP684" s="45" t="str">
        <f t="shared" si="168"/>
        <v>1 - in MILLESIMI   I</v>
      </c>
      <c r="CQ684" s="1"/>
    </row>
    <row r="685" spans="1:95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435">
        <f>IF(AND(W685&gt;=$U$1,W685&lt;=$U$2),IF(X685='ESTRATTO CONTO'!$E$2,1+COUNTIF(U$4:U684,"&gt;0"),0),0)</f>
        <v>0</v>
      </c>
      <c r="V685" s="417">
        <f t="shared" si="172"/>
        <v>682</v>
      </c>
      <c r="W685" s="509"/>
      <c r="X685" s="321"/>
      <c r="Y685" s="321"/>
      <c r="Z685" s="433"/>
      <c r="AA685" s="918">
        <f t="shared" si="162"/>
        <v>1</v>
      </c>
      <c r="AB685" s="306" t="str">
        <f t="shared" si="163"/>
        <v/>
      </c>
      <c r="AC685" s="788"/>
      <c r="AD685" s="119">
        <f t="shared" si="174"/>
        <v>0</v>
      </c>
      <c r="AE685" s="108">
        <f t="shared" si="174"/>
        <v>0</v>
      </c>
      <c r="AF685" s="108">
        <f t="shared" si="174"/>
        <v>0</v>
      </c>
      <c r="AG685" s="108"/>
      <c r="AH685" s="108"/>
      <c r="AI685" s="108"/>
      <c r="AJ685" s="108"/>
      <c r="AK685" s="108"/>
      <c r="AL685" s="108">
        <f t="shared" si="165"/>
        <v>0</v>
      </c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20">
        <f t="shared" si="166"/>
        <v>0</v>
      </c>
      <c r="CL685" s="122">
        <f t="shared" si="167"/>
        <v>0</v>
      </c>
      <c r="CM685" s="524" t="str">
        <f t="shared" si="169"/>
        <v/>
      </c>
      <c r="CN685" s="526">
        <f t="shared" si="170"/>
        <v>0</v>
      </c>
      <c r="CO685" s="122">
        <f t="shared" si="171"/>
        <v>0</v>
      </c>
      <c r="CP685" s="45" t="str">
        <f t="shared" si="168"/>
        <v>1 - in MILLESIMI   I</v>
      </c>
      <c r="CQ685" s="1"/>
    </row>
    <row r="686" spans="1:95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435">
        <f>IF(AND(W686&gt;=$U$1,W686&lt;=$U$2),IF(X686='ESTRATTO CONTO'!$E$2,1+COUNTIF(U$4:U685,"&gt;0"),0),0)</f>
        <v>0</v>
      </c>
      <c r="V686" s="417">
        <f t="shared" si="172"/>
        <v>683</v>
      </c>
      <c r="W686" s="509"/>
      <c r="X686" s="321"/>
      <c r="Y686" s="321"/>
      <c r="Z686" s="433"/>
      <c r="AA686" s="918">
        <f t="shared" si="162"/>
        <v>1</v>
      </c>
      <c r="AB686" s="306" t="str">
        <f t="shared" si="163"/>
        <v/>
      </c>
      <c r="AC686" s="788"/>
      <c r="AD686" s="119">
        <f t="shared" si="174"/>
        <v>0</v>
      </c>
      <c r="AE686" s="108">
        <f t="shared" si="174"/>
        <v>0</v>
      </c>
      <c r="AF686" s="108">
        <f t="shared" si="174"/>
        <v>0</v>
      </c>
      <c r="AG686" s="108"/>
      <c r="AH686" s="108"/>
      <c r="AI686" s="108"/>
      <c r="AJ686" s="108"/>
      <c r="AK686" s="108"/>
      <c r="AL686" s="108">
        <f t="shared" si="165"/>
        <v>0</v>
      </c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20">
        <f t="shared" si="166"/>
        <v>0</v>
      </c>
      <c r="CL686" s="122">
        <f t="shared" si="167"/>
        <v>0</v>
      </c>
      <c r="CM686" s="524" t="str">
        <f t="shared" si="169"/>
        <v/>
      </c>
      <c r="CN686" s="526">
        <f t="shared" si="170"/>
        <v>0</v>
      </c>
      <c r="CO686" s="122">
        <f t="shared" si="171"/>
        <v>0</v>
      </c>
      <c r="CP686" s="45" t="str">
        <f t="shared" si="168"/>
        <v>1 - in MILLESIMI   I</v>
      </c>
      <c r="CQ686" s="1"/>
    </row>
    <row r="687" spans="1:95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435">
        <f>IF(AND(W687&gt;=$U$1,W687&lt;=$U$2),IF(X687='ESTRATTO CONTO'!$E$2,1+COUNTIF(U$4:U686,"&gt;0"),0),0)</f>
        <v>0</v>
      </c>
      <c r="V687" s="417">
        <f t="shared" si="172"/>
        <v>684</v>
      </c>
      <c r="W687" s="509"/>
      <c r="X687" s="321"/>
      <c r="Y687" s="321"/>
      <c r="Z687" s="433"/>
      <c r="AA687" s="918">
        <f t="shared" si="162"/>
        <v>1</v>
      </c>
      <c r="AB687" s="306" t="str">
        <f t="shared" si="163"/>
        <v/>
      </c>
      <c r="AC687" s="788"/>
      <c r="AD687" s="119">
        <f t="shared" si="174"/>
        <v>0</v>
      </c>
      <c r="AE687" s="108">
        <f t="shared" si="174"/>
        <v>0</v>
      </c>
      <c r="AF687" s="108">
        <f t="shared" si="174"/>
        <v>0</v>
      </c>
      <c r="AG687" s="108"/>
      <c r="AH687" s="108"/>
      <c r="AI687" s="108"/>
      <c r="AJ687" s="108"/>
      <c r="AK687" s="108"/>
      <c r="AL687" s="108">
        <f t="shared" si="165"/>
        <v>0</v>
      </c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20">
        <f t="shared" si="166"/>
        <v>0</v>
      </c>
      <c r="CL687" s="122">
        <f t="shared" si="167"/>
        <v>0</v>
      </c>
      <c r="CM687" s="524" t="str">
        <f t="shared" si="169"/>
        <v/>
      </c>
      <c r="CN687" s="526">
        <f t="shared" si="170"/>
        <v>0</v>
      </c>
      <c r="CO687" s="122">
        <f t="shared" si="171"/>
        <v>0</v>
      </c>
      <c r="CP687" s="45" t="str">
        <f t="shared" si="168"/>
        <v>1 - in MILLESIMI   I</v>
      </c>
      <c r="CQ687" s="1"/>
    </row>
    <row r="688" spans="1:95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435">
        <f>IF(AND(W688&gt;=$U$1,W688&lt;=$U$2),IF(X688='ESTRATTO CONTO'!$E$2,1+COUNTIF(U$4:U687,"&gt;0"),0),0)</f>
        <v>0</v>
      </c>
      <c r="V688" s="417">
        <f t="shared" si="172"/>
        <v>685</v>
      </c>
      <c r="W688" s="509"/>
      <c r="X688" s="321"/>
      <c r="Y688" s="321"/>
      <c r="Z688" s="433"/>
      <c r="AA688" s="918">
        <f t="shared" si="162"/>
        <v>1</v>
      </c>
      <c r="AB688" s="306" t="str">
        <f t="shared" si="163"/>
        <v/>
      </c>
      <c r="AC688" s="788"/>
      <c r="AD688" s="119">
        <f t="shared" si="174"/>
        <v>0</v>
      </c>
      <c r="AE688" s="108">
        <f t="shared" si="174"/>
        <v>0</v>
      </c>
      <c r="AF688" s="108">
        <f t="shared" si="174"/>
        <v>0</v>
      </c>
      <c r="AG688" s="108"/>
      <c r="AH688" s="108"/>
      <c r="AI688" s="108"/>
      <c r="AJ688" s="108"/>
      <c r="AK688" s="108"/>
      <c r="AL688" s="108">
        <f t="shared" si="165"/>
        <v>0</v>
      </c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20">
        <f t="shared" si="166"/>
        <v>0</v>
      </c>
      <c r="CL688" s="122">
        <f t="shared" si="167"/>
        <v>0</v>
      </c>
      <c r="CM688" s="524" t="str">
        <f t="shared" si="169"/>
        <v/>
      </c>
      <c r="CN688" s="526">
        <f t="shared" si="170"/>
        <v>0</v>
      </c>
      <c r="CO688" s="122">
        <f t="shared" si="171"/>
        <v>0</v>
      </c>
      <c r="CP688" s="45" t="str">
        <f t="shared" si="168"/>
        <v>1 - in MILLESIMI   I</v>
      </c>
      <c r="CQ688" s="1"/>
    </row>
    <row r="689" spans="1:95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435">
        <f>IF(AND(W689&gt;=$U$1,W689&lt;=$U$2),IF(X689='ESTRATTO CONTO'!$E$2,1+COUNTIF(U$4:U688,"&gt;0"),0),0)</f>
        <v>0</v>
      </c>
      <c r="V689" s="417">
        <f t="shared" si="172"/>
        <v>686</v>
      </c>
      <c r="W689" s="509"/>
      <c r="X689" s="321"/>
      <c r="Y689" s="321"/>
      <c r="Z689" s="433"/>
      <c r="AA689" s="918">
        <f t="shared" si="162"/>
        <v>1</v>
      </c>
      <c r="AB689" s="306" t="str">
        <f t="shared" si="163"/>
        <v/>
      </c>
      <c r="AC689" s="788"/>
      <c r="AD689" s="119">
        <f t="shared" si="174"/>
        <v>0</v>
      </c>
      <c r="AE689" s="108">
        <f t="shared" si="174"/>
        <v>0</v>
      </c>
      <c r="AF689" s="108">
        <f t="shared" si="174"/>
        <v>0</v>
      </c>
      <c r="AG689" s="108"/>
      <c r="AH689" s="108"/>
      <c r="AI689" s="108"/>
      <c r="AJ689" s="108"/>
      <c r="AK689" s="108"/>
      <c r="AL689" s="108">
        <f t="shared" si="165"/>
        <v>0</v>
      </c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20">
        <f t="shared" si="166"/>
        <v>0</v>
      </c>
      <c r="CL689" s="122">
        <f t="shared" si="167"/>
        <v>0</v>
      </c>
      <c r="CM689" s="524" t="str">
        <f t="shared" si="169"/>
        <v/>
      </c>
      <c r="CN689" s="526">
        <f t="shared" si="170"/>
        <v>0</v>
      </c>
      <c r="CO689" s="122">
        <f t="shared" si="171"/>
        <v>0</v>
      </c>
      <c r="CP689" s="45" t="str">
        <f t="shared" si="168"/>
        <v>1 - in MILLESIMI   I</v>
      </c>
      <c r="CQ689" s="1"/>
    </row>
    <row r="690" spans="1:95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435">
        <f>IF(AND(W690&gt;=$U$1,W690&lt;=$U$2),IF(X690='ESTRATTO CONTO'!$E$2,1+COUNTIF(U$4:U689,"&gt;0"),0),0)</f>
        <v>0</v>
      </c>
      <c r="V690" s="417">
        <f t="shared" si="172"/>
        <v>687</v>
      </c>
      <c r="W690" s="509"/>
      <c r="X690" s="321"/>
      <c r="Y690" s="321"/>
      <c r="Z690" s="433"/>
      <c r="AA690" s="918">
        <f t="shared" si="162"/>
        <v>1</v>
      </c>
      <c r="AB690" s="306" t="str">
        <f t="shared" si="163"/>
        <v/>
      </c>
      <c r="AC690" s="788"/>
      <c r="AD690" s="119">
        <f t="shared" si="174"/>
        <v>0</v>
      </c>
      <c r="AE690" s="108">
        <f t="shared" si="174"/>
        <v>0</v>
      </c>
      <c r="AF690" s="108">
        <f t="shared" si="174"/>
        <v>0</v>
      </c>
      <c r="AG690" s="108"/>
      <c r="AH690" s="108"/>
      <c r="AI690" s="108"/>
      <c r="AJ690" s="108"/>
      <c r="AK690" s="108"/>
      <c r="AL690" s="108">
        <f t="shared" si="165"/>
        <v>0</v>
      </c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20">
        <f t="shared" si="166"/>
        <v>0</v>
      </c>
      <c r="CL690" s="122">
        <f t="shared" si="167"/>
        <v>0</v>
      </c>
      <c r="CM690" s="524" t="str">
        <f t="shared" si="169"/>
        <v/>
      </c>
      <c r="CN690" s="526">
        <f t="shared" si="170"/>
        <v>0</v>
      </c>
      <c r="CO690" s="122">
        <f t="shared" si="171"/>
        <v>0</v>
      </c>
      <c r="CP690" s="45" t="str">
        <f t="shared" si="168"/>
        <v>1 - in MILLESIMI   I</v>
      </c>
      <c r="CQ690" s="1"/>
    </row>
    <row r="691" spans="1:95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435">
        <f>IF(AND(W691&gt;=$U$1,W691&lt;=$U$2),IF(X691='ESTRATTO CONTO'!$E$2,1+COUNTIF(U$4:U690,"&gt;0"),0),0)</f>
        <v>0</v>
      </c>
      <c r="V691" s="417">
        <f t="shared" si="172"/>
        <v>688</v>
      </c>
      <c r="W691" s="509"/>
      <c r="X691" s="321"/>
      <c r="Y691" s="321"/>
      <c r="Z691" s="433"/>
      <c r="AA691" s="918">
        <f t="shared" si="162"/>
        <v>1</v>
      </c>
      <c r="AB691" s="306" t="str">
        <f t="shared" si="163"/>
        <v/>
      </c>
      <c r="AC691" s="788"/>
      <c r="AD691" s="119">
        <f t="shared" si="174"/>
        <v>0</v>
      </c>
      <c r="AE691" s="108">
        <f t="shared" si="174"/>
        <v>0</v>
      </c>
      <c r="AF691" s="108">
        <f t="shared" si="174"/>
        <v>0</v>
      </c>
      <c r="AG691" s="108"/>
      <c r="AH691" s="108"/>
      <c r="AI691" s="108"/>
      <c r="AJ691" s="108"/>
      <c r="AK691" s="108"/>
      <c r="AL691" s="108">
        <f t="shared" si="165"/>
        <v>0</v>
      </c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20">
        <f t="shared" si="166"/>
        <v>0</v>
      </c>
      <c r="CL691" s="122">
        <f t="shared" si="167"/>
        <v>0</v>
      </c>
      <c r="CM691" s="524" t="str">
        <f t="shared" si="169"/>
        <v/>
      </c>
      <c r="CN691" s="526">
        <f t="shared" si="170"/>
        <v>0</v>
      </c>
      <c r="CO691" s="122">
        <f t="shared" si="171"/>
        <v>0</v>
      </c>
      <c r="CP691" s="45" t="str">
        <f t="shared" si="168"/>
        <v>1 - in MILLESIMI   I</v>
      </c>
      <c r="CQ691" s="1"/>
    </row>
    <row r="692" spans="1:95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435">
        <f>IF(AND(W692&gt;=$U$1,W692&lt;=$U$2),IF(X692='ESTRATTO CONTO'!$E$2,1+COUNTIF(U$4:U691,"&gt;0"),0),0)</f>
        <v>0</v>
      </c>
      <c r="V692" s="417">
        <f t="shared" si="172"/>
        <v>689</v>
      </c>
      <c r="W692" s="509"/>
      <c r="X692" s="321"/>
      <c r="Y692" s="321"/>
      <c r="Z692" s="433"/>
      <c r="AA692" s="918">
        <f t="shared" si="162"/>
        <v>1</v>
      </c>
      <c r="AB692" s="306" t="str">
        <f t="shared" si="163"/>
        <v/>
      </c>
      <c r="AC692" s="788"/>
      <c r="AD692" s="119">
        <f t="shared" si="174"/>
        <v>0</v>
      </c>
      <c r="AE692" s="108">
        <f t="shared" si="174"/>
        <v>0</v>
      </c>
      <c r="AF692" s="108">
        <f t="shared" si="174"/>
        <v>0</v>
      </c>
      <c r="AG692" s="108"/>
      <c r="AH692" s="108"/>
      <c r="AI692" s="108"/>
      <c r="AJ692" s="108"/>
      <c r="AK692" s="108"/>
      <c r="AL692" s="108">
        <f t="shared" si="165"/>
        <v>0</v>
      </c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20">
        <f t="shared" si="166"/>
        <v>0</v>
      </c>
      <c r="CL692" s="122">
        <f t="shared" si="167"/>
        <v>0</v>
      </c>
      <c r="CM692" s="524" t="str">
        <f t="shared" si="169"/>
        <v/>
      </c>
      <c r="CN692" s="526">
        <f t="shared" si="170"/>
        <v>0</v>
      </c>
      <c r="CO692" s="122">
        <f t="shared" si="171"/>
        <v>0</v>
      </c>
      <c r="CP692" s="45" t="str">
        <f t="shared" si="168"/>
        <v>1 - in MILLESIMI   I</v>
      </c>
      <c r="CQ692" s="1"/>
    </row>
    <row r="693" spans="1:95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435">
        <f>IF(AND(W693&gt;=$U$1,W693&lt;=$U$2),IF(X693='ESTRATTO CONTO'!$E$2,1+COUNTIF(U$4:U692,"&gt;0"),0),0)</f>
        <v>0</v>
      </c>
      <c r="V693" s="417">
        <f t="shared" si="172"/>
        <v>690</v>
      </c>
      <c r="W693" s="509"/>
      <c r="X693" s="321"/>
      <c r="Y693" s="321"/>
      <c r="Z693" s="433"/>
      <c r="AA693" s="918">
        <f t="shared" si="162"/>
        <v>1</v>
      </c>
      <c r="AB693" s="306" t="str">
        <f t="shared" si="163"/>
        <v/>
      </c>
      <c r="AC693" s="788"/>
      <c r="AD693" s="119">
        <f t="shared" si="174"/>
        <v>0</v>
      </c>
      <c r="AE693" s="108">
        <f t="shared" si="174"/>
        <v>0</v>
      </c>
      <c r="AF693" s="108">
        <f t="shared" si="174"/>
        <v>0</v>
      </c>
      <c r="AG693" s="108"/>
      <c r="AH693" s="108"/>
      <c r="AI693" s="108"/>
      <c r="AJ693" s="108"/>
      <c r="AK693" s="108"/>
      <c r="AL693" s="108">
        <f t="shared" si="165"/>
        <v>0</v>
      </c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20">
        <f t="shared" si="166"/>
        <v>0</v>
      </c>
      <c r="CL693" s="122">
        <f t="shared" si="167"/>
        <v>0</v>
      </c>
      <c r="CM693" s="524" t="str">
        <f t="shared" si="169"/>
        <v/>
      </c>
      <c r="CN693" s="526">
        <f t="shared" si="170"/>
        <v>0</v>
      </c>
      <c r="CO693" s="122">
        <f t="shared" si="171"/>
        <v>0</v>
      </c>
      <c r="CP693" s="45" t="str">
        <f t="shared" si="168"/>
        <v>1 - in MILLESIMI   I</v>
      </c>
      <c r="CQ693" s="1"/>
    </row>
    <row r="694" spans="1:95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435">
        <f>IF(AND(W694&gt;=$U$1,W694&lt;=$U$2),IF(X694='ESTRATTO CONTO'!$E$2,1+COUNTIF(U$4:U693,"&gt;0"),0),0)</f>
        <v>0</v>
      </c>
      <c r="V694" s="417">
        <f t="shared" si="172"/>
        <v>691</v>
      </c>
      <c r="W694" s="509"/>
      <c r="X694" s="321"/>
      <c r="Y694" s="321"/>
      <c r="Z694" s="433"/>
      <c r="AA694" s="918">
        <f t="shared" si="162"/>
        <v>1</v>
      </c>
      <c r="AB694" s="306" t="str">
        <f t="shared" si="163"/>
        <v/>
      </c>
      <c r="AC694" s="788"/>
      <c r="AD694" s="119">
        <f t="shared" si="174"/>
        <v>0</v>
      </c>
      <c r="AE694" s="108">
        <f t="shared" si="174"/>
        <v>0</v>
      </c>
      <c r="AF694" s="108">
        <f t="shared" si="174"/>
        <v>0</v>
      </c>
      <c r="AG694" s="108"/>
      <c r="AH694" s="108"/>
      <c r="AI694" s="108"/>
      <c r="AJ694" s="108"/>
      <c r="AK694" s="108"/>
      <c r="AL694" s="108">
        <f t="shared" si="165"/>
        <v>0</v>
      </c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20">
        <f t="shared" si="166"/>
        <v>0</v>
      </c>
      <c r="CL694" s="122">
        <f t="shared" si="167"/>
        <v>0</v>
      </c>
      <c r="CM694" s="524" t="str">
        <f t="shared" si="169"/>
        <v/>
      </c>
      <c r="CN694" s="526">
        <f t="shared" si="170"/>
        <v>0</v>
      </c>
      <c r="CO694" s="122">
        <f t="shared" si="171"/>
        <v>0</v>
      </c>
      <c r="CP694" s="45" t="str">
        <f t="shared" si="168"/>
        <v>1 - in MILLESIMI   I</v>
      </c>
      <c r="CQ694" s="1"/>
    </row>
    <row r="695" spans="1:95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435">
        <f>IF(AND(W695&gt;=$U$1,W695&lt;=$U$2),IF(X695='ESTRATTO CONTO'!$E$2,1+COUNTIF(U$4:U694,"&gt;0"),0),0)</f>
        <v>0</v>
      </c>
      <c r="V695" s="417">
        <f t="shared" si="172"/>
        <v>692</v>
      </c>
      <c r="W695" s="509"/>
      <c r="X695" s="321"/>
      <c r="Y695" s="321"/>
      <c r="Z695" s="433"/>
      <c r="AA695" s="918">
        <f t="shared" si="162"/>
        <v>1</v>
      </c>
      <c r="AB695" s="306" t="str">
        <f t="shared" si="163"/>
        <v/>
      </c>
      <c r="AC695" s="788"/>
      <c r="AD695" s="119">
        <f t="shared" si="174"/>
        <v>0</v>
      </c>
      <c r="AE695" s="108">
        <f t="shared" si="174"/>
        <v>0</v>
      </c>
      <c r="AF695" s="108">
        <f t="shared" si="174"/>
        <v>0</v>
      </c>
      <c r="AG695" s="108"/>
      <c r="AH695" s="108"/>
      <c r="AI695" s="108"/>
      <c r="AJ695" s="108"/>
      <c r="AK695" s="108"/>
      <c r="AL695" s="108">
        <f t="shared" si="165"/>
        <v>0</v>
      </c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20">
        <f t="shared" si="166"/>
        <v>0</v>
      </c>
      <c r="CL695" s="122">
        <f t="shared" si="167"/>
        <v>0</v>
      </c>
      <c r="CM695" s="524" t="str">
        <f t="shared" si="169"/>
        <v/>
      </c>
      <c r="CN695" s="526">
        <f t="shared" si="170"/>
        <v>0</v>
      </c>
      <c r="CO695" s="122">
        <f t="shared" si="171"/>
        <v>0</v>
      </c>
      <c r="CP695" s="45" t="str">
        <f t="shared" si="168"/>
        <v>1 - in MILLESIMI   I</v>
      </c>
      <c r="CQ695" s="1"/>
    </row>
    <row r="696" spans="1:95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435">
        <f>IF(AND(W696&gt;=$U$1,W696&lt;=$U$2),IF(X696='ESTRATTO CONTO'!$E$2,1+COUNTIF(U$4:U695,"&gt;0"),0),0)</f>
        <v>0</v>
      </c>
      <c r="V696" s="417">
        <f t="shared" si="172"/>
        <v>693</v>
      </c>
      <c r="W696" s="509"/>
      <c r="X696" s="321"/>
      <c r="Y696" s="321"/>
      <c r="Z696" s="433"/>
      <c r="AA696" s="918">
        <f t="shared" si="162"/>
        <v>1</v>
      </c>
      <c r="AB696" s="306" t="str">
        <f t="shared" si="163"/>
        <v/>
      </c>
      <c r="AC696" s="788"/>
      <c r="AD696" s="119">
        <f t="shared" si="174"/>
        <v>0</v>
      </c>
      <c r="AE696" s="108">
        <f t="shared" si="174"/>
        <v>0</v>
      </c>
      <c r="AF696" s="108">
        <f t="shared" si="174"/>
        <v>0</v>
      </c>
      <c r="AG696" s="108"/>
      <c r="AH696" s="108"/>
      <c r="AI696" s="108"/>
      <c r="AJ696" s="108"/>
      <c r="AK696" s="108"/>
      <c r="AL696" s="108">
        <f t="shared" si="165"/>
        <v>0</v>
      </c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20">
        <f t="shared" si="166"/>
        <v>0</v>
      </c>
      <c r="CL696" s="122">
        <f t="shared" si="167"/>
        <v>0</v>
      </c>
      <c r="CM696" s="524" t="str">
        <f t="shared" si="169"/>
        <v/>
      </c>
      <c r="CN696" s="526">
        <f t="shared" si="170"/>
        <v>0</v>
      </c>
      <c r="CO696" s="122">
        <f t="shared" si="171"/>
        <v>0</v>
      </c>
      <c r="CP696" s="45" t="str">
        <f t="shared" si="168"/>
        <v>1 - in MILLESIMI   I</v>
      </c>
      <c r="CQ696" s="1"/>
    </row>
    <row r="697" spans="1:95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435">
        <f>IF(AND(W697&gt;=$U$1,W697&lt;=$U$2),IF(X697='ESTRATTO CONTO'!$E$2,1+COUNTIF(U$4:U696,"&gt;0"),0),0)</f>
        <v>0</v>
      </c>
      <c r="V697" s="417">
        <f t="shared" si="172"/>
        <v>694</v>
      </c>
      <c r="W697" s="509"/>
      <c r="X697" s="321"/>
      <c r="Y697" s="321"/>
      <c r="Z697" s="433"/>
      <c r="AA697" s="918">
        <f t="shared" si="162"/>
        <v>1</v>
      </c>
      <c r="AB697" s="306" t="str">
        <f t="shared" si="163"/>
        <v/>
      </c>
      <c r="AC697" s="788"/>
      <c r="AD697" s="119">
        <f t="shared" si="174"/>
        <v>0</v>
      </c>
      <c r="AE697" s="108">
        <f t="shared" si="174"/>
        <v>0</v>
      </c>
      <c r="AF697" s="108">
        <f t="shared" si="174"/>
        <v>0</v>
      </c>
      <c r="AG697" s="108"/>
      <c r="AH697" s="108"/>
      <c r="AI697" s="108"/>
      <c r="AJ697" s="108"/>
      <c r="AK697" s="108"/>
      <c r="AL697" s="108">
        <f t="shared" si="165"/>
        <v>0</v>
      </c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20">
        <f t="shared" si="166"/>
        <v>0</v>
      </c>
      <c r="CL697" s="122">
        <f t="shared" si="167"/>
        <v>0</v>
      </c>
      <c r="CM697" s="524" t="str">
        <f t="shared" si="169"/>
        <v/>
      </c>
      <c r="CN697" s="526">
        <f t="shared" si="170"/>
        <v>0</v>
      </c>
      <c r="CO697" s="122">
        <f t="shared" si="171"/>
        <v>0</v>
      </c>
      <c r="CP697" s="45" t="str">
        <f t="shared" si="168"/>
        <v>1 - in MILLESIMI   I</v>
      </c>
      <c r="CQ697" s="1"/>
    </row>
    <row r="698" spans="1:95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435">
        <f>IF(AND(W698&gt;=$U$1,W698&lt;=$U$2),IF(X698='ESTRATTO CONTO'!$E$2,1+COUNTIF(U$4:U697,"&gt;0"),0),0)</f>
        <v>0</v>
      </c>
      <c r="V698" s="417">
        <f t="shared" si="172"/>
        <v>695</v>
      </c>
      <c r="W698" s="509"/>
      <c r="X698" s="321"/>
      <c r="Y698" s="321"/>
      <c r="Z698" s="433"/>
      <c r="AA698" s="918">
        <f t="shared" si="162"/>
        <v>1</v>
      </c>
      <c r="AB698" s="306" t="str">
        <f t="shared" si="163"/>
        <v/>
      </c>
      <c r="AC698" s="788"/>
      <c r="AD698" s="119">
        <f t="shared" si="174"/>
        <v>0</v>
      </c>
      <c r="AE698" s="108">
        <f t="shared" si="174"/>
        <v>0</v>
      </c>
      <c r="AF698" s="108">
        <f t="shared" si="174"/>
        <v>0</v>
      </c>
      <c r="AG698" s="108"/>
      <c r="AH698" s="108"/>
      <c r="AI698" s="108"/>
      <c r="AJ698" s="108"/>
      <c r="AK698" s="108"/>
      <c r="AL698" s="108">
        <f t="shared" si="165"/>
        <v>0</v>
      </c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20">
        <f t="shared" si="166"/>
        <v>0</v>
      </c>
      <c r="CL698" s="122">
        <f t="shared" si="167"/>
        <v>0</v>
      </c>
      <c r="CM698" s="524" t="str">
        <f t="shared" si="169"/>
        <v/>
      </c>
      <c r="CN698" s="526">
        <f t="shared" si="170"/>
        <v>0</v>
      </c>
      <c r="CO698" s="122">
        <f t="shared" si="171"/>
        <v>0</v>
      </c>
      <c r="CP698" s="45" t="str">
        <f t="shared" si="168"/>
        <v>1 - in MILLESIMI   I</v>
      </c>
      <c r="CQ698" s="1"/>
    </row>
    <row r="699" spans="1:95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435">
        <f>IF(AND(W699&gt;=$U$1,W699&lt;=$U$2),IF(X699='ESTRATTO CONTO'!$E$2,1+COUNTIF(U$4:U698,"&gt;0"),0),0)</f>
        <v>0</v>
      </c>
      <c r="V699" s="417">
        <f t="shared" si="172"/>
        <v>696</v>
      </c>
      <c r="W699" s="509"/>
      <c r="X699" s="321"/>
      <c r="Y699" s="321"/>
      <c r="Z699" s="433"/>
      <c r="AA699" s="918">
        <f t="shared" si="162"/>
        <v>1</v>
      </c>
      <c r="AB699" s="306" t="str">
        <f t="shared" si="163"/>
        <v/>
      </c>
      <c r="AC699" s="788"/>
      <c r="AD699" s="119">
        <f t="shared" si="174"/>
        <v>0</v>
      </c>
      <c r="AE699" s="108">
        <f t="shared" si="174"/>
        <v>0</v>
      </c>
      <c r="AF699" s="108">
        <f t="shared" si="174"/>
        <v>0</v>
      </c>
      <c r="AG699" s="108"/>
      <c r="AH699" s="108"/>
      <c r="AI699" s="108"/>
      <c r="AJ699" s="108"/>
      <c r="AK699" s="108"/>
      <c r="AL699" s="108">
        <f t="shared" si="165"/>
        <v>0</v>
      </c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20">
        <f t="shared" si="166"/>
        <v>0</v>
      </c>
      <c r="CL699" s="122">
        <f t="shared" si="167"/>
        <v>0</v>
      </c>
      <c r="CM699" s="524" t="str">
        <f t="shared" si="169"/>
        <v/>
      </c>
      <c r="CN699" s="526">
        <f t="shared" si="170"/>
        <v>0</v>
      </c>
      <c r="CO699" s="122">
        <f t="shared" si="171"/>
        <v>0</v>
      </c>
      <c r="CP699" s="45" t="str">
        <f t="shared" si="168"/>
        <v>1 - in MILLESIMI   I</v>
      </c>
      <c r="CQ699" s="1"/>
    </row>
    <row r="700" spans="1:95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435">
        <f>IF(AND(W700&gt;=$U$1,W700&lt;=$U$2),IF(X700='ESTRATTO CONTO'!$E$2,1+COUNTIF(U$4:U699,"&gt;0"),0),0)</f>
        <v>0</v>
      </c>
      <c r="V700" s="417">
        <f t="shared" si="172"/>
        <v>697</v>
      </c>
      <c r="W700" s="509"/>
      <c r="X700" s="321"/>
      <c r="Y700" s="321"/>
      <c r="Z700" s="433"/>
      <c r="AA700" s="918">
        <f t="shared" si="162"/>
        <v>1</v>
      </c>
      <c r="AB700" s="306" t="str">
        <f t="shared" si="163"/>
        <v/>
      </c>
      <c r="AC700" s="788"/>
      <c r="AD700" s="119">
        <f t="shared" si="174"/>
        <v>0</v>
      </c>
      <c r="AE700" s="108">
        <f t="shared" si="174"/>
        <v>0</v>
      </c>
      <c r="AF700" s="108">
        <f t="shared" si="174"/>
        <v>0</v>
      </c>
      <c r="AG700" s="108"/>
      <c r="AH700" s="108"/>
      <c r="AI700" s="108"/>
      <c r="AJ700" s="108"/>
      <c r="AK700" s="108"/>
      <c r="AL700" s="108">
        <f t="shared" si="165"/>
        <v>0</v>
      </c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20">
        <f t="shared" si="166"/>
        <v>0</v>
      </c>
      <c r="CL700" s="122">
        <f t="shared" si="167"/>
        <v>0</v>
      </c>
      <c r="CM700" s="524" t="str">
        <f t="shared" si="169"/>
        <v/>
      </c>
      <c r="CN700" s="526">
        <f t="shared" si="170"/>
        <v>0</v>
      </c>
      <c r="CO700" s="122">
        <f t="shared" si="171"/>
        <v>0</v>
      </c>
      <c r="CP700" s="45" t="str">
        <f t="shared" si="168"/>
        <v>1 - in MILLESIMI   I</v>
      </c>
      <c r="CQ700" s="1"/>
    </row>
    <row r="701" spans="1:95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435">
        <f>IF(AND(W701&gt;=$U$1,W701&lt;=$U$2),IF(X701='ESTRATTO CONTO'!$E$2,1+COUNTIF(U$4:U700,"&gt;0"),0),0)</f>
        <v>0</v>
      </c>
      <c r="V701" s="417">
        <f t="shared" si="172"/>
        <v>698</v>
      </c>
      <c r="W701" s="509"/>
      <c r="X701" s="321"/>
      <c r="Y701" s="321"/>
      <c r="Z701" s="433"/>
      <c r="AA701" s="918">
        <f t="shared" si="162"/>
        <v>1</v>
      </c>
      <c r="AB701" s="306" t="str">
        <f t="shared" si="163"/>
        <v/>
      </c>
      <c r="AC701" s="788"/>
      <c r="AD701" s="119">
        <f t="shared" si="174"/>
        <v>0</v>
      </c>
      <c r="AE701" s="108">
        <f t="shared" si="174"/>
        <v>0</v>
      </c>
      <c r="AF701" s="108">
        <f t="shared" si="174"/>
        <v>0</v>
      </c>
      <c r="AG701" s="108"/>
      <c r="AH701" s="108"/>
      <c r="AI701" s="108"/>
      <c r="AJ701" s="108"/>
      <c r="AK701" s="108"/>
      <c r="AL701" s="108">
        <f t="shared" si="165"/>
        <v>0</v>
      </c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20">
        <f t="shared" si="166"/>
        <v>0</v>
      </c>
      <c r="CL701" s="122">
        <f t="shared" si="167"/>
        <v>0</v>
      </c>
      <c r="CM701" s="524" t="str">
        <f t="shared" si="169"/>
        <v/>
      </c>
      <c r="CN701" s="526">
        <f t="shared" si="170"/>
        <v>0</v>
      </c>
      <c r="CO701" s="122">
        <f t="shared" si="171"/>
        <v>0</v>
      </c>
      <c r="CP701" s="45" t="str">
        <f t="shared" si="168"/>
        <v>1 - in MILLESIMI   I</v>
      </c>
      <c r="CQ701" s="1"/>
    </row>
    <row r="702" spans="1:95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435">
        <f>IF(AND(W702&gt;=$U$1,W702&lt;=$U$2),IF(X702='ESTRATTO CONTO'!$E$2,1+COUNTIF(U$4:U701,"&gt;0"),0),0)</f>
        <v>0</v>
      </c>
      <c r="V702" s="417">
        <f t="shared" si="172"/>
        <v>699</v>
      </c>
      <c r="W702" s="509"/>
      <c r="X702" s="321"/>
      <c r="Y702" s="321"/>
      <c r="Z702" s="433"/>
      <c r="AA702" s="918">
        <f t="shared" si="162"/>
        <v>1</v>
      </c>
      <c r="AB702" s="306" t="str">
        <f t="shared" si="163"/>
        <v/>
      </c>
      <c r="AC702" s="788"/>
      <c r="AD702" s="119">
        <f t="shared" si="174"/>
        <v>0</v>
      </c>
      <c r="AE702" s="108">
        <f t="shared" si="174"/>
        <v>0</v>
      </c>
      <c r="AF702" s="108">
        <f t="shared" si="174"/>
        <v>0</v>
      </c>
      <c r="AG702" s="108"/>
      <c r="AH702" s="108"/>
      <c r="AI702" s="108"/>
      <c r="AJ702" s="108"/>
      <c r="AK702" s="108"/>
      <c r="AL702" s="108">
        <f t="shared" si="165"/>
        <v>0</v>
      </c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20">
        <f t="shared" si="166"/>
        <v>0</v>
      </c>
      <c r="CL702" s="122">
        <f t="shared" si="167"/>
        <v>0</v>
      </c>
      <c r="CM702" s="524" t="str">
        <f t="shared" si="169"/>
        <v/>
      </c>
      <c r="CN702" s="526">
        <f t="shared" si="170"/>
        <v>0</v>
      </c>
      <c r="CO702" s="122">
        <f t="shared" si="171"/>
        <v>0</v>
      </c>
      <c r="CP702" s="45" t="str">
        <f t="shared" si="168"/>
        <v>1 - in MILLESIMI   I</v>
      </c>
      <c r="CQ702" s="1"/>
    </row>
    <row r="703" spans="1:95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435">
        <f>IF(AND(W703&gt;=$U$1,W703&lt;=$U$2),IF(X703='ESTRATTO CONTO'!$E$2,1+COUNTIF(U$4:U702,"&gt;0"),0),0)</f>
        <v>0</v>
      </c>
      <c r="V703" s="417">
        <f t="shared" si="172"/>
        <v>700</v>
      </c>
      <c r="W703" s="509"/>
      <c r="X703" s="321"/>
      <c r="Y703" s="321"/>
      <c r="Z703" s="433"/>
      <c r="AA703" s="918">
        <f t="shared" si="162"/>
        <v>1</v>
      </c>
      <c r="AB703" s="306" t="str">
        <f t="shared" si="163"/>
        <v/>
      </c>
      <c r="AC703" s="788"/>
      <c r="AD703" s="119">
        <f t="shared" si="174"/>
        <v>0</v>
      </c>
      <c r="AE703" s="108">
        <f t="shared" si="174"/>
        <v>0</v>
      </c>
      <c r="AF703" s="108">
        <f t="shared" si="174"/>
        <v>0</v>
      </c>
      <c r="AG703" s="108"/>
      <c r="AH703" s="108"/>
      <c r="AI703" s="108"/>
      <c r="AJ703" s="108"/>
      <c r="AK703" s="108"/>
      <c r="AL703" s="108">
        <f t="shared" si="165"/>
        <v>0</v>
      </c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20">
        <f t="shared" si="166"/>
        <v>0</v>
      </c>
      <c r="CL703" s="122">
        <f t="shared" si="167"/>
        <v>0</v>
      </c>
      <c r="CM703" s="524" t="str">
        <f t="shared" si="169"/>
        <v/>
      </c>
      <c r="CN703" s="526">
        <f t="shared" si="170"/>
        <v>0</v>
      </c>
      <c r="CO703" s="122">
        <f t="shared" si="171"/>
        <v>0</v>
      </c>
      <c r="CP703" s="45" t="str">
        <f t="shared" si="168"/>
        <v>1 - in MILLESIMI   I</v>
      </c>
      <c r="CQ703" s="1"/>
    </row>
    <row r="704" spans="1:95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435">
        <f>IF(AND(W704&gt;=$U$1,W704&lt;=$U$2),IF(X704='ESTRATTO CONTO'!$E$2,1+COUNTIF(U$4:U703,"&gt;0"),0),0)</f>
        <v>0</v>
      </c>
      <c r="V704" s="417">
        <f t="shared" si="172"/>
        <v>701</v>
      </c>
      <c r="W704" s="509"/>
      <c r="X704" s="321"/>
      <c r="Y704" s="321"/>
      <c r="Z704" s="433"/>
      <c r="AA704" s="918">
        <f t="shared" si="162"/>
        <v>1</v>
      </c>
      <c r="AB704" s="306" t="str">
        <f t="shared" si="163"/>
        <v/>
      </c>
      <c r="AC704" s="788"/>
      <c r="AD704" s="119">
        <f t="shared" ref="AD704:AF723" si="175">IF($AB704=0,0,ROUND($Z704*VLOOKUP(AD$2,$F$1010:$Q$1014,VLOOKUP($CP704,$C$1076:$E$1081,3,FALSE),FALSE),2))</f>
        <v>0</v>
      </c>
      <c r="AE704" s="108">
        <f t="shared" si="175"/>
        <v>0</v>
      </c>
      <c r="AF704" s="108">
        <f t="shared" si="175"/>
        <v>0</v>
      </c>
      <c r="AG704" s="108"/>
      <c r="AH704" s="108"/>
      <c r="AI704" s="108"/>
      <c r="AJ704" s="108"/>
      <c r="AK704" s="108"/>
      <c r="AL704" s="108">
        <f t="shared" si="165"/>
        <v>0</v>
      </c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20">
        <f t="shared" si="166"/>
        <v>0</v>
      </c>
      <c r="CL704" s="122">
        <f t="shared" si="167"/>
        <v>0</v>
      </c>
      <c r="CM704" s="524" t="str">
        <f t="shared" si="169"/>
        <v/>
      </c>
      <c r="CN704" s="526">
        <f t="shared" si="170"/>
        <v>0</v>
      </c>
      <c r="CO704" s="122">
        <f t="shared" si="171"/>
        <v>0</v>
      </c>
      <c r="CP704" s="45" t="str">
        <f t="shared" si="168"/>
        <v>1 - in MILLESIMI   I</v>
      </c>
      <c r="CQ704" s="1"/>
    </row>
    <row r="705" spans="1:95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435">
        <f>IF(AND(W705&gt;=$U$1,W705&lt;=$U$2),IF(X705='ESTRATTO CONTO'!$E$2,1+COUNTIF(U$4:U704,"&gt;0"),0),0)</f>
        <v>0</v>
      </c>
      <c r="V705" s="417">
        <f t="shared" si="172"/>
        <v>702</v>
      </c>
      <c r="W705" s="509"/>
      <c r="X705" s="321"/>
      <c r="Y705" s="321"/>
      <c r="Z705" s="433"/>
      <c r="AA705" s="918">
        <f t="shared" si="162"/>
        <v>1</v>
      </c>
      <c r="AB705" s="306" t="str">
        <f t="shared" si="163"/>
        <v/>
      </c>
      <c r="AC705" s="788"/>
      <c r="AD705" s="119">
        <f t="shared" si="175"/>
        <v>0</v>
      </c>
      <c r="AE705" s="108">
        <f t="shared" si="175"/>
        <v>0</v>
      </c>
      <c r="AF705" s="108">
        <f t="shared" si="175"/>
        <v>0</v>
      </c>
      <c r="AG705" s="108"/>
      <c r="AH705" s="108"/>
      <c r="AI705" s="108"/>
      <c r="AJ705" s="108"/>
      <c r="AK705" s="108"/>
      <c r="AL705" s="108">
        <f t="shared" si="165"/>
        <v>0</v>
      </c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20">
        <f t="shared" si="166"/>
        <v>0</v>
      </c>
      <c r="CL705" s="122">
        <f t="shared" si="167"/>
        <v>0</v>
      </c>
      <c r="CM705" s="524" t="str">
        <f t="shared" si="169"/>
        <v/>
      </c>
      <c r="CN705" s="526">
        <f t="shared" si="170"/>
        <v>0</v>
      </c>
      <c r="CO705" s="122">
        <f t="shared" si="171"/>
        <v>0</v>
      </c>
      <c r="CP705" s="45" t="str">
        <f t="shared" si="168"/>
        <v>1 - in MILLESIMI   I</v>
      </c>
      <c r="CQ705" s="1"/>
    </row>
    <row r="706" spans="1:95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435">
        <f>IF(AND(W706&gt;=$U$1,W706&lt;=$U$2),IF(X706='ESTRATTO CONTO'!$E$2,1+COUNTIF(U$4:U705,"&gt;0"),0),0)</f>
        <v>0</v>
      </c>
      <c r="V706" s="417">
        <f t="shared" si="172"/>
        <v>703</v>
      </c>
      <c r="W706" s="509"/>
      <c r="X706" s="321"/>
      <c r="Y706" s="321"/>
      <c r="Z706" s="433"/>
      <c r="AA706" s="918">
        <f t="shared" si="162"/>
        <v>1</v>
      </c>
      <c r="AB706" s="306" t="str">
        <f t="shared" si="163"/>
        <v/>
      </c>
      <c r="AC706" s="788"/>
      <c r="AD706" s="119">
        <f t="shared" si="175"/>
        <v>0</v>
      </c>
      <c r="AE706" s="108">
        <f t="shared" si="175"/>
        <v>0</v>
      </c>
      <c r="AF706" s="108">
        <f t="shared" si="175"/>
        <v>0</v>
      </c>
      <c r="AG706" s="108"/>
      <c r="AH706" s="108"/>
      <c r="AI706" s="108"/>
      <c r="AJ706" s="108"/>
      <c r="AK706" s="108"/>
      <c r="AL706" s="108">
        <f t="shared" si="165"/>
        <v>0</v>
      </c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20">
        <f t="shared" si="166"/>
        <v>0</v>
      </c>
      <c r="CL706" s="122">
        <f t="shared" si="167"/>
        <v>0</v>
      </c>
      <c r="CM706" s="524" t="str">
        <f t="shared" si="169"/>
        <v/>
      </c>
      <c r="CN706" s="526">
        <f t="shared" si="170"/>
        <v>0</v>
      </c>
      <c r="CO706" s="122">
        <f t="shared" si="171"/>
        <v>0</v>
      </c>
      <c r="CP706" s="45" t="str">
        <f t="shared" si="168"/>
        <v>1 - in MILLESIMI   I</v>
      </c>
      <c r="CQ706" s="1"/>
    </row>
    <row r="707" spans="1:95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435">
        <f>IF(AND(W707&gt;=$U$1,W707&lt;=$U$2),IF(X707='ESTRATTO CONTO'!$E$2,1+COUNTIF(U$4:U706,"&gt;0"),0),0)</f>
        <v>0</v>
      </c>
      <c r="V707" s="417">
        <f t="shared" si="172"/>
        <v>704</v>
      </c>
      <c r="W707" s="509"/>
      <c r="X707" s="321"/>
      <c r="Y707" s="321"/>
      <c r="Z707" s="433"/>
      <c r="AA707" s="918">
        <f t="shared" si="162"/>
        <v>1</v>
      </c>
      <c r="AB707" s="306" t="str">
        <f t="shared" si="163"/>
        <v/>
      </c>
      <c r="AC707" s="788"/>
      <c r="AD707" s="119">
        <f t="shared" si="175"/>
        <v>0</v>
      </c>
      <c r="AE707" s="108">
        <f t="shared" si="175"/>
        <v>0</v>
      </c>
      <c r="AF707" s="108">
        <f t="shared" si="175"/>
        <v>0</v>
      </c>
      <c r="AG707" s="108"/>
      <c r="AH707" s="108"/>
      <c r="AI707" s="108"/>
      <c r="AJ707" s="108"/>
      <c r="AK707" s="108"/>
      <c r="AL707" s="108">
        <f t="shared" si="165"/>
        <v>0</v>
      </c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20">
        <f t="shared" si="166"/>
        <v>0</v>
      </c>
      <c r="CL707" s="122">
        <f t="shared" si="167"/>
        <v>0</v>
      </c>
      <c r="CM707" s="524" t="str">
        <f t="shared" si="169"/>
        <v/>
      </c>
      <c r="CN707" s="526">
        <f t="shared" si="170"/>
        <v>0</v>
      </c>
      <c r="CO707" s="122">
        <f t="shared" si="171"/>
        <v>0</v>
      </c>
      <c r="CP707" s="45" t="str">
        <f t="shared" si="168"/>
        <v>1 - in MILLESIMI   I</v>
      </c>
      <c r="CQ707" s="1"/>
    </row>
    <row r="708" spans="1:95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435">
        <f>IF(AND(W708&gt;=$U$1,W708&lt;=$U$2),IF(X708='ESTRATTO CONTO'!$E$2,1+COUNTIF(U$4:U707,"&gt;0"),0),0)</f>
        <v>0</v>
      </c>
      <c r="V708" s="417">
        <f t="shared" si="172"/>
        <v>705</v>
      </c>
      <c r="W708" s="509"/>
      <c r="X708" s="321"/>
      <c r="Y708" s="321"/>
      <c r="Z708" s="433"/>
      <c r="AA708" s="918">
        <f t="shared" ref="AA708:AA771" si="176">IF(OR(W708&lt;$W$1433,W708&gt;$W$1434),1,0)</f>
        <v>1</v>
      </c>
      <c r="AB708" s="306" t="str">
        <f t="shared" ref="AB708:AB771" si="177">IF(W708&gt;0,IF(AND(W708&gt;=W$1438,W708&lt;=W$1439),CONCATENATE(MONTH(W708)&amp;X708),0),"")</f>
        <v/>
      </c>
      <c r="AC708" s="788"/>
      <c r="AD708" s="119">
        <f t="shared" si="175"/>
        <v>0</v>
      </c>
      <c r="AE708" s="108">
        <f t="shared" si="175"/>
        <v>0</v>
      </c>
      <c r="AF708" s="108">
        <f t="shared" si="175"/>
        <v>0</v>
      </c>
      <c r="AG708" s="108"/>
      <c r="AH708" s="108"/>
      <c r="AI708" s="108"/>
      <c r="AJ708" s="108"/>
      <c r="AK708" s="108"/>
      <c r="AL708" s="108">
        <f t="shared" ref="AL708:AL771" si="178">IF($AB708=0,0,ROUND($Z708*VLOOKUP(AL$2,$F$1010:$Q$1014,VLOOKUP($CP708,$C$1076:$E$1081,3,FALSE),FALSE),2))</f>
        <v>0</v>
      </c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20">
        <f t="shared" ref="CK708:CK771" si="179">IF($AB708=0,0,ROUND($Z708*VLOOKUP(CK$2,$F$1010:$Q$1014,VLOOKUP($CP708,$C$1076:$E$1081,3,FALSE),FALSE),2))</f>
        <v>0</v>
      </c>
      <c r="CL708" s="122">
        <f t="shared" ref="CL708:CL771" si="180">IF(CK$1014&gt;0,0,IF(ISBLANK(W708),0,MONTH(W708)))</f>
        <v>0</v>
      </c>
      <c r="CM708" s="524" t="str">
        <f t="shared" si="169"/>
        <v/>
      </c>
      <c r="CN708" s="526">
        <f t="shared" si="170"/>
        <v>0</v>
      </c>
      <c r="CO708" s="122">
        <f t="shared" si="171"/>
        <v>0</v>
      </c>
      <c r="CP708" s="45" t="str">
        <f t="shared" ref="CP708:CP771" si="181">IF(ISBLANK(AC708),Q$1,AC708)</f>
        <v>1 - in MILLESIMI   I</v>
      </c>
      <c r="CQ708" s="1"/>
    </row>
    <row r="709" spans="1:95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435">
        <f>IF(AND(W709&gt;=$U$1,W709&lt;=$U$2),IF(X709='ESTRATTO CONTO'!$E$2,1+COUNTIF(U$4:U708,"&gt;0"),0),0)</f>
        <v>0</v>
      </c>
      <c r="V709" s="417">
        <f t="shared" si="172"/>
        <v>706</v>
      </c>
      <c r="W709" s="509"/>
      <c r="X709" s="321"/>
      <c r="Y709" s="321"/>
      <c r="Z709" s="433"/>
      <c r="AA709" s="918">
        <f t="shared" si="176"/>
        <v>1</v>
      </c>
      <c r="AB709" s="306" t="str">
        <f t="shared" si="177"/>
        <v/>
      </c>
      <c r="AC709" s="788"/>
      <c r="AD709" s="119">
        <f t="shared" si="175"/>
        <v>0</v>
      </c>
      <c r="AE709" s="108">
        <f t="shared" si="175"/>
        <v>0</v>
      </c>
      <c r="AF709" s="108">
        <f t="shared" si="175"/>
        <v>0</v>
      </c>
      <c r="AG709" s="108"/>
      <c r="AH709" s="108"/>
      <c r="AI709" s="108"/>
      <c r="AJ709" s="108"/>
      <c r="AK709" s="108"/>
      <c r="AL709" s="108">
        <f t="shared" si="178"/>
        <v>0</v>
      </c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20">
        <f t="shared" si="179"/>
        <v>0</v>
      </c>
      <c r="CL709" s="122">
        <f t="shared" si="180"/>
        <v>0</v>
      </c>
      <c r="CM709" s="524" t="str">
        <f t="shared" ref="CM709:CM772" si="182">IF(X709="","",IF(ISERROR(VLOOKUP(X709,B$9:E$45,1,FALSE)),1,0))</f>
        <v/>
      </c>
      <c r="CN709" s="526">
        <f t="shared" ref="CN709:CN772" si="183">IF(AND(W709&gt;=CN$1,W709&lt;=CN$2),Z709,0)</f>
        <v>0</v>
      </c>
      <c r="CO709" s="122">
        <f t="shared" ref="CO709:CO772" si="184">IF(CN709&lt;&gt;0,X709,0)</f>
        <v>0</v>
      </c>
      <c r="CP709" s="45" t="str">
        <f t="shared" si="181"/>
        <v>1 - in MILLESIMI   I</v>
      </c>
      <c r="CQ709" s="1"/>
    </row>
    <row r="710" spans="1:95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435">
        <f>IF(AND(W710&gt;=$U$1,W710&lt;=$U$2),IF(X710='ESTRATTO CONTO'!$E$2,1+COUNTIF(U$4:U709,"&gt;0"),0),0)</f>
        <v>0</v>
      </c>
      <c r="V710" s="417">
        <f t="shared" ref="V710:V773" si="185">V709+1</f>
        <v>707</v>
      </c>
      <c r="W710" s="509"/>
      <c r="X710" s="321"/>
      <c r="Y710" s="321"/>
      <c r="Z710" s="433"/>
      <c r="AA710" s="918">
        <f t="shared" si="176"/>
        <v>1</v>
      </c>
      <c r="AB710" s="306" t="str">
        <f t="shared" si="177"/>
        <v/>
      </c>
      <c r="AC710" s="788"/>
      <c r="AD710" s="119">
        <f t="shared" si="175"/>
        <v>0</v>
      </c>
      <c r="AE710" s="108">
        <f t="shared" si="175"/>
        <v>0</v>
      </c>
      <c r="AF710" s="108">
        <f t="shared" si="175"/>
        <v>0</v>
      </c>
      <c r="AG710" s="108"/>
      <c r="AH710" s="108"/>
      <c r="AI710" s="108"/>
      <c r="AJ710" s="108"/>
      <c r="AK710" s="108"/>
      <c r="AL710" s="108">
        <f t="shared" si="178"/>
        <v>0</v>
      </c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20">
        <f t="shared" si="179"/>
        <v>0</v>
      </c>
      <c r="CL710" s="122">
        <f t="shared" si="180"/>
        <v>0</v>
      </c>
      <c r="CM710" s="524" t="str">
        <f t="shared" si="182"/>
        <v/>
      </c>
      <c r="CN710" s="526">
        <f t="shared" si="183"/>
        <v>0</v>
      </c>
      <c r="CO710" s="122">
        <f t="shared" si="184"/>
        <v>0</v>
      </c>
      <c r="CP710" s="45" t="str">
        <f t="shared" si="181"/>
        <v>1 - in MILLESIMI   I</v>
      </c>
      <c r="CQ710" s="1"/>
    </row>
    <row r="711" spans="1:95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435">
        <f>IF(AND(W711&gt;=$U$1,W711&lt;=$U$2),IF(X711='ESTRATTO CONTO'!$E$2,1+COUNTIF(U$4:U710,"&gt;0"),0),0)</f>
        <v>0</v>
      </c>
      <c r="V711" s="417">
        <f t="shared" si="185"/>
        <v>708</v>
      </c>
      <c r="W711" s="509"/>
      <c r="X711" s="321"/>
      <c r="Y711" s="321"/>
      <c r="Z711" s="433"/>
      <c r="AA711" s="918">
        <f t="shared" si="176"/>
        <v>1</v>
      </c>
      <c r="AB711" s="306" t="str">
        <f t="shared" si="177"/>
        <v/>
      </c>
      <c r="AC711" s="788"/>
      <c r="AD711" s="119">
        <f t="shared" si="175"/>
        <v>0</v>
      </c>
      <c r="AE711" s="108">
        <f t="shared" si="175"/>
        <v>0</v>
      </c>
      <c r="AF711" s="108">
        <f t="shared" si="175"/>
        <v>0</v>
      </c>
      <c r="AG711" s="108"/>
      <c r="AH711" s="108"/>
      <c r="AI711" s="108"/>
      <c r="AJ711" s="108"/>
      <c r="AK711" s="108"/>
      <c r="AL711" s="108">
        <f t="shared" si="178"/>
        <v>0</v>
      </c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20">
        <f t="shared" si="179"/>
        <v>0</v>
      </c>
      <c r="CL711" s="122">
        <f t="shared" si="180"/>
        <v>0</v>
      </c>
      <c r="CM711" s="524" t="str">
        <f t="shared" si="182"/>
        <v/>
      </c>
      <c r="CN711" s="526">
        <f t="shared" si="183"/>
        <v>0</v>
      </c>
      <c r="CO711" s="122">
        <f t="shared" si="184"/>
        <v>0</v>
      </c>
      <c r="CP711" s="45" t="str">
        <f t="shared" si="181"/>
        <v>1 - in MILLESIMI   I</v>
      </c>
      <c r="CQ711" s="1"/>
    </row>
    <row r="712" spans="1:95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435">
        <f>IF(AND(W712&gt;=$U$1,W712&lt;=$U$2),IF(X712='ESTRATTO CONTO'!$E$2,1+COUNTIF(U$4:U711,"&gt;0"),0),0)</f>
        <v>0</v>
      </c>
      <c r="V712" s="417">
        <f t="shared" si="185"/>
        <v>709</v>
      </c>
      <c r="W712" s="509"/>
      <c r="X712" s="321"/>
      <c r="Y712" s="321"/>
      <c r="Z712" s="433"/>
      <c r="AA712" s="918">
        <f t="shared" si="176"/>
        <v>1</v>
      </c>
      <c r="AB712" s="306" t="str">
        <f t="shared" si="177"/>
        <v/>
      </c>
      <c r="AC712" s="788"/>
      <c r="AD712" s="119">
        <f t="shared" si="175"/>
        <v>0</v>
      </c>
      <c r="AE712" s="108">
        <f t="shared" si="175"/>
        <v>0</v>
      </c>
      <c r="AF712" s="108">
        <f t="shared" si="175"/>
        <v>0</v>
      </c>
      <c r="AG712" s="108"/>
      <c r="AH712" s="108"/>
      <c r="AI712" s="108"/>
      <c r="AJ712" s="108"/>
      <c r="AK712" s="108"/>
      <c r="AL712" s="108">
        <f t="shared" si="178"/>
        <v>0</v>
      </c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20">
        <f t="shared" si="179"/>
        <v>0</v>
      </c>
      <c r="CL712" s="122">
        <f t="shared" si="180"/>
        <v>0</v>
      </c>
      <c r="CM712" s="524" t="str">
        <f t="shared" si="182"/>
        <v/>
      </c>
      <c r="CN712" s="526">
        <f t="shared" si="183"/>
        <v>0</v>
      </c>
      <c r="CO712" s="122">
        <f t="shared" si="184"/>
        <v>0</v>
      </c>
      <c r="CP712" s="45" t="str">
        <f t="shared" si="181"/>
        <v>1 - in MILLESIMI   I</v>
      </c>
      <c r="CQ712" s="1"/>
    </row>
    <row r="713" spans="1:95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435">
        <f>IF(AND(W713&gt;=$U$1,W713&lt;=$U$2),IF(X713='ESTRATTO CONTO'!$E$2,1+COUNTIF(U$4:U712,"&gt;0"),0),0)</f>
        <v>0</v>
      </c>
      <c r="V713" s="417">
        <f t="shared" si="185"/>
        <v>710</v>
      </c>
      <c r="W713" s="509"/>
      <c r="X713" s="321"/>
      <c r="Y713" s="321"/>
      <c r="Z713" s="433"/>
      <c r="AA713" s="918">
        <f t="shared" si="176"/>
        <v>1</v>
      </c>
      <c r="AB713" s="306" t="str">
        <f t="shared" si="177"/>
        <v/>
      </c>
      <c r="AC713" s="788"/>
      <c r="AD713" s="119">
        <f t="shared" si="175"/>
        <v>0</v>
      </c>
      <c r="AE713" s="108">
        <f t="shared" si="175"/>
        <v>0</v>
      </c>
      <c r="AF713" s="108">
        <f t="shared" si="175"/>
        <v>0</v>
      </c>
      <c r="AG713" s="108"/>
      <c r="AH713" s="108"/>
      <c r="AI713" s="108"/>
      <c r="AJ713" s="108"/>
      <c r="AK713" s="108"/>
      <c r="AL713" s="108">
        <f t="shared" si="178"/>
        <v>0</v>
      </c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20">
        <f t="shared" si="179"/>
        <v>0</v>
      </c>
      <c r="CL713" s="122">
        <f t="shared" si="180"/>
        <v>0</v>
      </c>
      <c r="CM713" s="524" t="str">
        <f t="shared" si="182"/>
        <v/>
      </c>
      <c r="CN713" s="526">
        <f t="shared" si="183"/>
        <v>0</v>
      </c>
      <c r="CO713" s="122">
        <f t="shared" si="184"/>
        <v>0</v>
      </c>
      <c r="CP713" s="45" t="str">
        <f t="shared" si="181"/>
        <v>1 - in MILLESIMI   I</v>
      </c>
      <c r="CQ713" s="1"/>
    </row>
    <row r="714" spans="1:95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435">
        <f>IF(AND(W714&gt;=$U$1,W714&lt;=$U$2),IF(X714='ESTRATTO CONTO'!$E$2,1+COUNTIF(U$4:U713,"&gt;0"),0),0)</f>
        <v>0</v>
      </c>
      <c r="V714" s="417">
        <f t="shared" si="185"/>
        <v>711</v>
      </c>
      <c r="W714" s="509"/>
      <c r="X714" s="321"/>
      <c r="Y714" s="321"/>
      <c r="Z714" s="433"/>
      <c r="AA714" s="918">
        <f t="shared" si="176"/>
        <v>1</v>
      </c>
      <c r="AB714" s="306" t="str">
        <f t="shared" si="177"/>
        <v/>
      </c>
      <c r="AC714" s="788"/>
      <c r="AD714" s="119">
        <f t="shared" si="175"/>
        <v>0</v>
      </c>
      <c r="AE714" s="108">
        <f t="shared" si="175"/>
        <v>0</v>
      </c>
      <c r="AF714" s="108">
        <f t="shared" si="175"/>
        <v>0</v>
      </c>
      <c r="AG714" s="108"/>
      <c r="AH714" s="108"/>
      <c r="AI714" s="108"/>
      <c r="AJ714" s="108"/>
      <c r="AK714" s="108"/>
      <c r="AL714" s="108">
        <f t="shared" si="178"/>
        <v>0</v>
      </c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20">
        <f t="shared" si="179"/>
        <v>0</v>
      </c>
      <c r="CL714" s="122">
        <f t="shared" si="180"/>
        <v>0</v>
      </c>
      <c r="CM714" s="524" t="str">
        <f t="shared" si="182"/>
        <v/>
      </c>
      <c r="CN714" s="526">
        <f t="shared" si="183"/>
        <v>0</v>
      </c>
      <c r="CO714" s="122">
        <f t="shared" si="184"/>
        <v>0</v>
      </c>
      <c r="CP714" s="45" t="str">
        <f t="shared" si="181"/>
        <v>1 - in MILLESIMI   I</v>
      </c>
      <c r="CQ714" s="1"/>
    </row>
    <row r="715" spans="1:95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435">
        <f>IF(AND(W715&gt;=$U$1,W715&lt;=$U$2),IF(X715='ESTRATTO CONTO'!$E$2,1+COUNTIF(U$4:U714,"&gt;0"),0),0)</f>
        <v>0</v>
      </c>
      <c r="V715" s="417">
        <f t="shared" si="185"/>
        <v>712</v>
      </c>
      <c r="W715" s="509"/>
      <c r="X715" s="321"/>
      <c r="Y715" s="321"/>
      <c r="Z715" s="433"/>
      <c r="AA715" s="918">
        <f t="shared" si="176"/>
        <v>1</v>
      </c>
      <c r="AB715" s="306" t="str">
        <f t="shared" si="177"/>
        <v/>
      </c>
      <c r="AC715" s="788"/>
      <c r="AD715" s="119">
        <f t="shared" si="175"/>
        <v>0</v>
      </c>
      <c r="AE715" s="108">
        <f t="shared" si="175"/>
        <v>0</v>
      </c>
      <c r="AF715" s="108">
        <f t="shared" si="175"/>
        <v>0</v>
      </c>
      <c r="AG715" s="108"/>
      <c r="AH715" s="108"/>
      <c r="AI715" s="108"/>
      <c r="AJ715" s="108"/>
      <c r="AK715" s="108"/>
      <c r="AL715" s="108">
        <f t="shared" si="178"/>
        <v>0</v>
      </c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20">
        <f t="shared" si="179"/>
        <v>0</v>
      </c>
      <c r="CL715" s="122">
        <f t="shared" si="180"/>
        <v>0</v>
      </c>
      <c r="CM715" s="524" t="str">
        <f t="shared" si="182"/>
        <v/>
      </c>
      <c r="CN715" s="526">
        <f t="shared" si="183"/>
        <v>0</v>
      </c>
      <c r="CO715" s="122">
        <f t="shared" si="184"/>
        <v>0</v>
      </c>
      <c r="CP715" s="45" t="str">
        <f t="shared" si="181"/>
        <v>1 - in MILLESIMI   I</v>
      </c>
      <c r="CQ715" s="1"/>
    </row>
    <row r="716" spans="1:95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435">
        <f>IF(AND(W716&gt;=$U$1,W716&lt;=$U$2),IF(X716='ESTRATTO CONTO'!$E$2,1+COUNTIF(U$4:U715,"&gt;0"),0),0)</f>
        <v>0</v>
      </c>
      <c r="V716" s="417">
        <f t="shared" si="185"/>
        <v>713</v>
      </c>
      <c r="W716" s="509"/>
      <c r="X716" s="321"/>
      <c r="Y716" s="321"/>
      <c r="Z716" s="433"/>
      <c r="AA716" s="918">
        <f t="shared" si="176"/>
        <v>1</v>
      </c>
      <c r="AB716" s="306" t="str">
        <f t="shared" si="177"/>
        <v/>
      </c>
      <c r="AC716" s="788"/>
      <c r="AD716" s="119">
        <f t="shared" si="175"/>
        <v>0</v>
      </c>
      <c r="AE716" s="108">
        <f t="shared" si="175"/>
        <v>0</v>
      </c>
      <c r="AF716" s="108">
        <f t="shared" si="175"/>
        <v>0</v>
      </c>
      <c r="AG716" s="108"/>
      <c r="AH716" s="108"/>
      <c r="AI716" s="108"/>
      <c r="AJ716" s="108"/>
      <c r="AK716" s="108"/>
      <c r="AL716" s="108">
        <f t="shared" si="178"/>
        <v>0</v>
      </c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20">
        <f t="shared" si="179"/>
        <v>0</v>
      </c>
      <c r="CL716" s="122">
        <f t="shared" si="180"/>
        <v>0</v>
      </c>
      <c r="CM716" s="524" t="str">
        <f t="shared" si="182"/>
        <v/>
      </c>
      <c r="CN716" s="526">
        <f t="shared" si="183"/>
        <v>0</v>
      </c>
      <c r="CO716" s="122">
        <f t="shared" si="184"/>
        <v>0</v>
      </c>
      <c r="CP716" s="45" t="str">
        <f t="shared" si="181"/>
        <v>1 - in MILLESIMI   I</v>
      </c>
      <c r="CQ716" s="1"/>
    </row>
    <row r="717" spans="1:95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435">
        <f>IF(AND(W717&gt;=$U$1,W717&lt;=$U$2),IF(X717='ESTRATTO CONTO'!$E$2,1+COUNTIF(U$4:U716,"&gt;0"),0),0)</f>
        <v>0</v>
      </c>
      <c r="V717" s="417">
        <f t="shared" si="185"/>
        <v>714</v>
      </c>
      <c r="W717" s="509"/>
      <c r="X717" s="321"/>
      <c r="Y717" s="321"/>
      <c r="Z717" s="433"/>
      <c r="AA717" s="918">
        <f t="shared" si="176"/>
        <v>1</v>
      </c>
      <c r="AB717" s="306" t="str">
        <f t="shared" si="177"/>
        <v/>
      </c>
      <c r="AC717" s="788"/>
      <c r="AD717" s="119">
        <f t="shared" si="175"/>
        <v>0</v>
      </c>
      <c r="AE717" s="108">
        <f t="shared" si="175"/>
        <v>0</v>
      </c>
      <c r="AF717" s="108">
        <f t="shared" si="175"/>
        <v>0</v>
      </c>
      <c r="AG717" s="108"/>
      <c r="AH717" s="108"/>
      <c r="AI717" s="108"/>
      <c r="AJ717" s="108"/>
      <c r="AK717" s="108"/>
      <c r="AL717" s="108">
        <f t="shared" si="178"/>
        <v>0</v>
      </c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20">
        <f t="shared" si="179"/>
        <v>0</v>
      </c>
      <c r="CL717" s="122">
        <f t="shared" si="180"/>
        <v>0</v>
      </c>
      <c r="CM717" s="524" t="str">
        <f t="shared" si="182"/>
        <v/>
      </c>
      <c r="CN717" s="526">
        <f t="shared" si="183"/>
        <v>0</v>
      </c>
      <c r="CO717" s="122">
        <f t="shared" si="184"/>
        <v>0</v>
      </c>
      <c r="CP717" s="45" t="str">
        <f t="shared" si="181"/>
        <v>1 - in MILLESIMI   I</v>
      </c>
      <c r="CQ717" s="1"/>
    </row>
    <row r="718" spans="1:95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435">
        <f>IF(AND(W718&gt;=$U$1,W718&lt;=$U$2),IF(X718='ESTRATTO CONTO'!$E$2,1+COUNTIF(U$4:U717,"&gt;0"),0),0)</f>
        <v>0</v>
      </c>
      <c r="V718" s="417">
        <f t="shared" si="185"/>
        <v>715</v>
      </c>
      <c r="W718" s="509"/>
      <c r="X718" s="321"/>
      <c r="Y718" s="321"/>
      <c r="Z718" s="433"/>
      <c r="AA718" s="918">
        <f t="shared" si="176"/>
        <v>1</v>
      </c>
      <c r="AB718" s="306" t="str">
        <f t="shared" si="177"/>
        <v/>
      </c>
      <c r="AC718" s="788"/>
      <c r="AD718" s="119">
        <f t="shared" si="175"/>
        <v>0</v>
      </c>
      <c r="AE718" s="108">
        <f t="shared" si="175"/>
        <v>0</v>
      </c>
      <c r="AF718" s="108">
        <f t="shared" si="175"/>
        <v>0</v>
      </c>
      <c r="AG718" s="108"/>
      <c r="AH718" s="108"/>
      <c r="AI718" s="108"/>
      <c r="AJ718" s="108"/>
      <c r="AK718" s="108"/>
      <c r="AL718" s="108">
        <f t="shared" si="178"/>
        <v>0</v>
      </c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20">
        <f t="shared" si="179"/>
        <v>0</v>
      </c>
      <c r="CL718" s="122">
        <f t="shared" si="180"/>
        <v>0</v>
      </c>
      <c r="CM718" s="524" t="str">
        <f t="shared" si="182"/>
        <v/>
      </c>
      <c r="CN718" s="526">
        <f t="shared" si="183"/>
        <v>0</v>
      </c>
      <c r="CO718" s="122">
        <f t="shared" si="184"/>
        <v>0</v>
      </c>
      <c r="CP718" s="45" t="str">
        <f t="shared" si="181"/>
        <v>1 - in MILLESIMI   I</v>
      </c>
      <c r="CQ718" s="1"/>
    </row>
    <row r="719" spans="1:95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435">
        <f>IF(AND(W719&gt;=$U$1,W719&lt;=$U$2),IF(X719='ESTRATTO CONTO'!$E$2,1+COUNTIF(U$4:U718,"&gt;0"),0),0)</f>
        <v>0</v>
      </c>
      <c r="V719" s="417">
        <f t="shared" si="185"/>
        <v>716</v>
      </c>
      <c r="W719" s="509"/>
      <c r="X719" s="321"/>
      <c r="Y719" s="321"/>
      <c r="Z719" s="433"/>
      <c r="AA719" s="918">
        <f t="shared" si="176"/>
        <v>1</v>
      </c>
      <c r="AB719" s="306" t="str">
        <f t="shared" si="177"/>
        <v/>
      </c>
      <c r="AC719" s="788"/>
      <c r="AD719" s="119">
        <f t="shared" si="175"/>
        <v>0</v>
      </c>
      <c r="AE719" s="108">
        <f t="shared" si="175"/>
        <v>0</v>
      </c>
      <c r="AF719" s="108">
        <f t="shared" si="175"/>
        <v>0</v>
      </c>
      <c r="AG719" s="108"/>
      <c r="AH719" s="108"/>
      <c r="AI719" s="108"/>
      <c r="AJ719" s="108"/>
      <c r="AK719" s="108"/>
      <c r="AL719" s="108">
        <f t="shared" si="178"/>
        <v>0</v>
      </c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20">
        <f t="shared" si="179"/>
        <v>0</v>
      </c>
      <c r="CL719" s="122">
        <f t="shared" si="180"/>
        <v>0</v>
      </c>
      <c r="CM719" s="524" t="str">
        <f t="shared" si="182"/>
        <v/>
      </c>
      <c r="CN719" s="526">
        <f t="shared" si="183"/>
        <v>0</v>
      </c>
      <c r="CO719" s="122">
        <f t="shared" si="184"/>
        <v>0</v>
      </c>
      <c r="CP719" s="45" t="str">
        <f t="shared" si="181"/>
        <v>1 - in MILLESIMI   I</v>
      </c>
      <c r="CQ719" s="1"/>
    </row>
    <row r="720" spans="1:95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435">
        <f>IF(AND(W720&gt;=$U$1,W720&lt;=$U$2),IF(X720='ESTRATTO CONTO'!$E$2,1+COUNTIF(U$4:U719,"&gt;0"),0),0)</f>
        <v>0</v>
      </c>
      <c r="V720" s="417">
        <f t="shared" si="185"/>
        <v>717</v>
      </c>
      <c r="W720" s="509"/>
      <c r="X720" s="321"/>
      <c r="Y720" s="321"/>
      <c r="Z720" s="433"/>
      <c r="AA720" s="918">
        <f t="shared" si="176"/>
        <v>1</v>
      </c>
      <c r="AB720" s="306" t="str">
        <f t="shared" si="177"/>
        <v/>
      </c>
      <c r="AC720" s="788"/>
      <c r="AD720" s="119">
        <f t="shared" si="175"/>
        <v>0</v>
      </c>
      <c r="AE720" s="108">
        <f t="shared" si="175"/>
        <v>0</v>
      </c>
      <c r="AF720" s="108">
        <f t="shared" si="175"/>
        <v>0</v>
      </c>
      <c r="AG720" s="108"/>
      <c r="AH720" s="108"/>
      <c r="AI720" s="108"/>
      <c r="AJ720" s="108"/>
      <c r="AK720" s="108"/>
      <c r="AL720" s="108">
        <f t="shared" si="178"/>
        <v>0</v>
      </c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20">
        <f t="shared" si="179"/>
        <v>0</v>
      </c>
      <c r="CL720" s="122">
        <f t="shared" si="180"/>
        <v>0</v>
      </c>
      <c r="CM720" s="524" t="str">
        <f t="shared" si="182"/>
        <v/>
      </c>
      <c r="CN720" s="526">
        <f t="shared" si="183"/>
        <v>0</v>
      </c>
      <c r="CO720" s="122">
        <f t="shared" si="184"/>
        <v>0</v>
      </c>
      <c r="CP720" s="45" t="str">
        <f t="shared" si="181"/>
        <v>1 - in MILLESIMI   I</v>
      </c>
      <c r="CQ720" s="1"/>
    </row>
    <row r="721" spans="1:95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435">
        <f>IF(AND(W721&gt;=$U$1,W721&lt;=$U$2),IF(X721='ESTRATTO CONTO'!$E$2,1+COUNTIF(U$4:U720,"&gt;0"),0),0)</f>
        <v>0</v>
      </c>
      <c r="V721" s="417">
        <f t="shared" si="185"/>
        <v>718</v>
      </c>
      <c r="W721" s="509"/>
      <c r="X721" s="321"/>
      <c r="Y721" s="321"/>
      <c r="Z721" s="433"/>
      <c r="AA721" s="918">
        <f t="shared" si="176"/>
        <v>1</v>
      </c>
      <c r="AB721" s="306" t="str">
        <f t="shared" si="177"/>
        <v/>
      </c>
      <c r="AC721" s="788"/>
      <c r="AD721" s="119">
        <f t="shared" si="175"/>
        <v>0</v>
      </c>
      <c r="AE721" s="108">
        <f t="shared" si="175"/>
        <v>0</v>
      </c>
      <c r="AF721" s="108">
        <f t="shared" si="175"/>
        <v>0</v>
      </c>
      <c r="AG721" s="108"/>
      <c r="AH721" s="108"/>
      <c r="AI721" s="108"/>
      <c r="AJ721" s="108"/>
      <c r="AK721" s="108"/>
      <c r="AL721" s="108">
        <f t="shared" si="178"/>
        <v>0</v>
      </c>
      <c r="AM721" s="108"/>
      <c r="AN721" s="108"/>
      <c r="AO721" s="108"/>
      <c r="AP721" s="108"/>
      <c r="AQ721" s="108"/>
      <c r="AR721" s="108"/>
      <c r="AS721" s="108"/>
      <c r="AT721" s="108"/>
      <c r="AU721" s="108"/>
      <c r="AV721" s="108"/>
      <c r="AW721" s="108"/>
      <c r="AX721" s="108"/>
      <c r="AY721" s="108"/>
      <c r="AZ721" s="108"/>
      <c r="BA721" s="108"/>
      <c r="BB721" s="108"/>
      <c r="BC721" s="108"/>
      <c r="BD721" s="108"/>
      <c r="BE721" s="108"/>
      <c r="BF721" s="108"/>
      <c r="BG721" s="108"/>
      <c r="BH721" s="108"/>
      <c r="BI721" s="108"/>
      <c r="BJ721" s="108"/>
      <c r="BK721" s="108"/>
      <c r="BL721" s="108"/>
      <c r="BM721" s="108"/>
      <c r="BN721" s="108"/>
      <c r="BO721" s="108"/>
      <c r="BP721" s="108"/>
      <c r="BQ721" s="108"/>
      <c r="BR721" s="108"/>
      <c r="BS721" s="108"/>
      <c r="BT721" s="108"/>
      <c r="BU721" s="108"/>
      <c r="BV721" s="108"/>
      <c r="BW721" s="108"/>
      <c r="BX721" s="108"/>
      <c r="BY721" s="108"/>
      <c r="BZ721" s="108"/>
      <c r="CA721" s="108"/>
      <c r="CB721" s="108"/>
      <c r="CC721" s="108"/>
      <c r="CD721" s="108"/>
      <c r="CE721" s="108"/>
      <c r="CF721" s="108"/>
      <c r="CG721" s="108"/>
      <c r="CH721" s="108"/>
      <c r="CI721" s="108"/>
      <c r="CJ721" s="108"/>
      <c r="CK721" s="120">
        <f t="shared" si="179"/>
        <v>0</v>
      </c>
      <c r="CL721" s="122">
        <f t="shared" si="180"/>
        <v>0</v>
      </c>
      <c r="CM721" s="524" t="str">
        <f t="shared" si="182"/>
        <v/>
      </c>
      <c r="CN721" s="526">
        <f t="shared" si="183"/>
        <v>0</v>
      </c>
      <c r="CO721" s="122">
        <f t="shared" si="184"/>
        <v>0</v>
      </c>
      <c r="CP721" s="45" t="str">
        <f t="shared" si="181"/>
        <v>1 - in MILLESIMI   I</v>
      </c>
      <c r="CQ721" s="1"/>
    </row>
    <row r="722" spans="1:95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435">
        <f>IF(AND(W722&gt;=$U$1,W722&lt;=$U$2),IF(X722='ESTRATTO CONTO'!$E$2,1+COUNTIF(U$4:U721,"&gt;0"),0),0)</f>
        <v>0</v>
      </c>
      <c r="V722" s="417">
        <f t="shared" si="185"/>
        <v>719</v>
      </c>
      <c r="W722" s="509"/>
      <c r="X722" s="321"/>
      <c r="Y722" s="321"/>
      <c r="Z722" s="433"/>
      <c r="AA722" s="918">
        <f t="shared" si="176"/>
        <v>1</v>
      </c>
      <c r="AB722" s="306" t="str">
        <f t="shared" si="177"/>
        <v/>
      </c>
      <c r="AC722" s="788"/>
      <c r="AD722" s="119">
        <f t="shared" si="175"/>
        <v>0</v>
      </c>
      <c r="AE722" s="108">
        <f t="shared" si="175"/>
        <v>0</v>
      </c>
      <c r="AF722" s="108">
        <f t="shared" si="175"/>
        <v>0</v>
      </c>
      <c r="AG722" s="108"/>
      <c r="AH722" s="108"/>
      <c r="AI722" s="108"/>
      <c r="AJ722" s="108"/>
      <c r="AK722" s="108"/>
      <c r="AL722" s="108">
        <f t="shared" si="178"/>
        <v>0</v>
      </c>
      <c r="AM722" s="108"/>
      <c r="AN722" s="108"/>
      <c r="AO722" s="108"/>
      <c r="AP722" s="108"/>
      <c r="AQ722" s="108"/>
      <c r="AR722" s="108"/>
      <c r="AS722" s="108"/>
      <c r="AT722" s="108"/>
      <c r="AU722" s="108"/>
      <c r="AV722" s="108"/>
      <c r="AW722" s="108"/>
      <c r="AX722" s="108"/>
      <c r="AY722" s="108"/>
      <c r="AZ722" s="108"/>
      <c r="BA722" s="108"/>
      <c r="BB722" s="108"/>
      <c r="BC722" s="108"/>
      <c r="BD722" s="108"/>
      <c r="BE722" s="108"/>
      <c r="BF722" s="108"/>
      <c r="BG722" s="108"/>
      <c r="BH722" s="108"/>
      <c r="BI722" s="108"/>
      <c r="BJ722" s="108"/>
      <c r="BK722" s="108"/>
      <c r="BL722" s="108"/>
      <c r="BM722" s="108"/>
      <c r="BN722" s="108"/>
      <c r="BO722" s="108"/>
      <c r="BP722" s="108"/>
      <c r="BQ722" s="108"/>
      <c r="BR722" s="108"/>
      <c r="BS722" s="108"/>
      <c r="BT722" s="108"/>
      <c r="BU722" s="108"/>
      <c r="BV722" s="108"/>
      <c r="BW722" s="108"/>
      <c r="BX722" s="108"/>
      <c r="BY722" s="108"/>
      <c r="BZ722" s="108"/>
      <c r="CA722" s="108"/>
      <c r="CB722" s="108"/>
      <c r="CC722" s="108"/>
      <c r="CD722" s="108"/>
      <c r="CE722" s="108"/>
      <c r="CF722" s="108"/>
      <c r="CG722" s="108"/>
      <c r="CH722" s="108"/>
      <c r="CI722" s="108"/>
      <c r="CJ722" s="108"/>
      <c r="CK722" s="120">
        <f t="shared" si="179"/>
        <v>0</v>
      </c>
      <c r="CL722" s="122">
        <f t="shared" si="180"/>
        <v>0</v>
      </c>
      <c r="CM722" s="524" t="str">
        <f t="shared" si="182"/>
        <v/>
      </c>
      <c r="CN722" s="526">
        <f t="shared" si="183"/>
        <v>0</v>
      </c>
      <c r="CO722" s="122">
        <f t="shared" si="184"/>
        <v>0</v>
      </c>
      <c r="CP722" s="45" t="str">
        <f t="shared" si="181"/>
        <v>1 - in MILLESIMI   I</v>
      </c>
      <c r="CQ722" s="1"/>
    </row>
    <row r="723" spans="1:95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435">
        <f>IF(AND(W723&gt;=$U$1,W723&lt;=$U$2),IF(X723='ESTRATTO CONTO'!$E$2,1+COUNTIF(U$4:U722,"&gt;0"),0),0)</f>
        <v>0</v>
      </c>
      <c r="V723" s="417">
        <f t="shared" si="185"/>
        <v>720</v>
      </c>
      <c r="W723" s="509"/>
      <c r="X723" s="321"/>
      <c r="Y723" s="321"/>
      <c r="Z723" s="433"/>
      <c r="AA723" s="918">
        <f t="shared" si="176"/>
        <v>1</v>
      </c>
      <c r="AB723" s="306" t="str">
        <f t="shared" si="177"/>
        <v/>
      </c>
      <c r="AC723" s="788"/>
      <c r="AD723" s="119">
        <f t="shared" si="175"/>
        <v>0</v>
      </c>
      <c r="AE723" s="108">
        <f t="shared" si="175"/>
        <v>0</v>
      </c>
      <c r="AF723" s="108">
        <f t="shared" si="175"/>
        <v>0</v>
      </c>
      <c r="AG723" s="108"/>
      <c r="AH723" s="108"/>
      <c r="AI723" s="108"/>
      <c r="AJ723" s="108"/>
      <c r="AK723" s="108"/>
      <c r="AL723" s="108">
        <f t="shared" si="178"/>
        <v>0</v>
      </c>
      <c r="AM723" s="108"/>
      <c r="AN723" s="108"/>
      <c r="AO723" s="108"/>
      <c r="AP723" s="108"/>
      <c r="AQ723" s="108"/>
      <c r="AR723" s="108"/>
      <c r="AS723" s="108"/>
      <c r="AT723" s="108"/>
      <c r="AU723" s="108"/>
      <c r="AV723" s="108"/>
      <c r="AW723" s="108"/>
      <c r="AX723" s="108"/>
      <c r="AY723" s="108"/>
      <c r="AZ723" s="108"/>
      <c r="BA723" s="108"/>
      <c r="BB723" s="108"/>
      <c r="BC723" s="108"/>
      <c r="BD723" s="108"/>
      <c r="BE723" s="108"/>
      <c r="BF723" s="108"/>
      <c r="BG723" s="108"/>
      <c r="BH723" s="108"/>
      <c r="BI723" s="108"/>
      <c r="BJ723" s="108"/>
      <c r="BK723" s="108"/>
      <c r="BL723" s="108"/>
      <c r="BM723" s="108"/>
      <c r="BN723" s="108"/>
      <c r="BO723" s="108"/>
      <c r="BP723" s="108"/>
      <c r="BQ723" s="108"/>
      <c r="BR723" s="108"/>
      <c r="BS723" s="108"/>
      <c r="BT723" s="108"/>
      <c r="BU723" s="108"/>
      <c r="BV723" s="108"/>
      <c r="BW723" s="108"/>
      <c r="BX723" s="108"/>
      <c r="BY723" s="108"/>
      <c r="BZ723" s="108"/>
      <c r="CA723" s="108"/>
      <c r="CB723" s="108"/>
      <c r="CC723" s="108"/>
      <c r="CD723" s="108"/>
      <c r="CE723" s="108"/>
      <c r="CF723" s="108"/>
      <c r="CG723" s="108"/>
      <c r="CH723" s="108"/>
      <c r="CI723" s="108"/>
      <c r="CJ723" s="108"/>
      <c r="CK723" s="120">
        <f t="shared" si="179"/>
        <v>0</v>
      </c>
      <c r="CL723" s="122">
        <f t="shared" si="180"/>
        <v>0</v>
      </c>
      <c r="CM723" s="524" t="str">
        <f t="shared" si="182"/>
        <v/>
      </c>
      <c r="CN723" s="526">
        <f t="shared" si="183"/>
        <v>0</v>
      </c>
      <c r="CO723" s="122">
        <f t="shared" si="184"/>
        <v>0</v>
      </c>
      <c r="CP723" s="45" t="str">
        <f t="shared" si="181"/>
        <v>1 - in MILLESIMI   I</v>
      </c>
      <c r="CQ723" s="1"/>
    </row>
    <row r="724" spans="1:95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435">
        <f>IF(AND(W724&gt;=$U$1,W724&lt;=$U$2),IF(X724='ESTRATTO CONTO'!$E$2,1+COUNTIF(U$4:U723,"&gt;0"),0),0)</f>
        <v>0</v>
      </c>
      <c r="V724" s="417">
        <f t="shared" si="185"/>
        <v>721</v>
      </c>
      <c r="W724" s="509"/>
      <c r="X724" s="321"/>
      <c r="Y724" s="321"/>
      <c r="Z724" s="433"/>
      <c r="AA724" s="918">
        <f t="shared" si="176"/>
        <v>1</v>
      </c>
      <c r="AB724" s="306" t="str">
        <f t="shared" si="177"/>
        <v/>
      </c>
      <c r="AC724" s="788"/>
      <c r="AD724" s="119">
        <f t="shared" ref="AD724:AF743" si="186">IF($AB724=0,0,ROUND($Z724*VLOOKUP(AD$2,$F$1010:$Q$1014,VLOOKUP($CP724,$C$1076:$E$1081,3,FALSE),FALSE),2))</f>
        <v>0</v>
      </c>
      <c r="AE724" s="108">
        <f t="shared" si="186"/>
        <v>0</v>
      </c>
      <c r="AF724" s="108">
        <f t="shared" si="186"/>
        <v>0</v>
      </c>
      <c r="AG724" s="108"/>
      <c r="AH724" s="108"/>
      <c r="AI724" s="108"/>
      <c r="AJ724" s="108"/>
      <c r="AK724" s="108"/>
      <c r="AL724" s="108">
        <f t="shared" si="178"/>
        <v>0</v>
      </c>
      <c r="AM724" s="108"/>
      <c r="AN724" s="108"/>
      <c r="AO724" s="108"/>
      <c r="AP724" s="108"/>
      <c r="AQ724" s="108"/>
      <c r="AR724" s="108"/>
      <c r="AS724" s="108"/>
      <c r="AT724" s="108"/>
      <c r="AU724" s="108"/>
      <c r="AV724" s="108"/>
      <c r="AW724" s="108"/>
      <c r="AX724" s="108"/>
      <c r="AY724" s="108"/>
      <c r="AZ724" s="108"/>
      <c r="BA724" s="108"/>
      <c r="BB724" s="108"/>
      <c r="BC724" s="108"/>
      <c r="BD724" s="108"/>
      <c r="BE724" s="108"/>
      <c r="BF724" s="108"/>
      <c r="BG724" s="108"/>
      <c r="BH724" s="108"/>
      <c r="BI724" s="108"/>
      <c r="BJ724" s="108"/>
      <c r="BK724" s="108"/>
      <c r="BL724" s="108"/>
      <c r="BM724" s="108"/>
      <c r="BN724" s="108"/>
      <c r="BO724" s="108"/>
      <c r="BP724" s="108"/>
      <c r="BQ724" s="108"/>
      <c r="BR724" s="108"/>
      <c r="BS724" s="108"/>
      <c r="BT724" s="108"/>
      <c r="BU724" s="108"/>
      <c r="BV724" s="108"/>
      <c r="BW724" s="108"/>
      <c r="BX724" s="108"/>
      <c r="BY724" s="108"/>
      <c r="BZ724" s="108"/>
      <c r="CA724" s="108"/>
      <c r="CB724" s="108"/>
      <c r="CC724" s="108"/>
      <c r="CD724" s="108"/>
      <c r="CE724" s="108"/>
      <c r="CF724" s="108"/>
      <c r="CG724" s="108"/>
      <c r="CH724" s="108"/>
      <c r="CI724" s="108"/>
      <c r="CJ724" s="108"/>
      <c r="CK724" s="120">
        <f t="shared" si="179"/>
        <v>0</v>
      </c>
      <c r="CL724" s="122">
        <f t="shared" si="180"/>
        <v>0</v>
      </c>
      <c r="CM724" s="524" t="str">
        <f t="shared" si="182"/>
        <v/>
      </c>
      <c r="CN724" s="526">
        <f t="shared" si="183"/>
        <v>0</v>
      </c>
      <c r="CO724" s="122">
        <f t="shared" si="184"/>
        <v>0</v>
      </c>
      <c r="CP724" s="45" t="str">
        <f t="shared" si="181"/>
        <v>1 - in MILLESIMI   I</v>
      </c>
      <c r="CQ724" s="1"/>
    </row>
    <row r="725" spans="1:95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435">
        <f>IF(AND(W725&gt;=$U$1,W725&lt;=$U$2),IF(X725='ESTRATTO CONTO'!$E$2,1+COUNTIF(U$4:U724,"&gt;0"),0),0)</f>
        <v>0</v>
      </c>
      <c r="V725" s="417">
        <f t="shared" si="185"/>
        <v>722</v>
      </c>
      <c r="W725" s="509"/>
      <c r="X725" s="321"/>
      <c r="Y725" s="321"/>
      <c r="Z725" s="433"/>
      <c r="AA725" s="918">
        <f t="shared" si="176"/>
        <v>1</v>
      </c>
      <c r="AB725" s="306" t="str">
        <f t="shared" si="177"/>
        <v/>
      </c>
      <c r="AC725" s="788"/>
      <c r="AD725" s="119">
        <f t="shared" si="186"/>
        <v>0</v>
      </c>
      <c r="AE725" s="108">
        <f t="shared" si="186"/>
        <v>0</v>
      </c>
      <c r="AF725" s="108">
        <f t="shared" si="186"/>
        <v>0</v>
      </c>
      <c r="AG725" s="108"/>
      <c r="AH725" s="108"/>
      <c r="AI725" s="108"/>
      <c r="AJ725" s="108"/>
      <c r="AK725" s="108"/>
      <c r="AL725" s="108">
        <f t="shared" si="178"/>
        <v>0</v>
      </c>
      <c r="AM725" s="108"/>
      <c r="AN725" s="108"/>
      <c r="AO725" s="108"/>
      <c r="AP725" s="108"/>
      <c r="AQ725" s="108"/>
      <c r="AR725" s="108"/>
      <c r="AS725" s="108"/>
      <c r="AT725" s="108"/>
      <c r="AU725" s="108"/>
      <c r="AV725" s="108"/>
      <c r="AW725" s="108"/>
      <c r="AX725" s="108"/>
      <c r="AY725" s="108"/>
      <c r="AZ725" s="108"/>
      <c r="BA725" s="108"/>
      <c r="BB725" s="108"/>
      <c r="BC725" s="108"/>
      <c r="BD725" s="108"/>
      <c r="BE725" s="108"/>
      <c r="BF725" s="108"/>
      <c r="BG725" s="108"/>
      <c r="BH725" s="108"/>
      <c r="BI725" s="108"/>
      <c r="BJ725" s="108"/>
      <c r="BK725" s="108"/>
      <c r="BL725" s="108"/>
      <c r="BM725" s="108"/>
      <c r="BN725" s="108"/>
      <c r="BO725" s="108"/>
      <c r="BP725" s="108"/>
      <c r="BQ725" s="108"/>
      <c r="BR725" s="108"/>
      <c r="BS725" s="108"/>
      <c r="BT725" s="108"/>
      <c r="BU725" s="108"/>
      <c r="BV725" s="108"/>
      <c r="BW725" s="108"/>
      <c r="BX725" s="108"/>
      <c r="BY725" s="108"/>
      <c r="BZ725" s="108"/>
      <c r="CA725" s="108"/>
      <c r="CB725" s="108"/>
      <c r="CC725" s="108"/>
      <c r="CD725" s="108"/>
      <c r="CE725" s="108"/>
      <c r="CF725" s="108"/>
      <c r="CG725" s="108"/>
      <c r="CH725" s="108"/>
      <c r="CI725" s="108"/>
      <c r="CJ725" s="108"/>
      <c r="CK725" s="120">
        <f t="shared" si="179"/>
        <v>0</v>
      </c>
      <c r="CL725" s="122">
        <f t="shared" si="180"/>
        <v>0</v>
      </c>
      <c r="CM725" s="524" t="str">
        <f t="shared" si="182"/>
        <v/>
      </c>
      <c r="CN725" s="526">
        <f t="shared" si="183"/>
        <v>0</v>
      </c>
      <c r="CO725" s="122">
        <f t="shared" si="184"/>
        <v>0</v>
      </c>
      <c r="CP725" s="45" t="str">
        <f t="shared" si="181"/>
        <v>1 - in MILLESIMI   I</v>
      </c>
      <c r="CQ725" s="1"/>
    </row>
    <row r="726" spans="1:95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435">
        <f>IF(AND(W726&gt;=$U$1,W726&lt;=$U$2),IF(X726='ESTRATTO CONTO'!$E$2,1+COUNTIF(U$4:U725,"&gt;0"),0),0)</f>
        <v>0</v>
      </c>
      <c r="V726" s="417">
        <f t="shared" si="185"/>
        <v>723</v>
      </c>
      <c r="W726" s="509"/>
      <c r="X726" s="321"/>
      <c r="Y726" s="321"/>
      <c r="Z726" s="433"/>
      <c r="AA726" s="918">
        <f t="shared" si="176"/>
        <v>1</v>
      </c>
      <c r="AB726" s="306" t="str">
        <f t="shared" si="177"/>
        <v/>
      </c>
      <c r="AC726" s="788"/>
      <c r="AD726" s="119">
        <f t="shared" si="186"/>
        <v>0</v>
      </c>
      <c r="AE726" s="108">
        <f t="shared" si="186"/>
        <v>0</v>
      </c>
      <c r="AF726" s="108">
        <f t="shared" si="186"/>
        <v>0</v>
      </c>
      <c r="AG726" s="108"/>
      <c r="AH726" s="108"/>
      <c r="AI726" s="108"/>
      <c r="AJ726" s="108"/>
      <c r="AK726" s="108"/>
      <c r="AL726" s="108">
        <f t="shared" si="178"/>
        <v>0</v>
      </c>
      <c r="AM726" s="108"/>
      <c r="AN726" s="108"/>
      <c r="AO726" s="108"/>
      <c r="AP726" s="108"/>
      <c r="AQ726" s="108"/>
      <c r="AR726" s="108"/>
      <c r="AS726" s="108"/>
      <c r="AT726" s="108"/>
      <c r="AU726" s="108"/>
      <c r="AV726" s="108"/>
      <c r="AW726" s="108"/>
      <c r="AX726" s="108"/>
      <c r="AY726" s="108"/>
      <c r="AZ726" s="108"/>
      <c r="BA726" s="108"/>
      <c r="BB726" s="108"/>
      <c r="BC726" s="108"/>
      <c r="BD726" s="108"/>
      <c r="BE726" s="108"/>
      <c r="BF726" s="108"/>
      <c r="BG726" s="108"/>
      <c r="BH726" s="108"/>
      <c r="BI726" s="108"/>
      <c r="BJ726" s="108"/>
      <c r="BK726" s="108"/>
      <c r="BL726" s="108"/>
      <c r="BM726" s="108"/>
      <c r="BN726" s="108"/>
      <c r="BO726" s="108"/>
      <c r="BP726" s="108"/>
      <c r="BQ726" s="108"/>
      <c r="BR726" s="108"/>
      <c r="BS726" s="108"/>
      <c r="BT726" s="108"/>
      <c r="BU726" s="108"/>
      <c r="BV726" s="108"/>
      <c r="BW726" s="108"/>
      <c r="BX726" s="108"/>
      <c r="BY726" s="108"/>
      <c r="BZ726" s="108"/>
      <c r="CA726" s="108"/>
      <c r="CB726" s="108"/>
      <c r="CC726" s="108"/>
      <c r="CD726" s="108"/>
      <c r="CE726" s="108"/>
      <c r="CF726" s="108"/>
      <c r="CG726" s="108"/>
      <c r="CH726" s="108"/>
      <c r="CI726" s="108"/>
      <c r="CJ726" s="108"/>
      <c r="CK726" s="120">
        <f t="shared" si="179"/>
        <v>0</v>
      </c>
      <c r="CL726" s="122">
        <f t="shared" si="180"/>
        <v>0</v>
      </c>
      <c r="CM726" s="524" t="str">
        <f t="shared" si="182"/>
        <v/>
      </c>
      <c r="CN726" s="526">
        <f t="shared" si="183"/>
        <v>0</v>
      </c>
      <c r="CO726" s="122">
        <f t="shared" si="184"/>
        <v>0</v>
      </c>
      <c r="CP726" s="45" t="str">
        <f t="shared" si="181"/>
        <v>1 - in MILLESIMI   I</v>
      </c>
      <c r="CQ726" s="1"/>
    </row>
    <row r="727" spans="1:95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435">
        <f>IF(AND(W727&gt;=$U$1,W727&lt;=$U$2),IF(X727='ESTRATTO CONTO'!$E$2,1+COUNTIF(U$4:U726,"&gt;0"),0),0)</f>
        <v>0</v>
      </c>
      <c r="V727" s="417">
        <f t="shared" si="185"/>
        <v>724</v>
      </c>
      <c r="W727" s="509"/>
      <c r="X727" s="321"/>
      <c r="Y727" s="321"/>
      <c r="Z727" s="433"/>
      <c r="AA727" s="918">
        <f t="shared" si="176"/>
        <v>1</v>
      </c>
      <c r="AB727" s="306" t="str">
        <f t="shared" si="177"/>
        <v/>
      </c>
      <c r="AC727" s="788"/>
      <c r="AD727" s="119">
        <f t="shared" si="186"/>
        <v>0</v>
      </c>
      <c r="AE727" s="108">
        <f t="shared" si="186"/>
        <v>0</v>
      </c>
      <c r="AF727" s="108">
        <f t="shared" si="186"/>
        <v>0</v>
      </c>
      <c r="AG727" s="108"/>
      <c r="AH727" s="108"/>
      <c r="AI727" s="108"/>
      <c r="AJ727" s="108"/>
      <c r="AK727" s="108"/>
      <c r="AL727" s="108">
        <f t="shared" si="178"/>
        <v>0</v>
      </c>
      <c r="AM727" s="108"/>
      <c r="AN727" s="108"/>
      <c r="AO727" s="108"/>
      <c r="AP727" s="108"/>
      <c r="AQ727" s="108"/>
      <c r="AR727" s="108"/>
      <c r="AS727" s="108"/>
      <c r="AT727" s="108"/>
      <c r="AU727" s="108"/>
      <c r="AV727" s="108"/>
      <c r="AW727" s="108"/>
      <c r="AX727" s="108"/>
      <c r="AY727" s="108"/>
      <c r="AZ727" s="108"/>
      <c r="BA727" s="108"/>
      <c r="BB727" s="108"/>
      <c r="BC727" s="108"/>
      <c r="BD727" s="108"/>
      <c r="BE727" s="108"/>
      <c r="BF727" s="108"/>
      <c r="BG727" s="108"/>
      <c r="BH727" s="108"/>
      <c r="BI727" s="108"/>
      <c r="BJ727" s="108"/>
      <c r="BK727" s="108"/>
      <c r="BL727" s="108"/>
      <c r="BM727" s="108"/>
      <c r="BN727" s="108"/>
      <c r="BO727" s="108"/>
      <c r="BP727" s="108"/>
      <c r="BQ727" s="108"/>
      <c r="BR727" s="108"/>
      <c r="BS727" s="108"/>
      <c r="BT727" s="108"/>
      <c r="BU727" s="108"/>
      <c r="BV727" s="108"/>
      <c r="BW727" s="108"/>
      <c r="BX727" s="108"/>
      <c r="BY727" s="108"/>
      <c r="BZ727" s="108"/>
      <c r="CA727" s="108"/>
      <c r="CB727" s="108"/>
      <c r="CC727" s="108"/>
      <c r="CD727" s="108"/>
      <c r="CE727" s="108"/>
      <c r="CF727" s="108"/>
      <c r="CG727" s="108"/>
      <c r="CH727" s="108"/>
      <c r="CI727" s="108"/>
      <c r="CJ727" s="108"/>
      <c r="CK727" s="120">
        <f t="shared" si="179"/>
        <v>0</v>
      </c>
      <c r="CL727" s="122">
        <f t="shared" si="180"/>
        <v>0</v>
      </c>
      <c r="CM727" s="524" t="str">
        <f t="shared" si="182"/>
        <v/>
      </c>
      <c r="CN727" s="526">
        <f t="shared" si="183"/>
        <v>0</v>
      </c>
      <c r="CO727" s="122">
        <f t="shared" si="184"/>
        <v>0</v>
      </c>
      <c r="CP727" s="45" t="str">
        <f t="shared" si="181"/>
        <v>1 - in MILLESIMI   I</v>
      </c>
      <c r="CQ727" s="1"/>
    </row>
    <row r="728" spans="1:95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435">
        <f>IF(AND(W728&gt;=$U$1,W728&lt;=$U$2),IF(X728='ESTRATTO CONTO'!$E$2,1+COUNTIF(U$4:U727,"&gt;0"),0),0)</f>
        <v>0</v>
      </c>
      <c r="V728" s="417">
        <f t="shared" si="185"/>
        <v>725</v>
      </c>
      <c r="W728" s="509"/>
      <c r="X728" s="321"/>
      <c r="Y728" s="321"/>
      <c r="Z728" s="433"/>
      <c r="AA728" s="918">
        <f t="shared" si="176"/>
        <v>1</v>
      </c>
      <c r="AB728" s="306" t="str">
        <f t="shared" si="177"/>
        <v/>
      </c>
      <c r="AC728" s="788"/>
      <c r="AD728" s="119">
        <f t="shared" si="186"/>
        <v>0</v>
      </c>
      <c r="AE728" s="108">
        <f t="shared" si="186"/>
        <v>0</v>
      </c>
      <c r="AF728" s="108">
        <f t="shared" si="186"/>
        <v>0</v>
      </c>
      <c r="AG728" s="108"/>
      <c r="AH728" s="108"/>
      <c r="AI728" s="108"/>
      <c r="AJ728" s="108"/>
      <c r="AK728" s="108"/>
      <c r="AL728" s="108">
        <f t="shared" si="178"/>
        <v>0</v>
      </c>
      <c r="AM728" s="108"/>
      <c r="AN728" s="108"/>
      <c r="AO728" s="108"/>
      <c r="AP728" s="108"/>
      <c r="AQ728" s="108"/>
      <c r="AR728" s="108"/>
      <c r="AS728" s="108"/>
      <c r="AT728" s="108"/>
      <c r="AU728" s="108"/>
      <c r="AV728" s="108"/>
      <c r="AW728" s="108"/>
      <c r="AX728" s="108"/>
      <c r="AY728" s="108"/>
      <c r="AZ728" s="108"/>
      <c r="BA728" s="108"/>
      <c r="BB728" s="108"/>
      <c r="BC728" s="108"/>
      <c r="BD728" s="108"/>
      <c r="BE728" s="108"/>
      <c r="BF728" s="108"/>
      <c r="BG728" s="108"/>
      <c r="BH728" s="108"/>
      <c r="BI728" s="108"/>
      <c r="BJ728" s="108"/>
      <c r="BK728" s="108"/>
      <c r="BL728" s="108"/>
      <c r="BM728" s="108"/>
      <c r="BN728" s="108"/>
      <c r="BO728" s="108"/>
      <c r="BP728" s="108"/>
      <c r="BQ728" s="108"/>
      <c r="BR728" s="108"/>
      <c r="BS728" s="108"/>
      <c r="BT728" s="108"/>
      <c r="BU728" s="108"/>
      <c r="BV728" s="108"/>
      <c r="BW728" s="108"/>
      <c r="BX728" s="108"/>
      <c r="BY728" s="108"/>
      <c r="BZ728" s="108"/>
      <c r="CA728" s="108"/>
      <c r="CB728" s="108"/>
      <c r="CC728" s="108"/>
      <c r="CD728" s="108"/>
      <c r="CE728" s="108"/>
      <c r="CF728" s="108"/>
      <c r="CG728" s="108"/>
      <c r="CH728" s="108"/>
      <c r="CI728" s="108"/>
      <c r="CJ728" s="108"/>
      <c r="CK728" s="120">
        <f t="shared" si="179"/>
        <v>0</v>
      </c>
      <c r="CL728" s="122">
        <f t="shared" si="180"/>
        <v>0</v>
      </c>
      <c r="CM728" s="524" t="str">
        <f t="shared" si="182"/>
        <v/>
      </c>
      <c r="CN728" s="526">
        <f t="shared" si="183"/>
        <v>0</v>
      </c>
      <c r="CO728" s="122">
        <f t="shared" si="184"/>
        <v>0</v>
      </c>
      <c r="CP728" s="45" t="str">
        <f t="shared" si="181"/>
        <v>1 - in MILLESIMI   I</v>
      </c>
      <c r="CQ728" s="1"/>
    </row>
    <row r="729" spans="1:95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435">
        <f>IF(AND(W729&gt;=$U$1,W729&lt;=$U$2),IF(X729='ESTRATTO CONTO'!$E$2,1+COUNTIF(U$4:U728,"&gt;0"),0),0)</f>
        <v>0</v>
      </c>
      <c r="V729" s="417">
        <f t="shared" si="185"/>
        <v>726</v>
      </c>
      <c r="W729" s="509"/>
      <c r="X729" s="321"/>
      <c r="Y729" s="321"/>
      <c r="Z729" s="433"/>
      <c r="AA729" s="918">
        <f t="shared" si="176"/>
        <v>1</v>
      </c>
      <c r="AB729" s="306" t="str">
        <f t="shared" si="177"/>
        <v/>
      </c>
      <c r="AC729" s="788"/>
      <c r="AD729" s="119">
        <f t="shared" si="186"/>
        <v>0</v>
      </c>
      <c r="AE729" s="108">
        <f t="shared" si="186"/>
        <v>0</v>
      </c>
      <c r="AF729" s="108">
        <f t="shared" si="186"/>
        <v>0</v>
      </c>
      <c r="AG729" s="108"/>
      <c r="AH729" s="108"/>
      <c r="AI729" s="108"/>
      <c r="AJ729" s="108"/>
      <c r="AK729" s="108"/>
      <c r="AL729" s="108">
        <f t="shared" si="178"/>
        <v>0</v>
      </c>
      <c r="AM729" s="108"/>
      <c r="AN729" s="108"/>
      <c r="AO729" s="108"/>
      <c r="AP729" s="108"/>
      <c r="AQ729" s="108"/>
      <c r="AR729" s="108"/>
      <c r="AS729" s="108"/>
      <c r="AT729" s="108"/>
      <c r="AU729" s="108"/>
      <c r="AV729" s="108"/>
      <c r="AW729" s="108"/>
      <c r="AX729" s="108"/>
      <c r="AY729" s="108"/>
      <c r="AZ729" s="108"/>
      <c r="BA729" s="108"/>
      <c r="BB729" s="108"/>
      <c r="BC729" s="108"/>
      <c r="BD729" s="108"/>
      <c r="BE729" s="108"/>
      <c r="BF729" s="108"/>
      <c r="BG729" s="108"/>
      <c r="BH729" s="108"/>
      <c r="BI729" s="108"/>
      <c r="BJ729" s="108"/>
      <c r="BK729" s="108"/>
      <c r="BL729" s="108"/>
      <c r="BM729" s="108"/>
      <c r="BN729" s="108"/>
      <c r="BO729" s="108"/>
      <c r="BP729" s="108"/>
      <c r="BQ729" s="108"/>
      <c r="BR729" s="108"/>
      <c r="BS729" s="108"/>
      <c r="BT729" s="108"/>
      <c r="BU729" s="108"/>
      <c r="BV729" s="108"/>
      <c r="BW729" s="108"/>
      <c r="BX729" s="108"/>
      <c r="BY729" s="108"/>
      <c r="BZ729" s="108"/>
      <c r="CA729" s="108"/>
      <c r="CB729" s="108"/>
      <c r="CC729" s="108"/>
      <c r="CD729" s="108"/>
      <c r="CE729" s="108"/>
      <c r="CF729" s="108"/>
      <c r="CG729" s="108"/>
      <c r="CH729" s="108"/>
      <c r="CI729" s="108"/>
      <c r="CJ729" s="108"/>
      <c r="CK729" s="120">
        <f t="shared" si="179"/>
        <v>0</v>
      </c>
      <c r="CL729" s="122">
        <f t="shared" si="180"/>
        <v>0</v>
      </c>
      <c r="CM729" s="524" t="str">
        <f t="shared" si="182"/>
        <v/>
      </c>
      <c r="CN729" s="526">
        <f t="shared" si="183"/>
        <v>0</v>
      </c>
      <c r="CO729" s="122">
        <f t="shared" si="184"/>
        <v>0</v>
      </c>
      <c r="CP729" s="45" t="str">
        <f t="shared" si="181"/>
        <v>1 - in MILLESIMI   I</v>
      </c>
      <c r="CQ729" s="1"/>
    </row>
    <row r="730" spans="1:95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435">
        <f>IF(AND(W730&gt;=$U$1,W730&lt;=$U$2),IF(X730='ESTRATTO CONTO'!$E$2,1+COUNTIF(U$4:U729,"&gt;0"),0),0)</f>
        <v>0</v>
      </c>
      <c r="V730" s="417">
        <f t="shared" si="185"/>
        <v>727</v>
      </c>
      <c r="W730" s="509"/>
      <c r="X730" s="321"/>
      <c r="Y730" s="321"/>
      <c r="Z730" s="433"/>
      <c r="AA730" s="918">
        <f t="shared" si="176"/>
        <v>1</v>
      </c>
      <c r="AB730" s="306" t="str">
        <f t="shared" si="177"/>
        <v/>
      </c>
      <c r="AC730" s="788"/>
      <c r="AD730" s="119">
        <f t="shared" si="186"/>
        <v>0</v>
      </c>
      <c r="AE730" s="108">
        <f t="shared" si="186"/>
        <v>0</v>
      </c>
      <c r="AF730" s="108">
        <f t="shared" si="186"/>
        <v>0</v>
      </c>
      <c r="AG730" s="108"/>
      <c r="AH730" s="108"/>
      <c r="AI730" s="108"/>
      <c r="AJ730" s="108"/>
      <c r="AK730" s="108"/>
      <c r="AL730" s="108">
        <f t="shared" si="178"/>
        <v>0</v>
      </c>
      <c r="AM730" s="108"/>
      <c r="AN730" s="108"/>
      <c r="AO730" s="108"/>
      <c r="AP730" s="108"/>
      <c r="AQ730" s="108"/>
      <c r="AR730" s="108"/>
      <c r="AS730" s="108"/>
      <c r="AT730" s="108"/>
      <c r="AU730" s="108"/>
      <c r="AV730" s="108"/>
      <c r="AW730" s="108"/>
      <c r="AX730" s="108"/>
      <c r="AY730" s="108"/>
      <c r="AZ730" s="108"/>
      <c r="BA730" s="108"/>
      <c r="BB730" s="108"/>
      <c r="BC730" s="108"/>
      <c r="BD730" s="108"/>
      <c r="BE730" s="108"/>
      <c r="BF730" s="108"/>
      <c r="BG730" s="108"/>
      <c r="BH730" s="108"/>
      <c r="BI730" s="108"/>
      <c r="BJ730" s="108"/>
      <c r="BK730" s="108"/>
      <c r="BL730" s="108"/>
      <c r="BM730" s="108"/>
      <c r="BN730" s="108"/>
      <c r="BO730" s="108"/>
      <c r="BP730" s="108"/>
      <c r="BQ730" s="108"/>
      <c r="BR730" s="108"/>
      <c r="BS730" s="108"/>
      <c r="BT730" s="108"/>
      <c r="BU730" s="108"/>
      <c r="BV730" s="108"/>
      <c r="BW730" s="108"/>
      <c r="BX730" s="108"/>
      <c r="BY730" s="108"/>
      <c r="BZ730" s="108"/>
      <c r="CA730" s="108"/>
      <c r="CB730" s="108"/>
      <c r="CC730" s="108"/>
      <c r="CD730" s="108"/>
      <c r="CE730" s="108"/>
      <c r="CF730" s="108"/>
      <c r="CG730" s="108"/>
      <c r="CH730" s="108"/>
      <c r="CI730" s="108"/>
      <c r="CJ730" s="108"/>
      <c r="CK730" s="120">
        <f t="shared" si="179"/>
        <v>0</v>
      </c>
      <c r="CL730" s="122">
        <f t="shared" si="180"/>
        <v>0</v>
      </c>
      <c r="CM730" s="524" t="str">
        <f t="shared" si="182"/>
        <v/>
      </c>
      <c r="CN730" s="526">
        <f t="shared" si="183"/>
        <v>0</v>
      </c>
      <c r="CO730" s="122">
        <f t="shared" si="184"/>
        <v>0</v>
      </c>
      <c r="CP730" s="45" t="str">
        <f t="shared" si="181"/>
        <v>1 - in MILLESIMI   I</v>
      </c>
      <c r="CQ730" s="1"/>
    </row>
    <row r="731" spans="1:95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435">
        <f>IF(AND(W731&gt;=$U$1,W731&lt;=$U$2),IF(X731='ESTRATTO CONTO'!$E$2,1+COUNTIF(U$4:U730,"&gt;0"),0),0)</f>
        <v>0</v>
      </c>
      <c r="V731" s="417">
        <f t="shared" si="185"/>
        <v>728</v>
      </c>
      <c r="W731" s="509"/>
      <c r="X731" s="321"/>
      <c r="Y731" s="321"/>
      <c r="Z731" s="433"/>
      <c r="AA731" s="918">
        <f t="shared" si="176"/>
        <v>1</v>
      </c>
      <c r="AB731" s="306" t="str">
        <f t="shared" si="177"/>
        <v/>
      </c>
      <c r="AC731" s="788"/>
      <c r="AD731" s="119">
        <f t="shared" si="186"/>
        <v>0</v>
      </c>
      <c r="AE731" s="108">
        <f t="shared" si="186"/>
        <v>0</v>
      </c>
      <c r="AF731" s="108">
        <f t="shared" si="186"/>
        <v>0</v>
      </c>
      <c r="AG731" s="108"/>
      <c r="AH731" s="108"/>
      <c r="AI731" s="108"/>
      <c r="AJ731" s="108"/>
      <c r="AK731" s="108"/>
      <c r="AL731" s="108">
        <f t="shared" si="178"/>
        <v>0</v>
      </c>
      <c r="AM731" s="108"/>
      <c r="AN731" s="108"/>
      <c r="AO731" s="108"/>
      <c r="AP731" s="108"/>
      <c r="AQ731" s="108"/>
      <c r="AR731" s="108"/>
      <c r="AS731" s="108"/>
      <c r="AT731" s="108"/>
      <c r="AU731" s="108"/>
      <c r="AV731" s="108"/>
      <c r="AW731" s="108"/>
      <c r="AX731" s="108"/>
      <c r="AY731" s="108"/>
      <c r="AZ731" s="108"/>
      <c r="BA731" s="108"/>
      <c r="BB731" s="108"/>
      <c r="BC731" s="108"/>
      <c r="BD731" s="108"/>
      <c r="BE731" s="108"/>
      <c r="BF731" s="108"/>
      <c r="BG731" s="108"/>
      <c r="BH731" s="108"/>
      <c r="BI731" s="108"/>
      <c r="BJ731" s="108"/>
      <c r="BK731" s="108"/>
      <c r="BL731" s="108"/>
      <c r="BM731" s="108"/>
      <c r="BN731" s="108"/>
      <c r="BO731" s="108"/>
      <c r="BP731" s="108"/>
      <c r="BQ731" s="108"/>
      <c r="BR731" s="108"/>
      <c r="BS731" s="108"/>
      <c r="BT731" s="108"/>
      <c r="BU731" s="108"/>
      <c r="BV731" s="108"/>
      <c r="BW731" s="108"/>
      <c r="BX731" s="108"/>
      <c r="BY731" s="108"/>
      <c r="BZ731" s="108"/>
      <c r="CA731" s="108"/>
      <c r="CB731" s="108"/>
      <c r="CC731" s="108"/>
      <c r="CD731" s="108"/>
      <c r="CE731" s="108"/>
      <c r="CF731" s="108"/>
      <c r="CG731" s="108"/>
      <c r="CH731" s="108"/>
      <c r="CI731" s="108"/>
      <c r="CJ731" s="108"/>
      <c r="CK731" s="120">
        <f t="shared" si="179"/>
        <v>0</v>
      </c>
      <c r="CL731" s="122">
        <f t="shared" si="180"/>
        <v>0</v>
      </c>
      <c r="CM731" s="524" t="str">
        <f t="shared" si="182"/>
        <v/>
      </c>
      <c r="CN731" s="526">
        <f t="shared" si="183"/>
        <v>0</v>
      </c>
      <c r="CO731" s="122">
        <f t="shared" si="184"/>
        <v>0</v>
      </c>
      <c r="CP731" s="45" t="str">
        <f t="shared" si="181"/>
        <v>1 - in MILLESIMI   I</v>
      </c>
      <c r="CQ731" s="1"/>
    </row>
    <row r="732" spans="1:95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435">
        <f>IF(AND(W732&gt;=$U$1,W732&lt;=$U$2),IF(X732='ESTRATTO CONTO'!$E$2,1+COUNTIF(U$4:U731,"&gt;0"),0),0)</f>
        <v>0</v>
      </c>
      <c r="V732" s="417">
        <f t="shared" si="185"/>
        <v>729</v>
      </c>
      <c r="W732" s="509"/>
      <c r="X732" s="321"/>
      <c r="Y732" s="321"/>
      <c r="Z732" s="433"/>
      <c r="AA732" s="918">
        <f t="shared" si="176"/>
        <v>1</v>
      </c>
      <c r="AB732" s="306" t="str">
        <f t="shared" si="177"/>
        <v/>
      </c>
      <c r="AC732" s="788"/>
      <c r="AD732" s="119">
        <f t="shared" si="186"/>
        <v>0</v>
      </c>
      <c r="AE732" s="108">
        <f t="shared" si="186"/>
        <v>0</v>
      </c>
      <c r="AF732" s="108">
        <f t="shared" si="186"/>
        <v>0</v>
      </c>
      <c r="AG732" s="108"/>
      <c r="AH732" s="108"/>
      <c r="AI732" s="108"/>
      <c r="AJ732" s="108"/>
      <c r="AK732" s="108"/>
      <c r="AL732" s="108">
        <f t="shared" si="178"/>
        <v>0</v>
      </c>
      <c r="AM732" s="108"/>
      <c r="AN732" s="108"/>
      <c r="AO732" s="108"/>
      <c r="AP732" s="108"/>
      <c r="AQ732" s="108"/>
      <c r="AR732" s="108"/>
      <c r="AS732" s="108"/>
      <c r="AT732" s="108"/>
      <c r="AU732" s="108"/>
      <c r="AV732" s="108"/>
      <c r="AW732" s="108"/>
      <c r="AX732" s="108"/>
      <c r="AY732" s="108"/>
      <c r="AZ732" s="108"/>
      <c r="BA732" s="108"/>
      <c r="BB732" s="108"/>
      <c r="BC732" s="108"/>
      <c r="BD732" s="108"/>
      <c r="BE732" s="108"/>
      <c r="BF732" s="108"/>
      <c r="BG732" s="108"/>
      <c r="BH732" s="108"/>
      <c r="BI732" s="108"/>
      <c r="BJ732" s="108"/>
      <c r="BK732" s="108"/>
      <c r="BL732" s="108"/>
      <c r="BM732" s="108"/>
      <c r="BN732" s="108"/>
      <c r="BO732" s="108"/>
      <c r="BP732" s="108"/>
      <c r="BQ732" s="108"/>
      <c r="BR732" s="108"/>
      <c r="BS732" s="108"/>
      <c r="BT732" s="108"/>
      <c r="BU732" s="108"/>
      <c r="BV732" s="108"/>
      <c r="BW732" s="108"/>
      <c r="BX732" s="108"/>
      <c r="BY732" s="108"/>
      <c r="BZ732" s="108"/>
      <c r="CA732" s="108"/>
      <c r="CB732" s="108"/>
      <c r="CC732" s="108"/>
      <c r="CD732" s="108"/>
      <c r="CE732" s="108"/>
      <c r="CF732" s="108"/>
      <c r="CG732" s="108"/>
      <c r="CH732" s="108"/>
      <c r="CI732" s="108"/>
      <c r="CJ732" s="108"/>
      <c r="CK732" s="120">
        <f t="shared" si="179"/>
        <v>0</v>
      </c>
      <c r="CL732" s="122">
        <f t="shared" si="180"/>
        <v>0</v>
      </c>
      <c r="CM732" s="524" t="str">
        <f t="shared" si="182"/>
        <v/>
      </c>
      <c r="CN732" s="526">
        <f t="shared" si="183"/>
        <v>0</v>
      </c>
      <c r="CO732" s="122">
        <f t="shared" si="184"/>
        <v>0</v>
      </c>
      <c r="CP732" s="45" t="str">
        <f t="shared" si="181"/>
        <v>1 - in MILLESIMI   I</v>
      </c>
      <c r="CQ732" s="1"/>
    </row>
    <row r="733" spans="1:95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435">
        <f>IF(AND(W733&gt;=$U$1,W733&lt;=$U$2),IF(X733='ESTRATTO CONTO'!$E$2,1+COUNTIF(U$4:U732,"&gt;0"),0),0)</f>
        <v>0</v>
      </c>
      <c r="V733" s="417">
        <f t="shared" si="185"/>
        <v>730</v>
      </c>
      <c r="W733" s="509"/>
      <c r="X733" s="321"/>
      <c r="Y733" s="321"/>
      <c r="Z733" s="433"/>
      <c r="AA733" s="918">
        <f t="shared" si="176"/>
        <v>1</v>
      </c>
      <c r="AB733" s="306" t="str">
        <f t="shared" si="177"/>
        <v/>
      </c>
      <c r="AC733" s="788"/>
      <c r="AD733" s="119">
        <f t="shared" si="186"/>
        <v>0</v>
      </c>
      <c r="AE733" s="108">
        <f t="shared" si="186"/>
        <v>0</v>
      </c>
      <c r="AF733" s="108">
        <f t="shared" si="186"/>
        <v>0</v>
      </c>
      <c r="AG733" s="108"/>
      <c r="AH733" s="108"/>
      <c r="AI733" s="108"/>
      <c r="AJ733" s="108"/>
      <c r="AK733" s="108"/>
      <c r="AL733" s="108">
        <f t="shared" si="178"/>
        <v>0</v>
      </c>
      <c r="AM733" s="108"/>
      <c r="AN733" s="108"/>
      <c r="AO733" s="108"/>
      <c r="AP733" s="108"/>
      <c r="AQ733" s="108"/>
      <c r="AR733" s="108"/>
      <c r="AS733" s="108"/>
      <c r="AT733" s="108"/>
      <c r="AU733" s="108"/>
      <c r="AV733" s="108"/>
      <c r="AW733" s="108"/>
      <c r="AX733" s="108"/>
      <c r="AY733" s="108"/>
      <c r="AZ733" s="108"/>
      <c r="BA733" s="108"/>
      <c r="BB733" s="108"/>
      <c r="BC733" s="108"/>
      <c r="BD733" s="108"/>
      <c r="BE733" s="108"/>
      <c r="BF733" s="108"/>
      <c r="BG733" s="108"/>
      <c r="BH733" s="108"/>
      <c r="BI733" s="108"/>
      <c r="BJ733" s="108"/>
      <c r="BK733" s="108"/>
      <c r="BL733" s="108"/>
      <c r="BM733" s="108"/>
      <c r="BN733" s="108"/>
      <c r="BO733" s="108"/>
      <c r="BP733" s="108"/>
      <c r="BQ733" s="108"/>
      <c r="BR733" s="108"/>
      <c r="BS733" s="108"/>
      <c r="BT733" s="108"/>
      <c r="BU733" s="108"/>
      <c r="BV733" s="108"/>
      <c r="BW733" s="108"/>
      <c r="BX733" s="108"/>
      <c r="BY733" s="108"/>
      <c r="BZ733" s="108"/>
      <c r="CA733" s="108"/>
      <c r="CB733" s="108"/>
      <c r="CC733" s="108"/>
      <c r="CD733" s="108"/>
      <c r="CE733" s="108"/>
      <c r="CF733" s="108"/>
      <c r="CG733" s="108"/>
      <c r="CH733" s="108"/>
      <c r="CI733" s="108"/>
      <c r="CJ733" s="108"/>
      <c r="CK733" s="120">
        <f t="shared" si="179"/>
        <v>0</v>
      </c>
      <c r="CL733" s="122">
        <f t="shared" si="180"/>
        <v>0</v>
      </c>
      <c r="CM733" s="524" t="str">
        <f t="shared" si="182"/>
        <v/>
      </c>
      <c r="CN733" s="526">
        <f t="shared" si="183"/>
        <v>0</v>
      </c>
      <c r="CO733" s="122">
        <f t="shared" si="184"/>
        <v>0</v>
      </c>
      <c r="CP733" s="45" t="str">
        <f t="shared" si="181"/>
        <v>1 - in MILLESIMI   I</v>
      </c>
      <c r="CQ733" s="1"/>
    </row>
    <row r="734" spans="1:95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435">
        <f>IF(AND(W734&gt;=$U$1,W734&lt;=$U$2),IF(X734='ESTRATTO CONTO'!$E$2,1+COUNTIF(U$4:U733,"&gt;0"),0),0)</f>
        <v>0</v>
      </c>
      <c r="V734" s="417">
        <f t="shared" si="185"/>
        <v>731</v>
      </c>
      <c r="W734" s="509"/>
      <c r="X734" s="321"/>
      <c r="Y734" s="321"/>
      <c r="Z734" s="433"/>
      <c r="AA734" s="918">
        <f t="shared" si="176"/>
        <v>1</v>
      </c>
      <c r="AB734" s="306" t="str">
        <f t="shared" si="177"/>
        <v/>
      </c>
      <c r="AC734" s="788"/>
      <c r="AD734" s="119">
        <f t="shared" si="186"/>
        <v>0</v>
      </c>
      <c r="AE734" s="108">
        <f t="shared" si="186"/>
        <v>0</v>
      </c>
      <c r="AF734" s="108">
        <f t="shared" si="186"/>
        <v>0</v>
      </c>
      <c r="AG734" s="108"/>
      <c r="AH734" s="108"/>
      <c r="AI734" s="108"/>
      <c r="AJ734" s="108"/>
      <c r="AK734" s="108"/>
      <c r="AL734" s="108">
        <f t="shared" si="178"/>
        <v>0</v>
      </c>
      <c r="AM734" s="108"/>
      <c r="AN734" s="108"/>
      <c r="AO734" s="108"/>
      <c r="AP734" s="108"/>
      <c r="AQ734" s="108"/>
      <c r="AR734" s="108"/>
      <c r="AS734" s="108"/>
      <c r="AT734" s="108"/>
      <c r="AU734" s="108"/>
      <c r="AV734" s="108"/>
      <c r="AW734" s="108"/>
      <c r="AX734" s="108"/>
      <c r="AY734" s="108"/>
      <c r="AZ734" s="108"/>
      <c r="BA734" s="108"/>
      <c r="BB734" s="108"/>
      <c r="BC734" s="108"/>
      <c r="BD734" s="108"/>
      <c r="BE734" s="108"/>
      <c r="BF734" s="108"/>
      <c r="BG734" s="108"/>
      <c r="BH734" s="108"/>
      <c r="BI734" s="108"/>
      <c r="BJ734" s="108"/>
      <c r="BK734" s="108"/>
      <c r="BL734" s="108"/>
      <c r="BM734" s="108"/>
      <c r="BN734" s="108"/>
      <c r="BO734" s="108"/>
      <c r="BP734" s="108"/>
      <c r="BQ734" s="108"/>
      <c r="BR734" s="108"/>
      <c r="BS734" s="108"/>
      <c r="BT734" s="108"/>
      <c r="BU734" s="108"/>
      <c r="BV734" s="108"/>
      <c r="BW734" s="108"/>
      <c r="BX734" s="108"/>
      <c r="BY734" s="108"/>
      <c r="BZ734" s="108"/>
      <c r="CA734" s="108"/>
      <c r="CB734" s="108"/>
      <c r="CC734" s="108"/>
      <c r="CD734" s="108"/>
      <c r="CE734" s="108"/>
      <c r="CF734" s="108"/>
      <c r="CG734" s="108"/>
      <c r="CH734" s="108"/>
      <c r="CI734" s="108"/>
      <c r="CJ734" s="108"/>
      <c r="CK734" s="120">
        <f t="shared" si="179"/>
        <v>0</v>
      </c>
      <c r="CL734" s="122">
        <f t="shared" si="180"/>
        <v>0</v>
      </c>
      <c r="CM734" s="524" t="str">
        <f t="shared" si="182"/>
        <v/>
      </c>
      <c r="CN734" s="526">
        <f t="shared" si="183"/>
        <v>0</v>
      </c>
      <c r="CO734" s="122">
        <f t="shared" si="184"/>
        <v>0</v>
      </c>
      <c r="CP734" s="45" t="str">
        <f t="shared" si="181"/>
        <v>1 - in MILLESIMI   I</v>
      </c>
      <c r="CQ734" s="1"/>
    </row>
    <row r="735" spans="1:95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435">
        <f>IF(AND(W735&gt;=$U$1,W735&lt;=$U$2),IF(X735='ESTRATTO CONTO'!$E$2,1+COUNTIF(U$4:U734,"&gt;0"),0),0)</f>
        <v>0</v>
      </c>
      <c r="V735" s="417">
        <f t="shared" si="185"/>
        <v>732</v>
      </c>
      <c r="W735" s="509"/>
      <c r="X735" s="321"/>
      <c r="Y735" s="321"/>
      <c r="Z735" s="433"/>
      <c r="AA735" s="918">
        <f t="shared" si="176"/>
        <v>1</v>
      </c>
      <c r="AB735" s="306" t="str">
        <f t="shared" si="177"/>
        <v/>
      </c>
      <c r="AC735" s="788"/>
      <c r="AD735" s="119">
        <f t="shared" si="186"/>
        <v>0</v>
      </c>
      <c r="AE735" s="108">
        <f t="shared" si="186"/>
        <v>0</v>
      </c>
      <c r="AF735" s="108">
        <f t="shared" si="186"/>
        <v>0</v>
      </c>
      <c r="AG735" s="108"/>
      <c r="AH735" s="108"/>
      <c r="AI735" s="108"/>
      <c r="AJ735" s="108"/>
      <c r="AK735" s="108"/>
      <c r="AL735" s="108">
        <f t="shared" si="178"/>
        <v>0</v>
      </c>
      <c r="AM735" s="108"/>
      <c r="AN735" s="108"/>
      <c r="AO735" s="108"/>
      <c r="AP735" s="108"/>
      <c r="AQ735" s="108"/>
      <c r="AR735" s="108"/>
      <c r="AS735" s="108"/>
      <c r="AT735" s="108"/>
      <c r="AU735" s="108"/>
      <c r="AV735" s="108"/>
      <c r="AW735" s="108"/>
      <c r="AX735" s="108"/>
      <c r="AY735" s="108"/>
      <c r="AZ735" s="108"/>
      <c r="BA735" s="108"/>
      <c r="BB735" s="108"/>
      <c r="BC735" s="108"/>
      <c r="BD735" s="108"/>
      <c r="BE735" s="108"/>
      <c r="BF735" s="108"/>
      <c r="BG735" s="108"/>
      <c r="BH735" s="108"/>
      <c r="BI735" s="108"/>
      <c r="BJ735" s="108"/>
      <c r="BK735" s="108"/>
      <c r="BL735" s="108"/>
      <c r="BM735" s="108"/>
      <c r="BN735" s="108"/>
      <c r="BO735" s="108"/>
      <c r="BP735" s="108"/>
      <c r="BQ735" s="108"/>
      <c r="BR735" s="108"/>
      <c r="BS735" s="108"/>
      <c r="BT735" s="108"/>
      <c r="BU735" s="108"/>
      <c r="BV735" s="108"/>
      <c r="BW735" s="108"/>
      <c r="BX735" s="108"/>
      <c r="BY735" s="108"/>
      <c r="BZ735" s="108"/>
      <c r="CA735" s="108"/>
      <c r="CB735" s="108"/>
      <c r="CC735" s="108"/>
      <c r="CD735" s="108"/>
      <c r="CE735" s="108"/>
      <c r="CF735" s="108"/>
      <c r="CG735" s="108"/>
      <c r="CH735" s="108"/>
      <c r="CI735" s="108"/>
      <c r="CJ735" s="108"/>
      <c r="CK735" s="120">
        <f t="shared" si="179"/>
        <v>0</v>
      </c>
      <c r="CL735" s="122">
        <f t="shared" si="180"/>
        <v>0</v>
      </c>
      <c r="CM735" s="524" t="str">
        <f t="shared" si="182"/>
        <v/>
      </c>
      <c r="CN735" s="526">
        <f t="shared" si="183"/>
        <v>0</v>
      </c>
      <c r="CO735" s="122">
        <f t="shared" si="184"/>
        <v>0</v>
      </c>
      <c r="CP735" s="45" t="str">
        <f t="shared" si="181"/>
        <v>1 - in MILLESIMI   I</v>
      </c>
      <c r="CQ735" s="1"/>
    </row>
    <row r="736" spans="1:95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435">
        <f>IF(AND(W736&gt;=$U$1,W736&lt;=$U$2),IF(X736='ESTRATTO CONTO'!$E$2,1+COUNTIF(U$4:U735,"&gt;0"),0),0)</f>
        <v>0</v>
      </c>
      <c r="V736" s="417">
        <f t="shared" si="185"/>
        <v>733</v>
      </c>
      <c r="W736" s="509"/>
      <c r="X736" s="321"/>
      <c r="Y736" s="321"/>
      <c r="Z736" s="433"/>
      <c r="AA736" s="918">
        <f t="shared" si="176"/>
        <v>1</v>
      </c>
      <c r="AB736" s="306" t="str">
        <f t="shared" si="177"/>
        <v/>
      </c>
      <c r="AC736" s="788"/>
      <c r="AD736" s="119">
        <f t="shared" si="186"/>
        <v>0</v>
      </c>
      <c r="AE736" s="108">
        <f t="shared" si="186"/>
        <v>0</v>
      </c>
      <c r="AF736" s="108">
        <f t="shared" si="186"/>
        <v>0</v>
      </c>
      <c r="AG736" s="108"/>
      <c r="AH736" s="108"/>
      <c r="AI736" s="108"/>
      <c r="AJ736" s="108"/>
      <c r="AK736" s="108"/>
      <c r="AL736" s="108">
        <f t="shared" si="178"/>
        <v>0</v>
      </c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  <c r="AY736" s="108"/>
      <c r="AZ736" s="108"/>
      <c r="BA736" s="108"/>
      <c r="BB736" s="108"/>
      <c r="BC736" s="108"/>
      <c r="BD736" s="108"/>
      <c r="BE736" s="108"/>
      <c r="BF736" s="108"/>
      <c r="BG736" s="108"/>
      <c r="BH736" s="108"/>
      <c r="BI736" s="108"/>
      <c r="BJ736" s="108"/>
      <c r="BK736" s="108"/>
      <c r="BL736" s="108"/>
      <c r="BM736" s="108"/>
      <c r="BN736" s="108"/>
      <c r="BO736" s="108"/>
      <c r="BP736" s="108"/>
      <c r="BQ736" s="108"/>
      <c r="BR736" s="108"/>
      <c r="BS736" s="108"/>
      <c r="BT736" s="108"/>
      <c r="BU736" s="108"/>
      <c r="BV736" s="108"/>
      <c r="BW736" s="108"/>
      <c r="BX736" s="108"/>
      <c r="BY736" s="108"/>
      <c r="BZ736" s="108"/>
      <c r="CA736" s="108"/>
      <c r="CB736" s="108"/>
      <c r="CC736" s="108"/>
      <c r="CD736" s="108"/>
      <c r="CE736" s="108"/>
      <c r="CF736" s="108"/>
      <c r="CG736" s="108"/>
      <c r="CH736" s="108"/>
      <c r="CI736" s="108"/>
      <c r="CJ736" s="108"/>
      <c r="CK736" s="120">
        <f t="shared" si="179"/>
        <v>0</v>
      </c>
      <c r="CL736" s="122">
        <f t="shared" si="180"/>
        <v>0</v>
      </c>
      <c r="CM736" s="524" t="str">
        <f t="shared" si="182"/>
        <v/>
      </c>
      <c r="CN736" s="526">
        <f t="shared" si="183"/>
        <v>0</v>
      </c>
      <c r="CO736" s="122">
        <f t="shared" si="184"/>
        <v>0</v>
      </c>
      <c r="CP736" s="45" t="str">
        <f t="shared" si="181"/>
        <v>1 - in MILLESIMI   I</v>
      </c>
      <c r="CQ736" s="1"/>
    </row>
    <row r="737" spans="1:95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435">
        <f>IF(AND(W737&gt;=$U$1,W737&lt;=$U$2),IF(X737='ESTRATTO CONTO'!$E$2,1+COUNTIF(U$4:U736,"&gt;0"),0),0)</f>
        <v>0</v>
      </c>
      <c r="V737" s="417">
        <f t="shared" si="185"/>
        <v>734</v>
      </c>
      <c r="W737" s="509"/>
      <c r="X737" s="321"/>
      <c r="Y737" s="321"/>
      <c r="Z737" s="433"/>
      <c r="AA737" s="918">
        <f t="shared" si="176"/>
        <v>1</v>
      </c>
      <c r="AB737" s="306" t="str">
        <f t="shared" si="177"/>
        <v/>
      </c>
      <c r="AC737" s="788"/>
      <c r="AD737" s="119">
        <f t="shared" si="186"/>
        <v>0</v>
      </c>
      <c r="AE737" s="108">
        <f t="shared" si="186"/>
        <v>0</v>
      </c>
      <c r="AF737" s="108">
        <f t="shared" si="186"/>
        <v>0</v>
      </c>
      <c r="AG737" s="108"/>
      <c r="AH737" s="108"/>
      <c r="AI737" s="108"/>
      <c r="AJ737" s="108"/>
      <c r="AK737" s="108"/>
      <c r="AL737" s="108">
        <f t="shared" si="178"/>
        <v>0</v>
      </c>
      <c r="AM737" s="108"/>
      <c r="AN737" s="108"/>
      <c r="AO737" s="108"/>
      <c r="AP737" s="108"/>
      <c r="AQ737" s="108"/>
      <c r="AR737" s="108"/>
      <c r="AS737" s="108"/>
      <c r="AT737" s="108"/>
      <c r="AU737" s="108"/>
      <c r="AV737" s="108"/>
      <c r="AW737" s="108"/>
      <c r="AX737" s="108"/>
      <c r="AY737" s="108"/>
      <c r="AZ737" s="108"/>
      <c r="BA737" s="108"/>
      <c r="BB737" s="108"/>
      <c r="BC737" s="108"/>
      <c r="BD737" s="108"/>
      <c r="BE737" s="108"/>
      <c r="BF737" s="108"/>
      <c r="BG737" s="108"/>
      <c r="BH737" s="108"/>
      <c r="BI737" s="108"/>
      <c r="BJ737" s="108"/>
      <c r="BK737" s="108"/>
      <c r="BL737" s="108"/>
      <c r="BM737" s="108"/>
      <c r="BN737" s="108"/>
      <c r="BO737" s="108"/>
      <c r="BP737" s="108"/>
      <c r="BQ737" s="108"/>
      <c r="BR737" s="108"/>
      <c r="BS737" s="108"/>
      <c r="BT737" s="108"/>
      <c r="BU737" s="108"/>
      <c r="BV737" s="108"/>
      <c r="BW737" s="108"/>
      <c r="BX737" s="108"/>
      <c r="BY737" s="108"/>
      <c r="BZ737" s="108"/>
      <c r="CA737" s="108"/>
      <c r="CB737" s="108"/>
      <c r="CC737" s="108"/>
      <c r="CD737" s="108"/>
      <c r="CE737" s="108"/>
      <c r="CF737" s="108"/>
      <c r="CG737" s="108"/>
      <c r="CH737" s="108"/>
      <c r="CI737" s="108"/>
      <c r="CJ737" s="108"/>
      <c r="CK737" s="120">
        <f t="shared" si="179"/>
        <v>0</v>
      </c>
      <c r="CL737" s="122">
        <f t="shared" si="180"/>
        <v>0</v>
      </c>
      <c r="CM737" s="524" t="str">
        <f t="shared" si="182"/>
        <v/>
      </c>
      <c r="CN737" s="526">
        <f t="shared" si="183"/>
        <v>0</v>
      </c>
      <c r="CO737" s="122">
        <f t="shared" si="184"/>
        <v>0</v>
      </c>
      <c r="CP737" s="45" t="str">
        <f t="shared" si="181"/>
        <v>1 - in MILLESIMI   I</v>
      </c>
      <c r="CQ737" s="1"/>
    </row>
    <row r="738" spans="1:95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435">
        <f>IF(AND(W738&gt;=$U$1,W738&lt;=$U$2),IF(X738='ESTRATTO CONTO'!$E$2,1+COUNTIF(U$4:U737,"&gt;0"),0),0)</f>
        <v>0</v>
      </c>
      <c r="V738" s="417">
        <f t="shared" si="185"/>
        <v>735</v>
      </c>
      <c r="W738" s="509"/>
      <c r="X738" s="321"/>
      <c r="Y738" s="321"/>
      <c r="Z738" s="433"/>
      <c r="AA738" s="918">
        <f t="shared" si="176"/>
        <v>1</v>
      </c>
      <c r="AB738" s="306" t="str">
        <f t="shared" si="177"/>
        <v/>
      </c>
      <c r="AC738" s="788"/>
      <c r="AD738" s="119">
        <f t="shared" si="186"/>
        <v>0</v>
      </c>
      <c r="AE738" s="108">
        <f t="shared" si="186"/>
        <v>0</v>
      </c>
      <c r="AF738" s="108">
        <f t="shared" si="186"/>
        <v>0</v>
      </c>
      <c r="AG738" s="108"/>
      <c r="AH738" s="108"/>
      <c r="AI738" s="108"/>
      <c r="AJ738" s="108"/>
      <c r="AK738" s="108"/>
      <c r="AL738" s="108">
        <f t="shared" si="178"/>
        <v>0</v>
      </c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  <c r="AY738" s="108"/>
      <c r="AZ738" s="108"/>
      <c r="BA738" s="108"/>
      <c r="BB738" s="108"/>
      <c r="BC738" s="108"/>
      <c r="BD738" s="108"/>
      <c r="BE738" s="108"/>
      <c r="BF738" s="108"/>
      <c r="BG738" s="108"/>
      <c r="BH738" s="108"/>
      <c r="BI738" s="108"/>
      <c r="BJ738" s="108"/>
      <c r="BK738" s="108"/>
      <c r="BL738" s="108"/>
      <c r="BM738" s="108"/>
      <c r="BN738" s="108"/>
      <c r="BO738" s="108"/>
      <c r="BP738" s="108"/>
      <c r="BQ738" s="108"/>
      <c r="BR738" s="108"/>
      <c r="BS738" s="108"/>
      <c r="BT738" s="108"/>
      <c r="BU738" s="108"/>
      <c r="BV738" s="108"/>
      <c r="BW738" s="108"/>
      <c r="BX738" s="108"/>
      <c r="BY738" s="108"/>
      <c r="BZ738" s="108"/>
      <c r="CA738" s="108"/>
      <c r="CB738" s="108"/>
      <c r="CC738" s="108"/>
      <c r="CD738" s="108"/>
      <c r="CE738" s="108"/>
      <c r="CF738" s="108"/>
      <c r="CG738" s="108"/>
      <c r="CH738" s="108"/>
      <c r="CI738" s="108"/>
      <c r="CJ738" s="108"/>
      <c r="CK738" s="120">
        <f t="shared" si="179"/>
        <v>0</v>
      </c>
      <c r="CL738" s="122">
        <f t="shared" si="180"/>
        <v>0</v>
      </c>
      <c r="CM738" s="524" t="str">
        <f t="shared" si="182"/>
        <v/>
      </c>
      <c r="CN738" s="526">
        <f t="shared" si="183"/>
        <v>0</v>
      </c>
      <c r="CO738" s="122">
        <f t="shared" si="184"/>
        <v>0</v>
      </c>
      <c r="CP738" s="45" t="str">
        <f t="shared" si="181"/>
        <v>1 - in MILLESIMI   I</v>
      </c>
      <c r="CQ738" s="1"/>
    </row>
    <row r="739" spans="1:95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435">
        <f>IF(AND(W739&gt;=$U$1,W739&lt;=$U$2),IF(X739='ESTRATTO CONTO'!$E$2,1+COUNTIF(U$4:U738,"&gt;0"),0),0)</f>
        <v>0</v>
      </c>
      <c r="V739" s="417">
        <f t="shared" si="185"/>
        <v>736</v>
      </c>
      <c r="W739" s="509"/>
      <c r="X739" s="321"/>
      <c r="Y739" s="321"/>
      <c r="Z739" s="433"/>
      <c r="AA739" s="918">
        <f t="shared" si="176"/>
        <v>1</v>
      </c>
      <c r="AB739" s="306" t="str">
        <f t="shared" si="177"/>
        <v/>
      </c>
      <c r="AC739" s="788"/>
      <c r="AD739" s="119">
        <f t="shared" si="186"/>
        <v>0</v>
      </c>
      <c r="AE739" s="108">
        <f t="shared" si="186"/>
        <v>0</v>
      </c>
      <c r="AF739" s="108">
        <f t="shared" si="186"/>
        <v>0</v>
      </c>
      <c r="AG739" s="108"/>
      <c r="AH739" s="108"/>
      <c r="AI739" s="108"/>
      <c r="AJ739" s="108"/>
      <c r="AK739" s="108"/>
      <c r="AL739" s="108">
        <f t="shared" si="178"/>
        <v>0</v>
      </c>
      <c r="AM739" s="108"/>
      <c r="AN739" s="108"/>
      <c r="AO739" s="108"/>
      <c r="AP739" s="108"/>
      <c r="AQ739" s="108"/>
      <c r="AR739" s="108"/>
      <c r="AS739" s="108"/>
      <c r="AT739" s="108"/>
      <c r="AU739" s="108"/>
      <c r="AV739" s="108"/>
      <c r="AW739" s="108"/>
      <c r="AX739" s="108"/>
      <c r="AY739" s="108"/>
      <c r="AZ739" s="108"/>
      <c r="BA739" s="108"/>
      <c r="BB739" s="108"/>
      <c r="BC739" s="108"/>
      <c r="BD739" s="108"/>
      <c r="BE739" s="108"/>
      <c r="BF739" s="108"/>
      <c r="BG739" s="108"/>
      <c r="BH739" s="108"/>
      <c r="BI739" s="108"/>
      <c r="BJ739" s="108"/>
      <c r="BK739" s="108"/>
      <c r="BL739" s="108"/>
      <c r="BM739" s="108"/>
      <c r="BN739" s="108"/>
      <c r="BO739" s="108"/>
      <c r="BP739" s="108"/>
      <c r="BQ739" s="108"/>
      <c r="BR739" s="108"/>
      <c r="BS739" s="108"/>
      <c r="BT739" s="108"/>
      <c r="BU739" s="108"/>
      <c r="BV739" s="108"/>
      <c r="BW739" s="108"/>
      <c r="BX739" s="108"/>
      <c r="BY739" s="108"/>
      <c r="BZ739" s="108"/>
      <c r="CA739" s="108"/>
      <c r="CB739" s="108"/>
      <c r="CC739" s="108"/>
      <c r="CD739" s="108"/>
      <c r="CE739" s="108"/>
      <c r="CF739" s="108"/>
      <c r="CG739" s="108"/>
      <c r="CH739" s="108"/>
      <c r="CI739" s="108"/>
      <c r="CJ739" s="108"/>
      <c r="CK739" s="120">
        <f t="shared" si="179"/>
        <v>0</v>
      </c>
      <c r="CL739" s="122">
        <f t="shared" si="180"/>
        <v>0</v>
      </c>
      <c r="CM739" s="524" t="str">
        <f t="shared" si="182"/>
        <v/>
      </c>
      <c r="CN739" s="526">
        <f t="shared" si="183"/>
        <v>0</v>
      </c>
      <c r="CO739" s="122">
        <f t="shared" si="184"/>
        <v>0</v>
      </c>
      <c r="CP739" s="45" t="str">
        <f t="shared" si="181"/>
        <v>1 - in MILLESIMI   I</v>
      </c>
      <c r="CQ739" s="1"/>
    </row>
    <row r="740" spans="1:95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435">
        <f>IF(AND(W740&gt;=$U$1,W740&lt;=$U$2),IF(X740='ESTRATTO CONTO'!$E$2,1+COUNTIF(U$4:U739,"&gt;0"),0),0)</f>
        <v>0</v>
      </c>
      <c r="V740" s="417">
        <f t="shared" si="185"/>
        <v>737</v>
      </c>
      <c r="W740" s="509"/>
      <c r="X740" s="321"/>
      <c r="Y740" s="321"/>
      <c r="Z740" s="433"/>
      <c r="AA740" s="918">
        <f t="shared" si="176"/>
        <v>1</v>
      </c>
      <c r="AB740" s="306" t="str">
        <f t="shared" si="177"/>
        <v/>
      </c>
      <c r="AC740" s="788"/>
      <c r="AD740" s="119">
        <f t="shared" si="186"/>
        <v>0</v>
      </c>
      <c r="AE740" s="108">
        <f t="shared" si="186"/>
        <v>0</v>
      </c>
      <c r="AF740" s="108">
        <f t="shared" si="186"/>
        <v>0</v>
      </c>
      <c r="AG740" s="108"/>
      <c r="AH740" s="108"/>
      <c r="AI740" s="108"/>
      <c r="AJ740" s="108"/>
      <c r="AK740" s="108"/>
      <c r="AL740" s="108">
        <f t="shared" si="178"/>
        <v>0</v>
      </c>
      <c r="AM740" s="108"/>
      <c r="AN740" s="108"/>
      <c r="AO740" s="108"/>
      <c r="AP740" s="108"/>
      <c r="AQ740" s="108"/>
      <c r="AR740" s="108"/>
      <c r="AS740" s="108"/>
      <c r="AT740" s="108"/>
      <c r="AU740" s="108"/>
      <c r="AV740" s="108"/>
      <c r="AW740" s="108"/>
      <c r="AX740" s="108"/>
      <c r="AY740" s="108"/>
      <c r="AZ740" s="108"/>
      <c r="BA740" s="108"/>
      <c r="BB740" s="108"/>
      <c r="BC740" s="108"/>
      <c r="BD740" s="108"/>
      <c r="BE740" s="108"/>
      <c r="BF740" s="108"/>
      <c r="BG740" s="108"/>
      <c r="BH740" s="108"/>
      <c r="BI740" s="108"/>
      <c r="BJ740" s="108"/>
      <c r="BK740" s="108"/>
      <c r="BL740" s="108"/>
      <c r="BM740" s="108"/>
      <c r="BN740" s="108"/>
      <c r="BO740" s="108"/>
      <c r="BP740" s="108"/>
      <c r="BQ740" s="108"/>
      <c r="BR740" s="108"/>
      <c r="BS740" s="108"/>
      <c r="BT740" s="108"/>
      <c r="BU740" s="108"/>
      <c r="BV740" s="108"/>
      <c r="BW740" s="108"/>
      <c r="BX740" s="108"/>
      <c r="BY740" s="108"/>
      <c r="BZ740" s="108"/>
      <c r="CA740" s="108"/>
      <c r="CB740" s="108"/>
      <c r="CC740" s="108"/>
      <c r="CD740" s="108"/>
      <c r="CE740" s="108"/>
      <c r="CF740" s="108"/>
      <c r="CG740" s="108"/>
      <c r="CH740" s="108"/>
      <c r="CI740" s="108"/>
      <c r="CJ740" s="108"/>
      <c r="CK740" s="120">
        <f t="shared" si="179"/>
        <v>0</v>
      </c>
      <c r="CL740" s="122">
        <f t="shared" si="180"/>
        <v>0</v>
      </c>
      <c r="CM740" s="524" t="str">
        <f t="shared" si="182"/>
        <v/>
      </c>
      <c r="CN740" s="526">
        <f t="shared" si="183"/>
        <v>0</v>
      </c>
      <c r="CO740" s="122">
        <f t="shared" si="184"/>
        <v>0</v>
      </c>
      <c r="CP740" s="45" t="str">
        <f t="shared" si="181"/>
        <v>1 - in MILLESIMI   I</v>
      </c>
      <c r="CQ740" s="1"/>
    </row>
    <row r="741" spans="1:95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435">
        <f>IF(AND(W741&gt;=$U$1,W741&lt;=$U$2),IF(X741='ESTRATTO CONTO'!$E$2,1+COUNTIF(U$4:U740,"&gt;0"),0),0)</f>
        <v>0</v>
      </c>
      <c r="V741" s="417">
        <f t="shared" si="185"/>
        <v>738</v>
      </c>
      <c r="W741" s="509"/>
      <c r="X741" s="321"/>
      <c r="Y741" s="321"/>
      <c r="Z741" s="433"/>
      <c r="AA741" s="918">
        <f t="shared" si="176"/>
        <v>1</v>
      </c>
      <c r="AB741" s="306" t="str">
        <f t="shared" si="177"/>
        <v/>
      </c>
      <c r="AC741" s="788"/>
      <c r="AD741" s="119">
        <f t="shared" si="186"/>
        <v>0</v>
      </c>
      <c r="AE741" s="108">
        <f t="shared" si="186"/>
        <v>0</v>
      </c>
      <c r="AF741" s="108">
        <f t="shared" si="186"/>
        <v>0</v>
      </c>
      <c r="AG741" s="108"/>
      <c r="AH741" s="108"/>
      <c r="AI741" s="108"/>
      <c r="AJ741" s="108"/>
      <c r="AK741" s="108"/>
      <c r="AL741" s="108">
        <f t="shared" si="178"/>
        <v>0</v>
      </c>
      <c r="AM741" s="108"/>
      <c r="AN741" s="108"/>
      <c r="AO741" s="108"/>
      <c r="AP741" s="108"/>
      <c r="AQ741" s="108"/>
      <c r="AR741" s="108"/>
      <c r="AS741" s="108"/>
      <c r="AT741" s="108"/>
      <c r="AU741" s="108"/>
      <c r="AV741" s="108"/>
      <c r="AW741" s="108"/>
      <c r="AX741" s="108"/>
      <c r="AY741" s="108"/>
      <c r="AZ741" s="108"/>
      <c r="BA741" s="108"/>
      <c r="BB741" s="108"/>
      <c r="BC741" s="108"/>
      <c r="BD741" s="108"/>
      <c r="BE741" s="108"/>
      <c r="BF741" s="108"/>
      <c r="BG741" s="108"/>
      <c r="BH741" s="108"/>
      <c r="BI741" s="108"/>
      <c r="BJ741" s="108"/>
      <c r="BK741" s="108"/>
      <c r="BL741" s="108"/>
      <c r="BM741" s="108"/>
      <c r="BN741" s="108"/>
      <c r="BO741" s="108"/>
      <c r="BP741" s="108"/>
      <c r="BQ741" s="108"/>
      <c r="BR741" s="108"/>
      <c r="BS741" s="108"/>
      <c r="BT741" s="108"/>
      <c r="BU741" s="108"/>
      <c r="BV741" s="108"/>
      <c r="BW741" s="108"/>
      <c r="BX741" s="108"/>
      <c r="BY741" s="108"/>
      <c r="BZ741" s="108"/>
      <c r="CA741" s="108"/>
      <c r="CB741" s="108"/>
      <c r="CC741" s="108"/>
      <c r="CD741" s="108"/>
      <c r="CE741" s="108"/>
      <c r="CF741" s="108"/>
      <c r="CG741" s="108"/>
      <c r="CH741" s="108"/>
      <c r="CI741" s="108"/>
      <c r="CJ741" s="108"/>
      <c r="CK741" s="120">
        <f t="shared" si="179"/>
        <v>0</v>
      </c>
      <c r="CL741" s="122">
        <f t="shared" si="180"/>
        <v>0</v>
      </c>
      <c r="CM741" s="524" t="str">
        <f t="shared" si="182"/>
        <v/>
      </c>
      <c r="CN741" s="526">
        <f t="shared" si="183"/>
        <v>0</v>
      </c>
      <c r="CO741" s="122">
        <f t="shared" si="184"/>
        <v>0</v>
      </c>
      <c r="CP741" s="45" t="str">
        <f t="shared" si="181"/>
        <v>1 - in MILLESIMI   I</v>
      </c>
      <c r="CQ741" s="1"/>
    </row>
    <row r="742" spans="1:95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435">
        <f>IF(AND(W742&gt;=$U$1,W742&lt;=$U$2),IF(X742='ESTRATTO CONTO'!$E$2,1+COUNTIF(U$4:U741,"&gt;0"),0),0)</f>
        <v>0</v>
      </c>
      <c r="V742" s="417">
        <f t="shared" si="185"/>
        <v>739</v>
      </c>
      <c r="W742" s="509"/>
      <c r="X742" s="321"/>
      <c r="Y742" s="321"/>
      <c r="Z742" s="433"/>
      <c r="AA742" s="918">
        <f t="shared" si="176"/>
        <v>1</v>
      </c>
      <c r="AB742" s="306" t="str">
        <f t="shared" si="177"/>
        <v/>
      </c>
      <c r="AC742" s="788"/>
      <c r="AD742" s="119">
        <f t="shared" si="186"/>
        <v>0</v>
      </c>
      <c r="AE742" s="108">
        <f t="shared" si="186"/>
        <v>0</v>
      </c>
      <c r="AF742" s="108">
        <f t="shared" si="186"/>
        <v>0</v>
      </c>
      <c r="AG742" s="108"/>
      <c r="AH742" s="108"/>
      <c r="AI742" s="108"/>
      <c r="AJ742" s="108"/>
      <c r="AK742" s="108"/>
      <c r="AL742" s="108">
        <f t="shared" si="178"/>
        <v>0</v>
      </c>
      <c r="AM742" s="108"/>
      <c r="AN742" s="108"/>
      <c r="AO742" s="108"/>
      <c r="AP742" s="108"/>
      <c r="AQ742" s="108"/>
      <c r="AR742" s="108"/>
      <c r="AS742" s="108"/>
      <c r="AT742" s="108"/>
      <c r="AU742" s="108"/>
      <c r="AV742" s="108"/>
      <c r="AW742" s="108"/>
      <c r="AX742" s="108"/>
      <c r="AY742" s="108"/>
      <c r="AZ742" s="108"/>
      <c r="BA742" s="108"/>
      <c r="BB742" s="108"/>
      <c r="BC742" s="108"/>
      <c r="BD742" s="108"/>
      <c r="BE742" s="108"/>
      <c r="BF742" s="108"/>
      <c r="BG742" s="108"/>
      <c r="BH742" s="108"/>
      <c r="BI742" s="108"/>
      <c r="BJ742" s="108"/>
      <c r="BK742" s="108"/>
      <c r="BL742" s="108"/>
      <c r="BM742" s="108"/>
      <c r="BN742" s="108"/>
      <c r="BO742" s="108"/>
      <c r="BP742" s="108"/>
      <c r="BQ742" s="108"/>
      <c r="BR742" s="108"/>
      <c r="BS742" s="108"/>
      <c r="BT742" s="108"/>
      <c r="BU742" s="108"/>
      <c r="BV742" s="108"/>
      <c r="BW742" s="108"/>
      <c r="BX742" s="108"/>
      <c r="BY742" s="108"/>
      <c r="BZ742" s="108"/>
      <c r="CA742" s="108"/>
      <c r="CB742" s="108"/>
      <c r="CC742" s="108"/>
      <c r="CD742" s="108"/>
      <c r="CE742" s="108"/>
      <c r="CF742" s="108"/>
      <c r="CG742" s="108"/>
      <c r="CH742" s="108"/>
      <c r="CI742" s="108"/>
      <c r="CJ742" s="108"/>
      <c r="CK742" s="120">
        <f t="shared" si="179"/>
        <v>0</v>
      </c>
      <c r="CL742" s="122">
        <f t="shared" si="180"/>
        <v>0</v>
      </c>
      <c r="CM742" s="524" t="str">
        <f t="shared" si="182"/>
        <v/>
      </c>
      <c r="CN742" s="526">
        <f t="shared" si="183"/>
        <v>0</v>
      </c>
      <c r="CO742" s="122">
        <f t="shared" si="184"/>
        <v>0</v>
      </c>
      <c r="CP742" s="45" t="str">
        <f t="shared" si="181"/>
        <v>1 - in MILLESIMI   I</v>
      </c>
      <c r="CQ742" s="1"/>
    </row>
    <row r="743" spans="1:95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435">
        <f>IF(AND(W743&gt;=$U$1,W743&lt;=$U$2),IF(X743='ESTRATTO CONTO'!$E$2,1+COUNTIF(U$4:U742,"&gt;0"),0),0)</f>
        <v>0</v>
      </c>
      <c r="V743" s="417">
        <f t="shared" si="185"/>
        <v>740</v>
      </c>
      <c r="W743" s="509"/>
      <c r="X743" s="321"/>
      <c r="Y743" s="321"/>
      <c r="Z743" s="433"/>
      <c r="AA743" s="918">
        <f t="shared" si="176"/>
        <v>1</v>
      </c>
      <c r="AB743" s="306" t="str">
        <f t="shared" si="177"/>
        <v/>
      </c>
      <c r="AC743" s="788"/>
      <c r="AD743" s="119">
        <f t="shared" si="186"/>
        <v>0</v>
      </c>
      <c r="AE743" s="108">
        <f t="shared" si="186"/>
        <v>0</v>
      </c>
      <c r="AF743" s="108">
        <f t="shared" si="186"/>
        <v>0</v>
      </c>
      <c r="AG743" s="108"/>
      <c r="AH743" s="108"/>
      <c r="AI743" s="108"/>
      <c r="AJ743" s="108"/>
      <c r="AK743" s="108"/>
      <c r="AL743" s="108">
        <f t="shared" si="178"/>
        <v>0</v>
      </c>
      <c r="AM743" s="108"/>
      <c r="AN743" s="108"/>
      <c r="AO743" s="108"/>
      <c r="AP743" s="108"/>
      <c r="AQ743" s="108"/>
      <c r="AR743" s="108"/>
      <c r="AS743" s="108"/>
      <c r="AT743" s="108"/>
      <c r="AU743" s="108"/>
      <c r="AV743" s="108"/>
      <c r="AW743" s="108"/>
      <c r="AX743" s="108"/>
      <c r="AY743" s="108"/>
      <c r="AZ743" s="108"/>
      <c r="BA743" s="108"/>
      <c r="BB743" s="108"/>
      <c r="BC743" s="108"/>
      <c r="BD743" s="108"/>
      <c r="BE743" s="108"/>
      <c r="BF743" s="108"/>
      <c r="BG743" s="108"/>
      <c r="BH743" s="108"/>
      <c r="BI743" s="108"/>
      <c r="BJ743" s="108"/>
      <c r="BK743" s="108"/>
      <c r="BL743" s="108"/>
      <c r="BM743" s="108"/>
      <c r="BN743" s="108"/>
      <c r="BO743" s="108"/>
      <c r="BP743" s="108"/>
      <c r="BQ743" s="108"/>
      <c r="BR743" s="108"/>
      <c r="BS743" s="108"/>
      <c r="BT743" s="108"/>
      <c r="BU743" s="108"/>
      <c r="BV743" s="108"/>
      <c r="BW743" s="108"/>
      <c r="BX743" s="108"/>
      <c r="BY743" s="108"/>
      <c r="BZ743" s="108"/>
      <c r="CA743" s="108"/>
      <c r="CB743" s="108"/>
      <c r="CC743" s="108"/>
      <c r="CD743" s="108"/>
      <c r="CE743" s="108"/>
      <c r="CF743" s="108"/>
      <c r="CG743" s="108"/>
      <c r="CH743" s="108"/>
      <c r="CI743" s="108"/>
      <c r="CJ743" s="108"/>
      <c r="CK743" s="120">
        <f t="shared" si="179"/>
        <v>0</v>
      </c>
      <c r="CL743" s="122">
        <f t="shared" si="180"/>
        <v>0</v>
      </c>
      <c r="CM743" s="524" t="str">
        <f t="shared" si="182"/>
        <v/>
      </c>
      <c r="CN743" s="526">
        <f t="shared" si="183"/>
        <v>0</v>
      </c>
      <c r="CO743" s="122">
        <f t="shared" si="184"/>
        <v>0</v>
      </c>
      <c r="CP743" s="45" t="str">
        <f t="shared" si="181"/>
        <v>1 - in MILLESIMI   I</v>
      </c>
      <c r="CQ743" s="1"/>
    </row>
    <row r="744" spans="1:95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435">
        <f>IF(AND(W744&gt;=$U$1,W744&lt;=$U$2),IF(X744='ESTRATTO CONTO'!$E$2,1+COUNTIF(U$4:U743,"&gt;0"),0),0)</f>
        <v>0</v>
      </c>
      <c r="V744" s="417">
        <f t="shared" si="185"/>
        <v>741</v>
      </c>
      <c r="W744" s="509"/>
      <c r="X744" s="321"/>
      <c r="Y744" s="321"/>
      <c r="Z744" s="433"/>
      <c r="AA744" s="918">
        <f t="shared" si="176"/>
        <v>1</v>
      </c>
      <c r="AB744" s="306" t="str">
        <f t="shared" si="177"/>
        <v/>
      </c>
      <c r="AC744" s="788"/>
      <c r="AD744" s="119">
        <f t="shared" ref="AD744:AF763" si="187">IF($AB744=0,0,ROUND($Z744*VLOOKUP(AD$2,$F$1010:$Q$1014,VLOOKUP($CP744,$C$1076:$E$1081,3,FALSE),FALSE),2))</f>
        <v>0</v>
      </c>
      <c r="AE744" s="108">
        <f t="shared" si="187"/>
        <v>0</v>
      </c>
      <c r="AF744" s="108">
        <f t="shared" si="187"/>
        <v>0</v>
      </c>
      <c r="AG744" s="108"/>
      <c r="AH744" s="108"/>
      <c r="AI744" s="108"/>
      <c r="AJ744" s="108"/>
      <c r="AK744" s="108"/>
      <c r="AL744" s="108">
        <f t="shared" si="178"/>
        <v>0</v>
      </c>
      <c r="AM744" s="108"/>
      <c r="AN744" s="108"/>
      <c r="AO744" s="108"/>
      <c r="AP744" s="108"/>
      <c r="AQ744" s="108"/>
      <c r="AR744" s="108"/>
      <c r="AS744" s="108"/>
      <c r="AT744" s="108"/>
      <c r="AU744" s="108"/>
      <c r="AV744" s="108"/>
      <c r="AW744" s="108"/>
      <c r="AX744" s="108"/>
      <c r="AY744" s="108"/>
      <c r="AZ744" s="108"/>
      <c r="BA744" s="108"/>
      <c r="BB744" s="108"/>
      <c r="BC744" s="108"/>
      <c r="BD744" s="108"/>
      <c r="BE744" s="108"/>
      <c r="BF744" s="108"/>
      <c r="BG744" s="108"/>
      <c r="BH744" s="108"/>
      <c r="BI744" s="108"/>
      <c r="BJ744" s="108"/>
      <c r="BK744" s="108"/>
      <c r="BL744" s="108"/>
      <c r="BM744" s="108"/>
      <c r="BN744" s="108"/>
      <c r="BO744" s="108"/>
      <c r="BP744" s="108"/>
      <c r="BQ744" s="108"/>
      <c r="BR744" s="108"/>
      <c r="BS744" s="108"/>
      <c r="BT744" s="108"/>
      <c r="BU744" s="108"/>
      <c r="BV744" s="108"/>
      <c r="BW744" s="108"/>
      <c r="BX744" s="108"/>
      <c r="BY744" s="108"/>
      <c r="BZ744" s="108"/>
      <c r="CA744" s="108"/>
      <c r="CB744" s="108"/>
      <c r="CC744" s="108"/>
      <c r="CD744" s="108"/>
      <c r="CE744" s="108"/>
      <c r="CF744" s="108"/>
      <c r="CG744" s="108"/>
      <c r="CH744" s="108"/>
      <c r="CI744" s="108"/>
      <c r="CJ744" s="108"/>
      <c r="CK744" s="120">
        <f t="shared" si="179"/>
        <v>0</v>
      </c>
      <c r="CL744" s="122">
        <f t="shared" si="180"/>
        <v>0</v>
      </c>
      <c r="CM744" s="524" t="str">
        <f t="shared" si="182"/>
        <v/>
      </c>
      <c r="CN744" s="526">
        <f t="shared" si="183"/>
        <v>0</v>
      </c>
      <c r="CO744" s="122">
        <f t="shared" si="184"/>
        <v>0</v>
      </c>
      <c r="CP744" s="45" t="str">
        <f t="shared" si="181"/>
        <v>1 - in MILLESIMI   I</v>
      </c>
      <c r="CQ744" s="1"/>
    </row>
    <row r="745" spans="1:95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435">
        <f>IF(AND(W745&gt;=$U$1,W745&lt;=$U$2),IF(X745='ESTRATTO CONTO'!$E$2,1+COUNTIF(U$4:U744,"&gt;0"),0),0)</f>
        <v>0</v>
      </c>
      <c r="V745" s="417">
        <f t="shared" si="185"/>
        <v>742</v>
      </c>
      <c r="W745" s="509"/>
      <c r="X745" s="321"/>
      <c r="Y745" s="321"/>
      <c r="Z745" s="433"/>
      <c r="AA745" s="918">
        <f t="shared" si="176"/>
        <v>1</v>
      </c>
      <c r="AB745" s="306" t="str">
        <f t="shared" si="177"/>
        <v/>
      </c>
      <c r="AC745" s="788"/>
      <c r="AD745" s="119">
        <f t="shared" si="187"/>
        <v>0</v>
      </c>
      <c r="AE745" s="108">
        <f t="shared" si="187"/>
        <v>0</v>
      </c>
      <c r="AF745" s="108">
        <f t="shared" si="187"/>
        <v>0</v>
      </c>
      <c r="AG745" s="108"/>
      <c r="AH745" s="108"/>
      <c r="AI745" s="108"/>
      <c r="AJ745" s="108"/>
      <c r="AK745" s="108"/>
      <c r="AL745" s="108">
        <f t="shared" si="178"/>
        <v>0</v>
      </c>
      <c r="AM745" s="108"/>
      <c r="AN745" s="108"/>
      <c r="AO745" s="108"/>
      <c r="AP745" s="108"/>
      <c r="AQ745" s="108"/>
      <c r="AR745" s="108"/>
      <c r="AS745" s="108"/>
      <c r="AT745" s="108"/>
      <c r="AU745" s="108"/>
      <c r="AV745" s="108"/>
      <c r="AW745" s="108"/>
      <c r="AX745" s="108"/>
      <c r="AY745" s="108"/>
      <c r="AZ745" s="108"/>
      <c r="BA745" s="108"/>
      <c r="BB745" s="108"/>
      <c r="BC745" s="108"/>
      <c r="BD745" s="108"/>
      <c r="BE745" s="108"/>
      <c r="BF745" s="108"/>
      <c r="BG745" s="108"/>
      <c r="BH745" s="108"/>
      <c r="BI745" s="108"/>
      <c r="BJ745" s="108"/>
      <c r="BK745" s="108"/>
      <c r="BL745" s="108"/>
      <c r="BM745" s="108"/>
      <c r="BN745" s="108"/>
      <c r="BO745" s="108"/>
      <c r="BP745" s="108"/>
      <c r="BQ745" s="108"/>
      <c r="BR745" s="108"/>
      <c r="BS745" s="108"/>
      <c r="BT745" s="108"/>
      <c r="BU745" s="108"/>
      <c r="BV745" s="108"/>
      <c r="BW745" s="108"/>
      <c r="BX745" s="108"/>
      <c r="BY745" s="108"/>
      <c r="BZ745" s="108"/>
      <c r="CA745" s="108"/>
      <c r="CB745" s="108"/>
      <c r="CC745" s="108"/>
      <c r="CD745" s="108"/>
      <c r="CE745" s="108"/>
      <c r="CF745" s="108"/>
      <c r="CG745" s="108"/>
      <c r="CH745" s="108"/>
      <c r="CI745" s="108"/>
      <c r="CJ745" s="108"/>
      <c r="CK745" s="120">
        <f t="shared" si="179"/>
        <v>0</v>
      </c>
      <c r="CL745" s="122">
        <f t="shared" si="180"/>
        <v>0</v>
      </c>
      <c r="CM745" s="524" t="str">
        <f t="shared" si="182"/>
        <v/>
      </c>
      <c r="CN745" s="526">
        <f t="shared" si="183"/>
        <v>0</v>
      </c>
      <c r="CO745" s="122">
        <f t="shared" si="184"/>
        <v>0</v>
      </c>
      <c r="CP745" s="45" t="str">
        <f t="shared" si="181"/>
        <v>1 - in MILLESIMI   I</v>
      </c>
      <c r="CQ745" s="1"/>
    </row>
    <row r="746" spans="1:95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435">
        <f>IF(AND(W746&gt;=$U$1,W746&lt;=$U$2),IF(X746='ESTRATTO CONTO'!$E$2,1+COUNTIF(U$4:U745,"&gt;0"),0),0)</f>
        <v>0</v>
      </c>
      <c r="V746" s="417">
        <f t="shared" si="185"/>
        <v>743</v>
      </c>
      <c r="W746" s="509"/>
      <c r="X746" s="321"/>
      <c r="Y746" s="321"/>
      <c r="Z746" s="433"/>
      <c r="AA746" s="918">
        <f t="shared" si="176"/>
        <v>1</v>
      </c>
      <c r="AB746" s="306" t="str">
        <f t="shared" si="177"/>
        <v/>
      </c>
      <c r="AC746" s="788"/>
      <c r="AD746" s="119">
        <f t="shared" si="187"/>
        <v>0</v>
      </c>
      <c r="AE746" s="108">
        <f t="shared" si="187"/>
        <v>0</v>
      </c>
      <c r="AF746" s="108">
        <f t="shared" si="187"/>
        <v>0</v>
      </c>
      <c r="AG746" s="108"/>
      <c r="AH746" s="108"/>
      <c r="AI746" s="108"/>
      <c r="AJ746" s="108"/>
      <c r="AK746" s="108"/>
      <c r="AL746" s="108">
        <f t="shared" si="178"/>
        <v>0</v>
      </c>
      <c r="AM746" s="108"/>
      <c r="AN746" s="108"/>
      <c r="AO746" s="108"/>
      <c r="AP746" s="108"/>
      <c r="AQ746" s="108"/>
      <c r="AR746" s="108"/>
      <c r="AS746" s="108"/>
      <c r="AT746" s="108"/>
      <c r="AU746" s="108"/>
      <c r="AV746" s="108"/>
      <c r="AW746" s="108"/>
      <c r="AX746" s="108"/>
      <c r="AY746" s="108"/>
      <c r="AZ746" s="108"/>
      <c r="BA746" s="108"/>
      <c r="BB746" s="108"/>
      <c r="BC746" s="108"/>
      <c r="BD746" s="108"/>
      <c r="BE746" s="108"/>
      <c r="BF746" s="108"/>
      <c r="BG746" s="108"/>
      <c r="BH746" s="108"/>
      <c r="BI746" s="108"/>
      <c r="BJ746" s="108"/>
      <c r="BK746" s="108"/>
      <c r="BL746" s="108"/>
      <c r="BM746" s="108"/>
      <c r="BN746" s="108"/>
      <c r="BO746" s="108"/>
      <c r="BP746" s="108"/>
      <c r="BQ746" s="108"/>
      <c r="BR746" s="108"/>
      <c r="BS746" s="108"/>
      <c r="BT746" s="108"/>
      <c r="BU746" s="108"/>
      <c r="BV746" s="108"/>
      <c r="BW746" s="108"/>
      <c r="BX746" s="108"/>
      <c r="BY746" s="108"/>
      <c r="BZ746" s="108"/>
      <c r="CA746" s="108"/>
      <c r="CB746" s="108"/>
      <c r="CC746" s="108"/>
      <c r="CD746" s="108"/>
      <c r="CE746" s="108"/>
      <c r="CF746" s="108"/>
      <c r="CG746" s="108"/>
      <c r="CH746" s="108"/>
      <c r="CI746" s="108"/>
      <c r="CJ746" s="108"/>
      <c r="CK746" s="120">
        <f t="shared" si="179"/>
        <v>0</v>
      </c>
      <c r="CL746" s="122">
        <f t="shared" si="180"/>
        <v>0</v>
      </c>
      <c r="CM746" s="524" t="str">
        <f t="shared" si="182"/>
        <v/>
      </c>
      <c r="CN746" s="526">
        <f t="shared" si="183"/>
        <v>0</v>
      </c>
      <c r="CO746" s="122">
        <f t="shared" si="184"/>
        <v>0</v>
      </c>
      <c r="CP746" s="45" t="str">
        <f t="shared" si="181"/>
        <v>1 - in MILLESIMI   I</v>
      </c>
      <c r="CQ746" s="1"/>
    </row>
    <row r="747" spans="1:95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435">
        <f>IF(AND(W747&gt;=$U$1,W747&lt;=$U$2),IF(X747='ESTRATTO CONTO'!$E$2,1+COUNTIF(U$4:U746,"&gt;0"),0),0)</f>
        <v>0</v>
      </c>
      <c r="V747" s="417">
        <f t="shared" si="185"/>
        <v>744</v>
      </c>
      <c r="W747" s="509"/>
      <c r="X747" s="321"/>
      <c r="Y747" s="321"/>
      <c r="Z747" s="433"/>
      <c r="AA747" s="918">
        <f t="shared" si="176"/>
        <v>1</v>
      </c>
      <c r="AB747" s="306" t="str">
        <f t="shared" si="177"/>
        <v/>
      </c>
      <c r="AC747" s="788"/>
      <c r="AD747" s="119">
        <f t="shared" si="187"/>
        <v>0</v>
      </c>
      <c r="AE747" s="108">
        <f t="shared" si="187"/>
        <v>0</v>
      </c>
      <c r="AF747" s="108">
        <f t="shared" si="187"/>
        <v>0</v>
      </c>
      <c r="AG747" s="108"/>
      <c r="AH747" s="108"/>
      <c r="AI747" s="108"/>
      <c r="AJ747" s="108"/>
      <c r="AK747" s="108"/>
      <c r="AL747" s="108">
        <f t="shared" si="178"/>
        <v>0</v>
      </c>
      <c r="AM747" s="108"/>
      <c r="AN747" s="108"/>
      <c r="AO747" s="108"/>
      <c r="AP747" s="108"/>
      <c r="AQ747" s="108"/>
      <c r="AR747" s="108"/>
      <c r="AS747" s="108"/>
      <c r="AT747" s="108"/>
      <c r="AU747" s="108"/>
      <c r="AV747" s="108"/>
      <c r="AW747" s="108"/>
      <c r="AX747" s="108"/>
      <c r="AY747" s="108"/>
      <c r="AZ747" s="108"/>
      <c r="BA747" s="108"/>
      <c r="BB747" s="108"/>
      <c r="BC747" s="108"/>
      <c r="BD747" s="108"/>
      <c r="BE747" s="108"/>
      <c r="BF747" s="108"/>
      <c r="BG747" s="108"/>
      <c r="BH747" s="108"/>
      <c r="BI747" s="108"/>
      <c r="BJ747" s="108"/>
      <c r="BK747" s="108"/>
      <c r="BL747" s="108"/>
      <c r="BM747" s="108"/>
      <c r="BN747" s="108"/>
      <c r="BO747" s="108"/>
      <c r="BP747" s="108"/>
      <c r="BQ747" s="108"/>
      <c r="BR747" s="108"/>
      <c r="BS747" s="108"/>
      <c r="BT747" s="108"/>
      <c r="BU747" s="108"/>
      <c r="BV747" s="108"/>
      <c r="BW747" s="108"/>
      <c r="BX747" s="108"/>
      <c r="BY747" s="108"/>
      <c r="BZ747" s="108"/>
      <c r="CA747" s="108"/>
      <c r="CB747" s="108"/>
      <c r="CC747" s="108"/>
      <c r="CD747" s="108"/>
      <c r="CE747" s="108"/>
      <c r="CF747" s="108"/>
      <c r="CG747" s="108"/>
      <c r="CH747" s="108"/>
      <c r="CI747" s="108"/>
      <c r="CJ747" s="108"/>
      <c r="CK747" s="120">
        <f t="shared" si="179"/>
        <v>0</v>
      </c>
      <c r="CL747" s="122">
        <f t="shared" si="180"/>
        <v>0</v>
      </c>
      <c r="CM747" s="524" t="str">
        <f t="shared" si="182"/>
        <v/>
      </c>
      <c r="CN747" s="526">
        <f t="shared" si="183"/>
        <v>0</v>
      </c>
      <c r="CO747" s="122">
        <f t="shared" si="184"/>
        <v>0</v>
      </c>
      <c r="CP747" s="45" t="str">
        <f t="shared" si="181"/>
        <v>1 - in MILLESIMI   I</v>
      </c>
      <c r="CQ747" s="1"/>
    </row>
    <row r="748" spans="1:95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435">
        <f>IF(AND(W748&gt;=$U$1,W748&lt;=$U$2),IF(X748='ESTRATTO CONTO'!$E$2,1+COUNTIF(U$4:U747,"&gt;0"),0),0)</f>
        <v>0</v>
      </c>
      <c r="V748" s="417">
        <f t="shared" si="185"/>
        <v>745</v>
      </c>
      <c r="W748" s="509"/>
      <c r="X748" s="321"/>
      <c r="Y748" s="321"/>
      <c r="Z748" s="433"/>
      <c r="AA748" s="918">
        <f t="shared" si="176"/>
        <v>1</v>
      </c>
      <c r="AB748" s="306" t="str">
        <f t="shared" si="177"/>
        <v/>
      </c>
      <c r="AC748" s="788"/>
      <c r="AD748" s="119">
        <f t="shared" si="187"/>
        <v>0</v>
      </c>
      <c r="AE748" s="108">
        <f t="shared" si="187"/>
        <v>0</v>
      </c>
      <c r="AF748" s="108">
        <f t="shared" si="187"/>
        <v>0</v>
      </c>
      <c r="AG748" s="108"/>
      <c r="AH748" s="108"/>
      <c r="AI748" s="108"/>
      <c r="AJ748" s="108"/>
      <c r="AK748" s="108"/>
      <c r="AL748" s="108">
        <f t="shared" si="178"/>
        <v>0</v>
      </c>
      <c r="AM748" s="108"/>
      <c r="AN748" s="108"/>
      <c r="AO748" s="108"/>
      <c r="AP748" s="108"/>
      <c r="AQ748" s="108"/>
      <c r="AR748" s="108"/>
      <c r="AS748" s="108"/>
      <c r="AT748" s="108"/>
      <c r="AU748" s="108"/>
      <c r="AV748" s="108"/>
      <c r="AW748" s="108"/>
      <c r="AX748" s="108"/>
      <c r="AY748" s="108"/>
      <c r="AZ748" s="108"/>
      <c r="BA748" s="108"/>
      <c r="BB748" s="108"/>
      <c r="BC748" s="108"/>
      <c r="BD748" s="108"/>
      <c r="BE748" s="108"/>
      <c r="BF748" s="108"/>
      <c r="BG748" s="108"/>
      <c r="BH748" s="108"/>
      <c r="BI748" s="108"/>
      <c r="BJ748" s="108"/>
      <c r="BK748" s="108"/>
      <c r="BL748" s="108"/>
      <c r="BM748" s="108"/>
      <c r="BN748" s="108"/>
      <c r="BO748" s="108"/>
      <c r="BP748" s="108"/>
      <c r="BQ748" s="108"/>
      <c r="BR748" s="108"/>
      <c r="BS748" s="108"/>
      <c r="BT748" s="108"/>
      <c r="BU748" s="108"/>
      <c r="BV748" s="108"/>
      <c r="BW748" s="108"/>
      <c r="BX748" s="108"/>
      <c r="BY748" s="108"/>
      <c r="BZ748" s="108"/>
      <c r="CA748" s="108"/>
      <c r="CB748" s="108"/>
      <c r="CC748" s="108"/>
      <c r="CD748" s="108"/>
      <c r="CE748" s="108"/>
      <c r="CF748" s="108"/>
      <c r="CG748" s="108"/>
      <c r="CH748" s="108"/>
      <c r="CI748" s="108"/>
      <c r="CJ748" s="108"/>
      <c r="CK748" s="120">
        <f t="shared" si="179"/>
        <v>0</v>
      </c>
      <c r="CL748" s="122">
        <f t="shared" si="180"/>
        <v>0</v>
      </c>
      <c r="CM748" s="524" t="str">
        <f t="shared" si="182"/>
        <v/>
      </c>
      <c r="CN748" s="526">
        <f t="shared" si="183"/>
        <v>0</v>
      </c>
      <c r="CO748" s="122">
        <f t="shared" si="184"/>
        <v>0</v>
      </c>
      <c r="CP748" s="45" t="str">
        <f t="shared" si="181"/>
        <v>1 - in MILLESIMI   I</v>
      </c>
      <c r="CQ748" s="1"/>
    </row>
    <row r="749" spans="1:95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435">
        <f>IF(AND(W749&gt;=$U$1,W749&lt;=$U$2),IF(X749='ESTRATTO CONTO'!$E$2,1+COUNTIF(U$4:U748,"&gt;0"),0),0)</f>
        <v>0</v>
      </c>
      <c r="V749" s="417">
        <f t="shared" si="185"/>
        <v>746</v>
      </c>
      <c r="W749" s="509"/>
      <c r="X749" s="321"/>
      <c r="Y749" s="321"/>
      <c r="Z749" s="433"/>
      <c r="AA749" s="918">
        <f t="shared" si="176"/>
        <v>1</v>
      </c>
      <c r="AB749" s="306" t="str">
        <f t="shared" si="177"/>
        <v/>
      </c>
      <c r="AC749" s="788"/>
      <c r="AD749" s="119">
        <f t="shared" si="187"/>
        <v>0</v>
      </c>
      <c r="AE749" s="108">
        <f t="shared" si="187"/>
        <v>0</v>
      </c>
      <c r="AF749" s="108">
        <f t="shared" si="187"/>
        <v>0</v>
      </c>
      <c r="AG749" s="108"/>
      <c r="AH749" s="108"/>
      <c r="AI749" s="108"/>
      <c r="AJ749" s="108"/>
      <c r="AK749" s="108"/>
      <c r="AL749" s="108">
        <f t="shared" si="178"/>
        <v>0</v>
      </c>
      <c r="AM749" s="108"/>
      <c r="AN749" s="108"/>
      <c r="AO749" s="108"/>
      <c r="AP749" s="108"/>
      <c r="AQ749" s="108"/>
      <c r="AR749" s="108"/>
      <c r="AS749" s="108"/>
      <c r="AT749" s="108"/>
      <c r="AU749" s="108"/>
      <c r="AV749" s="108"/>
      <c r="AW749" s="108"/>
      <c r="AX749" s="108"/>
      <c r="AY749" s="108"/>
      <c r="AZ749" s="108"/>
      <c r="BA749" s="108"/>
      <c r="BB749" s="108"/>
      <c r="BC749" s="108"/>
      <c r="BD749" s="108"/>
      <c r="BE749" s="108"/>
      <c r="BF749" s="108"/>
      <c r="BG749" s="108"/>
      <c r="BH749" s="108"/>
      <c r="BI749" s="108"/>
      <c r="BJ749" s="108"/>
      <c r="BK749" s="108"/>
      <c r="BL749" s="108"/>
      <c r="BM749" s="108"/>
      <c r="BN749" s="108"/>
      <c r="BO749" s="108"/>
      <c r="BP749" s="108"/>
      <c r="BQ749" s="108"/>
      <c r="BR749" s="108"/>
      <c r="BS749" s="108"/>
      <c r="BT749" s="108"/>
      <c r="BU749" s="108"/>
      <c r="BV749" s="108"/>
      <c r="BW749" s="108"/>
      <c r="BX749" s="108"/>
      <c r="BY749" s="108"/>
      <c r="BZ749" s="108"/>
      <c r="CA749" s="108"/>
      <c r="CB749" s="108"/>
      <c r="CC749" s="108"/>
      <c r="CD749" s="108"/>
      <c r="CE749" s="108"/>
      <c r="CF749" s="108"/>
      <c r="CG749" s="108"/>
      <c r="CH749" s="108"/>
      <c r="CI749" s="108"/>
      <c r="CJ749" s="108"/>
      <c r="CK749" s="120">
        <f t="shared" si="179"/>
        <v>0</v>
      </c>
      <c r="CL749" s="122">
        <f t="shared" si="180"/>
        <v>0</v>
      </c>
      <c r="CM749" s="524" t="str">
        <f t="shared" si="182"/>
        <v/>
      </c>
      <c r="CN749" s="526">
        <f t="shared" si="183"/>
        <v>0</v>
      </c>
      <c r="CO749" s="122">
        <f t="shared" si="184"/>
        <v>0</v>
      </c>
      <c r="CP749" s="45" t="str">
        <f t="shared" si="181"/>
        <v>1 - in MILLESIMI   I</v>
      </c>
      <c r="CQ749" s="1"/>
    </row>
    <row r="750" spans="1:95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435">
        <f>IF(AND(W750&gt;=$U$1,W750&lt;=$U$2),IF(X750='ESTRATTO CONTO'!$E$2,1+COUNTIF(U$4:U749,"&gt;0"),0),0)</f>
        <v>0</v>
      </c>
      <c r="V750" s="417">
        <f t="shared" si="185"/>
        <v>747</v>
      </c>
      <c r="W750" s="509"/>
      <c r="X750" s="321"/>
      <c r="Y750" s="321"/>
      <c r="Z750" s="433"/>
      <c r="AA750" s="918">
        <f t="shared" si="176"/>
        <v>1</v>
      </c>
      <c r="AB750" s="306" t="str">
        <f t="shared" si="177"/>
        <v/>
      </c>
      <c r="AC750" s="788"/>
      <c r="AD750" s="119">
        <f t="shared" si="187"/>
        <v>0</v>
      </c>
      <c r="AE750" s="108">
        <f t="shared" si="187"/>
        <v>0</v>
      </c>
      <c r="AF750" s="108">
        <f t="shared" si="187"/>
        <v>0</v>
      </c>
      <c r="AG750" s="108"/>
      <c r="AH750" s="108"/>
      <c r="AI750" s="108"/>
      <c r="AJ750" s="108"/>
      <c r="AK750" s="108"/>
      <c r="AL750" s="108">
        <f t="shared" si="178"/>
        <v>0</v>
      </c>
      <c r="AM750" s="108"/>
      <c r="AN750" s="108"/>
      <c r="AO750" s="108"/>
      <c r="AP750" s="108"/>
      <c r="AQ750" s="108"/>
      <c r="AR750" s="108"/>
      <c r="AS750" s="108"/>
      <c r="AT750" s="108"/>
      <c r="AU750" s="108"/>
      <c r="AV750" s="108"/>
      <c r="AW750" s="108"/>
      <c r="AX750" s="108"/>
      <c r="AY750" s="108"/>
      <c r="AZ750" s="108"/>
      <c r="BA750" s="108"/>
      <c r="BB750" s="108"/>
      <c r="BC750" s="108"/>
      <c r="BD750" s="108"/>
      <c r="BE750" s="108"/>
      <c r="BF750" s="108"/>
      <c r="BG750" s="108"/>
      <c r="BH750" s="108"/>
      <c r="BI750" s="108"/>
      <c r="BJ750" s="108"/>
      <c r="BK750" s="108"/>
      <c r="BL750" s="108"/>
      <c r="BM750" s="108"/>
      <c r="BN750" s="108"/>
      <c r="BO750" s="108"/>
      <c r="BP750" s="108"/>
      <c r="BQ750" s="108"/>
      <c r="BR750" s="108"/>
      <c r="BS750" s="108"/>
      <c r="BT750" s="108"/>
      <c r="BU750" s="108"/>
      <c r="BV750" s="108"/>
      <c r="BW750" s="108"/>
      <c r="BX750" s="108"/>
      <c r="BY750" s="108"/>
      <c r="BZ750" s="108"/>
      <c r="CA750" s="108"/>
      <c r="CB750" s="108"/>
      <c r="CC750" s="108"/>
      <c r="CD750" s="108"/>
      <c r="CE750" s="108"/>
      <c r="CF750" s="108"/>
      <c r="CG750" s="108"/>
      <c r="CH750" s="108"/>
      <c r="CI750" s="108"/>
      <c r="CJ750" s="108"/>
      <c r="CK750" s="120">
        <f t="shared" si="179"/>
        <v>0</v>
      </c>
      <c r="CL750" s="122">
        <f t="shared" si="180"/>
        <v>0</v>
      </c>
      <c r="CM750" s="524" t="str">
        <f t="shared" si="182"/>
        <v/>
      </c>
      <c r="CN750" s="526">
        <f t="shared" si="183"/>
        <v>0</v>
      </c>
      <c r="CO750" s="122">
        <f t="shared" si="184"/>
        <v>0</v>
      </c>
      <c r="CP750" s="45" t="str">
        <f t="shared" si="181"/>
        <v>1 - in MILLESIMI   I</v>
      </c>
      <c r="CQ750" s="1"/>
    </row>
    <row r="751" spans="1:95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435">
        <f>IF(AND(W751&gt;=$U$1,W751&lt;=$U$2),IF(X751='ESTRATTO CONTO'!$E$2,1+COUNTIF(U$4:U750,"&gt;0"),0),0)</f>
        <v>0</v>
      </c>
      <c r="V751" s="417">
        <f t="shared" si="185"/>
        <v>748</v>
      </c>
      <c r="W751" s="509"/>
      <c r="X751" s="321"/>
      <c r="Y751" s="321"/>
      <c r="Z751" s="433"/>
      <c r="AA751" s="918">
        <f t="shared" si="176"/>
        <v>1</v>
      </c>
      <c r="AB751" s="306" t="str">
        <f t="shared" si="177"/>
        <v/>
      </c>
      <c r="AC751" s="788"/>
      <c r="AD751" s="119">
        <f t="shared" si="187"/>
        <v>0</v>
      </c>
      <c r="AE751" s="108">
        <f t="shared" si="187"/>
        <v>0</v>
      </c>
      <c r="AF751" s="108">
        <f t="shared" si="187"/>
        <v>0</v>
      </c>
      <c r="AG751" s="108"/>
      <c r="AH751" s="108"/>
      <c r="AI751" s="108"/>
      <c r="AJ751" s="108"/>
      <c r="AK751" s="108"/>
      <c r="AL751" s="108">
        <f t="shared" si="178"/>
        <v>0</v>
      </c>
      <c r="AM751" s="108"/>
      <c r="AN751" s="108"/>
      <c r="AO751" s="108"/>
      <c r="AP751" s="108"/>
      <c r="AQ751" s="108"/>
      <c r="AR751" s="108"/>
      <c r="AS751" s="108"/>
      <c r="AT751" s="108"/>
      <c r="AU751" s="108"/>
      <c r="AV751" s="108"/>
      <c r="AW751" s="108"/>
      <c r="AX751" s="108"/>
      <c r="AY751" s="108"/>
      <c r="AZ751" s="108"/>
      <c r="BA751" s="108"/>
      <c r="BB751" s="108"/>
      <c r="BC751" s="108"/>
      <c r="BD751" s="108"/>
      <c r="BE751" s="108"/>
      <c r="BF751" s="108"/>
      <c r="BG751" s="108"/>
      <c r="BH751" s="108"/>
      <c r="BI751" s="108"/>
      <c r="BJ751" s="108"/>
      <c r="BK751" s="108"/>
      <c r="BL751" s="108"/>
      <c r="BM751" s="108"/>
      <c r="BN751" s="108"/>
      <c r="BO751" s="108"/>
      <c r="BP751" s="108"/>
      <c r="BQ751" s="108"/>
      <c r="BR751" s="108"/>
      <c r="BS751" s="108"/>
      <c r="BT751" s="108"/>
      <c r="BU751" s="108"/>
      <c r="BV751" s="108"/>
      <c r="BW751" s="108"/>
      <c r="BX751" s="108"/>
      <c r="BY751" s="108"/>
      <c r="BZ751" s="108"/>
      <c r="CA751" s="108"/>
      <c r="CB751" s="108"/>
      <c r="CC751" s="108"/>
      <c r="CD751" s="108"/>
      <c r="CE751" s="108"/>
      <c r="CF751" s="108"/>
      <c r="CG751" s="108"/>
      <c r="CH751" s="108"/>
      <c r="CI751" s="108"/>
      <c r="CJ751" s="108"/>
      <c r="CK751" s="120">
        <f t="shared" si="179"/>
        <v>0</v>
      </c>
      <c r="CL751" s="122">
        <f t="shared" si="180"/>
        <v>0</v>
      </c>
      <c r="CM751" s="524" t="str">
        <f t="shared" si="182"/>
        <v/>
      </c>
      <c r="CN751" s="526">
        <f t="shared" si="183"/>
        <v>0</v>
      </c>
      <c r="CO751" s="122">
        <f t="shared" si="184"/>
        <v>0</v>
      </c>
      <c r="CP751" s="45" t="str">
        <f t="shared" si="181"/>
        <v>1 - in MILLESIMI   I</v>
      </c>
      <c r="CQ751" s="1"/>
    </row>
    <row r="752" spans="1:95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435">
        <f>IF(AND(W752&gt;=$U$1,W752&lt;=$U$2),IF(X752='ESTRATTO CONTO'!$E$2,1+COUNTIF(U$4:U751,"&gt;0"),0),0)</f>
        <v>0</v>
      </c>
      <c r="V752" s="417">
        <f t="shared" si="185"/>
        <v>749</v>
      </c>
      <c r="W752" s="509"/>
      <c r="X752" s="321"/>
      <c r="Y752" s="321"/>
      <c r="Z752" s="433"/>
      <c r="AA752" s="918">
        <f t="shared" si="176"/>
        <v>1</v>
      </c>
      <c r="AB752" s="306" t="str">
        <f t="shared" si="177"/>
        <v/>
      </c>
      <c r="AC752" s="788"/>
      <c r="AD752" s="119">
        <f t="shared" si="187"/>
        <v>0</v>
      </c>
      <c r="AE752" s="108">
        <f t="shared" si="187"/>
        <v>0</v>
      </c>
      <c r="AF752" s="108">
        <f t="shared" si="187"/>
        <v>0</v>
      </c>
      <c r="AG752" s="108"/>
      <c r="AH752" s="108"/>
      <c r="AI752" s="108"/>
      <c r="AJ752" s="108"/>
      <c r="AK752" s="108"/>
      <c r="AL752" s="108">
        <f t="shared" si="178"/>
        <v>0</v>
      </c>
      <c r="AM752" s="108"/>
      <c r="AN752" s="108"/>
      <c r="AO752" s="108"/>
      <c r="AP752" s="108"/>
      <c r="AQ752" s="108"/>
      <c r="AR752" s="108"/>
      <c r="AS752" s="108"/>
      <c r="AT752" s="108"/>
      <c r="AU752" s="108"/>
      <c r="AV752" s="108"/>
      <c r="AW752" s="108"/>
      <c r="AX752" s="108"/>
      <c r="AY752" s="108"/>
      <c r="AZ752" s="108"/>
      <c r="BA752" s="108"/>
      <c r="BB752" s="108"/>
      <c r="BC752" s="108"/>
      <c r="BD752" s="108"/>
      <c r="BE752" s="108"/>
      <c r="BF752" s="108"/>
      <c r="BG752" s="108"/>
      <c r="BH752" s="108"/>
      <c r="BI752" s="108"/>
      <c r="BJ752" s="108"/>
      <c r="BK752" s="108"/>
      <c r="BL752" s="108"/>
      <c r="BM752" s="108"/>
      <c r="BN752" s="108"/>
      <c r="BO752" s="108"/>
      <c r="BP752" s="108"/>
      <c r="BQ752" s="108"/>
      <c r="BR752" s="108"/>
      <c r="BS752" s="108"/>
      <c r="BT752" s="108"/>
      <c r="BU752" s="108"/>
      <c r="BV752" s="108"/>
      <c r="BW752" s="108"/>
      <c r="BX752" s="108"/>
      <c r="BY752" s="108"/>
      <c r="BZ752" s="108"/>
      <c r="CA752" s="108"/>
      <c r="CB752" s="108"/>
      <c r="CC752" s="108"/>
      <c r="CD752" s="108"/>
      <c r="CE752" s="108"/>
      <c r="CF752" s="108"/>
      <c r="CG752" s="108"/>
      <c r="CH752" s="108"/>
      <c r="CI752" s="108"/>
      <c r="CJ752" s="108"/>
      <c r="CK752" s="120">
        <f t="shared" si="179"/>
        <v>0</v>
      </c>
      <c r="CL752" s="122">
        <f t="shared" si="180"/>
        <v>0</v>
      </c>
      <c r="CM752" s="524" t="str">
        <f t="shared" si="182"/>
        <v/>
      </c>
      <c r="CN752" s="526">
        <f t="shared" si="183"/>
        <v>0</v>
      </c>
      <c r="CO752" s="122">
        <f t="shared" si="184"/>
        <v>0</v>
      </c>
      <c r="CP752" s="45" t="str">
        <f t="shared" si="181"/>
        <v>1 - in MILLESIMI   I</v>
      </c>
      <c r="CQ752" s="1"/>
    </row>
    <row r="753" spans="1:95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435">
        <f>IF(AND(W753&gt;=$U$1,W753&lt;=$U$2),IF(X753='ESTRATTO CONTO'!$E$2,1+COUNTIF(U$4:U752,"&gt;0"),0),0)</f>
        <v>0</v>
      </c>
      <c r="V753" s="417">
        <f t="shared" si="185"/>
        <v>750</v>
      </c>
      <c r="W753" s="509"/>
      <c r="X753" s="321"/>
      <c r="Y753" s="321"/>
      <c r="Z753" s="433"/>
      <c r="AA753" s="918">
        <f t="shared" si="176"/>
        <v>1</v>
      </c>
      <c r="AB753" s="306" t="str">
        <f t="shared" si="177"/>
        <v/>
      </c>
      <c r="AC753" s="788"/>
      <c r="AD753" s="119">
        <f t="shared" si="187"/>
        <v>0</v>
      </c>
      <c r="AE753" s="108">
        <f t="shared" si="187"/>
        <v>0</v>
      </c>
      <c r="AF753" s="108">
        <f t="shared" si="187"/>
        <v>0</v>
      </c>
      <c r="AG753" s="108"/>
      <c r="AH753" s="108"/>
      <c r="AI753" s="108"/>
      <c r="AJ753" s="108"/>
      <c r="AK753" s="108"/>
      <c r="AL753" s="108">
        <f t="shared" si="178"/>
        <v>0</v>
      </c>
      <c r="AM753" s="108"/>
      <c r="AN753" s="108"/>
      <c r="AO753" s="108"/>
      <c r="AP753" s="108"/>
      <c r="AQ753" s="108"/>
      <c r="AR753" s="108"/>
      <c r="AS753" s="108"/>
      <c r="AT753" s="108"/>
      <c r="AU753" s="108"/>
      <c r="AV753" s="108"/>
      <c r="AW753" s="108"/>
      <c r="AX753" s="108"/>
      <c r="AY753" s="108"/>
      <c r="AZ753" s="108"/>
      <c r="BA753" s="108"/>
      <c r="BB753" s="108"/>
      <c r="BC753" s="108"/>
      <c r="BD753" s="108"/>
      <c r="BE753" s="108"/>
      <c r="BF753" s="108"/>
      <c r="BG753" s="108"/>
      <c r="BH753" s="108"/>
      <c r="BI753" s="108"/>
      <c r="BJ753" s="108"/>
      <c r="BK753" s="108"/>
      <c r="BL753" s="108"/>
      <c r="BM753" s="108"/>
      <c r="BN753" s="108"/>
      <c r="BO753" s="108"/>
      <c r="BP753" s="108"/>
      <c r="BQ753" s="108"/>
      <c r="BR753" s="108"/>
      <c r="BS753" s="108"/>
      <c r="BT753" s="108"/>
      <c r="BU753" s="108"/>
      <c r="BV753" s="108"/>
      <c r="BW753" s="108"/>
      <c r="BX753" s="108"/>
      <c r="BY753" s="108"/>
      <c r="BZ753" s="108"/>
      <c r="CA753" s="108"/>
      <c r="CB753" s="108"/>
      <c r="CC753" s="108"/>
      <c r="CD753" s="108"/>
      <c r="CE753" s="108"/>
      <c r="CF753" s="108"/>
      <c r="CG753" s="108"/>
      <c r="CH753" s="108"/>
      <c r="CI753" s="108"/>
      <c r="CJ753" s="108"/>
      <c r="CK753" s="120">
        <f t="shared" si="179"/>
        <v>0</v>
      </c>
      <c r="CL753" s="122">
        <f t="shared" si="180"/>
        <v>0</v>
      </c>
      <c r="CM753" s="524" t="str">
        <f t="shared" si="182"/>
        <v/>
      </c>
      <c r="CN753" s="526">
        <f t="shared" si="183"/>
        <v>0</v>
      </c>
      <c r="CO753" s="122">
        <f t="shared" si="184"/>
        <v>0</v>
      </c>
      <c r="CP753" s="45" t="str">
        <f t="shared" si="181"/>
        <v>1 - in MILLESIMI   I</v>
      </c>
      <c r="CQ753" s="1"/>
    </row>
    <row r="754" spans="1:95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435">
        <f>IF(AND(W754&gt;=$U$1,W754&lt;=$U$2),IF(X754='ESTRATTO CONTO'!$E$2,1+COUNTIF(U$4:U753,"&gt;0"),0),0)</f>
        <v>0</v>
      </c>
      <c r="V754" s="417">
        <f t="shared" si="185"/>
        <v>751</v>
      </c>
      <c r="W754" s="509"/>
      <c r="X754" s="321"/>
      <c r="Y754" s="321"/>
      <c r="Z754" s="433"/>
      <c r="AA754" s="918">
        <f t="shared" si="176"/>
        <v>1</v>
      </c>
      <c r="AB754" s="306" t="str">
        <f t="shared" si="177"/>
        <v/>
      </c>
      <c r="AC754" s="788"/>
      <c r="AD754" s="119">
        <f t="shared" si="187"/>
        <v>0</v>
      </c>
      <c r="AE754" s="108">
        <f t="shared" si="187"/>
        <v>0</v>
      </c>
      <c r="AF754" s="108">
        <f t="shared" si="187"/>
        <v>0</v>
      </c>
      <c r="AG754" s="108"/>
      <c r="AH754" s="108"/>
      <c r="AI754" s="108"/>
      <c r="AJ754" s="108"/>
      <c r="AK754" s="108"/>
      <c r="AL754" s="108">
        <f t="shared" si="178"/>
        <v>0</v>
      </c>
      <c r="AM754" s="108"/>
      <c r="AN754" s="108"/>
      <c r="AO754" s="108"/>
      <c r="AP754" s="108"/>
      <c r="AQ754" s="108"/>
      <c r="AR754" s="108"/>
      <c r="AS754" s="108"/>
      <c r="AT754" s="108"/>
      <c r="AU754" s="108"/>
      <c r="AV754" s="108"/>
      <c r="AW754" s="108"/>
      <c r="AX754" s="108"/>
      <c r="AY754" s="108"/>
      <c r="AZ754" s="108"/>
      <c r="BA754" s="108"/>
      <c r="BB754" s="108"/>
      <c r="BC754" s="108"/>
      <c r="BD754" s="108"/>
      <c r="BE754" s="108"/>
      <c r="BF754" s="108"/>
      <c r="BG754" s="108"/>
      <c r="BH754" s="108"/>
      <c r="BI754" s="108"/>
      <c r="BJ754" s="108"/>
      <c r="BK754" s="108"/>
      <c r="BL754" s="108"/>
      <c r="BM754" s="108"/>
      <c r="BN754" s="108"/>
      <c r="BO754" s="108"/>
      <c r="BP754" s="108"/>
      <c r="BQ754" s="108"/>
      <c r="BR754" s="108"/>
      <c r="BS754" s="108"/>
      <c r="BT754" s="108"/>
      <c r="BU754" s="108"/>
      <c r="BV754" s="108"/>
      <c r="BW754" s="108"/>
      <c r="BX754" s="108"/>
      <c r="BY754" s="108"/>
      <c r="BZ754" s="108"/>
      <c r="CA754" s="108"/>
      <c r="CB754" s="108"/>
      <c r="CC754" s="108"/>
      <c r="CD754" s="108"/>
      <c r="CE754" s="108"/>
      <c r="CF754" s="108"/>
      <c r="CG754" s="108"/>
      <c r="CH754" s="108"/>
      <c r="CI754" s="108"/>
      <c r="CJ754" s="108"/>
      <c r="CK754" s="120">
        <f t="shared" si="179"/>
        <v>0</v>
      </c>
      <c r="CL754" s="122">
        <f t="shared" si="180"/>
        <v>0</v>
      </c>
      <c r="CM754" s="524" t="str">
        <f t="shared" si="182"/>
        <v/>
      </c>
      <c r="CN754" s="526">
        <f t="shared" si="183"/>
        <v>0</v>
      </c>
      <c r="CO754" s="122">
        <f t="shared" si="184"/>
        <v>0</v>
      </c>
      <c r="CP754" s="45" t="str">
        <f t="shared" si="181"/>
        <v>1 - in MILLESIMI   I</v>
      </c>
      <c r="CQ754" s="1"/>
    </row>
    <row r="755" spans="1:95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435">
        <f>IF(AND(W755&gt;=$U$1,W755&lt;=$U$2),IF(X755='ESTRATTO CONTO'!$E$2,1+COUNTIF(U$4:U754,"&gt;0"),0),0)</f>
        <v>0</v>
      </c>
      <c r="V755" s="417">
        <f t="shared" si="185"/>
        <v>752</v>
      </c>
      <c r="W755" s="509"/>
      <c r="X755" s="321"/>
      <c r="Y755" s="321"/>
      <c r="Z755" s="433"/>
      <c r="AA755" s="918">
        <f t="shared" si="176"/>
        <v>1</v>
      </c>
      <c r="AB755" s="306" t="str">
        <f t="shared" si="177"/>
        <v/>
      </c>
      <c r="AC755" s="788"/>
      <c r="AD755" s="119">
        <f t="shared" si="187"/>
        <v>0</v>
      </c>
      <c r="AE755" s="108">
        <f t="shared" si="187"/>
        <v>0</v>
      </c>
      <c r="AF755" s="108">
        <f t="shared" si="187"/>
        <v>0</v>
      </c>
      <c r="AG755" s="108"/>
      <c r="AH755" s="108"/>
      <c r="AI755" s="108"/>
      <c r="AJ755" s="108"/>
      <c r="AK755" s="108"/>
      <c r="AL755" s="108">
        <f t="shared" si="178"/>
        <v>0</v>
      </c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  <c r="AY755" s="108"/>
      <c r="AZ755" s="108"/>
      <c r="BA755" s="108"/>
      <c r="BB755" s="108"/>
      <c r="BC755" s="108"/>
      <c r="BD755" s="108"/>
      <c r="BE755" s="108"/>
      <c r="BF755" s="108"/>
      <c r="BG755" s="108"/>
      <c r="BH755" s="108"/>
      <c r="BI755" s="108"/>
      <c r="BJ755" s="108"/>
      <c r="BK755" s="108"/>
      <c r="BL755" s="108"/>
      <c r="BM755" s="108"/>
      <c r="BN755" s="108"/>
      <c r="BO755" s="108"/>
      <c r="BP755" s="108"/>
      <c r="BQ755" s="108"/>
      <c r="BR755" s="108"/>
      <c r="BS755" s="108"/>
      <c r="BT755" s="108"/>
      <c r="BU755" s="108"/>
      <c r="BV755" s="108"/>
      <c r="BW755" s="108"/>
      <c r="BX755" s="108"/>
      <c r="BY755" s="108"/>
      <c r="BZ755" s="108"/>
      <c r="CA755" s="108"/>
      <c r="CB755" s="108"/>
      <c r="CC755" s="108"/>
      <c r="CD755" s="108"/>
      <c r="CE755" s="108"/>
      <c r="CF755" s="108"/>
      <c r="CG755" s="108"/>
      <c r="CH755" s="108"/>
      <c r="CI755" s="108"/>
      <c r="CJ755" s="108"/>
      <c r="CK755" s="120">
        <f t="shared" si="179"/>
        <v>0</v>
      </c>
      <c r="CL755" s="122">
        <f t="shared" si="180"/>
        <v>0</v>
      </c>
      <c r="CM755" s="524" t="str">
        <f t="shared" si="182"/>
        <v/>
      </c>
      <c r="CN755" s="526">
        <f t="shared" si="183"/>
        <v>0</v>
      </c>
      <c r="CO755" s="122">
        <f t="shared" si="184"/>
        <v>0</v>
      </c>
      <c r="CP755" s="45" t="str">
        <f t="shared" si="181"/>
        <v>1 - in MILLESIMI   I</v>
      </c>
      <c r="CQ755" s="1"/>
    </row>
    <row r="756" spans="1:95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435">
        <f>IF(AND(W756&gt;=$U$1,W756&lt;=$U$2),IF(X756='ESTRATTO CONTO'!$E$2,1+COUNTIF(U$4:U755,"&gt;0"),0),0)</f>
        <v>0</v>
      </c>
      <c r="V756" s="417">
        <f t="shared" si="185"/>
        <v>753</v>
      </c>
      <c r="W756" s="509"/>
      <c r="X756" s="321"/>
      <c r="Y756" s="321"/>
      <c r="Z756" s="433"/>
      <c r="AA756" s="918">
        <f t="shared" si="176"/>
        <v>1</v>
      </c>
      <c r="AB756" s="306" t="str">
        <f t="shared" si="177"/>
        <v/>
      </c>
      <c r="AC756" s="788"/>
      <c r="AD756" s="119">
        <f t="shared" si="187"/>
        <v>0</v>
      </c>
      <c r="AE756" s="108">
        <f t="shared" si="187"/>
        <v>0</v>
      </c>
      <c r="AF756" s="108">
        <f t="shared" si="187"/>
        <v>0</v>
      </c>
      <c r="AG756" s="108"/>
      <c r="AH756" s="108"/>
      <c r="AI756" s="108"/>
      <c r="AJ756" s="108"/>
      <c r="AK756" s="108"/>
      <c r="AL756" s="108">
        <f t="shared" si="178"/>
        <v>0</v>
      </c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  <c r="AY756" s="108"/>
      <c r="AZ756" s="108"/>
      <c r="BA756" s="108"/>
      <c r="BB756" s="108"/>
      <c r="BC756" s="108"/>
      <c r="BD756" s="108"/>
      <c r="BE756" s="108"/>
      <c r="BF756" s="108"/>
      <c r="BG756" s="108"/>
      <c r="BH756" s="108"/>
      <c r="BI756" s="108"/>
      <c r="BJ756" s="108"/>
      <c r="BK756" s="108"/>
      <c r="BL756" s="108"/>
      <c r="BM756" s="108"/>
      <c r="BN756" s="108"/>
      <c r="BO756" s="108"/>
      <c r="BP756" s="108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20">
        <f t="shared" si="179"/>
        <v>0</v>
      </c>
      <c r="CL756" s="122">
        <f t="shared" si="180"/>
        <v>0</v>
      </c>
      <c r="CM756" s="524" t="str">
        <f t="shared" si="182"/>
        <v/>
      </c>
      <c r="CN756" s="526">
        <f t="shared" si="183"/>
        <v>0</v>
      </c>
      <c r="CO756" s="122">
        <f t="shared" si="184"/>
        <v>0</v>
      </c>
      <c r="CP756" s="45" t="str">
        <f t="shared" si="181"/>
        <v>1 - in MILLESIMI   I</v>
      </c>
      <c r="CQ756" s="1"/>
    </row>
    <row r="757" spans="1:95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435">
        <f>IF(AND(W757&gt;=$U$1,W757&lt;=$U$2),IF(X757='ESTRATTO CONTO'!$E$2,1+COUNTIF(U$4:U756,"&gt;0"),0),0)</f>
        <v>0</v>
      </c>
      <c r="V757" s="417">
        <f t="shared" si="185"/>
        <v>754</v>
      </c>
      <c r="W757" s="509"/>
      <c r="X757" s="321"/>
      <c r="Y757" s="321"/>
      <c r="Z757" s="433"/>
      <c r="AA757" s="918">
        <f t="shared" si="176"/>
        <v>1</v>
      </c>
      <c r="AB757" s="306" t="str">
        <f t="shared" si="177"/>
        <v/>
      </c>
      <c r="AC757" s="788"/>
      <c r="AD757" s="119">
        <f t="shared" si="187"/>
        <v>0</v>
      </c>
      <c r="AE757" s="108">
        <f t="shared" si="187"/>
        <v>0</v>
      </c>
      <c r="AF757" s="108">
        <f t="shared" si="187"/>
        <v>0</v>
      </c>
      <c r="AG757" s="108"/>
      <c r="AH757" s="108"/>
      <c r="AI757" s="108"/>
      <c r="AJ757" s="108"/>
      <c r="AK757" s="108"/>
      <c r="AL757" s="108">
        <f t="shared" si="178"/>
        <v>0</v>
      </c>
      <c r="AM757" s="108"/>
      <c r="AN757" s="108"/>
      <c r="AO757" s="108"/>
      <c r="AP757" s="108"/>
      <c r="AQ757" s="108"/>
      <c r="AR757" s="108"/>
      <c r="AS757" s="108"/>
      <c r="AT757" s="108"/>
      <c r="AU757" s="108"/>
      <c r="AV757" s="108"/>
      <c r="AW757" s="108"/>
      <c r="AX757" s="108"/>
      <c r="AY757" s="108"/>
      <c r="AZ757" s="108"/>
      <c r="BA757" s="108"/>
      <c r="BB757" s="108"/>
      <c r="BC757" s="108"/>
      <c r="BD757" s="108"/>
      <c r="BE757" s="108"/>
      <c r="BF757" s="108"/>
      <c r="BG757" s="108"/>
      <c r="BH757" s="108"/>
      <c r="BI757" s="108"/>
      <c r="BJ757" s="108"/>
      <c r="BK757" s="108"/>
      <c r="BL757" s="108"/>
      <c r="BM757" s="108"/>
      <c r="BN757" s="108"/>
      <c r="BO757" s="108"/>
      <c r="BP757" s="108"/>
      <c r="BQ757" s="108"/>
      <c r="BR757" s="108"/>
      <c r="BS757" s="108"/>
      <c r="BT757" s="108"/>
      <c r="BU757" s="108"/>
      <c r="BV757" s="108"/>
      <c r="BW757" s="108"/>
      <c r="BX757" s="108"/>
      <c r="BY757" s="108"/>
      <c r="BZ757" s="108"/>
      <c r="CA757" s="108"/>
      <c r="CB757" s="108"/>
      <c r="CC757" s="108"/>
      <c r="CD757" s="108"/>
      <c r="CE757" s="108"/>
      <c r="CF757" s="108"/>
      <c r="CG757" s="108"/>
      <c r="CH757" s="108"/>
      <c r="CI757" s="108"/>
      <c r="CJ757" s="108"/>
      <c r="CK757" s="120">
        <f t="shared" si="179"/>
        <v>0</v>
      </c>
      <c r="CL757" s="122">
        <f t="shared" si="180"/>
        <v>0</v>
      </c>
      <c r="CM757" s="524" t="str">
        <f t="shared" si="182"/>
        <v/>
      </c>
      <c r="CN757" s="526">
        <f t="shared" si="183"/>
        <v>0</v>
      </c>
      <c r="CO757" s="122">
        <f t="shared" si="184"/>
        <v>0</v>
      </c>
      <c r="CP757" s="45" t="str">
        <f t="shared" si="181"/>
        <v>1 - in MILLESIMI   I</v>
      </c>
      <c r="CQ757" s="1"/>
    </row>
    <row r="758" spans="1:95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435">
        <f>IF(AND(W758&gt;=$U$1,W758&lt;=$U$2),IF(X758='ESTRATTO CONTO'!$E$2,1+COUNTIF(U$4:U757,"&gt;0"),0),0)</f>
        <v>0</v>
      </c>
      <c r="V758" s="417">
        <f t="shared" si="185"/>
        <v>755</v>
      </c>
      <c r="W758" s="509"/>
      <c r="X758" s="321"/>
      <c r="Y758" s="321"/>
      <c r="Z758" s="433"/>
      <c r="AA758" s="918">
        <f t="shared" si="176"/>
        <v>1</v>
      </c>
      <c r="AB758" s="306" t="str">
        <f t="shared" si="177"/>
        <v/>
      </c>
      <c r="AC758" s="788"/>
      <c r="AD758" s="119">
        <f t="shared" si="187"/>
        <v>0</v>
      </c>
      <c r="AE758" s="108">
        <f t="shared" si="187"/>
        <v>0</v>
      </c>
      <c r="AF758" s="108">
        <f t="shared" si="187"/>
        <v>0</v>
      </c>
      <c r="AG758" s="108"/>
      <c r="AH758" s="108"/>
      <c r="AI758" s="108"/>
      <c r="AJ758" s="108"/>
      <c r="AK758" s="108"/>
      <c r="AL758" s="108">
        <f t="shared" si="178"/>
        <v>0</v>
      </c>
      <c r="AM758" s="108"/>
      <c r="AN758" s="108"/>
      <c r="AO758" s="108"/>
      <c r="AP758" s="108"/>
      <c r="AQ758" s="108"/>
      <c r="AR758" s="108"/>
      <c r="AS758" s="108"/>
      <c r="AT758" s="108"/>
      <c r="AU758" s="108"/>
      <c r="AV758" s="108"/>
      <c r="AW758" s="108"/>
      <c r="AX758" s="108"/>
      <c r="AY758" s="108"/>
      <c r="AZ758" s="108"/>
      <c r="BA758" s="108"/>
      <c r="BB758" s="108"/>
      <c r="BC758" s="108"/>
      <c r="BD758" s="108"/>
      <c r="BE758" s="108"/>
      <c r="BF758" s="108"/>
      <c r="BG758" s="108"/>
      <c r="BH758" s="108"/>
      <c r="BI758" s="108"/>
      <c r="BJ758" s="108"/>
      <c r="BK758" s="108"/>
      <c r="BL758" s="108"/>
      <c r="BM758" s="108"/>
      <c r="BN758" s="108"/>
      <c r="BO758" s="108"/>
      <c r="BP758" s="108"/>
      <c r="BQ758" s="108"/>
      <c r="BR758" s="108"/>
      <c r="BS758" s="108"/>
      <c r="BT758" s="108"/>
      <c r="BU758" s="108"/>
      <c r="BV758" s="108"/>
      <c r="BW758" s="108"/>
      <c r="BX758" s="108"/>
      <c r="BY758" s="108"/>
      <c r="BZ758" s="108"/>
      <c r="CA758" s="108"/>
      <c r="CB758" s="108"/>
      <c r="CC758" s="108"/>
      <c r="CD758" s="108"/>
      <c r="CE758" s="108"/>
      <c r="CF758" s="108"/>
      <c r="CG758" s="108"/>
      <c r="CH758" s="108"/>
      <c r="CI758" s="108"/>
      <c r="CJ758" s="108"/>
      <c r="CK758" s="120">
        <f t="shared" si="179"/>
        <v>0</v>
      </c>
      <c r="CL758" s="122">
        <f t="shared" si="180"/>
        <v>0</v>
      </c>
      <c r="CM758" s="524" t="str">
        <f t="shared" si="182"/>
        <v/>
      </c>
      <c r="CN758" s="526">
        <f t="shared" si="183"/>
        <v>0</v>
      </c>
      <c r="CO758" s="122">
        <f t="shared" si="184"/>
        <v>0</v>
      </c>
      <c r="CP758" s="45" t="str">
        <f t="shared" si="181"/>
        <v>1 - in MILLESIMI   I</v>
      </c>
      <c r="CQ758" s="1"/>
    </row>
    <row r="759" spans="1:95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435">
        <f>IF(AND(W759&gt;=$U$1,W759&lt;=$U$2),IF(X759='ESTRATTO CONTO'!$E$2,1+COUNTIF(U$4:U758,"&gt;0"),0),0)</f>
        <v>0</v>
      </c>
      <c r="V759" s="417">
        <f t="shared" si="185"/>
        <v>756</v>
      </c>
      <c r="W759" s="509"/>
      <c r="X759" s="321"/>
      <c r="Y759" s="321"/>
      <c r="Z759" s="433"/>
      <c r="AA759" s="918">
        <f t="shared" si="176"/>
        <v>1</v>
      </c>
      <c r="AB759" s="306" t="str">
        <f t="shared" si="177"/>
        <v/>
      </c>
      <c r="AC759" s="788"/>
      <c r="AD759" s="119">
        <f t="shared" si="187"/>
        <v>0</v>
      </c>
      <c r="AE759" s="108">
        <f t="shared" si="187"/>
        <v>0</v>
      </c>
      <c r="AF759" s="108">
        <f t="shared" si="187"/>
        <v>0</v>
      </c>
      <c r="AG759" s="108"/>
      <c r="AH759" s="108"/>
      <c r="AI759" s="108"/>
      <c r="AJ759" s="108"/>
      <c r="AK759" s="108"/>
      <c r="AL759" s="108">
        <f t="shared" si="178"/>
        <v>0</v>
      </c>
      <c r="AM759" s="108"/>
      <c r="AN759" s="108"/>
      <c r="AO759" s="108"/>
      <c r="AP759" s="108"/>
      <c r="AQ759" s="108"/>
      <c r="AR759" s="108"/>
      <c r="AS759" s="108"/>
      <c r="AT759" s="108"/>
      <c r="AU759" s="108"/>
      <c r="AV759" s="108"/>
      <c r="AW759" s="108"/>
      <c r="AX759" s="108"/>
      <c r="AY759" s="108"/>
      <c r="AZ759" s="108"/>
      <c r="BA759" s="108"/>
      <c r="BB759" s="108"/>
      <c r="BC759" s="108"/>
      <c r="BD759" s="108"/>
      <c r="BE759" s="108"/>
      <c r="BF759" s="108"/>
      <c r="BG759" s="108"/>
      <c r="BH759" s="108"/>
      <c r="BI759" s="108"/>
      <c r="BJ759" s="108"/>
      <c r="BK759" s="108"/>
      <c r="BL759" s="108"/>
      <c r="BM759" s="108"/>
      <c r="BN759" s="108"/>
      <c r="BO759" s="108"/>
      <c r="BP759" s="108"/>
      <c r="BQ759" s="108"/>
      <c r="BR759" s="108"/>
      <c r="BS759" s="108"/>
      <c r="BT759" s="108"/>
      <c r="BU759" s="108"/>
      <c r="BV759" s="108"/>
      <c r="BW759" s="108"/>
      <c r="BX759" s="108"/>
      <c r="BY759" s="108"/>
      <c r="BZ759" s="108"/>
      <c r="CA759" s="108"/>
      <c r="CB759" s="108"/>
      <c r="CC759" s="108"/>
      <c r="CD759" s="108"/>
      <c r="CE759" s="108"/>
      <c r="CF759" s="108"/>
      <c r="CG759" s="108"/>
      <c r="CH759" s="108"/>
      <c r="CI759" s="108"/>
      <c r="CJ759" s="108"/>
      <c r="CK759" s="120">
        <f t="shared" si="179"/>
        <v>0</v>
      </c>
      <c r="CL759" s="122">
        <f t="shared" si="180"/>
        <v>0</v>
      </c>
      <c r="CM759" s="524" t="str">
        <f t="shared" si="182"/>
        <v/>
      </c>
      <c r="CN759" s="526">
        <f t="shared" si="183"/>
        <v>0</v>
      </c>
      <c r="CO759" s="122">
        <f t="shared" si="184"/>
        <v>0</v>
      </c>
      <c r="CP759" s="45" t="str">
        <f t="shared" si="181"/>
        <v>1 - in MILLESIMI   I</v>
      </c>
      <c r="CQ759" s="1"/>
    </row>
    <row r="760" spans="1:95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435">
        <f>IF(AND(W760&gt;=$U$1,W760&lt;=$U$2),IF(X760='ESTRATTO CONTO'!$E$2,1+COUNTIF(U$4:U759,"&gt;0"),0),0)</f>
        <v>0</v>
      </c>
      <c r="V760" s="417">
        <f t="shared" si="185"/>
        <v>757</v>
      </c>
      <c r="W760" s="509"/>
      <c r="X760" s="321"/>
      <c r="Y760" s="321"/>
      <c r="Z760" s="433"/>
      <c r="AA760" s="918">
        <f t="shared" si="176"/>
        <v>1</v>
      </c>
      <c r="AB760" s="306" t="str">
        <f t="shared" si="177"/>
        <v/>
      </c>
      <c r="AC760" s="788"/>
      <c r="AD760" s="119">
        <f t="shared" si="187"/>
        <v>0</v>
      </c>
      <c r="AE760" s="108">
        <f t="shared" si="187"/>
        <v>0</v>
      </c>
      <c r="AF760" s="108">
        <f t="shared" si="187"/>
        <v>0</v>
      </c>
      <c r="AG760" s="108"/>
      <c r="AH760" s="108"/>
      <c r="AI760" s="108"/>
      <c r="AJ760" s="108"/>
      <c r="AK760" s="108"/>
      <c r="AL760" s="108">
        <f t="shared" si="178"/>
        <v>0</v>
      </c>
      <c r="AM760" s="108"/>
      <c r="AN760" s="108"/>
      <c r="AO760" s="108"/>
      <c r="AP760" s="108"/>
      <c r="AQ760" s="108"/>
      <c r="AR760" s="108"/>
      <c r="AS760" s="108"/>
      <c r="AT760" s="108"/>
      <c r="AU760" s="108"/>
      <c r="AV760" s="108"/>
      <c r="AW760" s="108"/>
      <c r="AX760" s="108"/>
      <c r="AY760" s="108"/>
      <c r="AZ760" s="108"/>
      <c r="BA760" s="108"/>
      <c r="BB760" s="108"/>
      <c r="BC760" s="108"/>
      <c r="BD760" s="108"/>
      <c r="BE760" s="108"/>
      <c r="BF760" s="108"/>
      <c r="BG760" s="108"/>
      <c r="BH760" s="108"/>
      <c r="BI760" s="108"/>
      <c r="BJ760" s="108"/>
      <c r="BK760" s="108"/>
      <c r="BL760" s="108"/>
      <c r="BM760" s="108"/>
      <c r="BN760" s="108"/>
      <c r="BO760" s="108"/>
      <c r="BP760" s="108"/>
      <c r="BQ760" s="108"/>
      <c r="BR760" s="108"/>
      <c r="BS760" s="108"/>
      <c r="BT760" s="108"/>
      <c r="BU760" s="108"/>
      <c r="BV760" s="108"/>
      <c r="BW760" s="108"/>
      <c r="BX760" s="108"/>
      <c r="BY760" s="108"/>
      <c r="BZ760" s="108"/>
      <c r="CA760" s="108"/>
      <c r="CB760" s="108"/>
      <c r="CC760" s="108"/>
      <c r="CD760" s="108"/>
      <c r="CE760" s="108"/>
      <c r="CF760" s="108"/>
      <c r="CG760" s="108"/>
      <c r="CH760" s="108"/>
      <c r="CI760" s="108"/>
      <c r="CJ760" s="108"/>
      <c r="CK760" s="120">
        <f t="shared" si="179"/>
        <v>0</v>
      </c>
      <c r="CL760" s="122">
        <f t="shared" si="180"/>
        <v>0</v>
      </c>
      <c r="CM760" s="524" t="str">
        <f t="shared" si="182"/>
        <v/>
      </c>
      <c r="CN760" s="526">
        <f t="shared" si="183"/>
        <v>0</v>
      </c>
      <c r="CO760" s="122">
        <f t="shared" si="184"/>
        <v>0</v>
      </c>
      <c r="CP760" s="45" t="str">
        <f t="shared" si="181"/>
        <v>1 - in MILLESIMI   I</v>
      </c>
      <c r="CQ760" s="1"/>
    </row>
    <row r="761" spans="1:95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435">
        <f>IF(AND(W761&gt;=$U$1,W761&lt;=$U$2),IF(X761='ESTRATTO CONTO'!$E$2,1+COUNTIF(U$4:U760,"&gt;0"),0),0)</f>
        <v>0</v>
      </c>
      <c r="V761" s="417">
        <f t="shared" si="185"/>
        <v>758</v>
      </c>
      <c r="W761" s="509"/>
      <c r="X761" s="321"/>
      <c r="Y761" s="321"/>
      <c r="Z761" s="433"/>
      <c r="AA761" s="918">
        <f t="shared" si="176"/>
        <v>1</v>
      </c>
      <c r="AB761" s="306" t="str">
        <f t="shared" si="177"/>
        <v/>
      </c>
      <c r="AC761" s="788"/>
      <c r="AD761" s="119">
        <f t="shared" si="187"/>
        <v>0</v>
      </c>
      <c r="AE761" s="108">
        <f t="shared" si="187"/>
        <v>0</v>
      </c>
      <c r="AF761" s="108">
        <f t="shared" si="187"/>
        <v>0</v>
      </c>
      <c r="AG761" s="108"/>
      <c r="AH761" s="108"/>
      <c r="AI761" s="108"/>
      <c r="AJ761" s="108"/>
      <c r="AK761" s="108"/>
      <c r="AL761" s="108">
        <f t="shared" si="178"/>
        <v>0</v>
      </c>
      <c r="AM761" s="108"/>
      <c r="AN761" s="108"/>
      <c r="AO761" s="108"/>
      <c r="AP761" s="108"/>
      <c r="AQ761" s="108"/>
      <c r="AR761" s="108"/>
      <c r="AS761" s="108"/>
      <c r="AT761" s="108"/>
      <c r="AU761" s="108"/>
      <c r="AV761" s="108"/>
      <c r="AW761" s="108"/>
      <c r="AX761" s="108"/>
      <c r="AY761" s="108"/>
      <c r="AZ761" s="108"/>
      <c r="BA761" s="108"/>
      <c r="BB761" s="108"/>
      <c r="BC761" s="108"/>
      <c r="BD761" s="108"/>
      <c r="BE761" s="108"/>
      <c r="BF761" s="108"/>
      <c r="BG761" s="108"/>
      <c r="BH761" s="108"/>
      <c r="BI761" s="108"/>
      <c r="BJ761" s="108"/>
      <c r="BK761" s="108"/>
      <c r="BL761" s="108"/>
      <c r="BM761" s="108"/>
      <c r="BN761" s="108"/>
      <c r="BO761" s="108"/>
      <c r="BP761" s="108"/>
      <c r="BQ761" s="108"/>
      <c r="BR761" s="108"/>
      <c r="BS761" s="108"/>
      <c r="BT761" s="108"/>
      <c r="BU761" s="108"/>
      <c r="BV761" s="108"/>
      <c r="BW761" s="108"/>
      <c r="BX761" s="108"/>
      <c r="BY761" s="108"/>
      <c r="BZ761" s="108"/>
      <c r="CA761" s="108"/>
      <c r="CB761" s="108"/>
      <c r="CC761" s="108"/>
      <c r="CD761" s="108"/>
      <c r="CE761" s="108"/>
      <c r="CF761" s="108"/>
      <c r="CG761" s="108"/>
      <c r="CH761" s="108"/>
      <c r="CI761" s="108"/>
      <c r="CJ761" s="108"/>
      <c r="CK761" s="120">
        <f t="shared" si="179"/>
        <v>0</v>
      </c>
      <c r="CL761" s="122">
        <f t="shared" si="180"/>
        <v>0</v>
      </c>
      <c r="CM761" s="524" t="str">
        <f t="shared" si="182"/>
        <v/>
      </c>
      <c r="CN761" s="526">
        <f t="shared" si="183"/>
        <v>0</v>
      </c>
      <c r="CO761" s="122">
        <f t="shared" si="184"/>
        <v>0</v>
      </c>
      <c r="CP761" s="45" t="str">
        <f t="shared" si="181"/>
        <v>1 - in MILLESIMI   I</v>
      </c>
      <c r="CQ761" s="1"/>
    </row>
    <row r="762" spans="1:95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435">
        <f>IF(AND(W762&gt;=$U$1,W762&lt;=$U$2),IF(X762='ESTRATTO CONTO'!$E$2,1+COUNTIF(U$4:U761,"&gt;0"),0),0)</f>
        <v>0</v>
      </c>
      <c r="V762" s="417">
        <f t="shared" si="185"/>
        <v>759</v>
      </c>
      <c r="W762" s="509"/>
      <c r="X762" s="321"/>
      <c r="Y762" s="321"/>
      <c r="Z762" s="433"/>
      <c r="AA762" s="918">
        <f t="shared" si="176"/>
        <v>1</v>
      </c>
      <c r="AB762" s="306" t="str">
        <f t="shared" si="177"/>
        <v/>
      </c>
      <c r="AC762" s="788"/>
      <c r="AD762" s="119">
        <f t="shared" si="187"/>
        <v>0</v>
      </c>
      <c r="AE762" s="108">
        <f t="shared" si="187"/>
        <v>0</v>
      </c>
      <c r="AF762" s="108">
        <f t="shared" si="187"/>
        <v>0</v>
      </c>
      <c r="AG762" s="108"/>
      <c r="AH762" s="108"/>
      <c r="AI762" s="108"/>
      <c r="AJ762" s="108"/>
      <c r="AK762" s="108"/>
      <c r="AL762" s="108">
        <f t="shared" si="178"/>
        <v>0</v>
      </c>
      <c r="AM762" s="108"/>
      <c r="AN762" s="108"/>
      <c r="AO762" s="108"/>
      <c r="AP762" s="108"/>
      <c r="AQ762" s="108"/>
      <c r="AR762" s="108"/>
      <c r="AS762" s="108"/>
      <c r="AT762" s="108"/>
      <c r="AU762" s="108"/>
      <c r="AV762" s="108"/>
      <c r="AW762" s="108"/>
      <c r="AX762" s="108"/>
      <c r="AY762" s="108"/>
      <c r="AZ762" s="108"/>
      <c r="BA762" s="108"/>
      <c r="BB762" s="108"/>
      <c r="BC762" s="108"/>
      <c r="BD762" s="108"/>
      <c r="BE762" s="108"/>
      <c r="BF762" s="108"/>
      <c r="BG762" s="108"/>
      <c r="BH762" s="108"/>
      <c r="BI762" s="108"/>
      <c r="BJ762" s="108"/>
      <c r="BK762" s="108"/>
      <c r="BL762" s="108"/>
      <c r="BM762" s="108"/>
      <c r="BN762" s="108"/>
      <c r="BO762" s="108"/>
      <c r="BP762" s="108"/>
      <c r="BQ762" s="108"/>
      <c r="BR762" s="108"/>
      <c r="BS762" s="108"/>
      <c r="BT762" s="108"/>
      <c r="BU762" s="108"/>
      <c r="BV762" s="108"/>
      <c r="BW762" s="108"/>
      <c r="BX762" s="108"/>
      <c r="BY762" s="108"/>
      <c r="BZ762" s="108"/>
      <c r="CA762" s="108"/>
      <c r="CB762" s="108"/>
      <c r="CC762" s="108"/>
      <c r="CD762" s="108"/>
      <c r="CE762" s="108"/>
      <c r="CF762" s="108"/>
      <c r="CG762" s="108"/>
      <c r="CH762" s="108"/>
      <c r="CI762" s="108"/>
      <c r="CJ762" s="108"/>
      <c r="CK762" s="120">
        <f t="shared" si="179"/>
        <v>0</v>
      </c>
      <c r="CL762" s="122">
        <f t="shared" si="180"/>
        <v>0</v>
      </c>
      <c r="CM762" s="524" t="str">
        <f t="shared" si="182"/>
        <v/>
      </c>
      <c r="CN762" s="526">
        <f t="shared" si="183"/>
        <v>0</v>
      </c>
      <c r="CO762" s="122">
        <f t="shared" si="184"/>
        <v>0</v>
      </c>
      <c r="CP762" s="45" t="str">
        <f t="shared" si="181"/>
        <v>1 - in MILLESIMI   I</v>
      </c>
      <c r="CQ762" s="1"/>
    </row>
    <row r="763" spans="1:95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435">
        <f>IF(AND(W763&gt;=$U$1,W763&lt;=$U$2),IF(X763='ESTRATTO CONTO'!$E$2,1+COUNTIF(U$4:U762,"&gt;0"),0),0)</f>
        <v>0</v>
      </c>
      <c r="V763" s="417">
        <f t="shared" si="185"/>
        <v>760</v>
      </c>
      <c r="W763" s="509"/>
      <c r="X763" s="321"/>
      <c r="Y763" s="321"/>
      <c r="Z763" s="433"/>
      <c r="AA763" s="918">
        <f t="shared" si="176"/>
        <v>1</v>
      </c>
      <c r="AB763" s="306" t="str">
        <f t="shared" si="177"/>
        <v/>
      </c>
      <c r="AC763" s="788"/>
      <c r="AD763" s="119">
        <f t="shared" si="187"/>
        <v>0</v>
      </c>
      <c r="AE763" s="108">
        <f t="shared" si="187"/>
        <v>0</v>
      </c>
      <c r="AF763" s="108">
        <f t="shared" si="187"/>
        <v>0</v>
      </c>
      <c r="AG763" s="108"/>
      <c r="AH763" s="108"/>
      <c r="AI763" s="108"/>
      <c r="AJ763" s="108"/>
      <c r="AK763" s="108"/>
      <c r="AL763" s="108">
        <f t="shared" si="178"/>
        <v>0</v>
      </c>
      <c r="AM763" s="108"/>
      <c r="AN763" s="108"/>
      <c r="AO763" s="108"/>
      <c r="AP763" s="108"/>
      <c r="AQ763" s="108"/>
      <c r="AR763" s="108"/>
      <c r="AS763" s="108"/>
      <c r="AT763" s="108"/>
      <c r="AU763" s="108"/>
      <c r="AV763" s="108"/>
      <c r="AW763" s="108"/>
      <c r="AX763" s="108"/>
      <c r="AY763" s="108"/>
      <c r="AZ763" s="108"/>
      <c r="BA763" s="108"/>
      <c r="BB763" s="108"/>
      <c r="BC763" s="108"/>
      <c r="BD763" s="108"/>
      <c r="BE763" s="108"/>
      <c r="BF763" s="108"/>
      <c r="BG763" s="108"/>
      <c r="BH763" s="108"/>
      <c r="BI763" s="108"/>
      <c r="BJ763" s="108"/>
      <c r="BK763" s="108"/>
      <c r="BL763" s="108"/>
      <c r="BM763" s="108"/>
      <c r="BN763" s="108"/>
      <c r="BO763" s="108"/>
      <c r="BP763" s="108"/>
      <c r="BQ763" s="108"/>
      <c r="BR763" s="108"/>
      <c r="BS763" s="108"/>
      <c r="BT763" s="108"/>
      <c r="BU763" s="108"/>
      <c r="BV763" s="108"/>
      <c r="BW763" s="108"/>
      <c r="BX763" s="108"/>
      <c r="BY763" s="108"/>
      <c r="BZ763" s="108"/>
      <c r="CA763" s="108"/>
      <c r="CB763" s="108"/>
      <c r="CC763" s="108"/>
      <c r="CD763" s="108"/>
      <c r="CE763" s="108"/>
      <c r="CF763" s="108"/>
      <c r="CG763" s="108"/>
      <c r="CH763" s="108"/>
      <c r="CI763" s="108"/>
      <c r="CJ763" s="108"/>
      <c r="CK763" s="120">
        <f t="shared" si="179"/>
        <v>0</v>
      </c>
      <c r="CL763" s="122">
        <f t="shared" si="180"/>
        <v>0</v>
      </c>
      <c r="CM763" s="524" t="str">
        <f t="shared" si="182"/>
        <v/>
      </c>
      <c r="CN763" s="526">
        <f t="shared" si="183"/>
        <v>0</v>
      </c>
      <c r="CO763" s="122">
        <f t="shared" si="184"/>
        <v>0</v>
      </c>
      <c r="CP763" s="45" t="str">
        <f t="shared" si="181"/>
        <v>1 - in MILLESIMI   I</v>
      </c>
      <c r="CQ763" s="1"/>
    </row>
    <row r="764" spans="1:95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435">
        <f>IF(AND(W764&gt;=$U$1,W764&lt;=$U$2),IF(X764='ESTRATTO CONTO'!$E$2,1+COUNTIF(U$4:U763,"&gt;0"),0),0)</f>
        <v>0</v>
      </c>
      <c r="V764" s="417">
        <f t="shared" si="185"/>
        <v>761</v>
      </c>
      <c r="W764" s="509"/>
      <c r="X764" s="321"/>
      <c r="Y764" s="321"/>
      <c r="Z764" s="433"/>
      <c r="AA764" s="918">
        <f t="shared" si="176"/>
        <v>1</v>
      </c>
      <c r="AB764" s="306" t="str">
        <f t="shared" si="177"/>
        <v/>
      </c>
      <c r="AC764" s="788"/>
      <c r="AD764" s="119">
        <f t="shared" ref="AD764:AF783" si="188">IF($AB764=0,0,ROUND($Z764*VLOOKUP(AD$2,$F$1010:$Q$1014,VLOOKUP($CP764,$C$1076:$E$1081,3,FALSE),FALSE),2))</f>
        <v>0</v>
      </c>
      <c r="AE764" s="108">
        <f t="shared" si="188"/>
        <v>0</v>
      </c>
      <c r="AF764" s="108">
        <f t="shared" si="188"/>
        <v>0</v>
      </c>
      <c r="AG764" s="108"/>
      <c r="AH764" s="108"/>
      <c r="AI764" s="108"/>
      <c r="AJ764" s="108"/>
      <c r="AK764" s="108"/>
      <c r="AL764" s="108">
        <f t="shared" si="178"/>
        <v>0</v>
      </c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8"/>
      <c r="AY764" s="108"/>
      <c r="AZ764" s="108"/>
      <c r="BA764" s="108"/>
      <c r="BB764" s="108"/>
      <c r="BC764" s="108"/>
      <c r="BD764" s="108"/>
      <c r="BE764" s="108"/>
      <c r="BF764" s="108"/>
      <c r="BG764" s="108"/>
      <c r="BH764" s="108"/>
      <c r="BI764" s="108"/>
      <c r="BJ764" s="108"/>
      <c r="BK764" s="108"/>
      <c r="BL764" s="108"/>
      <c r="BM764" s="108"/>
      <c r="BN764" s="108"/>
      <c r="BO764" s="108"/>
      <c r="BP764" s="108"/>
      <c r="BQ764" s="108"/>
      <c r="BR764" s="108"/>
      <c r="BS764" s="108"/>
      <c r="BT764" s="108"/>
      <c r="BU764" s="108"/>
      <c r="BV764" s="108"/>
      <c r="BW764" s="108"/>
      <c r="BX764" s="108"/>
      <c r="BY764" s="108"/>
      <c r="BZ764" s="108"/>
      <c r="CA764" s="108"/>
      <c r="CB764" s="108"/>
      <c r="CC764" s="108"/>
      <c r="CD764" s="108"/>
      <c r="CE764" s="108"/>
      <c r="CF764" s="108"/>
      <c r="CG764" s="108"/>
      <c r="CH764" s="108"/>
      <c r="CI764" s="108"/>
      <c r="CJ764" s="108"/>
      <c r="CK764" s="120">
        <f t="shared" si="179"/>
        <v>0</v>
      </c>
      <c r="CL764" s="122">
        <f t="shared" si="180"/>
        <v>0</v>
      </c>
      <c r="CM764" s="524" t="str">
        <f t="shared" si="182"/>
        <v/>
      </c>
      <c r="CN764" s="526">
        <f t="shared" si="183"/>
        <v>0</v>
      </c>
      <c r="CO764" s="122">
        <f t="shared" si="184"/>
        <v>0</v>
      </c>
      <c r="CP764" s="45" t="str">
        <f t="shared" si="181"/>
        <v>1 - in MILLESIMI   I</v>
      </c>
      <c r="CQ764" s="1"/>
    </row>
    <row r="765" spans="1:95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435">
        <f>IF(AND(W765&gt;=$U$1,W765&lt;=$U$2),IF(X765='ESTRATTO CONTO'!$E$2,1+COUNTIF(U$4:U764,"&gt;0"),0),0)</f>
        <v>0</v>
      </c>
      <c r="V765" s="417">
        <f t="shared" si="185"/>
        <v>762</v>
      </c>
      <c r="W765" s="509"/>
      <c r="X765" s="321"/>
      <c r="Y765" s="321"/>
      <c r="Z765" s="433"/>
      <c r="AA765" s="918">
        <f t="shared" si="176"/>
        <v>1</v>
      </c>
      <c r="AB765" s="306" t="str">
        <f t="shared" si="177"/>
        <v/>
      </c>
      <c r="AC765" s="788"/>
      <c r="AD765" s="119">
        <f t="shared" si="188"/>
        <v>0</v>
      </c>
      <c r="AE765" s="108">
        <f t="shared" si="188"/>
        <v>0</v>
      </c>
      <c r="AF765" s="108">
        <f t="shared" si="188"/>
        <v>0</v>
      </c>
      <c r="AG765" s="108"/>
      <c r="AH765" s="108"/>
      <c r="AI765" s="108"/>
      <c r="AJ765" s="108"/>
      <c r="AK765" s="108"/>
      <c r="AL765" s="108">
        <f t="shared" si="178"/>
        <v>0</v>
      </c>
      <c r="AM765" s="108"/>
      <c r="AN765" s="108"/>
      <c r="AO765" s="108"/>
      <c r="AP765" s="108"/>
      <c r="AQ765" s="108"/>
      <c r="AR765" s="108"/>
      <c r="AS765" s="108"/>
      <c r="AT765" s="108"/>
      <c r="AU765" s="108"/>
      <c r="AV765" s="108"/>
      <c r="AW765" s="108"/>
      <c r="AX765" s="108"/>
      <c r="AY765" s="108"/>
      <c r="AZ765" s="108"/>
      <c r="BA765" s="108"/>
      <c r="BB765" s="108"/>
      <c r="BC765" s="108"/>
      <c r="BD765" s="108"/>
      <c r="BE765" s="108"/>
      <c r="BF765" s="108"/>
      <c r="BG765" s="108"/>
      <c r="BH765" s="108"/>
      <c r="BI765" s="108"/>
      <c r="BJ765" s="108"/>
      <c r="BK765" s="108"/>
      <c r="BL765" s="108"/>
      <c r="BM765" s="108"/>
      <c r="BN765" s="108"/>
      <c r="BO765" s="108"/>
      <c r="BP765" s="108"/>
      <c r="BQ765" s="108"/>
      <c r="BR765" s="108"/>
      <c r="BS765" s="108"/>
      <c r="BT765" s="108"/>
      <c r="BU765" s="108"/>
      <c r="BV765" s="108"/>
      <c r="BW765" s="108"/>
      <c r="BX765" s="108"/>
      <c r="BY765" s="108"/>
      <c r="BZ765" s="108"/>
      <c r="CA765" s="108"/>
      <c r="CB765" s="108"/>
      <c r="CC765" s="108"/>
      <c r="CD765" s="108"/>
      <c r="CE765" s="108"/>
      <c r="CF765" s="108"/>
      <c r="CG765" s="108"/>
      <c r="CH765" s="108"/>
      <c r="CI765" s="108"/>
      <c r="CJ765" s="108"/>
      <c r="CK765" s="120">
        <f t="shared" si="179"/>
        <v>0</v>
      </c>
      <c r="CL765" s="122">
        <f t="shared" si="180"/>
        <v>0</v>
      </c>
      <c r="CM765" s="524" t="str">
        <f t="shared" si="182"/>
        <v/>
      </c>
      <c r="CN765" s="526">
        <f t="shared" si="183"/>
        <v>0</v>
      </c>
      <c r="CO765" s="122">
        <f t="shared" si="184"/>
        <v>0</v>
      </c>
      <c r="CP765" s="45" t="str">
        <f t="shared" si="181"/>
        <v>1 - in MILLESIMI   I</v>
      </c>
      <c r="CQ765" s="1"/>
    </row>
    <row r="766" spans="1:95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435">
        <f>IF(AND(W766&gt;=$U$1,W766&lt;=$U$2),IF(X766='ESTRATTO CONTO'!$E$2,1+COUNTIF(U$4:U765,"&gt;0"),0),0)</f>
        <v>0</v>
      </c>
      <c r="V766" s="417">
        <f t="shared" si="185"/>
        <v>763</v>
      </c>
      <c r="W766" s="509"/>
      <c r="X766" s="321"/>
      <c r="Y766" s="321"/>
      <c r="Z766" s="433"/>
      <c r="AA766" s="918">
        <f t="shared" si="176"/>
        <v>1</v>
      </c>
      <c r="AB766" s="306" t="str">
        <f t="shared" si="177"/>
        <v/>
      </c>
      <c r="AC766" s="788"/>
      <c r="AD766" s="119">
        <f t="shared" si="188"/>
        <v>0</v>
      </c>
      <c r="AE766" s="108">
        <f t="shared" si="188"/>
        <v>0</v>
      </c>
      <c r="AF766" s="108">
        <f t="shared" si="188"/>
        <v>0</v>
      </c>
      <c r="AG766" s="108"/>
      <c r="AH766" s="108"/>
      <c r="AI766" s="108"/>
      <c r="AJ766" s="108"/>
      <c r="AK766" s="108"/>
      <c r="AL766" s="108">
        <f t="shared" si="178"/>
        <v>0</v>
      </c>
      <c r="AM766" s="108"/>
      <c r="AN766" s="108"/>
      <c r="AO766" s="108"/>
      <c r="AP766" s="108"/>
      <c r="AQ766" s="108"/>
      <c r="AR766" s="108"/>
      <c r="AS766" s="108"/>
      <c r="AT766" s="108"/>
      <c r="AU766" s="108"/>
      <c r="AV766" s="108"/>
      <c r="AW766" s="108"/>
      <c r="AX766" s="108"/>
      <c r="AY766" s="108"/>
      <c r="AZ766" s="108"/>
      <c r="BA766" s="108"/>
      <c r="BB766" s="108"/>
      <c r="BC766" s="108"/>
      <c r="BD766" s="108"/>
      <c r="BE766" s="108"/>
      <c r="BF766" s="108"/>
      <c r="BG766" s="108"/>
      <c r="BH766" s="108"/>
      <c r="BI766" s="108"/>
      <c r="BJ766" s="108"/>
      <c r="BK766" s="108"/>
      <c r="BL766" s="108"/>
      <c r="BM766" s="108"/>
      <c r="BN766" s="108"/>
      <c r="BO766" s="108"/>
      <c r="BP766" s="108"/>
      <c r="BQ766" s="108"/>
      <c r="BR766" s="108"/>
      <c r="BS766" s="108"/>
      <c r="BT766" s="108"/>
      <c r="BU766" s="108"/>
      <c r="BV766" s="108"/>
      <c r="BW766" s="108"/>
      <c r="BX766" s="108"/>
      <c r="BY766" s="108"/>
      <c r="BZ766" s="108"/>
      <c r="CA766" s="108"/>
      <c r="CB766" s="108"/>
      <c r="CC766" s="108"/>
      <c r="CD766" s="108"/>
      <c r="CE766" s="108"/>
      <c r="CF766" s="108"/>
      <c r="CG766" s="108"/>
      <c r="CH766" s="108"/>
      <c r="CI766" s="108"/>
      <c r="CJ766" s="108"/>
      <c r="CK766" s="120">
        <f t="shared" si="179"/>
        <v>0</v>
      </c>
      <c r="CL766" s="122">
        <f t="shared" si="180"/>
        <v>0</v>
      </c>
      <c r="CM766" s="524" t="str">
        <f t="shared" si="182"/>
        <v/>
      </c>
      <c r="CN766" s="526">
        <f t="shared" si="183"/>
        <v>0</v>
      </c>
      <c r="CO766" s="122">
        <f t="shared" si="184"/>
        <v>0</v>
      </c>
      <c r="CP766" s="45" t="str">
        <f t="shared" si="181"/>
        <v>1 - in MILLESIMI   I</v>
      </c>
      <c r="CQ766" s="1"/>
    </row>
    <row r="767" spans="1:95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435">
        <f>IF(AND(W767&gt;=$U$1,W767&lt;=$U$2),IF(X767='ESTRATTO CONTO'!$E$2,1+COUNTIF(U$4:U766,"&gt;0"),0),0)</f>
        <v>0</v>
      </c>
      <c r="V767" s="417">
        <f t="shared" si="185"/>
        <v>764</v>
      </c>
      <c r="W767" s="509"/>
      <c r="X767" s="321"/>
      <c r="Y767" s="321"/>
      <c r="Z767" s="433"/>
      <c r="AA767" s="918">
        <f t="shared" si="176"/>
        <v>1</v>
      </c>
      <c r="AB767" s="306" t="str">
        <f t="shared" si="177"/>
        <v/>
      </c>
      <c r="AC767" s="788"/>
      <c r="AD767" s="119">
        <f t="shared" si="188"/>
        <v>0</v>
      </c>
      <c r="AE767" s="108">
        <f t="shared" si="188"/>
        <v>0</v>
      </c>
      <c r="AF767" s="108">
        <f t="shared" si="188"/>
        <v>0</v>
      </c>
      <c r="AG767" s="108"/>
      <c r="AH767" s="108"/>
      <c r="AI767" s="108"/>
      <c r="AJ767" s="108"/>
      <c r="AK767" s="108"/>
      <c r="AL767" s="108">
        <f t="shared" si="178"/>
        <v>0</v>
      </c>
      <c r="AM767" s="108"/>
      <c r="AN767" s="108"/>
      <c r="AO767" s="108"/>
      <c r="AP767" s="108"/>
      <c r="AQ767" s="108"/>
      <c r="AR767" s="108"/>
      <c r="AS767" s="108"/>
      <c r="AT767" s="108"/>
      <c r="AU767" s="108"/>
      <c r="AV767" s="108"/>
      <c r="AW767" s="108"/>
      <c r="AX767" s="108"/>
      <c r="AY767" s="108"/>
      <c r="AZ767" s="108"/>
      <c r="BA767" s="108"/>
      <c r="BB767" s="108"/>
      <c r="BC767" s="108"/>
      <c r="BD767" s="108"/>
      <c r="BE767" s="108"/>
      <c r="BF767" s="108"/>
      <c r="BG767" s="108"/>
      <c r="BH767" s="108"/>
      <c r="BI767" s="108"/>
      <c r="BJ767" s="108"/>
      <c r="BK767" s="108"/>
      <c r="BL767" s="108"/>
      <c r="BM767" s="108"/>
      <c r="BN767" s="108"/>
      <c r="BO767" s="108"/>
      <c r="BP767" s="108"/>
      <c r="BQ767" s="108"/>
      <c r="BR767" s="108"/>
      <c r="BS767" s="108"/>
      <c r="BT767" s="108"/>
      <c r="BU767" s="108"/>
      <c r="BV767" s="108"/>
      <c r="BW767" s="108"/>
      <c r="BX767" s="108"/>
      <c r="BY767" s="108"/>
      <c r="BZ767" s="108"/>
      <c r="CA767" s="108"/>
      <c r="CB767" s="108"/>
      <c r="CC767" s="108"/>
      <c r="CD767" s="108"/>
      <c r="CE767" s="108"/>
      <c r="CF767" s="108"/>
      <c r="CG767" s="108"/>
      <c r="CH767" s="108"/>
      <c r="CI767" s="108"/>
      <c r="CJ767" s="108"/>
      <c r="CK767" s="120">
        <f t="shared" si="179"/>
        <v>0</v>
      </c>
      <c r="CL767" s="122">
        <f t="shared" si="180"/>
        <v>0</v>
      </c>
      <c r="CM767" s="524" t="str">
        <f t="shared" si="182"/>
        <v/>
      </c>
      <c r="CN767" s="526">
        <f t="shared" si="183"/>
        <v>0</v>
      </c>
      <c r="CO767" s="122">
        <f t="shared" si="184"/>
        <v>0</v>
      </c>
      <c r="CP767" s="45" t="str">
        <f t="shared" si="181"/>
        <v>1 - in MILLESIMI   I</v>
      </c>
      <c r="CQ767" s="1"/>
    </row>
    <row r="768" spans="1:95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435">
        <f>IF(AND(W768&gt;=$U$1,W768&lt;=$U$2),IF(X768='ESTRATTO CONTO'!$E$2,1+COUNTIF(U$4:U767,"&gt;0"),0),0)</f>
        <v>0</v>
      </c>
      <c r="V768" s="417">
        <f t="shared" si="185"/>
        <v>765</v>
      </c>
      <c r="W768" s="509"/>
      <c r="X768" s="321"/>
      <c r="Y768" s="321"/>
      <c r="Z768" s="433"/>
      <c r="AA768" s="918">
        <f t="shared" si="176"/>
        <v>1</v>
      </c>
      <c r="AB768" s="306" t="str">
        <f t="shared" si="177"/>
        <v/>
      </c>
      <c r="AC768" s="788"/>
      <c r="AD768" s="119">
        <f t="shared" si="188"/>
        <v>0</v>
      </c>
      <c r="AE768" s="108">
        <f t="shared" si="188"/>
        <v>0</v>
      </c>
      <c r="AF768" s="108">
        <f t="shared" si="188"/>
        <v>0</v>
      </c>
      <c r="AG768" s="108"/>
      <c r="AH768" s="108"/>
      <c r="AI768" s="108"/>
      <c r="AJ768" s="108"/>
      <c r="AK768" s="108"/>
      <c r="AL768" s="108">
        <f t="shared" si="178"/>
        <v>0</v>
      </c>
      <c r="AM768" s="108"/>
      <c r="AN768" s="108"/>
      <c r="AO768" s="108"/>
      <c r="AP768" s="108"/>
      <c r="AQ768" s="108"/>
      <c r="AR768" s="108"/>
      <c r="AS768" s="108"/>
      <c r="AT768" s="108"/>
      <c r="AU768" s="108"/>
      <c r="AV768" s="108"/>
      <c r="AW768" s="108"/>
      <c r="AX768" s="108"/>
      <c r="AY768" s="108"/>
      <c r="AZ768" s="108"/>
      <c r="BA768" s="108"/>
      <c r="BB768" s="108"/>
      <c r="BC768" s="108"/>
      <c r="BD768" s="108"/>
      <c r="BE768" s="108"/>
      <c r="BF768" s="108"/>
      <c r="BG768" s="108"/>
      <c r="BH768" s="108"/>
      <c r="BI768" s="108"/>
      <c r="BJ768" s="108"/>
      <c r="BK768" s="108"/>
      <c r="BL768" s="108"/>
      <c r="BM768" s="108"/>
      <c r="BN768" s="108"/>
      <c r="BO768" s="108"/>
      <c r="BP768" s="108"/>
      <c r="BQ768" s="108"/>
      <c r="BR768" s="108"/>
      <c r="BS768" s="108"/>
      <c r="BT768" s="108"/>
      <c r="BU768" s="108"/>
      <c r="BV768" s="108"/>
      <c r="BW768" s="108"/>
      <c r="BX768" s="108"/>
      <c r="BY768" s="108"/>
      <c r="BZ768" s="108"/>
      <c r="CA768" s="108"/>
      <c r="CB768" s="108"/>
      <c r="CC768" s="108"/>
      <c r="CD768" s="108"/>
      <c r="CE768" s="108"/>
      <c r="CF768" s="108"/>
      <c r="CG768" s="108"/>
      <c r="CH768" s="108"/>
      <c r="CI768" s="108"/>
      <c r="CJ768" s="108"/>
      <c r="CK768" s="120">
        <f t="shared" si="179"/>
        <v>0</v>
      </c>
      <c r="CL768" s="122">
        <f t="shared" si="180"/>
        <v>0</v>
      </c>
      <c r="CM768" s="524" t="str">
        <f t="shared" si="182"/>
        <v/>
      </c>
      <c r="CN768" s="526">
        <f t="shared" si="183"/>
        <v>0</v>
      </c>
      <c r="CO768" s="122">
        <f t="shared" si="184"/>
        <v>0</v>
      </c>
      <c r="CP768" s="45" t="str">
        <f t="shared" si="181"/>
        <v>1 - in MILLESIMI   I</v>
      </c>
      <c r="CQ768" s="1"/>
    </row>
    <row r="769" spans="1:95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435">
        <f>IF(AND(W769&gt;=$U$1,W769&lt;=$U$2),IF(X769='ESTRATTO CONTO'!$E$2,1+COUNTIF(U$4:U768,"&gt;0"),0),0)</f>
        <v>0</v>
      </c>
      <c r="V769" s="417">
        <f t="shared" si="185"/>
        <v>766</v>
      </c>
      <c r="W769" s="509"/>
      <c r="X769" s="321"/>
      <c r="Y769" s="321"/>
      <c r="Z769" s="433"/>
      <c r="AA769" s="918">
        <f t="shared" si="176"/>
        <v>1</v>
      </c>
      <c r="AB769" s="306" t="str">
        <f t="shared" si="177"/>
        <v/>
      </c>
      <c r="AC769" s="788"/>
      <c r="AD769" s="119">
        <f t="shared" si="188"/>
        <v>0</v>
      </c>
      <c r="AE769" s="108">
        <f t="shared" si="188"/>
        <v>0</v>
      </c>
      <c r="AF769" s="108">
        <f t="shared" si="188"/>
        <v>0</v>
      </c>
      <c r="AG769" s="108"/>
      <c r="AH769" s="108"/>
      <c r="AI769" s="108"/>
      <c r="AJ769" s="108"/>
      <c r="AK769" s="108"/>
      <c r="AL769" s="108">
        <f t="shared" si="178"/>
        <v>0</v>
      </c>
      <c r="AM769" s="108"/>
      <c r="AN769" s="108"/>
      <c r="AO769" s="108"/>
      <c r="AP769" s="108"/>
      <c r="AQ769" s="108"/>
      <c r="AR769" s="108"/>
      <c r="AS769" s="108"/>
      <c r="AT769" s="108"/>
      <c r="AU769" s="108"/>
      <c r="AV769" s="108"/>
      <c r="AW769" s="108"/>
      <c r="AX769" s="108"/>
      <c r="AY769" s="108"/>
      <c r="AZ769" s="108"/>
      <c r="BA769" s="108"/>
      <c r="BB769" s="108"/>
      <c r="BC769" s="108"/>
      <c r="BD769" s="108"/>
      <c r="BE769" s="108"/>
      <c r="BF769" s="108"/>
      <c r="BG769" s="108"/>
      <c r="BH769" s="108"/>
      <c r="BI769" s="108"/>
      <c r="BJ769" s="108"/>
      <c r="BK769" s="108"/>
      <c r="BL769" s="108"/>
      <c r="BM769" s="108"/>
      <c r="BN769" s="108"/>
      <c r="BO769" s="108"/>
      <c r="BP769" s="108"/>
      <c r="BQ769" s="108"/>
      <c r="BR769" s="108"/>
      <c r="BS769" s="108"/>
      <c r="BT769" s="108"/>
      <c r="BU769" s="108"/>
      <c r="BV769" s="108"/>
      <c r="BW769" s="108"/>
      <c r="BX769" s="108"/>
      <c r="BY769" s="108"/>
      <c r="BZ769" s="108"/>
      <c r="CA769" s="108"/>
      <c r="CB769" s="108"/>
      <c r="CC769" s="108"/>
      <c r="CD769" s="108"/>
      <c r="CE769" s="108"/>
      <c r="CF769" s="108"/>
      <c r="CG769" s="108"/>
      <c r="CH769" s="108"/>
      <c r="CI769" s="108"/>
      <c r="CJ769" s="108"/>
      <c r="CK769" s="120">
        <f t="shared" si="179"/>
        <v>0</v>
      </c>
      <c r="CL769" s="122">
        <f t="shared" si="180"/>
        <v>0</v>
      </c>
      <c r="CM769" s="524" t="str">
        <f t="shared" si="182"/>
        <v/>
      </c>
      <c r="CN769" s="526">
        <f t="shared" si="183"/>
        <v>0</v>
      </c>
      <c r="CO769" s="122">
        <f t="shared" si="184"/>
        <v>0</v>
      </c>
      <c r="CP769" s="45" t="str">
        <f t="shared" si="181"/>
        <v>1 - in MILLESIMI   I</v>
      </c>
      <c r="CQ769" s="1"/>
    </row>
    <row r="770" spans="1:95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435">
        <f>IF(AND(W770&gt;=$U$1,W770&lt;=$U$2),IF(X770='ESTRATTO CONTO'!$E$2,1+COUNTIF(U$4:U769,"&gt;0"),0),0)</f>
        <v>0</v>
      </c>
      <c r="V770" s="417">
        <f t="shared" si="185"/>
        <v>767</v>
      </c>
      <c r="W770" s="509"/>
      <c r="X770" s="321"/>
      <c r="Y770" s="321"/>
      <c r="Z770" s="433"/>
      <c r="AA770" s="918">
        <f t="shared" si="176"/>
        <v>1</v>
      </c>
      <c r="AB770" s="306" t="str">
        <f t="shared" si="177"/>
        <v/>
      </c>
      <c r="AC770" s="788"/>
      <c r="AD770" s="119">
        <f t="shared" si="188"/>
        <v>0</v>
      </c>
      <c r="AE770" s="108">
        <f t="shared" si="188"/>
        <v>0</v>
      </c>
      <c r="AF770" s="108">
        <f t="shared" si="188"/>
        <v>0</v>
      </c>
      <c r="AG770" s="108"/>
      <c r="AH770" s="108"/>
      <c r="AI770" s="108"/>
      <c r="AJ770" s="108"/>
      <c r="AK770" s="108"/>
      <c r="AL770" s="108">
        <f t="shared" si="178"/>
        <v>0</v>
      </c>
      <c r="AM770" s="108"/>
      <c r="AN770" s="108"/>
      <c r="AO770" s="108"/>
      <c r="AP770" s="108"/>
      <c r="AQ770" s="108"/>
      <c r="AR770" s="108"/>
      <c r="AS770" s="108"/>
      <c r="AT770" s="108"/>
      <c r="AU770" s="108"/>
      <c r="AV770" s="108"/>
      <c r="AW770" s="108"/>
      <c r="AX770" s="108"/>
      <c r="AY770" s="108"/>
      <c r="AZ770" s="108"/>
      <c r="BA770" s="108"/>
      <c r="BB770" s="108"/>
      <c r="BC770" s="108"/>
      <c r="BD770" s="108"/>
      <c r="BE770" s="108"/>
      <c r="BF770" s="108"/>
      <c r="BG770" s="108"/>
      <c r="BH770" s="108"/>
      <c r="BI770" s="108"/>
      <c r="BJ770" s="108"/>
      <c r="BK770" s="108"/>
      <c r="BL770" s="108"/>
      <c r="BM770" s="108"/>
      <c r="BN770" s="108"/>
      <c r="BO770" s="108"/>
      <c r="BP770" s="108"/>
      <c r="BQ770" s="108"/>
      <c r="BR770" s="108"/>
      <c r="BS770" s="108"/>
      <c r="BT770" s="108"/>
      <c r="BU770" s="108"/>
      <c r="BV770" s="108"/>
      <c r="BW770" s="108"/>
      <c r="BX770" s="108"/>
      <c r="BY770" s="108"/>
      <c r="BZ770" s="108"/>
      <c r="CA770" s="108"/>
      <c r="CB770" s="108"/>
      <c r="CC770" s="108"/>
      <c r="CD770" s="108"/>
      <c r="CE770" s="108"/>
      <c r="CF770" s="108"/>
      <c r="CG770" s="108"/>
      <c r="CH770" s="108"/>
      <c r="CI770" s="108"/>
      <c r="CJ770" s="108"/>
      <c r="CK770" s="120">
        <f t="shared" si="179"/>
        <v>0</v>
      </c>
      <c r="CL770" s="122">
        <f t="shared" si="180"/>
        <v>0</v>
      </c>
      <c r="CM770" s="524" t="str">
        <f t="shared" si="182"/>
        <v/>
      </c>
      <c r="CN770" s="526">
        <f t="shared" si="183"/>
        <v>0</v>
      </c>
      <c r="CO770" s="122">
        <f t="shared" si="184"/>
        <v>0</v>
      </c>
      <c r="CP770" s="45" t="str">
        <f t="shared" si="181"/>
        <v>1 - in MILLESIMI   I</v>
      </c>
      <c r="CQ770" s="1"/>
    </row>
    <row r="771" spans="1:95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435">
        <f>IF(AND(W771&gt;=$U$1,W771&lt;=$U$2),IF(X771='ESTRATTO CONTO'!$E$2,1+COUNTIF(U$4:U770,"&gt;0"),0),0)</f>
        <v>0</v>
      </c>
      <c r="V771" s="417">
        <f t="shared" si="185"/>
        <v>768</v>
      </c>
      <c r="W771" s="509"/>
      <c r="X771" s="321"/>
      <c r="Y771" s="321"/>
      <c r="Z771" s="433"/>
      <c r="AA771" s="918">
        <f t="shared" si="176"/>
        <v>1</v>
      </c>
      <c r="AB771" s="306" t="str">
        <f t="shared" si="177"/>
        <v/>
      </c>
      <c r="AC771" s="788"/>
      <c r="AD771" s="119">
        <f t="shared" si="188"/>
        <v>0</v>
      </c>
      <c r="AE771" s="108">
        <f t="shared" si="188"/>
        <v>0</v>
      </c>
      <c r="AF771" s="108">
        <f t="shared" si="188"/>
        <v>0</v>
      </c>
      <c r="AG771" s="108"/>
      <c r="AH771" s="108"/>
      <c r="AI771" s="108"/>
      <c r="AJ771" s="108"/>
      <c r="AK771" s="108"/>
      <c r="AL771" s="108">
        <f t="shared" si="178"/>
        <v>0</v>
      </c>
      <c r="AM771" s="108"/>
      <c r="AN771" s="108"/>
      <c r="AO771" s="108"/>
      <c r="AP771" s="108"/>
      <c r="AQ771" s="108"/>
      <c r="AR771" s="108"/>
      <c r="AS771" s="108"/>
      <c r="AT771" s="108"/>
      <c r="AU771" s="108"/>
      <c r="AV771" s="108"/>
      <c r="AW771" s="108"/>
      <c r="AX771" s="108"/>
      <c r="AY771" s="108"/>
      <c r="AZ771" s="108"/>
      <c r="BA771" s="108"/>
      <c r="BB771" s="108"/>
      <c r="BC771" s="108"/>
      <c r="BD771" s="108"/>
      <c r="BE771" s="108"/>
      <c r="BF771" s="108"/>
      <c r="BG771" s="108"/>
      <c r="BH771" s="108"/>
      <c r="BI771" s="108"/>
      <c r="BJ771" s="108"/>
      <c r="BK771" s="108"/>
      <c r="BL771" s="108"/>
      <c r="BM771" s="108"/>
      <c r="BN771" s="108"/>
      <c r="BO771" s="108"/>
      <c r="BP771" s="108"/>
      <c r="BQ771" s="108"/>
      <c r="BR771" s="108"/>
      <c r="BS771" s="108"/>
      <c r="BT771" s="108"/>
      <c r="BU771" s="108"/>
      <c r="BV771" s="108"/>
      <c r="BW771" s="108"/>
      <c r="BX771" s="108"/>
      <c r="BY771" s="108"/>
      <c r="BZ771" s="108"/>
      <c r="CA771" s="108"/>
      <c r="CB771" s="108"/>
      <c r="CC771" s="108"/>
      <c r="CD771" s="108"/>
      <c r="CE771" s="108"/>
      <c r="CF771" s="108"/>
      <c r="CG771" s="108"/>
      <c r="CH771" s="108"/>
      <c r="CI771" s="108"/>
      <c r="CJ771" s="108"/>
      <c r="CK771" s="120">
        <f t="shared" si="179"/>
        <v>0</v>
      </c>
      <c r="CL771" s="122">
        <f t="shared" si="180"/>
        <v>0</v>
      </c>
      <c r="CM771" s="524" t="str">
        <f t="shared" si="182"/>
        <v/>
      </c>
      <c r="CN771" s="526">
        <f t="shared" si="183"/>
        <v>0</v>
      </c>
      <c r="CO771" s="122">
        <f t="shared" si="184"/>
        <v>0</v>
      </c>
      <c r="CP771" s="45" t="str">
        <f t="shared" si="181"/>
        <v>1 - in MILLESIMI   I</v>
      </c>
      <c r="CQ771" s="1"/>
    </row>
    <row r="772" spans="1:95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435">
        <f>IF(AND(W772&gt;=$U$1,W772&lt;=$U$2),IF(X772='ESTRATTO CONTO'!$E$2,1+COUNTIF(U$4:U771,"&gt;0"),0),0)</f>
        <v>0</v>
      </c>
      <c r="V772" s="417">
        <f t="shared" si="185"/>
        <v>769</v>
      </c>
      <c r="W772" s="509"/>
      <c r="X772" s="321"/>
      <c r="Y772" s="321"/>
      <c r="Z772" s="433"/>
      <c r="AA772" s="918">
        <f t="shared" ref="AA772:AA835" si="189">IF(OR(W772&lt;$W$1433,W772&gt;$W$1434),1,0)</f>
        <v>1</v>
      </c>
      <c r="AB772" s="306" t="str">
        <f t="shared" ref="AB772:AB835" si="190">IF(W772&gt;0,IF(AND(W772&gt;=W$1438,W772&lt;=W$1439),CONCATENATE(MONTH(W772)&amp;X772),0),"")</f>
        <v/>
      </c>
      <c r="AC772" s="788"/>
      <c r="AD772" s="119">
        <f t="shared" si="188"/>
        <v>0</v>
      </c>
      <c r="AE772" s="108">
        <f t="shared" si="188"/>
        <v>0</v>
      </c>
      <c r="AF772" s="108">
        <f t="shared" si="188"/>
        <v>0</v>
      </c>
      <c r="AG772" s="108"/>
      <c r="AH772" s="108"/>
      <c r="AI772" s="108"/>
      <c r="AJ772" s="108"/>
      <c r="AK772" s="108"/>
      <c r="AL772" s="108">
        <f t="shared" ref="AL772:AL835" si="191">IF($AB772=0,0,ROUND($Z772*VLOOKUP(AL$2,$F$1010:$Q$1014,VLOOKUP($CP772,$C$1076:$E$1081,3,FALSE),FALSE),2))</f>
        <v>0</v>
      </c>
      <c r="AM772" s="108"/>
      <c r="AN772" s="108"/>
      <c r="AO772" s="108"/>
      <c r="AP772" s="108"/>
      <c r="AQ772" s="108"/>
      <c r="AR772" s="108"/>
      <c r="AS772" s="108"/>
      <c r="AT772" s="108"/>
      <c r="AU772" s="108"/>
      <c r="AV772" s="108"/>
      <c r="AW772" s="108"/>
      <c r="AX772" s="108"/>
      <c r="AY772" s="108"/>
      <c r="AZ772" s="108"/>
      <c r="BA772" s="108"/>
      <c r="BB772" s="108"/>
      <c r="BC772" s="108"/>
      <c r="BD772" s="108"/>
      <c r="BE772" s="108"/>
      <c r="BF772" s="108"/>
      <c r="BG772" s="108"/>
      <c r="BH772" s="108"/>
      <c r="BI772" s="108"/>
      <c r="BJ772" s="108"/>
      <c r="BK772" s="108"/>
      <c r="BL772" s="108"/>
      <c r="BM772" s="108"/>
      <c r="BN772" s="108"/>
      <c r="BO772" s="108"/>
      <c r="BP772" s="108"/>
      <c r="BQ772" s="108"/>
      <c r="BR772" s="108"/>
      <c r="BS772" s="108"/>
      <c r="BT772" s="108"/>
      <c r="BU772" s="108"/>
      <c r="BV772" s="108"/>
      <c r="BW772" s="108"/>
      <c r="BX772" s="108"/>
      <c r="BY772" s="108"/>
      <c r="BZ772" s="108"/>
      <c r="CA772" s="108"/>
      <c r="CB772" s="108"/>
      <c r="CC772" s="108"/>
      <c r="CD772" s="108"/>
      <c r="CE772" s="108"/>
      <c r="CF772" s="108"/>
      <c r="CG772" s="108"/>
      <c r="CH772" s="108"/>
      <c r="CI772" s="108"/>
      <c r="CJ772" s="108"/>
      <c r="CK772" s="120">
        <f t="shared" ref="CK772:CK835" si="192">IF($AB772=0,0,ROUND($Z772*VLOOKUP(CK$2,$F$1010:$Q$1014,VLOOKUP($CP772,$C$1076:$E$1081,3,FALSE),FALSE),2))</f>
        <v>0</v>
      </c>
      <c r="CL772" s="122">
        <f t="shared" ref="CL772:CL835" si="193">IF(CK$1014&gt;0,0,IF(ISBLANK(W772),0,MONTH(W772)))</f>
        <v>0</v>
      </c>
      <c r="CM772" s="524" t="str">
        <f t="shared" si="182"/>
        <v/>
      </c>
      <c r="CN772" s="526">
        <f t="shared" si="183"/>
        <v>0</v>
      </c>
      <c r="CO772" s="122">
        <f t="shared" si="184"/>
        <v>0</v>
      </c>
      <c r="CP772" s="45" t="str">
        <f t="shared" ref="CP772:CP835" si="194">IF(ISBLANK(AC772),Q$1,AC772)</f>
        <v>1 - in MILLESIMI   I</v>
      </c>
      <c r="CQ772" s="1"/>
    </row>
    <row r="773" spans="1:95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435">
        <f>IF(AND(W773&gt;=$U$1,W773&lt;=$U$2),IF(X773='ESTRATTO CONTO'!$E$2,1+COUNTIF(U$4:U772,"&gt;0"),0),0)</f>
        <v>0</v>
      </c>
      <c r="V773" s="417">
        <f t="shared" si="185"/>
        <v>770</v>
      </c>
      <c r="W773" s="509"/>
      <c r="X773" s="321"/>
      <c r="Y773" s="321"/>
      <c r="Z773" s="433"/>
      <c r="AA773" s="918">
        <f t="shared" si="189"/>
        <v>1</v>
      </c>
      <c r="AB773" s="306" t="str">
        <f t="shared" si="190"/>
        <v/>
      </c>
      <c r="AC773" s="788"/>
      <c r="AD773" s="119">
        <f t="shared" si="188"/>
        <v>0</v>
      </c>
      <c r="AE773" s="108">
        <f t="shared" si="188"/>
        <v>0</v>
      </c>
      <c r="AF773" s="108">
        <f t="shared" si="188"/>
        <v>0</v>
      </c>
      <c r="AG773" s="108"/>
      <c r="AH773" s="108"/>
      <c r="AI773" s="108"/>
      <c r="AJ773" s="108"/>
      <c r="AK773" s="108"/>
      <c r="AL773" s="108">
        <f t="shared" si="191"/>
        <v>0</v>
      </c>
      <c r="AM773" s="108"/>
      <c r="AN773" s="108"/>
      <c r="AO773" s="108"/>
      <c r="AP773" s="108"/>
      <c r="AQ773" s="108"/>
      <c r="AR773" s="108"/>
      <c r="AS773" s="108"/>
      <c r="AT773" s="108"/>
      <c r="AU773" s="108"/>
      <c r="AV773" s="108"/>
      <c r="AW773" s="108"/>
      <c r="AX773" s="108"/>
      <c r="AY773" s="108"/>
      <c r="AZ773" s="108"/>
      <c r="BA773" s="108"/>
      <c r="BB773" s="108"/>
      <c r="BC773" s="108"/>
      <c r="BD773" s="108"/>
      <c r="BE773" s="108"/>
      <c r="BF773" s="108"/>
      <c r="BG773" s="108"/>
      <c r="BH773" s="108"/>
      <c r="BI773" s="108"/>
      <c r="BJ773" s="108"/>
      <c r="BK773" s="108"/>
      <c r="BL773" s="108"/>
      <c r="BM773" s="108"/>
      <c r="BN773" s="108"/>
      <c r="BO773" s="108"/>
      <c r="BP773" s="108"/>
      <c r="BQ773" s="108"/>
      <c r="BR773" s="108"/>
      <c r="BS773" s="108"/>
      <c r="BT773" s="108"/>
      <c r="BU773" s="108"/>
      <c r="BV773" s="108"/>
      <c r="BW773" s="108"/>
      <c r="BX773" s="108"/>
      <c r="BY773" s="108"/>
      <c r="BZ773" s="108"/>
      <c r="CA773" s="108"/>
      <c r="CB773" s="108"/>
      <c r="CC773" s="108"/>
      <c r="CD773" s="108"/>
      <c r="CE773" s="108"/>
      <c r="CF773" s="108"/>
      <c r="CG773" s="108"/>
      <c r="CH773" s="108"/>
      <c r="CI773" s="108"/>
      <c r="CJ773" s="108"/>
      <c r="CK773" s="120">
        <f t="shared" si="192"/>
        <v>0</v>
      </c>
      <c r="CL773" s="122">
        <f t="shared" si="193"/>
        <v>0</v>
      </c>
      <c r="CM773" s="524" t="str">
        <f t="shared" ref="CM773:CM836" si="195">IF(X773="","",IF(ISERROR(VLOOKUP(X773,B$9:E$45,1,FALSE)),1,0))</f>
        <v/>
      </c>
      <c r="CN773" s="526">
        <f t="shared" ref="CN773:CN836" si="196">IF(AND(W773&gt;=CN$1,W773&lt;=CN$2),Z773,0)</f>
        <v>0</v>
      </c>
      <c r="CO773" s="122">
        <f t="shared" ref="CO773:CO836" si="197">IF(CN773&lt;&gt;0,X773,0)</f>
        <v>0</v>
      </c>
      <c r="CP773" s="45" t="str">
        <f t="shared" si="194"/>
        <v>1 - in MILLESIMI   I</v>
      </c>
      <c r="CQ773" s="1"/>
    </row>
    <row r="774" spans="1:95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435">
        <f>IF(AND(W774&gt;=$U$1,W774&lt;=$U$2),IF(X774='ESTRATTO CONTO'!$E$2,1+COUNTIF(U$4:U773,"&gt;0"),0),0)</f>
        <v>0</v>
      </c>
      <c r="V774" s="417">
        <f t="shared" ref="V774:V837" si="198">V773+1</f>
        <v>771</v>
      </c>
      <c r="W774" s="509"/>
      <c r="X774" s="321"/>
      <c r="Y774" s="321"/>
      <c r="Z774" s="433"/>
      <c r="AA774" s="918">
        <f t="shared" si="189"/>
        <v>1</v>
      </c>
      <c r="AB774" s="306" t="str">
        <f t="shared" si="190"/>
        <v/>
      </c>
      <c r="AC774" s="788"/>
      <c r="AD774" s="119">
        <f t="shared" si="188"/>
        <v>0</v>
      </c>
      <c r="AE774" s="108">
        <f t="shared" si="188"/>
        <v>0</v>
      </c>
      <c r="AF774" s="108">
        <f t="shared" si="188"/>
        <v>0</v>
      </c>
      <c r="AG774" s="108"/>
      <c r="AH774" s="108"/>
      <c r="AI774" s="108"/>
      <c r="AJ774" s="108"/>
      <c r="AK774" s="108"/>
      <c r="AL774" s="108">
        <f t="shared" si="191"/>
        <v>0</v>
      </c>
      <c r="AM774" s="108"/>
      <c r="AN774" s="108"/>
      <c r="AO774" s="108"/>
      <c r="AP774" s="108"/>
      <c r="AQ774" s="108"/>
      <c r="AR774" s="108"/>
      <c r="AS774" s="108"/>
      <c r="AT774" s="108"/>
      <c r="AU774" s="108"/>
      <c r="AV774" s="108"/>
      <c r="AW774" s="108"/>
      <c r="AX774" s="108"/>
      <c r="AY774" s="108"/>
      <c r="AZ774" s="108"/>
      <c r="BA774" s="108"/>
      <c r="BB774" s="108"/>
      <c r="BC774" s="108"/>
      <c r="BD774" s="108"/>
      <c r="BE774" s="108"/>
      <c r="BF774" s="108"/>
      <c r="BG774" s="108"/>
      <c r="BH774" s="108"/>
      <c r="BI774" s="108"/>
      <c r="BJ774" s="108"/>
      <c r="BK774" s="108"/>
      <c r="BL774" s="108"/>
      <c r="BM774" s="108"/>
      <c r="BN774" s="108"/>
      <c r="BO774" s="108"/>
      <c r="BP774" s="108"/>
      <c r="BQ774" s="108"/>
      <c r="BR774" s="108"/>
      <c r="BS774" s="108"/>
      <c r="BT774" s="108"/>
      <c r="BU774" s="108"/>
      <c r="BV774" s="108"/>
      <c r="BW774" s="108"/>
      <c r="BX774" s="108"/>
      <c r="BY774" s="108"/>
      <c r="BZ774" s="108"/>
      <c r="CA774" s="108"/>
      <c r="CB774" s="108"/>
      <c r="CC774" s="108"/>
      <c r="CD774" s="108"/>
      <c r="CE774" s="108"/>
      <c r="CF774" s="108"/>
      <c r="CG774" s="108"/>
      <c r="CH774" s="108"/>
      <c r="CI774" s="108"/>
      <c r="CJ774" s="108"/>
      <c r="CK774" s="120">
        <f t="shared" si="192"/>
        <v>0</v>
      </c>
      <c r="CL774" s="122">
        <f t="shared" si="193"/>
        <v>0</v>
      </c>
      <c r="CM774" s="524" t="str">
        <f t="shared" si="195"/>
        <v/>
      </c>
      <c r="CN774" s="526">
        <f t="shared" si="196"/>
        <v>0</v>
      </c>
      <c r="CO774" s="122">
        <f t="shared" si="197"/>
        <v>0</v>
      </c>
      <c r="CP774" s="45" t="str">
        <f t="shared" si="194"/>
        <v>1 - in MILLESIMI   I</v>
      </c>
      <c r="CQ774" s="1"/>
    </row>
    <row r="775" spans="1:95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435">
        <f>IF(AND(W775&gt;=$U$1,W775&lt;=$U$2),IF(X775='ESTRATTO CONTO'!$E$2,1+COUNTIF(U$4:U774,"&gt;0"),0),0)</f>
        <v>0</v>
      </c>
      <c r="V775" s="417">
        <f t="shared" si="198"/>
        <v>772</v>
      </c>
      <c r="W775" s="509"/>
      <c r="X775" s="321"/>
      <c r="Y775" s="321"/>
      <c r="Z775" s="433"/>
      <c r="AA775" s="918">
        <f t="shared" si="189"/>
        <v>1</v>
      </c>
      <c r="AB775" s="306" t="str">
        <f t="shared" si="190"/>
        <v/>
      </c>
      <c r="AC775" s="788"/>
      <c r="AD775" s="119">
        <f t="shared" si="188"/>
        <v>0</v>
      </c>
      <c r="AE775" s="108">
        <f t="shared" si="188"/>
        <v>0</v>
      </c>
      <c r="AF775" s="108">
        <f t="shared" si="188"/>
        <v>0</v>
      </c>
      <c r="AG775" s="108"/>
      <c r="AH775" s="108"/>
      <c r="AI775" s="108"/>
      <c r="AJ775" s="108"/>
      <c r="AK775" s="108"/>
      <c r="AL775" s="108">
        <f t="shared" si="191"/>
        <v>0</v>
      </c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  <c r="AY775" s="108"/>
      <c r="AZ775" s="108"/>
      <c r="BA775" s="108"/>
      <c r="BB775" s="108"/>
      <c r="BC775" s="108"/>
      <c r="BD775" s="108"/>
      <c r="BE775" s="108"/>
      <c r="BF775" s="108"/>
      <c r="BG775" s="108"/>
      <c r="BH775" s="108"/>
      <c r="BI775" s="108"/>
      <c r="BJ775" s="108"/>
      <c r="BK775" s="108"/>
      <c r="BL775" s="108"/>
      <c r="BM775" s="108"/>
      <c r="BN775" s="108"/>
      <c r="BO775" s="108"/>
      <c r="BP775" s="108"/>
      <c r="BQ775" s="108"/>
      <c r="BR775" s="108"/>
      <c r="BS775" s="108"/>
      <c r="BT775" s="108"/>
      <c r="BU775" s="108"/>
      <c r="BV775" s="108"/>
      <c r="BW775" s="108"/>
      <c r="BX775" s="108"/>
      <c r="BY775" s="108"/>
      <c r="BZ775" s="108"/>
      <c r="CA775" s="108"/>
      <c r="CB775" s="108"/>
      <c r="CC775" s="108"/>
      <c r="CD775" s="108"/>
      <c r="CE775" s="108"/>
      <c r="CF775" s="108"/>
      <c r="CG775" s="108"/>
      <c r="CH775" s="108"/>
      <c r="CI775" s="108"/>
      <c r="CJ775" s="108"/>
      <c r="CK775" s="120">
        <f t="shared" si="192"/>
        <v>0</v>
      </c>
      <c r="CL775" s="122">
        <f t="shared" si="193"/>
        <v>0</v>
      </c>
      <c r="CM775" s="524" t="str">
        <f t="shared" si="195"/>
        <v/>
      </c>
      <c r="CN775" s="526">
        <f t="shared" si="196"/>
        <v>0</v>
      </c>
      <c r="CO775" s="122">
        <f t="shared" si="197"/>
        <v>0</v>
      </c>
      <c r="CP775" s="45" t="str">
        <f t="shared" si="194"/>
        <v>1 - in MILLESIMI   I</v>
      </c>
      <c r="CQ775" s="1"/>
    </row>
    <row r="776" spans="1:95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435">
        <f>IF(AND(W776&gt;=$U$1,W776&lt;=$U$2),IF(X776='ESTRATTO CONTO'!$E$2,1+COUNTIF(U$4:U775,"&gt;0"),0),0)</f>
        <v>0</v>
      </c>
      <c r="V776" s="417">
        <f t="shared" si="198"/>
        <v>773</v>
      </c>
      <c r="W776" s="509"/>
      <c r="X776" s="321"/>
      <c r="Y776" s="321"/>
      <c r="Z776" s="433"/>
      <c r="AA776" s="918">
        <f t="shared" si="189"/>
        <v>1</v>
      </c>
      <c r="AB776" s="306" t="str">
        <f t="shared" si="190"/>
        <v/>
      </c>
      <c r="AC776" s="788"/>
      <c r="AD776" s="119">
        <f t="shared" si="188"/>
        <v>0</v>
      </c>
      <c r="AE776" s="108">
        <f t="shared" si="188"/>
        <v>0</v>
      </c>
      <c r="AF776" s="108">
        <f t="shared" si="188"/>
        <v>0</v>
      </c>
      <c r="AG776" s="108"/>
      <c r="AH776" s="108"/>
      <c r="AI776" s="108"/>
      <c r="AJ776" s="108"/>
      <c r="AK776" s="108"/>
      <c r="AL776" s="108">
        <f t="shared" si="191"/>
        <v>0</v>
      </c>
      <c r="AM776" s="108"/>
      <c r="AN776" s="108"/>
      <c r="AO776" s="108"/>
      <c r="AP776" s="108"/>
      <c r="AQ776" s="108"/>
      <c r="AR776" s="108"/>
      <c r="AS776" s="108"/>
      <c r="AT776" s="108"/>
      <c r="AU776" s="108"/>
      <c r="AV776" s="108"/>
      <c r="AW776" s="108"/>
      <c r="AX776" s="108"/>
      <c r="AY776" s="108"/>
      <c r="AZ776" s="108"/>
      <c r="BA776" s="108"/>
      <c r="BB776" s="108"/>
      <c r="BC776" s="108"/>
      <c r="BD776" s="108"/>
      <c r="BE776" s="108"/>
      <c r="BF776" s="108"/>
      <c r="BG776" s="108"/>
      <c r="BH776" s="108"/>
      <c r="BI776" s="108"/>
      <c r="BJ776" s="108"/>
      <c r="BK776" s="108"/>
      <c r="BL776" s="108"/>
      <c r="BM776" s="108"/>
      <c r="BN776" s="108"/>
      <c r="BO776" s="108"/>
      <c r="BP776" s="108"/>
      <c r="BQ776" s="108"/>
      <c r="BR776" s="108"/>
      <c r="BS776" s="108"/>
      <c r="BT776" s="108"/>
      <c r="BU776" s="108"/>
      <c r="BV776" s="108"/>
      <c r="BW776" s="108"/>
      <c r="BX776" s="108"/>
      <c r="BY776" s="108"/>
      <c r="BZ776" s="108"/>
      <c r="CA776" s="108"/>
      <c r="CB776" s="108"/>
      <c r="CC776" s="108"/>
      <c r="CD776" s="108"/>
      <c r="CE776" s="108"/>
      <c r="CF776" s="108"/>
      <c r="CG776" s="108"/>
      <c r="CH776" s="108"/>
      <c r="CI776" s="108"/>
      <c r="CJ776" s="108"/>
      <c r="CK776" s="120">
        <f t="shared" si="192"/>
        <v>0</v>
      </c>
      <c r="CL776" s="122">
        <f t="shared" si="193"/>
        <v>0</v>
      </c>
      <c r="CM776" s="524" t="str">
        <f t="shared" si="195"/>
        <v/>
      </c>
      <c r="CN776" s="526">
        <f t="shared" si="196"/>
        <v>0</v>
      </c>
      <c r="CO776" s="122">
        <f t="shared" si="197"/>
        <v>0</v>
      </c>
      <c r="CP776" s="45" t="str">
        <f t="shared" si="194"/>
        <v>1 - in MILLESIMI   I</v>
      </c>
      <c r="CQ776" s="1"/>
    </row>
    <row r="777" spans="1:95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435">
        <f>IF(AND(W777&gt;=$U$1,W777&lt;=$U$2),IF(X777='ESTRATTO CONTO'!$E$2,1+COUNTIF(U$4:U776,"&gt;0"),0),0)</f>
        <v>0</v>
      </c>
      <c r="V777" s="417">
        <f t="shared" si="198"/>
        <v>774</v>
      </c>
      <c r="W777" s="509"/>
      <c r="X777" s="321"/>
      <c r="Y777" s="321"/>
      <c r="Z777" s="433"/>
      <c r="AA777" s="918">
        <f t="shared" si="189"/>
        <v>1</v>
      </c>
      <c r="AB777" s="306" t="str">
        <f t="shared" si="190"/>
        <v/>
      </c>
      <c r="AC777" s="788"/>
      <c r="AD777" s="119">
        <f t="shared" si="188"/>
        <v>0</v>
      </c>
      <c r="AE777" s="108">
        <f t="shared" si="188"/>
        <v>0</v>
      </c>
      <c r="AF777" s="108">
        <f t="shared" si="188"/>
        <v>0</v>
      </c>
      <c r="AG777" s="108"/>
      <c r="AH777" s="108"/>
      <c r="AI777" s="108"/>
      <c r="AJ777" s="108"/>
      <c r="AK777" s="108"/>
      <c r="AL777" s="108">
        <f t="shared" si="191"/>
        <v>0</v>
      </c>
      <c r="AM777" s="108"/>
      <c r="AN777" s="108"/>
      <c r="AO777" s="108"/>
      <c r="AP777" s="108"/>
      <c r="AQ777" s="108"/>
      <c r="AR777" s="108"/>
      <c r="AS777" s="108"/>
      <c r="AT777" s="108"/>
      <c r="AU777" s="108"/>
      <c r="AV777" s="108"/>
      <c r="AW777" s="108"/>
      <c r="AX777" s="108"/>
      <c r="AY777" s="108"/>
      <c r="AZ777" s="108"/>
      <c r="BA777" s="108"/>
      <c r="BB777" s="108"/>
      <c r="BC777" s="108"/>
      <c r="BD777" s="108"/>
      <c r="BE777" s="108"/>
      <c r="BF777" s="108"/>
      <c r="BG777" s="108"/>
      <c r="BH777" s="108"/>
      <c r="BI777" s="108"/>
      <c r="BJ777" s="108"/>
      <c r="BK777" s="108"/>
      <c r="BL777" s="108"/>
      <c r="BM777" s="108"/>
      <c r="BN777" s="108"/>
      <c r="BO777" s="108"/>
      <c r="BP777" s="108"/>
      <c r="BQ777" s="108"/>
      <c r="BR777" s="108"/>
      <c r="BS777" s="108"/>
      <c r="BT777" s="108"/>
      <c r="BU777" s="108"/>
      <c r="BV777" s="108"/>
      <c r="BW777" s="108"/>
      <c r="BX777" s="108"/>
      <c r="BY777" s="108"/>
      <c r="BZ777" s="108"/>
      <c r="CA777" s="108"/>
      <c r="CB777" s="108"/>
      <c r="CC777" s="108"/>
      <c r="CD777" s="108"/>
      <c r="CE777" s="108"/>
      <c r="CF777" s="108"/>
      <c r="CG777" s="108"/>
      <c r="CH777" s="108"/>
      <c r="CI777" s="108"/>
      <c r="CJ777" s="108"/>
      <c r="CK777" s="120">
        <f t="shared" si="192"/>
        <v>0</v>
      </c>
      <c r="CL777" s="122">
        <f t="shared" si="193"/>
        <v>0</v>
      </c>
      <c r="CM777" s="524" t="str">
        <f t="shared" si="195"/>
        <v/>
      </c>
      <c r="CN777" s="526">
        <f t="shared" si="196"/>
        <v>0</v>
      </c>
      <c r="CO777" s="122">
        <f t="shared" si="197"/>
        <v>0</v>
      </c>
      <c r="CP777" s="45" t="str">
        <f t="shared" si="194"/>
        <v>1 - in MILLESIMI   I</v>
      </c>
      <c r="CQ777" s="1"/>
    </row>
    <row r="778" spans="1:95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435">
        <f>IF(AND(W778&gt;=$U$1,W778&lt;=$U$2),IF(X778='ESTRATTO CONTO'!$E$2,1+COUNTIF(U$4:U777,"&gt;0"),0),0)</f>
        <v>0</v>
      </c>
      <c r="V778" s="417">
        <f t="shared" si="198"/>
        <v>775</v>
      </c>
      <c r="W778" s="509"/>
      <c r="X778" s="321"/>
      <c r="Y778" s="321"/>
      <c r="Z778" s="433"/>
      <c r="AA778" s="918">
        <f t="shared" si="189"/>
        <v>1</v>
      </c>
      <c r="AB778" s="306" t="str">
        <f t="shared" si="190"/>
        <v/>
      </c>
      <c r="AC778" s="788"/>
      <c r="AD778" s="119">
        <f t="shared" si="188"/>
        <v>0</v>
      </c>
      <c r="AE778" s="108">
        <f t="shared" si="188"/>
        <v>0</v>
      </c>
      <c r="AF778" s="108">
        <f t="shared" si="188"/>
        <v>0</v>
      </c>
      <c r="AG778" s="108"/>
      <c r="AH778" s="108"/>
      <c r="AI778" s="108"/>
      <c r="AJ778" s="108"/>
      <c r="AK778" s="108"/>
      <c r="AL778" s="108">
        <f t="shared" si="191"/>
        <v>0</v>
      </c>
      <c r="AM778" s="108"/>
      <c r="AN778" s="108"/>
      <c r="AO778" s="108"/>
      <c r="AP778" s="108"/>
      <c r="AQ778" s="108"/>
      <c r="AR778" s="108"/>
      <c r="AS778" s="108"/>
      <c r="AT778" s="108"/>
      <c r="AU778" s="108"/>
      <c r="AV778" s="108"/>
      <c r="AW778" s="108"/>
      <c r="AX778" s="108"/>
      <c r="AY778" s="108"/>
      <c r="AZ778" s="108"/>
      <c r="BA778" s="108"/>
      <c r="BB778" s="108"/>
      <c r="BC778" s="108"/>
      <c r="BD778" s="108"/>
      <c r="BE778" s="108"/>
      <c r="BF778" s="108"/>
      <c r="BG778" s="108"/>
      <c r="BH778" s="108"/>
      <c r="BI778" s="108"/>
      <c r="BJ778" s="108"/>
      <c r="BK778" s="108"/>
      <c r="BL778" s="108"/>
      <c r="BM778" s="108"/>
      <c r="BN778" s="108"/>
      <c r="BO778" s="108"/>
      <c r="BP778" s="108"/>
      <c r="BQ778" s="108"/>
      <c r="BR778" s="108"/>
      <c r="BS778" s="108"/>
      <c r="BT778" s="108"/>
      <c r="BU778" s="108"/>
      <c r="BV778" s="108"/>
      <c r="BW778" s="108"/>
      <c r="BX778" s="108"/>
      <c r="BY778" s="108"/>
      <c r="BZ778" s="108"/>
      <c r="CA778" s="108"/>
      <c r="CB778" s="108"/>
      <c r="CC778" s="108"/>
      <c r="CD778" s="108"/>
      <c r="CE778" s="108"/>
      <c r="CF778" s="108"/>
      <c r="CG778" s="108"/>
      <c r="CH778" s="108"/>
      <c r="CI778" s="108"/>
      <c r="CJ778" s="108"/>
      <c r="CK778" s="120">
        <f t="shared" si="192"/>
        <v>0</v>
      </c>
      <c r="CL778" s="122">
        <f t="shared" si="193"/>
        <v>0</v>
      </c>
      <c r="CM778" s="524" t="str">
        <f t="shared" si="195"/>
        <v/>
      </c>
      <c r="CN778" s="526">
        <f t="shared" si="196"/>
        <v>0</v>
      </c>
      <c r="CO778" s="122">
        <f t="shared" si="197"/>
        <v>0</v>
      </c>
      <c r="CP778" s="45" t="str">
        <f t="shared" si="194"/>
        <v>1 - in MILLESIMI   I</v>
      </c>
      <c r="CQ778" s="1"/>
    </row>
    <row r="779" spans="1:95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435">
        <f>IF(AND(W779&gt;=$U$1,W779&lt;=$U$2),IF(X779='ESTRATTO CONTO'!$E$2,1+COUNTIF(U$4:U778,"&gt;0"),0),0)</f>
        <v>0</v>
      </c>
      <c r="V779" s="417">
        <f t="shared" si="198"/>
        <v>776</v>
      </c>
      <c r="W779" s="509"/>
      <c r="X779" s="321"/>
      <c r="Y779" s="321"/>
      <c r="Z779" s="433"/>
      <c r="AA779" s="918">
        <f t="shared" si="189"/>
        <v>1</v>
      </c>
      <c r="AB779" s="306" t="str">
        <f t="shared" si="190"/>
        <v/>
      </c>
      <c r="AC779" s="788"/>
      <c r="AD779" s="119">
        <f t="shared" si="188"/>
        <v>0</v>
      </c>
      <c r="AE779" s="108">
        <f t="shared" si="188"/>
        <v>0</v>
      </c>
      <c r="AF779" s="108">
        <f t="shared" si="188"/>
        <v>0</v>
      </c>
      <c r="AG779" s="108"/>
      <c r="AH779" s="108"/>
      <c r="AI779" s="108"/>
      <c r="AJ779" s="108"/>
      <c r="AK779" s="108"/>
      <c r="AL779" s="108">
        <f t="shared" si="191"/>
        <v>0</v>
      </c>
      <c r="AM779" s="108"/>
      <c r="AN779" s="108"/>
      <c r="AO779" s="108"/>
      <c r="AP779" s="108"/>
      <c r="AQ779" s="108"/>
      <c r="AR779" s="108"/>
      <c r="AS779" s="108"/>
      <c r="AT779" s="108"/>
      <c r="AU779" s="108"/>
      <c r="AV779" s="108"/>
      <c r="AW779" s="108"/>
      <c r="AX779" s="108"/>
      <c r="AY779" s="108"/>
      <c r="AZ779" s="108"/>
      <c r="BA779" s="108"/>
      <c r="BB779" s="108"/>
      <c r="BC779" s="108"/>
      <c r="BD779" s="108"/>
      <c r="BE779" s="108"/>
      <c r="BF779" s="108"/>
      <c r="BG779" s="108"/>
      <c r="BH779" s="108"/>
      <c r="BI779" s="108"/>
      <c r="BJ779" s="108"/>
      <c r="BK779" s="108"/>
      <c r="BL779" s="108"/>
      <c r="BM779" s="108"/>
      <c r="BN779" s="108"/>
      <c r="BO779" s="108"/>
      <c r="BP779" s="108"/>
      <c r="BQ779" s="108"/>
      <c r="BR779" s="108"/>
      <c r="BS779" s="108"/>
      <c r="BT779" s="108"/>
      <c r="BU779" s="108"/>
      <c r="BV779" s="108"/>
      <c r="BW779" s="108"/>
      <c r="BX779" s="108"/>
      <c r="BY779" s="108"/>
      <c r="BZ779" s="108"/>
      <c r="CA779" s="108"/>
      <c r="CB779" s="108"/>
      <c r="CC779" s="108"/>
      <c r="CD779" s="108"/>
      <c r="CE779" s="108"/>
      <c r="CF779" s="108"/>
      <c r="CG779" s="108"/>
      <c r="CH779" s="108"/>
      <c r="CI779" s="108"/>
      <c r="CJ779" s="108"/>
      <c r="CK779" s="120">
        <f t="shared" si="192"/>
        <v>0</v>
      </c>
      <c r="CL779" s="122">
        <f t="shared" si="193"/>
        <v>0</v>
      </c>
      <c r="CM779" s="524" t="str">
        <f t="shared" si="195"/>
        <v/>
      </c>
      <c r="CN779" s="526">
        <f t="shared" si="196"/>
        <v>0</v>
      </c>
      <c r="CO779" s="122">
        <f t="shared" si="197"/>
        <v>0</v>
      </c>
      <c r="CP779" s="45" t="str">
        <f t="shared" si="194"/>
        <v>1 - in MILLESIMI   I</v>
      </c>
      <c r="CQ779" s="1"/>
    </row>
    <row r="780" spans="1:95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435">
        <f>IF(AND(W780&gt;=$U$1,W780&lt;=$U$2),IF(X780='ESTRATTO CONTO'!$E$2,1+COUNTIF(U$4:U779,"&gt;0"),0),0)</f>
        <v>0</v>
      </c>
      <c r="V780" s="417">
        <f t="shared" si="198"/>
        <v>777</v>
      </c>
      <c r="W780" s="509"/>
      <c r="X780" s="321"/>
      <c r="Y780" s="321"/>
      <c r="Z780" s="433"/>
      <c r="AA780" s="918">
        <f t="shared" si="189"/>
        <v>1</v>
      </c>
      <c r="AB780" s="306" t="str">
        <f t="shared" si="190"/>
        <v/>
      </c>
      <c r="AC780" s="788"/>
      <c r="AD780" s="119">
        <f t="shared" si="188"/>
        <v>0</v>
      </c>
      <c r="AE780" s="108">
        <f t="shared" si="188"/>
        <v>0</v>
      </c>
      <c r="AF780" s="108">
        <f t="shared" si="188"/>
        <v>0</v>
      </c>
      <c r="AG780" s="108"/>
      <c r="AH780" s="108"/>
      <c r="AI780" s="108"/>
      <c r="AJ780" s="108"/>
      <c r="AK780" s="108"/>
      <c r="AL780" s="108">
        <f t="shared" si="191"/>
        <v>0</v>
      </c>
      <c r="AM780" s="108"/>
      <c r="AN780" s="108"/>
      <c r="AO780" s="108"/>
      <c r="AP780" s="108"/>
      <c r="AQ780" s="108"/>
      <c r="AR780" s="108"/>
      <c r="AS780" s="108"/>
      <c r="AT780" s="108"/>
      <c r="AU780" s="108"/>
      <c r="AV780" s="108"/>
      <c r="AW780" s="108"/>
      <c r="AX780" s="108"/>
      <c r="AY780" s="108"/>
      <c r="AZ780" s="108"/>
      <c r="BA780" s="108"/>
      <c r="BB780" s="108"/>
      <c r="BC780" s="108"/>
      <c r="BD780" s="108"/>
      <c r="BE780" s="108"/>
      <c r="BF780" s="108"/>
      <c r="BG780" s="108"/>
      <c r="BH780" s="108"/>
      <c r="BI780" s="108"/>
      <c r="BJ780" s="108"/>
      <c r="BK780" s="108"/>
      <c r="BL780" s="108"/>
      <c r="BM780" s="108"/>
      <c r="BN780" s="108"/>
      <c r="BO780" s="108"/>
      <c r="BP780" s="108"/>
      <c r="BQ780" s="108"/>
      <c r="BR780" s="108"/>
      <c r="BS780" s="108"/>
      <c r="BT780" s="108"/>
      <c r="BU780" s="108"/>
      <c r="BV780" s="108"/>
      <c r="BW780" s="108"/>
      <c r="BX780" s="108"/>
      <c r="BY780" s="108"/>
      <c r="BZ780" s="108"/>
      <c r="CA780" s="108"/>
      <c r="CB780" s="108"/>
      <c r="CC780" s="108"/>
      <c r="CD780" s="108"/>
      <c r="CE780" s="108"/>
      <c r="CF780" s="108"/>
      <c r="CG780" s="108"/>
      <c r="CH780" s="108"/>
      <c r="CI780" s="108"/>
      <c r="CJ780" s="108"/>
      <c r="CK780" s="120">
        <f t="shared" si="192"/>
        <v>0</v>
      </c>
      <c r="CL780" s="122">
        <f t="shared" si="193"/>
        <v>0</v>
      </c>
      <c r="CM780" s="524" t="str">
        <f t="shared" si="195"/>
        <v/>
      </c>
      <c r="CN780" s="526">
        <f t="shared" si="196"/>
        <v>0</v>
      </c>
      <c r="CO780" s="122">
        <f t="shared" si="197"/>
        <v>0</v>
      </c>
      <c r="CP780" s="45" t="str">
        <f t="shared" si="194"/>
        <v>1 - in MILLESIMI   I</v>
      </c>
      <c r="CQ780" s="1"/>
    </row>
    <row r="781" spans="1:95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435">
        <f>IF(AND(W781&gt;=$U$1,W781&lt;=$U$2),IF(X781='ESTRATTO CONTO'!$E$2,1+COUNTIF(U$4:U780,"&gt;0"),0),0)</f>
        <v>0</v>
      </c>
      <c r="V781" s="417">
        <f t="shared" si="198"/>
        <v>778</v>
      </c>
      <c r="W781" s="509"/>
      <c r="X781" s="321"/>
      <c r="Y781" s="321"/>
      <c r="Z781" s="433"/>
      <c r="AA781" s="918">
        <f t="shared" si="189"/>
        <v>1</v>
      </c>
      <c r="AB781" s="306" t="str">
        <f t="shared" si="190"/>
        <v/>
      </c>
      <c r="AC781" s="788"/>
      <c r="AD781" s="119">
        <f t="shared" si="188"/>
        <v>0</v>
      </c>
      <c r="AE781" s="108">
        <f t="shared" si="188"/>
        <v>0</v>
      </c>
      <c r="AF781" s="108">
        <f t="shared" si="188"/>
        <v>0</v>
      </c>
      <c r="AG781" s="108"/>
      <c r="AH781" s="108"/>
      <c r="AI781" s="108"/>
      <c r="AJ781" s="108"/>
      <c r="AK781" s="108"/>
      <c r="AL781" s="108">
        <f t="shared" si="191"/>
        <v>0</v>
      </c>
      <c r="AM781" s="108"/>
      <c r="AN781" s="108"/>
      <c r="AO781" s="108"/>
      <c r="AP781" s="108"/>
      <c r="AQ781" s="108"/>
      <c r="AR781" s="108"/>
      <c r="AS781" s="108"/>
      <c r="AT781" s="108"/>
      <c r="AU781" s="108"/>
      <c r="AV781" s="108"/>
      <c r="AW781" s="108"/>
      <c r="AX781" s="108"/>
      <c r="AY781" s="108"/>
      <c r="AZ781" s="108"/>
      <c r="BA781" s="108"/>
      <c r="BB781" s="108"/>
      <c r="BC781" s="108"/>
      <c r="BD781" s="108"/>
      <c r="BE781" s="108"/>
      <c r="BF781" s="108"/>
      <c r="BG781" s="108"/>
      <c r="BH781" s="108"/>
      <c r="BI781" s="108"/>
      <c r="BJ781" s="108"/>
      <c r="BK781" s="108"/>
      <c r="BL781" s="108"/>
      <c r="BM781" s="108"/>
      <c r="BN781" s="108"/>
      <c r="BO781" s="108"/>
      <c r="BP781" s="108"/>
      <c r="BQ781" s="108"/>
      <c r="BR781" s="108"/>
      <c r="BS781" s="108"/>
      <c r="BT781" s="108"/>
      <c r="BU781" s="108"/>
      <c r="BV781" s="108"/>
      <c r="BW781" s="108"/>
      <c r="BX781" s="108"/>
      <c r="BY781" s="108"/>
      <c r="BZ781" s="108"/>
      <c r="CA781" s="108"/>
      <c r="CB781" s="108"/>
      <c r="CC781" s="108"/>
      <c r="CD781" s="108"/>
      <c r="CE781" s="108"/>
      <c r="CF781" s="108"/>
      <c r="CG781" s="108"/>
      <c r="CH781" s="108"/>
      <c r="CI781" s="108"/>
      <c r="CJ781" s="108"/>
      <c r="CK781" s="120">
        <f t="shared" si="192"/>
        <v>0</v>
      </c>
      <c r="CL781" s="122">
        <f t="shared" si="193"/>
        <v>0</v>
      </c>
      <c r="CM781" s="524" t="str">
        <f t="shared" si="195"/>
        <v/>
      </c>
      <c r="CN781" s="526">
        <f t="shared" si="196"/>
        <v>0</v>
      </c>
      <c r="CO781" s="122">
        <f t="shared" si="197"/>
        <v>0</v>
      </c>
      <c r="CP781" s="45" t="str">
        <f t="shared" si="194"/>
        <v>1 - in MILLESIMI   I</v>
      </c>
      <c r="CQ781" s="1"/>
    </row>
    <row r="782" spans="1:95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435">
        <f>IF(AND(W782&gt;=$U$1,W782&lt;=$U$2),IF(X782='ESTRATTO CONTO'!$E$2,1+COUNTIF(U$4:U781,"&gt;0"),0),0)</f>
        <v>0</v>
      </c>
      <c r="V782" s="417">
        <f t="shared" si="198"/>
        <v>779</v>
      </c>
      <c r="W782" s="509"/>
      <c r="X782" s="321"/>
      <c r="Y782" s="321"/>
      <c r="Z782" s="433"/>
      <c r="AA782" s="918">
        <f t="shared" si="189"/>
        <v>1</v>
      </c>
      <c r="AB782" s="306" t="str">
        <f t="shared" si="190"/>
        <v/>
      </c>
      <c r="AC782" s="788"/>
      <c r="AD782" s="119">
        <f t="shared" si="188"/>
        <v>0</v>
      </c>
      <c r="AE782" s="108">
        <f t="shared" si="188"/>
        <v>0</v>
      </c>
      <c r="AF782" s="108">
        <f t="shared" si="188"/>
        <v>0</v>
      </c>
      <c r="AG782" s="108"/>
      <c r="AH782" s="108"/>
      <c r="AI782" s="108"/>
      <c r="AJ782" s="108"/>
      <c r="AK782" s="108"/>
      <c r="AL782" s="108">
        <f t="shared" si="191"/>
        <v>0</v>
      </c>
      <c r="AM782" s="108"/>
      <c r="AN782" s="108"/>
      <c r="AO782" s="108"/>
      <c r="AP782" s="108"/>
      <c r="AQ782" s="108"/>
      <c r="AR782" s="108"/>
      <c r="AS782" s="108"/>
      <c r="AT782" s="108"/>
      <c r="AU782" s="108"/>
      <c r="AV782" s="108"/>
      <c r="AW782" s="108"/>
      <c r="AX782" s="108"/>
      <c r="AY782" s="108"/>
      <c r="AZ782" s="108"/>
      <c r="BA782" s="108"/>
      <c r="BB782" s="108"/>
      <c r="BC782" s="108"/>
      <c r="BD782" s="108"/>
      <c r="BE782" s="108"/>
      <c r="BF782" s="108"/>
      <c r="BG782" s="108"/>
      <c r="BH782" s="108"/>
      <c r="BI782" s="108"/>
      <c r="BJ782" s="108"/>
      <c r="BK782" s="108"/>
      <c r="BL782" s="108"/>
      <c r="BM782" s="108"/>
      <c r="BN782" s="108"/>
      <c r="BO782" s="108"/>
      <c r="BP782" s="108"/>
      <c r="BQ782" s="108"/>
      <c r="BR782" s="108"/>
      <c r="BS782" s="108"/>
      <c r="BT782" s="108"/>
      <c r="BU782" s="108"/>
      <c r="BV782" s="108"/>
      <c r="BW782" s="108"/>
      <c r="BX782" s="108"/>
      <c r="BY782" s="108"/>
      <c r="BZ782" s="108"/>
      <c r="CA782" s="108"/>
      <c r="CB782" s="108"/>
      <c r="CC782" s="108"/>
      <c r="CD782" s="108"/>
      <c r="CE782" s="108"/>
      <c r="CF782" s="108"/>
      <c r="CG782" s="108"/>
      <c r="CH782" s="108"/>
      <c r="CI782" s="108"/>
      <c r="CJ782" s="108"/>
      <c r="CK782" s="120">
        <f t="shared" si="192"/>
        <v>0</v>
      </c>
      <c r="CL782" s="122">
        <f t="shared" si="193"/>
        <v>0</v>
      </c>
      <c r="CM782" s="524" t="str">
        <f t="shared" si="195"/>
        <v/>
      </c>
      <c r="CN782" s="526">
        <f t="shared" si="196"/>
        <v>0</v>
      </c>
      <c r="CO782" s="122">
        <f t="shared" si="197"/>
        <v>0</v>
      </c>
      <c r="CP782" s="45" t="str">
        <f t="shared" si="194"/>
        <v>1 - in MILLESIMI   I</v>
      </c>
      <c r="CQ782" s="1"/>
    </row>
    <row r="783" spans="1:95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435">
        <f>IF(AND(W783&gt;=$U$1,W783&lt;=$U$2),IF(X783='ESTRATTO CONTO'!$E$2,1+COUNTIF(U$4:U782,"&gt;0"),0),0)</f>
        <v>0</v>
      </c>
      <c r="V783" s="417">
        <f t="shared" si="198"/>
        <v>780</v>
      </c>
      <c r="W783" s="509"/>
      <c r="X783" s="321"/>
      <c r="Y783" s="321"/>
      <c r="Z783" s="433"/>
      <c r="AA783" s="918">
        <f t="shared" si="189"/>
        <v>1</v>
      </c>
      <c r="AB783" s="306" t="str">
        <f t="shared" si="190"/>
        <v/>
      </c>
      <c r="AC783" s="788"/>
      <c r="AD783" s="119">
        <f t="shared" si="188"/>
        <v>0</v>
      </c>
      <c r="AE783" s="108">
        <f t="shared" si="188"/>
        <v>0</v>
      </c>
      <c r="AF783" s="108">
        <f t="shared" si="188"/>
        <v>0</v>
      </c>
      <c r="AG783" s="108"/>
      <c r="AH783" s="108"/>
      <c r="AI783" s="108"/>
      <c r="AJ783" s="108"/>
      <c r="AK783" s="108"/>
      <c r="AL783" s="108">
        <f t="shared" si="191"/>
        <v>0</v>
      </c>
      <c r="AM783" s="108"/>
      <c r="AN783" s="108"/>
      <c r="AO783" s="108"/>
      <c r="AP783" s="108"/>
      <c r="AQ783" s="108"/>
      <c r="AR783" s="108"/>
      <c r="AS783" s="108"/>
      <c r="AT783" s="108"/>
      <c r="AU783" s="108"/>
      <c r="AV783" s="108"/>
      <c r="AW783" s="108"/>
      <c r="AX783" s="108"/>
      <c r="AY783" s="108"/>
      <c r="AZ783" s="108"/>
      <c r="BA783" s="108"/>
      <c r="BB783" s="108"/>
      <c r="BC783" s="108"/>
      <c r="BD783" s="108"/>
      <c r="BE783" s="108"/>
      <c r="BF783" s="108"/>
      <c r="BG783" s="108"/>
      <c r="BH783" s="108"/>
      <c r="BI783" s="108"/>
      <c r="BJ783" s="108"/>
      <c r="BK783" s="108"/>
      <c r="BL783" s="108"/>
      <c r="BM783" s="108"/>
      <c r="BN783" s="108"/>
      <c r="BO783" s="108"/>
      <c r="BP783" s="108"/>
      <c r="BQ783" s="108"/>
      <c r="BR783" s="108"/>
      <c r="BS783" s="108"/>
      <c r="BT783" s="108"/>
      <c r="BU783" s="108"/>
      <c r="BV783" s="108"/>
      <c r="BW783" s="108"/>
      <c r="BX783" s="108"/>
      <c r="BY783" s="108"/>
      <c r="BZ783" s="108"/>
      <c r="CA783" s="108"/>
      <c r="CB783" s="108"/>
      <c r="CC783" s="108"/>
      <c r="CD783" s="108"/>
      <c r="CE783" s="108"/>
      <c r="CF783" s="108"/>
      <c r="CG783" s="108"/>
      <c r="CH783" s="108"/>
      <c r="CI783" s="108"/>
      <c r="CJ783" s="108"/>
      <c r="CK783" s="120">
        <f t="shared" si="192"/>
        <v>0</v>
      </c>
      <c r="CL783" s="122">
        <f t="shared" si="193"/>
        <v>0</v>
      </c>
      <c r="CM783" s="524" t="str">
        <f t="shared" si="195"/>
        <v/>
      </c>
      <c r="CN783" s="526">
        <f t="shared" si="196"/>
        <v>0</v>
      </c>
      <c r="CO783" s="122">
        <f t="shared" si="197"/>
        <v>0</v>
      </c>
      <c r="CP783" s="45" t="str">
        <f t="shared" si="194"/>
        <v>1 - in MILLESIMI   I</v>
      </c>
      <c r="CQ783" s="1"/>
    </row>
    <row r="784" spans="1:95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435">
        <f>IF(AND(W784&gt;=$U$1,W784&lt;=$U$2),IF(X784='ESTRATTO CONTO'!$E$2,1+COUNTIF(U$4:U783,"&gt;0"),0),0)</f>
        <v>0</v>
      </c>
      <c r="V784" s="417">
        <f t="shared" si="198"/>
        <v>781</v>
      </c>
      <c r="W784" s="509"/>
      <c r="X784" s="321"/>
      <c r="Y784" s="321"/>
      <c r="Z784" s="433"/>
      <c r="AA784" s="918">
        <f t="shared" si="189"/>
        <v>1</v>
      </c>
      <c r="AB784" s="306" t="str">
        <f t="shared" si="190"/>
        <v/>
      </c>
      <c r="AC784" s="788"/>
      <c r="AD784" s="119">
        <f t="shared" ref="AD784:AF803" si="199">IF($AB784=0,0,ROUND($Z784*VLOOKUP(AD$2,$F$1010:$Q$1014,VLOOKUP($CP784,$C$1076:$E$1081,3,FALSE),FALSE),2))</f>
        <v>0</v>
      </c>
      <c r="AE784" s="108">
        <f t="shared" si="199"/>
        <v>0</v>
      </c>
      <c r="AF784" s="108">
        <f t="shared" si="199"/>
        <v>0</v>
      </c>
      <c r="AG784" s="108"/>
      <c r="AH784" s="108"/>
      <c r="AI784" s="108"/>
      <c r="AJ784" s="108"/>
      <c r="AK784" s="108"/>
      <c r="AL784" s="108">
        <f t="shared" si="191"/>
        <v>0</v>
      </c>
      <c r="AM784" s="108"/>
      <c r="AN784" s="108"/>
      <c r="AO784" s="108"/>
      <c r="AP784" s="108"/>
      <c r="AQ784" s="108"/>
      <c r="AR784" s="108"/>
      <c r="AS784" s="108"/>
      <c r="AT784" s="108"/>
      <c r="AU784" s="108"/>
      <c r="AV784" s="108"/>
      <c r="AW784" s="108"/>
      <c r="AX784" s="108"/>
      <c r="AY784" s="108"/>
      <c r="AZ784" s="108"/>
      <c r="BA784" s="108"/>
      <c r="BB784" s="108"/>
      <c r="BC784" s="108"/>
      <c r="BD784" s="108"/>
      <c r="BE784" s="108"/>
      <c r="BF784" s="108"/>
      <c r="BG784" s="108"/>
      <c r="BH784" s="108"/>
      <c r="BI784" s="108"/>
      <c r="BJ784" s="108"/>
      <c r="BK784" s="108"/>
      <c r="BL784" s="108"/>
      <c r="BM784" s="108"/>
      <c r="BN784" s="108"/>
      <c r="BO784" s="108"/>
      <c r="BP784" s="108"/>
      <c r="BQ784" s="108"/>
      <c r="BR784" s="108"/>
      <c r="BS784" s="108"/>
      <c r="BT784" s="108"/>
      <c r="BU784" s="108"/>
      <c r="BV784" s="108"/>
      <c r="BW784" s="108"/>
      <c r="BX784" s="108"/>
      <c r="BY784" s="108"/>
      <c r="BZ784" s="108"/>
      <c r="CA784" s="108"/>
      <c r="CB784" s="108"/>
      <c r="CC784" s="108"/>
      <c r="CD784" s="108"/>
      <c r="CE784" s="108"/>
      <c r="CF784" s="108"/>
      <c r="CG784" s="108"/>
      <c r="CH784" s="108"/>
      <c r="CI784" s="108"/>
      <c r="CJ784" s="108"/>
      <c r="CK784" s="120">
        <f t="shared" si="192"/>
        <v>0</v>
      </c>
      <c r="CL784" s="122">
        <f t="shared" si="193"/>
        <v>0</v>
      </c>
      <c r="CM784" s="524" t="str">
        <f t="shared" si="195"/>
        <v/>
      </c>
      <c r="CN784" s="526">
        <f t="shared" si="196"/>
        <v>0</v>
      </c>
      <c r="CO784" s="122">
        <f t="shared" si="197"/>
        <v>0</v>
      </c>
      <c r="CP784" s="45" t="str">
        <f t="shared" si="194"/>
        <v>1 - in MILLESIMI   I</v>
      </c>
      <c r="CQ784" s="1"/>
    </row>
    <row r="785" spans="1:95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435">
        <f>IF(AND(W785&gt;=$U$1,W785&lt;=$U$2),IF(X785='ESTRATTO CONTO'!$E$2,1+COUNTIF(U$4:U784,"&gt;0"),0),0)</f>
        <v>0</v>
      </c>
      <c r="V785" s="417">
        <f t="shared" si="198"/>
        <v>782</v>
      </c>
      <c r="W785" s="509"/>
      <c r="X785" s="321"/>
      <c r="Y785" s="321"/>
      <c r="Z785" s="433"/>
      <c r="AA785" s="918">
        <f t="shared" si="189"/>
        <v>1</v>
      </c>
      <c r="AB785" s="306" t="str">
        <f t="shared" si="190"/>
        <v/>
      </c>
      <c r="AC785" s="788"/>
      <c r="AD785" s="119">
        <f t="shared" si="199"/>
        <v>0</v>
      </c>
      <c r="AE785" s="108">
        <f t="shared" si="199"/>
        <v>0</v>
      </c>
      <c r="AF785" s="108">
        <f t="shared" si="199"/>
        <v>0</v>
      </c>
      <c r="AG785" s="108"/>
      <c r="AH785" s="108"/>
      <c r="AI785" s="108"/>
      <c r="AJ785" s="108"/>
      <c r="AK785" s="108"/>
      <c r="AL785" s="108">
        <f t="shared" si="191"/>
        <v>0</v>
      </c>
      <c r="AM785" s="108"/>
      <c r="AN785" s="108"/>
      <c r="AO785" s="108"/>
      <c r="AP785" s="108"/>
      <c r="AQ785" s="108"/>
      <c r="AR785" s="108"/>
      <c r="AS785" s="108"/>
      <c r="AT785" s="108"/>
      <c r="AU785" s="108"/>
      <c r="AV785" s="108"/>
      <c r="AW785" s="108"/>
      <c r="AX785" s="108"/>
      <c r="AY785" s="108"/>
      <c r="AZ785" s="108"/>
      <c r="BA785" s="108"/>
      <c r="BB785" s="108"/>
      <c r="BC785" s="108"/>
      <c r="BD785" s="108"/>
      <c r="BE785" s="108"/>
      <c r="BF785" s="108"/>
      <c r="BG785" s="108"/>
      <c r="BH785" s="108"/>
      <c r="BI785" s="108"/>
      <c r="BJ785" s="108"/>
      <c r="BK785" s="108"/>
      <c r="BL785" s="108"/>
      <c r="BM785" s="108"/>
      <c r="BN785" s="108"/>
      <c r="BO785" s="108"/>
      <c r="BP785" s="108"/>
      <c r="BQ785" s="108"/>
      <c r="BR785" s="108"/>
      <c r="BS785" s="108"/>
      <c r="BT785" s="108"/>
      <c r="BU785" s="108"/>
      <c r="BV785" s="108"/>
      <c r="BW785" s="108"/>
      <c r="BX785" s="108"/>
      <c r="BY785" s="108"/>
      <c r="BZ785" s="108"/>
      <c r="CA785" s="108"/>
      <c r="CB785" s="108"/>
      <c r="CC785" s="108"/>
      <c r="CD785" s="108"/>
      <c r="CE785" s="108"/>
      <c r="CF785" s="108"/>
      <c r="CG785" s="108"/>
      <c r="CH785" s="108"/>
      <c r="CI785" s="108"/>
      <c r="CJ785" s="108"/>
      <c r="CK785" s="120">
        <f t="shared" si="192"/>
        <v>0</v>
      </c>
      <c r="CL785" s="122">
        <f t="shared" si="193"/>
        <v>0</v>
      </c>
      <c r="CM785" s="524" t="str">
        <f t="shared" si="195"/>
        <v/>
      </c>
      <c r="CN785" s="526">
        <f t="shared" si="196"/>
        <v>0</v>
      </c>
      <c r="CO785" s="122">
        <f t="shared" si="197"/>
        <v>0</v>
      </c>
      <c r="CP785" s="45" t="str">
        <f t="shared" si="194"/>
        <v>1 - in MILLESIMI   I</v>
      </c>
      <c r="CQ785" s="1"/>
    </row>
    <row r="786" spans="1:95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435">
        <f>IF(AND(W786&gt;=$U$1,W786&lt;=$U$2),IF(X786='ESTRATTO CONTO'!$E$2,1+COUNTIF(U$4:U785,"&gt;0"),0),0)</f>
        <v>0</v>
      </c>
      <c r="V786" s="417">
        <f t="shared" si="198"/>
        <v>783</v>
      </c>
      <c r="W786" s="509"/>
      <c r="X786" s="321"/>
      <c r="Y786" s="321"/>
      <c r="Z786" s="433"/>
      <c r="AA786" s="918">
        <f t="shared" si="189"/>
        <v>1</v>
      </c>
      <c r="AB786" s="306" t="str">
        <f t="shared" si="190"/>
        <v/>
      </c>
      <c r="AC786" s="788"/>
      <c r="AD786" s="119">
        <f t="shared" si="199"/>
        <v>0</v>
      </c>
      <c r="AE786" s="108">
        <f t="shared" si="199"/>
        <v>0</v>
      </c>
      <c r="AF786" s="108">
        <f t="shared" si="199"/>
        <v>0</v>
      </c>
      <c r="AG786" s="108"/>
      <c r="AH786" s="108"/>
      <c r="AI786" s="108"/>
      <c r="AJ786" s="108"/>
      <c r="AK786" s="108"/>
      <c r="AL786" s="108">
        <f t="shared" si="191"/>
        <v>0</v>
      </c>
      <c r="AM786" s="108"/>
      <c r="AN786" s="108"/>
      <c r="AO786" s="108"/>
      <c r="AP786" s="108"/>
      <c r="AQ786" s="108"/>
      <c r="AR786" s="108"/>
      <c r="AS786" s="108"/>
      <c r="AT786" s="108"/>
      <c r="AU786" s="108"/>
      <c r="AV786" s="108"/>
      <c r="AW786" s="108"/>
      <c r="AX786" s="108"/>
      <c r="AY786" s="108"/>
      <c r="AZ786" s="108"/>
      <c r="BA786" s="108"/>
      <c r="BB786" s="108"/>
      <c r="BC786" s="108"/>
      <c r="BD786" s="108"/>
      <c r="BE786" s="108"/>
      <c r="BF786" s="108"/>
      <c r="BG786" s="108"/>
      <c r="BH786" s="108"/>
      <c r="BI786" s="108"/>
      <c r="BJ786" s="108"/>
      <c r="BK786" s="108"/>
      <c r="BL786" s="108"/>
      <c r="BM786" s="108"/>
      <c r="BN786" s="108"/>
      <c r="BO786" s="108"/>
      <c r="BP786" s="108"/>
      <c r="BQ786" s="108"/>
      <c r="BR786" s="108"/>
      <c r="BS786" s="108"/>
      <c r="BT786" s="108"/>
      <c r="BU786" s="108"/>
      <c r="BV786" s="108"/>
      <c r="BW786" s="108"/>
      <c r="BX786" s="108"/>
      <c r="BY786" s="108"/>
      <c r="BZ786" s="108"/>
      <c r="CA786" s="108"/>
      <c r="CB786" s="108"/>
      <c r="CC786" s="108"/>
      <c r="CD786" s="108"/>
      <c r="CE786" s="108"/>
      <c r="CF786" s="108"/>
      <c r="CG786" s="108"/>
      <c r="CH786" s="108"/>
      <c r="CI786" s="108"/>
      <c r="CJ786" s="108"/>
      <c r="CK786" s="120">
        <f t="shared" si="192"/>
        <v>0</v>
      </c>
      <c r="CL786" s="122">
        <f t="shared" si="193"/>
        <v>0</v>
      </c>
      <c r="CM786" s="524" t="str">
        <f t="shared" si="195"/>
        <v/>
      </c>
      <c r="CN786" s="526">
        <f t="shared" si="196"/>
        <v>0</v>
      </c>
      <c r="CO786" s="122">
        <f t="shared" si="197"/>
        <v>0</v>
      </c>
      <c r="CP786" s="45" t="str">
        <f t="shared" si="194"/>
        <v>1 - in MILLESIMI   I</v>
      </c>
      <c r="CQ786" s="1"/>
    </row>
    <row r="787" spans="1:95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435">
        <f>IF(AND(W787&gt;=$U$1,W787&lt;=$U$2),IF(X787='ESTRATTO CONTO'!$E$2,1+COUNTIF(U$4:U786,"&gt;0"),0),0)</f>
        <v>0</v>
      </c>
      <c r="V787" s="417">
        <f t="shared" si="198"/>
        <v>784</v>
      </c>
      <c r="W787" s="509"/>
      <c r="X787" s="321"/>
      <c r="Y787" s="321"/>
      <c r="Z787" s="433"/>
      <c r="AA787" s="918">
        <f t="shared" si="189"/>
        <v>1</v>
      </c>
      <c r="AB787" s="306" t="str">
        <f t="shared" si="190"/>
        <v/>
      </c>
      <c r="AC787" s="788"/>
      <c r="AD787" s="119">
        <f t="shared" si="199"/>
        <v>0</v>
      </c>
      <c r="AE787" s="108">
        <f t="shared" si="199"/>
        <v>0</v>
      </c>
      <c r="AF787" s="108">
        <f t="shared" si="199"/>
        <v>0</v>
      </c>
      <c r="AG787" s="108"/>
      <c r="AH787" s="108"/>
      <c r="AI787" s="108"/>
      <c r="AJ787" s="108"/>
      <c r="AK787" s="108"/>
      <c r="AL787" s="108">
        <f t="shared" si="191"/>
        <v>0</v>
      </c>
      <c r="AM787" s="108"/>
      <c r="AN787" s="108"/>
      <c r="AO787" s="108"/>
      <c r="AP787" s="108"/>
      <c r="AQ787" s="108"/>
      <c r="AR787" s="108"/>
      <c r="AS787" s="108"/>
      <c r="AT787" s="108"/>
      <c r="AU787" s="108"/>
      <c r="AV787" s="108"/>
      <c r="AW787" s="108"/>
      <c r="AX787" s="108"/>
      <c r="AY787" s="108"/>
      <c r="AZ787" s="108"/>
      <c r="BA787" s="108"/>
      <c r="BB787" s="108"/>
      <c r="BC787" s="108"/>
      <c r="BD787" s="108"/>
      <c r="BE787" s="108"/>
      <c r="BF787" s="108"/>
      <c r="BG787" s="108"/>
      <c r="BH787" s="108"/>
      <c r="BI787" s="108"/>
      <c r="BJ787" s="108"/>
      <c r="BK787" s="108"/>
      <c r="BL787" s="108"/>
      <c r="BM787" s="108"/>
      <c r="BN787" s="108"/>
      <c r="BO787" s="108"/>
      <c r="BP787" s="108"/>
      <c r="BQ787" s="108"/>
      <c r="BR787" s="108"/>
      <c r="BS787" s="108"/>
      <c r="BT787" s="108"/>
      <c r="BU787" s="108"/>
      <c r="BV787" s="108"/>
      <c r="BW787" s="108"/>
      <c r="BX787" s="108"/>
      <c r="BY787" s="108"/>
      <c r="BZ787" s="108"/>
      <c r="CA787" s="108"/>
      <c r="CB787" s="108"/>
      <c r="CC787" s="108"/>
      <c r="CD787" s="108"/>
      <c r="CE787" s="108"/>
      <c r="CF787" s="108"/>
      <c r="CG787" s="108"/>
      <c r="CH787" s="108"/>
      <c r="CI787" s="108"/>
      <c r="CJ787" s="108"/>
      <c r="CK787" s="120">
        <f t="shared" si="192"/>
        <v>0</v>
      </c>
      <c r="CL787" s="122">
        <f t="shared" si="193"/>
        <v>0</v>
      </c>
      <c r="CM787" s="524" t="str">
        <f t="shared" si="195"/>
        <v/>
      </c>
      <c r="CN787" s="526">
        <f t="shared" si="196"/>
        <v>0</v>
      </c>
      <c r="CO787" s="122">
        <f t="shared" si="197"/>
        <v>0</v>
      </c>
      <c r="CP787" s="45" t="str">
        <f t="shared" si="194"/>
        <v>1 - in MILLESIMI   I</v>
      </c>
      <c r="CQ787" s="1"/>
    </row>
    <row r="788" spans="1:95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435">
        <f>IF(AND(W788&gt;=$U$1,W788&lt;=$U$2),IF(X788='ESTRATTO CONTO'!$E$2,1+COUNTIF(U$4:U787,"&gt;0"),0),0)</f>
        <v>0</v>
      </c>
      <c r="V788" s="417">
        <f t="shared" si="198"/>
        <v>785</v>
      </c>
      <c r="W788" s="509"/>
      <c r="X788" s="321"/>
      <c r="Y788" s="321"/>
      <c r="Z788" s="433"/>
      <c r="AA788" s="918">
        <f t="shared" si="189"/>
        <v>1</v>
      </c>
      <c r="AB788" s="306" t="str">
        <f t="shared" si="190"/>
        <v/>
      </c>
      <c r="AC788" s="788"/>
      <c r="AD788" s="119">
        <f t="shared" si="199"/>
        <v>0</v>
      </c>
      <c r="AE788" s="108">
        <f t="shared" si="199"/>
        <v>0</v>
      </c>
      <c r="AF788" s="108">
        <f t="shared" si="199"/>
        <v>0</v>
      </c>
      <c r="AG788" s="108"/>
      <c r="AH788" s="108"/>
      <c r="AI788" s="108"/>
      <c r="AJ788" s="108"/>
      <c r="AK788" s="108"/>
      <c r="AL788" s="108">
        <f t="shared" si="191"/>
        <v>0</v>
      </c>
      <c r="AM788" s="108"/>
      <c r="AN788" s="108"/>
      <c r="AO788" s="108"/>
      <c r="AP788" s="108"/>
      <c r="AQ788" s="108"/>
      <c r="AR788" s="108"/>
      <c r="AS788" s="108"/>
      <c r="AT788" s="108"/>
      <c r="AU788" s="108"/>
      <c r="AV788" s="108"/>
      <c r="AW788" s="108"/>
      <c r="AX788" s="108"/>
      <c r="AY788" s="108"/>
      <c r="AZ788" s="108"/>
      <c r="BA788" s="108"/>
      <c r="BB788" s="108"/>
      <c r="BC788" s="108"/>
      <c r="BD788" s="108"/>
      <c r="BE788" s="108"/>
      <c r="BF788" s="108"/>
      <c r="BG788" s="108"/>
      <c r="BH788" s="108"/>
      <c r="BI788" s="108"/>
      <c r="BJ788" s="108"/>
      <c r="BK788" s="108"/>
      <c r="BL788" s="108"/>
      <c r="BM788" s="108"/>
      <c r="BN788" s="108"/>
      <c r="BO788" s="108"/>
      <c r="BP788" s="108"/>
      <c r="BQ788" s="108"/>
      <c r="BR788" s="108"/>
      <c r="BS788" s="108"/>
      <c r="BT788" s="108"/>
      <c r="BU788" s="108"/>
      <c r="BV788" s="108"/>
      <c r="BW788" s="108"/>
      <c r="BX788" s="108"/>
      <c r="BY788" s="108"/>
      <c r="BZ788" s="108"/>
      <c r="CA788" s="108"/>
      <c r="CB788" s="108"/>
      <c r="CC788" s="108"/>
      <c r="CD788" s="108"/>
      <c r="CE788" s="108"/>
      <c r="CF788" s="108"/>
      <c r="CG788" s="108"/>
      <c r="CH788" s="108"/>
      <c r="CI788" s="108"/>
      <c r="CJ788" s="108"/>
      <c r="CK788" s="120">
        <f t="shared" si="192"/>
        <v>0</v>
      </c>
      <c r="CL788" s="122">
        <f t="shared" si="193"/>
        <v>0</v>
      </c>
      <c r="CM788" s="524" t="str">
        <f t="shared" si="195"/>
        <v/>
      </c>
      <c r="CN788" s="526">
        <f t="shared" si="196"/>
        <v>0</v>
      </c>
      <c r="CO788" s="122">
        <f t="shared" si="197"/>
        <v>0</v>
      </c>
      <c r="CP788" s="45" t="str">
        <f t="shared" si="194"/>
        <v>1 - in MILLESIMI   I</v>
      </c>
      <c r="CQ788" s="1"/>
    </row>
    <row r="789" spans="1:95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435">
        <f>IF(AND(W789&gt;=$U$1,W789&lt;=$U$2),IF(X789='ESTRATTO CONTO'!$E$2,1+COUNTIF(U$4:U788,"&gt;0"),0),0)</f>
        <v>0</v>
      </c>
      <c r="V789" s="417">
        <f t="shared" si="198"/>
        <v>786</v>
      </c>
      <c r="W789" s="509"/>
      <c r="X789" s="321"/>
      <c r="Y789" s="321"/>
      <c r="Z789" s="433"/>
      <c r="AA789" s="918">
        <f t="shared" si="189"/>
        <v>1</v>
      </c>
      <c r="AB789" s="306" t="str">
        <f t="shared" si="190"/>
        <v/>
      </c>
      <c r="AC789" s="788"/>
      <c r="AD789" s="119">
        <f t="shared" si="199"/>
        <v>0</v>
      </c>
      <c r="AE789" s="108">
        <f t="shared" si="199"/>
        <v>0</v>
      </c>
      <c r="AF789" s="108">
        <f t="shared" si="199"/>
        <v>0</v>
      </c>
      <c r="AG789" s="108"/>
      <c r="AH789" s="108"/>
      <c r="AI789" s="108"/>
      <c r="AJ789" s="108"/>
      <c r="AK789" s="108"/>
      <c r="AL789" s="108">
        <f t="shared" si="191"/>
        <v>0</v>
      </c>
      <c r="AM789" s="108"/>
      <c r="AN789" s="108"/>
      <c r="AO789" s="108"/>
      <c r="AP789" s="108"/>
      <c r="AQ789" s="108"/>
      <c r="AR789" s="108"/>
      <c r="AS789" s="108"/>
      <c r="AT789" s="108"/>
      <c r="AU789" s="108"/>
      <c r="AV789" s="108"/>
      <c r="AW789" s="108"/>
      <c r="AX789" s="108"/>
      <c r="AY789" s="108"/>
      <c r="AZ789" s="108"/>
      <c r="BA789" s="108"/>
      <c r="BB789" s="108"/>
      <c r="BC789" s="108"/>
      <c r="BD789" s="108"/>
      <c r="BE789" s="108"/>
      <c r="BF789" s="108"/>
      <c r="BG789" s="108"/>
      <c r="BH789" s="108"/>
      <c r="BI789" s="108"/>
      <c r="BJ789" s="108"/>
      <c r="BK789" s="108"/>
      <c r="BL789" s="108"/>
      <c r="BM789" s="108"/>
      <c r="BN789" s="108"/>
      <c r="BO789" s="108"/>
      <c r="BP789" s="108"/>
      <c r="BQ789" s="108"/>
      <c r="BR789" s="108"/>
      <c r="BS789" s="108"/>
      <c r="BT789" s="108"/>
      <c r="BU789" s="108"/>
      <c r="BV789" s="108"/>
      <c r="BW789" s="108"/>
      <c r="BX789" s="108"/>
      <c r="BY789" s="108"/>
      <c r="BZ789" s="108"/>
      <c r="CA789" s="108"/>
      <c r="CB789" s="108"/>
      <c r="CC789" s="108"/>
      <c r="CD789" s="108"/>
      <c r="CE789" s="108"/>
      <c r="CF789" s="108"/>
      <c r="CG789" s="108"/>
      <c r="CH789" s="108"/>
      <c r="CI789" s="108"/>
      <c r="CJ789" s="108"/>
      <c r="CK789" s="120">
        <f t="shared" si="192"/>
        <v>0</v>
      </c>
      <c r="CL789" s="122">
        <f t="shared" si="193"/>
        <v>0</v>
      </c>
      <c r="CM789" s="524" t="str">
        <f t="shared" si="195"/>
        <v/>
      </c>
      <c r="CN789" s="526">
        <f t="shared" si="196"/>
        <v>0</v>
      </c>
      <c r="CO789" s="122">
        <f t="shared" si="197"/>
        <v>0</v>
      </c>
      <c r="CP789" s="45" t="str">
        <f t="shared" si="194"/>
        <v>1 - in MILLESIMI   I</v>
      </c>
      <c r="CQ789" s="1"/>
    </row>
    <row r="790" spans="1:95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435">
        <f>IF(AND(W790&gt;=$U$1,W790&lt;=$U$2),IF(X790='ESTRATTO CONTO'!$E$2,1+COUNTIF(U$4:U789,"&gt;0"),0),0)</f>
        <v>0</v>
      </c>
      <c r="V790" s="417">
        <f t="shared" si="198"/>
        <v>787</v>
      </c>
      <c r="W790" s="509"/>
      <c r="X790" s="321"/>
      <c r="Y790" s="321"/>
      <c r="Z790" s="433"/>
      <c r="AA790" s="918">
        <f t="shared" si="189"/>
        <v>1</v>
      </c>
      <c r="AB790" s="306" t="str">
        <f t="shared" si="190"/>
        <v/>
      </c>
      <c r="AC790" s="788"/>
      <c r="AD790" s="119">
        <f t="shared" si="199"/>
        <v>0</v>
      </c>
      <c r="AE790" s="108">
        <f t="shared" si="199"/>
        <v>0</v>
      </c>
      <c r="AF790" s="108">
        <f t="shared" si="199"/>
        <v>0</v>
      </c>
      <c r="AG790" s="108"/>
      <c r="AH790" s="108"/>
      <c r="AI790" s="108"/>
      <c r="AJ790" s="108"/>
      <c r="AK790" s="108"/>
      <c r="AL790" s="108">
        <f t="shared" si="191"/>
        <v>0</v>
      </c>
      <c r="AM790" s="108"/>
      <c r="AN790" s="108"/>
      <c r="AO790" s="108"/>
      <c r="AP790" s="108"/>
      <c r="AQ790" s="108"/>
      <c r="AR790" s="108"/>
      <c r="AS790" s="108"/>
      <c r="AT790" s="108"/>
      <c r="AU790" s="108"/>
      <c r="AV790" s="108"/>
      <c r="AW790" s="108"/>
      <c r="AX790" s="108"/>
      <c r="AY790" s="108"/>
      <c r="AZ790" s="108"/>
      <c r="BA790" s="108"/>
      <c r="BB790" s="108"/>
      <c r="BC790" s="108"/>
      <c r="BD790" s="108"/>
      <c r="BE790" s="108"/>
      <c r="BF790" s="108"/>
      <c r="BG790" s="108"/>
      <c r="BH790" s="108"/>
      <c r="BI790" s="108"/>
      <c r="BJ790" s="108"/>
      <c r="BK790" s="108"/>
      <c r="BL790" s="108"/>
      <c r="BM790" s="108"/>
      <c r="BN790" s="108"/>
      <c r="BO790" s="108"/>
      <c r="BP790" s="108"/>
      <c r="BQ790" s="108"/>
      <c r="BR790" s="108"/>
      <c r="BS790" s="108"/>
      <c r="BT790" s="108"/>
      <c r="BU790" s="108"/>
      <c r="BV790" s="108"/>
      <c r="BW790" s="108"/>
      <c r="BX790" s="108"/>
      <c r="BY790" s="108"/>
      <c r="BZ790" s="108"/>
      <c r="CA790" s="108"/>
      <c r="CB790" s="108"/>
      <c r="CC790" s="108"/>
      <c r="CD790" s="108"/>
      <c r="CE790" s="108"/>
      <c r="CF790" s="108"/>
      <c r="CG790" s="108"/>
      <c r="CH790" s="108"/>
      <c r="CI790" s="108"/>
      <c r="CJ790" s="108"/>
      <c r="CK790" s="120">
        <f t="shared" si="192"/>
        <v>0</v>
      </c>
      <c r="CL790" s="122">
        <f t="shared" si="193"/>
        <v>0</v>
      </c>
      <c r="CM790" s="524" t="str">
        <f t="shared" si="195"/>
        <v/>
      </c>
      <c r="CN790" s="526">
        <f t="shared" si="196"/>
        <v>0</v>
      </c>
      <c r="CO790" s="122">
        <f t="shared" si="197"/>
        <v>0</v>
      </c>
      <c r="CP790" s="45" t="str">
        <f t="shared" si="194"/>
        <v>1 - in MILLESIMI   I</v>
      </c>
      <c r="CQ790" s="1"/>
    </row>
    <row r="791" spans="1:95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435">
        <f>IF(AND(W791&gt;=$U$1,W791&lt;=$U$2),IF(X791='ESTRATTO CONTO'!$E$2,1+COUNTIF(U$4:U790,"&gt;0"),0),0)</f>
        <v>0</v>
      </c>
      <c r="V791" s="417">
        <f t="shared" si="198"/>
        <v>788</v>
      </c>
      <c r="W791" s="509"/>
      <c r="X791" s="321"/>
      <c r="Y791" s="321"/>
      <c r="Z791" s="433"/>
      <c r="AA791" s="918">
        <f t="shared" si="189"/>
        <v>1</v>
      </c>
      <c r="AB791" s="306" t="str">
        <f t="shared" si="190"/>
        <v/>
      </c>
      <c r="AC791" s="788"/>
      <c r="AD791" s="119">
        <f t="shared" si="199"/>
        <v>0</v>
      </c>
      <c r="AE791" s="108">
        <f t="shared" si="199"/>
        <v>0</v>
      </c>
      <c r="AF791" s="108">
        <f t="shared" si="199"/>
        <v>0</v>
      </c>
      <c r="AG791" s="108"/>
      <c r="AH791" s="108"/>
      <c r="AI791" s="108"/>
      <c r="AJ791" s="108"/>
      <c r="AK791" s="108"/>
      <c r="AL791" s="108">
        <f t="shared" si="191"/>
        <v>0</v>
      </c>
      <c r="AM791" s="108"/>
      <c r="AN791" s="108"/>
      <c r="AO791" s="108"/>
      <c r="AP791" s="108"/>
      <c r="AQ791" s="108"/>
      <c r="AR791" s="108"/>
      <c r="AS791" s="108"/>
      <c r="AT791" s="108"/>
      <c r="AU791" s="108"/>
      <c r="AV791" s="108"/>
      <c r="AW791" s="108"/>
      <c r="AX791" s="108"/>
      <c r="AY791" s="108"/>
      <c r="AZ791" s="108"/>
      <c r="BA791" s="108"/>
      <c r="BB791" s="108"/>
      <c r="BC791" s="108"/>
      <c r="BD791" s="108"/>
      <c r="BE791" s="108"/>
      <c r="BF791" s="108"/>
      <c r="BG791" s="108"/>
      <c r="BH791" s="108"/>
      <c r="BI791" s="108"/>
      <c r="BJ791" s="108"/>
      <c r="BK791" s="108"/>
      <c r="BL791" s="108"/>
      <c r="BM791" s="108"/>
      <c r="BN791" s="108"/>
      <c r="BO791" s="108"/>
      <c r="BP791" s="108"/>
      <c r="BQ791" s="108"/>
      <c r="BR791" s="108"/>
      <c r="BS791" s="108"/>
      <c r="BT791" s="108"/>
      <c r="BU791" s="108"/>
      <c r="BV791" s="108"/>
      <c r="BW791" s="108"/>
      <c r="BX791" s="108"/>
      <c r="BY791" s="108"/>
      <c r="BZ791" s="108"/>
      <c r="CA791" s="108"/>
      <c r="CB791" s="108"/>
      <c r="CC791" s="108"/>
      <c r="CD791" s="108"/>
      <c r="CE791" s="108"/>
      <c r="CF791" s="108"/>
      <c r="CG791" s="108"/>
      <c r="CH791" s="108"/>
      <c r="CI791" s="108"/>
      <c r="CJ791" s="108"/>
      <c r="CK791" s="120">
        <f t="shared" si="192"/>
        <v>0</v>
      </c>
      <c r="CL791" s="122">
        <f t="shared" si="193"/>
        <v>0</v>
      </c>
      <c r="CM791" s="524" t="str">
        <f t="shared" si="195"/>
        <v/>
      </c>
      <c r="CN791" s="526">
        <f t="shared" si="196"/>
        <v>0</v>
      </c>
      <c r="CO791" s="122">
        <f t="shared" si="197"/>
        <v>0</v>
      </c>
      <c r="CP791" s="45" t="str">
        <f t="shared" si="194"/>
        <v>1 - in MILLESIMI   I</v>
      </c>
      <c r="CQ791" s="1"/>
    </row>
    <row r="792" spans="1:95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435">
        <f>IF(AND(W792&gt;=$U$1,W792&lt;=$U$2),IF(X792='ESTRATTO CONTO'!$E$2,1+COUNTIF(U$4:U791,"&gt;0"),0),0)</f>
        <v>0</v>
      </c>
      <c r="V792" s="417">
        <f t="shared" si="198"/>
        <v>789</v>
      </c>
      <c r="W792" s="509"/>
      <c r="X792" s="321"/>
      <c r="Y792" s="321"/>
      <c r="Z792" s="433"/>
      <c r="AA792" s="918">
        <f t="shared" si="189"/>
        <v>1</v>
      </c>
      <c r="AB792" s="306" t="str">
        <f t="shared" si="190"/>
        <v/>
      </c>
      <c r="AC792" s="788"/>
      <c r="AD792" s="119">
        <f t="shared" si="199"/>
        <v>0</v>
      </c>
      <c r="AE792" s="108">
        <f t="shared" si="199"/>
        <v>0</v>
      </c>
      <c r="AF792" s="108">
        <f t="shared" si="199"/>
        <v>0</v>
      </c>
      <c r="AG792" s="108"/>
      <c r="AH792" s="108"/>
      <c r="AI792" s="108"/>
      <c r="AJ792" s="108"/>
      <c r="AK792" s="108"/>
      <c r="AL792" s="108">
        <f t="shared" si="191"/>
        <v>0</v>
      </c>
      <c r="AM792" s="108"/>
      <c r="AN792" s="108"/>
      <c r="AO792" s="108"/>
      <c r="AP792" s="108"/>
      <c r="AQ792" s="108"/>
      <c r="AR792" s="108"/>
      <c r="AS792" s="108"/>
      <c r="AT792" s="108"/>
      <c r="AU792" s="108"/>
      <c r="AV792" s="108"/>
      <c r="AW792" s="108"/>
      <c r="AX792" s="108"/>
      <c r="AY792" s="108"/>
      <c r="AZ792" s="108"/>
      <c r="BA792" s="108"/>
      <c r="BB792" s="108"/>
      <c r="BC792" s="108"/>
      <c r="BD792" s="108"/>
      <c r="BE792" s="108"/>
      <c r="BF792" s="108"/>
      <c r="BG792" s="108"/>
      <c r="BH792" s="108"/>
      <c r="BI792" s="108"/>
      <c r="BJ792" s="108"/>
      <c r="BK792" s="108"/>
      <c r="BL792" s="108"/>
      <c r="BM792" s="108"/>
      <c r="BN792" s="108"/>
      <c r="BO792" s="108"/>
      <c r="BP792" s="108"/>
      <c r="BQ792" s="108"/>
      <c r="BR792" s="108"/>
      <c r="BS792" s="108"/>
      <c r="BT792" s="108"/>
      <c r="BU792" s="108"/>
      <c r="BV792" s="108"/>
      <c r="BW792" s="108"/>
      <c r="BX792" s="108"/>
      <c r="BY792" s="108"/>
      <c r="BZ792" s="108"/>
      <c r="CA792" s="108"/>
      <c r="CB792" s="108"/>
      <c r="CC792" s="108"/>
      <c r="CD792" s="108"/>
      <c r="CE792" s="108"/>
      <c r="CF792" s="108"/>
      <c r="CG792" s="108"/>
      <c r="CH792" s="108"/>
      <c r="CI792" s="108"/>
      <c r="CJ792" s="108"/>
      <c r="CK792" s="120">
        <f t="shared" si="192"/>
        <v>0</v>
      </c>
      <c r="CL792" s="122">
        <f t="shared" si="193"/>
        <v>0</v>
      </c>
      <c r="CM792" s="524" t="str">
        <f t="shared" si="195"/>
        <v/>
      </c>
      <c r="CN792" s="526">
        <f t="shared" si="196"/>
        <v>0</v>
      </c>
      <c r="CO792" s="122">
        <f t="shared" si="197"/>
        <v>0</v>
      </c>
      <c r="CP792" s="45" t="str">
        <f t="shared" si="194"/>
        <v>1 - in MILLESIMI   I</v>
      </c>
      <c r="CQ792" s="1"/>
    </row>
    <row r="793" spans="1:95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435">
        <f>IF(AND(W793&gt;=$U$1,W793&lt;=$U$2),IF(X793='ESTRATTO CONTO'!$E$2,1+COUNTIF(U$4:U792,"&gt;0"),0),0)</f>
        <v>0</v>
      </c>
      <c r="V793" s="417">
        <f t="shared" si="198"/>
        <v>790</v>
      </c>
      <c r="W793" s="509"/>
      <c r="X793" s="321"/>
      <c r="Y793" s="321"/>
      <c r="Z793" s="433"/>
      <c r="AA793" s="918">
        <f t="shared" si="189"/>
        <v>1</v>
      </c>
      <c r="AB793" s="306" t="str">
        <f t="shared" si="190"/>
        <v/>
      </c>
      <c r="AC793" s="788"/>
      <c r="AD793" s="119">
        <f t="shared" si="199"/>
        <v>0</v>
      </c>
      <c r="AE793" s="108">
        <f t="shared" si="199"/>
        <v>0</v>
      </c>
      <c r="AF793" s="108">
        <f t="shared" si="199"/>
        <v>0</v>
      </c>
      <c r="AG793" s="108"/>
      <c r="AH793" s="108"/>
      <c r="AI793" s="108"/>
      <c r="AJ793" s="108"/>
      <c r="AK793" s="108"/>
      <c r="AL793" s="108">
        <f t="shared" si="191"/>
        <v>0</v>
      </c>
      <c r="AM793" s="108"/>
      <c r="AN793" s="108"/>
      <c r="AO793" s="108"/>
      <c r="AP793" s="108"/>
      <c r="AQ793" s="108"/>
      <c r="AR793" s="108"/>
      <c r="AS793" s="108"/>
      <c r="AT793" s="108"/>
      <c r="AU793" s="108"/>
      <c r="AV793" s="108"/>
      <c r="AW793" s="108"/>
      <c r="AX793" s="108"/>
      <c r="AY793" s="108"/>
      <c r="AZ793" s="108"/>
      <c r="BA793" s="108"/>
      <c r="BB793" s="108"/>
      <c r="BC793" s="108"/>
      <c r="BD793" s="108"/>
      <c r="BE793" s="108"/>
      <c r="BF793" s="108"/>
      <c r="BG793" s="108"/>
      <c r="BH793" s="108"/>
      <c r="BI793" s="108"/>
      <c r="BJ793" s="108"/>
      <c r="BK793" s="108"/>
      <c r="BL793" s="108"/>
      <c r="BM793" s="108"/>
      <c r="BN793" s="108"/>
      <c r="BO793" s="108"/>
      <c r="BP793" s="108"/>
      <c r="BQ793" s="108"/>
      <c r="BR793" s="108"/>
      <c r="BS793" s="108"/>
      <c r="BT793" s="108"/>
      <c r="BU793" s="108"/>
      <c r="BV793" s="108"/>
      <c r="BW793" s="108"/>
      <c r="BX793" s="108"/>
      <c r="BY793" s="108"/>
      <c r="BZ793" s="108"/>
      <c r="CA793" s="108"/>
      <c r="CB793" s="108"/>
      <c r="CC793" s="108"/>
      <c r="CD793" s="108"/>
      <c r="CE793" s="108"/>
      <c r="CF793" s="108"/>
      <c r="CG793" s="108"/>
      <c r="CH793" s="108"/>
      <c r="CI793" s="108"/>
      <c r="CJ793" s="108"/>
      <c r="CK793" s="120">
        <f t="shared" si="192"/>
        <v>0</v>
      </c>
      <c r="CL793" s="122">
        <f t="shared" si="193"/>
        <v>0</v>
      </c>
      <c r="CM793" s="524" t="str">
        <f t="shared" si="195"/>
        <v/>
      </c>
      <c r="CN793" s="526">
        <f t="shared" si="196"/>
        <v>0</v>
      </c>
      <c r="CO793" s="122">
        <f t="shared" si="197"/>
        <v>0</v>
      </c>
      <c r="CP793" s="45" t="str">
        <f t="shared" si="194"/>
        <v>1 - in MILLESIMI   I</v>
      </c>
      <c r="CQ793" s="1"/>
    </row>
    <row r="794" spans="1:95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435">
        <f>IF(AND(W794&gt;=$U$1,W794&lt;=$U$2),IF(X794='ESTRATTO CONTO'!$E$2,1+COUNTIF(U$4:U793,"&gt;0"),0),0)</f>
        <v>0</v>
      </c>
      <c r="V794" s="417">
        <f t="shared" si="198"/>
        <v>791</v>
      </c>
      <c r="W794" s="509"/>
      <c r="X794" s="321"/>
      <c r="Y794" s="321"/>
      <c r="Z794" s="433"/>
      <c r="AA794" s="918">
        <f t="shared" si="189"/>
        <v>1</v>
      </c>
      <c r="AB794" s="306" t="str">
        <f t="shared" si="190"/>
        <v/>
      </c>
      <c r="AC794" s="788"/>
      <c r="AD794" s="119">
        <f t="shared" si="199"/>
        <v>0</v>
      </c>
      <c r="AE794" s="108">
        <f t="shared" si="199"/>
        <v>0</v>
      </c>
      <c r="AF794" s="108">
        <f t="shared" si="199"/>
        <v>0</v>
      </c>
      <c r="AG794" s="108"/>
      <c r="AH794" s="108"/>
      <c r="AI794" s="108"/>
      <c r="AJ794" s="108"/>
      <c r="AK794" s="108"/>
      <c r="AL794" s="108">
        <f t="shared" si="191"/>
        <v>0</v>
      </c>
      <c r="AM794" s="108"/>
      <c r="AN794" s="108"/>
      <c r="AO794" s="108"/>
      <c r="AP794" s="108"/>
      <c r="AQ794" s="108"/>
      <c r="AR794" s="108"/>
      <c r="AS794" s="108"/>
      <c r="AT794" s="108"/>
      <c r="AU794" s="108"/>
      <c r="AV794" s="108"/>
      <c r="AW794" s="108"/>
      <c r="AX794" s="108"/>
      <c r="AY794" s="108"/>
      <c r="AZ794" s="108"/>
      <c r="BA794" s="108"/>
      <c r="BB794" s="108"/>
      <c r="BC794" s="108"/>
      <c r="BD794" s="108"/>
      <c r="BE794" s="108"/>
      <c r="BF794" s="108"/>
      <c r="BG794" s="108"/>
      <c r="BH794" s="108"/>
      <c r="BI794" s="108"/>
      <c r="BJ794" s="108"/>
      <c r="BK794" s="108"/>
      <c r="BL794" s="108"/>
      <c r="BM794" s="108"/>
      <c r="BN794" s="108"/>
      <c r="BO794" s="108"/>
      <c r="BP794" s="108"/>
      <c r="BQ794" s="108"/>
      <c r="BR794" s="108"/>
      <c r="BS794" s="108"/>
      <c r="BT794" s="108"/>
      <c r="BU794" s="108"/>
      <c r="BV794" s="108"/>
      <c r="BW794" s="108"/>
      <c r="BX794" s="108"/>
      <c r="BY794" s="108"/>
      <c r="BZ794" s="108"/>
      <c r="CA794" s="108"/>
      <c r="CB794" s="108"/>
      <c r="CC794" s="108"/>
      <c r="CD794" s="108"/>
      <c r="CE794" s="108"/>
      <c r="CF794" s="108"/>
      <c r="CG794" s="108"/>
      <c r="CH794" s="108"/>
      <c r="CI794" s="108"/>
      <c r="CJ794" s="108"/>
      <c r="CK794" s="120">
        <f t="shared" si="192"/>
        <v>0</v>
      </c>
      <c r="CL794" s="122">
        <f t="shared" si="193"/>
        <v>0</v>
      </c>
      <c r="CM794" s="524" t="str">
        <f t="shared" si="195"/>
        <v/>
      </c>
      <c r="CN794" s="526">
        <f t="shared" si="196"/>
        <v>0</v>
      </c>
      <c r="CO794" s="122">
        <f t="shared" si="197"/>
        <v>0</v>
      </c>
      <c r="CP794" s="45" t="str">
        <f t="shared" si="194"/>
        <v>1 - in MILLESIMI   I</v>
      </c>
      <c r="CQ794" s="1"/>
    </row>
    <row r="795" spans="1:95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435">
        <f>IF(AND(W795&gt;=$U$1,W795&lt;=$U$2),IF(X795='ESTRATTO CONTO'!$E$2,1+COUNTIF(U$4:U794,"&gt;0"),0),0)</f>
        <v>0</v>
      </c>
      <c r="V795" s="417">
        <f t="shared" si="198"/>
        <v>792</v>
      </c>
      <c r="W795" s="509"/>
      <c r="X795" s="321"/>
      <c r="Y795" s="321"/>
      <c r="Z795" s="433"/>
      <c r="AA795" s="918">
        <f t="shared" si="189"/>
        <v>1</v>
      </c>
      <c r="AB795" s="306" t="str">
        <f t="shared" si="190"/>
        <v/>
      </c>
      <c r="AC795" s="788"/>
      <c r="AD795" s="119">
        <f t="shared" si="199"/>
        <v>0</v>
      </c>
      <c r="AE795" s="108">
        <f t="shared" si="199"/>
        <v>0</v>
      </c>
      <c r="AF795" s="108">
        <f t="shared" si="199"/>
        <v>0</v>
      </c>
      <c r="AG795" s="108"/>
      <c r="AH795" s="108"/>
      <c r="AI795" s="108"/>
      <c r="AJ795" s="108"/>
      <c r="AK795" s="108"/>
      <c r="AL795" s="108">
        <f t="shared" si="191"/>
        <v>0</v>
      </c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8"/>
      <c r="AY795" s="108"/>
      <c r="AZ795" s="108"/>
      <c r="BA795" s="108"/>
      <c r="BB795" s="108"/>
      <c r="BC795" s="108"/>
      <c r="BD795" s="108"/>
      <c r="BE795" s="108"/>
      <c r="BF795" s="108"/>
      <c r="BG795" s="108"/>
      <c r="BH795" s="108"/>
      <c r="BI795" s="108"/>
      <c r="BJ795" s="108"/>
      <c r="BK795" s="108"/>
      <c r="BL795" s="108"/>
      <c r="BM795" s="108"/>
      <c r="BN795" s="108"/>
      <c r="BO795" s="108"/>
      <c r="BP795" s="108"/>
      <c r="BQ795" s="108"/>
      <c r="BR795" s="108"/>
      <c r="BS795" s="108"/>
      <c r="BT795" s="108"/>
      <c r="BU795" s="108"/>
      <c r="BV795" s="108"/>
      <c r="BW795" s="108"/>
      <c r="BX795" s="108"/>
      <c r="BY795" s="108"/>
      <c r="BZ795" s="108"/>
      <c r="CA795" s="108"/>
      <c r="CB795" s="108"/>
      <c r="CC795" s="108"/>
      <c r="CD795" s="108"/>
      <c r="CE795" s="108"/>
      <c r="CF795" s="108"/>
      <c r="CG795" s="108"/>
      <c r="CH795" s="108"/>
      <c r="CI795" s="108"/>
      <c r="CJ795" s="108"/>
      <c r="CK795" s="120">
        <f t="shared" si="192"/>
        <v>0</v>
      </c>
      <c r="CL795" s="122">
        <f t="shared" si="193"/>
        <v>0</v>
      </c>
      <c r="CM795" s="524" t="str">
        <f t="shared" si="195"/>
        <v/>
      </c>
      <c r="CN795" s="526">
        <f t="shared" si="196"/>
        <v>0</v>
      </c>
      <c r="CO795" s="122">
        <f t="shared" si="197"/>
        <v>0</v>
      </c>
      <c r="CP795" s="45" t="str">
        <f t="shared" si="194"/>
        <v>1 - in MILLESIMI   I</v>
      </c>
      <c r="CQ795" s="1"/>
    </row>
    <row r="796" spans="1:95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435">
        <f>IF(AND(W796&gt;=$U$1,W796&lt;=$U$2),IF(X796='ESTRATTO CONTO'!$E$2,1+COUNTIF(U$4:U795,"&gt;0"),0),0)</f>
        <v>0</v>
      </c>
      <c r="V796" s="417">
        <f t="shared" si="198"/>
        <v>793</v>
      </c>
      <c r="W796" s="509"/>
      <c r="X796" s="321"/>
      <c r="Y796" s="321"/>
      <c r="Z796" s="433"/>
      <c r="AA796" s="918">
        <f t="shared" si="189"/>
        <v>1</v>
      </c>
      <c r="AB796" s="306" t="str">
        <f t="shared" si="190"/>
        <v/>
      </c>
      <c r="AC796" s="788"/>
      <c r="AD796" s="119">
        <f t="shared" si="199"/>
        <v>0</v>
      </c>
      <c r="AE796" s="108">
        <f t="shared" si="199"/>
        <v>0</v>
      </c>
      <c r="AF796" s="108">
        <f t="shared" si="199"/>
        <v>0</v>
      </c>
      <c r="AG796" s="108"/>
      <c r="AH796" s="108"/>
      <c r="AI796" s="108"/>
      <c r="AJ796" s="108"/>
      <c r="AK796" s="108"/>
      <c r="AL796" s="108">
        <f t="shared" si="191"/>
        <v>0</v>
      </c>
      <c r="AM796" s="108"/>
      <c r="AN796" s="108"/>
      <c r="AO796" s="108"/>
      <c r="AP796" s="108"/>
      <c r="AQ796" s="108"/>
      <c r="AR796" s="108"/>
      <c r="AS796" s="108"/>
      <c r="AT796" s="108"/>
      <c r="AU796" s="108"/>
      <c r="AV796" s="108"/>
      <c r="AW796" s="108"/>
      <c r="AX796" s="108"/>
      <c r="AY796" s="108"/>
      <c r="AZ796" s="108"/>
      <c r="BA796" s="108"/>
      <c r="BB796" s="108"/>
      <c r="BC796" s="108"/>
      <c r="BD796" s="108"/>
      <c r="BE796" s="108"/>
      <c r="BF796" s="108"/>
      <c r="BG796" s="108"/>
      <c r="BH796" s="108"/>
      <c r="BI796" s="108"/>
      <c r="BJ796" s="108"/>
      <c r="BK796" s="108"/>
      <c r="BL796" s="108"/>
      <c r="BM796" s="108"/>
      <c r="BN796" s="108"/>
      <c r="BO796" s="108"/>
      <c r="BP796" s="108"/>
      <c r="BQ796" s="108"/>
      <c r="BR796" s="108"/>
      <c r="BS796" s="108"/>
      <c r="BT796" s="108"/>
      <c r="BU796" s="108"/>
      <c r="BV796" s="108"/>
      <c r="BW796" s="108"/>
      <c r="BX796" s="108"/>
      <c r="BY796" s="108"/>
      <c r="BZ796" s="108"/>
      <c r="CA796" s="108"/>
      <c r="CB796" s="108"/>
      <c r="CC796" s="108"/>
      <c r="CD796" s="108"/>
      <c r="CE796" s="108"/>
      <c r="CF796" s="108"/>
      <c r="CG796" s="108"/>
      <c r="CH796" s="108"/>
      <c r="CI796" s="108"/>
      <c r="CJ796" s="108"/>
      <c r="CK796" s="120">
        <f t="shared" si="192"/>
        <v>0</v>
      </c>
      <c r="CL796" s="122">
        <f t="shared" si="193"/>
        <v>0</v>
      </c>
      <c r="CM796" s="524" t="str">
        <f t="shared" si="195"/>
        <v/>
      </c>
      <c r="CN796" s="526">
        <f t="shared" si="196"/>
        <v>0</v>
      </c>
      <c r="CO796" s="122">
        <f t="shared" si="197"/>
        <v>0</v>
      </c>
      <c r="CP796" s="45" t="str">
        <f t="shared" si="194"/>
        <v>1 - in MILLESIMI   I</v>
      </c>
      <c r="CQ796" s="1"/>
    </row>
    <row r="797" spans="1:95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435">
        <f>IF(AND(W797&gt;=$U$1,W797&lt;=$U$2),IF(X797='ESTRATTO CONTO'!$E$2,1+COUNTIF(U$4:U796,"&gt;0"),0),0)</f>
        <v>0</v>
      </c>
      <c r="V797" s="417">
        <f t="shared" si="198"/>
        <v>794</v>
      </c>
      <c r="W797" s="509"/>
      <c r="X797" s="321"/>
      <c r="Y797" s="321"/>
      <c r="Z797" s="433"/>
      <c r="AA797" s="918">
        <f t="shared" si="189"/>
        <v>1</v>
      </c>
      <c r="AB797" s="306" t="str">
        <f t="shared" si="190"/>
        <v/>
      </c>
      <c r="AC797" s="788"/>
      <c r="AD797" s="119">
        <f t="shared" si="199"/>
        <v>0</v>
      </c>
      <c r="AE797" s="108">
        <f t="shared" si="199"/>
        <v>0</v>
      </c>
      <c r="AF797" s="108">
        <f t="shared" si="199"/>
        <v>0</v>
      </c>
      <c r="AG797" s="108"/>
      <c r="AH797" s="108"/>
      <c r="AI797" s="108"/>
      <c r="AJ797" s="108"/>
      <c r="AK797" s="108"/>
      <c r="AL797" s="108">
        <f t="shared" si="191"/>
        <v>0</v>
      </c>
      <c r="AM797" s="108"/>
      <c r="AN797" s="108"/>
      <c r="AO797" s="108"/>
      <c r="AP797" s="108"/>
      <c r="AQ797" s="108"/>
      <c r="AR797" s="108"/>
      <c r="AS797" s="108"/>
      <c r="AT797" s="108"/>
      <c r="AU797" s="108"/>
      <c r="AV797" s="108"/>
      <c r="AW797" s="108"/>
      <c r="AX797" s="108"/>
      <c r="AY797" s="108"/>
      <c r="AZ797" s="108"/>
      <c r="BA797" s="108"/>
      <c r="BB797" s="108"/>
      <c r="BC797" s="108"/>
      <c r="BD797" s="108"/>
      <c r="BE797" s="108"/>
      <c r="BF797" s="108"/>
      <c r="BG797" s="108"/>
      <c r="BH797" s="108"/>
      <c r="BI797" s="108"/>
      <c r="BJ797" s="108"/>
      <c r="BK797" s="108"/>
      <c r="BL797" s="108"/>
      <c r="BM797" s="108"/>
      <c r="BN797" s="108"/>
      <c r="BO797" s="108"/>
      <c r="BP797" s="108"/>
      <c r="BQ797" s="108"/>
      <c r="BR797" s="108"/>
      <c r="BS797" s="108"/>
      <c r="BT797" s="108"/>
      <c r="BU797" s="108"/>
      <c r="BV797" s="108"/>
      <c r="BW797" s="108"/>
      <c r="BX797" s="108"/>
      <c r="BY797" s="108"/>
      <c r="BZ797" s="108"/>
      <c r="CA797" s="108"/>
      <c r="CB797" s="108"/>
      <c r="CC797" s="108"/>
      <c r="CD797" s="108"/>
      <c r="CE797" s="108"/>
      <c r="CF797" s="108"/>
      <c r="CG797" s="108"/>
      <c r="CH797" s="108"/>
      <c r="CI797" s="108"/>
      <c r="CJ797" s="108"/>
      <c r="CK797" s="120">
        <f t="shared" si="192"/>
        <v>0</v>
      </c>
      <c r="CL797" s="122">
        <f t="shared" si="193"/>
        <v>0</v>
      </c>
      <c r="CM797" s="524" t="str">
        <f t="shared" si="195"/>
        <v/>
      </c>
      <c r="CN797" s="526">
        <f t="shared" si="196"/>
        <v>0</v>
      </c>
      <c r="CO797" s="122">
        <f t="shared" si="197"/>
        <v>0</v>
      </c>
      <c r="CP797" s="45" t="str">
        <f t="shared" si="194"/>
        <v>1 - in MILLESIMI   I</v>
      </c>
      <c r="CQ797" s="1"/>
    </row>
    <row r="798" spans="1:95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435">
        <f>IF(AND(W798&gt;=$U$1,W798&lt;=$U$2),IF(X798='ESTRATTO CONTO'!$E$2,1+COUNTIF(U$4:U797,"&gt;0"),0),0)</f>
        <v>0</v>
      </c>
      <c r="V798" s="417">
        <f t="shared" si="198"/>
        <v>795</v>
      </c>
      <c r="W798" s="509"/>
      <c r="X798" s="321"/>
      <c r="Y798" s="321"/>
      <c r="Z798" s="433"/>
      <c r="AA798" s="918">
        <f t="shared" si="189"/>
        <v>1</v>
      </c>
      <c r="AB798" s="306" t="str">
        <f t="shared" si="190"/>
        <v/>
      </c>
      <c r="AC798" s="788"/>
      <c r="AD798" s="119">
        <f t="shared" si="199"/>
        <v>0</v>
      </c>
      <c r="AE798" s="108">
        <f t="shared" si="199"/>
        <v>0</v>
      </c>
      <c r="AF798" s="108">
        <f t="shared" si="199"/>
        <v>0</v>
      </c>
      <c r="AG798" s="108"/>
      <c r="AH798" s="108"/>
      <c r="AI798" s="108"/>
      <c r="AJ798" s="108"/>
      <c r="AK798" s="108"/>
      <c r="AL798" s="108">
        <f t="shared" si="191"/>
        <v>0</v>
      </c>
      <c r="AM798" s="108"/>
      <c r="AN798" s="108"/>
      <c r="AO798" s="108"/>
      <c r="AP798" s="108"/>
      <c r="AQ798" s="108"/>
      <c r="AR798" s="108"/>
      <c r="AS798" s="108"/>
      <c r="AT798" s="108"/>
      <c r="AU798" s="108"/>
      <c r="AV798" s="108"/>
      <c r="AW798" s="108"/>
      <c r="AX798" s="108"/>
      <c r="AY798" s="108"/>
      <c r="AZ798" s="108"/>
      <c r="BA798" s="108"/>
      <c r="BB798" s="108"/>
      <c r="BC798" s="108"/>
      <c r="BD798" s="108"/>
      <c r="BE798" s="108"/>
      <c r="BF798" s="108"/>
      <c r="BG798" s="108"/>
      <c r="BH798" s="108"/>
      <c r="BI798" s="108"/>
      <c r="BJ798" s="108"/>
      <c r="BK798" s="108"/>
      <c r="BL798" s="108"/>
      <c r="BM798" s="108"/>
      <c r="BN798" s="108"/>
      <c r="BO798" s="108"/>
      <c r="BP798" s="108"/>
      <c r="BQ798" s="108"/>
      <c r="BR798" s="108"/>
      <c r="BS798" s="108"/>
      <c r="BT798" s="108"/>
      <c r="BU798" s="108"/>
      <c r="BV798" s="108"/>
      <c r="BW798" s="108"/>
      <c r="BX798" s="108"/>
      <c r="BY798" s="108"/>
      <c r="BZ798" s="108"/>
      <c r="CA798" s="108"/>
      <c r="CB798" s="108"/>
      <c r="CC798" s="108"/>
      <c r="CD798" s="108"/>
      <c r="CE798" s="108"/>
      <c r="CF798" s="108"/>
      <c r="CG798" s="108"/>
      <c r="CH798" s="108"/>
      <c r="CI798" s="108"/>
      <c r="CJ798" s="108"/>
      <c r="CK798" s="120">
        <f t="shared" si="192"/>
        <v>0</v>
      </c>
      <c r="CL798" s="122">
        <f t="shared" si="193"/>
        <v>0</v>
      </c>
      <c r="CM798" s="524" t="str">
        <f t="shared" si="195"/>
        <v/>
      </c>
      <c r="CN798" s="526">
        <f t="shared" si="196"/>
        <v>0</v>
      </c>
      <c r="CO798" s="122">
        <f t="shared" si="197"/>
        <v>0</v>
      </c>
      <c r="CP798" s="45" t="str">
        <f t="shared" si="194"/>
        <v>1 - in MILLESIMI   I</v>
      </c>
      <c r="CQ798" s="1"/>
    </row>
    <row r="799" spans="1:95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435">
        <f>IF(AND(W799&gt;=$U$1,W799&lt;=$U$2),IF(X799='ESTRATTO CONTO'!$E$2,1+COUNTIF(U$4:U798,"&gt;0"),0),0)</f>
        <v>0</v>
      </c>
      <c r="V799" s="417">
        <f t="shared" si="198"/>
        <v>796</v>
      </c>
      <c r="W799" s="509"/>
      <c r="X799" s="321"/>
      <c r="Y799" s="321"/>
      <c r="Z799" s="433"/>
      <c r="AA799" s="918">
        <f t="shared" si="189"/>
        <v>1</v>
      </c>
      <c r="AB799" s="306" t="str">
        <f t="shared" si="190"/>
        <v/>
      </c>
      <c r="AC799" s="788"/>
      <c r="AD799" s="119">
        <f t="shared" si="199"/>
        <v>0</v>
      </c>
      <c r="AE799" s="108">
        <f t="shared" si="199"/>
        <v>0</v>
      </c>
      <c r="AF799" s="108">
        <f t="shared" si="199"/>
        <v>0</v>
      </c>
      <c r="AG799" s="108"/>
      <c r="AH799" s="108"/>
      <c r="AI799" s="108"/>
      <c r="AJ799" s="108"/>
      <c r="AK799" s="108"/>
      <c r="AL799" s="108">
        <f t="shared" si="191"/>
        <v>0</v>
      </c>
      <c r="AM799" s="108"/>
      <c r="AN799" s="108"/>
      <c r="AO799" s="108"/>
      <c r="AP799" s="108"/>
      <c r="AQ799" s="108"/>
      <c r="AR799" s="108"/>
      <c r="AS799" s="108"/>
      <c r="AT799" s="108"/>
      <c r="AU799" s="108"/>
      <c r="AV799" s="108"/>
      <c r="AW799" s="108"/>
      <c r="AX799" s="108"/>
      <c r="AY799" s="108"/>
      <c r="AZ799" s="108"/>
      <c r="BA799" s="108"/>
      <c r="BB799" s="108"/>
      <c r="BC799" s="108"/>
      <c r="BD799" s="108"/>
      <c r="BE799" s="108"/>
      <c r="BF799" s="108"/>
      <c r="BG799" s="108"/>
      <c r="BH799" s="108"/>
      <c r="BI799" s="108"/>
      <c r="BJ799" s="108"/>
      <c r="BK799" s="108"/>
      <c r="BL799" s="108"/>
      <c r="BM799" s="108"/>
      <c r="BN799" s="108"/>
      <c r="BO799" s="108"/>
      <c r="BP799" s="108"/>
      <c r="BQ799" s="108"/>
      <c r="BR799" s="108"/>
      <c r="BS799" s="108"/>
      <c r="BT799" s="108"/>
      <c r="BU799" s="108"/>
      <c r="BV799" s="108"/>
      <c r="BW799" s="108"/>
      <c r="BX799" s="108"/>
      <c r="BY799" s="108"/>
      <c r="BZ799" s="108"/>
      <c r="CA799" s="108"/>
      <c r="CB799" s="108"/>
      <c r="CC799" s="108"/>
      <c r="CD799" s="108"/>
      <c r="CE799" s="108"/>
      <c r="CF799" s="108"/>
      <c r="CG799" s="108"/>
      <c r="CH799" s="108"/>
      <c r="CI799" s="108"/>
      <c r="CJ799" s="108"/>
      <c r="CK799" s="120">
        <f t="shared" si="192"/>
        <v>0</v>
      </c>
      <c r="CL799" s="122">
        <f t="shared" si="193"/>
        <v>0</v>
      </c>
      <c r="CM799" s="524" t="str">
        <f t="shared" si="195"/>
        <v/>
      </c>
      <c r="CN799" s="526">
        <f t="shared" si="196"/>
        <v>0</v>
      </c>
      <c r="CO799" s="122">
        <f t="shared" si="197"/>
        <v>0</v>
      </c>
      <c r="CP799" s="45" t="str">
        <f t="shared" si="194"/>
        <v>1 - in MILLESIMI   I</v>
      </c>
      <c r="CQ799" s="1"/>
    </row>
    <row r="800" spans="1:95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435">
        <f>IF(AND(W800&gt;=$U$1,W800&lt;=$U$2),IF(X800='ESTRATTO CONTO'!$E$2,1+COUNTIF(U$4:U799,"&gt;0"),0),0)</f>
        <v>0</v>
      </c>
      <c r="V800" s="417">
        <f t="shared" si="198"/>
        <v>797</v>
      </c>
      <c r="W800" s="509"/>
      <c r="X800" s="321"/>
      <c r="Y800" s="321"/>
      <c r="Z800" s="433"/>
      <c r="AA800" s="918">
        <f t="shared" si="189"/>
        <v>1</v>
      </c>
      <c r="AB800" s="306" t="str">
        <f t="shared" si="190"/>
        <v/>
      </c>
      <c r="AC800" s="788"/>
      <c r="AD800" s="119">
        <f t="shared" si="199"/>
        <v>0</v>
      </c>
      <c r="AE800" s="108">
        <f t="shared" si="199"/>
        <v>0</v>
      </c>
      <c r="AF800" s="108">
        <f t="shared" si="199"/>
        <v>0</v>
      </c>
      <c r="AG800" s="108"/>
      <c r="AH800" s="108"/>
      <c r="AI800" s="108"/>
      <c r="AJ800" s="108"/>
      <c r="AK800" s="108"/>
      <c r="AL800" s="108">
        <f t="shared" si="191"/>
        <v>0</v>
      </c>
      <c r="AM800" s="108"/>
      <c r="AN800" s="108"/>
      <c r="AO800" s="108"/>
      <c r="AP800" s="108"/>
      <c r="AQ800" s="108"/>
      <c r="AR800" s="108"/>
      <c r="AS800" s="108"/>
      <c r="AT800" s="108"/>
      <c r="AU800" s="108"/>
      <c r="AV800" s="108"/>
      <c r="AW800" s="108"/>
      <c r="AX800" s="108"/>
      <c r="AY800" s="108"/>
      <c r="AZ800" s="108"/>
      <c r="BA800" s="108"/>
      <c r="BB800" s="108"/>
      <c r="BC800" s="108"/>
      <c r="BD800" s="108"/>
      <c r="BE800" s="108"/>
      <c r="BF800" s="108"/>
      <c r="BG800" s="108"/>
      <c r="BH800" s="108"/>
      <c r="BI800" s="108"/>
      <c r="BJ800" s="108"/>
      <c r="BK800" s="108"/>
      <c r="BL800" s="108"/>
      <c r="BM800" s="108"/>
      <c r="BN800" s="108"/>
      <c r="BO800" s="108"/>
      <c r="BP800" s="108"/>
      <c r="BQ800" s="108"/>
      <c r="BR800" s="108"/>
      <c r="BS800" s="108"/>
      <c r="BT800" s="108"/>
      <c r="BU800" s="108"/>
      <c r="BV800" s="108"/>
      <c r="BW800" s="108"/>
      <c r="BX800" s="108"/>
      <c r="BY800" s="108"/>
      <c r="BZ800" s="108"/>
      <c r="CA800" s="108"/>
      <c r="CB800" s="108"/>
      <c r="CC800" s="108"/>
      <c r="CD800" s="108"/>
      <c r="CE800" s="108"/>
      <c r="CF800" s="108"/>
      <c r="CG800" s="108"/>
      <c r="CH800" s="108"/>
      <c r="CI800" s="108"/>
      <c r="CJ800" s="108"/>
      <c r="CK800" s="120">
        <f t="shared" si="192"/>
        <v>0</v>
      </c>
      <c r="CL800" s="122">
        <f t="shared" si="193"/>
        <v>0</v>
      </c>
      <c r="CM800" s="524" t="str">
        <f t="shared" si="195"/>
        <v/>
      </c>
      <c r="CN800" s="526">
        <f t="shared" si="196"/>
        <v>0</v>
      </c>
      <c r="CO800" s="122">
        <f t="shared" si="197"/>
        <v>0</v>
      </c>
      <c r="CP800" s="45" t="str">
        <f t="shared" si="194"/>
        <v>1 - in MILLESIMI   I</v>
      </c>
      <c r="CQ800" s="1"/>
    </row>
    <row r="801" spans="1:95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435">
        <f>IF(AND(W801&gt;=$U$1,W801&lt;=$U$2),IF(X801='ESTRATTO CONTO'!$E$2,1+COUNTIF(U$4:U800,"&gt;0"),0),0)</f>
        <v>0</v>
      </c>
      <c r="V801" s="417">
        <f t="shared" si="198"/>
        <v>798</v>
      </c>
      <c r="W801" s="509"/>
      <c r="X801" s="321"/>
      <c r="Y801" s="321"/>
      <c r="Z801" s="433"/>
      <c r="AA801" s="918">
        <f t="shared" si="189"/>
        <v>1</v>
      </c>
      <c r="AB801" s="306" t="str">
        <f t="shared" si="190"/>
        <v/>
      </c>
      <c r="AC801" s="788"/>
      <c r="AD801" s="119">
        <f t="shared" si="199"/>
        <v>0</v>
      </c>
      <c r="AE801" s="108">
        <f t="shared" si="199"/>
        <v>0</v>
      </c>
      <c r="AF801" s="108">
        <f t="shared" si="199"/>
        <v>0</v>
      </c>
      <c r="AG801" s="108"/>
      <c r="AH801" s="108"/>
      <c r="AI801" s="108"/>
      <c r="AJ801" s="108"/>
      <c r="AK801" s="108"/>
      <c r="AL801" s="108">
        <f t="shared" si="191"/>
        <v>0</v>
      </c>
      <c r="AM801" s="108"/>
      <c r="AN801" s="108"/>
      <c r="AO801" s="108"/>
      <c r="AP801" s="108"/>
      <c r="AQ801" s="108"/>
      <c r="AR801" s="108"/>
      <c r="AS801" s="108"/>
      <c r="AT801" s="108"/>
      <c r="AU801" s="108"/>
      <c r="AV801" s="108"/>
      <c r="AW801" s="108"/>
      <c r="AX801" s="108"/>
      <c r="AY801" s="108"/>
      <c r="AZ801" s="108"/>
      <c r="BA801" s="108"/>
      <c r="BB801" s="108"/>
      <c r="BC801" s="108"/>
      <c r="BD801" s="108"/>
      <c r="BE801" s="108"/>
      <c r="BF801" s="108"/>
      <c r="BG801" s="108"/>
      <c r="BH801" s="108"/>
      <c r="BI801" s="108"/>
      <c r="BJ801" s="108"/>
      <c r="BK801" s="108"/>
      <c r="BL801" s="108"/>
      <c r="BM801" s="108"/>
      <c r="BN801" s="108"/>
      <c r="BO801" s="108"/>
      <c r="BP801" s="108"/>
      <c r="BQ801" s="108"/>
      <c r="BR801" s="108"/>
      <c r="BS801" s="108"/>
      <c r="BT801" s="108"/>
      <c r="BU801" s="108"/>
      <c r="BV801" s="108"/>
      <c r="BW801" s="108"/>
      <c r="BX801" s="108"/>
      <c r="BY801" s="108"/>
      <c r="BZ801" s="108"/>
      <c r="CA801" s="108"/>
      <c r="CB801" s="108"/>
      <c r="CC801" s="108"/>
      <c r="CD801" s="108"/>
      <c r="CE801" s="108"/>
      <c r="CF801" s="108"/>
      <c r="CG801" s="108"/>
      <c r="CH801" s="108"/>
      <c r="CI801" s="108"/>
      <c r="CJ801" s="108"/>
      <c r="CK801" s="120">
        <f t="shared" si="192"/>
        <v>0</v>
      </c>
      <c r="CL801" s="122">
        <f t="shared" si="193"/>
        <v>0</v>
      </c>
      <c r="CM801" s="524" t="str">
        <f t="shared" si="195"/>
        <v/>
      </c>
      <c r="CN801" s="526">
        <f t="shared" si="196"/>
        <v>0</v>
      </c>
      <c r="CO801" s="122">
        <f t="shared" si="197"/>
        <v>0</v>
      </c>
      <c r="CP801" s="45" t="str">
        <f t="shared" si="194"/>
        <v>1 - in MILLESIMI   I</v>
      </c>
      <c r="CQ801" s="1"/>
    </row>
    <row r="802" spans="1:95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435">
        <f>IF(AND(W802&gt;=$U$1,W802&lt;=$U$2),IF(X802='ESTRATTO CONTO'!$E$2,1+COUNTIF(U$4:U801,"&gt;0"),0),0)</f>
        <v>0</v>
      </c>
      <c r="V802" s="417">
        <f t="shared" si="198"/>
        <v>799</v>
      </c>
      <c r="W802" s="509"/>
      <c r="X802" s="321"/>
      <c r="Y802" s="321"/>
      <c r="Z802" s="433"/>
      <c r="AA802" s="918">
        <f t="shared" si="189"/>
        <v>1</v>
      </c>
      <c r="AB802" s="306" t="str">
        <f t="shared" si="190"/>
        <v/>
      </c>
      <c r="AC802" s="788"/>
      <c r="AD802" s="119">
        <f t="shared" si="199"/>
        <v>0</v>
      </c>
      <c r="AE802" s="108">
        <f t="shared" si="199"/>
        <v>0</v>
      </c>
      <c r="AF802" s="108">
        <f t="shared" si="199"/>
        <v>0</v>
      </c>
      <c r="AG802" s="108"/>
      <c r="AH802" s="108"/>
      <c r="AI802" s="108"/>
      <c r="AJ802" s="108"/>
      <c r="AK802" s="108"/>
      <c r="AL802" s="108">
        <f t="shared" si="191"/>
        <v>0</v>
      </c>
      <c r="AM802" s="108"/>
      <c r="AN802" s="108"/>
      <c r="AO802" s="108"/>
      <c r="AP802" s="108"/>
      <c r="AQ802" s="108"/>
      <c r="AR802" s="108"/>
      <c r="AS802" s="108"/>
      <c r="AT802" s="108"/>
      <c r="AU802" s="108"/>
      <c r="AV802" s="108"/>
      <c r="AW802" s="108"/>
      <c r="AX802" s="108"/>
      <c r="AY802" s="108"/>
      <c r="AZ802" s="108"/>
      <c r="BA802" s="108"/>
      <c r="BB802" s="108"/>
      <c r="BC802" s="108"/>
      <c r="BD802" s="108"/>
      <c r="BE802" s="108"/>
      <c r="BF802" s="108"/>
      <c r="BG802" s="108"/>
      <c r="BH802" s="108"/>
      <c r="BI802" s="108"/>
      <c r="BJ802" s="108"/>
      <c r="BK802" s="108"/>
      <c r="BL802" s="108"/>
      <c r="BM802" s="108"/>
      <c r="BN802" s="108"/>
      <c r="BO802" s="108"/>
      <c r="BP802" s="108"/>
      <c r="BQ802" s="108"/>
      <c r="BR802" s="108"/>
      <c r="BS802" s="108"/>
      <c r="BT802" s="108"/>
      <c r="BU802" s="108"/>
      <c r="BV802" s="108"/>
      <c r="BW802" s="108"/>
      <c r="BX802" s="108"/>
      <c r="BY802" s="108"/>
      <c r="BZ802" s="108"/>
      <c r="CA802" s="108"/>
      <c r="CB802" s="108"/>
      <c r="CC802" s="108"/>
      <c r="CD802" s="108"/>
      <c r="CE802" s="108"/>
      <c r="CF802" s="108"/>
      <c r="CG802" s="108"/>
      <c r="CH802" s="108"/>
      <c r="CI802" s="108"/>
      <c r="CJ802" s="108"/>
      <c r="CK802" s="120">
        <f t="shared" si="192"/>
        <v>0</v>
      </c>
      <c r="CL802" s="122">
        <f t="shared" si="193"/>
        <v>0</v>
      </c>
      <c r="CM802" s="524" t="str">
        <f t="shared" si="195"/>
        <v/>
      </c>
      <c r="CN802" s="526">
        <f t="shared" si="196"/>
        <v>0</v>
      </c>
      <c r="CO802" s="122">
        <f t="shared" si="197"/>
        <v>0</v>
      </c>
      <c r="CP802" s="45" t="str">
        <f t="shared" si="194"/>
        <v>1 - in MILLESIMI   I</v>
      </c>
      <c r="CQ802" s="1"/>
    </row>
    <row r="803" spans="1:95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435">
        <f>IF(AND(W803&gt;=$U$1,W803&lt;=$U$2),IF(X803='ESTRATTO CONTO'!$E$2,1+COUNTIF(U$4:U802,"&gt;0"),0),0)</f>
        <v>0</v>
      </c>
      <c r="V803" s="417">
        <f t="shared" si="198"/>
        <v>800</v>
      </c>
      <c r="W803" s="509"/>
      <c r="X803" s="321"/>
      <c r="Y803" s="321"/>
      <c r="Z803" s="433"/>
      <c r="AA803" s="918">
        <f t="shared" si="189"/>
        <v>1</v>
      </c>
      <c r="AB803" s="306" t="str">
        <f t="shared" si="190"/>
        <v/>
      </c>
      <c r="AC803" s="788"/>
      <c r="AD803" s="119">
        <f t="shared" si="199"/>
        <v>0</v>
      </c>
      <c r="AE803" s="108">
        <f t="shared" si="199"/>
        <v>0</v>
      </c>
      <c r="AF803" s="108">
        <f t="shared" si="199"/>
        <v>0</v>
      </c>
      <c r="AG803" s="108"/>
      <c r="AH803" s="108"/>
      <c r="AI803" s="108"/>
      <c r="AJ803" s="108"/>
      <c r="AK803" s="108"/>
      <c r="AL803" s="108">
        <f t="shared" si="191"/>
        <v>0</v>
      </c>
      <c r="AM803" s="108"/>
      <c r="AN803" s="108"/>
      <c r="AO803" s="108"/>
      <c r="AP803" s="108"/>
      <c r="AQ803" s="108"/>
      <c r="AR803" s="108"/>
      <c r="AS803" s="108"/>
      <c r="AT803" s="108"/>
      <c r="AU803" s="108"/>
      <c r="AV803" s="108"/>
      <c r="AW803" s="108"/>
      <c r="AX803" s="108"/>
      <c r="AY803" s="108"/>
      <c r="AZ803" s="108"/>
      <c r="BA803" s="108"/>
      <c r="BB803" s="108"/>
      <c r="BC803" s="108"/>
      <c r="BD803" s="108"/>
      <c r="BE803" s="108"/>
      <c r="BF803" s="108"/>
      <c r="BG803" s="108"/>
      <c r="BH803" s="108"/>
      <c r="BI803" s="108"/>
      <c r="BJ803" s="108"/>
      <c r="BK803" s="108"/>
      <c r="BL803" s="108"/>
      <c r="BM803" s="108"/>
      <c r="BN803" s="108"/>
      <c r="BO803" s="108"/>
      <c r="BP803" s="108"/>
      <c r="BQ803" s="108"/>
      <c r="BR803" s="108"/>
      <c r="BS803" s="108"/>
      <c r="BT803" s="108"/>
      <c r="BU803" s="108"/>
      <c r="BV803" s="108"/>
      <c r="BW803" s="108"/>
      <c r="BX803" s="108"/>
      <c r="BY803" s="108"/>
      <c r="BZ803" s="108"/>
      <c r="CA803" s="108"/>
      <c r="CB803" s="108"/>
      <c r="CC803" s="108"/>
      <c r="CD803" s="108"/>
      <c r="CE803" s="108"/>
      <c r="CF803" s="108"/>
      <c r="CG803" s="108"/>
      <c r="CH803" s="108"/>
      <c r="CI803" s="108"/>
      <c r="CJ803" s="108"/>
      <c r="CK803" s="120">
        <f t="shared" si="192"/>
        <v>0</v>
      </c>
      <c r="CL803" s="122">
        <f t="shared" si="193"/>
        <v>0</v>
      </c>
      <c r="CM803" s="524" t="str">
        <f t="shared" si="195"/>
        <v/>
      </c>
      <c r="CN803" s="526">
        <f t="shared" si="196"/>
        <v>0</v>
      </c>
      <c r="CO803" s="122">
        <f t="shared" si="197"/>
        <v>0</v>
      </c>
      <c r="CP803" s="45" t="str">
        <f t="shared" si="194"/>
        <v>1 - in MILLESIMI   I</v>
      </c>
      <c r="CQ803" s="1"/>
    </row>
    <row r="804" spans="1:95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435">
        <f>IF(AND(W804&gt;=$U$1,W804&lt;=$U$2),IF(X804='ESTRATTO CONTO'!$E$2,1+COUNTIF(U$4:U803,"&gt;0"),0),0)</f>
        <v>0</v>
      </c>
      <c r="V804" s="417">
        <f t="shared" si="198"/>
        <v>801</v>
      </c>
      <c r="W804" s="509"/>
      <c r="X804" s="321"/>
      <c r="Y804" s="321"/>
      <c r="Z804" s="433"/>
      <c r="AA804" s="918">
        <f t="shared" si="189"/>
        <v>1</v>
      </c>
      <c r="AB804" s="306" t="str">
        <f t="shared" si="190"/>
        <v/>
      </c>
      <c r="AC804" s="788"/>
      <c r="AD804" s="119">
        <f t="shared" ref="AD804:AF823" si="200">IF($AB804=0,0,ROUND($Z804*VLOOKUP(AD$2,$F$1010:$Q$1014,VLOOKUP($CP804,$C$1076:$E$1081,3,FALSE),FALSE),2))</f>
        <v>0</v>
      </c>
      <c r="AE804" s="108">
        <f t="shared" si="200"/>
        <v>0</v>
      </c>
      <c r="AF804" s="108">
        <f t="shared" si="200"/>
        <v>0</v>
      </c>
      <c r="AG804" s="108"/>
      <c r="AH804" s="108"/>
      <c r="AI804" s="108"/>
      <c r="AJ804" s="108"/>
      <c r="AK804" s="108"/>
      <c r="AL804" s="108">
        <f t="shared" si="191"/>
        <v>0</v>
      </c>
      <c r="AM804" s="108"/>
      <c r="AN804" s="108"/>
      <c r="AO804" s="108"/>
      <c r="AP804" s="108"/>
      <c r="AQ804" s="108"/>
      <c r="AR804" s="108"/>
      <c r="AS804" s="108"/>
      <c r="AT804" s="108"/>
      <c r="AU804" s="108"/>
      <c r="AV804" s="108"/>
      <c r="AW804" s="108"/>
      <c r="AX804" s="108"/>
      <c r="AY804" s="108"/>
      <c r="AZ804" s="108"/>
      <c r="BA804" s="108"/>
      <c r="BB804" s="108"/>
      <c r="BC804" s="108"/>
      <c r="BD804" s="108"/>
      <c r="BE804" s="108"/>
      <c r="BF804" s="108"/>
      <c r="BG804" s="108"/>
      <c r="BH804" s="108"/>
      <c r="BI804" s="108"/>
      <c r="BJ804" s="108"/>
      <c r="BK804" s="108"/>
      <c r="BL804" s="108"/>
      <c r="BM804" s="108"/>
      <c r="BN804" s="108"/>
      <c r="BO804" s="108"/>
      <c r="BP804" s="108"/>
      <c r="BQ804" s="108"/>
      <c r="BR804" s="108"/>
      <c r="BS804" s="108"/>
      <c r="BT804" s="108"/>
      <c r="BU804" s="108"/>
      <c r="BV804" s="108"/>
      <c r="BW804" s="108"/>
      <c r="BX804" s="108"/>
      <c r="BY804" s="108"/>
      <c r="BZ804" s="108"/>
      <c r="CA804" s="108"/>
      <c r="CB804" s="108"/>
      <c r="CC804" s="108"/>
      <c r="CD804" s="108"/>
      <c r="CE804" s="108"/>
      <c r="CF804" s="108"/>
      <c r="CG804" s="108"/>
      <c r="CH804" s="108"/>
      <c r="CI804" s="108"/>
      <c r="CJ804" s="108"/>
      <c r="CK804" s="120">
        <f t="shared" si="192"/>
        <v>0</v>
      </c>
      <c r="CL804" s="122">
        <f t="shared" si="193"/>
        <v>0</v>
      </c>
      <c r="CM804" s="524" t="str">
        <f t="shared" si="195"/>
        <v/>
      </c>
      <c r="CN804" s="526">
        <f t="shared" si="196"/>
        <v>0</v>
      </c>
      <c r="CO804" s="122">
        <f t="shared" si="197"/>
        <v>0</v>
      </c>
      <c r="CP804" s="45" t="str">
        <f t="shared" si="194"/>
        <v>1 - in MILLESIMI   I</v>
      </c>
      <c r="CQ804" s="1"/>
    </row>
    <row r="805" spans="1:95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435">
        <f>IF(AND(W805&gt;=$U$1,W805&lt;=$U$2),IF(X805='ESTRATTO CONTO'!$E$2,1+COUNTIF(U$4:U804,"&gt;0"),0),0)</f>
        <v>0</v>
      </c>
      <c r="V805" s="417">
        <f t="shared" si="198"/>
        <v>802</v>
      </c>
      <c r="W805" s="509"/>
      <c r="X805" s="321"/>
      <c r="Y805" s="321"/>
      <c r="Z805" s="433"/>
      <c r="AA805" s="918">
        <f t="shared" si="189"/>
        <v>1</v>
      </c>
      <c r="AB805" s="306" t="str">
        <f t="shared" si="190"/>
        <v/>
      </c>
      <c r="AC805" s="788"/>
      <c r="AD805" s="119">
        <f t="shared" si="200"/>
        <v>0</v>
      </c>
      <c r="AE805" s="108">
        <f t="shared" si="200"/>
        <v>0</v>
      </c>
      <c r="AF805" s="108">
        <f t="shared" si="200"/>
        <v>0</v>
      </c>
      <c r="AG805" s="108"/>
      <c r="AH805" s="108"/>
      <c r="AI805" s="108"/>
      <c r="AJ805" s="108"/>
      <c r="AK805" s="108"/>
      <c r="AL805" s="108">
        <f t="shared" si="191"/>
        <v>0</v>
      </c>
      <c r="AM805" s="108"/>
      <c r="AN805" s="108"/>
      <c r="AO805" s="108"/>
      <c r="AP805" s="108"/>
      <c r="AQ805" s="108"/>
      <c r="AR805" s="108"/>
      <c r="AS805" s="108"/>
      <c r="AT805" s="108"/>
      <c r="AU805" s="108"/>
      <c r="AV805" s="108"/>
      <c r="AW805" s="108"/>
      <c r="AX805" s="108"/>
      <c r="AY805" s="108"/>
      <c r="AZ805" s="108"/>
      <c r="BA805" s="108"/>
      <c r="BB805" s="108"/>
      <c r="BC805" s="108"/>
      <c r="BD805" s="108"/>
      <c r="BE805" s="108"/>
      <c r="BF805" s="108"/>
      <c r="BG805" s="108"/>
      <c r="BH805" s="108"/>
      <c r="BI805" s="108"/>
      <c r="BJ805" s="108"/>
      <c r="BK805" s="108"/>
      <c r="BL805" s="108"/>
      <c r="BM805" s="108"/>
      <c r="BN805" s="108"/>
      <c r="BO805" s="108"/>
      <c r="BP805" s="108"/>
      <c r="BQ805" s="108"/>
      <c r="BR805" s="108"/>
      <c r="BS805" s="108"/>
      <c r="BT805" s="108"/>
      <c r="BU805" s="108"/>
      <c r="BV805" s="108"/>
      <c r="BW805" s="108"/>
      <c r="BX805" s="108"/>
      <c r="BY805" s="108"/>
      <c r="BZ805" s="108"/>
      <c r="CA805" s="108"/>
      <c r="CB805" s="108"/>
      <c r="CC805" s="108"/>
      <c r="CD805" s="108"/>
      <c r="CE805" s="108"/>
      <c r="CF805" s="108"/>
      <c r="CG805" s="108"/>
      <c r="CH805" s="108"/>
      <c r="CI805" s="108"/>
      <c r="CJ805" s="108"/>
      <c r="CK805" s="120">
        <f t="shared" si="192"/>
        <v>0</v>
      </c>
      <c r="CL805" s="122">
        <f t="shared" si="193"/>
        <v>0</v>
      </c>
      <c r="CM805" s="524" t="str">
        <f t="shared" si="195"/>
        <v/>
      </c>
      <c r="CN805" s="526">
        <f t="shared" si="196"/>
        <v>0</v>
      </c>
      <c r="CO805" s="122">
        <f t="shared" si="197"/>
        <v>0</v>
      </c>
      <c r="CP805" s="45" t="str">
        <f t="shared" si="194"/>
        <v>1 - in MILLESIMI   I</v>
      </c>
      <c r="CQ805" s="1"/>
    </row>
    <row r="806" spans="1:95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435">
        <f>IF(AND(W806&gt;=$U$1,W806&lt;=$U$2),IF(X806='ESTRATTO CONTO'!$E$2,1+COUNTIF(U$4:U805,"&gt;0"),0),0)</f>
        <v>0</v>
      </c>
      <c r="V806" s="417">
        <f t="shared" si="198"/>
        <v>803</v>
      </c>
      <c r="W806" s="509"/>
      <c r="X806" s="321"/>
      <c r="Y806" s="321"/>
      <c r="Z806" s="433"/>
      <c r="AA806" s="918">
        <f t="shared" si="189"/>
        <v>1</v>
      </c>
      <c r="AB806" s="306" t="str">
        <f t="shared" si="190"/>
        <v/>
      </c>
      <c r="AC806" s="788"/>
      <c r="AD806" s="119">
        <f t="shared" si="200"/>
        <v>0</v>
      </c>
      <c r="AE806" s="108">
        <f t="shared" si="200"/>
        <v>0</v>
      </c>
      <c r="AF806" s="108">
        <f t="shared" si="200"/>
        <v>0</v>
      </c>
      <c r="AG806" s="108"/>
      <c r="AH806" s="108"/>
      <c r="AI806" s="108"/>
      <c r="AJ806" s="108"/>
      <c r="AK806" s="108"/>
      <c r="AL806" s="108">
        <f t="shared" si="191"/>
        <v>0</v>
      </c>
      <c r="AM806" s="108"/>
      <c r="AN806" s="108"/>
      <c r="AO806" s="108"/>
      <c r="AP806" s="108"/>
      <c r="AQ806" s="108"/>
      <c r="AR806" s="108"/>
      <c r="AS806" s="108"/>
      <c r="AT806" s="108"/>
      <c r="AU806" s="108"/>
      <c r="AV806" s="108"/>
      <c r="AW806" s="108"/>
      <c r="AX806" s="108"/>
      <c r="AY806" s="108"/>
      <c r="AZ806" s="108"/>
      <c r="BA806" s="108"/>
      <c r="BB806" s="108"/>
      <c r="BC806" s="108"/>
      <c r="BD806" s="108"/>
      <c r="BE806" s="108"/>
      <c r="BF806" s="108"/>
      <c r="BG806" s="108"/>
      <c r="BH806" s="108"/>
      <c r="BI806" s="108"/>
      <c r="BJ806" s="108"/>
      <c r="BK806" s="108"/>
      <c r="BL806" s="108"/>
      <c r="BM806" s="108"/>
      <c r="BN806" s="108"/>
      <c r="BO806" s="108"/>
      <c r="BP806" s="108"/>
      <c r="BQ806" s="108"/>
      <c r="BR806" s="108"/>
      <c r="BS806" s="108"/>
      <c r="BT806" s="108"/>
      <c r="BU806" s="108"/>
      <c r="BV806" s="108"/>
      <c r="BW806" s="108"/>
      <c r="BX806" s="108"/>
      <c r="BY806" s="108"/>
      <c r="BZ806" s="108"/>
      <c r="CA806" s="108"/>
      <c r="CB806" s="108"/>
      <c r="CC806" s="108"/>
      <c r="CD806" s="108"/>
      <c r="CE806" s="108"/>
      <c r="CF806" s="108"/>
      <c r="CG806" s="108"/>
      <c r="CH806" s="108"/>
      <c r="CI806" s="108"/>
      <c r="CJ806" s="108"/>
      <c r="CK806" s="120">
        <f t="shared" si="192"/>
        <v>0</v>
      </c>
      <c r="CL806" s="122">
        <f t="shared" si="193"/>
        <v>0</v>
      </c>
      <c r="CM806" s="524" t="str">
        <f t="shared" si="195"/>
        <v/>
      </c>
      <c r="CN806" s="526">
        <f t="shared" si="196"/>
        <v>0</v>
      </c>
      <c r="CO806" s="122">
        <f t="shared" si="197"/>
        <v>0</v>
      </c>
      <c r="CP806" s="45" t="str">
        <f t="shared" si="194"/>
        <v>1 - in MILLESIMI   I</v>
      </c>
      <c r="CQ806" s="1"/>
    </row>
    <row r="807" spans="1:95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435">
        <f>IF(AND(W807&gt;=$U$1,W807&lt;=$U$2),IF(X807='ESTRATTO CONTO'!$E$2,1+COUNTIF(U$4:U806,"&gt;0"),0),0)</f>
        <v>0</v>
      </c>
      <c r="V807" s="417">
        <f t="shared" si="198"/>
        <v>804</v>
      </c>
      <c r="W807" s="509"/>
      <c r="X807" s="321"/>
      <c r="Y807" s="321"/>
      <c r="Z807" s="433"/>
      <c r="AA807" s="918">
        <f t="shared" si="189"/>
        <v>1</v>
      </c>
      <c r="AB807" s="306" t="str">
        <f t="shared" si="190"/>
        <v/>
      </c>
      <c r="AC807" s="788"/>
      <c r="AD807" s="119">
        <f t="shared" si="200"/>
        <v>0</v>
      </c>
      <c r="AE807" s="108">
        <f t="shared" si="200"/>
        <v>0</v>
      </c>
      <c r="AF807" s="108">
        <f t="shared" si="200"/>
        <v>0</v>
      </c>
      <c r="AG807" s="108"/>
      <c r="AH807" s="108"/>
      <c r="AI807" s="108"/>
      <c r="AJ807" s="108"/>
      <c r="AK807" s="108"/>
      <c r="AL807" s="108">
        <f t="shared" si="191"/>
        <v>0</v>
      </c>
      <c r="AM807" s="108"/>
      <c r="AN807" s="108"/>
      <c r="AO807" s="108"/>
      <c r="AP807" s="108"/>
      <c r="AQ807" s="108"/>
      <c r="AR807" s="108"/>
      <c r="AS807" s="108"/>
      <c r="AT807" s="108"/>
      <c r="AU807" s="108"/>
      <c r="AV807" s="108"/>
      <c r="AW807" s="108"/>
      <c r="AX807" s="108"/>
      <c r="AY807" s="108"/>
      <c r="AZ807" s="108"/>
      <c r="BA807" s="108"/>
      <c r="BB807" s="108"/>
      <c r="BC807" s="108"/>
      <c r="BD807" s="108"/>
      <c r="BE807" s="108"/>
      <c r="BF807" s="108"/>
      <c r="BG807" s="108"/>
      <c r="BH807" s="108"/>
      <c r="BI807" s="108"/>
      <c r="BJ807" s="108"/>
      <c r="BK807" s="108"/>
      <c r="BL807" s="108"/>
      <c r="BM807" s="108"/>
      <c r="BN807" s="108"/>
      <c r="BO807" s="108"/>
      <c r="BP807" s="108"/>
      <c r="BQ807" s="108"/>
      <c r="BR807" s="108"/>
      <c r="BS807" s="108"/>
      <c r="BT807" s="108"/>
      <c r="BU807" s="108"/>
      <c r="BV807" s="108"/>
      <c r="BW807" s="108"/>
      <c r="BX807" s="108"/>
      <c r="BY807" s="108"/>
      <c r="BZ807" s="108"/>
      <c r="CA807" s="108"/>
      <c r="CB807" s="108"/>
      <c r="CC807" s="108"/>
      <c r="CD807" s="108"/>
      <c r="CE807" s="108"/>
      <c r="CF807" s="108"/>
      <c r="CG807" s="108"/>
      <c r="CH807" s="108"/>
      <c r="CI807" s="108"/>
      <c r="CJ807" s="108"/>
      <c r="CK807" s="120">
        <f t="shared" si="192"/>
        <v>0</v>
      </c>
      <c r="CL807" s="122">
        <f t="shared" si="193"/>
        <v>0</v>
      </c>
      <c r="CM807" s="524" t="str">
        <f t="shared" si="195"/>
        <v/>
      </c>
      <c r="CN807" s="526">
        <f t="shared" si="196"/>
        <v>0</v>
      </c>
      <c r="CO807" s="122">
        <f t="shared" si="197"/>
        <v>0</v>
      </c>
      <c r="CP807" s="45" t="str">
        <f t="shared" si="194"/>
        <v>1 - in MILLESIMI   I</v>
      </c>
      <c r="CQ807" s="1"/>
    </row>
    <row r="808" spans="1:95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435">
        <f>IF(AND(W808&gt;=$U$1,W808&lt;=$U$2),IF(X808='ESTRATTO CONTO'!$E$2,1+COUNTIF(U$4:U807,"&gt;0"),0),0)</f>
        <v>0</v>
      </c>
      <c r="V808" s="417">
        <f t="shared" si="198"/>
        <v>805</v>
      </c>
      <c r="W808" s="509"/>
      <c r="X808" s="321"/>
      <c r="Y808" s="321"/>
      <c r="Z808" s="433"/>
      <c r="AA808" s="918">
        <f t="shared" si="189"/>
        <v>1</v>
      </c>
      <c r="AB808" s="306" t="str">
        <f t="shared" si="190"/>
        <v/>
      </c>
      <c r="AC808" s="788"/>
      <c r="AD808" s="119">
        <f t="shared" si="200"/>
        <v>0</v>
      </c>
      <c r="AE808" s="108">
        <f t="shared" si="200"/>
        <v>0</v>
      </c>
      <c r="AF808" s="108">
        <f t="shared" si="200"/>
        <v>0</v>
      </c>
      <c r="AG808" s="108"/>
      <c r="AH808" s="108"/>
      <c r="AI808" s="108"/>
      <c r="AJ808" s="108"/>
      <c r="AK808" s="108"/>
      <c r="AL808" s="108">
        <f t="shared" si="191"/>
        <v>0</v>
      </c>
      <c r="AM808" s="108"/>
      <c r="AN808" s="108"/>
      <c r="AO808" s="108"/>
      <c r="AP808" s="108"/>
      <c r="AQ808" s="108"/>
      <c r="AR808" s="108"/>
      <c r="AS808" s="108"/>
      <c r="AT808" s="108"/>
      <c r="AU808" s="108"/>
      <c r="AV808" s="108"/>
      <c r="AW808" s="108"/>
      <c r="AX808" s="108"/>
      <c r="AY808" s="108"/>
      <c r="AZ808" s="108"/>
      <c r="BA808" s="108"/>
      <c r="BB808" s="108"/>
      <c r="BC808" s="108"/>
      <c r="BD808" s="108"/>
      <c r="BE808" s="108"/>
      <c r="BF808" s="108"/>
      <c r="BG808" s="108"/>
      <c r="BH808" s="108"/>
      <c r="BI808" s="108"/>
      <c r="BJ808" s="108"/>
      <c r="BK808" s="108"/>
      <c r="BL808" s="108"/>
      <c r="BM808" s="108"/>
      <c r="BN808" s="108"/>
      <c r="BO808" s="108"/>
      <c r="BP808" s="108"/>
      <c r="BQ808" s="108"/>
      <c r="BR808" s="108"/>
      <c r="BS808" s="108"/>
      <c r="BT808" s="108"/>
      <c r="BU808" s="108"/>
      <c r="BV808" s="108"/>
      <c r="BW808" s="108"/>
      <c r="BX808" s="108"/>
      <c r="BY808" s="108"/>
      <c r="BZ808" s="108"/>
      <c r="CA808" s="108"/>
      <c r="CB808" s="108"/>
      <c r="CC808" s="108"/>
      <c r="CD808" s="108"/>
      <c r="CE808" s="108"/>
      <c r="CF808" s="108"/>
      <c r="CG808" s="108"/>
      <c r="CH808" s="108"/>
      <c r="CI808" s="108"/>
      <c r="CJ808" s="108"/>
      <c r="CK808" s="120">
        <f t="shared" si="192"/>
        <v>0</v>
      </c>
      <c r="CL808" s="122">
        <f t="shared" si="193"/>
        <v>0</v>
      </c>
      <c r="CM808" s="524" t="str">
        <f t="shared" si="195"/>
        <v/>
      </c>
      <c r="CN808" s="526">
        <f t="shared" si="196"/>
        <v>0</v>
      </c>
      <c r="CO808" s="122">
        <f t="shared" si="197"/>
        <v>0</v>
      </c>
      <c r="CP808" s="45" t="str">
        <f t="shared" si="194"/>
        <v>1 - in MILLESIMI   I</v>
      </c>
      <c r="CQ808" s="1"/>
    </row>
    <row r="809" spans="1:95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435">
        <f>IF(AND(W809&gt;=$U$1,W809&lt;=$U$2),IF(X809='ESTRATTO CONTO'!$E$2,1+COUNTIF(U$4:U808,"&gt;0"),0),0)</f>
        <v>0</v>
      </c>
      <c r="V809" s="417">
        <f t="shared" si="198"/>
        <v>806</v>
      </c>
      <c r="W809" s="509"/>
      <c r="X809" s="321"/>
      <c r="Y809" s="321"/>
      <c r="Z809" s="433"/>
      <c r="AA809" s="918">
        <f t="shared" si="189"/>
        <v>1</v>
      </c>
      <c r="AB809" s="306" t="str">
        <f t="shared" si="190"/>
        <v/>
      </c>
      <c r="AC809" s="788"/>
      <c r="AD809" s="119">
        <f t="shared" si="200"/>
        <v>0</v>
      </c>
      <c r="AE809" s="108">
        <f t="shared" si="200"/>
        <v>0</v>
      </c>
      <c r="AF809" s="108">
        <f t="shared" si="200"/>
        <v>0</v>
      </c>
      <c r="AG809" s="108"/>
      <c r="AH809" s="108"/>
      <c r="AI809" s="108"/>
      <c r="AJ809" s="108"/>
      <c r="AK809" s="108"/>
      <c r="AL809" s="108">
        <f t="shared" si="191"/>
        <v>0</v>
      </c>
      <c r="AM809" s="108"/>
      <c r="AN809" s="108"/>
      <c r="AO809" s="108"/>
      <c r="AP809" s="108"/>
      <c r="AQ809" s="108"/>
      <c r="AR809" s="108"/>
      <c r="AS809" s="108"/>
      <c r="AT809" s="108"/>
      <c r="AU809" s="108"/>
      <c r="AV809" s="108"/>
      <c r="AW809" s="108"/>
      <c r="AX809" s="108"/>
      <c r="AY809" s="108"/>
      <c r="AZ809" s="108"/>
      <c r="BA809" s="108"/>
      <c r="BB809" s="108"/>
      <c r="BC809" s="108"/>
      <c r="BD809" s="108"/>
      <c r="BE809" s="108"/>
      <c r="BF809" s="108"/>
      <c r="BG809" s="108"/>
      <c r="BH809" s="108"/>
      <c r="BI809" s="108"/>
      <c r="BJ809" s="108"/>
      <c r="BK809" s="108"/>
      <c r="BL809" s="108"/>
      <c r="BM809" s="108"/>
      <c r="BN809" s="108"/>
      <c r="BO809" s="108"/>
      <c r="BP809" s="108"/>
      <c r="BQ809" s="108"/>
      <c r="BR809" s="108"/>
      <c r="BS809" s="108"/>
      <c r="BT809" s="108"/>
      <c r="BU809" s="108"/>
      <c r="BV809" s="108"/>
      <c r="BW809" s="108"/>
      <c r="BX809" s="108"/>
      <c r="BY809" s="108"/>
      <c r="BZ809" s="108"/>
      <c r="CA809" s="108"/>
      <c r="CB809" s="108"/>
      <c r="CC809" s="108"/>
      <c r="CD809" s="108"/>
      <c r="CE809" s="108"/>
      <c r="CF809" s="108"/>
      <c r="CG809" s="108"/>
      <c r="CH809" s="108"/>
      <c r="CI809" s="108"/>
      <c r="CJ809" s="108"/>
      <c r="CK809" s="120">
        <f t="shared" si="192"/>
        <v>0</v>
      </c>
      <c r="CL809" s="122">
        <f t="shared" si="193"/>
        <v>0</v>
      </c>
      <c r="CM809" s="524" t="str">
        <f t="shared" si="195"/>
        <v/>
      </c>
      <c r="CN809" s="526">
        <f t="shared" si="196"/>
        <v>0</v>
      </c>
      <c r="CO809" s="122">
        <f t="shared" si="197"/>
        <v>0</v>
      </c>
      <c r="CP809" s="45" t="str">
        <f t="shared" si="194"/>
        <v>1 - in MILLESIMI   I</v>
      </c>
      <c r="CQ809" s="1"/>
    </row>
    <row r="810" spans="1:95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435">
        <f>IF(AND(W810&gt;=$U$1,W810&lt;=$U$2),IF(X810='ESTRATTO CONTO'!$E$2,1+COUNTIF(U$4:U809,"&gt;0"),0),0)</f>
        <v>0</v>
      </c>
      <c r="V810" s="417">
        <f t="shared" si="198"/>
        <v>807</v>
      </c>
      <c r="W810" s="509"/>
      <c r="X810" s="321"/>
      <c r="Y810" s="321"/>
      <c r="Z810" s="433"/>
      <c r="AA810" s="918">
        <f t="shared" si="189"/>
        <v>1</v>
      </c>
      <c r="AB810" s="306" t="str">
        <f t="shared" si="190"/>
        <v/>
      </c>
      <c r="AC810" s="788"/>
      <c r="AD810" s="119">
        <f t="shared" si="200"/>
        <v>0</v>
      </c>
      <c r="AE810" s="108">
        <f t="shared" si="200"/>
        <v>0</v>
      </c>
      <c r="AF810" s="108">
        <f t="shared" si="200"/>
        <v>0</v>
      </c>
      <c r="AG810" s="108"/>
      <c r="AH810" s="108"/>
      <c r="AI810" s="108"/>
      <c r="AJ810" s="108"/>
      <c r="AK810" s="108"/>
      <c r="AL810" s="108">
        <f t="shared" si="191"/>
        <v>0</v>
      </c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8"/>
      <c r="AY810" s="108"/>
      <c r="AZ810" s="108"/>
      <c r="BA810" s="108"/>
      <c r="BB810" s="108"/>
      <c r="BC810" s="108"/>
      <c r="BD810" s="108"/>
      <c r="BE810" s="108"/>
      <c r="BF810" s="108"/>
      <c r="BG810" s="108"/>
      <c r="BH810" s="108"/>
      <c r="BI810" s="108"/>
      <c r="BJ810" s="108"/>
      <c r="BK810" s="108"/>
      <c r="BL810" s="108"/>
      <c r="BM810" s="108"/>
      <c r="BN810" s="108"/>
      <c r="BO810" s="108"/>
      <c r="BP810" s="108"/>
      <c r="BQ810" s="108"/>
      <c r="BR810" s="108"/>
      <c r="BS810" s="108"/>
      <c r="BT810" s="108"/>
      <c r="BU810" s="108"/>
      <c r="BV810" s="108"/>
      <c r="BW810" s="108"/>
      <c r="BX810" s="108"/>
      <c r="BY810" s="108"/>
      <c r="BZ810" s="108"/>
      <c r="CA810" s="108"/>
      <c r="CB810" s="108"/>
      <c r="CC810" s="108"/>
      <c r="CD810" s="108"/>
      <c r="CE810" s="108"/>
      <c r="CF810" s="108"/>
      <c r="CG810" s="108"/>
      <c r="CH810" s="108"/>
      <c r="CI810" s="108"/>
      <c r="CJ810" s="108"/>
      <c r="CK810" s="120">
        <f t="shared" si="192"/>
        <v>0</v>
      </c>
      <c r="CL810" s="122">
        <f t="shared" si="193"/>
        <v>0</v>
      </c>
      <c r="CM810" s="524" t="str">
        <f t="shared" si="195"/>
        <v/>
      </c>
      <c r="CN810" s="526">
        <f t="shared" si="196"/>
        <v>0</v>
      </c>
      <c r="CO810" s="122">
        <f t="shared" si="197"/>
        <v>0</v>
      </c>
      <c r="CP810" s="45" t="str">
        <f t="shared" si="194"/>
        <v>1 - in MILLESIMI   I</v>
      </c>
      <c r="CQ810" s="1"/>
    </row>
    <row r="811" spans="1:95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435">
        <f>IF(AND(W811&gt;=$U$1,W811&lt;=$U$2),IF(X811='ESTRATTO CONTO'!$E$2,1+COUNTIF(U$4:U810,"&gt;0"),0),0)</f>
        <v>0</v>
      </c>
      <c r="V811" s="417">
        <f t="shared" si="198"/>
        <v>808</v>
      </c>
      <c r="W811" s="509"/>
      <c r="X811" s="321"/>
      <c r="Y811" s="321"/>
      <c r="Z811" s="433"/>
      <c r="AA811" s="918">
        <f t="shared" si="189"/>
        <v>1</v>
      </c>
      <c r="AB811" s="306" t="str">
        <f t="shared" si="190"/>
        <v/>
      </c>
      <c r="AC811" s="788"/>
      <c r="AD811" s="119">
        <f t="shared" si="200"/>
        <v>0</v>
      </c>
      <c r="AE811" s="108">
        <f t="shared" si="200"/>
        <v>0</v>
      </c>
      <c r="AF811" s="108">
        <f t="shared" si="200"/>
        <v>0</v>
      </c>
      <c r="AG811" s="108"/>
      <c r="AH811" s="108"/>
      <c r="AI811" s="108"/>
      <c r="AJ811" s="108"/>
      <c r="AK811" s="108"/>
      <c r="AL811" s="108">
        <f t="shared" si="191"/>
        <v>0</v>
      </c>
      <c r="AM811" s="108"/>
      <c r="AN811" s="108"/>
      <c r="AO811" s="108"/>
      <c r="AP811" s="108"/>
      <c r="AQ811" s="108"/>
      <c r="AR811" s="108"/>
      <c r="AS811" s="108"/>
      <c r="AT811" s="108"/>
      <c r="AU811" s="108"/>
      <c r="AV811" s="108"/>
      <c r="AW811" s="108"/>
      <c r="AX811" s="108"/>
      <c r="AY811" s="108"/>
      <c r="AZ811" s="108"/>
      <c r="BA811" s="108"/>
      <c r="BB811" s="108"/>
      <c r="BC811" s="108"/>
      <c r="BD811" s="108"/>
      <c r="BE811" s="108"/>
      <c r="BF811" s="108"/>
      <c r="BG811" s="108"/>
      <c r="BH811" s="108"/>
      <c r="BI811" s="108"/>
      <c r="BJ811" s="108"/>
      <c r="BK811" s="108"/>
      <c r="BL811" s="108"/>
      <c r="BM811" s="108"/>
      <c r="BN811" s="108"/>
      <c r="BO811" s="108"/>
      <c r="BP811" s="108"/>
      <c r="BQ811" s="108"/>
      <c r="BR811" s="108"/>
      <c r="BS811" s="108"/>
      <c r="BT811" s="108"/>
      <c r="BU811" s="108"/>
      <c r="BV811" s="108"/>
      <c r="BW811" s="108"/>
      <c r="BX811" s="108"/>
      <c r="BY811" s="108"/>
      <c r="BZ811" s="108"/>
      <c r="CA811" s="108"/>
      <c r="CB811" s="108"/>
      <c r="CC811" s="108"/>
      <c r="CD811" s="108"/>
      <c r="CE811" s="108"/>
      <c r="CF811" s="108"/>
      <c r="CG811" s="108"/>
      <c r="CH811" s="108"/>
      <c r="CI811" s="108"/>
      <c r="CJ811" s="108"/>
      <c r="CK811" s="120">
        <f t="shared" si="192"/>
        <v>0</v>
      </c>
      <c r="CL811" s="122">
        <f t="shared" si="193"/>
        <v>0</v>
      </c>
      <c r="CM811" s="524" t="str">
        <f t="shared" si="195"/>
        <v/>
      </c>
      <c r="CN811" s="526">
        <f t="shared" si="196"/>
        <v>0</v>
      </c>
      <c r="CO811" s="122">
        <f t="shared" si="197"/>
        <v>0</v>
      </c>
      <c r="CP811" s="45" t="str">
        <f t="shared" si="194"/>
        <v>1 - in MILLESIMI   I</v>
      </c>
      <c r="CQ811" s="1"/>
    </row>
    <row r="812" spans="1:95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435">
        <f>IF(AND(W812&gt;=$U$1,W812&lt;=$U$2),IF(X812='ESTRATTO CONTO'!$E$2,1+COUNTIF(U$4:U811,"&gt;0"),0),0)</f>
        <v>0</v>
      </c>
      <c r="V812" s="417">
        <f t="shared" si="198"/>
        <v>809</v>
      </c>
      <c r="W812" s="509"/>
      <c r="X812" s="321"/>
      <c r="Y812" s="321"/>
      <c r="Z812" s="433"/>
      <c r="AA812" s="918">
        <f t="shared" si="189"/>
        <v>1</v>
      </c>
      <c r="AB812" s="306" t="str">
        <f t="shared" si="190"/>
        <v/>
      </c>
      <c r="AC812" s="788"/>
      <c r="AD812" s="119">
        <f t="shared" si="200"/>
        <v>0</v>
      </c>
      <c r="AE812" s="108">
        <f t="shared" si="200"/>
        <v>0</v>
      </c>
      <c r="AF812" s="108">
        <f t="shared" si="200"/>
        <v>0</v>
      </c>
      <c r="AG812" s="108"/>
      <c r="AH812" s="108"/>
      <c r="AI812" s="108"/>
      <c r="AJ812" s="108"/>
      <c r="AK812" s="108"/>
      <c r="AL812" s="108">
        <f t="shared" si="191"/>
        <v>0</v>
      </c>
      <c r="AM812" s="108"/>
      <c r="AN812" s="108"/>
      <c r="AO812" s="108"/>
      <c r="AP812" s="108"/>
      <c r="AQ812" s="108"/>
      <c r="AR812" s="108"/>
      <c r="AS812" s="108"/>
      <c r="AT812" s="108"/>
      <c r="AU812" s="108"/>
      <c r="AV812" s="108"/>
      <c r="AW812" s="108"/>
      <c r="AX812" s="108"/>
      <c r="AY812" s="108"/>
      <c r="AZ812" s="108"/>
      <c r="BA812" s="108"/>
      <c r="BB812" s="108"/>
      <c r="BC812" s="108"/>
      <c r="BD812" s="108"/>
      <c r="BE812" s="108"/>
      <c r="BF812" s="108"/>
      <c r="BG812" s="108"/>
      <c r="BH812" s="108"/>
      <c r="BI812" s="108"/>
      <c r="BJ812" s="108"/>
      <c r="BK812" s="108"/>
      <c r="BL812" s="108"/>
      <c r="BM812" s="108"/>
      <c r="BN812" s="108"/>
      <c r="BO812" s="108"/>
      <c r="BP812" s="108"/>
      <c r="BQ812" s="108"/>
      <c r="BR812" s="108"/>
      <c r="BS812" s="108"/>
      <c r="BT812" s="108"/>
      <c r="BU812" s="108"/>
      <c r="BV812" s="108"/>
      <c r="BW812" s="108"/>
      <c r="BX812" s="108"/>
      <c r="BY812" s="108"/>
      <c r="BZ812" s="108"/>
      <c r="CA812" s="108"/>
      <c r="CB812" s="108"/>
      <c r="CC812" s="108"/>
      <c r="CD812" s="108"/>
      <c r="CE812" s="108"/>
      <c r="CF812" s="108"/>
      <c r="CG812" s="108"/>
      <c r="CH812" s="108"/>
      <c r="CI812" s="108"/>
      <c r="CJ812" s="108"/>
      <c r="CK812" s="120">
        <f t="shared" si="192"/>
        <v>0</v>
      </c>
      <c r="CL812" s="122">
        <f t="shared" si="193"/>
        <v>0</v>
      </c>
      <c r="CM812" s="524" t="str">
        <f t="shared" si="195"/>
        <v/>
      </c>
      <c r="CN812" s="526">
        <f t="shared" si="196"/>
        <v>0</v>
      </c>
      <c r="CO812" s="122">
        <f t="shared" si="197"/>
        <v>0</v>
      </c>
      <c r="CP812" s="45" t="str">
        <f t="shared" si="194"/>
        <v>1 - in MILLESIMI   I</v>
      </c>
      <c r="CQ812" s="1"/>
    </row>
    <row r="813" spans="1:95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435">
        <f>IF(AND(W813&gt;=$U$1,W813&lt;=$U$2),IF(X813='ESTRATTO CONTO'!$E$2,1+COUNTIF(U$4:U812,"&gt;0"),0),0)</f>
        <v>0</v>
      </c>
      <c r="V813" s="417">
        <f t="shared" si="198"/>
        <v>810</v>
      </c>
      <c r="W813" s="509"/>
      <c r="X813" s="321"/>
      <c r="Y813" s="321"/>
      <c r="Z813" s="433"/>
      <c r="AA813" s="918">
        <f t="shared" si="189"/>
        <v>1</v>
      </c>
      <c r="AB813" s="306" t="str">
        <f t="shared" si="190"/>
        <v/>
      </c>
      <c r="AC813" s="788"/>
      <c r="AD813" s="119">
        <f t="shared" si="200"/>
        <v>0</v>
      </c>
      <c r="AE813" s="108">
        <f t="shared" si="200"/>
        <v>0</v>
      </c>
      <c r="AF813" s="108">
        <f t="shared" si="200"/>
        <v>0</v>
      </c>
      <c r="AG813" s="108"/>
      <c r="AH813" s="108"/>
      <c r="AI813" s="108"/>
      <c r="AJ813" s="108"/>
      <c r="AK813" s="108"/>
      <c r="AL813" s="108">
        <f t="shared" si="191"/>
        <v>0</v>
      </c>
      <c r="AM813" s="108"/>
      <c r="AN813" s="108"/>
      <c r="AO813" s="108"/>
      <c r="AP813" s="108"/>
      <c r="AQ813" s="108"/>
      <c r="AR813" s="108"/>
      <c r="AS813" s="108"/>
      <c r="AT813" s="108"/>
      <c r="AU813" s="108"/>
      <c r="AV813" s="108"/>
      <c r="AW813" s="108"/>
      <c r="AX813" s="108"/>
      <c r="AY813" s="108"/>
      <c r="AZ813" s="108"/>
      <c r="BA813" s="108"/>
      <c r="BB813" s="108"/>
      <c r="BC813" s="108"/>
      <c r="BD813" s="108"/>
      <c r="BE813" s="108"/>
      <c r="BF813" s="108"/>
      <c r="BG813" s="108"/>
      <c r="BH813" s="108"/>
      <c r="BI813" s="108"/>
      <c r="BJ813" s="108"/>
      <c r="BK813" s="108"/>
      <c r="BL813" s="108"/>
      <c r="BM813" s="108"/>
      <c r="BN813" s="108"/>
      <c r="BO813" s="108"/>
      <c r="BP813" s="108"/>
      <c r="BQ813" s="108"/>
      <c r="BR813" s="108"/>
      <c r="BS813" s="108"/>
      <c r="BT813" s="108"/>
      <c r="BU813" s="108"/>
      <c r="BV813" s="108"/>
      <c r="BW813" s="108"/>
      <c r="BX813" s="108"/>
      <c r="BY813" s="108"/>
      <c r="BZ813" s="108"/>
      <c r="CA813" s="108"/>
      <c r="CB813" s="108"/>
      <c r="CC813" s="108"/>
      <c r="CD813" s="108"/>
      <c r="CE813" s="108"/>
      <c r="CF813" s="108"/>
      <c r="CG813" s="108"/>
      <c r="CH813" s="108"/>
      <c r="CI813" s="108"/>
      <c r="CJ813" s="108"/>
      <c r="CK813" s="120">
        <f t="shared" si="192"/>
        <v>0</v>
      </c>
      <c r="CL813" s="122">
        <f t="shared" si="193"/>
        <v>0</v>
      </c>
      <c r="CM813" s="524" t="str">
        <f t="shared" si="195"/>
        <v/>
      </c>
      <c r="CN813" s="526">
        <f t="shared" si="196"/>
        <v>0</v>
      </c>
      <c r="CO813" s="122">
        <f t="shared" si="197"/>
        <v>0</v>
      </c>
      <c r="CP813" s="45" t="str">
        <f t="shared" si="194"/>
        <v>1 - in MILLESIMI   I</v>
      </c>
      <c r="CQ813" s="1"/>
    </row>
    <row r="814" spans="1:95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435">
        <f>IF(AND(W814&gt;=$U$1,W814&lt;=$U$2),IF(X814='ESTRATTO CONTO'!$E$2,1+COUNTIF(U$4:U813,"&gt;0"),0),0)</f>
        <v>0</v>
      </c>
      <c r="V814" s="417">
        <f t="shared" si="198"/>
        <v>811</v>
      </c>
      <c r="W814" s="509"/>
      <c r="X814" s="321"/>
      <c r="Y814" s="321"/>
      <c r="Z814" s="433"/>
      <c r="AA814" s="918">
        <f t="shared" si="189"/>
        <v>1</v>
      </c>
      <c r="AB814" s="306" t="str">
        <f t="shared" si="190"/>
        <v/>
      </c>
      <c r="AC814" s="788"/>
      <c r="AD814" s="119">
        <f t="shared" si="200"/>
        <v>0</v>
      </c>
      <c r="AE814" s="108">
        <f t="shared" si="200"/>
        <v>0</v>
      </c>
      <c r="AF814" s="108">
        <f t="shared" si="200"/>
        <v>0</v>
      </c>
      <c r="AG814" s="108"/>
      <c r="AH814" s="108"/>
      <c r="AI814" s="108"/>
      <c r="AJ814" s="108"/>
      <c r="AK814" s="108"/>
      <c r="AL814" s="108">
        <f t="shared" si="191"/>
        <v>0</v>
      </c>
      <c r="AM814" s="108"/>
      <c r="AN814" s="108"/>
      <c r="AO814" s="108"/>
      <c r="AP814" s="108"/>
      <c r="AQ814" s="108"/>
      <c r="AR814" s="108"/>
      <c r="AS814" s="108"/>
      <c r="AT814" s="108"/>
      <c r="AU814" s="108"/>
      <c r="AV814" s="108"/>
      <c r="AW814" s="108"/>
      <c r="AX814" s="108"/>
      <c r="AY814" s="108"/>
      <c r="AZ814" s="108"/>
      <c r="BA814" s="108"/>
      <c r="BB814" s="108"/>
      <c r="BC814" s="108"/>
      <c r="BD814" s="108"/>
      <c r="BE814" s="108"/>
      <c r="BF814" s="108"/>
      <c r="BG814" s="108"/>
      <c r="BH814" s="108"/>
      <c r="BI814" s="108"/>
      <c r="BJ814" s="108"/>
      <c r="BK814" s="108"/>
      <c r="BL814" s="108"/>
      <c r="BM814" s="108"/>
      <c r="BN814" s="108"/>
      <c r="BO814" s="108"/>
      <c r="BP814" s="108"/>
      <c r="BQ814" s="108"/>
      <c r="BR814" s="108"/>
      <c r="BS814" s="108"/>
      <c r="BT814" s="108"/>
      <c r="BU814" s="108"/>
      <c r="BV814" s="108"/>
      <c r="BW814" s="108"/>
      <c r="BX814" s="108"/>
      <c r="BY814" s="108"/>
      <c r="BZ814" s="108"/>
      <c r="CA814" s="108"/>
      <c r="CB814" s="108"/>
      <c r="CC814" s="108"/>
      <c r="CD814" s="108"/>
      <c r="CE814" s="108"/>
      <c r="CF814" s="108"/>
      <c r="CG814" s="108"/>
      <c r="CH814" s="108"/>
      <c r="CI814" s="108"/>
      <c r="CJ814" s="108"/>
      <c r="CK814" s="120">
        <f t="shared" si="192"/>
        <v>0</v>
      </c>
      <c r="CL814" s="122">
        <f t="shared" si="193"/>
        <v>0</v>
      </c>
      <c r="CM814" s="524" t="str">
        <f t="shared" si="195"/>
        <v/>
      </c>
      <c r="CN814" s="526">
        <f t="shared" si="196"/>
        <v>0</v>
      </c>
      <c r="CO814" s="122">
        <f t="shared" si="197"/>
        <v>0</v>
      </c>
      <c r="CP814" s="45" t="str">
        <f t="shared" si="194"/>
        <v>1 - in MILLESIMI   I</v>
      </c>
      <c r="CQ814" s="1"/>
    </row>
    <row r="815" spans="1:95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435">
        <f>IF(AND(W815&gt;=$U$1,W815&lt;=$U$2),IF(X815='ESTRATTO CONTO'!$E$2,1+COUNTIF(U$4:U814,"&gt;0"),0),0)</f>
        <v>0</v>
      </c>
      <c r="V815" s="417">
        <f t="shared" si="198"/>
        <v>812</v>
      </c>
      <c r="W815" s="509"/>
      <c r="X815" s="321"/>
      <c r="Y815" s="321"/>
      <c r="Z815" s="433"/>
      <c r="AA815" s="918">
        <f t="shared" si="189"/>
        <v>1</v>
      </c>
      <c r="AB815" s="306" t="str">
        <f t="shared" si="190"/>
        <v/>
      </c>
      <c r="AC815" s="788"/>
      <c r="AD815" s="119">
        <f t="shared" si="200"/>
        <v>0</v>
      </c>
      <c r="AE815" s="108">
        <f t="shared" si="200"/>
        <v>0</v>
      </c>
      <c r="AF815" s="108">
        <f t="shared" si="200"/>
        <v>0</v>
      </c>
      <c r="AG815" s="108"/>
      <c r="AH815" s="108"/>
      <c r="AI815" s="108"/>
      <c r="AJ815" s="108"/>
      <c r="AK815" s="108"/>
      <c r="AL815" s="108">
        <f t="shared" si="191"/>
        <v>0</v>
      </c>
      <c r="AM815" s="108"/>
      <c r="AN815" s="108"/>
      <c r="AO815" s="108"/>
      <c r="AP815" s="108"/>
      <c r="AQ815" s="108"/>
      <c r="AR815" s="108"/>
      <c r="AS815" s="108"/>
      <c r="AT815" s="108"/>
      <c r="AU815" s="108"/>
      <c r="AV815" s="108"/>
      <c r="AW815" s="108"/>
      <c r="AX815" s="108"/>
      <c r="AY815" s="108"/>
      <c r="AZ815" s="108"/>
      <c r="BA815" s="108"/>
      <c r="BB815" s="108"/>
      <c r="BC815" s="108"/>
      <c r="BD815" s="108"/>
      <c r="BE815" s="108"/>
      <c r="BF815" s="108"/>
      <c r="BG815" s="108"/>
      <c r="BH815" s="108"/>
      <c r="BI815" s="108"/>
      <c r="BJ815" s="108"/>
      <c r="BK815" s="108"/>
      <c r="BL815" s="108"/>
      <c r="BM815" s="108"/>
      <c r="BN815" s="108"/>
      <c r="BO815" s="108"/>
      <c r="BP815" s="108"/>
      <c r="BQ815" s="108"/>
      <c r="BR815" s="108"/>
      <c r="BS815" s="108"/>
      <c r="BT815" s="108"/>
      <c r="BU815" s="108"/>
      <c r="BV815" s="108"/>
      <c r="BW815" s="108"/>
      <c r="BX815" s="108"/>
      <c r="BY815" s="108"/>
      <c r="BZ815" s="108"/>
      <c r="CA815" s="108"/>
      <c r="CB815" s="108"/>
      <c r="CC815" s="108"/>
      <c r="CD815" s="108"/>
      <c r="CE815" s="108"/>
      <c r="CF815" s="108"/>
      <c r="CG815" s="108"/>
      <c r="CH815" s="108"/>
      <c r="CI815" s="108"/>
      <c r="CJ815" s="108"/>
      <c r="CK815" s="120">
        <f t="shared" si="192"/>
        <v>0</v>
      </c>
      <c r="CL815" s="122">
        <f t="shared" si="193"/>
        <v>0</v>
      </c>
      <c r="CM815" s="524" t="str">
        <f t="shared" si="195"/>
        <v/>
      </c>
      <c r="CN815" s="526">
        <f t="shared" si="196"/>
        <v>0</v>
      </c>
      <c r="CO815" s="122">
        <f t="shared" si="197"/>
        <v>0</v>
      </c>
      <c r="CP815" s="45" t="str">
        <f t="shared" si="194"/>
        <v>1 - in MILLESIMI   I</v>
      </c>
      <c r="CQ815" s="1"/>
    </row>
    <row r="816" spans="1:95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435">
        <f>IF(AND(W816&gt;=$U$1,W816&lt;=$U$2),IF(X816='ESTRATTO CONTO'!$E$2,1+COUNTIF(U$4:U815,"&gt;0"),0),0)</f>
        <v>0</v>
      </c>
      <c r="V816" s="417">
        <f t="shared" si="198"/>
        <v>813</v>
      </c>
      <c r="W816" s="509"/>
      <c r="X816" s="321"/>
      <c r="Y816" s="321"/>
      <c r="Z816" s="433"/>
      <c r="AA816" s="918">
        <f t="shared" si="189"/>
        <v>1</v>
      </c>
      <c r="AB816" s="306" t="str">
        <f t="shared" si="190"/>
        <v/>
      </c>
      <c r="AC816" s="788"/>
      <c r="AD816" s="119">
        <f t="shared" si="200"/>
        <v>0</v>
      </c>
      <c r="AE816" s="108">
        <f t="shared" si="200"/>
        <v>0</v>
      </c>
      <c r="AF816" s="108">
        <f t="shared" si="200"/>
        <v>0</v>
      </c>
      <c r="AG816" s="108"/>
      <c r="AH816" s="108"/>
      <c r="AI816" s="108"/>
      <c r="AJ816" s="108"/>
      <c r="AK816" s="108"/>
      <c r="AL816" s="108">
        <f t="shared" si="191"/>
        <v>0</v>
      </c>
      <c r="AM816" s="108"/>
      <c r="AN816" s="108"/>
      <c r="AO816" s="108"/>
      <c r="AP816" s="108"/>
      <c r="AQ816" s="108"/>
      <c r="AR816" s="108"/>
      <c r="AS816" s="108"/>
      <c r="AT816" s="108"/>
      <c r="AU816" s="108"/>
      <c r="AV816" s="108"/>
      <c r="AW816" s="108"/>
      <c r="AX816" s="108"/>
      <c r="AY816" s="108"/>
      <c r="AZ816" s="108"/>
      <c r="BA816" s="108"/>
      <c r="BB816" s="108"/>
      <c r="BC816" s="108"/>
      <c r="BD816" s="108"/>
      <c r="BE816" s="108"/>
      <c r="BF816" s="108"/>
      <c r="BG816" s="108"/>
      <c r="BH816" s="108"/>
      <c r="BI816" s="108"/>
      <c r="BJ816" s="108"/>
      <c r="BK816" s="108"/>
      <c r="BL816" s="108"/>
      <c r="BM816" s="108"/>
      <c r="BN816" s="108"/>
      <c r="BO816" s="108"/>
      <c r="BP816" s="108"/>
      <c r="BQ816" s="108"/>
      <c r="BR816" s="108"/>
      <c r="BS816" s="108"/>
      <c r="BT816" s="108"/>
      <c r="BU816" s="108"/>
      <c r="BV816" s="108"/>
      <c r="BW816" s="108"/>
      <c r="BX816" s="108"/>
      <c r="BY816" s="108"/>
      <c r="BZ816" s="108"/>
      <c r="CA816" s="108"/>
      <c r="CB816" s="108"/>
      <c r="CC816" s="108"/>
      <c r="CD816" s="108"/>
      <c r="CE816" s="108"/>
      <c r="CF816" s="108"/>
      <c r="CG816" s="108"/>
      <c r="CH816" s="108"/>
      <c r="CI816" s="108"/>
      <c r="CJ816" s="108"/>
      <c r="CK816" s="120">
        <f t="shared" si="192"/>
        <v>0</v>
      </c>
      <c r="CL816" s="122">
        <f t="shared" si="193"/>
        <v>0</v>
      </c>
      <c r="CM816" s="524" t="str">
        <f t="shared" si="195"/>
        <v/>
      </c>
      <c r="CN816" s="526">
        <f t="shared" si="196"/>
        <v>0</v>
      </c>
      <c r="CO816" s="122">
        <f t="shared" si="197"/>
        <v>0</v>
      </c>
      <c r="CP816" s="45" t="str">
        <f t="shared" si="194"/>
        <v>1 - in MILLESIMI   I</v>
      </c>
      <c r="CQ816" s="1"/>
    </row>
    <row r="817" spans="1:95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435">
        <f>IF(AND(W817&gt;=$U$1,W817&lt;=$U$2),IF(X817='ESTRATTO CONTO'!$E$2,1+COUNTIF(U$4:U816,"&gt;0"),0),0)</f>
        <v>0</v>
      </c>
      <c r="V817" s="417">
        <f t="shared" si="198"/>
        <v>814</v>
      </c>
      <c r="W817" s="509"/>
      <c r="X817" s="321"/>
      <c r="Y817" s="321"/>
      <c r="Z817" s="433"/>
      <c r="AA817" s="918">
        <f t="shared" si="189"/>
        <v>1</v>
      </c>
      <c r="AB817" s="306" t="str">
        <f t="shared" si="190"/>
        <v/>
      </c>
      <c r="AC817" s="788"/>
      <c r="AD817" s="119">
        <f t="shared" si="200"/>
        <v>0</v>
      </c>
      <c r="AE817" s="108">
        <f t="shared" si="200"/>
        <v>0</v>
      </c>
      <c r="AF817" s="108">
        <f t="shared" si="200"/>
        <v>0</v>
      </c>
      <c r="AG817" s="108"/>
      <c r="AH817" s="108"/>
      <c r="AI817" s="108"/>
      <c r="AJ817" s="108"/>
      <c r="AK817" s="108"/>
      <c r="AL817" s="108">
        <f t="shared" si="191"/>
        <v>0</v>
      </c>
      <c r="AM817" s="108"/>
      <c r="AN817" s="108"/>
      <c r="AO817" s="108"/>
      <c r="AP817" s="108"/>
      <c r="AQ817" s="108"/>
      <c r="AR817" s="108"/>
      <c r="AS817" s="108"/>
      <c r="AT817" s="108"/>
      <c r="AU817" s="108"/>
      <c r="AV817" s="108"/>
      <c r="AW817" s="108"/>
      <c r="AX817" s="108"/>
      <c r="AY817" s="108"/>
      <c r="AZ817" s="108"/>
      <c r="BA817" s="108"/>
      <c r="BB817" s="108"/>
      <c r="BC817" s="108"/>
      <c r="BD817" s="108"/>
      <c r="BE817" s="108"/>
      <c r="BF817" s="108"/>
      <c r="BG817" s="108"/>
      <c r="BH817" s="108"/>
      <c r="BI817" s="108"/>
      <c r="BJ817" s="108"/>
      <c r="BK817" s="108"/>
      <c r="BL817" s="108"/>
      <c r="BM817" s="108"/>
      <c r="BN817" s="108"/>
      <c r="BO817" s="108"/>
      <c r="BP817" s="108"/>
      <c r="BQ817" s="108"/>
      <c r="BR817" s="108"/>
      <c r="BS817" s="108"/>
      <c r="BT817" s="108"/>
      <c r="BU817" s="108"/>
      <c r="BV817" s="108"/>
      <c r="BW817" s="108"/>
      <c r="BX817" s="108"/>
      <c r="BY817" s="108"/>
      <c r="BZ817" s="108"/>
      <c r="CA817" s="108"/>
      <c r="CB817" s="108"/>
      <c r="CC817" s="108"/>
      <c r="CD817" s="108"/>
      <c r="CE817" s="108"/>
      <c r="CF817" s="108"/>
      <c r="CG817" s="108"/>
      <c r="CH817" s="108"/>
      <c r="CI817" s="108"/>
      <c r="CJ817" s="108"/>
      <c r="CK817" s="120">
        <f t="shared" si="192"/>
        <v>0</v>
      </c>
      <c r="CL817" s="122">
        <f t="shared" si="193"/>
        <v>0</v>
      </c>
      <c r="CM817" s="524" t="str">
        <f t="shared" si="195"/>
        <v/>
      </c>
      <c r="CN817" s="526">
        <f t="shared" si="196"/>
        <v>0</v>
      </c>
      <c r="CO817" s="122">
        <f t="shared" si="197"/>
        <v>0</v>
      </c>
      <c r="CP817" s="45" t="str">
        <f t="shared" si="194"/>
        <v>1 - in MILLESIMI   I</v>
      </c>
      <c r="CQ817" s="1"/>
    </row>
    <row r="818" spans="1:95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435">
        <f>IF(AND(W818&gt;=$U$1,W818&lt;=$U$2),IF(X818='ESTRATTO CONTO'!$E$2,1+COUNTIF(U$4:U817,"&gt;0"),0),0)</f>
        <v>0</v>
      </c>
      <c r="V818" s="417">
        <f t="shared" si="198"/>
        <v>815</v>
      </c>
      <c r="W818" s="509"/>
      <c r="X818" s="321"/>
      <c r="Y818" s="321"/>
      <c r="Z818" s="433"/>
      <c r="AA818" s="918">
        <f t="shared" si="189"/>
        <v>1</v>
      </c>
      <c r="AB818" s="306" t="str">
        <f t="shared" si="190"/>
        <v/>
      </c>
      <c r="AC818" s="788"/>
      <c r="AD818" s="119">
        <f t="shared" si="200"/>
        <v>0</v>
      </c>
      <c r="AE818" s="108">
        <f t="shared" si="200"/>
        <v>0</v>
      </c>
      <c r="AF818" s="108">
        <f t="shared" si="200"/>
        <v>0</v>
      </c>
      <c r="AG818" s="108"/>
      <c r="AH818" s="108"/>
      <c r="AI818" s="108"/>
      <c r="AJ818" s="108"/>
      <c r="AK818" s="108"/>
      <c r="AL818" s="108">
        <f t="shared" si="191"/>
        <v>0</v>
      </c>
      <c r="AM818" s="108"/>
      <c r="AN818" s="108"/>
      <c r="AO818" s="108"/>
      <c r="AP818" s="108"/>
      <c r="AQ818" s="108"/>
      <c r="AR818" s="108"/>
      <c r="AS818" s="108"/>
      <c r="AT818" s="108"/>
      <c r="AU818" s="108"/>
      <c r="AV818" s="108"/>
      <c r="AW818" s="108"/>
      <c r="AX818" s="108"/>
      <c r="AY818" s="108"/>
      <c r="AZ818" s="108"/>
      <c r="BA818" s="108"/>
      <c r="BB818" s="108"/>
      <c r="BC818" s="108"/>
      <c r="BD818" s="108"/>
      <c r="BE818" s="108"/>
      <c r="BF818" s="108"/>
      <c r="BG818" s="108"/>
      <c r="BH818" s="108"/>
      <c r="BI818" s="108"/>
      <c r="BJ818" s="108"/>
      <c r="BK818" s="108"/>
      <c r="BL818" s="108"/>
      <c r="BM818" s="108"/>
      <c r="BN818" s="108"/>
      <c r="BO818" s="108"/>
      <c r="BP818" s="108"/>
      <c r="BQ818" s="108"/>
      <c r="BR818" s="108"/>
      <c r="BS818" s="108"/>
      <c r="BT818" s="108"/>
      <c r="BU818" s="108"/>
      <c r="BV818" s="108"/>
      <c r="BW818" s="108"/>
      <c r="BX818" s="108"/>
      <c r="BY818" s="108"/>
      <c r="BZ818" s="108"/>
      <c r="CA818" s="108"/>
      <c r="CB818" s="108"/>
      <c r="CC818" s="108"/>
      <c r="CD818" s="108"/>
      <c r="CE818" s="108"/>
      <c r="CF818" s="108"/>
      <c r="CG818" s="108"/>
      <c r="CH818" s="108"/>
      <c r="CI818" s="108"/>
      <c r="CJ818" s="108"/>
      <c r="CK818" s="120">
        <f t="shared" si="192"/>
        <v>0</v>
      </c>
      <c r="CL818" s="122">
        <f t="shared" si="193"/>
        <v>0</v>
      </c>
      <c r="CM818" s="524" t="str">
        <f t="shared" si="195"/>
        <v/>
      </c>
      <c r="CN818" s="526">
        <f t="shared" si="196"/>
        <v>0</v>
      </c>
      <c r="CO818" s="122">
        <f t="shared" si="197"/>
        <v>0</v>
      </c>
      <c r="CP818" s="45" t="str">
        <f t="shared" si="194"/>
        <v>1 - in MILLESIMI   I</v>
      </c>
      <c r="CQ818" s="1"/>
    </row>
    <row r="819" spans="1:95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435">
        <f>IF(AND(W819&gt;=$U$1,W819&lt;=$U$2),IF(X819='ESTRATTO CONTO'!$E$2,1+COUNTIF(U$4:U818,"&gt;0"),0),0)</f>
        <v>0</v>
      </c>
      <c r="V819" s="417">
        <f t="shared" si="198"/>
        <v>816</v>
      </c>
      <c r="W819" s="509"/>
      <c r="X819" s="321"/>
      <c r="Y819" s="321"/>
      <c r="Z819" s="433"/>
      <c r="AA819" s="918">
        <f t="shared" si="189"/>
        <v>1</v>
      </c>
      <c r="AB819" s="306" t="str">
        <f t="shared" si="190"/>
        <v/>
      </c>
      <c r="AC819" s="788"/>
      <c r="AD819" s="119">
        <f t="shared" si="200"/>
        <v>0</v>
      </c>
      <c r="AE819" s="108">
        <f t="shared" si="200"/>
        <v>0</v>
      </c>
      <c r="AF819" s="108">
        <f t="shared" si="200"/>
        <v>0</v>
      </c>
      <c r="AG819" s="108"/>
      <c r="AH819" s="108"/>
      <c r="AI819" s="108"/>
      <c r="AJ819" s="108"/>
      <c r="AK819" s="108"/>
      <c r="AL819" s="108">
        <f t="shared" si="191"/>
        <v>0</v>
      </c>
      <c r="AM819" s="108"/>
      <c r="AN819" s="108"/>
      <c r="AO819" s="108"/>
      <c r="AP819" s="108"/>
      <c r="AQ819" s="108"/>
      <c r="AR819" s="108"/>
      <c r="AS819" s="108"/>
      <c r="AT819" s="108"/>
      <c r="AU819" s="108"/>
      <c r="AV819" s="108"/>
      <c r="AW819" s="108"/>
      <c r="AX819" s="108"/>
      <c r="AY819" s="108"/>
      <c r="AZ819" s="108"/>
      <c r="BA819" s="108"/>
      <c r="BB819" s="108"/>
      <c r="BC819" s="108"/>
      <c r="BD819" s="108"/>
      <c r="BE819" s="108"/>
      <c r="BF819" s="108"/>
      <c r="BG819" s="108"/>
      <c r="BH819" s="108"/>
      <c r="BI819" s="108"/>
      <c r="BJ819" s="108"/>
      <c r="BK819" s="108"/>
      <c r="BL819" s="108"/>
      <c r="BM819" s="108"/>
      <c r="BN819" s="108"/>
      <c r="BO819" s="108"/>
      <c r="BP819" s="108"/>
      <c r="BQ819" s="108"/>
      <c r="BR819" s="108"/>
      <c r="BS819" s="108"/>
      <c r="BT819" s="108"/>
      <c r="BU819" s="108"/>
      <c r="BV819" s="108"/>
      <c r="BW819" s="108"/>
      <c r="BX819" s="108"/>
      <c r="BY819" s="108"/>
      <c r="BZ819" s="108"/>
      <c r="CA819" s="108"/>
      <c r="CB819" s="108"/>
      <c r="CC819" s="108"/>
      <c r="CD819" s="108"/>
      <c r="CE819" s="108"/>
      <c r="CF819" s="108"/>
      <c r="CG819" s="108"/>
      <c r="CH819" s="108"/>
      <c r="CI819" s="108"/>
      <c r="CJ819" s="108"/>
      <c r="CK819" s="120">
        <f t="shared" si="192"/>
        <v>0</v>
      </c>
      <c r="CL819" s="122">
        <f t="shared" si="193"/>
        <v>0</v>
      </c>
      <c r="CM819" s="524" t="str">
        <f t="shared" si="195"/>
        <v/>
      </c>
      <c r="CN819" s="526">
        <f t="shared" si="196"/>
        <v>0</v>
      </c>
      <c r="CO819" s="122">
        <f t="shared" si="197"/>
        <v>0</v>
      </c>
      <c r="CP819" s="45" t="str">
        <f t="shared" si="194"/>
        <v>1 - in MILLESIMI   I</v>
      </c>
      <c r="CQ819" s="1"/>
    </row>
    <row r="820" spans="1:95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435">
        <f>IF(AND(W820&gt;=$U$1,W820&lt;=$U$2),IF(X820='ESTRATTO CONTO'!$E$2,1+COUNTIF(U$4:U819,"&gt;0"),0),0)</f>
        <v>0</v>
      </c>
      <c r="V820" s="417">
        <f t="shared" si="198"/>
        <v>817</v>
      </c>
      <c r="W820" s="509"/>
      <c r="X820" s="321"/>
      <c r="Y820" s="321"/>
      <c r="Z820" s="433"/>
      <c r="AA820" s="918">
        <f t="shared" si="189"/>
        <v>1</v>
      </c>
      <c r="AB820" s="306" t="str">
        <f t="shared" si="190"/>
        <v/>
      </c>
      <c r="AC820" s="788"/>
      <c r="AD820" s="119">
        <f t="shared" si="200"/>
        <v>0</v>
      </c>
      <c r="AE820" s="108">
        <f t="shared" si="200"/>
        <v>0</v>
      </c>
      <c r="AF820" s="108">
        <f t="shared" si="200"/>
        <v>0</v>
      </c>
      <c r="AG820" s="108"/>
      <c r="AH820" s="108"/>
      <c r="AI820" s="108"/>
      <c r="AJ820" s="108"/>
      <c r="AK820" s="108"/>
      <c r="AL820" s="108">
        <f t="shared" si="191"/>
        <v>0</v>
      </c>
      <c r="AM820" s="108"/>
      <c r="AN820" s="108"/>
      <c r="AO820" s="108"/>
      <c r="AP820" s="108"/>
      <c r="AQ820" s="108"/>
      <c r="AR820" s="108"/>
      <c r="AS820" s="108"/>
      <c r="AT820" s="108"/>
      <c r="AU820" s="108"/>
      <c r="AV820" s="108"/>
      <c r="AW820" s="108"/>
      <c r="AX820" s="108"/>
      <c r="AY820" s="108"/>
      <c r="AZ820" s="108"/>
      <c r="BA820" s="108"/>
      <c r="BB820" s="108"/>
      <c r="BC820" s="108"/>
      <c r="BD820" s="108"/>
      <c r="BE820" s="108"/>
      <c r="BF820" s="108"/>
      <c r="BG820" s="108"/>
      <c r="BH820" s="108"/>
      <c r="BI820" s="108"/>
      <c r="BJ820" s="108"/>
      <c r="BK820" s="108"/>
      <c r="BL820" s="108"/>
      <c r="BM820" s="108"/>
      <c r="BN820" s="108"/>
      <c r="BO820" s="108"/>
      <c r="BP820" s="108"/>
      <c r="BQ820" s="108"/>
      <c r="BR820" s="108"/>
      <c r="BS820" s="108"/>
      <c r="BT820" s="108"/>
      <c r="BU820" s="108"/>
      <c r="BV820" s="108"/>
      <c r="BW820" s="108"/>
      <c r="BX820" s="108"/>
      <c r="BY820" s="108"/>
      <c r="BZ820" s="108"/>
      <c r="CA820" s="108"/>
      <c r="CB820" s="108"/>
      <c r="CC820" s="108"/>
      <c r="CD820" s="108"/>
      <c r="CE820" s="108"/>
      <c r="CF820" s="108"/>
      <c r="CG820" s="108"/>
      <c r="CH820" s="108"/>
      <c r="CI820" s="108"/>
      <c r="CJ820" s="108"/>
      <c r="CK820" s="120">
        <f t="shared" si="192"/>
        <v>0</v>
      </c>
      <c r="CL820" s="122">
        <f t="shared" si="193"/>
        <v>0</v>
      </c>
      <c r="CM820" s="524" t="str">
        <f t="shared" si="195"/>
        <v/>
      </c>
      <c r="CN820" s="526">
        <f t="shared" si="196"/>
        <v>0</v>
      </c>
      <c r="CO820" s="122">
        <f t="shared" si="197"/>
        <v>0</v>
      </c>
      <c r="CP820" s="45" t="str">
        <f t="shared" si="194"/>
        <v>1 - in MILLESIMI   I</v>
      </c>
      <c r="CQ820" s="1"/>
    </row>
    <row r="821" spans="1:95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435">
        <f>IF(AND(W821&gt;=$U$1,W821&lt;=$U$2),IF(X821='ESTRATTO CONTO'!$E$2,1+COUNTIF(U$4:U820,"&gt;0"),0),0)</f>
        <v>0</v>
      </c>
      <c r="V821" s="417">
        <f t="shared" si="198"/>
        <v>818</v>
      </c>
      <c r="W821" s="509"/>
      <c r="X821" s="321"/>
      <c r="Y821" s="321"/>
      <c r="Z821" s="433"/>
      <c r="AA821" s="918">
        <f t="shared" si="189"/>
        <v>1</v>
      </c>
      <c r="AB821" s="306" t="str">
        <f t="shared" si="190"/>
        <v/>
      </c>
      <c r="AC821" s="788"/>
      <c r="AD821" s="119">
        <f t="shared" si="200"/>
        <v>0</v>
      </c>
      <c r="AE821" s="108">
        <f t="shared" si="200"/>
        <v>0</v>
      </c>
      <c r="AF821" s="108">
        <f t="shared" si="200"/>
        <v>0</v>
      </c>
      <c r="AG821" s="108"/>
      <c r="AH821" s="108"/>
      <c r="AI821" s="108"/>
      <c r="AJ821" s="108"/>
      <c r="AK821" s="108"/>
      <c r="AL821" s="108">
        <f t="shared" si="191"/>
        <v>0</v>
      </c>
      <c r="AM821" s="108"/>
      <c r="AN821" s="108"/>
      <c r="AO821" s="108"/>
      <c r="AP821" s="108"/>
      <c r="AQ821" s="108"/>
      <c r="AR821" s="108"/>
      <c r="AS821" s="108"/>
      <c r="AT821" s="108"/>
      <c r="AU821" s="108"/>
      <c r="AV821" s="108"/>
      <c r="AW821" s="108"/>
      <c r="AX821" s="108"/>
      <c r="AY821" s="108"/>
      <c r="AZ821" s="108"/>
      <c r="BA821" s="108"/>
      <c r="BB821" s="108"/>
      <c r="BC821" s="108"/>
      <c r="BD821" s="108"/>
      <c r="BE821" s="108"/>
      <c r="BF821" s="108"/>
      <c r="BG821" s="108"/>
      <c r="BH821" s="108"/>
      <c r="BI821" s="108"/>
      <c r="BJ821" s="108"/>
      <c r="BK821" s="108"/>
      <c r="BL821" s="108"/>
      <c r="BM821" s="108"/>
      <c r="BN821" s="108"/>
      <c r="BO821" s="108"/>
      <c r="BP821" s="108"/>
      <c r="BQ821" s="108"/>
      <c r="BR821" s="108"/>
      <c r="BS821" s="108"/>
      <c r="BT821" s="108"/>
      <c r="BU821" s="108"/>
      <c r="BV821" s="108"/>
      <c r="BW821" s="108"/>
      <c r="BX821" s="108"/>
      <c r="BY821" s="108"/>
      <c r="BZ821" s="108"/>
      <c r="CA821" s="108"/>
      <c r="CB821" s="108"/>
      <c r="CC821" s="108"/>
      <c r="CD821" s="108"/>
      <c r="CE821" s="108"/>
      <c r="CF821" s="108"/>
      <c r="CG821" s="108"/>
      <c r="CH821" s="108"/>
      <c r="CI821" s="108"/>
      <c r="CJ821" s="108"/>
      <c r="CK821" s="120">
        <f t="shared" si="192"/>
        <v>0</v>
      </c>
      <c r="CL821" s="122">
        <f t="shared" si="193"/>
        <v>0</v>
      </c>
      <c r="CM821" s="524" t="str">
        <f t="shared" si="195"/>
        <v/>
      </c>
      <c r="CN821" s="526">
        <f t="shared" si="196"/>
        <v>0</v>
      </c>
      <c r="CO821" s="122">
        <f t="shared" si="197"/>
        <v>0</v>
      </c>
      <c r="CP821" s="45" t="str">
        <f t="shared" si="194"/>
        <v>1 - in MILLESIMI   I</v>
      </c>
      <c r="CQ821" s="1"/>
    </row>
    <row r="822" spans="1:95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435">
        <f>IF(AND(W822&gt;=$U$1,W822&lt;=$U$2),IF(X822='ESTRATTO CONTO'!$E$2,1+COUNTIF(U$4:U821,"&gt;0"),0),0)</f>
        <v>0</v>
      </c>
      <c r="V822" s="417">
        <f t="shared" si="198"/>
        <v>819</v>
      </c>
      <c r="W822" s="509"/>
      <c r="X822" s="321"/>
      <c r="Y822" s="321"/>
      <c r="Z822" s="433"/>
      <c r="AA822" s="918">
        <f t="shared" si="189"/>
        <v>1</v>
      </c>
      <c r="AB822" s="306" t="str">
        <f t="shared" si="190"/>
        <v/>
      </c>
      <c r="AC822" s="788"/>
      <c r="AD822" s="119">
        <f t="shared" si="200"/>
        <v>0</v>
      </c>
      <c r="AE822" s="108">
        <f t="shared" si="200"/>
        <v>0</v>
      </c>
      <c r="AF822" s="108">
        <f t="shared" si="200"/>
        <v>0</v>
      </c>
      <c r="AG822" s="108"/>
      <c r="AH822" s="108"/>
      <c r="AI822" s="108"/>
      <c r="AJ822" s="108"/>
      <c r="AK822" s="108"/>
      <c r="AL822" s="108">
        <f t="shared" si="191"/>
        <v>0</v>
      </c>
      <c r="AM822" s="108"/>
      <c r="AN822" s="108"/>
      <c r="AO822" s="108"/>
      <c r="AP822" s="108"/>
      <c r="AQ822" s="108"/>
      <c r="AR822" s="108"/>
      <c r="AS822" s="108"/>
      <c r="AT822" s="108"/>
      <c r="AU822" s="108"/>
      <c r="AV822" s="108"/>
      <c r="AW822" s="108"/>
      <c r="AX822" s="108"/>
      <c r="AY822" s="108"/>
      <c r="AZ822" s="108"/>
      <c r="BA822" s="108"/>
      <c r="BB822" s="108"/>
      <c r="BC822" s="108"/>
      <c r="BD822" s="108"/>
      <c r="BE822" s="108"/>
      <c r="BF822" s="108"/>
      <c r="BG822" s="108"/>
      <c r="BH822" s="108"/>
      <c r="BI822" s="108"/>
      <c r="BJ822" s="108"/>
      <c r="BK822" s="108"/>
      <c r="BL822" s="108"/>
      <c r="BM822" s="108"/>
      <c r="BN822" s="108"/>
      <c r="BO822" s="108"/>
      <c r="BP822" s="108"/>
      <c r="BQ822" s="108"/>
      <c r="BR822" s="108"/>
      <c r="BS822" s="108"/>
      <c r="BT822" s="108"/>
      <c r="BU822" s="108"/>
      <c r="BV822" s="108"/>
      <c r="BW822" s="108"/>
      <c r="BX822" s="108"/>
      <c r="BY822" s="108"/>
      <c r="BZ822" s="108"/>
      <c r="CA822" s="108"/>
      <c r="CB822" s="108"/>
      <c r="CC822" s="108"/>
      <c r="CD822" s="108"/>
      <c r="CE822" s="108"/>
      <c r="CF822" s="108"/>
      <c r="CG822" s="108"/>
      <c r="CH822" s="108"/>
      <c r="CI822" s="108"/>
      <c r="CJ822" s="108"/>
      <c r="CK822" s="120">
        <f t="shared" si="192"/>
        <v>0</v>
      </c>
      <c r="CL822" s="122">
        <f t="shared" si="193"/>
        <v>0</v>
      </c>
      <c r="CM822" s="524" t="str">
        <f t="shared" si="195"/>
        <v/>
      </c>
      <c r="CN822" s="526">
        <f t="shared" si="196"/>
        <v>0</v>
      </c>
      <c r="CO822" s="122">
        <f t="shared" si="197"/>
        <v>0</v>
      </c>
      <c r="CP822" s="45" t="str">
        <f t="shared" si="194"/>
        <v>1 - in MILLESIMI   I</v>
      </c>
      <c r="CQ822" s="1"/>
    </row>
    <row r="823" spans="1:95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435">
        <f>IF(AND(W823&gt;=$U$1,W823&lt;=$U$2),IF(X823='ESTRATTO CONTO'!$E$2,1+COUNTIF(U$4:U822,"&gt;0"),0),0)</f>
        <v>0</v>
      </c>
      <c r="V823" s="417">
        <f t="shared" si="198"/>
        <v>820</v>
      </c>
      <c r="W823" s="509"/>
      <c r="X823" s="321"/>
      <c r="Y823" s="321"/>
      <c r="Z823" s="433"/>
      <c r="AA823" s="918">
        <f t="shared" si="189"/>
        <v>1</v>
      </c>
      <c r="AB823" s="306" t="str">
        <f t="shared" si="190"/>
        <v/>
      </c>
      <c r="AC823" s="788"/>
      <c r="AD823" s="119">
        <f t="shared" si="200"/>
        <v>0</v>
      </c>
      <c r="AE823" s="108">
        <f t="shared" si="200"/>
        <v>0</v>
      </c>
      <c r="AF823" s="108">
        <f t="shared" si="200"/>
        <v>0</v>
      </c>
      <c r="AG823" s="108"/>
      <c r="AH823" s="108"/>
      <c r="AI823" s="108"/>
      <c r="AJ823" s="108"/>
      <c r="AK823" s="108"/>
      <c r="AL823" s="108">
        <f t="shared" si="191"/>
        <v>0</v>
      </c>
      <c r="AM823" s="108"/>
      <c r="AN823" s="108"/>
      <c r="AO823" s="108"/>
      <c r="AP823" s="108"/>
      <c r="AQ823" s="108"/>
      <c r="AR823" s="108"/>
      <c r="AS823" s="108"/>
      <c r="AT823" s="108"/>
      <c r="AU823" s="108"/>
      <c r="AV823" s="108"/>
      <c r="AW823" s="108"/>
      <c r="AX823" s="108"/>
      <c r="AY823" s="108"/>
      <c r="AZ823" s="108"/>
      <c r="BA823" s="108"/>
      <c r="BB823" s="108"/>
      <c r="BC823" s="108"/>
      <c r="BD823" s="108"/>
      <c r="BE823" s="108"/>
      <c r="BF823" s="108"/>
      <c r="BG823" s="108"/>
      <c r="BH823" s="108"/>
      <c r="BI823" s="108"/>
      <c r="BJ823" s="108"/>
      <c r="BK823" s="108"/>
      <c r="BL823" s="108"/>
      <c r="BM823" s="108"/>
      <c r="BN823" s="108"/>
      <c r="BO823" s="108"/>
      <c r="BP823" s="108"/>
      <c r="BQ823" s="108"/>
      <c r="BR823" s="108"/>
      <c r="BS823" s="108"/>
      <c r="BT823" s="108"/>
      <c r="BU823" s="108"/>
      <c r="BV823" s="108"/>
      <c r="BW823" s="108"/>
      <c r="BX823" s="108"/>
      <c r="BY823" s="108"/>
      <c r="BZ823" s="108"/>
      <c r="CA823" s="108"/>
      <c r="CB823" s="108"/>
      <c r="CC823" s="108"/>
      <c r="CD823" s="108"/>
      <c r="CE823" s="108"/>
      <c r="CF823" s="108"/>
      <c r="CG823" s="108"/>
      <c r="CH823" s="108"/>
      <c r="CI823" s="108"/>
      <c r="CJ823" s="108"/>
      <c r="CK823" s="120">
        <f t="shared" si="192"/>
        <v>0</v>
      </c>
      <c r="CL823" s="122">
        <f t="shared" si="193"/>
        <v>0</v>
      </c>
      <c r="CM823" s="524" t="str">
        <f t="shared" si="195"/>
        <v/>
      </c>
      <c r="CN823" s="526">
        <f t="shared" si="196"/>
        <v>0</v>
      </c>
      <c r="CO823" s="122">
        <f t="shared" si="197"/>
        <v>0</v>
      </c>
      <c r="CP823" s="45" t="str">
        <f t="shared" si="194"/>
        <v>1 - in MILLESIMI   I</v>
      </c>
      <c r="CQ823" s="1"/>
    </row>
    <row r="824" spans="1:95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435">
        <f>IF(AND(W824&gt;=$U$1,W824&lt;=$U$2),IF(X824='ESTRATTO CONTO'!$E$2,1+COUNTIF(U$4:U823,"&gt;0"),0),0)</f>
        <v>0</v>
      </c>
      <c r="V824" s="417">
        <f t="shared" si="198"/>
        <v>821</v>
      </c>
      <c r="W824" s="509"/>
      <c r="X824" s="321"/>
      <c r="Y824" s="321"/>
      <c r="Z824" s="433"/>
      <c r="AA824" s="918">
        <f t="shared" si="189"/>
        <v>1</v>
      </c>
      <c r="AB824" s="306" t="str">
        <f t="shared" si="190"/>
        <v/>
      </c>
      <c r="AC824" s="788"/>
      <c r="AD824" s="119">
        <f t="shared" ref="AD824:AF843" si="201">IF($AB824=0,0,ROUND($Z824*VLOOKUP(AD$2,$F$1010:$Q$1014,VLOOKUP($CP824,$C$1076:$E$1081,3,FALSE),FALSE),2))</f>
        <v>0</v>
      </c>
      <c r="AE824" s="108">
        <f t="shared" si="201"/>
        <v>0</v>
      </c>
      <c r="AF824" s="108">
        <f t="shared" si="201"/>
        <v>0</v>
      </c>
      <c r="AG824" s="108"/>
      <c r="AH824" s="108"/>
      <c r="AI824" s="108"/>
      <c r="AJ824" s="108"/>
      <c r="AK824" s="108"/>
      <c r="AL824" s="108">
        <f t="shared" si="191"/>
        <v>0</v>
      </c>
      <c r="AM824" s="108"/>
      <c r="AN824" s="108"/>
      <c r="AO824" s="108"/>
      <c r="AP824" s="108"/>
      <c r="AQ824" s="108"/>
      <c r="AR824" s="108"/>
      <c r="AS824" s="108"/>
      <c r="AT824" s="108"/>
      <c r="AU824" s="108"/>
      <c r="AV824" s="108"/>
      <c r="AW824" s="108"/>
      <c r="AX824" s="108"/>
      <c r="AY824" s="108"/>
      <c r="AZ824" s="108"/>
      <c r="BA824" s="108"/>
      <c r="BB824" s="108"/>
      <c r="BC824" s="108"/>
      <c r="BD824" s="108"/>
      <c r="BE824" s="108"/>
      <c r="BF824" s="108"/>
      <c r="BG824" s="108"/>
      <c r="BH824" s="108"/>
      <c r="BI824" s="108"/>
      <c r="BJ824" s="108"/>
      <c r="BK824" s="108"/>
      <c r="BL824" s="108"/>
      <c r="BM824" s="108"/>
      <c r="BN824" s="108"/>
      <c r="BO824" s="108"/>
      <c r="BP824" s="108"/>
      <c r="BQ824" s="108"/>
      <c r="BR824" s="108"/>
      <c r="BS824" s="108"/>
      <c r="BT824" s="108"/>
      <c r="BU824" s="108"/>
      <c r="BV824" s="108"/>
      <c r="BW824" s="108"/>
      <c r="BX824" s="108"/>
      <c r="BY824" s="108"/>
      <c r="BZ824" s="108"/>
      <c r="CA824" s="108"/>
      <c r="CB824" s="108"/>
      <c r="CC824" s="108"/>
      <c r="CD824" s="108"/>
      <c r="CE824" s="108"/>
      <c r="CF824" s="108"/>
      <c r="CG824" s="108"/>
      <c r="CH824" s="108"/>
      <c r="CI824" s="108"/>
      <c r="CJ824" s="108"/>
      <c r="CK824" s="120">
        <f t="shared" si="192"/>
        <v>0</v>
      </c>
      <c r="CL824" s="122">
        <f t="shared" si="193"/>
        <v>0</v>
      </c>
      <c r="CM824" s="524" t="str">
        <f t="shared" si="195"/>
        <v/>
      </c>
      <c r="CN824" s="526">
        <f t="shared" si="196"/>
        <v>0</v>
      </c>
      <c r="CO824" s="122">
        <f t="shared" si="197"/>
        <v>0</v>
      </c>
      <c r="CP824" s="45" t="str">
        <f t="shared" si="194"/>
        <v>1 - in MILLESIMI   I</v>
      </c>
      <c r="CQ824" s="1"/>
    </row>
    <row r="825" spans="1:95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435">
        <f>IF(AND(W825&gt;=$U$1,W825&lt;=$U$2),IF(X825='ESTRATTO CONTO'!$E$2,1+COUNTIF(U$4:U824,"&gt;0"),0),0)</f>
        <v>0</v>
      </c>
      <c r="V825" s="417">
        <f t="shared" si="198"/>
        <v>822</v>
      </c>
      <c r="W825" s="509"/>
      <c r="X825" s="321"/>
      <c r="Y825" s="321"/>
      <c r="Z825" s="433"/>
      <c r="AA825" s="918">
        <f t="shared" si="189"/>
        <v>1</v>
      </c>
      <c r="AB825" s="306" t="str">
        <f t="shared" si="190"/>
        <v/>
      </c>
      <c r="AC825" s="788"/>
      <c r="AD825" s="119">
        <f t="shared" si="201"/>
        <v>0</v>
      </c>
      <c r="AE825" s="108">
        <f t="shared" si="201"/>
        <v>0</v>
      </c>
      <c r="AF825" s="108">
        <f t="shared" si="201"/>
        <v>0</v>
      </c>
      <c r="AG825" s="108"/>
      <c r="AH825" s="108"/>
      <c r="AI825" s="108"/>
      <c r="AJ825" s="108"/>
      <c r="AK825" s="108"/>
      <c r="AL825" s="108">
        <f t="shared" si="191"/>
        <v>0</v>
      </c>
      <c r="AM825" s="108"/>
      <c r="AN825" s="108"/>
      <c r="AO825" s="108"/>
      <c r="AP825" s="108"/>
      <c r="AQ825" s="108"/>
      <c r="AR825" s="108"/>
      <c r="AS825" s="108"/>
      <c r="AT825" s="108"/>
      <c r="AU825" s="108"/>
      <c r="AV825" s="108"/>
      <c r="AW825" s="108"/>
      <c r="AX825" s="108"/>
      <c r="AY825" s="108"/>
      <c r="AZ825" s="108"/>
      <c r="BA825" s="108"/>
      <c r="BB825" s="108"/>
      <c r="BC825" s="108"/>
      <c r="BD825" s="108"/>
      <c r="BE825" s="108"/>
      <c r="BF825" s="108"/>
      <c r="BG825" s="108"/>
      <c r="BH825" s="108"/>
      <c r="BI825" s="108"/>
      <c r="BJ825" s="108"/>
      <c r="BK825" s="108"/>
      <c r="BL825" s="108"/>
      <c r="BM825" s="108"/>
      <c r="BN825" s="108"/>
      <c r="BO825" s="108"/>
      <c r="BP825" s="108"/>
      <c r="BQ825" s="108"/>
      <c r="BR825" s="108"/>
      <c r="BS825" s="108"/>
      <c r="BT825" s="108"/>
      <c r="BU825" s="108"/>
      <c r="BV825" s="108"/>
      <c r="BW825" s="108"/>
      <c r="BX825" s="108"/>
      <c r="BY825" s="108"/>
      <c r="BZ825" s="108"/>
      <c r="CA825" s="108"/>
      <c r="CB825" s="108"/>
      <c r="CC825" s="108"/>
      <c r="CD825" s="108"/>
      <c r="CE825" s="108"/>
      <c r="CF825" s="108"/>
      <c r="CG825" s="108"/>
      <c r="CH825" s="108"/>
      <c r="CI825" s="108"/>
      <c r="CJ825" s="108"/>
      <c r="CK825" s="120">
        <f t="shared" si="192"/>
        <v>0</v>
      </c>
      <c r="CL825" s="122">
        <f t="shared" si="193"/>
        <v>0</v>
      </c>
      <c r="CM825" s="524" t="str">
        <f t="shared" si="195"/>
        <v/>
      </c>
      <c r="CN825" s="526">
        <f t="shared" si="196"/>
        <v>0</v>
      </c>
      <c r="CO825" s="122">
        <f t="shared" si="197"/>
        <v>0</v>
      </c>
      <c r="CP825" s="45" t="str">
        <f t="shared" si="194"/>
        <v>1 - in MILLESIMI   I</v>
      </c>
      <c r="CQ825" s="1"/>
    </row>
    <row r="826" spans="1:95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435">
        <f>IF(AND(W826&gt;=$U$1,W826&lt;=$U$2),IF(X826='ESTRATTO CONTO'!$E$2,1+COUNTIF(U$4:U825,"&gt;0"),0),0)</f>
        <v>0</v>
      </c>
      <c r="V826" s="417">
        <f t="shared" si="198"/>
        <v>823</v>
      </c>
      <c r="W826" s="509"/>
      <c r="X826" s="321"/>
      <c r="Y826" s="321"/>
      <c r="Z826" s="433"/>
      <c r="AA826" s="918">
        <f t="shared" si="189"/>
        <v>1</v>
      </c>
      <c r="AB826" s="306" t="str">
        <f t="shared" si="190"/>
        <v/>
      </c>
      <c r="AC826" s="788"/>
      <c r="AD826" s="119">
        <f t="shared" si="201"/>
        <v>0</v>
      </c>
      <c r="AE826" s="108">
        <f t="shared" si="201"/>
        <v>0</v>
      </c>
      <c r="AF826" s="108">
        <f t="shared" si="201"/>
        <v>0</v>
      </c>
      <c r="AG826" s="108"/>
      <c r="AH826" s="108"/>
      <c r="AI826" s="108"/>
      <c r="AJ826" s="108"/>
      <c r="AK826" s="108"/>
      <c r="AL826" s="108">
        <f t="shared" si="191"/>
        <v>0</v>
      </c>
      <c r="AM826" s="108"/>
      <c r="AN826" s="108"/>
      <c r="AO826" s="108"/>
      <c r="AP826" s="108"/>
      <c r="AQ826" s="108"/>
      <c r="AR826" s="108"/>
      <c r="AS826" s="108"/>
      <c r="AT826" s="108"/>
      <c r="AU826" s="108"/>
      <c r="AV826" s="108"/>
      <c r="AW826" s="108"/>
      <c r="AX826" s="108"/>
      <c r="AY826" s="108"/>
      <c r="AZ826" s="108"/>
      <c r="BA826" s="108"/>
      <c r="BB826" s="108"/>
      <c r="BC826" s="108"/>
      <c r="BD826" s="108"/>
      <c r="BE826" s="108"/>
      <c r="BF826" s="108"/>
      <c r="BG826" s="108"/>
      <c r="BH826" s="108"/>
      <c r="BI826" s="108"/>
      <c r="BJ826" s="108"/>
      <c r="BK826" s="108"/>
      <c r="BL826" s="108"/>
      <c r="BM826" s="108"/>
      <c r="BN826" s="108"/>
      <c r="BO826" s="108"/>
      <c r="BP826" s="108"/>
      <c r="BQ826" s="108"/>
      <c r="BR826" s="108"/>
      <c r="BS826" s="108"/>
      <c r="BT826" s="108"/>
      <c r="BU826" s="108"/>
      <c r="BV826" s="108"/>
      <c r="BW826" s="108"/>
      <c r="BX826" s="108"/>
      <c r="BY826" s="108"/>
      <c r="BZ826" s="108"/>
      <c r="CA826" s="108"/>
      <c r="CB826" s="108"/>
      <c r="CC826" s="108"/>
      <c r="CD826" s="108"/>
      <c r="CE826" s="108"/>
      <c r="CF826" s="108"/>
      <c r="CG826" s="108"/>
      <c r="CH826" s="108"/>
      <c r="CI826" s="108"/>
      <c r="CJ826" s="108"/>
      <c r="CK826" s="120">
        <f t="shared" si="192"/>
        <v>0</v>
      </c>
      <c r="CL826" s="122">
        <f t="shared" si="193"/>
        <v>0</v>
      </c>
      <c r="CM826" s="524" t="str">
        <f t="shared" si="195"/>
        <v/>
      </c>
      <c r="CN826" s="526">
        <f t="shared" si="196"/>
        <v>0</v>
      </c>
      <c r="CO826" s="122">
        <f t="shared" si="197"/>
        <v>0</v>
      </c>
      <c r="CP826" s="45" t="str">
        <f t="shared" si="194"/>
        <v>1 - in MILLESIMI   I</v>
      </c>
      <c r="CQ826" s="1"/>
    </row>
    <row r="827" spans="1:95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435">
        <f>IF(AND(W827&gt;=$U$1,W827&lt;=$U$2),IF(X827='ESTRATTO CONTO'!$E$2,1+COUNTIF(U$4:U826,"&gt;0"),0),0)</f>
        <v>0</v>
      </c>
      <c r="V827" s="417">
        <f t="shared" si="198"/>
        <v>824</v>
      </c>
      <c r="W827" s="509"/>
      <c r="X827" s="321"/>
      <c r="Y827" s="321"/>
      <c r="Z827" s="433"/>
      <c r="AA827" s="918">
        <f t="shared" si="189"/>
        <v>1</v>
      </c>
      <c r="AB827" s="306" t="str">
        <f t="shared" si="190"/>
        <v/>
      </c>
      <c r="AC827" s="788"/>
      <c r="AD827" s="119">
        <f t="shared" si="201"/>
        <v>0</v>
      </c>
      <c r="AE827" s="108">
        <f t="shared" si="201"/>
        <v>0</v>
      </c>
      <c r="AF827" s="108">
        <f t="shared" si="201"/>
        <v>0</v>
      </c>
      <c r="AG827" s="108"/>
      <c r="AH827" s="108"/>
      <c r="AI827" s="108"/>
      <c r="AJ827" s="108"/>
      <c r="AK827" s="108"/>
      <c r="AL827" s="108">
        <f t="shared" si="191"/>
        <v>0</v>
      </c>
      <c r="AM827" s="108"/>
      <c r="AN827" s="108"/>
      <c r="AO827" s="108"/>
      <c r="AP827" s="108"/>
      <c r="AQ827" s="108"/>
      <c r="AR827" s="108"/>
      <c r="AS827" s="108"/>
      <c r="AT827" s="108"/>
      <c r="AU827" s="108"/>
      <c r="AV827" s="108"/>
      <c r="AW827" s="108"/>
      <c r="AX827" s="108"/>
      <c r="AY827" s="108"/>
      <c r="AZ827" s="108"/>
      <c r="BA827" s="108"/>
      <c r="BB827" s="108"/>
      <c r="BC827" s="108"/>
      <c r="BD827" s="108"/>
      <c r="BE827" s="108"/>
      <c r="BF827" s="108"/>
      <c r="BG827" s="108"/>
      <c r="BH827" s="108"/>
      <c r="BI827" s="108"/>
      <c r="BJ827" s="108"/>
      <c r="BK827" s="108"/>
      <c r="BL827" s="108"/>
      <c r="BM827" s="108"/>
      <c r="BN827" s="108"/>
      <c r="BO827" s="108"/>
      <c r="BP827" s="108"/>
      <c r="BQ827" s="108"/>
      <c r="BR827" s="108"/>
      <c r="BS827" s="108"/>
      <c r="BT827" s="108"/>
      <c r="BU827" s="108"/>
      <c r="BV827" s="108"/>
      <c r="BW827" s="108"/>
      <c r="BX827" s="108"/>
      <c r="BY827" s="108"/>
      <c r="BZ827" s="108"/>
      <c r="CA827" s="108"/>
      <c r="CB827" s="108"/>
      <c r="CC827" s="108"/>
      <c r="CD827" s="108"/>
      <c r="CE827" s="108"/>
      <c r="CF827" s="108"/>
      <c r="CG827" s="108"/>
      <c r="CH827" s="108"/>
      <c r="CI827" s="108"/>
      <c r="CJ827" s="108"/>
      <c r="CK827" s="120">
        <f t="shared" si="192"/>
        <v>0</v>
      </c>
      <c r="CL827" s="122">
        <f t="shared" si="193"/>
        <v>0</v>
      </c>
      <c r="CM827" s="524" t="str">
        <f t="shared" si="195"/>
        <v/>
      </c>
      <c r="CN827" s="526">
        <f t="shared" si="196"/>
        <v>0</v>
      </c>
      <c r="CO827" s="122">
        <f t="shared" si="197"/>
        <v>0</v>
      </c>
      <c r="CP827" s="45" t="str">
        <f t="shared" si="194"/>
        <v>1 - in MILLESIMI   I</v>
      </c>
      <c r="CQ827" s="1"/>
    </row>
    <row r="828" spans="1:95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435">
        <f>IF(AND(W828&gt;=$U$1,W828&lt;=$U$2),IF(X828='ESTRATTO CONTO'!$E$2,1+COUNTIF(U$4:U827,"&gt;0"),0),0)</f>
        <v>0</v>
      </c>
      <c r="V828" s="417">
        <f t="shared" si="198"/>
        <v>825</v>
      </c>
      <c r="W828" s="509"/>
      <c r="X828" s="321"/>
      <c r="Y828" s="321"/>
      <c r="Z828" s="433"/>
      <c r="AA828" s="918">
        <f t="shared" si="189"/>
        <v>1</v>
      </c>
      <c r="AB828" s="306" t="str">
        <f t="shared" si="190"/>
        <v/>
      </c>
      <c r="AC828" s="788"/>
      <c r="AD828" s="119">
        <f t="shared" si="201"/>
        <v>0</v>
      </c>
      <c r="AE828" s="108">
        <f t="shared" si="201"/>
        <v>0</v>
      </c>
      <c r="AF828" s="108">
        <f t="shared" si="201"/>
        <v>0</v>
      </c>
      <c r="AG828" s="108"/>
      <c r="AH828" s="108"/>
      <c r="AI828" s="108"/>
      <c r="AJ828" s="108"/>
      <c r="AK828" s="108"/>
      <c r="AL828" s="108">
        <f t="shared" si="191"/>
        <v>0</v>
      </c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  <c r="AY828" s="108"/>
      <c r="AZ828" s="108"/>
      <c r="BA828" s="108"/>
      <c r="BB828" s="108"/>
      <c r="BC828" s="108"/>
      <c r="BD828" s="108"/>
      <c r="BE828" s="108"/>
      <c r="BF828" s="108"/>
      <c r="BG828" s="108"/>
      <c r="BH828" s="108"/>
      <c r="BI828" s="108"/>
      <c r="BJ828" s="108"/>
      <c r="BK828" s="108"/>
      <c r="BL828" s="108"/>
      <c r="BM828" s="108"/>
      <c r="BN828" s="108"/>
      <c r="BO828" s="108"/>
      <c r="BP828" s="108"/>
      <c r="BQ828" s="108"/>
      <c r="BR828" s="108"/>
      <c r="BS828" s="108"/>
      <c r="BT828" s="108"/>
      <c r="BU828" s="108"/>
      <c r="BV828" s="108"/>
      <c r="BW828" s="108"/>
      <c r="BX828" s="108"/>
      <c r="BY828" s="108"/>
      <c r="BZ828" s="108"/>
      <c r="CA828" s="108"/>
      <c r="CB828" s="108"/>
      <c r="CC828" s="108"/>
      <c r="CD828" s="108"/>
      <c r="CE828" s="108"/>
      <c r="CF828" s="108"/>
      <c r="CG828" s="108"/>
      <c r="CH828" s="108"/>
      <c r="CI828" s="108"/>
      <c r="CJ828" s="108"/>
      <c r="CK828" s="120">
        <f t="shared" si="192"/>
        <v>0</v>
      </c>
      <c r="CL828" s="122">
        <f t="shared" si="193"/>
        <v>0</v>
      </c>
      <c r="CM828" s="524" t="str">
        <f t="shared" si="195"/>
        <v/>
      </c>
      <c r="CN828" s="526">
        <f t="shared" si="196"/>
        <v>0</v>
      </c>
      <c r="CO828" s="122">
        <f t="shared" si="197"/>
        <v>0</v>
      </c>
      <c r="CP828" s="45" t="str">
        <f t="shared" si="194"/>
        <v>1 - in MILLESIMI   I</v>
      </c>
      <c r="CQ828" s="1"/>
    </row>
    <row r="829" spans="1:95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435">
        <f>IF(AND(W829&gt;=$U$1,W829&lt;=$U$2),IF(X829='ESTRATTO CONTO'!$E$2,1+COUNTIF(U$4:U828,"&gt;0"),0),0)</f>
        <v>0</v>
      </c>
      <c r="V829" s="417">
        <f t="shared" si="198"/>
        <v>826</v>
      </c>
      <c r="W829" s="509"/>
      <c r="X829" s="321"/>
      <c r="Y829" s="321"/>
      <c r="Z829" s="433"/>
      <c r="AA829" s="918">
        <f t="shared" si="189"/>
        <v>1</v>
      </c>
      <c r="AB829" s="306" t="str">
        <f t="shared" si="190"/>
        <v/>
      </c>
      <c r="AC829" s="788"/>
      <c r="AD829" s="119">
        <f t="shared" si="201"/>
        <v>0</v>
      </c>
      <c r="AE829" s="108">
        <f t="shared" si="201"/>
        <v>0</v>
      </c>
      <c r="AF829" s="108">
        <f t="shared" si="201"/>
        <v>0</v>
      </c>
      <c r="AG829" s="108"/>
      <c r="AH829" s="108"/>
      <c r="AI829" s="108"/>
      <c r="AJ829" s="108"/>
      <c r="AK829" s="108"/>
      <c r="AL829" s="108">
        <f t="shared" si="191"/>
        <v>0</v>
      </c>
      <c r="AM829" s="108"/>
      <c r="AN829" s="108"/>
      <c r="AO829" s="108"/>
      <c r="AP829" s="108"/>
      <c r="AQ829" s="108"/>
      <c r="AR829" s="108"/>
      <c r="AS829" s="108"/>
      <c r="AT829" s="108"/>
      <c r="AU829" s="108"/>
      <c r="AV829" s="108"/>
      <c r="AW829" s="108"/>
      <c r="AX829" s="108"/>
      <c r="AY829" s="108"/>
      <c r="AZ829" s="108"/>
      <c r="BA829" s="108"/>
      <c r="BB829" s="108"/>
      <c r="BC829" s="108"/>
      <c r="BD829" s="108"/>
      <c r="BE829" s="108"/>
      <c r="BF829" s="108"/>
      <c r="BG829" s="108"/>
      <c r="BH829" s="108"/>
      <c r="BI829" s="108"/>
      <c r="BJ829" s="108"/>
      <c r="BK829" s="108"/>
      <c r="BL829" s="108"/>
      <c r="BM829" s="108"/>
      <c r="BN829" s="108"/>
      <c r="BO829" s="108"/>
      <c r="BP829" s="108"/>
      <c r="BQ829" s="108"/>
      <c r="BR829" s="108"/>
      <c r="BS829" s="108"/>
      <c r="BT829" s="108"/>
      <c r="BU829" s="108"/>
      <c r="BV829" s="108"/>
      <c r="BW829" s="108"/>
      <c r="BX829" s="108"/>
      <c r="BY829" s="108"/>
      <c r="BZ829" s="108"/>
      <c r="CA829" s="108"/>
      <c r="CB829" s="108"/>
      <c r="CC829" s="108"/>
      <c r="CD829" s="108"/>
      <c r="CE829" s="108"/>
      <c r="CF829" s="108"/>
      <c r="CG829" s="108"/>
      <c r="CH829" s="108"/>
      <c r="CI829" s="108"/>
      <c r="CJ829" s="108"/>
      <c r="CK829" s="120">
        <f t="shared" si="192"/>
        <v>0</v>
      </c>
      <c r="CL829" s="122">
        <f t="shared" si="193"/>
        <v>0</v>
      </c>
      <c r="CM829" s="524" t="str">
        <f t="shared" si="195"/>
        <v/>
      </c>
      <c r="CN829" s="526">
        <f t="shared" si="196"/>
        <v>0</v>
      </c>
      <c r="CO829" s="122">
        <f t="shared" si="197"/>
        <v>0</v>
      </c>
      <c r="CP829" s="45" t="str">
        <f t="shared" si="194"/>
        <v>1 - in MILLESIMI   I</v>
      </c>
      <c r="CQ829" s="1"/>
    </row>
    <row r="830" spans="1:95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435">
        <f>IF(AND(W830&gt;=$U$1,W830&lt;=$U$2),IF(X830='ESTRATTO CONTO'!$E$2,1+COUNTIF(U$4:U829,"&gt;0"),0),0)</f>
        <v>0</v>
      </c>
      <c r="V830" s="417">
        <f t="shared" si="198"/>
        <v>827</v>
      </c>
      <c r="W830" s="509"/>
      <c r="X830" s="321"/>
      <c r="Y830" s="321"/>
      <c r="Z830" s="433"/>
      <c r="AA830" s="918">
        <f t="shared" si="189"/>
        <v>1</v>
      </c>
      <c r="AB830" s="306" t="str">
        <f t="shared" si="190"/>
        <v/>
      </c>
      <c r="AC830" s="788"/>
      <c r="AD830" s="119">
        <f t="shared" si="201"/>
        <v>0</v>
      </c>
      <c r="AE830" s="108">
        <f t="shared" si="201"/>
        <v>0</v>
      </c>
      <c r="AF830" s="108">
        <f t="shared" si="201"/>
        <v>0</v>
      </c>
      <c r="AG830" s="108"/>
      <c r="AH830" s="108"/>
      <c r="AI830" s="108"/>
      <c r="AJ830" s="108"/>
      <c r="AK830" s="108"/>
      <c r="AL830" s="108">
        <f t="shared" si="191"/>
        <v>0</v>
      </c>
      <c r="AM830" s="108"/>
      <c r="AN830" s="108"/>
      <c r="AO830" s="108"/>
      <c r="AP830" s="108"/>
      <c r="AQ830" s="108"/>
      <c r="AR830" s="108"/>
      <c r="AS830" s="108"/>
      <c r="AT830" s="108"/>
      <c r="AU830" s="108"/>
      <c r="AV830" s="108"/>
      <c r="AW830" s="108"/>
      <c r="AX830" s="108"/>
      <c r="AY830" s="108"/>
      <c r="AZ830" s="108"/>
      <c r="BA830" s="108"/>
      <c r="BB830" s="108"/>
      <c r="BC830" s="108"/>
      <c r="BD830" s="108"/>
      <c r="BE830" s="108"/>
      <c r="BF830" s="108"/>
      <c r="BG830" s="108"/>
      <c r="BH830" s="108"/>
      <c r="BI830" s="108"/>
      <c r="BJ830" s="108"/>
      <c r="BK830" s="108"/>
      <c r="BL830" s="108"/>
      <c r="BM830" s="108"/>
      <c r="BN830" s="108"/>
      <c r="BO830" s="108"/>
      <c r="BP830" s="108"/>
      <c r="BQ830" s="108"/>
      <c r="BR830" s="108"/>
      <c r="BS830" s="108"/>
      <c r="BT830" s="108"/>
      <c r="BU830" s="108"/>
      <c r="BV830" s="108"/>
      <c r="BW830" s="108"/>
      <c r="BX830" s="108"/>
      <c r="BY830" s="108"/>
      <c r="BZ830" s="108"/>
      <c r="CA830" s="108"/>
      <c r="CB830" s="108"/>
      <c r="CC830" s="108"/>
      <c r="CD830" s="108"/>
      <c r="CE830" s="108"/>
      <c r="CF830" s="108"/>
      <c r="CG830" s="108"/>
      <c r="CH830" s="108"/>
      <c r="CI830" s="108"/>
      <c r="CJ830" s="108"/>
      <c r="CK830" s="120">
        <f t="shared" si="192"/>
        <v>0</v>
      </c>
      <c r="CL830" s="122">
        <f t="shared" si="193"/>
        <v>0</v>
      </c>
      <c r="CM830" s="524" t="str">
        <f t="shared" si="195"/>
        <v/>
      </c>
      <c r="CN830" s="526">
        <f t="shared" si="196"/>
        <v>0</v>
      </c>
      <c r="CO830" s="122">
        <f t="shared" si="197"/>
        <v>0</v>
      </c>
      <c r="CP830" s="45" t="str">
        <f t="shared" si="194"/>
        <v>1 - in MILLESIMI   I</v>
      </c>
      <c r="CQ830" s="1"/>
    </row>
    <row r="831" spans="1:95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435">
        <f>IF(AND(W831&gt;=$U$1,W831&lt;=$U$2),IF(X831='ESTRATTO CONTO'!$E$2,1+COUNTIF(U$4:U830,"&gt;0"),0),0)</f>
        <v>0</v>
      </c>
      <c r="V831" s="417">
        <f t="shared" si="198"/>
        <v>828</v>
      </c>
      <c r="W831" s="509"/>
      <c r="X831" s="321"/>
      <c r="Y831" s="321"/>
      <c r="Z831" s="433"/>
      <c r="AA831" s="918">
        <f t="shared" si="189"/>
        <v>1</v>
      </c>
      <c r="AB831" s="306" t="str">
        <f t="shared" si="190"/>
        <v/>
      </c>
      <c r="AC831" s="788"/>
      <c r="AD831" s="119">
        <f t="shared" si="201"/>
        <v>0</v>
      </c>
      <c r="AE831" s="108">
        <f t="shared" si="201"/>
        <v>0</v>
      </c>
      <c r="AF831" s="108">
        <f t="shared" si="201"/>
        <v>0</v>
      </c>
      <c r="AG831" s="108"/>
      <c r="AH831" s="108"/>
      <c r="AI831" s="108"/>
      <c r="AJ831" s="108"/>
      <c r="AK831" s="108"/>
      <c r="AL831" s="108">
        <f t="shared" si="191"/>
        <v>0</v>
      </c>
      <c r="AM831" s="108"/>
      <c r="AN831" s="108"/>
      <c r="AO831" s="108"/>
      <c r="AP831" s="108"/>
      <c r="AQ831" s="108"/>
      <c r="AR831" s="108"/>
      <c r="AS831" s="108"/>
      <c r="AT831" s="108"/>
      <c r="AU831" s="108"/>
      <c r="AV831" s="108"/>
      <c r="AW831" s="108"/>
      <c r="AX831" s="108"/>
      <c r="AY831" s="108"/>
      <c r="AZ831" s="108"/>
      <c r="BA831" s="108"/>
      <c r="BB831" s="108"/>
      <c r="BC831" s="108"/>
      <c r="BD831" s="108"/>
      <c r="BE831" s="108"/>
      <c r="BF831" s="108"/>
      <c r="BG831" s="108"/>
      <c r="BH831" s="108"/>
      <c r="BI831" s="108"/>
      <c r="BJ831" s="108"/>
      <c r="BK831" s="108"/>
      <c r="BL831" s="108"/>
      <c r="BM831" s="108"/>
      <c r="BN831" s="108"/>
      <c r="BO831" s="108"/>
      <c r="BP831" s="108"/>
      <c r="BQ831" s="108"/>
      <c r="BR831" s="108"/>
      <c r="BS831" s="108"/>
      <c r="BT831" s="108"/>
      <c r="BU831" s="108"/>
      <c r="BV831" s="108"/>
      <c r="BW831" s="108"/>
      <c r="BX831" s="108"/>
      <c r="BY831" s="108"/>
      <c r="BZ831" s="108"/>
      <c r="CA831" s="108"/>
      <c r="CB831" s="108"/>
      <c r="CC831" s="108"/>
      <c r="CD831" s="108"/>
      <c r="CE831" s="108"/>
      <c r="CF831" s="108"/>
      <c r="CG831" s="108"/>
      <c r="CH831" s="108"/>
      <c r="CI831" s="108"/>
      <c r="CJ831" s="108"/>
      <c r="CK831" s="120">
        <f t="shared" si="192"/>
        <v>0</v>
      </c>
      <c r="CL831" s="122">
        <f t="shared" si="193"/>
        <v>0</v>
      </c>
      <c r="CM831" s="524" t="str">
        <f t="shared" si="195"/>
        <v/>
      </c>
      <c r="CN831" s="526">
        <f t="shared" si="196"/>
        <v>0</v>
      </c>
      <c r="CO831" s="122">
        <f t="shared" si="197"/>
        <v>0</v>
      </c>
      <c r="CP831" s="45" t="str">
        <f t="shared" si="194"/>
        <v>1 - in MILLESIMI   I</v>
      </c>
      <c r="CQ831" s="1"/>
    </row>
    <row r="832" spans="1:95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435">
        <f>IF(AND(W832&gt;=$U$1,W832&lt;=$U$2),IF(X832='ESTRATTO CONTO'!$E$2,1+COUNTIF(U$4:U831,"&gt;0"),0),0)</f>
        <v>0</v>
      </c>
      <c r="V832" s="417">
        <f t="shared" si="198"/>
        <v>829</v>
      </c>
      <c r="W832" s="509"/>
      <c r="X832" s="321"/>
      <c r="Y832" s="321"/>
      <c r="Z832" s="433"/>
      <c r="AA832" s="918">
        <f t="shared" si="189"/>
        <v>1</v>
      </c>
      <c r="AB832" s="306" t="str">
        <f t="shared" si="190"/>
        <v/>
      </c>
      <c r="AC832" s="788"/>
      <c r="AD832" s="119">
        <f t="shared" si="201"/>
        <v>0</v>
      </c>
      <c r="AE832" s="108">
        <f t="shared" si="201"/>
        <v>0</v>
      </c>
      <c r="AF832" s="108">
        <f t="shared" si="201"/>
        <v>0</v>
      </c>
      <c r="AG832" s="108"/>
      <c r="AH832" s="108"/>
      <c r="AI832" s="108"/>
      <c r="AJ832" s="108"/>
      <c r="AK832" s="108"/>
      <c r="AL832" s="108">
        <f t="shared" si="191"/>
        <v>0</v>
      </c>
      <c r="AM832" s="108"/>
      <c r="AN832" s="108"/>
      <c r="AO832" s="108"/>
      <c r="AP832" s="108"/>
      <c r="AQ832" s="108"/>
      <c r="AR832" s="108"/>
      <c r="AS832" s="108"/>
      <c r="AT832" s="108"/>
      <c r="AU832" s="108"/>
      <c r="AV832" s="108"/>
      <c r="AW832" s="108"/>
      <c r="AX832" s="108"/>
      <c r="AY832" s="108"/>
      <c r="AZ832" s="108"/>
      <c r="BA832" s="108"/>
      <c r="BB832" s="108"/>
      <c r="BC832" s="108"/>
      <c r="BD832" s="108"/>
      <c r="BE832" s="108"/>
      <c r="BF832" s="108"/>
      <c r="BG832" s="108"/>
      <c r="BH832" s="108"/>
      <c r="BI832" s="108"/>
      <c r="BJ832" s="108"/>
      <c r="BK832" s="108"/>
      <c r="BL832" s="108"/>
      <c r="BM832" s="108"/>
      <c r="BN832" s="108"/>
      <c r="BO832" s="108"/>
      <c r="BP832" s="108"/>
      <c r="BQ832" s="108"/>
      <c r="BR832" s="108"/>
      <c r="BS832" s="108"/>
      <c r="BT832" s="108"/>
      <c r="BU832" s="108"/>
      <c r="BV832" s="108"/>
      <c r="BW832" s="108"/>
      <c r="BX832" s="108"/>
      <c r="BY832" s="108"/>
      <c r="BZ832" s="108"/>
      <c r="CA832" s="108"/>
      <c r="CB832" s="108"/>
      <c r="CC832" s="108"/>
      <c r="CD832" s="108"/>
      <c r="CE832" s="108"/>
      <c r="CF832" s="108"/>
      <c r="CG832" s="108"/>
      <c r="CH832" s="108"/>
      <c r="CI832" s="108"/>
      <c r="CJ832" s="108"/>
      <c r="CK832" s="120">
        <f t="shared" si="192"/>
        <v>0</v>
      </c>
      <c r="CL832" s="122">
        <f t="shared" si="193"/>
        <v>0</v>
      </c>
      <c r="CM832" s="524" t="str">
        <f t="shared" si="195"/>
        <v/>
      </c>
      <c r="CN832" s="526">
        <f t="shared" si="196"/>
        <v>0</v>
      </c>
      <c r="CO832" s="122">
        <f t="shared" si="197"/>
        <v>0</v>
      </c>
      <c r="CP832" s="45" t="str">
        <f t="shared" si="194"/>
        <v>1 - in MILLESIMI   I</v>
      </c>
      <c r="CQ832" s="1"/>
    </row>
    <row r="833" spans="1:95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435">
        <f>IF(AND(W833&gt;=$U$1,W833&lt;=$U$2),IF(X833='ESTRATTO CONTO'!$E$2,1+COUNTIF(U$4:U832,"&gt;0"),0),0)</f>
        <v>0</v>
      </c>
      <c r="V833" s="417">
        <f t="shared" si="198"/>
        <v>830</v>
      </c>
      <c r="W833" s="509"/>
      <c r="X833" s="321"/>
      <c r="Y833" s="321"/>
      <c r="Z833" s="433"/>
      <c r="AA833" s="918">
        <f t="shared" si="189"/>
        <v>1</v>
      </c>
      <c r="AB833" s="306" t="str">
        <f t="shared" si="190"/>
        <v/>
      </c>
      <c r="AC833" s="788"/>
      <c r="AD833" s="119">
        <f t="shared" si="201"/>
        <v>0</v>
      </c>
      <c r="AE833" s="108">
        <f t="shared" si="201"/>
        <v>0</v>
      </c>
      <c r="AF833" s="108">
        <f t="shared" si="201"/>
        <v>0</v>
      </c>
      <c r="AG833" s="108"/>
      <c r="AH833" s="108"/>
      <c r="AI833" s="108"/>
      <c r="AJ833" s="108"/>
      <c r="AK833" s="108"/>
      <c r="AL833" s="108">
        <f t="shared" si="191"/>
        <v>0</v>
      </c>
      <c r="AM833" s="108"/>
      <c r="AN833" s="108"/>
      <c r="AO833" s="108"/>
      <c r="AP833" s="108"/>
      <c r="AQ833" s="108"/>
      <c r="AR833" s="108"/>
      <c r="AS833" s="108"/>
      <c r="AT833" s="108"/>
      <c r="AU833" s="108"/>
      <c r="AV833" s="108"/>
      <c r="AW833" s="108"/>
      <c r="AX833" s="108"/>
      <c r="AY833" s="108"/>
      <c r="AZ833" s="108"/>
      <c r="BA833" s="108"/>
      <c r="BB833" s="108"/>
      <c r="BC833" s="108"/>
      <c r="BD833" s="108"/>
      <c r="BE833" s="108"/>
      <c r="BF833" s="108"/>
      <c r="BG833" s="108"/>
      <c r="BH833" s="108"/>
      <c r="BI833" s="108"/>
      <c r="BJ833" s="108"/>
      <c r="BK833" s="108"/>
      <c r="BL833" s="108"/>
      <c r="BM833" s="108"/>
      <c r="BN833" s="108"/>
      <c r="BO833" s="108"/>
      <c r="BP833" s="108"/>
      <c r="BQ833" s="108"/>
      <c r="BR833" s="108"/>
      <c r="BS833" s="108"/>
      <c r="BT833" s="108"/>
      <c r="BU833" s="108"/>
      <c r="BV833" s="108"/>
      <c r="BW833" s="108"/>
      <c r="BX833" s="108"/>
      <c r="BY833" s="108"/>
      <c r="BZ833" s="108"/>
      <c r="CA833" s="108"/>
      <c r="CB833" s="108"/>
      <c r="CC833" s="108"/>
      <c r="CD833" s="108"/>
      <c r="CE833" s="108"/>
      <c r="CF833" s="108"/>
      <c r="CG833" s="108"/>
      <c r="CH833" s="108"/>
      <c r="CI833" s="108"/>
      <c r="CJ833" s="108"/>
      <c r="CK833" s="120">
        <f t="shared" si="192"/>
        <v>0</v>
      </c>
      <c r="CL833" s="122">
        <f t="shared" si="193"/>
        <v>0</v>
      </c>
      <c r="CM833" s="524" t="str">
        <f t="shared" si="195"/>
        <v/>
      </c>
      <c r="CN833" s="526">
        <f t="shared" si="196"/>
        <v>0</v>
      </c>
      <c r="CO833" s="122">
        <f t="shared" si="197"/>
        <v>0</v>
      </c>
      <c r="CP833" s="45" t="str">
        <f t="shared" si="194"/>
        <v>1 - in MILLESIMI   I</v>
      </c>
      <c r="CQ833" s="1"/>
    </row>
    <row r="834" spans="1:95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435">
        <f>IF(AND(W834&gt;=$U$1,W834&lt;=$U$2),IF(X834='ESTRATTO CONTO'!$E$2,1+COUNTIF(U$4:U833,"&gt;0"),0),0)</f>
        <v>0</v>
      </c>
      <c r="V834" s="417">
        <f t="shared" si="198"/>
        <v>831</v>
      </c>
      <c r="W834" s="509"/>
      <c r="X834" s="321"/>
      <c r="Y834" s="321"/>
      <c r="Z834" s="433"/>
      <c r="AA834" s="918">
        <f t="shared" si="189"/>
        <v>1</v>
      </c>
      <c r="AB834" s="306" t="str">
        <f t="shared" si="190"/>
        <v/>
      </c>
      <c r="AC834" s="788"/>
      <c r="AD834" s="119">
        <f t="shared" si="201"/>
        <v>0</v>
      </c>
      <c r="AE834" s="108">
        <f t="shared" si="201"/>
        <v>0</v>
      </c>
      <c r="AF834" s="108">
        <f t="shared" si="201"/>
        <v>0</v>
      </c>
      <c r="AG834" s="108"/>
      <c r="AH834" s="108"/>
      <c r="AI834" s="108"/>
      <c r="AJ834" s="108"/>
      <c r="AK834" s="108"/>
      <c r="AL834" s="108">
        <f t="shared" si="191"/>
        <v>0</v>
      </c>
      <c r="AM834" s="108"/>
      <c r="AN834" s="108"/>
      <c r="AO834" s="108"/>
      <c r="AP834" s="108"/>
      <c r="AQ834" s="108"/>
      <c r="AR834" s="108"/>
      <c r="AS834" s="108"/>
      <c r="AT834" s="108"/>
      <c r="AU834" s="108"/>
      <c r="AV834" s="108"/>
      <c r="AW834" s="108"/>
      <c r="AX834" s="108"/>
      <c r="AY834" s="108"/>
      <c r="AZ834" s="108"/>
      <c r="BA834" s="108"/>
      <c r="BB834" s="108"/>
      <c r="BC834" s="108"/>
      <c r="BD834" s="108"/>
      <c r="BE834" s="108"/>
      <c r="BF834" s="108"/>
      <c r="BG834" s="108"/>
      <c r="BH834" s="108"/>
      <c r="BI834" s="108"/>
      <c r="BJ834" s="108"/>
      <c r="BK834" s="108"/>
      <c r="BL834" s="108"/>
      <c r="BM834" s="108"/>
      <c r="BN834" s="108"/>
      <c r="BO834" s="108"/>
      <c r="BP834" s="108"/>
      <c r="BQ834" s="108"/>
      <c r="BR834" s="108"/>
      <c r="BS834" s="108"/>
      <c r="BT834" s="108"/>
      <c r="BU834" s="108"/>
      <c r="BV834" s="108"/>
      <c r="BW834" s="108"/>
      <c r="BX834" s="108"/>
      <c r="BY834" s="108"/>
      <c r="BZ834" s="108"/>
      <c r="CA834" s="108"/>
      <c r="CB834" s="108"/>
      <c r="CC834" s="108"/>
      <c r="CD834" s="108"/>
      <c r="CE834" s="108"/>
      <c r="CF834" s="108"/>
      <c r="CG834" s="108"/>
      <c r="CH834" s="108"/>
      <c r="CI834" s="108"/>
      <c r="CJ834" s="108"/>
      <c r="CK834" s="120">
        <f t="shared" si="192"/>
        <v>0</v>
      </c>
      <c r="CL834" s="122">
        <f t="shared" si="193"/>
        <v>0</v>
      </c>
      <c r="CM834" s="524" t="str">
        <f t="shared" si="195"/>
        <v/>
      </c>
      <c r="CN834" s="526">
        <f t="shared" si="196"/>
        <v>0</v>
      </c>
      <c r="CO834" s="122">
        <f t="shared" si="197"/>
        <v>0</v>
      </c>
      <c r="CP834" s="45" t="str">
        <f t="shared" si="194"/>
        <v>1 - in MILLESIMI   I</v>
      </c>
      <c r="CQ834" s="1"/>
    </row>
    <row r="835" spans="1:95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435">
        <f>IF(AND(W835&gt;=$U$1,W835&lt;=$U$2),IF(X835='ESTRATTO CONTO'!$E$2,1+COUNTIF(U$4:U834,"&gt;0"),0),0)</f>
        <v>0</v>
      </c>
      <c r="V835" s="417">
        <f t="shared" si="198"/>
        <v>832</v>
      </c>
      <c r="W835" s="509"/>
      <c r="X835" s="321"/>
      <c r="Y835" s="321"/>
      <c r="Z835" s="433"/>
      <c r="AA835" s="918">
        <f t="shared" si="189"/>
        <v>1</v>
      </c>
      <c r="AB835" s="306" t="str">
        <f t="shared" si="190"/>
        <v/>
      </c>
      <c r="AC835" s="788"/>
      <c r="AD835" s="119">
        <f t="shared" si="201"/>
        <v>0</v>
      </c>
      <c r="AE835" s="108">
        <f t="shared" si="201"/>
        <v>0</v>
      </c>
      <c r="AF835" s="108">
        <f t="shared" si="201"/>
        <v>0</v>
      </c>
      <c r="AG835" s="108"/>
      <c r="AH835" s="108"/>
      <c r="AI835" s="108"/>
      <c r="AJ835" s="108"/>
      <c r="AK835" s="108"/>
      <c r="AL835" s="108">
        <f t="shared" si="191"/>
        <v>0</v>
      </c>
      <c r="AM835" s="108"/>
      <c r="AN835" s="108"/>
      <c r="AO835" s="108"/>
      <c r="AP835" s="108"/>
      <c r="AQ835" s="108"/>
      <c r="AR835" s="108"/>
      <c r="AS835" s="108"/>
      <c r="AT835" s="108"/>
      <c r="AU835" s="108"/>
      <c r="AV835" s="108"/>
      <c r="AW835" s="108"/>
      <c r="AX835" s="108"/>
      <c r="AY835" s="108"/>
      <c r="AZ835" s="108"/>
      <c r="BA835" s="108"/>
      <c r="BB835" s="108"/>
      <c r="BC835" s="108"/>
      <c r="BD835" s="108"/>
      <c r="BE835" s="108"/>
      <c r="BF835" s="108"/>
      <c r="BG835" s="108"/>
      <c r="BH835" s="108"/>
      <c r="BI835" s="108"/>
      <c r="BJ835" s="108"/>
      <c r="BK835" s="108"/>
      <c r="BL835" s="108"/>
      <c r="BM835" s="108"/>
      <c r="BN835" s="108"/>
      <c r="BO835" s="108"/>
      <c r="BP835" s="108"/>
      <c r="BQ835" s="108"/>
      <c r="BR835" s="108"/>
      <c r="BS835" s="108"/>
      <c r="BT835" s="108"/>
      <c r="BU835" s="108"/>
      <c r="BV835" s="108"/>
      <c r="BW835" s="108"/>
      <c r="BX835" s="108"/>
      <c r="BY835" s="108"/>
      <c r="BZ835" s="108"/>
      <c r="CA835" s="108"/>
      <c r="CB835" s="108"/>
      <c r="CC835" s="108"/>
      <c r="CD835" s="108"/>
      <c r="CE835" s="108"/>
      <c r="CF835" s="108"/>
      <c r="CG835" s="108"/>
      <c r="CH835" s="108"/>
      <c r="CI835" s="108"/>
      <c r="CJ835" s="108"/>
      <c r="CK835" s="120">
        <f t="shared" si="192"/>
        <v>0</v>
      </c>
      <c r="CL835" s="122">
        <f t="shared" si="193"/>
        <v>0</v>
      </c>
      <c r="CM835" s="524" t="str">
        <f t="shared" si="195"/>
        <v/>
      </c>
      <c r="CN835" s="526">
        <f t="shared" si="196"/>
        <v>0</v>
      </c>
      <c r="CO835" s="122">
        <f t="shared" si="197"/>
        <v>0</v>
      </c>
      <c r="CP835" s="45" t="str">
        <f t="shared" si="194"/>
        <v>1 - in MILLESIMI   I</v>
      </c>
      <c r="CQ835" s="1"/>
    </row>
    <row r="836" spans="1:95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435">
        <f>IF(AND(W836&gt;=$U$1,W836&lt;=$U$2),IF(X836='ESTRATTO CONTO'!$E$2,1+COUNTIF(U$4:U835,"&gt;0"),0),0)</f>
        <v>0</v>
      </c>
      <c r="V836" s="417">
        <f t="shared" si="198"/>
        <v>833</v>
      </c>
      <c r="W836" s="509"/>
      <c r="X836" s="321"/>
      <c r="Y836" s="321"/>
      <c r="Z836" s="433"/>
      <c r="AA836" s="918">
        <f t="shared" ref="AA836:AA899" si="202">IF(OR(W836&lt;$W$1433,W836&gt;$W$1434),1,0)</f>
        <v>1</v>
      </c>
      <c r="AB836" s="306" t="str">
        <f t="shared" ref="AB836:AB899" si="203">IF(W836&gt;0,IF(AND(W836&gt;=W$1438,W836&lt;=W$1439),CONCATENATE(MONTH(W836)&amp;X836),0),"")</f>
        <v/>
      </c>
      <c r="AC836" s="788"/>
      <c r="AD836" s="119">
        <f t="shared" si="201"/>
        <v>0</v>
      </c>
      <c r="AE836" s="108">
        <f t="shared" si="201"/>
        <v>0</v>
      </c>
      <c r="AF836" s="108">
        <f t="shared" si="201"/>
        <v>0</v>
      </c>
      <c r="AG836" s="108"/>
      <c r="AH836" s="108"/>
      <c r="AI836" s="108"/>
      <c r="AJ836" s="108"/>
      <c r="AK836" s="108"/>
      <c r="AL836" s="108">
        <f t="shared" ref="AL836:AL899" si="204">IF($AB836=0,0,ROUND($Z836*VLOOKUP(AL$2,$F$1010:$Q$1014,VLOOKUP($CP836,$C$1076:$E$1081,3,FALSE),FALSE),2))</f>
        <v>0</v>
      </c>
      <c r="AM836" s="108"/>
      <c r="AN836" s="108"/>
      <c r="AO836" s="108"/>
      <c r="AP836" s="108"/>
      <c r="AQ836" s="108"/>
      <c r="AR836" s="108"/>
      <c r="AS836" s="108"/>
      <c r="AT836" s="108"/>
      <c r="AU836" s="108"/>
      <c r="AV836" s="108"/>
      <c r="AW836" s="108"/>
      <c r="AX836" s="108"/>
      <c r="AY836" s="108"/>
      <c r="AZ836" s="108"/>
      <c r="BA836" s="108"/>
      <c r="BB836" s="108"/>
      <c r="BC836" s="108"/>
      <c r="BD836" s="108"/>
      <c r="BE836" s="108"/>
      <c r="BF836" s="108"/>
      <c r="BG836" s="108"/>
      <c r="BH836" s="108"/>
      <c r="BI836" s="108"/>
      <c r="BJ836" s="108"/>
      <c r="BK836" s="108"/>
      <c r="BL836" s="108"/>
      <c r="BM836" s="108"/>
      <c r="BN836" s="108"/>
      <c r="BO836" s="108"/>
      <c r="BP836" s="108"/>
      <c r="BQ836" s="108"/>
      <c r="BR836" s="108"/>
      <c r="BS836" s="108"/>
      <c r="BT836" s="108"/>
      <c r="BU836" s="108"/>
      <c r="BV836" s="108"/>
      <c r="BW836" s="108"/>
      <c r="BX836" s="108"/>
      <c r="BY836" s="108"/>
      <c r="BZ836" s="108"/>
      <c r="CA836" s="108"/>
      <c r="CB836" s="108"/>
      <c r="CC836" s="108"/>
      <c r="CD836" s="108"/>
      <c r="CE836" s="108"/>
      <c r="CF836" s="108"/>
      <c r="CG836" s="108"/>
      <c r="CH836" s="108"/>
      <c r="CI836" s="108"/>
      <c r="CJ836" s="108"/>
      <c r="CK836" s="120">
        <f t="shared" ref="CK836:CK899" si="205">IF($AB836=0,0,ROUND($Z836*VLOOKUP(CK$2,$F$1010:$Q$1014,VLOOKUP($CP836,$C$1076:$E$1081,3,FALSE),FALSE),2))</f>
        <v>0</v>
      </c>
      <c r="CL836" s="122">
        <f t="shared" ref="CL836:CL899" si="206">IF(CK$1014&gt;0,0,IF(ISBLANK(W836),0,MONTH(W836)))</f>
        <v>0</v>
      </c>
      <c r="CM836" s="524" t="str">
        <f t="shared" si="195"/>
        <v/>
      </c>
      <c r="CN836" s="526">
        <f t="shared" si="196"/>
        <v>0</v>
      </c>
      <c r="CO836" s="122">
        <f t="shared" si="197"/>
        <v>0</v>
      </c>
      <c r="CP836" s="45" t="str">
        <f t="shared" ref="CP836:CP899" si="207">IF(ISBLANK(AC836),Q$1,AC836)</f>
        <v>1 - in MILLESIMI   I</v>
      </c>
      <c r="CQ836" s="1"/>
    </row>
    <row r="837" spans="1:95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435">
        <f>IF(AND(W837&gt;=$U$1,W837&lt;=$U$2),IF(X837='ESTRATTO CONTO'!$E$2,1+COUNTIF(U$4:U836,"&gt;0"),0),0)</f>
        <v>0</v>
      </c>
      <c r="V837" s="417">
        <f t="shared" si="198"/>
        <v>834</v>
      </c>
      <c r="W837" s="509"/>
      <c r="X837" s="321"/>
      <c r="Y837" s="321"/>
      <c r="Z837" s="433"/>
      <c r="AA837" s="918">
        <f t="shared" si="202"/>
        <v>1</v>
      </c>
      <c r="AB837" s="306" t="str">
        <f t="shared" si="203"/>
        <v/>
      </c>
      <c r="AC837" s="788"/>
      <c r="AD837" s="119">
        <f t="shared" si="201"/>
        <v>0</v>
      </c>
      <c r="AE837" s="108">
        <f t="shared" si="201"/>
        <v>0</v>
      </c>
      <c r="AF837" s="108">
        <f t="shared" si="201"/>
        <v>0</v>
      </c>
      <c r="AG837" s="108"/>
      <c r="AH837" s="108"/>
      <c r="AI837" s="108"/>
      <c r="AJ837" s="108"/>
      <c r="AK837" s="108"/>
      <c r="AL837" s="108">
        <f t="shared" si="204"/>
        <v>0</v>
      </c>
      <c r="AM837" s="108"/>
      <c r="AN837" s="108"/>
      <c r="AO837" s="108"/>
      <c r="AP837" s="108"/>
      <c r="AQ837" s="108"/>
      <c r="AR837" s="108"/>
      <c r="AS837" s="108"/>
      <c r="AT837" s="108"/>
      <c r="AU837" s="108"/>
      <c r="AV837" s="108"/>
      <c r="AW837" s="108"/>
      <c r="AX837" s="108"/>
      <c r="AY837" s="108"/>
      <c r="AZ837" s="108"/>
      <c r="BA837" s="108"/>
      <c r="BB837" s="108"/>
      <c r="BC837" s="108"/>
      <c r="BD837" s="108"/>
      <c r="BE837" s="108"/>
      <c r="BF837" s="108"/>
      <c r="BG837" s="108"/>
      <c r="BH837" s="108"/>
      <c r="BI837" s="108"/>
      <c r="BJ837" s="108"/>
      <c r="BK837" s="108"/>
      <c r="BL837" s="108"/>
      <c r="BM837" s="108"/>
      <c r="BN837" s="108"/>
      <c r="BO837" s="108"/>
      <c r="BP837" s="108"/>
      <c r="BQ837" s="108"/>
      <c r="BR837" s="108"/>
      <c r="BS837" s="108"/>
      <c r="BT837" s="108"/>
      <c r="BU837" s="108"/>
      <c r="BV837" s="108"/>
      <c r="BW837" s="108"/>
      <c r="BX837" s="108"/>
      <c r="BY837" s="108"/>
      <c r="BZ837" s="108"/>
      <c r="CA837" s="108"/>
      <c r="CB837" s="108"/>
      <c r="CC837" s="108"/>
      <c r="CD837" s="108"/>
      <c r="CE837" s="108"/>
      <c r="CF837" s="108"/>
      <c r="CG837" s="108"/>
      <c r="CH837" s="108"/>
      <c r="CI837" s="108"/>
      <c r="CJ837" s="108"/>
      <c r="CK837" s="120">
        <f t="shared" si="205"/>
        <v>0</v>
      </c>
      <c r="CL837" s="122">
        <f t="shared" si="206"/>
        <v>0</v>
      </c>
      <c r="CM837" s="524" t="str">
        <f t="shared" ref="CM837:CM900" si="208">IF(X837="","",IF(ISERROR(VLOOKUP(X837,B$9:E$45,1,FALSE)),1,0))</f>
        <v/>
      </c>
      <c r="CN837" s="526">
        <f t="shared" ref="CN837:CN900" si="209">IF(AND(W837&gt;=CN$1,W837&lt;=CN$2),Z837,0)</f>
        <v>0</v>
      </c>
      <c r="CO837" s="122">
        <f t="shared" ref="CO837:CO900" si="210">IF(CN837&lt;&gt;0,X837,0)</f>
        <v>0</v>
      </c>
      <c r="CP837" s="45" t="str">
        <f t="shared" si="207"/>
        <v>1 - in MILLESIMI   I</v>
      </c>
      <c r="CQ837" s="1"/>
    </row>
    <row r="838" spans="1:95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435">
        <f>IF(AND(W838&gt;=$U$1,W838&lt;=$U$2),IF(X838='ESTRATTO CONTO'!$E$2,1+COUNTIF(U$4:U837,"&gt;0"),0),0)</f>
        <v>0</v>
      </c>
      <c r="V838" s="417">
        <f t="shared" ref="V838:V901" si="211">V837+1</f>
        <v>835</v>
      </c>
      <c r="W838" s="509"/>
      <c r="X838" s="321"/>
      <c r="Y838" s="321"/>
      <c r="Z838" s="433"/>
      <c r="AA838" s="918">
        <f t="shared" si="202"/>
        <v>1</v>
      </c>
      <c r="AB838" s="306" t="str">
        <f t="shared" si="203"/>
        <v/>
      </c>
      <c r="AC838" s="788"/>
      <c r="AD838" s="119">
        <f t="shared" si="201"/>
        <v>0</v>
      </c>
      <c r="AE838" s="108">
        <f t="shared" si="201"/>
        <v>0</v>
      </c>
      <c r="AF838" s="108">
        <f t="shared" si="201"/>
        <v>0</v>
      </c>
      <c r="AG838" s="108"/>
      <c r="AH838" s="108"/>
      <c r="AI838" s="108"/>
      <c r="AJ838" s="108"/>
      <c r="AK838" s="108"/>
      <c r="AL838" s="108">
        <f t="shared" si="204"/>
        <v>0</v>
      </c>
      <c r="AM838" s="108"/>
      <c r="AN838" s="108"/>
      <c r="AO838" s="108"/>
      <c r="AP838" s="108"/>
      <c r="AQ838" s="108"/>
      <c r="AR838" s="108"/>
      <c r="AS838" s="108"/>
      <c r="AT838" s="108"/>
      <c r="AU838" s="108"/>
      <c r="AV838" s="108"/>
      <c r="AW838" s="108"/>
      <c r="AX838" s="108"/>
      <c r="AY838" s="108"/>
      <c r="AZ838" s="108"/>
      <c r="BA838" s="108"/>
      <c r="BB838" s="108"/>
      <c r="BC838" s="108"/>
      <c r="BD838" s="108"/>
      <c r="BE838" s="108"/>
      <c r="BF838" s="108"/>
      <c r="BG838" s="108"/>
      <c r="BH838" s="108"/>
      <c r="BI838" s="108"/>
      <c r="BJ838" s="108"/>
      <c r="BK838" s="108"/>
      <c r="BL838" s="108"/>
      <c r="BM838" s="108"/>
      <c r="BN838" s="108"/>
      <c r="BO838" s="108"/>
      <c r="BP838" s="108"/>
      <c r="BQ838" s="108"/>
      <c r="BR838" s="108"/>
      <c r="BS838" s="108"/>
      <c r="BT838" s="108"/>
      <c r="BU838" s="108"/>
      <c r="BV838" s="108"/>
      <c r="BW838" s="108"/>
      <c r="BX838" s="108"/>
      <c r="BY838" s="108"/>
      <c r="BZ838" s="108"/>
      <c r="CA838" s="108"/>
      <c r="CB838" s="108"/>
      <c r="CC838" s="108"/>
      <c r="CD838" s="108"/>
      <c r="CE838" s="108"/>
      <c r="CF838" s="108"/>
      <c r="CG838" s="108"/>
      <c r="CH838" s="108"/>
      <c r="CI838" s="108"/>
      <c r="CJ838" s="108"/>
      <c r="CK838" s="120">
        <f t="shared" si="205"/>
        <v>0</v>
      </c>
      <c r="CL838" s="122">
        <f t="shared" si="206"/>
        <v>0</v>
      </c>
      <c r="CM838" s="524" t="str">
        <f t="shared" si="208"/>
        <v/>
      </c>
      <c r="CN838" s="526">
        <f t="shared" si="209"/>
        <v>0</v>
      </c>
      <c r="CO838" s="122">
        <f t="shared" si="210"/>
        <v>0</v>
      </c>
      <c r="CP838" s="45" t="str">
        <f t="shared" si="207"/>
        <v>1 - in MILLESIMI   I</v>
      </c>
      <c r="CQ838" s="1"/>
    </row>
    <row r="839" spans="1:95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435">
        <f>IF(AND(W839&gt;=$U$1,W839&lt;=$U$2),IF(X839='ESTRATTO CONTO'!$E$2,1+COUNTIF(U$4:U838,"&gt;0"),0),0)</f>
        <v>0</v>
      </c>
      <c r="V839" s="417">
        <f t="shared" si="211"/>
        <v>836</v>
      </c>
      <c r="W839" s="509"/>
      <c r="X839" s="321"/>
      <c r="Y839" s="321"/>
      <c r="Z839" s="433"/>
      <c r="AA839" s="918">
        <f t="shared" si="202"/>
        <v>1</v>
      </c>
      <c r="AB839" s="306" t="str">
        <f t="shared" si="203"/>
        <v/>
      </c>
      <c r="AC839" s="788"/>
      <c r="AD839" s="119">
        <f t="shared" si="201"/>
        <v>0</v>
      </c>
      <c r="AE839" s="108">
        <f t="shared" si="201"/>
        <v>0</v>
      </c>
      <c r="AF839" s="108">
        <f t="shared" si="201"/>
        <v>0</v>
      </c>
      <c r="AG839" s="108"/>
      <c r="AH839" s="108"/>
      <c r="AI839" s="108"/>
      <c r="AJ839" s="108"/>
      <c r="AK839" s="108"/>
      <c r="AL839" s="108">
        <f t="shared" si="204"/>
        <v>0</v>
      </c>
      <c r="AM839" s="108"/>
      <c r="AN839" s="108"/>
      <c r="AO839" s="108"/>
      <c r="AP839" s="108"/>
      <c r="AQ839" s="108"/>
      <c r="AR839" s="108"/>
      <c r="AS839" s="108"/>
      <c r="AT839" s="108"/>
      <c r="AU839" s="108"/>
      <c r="AV839" s="108"/>
      <c r="AW839" s="108"/>
      <c r="AX839" s="108"/>
      <c r="AY839" s="108"/>
      <c r="AZ839" s="108"/>
      <c r="BA839" s="108"/>
      <c r="BB839" s="108"/>
      <c r="BC839" s="108"/>
      <c r="BD839" s="108"/>
      <c r="BE839" s="108"/>
      <c r="BF839" s="108"/>
      <c r="BG839" s="108"/>
      <c r="BH839" s="108"/>
      <c r="BI839" s="108"/>
      <c r="BJ839" s="108"/>
      <c r="BK839" s="108"/>
      <c r="BL839" s="108"/>
      <c r="BM839" s="108"/>
      <c r="BN839" s="108"/>
      <c r="BO839" s="108"/>
      <c r="BP839" s="108"/>
      <c r="BQ839" s="108"/>
      <c r="BR839" s="108"/>
      <c r="BS839" s="108"/>
      <c r="BT839" s="108"/>
      <c r="BU839" s="108"/>
      <c r="BV839" s="108"/>
      <c r="BW839" s="108"/>
      <c r="BX839" s="108"/>
      <c r="BY839" s="108"/>
      <c r="BZ839" s="108"/>
      <c r="CA839" s="108"/>
      <c r="CB839" s="108"/>
      <c r="CC839" s="108"/>
      <c r="CD839" s="108"/>
      <c r="CE839" s="108"/>
      <c r="CF839" s="108"/>
      <c r="CG839" s="108"/>
      <c r="CH839" s="108"/>
      <c r="CI839" s="108"/>
      <c r="CJ839" s="108"/>
      <c r="CK839" s="120">
        <f t="shared" si="205"/>
        <v>0</v>
      </c>
      <c r="CL839" s="122">
        <f t="shared" si="206"/>
        <v>0</v>
      </c>
      <c r="CM839" s="524" t="str">
        <f t="shared" si="208"/>
        <v/>
      </c>
      <c r="CN839" s="526">
        <f t="shared" si="209"/>
        <v>0</v>
      </c>
      <c r="CO839" s="122">
        <f t="shared" si="210"/>
        <v>0</v>
      </c>
      <c r="CP839" s="45" t="str">
        <f t="shared" si="207"/>
        <v>1 - in MILLESIMI   I</v>
      </c>
      <c r="CQ839" s="1"/>
    </row>
    <row r="840" spans="1:95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435">
        <f>IF(AND(W840&gt;=$U$1,W840&lt;=$U$2),IF(X840='ESTRATTO CONTO'!$E$2,1+COUNTIF(U$4:U839,"&gt;0"),0),0)</f>
        <v>0</v>
      </c>
      <c r="V840" s="417">
        <f t="shared" si="211"/>
        <v>837</v>
      </c>
      <c r="W840" s="509"/>
      <c r="X840" s="321"/>
      <c r="Y840" s="321"/>
      <c r="Z840" s="433"/>
      <c r="AA840" s="918">
        <f t="shared" si="202"/>
        <v>1</v>
      </c>
      <c r="AB840" s="306" t="str">
        <f t="shared" si="203"/>
        <v/>
      </c>
      <c r="AC840" s="788"/>
      <c r="AD840" s="119">
        <f t="shared" si="201"/>
        <v>0</v>
      </c>
      <c r="AE840" s="108">
        <f t="shared" si="201"/>
        <v>0</v>
      </c>
      <c r="AF840" s="108">
        <f t="shared" si="201"/>
        <v>0</v>
      </c>
      <c r="AG840" s="108"/>
      <c r="AH840" s="108"/>
      <c r="AI840" s="108"/>
      <c r="AJ840" s="108"/>
      <c r="AK840" s="108"/>
      <c r="AL840" s="108">
        <f t="shared" si="204"/>
        <v>0</v>
      </c>
      <c r="AM840" s="108"/>
      <c r="AN840" s="108"/>
      <c r="AO840" s="108"/>
      <c r="AP840" s="108"/>
      <c r="AQ840" s="108"/>
      <c r="AR840" s="108"/>
      <c r="AS840" s="108"/>
      <c r="AT840" s="108"/>
      <c r="AU840" s="108"/>
      <c r="AV840" s="108"/>
      <c r="AW840" s="108"/>
      <c r="AX840" s="108"/>
      <c r="AY840" s="108"/>
      <c r="AZ840" s="108"/>
      <c r="BA840" s="108"/>
      <c r="BB840" s="108"/>
      <c r="BC840" s="108"/>
      <c r="BD840" s="108"/>
      <c r="BE840" s="108"/>
      <c r="BF840" s="108"/>
      <c r="BG840" s="108"/>
      <c r="BH840" s="108"/>
      <c r="BI840" s="108"/>
      <c r="BJ840" s="108"/>
      <c r="BK840" s="108"/>
      <c r="BL840" s="108"/>
      <c r="BM840" s="108"/>
      <c r="BN840" s="108"/>
      <c r="BO840" s="108"/>
      <c r="BP840" s="108"/>
      <c r="BQ840" s="108"/>
      <c r="BR840" s="108"/>
      <c r="BS840" s="108"/>
      <c r="BT840" s="108"/>
      <c r="BU840" s="108"/>
      <c r="BV840" s="108"/>
      <c r="BW840" s="108"/>
      <c r="BX840" s="108"/>
      <c r="BY840" s="108"/>
      <c r="BZ840" s="108"/>
      <c r="CA840" s="108"/>
      <c r="CB840" s="108"/>
      <c r="CC840" s="108"/>
      <c r="CD840" s="108"/>
      <c r="CE840" s="108"/>
      <c r="CF840" s="108"/>
      <c r="CG840" s="108"/>
      <c r="CH840" s="108"/>
      <c r="CI840" s="108"/>
      <c r="CJ840" s="108"/>
      <c r="CK840" s="120">
        <f t="shared" si="205"/>
        <v>0</v>
      </c>
      <c r="CL840" s="122">
        <f t="shared" si="206"/>
        <v>0</v>
      </c>
      <c r="CM840" s="524" t="str">
        <f t="shared" si="208"/>
        <v/>
      </c>
      <c r="CN840" s="526">
        <f t="shared" si="209"/>
        <v>0</v>
      </c>
      <c r="CO840" s="122">
        <f t="shared" si="210"/>
        <v>0</v>
      </c>
      <c r="CP840" s="45" t="str">
        <f t="shared" si="207"/>
        <v>1 - in MILLESIMI   I</v>
      </c>
      <c r="CQ840" s="1"/>
    </row>
    <row r="841" spans="1:95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435">
        <f>IF(AND(W841&gt;=$U$1,W841&lt;=$U$2),IF(X841='ESTRATTO CONTO'!$E$2,1+COUNTIF(U$4:U840,"&gt;0"),0),0)</f>
        <v>0</v>
      </c>
      <c r="V841" s="417">
        <f t="shared" si="211"/>
        <v>838</v>
      </c>
      <c r="W841" s="509"/>
      <c r="X841" s="321"/>
      <c r="Y841" s="321"/>
      <c r="Z841" s="433"/>
      <c r="AA841" s="918">
        <f t="shared" si="202"/>
        <v>1</v>
      </c>
      <c r="AB841" s="306" t="str">
        <f t="shared" si="203"/>
        <v/>
      </c>
      <c r="AC841" s="788"/>
      <c r="AD841" s="119">
        <f t="shared" si="201"/>
        <v>0</v>
      </c>
      <c r="AE841" s="108">
        <f t="shared" si="201"/>
        <v>0</v>
      </c>
      <c r="AF841" s="108">
        <f t="shared" si="201"/>
        <v>0</v>
      </c>
      <c r="AG841" s="108"/>
      <c r="AH841" s="108"/>
      <c r="AI841" s="108"/>
      <c r="AJ841" s="108"/>
      <c r="AK841" s="108"/>
      <c r="AL841" s="108">
        <f t="shared" si="204"/>
        <v>0</v>
      </c>
      <c r="AM841" s="108"/>
      <c r="AN841" s="108"/>
      <c r="AO841" s="108"/>
      <c r="AP841" s="108"/>
      <c r="AQ841" s="108"/>
      <c r="AR841" s="108"/>
      <c r="AS841" s="108"/>
      <c r="AT841" s="108"/>
      <c r="AU841" s="108"/>
      <c r="AV841" s="108"/>
      <c r="AW841" s="108"/>
      <c r="AX841" s="108"/>
      <c r="AY841" s="108"/>
      <c r="AZ841" s="108"/>
      <c r="BA841" s="108"/>
      <c r="BB841" s="108"/>
      <c r="BC841" s="108"/>
      <c r="BD841" s="108"/>
      <c r="BE841" s="108"/>
      <c r="BF841" s="108"/>
      <c r="BG841" s="108"/>
      <c r="BH841" s="108"/>
      <c r="BI841" s="108"/>
      <c r="BJ841" s="108"/>
      <c r="BK841" s="108"/>
      <c r="BL841" s="108"/>
      <c r="BM841" s="108"/>
      <c r="BN841" s="108"/>
      <c r="BO841" s="108"/>
      <c r="BP841" s="108"/>
      <c r="BQ841" s="108"/>
      <c r="BR841" s="108"/>
      <c r="BS841" s="108"/>
      <c r="BT841" s="108"/>
      <c r="BU841" s="108"/>
      <c r="BV841" s="108"/>
      <c r="BW841" s="108"/>
      <c r="BX841" s="108"/>
      <c r="BY841" s="108"/>
      <c r="BZ841" s="108"/>
      <c r="CA841" s="108"/>
      <c r="CB841" s="108"/>
      <c r="CC841" s="108"/>
      <c r="CD841" s="108"/>
      <c r="CE841" s="108"/>
      <c r="CF841" s="108"/>
      <c r="CG841" s="108"/>
      <c r="CH841" s="108"/>
      <c r="CI841" s="108"/>
      <c r="CJ841" s="108"/>
      <c r="CK841" s="120">
        <f t="shared" si="205"/>
        <v>0</v>
      </c>
      <c r="CL841" s="122">
        <f t="shared" si="206"/>
        <v>0</v>
      </c>
      <c r="CM841" s="524" t="str">
        <f t="shared" si="208"/>
        <v/>
      </c>
      <c r="CN841" s="526">
        <f t="shared" si="209"/>
        <v>0</v>
      </c>
      <c r="CO841" s="122">
        <f t="shared" si="210"/>
        <v>0</v>
      </c>
      <c r="CP841" s="45" t="str">
        <f t="shared" si="207"/>
        <v>1 - in MILLESIMI   I</v>
      </c>
      <c r="CQ841" s="1"/>
    </row>
    <row r="842" spans="1:95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435">
        <f>IF(AND(W842&gt;=$U$1,W842&lt;=$U$2),IF(X842='ESTRATTO CONTO'!$E$2,1+COUNTIF(U$4:U841,"&gt;0"),0),0)</f>
        <v>0</v>
      </c>
      <c r="V842" s="417">
        <f t="shared" si="211"/>
        <v>839</v>
      </c>
      <c r="W842" s="509"/>
      <c r="X842" s="321"/>
      <c r="Y842" s="321"/>
      <c r="Z842" s="433"/>
      <c r="AA842" s="918">
        <f t="shared" si="202"/>
        <v>1</v>
      </c>
      <c r="AB842" s="306" t="str">
        <f t="shared" si="203"/>
        <v/>
      </c>
      <c r="AC842" s="788"/>
      <c r="AD842" s="119">
        <f t="shared" si="201"/>
        <v>0</v>
      </c>
      <c r="AE842" s="108">
        <f t="shared" si="201"/>
        <v>0</v>
      </c>
      <c r="AF842" s="108">
        <f t="shared" si="201"/>
        <v>0</v>
      </c>
      <c r="AG842" s="108"/>
      <c r="AH842" s="108"/>
      <c r="AI842" s="108"/>
      <c r="AJ842" s="108"/>
      <c r="AK842" s="108"/>
      <c r="AL842" s="108">
        <f t="shared" si="204"/>
        <v>0</v>
      </c>
      <c r="AM842" s="108"/>
      <c r="AN842" s="108"/>
      <c r="AO842" s="108"/>
      <c r="AP842" s="108"/>
      <c r="AQ842" s="108"/>
      <c r="AR842" s="108"/>
      <c r="AS842" s="108"/>
      <c r="AT842" s="108"/>
      <c r="AU842" s="108"/>
      <c r="AV842" s="108"/>
      <c r="AW842" s="108"/>
      <c r="AX842" s="108"/>
      <c r="AY842" s="108"/>
      <c r="AZ842" s="108"/>
      <c r="BA842" s="108"/>
      <c r="BB842" s="108"/>
      <c r="BC842" s="108"/>
      <c r="BD842" s="108"/>
      <c r="BE842" s="108"/>
      <c r="BF842" s="108"/>
      <c r="BG842" s="108"/>
      <c r="BH842" s="108"/>
      <c r="BI842" s="108"/>
      <c r="BJ842" s="108"/>
      <c r="BK842" s="108"/>
      <c r="BL842" s="108"/>
      <c r="BM842" s="108"/>
      <c r="BN842" s="108"/>
      <c r="BO842" s="108"/>
      <c r="BP842" s="108"/>
      <c r="BQ842" s="108"/>
      <c r="BR842" s="108"/>
      <c r="BS842" s="108"/>
      <c r="BT842" s="108"/>
      <c r="BU842" s="108"/>
      <c r="BV842" s="108"/>
      <c r="BW842" s="108"/>
      <c r="BX842" s="108"/>
      <c r="BY842" s="108"/>
      <c r="BZ842" s="108"/>
      <c r="CA842" s="108"/>
      <c r="CB842" s="108"/>
      <c r="CC842" s="108"/>
      <c r="CD842" s="108"/>
      <c r="CE842" s="108"/>
      <c r="CF842" s="108"/>
      <c r="CG842" s="108"/>
      <c r="CH842" s="108"/>
      <c r="CI842" s="108"/>
      <c r="CJ842" s="108"/>
      <c r="CK842" s="120">
        <f t="shared" si="205"/>
        <v>0</v>
      </c>
      <c r="CL842" s="122">
        <f t="shared" si="206"/>
        <v>0</v>
      </c>
      <c r="CM842" s="524" t="str">
        <f t="shared" si="208"/>
        <v/>
      </c>
      <c r="CN842" s="526">
        <f t="shared" si="209"/>
        <v>0</v>
      </c>
      <c r="CO842" s="122">
        <f t="shared" si="210"/>
        <v>0</v>
      </c>
      <c r="CP842" s="45" t="str">
        <f t="shared" si="207"/>
        <v>1 - in MILLESIMI   I</v>
      </c>
      <c r="CQ842" s="1"/>
    </row>
    <row r="843" spans="1:95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435">
        <f>IF(AND(W843&gt;=$U$1,W843&lt;=$U$2),IF(X843='ESTRATTO CONTO'!$E$2,1+COUNTIF(U$4:U842,"&gt;0"),0),0)</f>
        <v>0</v>
      </c>
      <c r="V843" s="417">
        <f t="shared" si="211"/>
        <v>840</v>
      </c>
      <c r="W843" s="509"/>
      <c r="X843" s="321"/>
      <c r="Y843" s="321"/>
      <c r="Z843" s="433"/>
      <c r="AA843" s="918">
        <f t="shared" si="202"/>
        <v>1</v>
      </c>
      <c r="AB843" s="306" t="str">
        <f t="shared" si="203"/>
        <v/>
      </c>
      <c r="AC843" s="788"/>
      <c r="AD843" s="119">
        <f t="shared" si="201"/>
        <v>0</v>
      </c>
      <c r="AE843" s="108">
        <f t="shared" si="201"/>
        <v>0</v>
      </c>
      <c r="AF843" s="108">
        <f t="shared" si="201"/>
        <v>0</v>
      </c>
      <c r="AG843" s="108"/>
      <c r="AH843" s="108"/>
      <c r="AI843" s="108"/>
      <c r="AJ843" s="108"/>
      <c r="AK843" s="108"/>
      <c r="AL843" s="108">
        <f t="shared" si="204"/>
        <v>0</v>
      </c>
      <c r="AM843" s="108"/>
      <c r="AN843" s="108"/>
      <c r="AO843" s="108"/>
      <c r="AP843" s="108"/>
      <c r="AQ843" s="108"/>
      <c r="AR843" s="108"/>
      <c r="AS843" s="108"/>
      <c r="AT843" s="108"/>
      <c r="AU843" s="108"/>
      <c r="AV843" s="108"/>
      <c r="AW843" s="108"/>
      <c r="AX843" s="108"/>
      <c r="AY843" s="108"/>
      <c r="AZ843" s="108"/>
      <c r="BA843" s="108"/>
      <c r="BB843" s="108"/>
      <c r="BC843" s="108"/>
      <c r="BD843" s="108"/>
      <c r="BE843" s="108"/>
      <c r="BF843" s="108"/>
      <c r="BG843" s="108"/>
      <c r="BH843" s="108"/>
      <c r="BI843" s="108"/>
      <c r="BJ843" s="108"/>
      <c r="BK843" s="108"/>
      <c r="BL843" s="108"/>
      <c r="BM843" s="108"/>
      <c r="BN843" s="108"/>
      <c r="BO843" s="108"/>
      <c r="BP843" s="108"/>
      <c r="BQ843" s="108"/>
      <c r="BR843" s="108"/>
      <c r="BS843" s="108"/>
      <c r="BT843" s="108"/>
      <c r="BU843" s="108"/>
      <c r="BV843" s="108"/>
      <c r="BW843" s="108"/>
      <c r="BX843" s="108"/>
      <c r="BY843" s="108"/>
      <c r="BZ843" s="108"/>
      <c r="CA843" s="108"/>
      <c r="CB843" s="108"/>
      <c r="CC843" s="108"/>
      <c r="CD843" s="108"/>
      <c r="CE843" s="108"/>
      <c r="CF843" s="108"/>
      <c r="CG843" s="108"/>
      <c r="CH843" s="108"/>
      <c r="CI843" s="108"/>
      <c r="CJ843" s="108"/>
      <c r="CK843" s="120">
        <f t="shared" si="205"/>
        <v>0</v>
      </c>
      <c r="CL843" s="122">
        <f t="shared" si="206"/>
        <v>0</v>
      </c>
      <c r="CM843" s="524" t="str">
        <f t="shared" si="208"/>
        <v/>
      </c>
      <c r="CN843" s="526">
        <f t="shared" si="209"/>
        <v>0</v>
      </c>
      <c r="CO843" s="122">
        <f t="shared" si="210"/>
        <v>0</v>
      </c>
      <c r="CP843" s="45" t="str">
        <f t="shared" si="207"/>
        <v>1 - in MILLESIMI   I</v>
      </c>
      <c r="CQ843" s="1"/>
    </row>
    <row r="844" spans="1:95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435">
        <f>IF(AND(W844&gt;=$U$1,W844&lt;=$U$2),IF(X844='ESTRATTO CONTO'!$E$2,1+COUNTIF(U$4:U843,"&gt;0"),0),0)</f>
        <v>0</v>
      </c>
      <c r="V844" s="417">
        <f t="shared" si="211"/>
        <v>841</v>
      </c>
      <c r="W844" s="509"/>
      <c r="X844" s="321"/>
      <c r="Y844" s="321"/>
      <c r="Z844" s="433"/>
      <c r="AA844" s="918">
        <f t="shared" si="202"/>
        <v>1</v>
      </c>
      <c r="AB844" s="306" t="str">
        <f t="shared" si="203"/>
        <v/>
      </c>
      <c r="AC844" s="788"/>
      <c r="AD844" s="119">
        <f t="shared" ref="AD844:AF863" si="212">IF($AB844=0,0,ROUND($Z844*VLOOKUP(AD$2,$F$1010:$Q$1014,VLOOKUP($CP844,$C$1076:$E$1081,3,FALSE),FALSE),2))</f>
        <v>0</v>
      </c>
      <c r="AE844" s="108">
        <f t="shared" si="212"/>
        <v>0</v>
      </c>
      <c r="AF844" s="108">
        <f t="shared" si="212"/>
        <v>0</v>
      </c>
      <c r="AG844" s="108"/>
      <c r="AH844" s="108"/>
      <c r="AI844" s="108"/>
      <c r="AJ844" s="108"/>
      <c r="AK844" s="108"/>
      <c r="AL844" s="108">
        <f t="shared" si="204"/>
        <v>0</v>
      </c>
      <c r="AM844" s="108"/>
      <c r="AN844" s="108"/>
      <c r="AO844" s="108"/>
      <c r="AP844" s="108"/>
      <c r="AQ844" s="108"/>
      <c r="AR844" s="108"/>
      <c r="AS844" s="108"/>
      <c r="AT844" s="108"/>
      <c r="AU844" s="108"/>
      <c r="AV844" s="108"/>
      <c r="AW844" s="108"/>
      <c r="AX844" s="108"/>
      <c r="AY844" s="108"/>
      <c r="AZ844" s="108"/>
      <c r="BA844" s="108"/>
      <c r="BB844" s="108"/>
      <c r="BC844" s="108"/>
      <c r="BD844" s="108"/>
      <c r="BE844" s="108"/>
      <c r="BF844" s="108"/>
      <c r="BG844" s="108"/>
      <c r="BH844" s="108"/>
      <c r="BI844" s="108"/>
      <c r="BJ844" s="108"/>
      <c r="BK844" s="108"/>
      <c r="BL844" s="108"/>
      <c r="BM844" s="108"/>
      <c r="BN844" s="108"/>
      <c r="BO844" s="108"/>
      <c r="BP844" s="108"/>
      <c r="BQ844" s="108"/>
      <c r="BR844" s="108"/>
      <c r="BS844" s="108"/>
      <c r="BT844" s="108"/>
      <c r="BU844" s="108"/>
      <c r="BV844" s="108"/>
      <c r="BW844" s="108"/>
      <c r="BX844" s="108"/>
      <c r="BY844" s="108"/>
      <c r="BZ844" s="108"/>
      <c r="CA844" s="108"/>
      <c r="CB844" s="108"/>
      <c r="CC844" s="108"/>
      <c r="CD844" s="108"/>
      <c r="CE844" s="108"/>
      <c r="CF844" s="108"/>
      <c r="CG844" s="108"/>
      <c r="CH844" s="108"/>
      <c r="CI844" s="108"/>
      <c r="CJ844" s="108"/>
      <c r="CK844" s="120">
        <f t="shared" si="205"/>
        <v>0</v>
      </c>
      <c r="CL844" s="122">
        <f t="shared" si="206"/>
        <v>0</v>
      </c>
      <c r="CM844" s="524" t="str">
        <f t="shared" si="208"/>
        <v/>
      </c>
      <c r="CN844" s="526">
        <f t="shared" si="209"/>
        <v>0</v>
      </c>
      <c r="CO844" s="122">
        <f t="shared" si="210"/>
        <v>0</v>
      </c>
      <c r="CP844" s="45" t="str">
        <f t="shared" si="207"/>
        <v>1 - in MILLESIMI   I</v>
      </c>
      <c r="CQ844" s="1"/>
    </row>
    <row r="845" spans="1:95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435">
        <f>IF(AND(W845&gt;=$U$1,W845&lt;=$U$2),IF(X845='ESTRATTO CONTO'!$E$2,1+COUNTIF(U$4:U844,"&gt;0"),0),0)</f>
        <v>0</v>
      </c>
      <c r="V845" s="417">
        <f t="shared" si="211"/>
        <v>842</v>
      </c>
      <c r="W845" s="509"/>
      <c r="X845" s="321"/>
      <c r="Y845" s="321"/>
      <c r="Z845" s="433"/>
      <c r="AA845" s="918">
        <f t="shared" si="202"/>
        <v>1</v>
      </c>
      <c r="AB845" s="306" t="str">
        <f t="shared" si="203"/>
        <v/>
      </c>
      <c r="AC845" s="788"/>
      <c r="AD845" s="119">
        <f t="shared" si="212"/>
        <v>0</v>
      </c>
      <c r="AE845" s="108">
        <f t="shared" si="212"/>
        <v>0</v>
      </c>
      <c r="AF845" s="108">
        <f t="shared" si="212"/>
        <v>0</v>
      </c>
      <c r="AG845" s="108"/>
      <c r="AH845" s="108"/>
      <c r="AI845" s="108"/>
      <c r="AJ845" s="108"/>
      <c r="AK845" s="108"/>
      <c r="AL845" s="108">
        <f t="shared" si="204"/>
        <v>0</v>
      </c>
      <c r="AM845" s="108"/>
      <c r="AN845" s="108"/>
      <c r="AO845" s="108"/>
      <c r="AP845" s="108"/>
      <c r="AQ845" s="108"/>
      <c r="AR845" s="108"/>
      <c r="AS845" s="108"/>
      <c r="AT845" s="108"/>
      <c r="AU845" s="108"/>
      <c r="AV845" s="108"/>
      <c r="AW845" s="108"/>
      <c r="AX845" s="108"/>
      <c r="AY845" s="108"/>
      <c r="AZ845" s="108"/>
      <c r="BA845" s="108"/>
      <c r="BB845" s="108"/>
      <c r="BC845" s="108"/>
      <c r="BD845" s="108"/>
      <c r="BE845" s="108"/>
      <c r="BF845" s="108"/>
      <c r="BG845" s="108"/>
      <c r="BH845" s="108"/>
      <c r="BI845" s="108"/>
      <c r="BJ845" s="108"/>
      <c r="BK845" s="108"/>
      <c r="BL845" s="108"/>
      <c r="BM845" s="108"/>
      <c r="BN845" s="108"/>
      <c r="BO845" s="108"/>
      <c r="BP845" s="108"/>
      <c r="BQ845" s="108"/>
      <c r="BR845" s="108"/>
      <c r="BS845" s="108"/>
      <c r="BT845" s="108"/>
      <c r="BU845" s="108"/>
      <c r="BV845" s="108"/>
      <c r="BW845" s="108"/>
      <c r="BX845" s="108"/>
      <c r="BY845" s="108"/>
      <c r="BZ845" s="108"/>
      <c r="CA845" s="108"/>
      <c r="CB845" s="108"/>
      <c r="CC845" s="108"/>
      <c r="CD845" s="108"/>
      <c r="CE845" s="108"/>
      <c r="CF845" s="108"/>
      <c r="CG845" s="108"/>
      <c r="CH845" s="108"/>
      <c r="CI845" s="108"/>
      <c r="CJ845" s="108"/>
      <c r="CK845" s="120">
        <f t="shared" si="205"/>
        <v>0</v>
      </c>
      <c r="CL845" s="122">
        <f t="shared" si="206"/>
        <v>0</v>
      </c>
      <c r="CM845" s="524" t="str">
        <f t="shared" si="208"/>
        <v/>
      </c>
      <c r="CN845" s="526">
        <f t="shared" si="209"/>
        <v>0</v>
      </c>
      <c r="CO845" s="122">
        <f t="shared" si="210"/>
        <v>0</v>
      </c>
      <c r="CP845" s="45" t="str">
        <f t="shared" si="207"/>
        <v>1 - in MILLESIMI   I</v>
      </c>
      <c r="CQ845" s="1"/>
    </row>
    <row r="846" spans="1:95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435">
        <f>IF(AND(W846&gt;=$U$1,W846&lt;=$U$2),IF(X846='ESTRATTO CONTO'!$E$2,1+COUNTIF(U$4:U845,"&gt;0"),0),0)</f>
        <v>0</v>
      </c>
      <c r="V846" s="417">
        <f t="shared" si="211"/>
        <v>843</v>
      </c>
      <c r="W846" s="509"/>
      <c r="X846" s="321"/>
      <c r="Y846" s="321"/>
      <c r="Z846" s="433"/>
      <c r="AA846" s="918">
        <f t="shared" si="202"/>
        <v>1</v>
      </c>
      <c r="AB846" s="306" t="str">
        <f t="shared" si="203"/>
        <v/>
      </c>
      <c r="AC846" s="788"/>
      <c r="AD846" s="119">
        <f t="shared" si="212"/>
        <v>0</v>
      </c>
      <c r="AE846" s="108">
        <f t="shared" si="212"/>
        <v>0</v>
      </c>
      <c r="AF846" s="108">
        <f t="shared" si="212"/>
        <v>0</v>
      </c>
      <c r="AG846" s="108"/>
      <c r="AH846" s="108"/>
      <c r="AI846" s="108"/>
      <c r="AJ846" s="108"/>
      <c r="AK846" s="108"/>
      <c r="AL846" s="108">
        <f t="shared" si="204"/>
        <v>0</v>
      </c>
      <c r="AM846" s="108"/>
      <c r="AN846" s="108"/>
      <c r="AO846" s="108"/>
      <c r="AP846" s="108"/>
      <c r="AQ846" s="108"/>
      <c r="AR846" s="108"/>
      <c r="AS846" s="108"/>
      <c r="AT846" s="108"/>
      <c r="AU846" s="108"/>
      <c r="AV846" s="108"/>
      <c r="AW846" s="108"/>
      <c r="AX846" s="108"/>
      <c r="AY846" s="108"/>
      <c r="AZ846" s="108"/>
      <c r="BA846" s="108"/>
      <c r="BB846" s="108"/>
      <c r="BC846" s="108"/>
      <c r="BD846" s="108"/>
      <c r="BE846" s="108"/>
      <c r="BF846" s="108"/>
      <c r="BG846" s="108"/>
      <c r="BH846" s="108"/>
      <c r="BI846" s="108"/>
      <c r="BJ846" s="108"/>
      <c r="BK846" s="108"/>
      <c r="BL846" s="108"/>
      <c r="BM846" s="108"/>
      <c r="BN846" s="108"/>
      <c r="BO846" s="108"/>
      <c r="BP846" s="108"/>
      <c r="BQ846" s="108"/>
      <c r="BR846" s="108"/>
      <c r="BS846" s="108"/>
      <c r="BT846" s="108"/>
      <c r="BU846" s="108"/>
      <c r="BV846" s="108"/>
      <c r="BW846" s="108"/>
      <c r="BX846" s="108"/>
      <c r="BY846" s="108"/>
      <c r="BZ846" s="108"/>
      <c r="CA846" s="108"/>
      <c r="CB846" s="108"/>
      <c r="CC846" s="108"/>
      <c r="CD846" s="108"/>
      <c r="CE846" s="108"/>
      <c r="CF846" s="108"/>
      <c r="CG846" s="108"/>
      <c r="CH846" s="108"/>
      <c r="CI846" s="108"/>
      <c r="CJ846" s="108"/>
      <c r="CK846" s="120">
        <f t="shared" si="205"/>
        <v>0</v>
      </c>
      <c r="CL846" s="122">
        <f t="shared" si="206"/>
        <v>0</v>
      </c>
      <c r="CM846" s="524" t="str">
        <f t="shared" si="208"/>
        <v/>
      </c>
      <c r="CN846" s="526">
        <f t="shared" si="209"/>
        <v>0</v>
      </c>
      <c r="CO846" s="122">
        <f t="shared" si="210"/>
        <v>0</v>
      </c>
      <c r="CP846" s="45" t="str">
        <f t="shared" si="207"/>
        <v>1 - in MILLESIMI   I</v>
      </c>
      <c r="CQ846" s="1"/>
    </row>
    <row r="847" spans="1:95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435">
        <f>IF(AND(W847&gt;=$U$1,W847&lt;=$U$2),IF(X847='ESTRATTO CONTO'!$E$2,1+COUNTIF(U$4:U846,"&gt;0"),0),0)</f>
        <v>0</v>
      </c>
      <c r="V847" s="417">
        <f t="shared" si="211"/>
        <v>844</v>
      </c>
      <c r="W847" s="509"/>
      <c r="X847" s="321"/>
      <c r="Y847" s="321"/>
      <c r="Z847" s="433"/>
      <c r="AA847" s="918">
        <f t="shared" si="202"/>
        <v>1</v>
      </c>
      <c r="AB847" s="306" t="str">
        <f t="shared" si="203"/>
        <v/>
      </c>
      <c r="AC847" s="788"/>
      <c r="AD847" s="119">
        <f t="shared" si="212"/>
        <v>0</v>
      </c>
      <c r="AE847" s="108">
        <f t="shared" si="212"/>
        <v>0</v>
      </c>
      <c r="AF847" s="108">
        <f t="shared" si="212"/>
        <v>0</v>
      </c>
      <c r="AG847" s="108"/>
      <c r="AH847" s="108"/>
      <c r="AI847" s="108"/>
      <c r="AJ847" s="108"/>
      <c r="AK847" s="108"/>
      <c r="AL847" s="108">
        <f t="shared" si="204"/>
        <v>0</v>
      </c>
      <c r="AM847" s="108"/>
      <c r="AN847" s="108"/>
      <c r="AO847" s="108"/>
      <c r="AP847" s="108"/>
      <c r="AQ847" s="108"/>
      <c r="AR847" s="108"/>
      <c r="AS847" s="108"/>
      <c r="AT847" s="108"/>
      <c r="AU847" s="108"/>
      <c r="AV847" s="108"/>
      <c r="AW847" s="108"/>
      <c r="AX847" s="108"/>
      <c r="AY847" s="108"/>
      <c r="AZ847" s="108"/>
      <c r="BA847" s="108"/>
      <c r="BB847" s="108"/>
      <c r="BC847" s="108"/>
      <c r="BD847" s="108"/>
      <c r="BE847" s="108"/>
      <c r="BF847" s="108"/>
      <c r="BG847" s="108"/>
      <c r="BH847" s="108"/>
      <c r="BI847" s="108"/>
      <c r="BJ847" s="108"/>
      <c r="BK847" s="108"/>
      <c r="BL847" s="108"/>
      <c r="BM847" s="108"/>
      <c r="BN847" s="108"/>
      <c r="BO847" s="108"/>
      <c r="BP847" s="108"/>
      <c r="BQ847" s="108"/>
      <c r="BR847" s="108"/>
      <c r="BS847" s="108"/>
      <c r="BT847" s="108"/>
      <c r="BU847" s="108"/>
      <c r="BV847" s="108"/>
      <c r="BW847" s="108"/>
      <c r="BX847" s="108"/>
      <c r="BY847" s="108"/>
      <c r="BZ847" s="108"/>
      <c r="CA847" s="108"/>
      <c r="CB847" s="108"/>
      <c r="CC847" s="108"/>
      <c r="CD847" s="108"/>
      <c r="CE847" s="108"/>
      <c r="CF847" s="108"/>
      <c r="CG847" s="108"/>
      <c r="CH847" s="108"/>
      <c r="CI847" s="108"/>
      <c r="CJ847" s="108"/>
      <c r="CK847" s="120">
        <f t="shared" si="205"/>
        <v>0</v>
      </c>
      <c r="CL847" s="122">
        <f t="shared" si="206"/>
        <v>0</v>
      </c>
      <c r="CM847" s="524" t="str">
        <f t="shared" si="208"/>
        <v/>
      </c>
      <c r="CN847" s="526">
        <f t="shared" si="209"/>
        <v>0</v>
      </c>
      <c r="CO847" s="122">
        <f t="shared" si="210"/>
        <v>0</v>
      </c>
      <c r="CP847" s="45" t="str">
        <f t="shared" si="207"/>
        <v>1 - in MILLESIMI   I</v>
      </c>
      <c r="CQ847" s="1"/>
    </row>
    <row r="848" spans="1:95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435">
        <f>IF(AND(W848&gt;=$U$1,W848&lt;=$U$2),IF(X848='ESTRATTO CONTO'!$E$2,1+COUNTIF(U$4:U847,"&gt;0"),0),0)</f>
        <v>0</v>
      </c>
      <c r="V848" s="417">
        <f t="shared" si="211"/>
        <v>845</v>
      </c>
      <c r="W848" s="509"/>
      <c r="X848" s="321"/>
      <c r="Y848" s="321"/>
      <c r="Z848" s="433"/>
      <c r="AA848" s="918">
        <f t="shared" si="202"/>
        <v>1</v>
      </c>
      <c r="AB848" s="306" t="str">
        <f t="shared" si="203"/>
        <v/>
      </c>
      <c r="AC848" s="788"/>
      <c r="AD848" s="119">
        <f t="shared" si="212"/>
        <v>0</v>
      </c>
      <c r="AE848" s="108">
        <f t="shared" si="212"/>
        <v>0</v>
      </c>
      <c r="AF848" s="108">
        <f t="shared" si="212"/>
        <v>0</v>
      </c>
      <c r="AG848" s="108"/>
      <c r="AH848" s="108"/>
      <c r="AI848" s="108"/>
      <c r="AJ848" s="108"/>
      <c r="AK848" s="108"/>
      <c r="AL848" s="108">
        <f t="shared" si="204"/>
        <v>0</v>
      </c>
      <c r="AM848" s="108"/>
      <c r="AN848" s="108"/>
      <c r="AO848" s="108"/>
      <c r="AP848" s="108"/>
      <c r="AQ848" s="108"/>
      <c r="AR848" s="108"/>
      <c r="AS848" s="108"/>
      <c r="AT848" s="108"/>
      <c r="AU848" s="108"/>
      <c r="AV848" s="108"/>
      <c r="AW848" s="108"/>
      <c r="AX848" s="108"/>
      <c r="AY848" s="108"/>
      <c r="AZ848" s="108"/>
      <c r="BA848" s="108"/>
      <c r="BB848" s="108"/>
      <c r="BC848" s="108"/>
      <c r="BD848" s="108"/>
      <c r="BE848" s="108"/>
      <c r="BF848" s="108"/>
      <c r="BG848" s="108"/>
      <c r="BH848" s="108"/>
      <c r="BI848" s="108"/>
      <c r="BJ848" s="108"/>
      <c r="BK848" s="108"/>
      <c r="BL848" s="108"/>
      <c r="BM848" s="108"/>
      <c r="BN848" s="108"/>
      <c r="BO848" s="108"/>
      <c r="BP848" s="108"/>
      <c r="BQ848" s="108"/>
      <c r="BR848" s="108"/>
      <c r="BS848" s="108"/>
      <c r="BT848" s="108"/>
      <c r="BU848" s="108"/>
      <c r="BV848" s="108"/>
      <c r="BW848" s="108"/>
      <c r="BX848" s="108"/>
      <c r="BY848" s="108"/>
      <c r="BZ848" s="108"/>
      <c r="CA848" s="108"/>
      <c r="CB848" s="108"/>
      <c r="CC848" s="108"/>
      <c r="CD848" s="108"/>
      <c r="CE848" s="108"/>
      <c r="CF848" s="108"/>
      <c r="CG848" s="108"/>
      <c r="CH848" s="108"/>
      <c r="CI848" s="108"/>
      <c r="CJ848" s="108"/>
      <c r="CK848" s="120">
        <f t="shared" si="205"/>
        <v>0</v>
      </c>
      <c r="CL848" s="122">
        <f t="shared" si="206"/>
        <v>0</v>
      </c>
      <c r="CM848" s="524" t="str">
        <f t="shared" si="208"/>
        <v/>
      </c>
      <c r="CN848" s="526">
        <f t="shared" si="209"/>
        <v>0</v>
      </c>
      <c r="CO848" s="122">
        <f t="shared" si="210"/>
        <v>0</v>
      </c>
      <c r="CP848" s="45" t="str">
        <f t="shared" si="207"/>
        <v>1 - in MILLESIMI   I</v>
      </c>
      <c r="CQ848" s="1"/>
    </row>
    <row r="849" spans="1:95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435">
        <f>IF(AND(W849&gt;=$U$1,W849&lt;=$U$2),IF(X849='ESTRATTO CONTO'!$E$2,1+COUNTIF(U$4:U848,"&gt;0"),0),0)</f>
        <v>0</v>
      </c>
      <c r="V849" s="417">
        <f t="shared" si="211"/>
        <v>846</v>
      </c>
      <c r="W849" s="509"/>
      <c r="X849" s="321"/>
      <c r="Y849" s="321"/>
      <c r="Z849" s="433"/>
      <c r="AA849" s="918">
        <f t="shared" si="202"/>
        <v>1</v>
      </c>
      <c r="AB849" s="306" t="str">
        <f t="shared" si="203"/>
        <v/>
      </c>
      <c r="AC849" s="788"/>
      <c r="AD849" s="119">
        <f t="shared" si="212"/>
        <v>0</v>
      </c>
      <c r="AE849" s="108">
        <f t="shared" si="212"/>
        <v>0</v>
      </c>
      <c r="AF849" s="108">
        <f t="shared" si="212"/>
        <v>0</v>
      </c>
      <c r="AG849" s="108"/>
      <c r="AH849" s="108"/>
      <c r="AI849" s="108"/>
      <c r="AJ849" s="108"/>
      <c r="AK849" s="108"/>
      <c r="AL849" s="108">
        <f t="shared" si="204"/>
        <v>0</v>
      </c>
      <c r="AM849" s="108"/>
      <c r="AN849" s="108"/>
      <c r="AO849" s="108"/>
      <c r="AP849" s="108"/>
      <c r="AQ849" s="108"/>
      <c r="AR849" s="108"/>
      <c r="AS849" s="108"/>
      <c r="AT849" s="108"/>
      <c r="AU849" s="108"/>
      <c r="AV849" s="108"/>
      <c r="AW849" s="108"/>
      <c r="AX849" s="108"/>
      <c r="AY849" s="108"/>
      <c r="AZ849" s="108"/>
      <c r="BA849" s="108"/>
      <c r="BB849" s="108"/>
      <c r="BC849" s="108"/>
      <c r="BD849" s="108"/>
      <c r="BE849" s="108"/>
      <c r="BF849" s="108"/>
      <c r="BG849" s="108"/>
      <c r="BH849" s="108"/>
      <c r="BI849" s="108"/>
      <c r="BJ849" s="108"/>
      <c r="BK849" s="108"/>
      <c r="BL849" s="108"/>
      <c r="BM849" s="108"/>
      <c r="BN849" s="108"/>
      <c r="BO849" s="108"/>
      <c r="BP849" s="108"/>
      <c r="BQ849" s="108"/>
      <c r="BR849" s="108"/>
      <c r="BS849" s="108"/>
      <c r="BT849" s="108"/>
      <c r="BU849" s="108"/>
      <c r="BV849" s="108"/>
      <c r="BW849" s="108"/>
      <c r="BX849" s="108"/>
      <c r="BY849" s="108"/>
      <c r="BZ849" s="108"/>
      <c r="CA849" s="108"/>
      <c r="CB849" s="108"/>
      <c r="CC849" s="108"/>
      <c r="CD849" s="108"/>
      <c r="CE849" s="108"/>
      <c r="CF849" s="108"/>
      <c r="CG849" s="108"/>
      <c r="CH849" s="108"/>
      <c r="CI849" s="108"/>
      <c r="CJ849" s="108"/>
      <c r="CK849" s="120">
        <f t="shared" si="205"/>
        <v>0</v>
      </c>
      <c r="CL849" s="122">
        <f t="shared" si="206"/>
        <v>0</v>
      </c>
      <c r="CM849" s="524" t="str">
        <f t="shared" si="208"/>
        <v/>
      </c>
      <c r="CN849" s="526">
        <f t="shared" si="209"/>
        <v>0</v>
      </c>
      <c r="CO849" s="122">
        <f t="shared" si="210"/>
        <v>0</v>
      </c>
      <c r="CP849" s="45" t="str">
        <f t="shared" si="207"/>
        <v>1 - in MILLESIMI   I</v>
      </c>
      <c r="CQ849" s="1"/>
    </row>
    <row r="850" spans="1:95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435">
        <f>IF(AND(W850&gt;=$U$1,W850&lt;=$U$2),IF(X850='ESTRATTO CONTO'!$E$2,1+COUNTIF(U$4:U849,"&gt;0"),0),0)</f>
        <v>0</v>
      </c>
      <c r="V850" s="417">
        <f t="shared" si="211"/>
        <v>847</v>
      </c>
      <c r="W850" s="509"/>
      <c r="X850" s="321"/>
      <c r="Y850" s="321"/>
      <c r="Z850" s="433"/>
      <c r="AA850" s="918">
        <f t="shared" si="202"/>
        <v>1</v>
      </c>
      <c r="AB850" s="306" t="str">
        <f t="shared" si="203"/>
        <v/>
      </c>
      <c r="AC850" s="788"/>
      <c r="AD850" s="119">
        <f t="shared" si="212"/>
        <v>0</v>
      </c>
      <c r="AE850" s="108">
        <f t="shared" si="212"/>
        <v>0</v>
      </c>
      <c r="AF850" s="108">
        <f t="shared" si="212"/>
        <v>0</v>
      </c>
      <c r="AG850" s="108"/>
      <c r="AH850" s="108"/>
      <c r="AI850" s="108"/>
      <c r="AJ850" s="108"/>
      <c r="AK850" s="108"/>
      <c r="AL850" s="108">
        <f t="shared" si="204"/>
        <v>0</v>
      </c>
      <c r="AM850" s="108"/>
      <c r="AN850" s="108"/>
      <c r="AO850" s="108"/>
      <c r="AP850" s="108"/>
      <c r="AQ850" s="108"/>
      <c r="AR850" s="108"/>
      <c r="AS850" s="108"/>
      <c r="AT850" s="108"/>
      <c r="AU850" s="108"/>
      <c r="AV850" s="108"/>
      <c r="AW850" s="108"/>
      <c r="AX850" s="108"/>
      <c r="AY850" s="108"/>
      <c r="AZ850" s="108"/>
      <c r="BA850" s="108"/>
      <c r="BB850" s="108"/>
      <c r="BC850" s="108"/>
      <c r="BD850" s="108"/>
      <c r="BE850" s="108"/>
      <c r="BF850" s="108"/>
      <c r="BG850" s="108"/>
      <c r="BH850" s="108"/>
      <c r="BI850" s="108"/>
      <c r="BJ850" s="108"/>
      <c r="BK850" s="108"/>
      <c r="BL850" s="108"/>
      <c r="BM850" s="108"/>
      <c r="BN850" s="108"/>
      <c r="BO850" s="108"/>
      <c r="BP850" s="108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20">
        <f t="shared" si="205"/>
        <v>0</v>
      </c>
      <c r="CL850" s="122">
        <f t="shared" si="206"/>
        <v>0</v>
      </c>
      <c r="CM850" s="524" t="str">
        <f t="shared" si="208"/>
        <v/>
      </c>
      <c r="CN850" s="526">
        <f t="shared" si="209"/>
        <v>0</v>
      </c>
      <c r="CO850" s="122">
        <f t="shared" si="210"/>
        <v>0</v>
      </c>
      <c r="CP850" s="45" t="str">
        <f t="shared" si="207"/>
        <v>1 - in MILLESIMI   I</v>
      </c>
      <c r="CQ850" s="1"/>
    </row>
    <row r="851" spans="1:95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435">
        <f>IF(AND(W851&gt;=$U$1,W851&lt;=$U$2),IF(X851='ESTRATTO CONTO'!$E$2,1+COUNTIF(U$4:U850,"&gt;0"),0),0)</f>
        <v>0</v>
      </c>
      <c r="V851" s="417">
        <f t="shared" si="211"/>
        <v>848</v>
      </c>
      <c r="W851" s="509"/>
      <c r="X851" s="321"/>
      <c r="Y851" s="321"/>
      <c r="Z851" s="433"/>
      <c r="AA851" s="918">
        <f t="shared" si="202"/>
        <v>1</v>
      </c>
      <c r="AB851" s="306" t="str">
        <f t="shared" si="203"/>
        <v/>
      </c>
      <c r="AC851" s="788"/>
      <c r="AD851" s="119">
        <f t="shared" si="212"/>
        <v>0</v>
      </c>
      <c r="AE851" s="108">
        <f t="shared" si="212"/>
        <v>0</v>
      </c>
      <c r="AF851" s="108">
        <f t="shared" si="212"/>
        <v>0</v>
      </c>
      <c r="AG851" s="108"/>
      <c r="AH851" s="108"/>
      <c r="AI851" s="108"/>
      <c r="AJ851" s="108"/>
      <c r="AK851" s="108"/>
      <c r="AL851" s="108">
        <f t="shared" si="204"/>
        <v>0</v>
      </c>
      <c r="AM851" s="108"/>
      <c r="AN851" s="108"/>
      <c r="AO851" s="108"/>
      <c r="AP851" s="108"/>
      <c r="AQ851" s="108"/>
      <c r="AR851" s="108"/>
      <c r="AS851" s="108"/>
      <c r="AT851" s="108"/>
      <c r="AU851" s="108"/>
      <c r="AV851" s="108"/>
      <c r="AW851" s="108"/>
      <c r="AX851" s="108"/>
      <c r="AY851" s="108"/>
      <c r="AZ851" s="108"/>
      <c r="BA851" s="108"/>
      <c r="BB851" s="108"/>
      <c r="BC851" s="108"/>
      <c r="BD851" s="108"/>
      <c r="BE851" s="108"/>
      <c r="BF851" s="108"/>
      <c r="BG851" s="108"/>
      <c r="BH851" s="108"/>
      <c r="BI851" s="108"/>
      <c r="BJ851" s="108"/>
      <c r="BK851" s="108"/>
      <c r="BL851" s="108"/>
      <c r="BM851" s="108"/>
      <c r="BN851" s="108"/>
      <c r="BO851" s="108"/>
      <c r="BP851" s="108"/>
      <c r="BQ851" s="108"/>
      <c r="BR851" s="108"/>
      <c r="BS851" s="108"/>
      <c r="BT851" s="108"/>
      <c r="BU851" s="108"/>
      <c r="BV851" s="108"/>
      <c r="BW851" s="108"/>
      <c r="BX851" s="108"/>
      <c r="BY851" s="108"/>
      <c r="BZ851" s="108"/>
      <c r="CA851" s="108"/>
      <c r="CB851" s="108"/>
      <c r="CC851" s="108"/>
      <c r="CD851" s="108"/>
      <c r="CE851" s="108"/>
      <c r="CF851" s="108"/>
      <c r="CG851" s="108"/>
      <c r="CH851" s="108"/>
      <c r="CI851" s="108"/>
      <c r="CJ851" s="108"/>
      <c r="CK851" s="120">
        <f t="shared" si="205"/>
        <v>0</v>
      </c>
      <c r="CL851" s="122">
        <f t="shared" si="206"/>
        <v>0</v>
      </c>
      <c r="CM851" s="524" t="str">
        <f t="shared" si="208"/>
        <v/>
      </c>
      <c r="CN851" s="526">
        <f t="shared" si="209"/>
        <v>0</v>
      </c>
      <c r="CO851" s="122">
        <f t="shared" si="210"/>
        <v>0</v>
      </c>
      <c r="CP851" s="45" t="str">
        <f t="shared" si="207"/>
        <v>1 - in MILLESIMI   I</v>
      </c>
      <c r="CQ851" s="1"/>
    </row>
    <row r="852" spans="1:95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435">
        <f>IF(AND(W852&gt;=$U$1,W852&lt;=$U$2),IF(X852='ESTRATTO CONTO'!$E$2,1+COUNTIF(U$4:U851,"&gt;0"),0),0)</f>
        <v>0</v>
      </c>
      <c r="V852" s="417">
        <f t="shared" si="211"/>
        <v>849</v>
      </c>
      <c r="W852" s="509"/>
      <c r="X852" s="321"/>
      <c r="Y852" s="321"/>
      <c r="Z852" s="433"/>
      <c r="AA852" s="918">
        <f t="shared" si="202"/>
        <v>1</v>
      </c>
      <c r="AB852" s="306" t="str">
        <f t="shared" si="203"/>
        <v/>
      </c>
      <c r="AC852" s="788"/>
      <c r="AD852" s="119">
        <f t="shared" si="212"/>
        <v>0</v>
      </c>
      <c r="AE852" s="108">
        <f t="shared" si="212"/>
        <v>0</v>
      </c>
      <c r="AF852" s="108">
        <f t="shared" si="212"/>
        <v>0</v>
      </c>
      <c r="AG852" s="108"/>
      <c r="AH852" s="108"/>
      <c r="AI852" s="108"/>
      <c r="AJ852" s="108"/>
      <c r="AK852" s="108"/>
      <c r="AL852" s="108">
        <f t="shared" si="204"/>
        <v>0</v>
      </c>
      <c r="AM852" s="108"/>
      <c r="AN852" s="108"/>
      <c r="AO852" s="108"/>
      <c r="AP852" s="108"/>
      <c r="AQ852" s="108"/>
      <c r="AR852" s="108"/>
      <c r="AS852" s="108"/>
      <c r="AT852" s="108"/>
      <c r="AU852" s="108"/>
      <c r="AV852" s="108"/>
      <c r="AW852" s="108"/>
      <c r="AX852" s="108"/>
      <c r="AY852" s="108"/>
      <c r="AZ852" s="108"/>
      <c r="BA852" s="108"/>
      <c r="BB852" s="108"/>
      <c r="BC852" s="108"/>
      <c r="BD852" s="108"/>
      <c r="BE852" s="108"/>
      <c r="BF852" s="108"/>
      <c r="BG852" s="108"/>
      <c r="BH852" s="108"/>
      <c r="BI852" s="108"/>
      <c r="BJ852" s="108"/>
      <c r="BK852" s="108"/>
      <c r="BL852" s="108"/>
      <c r="BM852" s="108"/>
      <c r="BN852" s="108"/>
      <c r="BO852" s="108"/>
      <c r="BP852" s="108"/>
      <c r="BQ852" s="108"/>
      <c r="BR852" s="108"/>
      <c r="BS852" s="108"/>
      <c r="BT852" s="108"/>
      <c r="BU852" s="108"/>
      <c r="BV852" s="108"/>
      <c r="BW852" s="108"/>
      <c r="BX852" s="108"/>
      <c r="BY852" s="108"/>
      <c r="BZ852" s="108"/>
      <c r="CA852" s="108"/>
      <c r="CB852" s="108"/>
      <c r="CC852" s="108"/>
      <c r="CD852" s="108"/>
      <c r="CE852" s="108"/>
      <c r="CF852" s="108"/>
      <c r="CG852" s="108"/>
      <c r="CH852" s="108"/>
      <c r="CI852" s="108"/>
      <c r="CJ852" s="108"/>
      <c r="CK852" s="120">
        <f t="shared" si="205"/>
        <v>0</v>
      </c>
      <c r="CL852" s="122">
        <f t="shared" si="206"/>
        <v>0</v>
      </c>
      <c r="CM852" s="524" t="str">
        <f t="shared" si="208"/>
        <v/>
      </c>
      <c r="CN852" s="526">
        <f t="shared" si="209"/>
        <v>0</v>
      </c>
      <c r="CO852" s="122">
        <f t="shared" si="210"/>
        <v>0</v>
      </c>
      <c r="CP852" s="45" t="str">
        <f t="shared" si="207"/>
        <v>1 - in MILLESIMI   I</v>
      </c>
      <c r="CQ852" s="1"/>
    </row>
    <row r="853" spans="1:95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435">
        <f>IF(AND(W853&gt;=$U$1,W853&lt;=$U$2),IF(X853='ESTRATTO CONTO'!$E$2,1+COUNTIF(U$4:U852,"&gt;0"),0),0)</f>
        <v>0</v>
      </c>
      <c r="V853" s="417">
        <f t="shared" si="211"/>
        <v>850</v>
      </c>
      <c r="W853" s="509"/>
      <c r="X853" s="321"/>
      <c r="Y853" s="321"/>
      <c r="Z853" s="433"/>
      <c r="AA853" s="918">
        <f t="shared" si="202"/>
        <v>1</v>
      </c>
      <c r="AB853" s="306" t="str">
        <f t="shared" si="203"/>
        <v/>
      </c>
      <c r="AC853" s="788"/>
      <c r="AD853" s="119">
        <f t="shared" si="212"/>
        <v>0</v>
      </c>
      <c r="AE853" s="108">
        <f t="shared" si="212"/>
        <v>0</v>
      </c>
      <c r="AF853" s="108">
        <f t="shared" si="212"/>
        <v>0</v>
      </c>
      <c r="AG853" s="108"/>
      <c r="AH853" s="108"/>
      <c r="AI853" s="108"/>
      <c r="AJ853" s="108"/>
      <c r="AK853" s="108"/>
      <c r="AL853" s="108">
        <f t="shared" si="204"/>
        <v>0</v>
      </c>
      <c r="AM853" s="108"/>
      <c r="AN853" s="108"/>
      <c r="AO853" s="108"/>
      <c r="AP853" s="108"/>
      <c r="AQ853" s="108"/>
      <c r="AR853" s="108"/>
      <c r="AS853" s="108"/>
      <c r="AT853" s="108"/>
      <c r="AU853" s="108"/>
      <c r="AV853" s="108"/>
      <c r="AW853" s="108"/>
      <c r="AX853" s="108"/>
      <c r="AY853" s="108"/>
      <c r="AZ853" s="108"/>
      <c r="BA853" s="108"/>
      <c r="BB853" s="108"/>
      <c r="BC853" s="108"/>
      <c r="BD853" s="108"/>
      <c r="BE853" s="108"/>
      <c r="BF853" s="108"/>
      <c r="BG853" s="108"/>
      <c r="BH853" s="108"/>
      <c r="BI853" s="108"/>
      <c r="BJ853" s="108"/>
      <c r="BK853" s="108"/>
      <c r="BL853" s="108"/>
      <c r="BM853" s="108"/>
      <c r="BN853" s="108"/>
      <c r="BO853" s="108"/>
      <c r="BP853" s="108"/>
      <c r="BQ853" s="108"/>
      <c r="BR853" s="108"/>
      <c r="BS853" s="108"/>
      <c r="BT853" s="108"/>
      <c r="BU853" s="108"/>
      <c r="BV853" s="108"/>
      <c r="BW853" s="108"/>
      <c r="BX853" s="108"/>
      <c r="BY853" s="108"/>
      <c r="BZ853" s="108"/>
      <c r="CA853" s="108"/>
      <c r="CB853" s="108"/>
      <c r="CC853" s="108"/>
      <c r="CD853" s="108"/>
      <c r="CE853" s="108"/>
      <c r="CF853" s="108"/>
      <c r="CG853" s="108"/>
      <c r="CH853" s="108"/>
      <c r="CI853" s="108"/>
      <c r="CJ853" s="108"/>
      <c r="CK853" s="120">
        <f t="shared" si="205"/>
        <v>0</v>
      </c>
      <c r="CL853" s="122">
        <f t="shared" si="206"/>
        <v>0</v>
      </c>
      <c r="CM853" s="524" t="str">
        <f t="shared" si="208"/>
        <v/>
      </c>
      <c r="CN853" s="526">
        <f t="shared" si="209"/>
        <v>0</v>
      </c>
      <c r="CO853" s="122">
        <f t="shared" si="210"/>
        <v>0</v>
      </c>
      <c r="CP853" s="45" t="str">
        <f t="shared" si="207"/>
        <v>1 - in MILLESIMI   I</v>
      </c>
      <c r="CQ853" s="1"/>
    </row>
    <row r="854" spans="1:95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435">
        <f>IF(AND(W854&gt;=$U$1,W854&lt;=$U$2),IF(X854='ESTRATTO CONTO'!$E$2,1+COUNTIF(U$4:U853,"&gt;0"),0),0)</f>
        <v>0</v>
      </c>
      <c r="V854" s="417">
        <f t="shared" si="211"/>
        <v>851</v>
      </c>
      <c r="W854" s="509"/>
      <c r="X854" s="321"/>
      <c r="Y854" s="321"/>
      <c r="Z854" s="433"/>
      <c r="AA854" s="918">
        <f t="shared" si="202"/>
        <v>1</v>
      </c>
      <c r="AB854" s="306" t="str">
        <f t="shared" si="203"/>
        <v/>
      </c>
      <c r="AC854" s="788"/>
      <c r="AD854" s="119">
        <f t="shared" si="212"/>
        <v>0</v>
      </c>
      <c r="AE854" s="108">
        <f t="shared" si="212"/>
        <v>0</v>
      </c>
      <c r="AF854" s="108">
        <f t="shared" si="212"/>
        <v>0</v>
      </c>
      <c r="AG854" s="108"/>
      <c r="AH854" s="108"/>
      <c r="AI854" s="108"/>
      <c r="AJ854" s="108"/>
      <c r="AK854" s="108"/>
      <c r="AL854" s="108">
        <f t="shared" si="204"/>
        <v>0</v>
      </c>
      <c r="AM854" s="108"/>
      <c r="AN854" s="108"/>
      <c r="AO854" s="108"/>
      <c r="AP854" s="108"/>
      <c r="AQ854" s="108"/>
      <c r="AR854" s="108"/>
      <c r="AS854" s="108"/>
      <c r="AT854" s="108"/>
      <c r="AU854" s="108"/>
      <c r="AV854" s="108"/>
      <c r="AW854" s="108"/>
      <c r="AX854" s="108"/>
      <c r="AY854" s="108"/>
      <c r="AZ854" s="108"/>
      <c r="BA854" s="108"/>
      <c r="BB854" s="108"/>
      <c r="BC854" s="108"/>
      <c r="BD854" s="108"/>
      <c r="BE854" s="108"/>
      <c r="BF854" s="108"/>
      <c r="BG854" s="108"/>
      <c r="BH854" s="108"/>
      <c r="BI854" s="108"/>
      <c r="BJ854" s="108"/>
      <c r="BK854" s="108"/>
      <c r="BL854" s="108"/>
      <c r="BM854" s="108"/>
      <c r="BN854" s="108"/>
      <c r="BO854" s="108"/>
      <c r="BP854" s="108"/>
      <c r="BQ854" s="108"/>
      <c r="BR854" s="108"/>
      <c r="BS854" s="108"/>
      <c r="BT854" s="108"/>
      <c r="BU854" s="108"/>
      <c r="BV854" s="108"/>
      <c r="BW854" s="108"/>
      <c r="BX854" s="108"/>
      <c r="BY854" s="108"/>
      <c r="BZ854" s="108"/>
      <c r="CA854" s="108"/>
      <c r="CB854" s="108"/>
      <c r="CC854" s="108"/>
      <c r="CD854" s="108"/>
      <c r="CE854" s="108"/>
      <c r="CF854" s="108"/>
      <c r="CG854" s="108"/>
      <c r="CH854" s="108"/>
      <c r="CI854" s="108"/>
      <c r="CJ854" s="108"/>
      <c r="CK854" s="120">
        <f t="shared" si="205"/>
        <v>0</v>
      </c>
      <c r="CL854" s="122">
        <f t="shared" si="206"/>
        <v>0</v>
      </c>
      <c r="CM854" s="524" t="str">
        <f t="shared" si="208"/>
        <v/>
      </c>
      <c r="CN854" s="526">
        <f t="shared" si="209"/>
        <v>0</v>
      </c>
      <c r="CO854" s="122">
        <f t="shared" si="210"/>
        <v>0</v>
      </c>
      <c r="CP854" s="45" t="str">
        <f t="shared" si="207"/>
        <v>1 - in MILLESIMI   I</v>
      </c>
      <c r="CQ854" s="1"/>
    </row>
    <row r="855" spans="1:95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435">
        <f>IF(AND(W855&gt;=$U$1,W855&lt;=$U$2),IF(X855='ESTRATTO CONTO'!$E$2,1+COUNTIF(U$4:U854,"&gt;0"),0),0)</f>
        <v>0</v>
      </c>
      <c r="V855" s="417">
        <f t="shared" si="211"/>
        <v>852</v>
      </c>
      <c r="W855" s="509"/>
      <c r="X855" s="321"/>
      <c r="Y855" s="321"/>
      <c r="Z855" s="433"/>
      <c r="AA855" s="918">
        <f t="shared" si="202"/>
        <v>1</v>
      </c>
      <c r="AB855" s="306" t="str">
        <f t="shared" si="203"/>
        <v/>
      </c>
      <c r="AC855" s="788"/>
      <c r="AD855" s="119">
        <f t="shared" si="212"/>
        <v>0</v>
      </c>
      <c r="AE855" s="108">
        <f t="shared" si="212"/>
        <v>0</v>
      </c>
      <c r="AF855" s="108">
        <f t="shared" si="212"/>
        <v>0</v>
      </c>
      <c r="AG855" s="108"/>
      <c r="AH855" s="108"/>
      <c r="AI855" s="108"/>
      <c r="AJ855" s="108"/>
      <c r="AK855" s="108"/>
      <c r="AL855" s="108">
        <f t="shared" si="204"/>
        <v>0</v>
      </c>
      <c r="AM855" s="108"/>
      <c r="AN855" s="108"/>
      <c r="AO855" s="108"/>
      <c r="AP855" s="108"/>
      <c r="AQ855" s="108"/>
      <c r="AR855" s="108"/>
      <c r="AS855" s="108"/>
      <c r="AT855" s="108"/>
      <c r="AU855" s="108"/>
      <c r="AV855" s="108"/>
      <c r="AW855" s="108"/>
      <c r="AX855" s="108"/>
      <c r="AY855" s="108"/>
      <c r="AZ855" s="108"/>
      <c r="BA855" s="108"/>
      <c r="BB855" s="108"/>
      <c r="BC855" s="108"/>
      <c r="BD855" s="108"/>
      <c r="BE855" s="108"/>
      <c r="BF855" s="108"/>
      <c r="BG855" s="108"/>
      <c r="BH855" s="108"/>
      <c r="BI855" s="108"/>
      <c r="BJ855" s="108"/>
      <c r="BK855" s="108"/>
      <c r="BL855" s="108"/>
      <c r="BM855" s="108"/>
      <c r="BN855" s="108"/>
      <c r="BO855" s="108"/>
      <c r="BP855" s="108"/>
      <c r="BQ855" s="108"/>
      <c r="BR855" s="108"/>
      <c r="BS855" s="108"/>
      <c r="BT855" s="108"/>
      <c r="BU855" s="108"/>
      <c r="BV855" s="108"/>
      <c r="BW855" s="108"/>
      <c r="BX855" s="108"/>
      <c r="BY855" s="108"/>
      <c r="BZ855" s="108"/>
      <c r="CA855" s="108"/>
      <c r="CB855" s="108"/>
      <c r="CC855" s="108"/>
      <c r="CD855" s="108"/>
      <c r="CE855" s="108"/>
      <c r="CF855" s="108"/>
      <c r="CG855" s="108"/>
      <c r="CH855" s="108"/>
      <c r="CI855" s="108"/>
      <c r="CJ855" s="108"/>
      <c r="CK855" s="120">
        <f t="shared" si="205"/>
        <v>0</v>
      </c>
      <c r="CL855" s="122">
        <f t="shared" si="206"/>
        <v>0</v>
      </c>
      <c r="CM855" s="524" t="str">
        <f t="shared" si="208"/>
        <v/>
      </c>
      <c r="CN855" s="526">
        <f t="shared" si="209"/>
        <v>0</v>
      </c>
      <c r="CO855" s="122">
        <f t="shared" si="210"/>
        <v>0</v>
      </c>
      <c r="CP855" s="45" t="str">
        <f t="shared" si="207"/>
        <v>1 - in MILLESIMI   I</v>
      </c>
      <c r="CQ855" s="1"/>
    </row>
    <row r="856" spans="1:95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435">
        <f>IF(AND(W856&gt;=$U$1,W856&lt;=$U$2),IF(X856='ESTRATTO CONTO'!$E$2,1+COUNTIF(U$4:U855,"&gt;0"),0),0)</f>
        <v>0</v>
      </c>
      <c r="V856" s="417">
        <f t="shared" si="211"/>
        <v>853</v>
      </c>
      <c r="W856" s="509"/>
      <c r="X856" s="321"/>
      <c r="Y856" s="321"/>
      <c r="Z856" s="433"/>
      <c r="AA856" s="918">
        <f t="shared" si="202"/>
        <v>1</v>
      </c>
      <c r="AB856" s="306" t="str">
        <f t="shared" si="203"/>
        <v/>
      </c>
      <c r="AC856" s="788"/>
      <c r="AD856" s="119">
        <f t="shared" si="212"/>
        <v>0</v>
      </c>
      <c r="AE856" s="108">
        <f t="shared" si="212"/>
        <v>0</v>
      </c>
      <c r="AF856" s="108">
        <f t="shared" si="212"/>
        <v>0</v>
      </c>
      <c r="AG856" s="108"/>
      <c r="AH856" s="108"/>
      <c r="AI856" s="108"/>
      <c r="AJ856" s="108"/>
      <c r="AK856" s="108"/>
      <c r="AL856" s="108">
        <f t="shared" si="204"/>
        <v>0</v>
      </c>
      <c r="AM856" s="108"/>
      <c r="AN856" s="108"/>
      <c r="AO856" s="108"/>
      <c r="AP856" s="108"/>
      <c r="AQ856" s="108"/>
      <c r="AR856" s="108"/>
      <c r="AS856" s="108"/>
      <c r="AT856" s="108"/>
      <c r="AU856" s="108"/>
      <c r="AV856" s="108"/>
      <c r="AW856" s="108"/>
      <c r="AX856" s="108"/>
      <c r="AY856" s="108"/>
      <c r="AZ856" s="108"/>
      <c r="BA856" s="108"/>
      <c r="BB856" s="108"/>
      <c r="BC856" s="108"/>
      <c r="BD856" s="108"/>
      <c r="BE856" s="108"/>
      <c r="BF856" s="108"/>
      <c r="BG856" s="108"/>
      <c r="BH856" s="108"/>
      <c r="BI856" s="108"/>
      <c r="BJ856" s="108"/>
      <c r="BK856" s="108"/>
      <c r="BL856" s="108"/>
      <c r="BM856" s="108"/>
      <c r="BN856" s="108"/>
      <c r="BO856" s="108"/>
      <c r="BP856" s="108"/>
      <c r="BQ856" s="108"/>
      <c r="BR856" s="108"/>
      <c r="BS856" s="108"/>
      <c r="BT856" s="108"/>
      <c r="BU856" s="108"/>
      <c r="BV856" s="108"/>
      <c r="BW856" s="108"/>
      <c r="BX856" s="108"/>
      <c r="BY856" s="108"/>
      <c r="BZ856" s="108"/>
      <c r="CA856" s="108"/>
      <c r="CB856" s="108"/>
      <c r="CC856" s="108"/>
      <c r="CD856" s="108"/>
      <c r="CE856" s="108"/>
      <c r="CF856" s="108"/>
      <c r="CG856" s="108"/>
      <c r="CH856" s="108"/>
      <c r="CI856" s="108"/>
      <c r="CJ856" s="108"/>
      <c r="CK856" s="120">
        <f t="shared" si="205"/>
        <v>0</v>
      </c>
      <c r="CL856" s="122">
        <f t="shared" si="206"/>
        <v>0</v>
      </c>
      <c r="CM856" s="524" t="str">
        <f t="shared" si="208"/>
        <v/>
      </c>
      <c r="CN856" s="526">
        <f t="shared" si="209"/>
        <v>0</v>
      </c>
      <c r="CO856" s="122">
        <f t="shared" si="210"/>
        <v>0</v>
      </c>
      <c r="CP856" s="45" t="str">
        <f t="shared" si="207"/>
        <v>1 - in MILLESIMI   I</v>
      </c>
      <c r="CQ856" s="1"/>
    </row>
    <row r="857" spans="1:95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435">
        <f>IF(AND(W857&gt;=$U$1,W857&lt;=$U$2),IF(X857='ESTRATTO CONTO'!$E$2,1+COUNTIF(U$4:U856,"&gt;0"),0),0)</f>
        <v>0</v>
      </c>
      <c r="V857" s="417">
        <f t="shared" si="211"/>
        <v>854</v>
      </c>
      <c r="W857" s="509"/>
      <c r="X857" s="321"/>
      <c r="Y857" s="321"/>
      <c r="Z857" s="433"/>
      <c r="AA857" s="918">
        <f t="shared" si="202"/>
        <v>1</v>
      </c>
      <c r="AB857" s="306" t="str">
        <f t="shared" si="203"/>
        <v/>
      </c>
      <c r="AC857" s="788"/>
      <c r="AD857" s="119">
        <f t="shared" si="212"/>
        <v>0</v>
      </c>
      <c r="AE857" s="108">
        <f t="shared" si="212"/>
        <v>0</v>
      </c>
      <c r="AF857" s="108">
        <f t="shared" si="212"/>
        <v>0</v>
      </c>
      <c r="AG857" s="108"/>
      <c r="AH857" s="108"/>
      <c r="AI857" s="108"/>
      <c r="AJ857" s="108"/>
      <c r="AK857" s="108"/>
      <c r="AL857" s="108">
        <f t="shared" si="204"/>
        <v>0</v>
      </c>
      <c r="AM857" s="108"/>
      <c r="AN857" s="108"/>
      <c r="AO857" s="108"/>
      <c r="AP857" s="108"/>
      <c r="AQ857" s="108"/>
      <c r="AR857" s="108"/>
      <c r="AS857" s="108"/>
      <c r="AT857" s="108"/>
      <c r="AU857" s="108"/>
      <c r="AV857" s="108"/>
      <c r="AW857" s="108"/>
      <c r="AX857" s="108"/>
      <c r="AY857" s="108"/>
      <c r="AZ857" s="108"/>
      <c r="BA857" s="108"/>
      <c r="BB857" s="108"/>
      <c r="BC857" s="108"/>
      <c r="BD857" s="108"/>
      <c r="BE857" s="108"/>
      <c r="BF857" s="108"/>
      <c r="BG857" s="108"/>
      <c r="BH857" s="108"/>
      <c r="BI857" s="108"/>
      <c r="BJ857" s="108"/>
      <c r="BK857" s="108"/>
      <c r="BL857" s="108"/>
      <c r="BM857" s="108"/>
      <c r="BN857" s="108"/>
      <c r="BO857" s="108"/>
      <c r="BP857" s="108"/>
      <c r="BQ857" s="108"/>
      <c r="BR857" s="108"/>
      <c r="BS857" s="108"/>
      <c r="BT857" s="108"/>
      <c r="BU857" s="108"/>
      <c r="BV857" s="108"/>
      <c r="BW857" s="108"/>
      <c r="BX857" s="108"/>
      <c r="BY857" s="108"/>
      <c r="BZ857" s="108"/>
      <c r="CA857" s="108"/>
      <c r="CB857" s="108"/>
      <c r="CC857" s="108"/>
      <c r="CD857" s="108"/>
      <c r="CE857" s="108"/>
      <c r="CF857" s="108"/>
      <c r="CG857" s="108"/>
      <c r="CH857" s="108"/>
      <c r="CI857" s="108"/>
      <c r="CJ857" s="108"/>
      <c r="CK857" s="120">
        <f t="shared" si="205"/>
        <v>0</v>
      </c>
      <c r="CL857" s="122">
        <f t="shared" si="206"/>
        <v>0</v>
      </c>
      <c r="CM857" s="524" t="str">
        <f t="shared" si="208"/>
        <v/>
      </c>
      <c r="CN857" s="526">
        <f t="shared" si="209"/>
        <v>0</v>
      </c>
      <c r="CO857" s="122">
        <f t="shared" si="210"/>
        <v>0</v>
      </c>
      <c r="CP857" s="45" t="str">
        <f t="shared" si="207"/>
        <v>1 - in MILLESIMI   I</v>
      </c>
      <c r="CQ857" s="1"/>
    </row>
    <row r="858" spans="1:95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435">
        <f>IF(AND(W858&gt;=$U$1,W858&lt;=$U$2),IF(X858='ESTRATTO CONTO'!$E$2,1+COUNTIF(U$4:U857,"&gt;0"),0),0)</f>
        <v>0</v>
      </c>
      <c r="V858" s="417">
        <f t="shared" si="211"/>
        <v>855</v>
      </c>
      <c r="W858" s="509"/>
      <c r="X858" s="321"/>
      <c r="Y858" s="321"/>
      <c r="Z858" s="433"/>
      <c r="AA858" s="918">
        <f t="shared" si="202"/>
        <v>1</v>
      </c>
      <c r="AB858" s="306" t="str">
        <f t="shared" si="203"/>
        <v/>
      </c>
      <c r="AC858" s="788"/>
      <c r="AD858" s="119">
        <f t="shared" si="212"/>
        <v>0</v>
      </c>
      <c r="AE858" s="108">
        <f t="shared" si="212"/>
        <v>0</v>
      </c>
      <c r="AF858" s="108">
        <f t="shared" si="212"/>
        <v>0</v>
      </c>
      <c r="AG858" s="108"/>
      <c r="AH858" s="108"/>
      <c r="AI858" s="108"/>
      <c r="AJ858" s="108"/>
      <c r="AK858" s="108"/>
      <c r="AL858" s="108">
        <f t="shared" si="204"/>
        <v>0</v>
      </c>
      <c r="AM858" s="108"/>
      <c r="AN858" s="108"/>
      <c r="AO858" s="108"/>
      <c r="AP858" s="108"/>
      <c r="AQ858" s="108"/>
      <c r="AR858" s="108"/>
      <c r="AS858" s="108"/>
      <c r="AT858" s="108"/>
      <c r="AU858" s="108"/>
      <c r="AV858" s="108"/>
      <c r="AW858" s="108"/>
      <c r="AX858" s="108"/>
      <c r="AY858" s="108"/>
      <c r="AZ858" s="108"/>
      <c r="BA858" s="108"/>
      <c r="BB858" s="108"/>
      <c r="BC858" s="108"/>
      <c r="BD858" s="108"/>
      <c r="BE858" s="108"/>
      <c r="BF858" s="108"/>
      <c r="BG858" s="108"/>
      <c r="BH858" s="108"/>
      <c r="BI858" s="108"/>
      <c r="BJ858" s="108"/>
      <c r="BK858" s="108"/>
      <c r="BL858" s="108"/>
      <c r="BM858" s="108"/>
      <c r="BN858" s="108"/>
      <c r="BO858" s="108"/>
      <c r="BP858" s="108"/>
      <c r="BQ858" s="108"/>
      <c r="BR858" s="108"/>
      <c r="BS858" s="108"/>
      <c r="BT858" s="108"/>
      <c r="BU858" s="108"/>
      <c r="BV858" s="108"/>
      <c r="BW858" s="108"/>
      <c r="BX858" s="108"/>
      <c r="BY858" s="108"/>
      <c r="BZ858" s="108"/>
      <c r="CA858" s="108"/>
      <c r="CB858" s="108"/>
      <c r="CC858" s="108"/>
      <c r="CD858" s="108"/>
      <c r="CE858" s="108"/>
      <c r="CF858" s="108"/>
      <c r="CG858" s="108"/>
      <c r="CH858" s="108"/>
      <c r="CI858" s="108"/>
      <c r="CJ858" s="108"/>
      <c r="CK858" s="120">
        <f t="shared" si="205"/>
        <v>0</v>
      </c>
      <c r="CL858" s="122">
        <f t="shared" si="206"/>
        <v>0</v>
      </c>
      <c r="CM858" s="524" t="str">
        <f t="shared" si="208"/>
        <v/>
      </c>
      <c r="CN858" s="526">
        <f t="shared" si="209"/>
        <v>0</v>
      </c>
      <c r="CO858" s="122">
        <f t="shared" si="210"/>
        <v>0</v>
      </c>
      <c r="CP858" s="45" t="str">
        <f t="shared" si="207"/>
        <v>1 - in MILLESIMI   I</v>
      </c>
      <c r="CQ858" s="1"/>
    </row>
    <row r="859" spans="1:95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435">
        <f>IF(AND(W859&gt;=$U$1,W859&lt;=$U$2),IF(X859='ESTRATTO CONTO'!$E$2,1+COUNTIF(U$4:U858,"&gt;0"),0),0)</f>
        <v>0</v>
      </c>
      <c r="V859" s="417">
        <f t="shared" si="211"/>
        <v>856</v>
      </c>
      <c r="W859" s="509"/>
      <c r="X859" s="321"/>
      <c r="Y859" s="321"/>
      <c r="Z859" s="433"/>
      <c r="AA859" s="918">
        <f t="shared" si="202"/>
        <v>1</v>
      </c>
      <c r="AB859" s="306" t="str">
        <f t="shared" si="203"/>
        <v/>
      </c>
      <c r="AC859" s="788"/>
      <c r="AD859" s="119">
        <f t="shared" si="212"/>
        <v>0</v>
      </c>
      <c r="AE859" s="108">
        <f t="shared" si="212"/>
        <v>0</v>
      </c>
      <c r="AF859" s="108">
        <f t="shared" si="212"/>
        <v>0</v>
      </c>
      <c r="AG859" s="108"/>
      <c r="AH859" s="108"/>
      <c r="AI859" s="108"/>
      <c r="AJ859" s="108"/>
      <c r="AK859" s="108"/>
      <c r="AL859" s="108">
        <f t="shared" si="204"/>
        <v>0</v>
      </c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  <c r="AY859" s="108"/>
      <c r="AZ859" s="108"/>
      <c r="BA859" s="108"/>
      <c r="BB859" s="108"/>
      <c r="BC859" s="108"/>
      <c r="BD859" s="108"/>
      <c r="BE859" s="108"/>
      <c r="BF859" s="108"/>
      <c r="BG859" s="108"/>
      <c r="BH859" s="108"/>
      <c r="BI859" s="108"/>
      <c r="BJ859" s="108"/>
      <c r="BK859" s="108"/>
      <c r="BL859" s="108"/>
      <c r="BM859" s="108"/>
      <c r="BN859" s="108"/>
      <c r="BO859" s="108"/>
      <c r="BP859" s="108"/>
      <c r="BQ859" s="108"/>
      <c r="BR859" s="108"/>
      <c r="BS859" s="108"/>
      <c r="BT859" s="108"/>
      <c r="BU859" s="108"/>
      <c r="BV859" s="108"/>
      <c r="BW859" s="108"/>
      <c r="BX859" s="108"/>
      <c r="BY859" s="108"/>
      <c r="BZ859" s="108"/>
      <c r="CA859" s="108"/>
      <c r="CB859" s="108"/>
      <c r="CC859" s="108"/>
      <c r="CD859" s="108"/>
      <c r="CE859" s="108"/>
      <c r="CF859" s="108"/>
      <c r="CG859" s="108"/>
      <c r="CH859" s="108"/>
      <c r="CI859" s="108"/>
      <c r="CJ859" s="108"/>
      <c r="CK859" s="120">
        <f t="shared" si="205"/>
        <v>0</v>
      </c>
      <c r="CL859" s="122">
        <f t="shared" si="206"/>
        <v>0</v>
      </c>
      <c r="CM859" s="524" t="str">
        <f t="shared" si="208"/>
        <v/>
      </c>
      <c r="CN859" s="526">
        <f t="shared" si="209"/>
        <v>0</v>
      </c>
      <c r="CO859" s="122">
        <f t="shared" si="210"/>
        <v>0</v>
      </c>
      <c r="CP859" s="45" t="str">
        <f t="shared" si="207"/>
        <v>1 - in MILLESIMI   I</v>
      </c>
      <c r="CQ859" s="1"/>
    </row>
    <row r="860" spans="1:95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435">
        <f>IF(AND(W860&gt;=$U$1,W860&lt;=$U$2),IF(X860='ESTRATTO CONTO'!$E$2,1+COUNTIF(U$4:U859,"&gt;0"),0),0)</f>
        <v>0</v>
      </c>
      <c r="V860" s="417">
        <f t="shared" si="211"/>
        <v>857</v>
      </c>
      <c r="W860" s="509"/>
      <c r="X860" s="321"/>
      <c r="Y860" s="321"/>
      <c r="Z860" s="433"/>
      <c r="AA860" s="918">
        <f t="shared" si="202"/>
        <v>1</v>
      </c>
      <c r="AB860" s="306" t="str">
        <f t="shared" si="203"/>
        <v/>
      </c>
      <c r="AC860" s="788"/>
      <c r="AD860" s="119">
        <f t="shared" si="212"/>
        <v>0</v>
      </c>
      <c r="AE860" s="108">
        <f t="shared" si="212"/>
        <v>0</v>
      </c>
      <c r="AF860" s="108">
        <f t="shared" si="212"/>
        <v>0</v>
      </c>
      <c r="AG860" s="108"/>
      <c r="AH860" s="108"/>
      <c r="AI860" s="108"/>
      <c r="AJ860" s="108"/>
      <c r="AK860" s="108"/>
      <c r="AL860" s="108">
        <f t="shared" si="204"/>
        <v>0</v>
      </c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  <c r="AY860" s="108"/>
      <c r="AZ860" s="108"/>
      <c r="BA860" s="108"/>
      <c r="BB860" s="108"/>
      <c r="BC860" s="108"/>
      <c r="BD860" s="108"/>
      <c r="BE860" s="108"/>
      <c r="BF860" s="108"/>
      <c r="BG860" s="108"/>
      <c r="BH860" s="108"/>
      <c r="BI860" s="108"/>
      <c r="BJ860" s="108"/>
      <c r="BK860" s="108"/>
      <c r="BL860" s="108"/>
      <c r="BM860" s="108"/>
      <c r="BN860" s="108"/>
      <c r="BO860" s="108"/>
      <c r="BP860" s="108"/>
      <c r="BQ860" s="108"/>
      <c r="BR860" s="108"/>
      <c r="BS860" s="108"/>
      <c r="BT860" s="108"/>
      <c r="BU860" s="108"/>
      <c r="BV860" s="108"/>
      <c r="BW860" s="108"/>
      <c r="BX860" s="108"/>
      <c r="BY860" s="108"/>
      <c r="BZ860" s="108"/>
      <c r="CA860" s="108"/>
      <c r="CB860" s="108"/>
      <c r="CC860" s="108"/>
      <c r="CD860" s="108"/>
      <c r="CE860" s="108"/>
      <c r="CF860" s="108"/>
      <c r="CG860" s="108"/>
      <c r="CH860" s="108"/>
      <c r="CI860" s="108"/>
      <c r="CJ860" s="108"/>
      <c r="CK860" s="120">
        <f t="shared" si="205"/>
        <v>0</v>
      </c>
      <c r="CL860" s="122">
        <f t="shared" si="206"/>
        <v>0</v>
      </c>
      <c r="CM860" s="524" t="str">
        <f t="shared" si="208"/>
        <v/>
      </c>
      <c r="CN860" s="526">
        <f t="shared" si="209"/>
        <v>0</v>
      </c>
      <c r="CO860" s="122">
        <f t="shared" si="210"/>
        <v>0</v>
      </c>
      <c r="CP860" s="45" t="str">
        <f t="shared" si="207"/>
        <v>1 - in MILLESIMI   I</v>
      </c>
      <c r="CQ860" s="1"/>
    </row>
    <row r="861" spans="1:95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435">
        <f>IF(AND(W861&gt;=$U$1,W861&lt;=$U$2),IF(X861='ESTRATTO CONTO'!$E$2,1+COUNTIF(U$4:U860,"&gt;0"),0),0)</f>
        <v>0</v>
      </c>
      <c r="V861" s="417">
        <f t="shared" si="211"/>
        <v>858</v>
      </c>
      <c r="W861" s="509"/>
      <c r="X861" s="321"/>
      <c r="Y861" s="321"/>
      <c r="Z861" s="433"/>
      <c r="AA861" s="918">
        <f t="shared" si="202"/>
        <v>1</v>
      </c>
      <c r="AB861" s="306" t="str">
        <f t="shared" si="203"/>
        <v/>
      </c>
      <c r="AC861" s="788"/>
      <c r="AD861" s="119">
        <f t="shared" si="212"/>
        <v>0</v>
      </c>
      <c r="AE861" s="108">
        <f t="shared" si="212"/>
        <v>0</v>
      </c>
      <c r="AF861" s="108">
        <f t="shared" si="212"/>
        <v>0</v>
      </c>
      <c r="AG861" s="108"/>
      <c r="AH861" s="108"/>
      <c r="AI861" s="108"/>
      <c r="AJ861" s="108"/>
      <c r="AK861" s="108"/>
      <c r="AL861" s="108">
        <f t="shared" si="204"/>
        <v>0</v>
      </c>
      <c r="AM861" s="108"/>
      <c r="AN861" s="108"/>
      <c r="AO861" s="108"/>
      <c r="AP861" s="108"/>
      <c r="AQ861" s="108"/>
      <c r="AR861" s="108"/>
      <c r="AS861" s="108"/>
      <c r="AT861" s="108"/>
      <c r="AU861" s="108"/>
      <c r="AV861" s="108"/>
      <c r="AW861" s="108"/>
      <c r="AX861" s="108"/>
      <c r="AY861" s="108"/>
      <c r="AZ861" s="108"/>
      <c r="BA861" s="108"/>
      <c r="BB861" s="108"/>
      <c r="BC861" s="108"/>
      <c r="BD861" s="108"/>
      <c r="BE861" s="108"/>
      <c r="BF861" s="108"/>
      <c r="BG861" s="108"/>
      <c r="BH861" s="108"/>
      <c r="BI861" s="108"/>
      <c r="BJ861" s="108"/>
      <c r="BK861" s="108"/>
      <c r="BL861" s="108"/>
      <c r="BM861" s="108"/>
      <c r="BN861" s="108"/>
      <c r="BO861" s="108"/>
      <c r="BP861" s="108"/>
      <c r="BQ861" s="108"/>
      <c r="BR861" s="108"/>
      <c r="BS861" s="108"/>
      <c r="BT861" s="108"/>
      <c r="BU861" s="108"/>
      <c r="BV861" s="108"/>
      <c r="BW861" s="108"/>
      <c r="BX861" s="108"/>
      <c r="BY861" s="108"/>
      <c r="BZ861" s="108"/>
      <c r="CA861" s="108"/>
      <c r="CB861" s="108"/>
      <c r="CC861" s="108"/>
      <c r="CD861" s="108"/>
      <c r="CE861" s="108"/>
      <c r="CF861" s="108"/>
      <c r="CG861" s="108"/>
      <c r="CH861" s="108"/>
      <c r="CI861" s="108"/>
      <c r="CJ861" s="108"/>
      <c r="CK861" s="120">
        <f t="shared" si="205"/>
        <v>0</v>
      </c>
      <c r="CL861" s="122">
        <f t="shared" si="206"/>
        <v>0</v>
      </c>
      <c r="CM861" s="524" t="str">
        <f t="shared" si="208"/>
        <v/>
      </c>
      <c r="CN861" s="526">
        <f t="shared" si="209"/>
        <v>0</v>
      </c>
      <c r="CO861" s="122">
        <f t="shared" si="210"/>
        <v>0</v>
      </c>
      <c r="CP861" s="45" t="str">
        <f t="shared" si="207"/>
        <v>1 - in MILLESIMI   I</v>
      </c>
      <c r="CQ861" s="1"/>
    </row>
    <row r="862" spans="1:95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435">
        <f>IF(AND(W862&gt;=$U$1,W862&lt;=$U$2),IF(X862='ESTRATTO CONTO'!$E$2,1+COUNTIF(U$4:U861,"&gt;0"),0),0)</f>
        <v>0</v>
      </c>
      <c r="V862" s="417">
        <f t="shared" si="211"/>
        <v>859</v>
      </c>
      <c r="W862" s="509"/>
      <c r="X862" s="321"/>
      <c r="Y862" s="321"/>
      <c r="Z862" s="433"/>
      <c r="AA862" s="918">
        <f t="shared" si="202"/>
        <v>1</v>
      </c>
      <c r="AB862" s="306" t="str">
        <f t="shared" si="203"/>
        <v/>
      </c>
      <c r="AC862" s="788"/>
      <c r="AD862" s="119">
        <f t="shared" si="212"/>
        <v>0</v>
      </c>
      <c r="AE862" s="108">
        <f t="shared" si="212"/>
        <v>0</v>
      </c>
      <c r="AF862" s="108">
        <f t="shared" si="212"/>
        <v>0</v>
      </c>
      <c r="AG862" s="108"/>
      <c r="AH862" s="108"/>
      <c r="AI862" s="108"/>
      <c r="AJ862" s="108"/>
      <c r="AK862" s="108"/>
      <c r="AL862" s="108">
        <f t="shared" si="204"/>
        <v>0</v>
      </c>
      <c r="AM862" s="108"/>
      <c r="AN862" s="108"/>
      <c r="AO862" s="108"/>
      <c r="AP862" s="108"/>
      <c r="AQ862" s="108"/>
      <c r="AR862" s="108"/>
      <c r="AS862" s="108"/>
      <c r="AT862" s="108"/>
      <c r="AU862" s="108"/>
      <c r="AV862" s="108"/>
      <c r="AW862" s="108"/>
      <c r="AX862" s="108"/>
      <c r="AY862" s="108"/>
      <c r="AZ862" s="108"/>
      <c r="BA862" s="108"/>
      <c r="BB862" s="108"/>
      <c r="BC862" s="108"/>
      <c r="BD862" s="108"/>
      <c r="BE862" s="108"/>
      <c r="BF862" s="108"/>
      <c r="BG862" s="108"/>
      <c r="BH862" s="108"/>
      <c r="BI862" s="108"/>
      <c r="BJ862" s="108"/>
      <c r="BK862" s="108"/>
      <c r="BL862" s="108"/>
      <c r="BM862" s="108"/>
      <c r="BN862" s="108"/>
      <c r="BO862" s="108"/>
      <c r="BP862" s="108"/>
      <c r="BQ862" s="108"/>
      <c r="BR862" s="108"/>
      <c r="BS862" s="108"/>
      <c r="BT862" s="108"/>
      <c r="BU862" s="108"/>
      <c r="BV862" s="108"/>
      <c r="BW862" s="108"/>
      <c r="BX862" s="108"/>
      <c r="BY862" s="108"/>
      <c r="BZ862" s="108"/>
      <c r="CA862" s="108"/>
      <c r="CB862" s="108"/>
      <c r="CC862" s="108"/>
      <c r="CD862" s="108"/>
      <c r="CE862" s="108"/>
      <c r="CF862" s="108"/>
      <c r="CG862" s="108"/>
      <c r="CH862" s="108"/>
      <c r="CI862" s="108"/>
      <c r="CJ862" s="108"/>
      <c r="CK862" s="120">
        <f t="shared" si="205"/>
        <v>0</v>
      </c>
      <c r="CL862" s="122">
        <f t="shared" si="206"/>
        <v>0</v>
      </c>
      <c r="CM862" s="524" t="str">
        <f t="shared" si="208"/>
        <v/>
      </c>
      <c r="CN862" s="526">
        <f t="shared" si="209"/>
        <v>0</v>
      </c>
      <c r="CO862" s="122">
        <f t="shared" si="210"/>
        <v>0</v>
      </c>
      <c r="CP862" s="45" t="str">
        <f t="shared" si="207"/>
        <v>1 - in MILLESIMI   I</v>
      </c>
      <c r="CQ862" s="1"/>
    </row>
    <row r="863" spans="1:95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435">
        <f>IF(AND(W863&gt;=$U$1,W863&lt;=$U$2),IF(X863='ESTRATTO CONTO'!$E$2,1+COUNTIF(U$4:U862,"&gt;0"),0),0)</f>
        <v>0</v>
      </c>
      <c r="V863" s="417">
        <f t="shared" si="211"/>
        <v>860</v>
      </c>
      <c r="W863" s="509"/>
      <c r="X863" s="321"/>
      <c r="Y863" s="321"/>
      <c r="Z863" s="433"/>
      <c r="AA863" s="918">
        <f t="shared" si="202"/>
        <v>1</v>
      </c>
      <c r="AB863" s="306" t="str">
        <f t="shared" si="203"/>
        <v/>
      </c>
      <c r="AC863" s="788"/>
      <c r="AD863" s="119">
        <f t="shared" si="212"/>
        <v>0</v>
      </c>
      <c r="AE863" s="108">
        <f t="shared" si="212"/>
        <v>0</v>
      </c>
      <c r="AF863" s="108">
        <f t="shared" si="212"/>
        <v>0</v>
      </c>
      <c r="AG863" s="108"/>
      <c r="AH863" s="108"/>
      <c r="AI863" s="108"/>
      <c r="AJ863" s="108"/>
      <c r="AK863" s="108"/>
      <c r="AL863" s="108">
        <f t="shared" si="204"/>
        <v>0</v>
      </c>
      <c r="AM863" s="108"/>
      <c r="AN863" s="108"/>
      <c r="AO863" s="108"/>
      <c r="AP863" s="108"/>
      <c r="AQ863" s="108"/>
      <c r="AR863" s="108"/>
      <c r="AS863" s="108"/>
      <c r="AT863" s="108"/>
      <c r="AU863" s="108"/>
      <c r="AV863" s="108"/>
      <c r="AW863" s="108"/>
      <c r="AX863" s="108"/>
      <c r="AY863" s="108"/>
      <c r="AZ863" s="108"/>
      <c r="BA863" s="108"/>
      <c r="BB863" s="108"/>
      <c r="BC863" s="108"/>
      <c r="BD863" s="108"/>
      <c r="BE863" s="108"/>
      <c r="BF863" s="108"/>
      <c r="BG863" s="108"/>
      <c r="BH863" s="108"/>
      <c r="BI863" s="108"/>
      <c r="BJ863" s="108"/>
      <c r="BK863" s="108"/>
      <c r="BL863" s="108"/>
      <c r="BM863" s="108"/>
      <c r="BN863" s="108"/>
      <c r="BO863" s="108"/>
      <c r="BP863" s="108"/>
      <c r="BQ863" s="108"/>
      <c r="BR863" s="108"/>
      <c r="BS863" s="108"/>
      <c r="BT863" s="108"/>
      <c r="BU863" s="108"/>
      <c r="BV863" s="108"/>
      <c r="BW863" s="108"/>
      <c r="BX863" s="108"/>
      <c r="BY863" s="108"/>
      <c r="BZ863" s="108"/>
      <c r="CA863" s="108"/>
      <c r="CB863" s="108"/>
      <c r="CC863" s="108"/>
      <c r="CD863" s="108"/>
      <c r="CE863" s="108"/>
      <c r="CF863" s="108"/>
      <c r="CG863" s="108"/>
      <c r="CH863" s="108"/>
      <c r="CI863" s="108"/>
      <c r="CJ863" s="108"/>
      <c r="CK863" s="120">
        <f t="shared" si="205"/>
        <v>0</v>
      </c>
      <c r="CL863" s="122">
        <f t="shared" si="206"/>
        <v>0</v>
      </c>
      <c r="CM863" s="524" t="str">
        <f t="shared" si="208"/>
        <v/>
      </c>
      <c r="CN863" s="526">
        <f t="shared" si="209"/>
        <v>0</v>
      </c>
      <c r="CO863" s="122">
        <f t="shared" si="210"/>
        <v>0</v>
      </c>
      <c r="CP863" s="45" t="str">
        <f t="shared" si="207"/>
        <v>1 - in MILLESIMI   I</v>
      </c>
      <c r="CQ863" s="1"/>
    </row>
    <row r="864" spans="1:95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435">
        <f>IF(AND(W864&gt;=$U$1,W864&lt;=$U$2),IF(X864='ESTRATTO CONTO'!$E$2,1+COUNTIF(U$4:U863,"&gt;0"),0),0)</f>
        <v>0</v>
      </c>
      <c r="V864" s="417">
        <f t="shared" si="211"/>
        <v>861</v>
      </c>
      <c r="W864" s="509"/>
      <c r="X864" s="321"/>
      <c r="Y864" s="321"/>
      <c r="Z864" s="433"/>
      <c r="AA864" s="918">
        <f t="shared" si="202"/>
        <v>1</v>
      </c>
      <c r="AB864" s="306" t="str">
        <f t="shared" si="203"/>
        <v/>
      </c>
      <c r="AC864" s="788"/>
      <c r="AD864" s="119">
        <f t="shared" ref="AD864:AF883" si="213">IF($AB864=0,0,ROUND($Z864*VLOOKUP(AD$2,$F$1010:$Q$1014,VLOOKUP($CP864,$C$1076:$E$1081,3,FALSE),FALSE),2))</f>
        <v>0</v>
      </c>
      <c r="AE864" s="108">
        <f t="shared" si="213"/>
        <v>0</v>
      </c>
      <c r="AF864" s="108">
        <f t="shared" si="213"/>
        <v>0</v>
      </c>
      <c r="AG864" s="108"/>
      <c r="AH864" s="108"/>
      <c r="AI864" s="108"/>
      <c r="AJ864" s="108"/>
      <c r="AK864" s="108"/>
      <c r="AL864" s="108">
        <f t="shared" si="204"/>
        <v>0</v>
      </c>
      <c r="AM864" s="108"/>
      <c r="AN864" s="108"/>
      <c r="AO864" s="108"/>
      <c r="AP864" s="108"/>
      <c r="AQ864" s="108"/>
      <c r="AR864" s="108"/>
      <c r="AS864" s="108"/>
      <c r="AT864" s="108"/>
      <c r="AU864" s="108"/>
      <c r="AV864" s="108"/>
      <c r="AW864" s="108"/>
      <c r="AX864" s="108"/>
      <c r="AY864" s="108"/>
      <c r="AZ864" s="108"/>
      <c r="BA864" s="108"/>
      <c r="BB864" s="108"/>
      <c r="BC864" s="108"/>
      <c r="BD864" s="108"/>
      <c r="BE864" s="108"/>
      <c r="BF864" s="108"/>
      <c r="BG864" s="108"/>
      <c r="BH864" s="108"/>
      <c r="BI864" s="108"/>
      <c r="BJ864" s="108"/>
      <c r="BK864" s="108"/>
      <c r="BL864" s="108"/>
      <c r="BM864" s="108"/>
      <c r="BN864" s="108"/>
      <c r="BO864" s="108"/>
      <c r="BP864" s="108"/>
      <c r="BQ864" s="108"/>
      <c r="BR864" s="108"/>
      <c r="BS864" s="108"/>
      <c r="BT864" s="108"/>
      <c r="BU864" s="108"/>
      <c r="BV864" s="108"/>
      <c r="BW864" s="108"/>
      <c r="BX864" s="108"/>
      <c r="BY864" s="108"/>
      <c r="BZ864" s="108"/>
      <c r="CA864" s="108"/>
      <c r="CB864" s="108"/>
      <c r="CC864" s="108"/>
      <c r="CD864" s="108"/>
      <c r="CE864" s="108"/>
      <c r="CF864" s="108"/>
      <c r="CG864" s="108"/>
      <c r="CH864" s="108"/>
      <c r="CI864" s="108"/>
      <c r="CJ864" s="108"/>
      <c r="CK864" s="120">
        <f t="shared" si="205"/>
        <v>0</v>
      </c>
      <c r="CL864" s="122">
        <f t="shared" si="206"/>
        <v>0</v>
      </c>
      <c r="CM864" s="524" t="str">
        <f t="shared" si="208"/>
        <v/>
      </c>
      <c r="CN864" s="526">
        <f t="shared" si="209"/>
        <v>0</v>
      </c>
      <c r="CO864" s="122">
        <f t="shared" si="210"/>
        <v>0</v>
      </c>
      <c r="CP864" s="45" t="str">
        <f t="shared" si="207"/>
        <v>1 - in MILLESIMI   I</v>
      </c>
      <c r="CQ864" s="1"/>
    </row>
    <row r="865" spans="1:95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435">
        <f>IF(AND(W865&gt;=$U$1,W865&lt;=$U$2),IF(X865='ESTRATTO CONTO'!$E$2,1+COUNTIF(U$4:U864,"&gt;0"),0),0)</f>
        <v>0</v>
      </c>
      <c r="V865" s="417">
        <f t="shared" si="211"/>
        <v>862</v>
      </c>
      <c r="W865" s="509"/>
      <c r="X865" s="321"/>
      <c r="Y865" s="321"/>
      <c r="Z865" s="433"/>
      <c r="AA865" s="918">
        <f t="shared" si="202"/>
        <v>1</v>
      </c>
      <c r="AB865" s="306" t="str">
        <f t="shared" si="203"/>
        <v/>
      </c>
      <c r="AC865" s="788"/>
      <c r="AD865" s="119">
        <f t="shared" si="213"/>
        <v>0</v>
      </c>
      <c r="AE865" s="108">
        <f t="shared" si="213"/>
        <v>0</v>
      </c>
      <c r="AF865" s="108">
        <f t="shared" si="213"/>
        <v>0</v>
      </c>
      <c r="AG865" s="108"/>
      <c r="AH865" s="108"/>
      <c r="AI865" s="108"/>
      <c r="AJ865" s="108"/>
      <c r="AK865" s="108"/>
      <c r="AL865" s="108">
        <f t="shared" si="204"/>
        <v>0</v>
      </c>
      <c r="AM865" s="108"/>
      <c r="AN865" s="108"/>
      <c r="AO865" s="108"/>
      <c r="AP865" s="108"/>
      <c r="AQ865" s="108"/>
      <c r="AR865" s="108"/>
      <c r="AS865" s="108"/>
      <c r="AT865" s="108"/>
      <c r="AU865" s="108"/>
      <c r="AV865" s="108"/>
      <c r="AW865" s="108"/>
      <c r="AX865" s="108"/>
      <c r="AY865" s="108"/>
      <c r="AZ865" s="108"/>
      <c r="BA865" s="108"/>
      <c r="BB865" s="108"/>
      <c r="BC865" s="108"/>
      <c r="BD865" s="108"/>
      <c r="BE865" s="108"/>
      <c r="BF865" s="108"/>
      <c r="BG865" s="108"/>
      <c r="BH865" s="108"/>
      <c r="BI865" s="108"/>
      <c r="BJ865" s="108"/>
      <c r="BK865" s="108"/>
      <c r="BL865" s="108"/>
      <c r="BM865" s="108"/>
      <c r="BN865" s="108"/>
      <c r="BO865" s="108"/>
      <c r="BP865" s="108"/>
      <c r="BQ865" s="108"/>
      <c r="BR865" s="108"/>
      <c r="BS865" s="108"/>
      <c r="BT865" s="108"/>
      <c r="BU865" s="108"/>
      <c r="BV865" s="108"/>
      <c r="BW865" s="108"/>
      <c r="BX865" s="108"/>
      <c r="BY865" s="108"/>
      <c r="BZ865" s="108"/>
      <c r="CA865" s="108"/>
      <c r="CB865" s="108"/>
      <c r="CC865" s="108"/>
      <c r="CD865" s="108"/>
      <c r="CE865" s="108"/>
      <c r="CF865" s="108"/>
      <c r="CG865" s="108"/>
      <c r="CH865" s="108"/>
      <c r="CI865" s="108"/>
      <c r="CJ865" s="108"/>
      <c r="CK865" s="120">
        <f t="shared" si="205"/>
        <v>0</v>
      </c>
      <c r="CL865" s="122">
        <f t="shared" si="206"/>
        <v>0</v>
      </c>
      <c r="CM865" s="524" t="str">
        <f t="shared" si="208"/>
        <v/>
      </c>
      <c r="CN865" s="526">
        <f t="shared" si="209"/>
        <v>0</v>
      </c>
      <c r="CO865" s="122">
        <f t="shared" si="210"/>
        <v>0</v>
      </c>
      <c r="CP865" s="45" t="str">
        <f t="shared" si="207"/>
        <v>1 - in MILLESIMI   I</v>
      </c>
      <c r="CQ865" s="1"/>
    </row>
    <row r="866" spans="1:95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435">
        <f>IF(AND(W866&gt;=$U$1,W866&lt;=$U$2),IF(X866='ESTRATTO CONTO'!$E$2,1+COUNTIF(U$4:U865,"&gt;0"),0),0)</f>
        <v>0</v>
      </c>
      <c r="V866" s="417">
        <f t="shared" si="211"/>
        <v>863</v>
      </c>
      <c r="W866" s="509"/>
      <c r="X866" s="321"/>
      <c r="Y866" s="321"/>
      <c r="Z866" s="433"/>
      <c r="AA866" s="918">
        <f t="shared" si="202"/>
        <v>1</v>
      </c>
      <c r="AB866" s="306" t="str">
        <f t="shared" si="203"/>
        <v/>
      </c>
      <c r="AC866" s="788"/>
      <c r="AD866" s="119">
        <f t="shared" si="213"/>
        <v>0</v>
      </c>
      <c r="AE866" s="108">
        <f t="shared" si="213"/>
        <v>0</v>
      </c>
      <c r="AF866" s="108">
        <f t="shared" si="213"/>
        <v>0</v>
      </c>
      <c r="AG866" s="108"/>
      <c r="AH866" s="108"/>
      <c r="AI866" s="108"/>
      <c r="AJ866" s="108"/>
      <c r="AK866" s="108"/>
      <c r="AL866" s="108">
        <f t="shared" si="204"/>
        <v>0</v>
      </c>
      <c r="AM866" s="108"/>
      <c r="AN866" s="108"/>
      <c r="AO866" s="108"/>
      <c r="AP866" s="108"/>
      <c r="AQ866" s="108"/>
      <c r="AR866" s="108"/>
      <c r="AS866" s="108"/>
      <c r="AT866" s="108"/>
      <c r="AU866" s="108"/>
      <c r="AV866" s="108"/>
      <c r="AW866" s="108"/>
      <c r="AX866" s="108"/>
      <c r="AY866" s="108"/>
      <c r="AZ866" s="108"/>
      <c r="BA866" s="108"/>
      <c r="BB866" s="108"/>
      <c r="BC866" s="108"/>
      <c r="BD866" s="108"/>
      <c r="BE866" s="108"/>
      <c r="BF866" s="108"/>
      <c r="BG866" s="108"/>
      <c r="BH866" s="108"/>
      <c r="BI866" s="108"/>
      <c r="BJ866" s="108"/>
      <c r="BK866" s="108"/>
      <c r="BL866" s="108"/>
      <c r="BM866" s="108"/>
      <c r="BN866" s="108"/>
      <c r="BO866" s="108"/>
      <c r="BP866" s="108"/>
      <c r="BQ866" s="108"/>
      <c r="BR866" s="108"/>
      <c r="BS866" s="108"/>
      <c r="BT866" s="108"/>
      <c r="BU866" s="108"/>
      <c r="BV866" s="108"/>
      <c r="BW866" s="108"/>
      <c r="BX866" s="108"/>
      <c r="BY866" s="108"/>
      <c r="BZ866" s="108"/>
      <c r="CA866" s="108"/>
      <c r="CB866" s="108"/>
      <c r="CC866" s="108"/>
      <c r="CD866" s="108"/>
      <c r="CE866" s="108"/>
      <c r="CF866" s="108"/>
      <c r="CG866" s="108"/>
      <c r="CH866" s="108"/>
      <c r="CI866" s="108"/>
      <c r="CJ866" s="108"/>
      <c r="CK866" s="120">
        <f t="shared" si="205"/>
        <v>0</v>
      </c>
      <c r="CL866" s="122">
        <f t="shared" si="206"/>
        <v>0</v>
      </c>
      <c r="CM866" s="524" t="str">
        <f t="shared" si="208"/>
        <v/>
      </c>
      <c r="CN866" s="526">
        <f t="shared" si="209"/>
        <v>0</v>
      </c>
      <c r="CO866" s="122">
        <f t="shared" si="210"/>
        <v>0</v>
      </c>
      <c r="CP866" s="45" t="str">
        <f t="shared" si="207"/>
        <v>1 - in MILLESIMI   I</v>
      </c>
      <c r="CQ866" s="1"/>
    </row>
    <row r="867" spans="1:95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435">
        <f>IF(AND(W867&gt;=$U$1,W867&lt;=$U$2),IF(X867='ESTRATTO CONTO'!$E$2,1+COUNTIF(U$4:U866,"&gt;0"),0),0)</f>
        <v>0</v>
      </c>
      <c r="V867" s="417">
        <f t="shared" si="211"/>
        <v>864</v>
      </c>
      <c r="W867" s="509"/>
      <c r="X867" s="321"/>
      <c r="Y867" s="321"/>
      <c r="Z867" s="433"/>
      <c r="AA867" s="918">
        <f t="shared" si="202"/>
        <v>1</v>
      </c>
      <c r="AB867" s="306" t="str">
        <f t="shared" si="203"/>
        <v/>
      </c>
      <c r="AC867" s="788"/>
      <c r="AD867" s="119">
        <f t="shared" si="213"/>
        <v>0</v>
      </c>
      <c r="AE867" s="108">
        <f t="shared" si="213"/>
        <v>0</v>
      </c>
      <c r="AF867" s="108">
        <f t="shared" si="213"/>
        <v>0</v>
      </c>
      <c r="AG867" s="108"/>
      <c r="AH867" s="108"/>
      <c r="AI867" s="108"/>
      <c r="AJ867" s="108"/>
      <c r="AK867" s="108"/>
      <c r="AL867" s="108">
        <f t="shared" si="204"/>
        <v>0</v>
      </c>
      <c r="AM867" s="108"/>
      <c r="AN867" s="108"/>
      <c r="AO867" s="108"/>
      <c r="AP867" s="108"/>
      <c r="AQ867" s="108"/>
      <c r="AR867" s="108"/>
      <c r="AS867" s="108"/>
      <c r="AT867" s="108"/>
      <c r="AU867" s="108"/>
      <c r="AV867" s="108"/>
      <c r="AW867" s="108"/>
      <c r="AX867" s="108"/>
      <c r="AY867" s="108"/>
      <c r="AZ867" s="108"/>
      <c r="BA867" s="108"/>
      <c r="BB867" s="108"/>
      <c r="BC867" s="108"/>
      <c r="BD867" s="108"/>
      <c r="BE867" s="108"/>
      <c r="BF867" s="108"/>
      <c r="BG867" s="108"/>
      <c r="BH867" s="108"/>
      <c r="BI867" s="108"/>
      <c r="BJ867" s="108"/>
      <c r="BK867" s="108"/>
      <c r="BL867" s="108"/>
      <c r="BM867" s="108"/>
      <c r="BN867" s="108"/>
      <c r="BO867" s="108"/>
      <c r="BP867" s="108"/>
      <c r="BQ867" s="108"/>
      <c r="BR867" s="108"/>
      <c r="BS867" s="108"/>
      <c r="BT867" s="108"/>
      <c r="BU867" s="108"/>
      <c r="BV867" s="108"/>
      <c r="BW867" s="108"/>
      <c r="BX867" s="108"/>
      <c r="BY867" s="108"/>
      <c r="BZ867" s="108"/>
      <c r="CA867" s="108"/>
      <c r="CB867" s="108"/>
      <c r="CC867" s="108"/>
      <c r="CD867" s="108"/>
      <c r="CE867" s="108"/>
      <c r="CF867" s="108"/>
      <c r="CG867" s="108"/>
      <c r="CH867" s="108"/>
      <c r="CI867" s="108"/>
      <c r="CJ867" s="108"/>
      <c r="CK867" s="120">
        <f t="shared" si="205"/>
        <v>0</v>
      </c>
      <c r="CL867" s="122">
        <f t="shared" si="206"/>
        <v>0</v>
      </c>
      <c r="CM867" s="524" t="str">
        <f t="shared" si="208"/>
        <v/>
      </c>
      <c r="CN867" s="526">
        <f t="shared" si="209"/>
        <v>0</v>
      </c>
      <c r="CO867" s="122">
        <f t="shared" si="210"/>
        <v>0</v>
      </c>
      <c r="CP867" s="45" t="str">
        <f t="shared" si="207"/>
        <v>1 - in MILLESIMI   I</v>
      </c>
      <c r="CQ867" s="1"/>
    </row>
    <row r="868" spans="1:95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435">
        <f>IF(AND(W868&gt;=$U$1,W868&lt;=$U$2),IF(X868='ESTRATTO CONTO'!$E$2,1+COUNTIF(U$4:U867,"&gt;0"),0),0)</f>
        <v>0</v>
      </c>
      <c r="V868" s="417">
        <f t="shared" si="211"/>
        <v>865</v>
      </c>
      <c r="W868" s="509"/>
      <c r="X868" s="321"/>
      <c r="Y868" s="321"/>
      <c r="Z868" s="433"/>
      <c r="AA868" s="918">
        <f t="shared" si="202"/>
        <v>1</v>
      </c>
      <c r="AB868" s="306" t="str">
        <f t="shared" si="203"/>
        <v/>
      </c>
      <c r="AC868" s="788"/>
      <c r="AD868" s="119">
        <f t="shared" si="213"/>
        <v>0</v>
      </c>
      <c r="AE868" s="108">
        <f t="shared" si="213"/>
        <v>0</v>
      </c>
      <c r="AF868" s="108">
        <f t="shared" si="213"/>
        <v>0</v>
      </c>
      <c r="AG868" s="108"/>
      <c r="AH868" s="108"/>
      <c r="AI868" s="108"/>
      <c r="AJ868" s="108"/>
      <c r="AK868" s="108"/>
      <c r="AL868" s="108">
        <f t="shared" si="204"/>
        <v>0</v>
      </c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  <c r="AY868" s="108"/>
      <c r="AZ868" s="108"/>
      <c r="BA868" s="108"/>
      <c r="BB868" s="108"/>
      <c r="BC868" s="108"/>
      <c r="BD868" s="108"/>
      <c r="BE868" s="108"/>
      <c r="BF868" s="108"/>
      <c r="BG868" s="108"/>
      <c r="BH868" s="108"/>
      <c r="BI868" s="108"/>
      <c r="BJ868" s="108"/>
      <c r="BK868" s="108"/>
      <c r="BL868" s="108"/>
      <c r="BM868" s="108"/>
      <c r="BN868" s="108"/>
      <c r="BO868" s="108"/>
      <c r="BP868" s="108"/>
      <c r="BQ868" s="108"/>
      <c r="BR868" s="108"/>
      <c r="BS868" s="108"/>
      <c r="BT868" s="108"/>
      <c r="BU868" s="108"/>
      <c r="BV868" s="108"/>
      <c r="BW868" s="108"/>
      <c r="BX868" s="108"/>
      <c r="BY868" s="108"/>
      <c r="BZ868" s="108"/>
      <c r="CA868" s="108"/>
      <c r="CB868" s="108"/>
      <c r="CC868" s="108"/>
      <c r="CD868" s="108"/>
      <c r="CE868" s="108"/>
      <c r="CF868" s="108"/>
      <c r="CG868" s="108"/>
      <c r="CH868" s="108"/>
      <c r="CI868" s="108"/>
      <c r="CJ868" s="108"/>
      <c r="CK868" s="120">
        <f t="shared" si="205"/>
        <v>0</v>
      </c>
      <c r="CL868" s="122">
        <f t="shared" si="206"/>
        <v>0</v>
      </c>
      <c r="CM868" s="524" t="str">
        <f t="shared" si="208"/>
        <v/>
      </c>
      <c r="CN868" s="526">
        <f t="shared" si="209"/>
        <v>0</v>
      </c>
      <c r="CO868" s="122">
        <f t="shared" si="210"/>
        <v>0</v>
      </c>
      <c r="CP868" s="45" t="str">
        <f t="shared" si="207"/>
        <v>1 - in MILLESIMI   I</v>
      </c>
      <c r="CQ868" s="1"/>
    </row>
    <row r="869" spans="1:95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435">
        <f>IF(AND(W869&gt;=$U$1,W869&lt;=$U$2),IF(X869='ESTRATTO CONTO'!$E$2,1+COUNTIF(U$4:U868,"&gt;0"),0),0)</f>
        <v>0</v>
      </c>
      <c r="V869" s="417">
        <f t="shared" si="211"/>
        <v>866</v>
      </c>
      <c r="W869" s="509"/>
      <c r="X869" s="321"/>
      <c r="Y869" s="321"/>
      <c r="Z869" s="433"/>
      <c r="AA869" s="918">
        <f t="shared" si="202"/>
        <v>1</v>
      </c>
      <c r="AB869" s="306" t="str">
        <f t="shared" si="203"/>
        <v/>
      </c>
      <c r="AC869" s="788"/>
      <c r="AD869" s="119">
        <f t="shared" si="213"/>
        <v>0</v>
      </c>
      <c r="AE869" s="108">
        <f t="shared" si="213"/>
        <v>0</v>
      </c>
      <c r="AF869" s="108">
        <f t="shared" si="213"/>
        <v>0</v>
      </c>
      <c r="AG869" s="108"/>
      <c r="AH869" s="108"/>
      <c r="AI869" s="108"/>
      <c r="AJ869" s="108"/>
      <c r="AK869" s="108"/>
      <c r="AL869" s="108">
        <f t="shared" si="204"/>
        <v>0</v>
      </c>
      <c r="AM869" s="108"/>
      <c r="AN869" s="108"/>
      <c r="AO869" s="108"/>
      <c r="AP869" s="108"/>
      <c r="AQ869" s="108"/>
      <c r="AR869" s="108"/>
      <c r="AS869" s="108"/>
      <c r="AT869" s="108"/>
      <c r="AU869" s="108"/>
      <c r="AV869" s="108"/>
      <c r="AW869" s="108"/>
      <c r="AX869" s="108"/>
      <c r="AY869" s="108"/>
      <c r="AZ869" s="108"/>
      <c r="BA869" s="108"/>
      <c r="BB869" s="108"/>
      <c r="BC869" s="108"/>
      <c r="BD869" s="108"/>
      <c r="BE869" s="108"/>
      <c r="BF869" s="108"/>
      <c r="BG869" s="108"/>
      <c r="BH869" s="108"/>
      <c r="BI869" s="108"/>
      <c r="BJ869" s="108"/>
      <c r="BK869" s="108"/>
      <c r="BL869" s="108"/>
      <c r="BM869" s="108"/>
      <c r="BN869" s="108"/>
      <c r="BO869" s="108"/>
      <c r="BP869" s="108"/>
      <c r="BQ869" s="108"/>
      <c r="BR869" s="108"/>
      <c r="BS869" s="108"/>
      <c r="BT869" s="108"/>
      <c r="BU869" s="108"/>
      <c r="BV869" s="108"/>
      <c r="BW869" s="108"/>
      <c r="BX869" s="108"/>
      <c r="BY869" s="108"/>
      <c r="BZ869" s="108"/>
      <c r="CA869" s="108"/>
      <c r="CB869" s="108"/>
      <c r="CC869" s="108"/>
      <c r="CD869" s="108"/>
      <c r="CE869" s="108"/>
      <c r="CF869" s="108"/>
      <c r="CG869" s="108"/>
      <c r="CH869" s="108"/>
      <c r="CI869" s="108"/>
      <c r="CJ869" s="108"/>
      <c r="CK869" s="120">
        <f t="shared" si="205"/>
        <v>0</v>
      </c>
      <c r="CL869" s="122">
        <f t="shared" si="206"/>
        <v>0</v>
      </c>
      <c r="CM869" s="524" t="str">
        <f t="shared" si="208"/>
        <v/>
      </c>
      <c r="CN869" s="526">
        <f t="shared" si="209"/>
        <v>0</v>
      </c>
      <c r="CO869" s="122">
        <f t="shared" si="210"/>
        <v>0</v>
      </c>
      <c r="CP869" s="45" t="str">
        <f t="shared" si="207"/>
        <v>1 - in MILLESIMI   I</v>
      </c>
      <c r="CQ869" s="1"/>
    </row>
    <row r="870" spans="1:95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435">
        <f>IF(AND(W870&gt;=$U$1,W870&lt;=$U$2),IF(X870='ESTRATTO CONTO'!$E$2,1+COUNTIF(U$4:U869,"&gt;0"),0),0)</f>
        <v>0</v>
      </c>
      <c r="V870" s="417">
        <f t="shared" si="211"/>
        <v>867</v>
      </c>
      <c r="W870" s="509"/>
      <c r="X870" s="321"/>
      <c r="Y870" s="321"/>
      <c r="Z870" s="433"/>
      <c r="AA870" s="918">
        <f t="shared" si="202"/>
        <v>1</v>
      </c>
      <c r="AB870" s="306" t="str">
        <f t="shared" si="203"/>
        <v/>
      </c>
      <c r="AC870" s="788"/>
      <c r="AD870" s="119">
        <f t="shared" si="213"/>
        <v>0</v>
      </c>
      <c r="AE870" s="108">
        <f t="shared" si="213"/>
        <v>0</v>
      </c>
      <c r="AF870" s="108">
        <f t="shared" si="213"/>
        <v>0</v>
      </c>
      <c r="AG870" s="108"/>
      <c r="AH870" s="108"/>
      <c r="AI870" s="108"/>
      <c r="AJ870" s="108"/>
      <c r="AK870" s="108"/>
      <c r="AL870" s="108">
        <f t="shared" si="204"/>
        <v>0</v>
      </c>
      <c r="AM870" s="108"/>
      <c r="AN870" s="108"/>
      <c r="AO870" s="108"/>
      <c r="AP870" s="108"/>
      <c r="AQ870" s="108"/>
      <c r="AR870" s="108"/>
      <c r="AS870" s="108"/>
      <c r="AT870" s="108"/>
      <c r="AU870" s="108"/>
      <c r="AV870" s="108"/>
      <c r="AW870" s="108"/>
      <c r="AX870" s="108"/>
      <c r="AY870" s="108"/>
      <c r="AZ870" s="108"/>
      <c r="BA870" s="108"/>
      <c r="BB870" s="108"/>
      <c r="BC870" s="108"/>
      <c r="BD870" s="108"/>
      <c r="BE870" s="108"/>
      <c r="BF870" s="108"/>
      <c r="BG870" s="108"/>
      <c r="BH870" s="108"/>
      <c r="BI870" s="108"/>
      <c r="BJ870" s="108"/>
      <c r="BK870" s="108"/>
      <c r="BL870" s="108"/>
      <c r="BM870" s="108"/>
      <c r="BN870" s="108"/>
      <c r="BO870" s="108"/>
      <c r="BP870" s="108"/>
      <c r="BQ870" s="108"/>
      <c r="BR870" s="108"/>
      <c r="BS870" s="108"/>
      <c r="BT870" s="108"/>
      <c r="BU870" s="108"/>
      <c r="BV870" s="108"/>
      <c r="BW870" s="108"/>
      <c r="BX870" s="108"/>
      <c r="BY870" s="108"/>
      <c r="BZ870" s="108"/>
      <c r="CA870" s="108"/>
      <c r="CB870" s="108"/>
      <c r="CC870" s="108"/>
      <c r="CD870" s="108"/>
      <c r="CE870" s="108"/>
      <c r="CF870" s="108"/>
      <c r="CG870" s="108"/>
      <c r="CH870" s="108"/>
      <c r="CI870" s="108"/>
      <c r="CJ870" s="108"/>
      <c r="CK870" s="120">
        <f t="shared" si="205"/>
        <v>0</v>
      </c>
      <c r="CL870" s="122">
        <f t="shared" si="206"/>
        <v>0</v>
      </c>
      <c r="CM870" s="524" t="str">
        <f t="shared" si="208"/>
        <v/>
      </c>
      <c r="CN870" s="526">
        <f t="shared" si="209"/>
        <v>0</v>
      </c>
      <c r="CO870" s="122">
        <f t="shared" si="210"/>
        <v>0</v>
      </c>
      <c r="CP870" s="45" t="str">
        <f t="shared" si="207"/>
        <v>1 - in MILLESIMI   I</v>
      </c>
      <c r="CQ870" s="1"/>
    </row>
    <row r="871" spans="1:95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435">
        <f>IF(AND(W871&gt;=$U$1,W871&lt;=$U$2),IF(X871='ESTRATTO CONTO'!$E$2,1+COUNTIF(U$4:U870,"&gt;0"),0),0)</f>
        <v>0</v>
      </c>
      <c r="V871" s="417">
        <f t="shared" si="211"/>
        <v>868</v>
      </c>
      <c r="W871" s="509"/>
      <c r="X871" s="321"/>
      <c r="Y871" s="321"/>
      <c r="Z871" s="433"/>
      <c r="AA871" s="918">
        <f t="shared" si="202"/>
        <v>1</v>
      </c>
      <c r="AB871" s="306" t="str">
        <f t="shared" si="203"/>
        <v/>
      </c>
      <c r="AC871" s="788"/>
      <c r="AD871" s="119">
        <f t="shared" si="213"/>
        <v>0</v>
      </c>
      <c r="AE871" s="108">
        <f t="shared" si="213"/>
        <v>0</v>
      </c>
      <c r="AF871" s="108">
        <f t="shared" si="213"/>
        <v>0</v>
      </c>
      <c r="AG871" s="108"/>
      <c r="AH871" s="108"/>
      <c r="AI871" s="108"/>
      <c r="AJ871" s="108"/>
      <c r="AK871" s="108"/>
      <c r="AL871" s="108">
        <f t="shared" si="204"/>
        <v>0</v>
      </c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  <c r="AY871" s="108"/>
      <c r="AZ871" s="108"/>
      <c r="BA871" s="108"/>
      <c r="BB871" s="108"/>
      <c r="BC871" s="108"/>
      <c r="BD871" s="108"/>
      <c r="BE871" s="108"/>
      <c r="BF871" s="108"/>
      <c r="BG871" s="108"/>
      <c r="BH871" s="108"/>
      <c r="BI871" s="108"/>
      <c r="BJ871" s="108"/>
      <c r="BK871" s="108"/>
      <c r="BL871" s="108"/>
      <c r="BM871" s="108"/>
      <c r="BN871" s="108"/>
      <c r="BO871" s="108"/>
      <c r="BP871" s="108"/>
      <c r="BQ871" s="108"/>
      <c r="BR871" s="108"/>
      <c r="BS871" s="108"/>
      <c r="BT871" s="108"/>
      <c r="BU871" s="108"/>
      <c r="BV871" s="108"/>
      <c r="BW871" s="108"/>
      <c r="BX871" s="108"/>
      <c r="BY871" s="108"/>
      <c r="BZ871" s="108"/>
      <c r="CA871" s="108"/>
      <c r="CB871" s="108"/>
      <c r="CC871" s="108"/>
      <c r="CD871" s="108"/>
      <c r="CE871" s="108"/>
      <c r="CF871" s="108"/>
      <c r="CG871" s="108"/>
      <c r="CH871" s="108"/>
      <c r="CI871" s="108"/>
      <c r="CJ871" s="108"/>
      <c r="CK871" s="120">
        <f t="shared" si="205"/>
        <v>0</v>
      </c>
      <c r="CL871" s="122">
        <f t="shared" si="206"/>
        <v>0</v>
      </c>
      <c r="CM871" s="524" t="str">
        <f t="shared" si="208"/>
        <v/>
      </c>
      <c r="CN871" s="526">
        <f t="shared" si="209"/>
        <v>0</v>
      </c>
      <c r="CO871" s="122">
        <f t="shared" si="210"/>
        <v>0</v>
      </c>
      <c r="CP871" s="45" t="str">
        <f t="shared" si="207"/>
        <v>1 - in MILLESIMI   I</v>
      </c>
      <c r="CQ871" s="1"/>
    </row>
    <row r="872" spans="1:95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435">
        <f>IF(AND(W872&gt;=$U$1,W872&lt;=$U$2),IF(X872='ESTRATTO CONTO'!$E$2,1+COUNTIF(U$4:U871,"&gt;0"),0),0)</f>
        <v>0</v>
      </c>
      <c r="V872" s="417">
        <f t="shared" si="211"/>
        <v>869</v>
      </c>
      <c r="W872" s="509"/>
      <c r="X872" s="321"/>
      <c r="Y872" s="321"/>
      <c r="Z872" s="433"/>
      <c r="AA872" s="918">
        <f t="shared" si="202"/>
        <v>1</v>
      </c>
      <c r="AB872" s="306" t="str">
        <f t="shared" si="203"/>
        <v/>
      </c>
      <c r="AC872" s="788"/>
      <c r="AD872" s="119">
        <f t="shared" si="213"/>
        <v>0</v>
      </c>
      <c r="AE872" s="108">
        <f t="shared" si="213"/>
        <v>0</v>
      </c>
      <c r="AF872" s="108">
        <f t="shared" si="213"/>
        <v>0</v>
      </c>
      <c r="AG872" s="108"/>
      <c r="AH872" s="108"/>
      <c r="AI872" s="108"/>
      <c r="AJ872" s="108"/>
      <c r="AK872" s="108"/>
      <c r="AL872" s="108">
        <f t="shared" si="204"/>
        <v>0</v>
      </c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  <c r="AY872" s="108"/>
      <c r="AZ872" s="108"/>
      <c r="BA872" s="108"/>
      <c r="BB872" s="108"/>
      <c r="BC872" s="108"/>
      <c r="BD872" s="108"/>
      <c r="BE872" s="108"/>
      <c r="BF872" s="108"/>
      <c r="BG872" s="108"/>
      <c r="BH872" s="108"/>
      <c r="BI872" s="108"/>
      <c r="BJ872" s="108"/>
      <c r="BK872" s="108"/>
      <c r="BL872" s="108"/>
      <c r="BM872" s="108"/>
      <c r="BN872" s="108"/>
      <c r="BO872" s="108"/>
      <c r="BP872" s="108"/>
      <c r="BQ872" s="108"/>
      <c r="BR872" s="108"/>
      <c r="BS872" s="108"/>
      <c r="BT872" s="108"/>
      <c r="BU872" s="108"/>
      <c r="BV872" s="108"/>
      <c r="BW872" s="108"/>
      <c r="BX872" s="108"/>
      <c r="BY872" s="108"/>
      <c r="BZ872" s="108"/>
      <c r="CA872" s="108"/>
      <c r="CB872" s="108"/>
      <c r="CC872" s="108"/>
      <c r="CD872" s="108"/>
      <c r="CE872" s="108"/>
      <c r="CF872" s="108"/>
      <c r="CG872" s="108"/>
      <c r="CH872" s="108"/>
      <c r="CI872" s="108"/>
      <c r="CJ872" s="108"/>
      <c r="CK872" s="120">
        <f t="shared" si="205"/>
        <v>0</v>
      </c>
      <c r="CL872" s="122">
        <f t="shared" si="206"/>
        <v>0</v>
      </c>
      <c r="CM872" s="524" t="str">
        <f t="shared" si="208"/>
        <v/>
      </c>
      <c r="CN872" s="526">
        <f t="shared" si="209"/>
        <v>0</v>
      </c>
      <c r="CO872" s="122">
        <f t="shared" si="210"/>
        <v>0</v>
      </c>
      <c r="CP872" s="45" t="str">
        <f t="shared" si="207"/>
        <v>1 - in MILLESIMI   I</v>
      </c>
      <c r="CQ872" s="1"/>
    </row>
    <row r="873" spans="1:95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435">
        <f>IF(AND(W873&gt;=$U$1,W873&lt;=$U$2),IF(X873='ESTRATTO CONTO'!$E$2,1+COUNTIF(U$4:U872,"&gt;0"),0),0)</f>
        <v>0</v>
      </c>
      <c r="V873" s="417">
        <f t="shared" si="211"/>
        <v>870</v>
      </c>
      <c r="W873" s="509"/>
      <c r="X873" s="321"/>
      <c r="Y873" s="321"/>
      <c r="Z873" s="433"/>
      <c r="AA873" s="918">
        <f t="shared" si="202"/>
        <v>1</v>
      </c>
      <c r="AB873" s="306" t="str">
        <f t="shared" si="203"/>
        <v/>
      </c>
      <c r="AC873" s="788"/>
      <c r="AD873" s="119">
        <f t="shared" si="213"/>
        <v>0</v>
      </c>
      <c r="AE873" s="108">
        <f t="shared" si="213"/>
        <v>0</v>
      </c>
      <c r="AF873" s="108">
        <f t="shared" si="213"/>
        <v>0</v>
      </c>
      <c r="AG873" s="108"/>
      <c r="AH873" s="108"/>
      <c r="AI873" s="108"/>
      <c r="AJ873" s="108"/>
      <c r="AK873" s="108"/>
      <c r="AL873" s="108">
        <f t="shared" si="204"/>
        <v>0</v>
      </c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  <c r="AY873" s="108"/>
      <c r="AZ873" s="108"/>
      <c r="BA873" s="108"/>
      <c r="BB873" s="108"/>
      <c r="BC873" s="108"/>
      <c r="BD873" s="108"/>
      <c r="BE873" s="108"/>
      <c r="BF873" s="108"/>
      <c r="BG873" s="108"/>
      <c r="BH873" s="108"/>
      <c r="BI873" s="108"/>
      <c r="BJ873" s="108"/>
      <c r="BK873" s="108"/>
      <c r="BL873" s="108"/>
      <c r="BM873" s="108"/>
      <c r="BN873" s="108"/>
      <c r="BO873" s="108"/>
      <c r="BP873" s="108"/>
      <c r="BQ873" s="108"/>
      <c r="BR873" s="108"/>
      <c r="BS873" s="108"/>
      <c r="BT873" s="108"/>
      <c r="BU873" s="108"/>
      <c r="BV873" s="108"/>
      <c r="BW873" s="108"/>
      <c r="BX873" s="108"/>
      <c r="BY873" s="108"/>
      <c r="BZ873" s="108"/>
      <c r="CA873" s="108"/>
      <c r="CB873" s="108"/>
      <c r="CC873" s="108"/>
      <c r="CD873" s="108"/>
      <c r="CE873" s="108"/>
      <c r="CF873" s="108"/>
      <c r="CG873" s="108"/>
      <c r="CH873" s="108"/>
      <c r="CI873" s="108"/>
      <c r="CJ873" s="108"/>
      <c r="CK873" s="120">
        <f t="shared" si="205"/>
        <v>0</v>
      </c>
      <c r="CL873" s="122">
        <f t="shared" si="206"/>
        <v>0</v>
      </c>
      <c r="CM873" s="524" t="str">
        <f t="shared" si="208"/>
        <v/>
      </c>
      <c r="CN873" s="526">
        <f t="shared" si="209"/>
        <v>0</v>
      </c>
      <c r="CO873" s="122">
        <f t="shared" si="210"/>
        <v>0</v>
      </c>
      <c r="CP873" s="45" t="str">
        <f t="shared" si="207"/>
        <v>1 - in MILLESIMI   I</v>
      </c>
      <c r="CQ873" s="1"/>
    </row>
    <row r="874" spans="1:95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435">
        <f>IF(AND(W874&gt;=$U$1,W874&lt;=$U$2),IF(X874='ESTRATTO CONTO'!$E$2,1+COUNTIF(U$4:U873,"&gt;0"),0),0)</f>
        <v>0</v>
      </c>
      <c r="V874" s="417">
        <f t="shared" si="211"/>
        <v>871</v>
      </c>
      <c r="W874" s="509"/>
      <c r="X874" s="321"/>
      <c r="Y874" s="321"/>
      <c r="Z874" s="433"/>
      <c r="AA874" s="918">
        <f t="shared" si="202"/>
        <v>1</v>
      </c>
      <c r="AB874" s="306" t="str">
        <f t="shared" si="203"/>
        <v/>
      </c>
      <c r="AC874" s="788"/>
      <c r="AD874" s="119">
        <f t="shared" si="213"/>
        <v>0</v>
      </c>
      <c r="AE874" s="108">
        <f t="shared" si="213"/>
        <v>0</v>
      </c>
      <c r="AF874" s="108">
        <f t="shared" si="213"/>
        <v>0</v>
      </c>
      <c r="AG874" s="108"/>
      <c r="AH874" s="108"/>
      <c r="AI874" s="108"/>
      <c r="AJ874" s="108"/>
      <c r="AK874" s="108"/>
      <c r="AL874" s="108">
        <f t="shared" si="204"/>
        <v>0</v>
      </c>
      <c r="AM874" s="108"/>
      <c r="AN874" s="108"/>
      <c r="AO874" s="108"/>
      <c r="AP874" s="108"/>
      <c r="AQ874" s="108"/>
      <c r="AR874" s="108"/>
      <c r="AS874" s="108"/>
      <c r="AT874" s="108"/>
      <c r="AU874" s="108"/>
      <c r="AV874" s="108"/>
      <c r="AW874" s="108"/>
      <c r="AX874" s="108"/>
      <c r="AY874" s="108"/>
      <c r="AZ874" s="108"/>
      <c r="BA874" s="108"/>
      <c r="BB874" s="108"/>
      <c r="BC874" s="108"/>
      <c r="BD874" s="108"/>
      <c r="BE874" s="108"/>
      <c r="BF874" s="108"/>
      <c r="BG874" s="108"/>
      <c r="BH874" s="108"/>
      <c r="BI874" s="108"/>
      <c r="BJ874" s="108"/>
      <c r="BK874" s="108"/>
      <c r="BL874" s="108"/>
      <c r="BM874" s="108"/>
      <c r="BN874" s="108"/>
      <c r="BO874" s="108"/>
      <c r="BP874" s="108"/>
      <c r="BQ874" s="108"/>
      <c r="BR874" s="108"/>
      <c r="BS874" s="108"/>
      <c r="BT874" s="108"/>
      <c r="BU874" s="108"/>
      <c r="BV874" s="108"/>
      <c r="BW874" s="108"/>
      <c r="BX874" s="108"/>
      <c r="BY874" s="108"/>
      <c r="BZ874" s="108"/>
      <c r="CA874" s="108"/>
      <c r="CB874" s="108"/>
      <c r="CC874" s="108"/>
      <c r="CD874" s="108"/>
      <c r="CE874" s="108"/>
      <c r="CF874" s="108"/>
      <c r="CG874" s="108"/>
      <c r="CH874" s="108"/>
      <c r="CI874" s="108"/>
      <c r="CJ874" s="108"/>
      <c r="CK874" s="120">
        <f t="shared" si="205"/>
        <v>0</v>
      </c>
      <c r="CL874" s="122">
        <f t="shared" si="206"/>
        <v>0</v>
      </c>
      <c r="CM874" s="524" t="str">
        <f t="shared" si="208"/>
        <v/>
      </c>
      <c r="CN874" s="526">
        <f t="shared" si="209"/>
        <v>0</v>
      </c>
      <c r="CO874" s="122">
        <f t="shared" si="210"/>
        <v>0</v>
      </c>
      <c r="CP874" s="45" t="str">
        <f t="shared" si="207"/>
        <v>1 - in MILLESIMI   I</v>
      </c>
      <c r="CQ874" s="1"/>
    </row>
    <row r="875" spans="1:95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435">
        <f>IF(AND(W875&gt;=$U$1,W875&lt;=$U$2),IF(X875='ESTRATTO CONTO'!$E$2,1+COUNTIF(U$4:U874,"&gt;0"),0),0)</f>
        <v>0</v>
      </c>
      <c r="V875" s="417">
        <f t="shared" si="211"/>
        <v>872</v>
      </c>
      <c r="W875" s="509"/>
      <c r="X875" s="321"/>
      <c r="Y875" s="321"/>
      <c r="Z875" s="433"/>
      <c r="AA875" s="918">
        <f t="shared" si="202"/>
        <v>1</v>
      </c>
      <c r="AB875" s="306" t="str">
        <f t="shared" si="203"/>
        <v/>
      </c>
      <c r="AC875" s="788"/>
      <c r="AD875" s="119">
        <f t="shared" si="213"/>
        <v>0</v>
      </c>
      <c r="AE875" s="108">
        <f t="shared" si="213"/>
        <v>0</v>
      </c>
      <c r="AF875" s="108">
        <f t="shared" si="213"/>
        <v>0</v>
      </c>
      <c r="AG875" s="108"/>
      <c r="AH875" s="108"/>
      <c r="AI875" s="108"/>
      <c r="AJ875" s="108"/>
      <c r="AK875" s="108"/>
      <c r="AL875" s="108">
        <f t="shared" si="204"/>
        <v>0</v>
      </c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  <c r="AY875" s="108"/>
      <c r="AZ875" s="108"/>
      <c r="BA875" s="108"/>
      <c r="BB875" s="108"/>
      <c r="BC875" s="108"/>
      <c r="BD875" s="108"/>
      <c r="BE875" s="108"/>
      <c r="BF875" s="108"/>
      <c r="BG875" s="108"/>
      <c r="BH875" s="108"/>
      <c r="BI875" s="108"/>
      <c r="BJ875" s="108"/>
      <c r="BK875" s="108"/>
      <c r="BL875" s="108"/>
      <c r="BM875" s="108"/>
      <c r="BN875" s="108"/>
      <c r="BO875" s="108"/>
      <c r="BP875" s="108"/>
      <c r="BQ875" s="108"/>
      <c r="BR875" s="108"/>
      <c r="BS875" s="108"/>
      <c r="BT875" s="108"/>
      <c r="BU875" s="108"/>
      <c r="BV875" s="108"/>
      <c r="BW875" s="108"/>
      <c r="BX875" s="108"/>
      <c r="BY875" s="108"/>
      <c r="BZ875" s="108"/>
      <c r="CA875" s="108"/>
      <c r="CB875" s="108"/>
      <c r="CC875" s="108"/>
      <c r="CD875" s="108"/>
      <c r="CE875" s="108"/>
      <c r="CF875" s="108"/>
      <c r="CG875" s="108"/>
      <c r="CH875" s="108"/>
      <c r="CI875" s="108"/>
      <c r="CJ875" s="108"/>
      <c r="CK875" s="120">
        <f t="shared" si="205"/>
        <v>0</v>
      </c>
      <c r="CL875" s="122">
        <f t="shared" si="206"/>
        <v>0</v>
      </c>
      <c r="CM875" s="524" t="str">
        <f t="shared" si="208"/>
        <v/>
      </c>
      <c r="CN875" s="526">
        <f t="shared" si="209"/>
        <v>0</v>
      </c>
      <c r="CO875" s="122">
        <f t="shared" si="210"/>
        <v>0</v>
      </c>
      <c r="CP875" s="45" t="str">
        <f t="shared" si="207"/>
        <v>1 - in MILLESIMI   I</v>
      </c>
      <c r="CQ875" s="1"/>
    </row>
    <row r="876" spans="1:95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435">
        <f>IF(AND(W876&gt;=$U$1,W876&lt;=$U$2),IF(X876='ESTRATTO CONTO'!$E$2,1+COUNTIF(U$4:U875,"&gt;0"),0),0)</f>
        <v>0</v>
      </c>
      <c r="V876" s="417">
        <f t="shared" si="211"/>
        <v>873</v>
      </c>
      <c r="W876" s="509"/>
      <c r="X876" s="321"/>
      <c r="Y876" s="321"/>
      <c r="Z876" s="433"/>
      <c r="AA876" s="918">
        <f t="shared" si="202"/>
        <v>1</v>
      </c>
      <c r="AB876" s="306" t="str">
        <f t="shared" si="203"/>
        <v/>
      </c>
      <c r="AC876" s="788"/>
      <c r="AD876" s="119">
        <f t="shared" si="213"/>
        <v>0</v>
      </c>
      <c r="AE876" s="108">
        <f t="shared" si="213"/>
        <v>0</v>
      </c>
      <c r="AF876" s="108">
        <f t="shared" si="213"/>
        <v>0</v>
      </c>
      <c r="AG876" s="108"/>
      <c r="AH876" s="108"/>
      <c r="AI876" s="108"/>
      <c r="AJ876" s="108"/>
      <c r="AK876" s="108"/>
      <c r="AL876" s="108">
        <f t="shared" si="204"/>
        <v>0</v>
      </c>
      <c r="AM876" s="108"/>
      <c r="AN876" s="108"/>
      <c r="AO876" s="108"/>
      <c r="AP876" s="108"/>
      <c r="AQ876" s="108"/>
      <c r="AR876" s="108"/>
      <c r="AS876" s="108"/>
      <c r="AT876" s="108"/>
      <c r="AU876" s="108"/>
      <c r="AV876" s="108"/>
      <c r="AW876" s="108"/>
      <c r="AX876" s="108"/>
      <c r="AY876" s="108"/>
      <c r="AZ876" s="108"/>
      <c r="BA876" s="108"/>
      <c r="BB876" s="108"/>
      <c r="BC876" s="108"/>
      <c r="BD876" s="108"/>
      <c r="BE876" s="108"/>
      <c r="BF876" s="108"/>
      <c r="BG876" s="108"/>
      <c r="BH876" s="108"/>
      <c r="BI876" s="108"/>
      <c r="BJ876" s="108"/>
      <c r="BK876" s="108"/>
      <c r="BL876" s="108"/>
      <c r="BM876" s="108"/>
      <c r="BN876" s="108"/>
      <c r="BO876" s="108"/>
      <c r="BP876" s="108"/>
      <c r="BQ876" s="108"/>
      <c r="BR876" s="108"/>
      <c r="BS876" s="108"/>
      <c r="BT876" s="108"/>
      <c r="BU876" s="108"/>
      <c r="BV876" s="108"/>
      <c r="BW876" s="108"/>
      <c r="BX876" s="108"/>
      <c r="BY876" s="108"/>
      <c r="BZ876" s="108"/>
      <c r="CA876" s="108"/>
      <c r="CB876" s="108"/>
      <c r="CC876" s="108"/>
      <c r="CD876" s="108"/>
      <c r="CE876" s="108"/>
      <c r="CF876" s="108"/>
      <c r="CG876" s="108"/>
      <c r="CH876" s="108"/>
      <c r="CI876" s="108"/>
      <c r="CJ876" s="108"/>
      <c r="CK876" s="120">
        <f t="shared" si="205"/>
        <v>0</v>
      </c>
      <c r="CL876" s="122">
        <f t="shared" si="206"/>
        <v>0</v>
      </c>
      <c r="CM876" s="524" t="str">
        <f t="shared" si="208"/>
        <v/>
      </c>
      <c r="CN876" s="526">
        <f t="shared" si="209"/>
        <v>0</v>
      </c>
      <c r="CO876" s="122">
        <f t="shared" si="210"/>
        <v>0</v>
      </c>
      <c r="CP876" s="45" t="str">
        <f t="shared" si="207"/>
        <v>1 - in MILLESIMI   I</v>
      </c>
      <c r="CQ876" s="1"/>
    </row>
    <row r="877" spans="1:95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435">
        <f>IF(AND(W877&gt;=$U$1,W877&lt;=$U$2),IF(X877='ESTRATTO CONTO'!$E$2,1+COUNTIF(U$4:U876,"&gt;0"),0),0)</f>
        <v>0</v>
      </c>
      <c r="V877" s="417">
        <f t="shared" si="211"/>
        <v>874</v>
      </c>
      <c r="W877" s="509"/>
      <c r="X877" s="321"/>
      <c r="Y877" s="321"/>
      <c r="Z877" s="433"/>
      <c r="AA877" s="918">
        <f t="shared" si="202"/>
        <v>1</v>
      </c>
      <c r="AB877" s="306" t="str">
        <f t="shared" si="203"/>
        <v/>
      </c>
      <c r="AC877" s="788"/>
      <c r="AD877" s="119">
        <f t="shared" si="213"/>
        <v>0</v>
      </c>
      <c r="AE877" s="108">
        <f t="shared" si="213"/>
        <v>0</v>
      </c>
      <c r="AF877" s="108">
        <f t="shared" si="213"/>
        <v>0</v>
      </c>
      <c r="AG877" s="108"/>
      <c r="AH877" s="108"/>
      <c r="AI877" s="108"/>
      <c r="AJ877" s="108"/>
      <c r="AK877" s="108"/>
      <c r="AL877" s="108">
        <f t="shared" si="204"/>
        <v>0</v>
      </c>
      <c r="AM877" s="108"/>
      <c r="AN877" s="108"/>
      <c r="AO877" s="108"/>
      <c r="AP877" s="108"/>
      <c r="AQ877" s="108"/>
      <c r="AR877" s="108"/>
      <c r="AS877" s="108"/>
      <c r="AT877" s="108"/>
      <c r="AU877" s="108"/>
      <c r="AV877" s="108"/>
      <c r="AW877" s="108"/>
      <c r="AX877" s="108"/>
      <c r="AY877" s="108"/>
      <c r="AZ877" s="108"/>
      <c r="BA877" s="108"/>
      <c r="BB877" s="108"/>
      <c r="BC877" s="108"/>
      <c r="BD877" s="108"/>
      <c r="BE877" s="108"/>
      <c r="BF877" s="108"/>
      <c r="BG877" s="108"/>
      <c r="BH877" s="108"/>
      <c r="BI877" s="108"/>
      <c r="BJ877" s="108"/>
      <c r="BK877" s="108"/>
      <c r="BL877" s="108"/>
      <c r="BM877" s="108"/>
      <c r="BN877" s="108"/>
      <c r="BO877" s="108"/>
      <c r="BP877" s="108"/>
      <c r="BQ877" s="108"/>
      <c r="BR877" s="108"/>
      <c r="BS877" s="108"/>
      <c r="BT877" s="108"/>
      <c r="BU877" s="108"/>
      <c r="BV877" s="108"/>
      <c r="BW877" s="108"/>
      <c r="BX877" s="108"/>
      <c r="BY877" s="108"/>
      <c r="BZ877" s="108"/>
      <c r="CA877" s="108"/>
      <c r="CB877" s="108"/>
      <c r="CC877" s="108"/>
      <c r="CD877" s="108"/>
      <c r="CE877" s="108"/>
      <c r="CF877" s="108"/>
      <c r="CG877" s="108"/>
      <c r="CH877" s="108"/>
      <c r="CI877" s="108"/>
      <c r="CJ877" s="108"/>
      <c r="CK877" s="120">
        <f t="shared" si="205"/>
        <v>0</v>
      </c>
      <c r="CL877" s="122">
        <f t="shared" si="206"/>
        <v>0</v>
      </c>
      <c r="CM877" s="524" t="str">
        <f t="shared" si="208"/>
        <v/>
      </c>
      <c r="CN877" s="526">
        <f t="shared" si="209"/>
        <v>0</v>
      </c>
      <c r="CO877" s="122">
        <f t="shared" si="210"/>
        <v>0</v>
      </c>
      <c r="CP877" s="45" t="str">
        <f t="shared" si="207"/>
        <v>1 - in MILLESIMI   I</v>
      </c>
      <c r="CQ877" s="1"/>
    </row>
    <row r="878" spans="1:95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435">
        <f>IF(AND(W878&gt;=$U$1,W878&lt;=$U$2),IF(X878='ESTRATTO CONTO'!$E$2,1+COUNTIF(U$4:U877,"&gt;0"),0),0)</f>
        <v>0</v>
      </c>
      <c r="V878" s="417">
        <f t="shared" si="211"/>
        <v>875</v>
      </c>
      <c r="W878" s="509"/>
      <c r="X878" s="321"/>
      <c r="Y878" s="321"/>
      <c r="Z878" s="433"/>
      <c r="AA878" s="918">
        <f t="shared" si="202"/>
        <v>1</v>
      </c>
      <c r="AB878" s="306" t="str">
        <f t="shared" si="203"/>
        <v/>
      </c>
      <c r="AC878" s="788"/>
      <c r="AD878" s="119">
        <f t="shared" si="213"/>
        <v>0</v>
      </c>
      <c r="AE878" s="108">
        <f t="shared" si="213"/>
        <v>0</v>
      </c>
      <c r="AF878" s="108">
        <f t="shared" si="213"/>
        <v>0</v>
      </c>
      <c r="AG878" s="108"/>
      <c r="AH878" s="108"/>
      <c r="AI878" s="108"/>
      <c r="AJ878" s="108"/>
      <c r="AK878" s="108"/>
      <c r="AL878" s="108">
        <f t="shared" si="204"/>
        <v>0</v>
      </c>
      <c r="AM878" s="108"/>
      <c r="AN878" s="108"/>
      <c r="AO878" s="108"/>
      <c r="AP878" s="108"/>
      <c r="AQ878" s="108"/>
      <c r="AR878" s="108"/>
      <c r="AS878" s="108"/>
      <c r="AT878" s="108"/>
      <c r="AU878" s="108"/>
      <c r="AV878" s="108"/>
      <c r="AW878" s="108"/>
      <c r="AX878" s="108"/>
      <c r="AY878" s="108"/>
      <c r="AZ878" s="108"/>
      <c r="BA878" s="108"/>
      <c r="BB878" s="108"/>
      <c r="BC878" s="108"/>
      <c r="BD878" s="108"/>
      <c r="BE878" s="108"/>
      <c r="BF878" s="108"/>
      <c r="BG878" s="108"/>
      <c r="BH878" s="108"/>
      <c r="BI878" s="108"/>
      <c r="BJ878" s="108"/>
      <c r="BK878" s="108"/>
      <c r="BL878" s="108"/>
      <c r="BM878" s="108"/>
      <c r="BN878" s="108"/>
      <c r="BO878" s="108"/>
      <c r="BP878" s="108"/>
      <c r="BQ878" s="108"/>
      <c r="BR878" s="108"/>
      <c r="BS878" s="108"/>
      <c r="BT878" s="108"/>
      <c r="BU878" s="108"/>
      <c r="BV878" s="108"/>
      <c r="BW878" s="108"/>
      <c r="BX878" s="108"/>
      <c r="BY878" s="108"/>
      <c r="BZ878" s="108"/>
      <c r="CA878" s="108"/>
      <c r="CB878" s="108"/>
      <c r="CC878" s="108"/>
      <c r="CD878" s="108"/>
      <c r="CE878" s="108"/>
      <c r="CF878" s="108"/>
      <c r="CG878" s="108"/>
      <c r="CH878" s="108"/>
      <c r="CI878" s="108"/>
      <c r="CJ878" s="108"/>
      <c r="CK878" s="120">
        <f t="shared" si="205"/>
        <v>0</v>
      </c>
      <c r="CL878" s="122">
        <f t="shared" si="206"/>
        <v>0</v>
      </c>
      <c r="CM878" s="524" t="str">
        <f t="shared" si="208"/>
        <v/>
      </c>
      <c r="CN878" s="526">
        <f t="shared" si="209"/>
        <v>0</v>
      </c>
      <c r="CO878" s="122">
        <f t="shared" si="210"/>
        <v>0</v>
      </c>
      <c r="CP878" s="45" t="str">
        <f t="shared" si="207"/>
        <v>1 - in MILLESIMI   I</v>
      </c>
      <c r="CQ878" s="1"/>
    </row>
    <row r="879" spans="1:95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435">
        <f>IF(AND(W879&gt;=$U$1,W879&lt;=$U$2),IF(X879='ESTRATTO CONTO'!$E$2,1+COUNTIF(U$4:U878,"&gt;0"),0),0)</f>
        <v>0</v>
      </c>
      <c r="V879" s="417">
        <f t="shared" si="211"/>
        <v>876</v>
      </c>
      <c r="W879" s="509"/>
      <c r="X879" s="321"/>
      <c r="Y879" s="321"/>
      <c r="Z879" s="433"/>
      <c r="AA879" s="918">
        <f t="shared" si="202"/>
        <v>1</v>
      </c>
      <c r="AB879" s="306" t="str">
        <f t="shared" si="203"/>
        <v/>
      </c>
      <c r="AC879" s="788"/>
      <c r="AD879" s="119">
        <f t="shared" si="213"/>
        <v>0</v>
      </c>
      <c r="AE879" s="108">
        <f t="shared" si="213"/>
        <v>0</v>
      </c>
      <c r="AF879" s="108">
        <f t="shared" si="213"/>
        <v>0</v>
      </c>
      <c r="AG879" s="108"/>
      <c r="AH879" s="108"/>
      <c r="AI879" s="108"/>
      <c r="AJ879" s="108"/>
      <c r="AK879" s="108"/>
      <c r="AL879" s="108">
        <f t="shared" si="204"/>
        <v>0</v>
      </c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  <c r="AY879" s="108"/>
      <c r="AZ879" s="108"/>
      <c r="BA879" s="108"/>
      <c r="BB879" s="108"/>
      <c r="BC879" s="108"/>
      <c r="BD879" s="108"/>
      <c r="BE879" s="108"/>
      <c r="BF879" s="108"/>
      <c r="BG879" s="108"/>
      <c r="BH879" s="108"/>
      <c r="BI879" s="108"/>
      <c r="BJ879" s="108"/>
      <c r="BK879" s="108"/>
      <c r="BL879" s="108"/>
      <c r="BM879" s="108"/>
      <c r="BN879" s="108"/>
      <c r="BO879" s="108"/>
      <c r="BP879" s="108"/>
      <c r="BQ879" s="108"/>
      <c r="BR879" s="108"/>
      <c r="BS879" s="108"/>
      <c r="BT879" s="108"/>
      <c r="BU879" s="108"/>
      <c r="BV879" s="108"/>
      <c r="BW879" s="108"/>
      <c r="BX879" s="108"/>
      <c r="BY879" s="108"/>
      <c r="BZ879" s="108"/>
      <c r="CA879" s="108"/>
      <c r="CB879" s="108"/>
      <c r="CC879" s="108"/>
      <c r="CD879" s="108"/>
      <c r="CE879" s="108"/>
      <c r="CF879" s="108"/>
      <c r="CG879" s="108"/>
      <c r="CH879" s="108"/>
      <c r="CI879" s="108"/>
      <c r="CJ879" s="108"/>
      <c r="CK879" s="120">
        <f t="shared" si="205"/>
        <v>0</v>
      </c>
      <c r="CL879" s="122">
        <f t="shared" si="206"/>
        <v>0</v>
      </c>
      <c r="CM879" s="524" t="str">
        <f t="shared" si="208"/>
        <v/>
      </c>
      <c r="CN879" s="526">
        <f t="shared" si="209"/>
        <v>0</v>
      </c>
      <c r="CO879" s="122">
        <f t="shared" si="210"/>
        <v>0</v>
      </c>
      <c r="CP879" s="45" t="str">
        <f t="shared" si="207"/>
        <v>1 - in MILLESIMI   I</v>
      </c>
      <c r="CQ879" s="1"/>
    </row>
    <row r="880" spans="1:95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435">
        <f>IF(AND(W880&gt;=$U$1,W880&lt;=$U$2),IF(X880='ESTRATTO CONTO'!$E$2,1+COUNTIF(U$4:U879,"&gt;0"),0),0)</f>
        <v>0</v>
      </c>
      <c r="V880" s="417">
        <f t="shared" si="211"/>
        <v>877</v>
      </c>
      <c r="W880" s="509"/>
      <c r="X880" s="321"/>
      <c r="Y880" s="321"/>
      <c r="Z880" s="433"/>
      <c r="AA880" s="918">
        <f t="shared" si="202"/>
        <v>1</v>
      </c>
      <c r="AB880" s="306" t="str">
        <f t="shared" si="203"/>
        <v/>
      </c>
      <c r="AC880" s="788"/>
      <c r="AD880" s="119">
        <f t="shared" si="213"/>
        <v>0</v>
      </c>
      <c r="AE880" s="108">
        <f t="shared" si="213"/>
        <v>0</v>
      </c>
      <c r="AF880" s="108">
        <f t="shared" si="213"/>
        <v>0</v>
      </c>
      <c r="AG880" s="108"/>
      <c r="AH880" s="108"/>
      <c r="AI880" s="108"/>
      <c r="AJ880" s="108"/>
      <c r="AK880" s="108"/>
      <c r="AL880" s="108">
        <f t="shared" si="204"/>
        <v>0</v>
      </c>
      <c r="AM880" s="108"/>
      <c r="AN880" s="108"/>
      <c r="AO880" s="108"/>
      <c r="AP880" s="108"/>
      <c r="AQ880" s="108"/>
      <c r="AR880" s="108"/>
      <c r="AS880" s="108"/>
      <c r="AT880" s="108"/>
      <c r="AU880" s="108"/>
      <c r="AV880" s="108"/>
      <c r="AW880" s="108"/>
      <c r="AX880" s="108"/>
      <c r="AY880" s="108"/>
      <c r="AZ880" s="108"/>
      <c r="BA880" s="108"/>
      <c r="BB880" s="108"/>
      <c r="BC880" s="108"/>
      <c r="BD880" s="108"/>
      <c r="BE880" s="108"/>
      <c r="BF880" s="108"/>
      <c r="BG880" s="108"/>
      <c r="BH880" s="108"/>
      <c r="BI880" s="108"/>
      <c r="BJ880" s="108"/>
      <c r="BK880" s="108"/>
      <c r="BL880" s="108"/>
      <c r="BM880" s="108"/>
      <c r="BN880" s="108"/>
      <c r="BO880" s="108"/>
      <c r="BP880" s="108"/>
      <c r="BQ880" s="108"/>
      <c r="BR880" s="108"/>
      <c r="BS880" s="108"/>
      <c r="BT880" s="108"/>
      <c r="BU880" s="108"/>
      <c r="BV880" s="108"/>
      <c r="BW880" s="108"/>
      <c r="BX880" s="108"/>
      <c r="BY880" s="108"/>
      <c r="BZ880" s="108"/>
      <c r="CA880" s="108"/>
      <c r="CB880" s="108"/>
      <c r="CC880" s="108"/>
      <c r="CD880" s="108"/>
      <c r="CE880" s="108"/>
      <c r="CF880" s="108"/>
      <c r="CG880" s="108"/>
      <c r="CH880" s="108"/>
      <c r="CI880" s="108"/>
      <c r="CJ880" s="108"/>
      <c r="CK880" s="120">
        <f t="shared" si="205"/>
        <v>0</v>
      </c>
      <c r="CL880" s="122">
        <f t="shared" si="206"/>
        <v>0</v>
      </c>
      <c r="CM880" s="524" t="str">
        <f t="shared" si="208"/>
        <v/>
      </c>
      <c r="CN880" s="526">
        <f t="shared" si="209"/>
        <v>0</v>
      </c>
      <c r="CO880" s="122">
        <f t="shared" si="210"/>
        <v>0</v>
      </c>
      <c r="CP880" s="45" t="str">
        <f t="shared" si="207"/>
        <v>1 - in MILLESIMI   I</v>
      </c>
      <c r="CQ880" s="1"/>
    </row>
    <row r="881" spans="1:95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435">
        <f>IF(AND(W881&gt;=$U$1,W881&lt;=$U$2),IF(X881='ESTRATTO CONTO'!$E$2,1+COUNTIF(U$4:U880,"&gt;0"),0),0)</f>
        <v>0</v>
      </c>
      <c r="V881" s="417">
        <f t="shared" si="211"/>
        <v>878</v>
      </c>
      <c r="W881" s="509"/>
      <c r="X881" s="321"/>
      <c r="Y881" s="321"/>
      <c r="Z881" s="433"/>
      <c r="AA881" s="918">
        <f t="shared" si="202"/>
        <v>1</v>
      </c>
      <c r="AB881" s="306" t="str">
        <f t="shared" si="203"/>
        <v/>
      </c>
      <c r="AC881" s="788"/>
      <c r="AD881" s="119">
        <f t="shared" si="213"/>
        <v>0</v>
      </c>
      <c r="AE881" s="108">
        <f t="shared" si="213"/>
        <v>0</v>
      </c>
      <c r="AF881" s="108">
        <f t="shared" si="213"/>
        <v>0</v>
      </c>
      <c r="AG881" s="108"/>
      <c r="AH881" s="108"/>
      <c r="AI881" s="108"/>
      <c r="AJ881" s="108"/>
      <c r="AK881" s="108"/>
      <c r="AL881" s="108">
        <f t="shared" si="204"/>
        <v>0</v>
      </c>
      <c r="AM881" s="108"/>
      <c r="AN881" s="108"/>
      <c r="AO881" s="108"/>
      <c r="AP881" s="108"/>
      <c r="AQ881" s="108"/>
      <c r="AR881" s="108"/>
      <c r="AS881" s="108"/>
      <c r="AT881" s="108"/>
      <c r="AU881" s="108"/>
      <c r="AV881" s="108"/>
      <c r="AW881" s="108"/>
      <c r="AX881" s="108"/>
      <c r="AY881" s="108"/>
      <c r="AZ881" s="108"/>
      <c r="BA881" s="108"/>
      <c r="BB881" s="108"/>
      <c r="BC881" s="108"/>
      <c r="BD881" s="108"/>
      <c r="BE881" s="108"/>
      <c r="BF881" s="108"/>
      <c r="BG881" s="108"/>
      <c r="BH881" s="108"/>
      <c r="BI881" s="108"/>
      <c r="BJ881" s="108"/>
      <c r="BK881" s="108"/>
      <c r="BL881" s="108"/>
      <c r="BM881" s="108"/>
      <c r="BN881" s="108"/>
      <c r="BO881" s="108"/>
      <c r="BP881" s="108"/>
      <c r="BQ881" s="108"/>
      <c r="BR881" s="108"/>
      <c r="BS881" s="108"/>
      <c r="BT881" s="108"/>
      <c r="BU881" s="108"/>
      <c r="BV881" s="108"/>
      <c r="BW881" s="108"/>
      <c r="BX881" s="108"/>
      <c r="BY881" s="108"/>
      <c r="BZ881" s="108"/>
      <c r="CA881" s="108"/>
      <c r="CB881" s="108"/>
      <c r="CC881" s="108"/>
      <c r="CD881" s="108"/>
      <c r="CE881" s="108"/>
      <c r="CF881" s="108"/>
      <c r="CG881" s="108"/>
      <c r="CH881" s="108"/>
      <c r="CI881" s="108"/>
      <c r="CJ881" s="108"/>
      <c r="CK881" s="120">
        <f t="shared" si="205"/>
        <v>0</v>
      </c>
      <c r="CL881" s="122">
        <f t="shared" si="206"/>
        <v>0</v>
      </c>
      <c r="CM881" s="524" t="str">
        <f t="shared" si="208"/>
        <v/>
      </c>
      <c r="CN881" s="526">
        <f t="shared" si="209"/>
        <v>0</v>
      </c>
      <c r="CO881" s="122">
        <f t="shared" si="210"/>
        <v>0</v>
      </c>
      <c r="CP881" s="45" t="str">
        <f t="shared" si="207"/>
        <v>1 - in MILLESIMI   I</v>
      </c>
      <c r="CQ881" s="1"/>
    </row>
    <row r="882" spans="1:95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435">
        <f>IF(AND(W882&gt;=$U$1,W882&lt;=$U$2),IF(X882='ESTRATTO CONTO'!$E$2,1+COUNTIF(U$4:U881,"&gt;0"),0),0)</f>
        <v>0</v>
      </c>
      <c r="V882" s="417">
        <f t="shared" si="211"/>
        <v>879</v>
      </c>
      <c r="W882" s="509"/>
      <c r="X882" s="321"/>
      <c r="Y882" s="321"/>
      <c r="Z882" s="433"/>
      <c r="AA882" s="918">
        <f t="shared" si="202"/>
        <v>1</v>
      </c>
      <c r="AB882" s="306" t="str">
        <f t="shared" si="203"/>
        <v/>
      </c>
      <c r="AC882" s="788"/>
      <c r="AD882" s="119">
        <f t="shared" si="213"/>
        <v>0</v>
      </c>
      <c r="AE882" s="108">
        <f t="shared" si="213"/>
        <v>0</v>
      </c>
      <c r="AF882" s="108">
        <f t="shared" si="213"/>
        <v>0</v>
      </c>
      <c r="AG882" s="108"/>
      <c r="AH882" s="108"/>
      <c r="AI882" s="108"/>
      <c r="AJ882" s="108"/>
      <c r="AK882" s="108"/>
      <c r="AL882" s="108">
        <f t="shared" si="204"/>
        <v>0</v>
      </c>
      <c r="AM882" s="108"/>
      <c r="AN882" s="108"/>
      <c r="AO882" s="108"/>
      <c r="AP882" s="108"/>
      <c r="AQ882" s="108"/>
      <c r="AR882" s="108"/>
      <c r="AS882" s="108"/>
      <c r="AT882" s="108"/>
      <c r="AU882" s="108"/>
      <c r="AV882" s="108"/>
      <c r="AW882" s="108"/>
      <c r="AX882" s="108"/>
      <c r="AY882" s="108"/>
      <c r="AZ882" s="108"/>
      <c r="BA882" s="108"/>
      <c r="BB882" s="108"/>
      <c r="BC882" s="108"/>
      <c r="BD882" s="108"/>
      <c r="BE882" s="108"/>
      <c r="BF882" s="108"/>
      <c r="BG882" s="108"/>
      <c r="BH882" s="108"/>
      <c r="BI882" s="108"/>
      <c r="BJ882" s="108"/>
      <c r="BK882" s="108"/>
      <c r="BL882" s="108"/>
      <c r="BM882" s="108"/>
      <c r="BN882" s="108"/>
      <c r="BO882" s="108"/>
      <c r="BP882" s="108"/>
      <c r="BQ882" s="108"/>
      <c r="BR882" s="108"/>
      <c r="BS882" s="108"/>
      <c r="BT882" s="108"/>
      <c r="BU882" s="108"/>
      <c r="BV882" s="108"/>
      <c r="BW882" s="108"/>
      <c r="BX882" s="108"/>
      <c r="BY882" s="108"/>
      <c r="BZ882" s="108"/>
      <c r="CA882" s="108"/>
      <c r="CB882" s="108"/>
      <c r="CC882" s="108"/>
      <c r="CD882" s="108"/>
      <c r="CE882" s="108"/>
      <c r="CF882" s="108"/>
      <c r="CG882" s="108"/>
      <c r="CH882" s="108"/>
      <c r="CI882" s="108"/>
      <c r="CJ882" s="108"/>
      <c r="CK882" s="120">
        <f t="shared" si="205"/>
        <v>0</v>
      </c>
      <c r="CL882" s="122">
        <f t="shared" si="206"/>
        <v>0</v>
      </c>
      <c r="CM882" s="524" t="str">
        <f t="shared" si="208"/>
        <v/>
      </c>
      <c r="CN882" s="526">
        <f t="shared" si="209"/>
        <v>0</v>
      </c>
      <c r="CO882" s="122">
        <f t="shared" si="210"/>
        <v>0</v>
      </c>
      <c r="CP882" s="45" t="str">
        <f t="shared" si="207"/>
        <v>1 - in MILLESIMI   I</v>
      </c>
      <c r="CQ882" s="1"/>
    </row>
    <row r="883" spans="1:95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435">
        <f>IF(AND(W883&gt;=$U$1,W883&lt;=$U$2),IF(X883='ESTRATTO CONTO'!$E$2,1+COUNTIF(U$4:U882,"&gt;0"),0),0)</f>
        <v>0</v>
      </c>
      <c r="V883" s="417">
        <f t="shared" si="211"/>
        <v>880</v>
      </c>
      <c r="W883" s="509"/>
      <c r="X883" s="321"/>
      <c r="Y883" s="321"/>
      <c r="Z883" s="433"/>
      <c r="AA883" s="918">
        <f t="shared" si="202"/>
        <v>1</v>
      </c>
      <c r="AB883" s="306" t="str">
        <f t="shared" si="203"/>
        <v/>
      </c>
      <c r="AC883" s="788"/>
      <c r="AD883" s="119">
        <f t="shared" si="213"/>
        <v>0</v>
      </c>
      <c r="AE883" s="108">
        <f t="shared" si="213"/>
        <v>0</v>
      </c>
      <c r="AF883" s="108">
        <f t="shared" si="213"/>
        <v>0</v>
      </c>
      <c r="AG883" s="108"/>
      <c r="AH883" s="108"/>
      <c r="AI883" s="108"/>
      <c r="AJ883" s="108"/>
      <c r="AK883" s="108"/>
      <c r="AL883" s="108">
        <f t="shared" si="204"/>
        <v>0</v>
      </c>
      <c r="AM883" s="108"/>
      <c r="AN883" s="108"/>
      <c r="AO883" s="108"/>
      <c r="AP883" s="108"/>
      <c r="AQ883" s="108"/>
      <c r="AR883" s="108"/>
      <c r="AS883" s="108"/>
      <c r="AT883" s="108"/>
      <c r="AU883" s="108"/>
      <c r="AV883" s="108"/>
      <c r="AW883" s="108"/>
      <c r="AX883" s="108"/>
      <c r="AY883" s="108"/>
      <c r="AZ883" s="108"/>
      <c r="BA883" s="108"/>
      <c r="BB883" s="108"/>
      <c r="BC883" s="108"/>
      <c r="BD883" s="108"/>
      <c r="BE883" s="108"/>
      <c r="BF883" s="108"/>
      <c r="BG883" s="108"/>
      <c r="BH883" s="108"/>
      <c r="BI883" s="108"/>
      <c r="BJ883" s="108"/>
      <c r="BK883" s="108"/>
      <c r="BL883" s="108"/>
      <c r="BM883" s="108"/>
      <c r="BN883" s="108"/>
      <c r="BO883" s="108"/>
      <c r="BP883" s="108"/>
      <c r="BQ883" s="108"/>
      <c r="BR883" s="108"/>
      <c r="BS883" s="108"/>
      <c r="BT883" s="108"/>
      <c r="BU883" s="108"/>
      <c r="BV883" s="108"/>
      <c r="BW883" s="108"/>
      <c r="BX883" s="108"/>
      <c r="BY883" s="108"/>
      <c r="BZ883" s="108"/>
      <c r="CA883" s="108"/>
      <c r="CB883" s="108"/>
      <c r="CC883" s="108"/>
      <c r="CD883" s="108"/>
      <c r="CE883" s="108"/>
      <c r="CF883" s="108"/>
      <c r="CG883" s="108"/>
      <c r="CH883" s="108"/>
      <c r="CI883" s="108"/>
      <c r="CJ883" s="108"/>
      <c r="CK883" s="120">
        <f t="shared" si="205"/>
        <v>0</v>
      </c>
      <c r="CL883" s="122">
        <f t="shared" si="206"/>
        <v>0</v>
      </c>
      <c r="CM883" s="524" t="str">
        <f t="shared" si="208"/>
        <v/>
      </c>
      <c r="CN883" s="526">
        <f t="shared" si="209"/>
        <v>0</v>
      </c>
      <c r="CO883" s="122">
        <f t="shared" si="210"/>
        <v>0</v>
      </c>
      <c r="CP883" s="45" t="str">
        <f t="shared" si="207"/>
        <v>1 - in MILLESIMI   I</v>
      </c>
      <c r="CQ883" s="1"/>
    </row>
    <row r="884" spans="1:95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435">
        <f>IF(AND(W884&gt;=$U$1,W884&lt;=$U$2),IF(X884='ESTRATTO CONTO'!$E$2,1+COUNTIF(U$4:U883,"&gt;0"),0),0)</f>
        <v>0</v>
      </c>
      <c r="V884" s="417">
        <f t="shared" si="211"/>
        <v>881</v>
      </c>
      <c r="W884" s="509"/>
      <c r="X884" s="321"/>
      <c r="Y884" s="321"/>
      <c r="Z884" s="433"/>
      <c r="AA884" s="918">
        <f t="shared" si="202"/>
        <v>1</v>
      </c>
      <c r="AB884" s="306" t="str">
        <f t="shared" si="203"/>
        <v/>
      </c>
      <c r="AC884" s="788"/>
      <c r="AD884" s="119">
        <f t="shared" ref="AD884:AF903" si="214">IF($AB884=0,0,ROUND($Z884*VLOOKUP(AD$2,$F$1010:$Q$1014,VLOOKUP($CP884,$C$1076:$E$1081,3,FALSE),FALSE),2))</f>
        <v>0</v>
      </c>
      <c r="AE884" s="108">
        <f t="shared" si="214"/>
        <v>0</v>
      </c>
      <c r="AF884" s="108">
        <f t="shared" si="214"/>
        <v>0</v>
      </c>
      <c r="AG884" s="108"/>
      <c r="AH884" s="108"/>
      <c r="AI884" s="108"/>
      <c r="AJ884" s="108"/>
      <c r="AK884" s="108"/>
      <c r="AL884" s="108">
        <f t="shared" si="204"/>
        <v>0</v>
      </c>
      <c r="AM884" s="108"/>
      <c r="AN884" s="108"/>
      <c r="AO884" s="108"/>
      <c r="AP884" s="108"/>
      <c r="AQ884" s="108"/>
      <c r="AR884" s="108"/>
      <c r="AS884" s="108"/>
      <c r="AT884" s="108"/>
      <c r="AU884" s="108"/>
      <c r="AV884" s="108"/>
      <c r="AW884" s="108"/>
      <c r="AX884" s="108"/>
      <c r="AY884" s="108"/>
      <c r="AZ884" s="108"/>
      <c r="BA884" s="108"/>
      <c r="BB884" s="108"/>
      <c r="BC884" s="108"/>
      <c r="BD884" s="108"/>
      <c r="BE884" s="108"/>
      <c r="BF884" s="108"/>
      <c r="BG884" s="108"/>
      <c r="BH884" s="108"/>
      <c r="BI884" s="108"/>
      <c r="BJ884" s="108"/>
      <c r="BK884" s="108"/>
      <c r="BL884" s="108"/>
      <c r="BM884" s="108"/>
      <c r="BN884" s="108"/>
      <c r="BO884" s="108"/>
      <c r="BP884" s="108"/>
      <c r="BQ884" s="108"/>
      <c r="BR884" s="108"/>
      <c r="BS884" s="108"/>
      <c r="BT884" s="108"/>
      <c r="BU884" s="108"/>
      <c r="BV884" s="108"/>
      <c r="BW884" s="108"/>
      <c r="BX884" s="108"/>
      <c r="BY884" s="108"/>
      <c r="BZ884" s="108"/>
      <c r="CA884" s="108"/>
      <c r="CB884" s="108"/>
      <c r="CC884" s="108"/>
      <c r="CD884" s="108"/>
      <c r="CE884" s="108"/>
      <c r="CF884" s="108"/>
      <c r="CG884" s="108"/>
      <c r="CH884" s="108"/>
      <c r="CI884" s="108"/>
      <c r="CJ884" s="108"/>
      <c r="CK884" s="120">
        <f t="shared" si="205"/>
        <v>0</v>
      </c>
      <c r="CL884" s="122">
        <f t="shared" si="206"/>
        <v>0</v>
      </c>
      <c r="CM884" s="524" t="str">
        <f t="shared" si="208"/>
        <v/>
      </c>
      <c r="CN884" s="526">
        <f t="shared" si="209"/>
        <v>0</v>
      </c>
      <c r="CO884" s="122">
        <f t="shared" si="210"/>
        <v>0</v>
      </c>
      <c r="CP884" s="45" t="str">
        <f t="shared" si="207"/>
        <v>1 - in MILLESIMI   I</v>
      </c>
      <c r="CQ884" s="1"/>
    </row>
    <row r="885" spans="1:95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435">
        <f>IF(AND(W885&gt;=$U$1,W885&lt;=$U$2),IF(X885='ESTRATTO CONTO'!$E$2,1+COUNTIF(U$4:U884,"&gt;0"),0),0)</f>
        <v>0</v>
      </c>
      <c r="V885" s="417">
        <f t="shared" si="211"/>
        <v>882</v>
      </c>
      <c r="W885" s="509"/>
      <c r="X885" s="321"/>
      <c r="Y885" s="321"/>
      <c r="Z885" s="433"/>
      <c r="AA885" s="918">
        <f t="shared" si="202"/>
        <v>1</v>
      </c>
      <c r="AB885" s="306" t="str">
        <f t="shared" si="203"/>
        <v/>
      </c>
      <c r="AC885" s="788"/>
      <c r="AD885" s="119">
        <f t="shared" si="214"/>
        <v>0</v>
      </c>
      <c r="AE885" s="108">
        <f t="shared" si="214"/>
        <v>0</v>
      </c>
      <c r="AF885" s="108">
        <f t="shared" si="214"/>
        <v>0</v>
      </c>
      <c r="AG885" s="108"/>
      <c r="AH885" s="108"/>
      <c r="AI885" s="108"/>
      <c r="AJ885" s="108"/>
      <c r="AK885" s="108"/>
      <c r="AL885" s="108">
        <f t="shared" si="204"/>
        <v>0</v>
      </c>
      <c r="AM885" s="108"/>
      <c r="AN885" s="108"/>
      <c r="AO885" s="108"/>
      <c r="AP885" s="108"/>
      <c r="AQ885" s="108"/>
      <c r="AR885" s="108"/>
      <c r="AS885" s="108"/>
      <c r="AT885" s="108"/>
      <c r="AU885" s="108"/>
      <c r="AV885" s="108"/>
      <c r="AW885" s="108"/>
      <c r="AX885" s="108"/>
      <c r="AY885" s="108"/>
      <c r="AZ885" s="108"/>
      <c r="BA885" s="108"/>
      <c r="BB885" s="108"/>
      <c r="BC885" s="108"/>
      <c r="BD885" s="108"/>
      <c r="BE885" s="108"/>
      <c r="BF885" s="108"/>
      <c r="BG885" s="108"/>
      <c r="BH885" s="108"/>
      <c r="BI885" s="108"/>
      <c r="BJ885" s="108"/>
      <c r="BK885" s="108"/>
      <c r="BL885" s="108"/>
      <c r="BM885" s="108"/>
      <c r="BN885" s="108"/>
      <c r="BO885" s="108"/>
      <c r="BP885" s="108"/>
      <c r="BQ885" s="108"/>
      <c r="BR885" s="108"/>
      <c r="BS885" s="108"/>
      <c r="BT885" s="108"/>
      <c r="BU885" s="108"/>
      <c r="BV885" s="108"/>
      <c r="BW885" s="108"/>
      <c r="BX885" s="108"/>
      <c r="BY885" s="108"/>
      <c r="BZ885" s="108"/>
      <c r="CA885" s="108"/>
      <c r="CB885" s="108"/>
      <c r="CC885" s="108"/>
      <c r="CD885" s="108"/>
      <c r="CE885" s="108"/>
      <c r="CF885" s="108"/>
      <c r="CG885" s="108"/>
      <c r="CH885" s="108"/>
      <c r="CI885" s="108"/>
      <c r="CJ885" s="108"/>
      <c r="CK885" s="120">
        <f t="shared" si="205"/>
        <v>0</v>
      </c>
      <c r="CL885" s="122">
        <f t="shared" si="206"/>
        <v>0</v>
      </c>
      <c r="CM885" s="524" t="str">
        <f t="shared" si="208"/>
        <v/>
      </c>
      <c r="CN885" s="526">
        <f t="shared" si="209"/>
        <v>0</v>
      </c>
      <c r="CO885" s="122">
        <f t="shared" si="210"/>
        <v>0</v>
      </c>
      <c r="CP885" s="45" t="str">
        <f t="shared" si="207"/>
        <v>1 - in MILLESIMI   I</v>
      </c>
      <c r="CQ885" s="1"/>
    </row>
    <row r="886" spans="1:95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435">
        <f>IF(AND(W886&gt;=$U$1,W886&lt;=$U$2),IF(X886='ESTRATTO CONTO'!$E$2,1+COUNTIF(U$4:U885,"&gt;0"),0),0)</f>
        <v>0</v>
      </c>
      <c r="V886" s="417">
        <f t="shared" si="211"/>
        <v>883</v>
      </c>
      <c r="W886" s="509"/>
      <c r="X886" s="321"/>
      <c r="Y886" s="321"/>
      <c r="Z886" s="433"/>
      <c r="AA886" s="918">
        <f t="shared" si="202"/>
        <v>1</v>
      </c>
      <c r="AB886" s="306" t="str">
        <f t="shared" si="203"/>
        <v/>
      </c>
      <c r="AC886" s="788"/>
      <c r="AD886" s="119">
        <f t="shared" si="214"/>
        <v>0</v>
      </c>
      <c r="AE886" s="108">
        <f t="shared" si="214"/>
        <v>0</v>
      </c>
      <c r="AF886" s="108">
        <f t="shared" si="214"/>
        <v>0</v>
      </c>
      <c r="AG886" s="108"/>
      <c r="AH886" s="108"/>
      <c r="AI886" s="108"/>
      <c r="AJ886" s="108"/>
      <c r="AK886" s="108"/>
      <c r="AL886" s="108">
        <f t="shared" si="204"/>
        <v>0</v>
      </c>
      <c r="AM886" s="108"/>
      <c r="AN886" s="108"/>
      <c r="AO886" s="108"/>
      <c r="AP886" s="108"/>
      <c r="AQ886" s="108"/>
      <c r="AR886" s="108"/>
      <c r="AS886" s="108"/>
      <c r="AT886" s="108"/>
      <c r="AU886" s="108"/>
      <c r="AV886" s="108"/>
      <c r="AW886" s="108"/>
      <c r="AX886" s="108"/>
      <c r="AY886" s="108"/>
      <c r="AZ886" s="108"/>
      <c r="BA886" s="108"/>
      <c r="BB886" s="108"/>
      <c r="BC886" s="108"/>
      <c r="BD886" s="108"/>
      <c r="BE886" s="108"/>
      <c r="BF886" s="108"/>
      <c r="BG886" s="108"/>
      <c r="BH886" s="108"/>
      <c r="BI886" s="108"/>
      <c r="BJ886" s="108"/>
      <c r="BK886" s="108"/>
      <c r="BL886" s="108"/>
      <c r="BM886" s="108"/>
      <c r="BN886" s="108"/>
      <c r="BO886" s="108"/>
      <c r="BP886" s="108"/>
      <c r="BQ886" s="108"/>
      <c r="BR886" s="108"/>
      <c r="BS886" s="108"/>
      <c r="BT886" s="108"/>
      <c r="BU886" s="108"/>
      <c r="BV886" s="108"/>
      <c r="BW886" s="108"/>
      <c r="BX886" s="108"/>
      <c r="BY886" s="108"/>
      <c r="BZ886" s="108"/>
      <c r="CA886" s="108"/>
      <c r="CB886" s="108"/>
      <c r="CC886" s="108"/>
      <c r="CD886" s="108"/>
      <c r="CE886" s="108"/>
      <c r="CF886" s="108"/>
      <c r="CG886" s="108"/>
      <c r="CH886" s="108"/>
      <c r="CI886" s="108"/>
      <c r="CJ886" s="108"/>
      <c r="CK886" s="120">
        <f t="shared" si="205"/>
        <v>0</v>
      </c>
      <c r="CL886" s="122">
        <f t="shared" si="206"/>
        <v>0</v>
      </c>
      <c r="CM886" s="524" t="str">
        <f t="shared" si="208"/>
        <v/>
      </c>
      <c r="CN886" s="526">
        <f t="shared" si="209"/>
        <v>0</v>
      </c>
      <c r="CO886" s="122">
        <f t="shared" si="210"/>
        <v>0</v>
      </c>
      <c r="CP886" s="45" t="str">
        <f t="shared" si="207"/>
        <v>1 - in MILLESIMI   I</v>
      </c>
      <c r="CQ886" s="1"/>
    </row>
    <row r="887" spans="1:95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435">
        <f>IF(AND(W887&gt;=$U$1,W887&lt;=$U$2),IF(X887='ESTRATTO CONTO'!$E$2,1+COUNTIF(U$4:U886,"&gt;0"),0),0)</f>
        <v>0</v>
      </c>
      <c r="V887" s="417">
        <f t="shared" si="211"/>
        <v>884</v>
      </c>
      <c r="W887" s="509"/>
      <c r="X887" s="321"/>
      <c r="Y887" s="321"/>
      <c r="Z887" s="433"/>
      <c r="AA887" s="918">
        <f t="shared" si="202"/>
        <v>1</v>
      </c>
      <c r="AB887" s="306" t="str">
        <f t="shared" si="203"/>
        <v/>
      </c>
      <c r="AC887" s="788"/>
      <c r="AD887" s="119">
        <f t="shared" si="214"/>
        <v>0</v>
      </c>
      <c r="AE887" s="108">
        <f t="shared" si="214"/>
        <v>0</v>
      </c>
      <c r="AF887" s="108">
        <f t="shared" si="214"/>
        <v>0</v>
      </c>
      <c r="AG887" s="108"/>
      <c r="AH887" s="108"/>
      <c r="AI887" s="108"/>
      <c r="AJ887" s="108"/>
      <c r="AK887" s="108"/>
      <c r="AL887" s="108">
        <f t="shared" si="204"/>
        <v>0</v>
      </c>
      <c r="AM887" s="108"/>
      <c r="AN887" s="108"/>
      <c r="AO887" s="108"/>
      <c r="AP887" s="108"/>
      <c r="AQ887" s="108"/>
      <c r="AR887" s="108"/>
      <c r="AS887" s="108"/>
      <c r="AT887" s="108"/>
      <c r="AU887" s="108"/>
      <c r="AV887" s="108"/>
      <c r="AW887" s="108"/>
      <c r="AX887" s="108"/>
      <c r="AY887" s="108"/>
      <c r="AZ887" s="108"/>
      <c r="BA887" s="108"/>
      <c r="BB887" s="108"/>
      <c r="BC887" s="108"/>
      <c r="BD887" s="108"/>
      <c r="BE887" s="108"/>
      <c r="BF887" s="108"/>
      <c r="BG887" s="108"/>
      <c r="BH887" s="108"/>
      <c r="BI887" s="108"/>
      <c r="BJ887" s="108"/>
      <c r="BK887" s="108"/>
      <c r="BL887" s="108"/>
      <c r="BM887" s="108"/>
      <c r="BN887" s="108"/>
      <c r="BO887" s="108"/>
      <c r="BP887" s="108"/>
      <c r="BQ887" s="108"/>
      <c r="BR887" s="108"/>
      <c r="BS887" s="108"/>
      <c r="BT887" s="108"/>
      <c r="BU887" s="108"/>
      <c r="BV887" s="108"/>
      <c r="BW887" s="108"/>
      <c r="BX887" s="108"/>
      <c r="BY887" s="108"/>
      <c r="BZ887" s="108"/>
      <c r="CA887" s="108"/>
      <c r="CB887" s="108"/>
      <c r="CC887" s="108"/>
      <c r="CD887" s="108"/>
      <c r="CE887" s="108"/>
      <c r="CF887" s="108"/>
      <c r="CG887" s="108"/>
      <c r="CH887" s="108"/>
      <c r="CI887" s="108"/>
      <c r="CJ887" s="108"/>
      <c r="CK887" s="120">
        <f t="shared" si="205"/>
        <v>0</v>
      </c>
      <c r="CL887" s="122">
        <f t="shared" si="206"/>
        <v>0</v>
      </c>
      <c r="CM887" s="524" t="str">
        <f t="shared" si="208"/>
        <v/>
      </c>
      <c r="CN887" s="526">
        <f t="shared" si="209"/>
        <v>0</v>
      </c>
      <c r="CO887" s="122">
        <f t="shared" si="210"/>
        <v>0</v>
      </c>
      <c r="CP887" s="45" t="str">
        <f t="shared" si="207"/>
        <v>1 - in MILLESIMI   I</v>
      </c>
      <c r="CQ887" s="1"/>
    </row>
    <row r="888" spans="1:95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435">
        <f>IF(AND(W888&gt;=$U$1,W888&lt;=$U$2),IF(X888='ESTRATTO CONTO'!$E$2,1+COUNTIF(U$4:U887,"&gt;0"),0),0)</f>
        <v>0</v>
      </c>
      <c r="V888" s="417">
        <f t="shared" si="211"/>
        <v>885</v>
      </c>
      <c r="W888" s="509"/>
      <c r="X888" s="321"/>
      <c r="Y888" s="321"/>
      <c r="Z888" s="433"/>
      <c r="AA888" s="918">
        <f t="shared" si="202"/>
        <v>1</v>
      </c>
      <c r="AB888" s="306" t="str">
        <f t="shared" si="203"/>
        <v/>
      </c>
      <c r="AC888" s="788"/>
      <c r="AD888" s="119">
        <f t="shared" si="214"/>
        <v>0</v>
      </c>
      <c r="AE888" s="108">
        <f t="shared" si="214"/>
        <v>0</v>
      </c>
      <c r="AF888" s="108">
        <f t="shared" si="214"/>
        <v>0</v>
      </c>
      <c r="AG888" s="108"/>
      <c r="AH888" s="108"/>
      <c r="AI888" s="108"/>
      <c r="AJ888" s="108"/>
      <c r="AK888" s="108"/>
      <c r="AL888" s="108">
        <f t="shared" si="204"/>
        <v>0</v>
      </c>
      <c r="AM888" s="108"/>
      <c r="AN888" s="108"/>
      <c r="AO888" s="108"/>
      <c r="AP888" s="108"/>
      <c r="AQ888" s="108"/>
      <c r="AR888" s="108"/>
      <c r="AS888" s="108"/>
      <c r="AT888" s="108"/>
      <c r="AU888" s="108"/>
      <c r="AV888" s="108"/>
      <c r="AW888" s="108"/>
      <c r="AX888" s="108"/>
      <c r="AY888" s="108"/>
      <c r="AZ888" s="108"/>
      <c r="BA888" s="108"/>
      <c r="BB888" s="108"/>
      <c r="BC888" s="108"/>
      <c r="BD888" s="108"/>
      <c r="BE888" s="108"/>
      <c r="BF888" s="108"/>
      <c r="BG888" s="108"/>
      <c r="BH888" s="108"/>
      <c r="BI888" s="108"/>
      <c r="BJ888" s="108"/>
      <c r="BK888" s="108"/>
      <c r="BL888" s="108"/>
      <c r="BM888" s="108"/>
      <c r="BN888" s="108"/>
      <c r="BO888" s="108"/>
      <c r="BP888" s="108"/>
      <c r="BQ888" s="108"/>
      <c r="BR888" s="108"/>
      <c r="BS888" s="108"/>
      <c r="BT888" s="108"/>
      <c r="BU888" s="108"/>
      <c r="BV888" s="108"/>
      <c r="BW888" s="108"/>
      <c r="BX888" s="108"/>
      <c r="BY888" s="108"/>
      <c r="BZ888" s="108"/>
      <c r="CA888" s="108"/>
      <c r="CB888" s="108"/>
      <c r="CC888" s="108"/>
      <c r="CD888" s="108"/>
      <c r="CE888" s="108"/>
      <c r="CF888" s="108"/>
      <c r="CG888" s="108"/>
      <c r="CH888" s="108"/>
      <c r="CI888" s="108"/>
      <c r="CJ888" s="108"/>
      <c r="CK888" s="120">
        <f t="shared" si="205"/>
        <v>0</v>
      </c>
      <c r="CL888" s="122">
        <f t="shared" si="206"/>
        <v>0</v>
      </c>
      <c r="CM888" s="524" t="str">
        <f t="shared" si="208"/>
        <v/>
      </c>
      <c r="CN888" s="526">
        <f t="shared" si="209"/>
        <v>0</v>
      </c>
      <c r="CO888" s="122">
        <f t="shared" si="210"/>
        <v>0</v>
      </c>
      <c r="CP888" s="45" t="str">
        <f t="shared" si="207"/>
        <v>1 - in MILLESIMI   I</v>
      </c>
      <c r="CQ888" s="1"/>
    </row>
    <row r="889" spans="1:95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435">
        <f>IF(AND(W889&gt;=$U$1,W889&lt;=$U$2),IF(X889='ESTRATTO CONTO'!$E$2,1+COUNTIF(U$4:U888,"&gt;0"),0),0)</f>
        <v>0</v>
      </c>
      <c r="V889" s="417">
        <f t="shared" si="211"/>
        <v>886</v>
      </c>
      <c r="W889" s="509"/>
      <c r="X889" s="321"/>
      <c r="Y889" s="321"/>
      <c r="Z889" s="433"/>
      <c r="AA889" s="918">
        <f t="shared" si="202"/>
        <v>1</v>
      </c>
      <c r="AB889" s="306" t="str">
        <f t="shared" si="203"/>
        <v/>
      </c>
      <c r="AC889" s="788"/>
      <c r="AD889" s="119">
        <f t="shared" si="214"/>
        <v>0</v>
      </c>
      <c r="AE889" s="108">
        <f t="shared" si="214"/>
        <v>0</v>
      </c>
      <c r="AF889" s="108">
        <f t="shared" si="214"/>
        <v>0</v>
      </c>
      <c r="AG889" s="108"/>
      <c r="AH889" s="108"/>
      <c r="AI889" s="108"/>
      <c r="AJ889" s="108"/>
      <c r="AK889" s="108"/>
      <c r="AL889" s="108">
        <f t="shared" si="204"/>
        <v>0</v>
      </c>
      <c r="AM889" s="108"/>
      <c r="AN889" s="108"/>
      <c r="AO889" s="108"/>
      <c r="AP889" s="108"/>
      <c r="AQ889" s="108"/>
      <c r="AR889" s="108"/>
      <c r="AS889" s="108"/>
      <c r="AT889" s="108"/>
      <c r="AU889" s="108"/>
      <c r="AV889" s="108"/>
      <c r="AW889" s="108"/>
      <c r="AX889" s="108"/>
      <c r="AY889" s="108"/>
      <c r="AZ889" s="108"/>
      <c r="BA889" s="108"/>
      <c r="BB889" s="108"/>
      <c r="BC889" s="108"/>
      <c r="BD889" s="108"/>
      <c r="BE889" s="108"/>
      <c r="BF889" s="108"/>
      <c r="BG889" s="108"/>
      <c r="BH889" s="108"/>
      <c r="BI889" s="108"/>
      <c r="BJ889" s="108"/>
      <c r="BK889" s="108"/>
      <c r="BL889" s="108"/>
      <c r="BM889" s="108"/>
      <c r="BN889" s="108"/>
      <c r="BO889" s="108"/>
      <c r="BP889" s="108"/>
      <c r="BQ889" s="108"/>
      <c r="BR889" s="108"/>
      <c r="BS889" s="108"/>
      <c r="BT889" s="108"/>
      <c r="BU889" s="108"/>
      <c r="BV889" s="108"/>
      <c r="BW889" s="108"/>
      <c r="BX889" s="108"/>
      <c r="BY889" s="108"/>
      <c r="BZ889" s="108"/>
      <c r="CA889" s="108"/>
      <c r="CB889" s="108"/>
      <c r="CC889" s="108"/>
      <c r="CD889" s="108"/>
      <c r="CE889" s="108"/>
      <c r="CF889" s="108"/>
      <c r="CG889" s="108"/>
      <c r="CH889" s="108"/>
      <c r="CI889" s="108"/>
      <c r="CJ889" s="108"/>
      <c r="CK889" s="120">
        <f t="shared" si="205"/>
        <v>0</v>
      </c>
      <c r="CL889" s="122">
        <f t="shared" si="206"/>
        <v>0</v>
      </c>
      <c r="CM889" s="524" t="str">
        <f t="shared" si="208"/>
        <v/>
      </c>
      <c r="CN889" s="526">
        <f t="shared" si="209"/>
        <v>0</v>
      </c>
      <c r="CO889" s="122">
        <f t="shared" si="210"/>
        <v>0</v>
      </c>
      <c r="CP889" s="45" t="str">
        <f t="shared" si="207"/>
        <v>1 - in MILLESIMI   I</v>
      </c>
      <c r="CQ889" s="1"/>
    </row>
    <row r="890" spans="1:95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435">
        <f>IF(AND(W890&gt;=$U$1,W890&lt;=$U$2),IF(X890='ESTRATTO CONTO'!$E$2,1+COUNTIF(U$4:U889,"&gt;0"),0),0)</f>
        <v>0</v>
      </c>
      <c r="V890" s="417">
        <f t="shared" si="211"/>
        <v>887</v>
      </c>
      <c r="W890" s="509"/>
      <c r="X890" s="321"/>
      <c r="Y890" s="321"/>
      <c r="Z890" s="433"/>
      <c r="AA890" s="918">
        <f t="shared" si="202"/>
        <v>1</v>
      </c>
      <c r="AB890" s="306" t="str">
        <f t="shared" si="203"/>
        <v/>
      </c>
      <c r="AC890" s="788"/>
      <c r="AD890" s="119">
        <f t="shared" si="214"/>
        <v>0</v>
      </c>
      <c r="AE890" s="108">
        <f t="shared" si="214"/>
        <v>0</v>
      </c>
      <c r="AF890" s="108">
        <f t="shared" si="214"/>
        <v>0</v>
      </c>
      <c r="AG890" s="108"/>
      <c r="AH890" s="108"/>
      <c r="AI890" s="108"/>
      <c r="AJ890" s="108"/>
      <c r="AK890" s="108"/>
      <c r="AL890" s="108">
        <f t="shared" si="204"/>
        <v>0</v>
      </c>
      <c r="AM890" s="108"/>
      <c r="AN890" s="108"/>
      <c r="AO890" s="108"/>
      <c r="AP890" s="108"/>
      <c r="AQ890" s="108"/>
      <c r="AR890" s="108"/>
      <c r="AS890" s="108"/>
      <c r="AT890" s="108"/>
      <c r="AU890" s="108"/>
      <c r="AV890" s="108"/>
      <c r="AW890" s="108"/>
      <c r="AX890" s="108"/>
      <c r="AY890" s="108"/>
      <c r="AZ890" s="108"/>
      <c r="BA890" s="108"/>
      <c r="BB890" s="108"/>
      <c r="BC890" s="108"/>
      <c r="BD890" s="108"/>
      <c r="BE890" s="108"/>
      <c r="BF890" s="108"/>
      <c r="BG890" s="108"/>
      <c r="BH890" s="108"/>
      <c r="BI890" s="108"/>
      <c r="BJ890" s="108"/>
      <c r="BK890" s="108"/>
      <c r="BL890" s="108"/>
      <c r="BM890" s="108"/>
      <c r="BN890" s="108"/>
      <c r="BO890" s="108"/>
      <c r="BP890" s="108"/>
      <c r="BQ890" s="108"/>
      <c r="BR890" s="108"/>
      <c r="BS890" s="108"/>
      <c r="BT890" s="108"/>
      <c r="BU890" s="108"/>
      <c r="BV890" s="108"/>
      <c r="BW890" s="108"/>
      <c r="BX890" s="108"/>
      <c r="BY890" s="108"/>
      <c r="BZ890" s="108"/>
      <c r="CA890" s="108"/>
      <c r="CB890" s="108"/>
      <c r="CC890" s="108"/>
      <c r="CD890" s="108"/>
      <c r="CE890" s="108"/>
      <c r="CF890" s="108"/>
      <c r="CG890" s="108"/>
      <c r="CH890" s="108"/>
      <c r="CI890" s="108"/>
      <c r="CJ890" s="108"/>
      <c r="CK890" s="120">
        <f t="shared" si="205"/>
        <v>0</v>
      </c>
      <c r="CL890" s="122">
        <f t="shared" si="206"/>
        <v>0</v>
      </c>
      <c r="CM890" s="524" t="str">
        <f t="shared" si="208"/>
        <v/>
      </c>
      <c r="CN890" s="526">
        <f t="shared" si="209"/>
        <v>0</v>
      </c>
      <c r="CO890" s="122">
        <f t="shared" si="210"/>
        <v>0</v>
      </c>
      <c r="CP890" s="45" t="str">
        <f t="shared" si="207"/>
        <v>1 - in MILLESIMI   I</v>
      </c>
      <c r="CQ890" s="1"/>
    </row>
    <row r="891" spans="1:95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435">
        <f>IF(AND(W891&gt;=$U$1,W891&lt;=$U$2),IF(X891='ESTRATTO CONTO'!$E$2,1+COUNTIF(U$4:U890,"&gt;0"),0),0)</f>
        <v>0</v>
      </c>
      <c r="V891" s="417">
        <f t="shared" si="211"/>
        <v>888</v>
      </c>
      <c r="W891" s="509"/>
      <c r="X891" s="321"/>
      <c r="Y891" s="321"/>
      <c r="Z891" s="433"/>
      <c r="AA891" s="918">
        <f t="shared" si="202"/>
        <v>1</v>
      </c>
      <c r="AB891" s="306" t="str">
        <f t="shared" si="203"/>
        <v/>
      </c>
      <c r="AC891" s="788"/>
      <c r="AD891" s="119">
        <f t="shared" si="214"/>
        <v>0</v>
      </c>
      <c r="AE891" s="108">
        <f t="shared" si="214"/>
        <v>0</v>
      </c>
      <c r="AF891" s="108">
        <f t="shared" si="214"/>
        <v>0</v>
      </c>
      <c r="AG891" s="108"/>
      <c r="AH891" s="108"/>
      <c r="AI891" s="108"/>
      <c r="AJ891" s="108"/>
      <c r="AK891" s="108"/>
      <c r="AL891" s="108">
        <f t="shared" si="204"/>
        <v>0</v>
      </c>
      <c r="AM891" s="108"/>
      <c r="AN891" s="108"/>
      <c r="AO891" s="108"/>
      <c r="AP891" s="108"/>
      <c r="AQ891" s="108"/>
      <c r="AR891" s="108"/>
      <c r="AS891" s="108"/>
      <c r="AT891" s="108"/>
      <c r="AU891" s="108"/>
      <c r="AV891" s="108"/>
      <c r="AW891" s="108"/>
      <c r="AX891" s="108"/>
      <c r="AY891" s="108"/>
      <c r="AZ891" s="108"/>
      <c r="BA891" s="108"/>
      <c r="BB891" s="108"/>
      <c r="BC891" s="108"/>
      <c r="BD891" s="108"/>
      <c r="BE891" s="108"/>
      <c r="BF891" s="108"/>
      <c r="BG891" s="108"/>
      <c r="BH891" s="108"/>
      <c r="BI891" s="108"/>
      <c r="BJ891" s="108"/>
      <c r="BK891" s="108"/>
      <c r="BL891" s="108"/>
      <c r="BM891" s="108"/>
      <c r="BN891" s="108"/>
      <c r="BO891" s="108"/>
      <c r="BP891" s="108"/>
      <c r="BQ891" s="108"/>
      <c r="BR891" s="108"/>
      <c r="BS891" s="108"/>
      <c r="BT891" s="108"/>
      <c r="BU891" s="108"/>
      <c r="BV891" s="108"/>
      <c r="BW891" s="108"/>
      <c r="BX891" s="108"/>
      <c r="BY891" s="108"/>
      <c r="BZ891" s="108"/>
      <c r="CA891" s="108"/>
      <c r="CB891" s="108"/>
      <c r="CC891" s="108"/>
      <c r="CD891" s="108"/>
      <c r="CE891" s="108"/>
      <c r="CF891" s="108"/>
      <c r="CG891" s="108"/>
      <c r="CH891" s="108"/>
      <c r="CI891" s="108"/>
      <c r="CJ891" s="108"/>
      <c r="CK891" s="120">
        <f t="shared" si="205"/>
        <v>0</v>
      </c>
      <c r="CL891" s="122">
        <f t="shared" si="206"/>
        <v>0</v>
      </c>
      <c r="CM891" s="524" t="str">
        <f t="shared" si="208"/>
        <v/>
      </c>
      <c r="CN891" s="526">
        <f t="shared" si="209"/>
        <v>0</v>
      </c>
      <c r="CO891" s="122">
        <f t="shared" si="210"/>
        <v>0</v>
      </c>
      <c r="CP891" s="45" t="str">
        <f t="shared" si="207"/>
        <v>1 - in MILLESIMI   I</v>
      </c>
      <c r="CQ891" s="1"/>
    </row>
    <row r="892" spans="1:95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435">
        <f>IF(AND(W892&gt;=$U$1,W892&lt;=$U$2),IF(X892='ESTRATTO CONTO'!$E$2,1+COUNTIF(U$4:U891,"&gt;0"),0),0)</f>
        <v>0</v>
      </c>
      <c r="V892" s="417">
        <f t="shared" si="211"/>
        <v>889</v>
      </c>
      <c r="W892" s="509"/>
      <c r="X892" s="321"/>
      <c r="Y892" s="321"/>
      <c r="Z892" s="433"/>
      <c r="AA892" s="918">
        <f t="shared" si="202"/>
        <v>1</v>
      </c>
      <c r="AB892" s="306" t="str">
        <f t="shared" si="203"/>
        <v/>
      </c>
      <c r="AC892" s="788"/>
      <c r="AD892" s="119">
        <f t="shared" si="214"/>
        <v>0</v>
      </c>
      <c r="AE892" s="108">
        <f t="shared" si="214"/>
        <v>0</v>
      </c>
      <c r="AF892" s="108">
        <f t="shared" si="214"/>
        <v>0</v>
      </c>
      <c r="AG892" s="108"/>
      <c r="AH892" s="108"/>
      <c r="AI892" s="108"/>
      <c r="AJ892" s="108"/>
      <c r="AK892" s="108"/>
      <c r="AL892" s="108">
        <f t="shared" si="204"/>
        <v>0</v>
      </c>
      <c r="AM892" s="108"/>
      <c r="AN892" s="108"/>
      <c r="AO892" s="108"/>
      <c r="AP892" s="108"/>
      <c r="AQ892" s="108"/>
      <c r="AR892" s="108"/>
      <c r="AS892" s="108"/>
      <c r="AT892" s="108"/>
      <c r="AU892" s="108"/>
      <c r="AV892" s="108"/>
      <c r="AW892" s="108"/>
      <c r="AX892" s="108"/>
      <c r="AY892" s="108"/>
      <c r="AZ892" s="108"/>
      <c r="BA892" s="108"/>
      <c r="BB892" s="108"/>
      <c r="BC892" s="108"/>
      <c r="BD892" s="108"/>
      <c r="BE892" s="108"/>
      <c r="BF892" s="108"/>
      <c r="BG892" s="108"/>
      <c r="BH892" s="108"/>
      <c r="BI892" s="108"/>
      <c r="BJ892" s="108"/>
      <c r="BK892" s="108"/>
      <c r="BL892" s="108"/>
      <c r="BM892" s="108"/>
      <c r="BN892" s="108"/>
      <c r="BO892" s="108"/>
      <c r="BP892" s="108"/>
      <c r="BQ892" s="108"/>
      <c r="BR892" s="108"/>
      <c r="BS892" s="108"/>
      <c r="BT892" s="108"/>
      <c r="BU892" s="108"/>
      <c r="BV892" s="108"/>
      <c r="BW892" s="108"/>
      <c r="BX892" s="108"/>
      <c r="BY892" s="108"/>
      <c r="BZ892" s="108"/>
      <c r="CA892" s="108"/>
      <c r="CB892" s="108"/>
      <c r="CC892" s="108"/>
      <c r="CD892" s="108"/>
      <c r="CE892" s="108"/>
      <c r="CF892" s="108"/>
      <c r="CG892" s="108"/>
      <c r="CH892" s="108"/>
      <c r="CI892" s="108"/>
      <c r="CJ892" s="108"/>
      <c r="CK892" s="120">
        <f t="shared" si="205"/>
        <v>0</v>
      </c>
      <c r="CL892" s="122">
        <f t="shared" si="206"/>
        <v>0</v>
      </c>
      <c r="CM892" s="524" t="str">
        <f t="shared" si="208"/>
        <v/>
      </c>
      <c r="CN892" s="526">
        <f t="shared" si="209"/>
        <v>0</v>
      </c>
      <c r="CO892" s="122">
        <f t="shared" si="210"/>
        <v>0</v>
      </c>
      <c r="CP892" s="45" t="str">
        <f t="shared" si="207"/>
        <v>1 - in MILLESIMI   I</v>
      </c>
      <c r="CQ892" s="1"/>
    </row>
    <row r="893" spans="1:95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435">
        <f>IF(AND(W893&gt;=$U$1,W893&lt;=$U$2),IF(X893='ESTRATTO CONTO'!$E$2,1+COUNTIF(U$4:U892,"&gt;0"),0),0)</f>
        <v>0</v>
      </c>
      <c r="V893" s="417">
        <f t="shared" si="211"/>
        <v>890</v>
      </c>
      <c r="W893" s="509"/>
      <c r="X893" s="321"/>
      <c r="Y893" s="321"/>
      <c r="Z893" s="433"/>
      <c r="AA893" s="918">
        <f t="shared" si="202"/>
        <v>1</v>
      </c>
      <c r="AB893" s="306" t="str">
        <f t="shared" si="203"/>
        <v/>
      </c>
      <c r="AC893" s="788"/>
      <c r="AD893" s="119">
        <f t="shared" si="214"/>
        <v>0</v>
      </c>
      <c r="AE893" s="108">
        <f t="shared" si="214"/>
        <v>0</v>
      </c>
      <c r="AF893" s="108">
        <f t="shared" si="214"/>
        <v>0</v>
      </c>
      <c r="AG893" s="108"/>
      <c r="AH893" s="108"/>
      <c r="AI893" s="108"/>
      <c r="AJ893" s="108"/>
      <c r="AK893" s="108"/>
      <c r="AL893" s="108">
        <f t="shared" si="204"/>
        <v>0</v>
      </c>
      <c r="AM893" s="108"/>
      <c r="AN893" s="108"/>
      <c r="AO893" s="108"/>
      <c r="AP893" s="108"/>
      <c r="AQ893" s="108"/>
      <c r="AR893" s="108"/>
      <c r="AS893" s="108"/>
      <c r="AT893" s="108"/>
      <c r="AU893" s="108"/>
      <c r="AV893" s="108"/>
      <c r="AW893" s="108"/>
      <c r="AX893" s="108"/>
      <c r="AY893" s="108"/>
      <c r="AZ893" s="108"/>
      <c r="BA893" s="108"/>
      <c r="BB893" s="108"/>
      <c r="BC893" s="108"/>
      <c r="BD893" s="108"/>
      <c r="BE893" s="108"/>
      <c r="BF893" s="108"/>
      <c r="BG893" s="108"/>
      <c r="BH893" s="108"/>
      <c r="BI893" s="108"/>
      <c r="BJ893" s="108"/>
      <c r="BK893" s="108"/>
      <c r="BL893" s="108"/>
      <c r="BM893" s="108"/>
      <c r="BN893" s="108"/>
      <c r="BO893" s="108"/>
      <c r="BP893" s="108"/>
      <c r="BQ893" s="108"/>
      <c r="BR893" s="108"/>
      <c r="BS893" s="108"/>
      <c r="BT893" s="108"/>
      <c r="BU893" s="108"/>
      <c r="BV893" s="108"/>
      <c r="BW893" s="108"/>
      <c r="BX893" s="108"/>
      <c r="BY893" s="108"/>
      <c r="BZ893" s="108"/>
      <c r="CA893" s="108"/>
      <c r="CB893" s="108"/>
      <c r="CC893" s="108"/>
      <c r="CD893" s="108"/>
      <c r="CE893" s="108"/>
      <c r="CF893" s="108"/>
      <c r="CG893" s="108"/>
      <c r="CH893" s="108"/>
      <c r="CI893" s="108"/>
      <c r="CJ893" s="108"/>
      <c r="CK893" s="120">
        <f t="shared" si="205"/>
        <v>0</v>
      </c>
      <c r="CL893" s="122">
        <f t="shared" si="206"/>
        <v>0</v>
      </c>
      <c r="CM893" s="524" t="str">
        <f t="shared" si="208"/>
        <v/>
      </c>
      <c r="CN893" s="526">
        <f t="shared" si="209"/>
        <v>0</v>
      </c>
      <c r="CO893" s="122">
        <f t="shared" si="210"/>
        <v>0</v>
      </c>
      <c r="CP893" s="45" t="str">
        <f t="shared" si="207"/>
        <v>1 - in MILLESIMI   I</v>
      </c>
      <c r="CQ893" s="1"/>
    </row>
    <row r="894" spans="1:95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435">
        <f>IF(AND(W894&gt;=$U$1,W894&lt;=$U$2),IF(X894='ESTRATTO CONTO'!$E$2,1+COUNTIF(U$4:U893,"&gt;0"),0),0)</f>
        <v>0</v>
      </c>
      <c r="V894" s="417">
        <f t="shared" si="211"/>
        <v>891</v>
      </c>
      <c r="W894" s="509"/>
      <c r="X894" s="321"/>
      <c r="Y894" s="321"/>
      <c r="Z894" s="433"/>
      <c r="AA894" s="918">
        <f t="shared" si="202"/>
        <v>1</v>
      </c>
      <c r="AB894" s="306" t="str">
        <f t="shared" si="203"/>
        <v/>
      </c>
      <c r="AC894" s="788"/>
      <c r="AD894" s="119">
        <f t="shared" si="214"/>
        <v>0</v>
      </c>
      <c r="AE894" s="108">
        <f t="shared" si="214"/>
        <v>0</v>
      </c>
      <c r="AF894" s="108">
        <f t="shared" si="214"/>
        <v>0</v>
      </c>
      <c r="AG894" s="108"/>
      <c r="AH894" s="108"/>
      <c r="AI894" s="108"/>
      <c r="AJ894" s="108"/>
      <c r="AK894" s="108"/>
      <c r="AL894" s="108">
        <f t="shared" si="204"/>
        <v>0</v>
      </c>
      <c r="AM894" s="108"/>
      <c r="AN894" s="108"/>
      <c r="AO894" s="108"/>
      <c r="AP894" s="108"/>
      <c r="AQ894" s="108"/>
      <c r="AR894" s="108"/>
      <c r="AS894" s="108"/>
      <c r="AT894" s="108"/>
      <c r="AU894" s="108"/>
      <c r="AV894" s="108"/>
      <c r="AW894" s="108"/>
      <c r="AX894" s="108"/>
      <c r="AY894" s="108"/>
      <c r="AZ894" s="108"/>
      <c r="BA894" s="108"/>
      <c r="BB894" s="108"/>
      <c r="BC894" s="108"/>
      <c r="BD894" s="108"/>
      <c r="BE894" s="108"/>
      <c r="BF894" s="108"/>
      <c r="BG894" s="108"/>
      <c r="BH894" s="108"/>
      <c r="BI894" s="108"/>
      <c r="BJ894" s="108"/>
      <c r="BK894" s="108"/>
      <c r="BL894" s="108"/>
      <c r="BM894" s="108"/>
      <c r="BN894" s="108"/>
      <c r="BO894" s="108"/>
      <c r="BP894" s="108"/>
      <c r="BQ894" s="108"/>
      <c r="BR894" s="108"/>
      <c r="BS894" s="108"/>
      <c r="BT894" s="108"/>
      <c r="BU894" s="108"/>
      <c r="BV894" s="108"/>
      <c r="BW894" s="108"/>
      <c r="BX894" s="108"/>
      <c r="BY894" s="108"/>
      <c r="BZ894" s="108"/>
      <c r="CA894" s="108"/>
      <c r="CB894" s="108"/>
      <c r="CC894" s="108"/>
      <c r="CD894" s="108"/>
      <c r="CE894" s="108"/>
      <c r="CF894" s="108"/>
      <c r="CG894" s="108"/>
      <c r="CH894" s="108"/>
      <c r="CI894" s="108"/>
      <c r="CJ894" s="108"/>
      <c r="CK894" s="120">
        <f t="shared" si="205"/>
        <v>0</v>
      </c>
      <c r="CL894" s="122">
        <f t="shared" si="206"/>
        <v>0</v>
      </c>
      <c r="CM894" s="524" t="str">
        <f t="shared" si="208"/>
        <v/>
      </c>
      <c r="CN894" s="526">
        <f t="shared" si="209"/>
        <v>0</v>
      </c>
      <c r="CO894" s="122">
        <f t="shared" si="210"/>
        <v>0</v>
      </c>
      <c r="CP894" s="45" t="str">
        <f t="shared" si="207"/>
        <v>1 - in MILLESIMI   I</v>
      </c>
      <c r="CQ894" s="1"/>
    </row>
    <row r="895" spans="1:95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435">
        <f>IF(AND(W895&gt;=$U$1,W895&lt;=$U$2),IF(X895='ESTRATTO CONTO'!$E$2,1+COUNTIF(U$4:U894,"&gt;0"),0),0)</f>
        <v>0</v>
      </c>
      <c r="V895" s="417">
        <f t="shared" si="211"/>
        <v>892</v>
      </c>
      <c r="W895" s="509"/>
      <c r="X895" s="321"/>
      <c r="Y895" s="321"/>
      <c r="Z895" s="433"/>
      <c r="AA895" s="918">
        <f t="shared" si="202"/>
        <v>1</v>
      </c>
      <c r="AB895" s="306" t="str">
        <f t="shared" si="203"/>
        <v/>
      </c>
      <c r="AC895" s="788"/>
      <c r="AD895" s="119">
        <f t="shared" si="214"/>
        <v>0</v>
      </c>
      <c r="AE895" s="108">
        <f t="shared" si="214"/>
        <v>0</v>
      </c>
      <c r="AF895" s="108">
        <f t="shared" si="214"/>
        <v>0</v>
      </c>
      <c r="AG895" s="108"/>
      <c r="AH895" s="108"/>
      <c r="AI895" s="108"/>
      <c r="AJ895" s="108"/>
      <c r="AK895" s="108"/>
      <c r="AL895" s="108">
        <f t="shared" si="204"/>
        <v>0</v>
      </c>
      <c r="AM895" s="108"/>
      <c r="AN895" s="108"/>
      <c r="AO895" s="108"/>
      <c r="AP895" s="108"/>
      <c r="AQ895" s="108"/>
      <c r="AR895" s="108"/>
      <c r="AS895" s="108"/>
      <c r="AT895" s="108"/>
      <c r="AU895" s="108"/>
      <c r="AV895" s="108"/>
      <c r="AW895" s="108"/>
      <c r="AX895" s="108"/>
      <c r="AY895" s="108"/>
      <c r="AZ895" s="108"/>
      <c r="BA895" s="108"/>
      <c r="BB895" s="108"/>
      <c r="BC895" s="108"/>
      <c r="BD895" s="108"/>
      <c r="BE895" s="108"/>
      <c r="BF895" s="108"/>
      <c r="BG895" s="108"/>
      <c r="BH895" s="108"/>
      <c r="BI895" s="108"/>
      <c r="BJ895" s="108"/>
      <c r="BK895" s="108"/>
      <c r="BL895" s="108"/>
      <c r="BM895" s="108"/>
      <c r="BN895" s="108"/>
      <c r="BO895" s="108"/>
      <c r="BP895" s="108"/>
      <c r="BQ895" s="108"/>
      <c r="BR895" s="108"/>
      <c r="BS895" s="108"/>
      <c r="BT895" s="108"/>
      <c r="BU895" s="108"/>
      <c r="BV895" s="108"/>
      <c r="BW895" s="108"/>
      <c r="BX895" s="108"/>
      <c r="BY895" s="108"/>
      <c r="BZ895" s="108"/>
      <c r="CA895" s="108"/>
      <c r="CB895" s="108"/>
      <c r="CC895" s="108"/>
      <c r="CD895" s="108"/>
      <c r="CE895" s="108"/>
      <c r="CF895" s="108"/>
      <c r="CG895" s="108"/>
      <c r="CH895" s="108"/>
      <c r="CI895" s="108"/>
      <c r="CJ895" s="108"/>
      <c r="CK895" s="120">
        <f t="shared" si="205"/>
        <v>0</v>
      </c>
      <c r="CL895" s="122">
        <f t="shared" si="206"/>
        <v>0</v>
      </c>
      <c r="CM895" s="524" t="str">
        <f t="shared" si="208"/>
        <v/>
      </c>
      <c r="CN895" s="526">
        <f t="shared" si="209"/>
        <v>0</v>
      </c>
      <c r="CO895" s="122">
        <f t="shared" si="210"/>
        <v>0</v>
      </c>
      <c r="CP895" s="45" t="str">
        <f t="shared" si="207"/>
        <v>1 - in MILLESIMI   I</v>
      </c>
      <c r="CQ895" s="1"/>
    </row>
    <row r="896" spans="1:95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435">
        <f>IF(AND(W896&gt;=$U$1,W896&lt;=$U$2),IF(X896='ESTRATTO CONTO'!$E$2,1+COUNTIF(U$4:U895,"&gt;0"),0),0)</f>
        <v>0</v>
      </c>
      <c r="V896" s="417">
        <f t="shared" si="211"/>
        <v>893</v>
      </c>
      <c r="W896" s="509"/>
      <c r="X896" s="321"/>
      <c r="Y896" s="321"/>
      <c r="Z896" s="433"/>
      <c r="AA896" s="918">
        <f t="shared" si="202"/>
        <v>1</v>
      </c>
      <c r="AB896" s="306" t="str">
        <f t="shared" si="203"/>
        <v/>
      </c>
      <c r="AC896" s="788"/>
      <c r="AD896" s="119">
        <f t="shared" si="214"/>
        <v>0</v>
      </c>
      <c r="AE896" s="108">
        <f t="shared" si="214"/>
        <v>0</v>
      </c>
      <c r="AF896" s="108">
        <f t="shared" si="214"/>
        <v>0</v>
      </c>
      <c r="AG896" s="108"/>
      <c r="AH896" s="108"/>
      <c r="AI896" s="108"/>
      <c r="AJ896" s="108"/>
      <c r="AK896" s="108"/>
      <c r="AL896" s="108">
        <f t="shared" si="204"/>
        <v>0</v>
      </c>
      <c r="AM896" s="108"/>
      <c r="AN896" s="108"/>
      <c r="AO896" s="108"/>
      <c r="AP896" s="108"/>
      <c r="AQ896" s="108"/>
      <c r="AR896" s="108"/>
      <c r="AS896" s="108"/>
      <c r="AT896" s="108"/>
      <c r="AU896" s="108"/>
      <c r="AV896" s="108"/>
      <c r="AW896" s="108"/>
      <c r="AX896" s="108"/>
      <c r="AY896" s="108"/>
      <c r="AZ896" s="108"/>
      <c r="BA896" s="108"/>
      <c r="BB896" s="108"/>
      <c r="BC896" s="108"/>
      <c r="BD896" s="108"/>
      <c r="BE896" s="108"/>
      <c r="BF896" s="108"/>
      <c r="BG896" s="108"/>
      <c r="BH896" s="108"/>
      <c r="BI896" s="108"/>
      <c r="BJ896" s="108"/>
      <c r="BK896" s="108"/>
      <c r="BL896" s="108"/>
      <c r="BM896" s="108"/>
      <c r="BN896" s="108"/>
      <c r="BO896" s="108"/>
      <c r="BP896" s="108"/>
      <c r="BQ896" s="108"/>
      <c r="BR896" s="108"/>
      <c r="BS896" s="108"/>
      <c r="BT896" s="108"/>
      <c r="BU896" s="108"/>
      <c r="BV896" s="108"/>
      <c r="BW896" s="108"/>
      <c r="BX896" s="108"/>
      <c r="BY896" s="108"/>
      <c r="BZ896" s="108"/>
      <c r="CA896" s="108"/>
      <c r="CB896" s="108"/>
      <c r="CC896" s="108"/>
      <c r="CD896" s="108"/>
      <c r="CE896" s="108"/>
      <c r="CF896" s="108"/>
      <c r="CG896" s="108"/>
      <c r="CH896" s="108"/>
      <c r="CI896" s="108"/>
      <c r="CJ896" s="108"/>
      <c r="CK896" s="120">
        <f t="shared" si="205"/>
        <v>0</v>
      </c>
      <c r="CL896" s="122">
        <f t="shared" si="206"/>
        <v>0</v>
      </c>
      <c r="CM896" s="524" t="str">
        <f t="shared" si="208"/>
        <v/>
      </c>
      <c r="CN896" s="526">
        <f t="shared" si="209"/>
        <v>0</v>
      </c>
      <c r="CO896" s="122">
        <f t="shared" si="210"/>
        <v>0</v>
      </c>
      <c r="CP896" s="45" t="str">
        <f t="shared" si="207"/>
        <v>1 - in MILLESIMI   I</v>
      </c>
      <c r="CQ896" s="1"/>
    </row>
    <row r="897" spans="1:95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435">
        <f>IF(AND(W897&gt;=$U$1,W897&lt;=$U$2),IF(X897='ESTRATTO CONTO'!$E$2,1+COUNTIF(U$4:U896,"&gt;0"),0),0)</f>
        <v>0</v>
      </c>
      <c r="V897" s="417">
        <f t="shared" si="211"/>
        <v>894</v>
      </c>
      <c r="W897" s="509"/>
      <c r="X897" s="321"/>
      <c r="Y897" s="321"/>
      <c r="Z897" s="433"/>
      <c r="AA897" s="918">
        <f t="shared" si="202"/>
        <v>1</v>
      </c>
      <c r="AB897" s="306" t="str">
        <f t="shared" si="203"/>
        <v/>
      </c>
      <c r="AC897" s="788"/>
      <c r="AD897" s="119">
        <f t="shared" si="214"/>
        <v>0</v>
      </c>
      <c r="AE897" s="108">
        <f t="shared" si="214"/>
        <v>0</v>
      </c>
      <c r="AF897" s="108">
        <f t="shared" si="214"/>
        <v>0</v>
      </c>
      <c r="AG897" s="108"/>
      <c r="AH897" s="108"/>
      <c r="AI897" s="108"/>
      <c r="AJ897" s="108"/>
      <c r="AK897" s="108"/>
      <c r="AL897" s="108">
        <f t="shared" si="204"/>
        <v>0</v>
      </c>
      <c r="AM897" s="108"/>
      <c r="AN897" s="108"/>
      <c r="AO897" s="108"/>
      <c r="AP897" s="108"/>
      <c r="AQ897" s="108"/>
      <c r="AR897" s="108"/>
      <c r="AS897" s="108"/>
      <c r="AT897" s="108"/>
      <c r="AU897" s="108"/>
      <c r="AV897" s="108"/>
      <c r="AW897" s="108"/>
      <c r="AX897" s="108"/>
      <c r="AY897" s="108"/>
      <c r="AZ897" s="108"/>
      <c r="BA897" s="108"/>
      <c r="BB897" s="108"/>
      <c r="BC897" s="108"/>
      <c r="BD897" s="108"/>
      <c r="BE897" s="108"/>
      <c r="BF897" s="108"/>
      <c r="BG897" s="108"/>
      <c r="BH897" s="108"/>
      <c r="BI897" s="108"/>
      <c r="BJ897" s="108"/>
      <c r="BK897" s="108"/>
      <c r="BL897" s="108"/>
      <c r="BM897" s="108"/>
      <c r="BN897" s="108"/>
      <c r="BO897" s="108"/>
      <c r="BP897" s="108"/>
      <c r="BQ897" s="108"/>
      <c r="BR897" s="108"/>
      <c r="BS897" s="108"/>
      <c r="BT897" s="108"/>
      <c r="BU897" s="108"/>
      <c r="BV897" s="108"/>
      <c r="BW897" s="108"/>
      <c r="BX897" s="108"/>
      <c r="BY897" s="108"/>
      <c r="BZ897" s="108"/>
      <c r="CA897" s="108"/>
      <c r="CB897" s="108"/>
      <c r="CC897" s="108"/>
      <c r="CD897" s="108"/>
      <c r="CE897" s="108"/>
      <c r="CF897" s="108"/>
      <c r="CG897" s="108"/>
      <c r="CH897" s="108"/>
      <c r="CI897" s="108"/>
      <c r="CJ897" s="108"/>
      <c r="CK897" s="120">
        <f t="shared" si="205"/>
        <v>0</v>
      </c>
      <c r="CL897" s="122">
        <f t="shared" si="206"/>
        <v>0</v>
      </c>
      <c r="CM897" s="524" t="str">
        <f t="shared" si="208"/>
        <v/>
      </c>
      <c r="CN897" s="526">
        <f t="shared" si="209"/>
        <v>0</v>
      </c>
      <c r="CO897" s="122">
        <f t="shared" si="210"/>
        <v>0</v>
      </c>
      <c r="CP897" s="45" t="str">
        <f t="shared" si="207"/>
        <v>1 - in MILLESIMI   I</v>
      </c>
      <c r="CQ897" s="1"/>
    </row>
    <row r="898" spans="1:95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435">
        <f>IF(AND(W898&gt;=$U$1,W898&lt;=$U$2),IF(X898='ESTRATTO CONTO'!$E$2,1+COUNTIF(U$4:U897,"&gt;0"),0),0)</f>
        <v>0</v>
      </c>
      <c r="V898" s="417">
        <f t="shared" si="211"/>
        <v>895</v>
      </c>
      <c r="W898" s="509"/>
      <c r="X898" s="321"/>
      <c r="Y898" s="321"/>
      <c r="Z898" s="433"/>
      <c r="AA898" s="918">
        <f t="shared" si="202"/>
        <v>1</v>
      </c>
      <c r="AB898" s="306" t="str">
        <f t="shared" si="203"/>
        <v/>
      </c>
      <c r="AC898" s="788"/>
      <c r="AD898" s="119">
        <f t="shared" si="214"/>
        <v>0</v>
      </c>
      <c r="AE898" s="108">
        <f t="shared" si="214"/>
        <v>0</v>
      </c>
      <c r="AF898" s="108">
        <f t="shared" si="214"/>
        <v>0</v>
      </c>
      <c r="AG898" s="108"/>
      <c r="AH898" s="108"/>
      <c r="AI898" s="108"/>
      <c r="AJ898" s="108"/>
      <c r="AK898" s="108"/>
      <c r="AL898" s="108">
        <f t="shared" si="204"/>
        <v>0</v>
      </c>
      <c r="AM898" s="108"/>
      <c r="AN898" s="108"/>
      <c r="AO898" s="108"/>
      <c r="AP898" s="108"/>
      <c r="AQ898" s="108"/>
      <c r="AR898" s="108"/>
      <c r="AS898" s="108"/>
      <c r="AT898" s="108"/>
      <c r="AU898" s="108"/>
      <c r="AV898" s="108"/>
      <c r="AW898" s="108"/>
      <c r="AX898" s="108"/>
      <c r="AY898" s="108"/>
      <c r="AZ898" s="108"/>
      <c r="BA898" s="108"/>
      <c r="BB898" s="108"/>
      <c r="BC898" s="108"/>
      <c r="BD898" s="108"/>
      <c r="BE898" s="108"/>
      <c r="BF898" s="108"/>
      <c r="BG898" s="108"/>
      <c r="BH898" s="108"/>
      <c r="BI898" s="108"/>
      <c r="BJ898" s="108"/>
      <c r="BK898" s="108"/>
      <c r="BL898" s="108"/>
      <c r="BM898" s="108"/>
      <c r="BN898" s="108"/>
      <c r="BO898" s="108"/>
      <c r="BP898" s="108"/>
      <c r="BQ898" s="108"/>
      <c r="BR898" s="108"/>
      <c r="BS898" s="108"/>
      <c r="BT898" s="108"/>
      <c r="BU898" s="108"/>
      <c r="BV898" s="108"/>
      <c r="BW898" s="108"/>
      <c r="BX898" s="108"/>
      <c r="BY898" s="108"/>
      <c r="BZ898" s="108"/>
      <c r="CA898" s="108"/>
      <c r="CB898" s="108"/>
      <c r="CC898" s="108"/>
      <c r="CD898" s="108"/>
      <c r="CE898" s="108"/>
      <c r="CF898" s="108"/>
      <c r="CG898" s="108"/>
      <c r="CH898" s="108"/>
      <c r="CI898" s="108"/>
      <c r="CJ898" s="108"/>
      <c r="CK898" s="120">
        <f t="shared" si="205"/>
        <v>0</v>
      </c>
      <c r="CL898" s="122">
        <f t="shared" si="206"/>
        <v>0</v>
      </c>
      <c r="CM898" s="524" t="str">
        <f t="shared" si="208"/>
        <v/>
      </c>
      <c r="CN898" s="526">
        <f t="shared" si="209"/>
        <v>0</v>
      </c>
      <c r="CO898" s="122">
        <f t="shared" si="210"/>
        <v>0</v>
      </c>
      <c r="CP898" s="45" t="str">
        <f t="shared" si="207"/>
        <v>1 - in MILLESIMI   I</v>
      </c>
      <c r="CQ898" s="1"/>
    </row>
    <row r="899" spans="1:95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435">
        <f>IF(AND(W899&gt;=$U$1,W899&lt;=$U$2),IF(X899='ESTRATTO CONTO'!$E$2,1+COUNTIF(U$4:U898,"&gt;0"),0),0)</f>
        <v>0</v>
      </c>
      <c r="V899" s="417">
        <f t="shared" si="211"/>
        <v>896</v>
      </c>
      <c r="W899" s="509"/>
      <c r="X899" s="321"/>
      <c r="Y899" s="321"/>
      <c r="Z899" s="433"/>
      <c r="AA899" s="918">
        <f t="shared" si="202"/>
        <v>1</v>
      </c>
      <c r="AB899" s="306" t="str">
        <f t="shared" si="203"/>
        <v/>
      </c>
      <c r="AC899" s="788"/>
      <c r="AD899" s="119">
        <f t="shared" si="214"/>
        <v>0</v>
      </c>
      <c r="AE899" s="108">
        <f t="shared" si="214"/>
        <v>0</v>
      </c>
      <c r="AF899" s="108">
        <f t="shared" si="214"/>
        <v>0</v>
      </c>
      <c r="AG899" s="108"/>
      <c r="AH899" s="108"/>
      <c r="AI899" s="108"/>
      <c r="AJ899" s="108"/>
      <c r="AK899" s="108"/>
      <c r="AL899" s="108">
        <f t="shared" si="204"/>
        <v>0</v>
      </c>
      <c r="AM899" s="108"/>
      <c r="AN899" s="108"/>
      <c r="AO899" s="108"/>
      <c r="AP899" s="108"/>
      <c r="AQ899" s="108"/>
      <c r="AR899" s="108"/>
      <c r="AS899" s="108"/>
      <c r="AT899" s="108"/>
      <c r="AU899" s="108"/>
      <c r="AV899" s="108"/>
      <c r="AW899" s="108"/>
      <c r="AX899" s="108"/>
      <c r="AY899" s="108"/>
      <c r="AZ899" s="108"/>
      <c r="BA899" s="108"/>
      <c r="BB899" s="108"/>
      <c r="BC899" s="108"/>
      <c r="BD899" s="108"/>
      <c r="BE899" s="108"/>
      <c r="BF899" s="108"/>
      <c r="BG899" s="108"/>
      <c r="BH899" s="108"/>
      <c r="BI899" s="108"/>
      <c r="BJ899" s="108"/>
      <c r="BK899" s="108"/>
      <c r="BL899" s="108"/>
      <c r="BM899" s="108"/>
      <c r="BN899" s="108"/>
      <c r="BO899" s="108"/>
      <c r="BP899" s="108"/>
      <c r="BQ899" s="108"/>
      <c r="BR899" s="108"/>
      <c r="BS899" s="108"/>
      <c r="BT899" s="108"/>
      <c r="BU899" s="108"/>
      <c r="BV899" s="108"/>
      <c r="BW899" s="108"/>
      <c r="BX899" s="108"/>
      <c r="BY899" s="108"/>
      <c r="BZ899" s="108"/>
      <c r="CA899" s="108"/>
      <c r="CB899" s="108"/>
      <c r="CC899" s="108"/>
      <c r="CD899" s="108"/>
      <c r="CE899" s="108"/>
      <c r="CF899" s="108"/>
      <c r="CG899" s="108"/>
      <c r="CH899" s="108"/>
      <c r="CI899" s="108"/>
      <c r="CJ899" s="108"/>
      <c r="CK899" s="120">
        <f t="shared" si="205"/>
        <v>0</v>
      </c>
      <c r="CL899" s="122">
        <f t="shared" si="206"/>
        <v>0</v>
      </c>
      <c r="CM899" s="524" t="str">
        <f t="shared" si="208"/>
        <v/>
      </c>
      <c r="CN899" s="526">
        <f t="shared" si="209"/>
        <v>0</v>
      </c>
      <c r="CO899" s="122">
        <f t="shared" si="210"/>
        <v>0</v>
      </c>
      <c r="CP899" s="45" t="str">
        <f t="shared" si="207"/>
        <v>1 - in MILLESIMI   I</v>
      </c>
      <c r="CQ899" s="1"/>
    </row>
    <row r="900" spans="1:95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435">
        <f>IF(AND(W900&gt;=$U$1,W900&lt;=$U$2),IF(X900='ESTRATTO CONTO'!$E$2,1+COUNTIF(U$4:U899,"&gt;0"),0),0)</f>
        <v>0</v>
      </c>
      <c r="V900" s="417">
        <f t="shared" si="211"/>
        <v>897</v>
      </c>
      <c r="W900" s="509"/>
      <c r="X900" s="321"/>
      <c r="Y900" s="321"/>
      <c r="Z900" s="433"/>
      <c r="AA900" s="918">
        <f t="shared" ref="AA900:AA963" si="215">IF(OR(W900&lt;$W$1433,W900&gt;$W$1434),1,0)</f>
        <v>1</v>
      </c>
      <c r="AB900" s="306" t="str">
        <f t="shared" ref="AB900:AB963" si="216">IF(W900&gt;0,IF(AND(W900&gt;=W$1438,W900&lt;=W$1439),CONCATENATE(MONTH(W900)&amp;X900),0),"")</f>
        <v/>
      </c>
      <c r="AC900" s="788"/>
      <c r="AD900" s="119">
        <f t="shared" si="214"/>
        <v>0</v>
      </c>
      <c r="AE900" s="108">
        <f t="shared" si="214"/>
        <v>0</v>
      </c>
      <c r="AF900" s="108">
        <f t="shared" si="214"/>
        <v>0</v>
      </c>
      <c r="AG900" s="108"/>
      <c r="AH900" s="108"/>
      <c r="AI900" s="108"/>
      <c r="AJ900" s="108"/>
      <c r="AK900" s="108"/>
      <c r="AL900" s="108">
        <f t="shared" ref="AL900:AL963" si="217">IF($AB900=0,0,ROUND($Z900*VLOOKUP(AL$2,$F$1010:$Q$1014,VLOOKUP($CP900,$C$1076:$E$1081,3,FALSE),FALSE),2))</f>
        <v>0</v>
      </c>
      <c r="AM900" s="108"/>
      <c r="AN900" s="108"/>
      <c r="AO900" s="108"/>
      <c r="AP900" s="108"/>
      <c r="AQ900" s="108"/>
      <c r="AR900" s="108"/>
      <c r="AS900" s="108"/>
      <c r="AT900" s="108"/>
      <c r="AU900" s="108"/>
      <c r="AV900" s="108"/>
      <c r="AW900" s="108"/>
      <c r="AX900" s="108"/>
      <c r="AY900" s="108"/>
      <c r="AZ900" s="108"/>
      <c r="BA900" s="108"/>
      <c r="BB900" s="108"/>
      <c r="BC900" s="108"/>
      <c r="BD900" s="108"/>
      <c r="BE900" s="108"/>
      <c r="BF900" s="108"/>
      <c r="BG900" s="108"/>
      <c r="BH900" s="108"/>
      <c r="BI900" s="108"/>
      <c r="BJ900" s="108"/>
      <c r="BK900" s="108"/>
      <c r="BL900" s="108"/>
      <c r="BM900" s="108"/>
      <c r="BN900" s="108"/>
      <c r="BO900" s="108"/>
      <c r="BP900" s="108"/>
      <c r="BQ900" s="108"/>
      <c r="BR900" s="108"/>
      <c r="BS900" s="108"/>
      <c r="BT900" s="108"/>
      <c r="BU900" s="108"/>
      <c r="BV900" s="108"/>
      <c r="BW900" s="108"/>
      <c r="BX900" s="108"/>
      <c r="BY900" s="108"/>
      <c r="BZ900" s="108"/>
      <c r="CA900" s="108"/>
      <c r="CB900" s="108"/>
      <c r="CC900" s="108"/>
      <c r="CD900" s="108"/>
      <c r="CE900" s="108"/>
      <c r="CF900" s="108"/>
      <c r="CG900" s="108"/>
      <c r="CH900" s="108"/>
      <c r="CI900" s="108"/>
      <c r="CJ900" s="108"/>
      <c r="CK900" s="120">
        <f t="shared" ref="CK900:CK963" si="218">IF($AB900=0,0,ROUND($Z900*VLOOKUP(CK$2,$F$1010:$Q$1014,VLOOKUP($CP900,$C$1076:$E$1081,3,FALSE),FALSE),2))</f>
        <v>0</v>
      </c>
      <c r="CL900" s="122">
        <f t="shared" ref="CL900:CL963" si="219">IF(CK$1014&gt;0,0,IF(ISBLANK(W900),0,MONTH(W900)))</f>
        <v>0</v>
      </c>
      <c r="CM900" s="524" t="str">
        <f t="shared" si="208"/>
        <v/>
      </c>
      <c r="CN900" s="526">
        <f t="shared" si="209"/>
        <v>0</v>
      </c>
      <c r="CO900" s="122">
        <f t="shared" si="210"/>
        <v>0</v>
      </c>
      <c r="CP900" s="45" t="str">
        <f t="shared" ref="CP900:CP963" si="220">IF(ISBLANK(AC900),Q$1,AC900)</f>
        <v>1 - in MILLESIMI   I</v>
      </c>
      <c r="CQ900" s="1"/>
    </row>
    <row r="901" spans="1:95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435">
        <f>IF(AND(W901&gt;=$U$1,W901&lt;=$U$2),IF(X901='ESTRATTO CONTO'!$E$2,1+COUNTIF(U$4:U900,"&gt;0"),0),0)</f>
        <v>0</v>
      </c>
      <c r="V901" s="417">
        <f t="shared" si="211"/>
        <v>898</v>
      </c>
      <c r="W901" s="509"/>
      <c r="X901" s="321"/>
      <c r="Y901" s="321"/>
      <c r="Z901" s="433"/>
      <c r="AA901" s="918">
        <f t="shared" si="215"/>
        <v>1</v>
      </c>
      <c r="AB901" s="306" t="str">
        <f t="shared" si="216"/>
        <v/>
      </c>
      <c r="AC901" s="788"/>
      <c r="AD901" s="119">
        <f t="shared" si="214"/>
        <v>0</v>
      </c>
      <c r="AE901" s="108">
        <f t="shared" si="214"/>
        <v>0</v>
      </c>
      <c r="AF901" s="108">
        <f t="shared" si="214"/>
        <v>0</v>
      </c>
      <c r="AG901" s="108"/>
      <c r="AH901" s="108"/>
      <c r="AI901" s="108"/>
      <c r="AJ901" s="108"/>
      <c r="AK901" s="108"/>
      <c r="AL901" s="108">
        <f t="shared" si="217"/>
        <v>0</v>
      </c>
      <c r="AM901" s="108"/>
      <c r="AN901" s="108"/>
      <c r="AO901" s="108"/>
      <c r="AP901" s="108"/>
      <c r="AQ901" s="108"/>
      <c r="AR901" s="108"/>
      <c r="AS901" s="108"/>
      <c r="AT901" s="108"/>
      <c r="AU901" s="108"/>
      <c r="AV901" s="108"/>
      <c r="AW901" s="108"/>
      <c r="AX901" s="108"/>
      <c r="AY901" s="108"/>
      <c r="AZ901" s="108"/>
      <c r="BA901" s="108"/>
      <c r="BB901" s="108"/>
      <c r="BC901" s="108"/>
      <c r="BD901" s="108"/>
      <c r="BE901" s="108"/>
      <c r="BF901" s="108"/>
      <c r="BG901" s="108"/>
      <c r="BH901" s="108"/>
      <c r="BI901" s="108"/>
      <c r="BJ901" s="108"/>
      <c r="BK901" s="108"/>
      <c r="BL901" s="108"/>
      <c r="BM901" s="108"/>
      <c r="BN901" s="108"/>
      <c r="BO901" s="108"/>
      <c r="BP901" s="108"/>
      <c r="BQ901" s="108"/>
      <c r="BR901" s="108"/>
      <c r="BS901" s="108"/>
      <c r="BT901" s="108"/>
      <c r="BU901" s="108"/>
      <c r="BV901" s="108"/>
      <c r="BW901" s="108"/>
      <c r="BX901" s="108"/>
      <c r="BY901" s="108"/>
      <c r="BZ901" s="108"/>
      <c r="CA901" s="108"/>
      <c r="CB901" s="108"/>
      <c r="CC901" s="108"/>
      <c r="CD901" s="108"/>
      <c r="CE901" s="108"/>
      <c r="CF901" s="108"/>
      <c r="CG901" s="108"/>
      <c r="CH901" s="108"/>
      <c r="CI901" s="108"/>
      <c r="CJ901" s="108"/>
      <c r="CK901" s="120">
        <f t="shared" si="218"/>
        <v>0</v>
      </c>
      <c r="CL901" s="122">
        <f t="shared" si="219"/>
        <v>0</v>
      </c>
      <c r="CM901" s="524" t="str">
        <f t="shared" ref="CM901:CM964" si="221">IF(X901="","",IF(ISERROR(VLOOKUP(X901,B$9:E$45,1,FALSE)),1,0))</f>
        <v/>
      </c>
      <c r="CN901" s="526">
        <f t="shared" ref="CN901:CN964" si="222">IF(AND(W901&gt;=CN$1,W901&lt;=CN$2),Z901,0)</f>
        <v>0</v>
      </c>
      <c r="CO901" s="122">
        <f t="shared" ref="CO901:CO964" si="223">IF(CN901&lt;&gt;0,X901,0)</f>
        <v>0</v>
      </c>
      <c r="CP901" s="45" t="str">
        <f t="shared" si="220"/>
        <v>1 - in MILLESIMI   I</v>
      </c>
      <c r="CQ901" s="1"/>
    </row>
    <row r="902" spans="1:95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435">
        <f>IF(AND(W902&gt;=$U$1,W902&lt;=$U$2),IF(X902='ESTRATTO CONTO'!$E$2,1+COUNTIF(U$4:U901,"&gt;0"),0),0)</f>
        <v>0</v>
      </c>
      <c r="V902" s="417">
        <f t="shared" ref="V902:V965" si="224">V901+1</f>
        <v>899</v>
      </c>
      <c r="W902" s="509"/>
      <c r="X902" s="321"/>
      <c r="Y902" s="321"/>
      <c r="Z902" s="433"/>
      <c r="AA902" s="918">
        <f t="shared" si="215"/>
        <v>1</v>
      </c>
      <c r="AB902" s="306" t="str">
        <f t="shared" si="216"/>
        <v/>
      </c>
      <c r="AC902" s="788"/>
      <c r="AD902" s="119">
        <f t="shared" si="214"/>
        <v>0</v>
      </c>
      <c r="AE902" s="108">
        <f t="shared" si="214"/>
        <v>0</v>
      </c>
      <c r="AF902" s="108">
        <f t="shared" si="214"/>
        <v>0</v>
      </c>
      <c r="AG902" s="108"/>
      <c r="AH902" s="108"/>
      <c r="AI902" s="108"/>
      <c r="AJ902" s="108"/>
      <c r="AK902" s="108"/>
      <c r="AL902" s="108">
        <f t="shared" si="217"/>
        <v>0</v>
      </c>
      <c r="AM902" s="108"/>
      <c r="AN902" s="108"/>
      <c r="AO902" s="108"/>
      <c r="AP902" s="108"/>
      <c r="AQ902" s="108"/>
      <c r="AR902" s="108"/>
      <c r="AS902" s="108"/>
      <c r="AT902" s="108"/>
      <c r="AU902" s="108"/>
      <c r="AV902" s="108"/>
      <c r="AW902" s="108"/>
      <c r="AX902" s="108"/>
      <c r="AY902" s="108"/>
      <c r="AZ902" s="108"/>
      <c r="BA902" s="108"/>
      <c r="BB902" s="108"/>
      <c r="BC902" s="108"/>
      <c r="BD902" s="108"/>
      <c r="BE902" s="108"/>
      <c r="BF902" s="108"/>
      <c r="BG902" s="108"/>
      <c r="BH902" s="108"/>
      <c r="BI902" s="108"/>
      <c r="BJ902" s="108"/>
      <c r="BK902" s="108"/>
      <c r="BL902" s="108"/>
      <c r="BM902" s="108"/>
      <c r="BN902" s="108"/>
      <c r="BO902" s="108"/>
      <c r="BP902" s="108"/>
      <c r="BQ902" s="108"/>
      <c r="BR902" s="108"/>
      <c r="BS902" s="108"/>
      <c r="BT902" s="108"/>
      <c r="BU902" s="108"/>
      <c r="BV902" s="108"/>
      <c r="BW902" s="108"/>
      <c r="BX902" s="108"/>
      <c r="BY902" s="108"/>
      <c r="BZ902" s="108"/>
      <c r="CA902" s="108"/>
      <c r="CB902" s="108"/>
      <c r="CC902" s="108"/>
      <c r="CD902" s="108"/>
      <c r="CE902" s="108"/>
      <c r="CF902" s="108"/>
      <c r="CG902" s="108"/>
      <c r="CH902" s="108"/>
      <c r="CI902" s="108"/>
      <c r="CJ902" s="108"/>
      <c r="CK902" s="120">
        <f t="shared" si="218"/>
        <v>0</v>
      </c>
      <c r="CL902" s="122">
        <f t="shared" si="219"/>
        <v>0</v>
      </c>
      <c r="CM902" s="524" t="str">
        <f t="shared" si="221"/>
        <v/>
      </c>
      <c r="CN902" s="526">
        <f t="shared" si="222"/>
        <v>0</v>
      </c>
      <c r="CO902" s="122">
        <f t="shared" si="223"/>
        <v>0</v>
      </c>
      <c r="CP902" s="45" t="str">
        <f t="shared" si="220"/>
        <v>1 - in MILLESIMI   I</v>
      </c>
      <c r="CQ902" s="1"/>
    </row>
    <row r="903" spans="1:95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435">
        <f>IF(AND(W903&gt;=$U$1,W903&lt;=$U$2),IF(X903='ESTRATTO CONTO'!$E$2,1+COUNTIF(U$4:U902,"&gt;0"),0),0)</f>
        <v>0</v>
      </c>
      <c r="V903" s="417">
        <f t="shared" si="224"/>
        <v>900</v>
      </c>
      <c r="W903" s="509"/>
      <c r="X903" s="321"/>
      <c r="Y903" s="321"/>
      <c r="Z903" s="433"/>
      <c r="AA903" s="918">
        <f t="shared" si="215"/>
        <v>1</v>
      </c>
      <c r="AB903" s="306" t="str">
        <f t="shared" si="216"/>
        <v/>
      </c>
      <c r="AC903" s="788"/>
      <c r="AD903" s="119">
        <f t="shared" si="214"/>
        <v>0</v>
      </c>
      <c r="AE903" s="108">
        <f t="shared" si="214"/>
        <v>0</v>
      </c>
      <c r="AF903" s="108">
        <f t="shared" si="214"/>
        <v>0</v>
      </c>
      <c r="AG903" s="108"/>
      <c r="AH903" s="108"/>
      <c r="AI903" s="108"/>
      <c r="AJ903" s="108"/>
      <c r="AK903" s="108"/>
      <c r="AL903" s="108">
        <f t="shared" si="217"/>
        <v>0</v>
      </c>
      <c r="AM903" s="108"/>
      <c r="AN903" s="108"/>
      <c r="AO903" s="108"/>
      <c r="AP903" s="108"/>
      <c r="AQ903" s="108"/>
      <c r="AR903" s="108"/>
      <c r="AS903" s="108"/>
      <c r="AT903" s="108"/>
      <c r="AU903" s="108"/>
      <c r="AV903" s="108"/>
      <c r="AW903" s="108"/>
      <c r="AX903" s="108"/>
      <c r="AY903" s="108"/>
      <c r="AZ903" s="108"/>
      <c r="BA903" s="108"/>
      <c r="BB903" s="108"/>
      <c r="BC903" s="108"/>
      <c r="BD903" s="108"/>
      <c r="BE903" s="108"/>
      <c r="BF903" s="108"/>
      <c r="BG903" s="108"/>
      <c r="BH903" s="108"/>
      <c r="BI903" s="108"/>
      <c r="BJ903" s="108"/>
      <c r="BK903" s="108"/>
      <c r="BL903" s="108"/>
      <c r="BM903" s="108"/>
      <c r="BN903" s="108"/>
      <c r="BO903" s="108"/>
      <c r="BP903" s="108"/>
      <c r="BQ903" s="108"/>
      <c r="BR903" s="108"/>
      <c r="BS903" s="108"/>
      <c r="BT903" s="108"/>
      <c r="BU903" s="108"/>
      <c r="BV903" s="108"/>
      <c r="BW903" s="108"/>
      <c r="BX903" s="108"/>
      <c r="BY903" s="108"/>
      <c r="BZ903" s="108"/>
      <c r="CA903" s="108"/>
      <c r="CB903" s="108"/>
      <c r="CC903" s="108"/>
      <c r="CD903" s="108"/>
      <c r="CE903" s="108"/>
      <c r="CF903" s="108"/>
      <c r="CG903" s="108"/>
      <c r="CH903" s="108"/>
      <c r="CI903" s="108"/>
      <c r="CJ903" s="108"/>
      <c r="CK903" s="120">
        <f t="shared" si="218"/>
        <v>0</v>
      </c>
      <c r="CL903" s="122">
        <f t="shared" si="219"/>
        <v>0</v>
      </c>
      <c r="CM903" s="524" t="str">
        <f t="shared" si="221"/>
        <v/>
      </c>
      <c r="CN903" s="526">
        <f t="shared" si="222"/>
        <v>0</v>
      </c>
      <c r="CO903" s="122">
        <f t="shared" si="223"/>
        <v>0</v>
      </c>
      <c r="CP903" s="45" t="str">
        <f t="shared" si="220"/>
        <v>1 - in MILLESIMI   I</v>
      </c>
      <c r="CQ903" s="1"/>
    </row>
    <row r="904" spans="1:95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435">
        <f>IF(AND(W904&gt;=$U$1,W904&lt;=$U$2),IF(X904='ESTRATTO CONTO'!$E$2,1+COUNTIF(U$4:U903,"&gt;0"),0),0)</f>
        <v>0</v>
      </c>
      <c r="V904" s="417">
        <f t="shared" si="224"/>
        <v>901</v>
      </c>
      <c r="W904" s="509"/>
      <c r="X904" s="321"/>
      <c r="Y904" s="321"/>
      <c r="Z904" s="433"/>
      <c r="AA904" s="918">
        <f t="shared" si="215"/>
        <v>1</v>
      </c>
      <c r="AB904" s="306" t="str">
        <f t="shared" si="216"/>
        <v/>
      </c>
      <c r="AC904" s="788"/>
      <c r="AD904" s="119">
        <f t="shared" ref="AD904:AF923" si="225">IF($AB904=0,0,ROUND($Z904*VLOOKUP(AD$2,$F$1010:$Q$1014,VLOOKUP($CP904,$C$1076:$E$1081,3,FALSE),FALSE),2))</f>
        <v>0</v>
      </c>
      <c r="AE904" s="108">
        <f t="shared" si="225"/>
        <v>0</v>
      </c>
      <c r="AF904" s="108">
        <f t="shared" si="225"/>
        <v>0</v>
      </c>
      <c r="AG904" s="108"/>
      <c r="AH904" s="108"/>
      <c r="AI904" s="108"/>
      <c r="AJ904" s="108"/>
      <c r="AK904" s="108"/>
      <c r="AL904" s="108">
        <f t="shared" si="217"/>
        <v>0</v>
      </c>
      <c r="AM904" s="108"/>
      <c r="AN904" s="108"/>
      <c r="AO904" s="108"/>
      <c r="AP904" s="108"/>
      <c r="AQ904" s="108"/>
      <c r="AR904" s="108"/>
      <c r="AS904" s="108"/>
      <c r="AT904" s="108"/>
      <c r="AU904" s="108"/>
      <c r="AV904" s="108"/>
      <c r="AW904" s="108"/>
      <c r="AX904" s="108"/>
      <c r="AY904" s="108"/>
      <c r="AZ904" s="108"/>
      <c r="BA904" s="108"/>
      <c r="BB904" s="108"/>
      <c r="BC904" s="108"/>
      <c r="BD904" s="108"/>
      <c r="BE904" s="108"/>
      <c r="BF904" s="108"/>
      <c r="BG904" s="108"/>
      <c r="BH904" s="108"/>
      <c r="BI904" s="108"/>
      <c r="BJ904" s="108"/>
      <c r="BK904" s="108"/>
      <c r="BL904" s="108"/>
      <c r="BM904" s="108"/>
      <c r="BN904" s="108"/>
      <c r="BO904" s="108"/>
      <c r="BP904" s="108"/>
      <c r="BQ904" s="108"/>
      <c r="BR904" s="108"/>
      <c r="BS904" s="108"/>
      <c r="BT904" s="108"/>
      <c r="BU904" s="108"/>
      <c r="BV904" s="108"/>
      <c r="BW904" s="108"/>
      <c r="BX904" s="108"/>
      <c r="BY904" s="108"/>
      <c r="BZ904" s="108"/>
      <c r="CA904" s="108"/>
      <c r="CB904" s="108"/>
      <c r="CC904" s="108"/>
      <c r="CD904" s="108"/>
      <c r="CE904" s="108"/>
      <c r="CF904" s="108"/>
      <c r="CG904" s="108"/>
      <c r="CH904" s="108"/>
      <c r="CI904" s="108"/>
      <c r="CJ904" s="108"/>
      <c r="CK904" s="120">
        <f t="shared" si="218"/>
        <v>0</v>
      </c>
      <c r="CL904" s="122">
        <f t="shared" si="219"/>
        <v>0</v>
      </c>
      <c r="CM904" s="524" t="str">
        <f t="shared" si="221"/>
        <v/>
      </c>
      <c r="CN904" s="526">
        <f t="shared" si="222"/>
        <v>0</v>
      </c>
      <c r="CO904" s="122">
        <f t="shared" si="223"/>
        <v>0</v>
      </c>
      <c r="CP904" s="45" t="str">
        <f t="shared" si="220"/>
        <v>1 - in MILLESIMI   I</v>
      </c>
      <c r="CQ904" s="1"/>
    </row>
    <row r="905" spans="1:95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435">
        <f>IF(AND(W905&gt;=$U$1,W905&lt;=$U$2),IF(X905='ESTRATTO CONTO'!$E$2,1+COUNTIF(U$4:U904,"&gt;0"),0),0)</f>
        <v>0</v>
      </c>
      <c r="V905" s="417">
        <f t="shared" si="224"/>
        <v>902</v>
      </c>
      <c r="W905" s="509"/>
      <c r="X905" s="321"/>
      <c r="Y905" s="321"/>
      <c r="Z905" s="433"/>
      <c r="AA905" s="918">
        <f t="shared" si="215"/>
        <v>1</v>
      </c>
      <c r="AB905" s="306" t="str">
        <f t="shared" si="216"/>
        <v/>
      </c>
      <c r="AC905" s="788"/>
      <c r="AD905" s="119">
        <f t="shared" si="225"/>
        <v>0</v>
      </c>
      <c r="AE905" s="108">
        <f t="shared" si="225"/>
        <v>0</v>
      </c>
      <c r="AF905" s="108">
        <f t="shared" si="225"/>
        <v>0</v>
      </c>
      <c r="AG905" s="108"/>
      <c r="AH905" s="108"/>
      <c r="AI905" s="108"/>
      <c r="AJ905" s="108"/>
      <c r="AK905" s="108"/>
      <c r="AL905" s="108">
        <f t="shared" si="217"/>
        <v>0</v>
      </c>
      <c r="AM905" s="108"/>
      <c r="AN905" s="108"/>
      <c r="AO905" s="108"/>
      <c r="AP905" s="108"/>
      <c r="AQ905" s="108"/>
      <c r="AR905" s="108"/>
      <c r="AS905" s="108"/>
      <c r="AT905" s="108"/>
      <c r="AU905" s="108"/>
      <c r="AV905" s="108"/>
      <c r="AW905" s="108"/>
      <c r="AX905" s="108"/>
      <c r="AY905" s="108"/>
      <c r="AZ905" s="108"/>
      <c r="BA905" s="108"/>
      <c r="BB905" s="108"/>
      <c r="BC905" s="108"/>
      <c r="BD905" s="108"/>
      <c r="BE905" s="108"/>
      <c r="BF905" s="108"/>
      <c r="BG905" s="108"/>
      <c r="BH905" s="108"/>
      <c r="BI905" s="108"/>
      <c r="BJ905" s="108"/>
      <c r="BK905" s="108"/>
      <c r="BL905" s="108"/>
      <c r="BM905" s="108"/>
      <c r="BN905" s="108"/>
      <c r="BO905" s="108"/>
      <c r="BP905" s="108"/>
      <c r="BQ905" s="108"/>
      <c r="BR905" s="108"/>
      <c r="BS905" s="108"/>
      <c r="BT905" s="108"/>
      <c r="BU905" s="108"/>
      <c r="BV905" s="108"/>
      <c r="BW905" s="108"/>
      <c r="BX905" s="108"/>
      <c r="BY905" s="108"/>
      <c r="BZ905" s="108"/>
      <c r="CA905" s="108"/>
      <c r="CB905" s="108"/>
      <c r="CC905" s="108"/>
      <c r="CD905" s="108"/>
      <c r="CE905" s="108"/>
      <c r="CF905" s="108"/>
      <c r="CG905" s="108"/>
      <c r="CH905" s="108"/>
      <c r="CI905" s="108"/>
      <c r="CJ905" s="108"/>
      <c r="CK905" s="120">
        <f t="shared" si="218"/>
        <v>0</v>
      </c>
      <c r="CL905" s="122">
        <f t="shared" si="219"/>
        <v>0</v>
      </c>
      <c r="CM905" s="524" t="str">
        <f t="shared" si="221"/>
        <v/>
      </c>
      <c r="CN905" s="526">
        <f t="shared" si="222"/>
        <v>0</v>
      </c>
      <c r="CO905" s="122">
        <f t="shared" si="223"/>
        <v>0</v>
      </c>
      <c r="CP905" s="45" t="str">
        <f t="shared" si="220"/>
        <v>1 - in MILLESIMI   I</v>
      </c>
      <c r="CQ905" s="1"/>
    </row>
    <row r="906" spans="1:95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435">
        <f>IF(AND(W906&gt;=$U$1,W906&lt;=$U$2),IF(X906='ESTRATTO CONTO'!$E$2,1+COUNTIF(U$4:U905,"&gt;0"),0),0)</f>
        <v>0</v>
      </c>
      <c r="V906" s="417">
        <f t="shared" si="224"/>
        <v>903</v>
      </c>
      <c r="W906" s="509"/>
      <c r="X906" s="321"/>
      <c r="Y906" s="321"/>
      <c r="Z906" s="433"/>
      <c r="AA906" s="918">
        <f t="shared" si="215"/>
        <v>1</v>
      </c>
      <c r="AB906" s="306" t="str">
        <f t="shared" si="216"/>
        <v/>
      </c>
      <c r="AC906" s="788"/>
      <c r="AD906" s="119">
        <f t="shared" si="225"/>
        <v>0</v>
      </c>
      <c r="AE906" s="108">
        <f t="shared" si="225"/>
        <v>0</v>
      </c>
      <c r="AF906" s="108">
        <f t="shared" si="225"/>
        <v>0</v>
      </c>
      <c r="AG906" s="108"/>
      <c r="AH906" s="108"/>
      <c r="AI906" s="108"/>
      <c r="AJ906" s="108"/>
      <c r="AK906" s="108"/>
      <c r="AL906" s="108">
        <f t="shared" si="217"/>
        <v>0</v>
      </c>
      <c r="AM906" s="108"/>
      <c r="AN906" s="108"/>
      <c r="AO906" s="108"/>
      <c r="AP906" s="108"/>
      <c r="AQ906" s="108"/>
      <c r="AR906" s="108"/>
      <c r="AS906" s="108"/>
      <c r="AT906" s="108"/>
      <c r="AU906" s="108"/>
      <c r="AV906" s="108"/>
      <c r="AW906" s="108"/>
      <c r="AX906" s="108"/>
      <c r="AY906" s="108"/>
      <c r="AZ906" s="108"/>
      <c r="BA906" s="108"/>
      <c r="BB906" s="108"/>
      <c r="BC906" s="108"/>
      <c r="BD906" s="108"/>
      <c r="BE906" s="108"/>
      <c r="BF906" s="108"/>
      <c r="BG906" s="108"/>
      <c r="BH906" s="108"/>
      <c r="BI906" s="108"/>
      <c r="BJ906" s="108"/>
      <c r="BK906" s="108"/>
      <c r="BL906" s="108"/>
      <c r="BM906" s="108"/>
      <c r="BN906" s="108"/>
      <c r="BO906" s="108"/>
      <c r="BP906" s="108"/>
      <c r="BQ906" s="108"/>
      <c r="BR906" s="108"/>
      <c r="BS906" s="108"/>
      <c r="BT906" s="108"/>
      <c r="BU906" s="108"/>
      <c r="BV906" s="108"/>
      <c r="BW906" s="108"/>
      <c r="BX906" s="108"/>
      <c r="BY906" s="108"/>
      <c r="BZ906" s="108"/>
      <c r="CA906" s="108"/>
      <c r="CB906" s="108"/>
      <c r="CC906" s="108"/>
      <c r="CD906" s="108"/>
      <c r="CE906" s="108"/>
      <c r="CF906" s="108"/>
      <c r="CG906" s="108"/>
      <c r="CH906" s="108"/>
      <c r="CI906" s="108"/>
      <c r="CJ906" s="108"/>
      <c r="CK906" s="120">
        <f t="shared" si="218"/>
        <v>0</v>
      </c>
      <c r="CL906" s="122">
        <f t="shared" si="219"/>
        <v>0</v>
      </c>
      <c r="CM906" s="524" t="str">
        <f t="shared" si="221"/>
        <v/>
      </c>
      <c r="CN906" s="526">
        <f t="shared" si="222"/>
        <v>0</v>
      </c>
      <c r="CO906" s="122">
        <f t="shared" si="223"/>
        <v>0</v>
      </c>
      <c r="CP906" s="45" t="str">
        <f t="shared" si="220"/>
        <v>1 - in MILLESIMI   I</v>
      </c>
      <c r="CQ906" s="1"/>
    </row>
    <row r="907" spans="1:95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435">
        <f>IF(AND(W907&gt;=$U$1,W907&lt;=$U$2),IF(X907='ESTRATTO CONTO'!$E$2,1+COUNTIF(U$4:U906,"&gt;0"),0),0)</f>
        <v>0</v>
      </c>
      <c r="V907" s="417">
        <f t="shared" si="224"/>
        <v>904</v>
      </c>
      <c r="W907" s="509"/>
      <c r="X907" s="321"/>
      <c r="Y907" s="321"/>
      <c r="Z907" s="433"/>
      <c r="AA907" s="918">
        <f t="shared" si="215"/>
        <v>1</v>
      </c>
      <c r="AB907" s="306" t="str">
        <f t="shared" si="216"/>
        <v/>
      </c>
      <c r="AC907" s="788"/>
      <c r="AD907" s="119">
        <f t="shared" si="225"/>
        <v>0</v>
      </c>
      <c r="AE907" s="108">
        <f t="shared" si="225"/>
        <v>0</v>
      </c>
      <c r="AF907" s="108">
        <f t="shared" si="225"/>
        <v>0</v>
      </c>
      <c r="AG907" s="108"/>
      <c r="AH907" s="108"/>
      <c r="AI907" s="108"/>
      <c r="AJ907" s="108"/>
      <c r="AK907" s="108"/>
      <c r="AL907" s="108">
        <f t="shared" si="217"/>
        <v>0</v>
      </c>
      <c r="AM907" s="108"/>
      <c r="AN907" s="108"/>
      <c r="AO907" s="108"/>
      <c r="AP907" s="108"/>
      <c r="AQ907" s="108"/>
      <c r="AR907" s="108"/>
      <c r="AS907" s="108"/>
      <c r="AT907" s="108"/>
      <c r="AU907" s="108"/>
      <c r="AV907" s="108"/>
      <c r="AW907" s="108"/>
      <c r="AX907" s="108"/>
      <c r="AY907" s="108"/>
      <c r="AZ907" s="108"/>
      <c r="BA907" s="108"/>
      <c r="BB907" s="108"/>
      <c r="BC907" s="108"/>
      <c r="BD907" s="108"/>
      <c r="BE907" s="108"/>
      <c r="BF907" s="108"/>
      <c r="BG907" s="108"/>
      <c r="BH907" s="108"/>
      <c r="BI907" s="108"/>
      <c r="BJ907" s="108"/>
      <c r="BK907" s="108"/>
      <c r="BL907" s="108"/>
      <c r="BM907" s="108"/>
      <c r="BN907" s="108"/>
      <c r="BO907" s="108"/>
      <c r="BP907" s="108"/>
      <c r="BQ907" s="108"/>
      <c r="BR907" s="108"/>
      <c r="BS907" s="108"/>
      <c r="BT907" s="108"/>
      <c r="BU907" s="108"/>
      <c r="BV907" s="108"/>
      <c r="BW907" s="108"/>
      <c r="BX907" s="108"/>
      <c r="BY907" s="108"/>
      <c r="BZ907" s="108"/>
      <c r="CA907" s="108"/>
      <c r="CB907" s="108"/>
      <c r="CC907" s="108"/>
      <c r="CD907" s="108"/>
      <c r="CE907" s="108"/>
      <c r="CF907" s="108"/>
      <c r="CG907" s="108"/>
      <c r="CH907" s="108"/>
      <c r="CI907" s="108"/>
      <c r="CJ907" s="108"/>
      <c r="CK907" s="120">
        <f t="shared" si="218"/>
        <v>0</v>
      </c>
      <c r="CL907" s="122">
        <f t="shared" si="219"/>
        <v>0</v>
      </c>
      <c r="CM907" s="524" t="str">
        <f t="shared" si="221"/>
        <v/>
      </c>
      <c r="CN907" s="526">
        <f t="shared" si="222"/>
        <v>0</v>
      </c>
      <c r="CO907" s="122">
        <f t="shared" si="223"/>
        <v>0</v>
      </c>
      <c r="CP907" s="45" t="str">
        <f t="shared" si="220"/>
        <v>1 - in MILLESIMI   I</v>
      </c>
      <c r="CQ907" s="1"/>
    </row>
    <row r="908" spans="1:95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435">
        <f>IF(AND(W908&gt;=$U$1,W908&lt;=$U$2),IF(X908='ESTRATTO CONTO'!$E$2,1+COUNTIF(U$4:U907,"&gt;0"),0),0)</f>
        <v>0</v>
      </c>
      <c r="V908" s="417">
        <f t="shared" si="224"/>
        <v>905</v>
      </c>
      <c r="W908" s="509"/>
      <c r="X908" s="321"/>
      <c r="Y908" s="321"/>
      <c r="Z908" s="433"/>
      <c r="AA908" s="918">
        <f t="shared" si="215"/>
        <v>1</v>
      </c>
      <c r="AB908" s="306" t="str">
        <f t="shared" si="216"/>
        <v/>
      </c>
      <c r="AC908" s="788"/>
      <c r="AD908" s="119">
        <f t="shared" si="225"/>
        <v>0</v>
      </c>
      <c r="AE908" s="108">
        <f t="shared" si="225"/>
        <v>0</v>
      </c>
      <c r="AF908" s="108">
        <f t="shared" si="225"/>
        <v>0</v>
      </c>
      <c r="AG908" s="108"/>
      <c r="AH908" s="108"/>
      <c r="AI908" s="108"/>
      <c r="AJ908" s="108"/>
      <c r="AK908" s="108"/>
      <c r="AL908" s="108">
        <f t="shared" si="217"/>
        <v>0</v>
      </c>
      <c r="AM908" s="108"/>
      <c r="AN908" s="108"/>
      <c r="AO908" s="108"/>
      <c r="AP908" s="108"/>
      <c r="AQ908" s="108"/>
      <c r="AR908" s="108"/>
      <c r="AS908" s="108"/>
      <c r="AT908" s="108"/>
      <c r="AU908" s="108"/>
      <c r="AV908" s="108"/>
      <c r="AW908" s="108"/>
      <c r="AX908" s="108"/>
      <c r="AY908" s="108"/>
      <c r="AZ908" s="108"/>
      <c r="BA908" s="108"/>
      <c r="BB908" s="108"/>
      <c r="BC908" s="108"/>
      <c r="BD908" s="108"/>
      <c r="BE908" s="108"/>
      <c r="BF908" s="108"/>
      <c r="BG908" s="108"/>
      <c r="BH908" s="108"/>
      <c r="BI908" s="108"/>
      <c r="BJ908" s="108"/>
      <c r="BK908" s="108"/>
      <c r="BL908" s="108"/>
      <c r="BM908" s="108"/>
      <c r="BN908" s="108"/>
      <c r="BO908" s="108"/>
      <c r="BP908" s="108"/>
      <c r="BQ908" s="108"/>
      <c r="BR908" s="108"/>
      <c r="BS908" s="108"/>
      <c r="BT908" s="108"/>
      <c r="BU908" s="108"/>
      <c r="BV908" s="108"/>
      <c r="BW908" s="108"/>
      <c r="BX908" s="108"/>
      <c r="BY908" s="108"/>
      <c r="BZ908" s="108"/>
      <c r="CA908" s="108"/>
      <c r="CB908" s="108"/>
      <c r="CC908" s="108"/>
      <c r="CD908" s="108"/>
      <c r="CE908" s="108"/>
      <c r="CF908" s="108"/>
      <c r="CG908" s="108"/>
      <c r="CH908" s="108"/>
      <c r="CI908" s="108"/>
      <c r="CJ908" s="108"/>
      <c r="CK908" s="120">
        <f t="shared" si="218"/>
        <v>0</v>
      </c>
      <c r="CL908" s="122">
        <f t="shared" si="219"/>
        <v>0</v>
      </c>
      <c r="CM908" s="524" t="str">
        <f t="shared" si="221"/>
        <v/>
      </c>
      <c r="CN908" s="526">
        <f t="shared" si="222"/>
        <v>0</v>
      </c>
      <c r="CO908" s="122">
        <f t="shared" si="223"/>
        <v>0</v>
      </c>
      <c r="CP908" s="45" t="str">
        <f t="shared" si="220"/>
        <v>1 - in MILLESIMI   I</v>
      </c>
      <c r="CQ908" s="1"/>
    </row>
    <row r="909" spans="1:95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435">
        <f>IF(AND(W909&gt;=$U$1,W909&lt;=$U$2),IF(X909='ESTRATTO CONTO'!$E$2,1+COUNTIF(U$4:U908,"&gt;0"),0),0)</f>
        <v>0</v>
      </c>
      <c r="V909" s="417">
        <f t="shared" si="224"/>
        <v>906</v>
      </c>
      <c r="W909" s="509"/>
      <c r="X909" s="321"/>
      <c r="Y909" s="321"/>
      <c r="Z909" s="433"/>
      <c r="AA909" s="918">
        <f t="shared" si="215"/>
        <v>1</v>
      </c>
      <c r="AB909" s="306" t="str">
        <f t="shared" si="216"/>
        <v/>
      </c>
      <c r="AC909" s="788"/>
      <c r="AD909" s="119">
        <f t="shared" si="225"/>
        <v>0</v>
      </c>
      <c r="AE909" s="108">
        <f t="shared" si="225"/>
        <v>0</v>
      </c>
      <c r="AF909" s="108">
        <f t="shared" si="225"/>
        <v>0</v>
      </c>
      <c r="AG909" s="108"/>
      <c r="AH909" s="108"/>
      <c r="AI909" s="108"/>
      <c r="AJ909" s="108"/>
      <c r="AK909" s="108"/>
      <c r="AL909" s="108">
        <f t="shared" si="217"/>
        <v>0</v>
      </c>
      <c r="AM909" s="108"/>
      <c r="AN909" s="108"/>
      <c r="AO909" s="108"/>
      <c r="AP909" s="108"/>
      <c r="AQ909" s="108"/>
      <c r="AR909" s="108"/>
      <c r="AS909" s="108"/>
      <c r="AT909" s="108"/>
      <c r="AU909" s="108"/>
      <c r="AV909" s="108"/>
      <c r="AW909" s="108"/>
      <c r="AX909" s="108"/>
      <c r="AY909" s="108"/>
      <c r="AZ909" s="108"/>
      <c r="BA909" s="108"/>
      <c r="BB909" s="108"/>
      <c r="BC909" s="108"/>
      <c r="BD909" s="108"/>
      <c r="BE909" s="108"/>
      <c r="BF909" s="108"/>
      <c r="BG909" s="108"/>
      <c r="BH909" s="108"/>
      <c r="BI909" s="108"/>
      <c r="BJ909" s="108"/>
      <c r="BK909" s="108"/>
      <c r="BL909" s="108"/>
      <c r="BM909" s="108"/>
      <c r="BN909" s="108"/>
      <c r="BO909" s="108"/>
      <c r="BP909" s="108"/>
      <c r="BQ909" s="108"/>
      <c r="BR909" s="108"/>
      <c r="BS909" s="108"/>
      <c r="BT909" s="108"/>
      <c r="BU909" s="108"/>
      <c r="BV909" s="108"/>
      <c r="BW909" s="108"/>
      <c r="BX909" s="108"/>
      <c r="BY909" s="108"/>
      <c r="BZ909" s="108"/>
      <c r="CA909" s="108"/>
      <c r="CB909" s="108"/>
      <c r="CC909" s="108"/>
      <c r="CD909" s="108"/>
      <c r="CE909" s="108"/>
      <c r="CF909" s="108"/>
      <c r="CG909" s="108"/>
      <c r="CH909" s="108"/>
      <c r="CI909" s="108"/>
      <c r="CJ909" s="108"/>
      <c r="CK909" s="120">
        <f t="shared" si="218"/>
        <v>0</v>
      </c>
      <c r="CL909" s="122">
        <f t="shared" si="219"/>
        <v>0</v>
      </c>
      <c r="CM909" s="524" t="str">
        <f t="shared" si="221"/>
        <v/>
      </c>
      <c r="CN909" s="526">
        <f t="shared" si="222"/>
        <v>0</v>
      </c>
      <c r="CO909" s="122">
        <f t="shared" si="223"/>
        <v>0</v>
      </c>
      <c r="CP909" s="45" t="str">
        <f t="shared" si="220"/>
        <v>1 - in MILLESIMI   I</v>
      </c>
      <c r="CQ909" s="1"/>
    </row>
    <row r="910" spans="1:95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435">
        <f>IF(AND(W910&gt;=$U$1,W910&lt;=$U$2),IF(X910='ESTRATTO CONTO'!$E$2,1+COUNTIF(U$4:U909,"&gt;0"),0),0)</f>
        <v>0</v>
      </c>
      <c r="V910" s="417">
        <f t="shared" si="224"/>
        <v>907</v>
      </c>
      <c r="W910" s="509"/>
      <c r="X910" s="321"/>
      <c r="Y910" s="321"/>
      <c r="Z910" s="433"/>
      <c r="AA910" s="918">
        <f t="shared" si="215"/>
        <v>1</v>
      </c>
      <c r="AB910" s="306" t="str">
        <f t="shared" si="216"/>
        <v/>
      </c>
      <c r="AC910" s="788"/>
      <c r="AD910" s="119">
        <f t="shared" si="225"/>
        <v>0</v>
      </c>
      <c r="AE910" s="108">
        <f t="shared" si="225"/>
        <v>0</v>
      </c>
      <c r="AF910" s="108">
        <f t="shared" si="225"/>
        <v>0</v>
      </c>
      <c r="AG910" s="108"/>
      <c r="AH910" s="108"/>
      <c r="AI910" s="108"/>
      <c r="AJ910" s="108"/>
      <c r="AK910" s="108"/>
      <c r="AL910" s="108">
        <f t="shared" si="217"/>
        <v>0</v>
      </c>
      <c r="AM910" s="108"/>
      <c r="AN910" s="108"/>
      <c r="AO910" s="108"/>
      <c r="AP910" s="108"/>
      <c r="AQ910" s="108"/>
      <c r="AR910" s="108"/>
      <c r="AS910" s="108"/>
      <c r="AT910" s="108"/>
      <c r="AU910" s="108"/>
      <c r="AV910" s="108"/>
      <c r="AW910" s="108"/>
      <c r="AX910" s="108"/>
      <c r="AY910" s="108"/>
      <c r="AZ910" s="108"/>
      <c r="BA910" s="108"/>
      <c r="BB910" s="108"/>
      <c r="BC910" s="108"/>
      <c r="BD910" s="108"/>
      <c r="BE910" s="108"/>
      <c r="BF910" s="108"/>
      <c r="BG910" s="108"/>
      <c r="BH910" s="108"/>
      <c r="BI910" s="108"/>
      <c r="BJ910" s="108"/>
      <c r="BK910" s="108"/>
      <c r="BL910" s="108"/>
      <c r="BM910" s="108"/>
      <c r="BN910" s="108"/>
      <c r="BO910" s="108"/>
      <c r="BP910" s="108"/>
      <c r="BQ910" s="108"/>
      <c r="BR910" s="108"/>
      <c r="BS910" s="108"/>
      <c r="BT910" s="108"/>
      <c r="BU910" s="108"/>
      <c r="BV910" s="108"/>
      <c r="BW910" s="108"/>
      <c r="BX910" s="108"/>
      <c r="BY910" s="108"/>
      <c r="BZ910" s="108"/>
      <c r="CA910" s="108"/>
      <c r="CB910" s="108"/>
      <c r="CC910" s="108"/>
      <c r="CD910" s="108"/>
      <c r="CE910" s="108"/>
      <c r="CF910" s="108"/>
      <c r="CG910" s="108"/>
      <c r="CH910" s="108"/>
      <c r="CI910" s="108"/>
      <c r="CJ910" s="108"/>
      <c r="CK910" s="120">
        <f t="shared" si="218"/>
        <v>0</v>
      </c>
      <c r="CL910" s="122">
        <f t="shared" si="219"/>
        <v>0</v>
      </c>
      <c r="CM910" s="524" t="str">
        <f t="shared" si="221"/>
        <v/>
      </c>
      <c r="CN910" s="526">
        <f t="shared" si="222"/>
        <v>0</v>
      </c>
      <c r="CO910" s="122">
        <f t="shared" si="223"/>
        <v>0</v>
      </c>
      <c r="CP910" s="45" t="str">
        <f t="shared" si="220"/>
        <v>1 - in MILLESIMI   I</v>
      </c>
      <c r="CQ910" s="1"/>
    </row>
    <row r="911" spans="1:95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435">
        <f>IF(AND(W911&gt;=$U$1,W911&lt;=$U$2),IF(X911='ESTRATTO CONTO'!$E$2,1+COUNTIF(U$4:U910,"&gt;0"),0),0)</f>
        <v>0</v>
      </c>
      <c r="V911" s="417">
        <f t="shared" si="224"/>
        <v>908</v>
      </c>
      <c r="W911" s="509"/>
      <c r="X911" s="321"/>
      <c r="Y911" s="321"/>
      <c r="Z911" s="433"/>
      <c r="AA911" s="918">
        <f t="shared" si="215"/>
        <v>1</v>
      </c>
      <c r="AB911" s="306" t="str">
        <f t="shared" si="216"/>
        <v/>
      </c>
      <c r="AC911" s="788"/>
      <c r="AD911" s="119">
        <f t="shared" si="225"/>
        <v>0</v>
      </c>
      <c r="AE911" s="108">
        <f t="shared" si="225"/>
        <v>0</v>
      </c>
      <c r="AF911" s="108">
        <f t="shared" si="225"/>
        <v>0</v>
      </c>
      <c r="AG911" s="108"/>
      <c r="AH911" s="108"/>
      <c r="AI911" s="108"/>
      <c r="AJ911" s="108"/>
      <c r="AK911" s="108"/>
      <c r="AL911" s="108">
        <f t="shared" si="217"/>
        <v>0</v>
      </c>
      <c r="AM911" s="108"/>
      <c r="AN911" s="108"/>
      <c r="AO911" s="108"/>
      <c r="AP911" s="108"/>
      <c r="AQ911" s="108"/>
      <c r="AR911" s="108"/>
      <c r="AS911" s="108"/>
      <c r="AT911" s="108"/>
      <c r="AU911" s="108"/>
      <c r="AV911" s="108"/>
      <c r="AW911" s="108"/>
      <c r="AX911" s="108"/>
      <c r="AY911" s="108"/>
      <c r="AZ911" s="108"/>
      <c r="BA911" s="108"/>
      <c r="BB911" s="108"/>
      <c r="BC911" s="108"/>
      <c r="BD911" s="108"/>
      <c r="BE911" s="108"/>
      <c r="BF911" s="108"/>
      <c r="BG911" s="108"/>
      <c r="BH911" s="108"/>
      <c r="BI911" s="108"/>
      <c r="BJ911" s="108"/>
      <c r="BK911" s="108"/>
      <c r="BL911" s="108"/>
      <c r="BM911" s="108"/>
      <c r="BN911" s="108"/>
      <c r="BO911" s="108"/>
      <c r="BP911" s="108"/>
      <c r="BQ911" s="108"/>
      <c r="BR911" s="108"/>
      <c r="BS911" s="108"/>
      <c r="BT911" s="108"/>
      <c r="BU911" s="108"/>
      <c r="BV911" s="108"/>
      <c r="BW911" s="108"/>
      <c r="BX911" s="108"/>
      <c r="BY911" s="108"/>
      <c r="BZ911" s="108"/>
      <c r="CA911" s="108"/>
      <c r="CB911" s="108"/>
      <c r="CC911" s="108"/>
      <c r="CD911" s="108"/>
      <c r="CE911" s="108"/>
      <c r="CF911" s="108"/>
      <c r="CG911" s="108"/>
      <c r="CH911" s="108"/>
      <c r="CI911" s="108"/>
      <c r="CJ911" s="108"/>
      <c r="CK911" s="120">
        <f t="shared" si="218"/>
        <v>0</v>
      </c>
      <c r="CL911" s="122">
        <f t="shared" si="219"/>
        <v>0</v>
      </c>
      <c r="CM911" s="524" t="str">
        <f t="shared" si="221"/>
        <v/>
      </c>
      <c r="CN911" s="526">
        <f t="shared" si="222"/>
        <v>0</v>
      </c>
      <c r="CO911" s="122">
        <f t="shared" si="223"/>
        <v>0</v>
      </c>
      <c r="CP911" s="45" t="str">
        <f t="shared" si="220"/>
        <v>1 - in MILLESIMI   I</v>
      </c>
      <c r="CQ911" s="1"/>
    </row>
    <row r="912" spans="1:95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435">
        <f>IF(AND(W912&gt;=$U$1,W912&lt;=$U$2),IF(X912='ESTRATTO CONTO'!$E$2,1+COUNTIF(U$4:U911,"&gt;0"),0),0)</f>
        <v>0</v>
      </c>
      <c r="V912" s="417">
        <f t="shared" si="224"/>
        <v>909</v>
      </c>
      <c r="W912" s="509"/>
      <c r="X912" s="321"/>
      <c r="Y912" s="321"/>
      <c r="Z912" s="433"/>
      <c r="AA912" s="918">
        <f t="shared" si="215"/>
        <v>1</v>
      </c>
      <c r="AB912" s="306" t="str">
        <f t="shared" si="216"/>
        <v/>
      </c>
      <c r="AC912" s="788"/>
      <c r="AD912" s="119">
        <f t="shared" si="225"/>
        <v>0</v>
      </c>
      <c r="AE912" s="108">
        <f t="shared" si="225"/>
        <v>0</v>
      </c>
      <c r="AF912" s="108">
        <f t="shared" si="225"/>
        <v>0</v>
      </c>
      <c r="AG912" s="108"/>
      <c r="AH912" s="108"/>
      <c r="AI912" s="108"/>
      <c r="AJ912" s="108"/>
      <c r="AK912" s="108"/>
      <c r="AL912" s="108">
        <f t="shared" si="217"/>
        <v>0</v>
      </c>
      <c r="AM912" s="108"/>
      <c r="AN912" s="108"/>
      <c r="AO912" s="108"/>
      <c r="AP912" s="108"/>
      <c r="AQ912" s="108"/>
      <c r="AR912" s="108"/>
      <c r="AS912" s="108"/>
      <c r="AT912" s="108"/>
      <c r="AU912" s="108"/>
      <c r="AV912" s="108"/>
      <c r="AW912" s="108"/>
      <c r="AX912" s="108"/>
      <c r="AY912" s="108"/>
      <c r="AZ912" s="108"/>
      <c r="BA912" s="108"/>
      <c r="BB912" s="108"/>
      <c r="BC912" s="108"/>
      <c r="BD912" s="108"/>
      <c r="BE912" s="108"/>
      <c r="BF912" s="108"/>
      <c r="BG912" s="108"/>
      <c r="BH912" s="108"/>
      <c r="BI912" s="108"/>
      <c r="BJ912" s="108"/>
      <c r="BK912" s="108"/>
      <c r="BL912" s="108"/>
      <c r="BM912" s="108"/>
      <c r="BN912" s="108"/>
      <c r="BO912" s="108"/>
      <c r="BP912" s="108"/>
      <c r="BQ912" s="108"/>
      <c r="BR912" s="108"/>
      <c r="BS912" s="108"/>
      <c r="BT912" s="108"/>
      <c r="BU912" s="108"/>
      <c r="BV912" s="108"/>
      <c r="BW912" s="108"/>
      <c r="BX912" s="108"/>
      <c r="BY912" s="108"/>
      <c r="BZ912" s="108"/>
      <c r="CA912" s="108"/>
      <c r="CB912" s="108"/>
      <c r="CC912" s="108"/>
      <c r="CD912" s="108"/>
      <c r="CE912" s="108"/>
      <c r="CF912" s="108"/>
      <c r="CG912" s="108"/>
      <c r="CH912" s="108"/>
      <c r="CI912" s="108"/>
      <c r="CJ912" s="108"/>
      <c r="CK912" s="120">
        <f t="shared" si="218"/>
        <v>0</v>
      </c>
      <c r="CL912" s="122">
        <f t="shared" si="219"/>
        <v>0</v>
      </c>
      <c r="CM912" s="524" t="str">
        <f t="shared" si="221"/>
        <v/>
      </c>
      <c r="CN912" s="526">
        <f t="shared" si="222"/>
        <v>0</v>
      </c>
      <c r="CO912" s="122">
        <f t="shared" si="223"/>
        <v>0</v>
      </c>
      <c r="CP912" s="45" t="str">
        <f t="shared" si="220"/>
        <v>1 - in MILLESIMI   I</v>
      </c>
      <c r="CQ912" s="1"/>
    </row>
    <row r="913" spans="1:95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435">
        <f>IF(AND(W913&gt;=$U$1,W913&lt;=$U$2),IF(X913='ESTRATTO CONTO'!$E$2,1+COUNTIF(U$4:U912,"&gt;0"),0),0)</f>
        <v>0</v>
      </c>
      <c r="V913" s="417">
        <f t="shared" si="224"/>
        <v>910</v>
      </c>
      <c r="W913" s="509"/>
      <c r="X913" s="321"/>
      <c r="Y913" s="321"/>
      <c r="Z913" s="433"/>
      <c r="AA913" s="918">
        <f t="shared" si="215"/>
        <v>1</v>
      </c>
      <c r="AB913" s="306" t="str">
        <f t="shared" si="216"/>
        <v/>
      </c>
      <c r="AC913" s="788"/>
      <c r="AD913" s="119">
        <f t="shared" si="225"/>
        <v>0</v>
      </c>
      <c r="AE913" s="108">
        <f t="shared" si="225"/>
        <v>0</v>
      </c>
      <c r="AF913" s="108">
        <f t="shared" si="225"/>
        <v>0</v>
      </c>
      <c r="AG913" s="108"/>
      <c r="AH913" s="108"/>
      <c r="AI913" s="108"/>
      <c r="AJ913" s="108"/>
      <c r="AK913" s="108"/>
      <c r="AL913" s="108">
        <f t="shared" si="217"/>
        <v>0</v>
      </c>
      <c r="AM913" s="108"/>
      <c r="AN913" s="108"/>
      <c r="AO913" s="108"/>
      <c r="AP913" s="108"/>
      <c r="AQ913" s="108"/>
      <c r="AR913" s="108"/>
      <c r="AS913" s="108"/>
      <c r="AT913" s="108"/>
      <c r="AU913" s="108"/>
      <c r="AV913" s="108"/>
      <c r="AW913" s="108"/>
      <c r="AX913" s="108"/>
      <c r="AY913" s="108"/>
      <c r="AZ913" s="108"/>
      <c r="BA913" s="108"/>
      <c r="BB913" s="108"/>
      <c r="BC913" s="108"/>
      <c r="BD913" s="108"/>
      <c r="BE913" s="108"/>
      <c r="BF913" s="108"/>
      <c r="BG913" s="108"/>
      <c r="BH913" s="108"/>
      <c r="BI913" s="108"/>
      <c r="BJ913" s="108"/>
      <c r="BK913" s="108"/>
      <c r="BL913" s="108"/>
      <c r="BM913" s="108"/>
      <c r="BN913" s="108"/>
      <c r="BO913" s="108"/>
      <c r="BP913" s="108"/>
      <c r="BQ913" s="108"/>
      <c r="BR913" s="108"/>
      <c r="BS913" s="108"/>
      <c r="BT913" s="108"/>
      <c r="BU913" s="108"/>
      <c r="BV913" s="108"/>
      <c r="BW913" s="108"/>
      <c r="BX913" s="108"/>
      <c r="BY913" s="108"/>
      <c r="BZ913" s="108"/>
      <c r="CA913" s="108"/>
      <c r="CB913" s="108"/>
      <c r="CC913" s="108"/>
      <c r="CD913" s="108"/>
      <c r="CE913" s="108"/>
      <c r="CF913" s="108"/>
      <c r="CG913" s="108"/>
      <c r="CH913" s="108"/>
      <c r="CI913" s="108"/>
      <c r="CJ913" s="108"/>
      <c r="CK913" s="120">
        <f t="shared" si="218"/>
        <v>0</v>
      </c>
      <c r="CL913" s="122">
        <f t="shared" si="219"/>
        <v>0</v>
      </c>
      <c r="CM913" s="524" t="str">
        <f t="shared" si="221"/>
        <v/>
      </c>
      <c r="CN913" s="526">
        <f t="shared" si="222"/>
        <v>0</v>
      </c>
      <c r="CO913" s="122">
        <f t="shared" si="223"/>
        <v>0</v>
      </c>
      <c r="CP913" s="45" t="str">
        <f t="shared" si="220"/>
        <v>1 - in MILLESIMI   I</v>
      </c>
      <c r="CQ913" s="1"/>
    </row>
    <row r="914" spans="1:95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435">
        <f>IF(AND(W914&gt;=$U$1,W914&lt;=$U$2),IF(X914='ESTRATTO CONTO'!$E$2,1+COUNTIF(U$4:U913,"&gt;0"),0),0)</f>
        <v>0</v>
      </c>
      <c r="V914" s="417">
        <f t="shared" si="224"/>
        <v>911</v>
      </c>
      <c r="W914" s="509"/>
      <c r="X914" s="321"/>
      <c r="Y914" s="321"/>
      <c r="Z914" s="433"/>
      <c r="AA914" s="918">
        <f t="shared" si="215"/>
        <v>1</v>
      </c>
      <c r="AB914" s="306" t="str">
        <f t="shared" si="216"/>
        <v/>
      </c>
      <c r="AC914" s="788"/>
      <c r="AD914" s="119">
        <f t="shared" si="225"/>
        <v>0</v>
      </c>
      <c r="AE914" s="108">
        <f t="shared" si="225"/>
        <v>0</v>
      </c>
      <c r="AF914" s="108">
        <f t="shared" si="225"/>
        <v>0</v>
      </c>
      <c r="AG914" s="108"/>
      <c r="AH914" s="108"/>
      <c r="AI914" s="108"/>
      <c r="AJ914" s="108"/>
      <c r="AK914" s="108"/>
      <c r="AL914" s="108">
        <f t="shared" si="217"/>
        <v>0</v>
      </c>
      <c r="AM914" s="108"/>
      <c r="AN914" s="108"/>
      <c r="AO914" s="108"/>
      <c r="AP914" s="108"/>
      <c r="AQ914" s="108"/>
      <c r="AR914" s="108"/>
      <c r="AS914" s="108"/>
      <c r="AT914" s="108"/>
      <c r="AU914" s="108"/>
      <c r="AV914" s="108"/>
      <c r="AW914" s="108"/>
      <c r="AX914" s="108"/>
      <c r="AY914" s="108"/>
      <c r="AZ914" s="108"/>
      <c r="BA914" s="108"/>
      <c r="BB914" s="108"/>
      <c r="BC914" s="108"/>
      <c r="BD914" s="108"/>
      <c r="BE914" s="108"/>
      <c r="BF914" s="108"/>
      <c r="BG914" s="108"/>
      <c r="BH914" s="108"/>
      <c r="BI914" s="108"/>
      <c r="BJ914" s="108"/>
      <c r="BK914" s="108"/>
      <c r="BL914" s="108"/>
      <c r="BM914" s="108"/>
      <c r="BN914" s="108"/>
      <c r="BO914" s="108"/>
      <c r="BP914" s="108"/>
      <c r="BQ914" s="108"/>
      <c r="BR914" s="108"/>
      <c r="BS914" s="108"/>
      <c r="BT914" s="108"/>
      <c r="BU914" s="108"/>
      <c r="BV914" s="108"/>
      <c r="BW914" s="108"/>
      <c r="BX914" s="108"/>
      <c r="BY914" s="108"/>
      <c r="BZ914" s="108"/>
      <c r="CA914" s="108"/>
      <c r="CB914" s="108"/>
      <c r="CC914" s="108"/>
      <c r="CD914" s="108"/>
      <c r="CE914" s="108"/>
      <c r="CF914" s="108"/>
      <c r="CG914" s="108"/>
      <c r="CH914" s="108"/>
      <c r="CI914" s="108"/>
      <c r="CJ914" s="108"/>
      <c r="CK914" s="120">
        <f t="shared" si="218"/>
        <v>0</v>
      </c>
      <c r="CL914" s="122">
        <f t="shared" si="219"/>
        <v>0</v>
      </c>
      <c r="CM914" s="524" t="str">
        <f t="shared" si="221"/>
        <v/>
      </c>
      <c r="CN914" s="526">
        <f t="shared" si="222"/>
        <v>0</v>
      </c>
      <c r="CO914" s="122">
        <f t="shared" si="223"/>
        <v>0</v>
      </c>
      <c r="CP914" s="45" t="str">
        <f t="shared" si="220"/>
        <v>1 - in MILLESIMI   I</v>
      </c>
      <c r="CQ914" s="1"/>
    </row>
    <row r="915" spans="1:95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435">
        <f>IF(AND(W915&gt;=$U$1,W915&lt;=$U$2),IF(X915='ESTRATTO CONTO'!$E$2,1+COUNTIF(U$4:U914,"&gt;0"),0),0)</f>
        <v>0</v>
      </c>
      <c r="V915" s="417">
        <f t="shared" si="224"/>
        <v>912</v>
      </c>
      <c r="W915" s="509"/>
      <c r="X915" s="321"/>
      <c r="Y915" s="321"/>
      <c r="Z915" s="433"/>
      <c r="AA915" s="918">
        <f t="shared" si="215"/>
        <v>1</v>
      </c>
      <c r="AB915" s="306" t="str">
        <f t="shared" si="216"/>
        <v/>
      </c>
      <c r="AC915" s="788"/>
      <c r="AD915" s="119">
        <f t="shared" si="225"/>
        <v>0</v>
      </c>
      <c r="AE915" s="108">
        <f t="shared" si="225"/>
        <v>0</v>
      </c>
      <c r="AF915" s="108">
        <f t="shared" si="225"/>
        <v>0</v>
      </c>
      <c r="AG915" s="108"/>
      <c r="AH915" s="108"/>
      <c r="AI915" s="108"/>
      <c r="AJ915" s="108"/>
      <c r="AK915" s="108"/>
      <c r="AL915" s="108">
        <f t="shared" si="217"/>
        <v>0</v>
      </c>
      <c r="AM915" s="108"/>
      <c r="AN915" s="108"/>
      <c r="AO915" s="108"/>
      <c r="AP915" s="108"/>
      <c r="AQ915" s="108"/>
      <c r="AR915" s="108"/>
      <c r="AS915" s="108"/>
      <c r="AT915" s="108"/>
      <c r="AU915" s="108"/>
      <c r="AV915" s="108"/>
      <c r="AW915" s="108"/>
      <c r="AX915" s="108"/>
      <c r="AY915" s="108"/>
      <c r="AZ915" s="108"/>
      <c r="BA915" s="108"/>
      <c r="BB915" s="108"/>
      <c r="BC915" s="108"/>
      <c r="BD915" s="108"/>
      <c r="BE915" s="108"/>
      <c r="BF915" s="108"/>
      <c r="BG915" s="108"/>
      <c r="BH915" s="108"/>
      <c r="BI915" s="108"/>
      <c r="BJ915" s="108"/>
      <c r="BK915" s="108"/>
      <c r="BL915" s="108"/>
      <c r="BM915" s="108"/>
      <c r="BN915" s="108"/>
      <c r="BO915" s="108"/>
      <c r="BP915" s="108"/>
      <c r="BQ915" s="108"/>
      <c r="BR915" s="108"/>
      <c r="BS915" s="108"/>
      <c r="BT915" s="108"/>
      <c r="BU915" s="108"/>
      <c r="BV915" s="108"/>
      <c r="BW915" s="108"/>
      <c r="BX915" s="108"/>
      <c r="BY915" s="108"/>
      <c r="BZ915" s="108"/>
      <c r="CA915" s="108"/>
      <c r="CB915" s="108"/>
      <c r="CC915" s="108"/>
      <c r="CD915" s="108"/>
      <c r="CE915" s="108"/>
      <c r="CF915" s="108"/>
      <c r="CG915" s="108"/>
      <c r="CH915" s="108"/>
      <c r="CI915" s="108"/>
      <c r="CJ915" s="108"/>
      <c r="CK915" s="120">
        <f t="shared" si="218"/>
        <v>0</v>
      </c>
      <c r="CL915" s="122">
        <f t="shared" si="219"/>
        <v>0</v>
      </c>
      <c r="CM915" s="524" t="str">
        <f t="shared" si="221"/>
        <v/>
      </c>
      <c r="CN915" s="526">
        <f t="shared" si="222"/>
        <v>0</v>
      </c>
      <c r="CO915" s="122">
        <f t="shared" si="223"/>
        <v>0</v>
      </c>
      <c r="CP915" s="45" t="str">
        <f t="shared" si="220"/>
        <v>1 - in MILLESIMI   I</v>
      </c>
      <c r="CQ915" s="1"/>
    </row>
    <row r="916" spans="1:95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435">
        <f>IF(AND(W916&gt;=$U$1,W916&lt;=$U$2),IF(X916='ESTRATTO CONTO'!$E$2,1+COUNTIF(U$4:U915,"&gt;0"),0),0)</f>
        <v>0</v>
      </c>
      <c r="V916" s="417">
        <f t="shared" si="224"/>
        <v>913</v>
      </c>
      <c r="W916" s="509"/>
      <c r="X916" s="321"/>
      <c r="Y916" s="321"/>
      <c r="Z916" s="433"/>
      <c r="AA916" s="918">
        <f t="shared" si="215"/>
        <v>1</v>
      </c>
      <c r="AB916" s="306" t="str">
        <f t="shared" si="216"/>
        <v/>
      </c>
      <c r="AC916" s="788"/>
      <c r="AD916" s="119">
        <f t="shared" si="225"/>
        <v>0</v>
      </c>
      <c r="AE916" s="108">
        <f t="shared" si="225"/>
        <v>0</v>
      </c>
      <c r="AF916" s="108">
        <f t="shared" si="225"/>
        <v>0</v>
      </c>
      <c r="AG916" s="108"/>
      <c r="AH916" s="108"/>
      <c r="AI916" s="108"/>
      <c r="AJ916" s="108"/>
      <c r="AK916" s="108"/>
      <c r="AL916" s="108">
        <f t="shared" si="217"/>
        <v>0</v>
      </c>
      <c r="AM916" s="108"/>
      <c r="AN916" s="108"/>
      <c r="AO916" s="108"/>
      <c r="AP916" s="108"/>
      <c r="AQ916" s="108"/>
      <c r="AR916" s="108"/>
      <c r="AS916" s="108"/>
      <c r="AT916" s="108"/>
      <c r="AU916" s="108"/>
      <c r="AV916" s="108"/>
      <c r="AW916" s="108"/>
      <c r="AX916" s="108"/>
      <c r="AY916" s="108"/>
      <c r="AZ916" s="108"/>
      <c r="BA916" s="108"/>
      <c r="BB916" s="108"/>
      <c r="BC916" s="108"/>
      <c r="BD916" s="108"/>
      <c r="BE916" s="108"/>
      <c r="BF916" s="108"/>
      <c r="BG916" s="108"/>
      <c r="BH916" s="108"/>
      <c r="BI916" s="108"/>
      <c r="BJ916" s="108"/>
      <c r="BK916" s="108"/>
      <c r="BL916" s="108"/>
      <c r="BM916" s="108"/>
      <c r="BN916" s="108"/>
      <c r="BO916" s="108"/>
      <c r="BP916" s="108"/>
      <c r="BQ916" s="108"/>
      <c r="BR916" s="108"/>
      <c r="BS916" s="108"/>
      <c r="BT916" s="108"/>
      <c r="BU916" s="108"/>
      <c r="BV916" s="108"/>
      <c r="BW916" s="108"/>
      <c r="BX916" s="108"/>
      <c r="BY916" s="108"/>
      <c r="BZ916" s="108"/>
      <c r="CA916" s="108"/>
      <c r="CB916" s="108"/>
      <c r="CC916" s="108"/>
      <c r="CD916" s="108"/>
      <c r="CE916" s="108"/>
      <c r="CF916" s="108"/>
      <c r="CG916" s="108"/>
      <c r="CH916" s="108"/>
      <c r="CI916" s="108"/>
      <c r="CJ916" s="108"/>
      <c r="CK916" s="120">
        <f t="shared" si="218"/>
        <v>0</v>
      </c>
      <c r="CL916" s="122">
        <f t="shared" si="219"/>
        <v>0</v>
      </c>
      <c r="CM916" s="524" t="str">
        <f t="shared" si="221"/>
        <v/>
      </c>
      <c r="CN916" s="526">
        <f t="shared" si="222"/>
        <v>0</v>
      </c>
      <c r="CO916" s="122">
        <f t="shared" si="223"/>
        <v>0</v>
      </c>
      <c r="CP916" s="45" t="str">
        <f t="shared" si="220"/>
        <v>1 - in MILLESIMI   I</v>
      </c>
      <c r="CQ916" s="1"/>
    </row>
    <row r="917" spans="1:95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435">
        <f>IF(AND(W917&gt;=$U$1,W917&lt;=$U$2),IF(X917='ESTRATTO CONTO'!$E$2,1+COUNTIF(U$4:U916,"&gt;0"),0),0)</f>
        <v>0</v>
      </c>
      <c r="V917" s="417">
        <f t="shared" si="224"/>
        <v>914</v>
      </c>
      <c r="W917" s="509"/>
      <c r="X917" s="321"/>
      <c r="Y917" s="321"/>
      <c r="Z917" s="433"/>
      <c r="AA917" s="918">
        <f t="shared" si="215"/>
        <v>1</v>
      </c>
      <c r="AB917" s="306" t="str">
        <f t="shared" si="216"/>
        <v/>
      </c>
      <c r="AC917" s="788"/>
      <c r="AD917" s="119">
        <f t="shared" si="225"/>
        <v>0</v>
      </c>
      <c r="AE917" s="108">
        <f t="shared" si="225"/>
        <v>0</v>
      </c>
      <c r="AF917" s="108">
        <f t="shared" si="225"/>
        <v>0</v>
      </c>
      <c r="AG917" s="108"/>
      <c r="AH917" s="108"/>
      <c r="AI917" s="108"/>
      <c r="AJ917" s="108"/>
      <c r="AK917" s="108"/>
      <c r="AL917" s="108">
        <f t="shared" si="217"/>
        <v>0</v>
      </c>
      <c r="AM917" s="108"/>
      <c r="AN917" s="108"/>
      <c r="AO917" s="108"/>
      <c r="AP917" s="108"/>
      <c r="AQ917" s="108"/>
      <c r="AR917" s="108"/>
      <c r="AS917" s="108"/>
      <c r="AT917" s="108"/>
      <c r="AU917" s="108"/>
      <c r="AV917" s="108"/>
      <c r="AW917" s="108"/>
      <c r="AX917" s="108"/>
      <c r="AY917" s="108"/>
      <c r="AZ917" s="108"/>
      <c r="BA917" s="108"/>
      <c r="BB917" s="108"/>
      <c r="BC917" s="108"/>
      <c r="BD917" s="108"/>
      <c r="BE917" s="108"/>
      <c r="BF917" s="108"/>
      <c r="BG917" s="108"/>
      <c r="BH917" s="108"/>
      <c r="BI917" s="108"/>
      <c r="BJ917" s="108"/>
      <c r="BK917" s="108"/>
      <c r="BL917" s="108"/>
      <c r="BM917" s="108"/>
      <c r="BN917" s="108"/>
      <c r="BO917" s="108"/>
      <c r="BP917" s="108"/>
      <c r="BQ917" s="108"/>
      <c r="BR917" s="108"/>
      <c r="BS917" s="108"/>
      <c r="BT917" s="108"/>
      <c r="BU917" s="108"/>
      <c r="BV917" s="108"/>
      <c r="BW917" s="108"/>
      <c r="BX917" s="108"/>
      <c r="BY917" s="108"/>
      <c r="BZ917" s="108"/>
      <c r="CA917" s="108"/>
      <c r="CB917" s="108"/>
      <c r="CC917" s="108"/>
      <c r="CD917" s="108"/>
      <c r="CE917" s="108"/>
      <c r="CF917" s="108"/>
      <c r="CG917" s="108"/>
      <c r="CH917" s="108"/>
      <c r="CI917" s="108"/>
      <c r="CJ917" s="108"/>
      <c r="CK917" s="120">
        <f t="shared" si="218"/>
        <v>0</v>
      </c>
      <c r="CL917" s="122">
        <f t="shared" si="219"/>
        <v>0</v>
      </c>
      <c r="CM917" s="524" t="str">
        <f t="shared" si="221"/>
        <v/>
      </c>
      <c r="CN917" s="526">
        <f t="shared" si="222"/>
        <v>0</v>
      </c>
      <c r="CO917" s="122">
        <f t="shared" si="223"/>
        <v>0</v>
      </c>
      <c r="CP917" s="45" t="str">
        <f t="shared" si="220"/>
        <v>1 - in MILLESIMI   I</v>
      </c>
      <c r="CQ917" s="1"/>
    </row>
    <row r="918" spans="1:95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435">
        <f>IF(AND(W918&gt;=$U$1,W918&lt;=$U$2),IF(X918='ESTRATTO CONTO'!$E$2,1+COUNTIF(U$4:U917,"&gt;0"),0),0)</f>
        <v>0</v>
      </c>
      <c r="V918" s="417">
        <f t="shared" si="224"/>
        <v>915</v>
      </c>
      <c r="W918" s="509"/>
      <c r="X918" s="321"/>
      <c r="Y918" s="321"/>
      <c r="Z918" s="433"/>
      <c r="AA918" s="918">
        <f t="shared" si="215"/>
        <v>1</v>
      </c>
      <c r="AB918" s="306" t="str">
        <f t="shared" si="216"/>
        <v/>
      </c>
      <c r="AC918" s="788"/>
      <c r="AD918" s="119">
        <f t="shared" si="225"/>
        <v>0</v>
      </c>
      <c r="AE918" s="108">
        <f t="shared" si="225"/>
        <v>0</v>
      </c>
      <c r="AF918" s="108">
        <f t="shared" si="225"/>
        <v>0</v>
      </c>
      <c r="AG918" s="108"/>
      <c r="AH918" s="108"/>
      <c r="AI918" s="108"/>
      <c r="AJ918" s="108"/>
      <c r="AK918" s="108"/>
      <c r="AL918" s="108">
        <f t="shared" si="217"/>
        <v>0</v>
      </c>
      <c r="AM918" s="108"/>
      <c r="AN918" s="108"/>
      <c r="AO918" s="108"/>
      <c r="AP918" s="108"/>
      <c r="AQ918" s="108"/>
      <c r="AR918" s="108"/>
      <c r="AS918" s="108"/>
      <c r="AT918" s="108"/>
      <c r="AU918" s="108"/>
      <c r="AV918" s="108"/>
      <c r="AW918" s="108"/>
      <c r="AX918" s="108"/>
      <c r="AY918" s="108"/>
      <c r="AZ918" s="108"/>
      <c r="BA918" s="108"/>
      <c r="BB918" s="108"/>
      <c r="BC918" s="108"/>
      <c r="BD918" s="108"/>
      <c r="BE918" s="108"/>
      <c r="BF918" s="108"/>
      <c r="BG918" s="108"/>
      <c r="BH918" s="108"/>
      <c r="BI918" s="108"/>
      <c r="BJ918" s="108"/>
      <c r="BK918" s="108"/>
      <c r="BL918" s="108"/>
      <c r="BM918" s="108"/>
      <c r="BN918" s="108"/>
      <c r="BO918" s="108"/>
      <c r="BP918" s="108"/>
      <c r="BQ918" s="108"/>
      <c r="BR918" s="108"/>
      <c r="BS918" s="108"/>
      <c r="BT918" s="108"/>
      <c r="BU918" s="108"/>
      <c r="BV918" s="108"/>
      <c r="BW918" s="108"/>
      <c r="BX918" s="108"/>
      <c r="BY918" s="108"/>
      <c r="BZ918" s="108"/>
      <c r="CA918" s="108"/>
      <c r="CB918" s="108"/>
      <c r="CC918" s="108"/>
      <c r="CD918" s="108"/>
      <c r="CE918" s="108"/>
      <c r="CF918" s="108"/>
      <c r="CG918" s="108"/>
      <c r="CH918" s="108"/>
      <c r="CI918" s="108"/>
      <c r="CJ918" s="108"/>
      <c r="CK918" s="120">
        <f t="shared" si="218"/>
        <v>0</v>
      </c>
      <c r="CL918" s="122">
        <f t="shared" si="219"/>
        <v>0</v>
      </c>
      <c r="CM918" s="524" t="str">
        <f t="shared" si="221"/>
        <v/>
      </c>
      <c r="CN918" s="526">
        <f t="shared" si="222"/>
        <v>0</v>
      </c>
      <c r="CO918" s="122">
        <f t="shared" si="223"/>
        <v>0</v>
      </c>
      <c r="CP918" s="45" t="str">
        <f t="shared" si="220"/>
        <v>1 - in MILLESIMI   I</v>
      </c>
      <c r="CQ918" s="1"/>
    </row>
    <row r="919" spans="1:95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435">
        <f>IF(AND(W919&gt;=$U$1,W919&lt;=$U$2),IF(X919='ESTRATTO CONTO'!$E$2,1+COUNTIF(U$4:U918,"&gt;0"),0),0)</f>
        <v>0</v>
      </c>
      <c r="V919" s="417">
        <f t="shared" si="224"/>
        <v>916</v>
      </c>
      <c r="W919" s="509"/>
      <c r="X919" s="321"/>
      <c r="Y919" s="321"/>
      <c r="Z919" s="433"/>
      <c r="AA919" s="918">
        <f t="shared" si="215"/>
        <v>1</v>
      </c>
      <c r="AB919" s="306" t="str">
        <f t="shared" si="216"/>
        <v/>
      </c>
      <c r="AC919" s="788"/>
      <c r="AD919" s="119">
        <f t="shared" si="225"/>
        <v>0</v>
      </c>
      <c r="AE919" s="108">
        <f t="shared" si="225"/>
        <v>0</v>
      </c>
      <c r="AF919" s="108">
        <f t="shared" si="225"/>
        <v>0</v>
      </c>
      <c r="AG919" s="108"/>
      <c r="AH919" s="108"/>
      <c r="AI919" s="108"/>
      <c r="AJ919" s="108"/>
      <c r="AK919" s="108"/>
      <c r="AL919" s="108">
        <f t="shared" si="217"/>
        <v>0</v>
      </c>
      <c r="AM919" s="108"/>
      <c r="AN919" s="108"/>
      <c r="AO919" s="108"/>
      <c r="AP919" s="108"/>
      <c r="AQ919" s="108"/>
      <c r="AR919" s="108"/>
      <c r="AS919" s="108"/>
      <c r="AT919" s="108"/>
      <c r="AU919" s="108"/>
      <c r="AV919" s="108"/>
      <c r="AW919" s="108"/>
      <c r="AX919" s="108"/>
      <c r="AY919" s="108"/>
      <c r="AZ919" s="108"/>
      <c r="BA919" s="108"/>
      <c r="BB919" s="108"/>
      <c r="BC919" s="108"/>
      <c r="BD919" s="108"/>
      <c r="BE919" s="108"/>
      <c r="BF919" s="108"/>
      <c r="BG919" s="108"/>
      <c r="BH919" s="108"/>
      <c r="BI919" s="108"/>
      <c r="BJ919" s="108"/>
      <c r="BK919" s="108"/>
      <c r="BL919" s="108"/>
      <c r="BM919" s="108"/>
      <c r="BN919" s="108"/>
      <c r="BO919" s="108"/>
      <c r="BP919" s="108"/>
      <c r="BQ919" s="108"/>
      <c r="BR919" s="108"/>
      <c r="BS919" s="108"/>
      <c r="BT919" s="108"/>
      <c r="BU919" s="108"/>
      <c r="BV919" s="108"/>
      <c r="BW919" s="108"/>
      <c r="BX919" s="108"/>
      <c r="BY919" s="108"/>
      <c r="BZ919" s="108"/>
      <c r="CA919" s="108"/>
      <c r="CB919" s="108"/>
      <c r="CC919" s="108"/>
      <c r="CD919" s="108"/>
      <c r="CE919" s="108"/>
      <c r="CF919" s="108"/>
      <c r="CG919" s="108"/>
      <c r="CH919" s="108"/>
      <c r="CI919" s="108"/>
      <c r="CJ919" s="108"/>
      <c r="CK919" s="120">
        <f t="shared" si="218"/>
        <v>0</v>
      </c>
      <c r="CL919" s="122">
        <f t="shared" si="219"/>
        <v>0</v>
      </c>
      <c r="CM919" s="524" t="str">
        <f t="shared" si="221"/>
        <v/>
      </c>
      <c r="CN919" s="526">
        <f t="shared" si="222"/>
        <v>0</v>
      </c>
      <c r="CO919" s="122">
        <f t="shared" si="223"/>
        <v>0</v>
      </c>
      <c r="CP919" s="45" t="str">
        <f t="shared" si="220"/>
        <v>1 - in MILLESIMI   I</v>
      </c>
      <c r="CQ919" s="1"/>
    </row>
    <row r="920" spans="1:95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435">
        <f>IF(AND(W920&gt;=$U$1,W920&lt;=$U$2),IF(X920='ESTRATTO CONTO'!$E$2,1+COUNTIF(U$4:U919,"&gt;0"),0),0)</f>
        <v>0</v>
      </c>
      <c r="V920" s="417">
        <f t="shared" si="224"/>
        <v>917</v>
      </c>
      <c r="W920" s="509"/>
      <c r="X920" s="321"/>
      <c r="Y920" s="321"/>
      <c r="Z920" s="433"/>
      <c r="AA920" s="918">
        <f t="shared" si="215"/>
        <v>1</v>
      </c>
      <c r="AB920" s="306" t="str">
        <f t="shared" si="216"/>
        <v/>
      </c>
      <c r="AC920" s="788"/>
      <c r="AD920" s="119">
        <f t="shared" si="225"/>
        <v>0</v>
      </c>
      <c r="AE920" s="108">
        <f t="shared" si="225"/>
        <v>0</v>
      </c>
      <c r="AF920" s="108">
        <f t="shared" si="225"/>
        <v>0</v>
      </c>
      <c r="AG920" s="108"/>
      <c r="AH920" s="108"/>
      <c r="AI920" s="108"/>
      <c r="AJ920" s="108"/>
      <c r="AK920" s="108"/>
      <c r="AL920" s="108">
        <f t="shared" si="217"/>
        <v>0</v>
      </c>
      <c r="AM920" s="108"/>
      <c r="AN920" s="108"/>
      <c r="AO920" s="108"/>
      <c r="AP920" s="108"/>
      <c r="AQ920" s="108"/>
      <c r="AR920" s="108"/>
      <c r="AS920" s="108"/>
      <c r="AT920" s="108"/>
      <c r="AU920" s="108"/>
      <c r="AV920" s="108"/>
      <c r="AW920" s="108"/>
      <c r="AX920" s="108"/>
      <c r="AY920" s="108"/>
      <c r="AZ920" s="108"/>
      <c r="BA920" s="108"/>
      <c r="BB920" s="108"/>
      <c r="BC920" s="108"/>
      <c r="BD920" s="108"/>
      <c r="BE920" s="108"/>
      <c r="BF920" s="108"/>
      <c r="BG920" s="108"/>
      <c r="BH920" s="108"/>
      <c r="BI920" s="108"/>
      <c r="BJ920" s="108"/>
      <c r="BK920" s="108"/>
      <c r="BL920" s="108"/>
      <c r="BM920" s="108"/>
      <c r="BN920" s="108"/>
      <c r="BO920" s="108"/>
      <c r="BP920" s="108"/>
      <c r="BQ920" s="108"/>
      <c r="BR920" s="108"/>
      <c r="BS920" s="108"/>
      <c r="BT920" s="108"/>
      <c r="BU920" s="108"/>
      <c r="BV920" s="108"/>
      <c r="BW920" s="108"/>
      <c r="BX920" s="108"/>
      <c r="BY920" s="108"/>
      <c r="BZ920" s="108"/>
      <c r="CA920" s="108"/>
      <c r="CB920" s="108"/>
      <c r="CC920" s="108"/>
      <c r="CD920" s="108"/>
      <c r="CE920" s="108"/>
      <c r="CF920" s="108"/>
      <c r="CG920" s="108"/>
      <c r="CH920" s="108"/>
      <c r="CI920" s="108"/>
      <c r="CJ920" s="108"/>
      <c r="CK920" s="120">
        <f t="shared" si="218"/>
        <v>0</v>
      </c>
      <c r="CL920" s="122">
        <f t="shared" si="219"/>
        <v>0</v>
      </c>
      <c r="CM920" s="524" t="str">
        <f t="shared" si="221"/>
        <v/>
      </c>
      <c r="CN920" s="526">
        <f t="shared" si="222"/>
        <v>0</v>
      </c>
      <c r="CO920" s="122">
        <f t="shared" si="223"/>
        <v>0</v>
      </c>
      <c r="CP920" s="45" t="str">
        <f t="shared" si="220"/>
        <v>1 - in MILLESIMI   I</v>
      </c>
      <c r="CQ920" s="1"/>
    </row>
    <row r="921" spans="1:95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435">
        <f>IF(AND(W921&gt;=$U$1,W921&lt;=$U$2),IF(X921='ESTRATTO CONTO'!$E$2,1+COUNTIF(U$4:U920,"&gt;0"),0),0)</f>
        <v>0</v>
      </c>
      <c r="V921" s="417">
        <f t="shared" si="224"/>
        <v>918</v>
      </c>
      <c r="W921" s="509"/>
      <c r="X921" s="321"/>
      <c r="Y921" s="321"/>
      <c r="Z921" s="433"/>
      <c r="AA921" s="918">
        <f t="shared" si="215"/>
        <v>1</v>
      </c>
      <c r="AB921" s="306" t="str">
        <f t="shared" si="216"/>
        <v/>
      </c>
      <c r="AC921" s="788"/>
      <c r="AD921" s="119">
        <f t="shared" si="225"/>
        <v>0</v>
      </c>
      <c r="AE921" s="108">
        <f t="shared" si="225"/>
        <v>0</v>
      </c>
      <c r="AF921" s="108">
        <f t="shared" si="225"/>
        <v>0</v>
      </c>
      <c r="AG921" s="108"/>
      <c r="AH921" s="108"/>
      <c r="AI921" s="108"/>
      <c r="AJ921" s="108"/>
      <c r="AK921" s="108"/>
      <c r="AL921" s="108">
        <f t="shared" si="217"/>
        <v>0</v>
      </c>
      <c r="AM921" s="108"/>
      <c r="AN921" s="108"/>
      <c r="AO921" s="108"/>
      <c r="AP921" s="108"/>
      <c r="AQ921" s="108"/>
      <c r="AR921" s="108"/>
      <c r="AS921" s="108"/>
      <c r="AT921" s="108"/>
      <c r="AU921" s="108"/>
      <c r="AV921" s="108"/>
      <c r="AW921" s="108"/>
      <c r="AX921" s="108"/>
      <c r="AY921" s="108"/>
      <c r="AZ921" s="108"/>
      <c r="BA921" s="108"/>
      <c r="BB921" s="108"/>
      <c r="BC921" s="108"/>
      <c r="BD921" s="108"/>
      <c r="BE921" s="108"/>
      <c r="BF921" s="108"/>
      <c r="BG921" s="108"/>
      <c r="BH921" s="108"/>
      <c r="BI921" s="108"/>
      <c r="BJ921" s="108"/>
      <c r="BK921" s="108"/>
      <c r="BL921" s="108"/>
      <c r="BM921" s="108"/>
      <c r="BN921" s="108"/>
      <c r="BO921" s="108"/>
      <c r="BP921" s="108"/>
      <c r="BQ921" s="108"/>
      <c r="BR921" s="108"/>
      <c r="BS921" s="108"/>
      <c r="BT921" s="108"/>
      <c r="BU921" s="108"/>
      <c r="BV921" s="108"/>
      <c r="BW921" s="108"/>
      <c r="BX921" s="108"/>
      <c r="BY921" s="108"/>
      <c r="BZ921" s="108"/>
      <c r="CA921" s="108"/>
      <c r="CB921" s="108"/>
      <c r="CC921" s="108"/>
      <c r="CD921" s="108"/>
      <c r="CE921" s="108"/>
      <c r="CF921" s="108"/>
      <c r="CG921" s="108"/>
      <c r="CH921" s="108"/>
      <c r="CI921" s="108"/>
      <c r="CJ921" s="108"/>
      <c r="CK921" s="120">
        <f t="shared" si="218"/>
        <v>0</v>
      </c>
      <c r="CL921" s="122">
        <f t="shared" si="219"/>
        <v>0</v>
      </c>
      <c r="CM921" s="524" t="str">
        <f t="shared" si="221"/>
        <v/>
      </c>
      <c r="CN921" s="526">
        <f t="shared" si="222"/>
        <v>0</v>
      </c>
      <c r="CO921" s="122">
        <f t="shared" si="223"/>
        <v>0</v>
      </c>
      <c r="CP921" s="45" t="str">
        <f t="shared" si="220"/>
        <v>1 - in MILLESIMI   I</v>
      </c>
      <c r="CQ921" s="1"/>
    </row>
    <row r="922" spans="1:95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435">
        <f>IF(AND(W922&gt;=$U$1,W922&lt;=$U$2),IF(X922='ESTRATTO CONTO'!$E$2,1+COUNTIF(U$4:U921,"&gt;0"),0),0)</f>
        <v>0</v>
      </c>
      <c r="V922" s="417">
        <f t="shared" si="224"/>
        <v>919</v>
      </c>
      <c r="W922" s="509"/>
      <c r="X922" s="321"/>
      <c r="Y922" s="321"/>
      <c r="Z922" s="433"/>
      <c r="AA922" s="918">
        <f t="shared" si="215"/>
        <v>1</v>
      </c>
      <c r="AB922" s="306" t="str">
        <f t="shared" si="216"/>
        <v/>
      </c>
      <c r="AC922" s="788"/>
      <c r="AD922" s="119">
        <f t="shared" si="225"/>
        <v>0</v>
      </c>
      <c r="AE922" s="108">
        <f t="shared" si="225"/>
        <v>0</v>
      </c>
      <c r="AF922" s="108">
        <f t="shared" si="225"/>
        <v>0</v>
      </c>
      <c r="AG922" s="108"/>
      <c r="AH922" s="108"/>
      <c r="AI922" s="108"/>
      <c r="AJ922" s="108"/>
      <c r="AK922" s="108"/>
      <c r="AL922" s="108">
        <f t="shared" si="217"/>
        <v>0</v>
      </c>
      <c r="AM922" s="108"/>
      <c r="AN922" s="108"/>
      <c r="AO922" s="108"/>
      <c r="AP922" s="108"/>
      <c r="AQ922" s="108"/>
      <c r="AR922" s="108"/>
      <c r="AS922" s="108"/>
      <c r="AT922" s="108"/>
      <c r="AU922" s="108"/>
      <c r="AV922" s="108"/>
      <c r="AW922" s="108"/>
      <c r="AX922" s="108"/>
      <c r="AY922" s="108"/>
      <c r="AZ922" s="108"/>
      <c r="BA922" s="108"/>
      <c r="BB922" s="108"/>
      <c r="BC922" s="108"/>
      <c r="BD922" s="108"/>
      <c r="BE922" s="108"/>
      <c r="BF922" s="108"/>
      <c r="BG922" s="108"/>
      <c r="BH922" s="108"/>
      <c r="BI922" s="108"/>
      <c r="BJ922" s="108"/>
      <c r="BK922" s="108"/>
      <c r="BL922" s="108"/>
      <c r="BM922" s="108"/>
      <c r="BN922" s="108"/>
      <c r="BO922" s="108"/>
      <c r="BP922" s="108"/>
      <c r="BQ922" s="108"/>
      <c r="BR922" s="108"/>
      <c r="BS922" s="108"/>
      <c r="BT922" s="108"/>
      <c r="BU922" s="108"/>
      <c r="BV922" s="108"/>
      <c r="BW922" s="108"/>
      <c r="BX922" s="108"/>
      <c r="BY922" s="108"/>
      <c r="BZ922" s="108"/>
      <c r="CA922" s="108"/>
      <c r="CB922" s="108"/>
      <c r="CC922" s="108"/>
      <c r="CD922" s="108"/>
      <c r="CE922" s="108"/>
      <c r="CF922" s="108"/>
      <c r="CG922" s="108"/>
      <c r="CH922" s="108"/>
      <c r="CI922" s="108"/>
      <c r="CJ922" s="108"/>
      <c r="CK922" s="120">
        <f t="shared" si="218"/>
        <v>0</v>
      </c>
      <c r="CL922" s="122">
        <f t="shared" si="219"/>
        <v>0</v>
      </c>
      <c r="CM922" s="524" t="str">
        <f t="shared" si="221"/>
        <v/>
      </c>
      <c r="CN922" s="526">
        <f t="shared" si="222"/>
        <v>0</v>
      </c>
      <c r="CO922" s="122">
        <f t="shared" si="223"/>
        <v>0</v>
      </c>
      <c r="CP922" s="45" t="str">
        <f t="shared" si="220"/>
        <v>1 - in MILLESIMI   I</v>
      </c>
      <c r="CQ922" s="1"/>
    </row>
    <row r="923" spans="1:95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435">
        <f>IF(AND(W923&gt;=$U$1,W923&lt;=$U$2),IF(X923='ESTRATTO CONTO'!$E$2,1+COUNTIF(U$4:U922,"&gt;0"),0),0)</f>
        <v>0</v>
      </c>
      <c r="V923" s="417">
        <f t="shared" si="224"/>
        <v>920</v>
      </c>
      <c r="W923" s="509"/>
      <c r="X923" s="321"/>
      <c r="Y923" s="321"/>
      <c r="Z923" s="433"/>
      <c r="AA923" s="918">
        <f t="shared" si="215"/>
        <v>1</v>
      </c>
      <c r="AB923" s="306" t="str">
        <f t="shared" si="216"/>
        <v/>
      </c>
      <c r="AC923" s="788"/>
      <c r="AD923" s="119">
        <f t="shared" si="225"/>
        <v>0</v>
      </c>
      <c r="AE923" s="108">
        <f t="shared" si="225"/>
        <v>0</v>
      </c>
      <c r="AF923" s="108">
        <f t="shared" si="225"/>
        <v>0</v>
      </c>
      <c r="AG923" s="108"/>
      <c r="AH923" s="108"/>
      <c r="AI923" s="108"/>
      <c r="AJ923" s="108"/>
      <c r="AK923" s="108"/>
      <c r="AL923" s="108">
        <f t="shared" si="217"/>
        <v>0</v>
      </c>
      <c r="AM923" s="108"/>
      <c r="AN923" s="108"/>
      <c r="AO923" s="108"/>
      <c r="AP923" s="108"/>
      <c r="AQ923" s="108"/>
      <c r="AR923" s="108"/>
      <c r="AS923" s="108"/>
      <c r="AT923" s="108"/>
      <c r="AU923" s="108"/>
      <c r="AV923" s="108"/>
      <c r="AW923" s="108"/>
      <c r="AX923" s="108"/>
      <c r="AY923" s="108"/>
      <c r="AZ923" s="108"/>
      <c r="BA923" s="108"/>
      <c r="BB923" s="108"/>
      <c r="BC923" s="108"/>
      <c r="BD923" s="108"/>
      <c r="BE923" s="108"/>
      <c r="BF923" s="108"/>
      <c r="BG923" s="108"/>
      <c r="BH923" s="108"/>
      <c r="BI923" s="108"/>
      <c r="BJ923" s="108"/>
      <c r="BK923" s="108"/>
      <c r="BL923" s="108"/>
      <c r="BM923" s="108"/>
      <c r="BN923" s="108"/>
      <c r="BO923" s="108"/>
      <c r="BP923" s="108"/>
      <c r="BQ923" s="108"/>
      <c r="BR923" s="108"/>
      <c r="BS923" s="108"/>
      <c r="BT923" s="108"/>
      <c r="BU923" s="108"/>
      <c r="BV923" s="108"/>
      <c r="BW923" s="108"/>
      <c r="BX923" s="108"/>
      <c r="BY923" s="108"/>
      <c r="BZ923" s="108"/>
      <c r="CA923" s="108"/>
      <c r="CB923" s="108"/>
      <c r="CC923" s="108"/>
      <c r="CD923" s="108"/>
      <c r="CE923" s="108"/>
      <c r="CF923" s="108"/>
      <c r="CG923" s="108"/>
      <c r="CH923" s="108"/>
      <c r="CI923" s="108"/>
      <c r="CJ923" s="108"/>
      <c r="CK923" s="120">
        <f t="shared" si="218"/>
        <v>0</v>
      </c>
      <c r="CL923" s="122">
        <f t="shared" si="219"/>
        <v>0</v>
      </c>
      <c r="CM923" s="524" t="str">
        <f t="shared" si="221"/>
        <v/>
      </c>
      <c r="CN923" s="526">
        <f t="shared" si="222"/>
        <v>0</v>
      </c>
      <c r="CO923" s="122">
        <f t="shared" si="223"/>
        <v>0</v>
      </c>
      <c r="CP923" s="45" t="str">
        <f t="shared" si="220"/>
        <v>1 - in MILLESIMI   I</v>
      </c>
      <c r="CQ923" s="1"/>
    </row>
    <row r="924" spans="1:95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435">
        <f>IF(AND(W924&gt;=$U$1,W924&lt;=$U$2),IF(X924='ESTRATTO CONTO'!$E$2,1+COUNTIF(U$4:U923,"&gt;0"),0),0)</f>
        <v>0</v>
      </c>
      <c r="V924" s="417">
        <f t="shared" si="224"/>
        <v>921</v>
      </c>
      <c r="W924" s="509"/>
      <c r="X924" s="321"/>
      <c r="Y924" s="321"/>
      <c r="Z924" s="433"/>
      <c r="AA924" s="918">
        <f t="shared" si="215"/>
        <v>1</v>
      </c>
      <c r="AB924" s="306" t="str">
        <f t="shared" si="216"/>
        <v/>
      </c>
      <c r="AC924" s="788"/>
      <c r="AD924" s="119">
        <f t="shared" ref="AD924:AF943" si="226">IF($AB924=0,0,ROUND($Z924*VLOOKUP(AD$2,$F$1010:$Q$1014,VLOOKUP($CP924,$C$1076:$E$1081,3,FALSE),FALSE),2))</f>
        <v>0</v>
      </c>
      <c r="AE924" s="108">
        <f t="shared" si="226"/>
        <v>0</v>
      </c>
      <c r="AF924" s="108">
        <f t="shared" si="226"/>
        <v>0</v>
      </c>
      <c r="AG924" s="108"/>
      <c r="AH924" s="108"/>
      <c r="AI924" s="108"/>
      <c r="AJ924" s="108"/>
      <c r="AK924" s="108"/>
      <c r="AL924" s="108">
        <f t="shared" si="217"/>
        <v>0</v>
      </c>
      <c r="AM924" s="108"/>
      <c r="AN924" s="108"/>
      <c r="AO924" s="108"/>
      <c r="AP924" s="108"/>
      <c r="AQ924" s="108"/>
      <c r="AR924" s="108"/>
      <c r="AS924" s="108"/>
      <c r="AT924" s="108"/>
      <c r="AU924" s="108"/>
      <c r="AV924" s="108"/>
      <c r="AW924" s="108"/>
      <c r="AX924" s="108"/>
      <c r="AY924" s="108"/>
      <c r="AZ924" s="108"/>
      <c r="BA924" s="108"/>
      <c r="BB924" s="108"/>
      <c r="BC924" s="108"/>
      <c r="BD924" s="108"/>
      <c r="BE924" s="108"/>
      <c r="BF924" s="108"/>
      <c r="BG924" s="108"/>
      <c r="BH924" s="108"/>
      <c r="BI924" s="108"/>
      <c r="BJ924" s="108"/>
      <c r="BK924" s="108"/>
      <c r="BL924" s="108"/>
      <c r="BM924" s="108"/>
      <c r="BN924" s="108"/>
      <c r="BO924" s="108"/>
      <c r="BP924" s="108"/>
      <c r="BQ924" s="108"/>
      <c r="BR924" s="108"/>
      <c r="BS924" s="108"/>
      <c r="BT924" s="108"/>
      <c r="BU924" s="108"/>
      <c r="BV924" s="108"/>
      <c r="BW924" s="108"/>
      <c r="BX924" s="108"/>
      <c r="BY924" s="108"/>
      <c r="BZ924" s="108"/>
      <c r="CA924" s="108"/>
      <c r="CB924" s="108"/>
      <c r="CC924" s="108"/>
      <c r="CD924" s="108"/>
      <c r="CE924" s="108"/>
      <c r="CF924" s="108"/>
      <c r="CG924" s="108"/>
      <c r="CH924" s="108"/>
      <c r="CI924" s="108"/>
      <c r="CJ924" s="108"/>
      <c r="CK924" s="120">
        <f t="shared" si="218"/>
        <v>0</v>
      </c>
      <c r="CL924" s="122">
        <f t="shared" si="219"/>
        <v>0</v>
      </c>
      <c r="CM924" s="524" t="str">
        <f t="shared" si="221"/>
        <v/>
      </c>
      <c r="CN924" s="526">
        <f t="shared" si="222"/>
        <v>0</v>
      </c>
      <c r="CO924" s="122">
        <f t="shared" si="223"/>
        <v>0</v>
      </c>
      <c r="CP924" s="45" t="str">
        <f t="shared" si="220"/>
        <v>1 - in MILLESIMI   I</v>
      </c>
      <c r="CQ924" s="1"/>
    </row>
    <row r="925" spans="1:95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435">
        <f>IF(AND(W925&gt;=$U$1,W925&lt;=$U$2),IF(X925='ESTRATTO CONTO'!$E$2,1+COUNTIF(U$4:U924,"&gt;0"),0),0)</f>
        <v>0</v>
      </c>
      <c r="V925" s="417">
        <f t="shared" si="224"/>
        <v>922</v>
      </c>
      <c r="W925" s="509"/>
      <c r="X925" s="321"/>
      <c r="Y925" s="321"/>
      <c r="Z925" s="433"/>
      <c r="AA925" s="918">
        <f t="shared" si="215"/>
        <v>1</v>
      </c>
      <c r="AB925" s="306" t="str">
        <f t="shared" si="216"/>
        <v/>
      </c>
      <c r="AC925" s="788"/>
      <c r="AD925" s="119">
        <f t="shared" si="226"/>
        <v>0</v>
      </c>
      <c r="AE925" s="108">
        <f t="shared" si="226"/>
        <v>0</v>
      </c>
      <c r="AF925" s="108">
        <f t="shared" si="226"/>
        <v>0</v>
      </c>
      <c r="AG925" s="108"/>
      <c r="AH925" s="108"/>
      <c r="AI925" s="108"/>
      <c r="AJ925" s="108"/>
      <c r="AK925" s="108"/>
      <c r="AL925" s="108">
        <f t="shared" si="217"/>
        <v>0</v>
      </c>
      <c r="AM925" s="108"/>
      <c r="AN925" s="108"/>
      <c r="AO925" s="108"/>
      <c r="AP925" s="108"/>
      <c r="AQ925" s="108"/>
      <c r="AR925" s="108"/>
      <c r="AS925" s="108"/>
      <c r="AT925" s="108"/>
      <c r="AU925" s="108"/>
      <c r="AV925" s="108"/>
      <c r="AW925" s="108"/>
      <c r="AX925" s="108"/>
      <c r="AY925" s="108"/>
      <c r="AZ925" s="108"/>
      <c r="BA925" s="108"/>
      <c r="BB925" s="108"/>
      <c r="BC925" s="108"/>
      <c r="BD925" s="108"/>
      <c r="BE925" s="108"/>
      <c r="BF925" s="108"/>
      <c r="BG925" s="108"/>
      <c r="BH925" s="108"/>
      <c r="BI925" s="108"/>
      <c r="BJ925" s="108"/>
      <c r="BK925" s="108"/>
      <c r="BL925" s="108"/>
      <c r="BM925" s="108"/>
      <c r="BN925" s="108"/>
      <c r="BO925" s="108"/>
      <c r="BP925" s="108"/>
      <c r="BQ925" s="108"/>
      <c r="BR925" s="108"/>
      <c r="BS925" s="108"/>
      <c r="BT925" s="108"/>
      <c r="BU925" s="108"/>
      <c r="BV925" s="108"/>
      <c r="BW925" s="108"/>
      <c r="BX925" s="108"/>
      <c r="BY925" s="108"/>
      <c r="BZ925" s="108"/>
      <c r="CA925" s="108"/>
      <c r="CB925" s="108"/>
      <c r="CC925" s="108"/>
      <c r="CD925" s="108"/>
      <c r="CE925" s="108"/>
      <c r="CF925" s="108"/>
      <c r="CG925" s="108"/>
      <c r="CH925" s="108"/>
      <c r="CI925" s="108"/>
      <c r="CJ925" s="108"/>
      <c r="CK925" s="120">
        <f t="shared" si="218"/>
        <v>0</v>
      </c>
      <c r="CL925" s="122">
        <f t="shared" si="219"/>
        <v>0</v>
      </c>
      <c r="CM925" s="524" t="str">
        <f t="shared" si="221"/>
        <v/>
      </c>
      <c r="CN925" s="526">
        <f t="shared" si="222"/>
        <v>0</v>
      </c>
      <c r="CO925" s="122">
        <f t="shared" si="223"/>
        <v>0</v>
      </c>
      <c r="CP925" s="45" t="str">
        <f t="shared" si="220"/>
        <v>1 - in MILLESIMI   I</v>
      </c>
      <c r="CQ925" s="1"/>
    </row>
    <row r="926" spans="1:95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435">
        <f>IF(AND(W926&gt;=$U$1,W926&lt;=$U$2),IF(X926='ESTRATTO CONTO'!$E$2,1+COUNTIF(U$4:U925,"&gt;0"),0),0)</f>
        <v>0</v>
      </c>
      <c r="V926" s="417">
        <f t="shared" si="224"/>
        <v>923</v>
      </c>
      <c r="W926" s="509"/>
      <c r="X926" s="321"/>
      <c r="Y926" s="321"/>
      <c r="Z926" s="433"/>
      <c r="AA926" s="918">
        <f t="shared" si="215"/>
        <v>1</v>
      </c>
      <c r="AB926" s="306" t="str">
        <f t="shared" si="216"/>
        <v/>
      </c>
      <c r="AC926" s="788"/>
      <c r="AD926" s="119">
        <f t="shared" si="226"/>
        <v>0</v>
      </c>
      <c r="AE926" s="108">
        <f t="shared" si="226"/>
        <v>0</v>
      </c>
      <c r="AF926" s="108">
        <f t="shared" si="226"/>
        <v>0</v>
      </c>
      <c r="AG926" s="108"/>
      <c r="AH926" s="108"/>
      <c r="AI926" s="108"/>
      <c r="AJ926" s="108"/>
      <c r="AK926" s="108"/>
      <c r="AL926" s="108">
        <f t="shared" si="217"/>
        <v>0</v>
      </c>
      <c r="AM926" s="108"/>
      <c r="AN926" s="108"/>
      <c r="AO926" s="108"/>
      <c r="AP926" s="108"/>
      <c r="AQ926" s="108"/>
      <c r="AR926" s="108"/>
      <c r="AS926" s="108"/>
      <c r="AT926" s="108"/>
      <c r="AU926" s="108"/>
      <c r="AV926" s="108"/>
      <c r="AW926" s="108"/>
      <c r="AX926" s="108"/>
      <c r="AY926" s="108"/>
      <c r="AZ926" s="108"/>
      <c r="BA926" s="108"/>
      <c r="BB926" s="108"/>
      <c r="BC926" s="108"/>
      <c r="BD926" s="108"/>
      <c r="BE926" s="108"/>
      <c r="BF926" s="108"/>
      <c r="BG926" s="108"/>
      <c r="BH926" s="108"/>
      <c r="BI926" s="108"/>
      <c r="BJ926" s="108"/>
      <c r="BK926" s="108"/>
      <c r="BL926" s="108"/>
      <c r="BM926" s="108"/>
      <c r="BN926" s="108"/>
      <c r="BO926" s="108"/>
      <c r="BP926" s="108"/>
      <c r="BQ926" s="108"/>
      <c r="BR926" s="108"/>
      <c r="BS926" s="108"/>
      <c r="BT926" s="108"/>
      <c r="BU926" s="108"/>
      <c r="BV926" s="108"/>
      <c r="BW926" s="108"/>
      <c r="BX926" s="108"/>
      <c r="BY926" s="108"/>
      <c r="BZ926" s="108"/>
      <c r="CA926" s="108"/>
      <c r="CB926" s="108"/>
      <c r="CC926" s="108"/>
      <c r="CD926" s="108"/>
      <c r="CE926" s="108"/>
      <c r="CF926" s="108"/>
      <c r="CG926" s="108"/>
      <c r="CH926" s="108"/>
      <c r="CI926" s="108"/>
      <c r="CJ926" s="108"/>
      <c r="CK926" s="120">
        <f t="shared" si="218"/>
        <v>0</v>
      </c>
      <c r="CL926" s="122">
        <f t="shared" si="219"/>
        <v>0</v>
      </c>
      <c r="CM926" s="524" t="str">
        <f t="shared" si="221"/>
        <v/>
      </c>
      <c r="CN926" s="526">
        <f t="shared" si="222"/>
        <v>0</v>
      </c>
      <c r="CO926" s="122">
        <f t="shared" si="223"/>
        <v>0</v>
      </c>
      <c r="CP926" s="45" t="str">
        <f t="shared" si="220"/>
        <v>1 - in MILLESIMI   I</v>
      </c>
      <c r="CQ926" s="1"/>
    </row>
    <row r="927" spans="1:95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435">
        <f>IF(AND(W927&gt;=$U$1,W927&lt;=$U$2),IF(X927='ESTRATTO CONTO'!$E$2,1+COUNTIF(U$4:U926,"&gt;0"),0),0)</f>
        <v>0</v>
      </c>
      <c r="V927" s="417">
        <f t="shared" si="224"/>
        <v>924</v>
      </c>
      <c r="W927" s="509"/>
      <c r="X927" s="321"/>
      <c r="Y927" s="321"/>
      <c r="Z927" s="433"/>
      <c r="AA927" s="918">
        <f t="shared" si="215"/>
        <v>1</v>
      </c>
      <c r="AB927" s="306" t="str">
        <f t="shared" si="216"/>
        <v/>
      </c>
      <c r="AC927" s="788"/>
      <c r="AD927" s="119">
        <f t="shared" si="226"/>
        <v>0</v>
      </c>
      <c r="AE927" s="108">
        <f t="shared" si="226"/>
        <v>0</v>
      </c>
      <c r="AF927" s="108">
        <f t="shared" si="226"/>
        <v>0</v>
      </c>
      <c r="AG927" s="108"/>
      <c r="AH927" s="108"/>
      <c r="AI927" s="108"/>
      <c r="AJ927" s="108"/>
      <c r="AK927" s="108"/>
      <c r="AL927" s="108">
        <f t="shared" si="217"/>
        <v>0</v>
      </c>
      <c r="AM927" s="108"/>
      <c r="AN927" s="108"/>
      <c r="AO927" s="108"/>
      <c r="AP927" s="108"/>
      <c r="AQ927" s="108"/>
      <c r="AR927" s="108"/>
      <c r="AS927" s="108"/>
      <c r="AT927" s="108"/>
      <c r="AU927" s="108"/>
      <c r="AV927" s="108"/>
      <c r="AW927" s="108"/>
      <c r="AX927" s="108"/>
      <c r="AY927" s="108"/>
      <c r="AZ927" s="108"/>
      <c r="BA927" s="108"/>
      <c r="BB927" s="108"/>
      <c r="BC927" s="108"/>
      <c r="BD927" s="108"/>
      <c r="BE927" s="108"/>
      <c r="BF927" s="108"/>
      <c r="BG927" s="108"/>
      <c r="BH927" s="108"/>
      <c r="BI927" s="108"/>
      <c r="BJ927" s="108"/>
      <c r="BK927" s="108"/>
      <c r="BL927" s="108"/>
      <c r="BM927" s="108"/>
      <c r="BN927" s="108"/>
      <c r="BO927" s="108"/>
      <c r="BP927" s="108"/>
      <c r="BQ927" s="108"/>
      <c r="BR927" s="108"/>
      <c r="BS927" s="108"/>
      <c r="BT927" s="108"/>
      <c r="BU927" s="108"/>
      <c r="BV927" s="108"/>
      <c r="BW927" s="108"/>
      <c r="BX927" s="108"/>
      <c r="BY927" s="108"/>
      <c r="BZ927" s="108"/>
      <c r="CA927" s="108"/>
      <c r="CB927" s="108"/>
      <c r="CC927" s="108"/>
      <c r="CD927" s="108"/>
      <c r="CE927" s="108"/>
      <c r="CF927" s="108"/>
      <c r="CG927" s="108"/>
      <c r="CH927" s="108"/>
      <c r="CI927" s="108"/>
      <c r="CJ927" s="108"/>
      <c r="CK927" s="120">
        <f t="shared" si="218"/>
        <v>0</v>
      </c>
      <c r="CL927" s="122">
        <f t="shared" si="219"/>
        <v>0</v>
      </c>
      <c r="CM927" s="524" t="str">
        <f t="shared" si="221"/>
        <v/>
      </c>
      <c r="CN927" s="526">
        <f t="shared" si="222"/>
        <v>0</v>
      </c>
      <c r="CO927" s="122">
        <f t="shared" si="223"/>
        <v>0</v>
      </c>
      <c r="CP927" s="45" t="str">
        <f t="shared" si="220"/>
        <v>1 - in MILLESIMI   I</v>
      </c>
      <c r="CQ927" s="1"/>
    </row>
    <row r="928" spans="1:95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435">
        <f>IF(AND(W928&gt;=$U$1,W928&lt;=$U$2),IF(X928='ESTRATTO CONTO'!$E$2,1+COUNTIF(U$4:U927,"&gt;0"),0),0)</f>
        <v>0</v>
      </c>
      <c r="V928" s="417">
        <f t="shared" si="224"/>
        <v>925</v>
      </c>
      <c r="W928" s="509"/>
      <c r="X928" s="321"/>
      <c r="Y928" s="321"/>
      <c r="Z928" s="433"/>
      <c r="AA928" s="918">
        <f t="shared" si="215"/>
        <v>1</v>
      </c>
      <c r="AB928" s="306" t="str">
        <f t="shared" si="216"/>
        <v/>
      </c>
      <c r="AC928" s="788"/>
      <c r="AD928" s="119">
        <f t="shared" si="226"/>
        <v>0</v>
      </c>
      <c r="AE928" s="108">
        <f t="shared" si="226"/>
        <v>0</v>
      </c>
      <c r="AF928" s="108">
        <f t="shared" si="226"/>
        <v>0</v>
      </c>
      <c r="AG928" s="108"/>
      <c r="AH928" s="108"/>
      <c r="AI928" s="108"/>
      <c r="AJ928" s="108"/>
      <c r="AK928" s="108"/>
      <c r="AL928" s="108">
        <f t="shared" si="217"/>
        <v>0</v>
      </c>
      <c r="AM928" s="108"/>
      <c r="AN928" s="108"/>
      <c r="AO928" s="108"/>
      <c r="AP928" s="108"/>
      <c r="AQ928" s="108"/>
      <c r="AR928" s="108"/>
      <c r="AS928" s="108"/>
      <c r="AT928" s="108"/>
      <c r="AU928" s="108"/>
      <c r="AV928" s="108"/>
      <c r="AW928" s="108"/>
      <c r="AX928" s="108"/>
      <c r="AY928" s="108"/>
      <c r="AZ928" s="108"/>
      <c r="BA928" s="108"/>
      <c r="BB928" s="108"/>
      <c r="BC928" s="108"/>
      <c r="BD928" s="108"/>
      <c r="BE928" s="108"/>
      <c r="BF928" s="108"/>
      <c r="BG928" s="108"/>
      <c r="BH928" s="108"/>
      <c r="BI928" s="108"/>
      <c r="BJ928" s="108"/>
      <c r="BK928" s="108"/>
      <c r="BL928" s="108"/>
      <c r="BM928" s="108"/>
      <c r="BN928" s="108"/>
      <c r="BO928" s="108"/>
      <c r="BP928" s="108"/>
      <c r="BQ928" s="108"/>
      <c r="BR928" s="108"/>
      <c r="BS928" s="108"/>
      <c r="BT928" s="108"/>
      <c r="BU928" s="108"/>
      <c r="BV928" s="108"/>
      <c r="BW928" s="108"/>
      <c r="BX928" s="108"/>
      <c r="BY928" s="108"/>
      <c r="BZ928" s="108"/>
      <c r="CA928" s="108"/>
      <c r="CB928" s="108"/>
      <c r="CC928" s="108"/>
      <c r="CD928" s="108"/>
      <c r="CE928" s="108"/>
      <c r="CF928" s="108"/>
      <c r="CG928" s="108"/>
      <c r="CH928" s="108"/>
      <c r="CI928" s="108"/>
      <c r="CJ928" s="108"/>
      <c r="CK928" s="120">
        <f t="shared" si="218"/>
        <v>0</v>
      </c>
      <c r="CL928" s="122">
        <f t="shared" si="219"/>
        <v>0</v>
      </c>
      <c r="CM928" s="524" t="str">
        <f t="shared" si="221"/>
        <v/>
      </c>
      <c r="CN928" s="526">
        <f t="shared" si="222"/>
        <v>0</v>
      </c>
      <c r="CO928" s="122">
        <f t="shared" si="223"/>
        <v>0</v>
      </c>
      <c r="CP928" s="45" t="str">
        <f t="shared" si="220"/>
        <v>1 - in MILLESIMI   I</v>
      </c>
      <c r="CQ928" s="1"/>
    </row>
    <row r="929" spans="1:95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435">
        <f>IF(AND(W929&gt;=$U$1,W929&lt;=$U$2),IF(X929='ESTRATTO CONTO'!$E$2,1+COUNTIF(U$4:U928,"&gt;0"),0),0)</f>
        <v>0</v>
      </c>
      <c r="V929" s="417">
        <f t="shared" si="224"/>
        <v>926</v>
      </c>
      <c r="W929" s="509"/>
      <c r="X929" s="321"/>
      <c r="Y929" s="321"/>
      <c r="Z929" s="433"/>
      <c r="AA929" s="918">
        <f t="shared" si="215"/>
        <v>1</v>
      </c>
      <c r="AB929" s="306" t="str">
        <f t="shared" si="216"/>
        <v/>
      </c>
      <c r="AC929" s="788"/>
      <c r="AD929" s="119">
        <f t="shared" si="226"/>
        <v>0</v>
      </c>
      <c r="AE929" s="108">
        <f t="shared" si="226"/>
        <v>0</v>
      </c>
      <c r="AF929" s="108">
        <f t="shared" si="226"/>
        <v>0</v>
      </c>
      <c r="AG929" s="108"/>
      <c r="AH929" s="108"/>
      <c r="AI929" s="108"/>
      <c r="AJ929" s="108"/>
      <c r="AK929" s="108"/>
      <c r="AL929" s="108">
        <f t="shared" si="217"/>
        <v>0</v>
      </c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  <c r="AY929" s="108"/>
      <c r="AZ929" s="108"/>
      <c r="BA929" s="108"/>
      <c r="BB929" s="108"/>
      <c r="BC929" s="108"/>
      <c r="BD929" s="108"/>
      <c r="BE929" s="108"/>
      <c r="BF929" s="108"/>
      <c r="BG929" s="108"/>
      <c r="BH929" s="108"/>
      <c r="BI929" s="108"/>
      <c r="BJ929" s="108"/>
      <c r="BK929" s="108"/>
      <c r="BL929" s="108"/>
      <c r="BM929" s="108"/>
      <c r="BN929" s="108"/>
      <c r="BO929" s="108"/>
      <c r="BP929" s="108"/>
      <c r="BQ929" s="108"/>
      <c r="BR929" s="108"/>
      <c r="BS929" s="108"/>
      <c r="BT929" s="108"/>
      <c r="BU929" s="108"/>
      <c r="BV929" s="108"/>
      <c r="BW929" s="108"/>
      <c r="BX929" s="108"/>
      <c r="BY929" s="108"/>
      <c r="BZ929" s="108"/>
      <c r="CA929" s="108"/>
      <c r="CB929" s="108"/>
      <c r="CC929" s="108"/>
      <c r="CD929" s="108"/>
      <c r="CE929" s="108"/>
      <c r="CF929" s="108"/>
      <c r="CG929" s="108"/>
      <c r="CH929" s="108"/>
      <c r="CI929" s="108"/>
      <c r="CJ929" s="108"/>
      <c r="CK929" s="120">
        <f t="shared" si="218"/>
        <v>0</v>
      </c>
      <c r="CL929" s="122">
        <f t="shared" si="219"/>
        <v>0</v>
      </c>
      <c r="CM929" s="524" t="str">
        <f t="shared" si="221"/>
        <v/>
      </c>
      <c r="CN929" s="526">
        <f t="shared" si="222"/>
        <v>0</v>
      </c>
      <c r="CO929" s="122">
        <f t="shared" si="223"/>
        <v>0</v>
      </c>
      <c r="CP929" s="45" t="str">
        <f t="shared" si="220"/>
        <v>1 - in MILLESIMI   I</v>
      </c>
      <c r="CQ929" s="1"/>
    </row>
    <row r="930" spans="1:95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435">
        <f>IF(AND(W930&gt;=$U$1,W930&lt;=$U$2),IF(X930='ESTRATTO CONTO'!$E$2,1+COUNTIF(U$4:U929,"&gt;0"),0),0)</f>
        <v>0</v>
      </c>
      <c r="V930" s="417">
        <f t="shared" si="224"/>
        <v>927</v>
      </c>
      <c r="W930" s="509"/>
      <c r="X930" s="321"/>
      <c r="Y930" s="321"/>
      <c r="Z930" s="433"/>
      <c r="AA930" s="918">
        <f t="shared" si="215"/>
        <v>1</v>
      </c>
      <c r="AB930" s="306" t="str">
        <f t="shared" si="216"/>
        <v/>
      </c>
      <c r="AC930" s="788"/>
      <c r="AD930" s="119">
        <f t="shared" si="226"/>
        <v>0</v>
      </c>
      <c r="AE930" s="108">
        <f t="shared" si="226"/>
        <v>0</v>
      </c>
      <c r="AF930" s="108">
        <f t="shared" si="226"/>
        <v>0</v>
      </c>
      <c r="AG930" s="108"/>
      <c r="AH930" s="108"/>
      <c r="AI930" s="108"/>
      <c r="AJ930" s="108"/>
      <c r="AK930" s="108"/>
      <c r="AL930" s="108">
        <f t="shared" si="217"/>
        <v>0</v>
      </c>
      <c r="AM930" s="108"/>
      <c r="AN930" s="108"/>
      <c r="AO930" s="108"/>
      <c r="AP930" s="108"/>
      <c r="AQ930" s="108"/>
      <c r="AR930" s="108"/>
      <c r="AS930" s="108"/>
      <c r="AT930" s="108"/>
      <c r="AU930" s="108"/>
      <c r="AV930" s="108"/>
      <c r="AW930" s="108"/>
      <c r="AX930" s="108"/>
      <c r="AY930" s="108"/>
      <c r="AZ930" s="108"/>
      <c r="BA930" s="108"/>
      <c r="BB930" s="108"/>
      <c r="BC930" s="108"/>
      <c r="BD930" s="108"/>
      <c r="BE930" s="108"/>
      <c r="BF930" s="108"/>
      <c r="BG930" s="108"/>
      <c r="BH930" s="108"/>
      <c r="BI930" s="108"/>
      <c r="BJ930" s="108"/>
      <c r="BK930" s="108"/>
      <c r="BL930" s="108"/>
      <c r="BM930" s="108"/>
      <c r="BN930" s="108"/>
      <c r="BO930" s="108"/>
      <c r="BP930" s="108"/>
      <c r="BQ930" s="108"/>
      <c r="BR930" s="108"/>
      <c r="BS930" s="108"/>
      <c r="BT930" s="108"/>
      <c r="BU930" s="108"/>
      <c r="BV930" s="108"/>
      <c r="BW930" s="108"/>
      <c r="BX930" s="108"/>
      <c r="BY930" s="108"/>
      <c r="BZ930" s="108"/>
      <c r="CA930" s="108"/>
      <c r="CB930" s="108"/>
      <c r="CC930" s="108"/>
      <c r="CD930" s="108"/>
      <c r="CE930" s="108"/>
      <c r="CF930" s="108"/>
      <c r="CG930" s="108"/>
      <c r="CH930" s="108"/>
      <c r="CI930" s="108"/>
      <c r="CJ930" s="108"/>
      <c r="CK930" s="120">
        <f t="shared" si="218"/>
        <v>0</v>
      </c>
      <c r="CL930" s="122">
        <f t="shared" si="219"/>
        <v>0</v>
      </c>
      <c r="CM930" s="524" t="str">
        <f t="shared" si="221"/>
        <v/>
      </c>
      <c r="CN930" s="526">
        <f t="shared" si="222"/>
        <v>0</v>
      </c>
      <c r="CO930" s="122">
        <f t="shared" si="223"/>
        <v>0</v>
      </c>
      <c r="CP930" s="45" t="str">
        <f t="shared" si="220"/>
        <v>1 - in MILLESIMI   I</v>
      </c>
      <c r="CQ930" s="1"/>
    </row>
    <row r="931" spans="1:95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435">
        <f>IF(AND(W931&gt;=$U$1,W931&lt;=$U$2),IF(X931='ESTRATTO CONTO'!$E$2,1+COUNTIF(U$4:U930,"&gt;0"),0),0)</f>
        <v>0</v>
      </c>
      <c r="V931" s="417">
        <f t="shared" si="224"/>
        <v>928</v>
      </c>
      <c r="W931" s="509"/>
      <c r="X931" s="321"/>
      <c r="Y931" s="321"/>
      <c r="Z931" s="433"/>
      <c r="AA931" s="918">
        <f t="shared" si="215"/>
        <v>1</v>
      </c>
      <c r="AB931" s="306" t="str">
        <f t="shared" si="216"/>
        <v/>
      </c>
      <c r="AC931" s="788"/>
      <c r="AD931" s="119">
        <f t="shared" si="226"/>
        <v>0</v>
      </c>
      <c r="AE931" s="108">
        <f t="shared" si="226"/>
        <v>0</v>
      </c>
      <c r="AF931" s="108">
        <f t="shared" si="226"/>
        <v>0</v>
      </c>
      <c r="AG931" s="108"/>
      <c r="AH931" s="108"/>
      <c r="AI931" s="108"/>
      <c r="AJ931" s="108"/>
      <c r="AK931" s="108"/>
      <c r="AL931" s="108">
        <f t="shared" si="217"/>
        <v>0</v>
      </c>
      <c r="AM931" s="108"/>
      <c r="AN931" s="108"/>
      <c r="AO931" s="108"/>
      <c r="AP931" s="108"/>
      <c r="AQ931" s="108"/>
      <c r="AR931" s="108"/>
      <c r="AS931" s="108"/>
      <c r="AT931" s="108"/>
      <c r="AU931" s="108"/>
      <c r="AV931" s="108"/>
      <c r="AW931" s="108"/>
      <c r="AX931" s="108"/>
      <c r="AY931" s="108"/>
      <c r="AZ931" s="108"/>
      <c r="BA931" s="108"/>
      <c r="BB931" s="108"/>
      <c r="BC931" s="108"/>
      <c r="BD931" s="108"/>
      <c r="BE931" s="108"/>
      <c r="BF931" s="108"/>
      <c r="BG931" s="108"/>
      <c r="BH931" s="108"/>
      <c r="BI931" s="108"/>
      <c r="BJ931" s="108"/>
      <c r="BK931" s="108"/>
      <c r="BL931" s="108"/>
      <c r="BM931" s="108"/>
      <c r="BN931" s="108"/>
      <c r="BO931" s="108"/>
      <c r="BP931" s="108"/>
      <c r="BQ931" s="108"/>
      <c r="BR931" s="108"/>
      <c r="BS931" s="108"/>
      <c r="BT931" s="108"/>
      <c r="BU931" s="108"/>
      <c r="BV931" s="108"/>
      <c r="BW931" s="108"/>
      <c r="BX931" s="108"/>
      <c r="BY931" s="108"/>
      <c r="BZ931" s="108"/>
      <c r="CA931" s="108"/>
      <c r="CB931" s="108"/>
      <c r="CC931" s="108"/>
      <c r="CD931" s="108"/>
      <c r="CE931" s="108"/>
      <c r="CF931" s="108"/>
      <c r="CG931" s="108"/>
      <c r="CH931" s="108"/>
      <c r="CI931" s="108"/>
      <c r="CJ931" s="108"/>
      <c r="CK931" s="120">
        <f t="shared" si="218"/>
        <v>0</v>
      </c>
      <c r="CL931" s="122">
        <f t="shared" si="219"/>
        <v>0</v>
      </c>
      <c r="CM931" s="524" t="str">
        <f t="shared" si="221"/>
        <v/>
      </c>
      <c r="CN931" s="526">
        <f t="shared" si="222"/>
        <v>0</v>
      </c>
      <c r="CO931" s="122">
        <f t="shared" si="223"/>
        <v>0</v>
      </c>
      <c r="CP931" s="45" t="str">
        <f t="shared" si="220"/>
        <v>1 - in MILLESIMI   I</v>
      </c>
      <c r="CQ931" s="1"/>
    </row>
    <row r="932" spans="1:95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435">
        <f>IF(AND(W932&gt;=$U$1,W932&lt;=$U$2),IF(X932='ESTRATTO CONTO'!$E$2,1+COUNTIF(U$4:U931,"&gt;0"),0),0)</f>
        <v>0</v>
      </c>
      <c r="V932" s="417">
        <f t="shared" si="224"/>
        <v>929</v>
      </c>
      <c r="W932" s="509"/>
      <c r="X932" s="321"/>
      <c r="Y932" s="321"/>
      <c r="Z932" s="433"/>
      <c r="AA932" s="918">
        <f t="shared" si="215"/>
        <v>1</v>
      </c>
      <c r="AB932" s="306" t="str">
        <f t="shared" si="216"/>
        <v/>
      </c>
      <c r="AC932" s="788"/>
      <c r="AD932" s="119">
        <f t="shared" si="226"/>
        <v>0</v>
      </c>
      <c r="AE932" s="108">
        <f t="shared" si="226"/>
        <v>0</v>
      </c>
      <c r="AF932" s="108">
        <f t="shared" si="226"/>
        <v>0</v>
      </c>
      <c r="AG932" s="108"/>
      <c r="AH932" s="108"/>
      <c r="AI932" s="108"/>
      <c r="AJ932" s="108"/>
      <c r="AK932" s="108"/>
      <c r="AL932" s="108">
        <f t="shared" si="217"/>
        <v>0</v>
      </c>
      <c r="AM932" s="108"/>
      <c r="AN932" s="108"/>
      <c r="AO932" s="108"/>
      <c r="AP932" s="108"/>
      <c r="AQ932" s="108"/>
      <c r="AR932" s="108"/>
      <c r="AS932" s="108"/>
      <c r="AT932" s="108"/>
      <c r="AU932" s="108"/>
      <c r="AV932" s="108"/>
      <c r="AW932" s="108"/>
      <c r="AX932" s="108"/>
      <c r="AY932" s="108"/>
      <c r="AZ932" s="108"/>
      <c r="BA932" s="108"/>
      <c r="BB932" s="108"/>
      <c r="BC932" s="108"/>
      <c r="BD932" s="108"/>
      <c r="BE932" s="108"/>
      <c r="BF932" s="108"/>
      <c r="BG932" s="108"/>
      <c r="BH932" s="108"/>
      <c r="BI932" s="108"/>
      <c r="BJ932" s="108"/>
      <c r="BK932" s="108"/>
      <c r="BL932" s="108"/>
      <c r="BM932" s="108"/>
      <c r="BN932" s="108"/>
      <c r="BO932" s="108"/>
      <c r="BP932" s="108"/>
      <c r="BQ932" s="108"/>
      <c r="BR932" s="108"/>
      <c r="BS932" s="108"/>
      <c r="BT932" s="108"/>
      <c r="BU932" s="108"/>
      <c r="BV932" s="108"/>
      <c r="BW932" s="108"/>
      <c r="BX932" s="108"/>
      <c r="BY932" s="108"/>
      <c r="BZ932" s="108"/>
      <c r="CA932" s="108"/>
      <c r="CB932" s="108"/>
      <c r="CC932" s="108"/>
      <c r="CD932" s="108"/>
      <c r="CE932" s="108"/>
      <c r="CF932" s="108"/>
      <c r="CG932" s="108"/>
      <c r="CH932" s="108"/>
      <c r="CI932" s="108"/>
      <c r="CJ932" s="108"/>
      <c r="CK932" s="120">
        <f t="shared" si="218"/>
        <v>0</v>
      </c>
      <c r="CL932" s="122">
        <f t="shared" si="219"/>
        <v>0</v>
      </c>
      <c r="CM932" s="524" t="str">
        <f t="shared" si="221"/>
        <v/>
      </c>
      <c r="CN932" s="526">
        <f t="shared" si="222"/>
        <v>0</v>
      </c>
      <c r="CO932" s="122">
        <f t="shared" si="223"/>
        <v>0</v>
      </c>
      <c r="CP932" s="45" t="str">
        <f t="shared" si="220"/>
        <v>1 - in MILLESIMI   I</v>
      </c>
      <c r="CQ932" s="1"/>
    </row>
    <row r="933" spans="1:95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435">
        <f>IF(AND(W933&gt;=$U$1,W933&lt;=$U$2),IF(X933='ESTRATTO CONTO'!$E$2,1+COUNTIF(U$4:U932,"&gt;0"),0),0)</f>
        <v>0</v>
      </c>
      <c r="V933" s="417">
        <f t="shared" si="224"/>
        <v>930</v>
      </c>
      <c r="W933" s="509"/>
      <c r="X933" s="321"/>
      <c r="Y933" s="321"/>
      <c r="Z933" s="433"/>
      <c r="AA933" s="918">
        <f t="shared" si="215"/>
        <v>1</v>
      </c>
      <c r="AB933" s="306" t="str">
        <f t="shared" si="216"/>
        <v/>
      </c>
      <c r="AC933" s="788"/>
      <c r="AD933" s="119">
        <f t="shared" si="226"/>
        <v>0</v>
      </c>
      <c r="AE933" s="108">
        <f t="shared" si="226"/>
        <v>0</v>
      </c>
      <c r="AF933" s="108">
        <f t="shared" si="226"/>
        <v>0</v>
      </c>
      <c r="AG933" s="108"/>
      <c r="AH933" s="108"/>
      <c r="AI933" s="108"/>
      <c r="AJ933" s="108"/>
      <c r="AK933" s="108"/>
      <c r="AL933" s="108">
        <f t="shared" si="217"/>
        <v>0</v>
      </c>
      <c r="AM933" s="108"/>
      <c r="AN933" s="108"/>
      <c r="AO933" s="108"/>
      <c r="AP933" s="108"/>
      <c r="AQ933" s="108"/>
      <c r="AR933" s="108"/>
      <c r="AS933" s="108"/>
      <c r="AT933" s="108"/>
      <c r="AU933" s="108"/>
      <c r="AV933" s="108"/>
      <c r="AW933" s="108"/>
      <c r="AX933" s="108"/>
      <c r="AY933" s="108"/>
      <c r="AZ933" s="108"/>
      <c r="BA933" s="108"/>
      <c r="BB933" s="108"/>
      <c r="BC933" s="108"/>
      <c r="BD933" s="108"/>
      <c r="BE933" s="108"/>
      <c r="BF933" s="108"/>
      <c r="BG933" s="108"/>
      <c r="BH933" s="108"/>
      <c r="BI933" s="108"/>
      <c r="BJ933" s="108"/>
      <c r="BK933" s="108"/>
      <c r="BL933" s="108"/>
      <c r="BM933" s="108"/>
      <c r="BN933" s="108"/>
      <c r="BO933" s="108"/>
      <c r="BP933" s="108"/>
      <c r="BQ933" s="108"/>
      <c r="BR933" s="108"/>
      <c r="BS933" s="108"/>
      <c r="BT933" s="108"/>
      <c r="BU933" s="108"/>
      <c r="BV933" s="108"/>
      <c r="BW933" s="108"/>
      <c r="BX933" s="108"/>
      <c r="BY933" s="108"/>
      <c r="BZ933" s="108"/>
      <c r="CA933" s="108"/>
      <c r="CB933" s="108"/>
      <c r="CC933" s="108"/>
      <c r="CD933" s="108"/>
      <c r="CE933" s="108"/>
      <c r="CF933" s="108"/>
      <c r="CG933" s="108"/>
      <c r="CH933" s="108"/>
      <c r="CI933" s="108"/>
      <c r="CJ933" s="108"/>
      <c r="CK933" s="120">
        <f t="shared" si="218"/>
        <v>0</v>
      </c>
      <c r="CL933" s="122">
        <f t="shared" si="219"/>
        <v>0</v>
      </c>
      <c r="CM933" s="524" t="str">
        <f t="shared" si="221"/>
        <v/>
      </c>
      <c r="CN933" s="526">
        <f t="shared" si="222"/>
        <v>0</v>
      </c>
      <c r="CO933" s="122">
        <f t="shared" si="223"/>
        <v>0</v>
      </c>
      <c r="CP933" s="45" t="str">
        <f t="shared" si="220"/>
        <v>1 - in MILLESIMI   I</v>
      </c>
      <c r="CQ933" s="1"/>
    </row>
    <row r="934" spans="1:95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435">
        <f>IF(AND(W934&gt;=$U$1,W934&lt;=$U$2),IF(X934='ESTRATTO CONTO'!$E$2,1+COUNTIF(U$4:U933,"&gt;0"),0),0)</f>
        <v>0</v>
      </c>
      <c r="V934" s="417">
        <f t="shared" si="224"/>
        <v>931</v>
      </c>
      <c r="W934" s="509"/>
      <c r="X934" s="321"/>
      <c r="Y934" s="321"/>
      <c r="Z934" s="433"/>
      <c r="AA934" s="918">
        <f t="shared" si="215"/>
        <v>1</v>
      </c>
      <c r="AB934" s="306" t="str">
        <f t="shared" si="216"/>
        <v/>
      </c>
      <c r="AC934" s="788"/>
      <c r="AD934" s="119">
        <f t="shared" si="226"/>
        <v>0</v>
      </c>
      <c r="AE934" s="108">
        <f t="shared" si="226"/>
        <v>0</v>
      </c>
      <c r="AF934" s="108">
        <f t="shared" si="226"/>
        <v>0</v>
      </c>
      <c r="AG934" s="108"/>
      <c r="AH934" s="108"/>
      <c r="AI934" s="108"/>
      <c r="AJ934" s="108"/>
      <c r="AK934" s="108"/>
      <c r="AL934" s="108">
        <f t="shared" si="217"/>
        <v>0</v>
      </c>
      <c r="AM934" s="108"/>
      <c r="AN934" s="108"/>
      <c r="AO934" s="108"/>
      <c r="AP934" s="108"/>
      <c r="AQ934" s="108"/>
      <c r="AR934" s="108"/>
      <c r="AS934" s="108"/>
      <c r="AT934" s="108"/>
      <c r="AU934" s="108"/>
      <c r="AV934" s="108"/>
      <c r="AW934" s="108"/>
      <c r="AX934" s="108"/>
      <c r="AY934" s="108"/>
      <c r="AZ934" s="108"/>
      <c r="BA934" s="108"/>
      <c r="BB934" s="108"/>
      <c r="BC934" s="108"/>
      <c r="BD934" s="108"/>
      <c r="BE934" s="108"/>
      <c r="BF934" s="108"/>
      <c r="BG934" s="108"/>
      <c r="BH934" s="108"/>
      <c r="BI934" s="108"/>
      <c r="BJ934" s="108"/>
      <c r="BK934" s="108"/>
      <c r="BL934" s="108"/>
      <c r="BM934" s="108"/>
      <c r="BN934" s="108"/>
      <c r="BO934" s="108"/>
      <c r="BP934" s="108"/>
      <c r="BQ934" s="108"/>
      <c r="BR934" s="108"/>
      <c r="BS934" s="108"/>
      <c r="BT934" s="108"/>
      <c r="BU934" s="108"/>
      <c r="BV934" s="108"/>
      <c r="BW934" s="108"/>
      <c r="BX934" s="108"/>
      <c r="BY934" s="108"/>
      <c r="BZ934" s="108"/>
      <c r="CA934" s="108"/>
      <c r="CB934" s="108"/>
      <c r="CC934" s="108"/>
      <c r="CD934" s="108"/>
      <c r="CE934" s="108"/>
      <c r="CF934" s="108"/>
      <c r="CG934" s="108"/>
      <c r="CH934" s="108"/>
      <c r="CI934" s="108"/>
      <c r="CJ934" s="108"/>
      <c r="CK934" s="120">
        <f t="shared" si="218"/>
        <v>0</v>
      </c>
      <c r="CL934" s="122">
        <f t="shared" si="219"/>
        <v>0</v>
      </c>
      <c r="CM934" s="524" t="str">
        <f t="shared" si="221"/>
        <v/>
      </c>
      <c r="CN934" s="526">
        <f t="shared" si="222"/>
        <v>0</v>
      </c>
      <c r="CO934" s="122">
        <f t="shared" si="223"/>
        <v>0</v>
      </c>
      <c r="CP934" s="45" t="str">
        <f t="shared" si="220"/>
        <v>1 - in MILLESIMI   I</v>
      </c>
      <c r="CQ934" s="1"/>
    </row>
    <row r="935" spans="1:95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435">
        <f>IF(AND(W935&gt;=$U$1,W935&lt;=$U$2),IF(X935='ESTRATTO CONTO'!$E$2,1+COUNTIF(U$4:U934,"&gt;0"),0),0)</f>
        <v>0</v>
      </c>
      <c r="V935" s="417">
        <f t="shared" si="224"/>
        <v>932</v>
      </c>
      <c r="W935" s="509"/>
      <c r="X935" s="321"/>
      <c r="Y935" s="321"/>
      <c r="Z935" s="433"/>
      <c r="AA935" s="918">
        <f t="shared" si="215"/>
        <v>1</v>
      </c>
      <c r="AB935" s="306" t="str">
        <f t="shared" si="216"/>
        <v/>
      </c>
      <c r="AC935" s="788"/>
      <c r="AD935" s="119">
        <f t="shared" si="226"/>
        <v>0</v>
      </c>
      <c r="AE935" s="108">
        <f t="shared" si="226"/>
        <v>0</v>
      </c>
      <c r="AF935" s="108">
        <f t="shared" si="226"/>
        <v>0</v>
      </c>
      <c r="AG935" s="108"/>
      <c r="AH935" s="108"/>
      <c r="AI935" s="108"/>
      <c r="AJ935" s="108"/>
      <c r="AK935" s="108"/>
      <c r="AL935" s="108">
        <f t="shared" si="217"/>
        <v>0</v>
      </c>
      <c r="AM935" s="108"/>
      <c r="AN935" s="108"/>
      <c r="AO935" s="108"/>
      <c r="AP935" s="108"/>
      <c r="AQ935" s="108"/>
      <c r="AR935" s="108"/>
      <c r="AS935" s="108"/>
      <c r="AT935" s="108"/>
      <c r="AU935" s="108"/>
      <c r="AV935" s="108"/>
      <c r="AW935" s="108"/>
      <c r="AX935" s="108"/>
      <c r="AY935" s="108"/>
      <c r="AZ935" s="108"/>
      <c r="BA935" s="108"/>
      <c r="BB935" s="108"/>
      <c r="BC935" s="108"/>
      <c r="BD935" s="108"/>
      <c r="BE935" s="108"/>
      <c r="BF935" s="108"/>
      <c r="BG935" s="108"/>
      <c r="BH935" s="108"/>
      <c r="BI935" s="108"/>
      <c r="BJ935" s="108"/>
      <c r="BK935" s="108"/>
      <c r="BL935" s="108"/>
      <c r="BM935" s="108"/>
      <c r="BN935" s="108"/>
      <c r="BO935" s="108"/>
      <c r="BP935" s="108"/>
      <c r="BQ935" s="108"/>
      <c r="BR935" s="108"/>
      <c r="BS935" s="108"/>
      <c r="BT935" s="108"/>
      <c r="BU935" s="108"/>
      <c r="BV935" s="108"/>
      <c r="BW935" s="108"/>
      <c r="BX935" s="108"/>
      <c r="BY935" s="108"/>
      <c r="BZ935" s="108"/>
      <c r="CA935" s="108"/>
      <c r="CB935" s="108"/>
      <c r="CC935" s="108"/>
      <c r="CD935" s="108"/>
      <c r="CE935" s="108"/>
      <c r="CF935" s="108"/>
      <c r="CG935" s="108"/>
      <c r="CH935" s="108"/>
      <c r="CI935" s="108"/>
      <c r="CJ935" s="108"/>
      <c r="CK935" s="120">
        <f t="shared" si="218"/>
        <v>0</v>
      </c>
      <c r="CL935" s="122">
        <f t="shared" si="219"/>
        <v>0</v>
      </c>
      <c r="CM935" s="524" t="str">
        <f t="shared" si="221"/>
        <v/>
      </c>
      <c r="CN935" s="526">
        <f t="shared" si="222"/>
        <v>0</v>
      </c>
      <c r="CO935" s="122">
        <f t="shared" si="223"/>
        <v>0</v>
      </c>
      <c r="CP935" s="45" t="str">
        <f t="shared" si="220"/>
        <v>1 - in MILLESIMI   I</v>
      </c>
      <c r="CQ935" s="1"/>
    </row>
    <row r="936" spans="1:95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435">
        <f>IF(AND(W936&gt;=$U$1,W936&lt;=$U$2),IF(X936='ESTRATTO CONTO'!$E$2,1+COUNTIF(U$4:U935,"&gt;0"),0),0)</f>
        <v>0</v>
      </c>
      <c r="V936" s="417">
        <f t="shared" si="224"/>
        <v>933</v>
      </c>
      <c r="W936" s="509"/>
      <c r="X936" s="321"/>
      <c r="Y936" s="321"/>
      <c r="Z936" s="433"/>
      <c r="AA936" s="918">
        <f t="shared" si="215"/>
        <v>1</v>
      </c>
      <c r="AB936" s="306" t="str">
        <f t="shared" si="216"/>
        <v/>
      </c>
      <c r="AC936" s="788"/>
      <c r="AD936" s="119">
        <f t="shared" si="226"/>
        <v>0</v>
      </c>
      <c r="AE936" s="108">
        <f t="shared" si="226"/>
        <v>0</v>
      </c>
      <c r="AF936" s="108">
        <f t="shared" si="226"/>
        <v>0</v>
      </c>
      <c r="AG936" s="108"/>
      <c r="AH936" s="108"/>
      <c r="AI936" s="108"/>
      <c r="AJ936" s="108"/>
      <c r="AK936" s="108"/>
      <c r="AL936" s="108">
        <f t="shared" si="217"/>
        <v>0</v>
      </c>
      <c r="AM936" s="108"/>
      <c r="AN936" s="108"/>
      <c r="AO936" s="108"/>
      <c r="AP936" s="108"/>
      <c r="AQ936" s="108"/>
      <c r="AR936" s="108"/>
      <c r="AS936" s="108"/>
      <c r="AT936" s="108"/>
      <c r="AU936" s="108"/>
      <c r="AV936" s="108"/>
      <c r="AW936" s="108"/>
      <c r="AX936" s="108"/>
      <c r="AY936" s="108"/>
      <c r="AZ936" s="108"/>
      <c r="BA936" s="108"/>
      <c r="BB936" s="108"/>
      <c r="BC936" s="108"/>
      <c r="BD936" s="108"/>
      <c r="BE936" s="108"/>
      <c r="BF936" s="108"/>
      <c r="BG936" s="108"/>
      <c r="BH936" s="108"/>
      <c r="BI936" s="108"/>
      <c r="BJ936" s="108"/>
      <c r="BK936" s="108"/>
      <c r="BL936" s="108"/>
      <c r="BM936" s="108"/>
      <c r="BN936" s="108"/>
      <c r="BO936" s="108"/>
      <c r="BP936" s="108"/>
      <c r="BQ936" s="108"/>
      <c r="BR936" s="108"/>
      <c r="BS936" s="108"/>
      <c r="BT936" s="108"/>
      <c r="BU936" s="108"/>
      <c r="BV936" s="108"/>
      <c r="BW936" s="108"/>
      <c r="BX936" s="108"/>
      <c r="BY936" s="108"/>
      <c r="BZ936" s="108"/>
      <c r="CA936" s="108"/>
      <c r="CB936" s="108"/>
      <c r="CC936" s="108"/>
      <c r="CD936" s="108"/>
      <c r="CE936" s="108"/>
      <c r="CF936" s="108"/>
      <c r="CG936" s="108"/>
      <c r="CH936" s="108"/>
      <c r="CI936" s="108"/>
      <c r="CJ936" s="108"/>
      <c r="CK936" s="120">
        <f t="shared" si="218"/>
        <v>0</v>
      </c>
      <c r="CL936" s="122">
        <f t="shared" si="219"/>
        <v>0</v>
      </c>
      <c r="CM936" s="524" t="str">
        <f t="shared" si="221"/>
        <v/>
      </c>
      <c r="CN936" s="526">
        <f t="shared" si="222"/>
        <v>0</v>
      </c>
      <c r="CO936" s="122">
        <f t="shared" si="223"/>
        <v>0</v>
      </c>
      <c r="CP936" s="45" t="str">
        <f t="shared" si="220"/>
        <v>1 - in MILLESIMI   I</v>
      </c>
      <c r="CQ936" s="1"/>
    </row>
    <row r="937" spans="1:95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435">
        <f>IF(AND(W937&gt;=$U$1,W937&lt;=$U$2),IF(X937='ESTRATTO CONTO'!$E$2,1+COUNTIF(U$4:U936,"&gt;0"),0),0)</f>
        <v>0</v>
      </c>
      <c r="V937" s="417">
        <f t="shared" si="224"/>
        <v>934</v>
      </c>
      <c r="W937" s="509"/>
      <c r="X937" s="321"/>
      <c r="Y937" s="321"/>
      <c r="Z937" s="433"/>
      <c r="AA937" s="918">
        <f t="shared" si="215"/>
        <v>1</v>
      </c>
      <c r="AB937" s="306" t="str">
        <f t="shared" si="216"/>
        <v/>
      </c>
      <c r="AC937" s="788"/>
      <c r="AD937" s="119">
        <f t="shared" si="226"/>
        <v>0</v>
      </c>
      <c r="AE937" s="108">
        <f t="shared" si="226"/>
        <v>0</v>
      </c>
      <c r="AF937" s="108">
        <f t="shared" si="226"/>
        <v>0</v>
      </c>
      <c r="AG937" s="108"/>
      <c r="AH937" s="108"/>
      <c r="AI937" s="108"/>
      <c r="AJ937" s="108"/>
      <c r="AK937" s="108"/>
      <c r="AL937" s="108">
        <f t="shared" si="217"/>
        <v>0</v>
      </c>
      <c r="AM937" s="108"/>
      <c r="AN937" s="108"/>
      <c r="AO937" s="108"/>
      <c r="AP937" s="108"/>
      <c r="AQ937" s="108"/>
      <c r="AR937" s="108"/>
      <c r="AS937" s="108"/>
      <c r="AT937" s="108"/>
      <c r="AU937" s="108"/>
      <c r="AV937" s="108"/>
      <c r="AW937" s="108"/>
      <c r="AX937" s="108"/>
      <c r="AY937" s="108"/>
      <c r="AZ937" s="108"/>
      <c r="BA937" s="108"/>
      <c r="BB937" s="108"/>
      <c r="BC937" s="108"/>
      <c r="BD937" s="108"/>
      <c r="BE937" s="108"/>
      <c r="BF937" s="108"/>
      <c r="BG937" s="108"/>
      <c r="BH937" s="108"/>
      <c r="BI937" s="108"/>
      <c r="BJ937" s="108"/>
      <c r="BK937" s="108"/>
      <c r="BL937" s="108"/>
      <c r="BM937" s="108"/>
      <c r="BN937" s="108"/>
      <c r="BO937" s="108"/>
      <c r="BP937" s="108"/>
      <c r="BQ937" s="108"/>
      <c r="BR937" s="108"/>
      <c r="BS937" s="108"/>
      <c r="BT937" s="108"/>
      <c r="BU937" s="108"/>
      <c r="BV937" s="108"/>
      <c r="BW937" s="108"/>
      <c r="BX937" s="108"/>
      <c r="BY937" s="108"/>
      <c r="BZ937" s="108"/>
      <c r="CA937" s="108"/>
      <c r="CB937" s="108"/>
      <c r="CC937" s="108"/>
      <c r="CD937" s="108"/>
      <c r="CE937" s="108"/>
      <c r="CF937" s="108"/>
      <c r="CG937" s="108"/>
      <c r="CH937" s="108"/>
      <c r="CI937" s="108"/>
      <c r="CJ937" s="108"/>
      <c r="CK937" s="120">
        <f t="shared" si="218"/>
        <v>0</v>
      </c>
      <c r="CL937" s="122">
        <f t="shared" si="219"/>
        <v>0</v>
      </c>
      <c r="CM937" s="524" t="str">
        <f t="shared" si="221"/>
        <v/>
      </c>
      <c r="CN937" s="526">
        <f t="shared" si="222"/>
        <v>0</v>
      </c>
      <c r="CO937" s="122">
        <f t="shared" si="223"/>
        <v>0</v>
      </c>
      <c r="CP937" s="45" t="str">
        <f t="shared" si="220"/>
        <v>1 - in MILLESIMI   I</v>
      </c>
      <c r="CQ937" s="1"/>
    </row>
    <row r="938" spans="1:95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435">
        <f>IF(AND(W938&gt;=$U$1,W938&lt;=$U$2),IF(X938='ESTRATTO CONTO'!$E$2,1+COUNTIF(U$4:U937,"&gt;0"),0),0)</f>
        <v>0</v>
      </c>
      <c r="V938" s="417">
        <f t="shared" si="224"/>
        <v>935</v>
      </c>
      <c r="W938" s="509"/>
      <c r="X938" s="321"/>
      <c r="Y938" s="321"/>
      <c r="Z938" s="433"/>
      <c r="AA938" s="918">
        <f t="shared" si="215"/>
        <v>1</v>
      </c>
      <c r="AB938" s="306" t="str">
        <f t="shared" si="216"/>
        <v/>
      </c>
      <c r="AC938" s="788"/>
      <c r="AD938" s="119">
        <f t="shared" si="226"/>
        <v>0</v>
      </c>
      <c r="AE938" s="108">
        <f t="shared" si="226"/>
        <v>0</v>
      </c>
      <c r="AF938" s="108">
        <f t="shared" si="226"/>
        <v>0</v>
      </c>
      <c r="AG938" s="108"/>
      <c r="AH938" s="108"/>
      <c r="AI938" s="108"/>
      <c r="AJ938" s="108"/>
      <c r="AK938" s="108"/>
      <c r="AL938" s="108">
        <f t="shared" si="217"/>
        <v>0</v>
      </c>
      <c r="AM938" s="108"/>
      <c r="AN938" s="108"/>
      <c r="AO938" s="108"/>
      <c r="AP938" s="108"/>
      <c r="AQ938" s="108"/>
      <c r="AR938" s="108"/>
      <c r="AS938" s="108"/>
      <c r="AT938" s="108"/>
      <c r="AU938" s="108"/>
      <c r="AV938" s="108"/>
      <c r="AW938" s="108"/>
      <c r="AX938" s="108"/>
      <c r="AY938" s="108"/>
      <c r="AZ938" s="108"/>
      <c r="BA938" s="108"/>
      <c r="BB938" s="108"/>
      <c r="BC938" s="108"/>
      <c r="BD938" s="108"/>
      <c r="BE938" s="108"/>
      <c r="BF938" s="108"/>
      <c r="BG938" s="108"/>
      <c r="BH938" s="108"/>
      <c r="BI938" s="108"/>
      <c r="BJ938" s="108"/>
      <c r="BK938" s="108"/>
      <c r="BL938" s="108"/>
      <c r="BM938" s="108"/>
      <c r="BN938" s="108"/>
      <c r="BO938" s="108"/>
      <c r="BP938" s="108"/>
      <c r="BQ938" s="108"/>
      <c r="BR938" s="108"/>
      <c r="BS938" s="108"/>
      <c r="BT938" s="108"/>
      <c r="BU938" s="108"/>
      <c r="BV938" s="108"/>
      <c r="BW938" s="108"/>
      <c r="BX938" s="108"/>
      <c r="BY938" s="108"/>
      <c r="BZ938" s="108"/>
      <c r="CA938" s="108"/>
      <c r="CB938" s="108"/>
      <c r="CC938" s="108"/>
      <c r="CD938" s="108"/>
      <c r="CE938" s="108"/>
      <c r="CF938" s="108"/>
      <c r="CG938" s="108"/>
      <c r="CH938" s="108"/>
      <c r="CI938" s="108"/>
      <c r="CJ938" s="108"/>
      <c r="CK938" s="120">
        <f t="shared" si="218"/>
        <v>0</v>
      </c>
      <c r="CL938" s="122">
        <f t="shared" si="219"/>
        <v>0</v>
      </c>
      <c r="CM938" s="524" t="str">
        <f t="shared" si="221"/>
        <v/>
      </c>
      <c r="CN938" s="526">
        <f t="shared" si="222"/>
        <v>0</v>
      </c>
      <c r="CO938" s="122">
        <f t="shared" si="223"/>
        <v>0</v>
      </c>
      <c r="CP938" s="45" t="str">
        <f t="shared" si="220"/>
        <v>1 - in MILLESIMI   I</v>
      </c>
      <c r="CQ938" s="1"/>
    </row>
    <row r="939" spans="1:95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435">
        <f>IF(AND(W939&gt;=$U$1,W939&lt;=$U$2),IF(X939='ESTRATTO CONTO'!$E$2,1+COUNTIF(U$4:U938,"&gt;0"),0),0)</f>
        <v>0</v>
      </c>
      <c r="V939" s="417">
        <f t="shared" si="224"/>
        <v>936</v>
      </c>
      <c r="W939" s="509"/>
      <c r="X939" s="321"/>
      <c r="Y939" s="321"/>
      <c r="Z939" s="433"/>
      <c r="AA939" s="918">
        <f t="shared" si="215"/>
        <v>1</v>
      </c>
      <c r="AB939" s="306" t="str">
        <f t="shared" si="216"/>
        <v/>
      </c>
      <c r="AC939" s="788"/>
      <c r="AD939" s="119">
        <f t="shared" si="226"/>
        <v>0</v>
      </c>
      <c r="AE939" s="108">
        <f t="shared" si="226"/>
        <v>0</v>
      </c>
      <c r="AF939" s="108">
        <f t="shared" si="226"/>
        <v>0</v>
      </c>
      <c r="AG939" s="108"/>
      <c r="AH939" s="108"/>
      <c r="AI939" s="108"/>
      <c r="AJ939" s="108"/>
      <c r="AK939" s="108"/>
      <c r="AL939" s="108">
        <f t="shared" si="217"/>
        <v>0</v>
      </c>
      <c r="AM939" s="108"/>
      <c r="AN939" s="108"/>
      <c r="AO939" s="108"/>
      <c r="AP939" s="108"/>
      <c r="AQ939" s="108"/>
      <c r="AR939" s="108"/>
      <c r="AS939" s="108"/>
      <c r="AT939" s="108"/>
      <c r="AU939" s="108"/>
      <c r="AV939" s="108"/>
      <c r="AW939" s="108"/>
      <c r="AX939" s="108"/>
      <c r="AY939" s="108"/>
      <c r="AZ939" s="108"/>
      <c r="BA939" s="108"/>
      <c r="BB939" s="108"/>
      <c r="BC939" s="108"/>
      <c r="BD939" s="108"/>
      <c r="BE939" s="108"/>
      <c r="BF939" s="108"/>
      <c r="BG939" s="108"/>
      <c r="BH939" s="108"/>
      <c r="BI939" s="108"/>
      <c r="BJ939" s="108"/>
      <c r="BK939" s="108"/>
      <c r="BL939" s="108"/>
      <c r="BM939" s="108"/>
      <c r="BN939" s="108"/>
      <c r="BO939" s="108"/>
      <c r="BP939" s="108"/>
      <c r="BQ939" s="108"/>
      <c r="BR939" s="108"/>
      <c r="BS939" s="108"/>
      <c r="BT939" s="108"/>
      <c r="BU939" s="108"/>
      <c r="BV939" s="108"/>
      <c r="BW939" s="108"/>
      <c r="BX939" s="108"/>
      <c r="BY939" s="108"/>
      <c r="BZ939" s="108"/>
      <c r="CA939" s="108"/>
      <c r="CB939" s="108"/>
      <c r="CC939" s="108"/>
      <c r="CD939" s="108"/>
      <c r="CE939" s="108"/>
      <c r="CF939" s="108"/>
      <c r="CG939" s="108"/>
      <c r="CH939" s="108"/>
      <c r="CI939" s="108"/>
      <c r="CJ939" s="108"/>
      <c r="CK939" s="120">
        <f t="shared" si="218"/>
        <v>0</v>
      </c>
      <c r="CL939" s="122">
        <f t="shared" si="219"/>
        <v>0</v>
      </c>
      <c r="CM939" s="524" t="str">
        <f t="shared" si="221"/>
        <v/>
      </c>
      <c r="CN939" s="526">
        <f t="shared" si="222"/>
        <v>0</v>
      </c>
      <c r="CO939" s="122">
        <f t="shared" si="223"/>
        <v>0</v>
      </c>
      <c r="CP939" s="45" t="str">
        <f t="shared" si="220"/>
        <v>1 - in MILLESIMI   I</v>
      </c>
      <c r="CQ939" s="1"/>
    </row>
    <row r="940" spans="1:95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435">
        <f>IF(AND(W940&gt;=$U$1,W940&lt;=$U$2),IF(X940='ESTRATTO CONTO'!$E$2,1+COUNTIF(U$4:U939,"&gt;0"),0),0)</f>
        <v>0</v>
      </c>
      <c r="V940" s="417">
        <f t="shared" si="224"/>
        <v>937</v>
      </c>
      <c r="W940" s="509"/>
      <c r="X940" s="321"/>
      <c r="Y940" s="321"/>
      <c r="Z940" s="433"/>
      <c r="AA940" s="918">
        <f t="shared" si="215"/>
        <v>1</v>
      </c>
      <c r="AB940" s="306" t="str">
        <f t="shared" si="216"/>
        <v/>
      </c>
      <c r="AC940" s="788"/>
      <c r="AD940" s="119">
        <f t="shared" si="226"/>
        <v>0</v>
      </c>
      <c r="AE940" s="108">
        <f t="shared" si="226"/>
        <v>0</v>
      </c>
      <c r="AF940" s="108">
        <f t="shared" si="226"/>
        <v>0</v>
      </c>
      <c r="AG940" s="108"/>
      <c r="AH940" s="108"/>
      <c r="AI940" s="108"/>
      <c r="AJ940" s="108"/>
      <c r="AK940" s="108"/>
      <c r="AL940" s="108">
        <f t="shared" si="217"/>
        <v>0</v>
      </c>
      <c r="AM940" s="108"/>
      <c r="AN940" s="108"/>
      <c r="AO940" s="108"/>
      <c r="AP940" s="108"/>
      <c r="AQ940" s="108"/>
      <c r="AR940" s="108"/>
      <c r="AS940" s="108"/>
      <c r="AT940" s="108"/>
      <c r="AU940" s="108"/>
      <c r="AV940" s="108"/>
      <c r="AW940" s="108"/>
      <c r="AX940" s="108"/>
      <c r="AY940" s="108"/>
      <c r="AZ940" s="108"/>
      <c r="BA940" s="108"/>
      <c r="BB940" s="108"/>
      <c r="BC940" s="108"/>
      <c r="BD940" s="108"/>
      <c r="BE940" s="108"/>
      <c r="BF940" s="108"/>
      <c r="BG940" s="108"/>
      <c r="BH940" s="108"/>
      <c r="BI940" s="108"/>
      <c r="BJ940" s="108"/>
      <c r="BK940" s="108"/>
      <c r="BL940" s="108"/>
      <c r="BM940" s="108"/>
      <c r="BN940" s="108"/>
      <c r="BO940" s="108"/>
      <c r="BP940" s="108"/>
      <c r="BQ940" s="108"/>
      <c r="BR940" s="108"/>
      <c r="BS940" s="108"/>
      <c r="BT940" s="108"/>
      <c r="BU940" s="108"/>
      <c r="BV940" s="108"/>
      <c r="BW940" s="108"/>
      <c r="BX940" s="108"/>
      <c r="BY940" s="108"/>
      <c r="BZ940" s="108"/>
      <c r="CA940" s="108"/>
      <c r="CB940" s="108"/>
      <c r="CC940" s="108"/>
      <c r="CD940" s="108"/>
      <c r="CE940" s="108"/>
      <c r="CF940" s="108"/>
      <c r="CG940" s="108"/>
      <c r="CH940" s="108"/>
      <c r="CI940" s="108"/>
      <c r="CJ940" s="108"/>
      <c r="CK940" s="120">
        <f t="shared" si="218"/>
        <v>0</v>
      </c>
      <c r="CL940" s="122">
        <f t="shared" si="219"/>
        <v>0</v>
      </c>
      <c r="CM940" s="524" t="str">
        <f t="shared" si="221"/>
        <v/>
      </c>
      <c r="CN940" s="526">
        <f t="shared" si="222"/>
        <v>0</v>
      </c>
      <c r="CO940" s="122">
        <f t="shared" si="223"/>
        <v>0</v>
      </c>
      <c r="CP940" s="45" t="str">
        <f t="shared" si="220"/>
        <v>1 - in MILLESIMI   I</v>
      </c>
      <c r="CQ940" s="1"/>
    </row>
    <row r="941" spans="1:95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435">
        <f>IF(AND(W941&gt;=$U$1,W941&lt;=$U$2),IF(X941='ESTRATTO CONTO'!$E$2,1+COUNTIF(U$4:U940,"&gt;0"),0),0)</f>
        <v>0</v>
      </c>
      <c r="V941" s="417">
        <f t="shared" si="224"/>
        <v>938</v>
      </c>
      <c r="W941" s="509"/>
      <c r="X941" s="321"/>
      <c r="Y941" s="321"/>
      <c r="Z941" s="433"/>
      <c r="AA941" s="918">
        <f t="shared" si="215"/>
        <v>1</v>
      </c>
      <c r="AB941" s="306" t="str">
        <f t="shared" si="216"/>
        <v/>
      </c>
      <c r="AC941" s="788"/>
      <c r="AD941" s="119">
        <f t="shared" si="226"/>
        <v>0</v>
      </c>
      <c r="AE941" s="108">
        <f t="shared" si="226"/>
        <v>0</v>
      </c>
      <c r="AF941" s="108">
        <f t="shared" si="226"/>
        <v>0</v>
      </c>
      <c r="AG941" s="108"/>
      <c r="AH941" s="108"/>
      <c r="AI941" s="108"/>
      <c r="AJ941" s="108"/>
      <c r="AK941" s="108"/>
      <c r="AL941" s="108">
        <f t="shared" si="217"/>
        <v>0</v>
      </c>
      <c r="AM941" s="108"/>
      <c r="AN941" s="108"/>
      <c r="AO941" s="108"/>
      <c r="AP941" s="108"/>
      <c r="AQ941" s="108"/>
      <c r="AR941" s="108"/>
      <c r="AS941" s="108"/>
      <c r="AT941" s="108"/>
      <c r="AU941" s="108"/>
      <c r="AV941" s="108"/>
      <c r="AW941" s="108"/>
      <c r="AX941" s="108"/>
      <c r="AY941" s="108"/>
      <c r="AZ941" s="108"/>
      <c r="BA941" s="108"/>
      <c r="BB941" s="108"/>
      <c r="BC941" s="108"/>
      <c r="BD941" s="108"/>
      <c r="BE941" s="108"/>
      <c r="BF941" s="108"/>
      <c r="BG941" s="108"/>
      <c r="BH941" s="108"/>
      <c r="BI941" s="108"/>
      <c r="BJ941" s="108"/>
      <c r="BK941" s="108"/>
      <c r="BL941" s="108"/>
      <c r="BM941" s="108"/>
      <c r="BN941" s="108"/>
      <c r="BO941" s="108"/>
      <c r="BP941" s="108"/>
      <c r="BQ941" s="108"/>
      <c r="BR941" s="108"/>
      <c r="BS941" s="108"/>
      <c r="BT941" s="108"/>
      <c r="BU941" s="108"/>
      <c r="BV941" s="108"/>
      <c r="BW941" s="108"/>
      <c r="BX941" s="108"/>
      <c r="BY941" s="108"/>
      <c r="BZ941" s="108"/>
      <c r="CA941" s="108"/>
      <c r="CB941" s="108"/>
      <c r="CC941" s="108"/>
      <c r="CD941" s="108"/>
      <c r="CE941" s="108"/>
      <c r="CF941" s="108"/>
      <c r="CG941" s="108"/>
      <c r="CH941" s="108"/>
      <c r="CI941" s="108"/>
      <c r="CJ941" s="108"/>
      <c r="CK941" s="120">
        <f t="shared" si="218"/>
        <v>0</v>
      </c>
      <c r="CL941" s="122">
        <f t="shared" si="219"/>
        <v>0</v>
      </c>
      <c r="CM941" s="524" t="str">
        <f t="shared" si="221"/>
        <v/>
      </c>
      <c r="CN941" s="526">
        <f t="shared" si="222"/>
        <v>0</v>
      </c>
      <c r="CO941" s="122">
        <f t="shared" si="223"/>
        <v>0</v>
      </c>
      <c r="CP941" s="45" t="str">
        <f t="shared" si="220"/>
        <v>1 - in MILLESIMI   I</v>
      </c>
      <c r="CQ941" s="1"/>
    </row>
    <row r="942" spans="1:95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435">
        <f>IF(AND(W942&gt;=$U$1,W942&lt;=$U$2),IF(X942='ESTRATTO CONTO'!$E$2,1+COUNTIF(U$4:U941,"&gt;0"),0),0)</f>
        <v>0</v>
      </c>
      <c r="V942" s="417">
        <f t="shared" si="224"/>
        <v>939</v>
      </c>
      <c r="W942" s="509"/>
      <c r="X942" s="321"/>
      <c r="Y942" s="321"/>
      <c r="Z942" s="433"/>
      <c r="AA942" s="918">
        <f t="shared" si="215"/>
        <v>1</v>
      </c>
      <c r="AB942" s="306" t="str">
        <f t="shared" si="216"/>
        <v/>
      </c>
      <c r="AC942" s="788"/>
      <c r="AD942" s="119">
        <f t="shared" si="226"/>
        <v>0</v>
      </c>
      <c r="AE942" s="108">
        <f t="shared" si="226"/>
        <v>0</v>
      </c>
      <c r="AF942" s="108">
        <f t="shared" si="226"/>
        <v>0</v>
      </c>
      <c r="AG942" s="108"/>
      <c r="AH942" s="108"/>
      <c r="AI942" s="108"/>
      <c r="AJ942" s="108"/>
      <c r="AK942" s="108"/>
      <c r="AL942" s="108">
        <f t="shared" si="217"/>
        <v>0</v>
      </c>
      <c r="AM942" s="108"/>
      <c r="AN942" s="108"/>
      <c r="AO942" s="108"/>
      <c r="AP942" s="108"/>
      <c r="AQ942" s="108"/>
      <c r="AR942" s="108"/>
      <c r="AS942" s="108"/>
      <c r="AT942" s="108"/>
      <c r="AU942" s="108"/>
      <c r="AV942" s="108"/>
      <c r="AW942" s="108"/>
      <c r="AX942" s="108"/>
      <c r="AY942" s="108"/>
      <c r="AZ942" s="108"/>
      <c r="BA942" s="108"/>
      <c r="BB942" s="108"/>
      <c r="BC942" s="108"/>
      <c r="BD942" s="108"/>
      <c r="BE942" s="108"/>
      <c r="BF942" s="108"/>
      <c r="BG942" s="108"/>
      <c r="BH942" s="108"/>
      <c r="BI942" s="108"/>
      <c r="BJ942" s="108"/>
      <c r="BK942" s="108"/>
      <c r="BL942" s="108"/>
      <c r="BM942" s="108"/>
      <c r="BN942" s="108"/>
      <c r="BO942" s="108"/>
      <c r="BP942" s="108"/>
      <c r="BQ942" s="108"/>
      <c r="BR942" s="108"/>
      <c r="BS942" s="108"/>
      <c r="BT942" s="108"/>
      <c r="BU942" s="108"/>
      <c r="BV942" s="108"/>
      <c r="BW942" s="108"/>
      <c r="BX942" s="108"/>
      <c r="BY942" s="108"/>
      <c r="BZ942" s="108"/>
      <c r="CA942" s="108"/>
      <c r="CB942" s="108"/>
      <c r="CC942" s="108"/>
      <c r="CD942" s="108"/>
      <c r="CE942" s="108"/>
      <c r="CF942" s="108"/>
      <c r="CG942" s="108"/>
      <c r="CH942" s="108"/>
      <c r="CI942" s="108"/>
      <c r="CJ942" s="108"/>
      <c r="CK942" s="120">
        <f t="shared" si="218"/>
        <v>0</v>
      </c>
      <c r="CL942" s="122">
        <f t="shared" si="219"/>
        <v>0</v>
      </c>
      <c r="CM942" s="524" t="str">
        <f t="shared" si="221"/>
        <v/>
      </c>
      <c r="CN942" s="526">
        <f t="shared" si="222"/>
        <v>0</v>
      </c>
      <c r="CO942" s="122">
        <f t="shared" si="223"/>
        <v>0</v>
      </c>
      <c r="CP942" s="45" t="str">
        <f t="shared" si="220"/>
        <v>1 - in MILLESIMI   I</v>
      </c>
      <c r="CQ942" s="1"/>
    </row>
    <row r="943" spans="1:95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435">
        <f>IF(AND(W943&gt;=$U$1,W943&lt;=$U$2),IF(X943='ESTRATTO CONTO'!$E$2,1+COUNTIF(U$4:U942,"&gt;0"),0),0)</f>
        <v>0</v>
      </c>
      <c r="V943" s="417">
        <f t="shared" si="224"/>
        <v>940</v>
      </c>
      <c r="W943" s="509"/>
      <c r="X943" s="321"/>
      <c r="Y943" s="321"/>
      <c r="Z943" s="433"/>
      <c r="AA943" s="918">
        <f t="shared" si="215"/>
        <v>1</v>
      </c>
      <c r="AB943" s="306" t="str">
        <f t="shared" si="216"/>
        <v/>
      </c>
      <c r="AC943" s="788"/>
      <c r="AD943" s="119">
        <f t="shared" si="226"/>
        <v>0</v>
      </c>
      <c r="AE943" s="108">
        <f t="shared" si="226"/>
        <v>0</v>
      </c>
      <c r="AF943" s="108">
        <f t="shared" si="226"/>
        <v>0</v>
      </c>
      <c r="AG943" s="108"/>
      <c r="AH943" s="108"/>
      <c r="AI943" s="108"/>
      <c r="AJ943" s="108"/>
      <c r="AK943" s="108"/>
      <c r="AL943" s="108">
        <f t="shared" si="217"/>
        <v>0</v>
      </c>
      <c r="AM943" s="108"/>
      <c r="AN943" s="108"/>
      <c r="AO943" s="108"/>
      <c r="AP943" s="108"/>
      <c r="AQ943" s="108"/>
      <c r="AR943" s="108"/>
      <c r="AS943" s="108"/>
      <c r="AT943" s="108"/>
      <c r="AU943" s="108"/>
      <c r="AV943" s="108"/>
      <c r="AW943" s="108"/>
      <c r="AX943" s="108"/>
      <c r="AY943" s="108"/>
      <c r="AZ943" s="108"/>
      <c r="BA943" s="108"/>
      <c r="BB943" s="108"/>
      <c r="BC943" s="108"/>
      <c r="BD943" s="108"/>
      <c r="BE943" s="108"/>
      <c r="BF943" s="108"/>
      <c r="BG943" s="108"/>
      <c r="BH943" s="108"/>
      <c r="BI943" s="108"/>
      <c r="BJ943" s="108"/>
      <c r="BK943" s="108"/>
      <c r="BL943" s="108"/>
      <c r="BM943" s="108"/>
      <c r="BN943" s="108"/>
      <c r="BO943" s="108"/>
      <c r="BP943" s="108"/>
      <c r="BQ943" s="108"/>
      <c r="BR943" s="108"/>
      <c r="BS943" s="108"/>
      <c r="BT943" s="108"/>
      <c r="BU943" s="108"/>
      <c r="BV943" s="108"/>
      <c r="BW943" s="108"/>
      <c r="BX943" s="108"/>
      <c r="BY943" s="108"/>
      <c r="BZ943" s="108"/>
      <c r="CA943" s="108"/>
      <c r="CB943" s="108"/>
      <c r="CC943" s="108"/>
      <c r="CD943" s="108"/>
      <c r="CE943" s="108"/>
      <c r="CF943" s="108"/>
      <c r="CG943" s="108"/>
      <c r="CH943" s="108"/>
      <c r="CI943" s="108"/>
      <c r="CJ943" s="108"/>
      <c r="CK943" s="120">
        <f t="shared" si="218"/>
        <v>0</v>
      </c>
      <c r="CL943" s="122">
        <f t="shared" si="219"/>
        <v>0</v>
      </c>
      <c r="CM943" s="524" t="str">
        <f t="shared" si="221"/>
        <v/>
      </c>
      <c r="CN943" s="526">
        <f t="shared" si="222"/>
        <v>0</v>
      </c>
      <c r="CO943" s="122">
        <f t="shared" si="223"/>
        <v>0</v>
      </c>
      <c r="CP943" s="45" t="str">
        <f t="shared" si="220"/>
        <v>1 - in MILLESIMI   I</v>
      </c>
      <c r="CQ943" s="1"/>
    </row>
    <row r="944" spans="1:95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435">
        <f>IF(AND(W944&gt;=$U$1,W944&lt;=$U$2),IF(X944='ESTRATTO CONTO'!$E$2,1+COUNTIF(U$4:U943,"&gt;0"),0),0)</f>
        <v>0</v>
      </c>
      <c r="V944" s="417">
        <f t="shared" si="224"/>
        <v>941</v>
      </c>
      <c r="W944" s="509"/>
      <c r="X944" s="321"/>
      <c r="Y944" s="321"/>
      <c r="Z944" s="433"/>
      <c r="AA944" s="918">
        <f t="shared" si="215"/>
        <v>1</v>
      </c>
      <c r="AB944" s="306" t="str">
        <f t="shared" si="216"/>
        <v/>
      </c>
      <c r="AC944" s="788"/>
      <c r="AD944" s="119">
        <f t="shared" ref="AD944:AF963" si="227">IF($AB944=0,0,ROUND($Z944*VLOOKUP(AD$2,$F$1010:$Q$1014,VLOOKUP($CP944,$C$1076:$E$1081,3,FALSE),FALSE),2))</f>
        <v>0</v>
      </c>
      <c r="AE944" s="108">
        <f t="shared" si="227"/>
        <v>0</v>
      </c>
      <c r="AF944" s="108">
        <f t="shared" si="227"/>
        <v>0</v>
      </c>
      <c r="AG944" s="108"/>
      <c r="AH944" s="108"/>
      <c r="AI944" s="108"/>
      <c r="AJ944" s="108"/>
      <c r="AK944" s="108"/>
      <c r="AL944" s="108">
        <f t="shared" si="217"/>
        <v>0</v>
      </c>
      <c r="AM944" s="108"/>
      <c r="AN944" s="108"/>
      <c r="AO944" s="108"/>
      <c r="AP944" s="108"/>
      <c r="AQ944" s="108"/>
      <c r="AR944" s="108"/>
      <c r="AS944" s="108"/>
      <c r="AT944" s="108"/>
      <c r="AU944" s="108"/>
      <c r="AV944" s="108"/>
      <c r="AW944" s="108"/>
      <c r="AX944" s="108"/>
      <c r="AY944" s="108"/>
      <c r="AZ944" s="108"/>
      <c r="BA944" s="108"/>
      <c r="BB944" s="108"/>
      <c r="BC944" s="108"/>
      <c r="BD944" s="108"/>
      <c r="BE944" s="108"/>
      <c r="BF944" s="108"/>
      <c r="BG944" s="108"/>
      <c r="BH944" s="108"/>
      <c r="BI944" s="108"/>
      <c r="BJ944" s="108"/>
      <c r="BK944" s="108"/>
      <c r="BL944" s="108"/>
      <c r="BM944" s="108"/>
      <c r="BN944" s="108"/>
      <c r="BO944" s="108"/>
      <c r="BP944" s="108"/>
      <c r="BQ944" s="108"/>
      <c r="BR944" s="108"/>
      <c r="BS944" s="108"/>
      <c r="BT944" s="108"/>
      <c r="BU944" s="108"/>
      <c r="BV944" s="108"/>
      <c r="BW944" s="108"/>
      <c r="BX944" s="108"/>
      <c r="BY944" s="108"/>
      <c r="BZ944" s="108"/>
      <c r="CA944" s="108"/>
      <c r="CB944" s="108"/>
      <c r="CC944" s="108"/>
      <c r="CD944" s="108"/>
      <c r="CE944" s="108"/>
      <c r="CF944" s="108"/>
      <c r="CG944" s="108"/>
      <c r="CH944" s="108"/>
      <c r="CI944" s="108"/>
      <c r="CJ944" s="108"/>
      <c r="CK944" s="120">
        <f t="shared" si="218"/>
        <v>0</v>
      </c>
      <c r="CL944" s="122">
        <f t="shared" si="219"/>
        <v>0</v>
      </c>
      <c r="CM944" s="524" t="str">
        <f t="shared" si="221"/>
        <v/>
      </c>
      <c r="CN944" s="526">
        <f t="shared" si="222"/>
        <v>0</v>
      </c>
      <c r="CO944" s="122">
        <f t="shared" si="223"/>
        <v>0</v>
      </c>
      <c r="CP944" s="45" t="str">
        <f t="shared" si="220"/>
        <v>1 - in MILLESIMI   I</v>
      </c>
      <c r="CQ944" s="1"/>
    </row>
    <row r="945" spans="1:95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435">
        <f>IF(AND(W945&gt;=$U$1,W945&lt;=$U$2),IF(X945='ESTRATTO CONTO'!$E$2,1+COUNTIF(U$4:U944,"&gt;0"),0),0)</f>
        <v>0</v>
      </c>
      <c r="V945" s="417">
        <f t="shared" si="224"/>
        <v>942</v>
      </c>
      <c r="W945" s="509"/>
      <c r="X945" s="321"/>
      <c r="Y945" s="321"/>
      <c r="Z945" s="433"/>
      <c r="AA945" s="918">
        <f t="shared" si="215"/>
        <v>1</v>
      </c>
      <c r="AB945" s="306" t="str">
        <f t="shared" si="216"/>
        <v/>
      </c>
      <c r="AC945" s="788"/>
      <c r="AD945" s="119">
        <f t="shared" si="227"/>
        <v>0</v>
      </c>
      <c r="AE945" s="108">
        <f t="shared" si="227"/>
        <v>0</v>
      </c>
      <c r="AF945" s="108">
        <f t="shared" si="227"/>
        <v>0</v>
      </c>
      <c r="AG945" s="108"/>
      <c r="AH945" s="108"/>
      <c r="AI945" s="108"/>
      <c r="AJ945" s="108"/>
      <c r="AK945" s="108"/>
      <c r="AL945" s="108">
        <f t="shared" si="217"/>
        <v>0</v>
      </c>
      <c r="AM945" s="108"/>
      <c r="AN945" s="108"/>
      <c r="AO945" s="108"/>
      <c r="AP945" s="108"/>
      <c r="AQ945" s="108"/>
      <c r="AR945" s="108"/>
      <c r="AS945" s="108"/>
      <c r="AT945" s="108"/>
      <c r="AU945" s="108"/>
      <c r="AV945" s="108"/>
      <c r="AW945" s="108"/>
      <c r="AX945" s="108"/>
      <c r="AY945" s="108"/>
      <c r="AZ945" s="108"/>
      <c r="BA945" s="108"/>
      <c r="BB945" s="108"/>
      <c r="BC945" s="108"/>
      <c r="BD945" s="108"/>
      <c r="BE945" s="108"/>
      <c r="BF945" s="108"/>
      <c r="BG945" s="108"/>
      <c r="BH945" s="108"/>
      <c r="BI945" s="108"/>
      <c r="BJ945" s="108"/>
      <c r="BK945" s="108"/>
      <c r="BL945" s="108"/>
      <c r="BM945" s="108"/>
      <c r="BN945" s="108"/>
      <c r="BO945" s="108"/>
      <c r="BP945" s="108"/>
      <c r="BQ945" s="108"/>
      <c r="BR945" s="108"/>
      <c r="BS945" s="108"/>
      <c r="BT945" s="108"/>
      <c r="BU945" s="108"/>
      <c r="BV945" s="108"/>
      <c r="BW945" s="108"/>
      <c r="BX945" s="108"/>
      <c r="BY945" s="108"/>
      <c r="BZ945" s="108"/>
      <c r="CA945" s="108"/>
      <c r="CB945" s="108"/>
      <c r="CC945" s="108"/>
      <c r="CD945" s="108"/>
      <c r="CE945" s="108"/>
      <c r="CF945" s="108"/>
      <c r="CG945" s="108"/>
      <c r="CH945" s="108"/>
      <c r="CI945" s="108"/>
      <c r="CJ945" s="108"/>
      <c r="CK945" s="120">
        <f t="shared" si="218"/>
        <v>0</v>
      </c>
      <c r="CL945" s="122">
        <f t="shared" si="219"/>
        <v>0</v>
      </c>
      <c r="CM945" s="524" t="str">
        <f t="shared" si="221"/>
        <v/>
      </c>
      <c r="CN945" s="526">
        <f t="shared" si="222"/>
        <v>0</v>
      </c>
      <c r="CO945" s="122">
        <f t="shared" si="223"/>
        <v>0</v>
      </c>
      <c r="CP945" s="45" t="str">
        <f t="shared" si="220"/>
        <v>1 - in MILLESIMI   I</v>
      </c>
      <c r="CQ945" s="1"/>
    </row>
    <row r="946" spans="1:95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435">
        <f>IF(AND(W946&gt;=$U$1,W946&lt;=$U$2),IF(X946='ESTRATTO CONTO'!$E$2,1+COUNTIF(U$4:U945,"&gt;0"),0),0)</f>
        <v>0</v>
      </c>
      <c r="V946" s="417">
        <f t="shared" si="224"/>
        <v>943</v>
      </c>
      <c r="W946" s="509"/>
      <c r="X946" s="321"/>
      <c r="Y946" s="321"/>
      <c r="Z946" s="433"/>
      <c r="AA946" s="918">
        <f t="shared" si="215"/>
        <v>1</v>
      </c>
      <c r="AB946" s="306" t="str">
        <f t="shared" si="216"/>
        <v/>
      </c>
      <c r="AC946" s="788"/>
      <c r="AD946" s="119">
        <f t="shared" si="227"/>
        <v>0</v>
      </c>
      <c r="AE946" s="108">
        <f t="shared" si="227"/>
        <v>0</v>
      </c>
      <c r="AF946" s="108">
        <f t="shared" si="227"/>
        <v>0</v>
      </c>
      <c r="AG946" s="108"/>
      <c r="AH946" s="108"/>
      <c r="AI946" s="108"/>
      <c r="AJ946" s="108"/>
      <c r="AK946" s="108"/>
      <c r="AL946" s="108">
        <f t="shared" si="217"/>
        <v>0</v>
      </c>
      <c r="AM946" s="108"/>
      <c r="AN946" s="108"/>
      <c r="AO946" s="108"/>
      <c r="AP946" s="108"/>
      <c r="AQ946" s="108"/>
      <c r="AR946" s="108"/>
      <c r="AS946" s="108"/>
      <c r="AT946" s="108"/>
      <c r="AU946" s="108"/>
      <c r="AV946" s="108"/>
      <c r="AW946" s="108"/>
      <c r="AX946" s="108"/>
      <c r="AY946" s="108"/>
      <c r="AZ946" s="108"/>
      <c r="BA946" s="108"/>
      <c r="BB946" s="108"/>
      <c r="BC946" s="108"/>
      <c r="BD946" s="108"/>
      <c r="BE946" s="108"/>
      <c r="BF946" s="108"/>
      <c r="BG946" s="108"/>
      <c r="BH946" s="108"/>
      <c r="BI946" s="108"/>
      <c r="BJ946" s="108"/>
      <c r="BK946" s="108"/>
      <c r="BL946" s="108"/>
      <c r="BM946" s="108"/>
      <c r="BN946" s="108"/>
      <c r="BO946" s="108"/>
      <c r="BP946" s="108"/>
      <c r="BQ946" s="108"/>
      <c r="BR946" s="108"/>
      <c r="BS946" s="108"/>
      <c r="BT946" s="108"/>
      <c r="BU946" s="108"/>
      <c r="BV946" s="108"/>
      <c r="BW946" s="108"/>
      <c r="BX946" s="108"/>
      <c r="BY946" s="108"/>
      <c r="BZ946" s="108"/>
      <c r="CA946" s="108"/>
      <c r="CB946" s="108"/>
      <c r="CC946" s="108"/>
      <c r="CD946" s="108"/>
      <c r="CE946" s="108"/>
      <c r="CF946" s="108"/>
      <c r="CG946" s="108"/>
      <c r="CH946" s="108"/>
      <c r="CI946" s="108"/>
      <c r="CJ946" s="108"/>
      <c r="CK946" s="120">
        <f t="shared" si="218"/>
        <v>0</v>
      </c>
      <c r="CL946" s="122">
        <f t="shared" si="219"/>
        <v>0</v>
      </c>
      <c r="CM946" s="524" t="str">
        <f t="shared" si="221"/>
        <v/>
      </c>
      <c r="CN946" s="526">
        <f t="shared" si="222"/>
        <v>0</v>
      </c>
      <c r="CO946" s="122">
        <f t="shared" si="223"/>
        <v>0</v>
      </c>
      <c r="CP946" s="45" t="str">
        <f t="shared" si="220"/>
        <v>1 - in MILLESIMI   I</v>
      </c>
      <c r="CQ946" s="1"/>
    </row>
    <row r="947" spans="1:95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435">
        <f>IF(AND(W947&gt;=$U$1,W947&lt;=$U$2),IF(X947='ESTRATTO CONTO'!$E$2,1+COUNTIF(U$4:U946,"&gt;0"),0),0)</f>
        <v>0</v>
      </c>
      <c r="V947" s="417">
        <f t="shared" si="224"/>
        <v>944</v>
      </c>
      <c r="W947" s="509"/>
      <c r="X947" s="321"/>
      <c r="Y947" s="321"/>
      <c r="Z947" s="433"/>
      <c r="AA947" s="918">
        <f t="shared" si="215"/>
        <v>1</v>
      </c>
      <c r="AB947" s="306" t="str">
        <f t="shared" si="216"/>
        <v/>
      </c>
      <c r="AC947" s="788"/>
      <c r="AD947" s="119">
        <f t="shared" si="227"/>
        <v>0</v>
      </c>
      <c r="AE947" s="108">
        <f t="shared" si="227"/>
        <v>0</v>
      </c>
      <c r="AF947" s="108">
        <f t="shared" si="227"/>
        <v>0</v>
      </c>
      <c r="AG947" s="108"/>
      <c r="AH947" s="108"/>
      <c r="AI947" s="108"/>
      <c r="AJ947" s="108"/>
      <c r="AK947" s="108"/>
      <c r="AL947" s="108">
        <f t="shared" si="217"/>
        <v>0</v>
      </c>
      <c r="AM947" s="108"/>
      <c r="AN947" s="108"/>
      <c r="AO947" s="108"/>
      <c r="AP947" s="108"/>
      <c r="AQ947" s="108"/>
      <c r="AR947" s="108"/>
      <c r="AS947" s="108"/>
      <c r="AT947" s="108"/>
      <c r="AU947" s="108"/>
      <c r="AV947" s="108"/>
      <c r="AW947" s="108"/>
      <c r="AX947" s="108"/>
      <c r="AY947" s="108"/>
      <c r="AZ947" s="108"/>
      <c r="BA947" s="108"/>
      <c r="BB947" s="108"/>
      <c r="BC947" s="108"/>
      <c r="BD947" s="108"/>
      <c r="BE947" s="108"/>
      <c r="BF947" s="108"/>
      <c r="BG947" s="108"/>
      <c r="BH947" s="108"/>
      <c r="BI947" s="108"/>
      <c r="BJ947" s="108"/>
      <c r="BK947" s="108"/>
      <c r="BL947" s="108"/>
      <c r="BM947" s="108"/>
      <c r="BN947" s="108"/>
      <c r="BO947" s="108"/>
      <c r="BP947" s="108"/>
      <c r="BQ947" s="108"/>
      <c r="BR947" s="108"/>
      <c r="BS947" s="108"/>
      <c r="BT947" s="108"/>
      <c r="BU947" s="108"/>
      <c r="BV947" s="108"/>
      <c r="BW947" s="108"/>
      <c r="BX947" s="108"/>
      <c r="BY947" s="108"/>
      <c r="BZ947" s="108"/>
      <c r="CA947" s="108"/>
      <c r="CB947" s="108"/>
      <c r="CC947" s="108"/>
      <c r="CD947" s="108"/>
      <c r="CE947" s="108"/>
      <c r="CF947" s="108"/>
      <c r="CG947" s="108"/>
      <c r="CH947" s="108"/>
      <c r="CI947" s="108"/>
      <c r="CJ947" s="108"/>
      <c r="CK947" s="120">
        <f t="shared" si="218"/>
        <v>0</v>
      </c>
      <c r="CL947" s="122">
        <f t="shared" si="219"/>
        <v>0</v>
      </c>
      <c r="CM947" s="524" t="str">
        <f t="shared" si="221"/>
        <v/>
      </c>
      <c r="CN947" s="526">
        <f t="shared" si="222"/>
        <v>0</v>
      </c>
      <c r="CO947" s="122">
        <f t="shared" si="223"/>
        <v>0</v>
      </c>
      <c r="CP947" s="45" t="str">
        <f t="shared" si="220"/>
        <v>1 - in MILLESIMI   I</v>
      </c>
      <c r="CQ947" s="1"/>
    </row>
    <row r="948" spans="1:95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435">
        <f>IF(AND(W948&gt;=$U$1,W948&lt;=$U$2),IF(X948='ESTRATTO CONTO'!$E$2,1+COUNTIF(U$4:U947,"&gt;0"),0),0)</f>
        <v>0</v>
      </c>
      <c r="V948" s="417">
        <f t="shared" si="224"/>
        <v>945</v>
      </c>
      <c r="W948" s="509"/>
      <c r="X948" s="321"/>
      <c r="Y948" s="321"/>
      <c r="Z948" s="433"/>
      <c r="AA948" s="918">
        <f t="shared" si="215"/>
        <v>1</v>
      </c>
      <c r="AB948" s="306" t="str">
        <f t="shared" si="216"/>
        <v/>
      </c>
      <c r="AC948" s="788"/>
      <c r="AD948" s="119">
        <f t="shared" si="227"/>
        <v>0</v>
      </c>
      <c r="AE948" s="108">
        <f t="shared" si="227"/>
        <v>0</v>
      </c>
      <c r="AF948" s="108">
        <f t="shared" si="227"/>
        <v>0</v>
      </c>
      <c r="AG948" s="108"/>
      <c r="AH948" s="108"/>
      <c r="AI948" s="108"/>
      <c r="AJ948" s="108"/>
      <c r="AK948" s="108"/>
      <c r="AL948" s="108">
        <f t="shared" si="217"/>
        <v>0</v>
      </c>
      <c r="AM948" s="108"/>
      <c r="AN948" s="108"/>
      <c r="AO948" s="108"/>
      <c r="AP948" s="108"/>
      <c r="AQ948" s="108"/>
      <c r="AR948" s="108"/>
      <c r="AS948" s="108"/>
      <c r="AT948" s="108"/>
      <c r="AU948" s="108"/>
      <c r="AV948" s="108"/>
      <c r="AW948" s="108"/>
      <c r="AX948" s="108"/>
      <c r="AY948" s="108"/>
      <c r="AZ948" s="108"/>
      <c r="BA948" s="108"/>
      <c r="BB948" s="108"/>
      <c r="BC948" s="108"/>
      <c r="BD948" s="108"/>
      <c r="BE948" s="108"/>
      <c r="BF948" s="108"/>
      <c r="BG948" s="108"/>
      <c r="BH948" s="108"/>
      <c r="BI948" s="108"/>
      <c r="BJ948" s="108"/>
      <c r="BK948" s="108"/>
      <c r="BL948" s="108"/>
      <c r="BM948" s="108"/>
      <c r="BN948" s="108"/>
      <c r="BO948" s="108"/>
      <c r="BP948" s="108"/>
      <c r="BQ948" s="108"/>
      <c r="BR948" s="108"/>
      <c r="BS948" s="108"/>
      <c r="BT948" s="108"/>
      <c r="BU948" s="108"/>
      <c r="BV948" s="108"/>
      <c r="BW948" s="108"/>
      <c r="BX948" s="108"/>
      <c r="BY948" s="108"/>
      <c r="BZ948" s="108"/>
      <c r="CA948" s="108"/>
      <c r="CB948" s="108"/>
      <c r="CC948" s="108"/>
      <c r="CD948" s="108"/>
      <c r="CE948" s="108"/>
      <c r="CF948" s="108"/>
      <c r="CG948" s="108"/>
      <c r="CH948" s="108"/>
      <c r="CI948" s="108"/>
      <c r="CJ948" s="108"/>
      <c r="CK948" s="120">
        <f t="shared" si="218"/>
        <v>0</v>
      </c>
      <c r="CL948" s="122">
        <f t="shared" si="219"/>
        <v>0</v>
      </c>
      <c r="CM948" s="524" t="str">
        <f t="shared" si="221"/>
        <v/>
      </c>
      <c r="CN948" s="526">
        <f t="shared" si="222"/>
        <v>0</v>
      </c>
      <c r="CO948" s="122">
        <f t="shared" si="223"/>
        <v>0</v>
      </c>
      <c r="CP948" s="45" t="str">
        <f t="shared" si="220"/>
        <v>1 - in MILLESIMI   I</v>
      </c>
      <c r="CQ948" s="1"/>
    </row>
    <row r="949" spans="1:95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435">
        <f>IF(AND(W949&gt;=$U$1,W949&lt;=$U$2),IF(X949='ESTRATTO CONTO'!$E$2,1+COUNTIF(U$4:U948,"&gt;0"),0),0)</f>
        <v>0</v>
      </c>
      <c r="V949" s="417">
        <f t="shared" si="224"/>
        <v>946</v>
      </c>
      <c r="W949" s="509"/>
      <c r="X949" s="321"/>
      <c r="Y949" s="321"/>
      <c r="Z949" s="433"/>
      <c r="AA949" s="918">
        <f t="shared" si="215"/>
        <v>1</v>
      </c>
      <c r="AB949" s="306" t="str">
        <f t="shared" si="216"/>
        <v/>
      </c>
      <c r="AC949" s="788"/>
      <c r="AD949" s="119">
        <f t="shared" si="227"/>
        <v>0</v>
      </c>
      <c r="AE949" s="108">
        <f t="shared" si="227"/>
        <v>0</v>
      </c>
      <c r="AF949" s="108">
        <f t="shared" si="227"/>
        <v>0</v>
      </c>
      <c r="AG949" s="108"/>
      <c r="AH949" s="108"/>
      <c r="AI949" s="108"/>
      <c r="AJ949" s="108"/>
      <c r="AK949" s="108"/>
      <c r="AL949" s="108">
        <f t="shared" si="217"/>
        <v>0</v>
      </c>
      <c r="AM949" s="108"/>
      <c r="AN949" s="108"/>
      <c r="AO949" s="108"/>
      <c r="AP949" s="108"/>
      <c r="AQ949" s="108"/>
      <c r="AR949" s="108"/>
      <c r="AS949" s="108"/>
      <c r="AT949" s="108"/>
      <c r="AU949" s="108"/>
      <c r="AV949" s="108"/>
      <c r="AW949" s="108"/>
      <c r="AX949" s="108"/>
      <c r="AY949" s="108"/>
      <c r="AZ949" s="108"/>
      <c r="BA949" s="108"/>
      <c r="BB949" s="108"/>
      <c r="BC949" s="108"/>
      <c r="BD949" s="108"/>
      <c r="BE949" s="108"/>
      <c r="BF949" s="108"/>
      <c r="BG949" s="108"/>
      <c r="BH949" s="108"/>
      <c r="BI949" s="108"/>
      <c r="BJ949" s="108"/>
      <c r="BK949" s="108"/>
      <c r="BL949" s="108"/>
      <c r="BM949" s="108"/>
      <c r="BN949" s="108"/>
      <c r="BO949" s="108"/>
      <c r="BP949" s="108"/>
      <c r="BQ949" s="108"/>
      <c r="BR949" s="108"/>
      <c r="BS949" s="108"/>
      <c r="BT949" s="108"/>
      <c r="BU949" s="108"/>
      <c r="BV949" s="108"/>
      <c r="BW949" s="108"/>
      <c r="BX949" s="108"/>
      <c r="BY949" s="108"/>
      <c r="BZ949" s="108"/>
      <c r="CA949" s="108"/>
      <c r="CB949" s="108"/>
      <c r="CC949" s="108"/>
      <c r="CD949" s="108"/>
      <c r="CE949" s="108"/>
      <c r="CF949" s="108"/>
      <c r="CG949" s="108"/>
      <c r="CH949" s="108"/>
      <c r="CI949" s="108"/>
      <c r="CJ949" s="108"/>
      <c r="CK949" s="120">
        <f t="shared" si="218"/>
        <v>0</v>
      </c>
      <c r="CL949" s="122">
        <f t="shared" si="219"/>
        <v>0</v>
      </c>
      <c r="CM949" s="524" t="str">
        <f t="shared" si="221"/>
        <v/>
      </c>
      <c r="CN949" s="526">
        <f t="shared" si="222"/>
        <v>0</v>
      </c>
      <c r="CO949" s="122">
        <f t="shared" si="223"/>
        <v>0</v>
      </c>
      <c r="CP949" s="45" t="str">
        <f t="shared" si="220"/>
        <v>1 - in MILLESIMI   I</v>
      </c>
      <c r="CQ949" s="1"/>
    </row>
    <row r="950" spans="1:95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435">
        <f>IF(AND(W950&gt;=$U$1,W950&lt;=$U$2),IF(X950='ESTRATTO CONTO'!$E$2,1+COUNTIF(U$4:U949,"&gt;0"),0),0)</f>
        <v>0</v>
      </c>
      <c r="V950" s="417">
        <f t="shared" si="224"/>
        <v>947</v>
      </c>
      <c r="W950" s="509"/>
      <c r="X950" s="321"/>
      <c r="Y950" s="321"/>
      <c r="Z950" s="433"/>
      <c r="AA950" s="918">
        <f t="shared" si="215"/>
        <v>1</v>
      </c>
      <c r="AB950" s="306" t="str">
        <f t="shared" si="216"/>
        <v/>
      </c>
      <c r="AC950" s="788"/>
      <c r="AD950" s="119">
        <f t="shared" si="227"/>
        <v>0</v>
      </c>
      <c r="AE950" s="108">
        <f t="shared" si="227"/>
        <v>0</v>
      </c>
      <c r="AF950" s="108">
        <f t="shared" si="227"/>
        <v>0</v>
      </c>
      <c r="AG950" s="108"/>
      <c r="AH950" s="108"/>
      <c r="AI950" s="108"/>
      <c r="AJ950" s="108"/>
      <c r="AK950" s="108"/>
      <c r="AL950" s="108">
        <f t="shared" si="217"/>
        <v>0</v>
      </c>
      <c r="AM950" s="108"/>
      <c r="AN950" s="108"/>
      <c r="AO950" s="108"/>
      <c r="AP950" s="108"/>
      <c r="AQ950" s="108"/>
      <c r="AR950" s="108"/>
      <c r="AS950" s="108"/>
      <c r="AT950" s="108"/>
      <c r="AU950" s="108"/>
      <c r="AV950" s="108"/>
      <c r="AW950" s="108"/>
      <c r="AX950" s="108"/>
      <c r="AY950" s="108"/>
      <c r="AZ950" s="108"/>
      <c r="BA950" s="108"/>
      <c r="BB950" s="108"/>
      <c r="BC950" s="108"/>
      <c r="BD950" s="108"/>
      <c r="BE950" s="108"/>
      <c r="BF950" s="108"/>
      <c r="BG950" s="108"/>
      <c r="BH950" s="108"/>
      <c r="BI950" s="108"/>
      <c r="BJ950" s="108"/>
      <c r="BK950" s="108"/>
      <c r="BL950" s="108"/>
      <c r="BM950" s="108"/>
      <c r="BN950" s="108"/>
      <c r="BO950" s="108"/>
      <c r="BP950" s="108"/>
      <c r="BQ950" s="108"/>
      <c r="BR950" s="108"/>
      <c r="BS950" s="108"/>
      <c r="BT950" s="108"/>
      <c r="BU950" s="108"/>
      <c r="BV950" s="108"/>
      <c r="BW950" s="108"/>
      <c r="BX950" s="108"/>
      <c r="BY950" s="108"/>
      <c r="BZ950" s="108"/>
      <c r="CA950" s="108"/>
      <c r="CB950" s="108"/>
      <c r="CC950" s="108"/>
      <c r="CD950" s="108"/>
      <c r="CE950" s="108"/>
      <c r="CF950" s="108"/>
      <c r="CG950" s="108"/>
      <c r="CH950" s="108"/>
      <c r="CI950" s="108"/>
      <c r="CJ950" s="108"/>
      <c r="CK950" s="120">
        <f t="shared" si="218"/>
        <v>0</v>
      </c>
      <c r="CL950" s="122">
        <f t="shared" si="219"/>
        <v>0</v>
      </c>
      <c r="CM950" s="524" t="str">
        <f t="shared" si="221"/>
        <v/>
      </c>
      <c r="CN950" s="526">
        <f t="shared" si="222"/>
        <v>0</v>
      </c>
      <c r="CO950" s="122">
        <f t="shared" si="223"/>
        <v>0</v>
      </c>
      <c r="CP950" s="45" t="str">
        <f t="shared" si="220"/>
        <v>1 - in MILLESIMI   I</v>
      </c>
      <c r="CQ950" s="1"/>
    </row>
    <row r="951" spans="1:95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435">
        <f>IF(AND(W951&gt;=$U$1,W951&lt;=$U$2),IF(X951='ESTRATTO CONTO'!$E$2,1+COUNTIF(U$4:U950,"&gt;0"),0),0)</f>
        <v>0</v>
      </c>
      <c r="V951" s="417">
        <f t="shared" si="224"/>
        <v>948</v>
      </c>
      <c r="W951" s="509"/>
      <c r="X951" s="321"/>
      <c r="Y951" s="321"/>
      <c r="Z951" s="433"/>
      <c r="AA951" s="918">
        <f t="shared" si="215"/>
        <v>1</v>
      </c>
      <c r="AB951" s="306" t="str">
        <f t="shared" si="216"/>
        <v/>
      </c>
      <c r="AC951" s="788"/>
      <c r="AD951" s="119">
        <f t="shared" si="227"/>
        <v>0</v>
      </c>
      <c r="AE951" s="108">
        <f t="shared" si="227"/>
        <v>0</v>
      </c>
      <c r="AF951" s="108">
        <f t="shared" si="227"/>
        <v>0</v>
      </c>
      <c r="AG951" s="108"/>
      <c r="AH951" s="108"/>
      <c r="AI951" s="108"/>
      <c r="AJ951" s="108"/>
      <c r="AK951" s="108"/>
      <c r="AL951" s="108">
        <f t="shared" si="217"/>
        <v>0</v>
      </c>
      <c r="AM951" s="108"/>
      <c r="AN951" s="108"/>
      <c r="AO951" s="108"/>
      <c r="AP951" s="108"/>
      <c r="AQ951" s="108"/>
      <c r="AR951" s="108"/>
      <c r="AS951" s="108"/>
      <c r="AT951" s="108"/>
      <c r="AU951" s="108"/>
      <c r="AV951" s="108"/>
      <c r="AW951" s="108"/>
      <c r="AX951" s="108"/>
      <c r="AY951" s="108"/>
      <c r="AZ951" s="108"/>
      <c r="BA951" s="108"/>
      <c r="BB951" s="108"/>
      <c r="BC951" s="108"/>
      <c r="BD951" s="108"/>
      <c r="BE951" s="108"/>
      <c r="BF951" s="108"/>
      <c r="BG951" s="108"/>
      <c r="BH951" s="108"/>
      <c r="BI951" s="108"/>
      <c r="BJ951" s="108"/>
      <c r="BK951" s="108"/>
      <c r="BL951" s="108"/>
      <c r="BM951" s="108"/>
      <c r="BN951" s="108"/>
      <c r="BO951" s="108"/>
      <c r="BP951" s="108"/>
      <c r="BQ951" s="108"/>
      <c r="BR951" s="108"/>
      <c r="BS951" s="108"/>
      <c r="BT951" s="108"/>
      <c r="BU951" s="108"/>
      <c r="BV951" s="108"/>
      <c r="BW951" s="108"/>
      <c r="BX951" s="108"/>
      <c r="BY951" s="108"/>
      <c r="BZ951" s="108"/>
      <c r="CA951" s="108"/>
      <c r="CB951" s="108"/>
      <c r="CC951" s="108"/>
      <c r="CD951" s="108"/>
      <c r="CE951" s="108"/>
      <c r="CF951" s="108"/>
      <c r="CG951" s="108"/>
      <c r="CH951" s="108"/>
      <c r="CI951" s="108"/>
      <c r="CJ951" s="108"/>
      <c r="CK951" s="120">
        <f t="shared" si="218"/>
        <v>0</v>
      </c>
      <c r="CL951" s="122">
        <f t="shared" si="219"/>
        <v>0</v>
      </c>
      <c r="CM951" s="524" t="str">
        <f t="shared" si="221"/>
        <v/>
      </c>
      <c r="CN951" s="526">
        <f t="shared" si="222"/>
        <v>0</v>
      </c>
      <c r="CO951" s="122">
        <f t="shared" si="223"/>
        <v>0</v>
      </c>
      <c r="CP951" s="45" t="str">
        <f t="shared" si="220"/>
        <v>1 - in MILLESIMI   I</v>
      </c>
      <c r="CQ951" s="1"/>
    </row>
    <row r="952" spans="1:95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435">
        <f>IF(AND(W952&gt;=$U$1,W952&lt;=$U$2),IF(X952='ESTRATTO CONTO'!$E$2,1+COUNTIF(U$4:U951,"&gt;0"),0),0)</f>
        <v>0</v>
      </c>
      <c r="V952" s="417">
        <f t="shared" si="224"/>
        <v>949</v>
      </c>
      <c r="W952" s="509"/>
      <c r="X952" s="321"/>
      <c r="Y952" s="321"/>
      <c r="Z952" s="433"/>
      <c r="AA952" s="918">
        <f t="shared" si="215"/>
        <v>1</v>
      </c>
      <c r="AB952" s="306" t="str">
        <f t="shared" si="216"/>
        <v/>
      </c>
      <c r="AC952" s="788"/>
      <c r="AD952" s="119">
        <f t="shared" si="227"/>
        <v>0</v>
      </c>
      <c r="AE952" s="108">
        <f t="shared" si="227"/>
        <v>0</v>
      </c>
      <c r="AF952" s="108">
        <f t="shared" si="227"/>
        <v>0</v>
      </c>
      <c r="AG952" s="108"/>
      <c r="AH952" s="108"/>
      <c r="AI952" s="108"/>
      <c r="AJ952" s="108"/>
      <c r="AK952" s="108"/>
      <c r="AL952" s="108">
        <f t="shared" si="217"/>
        <v>0</v>
      </c>
      <c r="AM952" s="108"/>
      <c r="AN952" s="108"/>
      <c r="AO952" s="108"/>
      <c r="AP952" s="108"/>
      <c r="AQ952" s="108"/>
      <c r="AR952" s="108"/>
      <c r="AS952" s="108"/>
      <c r="AT952" s="108"/>
      <c r="AU952" s="108"/>
      <c r="AV952" s="108"/>
      <c r="AW952" s="108"/>
      <c r="AX952" s="108"/>
      <c r="AY952" s="108"/>
      <c r="AZ952" s="108"/>
      <c r="BA952" s="108"/>
      <c r="BB952" s="108"/>
      <c r="BC952" s="108"/>
      <c r="BD952" s="108"/>
      <c r="BE952" s="108"/>
      <c r="BF952" s="108"/>
      <c r="BG952" s="108"/>
      <c r="BH952" s="108"/>
      <c r="BI952" s="108"/>
      <c r="BJ952" s="108"/>
      <c r="BK952" s="108"/>
      <c r="BL952" s="108"/>
      <c r="BM952" s="108"/>
      <c r="BN952" s="108"/>
      <c r="BO952" s="108"/>
      <c r="BP952" s="108"/>
      <c r="BQ952" s="108"/>
      <c r="BR952" s="108"/>
      <c r="BS952" s="108"/>
      <c r="BT952" s="108"/>
      <c r="BU952" s="108"/>
      <c r="BV952" s="108"/>
      <c r="BW952" s="108"/>
      <c r="BX952" s="108"/>
      <c r="BY952" s="108"/>
      <c r="BZ952" s="108"/>
      <c r="CA952" s="108"/>
      <c r="CB952" s="108"/>
      <c r="CC952" s="108"/>
      <c r="CD952" s="108"/>
      <c r="CE952" s="108"/>
      <c r="CF952" s="108"/>
      <c r="CG952" s="108"/>
      <c r="CH952" s="108"/>
      <c r="CI952" s="108"/>
      <c r="CJ952" s="108"/>
      <c r="CK952" s="120">
        <f t="shared" si="218"/>
        <v>0</v>
      </c>
      <c r="CL952" s="122">
        <f t="shared" si="219"/>
        <v>0</v>
      </c>
      <c r="CM952" s="524" t="str">
        <f t="shared" si="221"/>
        <v/>
      </c>
      <c r="CN952" s="526">
        <f t="shared" si="222"/>
        <v>0</v>
      </c>
      <c r="CO952" s="122">
        <f t="shared" si="223"/>
        <v>0</v>
      </c>
      <c r="CP952" s="45" t="str">
        <f t="shared" si="220"/>
        <v>1 - in MILLESIMI   I</v>
      </c>
      <c r="CQ952" s="1"/>
    </row>
    <row r="953" spans="1:95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435">
        <f>IF(AND(W953&gt;=$U$1,W953&lt;=$U$2),IF(X953='ESTRATTO CONTO'!$E$2,1+COUNTIF(U$4:U952,"&gt;0"),0),0)</f>
        <v>0</v>
      </c>
      <c r="V953" s="417">
        <f t="shared" si="224"/>
        <v>950</v>
      </c>
      <c r="W953" s="509"/>
      <c r="X953" s="321"/>
      <c r="Y953" s="321"/>
      <c r="Z953" s="433"/>
      <c r="AA953" s="918">
        <f t="shared" si="215"/>
        <v>1</v>
      </c>
      <c r="AB953" s="306" t="str">
        <f t="shared" si="216"/>
        <v/>
      </c>
      <c r="AC953" s="788"/>
      <c r="AD953" s="119">
        <f t="shared" si="227"/>
        <v>0</v>
      </c>
      <c r="AE953" s="108">
        <f t="shared" si="227"/>
        <v>0</v>
      </c>
      <c r="AF953" s="108">
        <f t="shared" si="227"/>
        <v>0</v>
      </c>
      <c r="AG953" s="108"/>
      <c r="AH953" s="108"/>
      <c r="AI953" s="108"/>
      <c r="AJ953" s="108"/>
      <c r="AK953" s="108"/>
      <c r="AL953" s="108">
        <f t="shared" si="217"/>
        <v>0</v>
      </c>
      <c r="AM953" s="108"/>
      <c r="AN953" s="108"/>
      <c r="AO953" s="108"/>
      <c r="AP953" s="108"/>
      <c r="AQ953" s="108"/>
      <c r="AR953" s="108"/>
      <c r="AS953" s="108"/>
      <c r="AT953" s="108"/>
      <c r="AU953" s="108"/>
      <c r="AV953" s="108"/>
      <c r="AW953" s="108"/>
      <c r="AX953" s="108"/>
      <c r="AY953" s="108"/>
      <c r="AZ953" s="108"/>
      <c r="BA953" s="108"/>
      <c r="BB953" s="108"/>
      <c r="BC953" s="108"/>
      <c r="BD953" s="108"/>
      <c r="BE953" s="108"/>
      <c r="BF953" s="108"/>
      <c r="BG953" s="108"/>
      <c r="BH953" s="108"/>
      <c r="BI953" s="108"/>
      <c r="BJ953" s="108"/>
      <c r="BK953" s="108"/>
      <c r="BL953" s="108"/>
      <c r="BM953" s="108"/>
      <c r="BN953" s="108"/>
      <c r="BO953" s="108"/>
      <c r="BP953" s="108"/>
      <c r="BQ953" s="108"/>
      <c r="BR953" s="108"/>
      <c r="BS953" s="108"/>
      <c r="BT953" s="108"/>
      <c r="BU953" s="108"/>
      <c r="BV953" s="108"/>
      <c r="BW953" s="108"/>
      <c r="BX953" s="108"/>
      <c r="BY953" s="108"/>
      <c r="BZ953" s="108"/>
      <c r="CA953" s="108"/>
      <c r="CB953" s="108"/>
      <c r="CC953" s="108"/>
      <c r="CD953" s="108"/>
      <c r="CE953" s="108"/>
      <c r="CF953" s="108"/>
      <c r="CG953" s="108"/>
      <c r="CH953" s="108"/>
      <c r="CI953" s="108"/>
      <c r="CJ953" s="108"/>
      <c r="CK953" s="120">
        <f t="shared" si="218"/>
        <v>0</v>
      </c>
      <c r="CL953" s="122">
        <f t="shared" si="219"/>
        <v>0</v>
      </c>
      <c r="CM953" s="524" t="str">
        <f t="shared" si="221"/>
        <v/>
      </c>
      <c r="CN953" s="526">
        <f t="shared" si="222"/>
        <v>0</v>
      </c>
      <c r="CO953" s="122">
        <f t="shared" si="223"/>
        <v>0</v>
      </c>
      <c r="CP953" s="45" t="str">
        <f t="shared" si="220"/>
        <v>1 - in MILLESIMI   I</v>
      </c>
      <c r="CQ953" s="1"/>
    </row>
    <row r="954" spans="1:95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435">
        <f>IF(AND(W954&gt;=$U$1,W954&lt;=$U$2),IF(X954='ESTRATTO CONTO'!$E$2,1+COUNTIF(U$4:U953,"&gt;0"),0),0)</f>
        <v>0</v>
      </c>
      <c r="V954" s="417">
        <f t="shared" si="224"/>
        <v>951</v>
      </c>
      <c r="W954" s="509"/>
      <c r="X954" s="321"/>
      <c r="Y954" s="321"/>
      <c r="Z954" s="433"/>
      <c r="AA954" s="918">
        <f t="shared" si="215"/>
        <v>1</v>
      </c>
      <c r="AB954" s="306" t="str">
        <f t="shared" si="216"/>
        <v/>
      </c>
      <c r="AC954" s="788"/>
      <c r="AD954" s="119">
        <f t="shared" si="227"/>
        <v>0</v>
      </c>
      <c r="AE954" s="108">
        <f t="shared" si="227"/>
        <v>0</v>
      </c>
      <c r="AF954" s="108">
        <f t="shared" si="227"/>
        <v>0</v>
      </c>
      <c r="AG954" s="108"/>
      <c r="AH954" s="108"/>
      <c r="AI954" s="108"/>
      <c r="AJ954" s="108"/>
      <c r="AK954" s="108"/>
      <c r="AL954" s="108">
        <f t="shared" si="217"/>
        <v>0</v>
      </c>
      <c r="AM954" s="108"/>
      <c r="AN954" s="108"/>
      <c r="AO954" s="108"/>
      <c r="AP954" s="108"/>
      <c r="AQ954" s="108"/>
      <c r="AR954" s="108"/>
      <c r="AS954" s="108"/>
      <c r="AT954" s="108"/>
      <c r="AU954" s="108"/>
      <c r="AV954" s="108"/>
      <c r="AW954" s="108"/>
      <c r="AX954" s="108"/>
      <c r="AY954" s="108"/>
      <c r="AZ954" s="108"/>
      <c r="BA954" s="108"/>
      <c r="BB954" s="108"/>
      <c r="BC954" s="108"/>
      <c r="BD954" s="108"/>
      <c r="BE954" s="108"/>
      <c r="BF954" s="108"/>
      <c r="BG954" s="108"/>
      <c r="BH954" s="108"/>
      <c r="BI954" s="108"/>
      <c r="BJ954" s="108"/>
      <c r="BK954" s="108"/>
      <c r="BL954" s="108"/>
      <c r="BM954" s="108"/>
      <c r="BN954" s="108"/>
      <c r="BO954" s="108"/>
      <c r="BP954" s="108"/>
      <c r="BQ954" s="108"/>
      <c r="BR954" s="108"/>
      <c r="BS954" s="108"/>
      <c r="BT954" s="108"/>
      <c r="BU954" s="108"/>
      <c r="BV954" s="108"/>
      <c r="BW954" s="108"/>
      <c r="BX954" s="108"/>
      <c r="BY954" s="108"/>
      <c r="BZ954" s="108"/>
      <c r="CA954" s="108"/>
      <c r="CB954" s="108"/>
      <c r="CC954" s="108"/>
      <c r="CD954" s="108"/>
      <c r="CE954" s="108"/>
      <c r="CF954" s="108"/>
      <c r="CG954" s="108"/>
      <c r="CH954" s="108"/>
      <c r="CI954" s="108"/>
      <c r="CJ954" s="108"/>
      <c r="CK954" s="120">
        <f t="shared" si="218"/>
        <v>0</v>
      </c>
      <c r="CL954" s="122">
        <f t="shared" si="219"/>
        <v>0</v>
      </c>
      <c r="CM954" s="524" t="str">
        <f t="shared" si="221"/>
        <v/>
      </c>
      <c r="CN954" s="526">
        <f t="shared" si="222"/>
        <v>0</v>
      </c>
      <c r="CO954" s="122">
        <f t="shared" si="223"/>
        <v>0</v>
      </c>
      <c r="CP954" s="45" t="str">
        <f t="shared" si="220"/>
        <v>1 - in MILLESIMI   I</v>
      </c>
      <c r="CQ954" s="1"/>
    </row>
    <row r="955" spans="1:95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435">
        <f>IF(AND(W955&gt;=$U$1,W955&lt;=$U$2),IF(X955='ESTRATTO CONTO'!$E$2,1+COUNTIF(U$4:U954,"&gt;0"),0),0)</f>
        <v>0</v>
      </c>
      <c r="V955" s="417">
        <f t="shared" si="224"/>
        <v>952</v>
      </c>
      <c r="W955" s="509"/>
      <c r="X955" s="321"/>
      <c r="Y955" s="321"/>
      <c r="Z955" s="433"/>
      <c r="AA955" s="918">
        <f t="shared" si="215"/>
        <v>1</v>
      </c>
      <c r="AB955" s="306" t="str">
        <f t="shared" si="216"/>
        <v/>
      </c>
      <c r="AC955" s="788"/>
      <c r="AD955" s="119">
        <f t="shared" si="227"/>
        <v>0</v>
      </c>
      <c r="AE955" s="108">
        <f t="shared" si="227"/>
        <v>0</v>
      </c>
      <c r="AF955" s="108">
        <f t="shared" si="227"/>
        <v>0</v>
      </c>
      <c r="AG955" s="108"/>
      <c r="AH955" s="108"/>
      <c r="AI955" s="108"/>
      <c r="AJ955" s="108"/>
      <c r="AK955" s="108"/>
      <c r="AL955" s="108">
        <f t="shared" si="217"/>
        <v>0</v>
      </c>
      <c r="AM955" s="108"/>
      <c r="AN955" s="108"/>
      <c r="AO955" s="108"/>
      <c r="AP955" s="108"/>
      <c r="AQ955" s="108"/>
      <c r="AR955" s="108"/>
      <c r="AS955" s="108"/>
      <c r="AT955" s="108"/>
      <c r="AU955" s="108"/>
      <c r="AV955" s="108"/>
      <c r="AW955" s="108"/>
      <c r="AX955" s="108"/>
      <c r="AY955" s="108"/>
      <c r="AZ955" s="108"/>
      <c r="BA955" s="108"/>
      <c r="BB955" s="108"/>
      <c r="BC955" s="108"/>
      <c r="BD955" s="108"/>
      <c r="BE955" s="108"/>
      <c r="BF955" s="108"/>
      <c r="BG955" s="108"/>
      <c r="BH955" s="108"/>
      <c r="BI955" s="108"/>
      <c r="BJ955" s="108"/>
      <c r="BK955" s="108"/>
      <c r="BL955" s="108"/>
      <c r="BM955" s="108"/>
      <c r="BN955" s="108"/>
      <c r="BO955" s="108"/>
      <c r="BP955" s="108"/>
      <c r="BQ955" s="108"/>
      <c r="BR955" s="108"/>
      <c r="BS955" s="108"/>
      <c r="BT955" s="108"/>
      <c r="BU955" s="108"/>
      <c r="BV955" s="108"/>
      <c r="BW955" s="108"/>
      <c r="BX955" s="108"/>
      <c r="BY955" s="108"/>
      <c r="BZ955" s="108"/>
      <c r="CA955" s="108"/>
      <c r="CB955" s="108"/>
      <c r="CC955" s="108"/>
      <c r="CD955" s="108"/>
      <c r="CE955" s="108"/>
      <c r="CF955" s="108"/>
      <c r="CG955" s="108"/>
      <c r="CH955" s="108"/>
      <c r="CI955" s="108"/>
      <c r="CJ955" s="108"/>
      <c r="CK955" s="120">
        <f t="shared" si="218"/>
        <v>0</v>
      </c>
      <c r="CL955" s="122">
        <f t="shared" si="219"/>
        <v>0</v>
      </c>
      <c r="CM955" s="524" t="str">
        <f t="shared" si="221"/>
        <v/>
      </c>
      <c r="CN955" s="526">
        <f t="shared" si="222"/>
        <v>0</v>
      </c>
      <c r="CO955" s="122">
        <f t="shared" si="223"/>
        <v>0</v>
      </c>
      <c r="CP955" s="45" t="str">
        <f t="shared" si="220"/>
        <v>1 - in MILLESIMI   I</v>
      </c>
      <c r="CQ955" s="1"/>
    </row>
    <row r="956" spans="1:95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435">
        <f>IF(AND(W956&gt;=$U$1,W956&lt;=$U$2),IF(X956='ESTRATTO CONTO'!$E$2,1+COUNTIF(U$4:U955,"&gt;0"),0),0)</f>
        <v>0</v>
      </c>
      <c r="V956" s="417">
        <f t="shared" si="224"/>
        <v>953</v>
      </c>
      <c r="W956" s="509"/>
      <c r="X956" s="321"/>
      <c r="Y956" s="321"/>
      <c r="Z956" s="433"/>
      <c r="AA956" s="918">
        <f t="shared" si="215"/>
        <v>1</v>
      </c>
      <c r="AB956" s="306" t="str">
        <f t="shared" si="216"/>
        <v/>
      </c>
      <c r="AC956" s="788"/>
      <c r="AD956" s="119">
        <f t="shared" si="227"/>
        <v>0</v>
      </c>
      <c r="AE956" s="108">
        <f t="shared" si="227"/>
        <v>0</v>
      </c>
      <c r="AF956" s="108">
        <f t="shared" si="227"/>
        <v>0</v>
      </c>
      <c r="AG956" s="108"/>
      <c r="AH956" s="108"/>
      <c r="AI956" s="108"/>
      <c r="AJ956" s="108"/>
      <c r="AK956" s="108"/>
      <c r="AL956" s="108">
        <f t="shared" si="217"/>
        <v>0</v>
      </c>
      <c r="AM956" s="108"/>
      <c r="AN956" s="108"/>
      <c r="AO956" s="108"/>
      <c r="AP956" s="108"/>
      <c r="AQ956" s="108"/>
      <c r="AR956" s="108"/>
      <c r="AS956" s="108"/>
      <c r="AT956" s="108"/>
      <c r="AU956" s="108"/>
      <c r="AV956" s="108"/>
      <c r="AW956" s="108"/>
      <c r="AX956" s="108"/>
      <c r="AY956" s="108"/>
      <c r="AZ956" s="108"/>
      <c r="BA956" s="108"/>
      <c r="BB956" s="108"/>
      <c r="BC956" s="108"/>
      <c r="BD956" s="108"/>
      <c r="BE956" s="108"/>
      <c r="BF956" s="108"/>
      <c r="BG956" s="108"/>
      <c r="BH956" s="108"/>
      <c r="BI956" s="108"/>
      <c r="BJ956" s="108"/>
      <c r="BK956" s="108"/>
      <c r="BL956" s="108"/>
      <c r="BM956" s="108"/>
      <c r="BN956" s="108"/>
      <c r="BO956" s="108"/>
      <c r="BP956" s="108"/>
      <c r="BQ956" s="108"/>
      <c r="BR956" s="108"/>
      <c r="BS956" s="108"/>
      <c r="BT956" s="108"/>
      <c r="BU956" s="108"/>
      <c r="BV956" s="108"/>
      <c r="BW956" s="108"/>
      <c r="BX956" s="108"/>
      <c r="BY956" s="108"/>
      <c r="BZ956" s="108"/>
      <c r="CA956" s="108"/>
      <c r="CB956" s="108"/>
      <c r="CC956" s="108"/>
      <c r="CD956" s="108"/>
      <c r="CE956" s="108"/>
      <c r="CF956" s="108"/>
      <c r="CG956" s="108"/>
      <c r="CH956" s="108"/>
      <c r="CI956" s="108"/>
      <c r="CJ956" s="108"/>
      <c r="CK956" s="120">
        <f t="shared" si="218"/>
        <v>0</v>
      </c>
      <c r="CL956" s="122">
        <f t="shared" si="219"/>
        <v>0</v>
      </c>
      <c r="CM956" s="524" t="str">
        <f t="shared" si="221"/>
        <v/>
      </c>
      <c r="CN956" s="526">
        <f t="shared" si="222"/>
        <v>0</v>
      </c>
      <c r="CO956" s="122">
        <f t="shared" si="223"/>
        <v>0</v>
      </c>
      <c r="CP956" s="45" t="str">
        <f t="shared" si="220"/>
        <v>1 - in MILLESIMI   I</v>
      </c>
      <c r="CQ956" s="1"/>
    </row>
    <row r="957" spans="1:95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435">
        <f>IF(AND(W957&gt;=$U$1,W957&lt;=$U$2),IF(X957='ESTRATTO CONTO'!$E$2,1+COUNTIF(U$4:U956,"&gt;0"),0),0)</f>
        <v>0</v>
      </c>
      <c r="V957" s="417">
        <f t="shared" si="224"/>
        <v>954</v>
      </c>
      <c r="W957" s="509"/>
      <c r="X957" s="321"/>
      <c r="Y957" s="321"/>
      <c r="Z957" s="433"/>
      <c r="AA957" s="918">
        <f t="shared" si="215"/>
        <v>1</v>
      </c>
      <c r="AB957" s="306" t="str">
        <f t="shared" si="216"/>
        <v/>
      </c>
      <c r="AC957" s="788"/>
      <c r="AD957" s="119">
        <f t="shared" si="227"/>
        <v>0</v>
      </c>
      <c r="AE957" s="108">
        <f t="shared" si="227"/>
        <v>0</v>
      </c>
      <c r="AF957" s="108">
        <f t="shared" si="227"/>
        <v>0</v>
      </c>
      <c r="AG957" s="108"/>
      <c r="AH957" s="108"/>
      <c r="AI957" s="108"/>
      <c r="AJ957" s="108"/>
      <c r="AK957" s="108"/>
      <c r="AL957" s="108">
        <f t="shared" si="217"/>
        <v>0</v>
      </c>
      <c r="AM957" s="108"/>
      <c r="AN957" s="108"/>
      <c r="AO957" s="108"/>
      <c r="AP957" s="108"/>
      <c r="AQ957" s="108"/>
      <c r="AR957" s="108"/>
      <c r="AS957" s="108"/>
      <c r="AT957" s="108"/>
      <c r="AU957" s="108"/>
      <c r="AV957" s="108"/>
      <c r="AW957" s="108"/>
      <c r="AX957" s="108"/>
      <c r="AY957" s="108"/>
      <c r="AZ957" s="108"/>
      <c r="BA957" s="108"/>
      <c r="BB957" s="108"/>
      <c r="BC957" s="108"/>
      <c r="BD957" s="108"/>
      <c r="BE957" s="108"/>
      <c r="BF957" s="108"/>
      <c r="BG957" s="108"/>
      <c r="BH957" s="108"/>
      <c r="BI957" s="108"/>
      <c r="BJ957" s="108"/>
      <c r="BK957" s="108"/>
      <c r="BL957" s="108"/>
      <c r="BM957" s="108"/>
      <c r="BN957" s="108"/>
      <c r="BO957" s="108"/>
      <c r="BP957" s="108"/>
      <c r="BQ957" s="108"/>
      <c r="BR957" s="108"/>
      <c r="BS957" s="108"/>
      <c r="BT957" s="108"/>
      <c r="BU957" s="108"/>
      <c r="BV957" s="108"/>
      <c r="BW957" s="108"/>
      <c r="BX957" s="108"/>
      <c r="BY957" s="108"/>
      <c r="BZ957" s="108"/>
      <c r="CA957" s="108"/>
      <c r="CB957" s="108"/>
      <c r="CC957" s="108"/>
      <c r="CD957" s="108"/>
      <c r="CE957" s="108"/>
      <c r="CF957" s="108"/>
      <c r="CG957" s="108"/>
      <c r="CH957" s="108"/>
      <c r="CI957" s="108"/>
      <c r="CJ957" s="108"/>
      <c r="CK957" s="120">
        <f t="shared" si="218"/>
        <v>0</v>
      </c>
      <c r="CL957" s="122">
        <f t="shared" si="219"/>
        <v>0</v>
      </c>
      <c r="CM957" s="524" t="str">
        <f t="shared" si="221"/>
        <v/>
      </c>
      <c r="CN957" s="526">
        <f t="shared" si="222"/>
        <v>0</v>
      </c>
      <c r="CO957" s="122">
        <f t="shared" si="223"/>
        <v>0</v>
      </c>
      <c r="CP957" s="45" t="str">
        <f t="shared" si="220"/>
        <v>1 - in MILLESIMI   I</v>
      </c>
      <c r="CQ957" s="1"/>
    </row>
    <row r="958" spans="1:95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435">
        <f>IF(AND(W958&gt;=$U$1,W958&lt;=$U$2),IF(X958='ESTRATTO CONTO'!$E$2,1+COUNTIF(U$4:U957,"&gt;0"),0),0)</f>
        <v>0</v>
      </c>
      <c r="V958" s="417">
        <f t="shared" si="224"/>
        <v>955</v>
      </c>
      <c r="W958" s="509"/>
      <c r="X958" s="321"/>
      <c r="Y958" s="321"/>
      <c r="Z958" s="433"/>
      <c r="AA958" s="918">
        <f t="shared" si="215"/>
        <v>1</v>
      </c>
      <c r="AB958" s="306" t="str">
        <f t="shared" si="216"/>
        <v/>
      </c>
      <c r="AC958" s="788"/>
      <c r="AD958" s="119">
        <f t="shared" si="227"/>
        <v>0</v>
      </c>
      <c r="AE958" s="108">
        <f t="shared" si="227"/>
        <v>0</v>
      </c>
      <c r="AF958" s="108">
        <f t="shared" si="227"/>
        <v>0</v>
      </c>
      <c r="AG958" s="108"/>
      <c r="AH958" s="108"/>
      <c r="AI958" s="108"/>
      <c r="AJ958" s="108"/>
      <c r="AK958" s="108"/>
      <c r="AL958" s="108">
        <f t="shared" si="217"/>
        <v>0</v>
      </c>
      <c r="AM958" s="108"/>
      <c r="AN958" s="108"/>
      <c r="AO958" s="108"/>
      <c r="AP958" s="108"/>
      <c r="AQ958" s="108"/>
      <c r="AR958" s="108"/>
      <c r="AS958" s="108"/>
      <c r="AT958" s="108"/>
      <c r="AU958" s="108"/>
      <c r="AV958" s="108"/>
      <c r="AW958" s="108"/>
      <c r="AX958" s="108"/>
      <c r="AY958" s="108"/>
      <c r="AZ958" s="108"/>
      <c r="BA958" s="108"/>
      <c r="BB958" s="108"/>
      <c r="BC958" s="108"/>
      <c r="BD958" s="108"/>
      <c r="BE958" s="108"/>
      <c r="BF958" s="108"/>
      <c r="BG958" s="108"/>
      <c r="BH958" s="108"/>
      <c r="BI958" s="108"/>
      <c r="BJ958" s="108"/>
      <c r="BK958" s="108"/>
      <c r="BL958" s="108"/>
      <c r="BM958" s="108"/>
      <c r="BN958" s="108"/>
      <c r="BO958" s="108"/>
      <c r="BP958" s="108"/>
      <c r="BQ958" s="108"/>
      <c r="BR958" s="108"/>
      <c r="BS958" s="108"/>
      <c r="BT958" s="108"/>
      <c r="BU958" s="108"/>
      <c r="BV958" s="108"/>
      <c r="BW958" s="108"/>
      <c r="BX958" s="108"/>
      <c r="BY958" s="108"/>
      <c r="BZ958" s="108"/>
      <c r="CA958" s="108"/>
      <c r="CB958" s="108"/>
      <c r="CC958" s="108"/>
      <c r="CD958" s="108"/>
      <c r="CE958" s="108"/>
      <c r="CF958" s="108"/>
      <c r="CG958" s="108"/>
      <c r="CH958" s="108"/>
      <c r="CI958" s="108"/>
      <c r="CJ958" s="108"/>
      <c r="CK958" s="120">
        <f t="shared" si="218"/>
        <v>0</v>
      </c>
      <c r="CL958" s="122">
        <f t="shared" si="219"/>
        <v>0</v>
      </c>
      <c r="CM958" s="524" t="str">
        <f t="shared" si="221"/>
        <v/>
      </c>
      <c r="CN958" s="526">
        <f t="shared" si="222"/>
        <v>0</v>
      </c>
      <c r="CO958" s="122">
        <f t="shared" si="223"/>
        <v>0</v>
      </c>
      <c r="CP958" s="45" t="str">
        <f t="shared" si="220"/>
        <v>1 - in MILLESIMI   I</v>
      </c>
      <c r="CQ958" s="1"/>
    </row>
    <row r="959" spans="1:95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435">
        <f>IF(AND(W959&gt;=$U$1,W959&lt;=$U$2),IF(X959='ESTRATTO CONTO'!$E$2,1+COUNTIF(U$4:U958,"&gt;0"),0),0)</f>
        <v>0</v>
      </c>
      <c r="V959" s="417">
        <f t="shared" si="224"/>
        <v>956</v>
      </c>
      <c r="W959" s="509"/>
      <c r="X959" s="321"/>
      <c r="Y959" s="321"/>
      <c r="Z959" s="433"/>
      <c r="AA959" s="918">
        <f t="shared" si="215"/>
        <v>1</v>
      </c>
      <c r="AB959" s="306" t="str">
        <f t="shared" si="216"/>
        <v/>
      </c>
      <c r="AC959" s="788"/>
      <c r="AD959" s="119">
        <f t="shared" si="227"/>
        <v>0</v>
      </c>
      <c r="AE959" s="108">
        <f t="shared" si="227"/>
        <v>0</v>
      </c>
      <c r="AF959" s="108">
        <f t="shared" si="227"/>
        <v>0</v>
      </c>
      <c r="AG959" s="108"/>
      <c r="AH959" s="108"/>
      <c r="AI959" s="108"/>
      <c r="AJ959" s="108"/>
      <c r="AK959" s="108"/>
      <c r="AL959" s="108">
        <f t="shared" si="217"/>
        <v>0</v>
      </c>
      <c r="AM959" s="108"/>
      <c r="AN959" s="108"/>
      <c r="AO959" s="108"/>
      <c r="AP959" s="108"/>
      <c r="AQ959" s="108"/>
      <c r="AR959" s="108"/>
      <c r="AS959" s="108"/>
      <c r="AT959" s="108"/>
      <c r="AU959" s="108"/>
      <c r="AV959" s="108"/>
      <c r="AW959" s="108"/>
      <c r="AX959" s="108"/>
      <c r="AY959" s="108"/>
      <c r="AZ959" s="108"/>
      <c r="BA959" s="108"/>
      <c r="BB959" s="108"/>
      <c r="BC959" s="108"/>
      <c r="BD959" s="108"/>
      <c r="BE959" s="108"/>
      <c r="BF959" s="108"/>
      <c r="BG959" s="108"/>
      <c r="BH959" s="108"/>
      <c r="BI959" s="108"/>
      <c r="BJ959" s="108"/>
      <c r="BK959" s="108"/>
      <c r="BL959" s="108"/>
      <c r="BM959" s="108"/>
      <c r="BN959" s="108"/>
      <c r="BO959" s="108"/>
      <c r="BP959" s="108"/>
      <c r="BQ959" s="108"/>
      <c r="BR959" s="108"/>
      <c r="BS959" s="108"/>
      <c r="BT959" s="108"/>
      <c r="BU959" s="108"/>
      <c r="BV959" s="108"/>
      <c r="BW959" s="108"/>
      <c r="BX959" s="108"/>
      <c r="BY959" s="108"/>
      <c r="BZ959" s="108"/>
      <c r="CA959" s="108"/>
      <c r="CB959" s="108"/>
      <c r="CC959" s="108"/>
      <c r="CD959" s="108"/>
      <c r="CE959" s="108"/>
      <c r="CF959" s="108"/>
      <c r="CG959" s="108"/>
      <c r="CH959" s="108"/>
      <c r="CI959" s="108"/>
      <c r="CJ959" s="108"/>
      <c r="CK959" s="120">
        <f t="shared" si="218"/>
        <v>0</v>
      </c>
      <c r="CL959" s="122">
        <f t="shared" si="219"/>
        <v>0</v>
      </c>
      <c r="CM959" s="524" t="str">
        <f t="shared" si="221"/>
        <v/>
      </c>
      <c r="CN959" s="526">
        <f t="shared" si="222"/>
        <v>0</v>
      </c>
      <c r="CO959" s="122">
        <f t="shared" si="223"/>
        <v>0</v>
      </c>
      <c r="CP959" s="45" t="str">
        <f t="shared" si="220"/>
        <v>1 - in MILLESIMI   I</v>
      </c>
      <c r="CQ959" s="1"/>
    </row>
    <row r="960" spans="1:95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435">
        <f>IF(AND(W960&gt;=$U$1,W960&lt;=$U$2),IF(X960='ESTRATTO CONTO'!$E$2,1+COUNTIF(U$4:U959,"&gt;0"),0),0)</f>
        <v>0</v>
      </c>
      <c r="V960" s="417">
        <f t="shared" si="224"/>
        <v>957</v>
      </c>
      <c r="W960" s="509"/>
      <c r="X960" s="321"/>
      <c r="Y960" s="321"/>
      <c r="Z960" s="433"/>
      <c r="AA960" s="918">
        <f t="shared" si="215"/>
        <v>1</v>
      </c>
      <c r="AB960" s="306" t="str">
        <f t="shared" si="216"/>
        <v/>
      </c>
      <c r="AC960" s="788"/>
      <c r="AD960" s="119">
        <f t="shared" si="227"/>
        <v>0</v>
      </c>
      <c r="AE960" s="108">
        <f t="shared" si="227"/>
        <v>0</v>
      </c>
      <c r="AF960" s="108">
        <f t="shared" si="227"/>
        <v>0</v>
      </c>
      <c r="AG960" s="108"/>
      <c r="AH960" s="108"/>
      <c r="AI960" s="108"/>
      <c r="AJ960" s="108"/>
      <c r="AK960" s="108"/>
      <c r="AL960" s="108">
        <f t="shared" si="217"/>
        <v>0</v>
      </c>
      <c r="AM960" s="108"/>
      <c r="AN960" s="108"/>
      <c r="AO960" s="108"/>
      <c r="AP960" s="108"/>
      <c r="AQ960" s="108"/>
      <c r="AR960" s="108"/>
      <c r="AS960" s="108"/>
      <c r="AT960" s="108"/>
      <c r="AU960" s="108"/>
      <c r="AV960" s="108"/>
      <c r="AW960" s="108"/>
      <c r="AX960" s="108"/>
      <c r="AY960" s="108"/>
      <c r="AZ960" s="108"/>
      <c r="BA960" s="108"/>
      <c r="BB960" s="108"/>
      <c r="BC960" s="108"/>
      <c r="BD960" s="108"/>
      <c r="BE960" s="108"/>
      <c r="BF960" s="108"/>
      <c r="BG960" s="108"/>
      <c r="BH960" s="108"/>
      <c r="BI960" s="108"/>
      <c r="BJ960" s="108"/>
      <c r="BK960" s="108"/>
      <c r="BL960" s="108"/>
      <c r="BM960" s="108"/>
      <c r="BN960" s="108"/>
      <c r="BO960" s="108"/>
      <c r="BP960" s="108"/>
      <c r="BQ960" s="108"/>
      <c r="BR960" s="108"/>
      <c r="BS960" s="108"/>
      <c r="BT960" s="108"/>
      <c r="BU960" s="108"/>
      <c r="BV960" s="108"/>
      <c r="BW960" s="108"/>
      <c r="BX960" s="108"/>
      <c r="BY960" s="108"/>
      <c r="BZ960" s="108"/>
      <c r="CA960" s="108"/>
      <c r="CB960" s="108"/>
      <c r="CC960" s="108"/>
      <c r="CD960" s="108"/>
      <c r="CE960" s="108"/>
      <c r="CF960" s="108"/>
      <c r="CG960" s="108"/>
      <c r="CH960" s="108"/>
      <c r="CI960" s="108"/>
      <c r="CJ960" s="108"/>
      <c r="CK960" s="120">
        <f t="shared" si="218"/>
        <v>0</v>
      </c>
      <c r="CL960" s="122">
        <f t="shared" si="219"/>
        <v>0</v>
      </c>
      <c r="CM960" s="524" t="str">
        <f t="shared" si="221"/>
        <v/>
      </c>
      <c r="CN960" s="526">
        <f t="shared" si="222"/>
        <v>0</v>
      </c>
      <c r="CO960" s="122">
        <f t="shared" si="223"/>
        <v>0</v>
      </c>
      <c r="CP960" s="45" t="str">
        <f t="shared" si="220"/>
        <v>1 - in MILLESIMI   I</v>
      </c>
      <c r="CQ960" s="1"/>
    </row>
    <row r="961" spans="1:95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435">
        <f>IF(AND(W961&gt;=$U$1,W961&lt;=$U$2),IF(X961='ESTRATTO CONTO'!$E$2,1+COUNTIF(U$4:U960,"&gt;0"),0),0)</f>
        <v>0</v>
      </c>
      <c r="V961" s="417">
        <f t="shared" si="224"/>
        <v>958</v>
      </c>
      <c r="W961" s="509"/>
      <c r="X961" s="321"/>
      <c r="Y961" s="321"/>
      <c r="Z961" s="433"/>
      <c r="AA961" s="918">
        <f t="shared" si="215"/>
        <v>1</v>
      </c>
      <c r="AB961" s="306" t="str">
        <f t="shared" si="216"/>
        <v/>
      </c>
      <c r="AC961" s="788"/>
      <c r="AD961" s="119">
        <f t="shared" si="227"/>
        <v>0</v>
      </c>
      <c r="AE961" s="108">
        <f t="shared" si="227"/>
        <v>0</v>
      </c>
      <c r="AF961" s="108">
        <f t="shared" si="227"/>
        <v>0</v>
      </c>
      <c r="AG961" s="108"/>
      <c r="AH961" s="108"/>
      <c r="AI961" s="108"/>
      <c r="AJ961" s="108"/>
      <c r="AK961" s="108"/>
      <c r="AL961" s="108">
        <f t="shared" si="217"/>
        <v>0</v>
      </c>
      <c r="AM961" s="108"/>
      <c r="AN961" s="108"/>
      <c r="AO961" s="108"/>
      <c r="AP961" s="108"/>
      <c r="AQ961" s="108"/>
      <c r="AR961" s="108"/>
      <c r="AS961" s="108"/>
      <c r="AT961" s="108"/>
      <c r="AU961" s="108"/>
      <c r="AV961" s="108"/>
      <c r="AW961" s="108"/>
      <c r="AX961" s="108"/>
      <c r="AY961" s="108"/>
      <c r="AZ961" s="108"/>
      <c r="BA961" s="108"/>
      <c r="BB961" s="108"/>
      <c r="BC961" s="108"/>
      <c r="BD961" s="108"/>
      <c r="BE961" s="108"/>
      <c r="BF961" s="108"/>
      <c r="BG961" s="108"/>
      <c r="BH961" s="108"/>
      <c r="BI961" s="108"/>
      <c r="BJ961" s="108"/>
      <c r="BK961" s="108"/>
      <c r="BL961" s="108"/>
      <c r="BM961" s="108"/>
      <c r="BN961" s="108"/>
      <c r="BO961" s="108"/>
      <c r="BP961" s="108"/>
      <c r="BQ961" s="108"/>
      <c r="BR961" s="108"/>
      <c r="BS961" s="108"/>
      <c r="BT961" s="108"/>
      <c r="BU961" s="108"/>
      <c r="BV961" s="108"/>
      <c r="BW961" s="108"/>
      <c r="BX961" s="108"/>
      <c r="BY961" s="108"/>
      <c r="BZ961" s="108"/>
      <c r="CA961" s="108"/>
      <c r="CB961" s="108"/>
      <c r="CC961" s="108"/>
      <c r="CD961" s="108"/>
      <c r="CE961" s="108"/>
      <c r="CF961" s="108"/>
      <c r="CG961" s="108"/>
      <c r="CH961" s="108"/>
      <c r="CI961" s="108"/>
      <c r="CJ961" s="108"/>
      <c r="CK961" s="120">
        <f t="shared" si="218"/>
        <v>0</v>
      </c>
      <c r="CL961" s="122">
        <f t="shared" si="219"/>
        <v>0</v>
      </c>
      <c r="CM961" s="524" t="str">
        <f t="shared" si="221"/>
        <v/>
      </c>
      <c r="CN961" s="526">
        <f t="shared" si="222"/>
        <v>0</v>
      </c>
      <c r="CO961" s="122">
        <f t="shared" si="223"/>
        <v>0</v>
      </c>
      <c r="CP961" s="45" t="str">
        <f t="shared" si="220"/>
        <v>1 - in MILLESIMI   I</v>
      </c>
      <c r="CQ961" s="1"/>
    </row>
    <row r="962" spans="1:95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435">
        <f>IF(AND(W962&gt;=$U$1,W962&lt;=$U$2),IF(X962='ESTRATTO CONTO'!$E$2,1+COUNTIF(U$4:U961,"&gt;0"),0),0)</f>
        <v>0</v>
      </c>
      <c r="V962" s="417">
        <f t="shared" si="224"/>
        <v>959</v>
      </c>
      <c r="W962" s="509"/>
      <c r="X962" s="321"/>
      <c r="Y962" s="321"/>
      <c r="Z962" s="433"/>
      <c r="AA962" s="918">
        <f t="shared" si="215"/>
        <v>1</v>
      </c>
      <c r="AB962" s="306" t="str">
        <f t="shared" si="216"/>
        <v/>
      </c>
      <c r="AC962" s="788"/>
      <c r="AD962" s="119">
        <f t="shared" si="227"/>
        <v>0</v>
      </c>
      <c r="AE962" s="108">
        <f t="shared" si="227"/>
        <v>0</v>
      </c>
      <c r="AF962" s="108">
        <f t="shared" si="227"/>
        <v>0</v>
      </c>
      <c r="AG962" s="108"/>
      <c r="AH962" s="108"/>
      <c r="AI962" s="108"/>
      <c r="AJ962" s="108"/>
      <c r="AK962" s="108"/>
      <c r="AL962" s="108">
        <f t="shared" si="217"/>
        <v>0</v>
      </c>
      <c r="AM962" s="108"/>
      <c r="AN962" s="108"/>
      <c r="AO962" s="108"/>
      <c r="AP962" s="108"/>
      <c r="AQ962" s="108"/>
      <c r="AR962" s="108"/>
      <c r="AS962" s="108"/>
      <c r="AT962" s="108"/>
      <c r="AU962" s="108"/>
      <c r="AV962" s="108"/>
      <c r="AW962" s="108"/>
      <c r="AX962" s="108"/>
      <c r="AY962" s="108"/>
      <c r="AZ962" s="108"/>
      <c r="BA962" s="108"/>
      <c r="BB962" s="108"/>
      <c r="BC962" s="108"/>
      <c r="BD962" s="108"/>
      <c r="BE962" s="108"/>
      <c r="BF962" s="108"/>
      <c r="BG962" s="108"/>
      <c r="BH962" s="108"/>
      <c r="BI962" s="108"/>
      <c r="BJ962" s="108"/>
      <c r="BK962" s="108"/>
      <c r="BL962" s="108"/>
      <c r="BM962" s="108"/>
      <c r="BN962" s="108"/>
      <c r="BO962" s="108"/>
      <c r="BP962" s="108"/>
      <c r="BQ962" s="108"/>
      <c r="BR962" s="108"/>
      <c r="BS962" s="108"/>
      <c r="BT962" s="108"/>
      <c r="BU962" s="108"/>
      <c r="BV962" s="108"/>
      <c r="BW962" s="108"/>
      <c r="BX962" s="108"/>
      <c r="BY962" s="108"/>
      <c r="BZ962" s="108"/>
      <c r="CA962" s="108"/>
      <c r="CB962" s="108"/>
      <c r="CC962" s="108"/>
      <c r="CD962" s="108"/>
      <c r="CE962" s="108"/>
      <c r="CF962" s="108"/>
      <c r="CG962" s="108"/>
      <c r="CH962" s="108"/>
      <c r="CI962" s="108"/>
      <c r="CJ962" s="108"/>
      <c r="CK962" s="120">
        <f t="shared" si="218"/>
        <v>0</v>
      </c>
      <c r="CL962" s="122">
        <f t="shared" si="219"/>
        <v>0</v>
      </c>
      <c r="CM962" s="524" t="str">
        <f t="shared" si="221"/>
        <v/>
      </c>
      <c r="CN962" s="526">
        <f t="shared" si="222"/>
        <v>0</v>
      </c>
      <c r="CO962" s="122">
        <f t="shared" si="223"/>
        <v>0</v>
      </c>
      <c r="CP962" s="45" t="str">
        <f t="shared" si="220"/>
        <v>1 - in MILLESIMI   I</v>
      </c>
      <c r="CQ962" s="1"/>
    </row>
    <row r="963" spans="1:95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435">
        <f>IF(AND(W963&gt;=$U$1,W963&lt;=$U$2),IF(X963='ESTRATTO CONTO'!$E$2,1+COUNTIF(U$4:U962,"&gt;0"),0),0)</f>
        <v>0</v>
      </c>
      <c r="V963" s="417">
        <f t="shared" si="224"/>
        <v>960</v>
      </c>
      <c r="W963" s="509"/>
      <c r="X963" s="321"/>
      <c r="Y963" s="321"/>
      <c r="Z963" s="433"/>
      <c r="AA963" s="918">
        <f t="shared" si="215"/>
        <v>1</v>
      </c>
      <c r="AB963" s="306" t="str">
        <f t="shared" si="216"/>
        <v/>
      </c>
      <c r="AC963" s="788"/>
      <c r="AD963" s="119">
        <f t="shared" si="227"/>
        <v>0</v>
      </c>
      <c r="AE963" s="108">
        <f t="shared" si="227"/>
        <v>0</v>
      </c>
      <c r="AF963" s="108">
        <f t="shared" si="227"/>
        <v>0</v>
      </c>
      <c r="AG963" s="108"/>
      <c r="AH963" s="108"/>
      <c r="AI963" s="108"/>
      <c r="AJ963" s="108"/>
      <c r="AK963" s="108"/>
      <c r="AL963" s="108">
        <f t="shared" si="217"/>
        <v>0</v>
      </c>
      <c r="AM963" s="108"/>
      <c r="AN963" s="108"/>
      <c r="AO963" s="108"/>
      <c r="AP963" s="108"/>
      <c r="AQ963" s="108"/>
      <c r="AR963" s="108"/>
      <c r="AS963" s="108"/>
      <c r="AT963" s="108"/>
      <c r="AU963" s="108"/>
      <c r="AV963" s="108"/>
      <c r="AW963" s="108"/>
      <c r="AX963" s="108"/>
      <c r="AY963" s="108"/>
      <c r="AZ963" s="108"/>
      <c r="BA963" s="108"/>
      <c r="BB963" s="108"/>
      <c r="BC963" s="108"/>
      <c r="BD963" s="108"/>
      <c r="BE963" s="108"/>
      <c r="BF963" s="108"/>
      <c r="BG963" s="108"/>
      <c r="BH963" s="108"/>
      <c r="BI963" s="108"/>
      <c r="BJ963" s="108"/>
      <c r="BK963" s="108"/>
      <c r="BL963" s="108"/>
      <c r="BM963" s="108"/>
      <c r="BN963" s="108"/>
      <c r="BO963" s="108"/>
      <c r="BP963" s="108"/>
      <c r="BQ963" s="108"/>
      <c r="BR963" s="108"/>
      <c r="BS963" s="108"/>
      <c r="BT963" s="108"/>
      <c r="BU963" s="108"/>
      <c r="BV963" s="108"/>
      <c r="BW963" s="108"/>
      <c r="BX963" s="108"/>
      <c r="BY963" s="108"/>
      <c r="BZ963" s="108"/>
      <c r="CA963" s="108"/>
      <c r="CB963" s="108"/>
      <c r="CC963" s="108"/>
      <c r="CD963" s="108"/>
      <c r="CE963" s="108"/>
      <c r="CF963" s="108"/>
      <c r="CG963" s="108"/>
      <c r="CH963" s="108"/>
      <c r="CI963" s="108"/>
      <c r="CJ963" s="108"/>
      <c r="CK963" s="120">
        <f t="shared" si="218"/>
        <v>0</v>
      </c>
      <c r="CL963" s="122">
        <f t="shared" si="219"/>
        <v>0</v>
      </c>
      <c r="CM963" s="524" t="str">
        <f t="shared" si="221"/>
        <v/>
      </c>
      <c r="CN963" s="526">
        <f t="shared" si="222"/>
        <v>0</v>
      </c>
      <c r="CO963" s="122">
        <f t="shared" si="223"/>
        <v>0</v>
      </c>
      <c r="CP963" s="45" t="str">
        <f t="shared" si="220"/>
        <v>1 - in MILLESIMI   I</v>
      </c>
      <c r="CQ963" s="1"/>
    </row>
    <row r="964" spans="1:95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435">
        <f>IF(AND(W964&gt;=$U$1,W964&lt;=$U$2),IF(X964='ESTRATTO CONTO'!$E$2,1+COUNTIF(U$4:U963,"&gt;0"),0),0)</f>
        <v>0</v>
      </c>
      <c r="V964" s="417">
        <f t="shared" si="224"/>
        <v>961</v>
      </c>
      <c r="W964" s="509"/>
      <c r="X964" s="321"/>
      <c r="Y964" s="321"/>
      <c r="Z964" s="433"/>
      <c r="AA964" s="918">
        <f t="shared" ref="AA964:AA1003" si="228">IF(OR(W964&lt;$W$1433,W964&gt;$W$1434),1,0)</f>
        <v>1</v>
      </c>
      <c r="AB964" s="306" t="str">
        <f t="shared" ref="AB964:AB1003" si="229">IF(W964&gt;0,IF(AND(W964&gt;=W$1438,W964&lt;=W$1439),CONCATENATE(MONTH(W964)&amp;X964),0),"")</f>
        <v/>
      </c>
      <c r="AC964" s="788"/>
      <c r="AD964" s="119">
        <f t="shared" ref="AD964:AF983" si="230">IF($AB964=0,0,ROUND($Z964*VLOOKUP(AD$2,$F$1010:$Q$1014,VLOOKUP($CP964,$C$1076:$E$1081,3,FALSE),FALSE),2))</f>
        <v>0</v>
      </c>
      <c r="AE964" s="108">
        <f t="shared" si="230"/>
        <v>0</v>
      </c>
      <c r="AF964" s="108">
        <f t="shared" si="230"/>
        <v>0</v>
      </c>
      <c r="AG964" s="108"/>
      <c r="AH964" s="108"/>
      <c r="AI964" s="108"/>
      <c r="AJ964" s="108"/>
      <c r="AK964" s="108"/>
      <c r="AL964" s="108">
        <f t="shared" ref="AL964:AL1003" si="231">IF($AB964=0,0,ROUND($Z964*VLOOKUP(AL$2,$F$1010:$Q$1014,VLOOKUP($CP964,$C$1076:$E$1081,3,FALSE),FALSE),2))</f>
        <v>0</v>
      </c>
      <c r="AM964" s="108"/>
      <c r="AN964" s="108"/>
      <c r="AO964" s="108"/>
      <c r="AP964" s="108"/>
      <c r="AQ964" s="108"/>
      <c r="AR964" s="108"/>
      <c r="AS964" s="108"/>
      <c r="AT964" s="108"/>
      <c r="AU964" s="108"/>
      <c r="AV964" s="108"/>
      <c r="AW964" s="108"/>
      <c r="AX964" s="108"/>
      <c r="AY964" s="108"/>
      <c r="AZ964" s="108"/>
      <c r="BA964" s="108"/>
      <c r="BB964" s="108"/>
      <c r="BC964" s="108"/>
      <c r="BD964" s="108"/>
      <c r="BE964" s="108"/>
      <c r="BF964" s="108"/>
      <c r="BG964" s="108"/>
      <c r="BH964" s="108"/>
      <c r="BI964" s="108"/>
      <c r="BJ964" s="108"/>
      <c r="BK964" s="108"/>
      <c r="BL964" s="108"/>
      <c r="BM964" s="108"/>
      <c r="BN964" s="108"/>
      <c r="BO964" s="108"/>
      <c r="BP964" s="108"/>
      <c r="BQ964" s="108"/>
      <c r="BR964" s="108"/>
      <c r="BS964" s="108"/>
      <c r="BT964" s="108"/>
      <c r="BU964" s="108"/>
      <c r="BV964" s="108"/>
      <c r="BW964" s="108"/>
      <c r="BX964" s="108"/>
      <c r="BY964" s="108"/>
      <c r="BZ964" s="108"/>
      <c r="CA964" s="108"/>
      <c r="CB964" s="108"/>
      <c r="CC964" s="108"/>
      <c r="CD964" s="108"/>
      <c r="CE964" s="108"/>
      <c r="CF964" s="108"/>
      <c r="CG964" s="108"/>
      <c r="CH964" s="108"/>
      <c r="CI964" s="108"/>
      <c r="CJ964" s="108"/>
      <c r="CK964" s="120">
        <f t="shared" ref="CK964:CK1003" si="232">IF($AB964=0,0,ROUND($Z964*VLOOKUP(CK$2,$F$1010:$Q$1014,VLOOKUP($CP964,$C$1076:$E$1081,3,FALSE),FALSE),2))</f>
        <v>0</v>
      </c>
      <c r="CL964" s="122">
        <f t="shared" ref="CL964:CL1003" si="233">IF(CK$1014&gt;0,0,IF(ISBLANK(W964),0,MONTH(W964)))</f>
        <v>0</v>
      </c>
      <c r="CM964" s="524" t="str">
        <f t="shared" si="221"/>
        <v/>
      </c>
      <c r="CN964" s="526">
        <f t="shared" si="222"/>
        <v>0</v>
      </c>
      <c r="CO964" s="122">
        <f t="shared" si="223"/>
        <v>0</v>
      </c>
      <c r="CP964" s="45" t="str">
        <f t="shared" ref="CP964:CP1002" si="234">IF(ISBLANK(AC964),Q$1,AC964)</f>
        <v>1 - in MILLESIMI   I</v>
      </c>
      <c r="CQ964" s="1"/>
    </row>
    <row r="965" spans="1:95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435">
        <f>IF(AND(W965&gt;=$U$1,W965&lt;=$U$2),IF(X965='ESTRATTO CONTO'!$E$2,1+COUNTIF(U$4:U964,"&gt;0"),0),0)</f>
        <v>0</v>
      </c>
      <c r="V965" s="417">
        <f t="shared" si="224"/>
        <v>962</v>
      </c>
      <c r="W965" s="509"/>
      <c r="X965" s="321"/>
      <c r="Y965" s="321"/>
      <c r="Z965" s="433"/>
      <c r="AA965" s="918">
        <f t="shared" si="228"/>
        <v>1</v>
      </c>
      <c r="AB965" s="306" t="str">
        <f t="shared" si="229"/>
        <v/>
      </c>
      <c r="AC965" s="788"/>
      <c r="AD965" s="119">
        <f t="shared" si="230"/>
        <v>0</v>
      </c>
      <c r="AE965" s="108">
        <f t="shared" si="230"/>
        <v>0</v>
      </c>
      <c r="AF965" s="108">
        <f t="shared" si="230"/>
        <v>0</v>
      </c>
      <c r="AG965" s="108"/>
      <c r="AH965" s="108"/>
      <c r="AI965" s="108"/>
      <c r="AJ965" s="108"/>
      <c r="AK965" s="108"/>
      <c r="AL965" s="108">
        <f t="shared" si="231"/>
        <v>0</v>
      </c>
      <c r="AM965" s="108"/>
      <c r="AN965" s="108"/>
      <c r="AO965" s="108"/>
      <c r="AP965" s="108"/>
      <c r="AQ965" s="108"/>
      <c r="AR965" s="108"/>
      <c r="AS965" s="108"/>
      <c r="AT965" s="108"/>
      <c r="AU965" s="108"/>
      <c r="AV965" s="108"/>
      <c r="AW965" s="108"/>
      <c r="AX965" s="108"/>
      <c r="AY965" s="108"/>
      <c r="AZ965" s="108"/>
      <c r="BA965" s="108"/>
      <c r="BB965" s="108"/>
      <c r="BC965" s="108"/>
      <c r="BD965" s="108"/>
      <c r="BE965" s="108"/>
      <c r="BF965" s="108"/>
      <c r="BG965" s="108"/>
      <c r="BH965" s="108"/>
      <c r="BI965" s="108"/>
      <c r="BJ965" s="108"/>
      <c r="BK965" s="108"/>
      <c r="BL965" s="108"/>
      <c r="BM965" s="108"/>
      <c r="BN965" s="108"/>
      <c r="BO965" s="108"/>
      <c r="BP965" s="108"/>
      <c r="BQ965" s="108"/>
      <c r="BR965" s="108"/>
      <c r="BS965" s="108"/>
      <c r="BT965" s="108"/>
      <c r="BU965" s="108"/>
      <c r="BV965" s="108"/>
      <c r="BW965" s="108"/>
      <c r="BX965" s="108"/>
      <c r="BY965" s="108"/>
      <c r="BZ965" s="108"/>
      <c r="CA965" s="108"/>
      <c r="CB965" s="108"/>
      <c r="CC965" s="108"/>
      <c r="CD965" s="108"/>
      <c r="CE965" s="108"/>
      <c r="CF965" s="108"/>
      <c r="CG965" s="108"/>
      <c r="CH965" s="108"/>
      <c r="CI965" s="108"/>
      <c r="CJ965" s="108"/>
      <c r="CK965" s="120">
        <f t="shared" si="232"/>
        <v>0</v>
      </c>
      <c r="CL965" s="122">
        <f t="shared" si="233"/>
        <v>0</v>
      </c>
      <c r="CM965" s="524" t="str">
        <f t="shared" ref="CM965:CM1002" si="235">IF(X965="","",IF(ISERROR(VLOOKUP(X965,B$9:E$45,1,FALSE)),1,0))</f>
        <v/>
      </c>
      <c r="CN965" s="526">
        <f t="shared" ref="CN965:CN1002" si="236">IF(AND(W965&gt;=CN$1,W965&lt;=CN$2),Z965,0)</f>
        <v>0</v>
      </c>
      <c r="CO965" s="122">
        <f t="shared" ref="CO965:CO1002" si="237">IF(CN965&lt;&gt;0,X965,0)</f>
        <v>0</v>
      </c>
      <c r="CP965" s="45" t="str">
        <f t="shared" si="234"/>
        <v>1 - in MILLESIMI   I</v>
      </c>
      <c r="CQ965" s="1"/>
    </row>
    <row r="966" spans="1:95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435">
        <f>IF(AND(W966&gt;=$U$1,W966&lt;=$U$2),IF(X966='ESTRATTO CONTO'!$E$2,1+COUNTIF(U$4:U965,"&gt;0"),0),0)</f>
        <v>0</v>
      </c>
      <c r="V966" s="417">
        <f t="shared" ref="V966:V1003" si="238">V965+1</f>
        <v>963</v>
      </c>
      <c r="W966" s="509"/>
      <c r="X966" s="321"/>
      <c r="Y966" s="321"/>
      <c r="Z966" s="433"/>
      <c r="AA966" s="918">
        <f t="shared" si="228"/>
        <v>1</v>
      </c>
      <c r="AB966" s="306" t="str">
        <f t="shared" si="229"/>
        <v/>
      </c>
      <c r="AC966" s="788"/>
      <c r="AD966" s="119">
        <f t="shared" si="230"/>
        <v>0</v>
      </c>
      <c r="AE966" s="108">
        <f t="shared" si="230"/>
        <v>0</v>
      </c>
      <c r="AF966" s="108">
        <f t="shared" si="230"/>
        <v>0</v>
      </c>
      <c r="AG966" s="108"/>
      <c r="AH966" s="108"/>
      <c r="AI966" s="108"/>
      <c r="AJ966" s="108"/>
      <c r="AK966" s="108"/>
      <c r="AL966" s="108">
        <f t="shared" si="231"/>
        <v>0</v>
      </c>
      <c r="AM966" s="108"/>
      <c r="AN966" s="108"/>
      <c r="AO966" s="108"/>
      <c r="AP966" s="108"/>
      <c r="AQ966" s="108"/>
      <c r="AR966" s="108"/>
      <c r="AS966" s="108"/>
      <c r="AT966" s="108"/>
      <c r="AU966" s="108"/>
      <c r="AV966" s="108"/>
      <c r="AW966" s="108"/>
      <c r="AX966" s="108"/>
      <c r="AY966" s="108"/>
      <c r="AZ966" s="108"/>
      <c r="BA966" s="108"/>
      <c r="BB966" s="108"/>
      <c r="BC966" s="108"/>
      <c r="BD966" s="108"/>
      <c r="BE966" s="108"/>
      <c r="BF966" s="108"/>
      <c r="BG966" s="108"/>
      <c r="BH966" s="108"/>
      <c r="BI966" s="108"/>
      <c r="BJ966" s="108"/>
      <c r="BK966" s="108"/>
      <c r="BL966" s="108"/>
      <c r="BM966" s="108"/>
      <c r="BN966" s="108"/>
      <c r="BO966" s="108"/>
      <c r="BP966" s="108"/>
      <c r="BQ966" s="108"/>
      <c r="BR966" s="108"/>
      <c r="BS966" s="108"/>
      <c r="BT966" s="108"/>
      <c r="BU966" s="108"/>
      <c r="BV966" s="108"/>
      <c r="BW966" s="108"/>
      <c r="BX966" s="108"/>
      <c r="BY966" s="108"/>
      <c r="BZ966" s="108"/>
      <c r="CA966" s="108"/>
      <c r="CB966" s="108"/>
      <c r="CC966" s="108"/>
      <c r="CD966" s="108"/>
      <c r="CE966" s="108"/>
      <c r="CF966" s="108"/>
      <c r="CG966" s="108"/>
      <c r="CH966" s="108"/>
      <c r="CI966" s="108"/>
      <c r="CJ966" s="108"/>
      <c r="CK966" s="120">
        <f t="shared" si="232"/>
        <v>0</v>
      </c>
      <c r="CL966" s="122">
        <f t="shared" si="233"/>
        <v>0</v>
      </c>
      <c r="CM966" s="524" t="str">
        <f t="shared" si="235"/>
        <v/>
      </c>
      <c r="CN966" s="526">
        <f t="shared" si="236"/>
        <v>0</v>
      </c>
      <c r="CO966" s="122">
        <f t="shared" si="237"/>
        <v>0</v>
      </c>
      <c r="CP966" s="45" t="str">
        <f t="shared" si="234"/>
        <v>1 - in MILLESIMI   I</v>
      </c>
      <c r="CQ966" s="1"/>
    </row>
    <row r="967" spans="1:95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435">
        <f>IF(AND(W967&gt;=$U$1,W967&lt;=$U$2),IF(X967='ESTRATTO CONTO'!$E$2,1+COUNTIF(U$4:U966,"&gt;0"),0),0)</f>
        <v>0</v>
      </c>
      <c r="V967" s="417">
        <f t="shared" si="238"/>
        <v>964</v>
      </c>
      <c r="W967" s="509"/>
      <c r="X967" s="321"/>
      <c r="Y967" s="321"/>
      <c r="Z967" s="433"/>
      <c r="AA967" s="918">
        <f t="shared" si="228"/>
        <v>1</v>
      </c>
      <c r="AB967" s="306" t="str">
        <f t="shared" si="229"/>
        <v/>
      </c>
      <c r="AC967" s="788"/>
      <c r="AD967" s="119">
        <f t="shared" si="230"/>
        <v>0</v>
      </c>
      <c r="AE967" s="108">
        <f t="shared" si="230"/>
        <v>0</v>
      </c>
      <c r="AF967" s="108">
        <f t="shared" si="230"/>
        <v>0</v>
      </c>
      <c r="AG967" s="108"/>
      <c r="AH967" s="108"/>
      <c r="AI967" s="108"/>
      <c r="AJ967" s="108"/>
      <c r="AK967" s="108"/>
      <c r="AL967" s="108">
        <f t="shared" si="231"/>
        <v>0</v>
      </c>
      <c r="AM967" s="108"/>
      <c r="AN967" s="108"/>
      <c r="AO967" s="108"/>
      <c r="AP967" s="108"/>
      <c r="AQ967" s="108"/>
      <c r="AR967" s="108"/>
      <c r="AS967" s="108"/>
      <c r="AT967" s="108"/>
      <c r="AU967" s="108"/>
      <c r="AV967" s="108"/>
      <c r="AW967" s="108"/>
      <c r="AX967" s="108"/>
      <c r="AY967" s="108"/>
      <c r="AZ967" s="108"/>
      <c r="BA967" s="108"/>
      <c r="BB967" s="108"/>
      <c r="BC967" s="108"/>
      <c r="BD967" s="108"/>
      <c r="BE967" s="108"/>
      <c r="BF967" s="108"/>
      <c r="BG967" s="108"/>
      <c r="BH967" s="108"/>
      <c r="BI967" s="108"/>
      <c r="BJ967" s="108"/>
      <c r="BK967" s="108"/>
      <c r="BL967" s="108"/>
      <c r="BM967" s="108"/>
      <c r="BN967" s="108"/>
      <c r="BO967" s="108"/>
      <c r="BP967" s="108"/>
      <c r="BQ967" s="108"/>
      <c r="BR967" s="108"/>
      <c r="BS967" s="108"/>
      <c r="BT967" s="108"/>
      <c r="BU967" s="108"/>
      <c r="BV967" s="108"/>
      <c r="BW967" s="108"/>
      <c r="BX967" s="108"/>
      <c r="BY967" s="108"/>
      <c r="BZ967" s="108"/>
      <c r="CA967" s="108"/>
      <c r="CB967" s="108"/>
      <c r="CC967" s="108"/>
      <c r="CD967" s="108"/>
      <c r="CE967" s="108"/>
      <c r="CF967" s="108"/>
      <c r="CG967" s="108"/>
      <c r="CH967" s="108"/>
      <c r="CI967" s="108"/>
      <c r="CJ967" s="108"/>
      <c r="CK967" s="120">
        <f t="shared" si="232"/>
        <v>0</v>
      </c>
      <c r="CL967" s="122">
        <f t="shared" si="233"/>
        <v>0</v>
      </c>
      <c r="CM967" s="524" t="str">
        <f t="shared" si="235"/>
        <v/>
      </c>
      <c r="CN967" s="526">
        <f t="shared" si="236"/>
        <v>0</v>
      </c>
      <c r="CO967" s="122">
        <f t="shared" si="237"/>
        <v>0</v>
      </c>
      <c r="CP967" s="45" t="str">
        <f t="shared" si="234"/>
        <v>1 - in MILLESIMI   I</v>
      </c>
      <c r="CQ967" s="1"/>
    </row>
    <row r="968" spans="1:95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435">
        <f>IF(AND(W968&gt;=$U$1,W968&lt;=$U$2),IF(X968='ESTRATTO CONTO'!$E$2,1+COUNTIF(U$4:U967,"&gt;0"),0),0)</f>
        <v>0</v>
      </c>
      <c r="V968" s="417">
        <f t="shared" si="238"/>
        <v>965</v>
      </c>
      <c r="W968" s="509"/>
      <c r="X968" s="321"/>
      <c r="Y968" s="321"/>
      <c r="Z968" s="433"/>
      <c r="AA968" s="918">
        <f t="shared" si="228"/>
        <v>1</v>
      </c>
      <c r="AB968" s="306" t="str">
        <f t="shared" si="229"/>
        <v/>
      </c>
      <c r="AC968" s="788"/>
      <c r="AD968" s="119">
        <f t="shared" si="230"/>
        <v>0</v>
      </c>
      <c r="AE968" s="108">
        <f t="shared" si="230"/>
        <v>0</v>
      </c>
      <c r="AF968" s="108">
        <f t="shared" si="230"/>
        <v>0</v>
      </c>
      <c r="AG968" s="108"/>
      <c r="AH968" s="108"/>
      <c r="AI968" s="108"/>
      <c r="AJ968" s="108"/>
      <c r="AK968" s="108"/>
      <c r="AL968" s="108">
        <f t="shared" si="231"/>
        <v>0</v>
      </c>
      <c r="AM968" s="108"/>
      <c r="AN968" s="108"/>
      <c r="AO968" s="108"/>
      <c r="AP968" s="108"/>
      <c r="AQ968" s="108"/>
      <c r="AR968" s="108"/>
      <c r="AS968" s="108"/>
      <c r="AT968" s="108"/>
      <c r="AU968" s="108"/>
      <c r="AV968" s="108"/>
      <c r="AW968" s="108"/>
      <c r="AX968" s="108"/>
      <c r="AY968" s="108"/>
      <c r="AZ968" s="108"/>
      <c r="BA968" s="108"/>
      <c r="BB968" s="108"/>
      <c r="BC968" s="108"/>
      <c r="BD968" s="108"/>
      <c r="BE968" s="108"/>
      <c r="BF968" s="108"/>
      <c r="BG968" s="108"/>
      <c r="BH968" s="108"/>
      <c r="BI968" s="108"/>
      <c r="BJ968" s="108"/>
      <c r="BK968" s="108"/>
      <c r="BL968" s="108"/>
      <c r="BM968" s="108"/>
      <c r="BN968" s="108"/>
      <c r="BO968" s="108"/>
      <c r="BP968" s="108"/>
      <c r="BQ968" s="108"/>
      <c r="BR968" s="108"/>
      <c r="BS968" s="108"/>
      <c r="BT968" s="108"/>
      <c r="BU968" s="108"/>
      <c r="BV968" s="108"/>
      <c r="BW968" s="108"/>
      <c r="BX968" s="108"/>
      <c r="BY968" s="108"/>
      <c r="BZ968" s="108"/>
      <c r="CA968" s="108"/>
      <c r="CB968" s="108"/>
      <c r="CC968" s="108"/>
      <c r="CD968" s="108"/>
      <c r="CE968" s="108"/>
      <c r="CF968" s="108"/>
      <c r="CG968" s="108"/>
      <c r="CH968" s="108"/>
      <c r="CI968" s="108"/>
      <c r="CJ968" s="108"/>
      <c r="CK968" s="120">
        <f t="shared" si="232"/>
        <v>0</v>
      </c>
      <c r="CL968" s="122">
        <f t="shared" si="233"/>
        <v>0</v>
      </c>
      <c r="CM968" s="524" t="str">
        <f t="shared" si="235"/>
        <v/>
      </c>
      <c r="CN968" s="526">
        <f t="shared" si="236"/>
        <v>0</v>
      </c>
      <c r="CO968" s="122">
        <f t="shared" si="237"/>
        <v>0</v>
      </c>
      <c r="CP968" s="45" t="str">
        <f t="shared" si="234"/>
        <v>1 - in MILLESIMI   I</v>
      </c>
      <c r="CQ968" s="1"/>
    </row>
    <row r="969" spans="1:95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435">
        <f>IF(AND(W969&gt;=$U$1,W969&lt;=$U$2),IF(X969='ESTRATTO CONTO'!$E$2,1+COUNTIF(U$4:U968,"&gt;0"),0),0)</f>
        <v>0</v>
      </c>
      <c r="V969" s="417">
        <f t="shared" si="238"/>
        <v>966</v>
      </c>
      <c r="W969" s="509"/>
      <c r="X969" s="321"/>
      <c r="Y969" s="321"/>
      <c r="Z969" s="433"/>
      <c r="AA969" s="918">
        <f t="shared" si="228"/>
        <v>1</v>
      </c>
      <c r="AB969" s="306" t="str">
        <f t="shared" si="229"/>
        <v/>
      </c>
      <c r="AC969" s="788"/>
      <c r="AD969" s="119">
        <f t="shared" si="230"/>
        <v>0</v>
      </c>
      <c r="AE969" s="108">
        <f t="shared" si="230"/>
        <v>0</v>
      </c>
      <c r="AF969" s="108">
        <f t="shared" si="230"/>
        <v>0</v>
      </c>
      <c r="AG969" s="108"/>
      <c r="AH969" s="108"/>
      <c r="AI969" s="108"/>
      <c r="AJ969" s="108"/>
      <c r="AK969" s="108"/>
      <c r="AL969" s="108">
        <f t="shared" si="231"/>
        <v>0</v>
      </c>
      <c r="AM969" s="108"/>
      <c r="AN969" s="108"/>
      <c r="AO969" s="108"/>
      <c r="AP969" s="108"/>
      <c r="AQ969" s="108"/>
      <c r="AR969" s="108"/>
      <c r="AS969" s="108"/>
      <c r="AT969" s="108"/>
      <c r="AU969" s="108"/>
      <c r="AV969" s="108"/>
      <c r="AW969" s="108"/>
      <c r="AX969" s="108"/>
      <c r="AY969" s="108"/>
      <c r="AZ969" s="108"/>
      <c r="BA969" s="108"/>
      <c r="BB969" s="108"/>
      <c r="BC969" s="108"/>
      <c r="BD969" s="108"/>
      <c r="BE969" s="108"/>
      <c r="BF969" s="108"/>
      <c r="BG969" s="108"/>
      <c r="BH969" s="108"/>
      <c r="BI969" s="108"/>
      <c r="BJ969" s="108"/>
      <c r="BK969" s="108"/>
      <c r="BL969" s="108"/>
      <c r="BM969" s="108"/>
      <c r="BN969" s="108"/>
      <c r="BO969" s="108"/>
      <c r="BP969" s="108"/>
      <c r="BQ969" s="108"/>
      <c r="BR969" s="108"/>
      <c r="BS969" s="108"/>
      <c r="BT969" s="108"/>
      <c r="BU969" s="108"/>
      <c r="BV969" s="108"/>
      <c r="BW969" s="108"/>
      <c r="BX969" s="108"/>
      <c r="BY969" s="108"/>
      <c r="BZ969" s="108"/>
      <c r="CA969" s="108"/>
      <c r="CB969" s="108"/>
      <c r="CC969" s="108"/>
      <c r="CD969" s="108"/>
      <c r="CE969" s="108"/>
      <c r="CF969" s="108"/>
      <c r="CG969" s="108"/>
      <c r="CH969" s="108"/>
      <c r="CI969" s="108"/>
      <c r="CJ969" s="108"/>
      <c r="CK969" s="120">
        <f t="shared" si="232"/>
        <v>0</v>
      </c>
      <c r="CL969" s="122">
        <f t="shared" si="233"/>
        <v>0</v>
      </c>
      <c r="CM969" s="524" t="str">
        <f t="shared" si="235"/>
        <v/>
      </c>
      <c r="CN969" s="526">
        <f t="shared" si="236"/>
        <v>0</v>
      </c>
      <c r="CO969" s="122">
        <f t="shared" si="237"/>
        <v>0</v>
      </c>
      <c r="CP969" s="45" t="str">
        <f t="shared" si="234"/>
        <v>1 - in MILLESIMI   I</v>
      </c>
      <c r="CQ969" s="1"/>
    </row>
    <row r="970" spans="1:95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435">
        <f>IF(AND(W970&gt;=$U$1,W970&lt;=$U$2),IF(X970='ESTRATTO CONTO'!$E$2,1+COUNTIF(U$4:U969,"&gt;0"),0),0)</f>
        <v>0</v>
      </c>
      <c r="V970" s="417">
        <f t="shared" si="238"/>
        <v>967</v>
      </c>
      <c r="W970" s="509"/>
      <c r="X970" s="321"/>
      <c r="Y970" s="321"/>
      <c r="Z970" s="433"/>
      <c r="AA970" s="918">
        <f t="shared" si="228"/>
        <v>1</v>
      </c>
      <c r="AB970" s="306" t="str">
        <f t="shared" si="229"/>
        <v/>
      </c>
      <c r="AC970" s="788"/>
      <c r="AD970" s="119">
        <f t="shared" si="230"/>
        <v>0</v>
      </c>
      <c r="AE970" s="108">
        <f t="shared" si="230"/>
        <v>0</v>
      </c>
      <c r="AF970" s="108">
        <f t="shared" si="230"/>
        <v>0</v>
      </c>
      <c r="AG970" s="108"/>
      <c r="AH970" s="108"/>
      <c r="AI970" s="108"/>
      <c r="AJ970" s="108"/>
      <c r="AK970" s="108"/>
      <c r="AL970" s="108">
        <f t="shared" si="231"/>
        <v>0</v>
      </c>
      <c r="AM970" s="108"/>
      <c r="AN970" s="108"/>
      <c r="AO970" s="108"/>
      <c r="AP970" s="108"/>
      <c r="AQ970" s="108"/>
      <c r="AR970" s="108"/>
      <c r="AS970" s="108"/>
      <c r="AT970" s="108"/>
      <c r="AU970" s="108"/>
      <c r="AV970" s="108"/>
      <c r="AW970" s="108"/>
      <c r="AX970" s="108"/>
      <c r="AY970" s="108"/>
      <c r="AZ970" s="108"/>
      <c r="BA970" s="108"/>
      <c r="BB970" s="108"/>
      <c r="BC970" s="108"/>
      <c r="BD970" s="108"/>
      <c r="BE970" s="108"/>
      <c r="BF970" s="108"/>
      <c r="BG970" s="108"/>
      <c r="BH970" s="108"/>
      <c r="BI970" s="108"/>
      <c r="BJ970" s="108"/>
      <c r="BK970" s="108"/>
      <c r="BL970" s="108"/>
      <c r="BM970" s="108"/>
      <c r="BN970" s="108"/>
      <c r="BO970" s="108"/>
      <c r="BP970" s="108"/>
      <c r="BQ970" s="108"/>
      <c r="BR970" s="108"/>
      <c r="BS970" s="108"/>
      <c r="BT970" s="108"/>
      <c r="BU970" s="108"/>
      <c r="BV970" s="108"/>
      <c r="BW970" s="108"/>
      <c r="BX970" s="108"/>
      <c r="BY970" s="108"/>
      <c r="BZ970" s="108"/>
      <c r="CA970" s="108"/>
      <c r="CB970" s="108"/>
      <c r="CC970" s="108"/>
      <c r="CD970" s="108"/>
      <c r="CE970" s="108"/>
      <c r="CF970" s="108"/>
      <c r="CG970" s="108"/>
      <c r="CH970" s="108"/>
      <c r="CI970" s="108"/>
      <c r="CJ970" s="108"/>
      <c r="CK970" s="120">
        <f t="shared" si="232"/>
        <v>0</v>
      </c>
      <c r="CL970" s="122">
        <f t="shared" si="233"/>
        <v>0</v>
      </c>
      <c r="CM970" s="524" t="str">
        <f t="shared" si="235"/>
        <v/>
      </c>
      <c r="CN970" s="526">
        <f t="shared" si="236"/>
        <v>0</v>
      </c>
      <c r="CO970" s="122">
        <f t="shared" si="237"/>
        <v>0</v>
      </c>
      <c r="CP970" s="45" t="str">
        <f t="shared" si="234"/>
        <v>1 - in MILLESIMI   I</v>
      </c>
      <c r="CQ970" s="1"/>
    </row>
    <row r="971" spans="1:95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435">
        <f>IF(AND(W971&gt;=$U$1,W971&lt;=$U$2),IF(X971='ESTRATTO CONTO'!$E$2,1+COUNTIF(U$4:U970,"&gt;0"),0),0)</f>
        <v>0</v>
      </c>
      <c r="V971" s="417">
        <f t="shared" si="238"/>
        <v>968</v>
      </c>
      <c r="W971" s="509"/>
      <c r="X971" s="321"/>
      <c r="Y971" s="321"/>
      <c r="Z971" s="433"/>
      <c r="AA971" s="918">
        <f t="shared" si="228"/>
        <v>1</v>
      </c>
      <c r="AB971" s="306" t="str">
        <f t="shared" si="229"/>
        <v/>
      </c>
      <c r="AC971" s="788"/>
      <c r="AD971" s="119">
        <f t="shared" si="230"/>
        <v>0</v>
      </c>
      <c r="AE971" s="108">
        <f t="shared" si="230"/>
        <v>0</v>
      </c>
      <c r="AF971" s="108">
        <f t="shared" si="230"/>
        <v>0</v>
      </c>
      <c r="AG971" s="108"/>
      <c r="AH971" s="108"/>
      <c r="AI971" s="108"/>
      <c r="AJ971" s="108"/>
      <c r="AK971" s="108"/>
      <c r="AL971" s="108">
        <f t="shared" si="231"/>
        <v>0</v>
      </c>
      <c r="AM971" s="108"/>
      <c r="AN971" s="108"/>
      <c r="AO971" s="108"/>
      <c r="AP971" s="108"/>
      <c r="AQ971" s="108"/>
      <c r="AR971" s="108"/>
      <c r="AS971" s="108"/>
      <c r="AT971" s="108"/>
      <c r="AU971" s="108"/>
      <c r="AV971" s="108"/>
      <c r="AW971" s="108"/>
      <c r="AX971" s="108"/>
      <c r="AY971" s="108"/>
      <c r="AZ971" s="108"/>
      <c r="BA971" s="108"/>
      <c r="BB971" s="108"/>
      <c r="BC971" s="108"/>
      <c r="BD971" s="108"/>
      <c r="BE971" s="108"/>
      <c r="BF971" s="108"/>
      <c r="BG971" s="108"/>
      <c r="BH971" s="108"/>
      <c r="BI971" s="108"/>
      <c r="BJ971" s="108"/>
      <c r="BK971" s="108"/>
      <c r="BL971" s="108"/>
      <c r="BM971" s="108"/>
      <c r="BN971" s="108"/>
      <c r="BO971" s="108"/>
      <c r="BP971" s="108"/>
      <c r="BQ971" s="108"/>
      <c r="BR971" s="108"/>
      <c r="BS971" s="108"/>
      <c r="BT971" s="108"/>
      <c r="BU971" s="108"/>
      <c r="BV971" s="108"/>
      <c r="BW971" s="108"/>
      <c r="BX971" s="108"/>
      <c r="BY971" s="108"/>
      <c r="BZ971" s="108"/>
      <c r="CA971" s="108"/>
      <c r="CB971" s="108"/>
      <c r="CC971" s="108"/>
      <c r="CD971" s="108"/>
      <c r="CE971" s="108"/>
      <c r="CF971" s="108"/>
      <c r="CG971" s="108"/>
      <c r="CH971" s="108"/>
      <c r="CI971" s="108"/>
      <c r="CJ971" s="108"/>
      <c r="CK971" s="120">
        <f t="shared" si="232"/>
        <v>0</v>
      </c>
      <c r="CL971" s="122">
        <f t="shared" si="233"/>
        <v>0</v>
      </c>
      <c r="CM971" s="524" t="str">
        <f t="shared" si="235"/>
        <v/>
      </c>
      <c r="CN971" s="526">
        <f t="shared" si="236"/>
        <v>0</v>
      </c>
      <c r="CO971" s="122">
        <f t="shared" si="237"/>
        <v>0</v>
      </c>
      <c r="CP971" s="45" t="str">
        <f t="shared" si="234"/>
        <v>1 - in MILLESIMI   I</v>
      </c>
      <c r="CQ971" s="1"/>
    </row>
    <row r="972" spans="1:95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435">
        <f>IF(AND(W972&gt;=$U$1,W972&lt;=$U$2),IF(X972='ESTRATTO CONTO'!$E$2,1+COUNTIF(U$4:U971,"&gt;0"),0),0)</f>
        <v>0</v>
      </c>
      <c r="V972" s="417">
        <f t="shared" si="238"/>
        <v>969</v>
      </c>
      <c r="W972" s="509"/>
      <c r="X972" s="321"/>
      <c r="Y972" s="321"/>
      <c r="Z972" s="433"/>
      <c r="AA972" s="918">
        <f t="shared" si="228"/>
        <v>1</v>
      </c>
      <c r="AB972" s="306" t="str">
        <f t="shared" si="229"/>
        <v/>
      </c>
      <c r="AC972" s="788"/>
      <c r="AD972" s="119">
        <f t="shared" si="230"/>
        <v>0</v>
      </c>
      <c r="AE972" s="108">
        <f t="shared" si="230"/>
        <v>0</v>
      </c>
      <c r="AF972" s="108">
        <f t="shared" si="230"/>
        <v>0</v>
      </c>
      <c r="AG972" s="108"/>
      <c r="AH972" s="108"/>
      <c r="AI972" s="108"/>
      <c r="AJ972" s="108"/>
      <c r="AK972" s="108"/>
      <c r="AL972" s="108">
        <f t="shared" si="231"/>
        <v>0</v>
      </c>
      <c r="AM972" s="108"/>
      <c r="AN972" s="108"/>
      <c r="AO972" s="108"/>
      <c r="AP972" s="108"/>
      <c r="AQ972" s="108"/>
      <c r="AR972" s="108"/>
      <c r="AS972" s="108"/>
      <c r="AT972" s="108"/>
      <c r="AU972" s="108"/>
      <c r="AV972" s="108"/>
      <c r="AW972" s="108"/>
      <c r="AX972" s="108"/>
      <c r="AY972" s="108"/>
      <c r="AZ972" s="108"/>
      <c r="BA972" s="108"/>
      <c r="BB972" s="108"/>
      <c r="BC972" s="108"/>
      <c r="BD972" s="108"/>
      <c r="BE972" s="108"/>
      <c r="BF972" s="108"/>
      <c r="BG972" s="108"/>
      <c r="BH972" s="108"/>
      <c r="BI972" s="108"/>
      <c r="BJ972" s="108"/>
      <c r="BK972" s="108"/>
      <c r="BL972" s="108"/>
      <c r="BM972" s="108"/>
      <c r="BN972" s="108"/>
      <c r="BO972" s="108"/>
      <c r="BP972" s="108"/>
      <c r="BQ972" s="108"/>
      <c r="BR972" s="108"/>
      <c r="BS972" s="108"/>
      <c r="BT972" s="108"/>
      <c r="BU972" s="108"/>
      <c r="BV972" s="108"/>
      <c r="BW972" s="108"/>
      <c r="BX972" s="108"/>
      <c r="BY972" s="108"/>
      <c r="BZ972" s="108"/>
      <c r="CA972" s="108"/>
      <c r="CB972" s="108"/>
      <c r="CC972" s="108"/>
      <c r="CD972" s="108"/>
      <c r="CE972" s="108"/>
      <c r="CF972" s="108"/>
      <c r="CG972" s="108"/>
      <c r="CH972" s="108"/>
      <c r="CI972" s="108"/>
      <c r="CJ972" s="108"/>
      <c r="CK972" s="120">
        <f t="shared" si="232"/>
        <v>0</v>
      </c>
      <c r="CL972" s="122">
        <f t="shared" si="233"/>
        <v>0</v>
      </c>
      <c r="CM972" s="524" t="str">
        <f t="shared" si="235"/>
        <v/>
      </c>
      <c r="CN972" s="526">
        <f t="shared" si="236"/>
        <v>0</v>
      </c>
      <c r="CO972" s="122">
        <f t="shared" si="237"/>
        <v>0</v>
      </c>
      <c r="CP972" s="45" t="str">
        <f t="shared" si="234"/>
        <v>1 - in MILLESIMI   I</v>
      </c>
      <c r="CQ972" s="1"/>
    </row>
    <row r="973" spans="1:95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435">
        <f>IF(AND(W973&gt;=$U$1,W973&lt;=$U$2),IF(X973='ESTRATTO CONTO'!$E$2,1+COUNTIF(U$4:U972,"&gt;0"),0),0)</f>
        <v>0</v>
      </c>
      <c r="V973" s="417">
        <f t="shared" si="238"/>
        <v>970</v>
      </c>
      <c r="W973" s="509"/>
      <c r="X973" s="321"/>
      <c r="Y973" s="321"/>
      <c r="Z973" s="433"/>
      <c r="AA973" s="918">
        <f t="shared" si="228"/>
        <v>1</v>
      </c>
      <c r="AB973" s="306" t="str">
        <f t="shared" si="229"/>
        <v/>
      </c>
      <c r="AC973" s="788"/>
      <c r="AD973" s="119">
        <f t="shared" si="230"/>
        <v>0</v>
      </c>
      <c r="AE973" s="108">
        <f t="shared" si="230"/>
        <v>0</v>
      </c>
      <c r="AF973" s="108">
        <f t="shared" si="230"/>
        <v>0</v>
      </c>
      <c r="AG973" s="108"/>
      <c r="AH973" s="108"/>
      <c r="AI973" s="108"/>
      <c r="AJ973" s="108"/>
      <c r="AK973" s="108"/>
      <c r="AL973" s="108">
        <f t="shared" si="231"/>
        <v>0</v>
      </c>
      <c r="AM973" s="108"/>
      <c r="AN973" s="108"/>
      <c r="AO973" s="108"/>
      <c r="AP973" s="108"/>
      <c r="AQ973" s="108"/>
      <c r="AR973" s="108"/>
      <c r="AS973" s="108"/>
      <c r="AT973" s="108"/>
      <c r="AU973" s="108"/>
      <c r="AV973" s="108"/>
      <c r="AW973" s="108"/>
      <c r="AX973" s="108"/>
      <c r="AY973" s="108"/>
      <c r="AZ973" s="108"/>
      <c r="BA973" s="108"/>
      <c r="BB973" s="108"/>
      <c r="BC973" s="108"/>
      <c r="BD973" s="108"/>
      <c r="BE973" s="108"/>
      <c r="BF973" s="108"/>
      <c r="BG973" s="108"/>
      <c r="BH973" s="108"/>
      <c r="BI973" s="108"/>
      <c r="BJ973" s="108"/>
      <c r="BK973" s="108"/>
      <c r="BL973" s="108"/>
      <c r="BM973" s="108"/>
      <c r="BN973" s="108"/>
      <c r="BO973" s="108"/>
      <c r="BP973" s="108"/>
      <c r="BQ973" s="108"/>
      <c r="BR973" s="108"/>
      <c r="BS973" s="108"/>
      <c r="BT973" s="108"/>
      <c r="BU973" s="108"/>
      <c r="BV973" s="108"/>
      <c r="BW973" s="108"/>
      <c r="BX973" s="108"/>
      <c r="BY973" s="108"/>
      <c r="BZ973" s="108"/>
      <c r="CA973" s="108"/>
      <c r="CB973" s="108"/>
      <c r="CC973" s="108"/>
      <c r="CD973" s="108"/>
      <c r="CE973" s="108"/>
      <c r="CF973" s="108"/>
      <c r="CG973" s="108"/>
      <c r="CH973" s="108"/>
      <c r="CI973" s="108"/>
      <c r="CJ973" s="108"/>
      <c r="CK973" s="120">
        <f t="shared" si="232"/>
        <v>0</v>
      </c>
      <c r="CL973" s="122">
        <f t="shared" si="233"/>
        <v>0</v>
      </c>
      <c r="CM973" s="524" t="str">
        <f t="shared" si="235"/>
        <v/>
      </c>
      <c r="CN973" s="526">
        <f t="shared" si="236"/>
        <v>0</v>
      </c>
      <c r="CO973" s="122">
        <f t="shared" si="237"/>
        <v>0</v>
      </c>
      <c r="CP973" s="45" t="str">
        <f t="shared" si="234"/>
        <v>1 - in MILLESIMI   I</v>
      </c>
      <c r="CQ973" s="1"/>
    </row>
    <row r="974" spans="1:95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435">
        <f>IF(AND(W974&gt;=$U$1,W974&lt;=$U$2),IF(X974='ESTRATTO CONTO'!$E$2,1+COUNTIF(U$4:U973,"&gt;0"),0),0)</f>
        <v>0</v>
      </c>
      <c r="V974" s="417">
        <f t="shared" si="238"/>
        <v>971</v>
      </c>
      <c r="W974" s="509"/>
      <c r="X974" s="321"/>
      <c r="Y974" s="321"/>
      <c r="Z974" s="433"/>
      <c r="AA974" s="918">
        <f t="shared" si="228"/>
        <v>1</v>
      </c>
      <c r="AB974" s="306" t="str">
        <f t="shared" si="229"/>
        <v/>
      </c>
      <c r="AC974" s="788"/>
      <c r="AD974" s="119">
        <f t="shared" si="230"/>
        <v>0</v>
      </c>
      <c r="AE974" s="108">
        <f t="shared" si="230"/>
        <v>0</v>
      </c>
      <c r="AF974" s="108">
        <f t="shared" si="230"/>
        <v>0</v>
      </c>
      <c r="AG974" s="108"/>
      <c r="AH974" s="108"/>
      <c r="AI974" s="108"/>
      <c r="AJ974" s="108"/>
      <c r="AK974" s="108"/>
      <c r="AL974" s="108">
        <f t="shared" si="231"/>
        <v>0</v>
      </c>
      <c r="AM974" s="108"/>
      <c r="AN974" s="108"/>
      <c r="AO974" s="108"/>
      <c r="AP974" s="108"/>
      <c r="AQ974" s="108"/>
      <c r="AR974" s="108"/>
      <c r="AS974" s="108"/>
      <c r="AT974" s="108"/>
      <c r="AU974" s="108"/>
      <c r="AV974" s="108"/>
      <c r="AW974" s="108"/>
      <c r="AX974" s="108"/>
      <c r="AY974" s="108"/>
      <c r="AZ974" s="108"/>
      <c r="BA974" s="108"/>
      <c r="BB974" s="108"/>
      <c r="BC974" s="108"/>
      <c r="BD974" s="108"/>
      <c r="BE974" s="108"/>
      <c r="BF974" s="108"/>
      <c r="BG974" s="108"/>
      <c r="BH974" s="108"/>
      <c r="BI974" s="108"/>
      <c r="BJ974" s="108"/>
      <c r="BK974" s="108"/>
      <c r="BL974" s="108"/>
      <c r="BM974" s="108"/>
      <c r="BN974" s="108"/>
      <c r="BO974" s="108"/>
      <c r="BP974" s="108"/>
      <c r="BQ974" s="108"/>
      <c r="BR974" s="108"/>
      <c r="BS974" s="108"/>
      <c r="BT974" s="108"/>
      <c r="BU974" s="108"/>
      <c r="BV974" s="108"/>
      <c r="BW974" s="108"/>
      <c r="BX974" s="108"/>
      <c r="BY974" s="108"/>
      <c r="BZ974" s="108"/>
      <c r="CA974" s="108"/>
      <c r="CB974" s="108"/>
      <c r="CC974" s="108"/>
      <c r="CD974" s="108"/>
      <c r="CE974" s="108"/>
      <c r="CF974" s="108"/>
      <c r="CG974" s="108"/>
      <c r="CH974" s="108"/>
      <c r="CI974" s="108"/>
      <c r="CJ974" s="108"/>
      <c r="CK974" s="120">
        <f t="shared" si="232"/>
        <v>0</v>
      </c>
      <c r="CL974" s="122">
        <f t="shared" si="233"/>
        <v>0</v>
      </c>
      <c r="CM974" s="524" t="str">
        <f t="shared" si="235"/>
        <v/>
      </c>
      <c r="CN974" s="526">
        <f t="shared" si="236"/>
        <v>0</v>
      </c>
      <c r="CO974" s="122">
        <f t="shared" si="237"/>
        <v>0</v>
      </c>
      <c r="CP974" s="45" t="str">
        <f t="shared" si="234"/>
        <v>1 - in MILLESIMI   I</v>
      </c>
      <c r="CQ974" s="1"/>
    </row>
    <row r="975" spans="1:95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435">
        <f>IF(AND(W975&gt;=$U$1,W975&lt;=$U$2),IF(X975='ESTRATTO CONTO'!$E$2,1+COUNTIF(U$4:U974,"&gt;0"),0),0)</f>
        <v>0</v>
      </c>
      <c r="V975" s="417">
        <f t="shared" si="238"/>
        <v>972</v>
      </c>
      <c r="W975" s="509"/>
      <c r="X975" s="321"/>
      <c r="Y975" s="321"/>
      <c r="Z975" s="433"/>
      <c r="AA975" s="918">
        <f t="shared" si="228"/>
        <v>1</v>
      </c>
      <c r="AB975" s="306" t="str">
        <f t="shared" si="229"/>
        <v/>
      </c>
      <c r="AC975" s="788"/>
      <c r="AD975" s="119">
        <f t="shared" si="230"/>
        <v>0</v>
      </c>
      <c r="AE975" s="108">
        <f t="shared" si="230"/>
        <v>0</v>
      </c>
      <c r="AF975" s="108">
        <f t="shared" si="230"/>
        <v>0</v>
      </c>
      <c r="AG975" s="108"/>
      <c r="AH975" s="108"/>
      <c r="AI975" s="108"/>
      <c r="AJ975" s="108"/>
      <c r="AK975" s="108"/>
      <c r="AL975" s="108">
        <f t="shared" si="231"/>
        <v>0</v>
      </c>
      <c r="AM975" s="108"/>
      <c r="AN975" s="108"/>
      <c r="AO975" s="108"/>
      <c r="AP975" s="108"/>
      <c r="AQ975" s="108"/>
      <c r="AR975" s="108"/>
      <c r="AS975" s="108"/>
      <c r="AT975" s="108"/>
      <c r="AU975" s="108"/>
      <c r="AV975" s="108"/>
      <c r="AW975" s="108"/>
      <c r="AX975" s="108"/>
      <c r="AY975" s="108"/>
      <c r="AZ975" s="108"/>
      <c r="BA975" s="108"/>
      <c r="BB975" s="108"/>
      <c r="BC975" s="108"/>
      <c r="BD975" s="108"/>
      <c r="BE975" s="108"/>
      <c r="BF975" s="108"/>
      <c r="BG975" s="108"/>
      <c r="BH975" s="108"/>
      <c r="BI975" s="108"/>
      <c r="BJ975" s="108"/>
      <c r="BK975" s="108"/>
      <c r="BL975" s="108"/>
      <c r="BM975" s="108"/>
      <c r="BN975" s="108"/>
      <c r="BO975" s="108"/>
      <c r="BP975" s="108"/>
      <c r="BQ975" s="108"/>
      <c r="BR975" s="108"/>
      <c r="BS975" s="108"/>
      <c r="BT975" s="108"/>
      <c r="BU975" s="108"/>
      <c r="BV975" s="108"/>
      <c r="BW975" s="108"/>
      <c r="BX975" s="108"/>
      <c r="BY975" s="108"/>
      <c r="BZ975" s="108"/>
      <c r="CA975" s="108"/>
      <c r="CB975" s="108"/>
      <c r="CC975" s="108"/>
      <c r="CD975" s="108"/>
      <c r="CE975" s="108"/>
      <c r="CF975" s="108"/>
      <c r="CG975" s="108"/>
      <c r="CH975" s="108"/>
      <c r="CI975" s="108"/>
      <c r="CJ975" s="108"/>
      <c r="CK975" s="120">
        <f t="shared" si="232"/>
        <v>0</v>
      </c>
      <c r="CL975" s="122">
        <f t="shared" si="233"/>
        <v>0</v>
      </c>
      <c r="CM975" s="524" t="str">
        <f t="shared" si="235"/>
        <v/>
      </c>
      <c r="CN975" s="526">
        <f t="shared" si="236"/>
        <v>0</v>
      </c>
      <c r="CO975" s="122">
        <f t="shared" si="237"/>
        <v>0</v>
      </c>
      <c r="CP975" s="45" t="str">
        <f t="shared" si="234"/>
        <v>1 - in MILLESIMI   I</v>
      </c>
      <c r="CQ975" s="1"/>
    </row>
    <row r="976" spans="1:95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435">
        <f>IF(AND(W976&gt;=$U$1,W976&lt;=$U$2),IF(X976='ESTRATTO CONTO'!$E$2,1+COUNTIF(U$4:U975,"&gt;0"),0),0)</f>
        <v>0</v>
      </c>
      <c r="V976" s="417">
        <f t="shared" si="238"/>
        <v>973</v>
      </c>
      <c r="W976" s="509"/>
      <c r="X976" s="321"/>
      <c r="Y976" s="321"/>
      <c r="Z976" s="433"/>
      <c r="AA976" s="918">
        <f t="shared" si="228"/>
        <v>1</v>
      </c>
      <c r="AB976" s="306" t="str">
        <f t="shared" si="229"/>
        <v/>
      </c>
      <c r="AC976" s="788"/>
      <c r="AD976" s="119">
        <f t="shared" si="230"/>
        <v>0</v>
      </c>
      <c r="AE976" s="108">
        <f t="shared" si="230"/>
        <v>0</v>
      </c>
      <c r="AF976" s="108">
        <f t="shared" si="230"/>
        <v>0</v>
      </c>
      <c r="AG976" s="108"/>
      <c r="AH976" s="108"/>
      <c r="AI976" s="108"/>
      <c r="AJ976" s="108"/>
      <c r="AK976" s="108"/>
      <c r="AL976" s="108">
        <f t="shared" si="231"/>
        <v>0</v>
      </c>
      <c r="AM976" s="108"/>
      <c r="AN976" s="108"/>
      <c r="AO976" s="108"/>
      <c r="AP976" s="108"/>
      <c r="AQ976" s="108"/>
      <c r="AR976" s="108"/>
      <c r="AS976" s="108"/>
      <c r="AT976" s="108"/>
      <c r="AU976" s="108"/>
      <c r="AV976" s="108"/>
      <c r="AW976" s="108"/>
      <c r="AX976" s="108"/>
      <c r="AY976" s="108"/>
      <c r="AZ976" s="108"/>
      <c r="BA976" s="108"/>
      <c r="BB976" s="108"/>
      <c r="BC976" s="108"/>
      <c r="BD976" s="108"/>
      <c r="BE976" s="108"/>
      <c r="BF976" s="108"/>
      <c r="BG976" s="108"/>
      <c r="BH976" s="108"/>
      <c r="BI976" s="108"/>
      <c r="BJ976" s="108"/>
      <c r="BK976" s="108"/>
      <c r="BL976" s="108"/>
      <c r="BM976" s="108"/>
      <c r="BN976" s="108"/>
      <c r="BO976" s="108"/>
      <c r="BP976" s="108"/>
      <c r="BQ976" s="108"/>
      <c r="BR976" s="108"/>
      <c r="BS976" s="108"/>
      <c r="BT976" s="108"/>
      <c r="BU976" s="108"/>
      <c r="BV976" s="108"/>
      <c r="BW976" s="108"/>
      <c r="BX976" s="108"/>
      <c r="BY976" s="108"/>
      <c r="BZ976" s="108"/>
      <c r="CA976" s="108"/>
      <c r="CB976" s="108"/>
      <c r="CC976" s="108"/>
      <c r="CD976" s="108"/>
      <c r="CE976" s="108"/>
      <c r="CF976" s="108"/>
      <c r="CG976" s="108"/>
      <c r="CH976" s="108"/>
      <c r="CI976" s="108"/>
      <c r="CJ976" s="108"/>
      <c r="CK976" s="120">
        <f t="shared" si="232"/>
        <v>0</v>
      </c>
      <c r="CL976" s="122">
        <f t="shared" si="233"/>
        <v>0</v>
      </c>
      <c r="CM976" s="524" t="str">
        <f t="shared" si="235"/>
        <v/>
      </c>
      <c r="CN976" s="526">
        <f t="shared" si="236"/>
        <v>0</v>
      </c>
      <c r="CO976" s="122">
        <f t="shared" si="237"/>
        <v>0</v>
      </c>
      <c r="CP976" s="45" t="str">
        <f t="shared" si="234"/>
        <v>1 - in MILLESIMI   I</v>
      </c>
      <c r="CQ976" s="1"/>
    </row>
    <row r="977" spans="1:95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435">
        <f>IF(AND(W977&gt;=$U$1,W977&lt;=$U$2),IF(X977='ESTRATTO CONTO'!$E$2,1+COUNTIF(U$4:U976,"&gt;0"),0),0)</f>
        <v>0</v>
      </c>
      <c r="V977" s="417">
        <f t="shared" si="238"/>
        <v>974</v>
      </c>
      <c r="W977" s="509"/>
      <c r="X977" s="321"/>
      <c r="Y977" s="321"/>
      <c r="Z977" s="433"/>
      <c r="AA977" s="918">
        <f t="shared" si="228"/>
        <v>1</v>
      </c>
      <c r="AB977" s="306" t="str">
        <f t="shared" si="229"/>
        <v/>
      </c>
      <c r="AC977" s="788"/>
      <c r="AD977" s="119">
        <f t="shared" si="230"/>
        <v>0</v>
      </c>
      <c r="AE977" s="108">
        <f t="shared" si="230"/>
        <v>0</v>
      </c>
      <c r="AF977" s="108">
        <f t="shared" si="230"/>
        <v>0</v>
      </c>
      <c r="AG977" s="108"/>
      <c r="AH977" s="108"/>
      <c r="AI977" s="108"/>
      <c r="AJ977" s="108"/>
      <c r="AK977" s="108"/>
      <c r="AL977" s="108">
        <f t="shared" si="231"/>
        <v>0</v>
      </c>
      <c r="AM977" s="108"/>
      <c r="AN977" s="108"/>
      <c r="AO977" s="108"/>
      <c r="AP977" s="108"/>
      <c r="AQ977" s="108"/>
      <c r="AR977" s="108"/>
      <c r="AS977" s="108"/>
      <c r="AT977" s="108"/>
      <c r="AU977" s="108"/>
      <c r="AV977" s="108"/>
      <c r="AW977" s="108"/>
      <c r="AX977" s="108"/>
      <c r="AY977" s="108"/>
      <c r="AZ977" s="108"/>
      <c r="BA977" s="108"/>
      <c r="BB977" s="108"/>
      <c r="BC977" s="108"/>
      <c r="BD977" s="108"/>
      <c r="BE977" s="108"/>
      <c r="BF977" s="108"/>
      <c r="BG977" s="108"/>
      <c r="BH977" s="108"/>
      <c r="BI977" s="108"/>
      <c r="BJ977" s="108"/>
      <c r="BK977" s="108"/>
      <c r="BL977" s="108"/>
      <c r="BM977" s="108"/>
      <c r="BN977" s="108"/>
      <c r="BO977" s="108"/>
      <c r="BP977" s="108"/>
      <c r="BQ977" s="108"/>
      <c r="BR977" s="108"/>
      <c r="BS977" s="108"/>
      <c r="BT977" s="108"/>
      <c r="BU977" s="108"/>
      <c r="BV977" s="108"/>
      <c r="BW977" s="108"/>
      <c r="BX977" s="108"/>
      <c r="BY977" s="108"/>
      <c r="BZ977" s="108"/>
      <c r="CA977" s="108"/>
      <c r="CB977" s="108"/>
      <c r="CC977" s="108"/>
      <c r="CD977" s="108"/>
      <c r="CE977" s="108"/>
      <c r="CF977" s="108"/>
      <c r="CG977" s="108"/>
      <c r="CH977" s="108"/>
      <c r="CI977" s="108"/>
      <c r="CJ977" s="108"/>
      <c r="CK977" s="120">
        <f t="shared" si="232"/>
        <v>0</v>
      </c>
      <c r="CL977" s="122">
        <f t="shared" si="233"/>
        <v>0</v>
      </c>
      <c r="CM977" s="524" t="str">
        <f t="shared" si="235"/>
        <v/>
      </c>
      <c r="CN977" s="526">
        <f t="shared" si="236"/>
        <v>0</v>
      </c>
      <c r="CO977" s="122">
        <f t="shared" si="237"/>
        <v>0</v>
      </c>
      <c r="CP977" s="45" t="str">
        <f t="shared" si="234"/>
        <v>1 - in MILLESIMI   I</v>
      </c>
      <c r="CQ977" s="1"/>
    </row>
    <row r="978" spans="1:95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435">
        <f>IF(AND(W978&gt;=$U$1,W978&lt;=$U$2),IF(X978='ESTRATTO CONTO'!$E$2,1+COUNTIF(U$4:U977,"&gt;0"),0),0)</f>
        <v>0</v>
      </c>
      <c r="V978" s="417">
        <f t="shared" si="238"/>
        <v>975</v>
      </c>
      <c r="W978" s="509"/>
      <c r="X978" s="321"/>
      <c r="Y978" s="321"/>
      <c r="Z978" s="433"/>
      <c r="AA978" s="918">
        <f t="shared" si="228"/>
        <v>1</v>
      </c>
      <c r="AB978" s="306" t="str">
        <f t="shared" si="229"/>
        <v/>
      </c>
      <c r="AC978" s="788"/>
      <c r="AD978" s="119">
        <f t="shared" si="230"/>
        <v>0</v>
      </c>
      <c r="AE978" s="108">
        <f t="shared" si="230"/>
        <v>0</v>
      </c>
      <c r="AF978" s="108">
        <f t="shared" si="230"/>
        <v>0</v>
      </c>
      <c r="AG978" s="108"/>
      <c r="AH978" s="108"/>
      <c r="AI978" s="108"/>
      <c r="AJ978" s="108"/>
      <c r="AK978" s="108"/>
      <c r="AL978" s="108">
        <f t="shared" si="231"/>
        <v>0</v>
      </c>
      <c r="AM978" s="108"/>
      <c r="AN978" s="108"/>
      <c r="AO978" s="108"/>
      <c r="AP978" s="108"/>
      <c r="AQ978" s="108"/>
      <c r="AR978" s="108"/>
      <c r="AS978" s="108"/>
      <c r="AT978" s="108"/>
      <c r="AU978" s="108"/>
      <c r="AV978" s="108"/>
      <c r="AW978" s="108"/>
      <c r="AX978" s="108"/>
      <c r="AY978" s="108"/>
      <c r="AZ978" s="108"/>
      <c r="BA978" s="108"/>
      <c r="BB978" s="108"/>
      <c r="BC978" s="108"/>
      <c r="BD978" s="108"/>
      <c r="BE978" s="108"/>
      <c r="BF978" s="108"/>
      <c r="BG978" s="108"/>
      <c r="BH978" s="108"/>
      <c r="BI978" s="108"/>
      <c r="BJ978" s="108"/>
      <c r="BK978" s="108"/>
      <c r="BL978" s="108"/>
      <c r="BM978" s="108"/>
      <c r="BN978" s="108"/>
      <c r="BO978" s="108"/>
      <c r="BP978" s="108"/>
      <c r="BQ978" s="108"/>
      <c r="BR978" s="108"/>
      <c r="BS978" s="108"/>
      <c r="BT978" s="108"/>
      <c r="BU978" s="108"/>
      <c r="BV978" s="108"/>
      <c r="BW978" s="108"/>
      <c r="BX978" s="108"/>
      <c r="BY978" s="108"/>
      <c r="BZ978" s="108"/>
      <c r="CA978" s="108"/>
      <c r="CB978" s="108"/>
      <c r="CC978" s="108"/>
      <c r="CD978" s="108"/>
      <c r="CE978" s="108"/>
      <c r="CF978" s="108"/>
      <c r="CG978" s="108"/>
      <c r="CH978" s="108"/>
      <c r="CI978" s="108"/>
      <c r="CJ978" s="108"/>
      <c r="CK978" s="120">
        <f t="shared" si="232"/>
        <v>0</v>
      </c>
      <c r="CL978" s="122">
        <f t="shared" si="233"/>
        <v>0</v>
      </c>
      <c r="CM978" s="524" t="str">
        <f t="shared" si="235"/>
        <v/>
      </c>
      <c r="CN978" s="526">
        <f t="shared" si="236"/>
        <v>0</v>
      </c>
      <c r="CO978" s="122">
        <f t="shared" si="237"/>
        <v>0</v>
      </c>
      <c r="CP978" s="45" t="str">
        <f t="shared" si="234"/>
        <v>1 - in MILLESIMI   I</v>
      </c>
      <c r="CQ978" s="1"/>
    </row>
    <row r="979" spans="1:95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435">
        <f>IF(AND(W979&gt;=$U$1,W979&lt;=$U$2),IF(X979='ESTRATTO CONTO'!$E$2,1+COUNTIF(U$4:U978,"&gt;0"),0),0)</f>
        <v>0</v>
      </c>
      <c r="V979" s="417">
        <f t="shared" si="238"/>
        <v>976</v>
      </c>
      <c r="W979" s="509"/>
      <c r="X979" s="321"/>
      <c r="Y979" s="321"/>
      <c r="Z979" s="433"/>
      <c r="AA979" s="918">
        <f t="shared" si="228"/>
        <v>1</v>
      </c>
      <c r="AB979" s="306" t="str">
        <f t="shared" si="229"/>
        <v/>
      </c>
      <c r="AC979" s="788"/>
      <c r="AD979" s="119">
        <f t="shared" si="230"/>
        <v>0</v>
      </c>
      <c r="AE979" s="108">
        <f t="shared" si="230"/>
        <v>0</v>
      </c>
      <c r="AF979" s="108">
        <f t="shared" si="230"/>
        <v>0</v>
      </c>
      <c r="AG979" s="108"/>
      <c r="AH979" s="108"/>
      <c r="AI979" s="108"/>
      <c r="AJ979" s="108"/>
      <c r="AK979" s="108"/>
      <c r="AL979" s="108">
        <f t="shared" si="231"/>
        <v>0</v>
      </c>
      <c r="AM979" s="108"/>
      <c r="AN979" s="108"/>
      <c r="AO979" s="108"/>
      <c r="AP979" s="108"/>
      <c r="AQ979" s="108"/>
      <c r="AR979" s="108"/>
      <c r="AS979" s="108"/>
      <c r="AT979" s="108"/>
      <c r="AU979" s="108"/>
      <c r="AV979" s="108"/>
      <c r="AW979" s="108"/>
      <c r="AX979" s="108"/>
      <c r="AY979" s="108"/>
      <c r="AZ979" s="108"/>
      <c r="BA979" s="108"/>
      <c r="BB979" s="108"/>
      <c r="BC979" s="108"/>
      <c r="BD979" s="108"/>
      <c r="BE979" s="108"/>
      <c r="BF979" s="108"/>
      <c r="BG979" s="108"/>
      <c r="BH979" s="108"/>
      <c r="BI979" s="108"/>
      <c r="BJ979" s="108"/>
      <c r="BK979" s="108"/>
      <c r="BL979" s="108"/>
      <c r="BM979" s="108"/>
      <c r="BN979" s="108"/>
      <c r="BO979" s="108"/>
      <c r="BP979" s="108"/>
      <c r="BQ979" s="108"/>
      <c r="BR979" s="108"/>
      <c r="BS979" s="108"/>
      <c r="BT979" s="108"/>
      <c r="BU979" s="108"/>
      <c r="BV979" s="108"/>
      <c r="BW979" s="108"/>
      <c r="BX979" s="108"/>
      <c r="BY979" s="108"/>
      <c r="BZ979" s="108"/>
      <c r="CA979" s="108"/>
      <c r="CB979" s="108"/>
      <c r="CC979" s="108"/>
      <c r="CD979" s="108"/>
      <c r="CE979" s="108"/>
      <c r="CF979" s="108"/>
      <c r="CG979" s="108"/>
      <c r="CH979" s="108"/>
      <c r="CI979" s="108"/>
      <c r="CJ979" s="108"/>
      <c r="CK979" s="120">
        <f t="shared" si="232"/>
        <v>0</v>
      </c>
      <c r="CL979" s="122">
        <f t="shared" si="233"/>
        <v>0</v>
      </c>
      <c r="CM979" s="524" t="str">
        <f t="shared" si="235"/>
        <v/>
      </c>
      <c r="CN979" s="526">
        <f t="shared" si="236"/>
        <v>0</v>
      </c>
      <c r="CO979" s="122">
        <f t="shared" si="237"/>
        <v>0</v>
      </c>
      <c r="CP979" s="45" t="str">
        <f t="shared" si="234"/>
        <v>1 - in MILLESIMI   I</v>
      </c>
      <c r="CQ979" s="1"/>
    </row>
    <row r="980" spans="1:95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435">
        <f>IF(AND(W980&gt;=$U$1,W980&lt;=$U$2),IF(X980='ESTRATTO CONTO'!$E$2,1+COUNTIF(U$4:U979,"&gt;0"),0),0)</f>
        <v>0</v>
      </c>
      <c r="V980" s="417">
        <f t="shared" si="238"/>
        <v>977</v>
      </c>
      <c r="W980" s="509"/>
      <c r="X980" s="321"/>
      <c r="Y980" s="321"/>
      <c r="Z980" s="433"/>
      <c r="AA980" s="918">
        <f t="shared" si="228"/>
        <v>1</v>
      </c>
      <c r="AB980" s="306" t="str">
        <f t="shared" si="229"/>
        <v/>
      </c>
      <c r="AC980" s="788"/>
      <c r="AD980" s="119">
        <f t="shared" si="230"/>
        <v>0</v>
      </c>
      <c r="AE980" s="108">
        <f t="shared" si="230"/>
        <v>0</v>
      </c>
      <c r="AF980" s="108">
        <f t="shared" si="230"/>
        <v>0</v>
      </c>
      <c r="AG980" s="108"/>
      <c r="AH980" s="108"/>
      <c r="AI980" s="108"/>
      <c r="AJ980" s="108"/>
      <c r="AK980" s="108"/>
      <c r="AL980" s="108">
        <f t="shared" si="231"/>
        <v>0</v>
      </c>
      <c r="AM980" s="108"/>
      <c r="AN980" s="108"/>
      <c r="AO980" s="108"/>
      <c r="AP980" s="108"/>
      <c r="AQ980" s="108"/>
      <c r="AR980" s="108"/>
      <c r="AS980" s="108"/>
      <c r="AT980" s="108"/>
      <c r="AU980" s="108"/>
      <c r="AV980" s="108"/>
      <c r="AW980" s="108"/>
      <c r="AX980" s="108"/>
      <c r="AY980" s="108"/>
      <c r="AZ980" s="108"/>
      <c r="BA980" s="108"/>
      <c r="BB980" s="108"/>
      <c r="BC980" s="108"/>
      <c r="BD980" s="108"/>
      <c r="BE980" s="108"/>
      <c r="BF980" s="108"/>
      <c r="BG980" s="108"/>
      <c r="BH980" s="108"/>
      <c r="BI980" s="108"/>
      <c r="BJ980" s="108"/>
      <c r="BK980" s="108"/>
      <c r="BL980" s="108"/>
      <c r="BM980" s="108"/>
      <c r="BN980" s="108"/>
      <c r="BO980" s="108"/>
      <c r="BP980" s="108"/>
      <c r="BQ980" s="108"/>
      <c r="BR980" s="108"/>
      <c r="BS980" s="108"/>
      <c r="BT980" s="108"/>
      <c r="BU980" s="108"/>
      <c r="BV980" s="108"/>
      <c r="BW980" s="108"/>
      <c r="BX980" s="108"/>
      <c r="BY980" s="108"/>
      <c r="BZ980" s="108"/>
      <c r="CA980" s="108"/>
      <c r="CB980" s="108"/>
      <c r="CC980" s="108"/>
      <c r="CD980" s="108"/>
      <c r="CE980" s="108"/>
      <c r="CF980" s="108"/>
      <c r="CG980" s="108"/>
      <c r="CH980" s="108"/>
      <c r="CI980" s="108"/>
      <c r="CJ980" s="108"/>
      <c r="CK980" s="120">
        <f t="shared" si="232"/>
        <v>0</v>
      </c>
      <c r="CL980" s="122">
        <f t="shared" si="233"/>
        <v>0</v>
      </c>
      <c r="CM980" s="524" t="str">
        <f t="shared" si="235"/>
        <v/>
      </c>
      <c r="CN980" s="526">
        <f t="shared" si="236"/>
        <v>0</v>
      </c>
      <c r="CO980" s="122">
        <f t="shared" si="237"/>
        <v>0</v>
      </c>
      <c r="CP980" s="45" t="str">
        <f t="shared" si="234"/>
        <v>1 - in MILLESIMI   I</v>
      </c>
      <c r="CQ980" s="1"/>
    </row>
    <row r="981" spans="1:95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435">
        <f>IF(AND(W981&gt;=$U$1,W981&lt;=$U$2),IF(X981='ESTRATTO CONTO'!$E$2,1+COUNTIF(U$4:U980,"&gt;0"),0),0)</f>
        <v>0</v>
      </c>
      <c r="V981" s="417">
        <f t="shared" si="238"/>
        <v>978</v>
      </c>
      <c r="W981" s="509"/>
      <c r="X981" s="321"/>
      <c r="Y981" s="321"/>
      <c r="Z981" s="433"/>
      <c r="AA981" s="918">
        <f t="shared" si="228"/>
        <v>1</v>
      </c>
      <c r="AB981" s="306" t="str">
        <f t="shared" si="229"/>
        <v/>
      </c>
      <c r="AC981" s="788"/>
      <c r="AD981" s="119">
        <f t="shared" si="230"/>
        <v>0</v>
      </c>
      <c r="AE981" s="108">
        <f t="shared" si="230"/>
        <v>0</v>
      </c>
      <c r="AF981" s="108">
        <f t="shared" si="230"/>
        <v>0</v>
      </c>
      <c r="AG981" s="108"/>
      <c r="AH981" s="108"/>
      <c r="AI981" s="108"/>
      <c r="AJ981" s="108"/>
      <c r="AK981" s="108"/>
      <c r="AL981" s="108">
        <f t="shared" si="231"/>
        <v>0</v>
      </c>
      <c r="AM981" s="108"/>
      <c r="AN981" s="108"/>
      <c r="AO981" s="108"/>
      <c r="AP981" s="108"/>
      <c r="AQ981" s="108"/>
      <c r="AR981" s="108"/>
      <c r="AS981" s="108"/>
      <c r="AT981" s="108"/>
      <c r="AU981" s="108"/>
      <c r="AV981" s="108"/>
      <c r="AW981" s="108"/>
      <c r="AX981" s="108"/>
      <c r="AY981" s="108"/>
      <c r="AZ981" s="108"/>
      <c r="BA981" s="108"/>
      <c r="BB981" s="108"/>
      <c r="BC981" s="108"/>
      <c r="BD981" s="108"/>
      <c r="BE981" s="108"/>
      <c r="BF981" s="108"/>
      <c r="BG981" s="108"/>
      <c r="BH981" s="108"/>
      <c r="BI981" s="108"/>
      <c r="BJ981" s="108"/>
      <c r="BK981" s="108"/>
      <c r="BL981" s="108"/>
      <c r="BM981" s="108"/>
      <c r="BN981" s="108"/>
      <c r="BO981" s="108"/>
      <c r="BP981" s="108"/>
      <c r="BQ981" s="108"/>
      <c r="BR981" s="108"/>
      <c r="BS981" s="108"/>
      <c r="BT981" s="108"/>
      <c r="BU981" s="108"/>
      <c r="BV981" s="108"/>
      <c r="BW981" s="108"/>
      <c r="BX981" s="108"/>
      <c r="BY981" s="108"/>
      <c r="BZ981" s="108"/>
      <c r="CA981" s="108"/>
      <c r="CB981" s="108"/>
      <c r="CC981" s="108"/>
      <c r="CD981" s="108"/>
      <c r="CE981" s="108"/>
      <c r="CF981" s="108"/>
      <c r="CG981" s="108"/>
      <c r="CH981" s="108"/>
      <c r="CI981" s="108"/>
      <c r="CJ981" s="108"/>
      <c r="CK981" s="120">
        <f t="shared" si="232"/>
        <v>0</v>
      </c>
      <c r="CL981" s="122">
        <f t="shared" si="233"/>
        <v>0</v>
      </c>
      <c r="CM981" s="524" t="str">
        <f t="shared" si="235"/>
        <v/>
      </c>
      <c r="CN981" s="526">
        <f t="shared" si="236"/>
        <v>0</v>
      </c>
      <c r="CO981" s="122">
        <f t="shared" si="237"/>
        <v>0</v>
      </c>
      <c r="CP981" s="45" t="str">
        <f t="shared" si="234"/>
        <v>1 - in MILLESIMI   I</v>
      </c>
      <c r="CQ981" s="1"/>
    </row>
    <row r="982" spans="1:95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435">
        <f>IF(AND(W982&gt;=$U$1,W982&lt;=$U$2),IF(X982='ESTRATTO CONTO'!$E$2,1+COUNTIF(U$4:U981,"&gt;0"),0),0)</f>
        <v>0</v>
      </c>
      <c r="V982" s="417">
        <f t="shared" si="238"/>
        <v>979</v>
      </c>
      <c r="W982" s="509"/>
      <c r="X982" s="321"/>
      <c r="Y982" s="321"/>
      <c r="Z982" s="433"/>
      <c r="AA982" s="918">
        <f t="shared" si="228"/>
        <v>1</v>
      </c>
      <c r="AB982" s="306" t="str">
        <f t="shared" si="229"/>
        <v/>
      </c>
      <c r="AC982" s="788"/>
      <c r="AD982" s="119">
        <f t="shared" si="230"/>
        <v>0</v>
      </c>
      <c r="AE982" s="108">
        <f t="shared" si="230"/>
        <v>0</v>
      </c>
      <c r="AF982" s="108">
        <f t="shared" si="230"/>
        <v>0</v>
      </c>
      <c r="AG982" s="108"/>
      <c r="AH982" s="108"/>
      <c r="AI982" s="108"/>
      <c r="AJ982" s="108"/>
      <c r="AK982" s="108"/>
      <c r="AL982" s="108">
        <f t="shared" si="231"/>
        <v>0</v>
      </c>
      <c r="AM982" s="108"/>
      <c r="AN982" s="108"/>
      <c r="AO982" s="108"/>
      <c r="AP982" s="108"/>
      <c r="AQ982" s="108"/>
      <c r="AR982" s="108"/>
      <c r="AS982" s="108"/>
      <c r="AT982" s="108"/>
      <c r="AU982" s="108"/>
      <c r="AV982" s="108"/>
      <c r="AW982" s="108"/>
      <c r="AX982" s="108"/>
      <c r="AY982" s="108"/>
      <c r="AZ982" s="108"/>
      <c r="BA982" s="108"/>
      <c r="BB982" s="108"/>
      <c r="BC982" s="108"/>
      <c r="BD982" s="108"/>
      <c r="BE982" s="108"/>
      <c r="BF982" s="108"/>
      <c r="BG982" s="108"/>
      <c r="BH982" s="108"/>
      <c r="BI982" s="108"/>
      <c r="BJ982" s="108"/>
      <c r="BK982" s="108"/>
      <c r="BL982" s="108"/>
      <c r="BM982" s="108"/>
      <c r="BN982" s="108"/>
      <c r="BO982" s="108"/>
      <c r="BP982" s="108"/>
      <c r="BQ982" s="108"/>
      <c r="BR982" s="108"/>
      <c r="BS982" s="108"/>
      <c r="BT982" s="108"/>
      <c r="BU982" s="108"/>
      <c r="BV982" s="108"/>
      <c r="BW982" s="108"/>
      <c r="BX982" s="108"/>
      <c r="BY982" s="108"/>
      <c r="BZ982" s="108"/>
      <c r="CA982" s="108"/>
      <c r="CB982" s="108"/>
      <c r="CC982" s="108"/>
      <c r="CD982" s="108"/>
      <c r="CE982" s="108"/>
      <c r="CF982" s="108"/>
      <c r="CG982" s="108"/>
      <c r="CH982" s="108"/>
      <c r="CI982" s="108"/>
      <c r="CJ982" s="108"/>
      <c r="CK982" s="120">
        <f t="shared" si="232"/>
        <v>0</v>
      </c>
      <c r="CL982" s="122">
        <f t="shared" si="233"/>
        <v>0</v>
      </c>
      <c r="CM982" s="524" t="str">
        <f t="shared" si="235"/>
        <v/>
      </c>
      <c r="CN982" s="526">
        <f t="shared" si="236"/>
        <v>0</v>
      </c>
      <c r="CO982" s="122">
        <f t="shared" si="237"/>
        <v>0</v>
      </c>
      <c r="CP982" s="45" t="str">
        <f t="shared" si="234"/>
        <v>1 - in MILLESIMI   I</v>
      </c>
      <c r="CQ982" s="1"/>
    </row>
    <row r="983" spans="1:95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435">
        <f>IF(AND(W983&gt;=$U$1,W983&lt;=$U$2),IF(X983='ESTRATTO CONTO'!$E$2,1+COUNTIF(U$4:U982,"&gt;0"),0),0)</f>
        <v>0</v>
      </c>
      <c r="V983" s="417">
        <f t="shared" si="238"/>
        <v>980</v>
      </c>
      <c r="W983" s="509"/>
      <c r="X983" s="321"/>
      <c r="Y983" s="321"/>
      <c r="Z983" s="433"/>
      <c r="AA983" s="918">
        <f t="shared" si="228"/>
        <v>1</v>
      </c>
      <c r="AB983" s="306" t="str">
        <f t="shared" si="229"/>
        <v/>
      </c>
      <c r="AC983" s="788"/>
      <c r="AD983" s="119">
        <f t="shared" si="230"/>
        <v>0</v>
      </c>
      <c r="AE983" s="108">
        <f t="shared" si="230"/>
        <v>0</v>
      </c>
      <c r="AF983" s="108">
        <f t="shared" si="230"/>
        <v>0</v>
      </c>
      <c r="AG983" s="108"/>
      <c r="AH983" s="108"/>
      <c r="AI983" s="108"/>
      <c r="AJ983" s="108"/>
      <c r="AK983" s="108"/>
      <c r="AL983" s="108">
        <f t="shared" si="231"/>
        <v>0</v>
      </c>
      <c r="AM983" s="108"/>
      <c r="AN983" s="108"/>
      <c r="AO983" s="108"/>
      <c r="AP983" s="108"/>
      <c r="AQ983" s="108"/>
      <c r="AR983" s="108"/>
      <c r="AS983" s="108"/>
      <c r="AT983" s="108"/>
      <c r="AU983" s="108"/>
      <c r="AV983" s="108"/>
      <c r="AW983" s="108"/>
      <c r="AX983" s="108"/>
      <c r="AY983" s="108"/>
      <c r="AZ983" s="108"/>
      <c r="BA983" s="108"/>
      <c r="BB983" s="108"/>
      <c r="BC983" s="108"/>
      <c r="BD983" s="108"/>
      <c r="BE983" s="108"/>
      <c r="BF983" s="108"/>
      <c r="BG983" s="108"/>
      <c r="BH983" s="108"/>
      <c r="BI983" s="108"/>
      <c r="BJ983" s="108"/>
      <c r="BK983" s="108"/>
      <c r="BL983" s="108"/>
      <c r="BM983" s="108"/>
      <c r="BN983" s="108"/>
      <c r="BO983" s="108"/>
      <c r="BP983" s="108"/>
      <c r="BQ983" s="108"/>
      <c r="BR983" s="108"/>
      <c r="BS983" s="108"/>
      <c r="BT983" s="108"/>
      <c r="BU983" s="108"/>
      <c r="BV983" s="108"/>
      <c r="BW983" s="108"/>
      <c r="BX983" s="108"/>
      <c r="BY983" s="108"/>
      <c r="BZ983" s="108"/>
      <c r="CA983" s="108"/>
      <c r="CB983" s="108"/>
      <c r="CC983" s="108"/>
      <c r="CD983" s="108"/>
      <c r="CE983" s="108"/>
      <c r="CF983" s="108"/>
      <c r="CG983" s="108"/>
      <c r="CH983" s="108"/>
      <c r="CI983" s="108"/>
      <c r="CJ983" s="108"/>
      <c r="CK983" s="120">
        <f t="shared" si="232"/>
        <v>0</v>
      </c>
      <c r="CL983" s="122">
        <f t="shared" si="233"/>
        <v>0</v>
      </c>
      <c r="CM983" s="524" t="str">
        <f t="shared" si="235"/>
        <v/>
      </c>
      <c r="CN983" s="526">
        <f t="shared" si="236"/>
        <v>0</v>
      </c>
      <c r="CO983" s="122">
        <f t="shared" si="237"/>
        <v>0</v>
      </c>
      <c r="CP983" s="45" t="str">
        <f t="shared" si="234"/>
        <v>1 - in MILLESIMI   I</v>
      </c>
      <c r="CQ983" s="1"/>
    </row>
    <row r="984" spans="1:95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435">
        <f>IF(AND(W984&gt;=$U$1,W984&lt;=$U$2),IF(X984='ESTRATTO CONTO'!$E$2,1+COUNTIF(U$4:U983,"&gt;0"),0),0)</f>
        <v>0</v>
      </c>
      <c r="V984" s="417">
        <f t="shared" si="238"/>
        <v>981</v>
      </c>
      <c r="W984" s="509"/>
      <c r="X984" s="321"/>
      <c r="Y984" s="321"/>
      <c r="Z984" s="433"/>
      <c r="AA984" s="918">
        <f t="shared" si="228"/>
        <v>1</v>
      </c>
      <c r="AB984" s="306" t="str">
        <f t="shared" si="229"/>
        <v/>
      </c>
      <c r="AC984" s="788"/>
      <c r="AD984" s="119">
        <f t="shared" ref="AD984:AF1003" si="239">IF($AB984=0,0,ROUND($Z984*VLOOKUP(AD$2,$F$1010:$Q$1014,VLOOKUP($CP984,$C$1076:$E$1081,3,FALSE),FALSE),2))</f>
        <v>0</v>
      </c>
      <c r="AE984" s="108">
        <f t="shared" si="239"/>
        <v>0</v>
      </c>
      <c r="AF984" s="108">
        <f t="shared" si="239"/>
        <v>0</v>
      </c>
      <c r="AG984" s="108"/>
      <c r="AH984" s="108"/>
      <c r="AI984" s="108"/>
      <c r="AJ984" s="108"/>
      <c r="AK984" s="108"/>
      <c r="AL984" s="108">
        <f t="shared" si="231"/>
        <v>0</v>
      </c>
      <c r="AM984" s="108"/>
      <c r="AN984" s="108"/>
      <c r="AO984" s="108"/>
      <c r="AP984" s="108"/>
      <c r="AQ984" s="108"/>
      <c r="AR984" s="108"/>
      <c r="AS984" s="108"/>
      <c r="AT984" s="108"/>
      <c r="AU984" s="108"/>
      <c r="AV984" s="108"/>
      <c r="AW984" s="108"/>
      <c r="AX984" s="108"/>
      <c r="AY984" s="108"/>
      <c r="AZ984" s="108"/>
      <c r="BA984" s="108"/>
      <c r="BB984" s="108"/>
      <c r="BC984" s="108"/>
      <c r="BD984" s="108"/>
      <c r="BE984" s="108"/>
      <c r="BF984" s="108"/>
      <c r="BG984" s="108"/>
      <c r="BH984" s="108"/>
      <c r="BI984" s="108"/>
      <c r="BJ984" s="108"/>
      <c r="BK984" s="108"/>
      <c r="BL984" s="108"/>
      <c r="BM984" s="108"/>
      <c r="BN984" s="108"/>
      <c r="BO984" s="108"/>
      <c r="BP984" s="108"/>
      <c r="BQ984" s="108"/>
      <c r="BR984" s="108"/>
      <c r="BS984" s="108"/>
      <c r="BT984" s="108"/>
      <c r="BU984" s="108"/>
      <c r="BV984" s="108"/>
      <c r="BW984" s="108"/>
      <c r="BX984" s="108"/>
      <c r="BY984" s="108"/>
      <c r="BZ984" s="108"/>
      <c r="CA984" s="108"/>
      <c r="CB984" s="108"/>
      <c r="CC984" s="108"/>
      <c r="CD984" s="108"/>
      <c r="CE984" s="108"/>
      <c r="CF984" s="108"/>
      <c r="CG984" s="108"/>
      <c r="CH984" s="108"/>
      <c r="CI984" s="108"/>
      <c r="CJ984" s="108"/>
      <c r="CK984" s="120">
        <f t="shared" si="232"/>
        <v>0</v>
      </c>
      <c r="CL984" s="122">
        <f t="shared" si="233"/>
        <v>0</v>
      </c>
      <c r="CM984" s="524" t="str">
        <f t="shared" si="235"/>
        <v/>
      </c>
      <c r="CN984" s="526">
        <f t="shared" si="236"/>
        <v>0</v>
      </c>
      <c r="CO984" s="122">
        <f t="shared" si="237"/>
        <v>0</v>
      </c>
      <c r="CP984" s="45" t="str">
        <f t="shared" si="234"/>
        <v>1 - in MILLESIMI   I</v>
      </c>
      <c r="CQ984" s="1"/>
    </row>
    <row r="985" spans="1:95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435">
        <f>IF(AND(W985&gt;=$U$1,W985&lt;=$U$2),IF(X985='ESTRATTO CONTO'!$E$2,1+COUNTIF(U$4:U984,"&gt;0"),0),0)</f>
        <v>0</v>
      </c>
      <c r="V985" s="417">
        <f t="shared" si="238"/>
        <v>982</v>
      </c>
      <c r="W985" s="509"/>
      <c r="X985" s="321"/>
      <c r="Y985" s="321"/>
      <c r="Z985" s="433"/>
      <c r="AA985" s="918">
        <f t="shared" si="228"/>
        <v>1</v>
      </c>
      <c r="AB985" s="306" t="str">
        <f t="shared" si="229"/>
        <v/>
      </c>
      <c r="AC985" s="788"/>
      <c r="AD985" s="119">
        <f t="shared" si="239"/>
        <v>0</v>
      </c>
      <c r="AE985" s="108">
        <f t="shared" si="239"/>
        <v>0</v>
      </c>
      <c r="AF985" s="108">
        <f t="shared" si="239"/>
        <v>0</v>
      </c>
      <c r="AG985" s="108"/>
      <c r="AH985" s="108"/>
      <c r="AI985" s="108"/>
      <c r="AJ985" s="108"/>
      <c r="AK985" s="108"/>
      <c r="AL985" s="108">
        <f t="shared" si="231"/>
        <v>0</v>
      </c>
      <c r="AM985" s="108"/>
      <c r="AN985" s="108"/>
      <c r="AO985" s="108"/>
      <c r="AP985" s="108"/>
      <c r="AQ985" s="108"/>
      <c r="AR985" s="108"/>
      <c r="AS985" s="108"/>
      <c r="AT985" s="108"/>
      <c r="AU985" s="108"/>
      <c r="AV985" s="108"/>
      <c r="AW985" s="108"/>
      <c r="AX985" s="108"/>
      <c r="AY985" s="108"/>
      <c r="AZ985" s="108"/>
      <c r="BA985" s="108"/>
      <c r="BB985" s="108"/>
      <c r="BC985" s="108"/>
      <c r="BD985" s="108"/>
      <c r="BE985" s="108"/>
      <c r="BF985" s="108"/>
      <c r="BG985" s="108"/>
      <c r="BH985" s="108"/>
      <c r="BI985" s="108"/>
      <c r="BJ985" s="108"/>
      <c r="BK985" s="108"/>
      <c r="BL985" s="108"/>
      <c r="BM985" s="108"/>
      <c r="BN985" s="108"/>
      <c r="BO985" s="108"/>
      <c r="BP985" s="108"/>
      <c r="BQ985" s="108"/>
      <c r="BR985" s="108"/>
      <c r="BS985" s="108"/>
      <c r="BT985" s="108"/>
      <c r="BU985" s="108"/>
      <c r="BV985" s="108"/>
      <c r="BW985" s="108"/>
      <c r="BX985" s="108"/>
      <c r="BY985" s="108"/>
      <c r="BZ985" s="108"/>
      <c r="CA985" s="108"/>
      <c r="CB985" s="108"/>
      <c r="CC985" s="108"/>
      <c r="CD985" s="108"/>
      <c r="CE985" s="108"/>
      <c r="CF985" s="108"/>
      <c r="CG985" s="108"/>
      <c r="CH985" s="108"/>
      <c r="CI985" s="108"/>
      <c r="CJ985" s="108"/>
      <c r="CK985" s="120">
        <f t="shared" si="232"/>
        <v>0</v>
      </c>
      <c r="CL985" s="122">
        <f t="shared" si="233"/>
        <v>0</v>
      </c>
      <c r="CM985" s="524" t="str">
        <f t="shared" si="235"/>
        <v/>
      </c>
      <c r="CN985" s="526">
        <f t="shared" si="236"/>
        <v>0</v>
      </c>
      <c r="CO985" s="122">
        <f t="shared" si="237"/>
        <v>0</v>
      </c>
      <c r="CP985" s="45" t="str">
        <f t="shared" si="234"/>
        <v>1 - in MILLESIMI   I</v>
      </c>
      <c r="CQ985" s="1"/>
    </row>
    <row r="986" spans="1:95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435">
        <f>IF(AND(W986&gt;=$U$1,W986&lt;=$U$2),IF(X986='ESTRATTO CONTO'!$E$2,1+COUNTIF(U$4:U985,"&gt;0"),0),0)</f>
        <v>0</v>
      </c>
      <c r="V986" s="417">
        <f t="shared" si="238"/>
        <v>983</v>
      </c>
      <c r="W986" s="509"/>
      <c r="X986" s="321"/>
      <c r="Y986" s="321"/>
      <c r="Z986" s="433"/>
      <c r="AA986" s="918">
        <f t="shared" si="228"/>
        <v>1</v>
      </c>
      <c r="AB986" s="306" t="str">
        <f t="shared" si="229"/>
        <v/>
      </c>
      <c r="AC986" s="788"/>
      <c r="AD986" s="119">
        <f t="shared" si="239"/>
        <v>0</v>
      </c>
      <c r="AE986" s="108">
        <f t="shared" si="239"/>
        <v>0</v>
      </c>
      <c r="AF986" s="108">
        <f t="shared" si="239"/>
        <v>0</v>
      </c>
      <c r="AG986" s="108"/>
      <c r="AH986" s="108"/>
      <c r="AI986" s="108"/>
      <c r="AJ986" s="108"/>
      <c r="AK986" s="108"/>
      <c r="AL986" s="108">
        <f t="shared" si="231"/>
        <v>0</v>
      </c>
      <c r="AM986" s="108"/>
      <c r="AN986" s="108"/>
      <c r="AO986" s="108"/>
      <c r="AP986" s="108"/>
      <c r="AQ986" s="108"/>
      <c r="AR986" s="108"/>
      <c r="AS986" s="108"/>
      <c r="AT986" s="108"/>
      <c r="AU986" s="108"/>
      <c r="AV986" s="108"/>
      <c r="AW986" s="108"/>
      <c r="AX986" s="108"/>
      <c r="AY986" s="108"/>
      <c r="AZ986" s="108"/>
      <c r="BA986" s="108"/>
      <c r="BB986" s="108"/>
      <c r="BC986" s="108"/>
      <c r="BD986" s="108"/>
      <c r="BE986" s="108"/>
      <c r="BF986" s="108"/>
      <c r="BG986" s="108"/>
      <c r="BH986" s="108"/>
      <c r="BI986" s="108"/>
      <c r="BJ986" s="108"/>
      <c r="BK986" s="108"/>
      <c r="BL986" s="108"/>
      <c r="BM986" s="108"/>
      <c r="BN986" s="108"/>
      <c r="BO986" s="108"/>
      <c r="BP986" s="108"/>
      <c r="BQ986" s="108"/>
      <c r="BR986" s="108"/>
      <c r="BS986" s="108"/>
      <c r="BT986" s="108"/>
      <c r="BU986" s="108"/>
      <c r="BV986" s="108"/>
      <c r="BW986" s="108"/>
      <c r="BX986" s="108"/>
      <c r="BY986" s="108"/>
      <c r="BZ986" s="108"/>
      <c r="CA986" s="108"/>
      <c r="CB986" s="108"/>
      <c r="CC986" s="108"/>
      <c r="CD986" s="108"/>
      <c r="CE986" s="108"/>
      <c r="CF986" s="108"/>
      <c r="CG986" s="108"/>
      <c r="CH986" s="108"/>
      <c r="CI986" s="108"/>
      <c r="CJ986" s="108"/>
      <c r="CK986" s="120">
        <f t="shared" si="232"/>
        <v>0</v>
      </c>
      <c r="CL986" s="122">
        <f t="shared" si="233"/>
        <v>0</v>
      </c>
      <c r="CM986" s="524" t="str">
        <f t="shared" si="235"/>
        <v/>
      </c>
      <c r="CN986" s="526">
        <f t="shared" si="236"/>
        <v>0</v>
      </c>
      <c r="CO986" s="122">
        <f t="shared" si="237"/>
        <v>0</v>
      </c>
      <c r="CP986" s="45" t="str">
        <f t="shared" si="234"/>
        <v>1 - in MILLESIMI   I</v>
      </c>
      <c r="CQ986" s="1"/>
    </row>
    <row r="987" spans="1:95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435">
        <f>IF(AND(W987&gt;=$U$1,W987&lt;=$U$2),IF(X987='ESTRATTO CONTO'!$E$2,1+COUNTIF(U$4:U986,"&gt;0"),0),0)</f>
        <v>0</v>
      </c>
      <c r="V987" s="417">
        <f t="shared" si="238"/>
        <v>984</v>
      </c>
      <c r="W987" s="509"/>
      <c r="X987" s="321"/>
      <c r="Y987" s="321"/>
      <c r="Z987" s="433"/>
      <c r="AA987" s="918">
        <f t="shared" si="228"/>
        <v>1</v>
      </c>
      <c r="AB987" s="306" t="str">
        <f t="shared" si="229"/>
        <v/>
      </c>
      <c r="AC987" s="788"/>
      <c r="AD987" s="119">
        <f t="shared" si="239"/>
        <v>0</v>
      </c>
      <c r="AE987" s="108">
        <f t="shared" si="239"/>
        <v>0</v>
      </c>
      <c r="AF987" s="108">
        <f t="shared" si="239"/>
        <v>0</v>
      </c>
      <c r="AG987" s="108"/>
      <c r="AH987" s="108"/>
      <c r="AI987" s="108"/>
      <c r="AJ987" s="108"/>
      <c r="AK987" s="108"/>
      <c r="AL987" s="108">
        <f t="shared" si="231"/>
        <v>0</v>
      </c>
      <c r="AM987" s="108"/>
      <c r="AN987" s="108"/>
      <c r="AO987" s="108"/>
      <c r="AP987" s="108"/>
      <c r="AQ987" s="108"/>
      <c r="AR987" s="108"/>
      <c r="AS987" s="108"/>
      <c r="AT987" s="108"/>
      <c r="AU987" s="108"/>
      <c r="AV987" s="108"/>
      <c r="AW987" s="108"/>
      <c r="AX987" s="108"/>
      <c r="AY987" s="108"/>
      <c r="AZ987" s="108"/>
      <c r="BA987" s="108"/>
      <c r="BB987" s="108"/>
      <c r="BC987" s="108"/>
      <c r="BD987" s="108"/>
      <c r="BE987" s="108"/>
      <c r="BF987" s="108"/>
      <c r="BG987" s="108"/>
      <c r="BH987" s="108"/>
      <c r="BI987" s="108"/>
      <c r="BJ987" s="108"/>
      <c r="BK987" s="108"/>
      <c r="BL987" s="108"/>
      <c r="BM987" s="108"/>
      <c r="BN987" s="108"/>
      <c r="BO987" s="108"/>
      <c r="BP987" s="108"/>
      <c r="BQ987" s="108"/>
      <c r="BR987" s="108"/>
      <c r="BS987" s="108"/>
      <c r="BT987" s="108"/>
      <c r="BU987" s="108"/>
      <c r="BV987" s="108"/>
      <c r="BW987" s="108"/>
      <c r="BX987" s="108"/>
      <c r="BY987" s="108"/>
      <c r="BZ987" s="108"/>
      <c r="CA987" s="108"/>
      <c r="CB987" s="108"/>
      <c r="CC987" s="108"/>
      <c r="CD987" s="108"/>
      <c r="CE987" s="108"/>
      <c r="CF987" s="108"/>
      <c r="CG987" s="108"/>
      <c r="CH987" s="108"/>
      <c r="CI987" s="108"/>
      <c r="CJ987" s="108"/>
      <c r="CK987" s="120">
        <f t="shared" si="232"/>
        <v>0</v>
      </c>
      <c r="CL987" s="122">
        <f t="shared" si="233"/>
        <v>0</v>
      </c>
      <c r="CM987" s="524" t="str">
        <f t="shared" si="235"/>
        <v/>
      </c>
      <c r="CN987" s="526">
        <f t="shared" si="236"/>
        <v>0</v>
      </c>
      <c r="CO987" s="122">
        <f t="shared" si="237"/>
        <v>0</v>
      </c>
      <c r="CP987" s="45" t="str">
        <f t="shared" si="234"/>
        <v>1 - in MILLESIMI   I</v>
      </c>
      <c r="CQ987" s="1"/>
    </row>
    <row r="988" spans="1:95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435">
        <f>IF(AND(W988&gt;=$U$1,W988&lt;=$U$2),IF(X988='ESTRATTO CONTO'!$E$2,1+COUNTIF(U$4:U987,"&gt;0"),0),0)</f>
        <v>0</v>
      </c>
      <c r="V988" s="417">
        <f t="shared" si="238"/>
        <v>985</v>
      </c>
      <c r="W988" s="509"/>
      <c r="X988" s="321"/>
      <c r="Y988" s="321"/>
      <c r="Z988" s="433"/>
      <c r="AA988" s="918">
        <f t="shared" si="228"/>
        <v>1</v>
      </c>
      <c r="AB988" s="306" t="str">
        <f t="shared" si="229"/>
        <v/>
      </c>
      <c r="AC988" s="788"/>
      <c r="AD988" s="119">
        <f t="shared" si="239"/>
        <v>0</v>
      </c>
      <c r="AE988" s="108">
        <f t="shared" si="239"/>
        <v>0</v>
      </c>
      <c r="AF988" s="108">
        <f t="shared" si="239"/>
        <v>0</v>
      </c>
      <c r="AG988" s="108"/>
      <c r="AH988" s="108"/>
      <c r="AI988" s="108"/>
      <c r="AJ988" s="108"/>
      <c r="AK988" s="108"/>
      <c r="AL988" s="108">
        <f t="shared" si="231"/>
        <v>0</v>
      </c>
      <c r="AM988" s="108"/>
      <c r="AN988" s="108"/>
      <c r="AO988" s="108"/>
      <c r="AP988" s="108"/>
      <c r="AQ988" s="108"/>
      <c r="AR988" s="108"/>
      <c r="AS988" s="108"/>
      <c r="AT988" s="108"/>
      <c r="AU988" s="108"/>
      <c r="AV988" s="108"/>
      <c r="AW988" s="108"/>
      <c r="AX988" s="108"/>
      <c r="AY988" s="108"/>
      <c r="AZ988" s="108"/>
      <c r="BA988" s="108"/>
      <c r="BB988" s="108"/>
      <c r="BC988" s="108"/>
      <c r="BD988" s="108"/>
      <c r="BE988" s="108"/>
      <c r="BF988" s="108"/>
      <c r="BG988" s="108"/>
      <c r="BH988" s="108"/>
      <c r="BI988" s="108"/>
      <c r="BJ988" s="108"/>
      <c r="BK988" s="108"/>
      <c r="BL988" s="108"/>
      <c r="BM988" s="108"/>
      <c r="BN988" s="108"/>
      <c r="BO988" s="108"/>
      <c r="BP988" s="108"/>
      <c r="BQ988" s="108"/>
      <c r="BR988" s="108"/>
      <c r="BS988" s="108"/>
      <c r="BT988" s="108"/>
      <c r="BU988" s="108"/>
      <c r="BV988" s="108"/>
      <c r="BW988" s="108"/>
      <c r="BX988" s="108"/>
      <c r="BY988" s="108"/>
      <c r="BZ988" s="108"/>
      <c r="CA988" s="108"/>
      <c r="CB988" s="108"/>
      <c r="CC988" s="108"/>
      <c r="CD988" s="108"/>
      <c r="CE988" s="108"/>
      <c r="CF988" s="108"/>
      <c r="CG988" s="108"/>
      <c r="CH988" s="108"/>
      <c r="CI988" s="108"/>
      <c r="CJ988" s="108"/>
      <c r="CK988" s="120">
        <f t="shared" si="232"/>
        <v>0</v>
      </c>
      <c r="CL988" s="122">
        <f t="shared" si="233"/>
        <v>0</v>
      </c>
      <c r="CM988" s="524" t="str">
        <f t="shared" si="235"/>
        <v/>
      </c>
      <c r="CN988" s="526">
        <f t="shared" si="236"/>
        <v>0</v>
      </c>
      <c r="CO988" s="122">
        <f t="shared" si="237"/>
        <v>0</v>
      </c>
      <c r="CP988" s="45" t="str">
        <f t="shared" si="234"/>
        <v>1 - in MILLESIMI   I</v>
      </c>
      <c r="CQ988" s="1"/>
    </row>
    <row r="989" spans="1:95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435">
        <f>IF(AND(W989&gt;=$U$1,W989&lt;=$U$2),IF(X989='ESTRATTO CONTO'!$E$2,1+COUNTIF(U$4:U988,"&gt;0"),0),0)</f>
        <v>0</v>
      </c>
      <c r="V989" s="417">
        <f t="shared" si="238"/>
        <v>986</v>
      </c>
      <c r="W989" s="509"/>
      <c r="X989" s="321"/>
      <c r="Y989" s="321"/>
      <c r="Z989" s="433"/>
      <c r="AA989" s="918">
        <f t="shared" si="228"/>
        <v>1</v>
      </c>
      <c r="AB989" s="306" t="str">
        <f t="shared" si="229"/>
        <v/>
      </c>
      <c r="AC989" s="788"/>
      <c r="AD989" s="119">
        <f t="shared" si="239"/>
        <v>0</v>
      </c>
      <c r="AE989" s="108">
        <f t="shared" si="239"/>
        <v>0</v>
      </c>
      <c r="AF989" s="108">
        <f t="shared" si="239"/>
        <v>0</v>
      </c>
      <c r="AG989" s="108"/>
      <c r="AH989" s="108"/>
      <c r="AI989" s="108"/>
      <c r="AJ989" s="108"/>
      <c r="AK989" s="108"/>
      <c r="AL989" s="108">
        <f t="shared" si="231"/>
        <v>0</v>
      </c>
      <c r="AM989" s="108"/>
      <c r="AN989" s="108"/>
      <c r="AO989" s="108"/>
      <c r="AP989" s="108"/>
      <c r="AQ989" s="108"/>
      <c r="AR989" s="108"/>
      <c r="AS989" s="108"/>
      <c r="AT989" s="108"/>
      <c r="AU989" s="108"/>
      <c r="AV989" s="108"/>
      <c r="AW989" s="108"/>
      <c r="AX989" s="108"/>
      <c r="AY989" s="108"/>
      <c r="AZ989" s="108"/>
      <c r="BA989" s="108"/>
      <c r="BB989" s="108"/>
      <c r="BC989" s="108"/>
      <c r="BD989" s="108"/>
      <c r="BE989" s="108"/>
      <c r="BF989" s="108"/>
      <c r="BG989" s="108"/>
      <c r="BH989" s="108"/>
      <c r="BI989" s="108"/>
      <c r="BJ989" s="108"/>
      <c r="BK989" s="108"/>
      <c r="BL989" s="108"/>
      <c r="BM989" s="108"/>
      <c r="BN989" s="108"/>
      <c r="BO989" s="108"/>
      <c r="BP989" s="108"/>
      <c r="BQ989" s="108"/>
      <c r="BR989" s="108"/>
      <c r="BS989" s="108"/>
      <c r="BT989" s="108"/>
      <c r="BU989" s="108"/>
      <c r="BV989" s="108"/>
      <c r="BW989" s="108"/>
      <c r="BX989" s="108"/>
      <c r="BY989" s="108"/>
      <c r="BZ989" s="108"/>
      <c r="CA989" s="108"/>
      <c r="CB989" s="108"/>
      <c r="CC989" s="108"/>
      <c r="CD989" s="108"/>
      <c r="CE989" s="108"/>
      <c r="CF989" s="108"/>
      <c r="CG989" s="108"/>
      <c r="CH989" s="108"/>
      <c r="CI989" s="108"/>
      <c r="CJ989" s="108"/>
      <c r="CK989" s="120">
        <f t="shared" si="232"/>
        <v>0</v>
      </c>
      <c r="CL989" s="122">
        <f t="shared" si="233"/>
        <v>0</v>
      </c>
      <c r="CM989" s="524" t="str">
        <f t="shared" si="235"/>
        <v/>
      </c>
      <c r="CN989" s="526">
        <f t="shared" si="236"/>
        <v>0</v>
      </c>
      <c r="CO989" s="122">
        <f t="shared" si="237"/>
        <v>0</v>
      </c>
      <c r="CP989" s="45" t="str">
        <f t="shared" si="234"/>
        <v>1 - in MILLESIMI   I</v>
      </c>
      <c r="CQ989" s="1"/>
    </row>
    <row r="990" spans="1:95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435">
        <f>IF(AND(W990&gt;=$U$1,W990&lt;=$U$2),IF(X990='ESTRATTO CONTO'!$E$2,1+COUNTIF(U$4:U989,"&gt;0"),0),0)</f>
        <v>0</v>
      </c>
      <c r="V990" s="417">
        <f t="shared" si="238"/>
        <v>987</v>
      </c>
      <c r="W990" s="509"/>
      <c r="X990" s="321"/>
      <c r="Y990" s="321"/>
      <c r="Z990" s="433"/>
      <c r="AA990" s="918">
        <f t="shared" si="228"/>
        <v>1</v>
      </c>
      <c r="AB990" s="306" t="str">
        <f t="shared" si="229"/>
        <v/>
      </c>
      <c r="AC990" s="788"/>
      <c r="AD990" s="119">
        <f t="shared" si="239"/>
        <v>0</v>
      </c>
      <c r="AE990" s="108">
        <f t="shared" si="239"/>
        <v>0</v>
      </c>
      <c r="AF990" s="108">
        <f t="shared" si="239"/>
        <v>0</v>
      </c>
      <c r="AG990" s="108"/>
      <c r="AH990" s="108"/>
      <c r="AI990" s="108"/>
      <c r="AJ990" s="108"/>
      <c r="AK990" s="108"/>
      <c r="AL990" s="108">
        <f t="shared" si="231"/>
        <v>0</v>
      </c>
      <c r="AM990" s="108"/>
      <c r="AN990" s="108"/>
      <c r="AO990" s="108"/>
      <c r="AP990" s="108"/>
      <c r="AQ990" s="108"/>
      <c r="AR990" s="108"/>
      <c r="AS990" s="108"/>
      <c r="AT990" s="108"/>
      <c r="AU990" s="108"/>
      <c r="AV990" s="108"/>
      <c r="AW990" s="108"/>
      <c r="AX990" s="108"/>
      <c r="AY990" s="108"/>
      <c r="AZ990" s="108"/>
      <c r="BA990" s="108"/>
      <c r="BB990" s="108"/>
      <c r="BC990" s="108"/>
      <c r="BD990" s="108"/>
      <c r="BE990" s="108"/>
      <c r="BF990" s="108"/>
      <c r="BG990" s="108"/>
      <c r="BH990" s="108"/>
      <c r="BI990" s="108"/>
      <c r="BJ990" s="108"/>
      <c r="BK990" s="108"/>
      <c r="BL990" s="108"/>
      <c r="BM990" s="108"/>
      <c r="BN990" s="108"/>
      <c r="BO990" s="108"/>
      <c r="BP990" s="108"/>
      <c r="BQ990" s="108"/>
      <c r="BR990" s="108"/>
      <c r="BS990" s="108"/>
      <c r="BT990" s="108"/>
      <c r="BU990" s="108"/>
      <c r="BV990" s="108"/>
      <c r="BW990" s="108"/>
      <c r="BX990" s="108"/>
      <c r="BY990" s="108"/>
      <c r="BZ990" s="108"/>
      <c r="CA990" s="108"/>
      <c r="CB990" s="108"/>
      <c r="CC990" s="108"/>
      <c r="CD990" s="108"/>
      <c r="CE990" s="108"/>
      <c r="CF990" s="108"/>
      <c r="CG990" s="108"/>
      <c r="CH990" s="108"/>
      <c r="CI990" s="108"/>
      <c r="CJ990" s="108"/>
      <c r="CK990" s="120">
        <f t="shared" si="232"/>
        <v>0</v>
      </c>
      <c r="CL990" s="122">
        <f t="shared" si="233"/>
        <v>0</v>
      </c>
      <c r="CM990" s="524" t="str">
        <f t="shared" si="235"/>
        <v/>
      </c>
      <c r="CN990" s="526">
        <f t="shared" si="236"/>
        <v>0</v>
      </c>
      <c r="CO990" s="122">
        <f t="shared" si="237"/>
        <v>0</v>
      </c>
      <c r="CP990" s="45" t="str">
        <f t="shared" si="234"/>
        <v>1 - in MILLESIMI   I</v>
      </c>
      <c r="CQ990" s="1"/>
    </row>
    <row r="991" spans="1:95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435">
        <f>IF(AND(W991&gt;=$U$1,W991&lt;=$U$2),IF(X991='ESTRATTO CONTO'!$E$2,1+COUNTIF(U$4:U990,"&gt;0"),0),0)</f>
        <v>0</v>
      </c>
      <c r="V991" s="417">
        <f t="shared" si="238"/>
        <v>988</v>
      </c>
      <c r="W991" s="509"/>
      <c r="X991" s="321"/>
      <c r="Y991" s="321"/>
      <c r="Z991" s="433"/>
      <c r="AA991" s="918">
        <f t="shared" si="228"/>
        <v>1</v>
      </c>
      <c r="AB991" s="306" t="str">
        <f t="shared" si="229"/>
        <v/>
      </c>
      <c r="AC991" s="788"/>
      <c r="AD991" s="119">
        <f t="shared" si="239"/>
        <v>0</v>
      </c>
      <c r="AE991" s="108">
        <f t="shared" si="239"/>
        <v>0</v>
      </c>
      <c r="AF991" s="108">
        <f t="shared" si="239"/>
        <v>0</v>
      </c>
      <c r="AG991" s="108"/>
      <c r="AH991" s="108"/>
      <c r="AI991" s="108"/>
      <c r="AJ991" s="108"/>
      <c r="AK991" s="108"/>
      <c r="AL991" s="108">
        <f t="shared" si="231"/>
        <v>0</v>
      </c>
      <c r="AM991" s="108"/>
      <c r="AN991" s="108"/>
      <c r="AO991" s="108"/>
      <c r="AP991" s="108"/>
      <c r="AQ991" s="108"/>
      <c r="AR991" s="108"/>
      <c r="AS991" s="108"/>
      <c r="AT991" s="108"/>
      <c r="AU991" s="108"/>
      <c r="AV991" s="108"/>
      <c r="AW991" s="108"/>
      <c r="AX991" s="108"/>
      <c r="AY991" s="108"/>
      <c r="AZ991" s="108"/>
      <c r="BA991" s="108"/>
      <c r="BB991" s="108"/>
      <c r="BC991" s="108"/>
      <c r="BD991" s="108"/>
      <c r="BE991" s="108"/>
      <c r="BF991" s="108"/>
      <c r="BG991" s="108"/>
      <c r="BH991" s="108"/>
      <c r="BI991" s="108"/>
      <c r="BJ991" s="108"/>
      <c r="BK991" s="108"/>
      <c r="BL991" s="108"/>
      <c r="BM991" s="108"/>
      <c r="BN991" s="108"/>
      <c r="BO991" s="108"/>
      <c r="BP991" s="108"/>
      <c r="BQ991" s="108"/>
      <c r="BR991" s="108"/>
      <c r="BS991" s="108"/>
      <c r="BT991" s="108"/>
      <c r="BU991" s="108"/>
      <c r="BV991" s="108"/>
      <c r="BW991" s="108"/>
      <c r="BX991" s="108"/>
      <c r="BY991" s="108"/>
      <c r="BZ991" s="108"/>
      <c r="CA991" s="108"/>
      <c r="CB991" s="108"/>
      <c r="CC991" s="108"/>
      <c r="CD991" s="108"/>
      <c r="CE991" s="108"/>
      <c r="CF991" s="108"/>
      <c r="CG991" s="108"/>
      <c r="CH991" s="108"/>
      <c r="CI991" s="108"/>
      <c r="CJ991" s="108"/>
      <c r="CK991" s="120">
        <f t="shared" si="232"/>
        <v>0</v>
      </c>
      <c r="CL991" s="122">
        <f t="shared" si="233"/>
        <v>0</v>
      </c>
      <c r="CM991" s="524" t="str">
        <f t="shared" si="235"/>
        <v/>
      </c>
      <c r="CN991" s="526">
        <f t="shared" si="236"/>
        <v>0</v>
      </c>
      <c r="CO991" s="122">
        <f t="shared" si="237"/>
        <v>0</v>
      </c>
      <c r="CP991" s="45" t="str">
        <f t="shared" si="234"/>
        <v>1 - in MILLESIMI   I</v>
      </c>
      <c r="CQ991" s="1"/>
    </row>
    <row r="992" spans="1:95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435">
        <f>IF(AND(W992&gt;=$U$1,W992&lt;=$U$2),IF(X992='ESTRATTO CONTO'!$E$2,1+COUNTIF(U$4:U991,"&gt;0"),0),0)</f>
        <v>0</v>
      </c>
      <c r="V992" s="417">
        <f t="shared" si="238"/>
        <v>989</v>
      </c>
      <c r="W992" s="509"/>
      <c r="X992" s="321"/>
      <c r="Y992" s="321"/>
      <c r="Z992" s="433"/>
      <c r="AA992" s="918">
        <f t="shared" si="228"/>
        <v>1</v>
      </c>
      <c r="AB992" s="306" t="str">
        <f t="shared" si="229"/>
        <v/>
      </c>
      <c r="AC992" s="788"/>
      <c r="AD992" s="119">
        <f t="shared" si="239"/>
        <v>0</v>
      </c>
      <c r="AE992" s="108">
        <f t="shared" si="239"/>
        <v>0</v>
      </c>
      <c r="AF992" s="108">
        <f t="shared" si="239"/>
        <v>0</v>
      </c>
      <c r="AG992" s="108"/>
      <c r="AH992" s="108"/>
      <c r="AI992" s="108"/>
      <c r="AJ992" s="108"/>
      <c r="AK992" s="108"/>
      <c r="AL992" s="108">
        <f t="shared" si="231"/>
        <v>0</v>
      </c>
      <c r="AM992" s="108"/>
      <c r="AN992" s="108"/>
      <c r="AO992" s="108"/>
      <c r="AP992" s="108"/>
      <c r="AQ992" s="108"/>
      <c r="AR992" s="108"/>
      <c r="AS992" s="108"/>
      <c r="AT992" s="108"/>
      <c r="AU992" s="108"/>
      <c r="AV992" s="108"/>
      <c r="AW992" s="108"/>
      <c r="AX992" s="108"/>
      <c r="AY992" s="108"/>
      <c r="AZ992" s="108"/>
      <c r="BA992" s="108"/>
      <c r="BB992" s="108"/>
      <c r="BC992" s="108"/>
      <c r="BD992" s="108"/>
      <c r="BE992" s="108"/>
      <c r="BF992" s="108"/>
      <c r="BG992" s="108"/>
      <c r="BH992" s="108"/>
      <c r="BI992" s="108"/>
      <c r="BJ992" s="108"/>
      <c r="BK992" s="108"/>
      <c r="BL992" s="108"/>
      <c r="BM992" s="108"/>
      <c r="BN992" s="108"/>
      <c r="BO992" s="108"/>
      <c r="BP992" s="108"/>
      <c r="BQ992" s="108"/>
      <c r="BR992" s="108"/>
      <c r="BS992" s="108"/>
      <c r="BT992" s="108"/>
      <c r="BU992" s="108"/>
      <c r="BV992" s="108"/>
      <c r="BW992" s="108"/>
      <c r="BX992" s="108"/>
      <c r="BY992" s="108"/>
      <c r="BZ992" s="108"/>
      <c r="CA992" s="108"/>
      <c r="CB992" s="108"/>
      <c r="CC992" s="108"/>
      <c r="CD992" s="108"/>
      <c r="CE992" s="108"/>
      <c r="CF992" s="108"/>
      <c r="CG992" s="108"/>
      <c r="CH992" s="108"/>
      <c r="CI992" s="108"/>
      <c r="CJ992" s="108"/>
      <c r="CK992" s="120">
        <f t="shared" si="232"/>
        <v>0</v>
      </c>
      <c r="CL992" s="122">
        <f t="shared" si="233"/>
        <v>0</v>
      </c>
      <c r="CM992" s="524" t="str">
        <f t="shared" si="235"/>
        <v/>
      </c>
      <c r="CN992" s="526">
        <f t="shared" si="236"/>
        <v>0</v>
      </c>
      <c r="CO992" s="122">
        <f t="shared" si="237"/>
        <v>0</v>
      </c>
      <c r="CP992" s="45" t="str">
        <f t="shared" si="234"/>
        <v>1 - in MILLESIMI   I</v>
      </c>
      <c r="CQ992" s="1"/>
    </row>
    <row r="993" spans="1:95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435">
        <f>IF(AND(W993&gt;=$U$1,W993&lt;=$U$2),IF(X993='ESTRATTO CONTO'!$E$2,1+COUNTIF(U$4:U992,"&gt;0"),0),0)</f>
        <v>0</v>
      </c>
      <c r="V993" s="417">
        <f t="shared" si="238"/>
        <v>990</v>
      </c>
      <c r="W993" s="509"/>
      <c r="X993" s="321"/>
      <c r="Y993" s="321"/>
      <c r="Z993" s="433"/>
      <c r="AA993" s="918">
        <f t="shared" si="228"/>
        <v>1</v>
      </c>
      <c r="AB993" s="306" t="str">
        <f t="shared" si="229"/>
        <v/>
      </c>
      <c r="AC993" s="788"/>
      <c r="AD993" s="119">
        <f t="shared" si="239"/>
        <v>0</v>
      </c>
      <c r="AE993" s="108">
        <f t="shared" si="239"/>
        <v>0</v>
      </c>
      <c r="AF993" s="108">
        <f t="shared" si="239"/>
        <v>0</v>
      </c>
      <c r="AG993" s="108"/>
      <c r="AH993" s="108"/>
      <c r="AI993" s="108"/>
      <c r="AJ993" s="108"/>
      <c r="AK993" s="108"/>
      <c r="AL993" s="108">
        <f t="shared" si="231"/>
        <v>0</v>
      </c>
      <c r="AM993" s="108"/>
      <c r="AN993" s="108"/>
      <c r="AO993" s="108"/>
      <c r="AP993" s="108"/>
      <c r="AQ993" s="108"/>
      <c r="AR993" s="108"/>
      <c r="AS993" s="108"/>
      <c r="AT993" s="108"/>
      <c r="AU993" s="108"/>
      <c r="AV993" s="108"/>
      <c r="AW993" s="108"/>
      <c r="AX993" s="108"/>
      <c r="AY993" s="108"/>
      <c r="AZ993" s="108"/>
      <c r="BA993" s="108"/>
      <c r="BB993" s="108"/>
      <c r="BC993" s="108"/>
      <c r="BD993" s="108"/>
      <c r="BE993" s="108"/>
      <c r="BF993" s="108"/>
      <c r="BG993" s="108"/>
      <c r="BH993" s="108"/>
      <c r="BI993" s="108"/>
      <c r="BJ993" s="108"/>
      <c r="BK993" s="108"/>
      <c r="BL993" s="108"/>
      <c r="BM993" s="108"/>
      <c r="BN993" s="108"/>
      <c r="BO993" s="108"/>
      <c r="BP993" s="108"/>
      <c r="BQ993" s="108"/>
      <c r="BR993" s="108"/>
      <c r="BS993" s="108"/>
      <c r="BT993" s="108"/>
      <c r="BU993" s="108"/>
      <c r="BV993" s="108"/>
      <c r="BW993" s="108"/>
      <c r="BX993" s="108"/>
      <c r="BY993" s="108"/>
      <c r="BZ993" s="108"/>
      <c r="CA993" s="108"/>
      <c r="CB993" s="108"/>
      <c r="CC993" s="108"/>
      <c r="CD993" s="108"/>
      <c r="CE993" s="108"/>
      <c r="CF993" s="108"/>
      <c r="CG993" s="108"/>
      <c r="CH993" s="108"/>
      <c r="CI993" s="108"/>
      <c r="CJ993" s="108"/>
      <c r="CK993" s="120">
        <f t="shared" si="232"/>
        <v>0</v>
      </c>
      <c r="CL993" s="122">
        <f t="shared" si="233"/>
        <v>0</v>
      </c>
      <c r="CM993" s="524" t="str">
        <f t="shared" si="235"/>
        <v/>
      </c>
      <c r="CN993" s="526">
        <f t="shared" si="236"/>
        <v>0</v>
      </c>
      <c r="CO993" s="122">
        <f t="shared" si="237"/>
        <v>0</v>
      </c>
      <c r="CP993" s="45" t="str">
        <f t="shared" si="234"/>
        <v>1 - in MILLESIMI   I</v>
      </c>
      <c r="CQ993" s="1"/>
    </row>
    <row r="994" spans="1:95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435">
        <f>IF(AND(W994&gt;=$U$1,W994&lt;=$U$2),IF(X994='ESTRATTO CONTO'!$E$2,1+COUNTIF(U$4:U993,"&gt;0"),0),0)</f>
        <v>0</v>
      </c>
      <c r="V994" s="417">
        <f t="shared" si="238"/>
        <v>991</v>
      </c>
      <c r="W994" s="509"/>
      <c r="X994" s="321"/>
      <c r="Y994" s="321"/>
      <c r="Z994" s="433"/>
      <c r="AA994" s="918">
        <f t="shared" si="228"/>
        <v>1</v>
      </c>
      <c r="AB994" s="306" t="str">
        <f t="shared" si="229"/>
        <v/>
      </c>
      <c r="AC994" s="788"/>
      <c r="AD994" s="119">
        <f t="shared" si="239"/>
        <v>0</v>
      </c>
      <c r="AE994" s="108">
        <f t="shared" si="239"/>
        <v>0</v>
      </c>
      <c r="AF994" s="108">
        <f t="shared" si="239"/>
        <v>0</v>
      </c>
      <c r="AG994" s="108"/>
      <c r="AH994" s="108"/>
      <c r="AI994" s="108"/>
      <c r="AJ994" s="108"/>
      <c r="AK994" s="108"/>
      <c r="AL994" s="108">
        <f t="shared" si="231"/>
        <v>0</v>
      </c>
      <c r="AM994" s="108"/>
      <c r="AN994" s="108"/>
      <c r="AO994" s="108"/>
      <c r="AP994" s="108"/>
      <c r="AQ994" s="108"/>
      <c r="AR994" s="108"/>
      <c r="AS994" s="108"/>
      <c r="AT994" s="108"/>
      <c r="AU994" s="108"/>
      <c r="AV994" s="108"/>
      <c r="AW994" s="108"/>
      <c r="AX994" s="108"/>
      <c r="AY994" s="108"/>
      <c r="AZ994" s="108"/>
      <c r="BA994" s="108"/>
      <c r="BB994" s="108"/>
      <c r="BC994" s="108"/>
      <c r="BD994" s="108"/>
      <c r="BE994" s="108"/>
      <c r="BF994" s="108"/>
      <c r="BG994" s="108"/>
      <c r="BH994" s="108"/>
      <c r="BI994" s="108"/>
      <c r="BJ994" s="108"/>
      <c r="BK994" s="108"/>
      <c r="BL994" s="108"/>
      <c r="BM994" s="108"/>
      <c r="BN994" s="108"/>
      <c r="BO994" s="108"/>
      <c r="BP994" s="108"/>
      <c r="BQ994" s="108"/>
      <c r="BR994" s="108"/>
      <c r="BS994" s="108"/>
      <c r="BT994" s="108"/>
      <c r="BU994" s="108"/>
      <c r="BV994" s="108"/>
      <c r="BW994" s="108"/>
      <c r="BX994" s="108"/>
      <c r="BY994" s="108"/>
      <c r="BZ994" s="108"/>
      <c r="CA994" s="108"/>
      <c r="CB994" s="108"/>
      <c r="CC994" s="108"/>
      <c r="CD994" s="108"/>
      <c r="CE994" s="108"/>
      <c r="CF994" s="108"/>
      <c r="CG994" s="108"/>
      <c r="CH994" s="108"/>
      <c r="CI994" s="108"/>
      <c r="CJ994" s="108"/>
      <c r="CK994" s="120">
        <f t="shared" si="232"/>
        <v>0</v>
      </c>
      <c r="CL994" s="122">
        <f t="shared" si="233"/>
        <v>0</v>
      </c>
      <c r="CM994" s="524" t="str">
        <f t="shared" si="235"/>
        <v/>
      </c>
      <c r="CN994" s="526">
        <f t="shared" si="236"/>
        <v>0</v>
      </c>
      <c r="CO994" s="122">
        <f t="shared" si="237"/>
        <v>0</v>
      </c>
      <c r="CP994" s="45" t="str">
        <f t="shared" si="234"/>
        <v>1 - in MILLESIMI   I</v>
      </c>
      <c r="CQ994" s="1"/>
    </row>
    <row r="995" spans="1:95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435">
        <f>IF(AND(W995&gt;=$U$1,W995&lt;=$U$2),IF(X995='ESTRATTO CONTO'!$E$2,1+COUNTIF(U$4:U994,"&gt;0"),0),0)</f>
        <v>0</v>
      </c>
      <c r="V995" s="417">
        <f t="shared" si="238"/>
        <v>992</v>
      </c>
      <c r="W995" s="509"/>
      <c r="X995" s="321"/>
      <c r="Y995" s="321"/>
      <c r="Z995" s="433"/>
      <c r="AA995" s="918">
        <f t="shared" si="228"/>
        <v>1</v>
      </c>
      <c r="AB995" s="306" t="str">
        <f t="shared" si="229"/>
        <v/>
      </c>
      <c r="AC995" s="788"/>
      <c r="AD995" s="119">
        <f t="shared" si="239"/>
        <v>0</v>
      </c>
      <c r="AE995" s="108">
        <f t="shared" si="239"/>
        <v>0</v>
      </c>
      <c r="AF995" s="108">
        <f t="shared" si="239"/>
        <v>0</v>
      </c>
      <c r="AG995" s="108"/>
      <c r="AH995" s="108"/>
      <c r="AI995" s="108"/>
      <c r="AJ995" s="108"/>
      <c r="AK995" s="108"/>
      <c r="AL995" s="108">
        <f t="shared" si="231"/>
        <v>0</v>
      </c>
      <c r="AM995" s="108"/>
      <c r="AN995" s="108"/>
      <c r="AO995" s="108"/>
      <c r="AP995" s="108"/>
      <c r="AQ995" s="108"/>
      <c r="AR995" s="108"/>
      <c r="AS995" s="108"/>
      <c r="AT995" s="108"/>
      <c r="AU995" s="108"/>
      <c r="AV995" s="108"/>
      <c r="AW995" s="108"/>
      <c r="AX995" s="108"/>
      <c r="AY995" s="108"/>
      <c r="AZ995" s="108"/>
      <c r="BA995" s="108"/>
      <c r="BB995" s="108"/>
      <c r="BC995" s="108"/>
      <c r="BD995" s="108"/>
      <c r="BE995" s="108"/>
      <c r="BF995" s="108"/>
      <c r="BG995" s="108"/>
      <c r="BH995" s="108"/>
      <c r="BI995" s="108"/>
      <c r="BJ995" s="108"/>
      <c r="BK995" s="108"/>
      <c r="BL995" s="108"/>
      <c r="BM995" s="108"/>
      <c r="BN995" s="108"/>
      <c r="BO995" s="108"/>
      <c r="BP995" s="108"/>
      <c r="BQ995" s="108"/>
      <c r="BR995" s="108"/>
      <c r="BS995" s="108"/>
      <c r="BT995" s="108"/>
      <c r="BU995" s="108"/>
      <c r="BV995" s="108"/>
      <c r="BW995" s="108"/>
      <c r="BX995" s="108"/>
      <c r="BY995" s="108"/>
      <c r="BZ995" s="108"/>
      <c r="CA995" s="108"/>
      <c r="CB995" s="108"/>
      <c r="CC995" s="108"/>
      <c r="CD995" s="108"/>
      <c r="CE995" s="108"/>
      <c r="CF995" s="108"/>
      <c r="CG995" s="108"/>
      <c r="CH995" s="108"/>
      <c r="CI995" s="108"/>
      <c r="CJ995" s="108"/>
      <c r="CK995" s="120">
        <f t="shared" si="232"/>
        <v>0</v>
      </c>
      <c r="CL995" s="122">
        <f t="shared" si="233"/>
        <v>0</v>
      </c>
      <c r="CM995" s="524" t="str">
        <f t="shared" si="235"/>
        <v/>
      </c>
      <c r="CN995" s="526">
        <f t="shared" si="236"/>
        <v>0</v>
      </c>
      <c r="CO995" s="122">
        <f t="shared" si="237"/>
        <v>0</v>
      </c>
      <c r="CP995" s="45" t="str">
        <f t="shared" si="234"/>
        <v>1 - in MILLESIMI   I</v>
      </c>
      <c r="CQ995" s="1"/>
    </row>
    <row r="996" spans="1:95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435">
        <f>IF(AND(W996&gt;=$U$1,W996&lt;=$U$2),IF(X996='ESTRATTO CONTO'!$E$2,1+COUNTIF(U$4:U995,"&gt;0"),0),0)</f>
        <v>0</v>
      </c>
      <c r="V996" s="417">
        <f t="shared" si="238"/>
        <v>993</v>
      </c>
      <c r="W996" s="509"/>
      <c r="X996" s="321"/>
      <c r="Y996" s="321"/>
      <c r="Z996" s="433"/>
      <c r="AA996" s="918">
        <f t="shared" si="228"/>
        <v>1</v>
      </c>
      <c r="AB996" s="306" t="str">
        <f t="shared" si="229"/>
        <v/>
      </c>
      <c r="AC996" s="788"/>
      <c r="AD996" s="119">
        <f t="shared" si="239"/>
        <v>0</v>
      </c>
      <c r="AE996" s="108">
        <f t="shared" si="239"/>
        <v>0</v>
      </c>
      <c r="AF996" s="108">
        <f t="shared" si="239"/>
        <v>0</v>
      </c>
      <c r="AG996" s="108"/>
      <c r="AH996" s="108"/>
      <c r="AI996" s="108"/>
      <c r="AJ996" s="108"/>
      <c r="AK996" s="108"/>
      <c r="AL996" s="108">
        <f t="shared" si="231"/>
        <v>0</v>
      </c>
      <c r="AM996" s="108"/>
      <c r="AN996" s="108"/>
      <c r="AO996" s="108"/>
      <c r="AP996" s="108"/>
      <c r="AQ996" s="108"/>
      <c r="AR996" s="108"/>
      <c r="AS996" s="108"/>
      <c r="AT996" s="108"/>
      <c r="AU996" s="108"/>
      <c r="AV996" s="108"/>
      <c r="AW996" s="108"/>
      <c r="AX996" s="108"/>
      <c r="AY996" s="108"/>
      <c r="AZ996" s="108"/>
      <c r="BA996" s="108"/>
      <c r="BB996" s="108"/>
      <c r="BC996" s="108"/>
      <c r="BD996" s="108"/>
      <c r="BE996" s="108"/>
      <c r="BF996" s="108"/>
      <c r="BG996" s="108"/>
      <c r="BH996" s="108"/>
      <c r="BI996" s="108"/>
      <c r="BJ996" s="108"/>
      <c r="BK996" s="108"/>
      <c r="BL996" s="108"/>
      <c r="BM996" s="108"/>
      <c r="BN996" s="108"/>
      <c r="BO996" s="108"/>
      <c r="BP996" s="108"/>
      <c r="BQ996" s="108"/>
      <c r="BR996" s="108"/>
      <c r="BS996" s="108"/>
      <c r="BT996" s="108"/>
      <c r="BU996" s="108"/>
      <c r="BV996" s="108"/>
      <c r="BW996" s="108"/>
      <c r="BX996" s="108"/>
      <c r="BY996" s="108"/>
      <c r="BZ996" s="108"/>
      <c r="CA996" s="108"/>
      <c r="CB996" s="108"/>
      <c r="CC996" s="108"/>
      <c r="CD996" s="108"/>
      <c r="CE996" s="108"/>
      <c r="CF996" s="108"/>
      <c r="CG996" s="108"/>
      <c r="CH996" s="108"/>
      <c r="CI996" s="108"/>
      <c r="CJ996" s="108"/>
      <c r="CK996" s="120">
        <f t="shared" si="232"/>
        <v>0</v>
      </c>
      <c r="CL996" s="122">
        <f t="shared" si="233"/>
        <v>0</v>
      </c>
      <c r="CM996" s="524" t="str">
        <f t="shared" si="235"/>
        <v/>
      </c>
      <c r="CN996" s="526">
        <f t="shared" si="236"/>
        <v>0</v>
      </c>
      <c r="CO996" s="122">
        <f t="shared" si="237"/>
        <v>0</v>
      </c>
      <c r="CP996" s="45" t="str">
        <f t="shared" si="234"/>
        <v>1 - in MILLESIMI   I</v>
      </c>
      <c r="CQ996" s="1"/>
    </row>
    <row r="997" spans="1:95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435">
        <f>IF(AND(W997&gt;=$U$1,W997&lt;=$U$2),IF(X997='ESTRATTO CONTO'!$E$2,1+COUNTIF(U$4:U996,"&gt;0"),0),0)</f>
        <v>0</v>
      </c>
      <c r="V997" s="417">
        <f t="shared" si="238"/>
        <v>994</v>
      </c>
      <c r="W997" s="509"/>
      <c r="X997" s="321"/>
      <c r="Y997" s="321"/>
      <c r="Z997" s="433"/>
      <c r="AA997" s="918">
        <f t="shared" si="228"/>
        <v>1</v>
      </c>
      <c r="AB997" s="306" t="str">
        <f t="shared" si="229"/>
        <v/>
      </c>
      <c r="AC997" s="788"/>
      <c r="AD997" s="119">
        <f t="shared" si="239"/>
        <v>0</v>
      </c>
      <c r="AE997" s="108">
        <f t="shared" si="239"/>
        <v>0</v>
      </c>
      <c r="AF997" s="108">
        <f t="shared" si="239"/>
        <v>0</v>
      </c>
      <c r="AG997" s="108"/>
      <c r="AH997" s="108"/>
      <c r="AI997" s="108"/>
      <c r="AJ997" s="108"/>
      <c r="AK997" s="108"/>
      <c r="AL997" s="108">
        <f t="shared" si="231"/>
        <v>0</v>
      </c>
      <c r="AM997" s="108"/>
      <c r="AN997" s="108"/>
      <c r="AO997" s="108"/>
      <c r="AP997" s="108"/>
      <c r="AQ997" s="108"/>
      <c r="AR997" s="108"/>
      <c r="AS997" s="108"/>
      <c r="AT997" s="108"/>
      <c r="AU997" s="108"/>
      <c r="AV997" s="108"/>
      <c r="AW997" s="108"/>
      <c r="AX997" s="108"/>
      <c r="AY997" s="108"/>
      <c r="AZ997" s="108"/>
      <c r="BA997" s="108"/>
      <c r="BB997" s="108"/>
      <c r="BC997" s="108"/>
      <c r="BD997" s="108"/>
      <c r="BE997" s="108"/>
      <c r="BF997" s="108"/>
      <c r="BG997" s="108"/>
      <c r="BH997" s="108"/>
      <c r="BI997" s="108"/>
      <c r="BJ997" s="108"/>
      <c r="BK997" s="108"/>
      <c r="BL997" s="108"/>
      <c r="BM997" s="108"/>
      <c r="BN997" s="108"/>
      <c r="BO997" s="108"/>
      <c r="BP997" s="108"/>
      <c r="BQ997" s="108"/>
      <c r="BR997" s="108"/>
      <c r="BS997" s="108"/>
      <c r="BT997" s="108"/>
      <c r="BU997" s="108"/>
      <c r="BV997" s="108"/>
      <c r="BW997" s="108"/>
      <c r="BX997" s="108"/>
      <c r="BY997" s="108"/>
      <c r="BZ997" s="108"/>
      <c r="CA997" s="108"/>
      <c r="CB997" s="108"/>
      <c r="CC997" s="108"/>
      <c r="CD997" s="108"/>
      <c r="CE997" s="108"/>
      <c r="CF997" s="108"/>
      <c r="CG997" s="108"/>
      <c r="CH997" s="108"/>
      <c r="CI997" s="108"/>
      <c r="CJ997" s="108"/>
      <c r="CK997" s="120">
        <f t="shared" si="232"/>
        <v>0</v>
      </c>
      <c r="CL997" s="122">
        <f t="shared" si="233"/>
        <v>0</v>
      </c>
      <c r="CM997" s="524" t="str">
        <f t="shared" si="235"/>
        <v/>
      </c>
      <c r="CN997" s="526">
        <f t="shared" si="236"/>
        <v>0</v>
      </c>
      <c r="CO997" s="122">
        <f t="shared" si="237"/>
        <v>0</v>
      </c>
      <c r="CP997" s="45" t="str">
        <f t="shared" si="234"/>
        <v>1 - in MILLESIMI   I</v>
      </c>
      <c r="CQ997" s="1"/>
    </row>
    <row r="998" spans="1:95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435">
        <f>IF(AND(W998&gt;=$U$1,W998&lt;=$U$2),IF(X998='ESTRATTO CONTO'!$E$2,1+COUNTIF(U$4:U997,"&gt;0"),0),0)</f>
        <v>0</v>
      </c>
      <c r="V998" s="417">
        <f t="shared" si="238"/>
        <v>995</v>
      </c>
      <c r="W998" s="509"/>
      <c r="X998" s="321"/>
      <c r="Y998" s="321"/>
      <c r="Z998" s="433"/>
      <c r="AA998" s="918">
        <f t="shared" si="228"/>
        <v>1</v>
      </c>
      <c r="AB998" s="306" t="str">
        <f t="shared" si="229"/>
        <v/>
      </c>
      <c r="AC998" s="788"/>
      <c r="AD998" s="119">
        <f t="shared" si="239"/>
        <v>0</v>
      </c>
      <c r="AE998" s="108">
        <f t="shared" si="239"/>
        <v>0</v>
      </c>
      <c r="AF998" s="108">
        <f t="shared" si="239"/>
        <v>0</v>
      </c>
      <c r="AG998" s="108"/>
      <c r="AH998" s="108"/>
      <c r="AI998" s="108"/>
      <c r="AJ998" s="108"/>
      <c r="AK998" s="108"/>
      <c r="AL998" s="108">
        <f t="shared" si="231"/>
        <v>0</v>
      </c>
      <c r="AM998" s="108"/>
      <c r="AN998" s="108"/>
      <c r="AO998" s="108"/>
      <c r="AP998" s="108"/>
      <c r="AQ998" s="108"/>
      <c r="AR998" s="108"/>
      <c r="AS998" s="108"/>
      <c r="AT998" s="108"/>
      <c r="AU998" s="108"/>
      <c r="AV998" s="108"/>
      <c r="AW998" s="108"/>
      <c r="AX998" s="108"/>
      <c r="AY998" s="108"/>
      <c r="AZ998" s="108"/>
      <c r="BA998" s="108"/>
      <c r="BB998" s="108"/>
      <c r="BC998" s="108"/>
      <c r="BD998" s="108"/>
      <c r="BE998" s="108"/>
      <c r="BF998" s="108"/>
      <c r="BG998" s="108"/>
      <c r="BH998" s="108"/>
      <c r="BI998" s="108"/>
      <c r="BJ998" s="108"/>
      <c r="BK998" s="108"/>
      <c r="BL998" s="108"/>
      <c r="BM998" s="108"/>
      <c r="BN998" s="108"/>
      <c r="BO998" s="108"/>
      <c r="BP998" s="108"/>
      <c r="BQ998" s="108"/>
      <c r="BR998" s="108"/>
      <c r="BS998" s="108"/>
      <c r="BT998" s="108"/>
      <c r="BU998" s="108"/>
      <c r="BV998" s="108"/>
      <c r="BW998" s="108"/>
      <c r="BX998" s="108"/>
      <c r="BY998" s="108"/>
      <c r="BZ998" s="108"/>
      <c r="CA998" s="108"/>
      <c r="CB998" s="108"/>
      <c r="CC998" s="108"/>
      <c r="CD998" s="108"/>
      <c r="CE998" s="108"/>
      <c r="CF998" s="108"/>
      <c r="CG998" s="108"/>
      <c r="CH998" s="108"/>
      <c r="CI998" s="108"/>
      <c r="CJ998" s="108"/>
      <c r="CK998" s="120">
        <f t="shared" si="232"/>
        <v>0</v>
      </c>
      <c r="CL998" s="122">
        <f t="shared" si="233"/>
        <v>0</v>
      </c>
      <c r="CM998" s="524" t="str">
        <f t="shared" si="235"/>
        <v/>
      </c>
      <c r="CN998" s="526">
        <f t="shared" si="236"/>
        <v>0</v>
      </c>
      <c r="CO998" s="122">
        <f t="shared" si="237"/>
        <v>0</v>
      </c>
      <c r="CP998" s="45" t="str">
        <f t="shared" si="234"/>
        <v>1 - in MILLESIMI   I</v>
      </c>
      <c r="CQ998" s="1"/>
    </row>
    <row r="999" spans="1:95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435">
        <f>IF(AND(W999&gt;=$U$1,W999&lt;=$U$2),IF(X999='ESTRATTO CONTO'!$E$2,1+COUNTIF(U$4:U998,"&gt;0"),0),0)</f>
        <v>0</v>
      </c>
      <c r="V999" s="417">
        <f t="shared" si="238"/>
        <v>996</v>
      </c>
      <c r="W999" s="509"/>
      <c r="X999" s="321"/>
      <c r="Y999" s="321"/>
      <c r="Z999" s="433"/>
      <c r="AA999" s="918">
        <f t="shared" si="228"/>
        <v>1</v>
      </c>
      <c r="AB999" s="306" t="str">
        <f t="shared" si="229"/>
        <v/>
      </c>
      <c r="AC999" s="788"/>
      <c r="AD999" s="119">
        <f t="shared" si="239"/>
        <v>0</v>
      </c>
      <c r="AE999" s="108">
        <f t="shared" si="239"/>
        <v>0</v>
      </c>
      <c r="AF999" s="108">
        <f t="shared" si="239"/>
        <v>0</v>
      </c>
      <c r="AG999" s="108"/>
      <c r="AH999" s="108"/>
      <c r="AI999" s="108"/>
      <c r="AJ999" s="108"/>
      <c r="AK999" s="108"/>
      <c r="AL999" s="108">
        <f t="shared" si="231"/>
        <v>0</v>
      </c>
      <c r="AM999" s="108"/>
      <c r="AN999" s="108"/>
      <c r="AO999" s="108"/>
      <c r="AP999" s="108"/>
      <c r="AQ999" s="108"/>
      <c r="AR999" s="108"/>
      <c r="AS999" s="108"/>
      <c r="AT999" s="108"/>
      <c r="AU999" s="108"/>
      <c r="AV999" s="108"/>
      <c r="AW999" s="108"/>
      <c r="AX999" s="108"/>
      <c r="AY999" s="108"/>
      <c r="AZ999" s="108"/>
      <c r="BA999" s="108"/>
      <c r="BB999" s="108"/>
      <c r="BC999" s="108"/>
      <c r="BD999" s="108"/>
      <c r="BE999" s="108"/>
      <c r="BF999" s="108"/>
      <c r="BG999" s="108"/>
      <c r="BH999" s="108"/>
      <c r="BI999" s="108"/>
      <c r="BJ999" s="108"/>
      <c r="BK999" s="108"/>
      <c r="BL999" s="108"/>
      <c r="BM999" s="108"/>
      <c r="BN999" s="108"/>
      <c r="BO999" s="108"/>
      <c r="BP999" s="108"/>
      <c r="BQ999" s="108"/>
      <c r="BR999" s="108"/>
      <c r="BS999" s="108"/>
      <c r="BT999" s="108"/>
      <c r="BU999" s="108"/>
      <c r="BV999" s="108"/>
      <c r="BW999" s="108"/>
      <c r="BX999" s="108"/>
      <c r="BY999" s="108"/>
      <c r="BZ999" s="108"/>
      <c r="CA999" s="108"/>
      <c r="CB999" s="108"/>
      <c r="CC999" s="108"/>
      <c r="CD999" s="108"/>
      <c r="CE999" s="108"/>
      <c r="CF999" s="108"/>
      <c r="CG999" s="108"/>
      <c r="CH999" s="108"/>
      <c r="CI999" s="108"/>
      <c r="CJ999" s="108"/>
      <c r="CK999" s="120">
        <f t="shared" si="232"/>
        <v>0</v>
      </c>
      <c r="CL999" s="122">
        <f t="shared" si="233"/>
        <v>0</v>
      </c>
      <c r="CM999" s="524" t="str">
        <f t="shared" si="235"/>
        <v/>
      </c>
      <c r="CN999" s="526">
        <f t="shared" si="236"/>
        <v>0</v>
      </c>
      <c r="CO999" s="122">
        <f t="shared" si="237"/>
        <v>0</v>
      </c>
      <c r="CP999" s="45" t="str">
        <f t="shared" si="234"/>
        <v>1 - in MILLESIMI   I</v>
      </c>
      <c r="CQ999" s="1"/>
    </row>
    <row r="1000" spans="1:95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435">
        <f>IF(AND(W1000&gt;=$U$1,W1000&lt;=$U$2),IF(X1000='ESTRATTO CONTO'!$E$2,1+COUNTIF(U$4:U999,"&gt;0"),0),0)</f>
        <v>0</v>
      </c>
      <c r="V1000" s="417">
        <f t="shared" si="238"/>
        <v>997</v>
      </c>
      <c r="W1000" s="509"/>
      <c r="X1000" s="321"/>
      <c r="Y1000" s="321"/>
      <c r="Z1000" s="433"/>
      <c r="AA1000" s="918">
        <f t="shared" si="228"/>
        <v>1</v>
      </c>
      <c r="AB1000" s="306" t="str">
        <f t="shared" si="229"/>
        <v/>
      </c>
      <c r="AC1000" s="788"/>
      <c r="AD1000" s="119">
        <f t="shared" si="239"/>
        <v>0</v>
      </c>
      <c r="AE1000" s="108">
        <f t="shared" si="239"/>
        <v>0</v>
      </c>
      <c r="AF1000" s="108">
        <f t="shared" si="239"/>
        <v>0</v>
      </c>
      <c r="AG1000" s="108"/>
      <c r="AH1000" s="108"/>
      <c r="AI1000" s="108"/>
      <c r="AJ1000" s="108"/>
      <c r="AK1000" s="108"/>
      <c r="AL1000" s="108">
        <f t="shared" si="231"/>
        <v>0</v>
      </c>
      <c r="AM1000" s="108"/>
      <c r="AN1000" s="108"/>
      <c r="AO1000" s="108"/>
      <c r="AP1000" s="108"/>
      <c r="AQ1000" s="108"/>
      <c r="AR1000" s="108"/>
      <c r="AS1000" s="108"/>
      <c r="AT1000" s="108"/>
      <c r="AU1000" s="108"/>
      <c r="AV1000" s="108"/>
      <c r="AW1000" s="108"/>
      <c r="AX1000" s="108"/>
      <c r="AY1000" s="108"/>
      <c r="AZ1000" s="108"/>
      <c r="BA1000" s="108"/>
      <c r="BB1000" s="108"/>
      <c r="BC1000" s="108"/>
      <c r="BD1000" s="108"/>
      <c r="BE1000" s="108"/>
      <c r="BF1000" s="108"/>
      <c r="BG1000" s="108"/>
      <c r="BH1000" s="108"/>
      <c r="BI1000" s="108"/>
      <c r="BJ1000" s="108"/>
      <c r="BK1000" s="108"/>
      <c r="BL1000" s="108"/>
      <c r="BM1000" s="108"/>
      <c r="BN1000" s="108"/>
      <c r="BO1000" s="108"/>
      <c r="BP1000" s="108"/>
      <c r="BQ1000" s="108"/>
      <c r="BR1000" s="108"/>
      <c r="BS1000" s="108"/>
      <c r="BT1000" s="108"/>
      <c r="BU1000" s="108"/>
      <c r="BV1000" s="108"/>
      <c r="BW1000" s="108"/>
      <c r="BX1000" s="108"/>
      <c r="BY1000" s="108"/>
      <c r="BZ1000" s="108"/>
      <c r="CA1000" s="108"/>
      <c r="CB1000" s="108"/>
      <c r="CC1000" s="108"/>
      <c r="CD1000" s="108"/>
      <c r="CE1000" s="108"/>
      <c r="CF1000" s="108"/>
      <c r="CG1000" s="108"/>
      <c r="CH1000" s="108"/>
      <c r="CI1000" s="108"/>
      <c r="CJ1000" s="108"/>
      <c r="CK1000" s="120">
        <f t="shared" si="232"/>
        <v>0</v>
      </c>
      <c r="CL1000" s="122">
        <f t="shared" si="233"/>
        <v>0</v>
      </c>
      <c r="CM1000" s="524" t="str">
        <f t="shared" si="235"/>
        <v/>
      </c>
      <c r="CN1000" s="526">
        <f t="shared" si="236"/>
        <v>0</v>
      </c>
      <c r="CO1000" s="122">
        <f t="shared" si="237"/>
        <v>0</v>
      </c>
      <c r="CP1000" s="45" t="str">
        <f t="shared" si="234"/>
        <v>1 - in MILLESIMI   I</v>
      </c>
      <c r="CQ1000" s="1"/>
    </row>
    <row r="1001" spans="1:95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435">
        <f>IF(AND(W1001&gt;=$U$1,W1001&lt;=$U$2),IF(X1001='ESTRATTO CONTO'!$E$2,1+COUNTIF(U$4:U1000,"&gt;0"),0),0)</f>
        <v>0</v>
      </c>
      <c r="V1001" s="417">
        <f t="shared" si="238"/>
        <v>998</v>
      </c>
      <c r="W1001" s="509"/>
      <c r="X1001" s="321"/>
      <c r="Y1001" s="321"/>
      <c r="Z1001" s="433"/>
      <c r="AA1001" s="918">
        <f t="shared" si="228"/>
        <v>1</v>
      </c>
      <c r="AB1001" s="306" t="str">
        <f t="shared" si="229"/>
        <v/>
      </c>
      <c r="AC1001" s="788"/>
      <c r="AD1001" s="119">
        <f t="shared" si="239"/>
        <v>0</v>
      </c>
      <c r="AE1001" s="108">
        <f t="shared" si="239"/>
        <v>0</v>
      </c>
      <c r="AF1001" s="108">
        <f t="shared" si="239"/>
        <v>0</v>
      </c>
      <c r="AG1001" s="108"/>
      <c r="AH1001" s="108"/>
      <c r="AI1001" s="108"/>
      <c r="AJ1001" s="108"/>
      <c r="AK1001" s="108"/>
      <c r="AL1001" s="108">
        <f t="shared" si="231"/>
        <v>0</v>
      </c>
      <c r="AM1001" s="108"/>
      <c r="AN1001" s="108"/>
      <c r="AO1001" s="108"/>
      <c r="AP1001" s="108"/>
      <c r="AQ1001" s="108"/>
      <c r="AR1001" s="108"/>
      <c r="AS1001" s="108"/>
      <c r="AT1001" s="108"/>
      <c r="AU1001" s="108"/>
      <c r="AV1001" s="108"/>
      <c r="AW1001" s="108"/>
      <c r="AX1001" s="108"/>
      <c r="AY1001" s="108"/>
      <c r="AZ1001" s="108"/>
      <c r="BA1001" s="108"/>
      <c r="BB1001" s="108"/>
      <c r="BC1001" s="108"/>
      <c r="BD1001" s="108"/>
      <c r="BE1001" s="108"/>
      <c r="BF1001" s="108"/>
      <c r="BG1001" s="108"/>
      <c r="BH1001" s="108"/>
      <c r="BI1001" s="108"/>
      <c r="BJ1001" s="108"/>
      <c r="BK1001" s="108"/>
      <c r="BL1001" s="108"/>
      <c r="BM1001" s="108"/>
      <c r="BN1001" s="108"/>
      <c r="BO1001" s="108"/>
      <c r="BP1001" s="108"/>
      <c r="BQ1001" s="108"/>
      <c r="BR1001" s="108"/>
      <c r="BS1001" s="108"/>
      <c r="BT1001" s="108"/>
      <c r="BU1001" s="108"/>
      <c r="BV1001" s="108"/>
      <c r="BW1001" s="108"/>
      <c r="BX1001" s="108"/>
      <c r="BY1001" s="108"/>
      <c r="BZ1001" s="108"/>
      <c r="CA1001" s="108"/>
      <c r="CB1001" s="108"/>
      <c r="CC1001" s="108"/>
      <c r="CD1001" s="108"/>
      <c r="CE1001" s="108"/>
      <c r="CF1001" s="108"/>
      <c r="CG1001" s="108"/>
      <c r="CH1001" s="108"/>
      <c r="CI1001" s="108"/>
      <c r="CJ1001" s="108"/>
      <c r="CK1001" s="120">
        <f t="shared" si="232"/>
        <v>0</v>
      </c>
      <c r="CL1001" s="122">
        <f t="shared" si="233"/>
        <v>0</v>
      </c>
      <c r="CM1001" s="524" t="str">
        <f t="shared" si="235"/>
        <v/>
      </c>
      <c r="CN1001" s="526">
        <f t="shared" si="236"/>
        <v>0</v>
      </c>
      <c r="CO1001" s="122">
        <f t="shared" si="237"/>
        <v>0</v>
      </c>
      <c r="CP1001" s="45" t="str">
        <f t="shared" si="234"/>
        <v>1 - in MILLESIMI   I</v>
      </c>
      <c r="CQ1001" s="1"/>
    </row>
    <row r="1002" spans="1:95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435">
        <f>IF(AND(W1002&gt;=$U$1,W1002&lt;=$U$2),IF(X1002='ESTRATTO CONTO'!$E$2,1+COUNTIF(U$4:U1001,"&gt;0"),0),0)</f>
        <v>0</v>
      </c>
      <c r="V1002" s="417">
        <f t="shared" si="238"/>
        <v>999</v>
      </c>
      <c r="W1002" s="509"/>
      <c r="X1002" s="321"/>
      <c r="Y1002" s="321"/>
      <c r="Z1002" s="433"/>
      <c r="AA1002" s="918">
        <f t="shared" si="228"/>
        <v>1</v>
      </c>
      <c r="AB1002" s="306" t="str">
        <f t="shared" si="229"/>
        <v/>
      </c>
      <c r="AC1002" s="788"/>
      <c r="AD1002" s="119">
        <f t="shared" si="239"/>
        <v>0</v>
      </c>
      <c r="AE1002" s="108">
        <f t="shared" si="239"/>
        <v>0</v>
      </c>
      <c r="AF1002" s="108">
        <f t="shared" si="239"/>
        <v>0</v>
      </c>
      <c r="AG1002" s="108"/>
      <c r="AH1002" s="108"/>
      <c r="AI1002" s="108"/>
      <c r="AJ1002" s="108"/>
      <c r="AK1002" s="108"/>
      <c r="AL1002" s="108">
        <f t="shared" si="231"/>
        <v>0</v>
      </c>
      <c r="AM1002" s="108"/>
      <c r="AN1002" s="108"/>
      <c r="AO1002" s="108"/>
      <c r="AP1002" s="108"/>
      <c r="AQ1002" s="108"/>
      <c r="AR1002" s="108"/>
      <c r="AS1002" s="108"/>
      <c r="AT1002" s="108"/>
      <c r="AU1002" s="108"/>
      <c r="AV1002" s="108"/>
      <c r="AW1002" s="108"/>
      <c r="AX1002" s="108"/>
      <c r="AY1002" s="108"/>
      <c r="AZ1002" s="108"/>
      <c r="BA1002" s="108"/>
      <c r="BB1002" s="108"/>
      <c r="BC1002" s="108"/>
      <c r="BD1002" s="108"/>
      <c r="BE1002" s="108"/>
      <c r="BF1002" s="108"/>
      <c r="BG1002" s="108"/>
      <c r="BH1002" s="108"/>
      <c r="BI1002" s="108"/>
      <c r="BJ1002" s="108"/>
      <c r="BK1002" s="108"/>
      <c r="BL1002" s="108"/>
      <c r="BM1002" s="108"/>
      <c r="BN1002" s="108"/>
      <c r="BO1002" s="108"/>
      <c r="BP1002" s="108"/>
      <c r="BQ1002" s="108"/>
      <c r="BR1002" s="108"/>
      <c r="BS1002" s="108"/>
      <c r="BT1002" s="108"/>
      <c r="BU1002" s="108"/>
      <c r="BV1002" s="108"/>
      <c r="BW1002" s="108"/>
      <c r="BX1002" s="108"/>
      <c r="BY1002" s="108"/>
      <c r="BZ1002" s="108"/>
      <c r="CA1002" s="108"/>
      <c r="CB1002" s="108"/>
      <c r="CC1002" s="108"/>
      <c r="CD1002" s="108"/>
      <c r="CE1002" s="108"/>
      <c r="CF1002" s="108"/>
      <c r="CG1002" s="108"/>
      <c r="CH1002" s="108"/>
      <c r="CI1002" s="108"/>
      <c r="CJ1002" s="108"/>
      <c r="CK1002" s="120">
        <f t="shared" si="232"/>
        <v>0</v>
      </c>
      <c r="CL1002" s="122">
        <f t="shared" si="233"/>
        <v>0</v>
      </c>
      <c r="CM1002" s="524" t="str">
        <f t="shared" si="235"/>
        <v/>
      </c>
      <c r="CN1002" s="526">
        <f t="shared" si="236"/>
        <v>0</v>
      </c>
      <c r="CO1002" s="122">
        <f t="shared" si="237"/>
        <v>0</v>
      </c>
      <c r="CP1002" s="45" t="str">
        <f t="shared" si="234"/>
        <v>1 - in MILLESIMI   I</v>
      </c>
      <c r="CQ1002" s="1"/>
    </row>
    <row r="1003" spans="1:95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435">
        <f>IF(AND(W1003&gt;=$U$1,W1003&lt;=$U$2),IF(X1003='ESTRATTO CONTO'!$E$2,1+COUNTIF(U$4:U1002,"&gt;0"),0),0)</f>
        <v>0</v>
      </c>
      <c r="V1003" s="417">
        <f t="shared" si="238"/>
        <v>1000</v>
      </c>
      <c r="W1003" s="509"/>
      <c r="X1003" s="321"/>
      <c r="Y1003" s="321"/>
      <c r="Z1003" s="433"/>
      <c r="AA1003" s="918">
        <f t="shared" si="228"/>
        <v>1</v>
      </c>
      <c r="AB1003" s="306" t="str">
        <f t="shared" si="229"/>
        <v/>
      </c>
      <c r="AC1003" s="788"/>
      <c r="AD1003" s="458">
        <f t="shared" si="239"/>
        <v>0</v>
      </c>
      <c r="AE1003" s="459">
        <f t="shared" si="239"/>
        <v>0</v>
      </c>
      <c r="AF1003" s="459">
        <f t="shared" si="239"/>
        <v>0</v>
      </c>
      <c r="AG1003" s="459"/>
      <c r="AH1003" s="459"/>
      <c r="AI1003" s="459"/>
      <c r="AJ1003" s="459"/>
      <c r="AK1003" s="459"/>
      <c r="AL1003" s="459">
        <f t="shared" si="231"/>
        <v>0</v>
      </c>
      <c r="AM1003" s="459"/>
      <c r="AN1003" s="459"/>
      <c r="AO1003" s="459"/>
      <c r="AP1003" s="459"/>
      <c r="AQ1003" s="459"/>
      <c r="AR1003" s="459"/>
      <c r="AS1003" s="459"/>
      <c r="AT1003" s="459"/>
      <c r="AU1003" s="459"/>
      <c r="AV1003" s="459"/>
      <c r="AW1003" s="459"/>
      <c r="AX1003" s="459"/>
      <c r="AY1003" s="459"/>
      <c r="AZ1003" s="459"/>
      <c r="BA1003" s="459"/>
      <c r="BB1003" s="459"/>
      <c r="BC1003" s="459"/>
      <c r="BD1003" s="459"/>
      <c r="BE1003" s="459"/>
      <c r="BF1003" s="459"/>
      <c r="BG1003" s="459"/>
      <c r="BH1003" s="459"/>
      <c r="BI1003" s="459"/>
      <c r="BJ1003" s="459"/>
      <c r="BK1003" s="459"/>
      <c r="BL1003" s="459"/>
      <c r="BM1003" s="459"/>
      <c r="BN1003" s="459"/>
      <c r="BO1003" s="459"/>
      <c r="BP1003" s="459"/>
      <c r="BQ1003" s="459"/>
      <c r="BR1003" s="459"/>
      <c r="BS1003" s="459"/>
      <c r="BT1003" s="459"/>
      <c r="BU1003" s="459"/>
      <c r="BV1003" s="459"/>
      <c r="BW1003" s="459"/>
      <c r="BX1003" s="459"/>
      <c r="BY1003" s="459"/>
      <c r="BZ1003" s="459"/>
      <c r="CA1003" s="459"/>
      <c r="CB1003" s="459"/>
      <c r="CC1003" s="459"/>
      <c r="CD1003" s="459"/>
      <c r="CE1003" s="459"/>
      <c r="CF1003" s="459"/>
      <c r="CG1003" s="459"/>
      <c r="CH1003" s="459"/>
      <c r="CI1003" s="459"/>
      <c r="CJ1003" s="459"/>
      <c r="CK1003" s="460">
        <f t="shared" si="232"/>
        <v>0</v>
      </c>
      <c r="CL1003" s="122">
        <f t="shared" si="233"/>
        <v>0</v>
      </c>
      <c r="CM1003" s="524" t="str">
        <f t="shared" ref="CM1003" si="240">IF(X1003="","",IF(ISERROR(VLOOKUP(X1003,B$9:E$45,1,FALSE)),1,0))</f>
        <v/>
      </c>
      <c r="CN1003" s="527">
        <f t="shared" ref="CN1003" si="241">IF(AND(W1003&gt;=CN$1,W1003&lt;=CN$2),Z1003,0)</f>
        <v>0</v>
      </c>
      <c r="CO1003" s="122">
        <f t="shared" ref="CO1003" si="242">IF(CN1003&lt;&gt;0,X1003,0)</f>
        <v>0</v>
      </c>
      <c r="CP1003" s="45" t="str">
        <f t="shared" ref="CP1003" si="243">IF(ISBLANK(AC1003),Q$1,AC1003)</f>
        <v>1 - in MILLESIMI   I</v>
      </c>
      <c r="CQ1003" s="1"/>
    </row>
    <row r="1004" spans="1:95" ht="3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28"/>
      <c r="W1004" s="29"/>
      <c r="X1004" s="30"/>
      <c r="Y1004" s="30"/>
      <c r="Z1004" s="31"/>
      <c r="AA1004" s="26"/>
      <c r="AB1004" s="9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26"/>
      <c r="CM1004" s="26"/>
      <c r="CN1004" s="1"/>
      <c r="CO1004" s="26"/>
      <c r="CP1004" s="1"/>
      <c r="CQ1004" s="1"/>
    </row>
    <row r="1005" spans="1:95" ht="4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3"/>
      <c r="W1005" s="3"/>
      <c r="X1005" s="3"/>
      <c r="Y1005" s="3"/>
      <c r="Z1005" s="3"/>
      <c r="AA1005" s="3"/>
      <c r="AB1005" s="90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3"/>
      <c r="CM1005" s="3"/>
      <c r="CN1005" s="1"/>
      <c r="CO1005" s="3"/>
      <c r="CP1005" s="1"/>
      <c r="CQ1005" s="1"/>
    </row>
    <row r="1006" spans="1:95" ht="18.75" customHeight="1">
      <c r="A1006" s="1"/>
      <c r="B1006" s="1"/>
      <c r="C1006" s="715" t="s">
        <v>400</v>
      </c>
      <c r="D1006" s="634"/>
      <c r="E1006" s="634"/>
      <c r="F1006" s="634"/>
      <c r="G1006" s="716" t="s">
        <v>400</v>
      </c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435">
        <f>COUNTIF(U4:U1003,"&gt;0")</f>
        <v>0</v>
      </c>
      <c r="V1006" s="32"/>
      <c r="W1006" s="506">
        <f>SUBTOTAL(3,W4:W1003)</f>
        <v>30</v>
      </c>
      <c r="X1006" s="1235" t="str">
        <f>CONCATENATE("Nr. Record                                                                     Subtotale ",W1)</f>
        <v>Nr. Record                                                                     Subtotale REGISTRO dei COSTI</v>
      </c>
      <c r="Y1006" s="1236"/>
      <c r="Z1006" s="432">
        <f>SUBTOTAL(9,Z4:Z1003)</f>
        <v>2200</v>
      </c>
      <c r="AA1006" s="3"/>
      <c r="AB1006" s="33"/>
      <c r="AC1006" s="782" t="s">
        <v>446</v>
      </c>
      <c r="AD1006" s="783">
        <f>SUBTOTAL(9,AD$4:AD1003)</f>
        <v>221.67000000000002</v>
      </c>
      <c r="AE1006" s="783">
        <f>SUBTOTAL(9,AE$4:AE1003)</f>
        <v>238.32999999999998</v>
      </c>
      <c r="AF1006" s="783">
        <f>SUBTOTAL(9,AF$4:AF1003)</f>
        <v>417.5</v>
      </c>
      <c r="AG1006" s="783"/>
      <c r="AH1006" s="783"/>
      <c r="AI1006" s="783"/>
      <c r="AJ1006" s="783"/>
      <c r="AK1006" s="783"/>
      <c r="AL1006" s="783">
        <f>SUBTOTAL(9,AL$4:AL1003)</f>
        <v>464.17</v>
      </c>
      <c r="AM1006" s="783"/>
      <c r="AN1006" s="783"/>
      <c r="AO1006" s="783"/>
      <c r="AP1006" s="783"/>
      <c r="AQ1006" s="783"/>
      <c r="AR1006" s="783"/>
      <c r="AS1006" s="783"/>
      <c r="AT1006" s="783"/>
      <c r="AU1006" s="783"/>
      <c r="AV1006" s="783"/>
      <c r="AW1006" s="783"/>
      <c r="AX1006" s="783"/>
      <c r="AY1006" s="783"/>
      <c r="AZ1006" s="783"/>
      <c r="BA1006" s="783"/>
      <c r="BB1006" s="783"/>
      <c r="BC1006" s="783"/>
      <c r="BD1006" s="783"/>
      <c r="BE1006" s="783"/>
      <c r="BF1006" s="783"/>
      <c r="BG1006" s="783"/>
      <c r="BH1006" s="783"/>
      <c r="BI1006" s="783"/>
      <c r="BJ1006" s="783"/>
      <c r="BK1006" s="783"/>
      <c r="BL1006" s="783"/>
      <c r="BM1006" s="783"/>
      <c r="BN1006" s="783"/>
      <c r="BO1006" s="783"/>
      <c r="BP1006" s="783"/>
      <c r="BQ1006" s="783"/>
      <c r="BR1006" s="783"/>
      <c r="BS1006" s="783"/>
      <c r="BT1006" s="783"/>
      <c r="BU1006" s="783"/>
      <c r="BV1006" s="783"/>
      <c r="BW1006" s="783"/>
      <c r="BX1006" s="783"/>
      <c r="BY1006" s="783"/>
      <c r="BZ1006" s="783"/>
      <c r="CA1006" s="783"/>
      <c r="CB1006" s="783"/>
      <c r="CC1006" s="783"/>
      <c r="CD1006" s="783"/>
      <c r="CE1006" s="783"/>
      <c r="CF1006" s="783"/>
      <c r="CG1006" s="783"/>
      <c r="CH1006" s="783"/>
      <c r="CI1006" s="783"/>
      <c r="CJ1006" s="783"/>
      <c r="CK1006" s="783">
        <f>SUBTOTAL(9,CK$4:CK1003)</f>
        <v>858.32999999999993</v>
      </c>
      <c r="CL1006" s="3"/>
      <c r="CM1006" s="3"/>
      <c r="CN1006" s="1"/>
      <c r="CO1006" s="3"/>
      <c r="CP1006" s="1"/>
      <c r="CQ1006" s="1"/>
    </row>
    <row r="1007" spans="1:95" ht="16.5" customHeight="1">
      <c r="A1007" s="1"/>
      <c r="B1007" s="1"/>
      <c r="C1007" s="651">
        <f>VLOOKUP(RENDICONTO!N111,C1076:F1081,4,FALSE)</f>
        <v>1</v>
      </c>
      <c r="D1007" s="634"/>
      <c r="E1007" s="634"/>
      <c r="F1007" s="634"/>
      <c r="G1007" s="651">
        <f>VLOOKUP(RENDICONTO!N45,C1076:F1081,4,FALSE)</f>
        <v>1</v>
      </c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3"/>
      <c r="AB1007" s="46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373"/>
      <c r="CL1007" s="3"/>
      <c r="CM1007" s="3"/>
      <c r="CN1007" s="1"/>
      <c r="CO1007" s="3"/>
      <c r="CP1007" s="1"/>
      <c r="CQ1007" s="1"/>
    </row>
    <row r="1008" spans="1:95" ht="16.5" hidden="1" customHeight="1">
      <c r="A1008" s="1"/>
      <c r="B1008" s="1"/>
      <c r="C1008" s="395"/>
      <c r="D1008" s="1"/>
      <c r="E1008" s="1"/>
      <c r="F1008" s="1"/>
      <c r="G1008" s="395">
        <f>IF(ISERROR(G1007),VLOOKUP(Q1,C1076:F1081,4,FALSE),G1007)</f>
        <v>1</v>
      </c>
      <c r="H1008" s="395">
        <v>1</v>
      </c>
      <c r="I1008" s="395">
        <v>2</v>
      </c>
      <c r="J1008" s="395">
        <v>3</v>
      </c>
      <c r="K1008" s="395">
        <v>4</v>
      </c>
      <c r="L1008" s="13" t="str">
        <f>RIPARTIZIONI!K75</f>
        <v>CONFERMATA</v>
      </c>
      <c r="M1008" s="1"/>
      <c r="N1008" s="1"/>
      <c r="O1008" s="395"/>
      <c r="P1008" s="395">
        <v>5</v>
      </c>
      <c r="Q1008" s="395">
        <v>6</v>
      </c>
      <c r="R1008" s="1"/>
      <c r="S1008" s="1"/>
      <c r="T1008" s="1"/>
      <c r="U1008" s="15" t="s">
        <v>128</v>
      </c>
      <c r="V1008" s="1"/>
      <c r="W1008" s="1"/>
      <c r="X1008" s="1"/>
      <c r="Y1008" s="1"/>
      <c r="Z1008" s="1"/>
      <c r="AA1008" s="3"/>
      <c r="AB1008" s="46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3"/>
      <c r="CM1008" s="3"/>
      <c r="CN1008" s="1"/>
      <c r="CO1008" s="3"/>
    </row>
    <row r="1009" spans="1:93" ht="16.5" hidden="1" customHeight="1">
      <c r="A1009" s="1"/>
      <c r="B1009" s="1"/>
      <c r="C1009" s="678" t="str">
        <f>HLOOKUP(C1007,H1008:Q1009,2,FALSE)</f>
        <v>MILL.mi   I</v>
      </c>
      <c r="D1009" s="1"/>
      <c r="E1009" s="1"/>
      <c r="F1009" s="1"/>
      <c r="G1009" s="678" t="str">
        <f>HLOOKUP(G1008,H1008:Q1009,2,FALSE)</f>
        <v>MILL.mi   I</v>
      </c>
      <c r="H1009" s="462" t="str">
        <f>RIPARTIZIONI!F6</f>
        <v>MILL.mi   I</v>
      </c>
      <c r="I1009" s="462" t="str">
        <f>RIPARTIZIONI!G6</f>
        <v>MILL.mi   II</v>
      </c>
      <c r="J1009" s="462" t="str">
        <f>RIPARTIZIONI!H6</f>
        <v>MILL.mi   III</v>
      </c>
      <c r="K1009" s="462" t="str">
        <f>RIPARTIZIONI!I6</f>
        <v>Percentuale</v>
      </c>
      <c r="L1009" s="446" t="str">
        <f>RIPARTIZIONI!N20</f>
        <v>CONFERMATA</v>
      </c>
      <c r="M1009" s="445" t="str">
        <f>RIPARTIZIONI!N6</f>
        <v>MILL.mi   I</v>
      </c>
      <c r="N1009" s="445" t="str">
        <f>RIPARTIZIONI!O6</f>
        <v>Percentuale</v>
      </c>
      <c r="O1009" s="445" t="str">
        <f>M1009</f>
        <v>MILL.mi   I</v>
      </c>
      <c r="P1009" s="674" t="str">
        <f>M1009</f>
        <v>MILL.mi   I</v>
      </c>
      <c r="Q1009" s="674" t="str">
        <f>N1009</f>
        <v>Percentuale</v>
      </c>
      <c r="R1009" s="1"/>
      <c r="S1009" s="15" t="str">
        <f>RIPARTIZIONI!M6</f>
        <v>NR. ENTI</v>
      </c>
      <c r="T1009" s="1"/>
      <c r="U1009" s="248">
        <f>IF(OR(ISBLANK(F$68),AND(W1009&gt;(F$68-1),W1009&lt;(I$68+1))),IF(K$67=G$1086,IF(ISERROR(VLOOKUP(I67,G1076:G1078,1,FALSE)),1,IF(V1009=1,1,0)),0),0)</f>
        <v>1</v>
      </c>
      <c r="V1009" s="32">
        <f t="shared" ref="V1009:V1072" si="244">WEEKDAY(W1009,2)</f>
        <v>1</v>
      </c>
      <c r="W1009" s="96">
        <f>Presentazione!B210</f>
        <v>45292</v>
      </c>
      <c r="X1009" s="249" t="str">
        <f t="shared" ref="X1009:X1014" si="245">IF(U1009=1,"X","")</f>
        <v>X</v>
      </c>
      <c r="Y1009" s="252">
        <f>IF(OR(ISBLANK($I$67),ISBLANK($K$67)),0,IF(X1009="X",U1009,0))</f>
        <v>1</v>
      </c>
      <c r="Z1009" s="28">
        <f>IF(Y1009&gt;0,1,0)</f>
        <v>1</v>
      </c>
      <c r="AA1009" s="34"/>
      <c r="AB1009" s="254">
        <f>IF(Z1009&gt;0,W1009,"")</f>
        <v>45292</v>
      </c>
      <c r="AC1009" s="260">
        <f t="shared" ref="AC1009:AC1072" si="246">IF(Z1009=0,"",MONTH(AB1009))</f>
        <v>1</v>
      </c>
      <c r="AD1009" s="263">
        <f>IF(Z1009&gt;0,1,0)</f>
        <v>1</v>
      </c>
      <c r="AE1009" s="257" t="str">
        <f>IF(Z1009&gt;0,CONCATENATE(AC1009,"-",AD1009),"")</f>
        <v>1-1</v>
      </c>
      <c r="AF1009" s="391">
        <f t="shared" ref="AF1009:AF1072" si="247">IF(Z1009&gt;0,AB1009,"")</f>
        <v>45292</v>
      </c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835"/>
      <c r="CG1009" s="835"/>
      <c r="CH1009" s="835"/>
      <c r="CI1009" s="835"/>
      <c r="CJ1009" s="835"/>
      <c r="CK1009" s="835"/>
      <c r="CL1009" s="34"/>
      <c r="CM1009" s="34"/>
      <c r="CN1009" s="1"/>
      <c r="CO1009" s="34"/>
    </row>
    <row r="1010" spans="1:93" ht="16.5" hidden="1" customHeight="1">
      <c r="A1010" s="1"/>
      <c r="B1010" s="109">
        <f t="shared" ref="B1010:B1014" si="248">F1010</f>
        <v>1</v>
      </c>
      <c r="C1010" s="690">
        <f>HLOOKUP($C$1007,$H$1008:$Q1010,F1010+2,FALSE)</f>
        <v>0.1</v>
      </c>
      <c r="D1010" s="1"/>
      <c r="E1010" s="112" t="str">
        <f>RIPARTIZIONI!J7</f>
        <v>TERRA</v>
      </c>
      <c r="F1010" s="109">
        <f>RIPARTIZIONI!B7</f>
        <v>1</v>
      </c>
      <c r="G1010" s="690">
        <f>HLOOKUP($G$1008,$H$1008:$Q1010,F1010+2,FALSE)</f>
        <v>0.1</v>
      </c>
      <c r="H1010" s="113">
        <f>RIPARTIZIONI!F7/E$1023</f>
        <v>0.1</v>
      </c>
      <c r="I1010" s="113">
        <f>RIPARTIZIONI!G7/F$1023</f>
        <v>6.6666666666666666E-2</v>
      </c>
      <c r="J1010" s="113">
        <f>RIPARTIZIONI!H7/G$1023</f>
        <v>0.05</v>
      </c>
      <c r="K1010" s="111">
        <f>RIPARTIZIONI!I7/K$1023</f>
        <v>0.15</v>
      </c>
      <c r="L1010" s="59" t="str">
        <f>RIPARTIZIONI!L7</f>
        <v>TERRA</v>
      </c>
      <c r="M1010" s="110">
        <f>IF(L$1009=L$1008,RIPARTIZIONI!N7,RIPARTIZIONI!Q7)</f>
        <v>100</v>
      </c>
      <c r="N1010" s="111">
        <f>IF(L$1009=L$1008,RIPARTIZIONI!O7,RIPARTIZIONI!R7)</f>
        <v>15</v>
      </c>
      <c r="O1010" s="110">
        <f t="shared" ref="O1010:O1012" si="249">IF(ISERROR(VLOOKUP(E1010,L$1010:L$1021,1,FALSE)),0,IF(E1010=0,0,IF(VLOOKUP(E1010,L$1010:M$1021,2,FALSE)=0,0,VLOOKUP(E1010,L$1010:M$1021,2,FALSE)/VLOOKUP(E1010,L$1010:S$1021,8,FALSE))))</f>
        <v>100</v>
      </c>
      <c r="P1010" s="113">
        <f t="shared" ref="P1010:P1012" si="250">O1010/O$1023</f>
        <v>0.1</v>
      </c>
      <c r="Q1010" s="113">
        <f>IF(RIPARTIZIONI!AT7&gt;0,0,IF(E1010=0,0,IF(VLOOKUP(E1010,L$1010:N$1021,3,FALSE)=0,0,VLOOKUP(E1010,L$1010:N$1021,3,FALSE)/VLOOKUP(E1010,L$1010:S$1021,8,FALSE)/Q$1023)))</f>
        <v>0.15</v>
      </c>
      <c r="R1010" s="1"/>
      <c r="S1010" s="453">
        <f>IF(L$1009=L$1008,RIPARTIZIONI!M7,RIPARTIZIONI!P7)</f>
        <v>1</v>
      </c>
      <c r="T1010" s="1"/>
      <c r="U1010" s="247">
        <f>IF(OR(ISBLANK(F$68),AND(W1010&gt;(F$68-1),W1010&lt;(I$68+1))),IF(ISERROR(VLOOKUP(I$67,G$1076:G$1078,1,FALSE)),0,IF(K$67=G$1086,IF(V1010=1,1,0),0)),0)</f>
        <v>0</v>
      </c>
      <c r="V1010" s="32">
        <f t="shared" si="244"/>
        <v>2</v>
      </c>
      <c r="W1010" s="97">
        <f t="shared" ref="W1010:W1073" si="251">W1009+1</f>
        <v>45293</v>
      </c>
      <c r="X1010" s="249" t="str">
        <f t="shared" si="245"/>
        <v/>
      </c>
      <c r="Y1010" s="252">
        <f t="shared" ref="Y1010:Y1073" si="252">IF(OR(ISBLANK($I$67),ISBLANK($K$67)),0,IF(X1010="X",U1010,0))</f>
        <v>0</v>
      </c>
      <c r="Z1010" s="253">
        <f>IF(Y1010&gt;0,COUNTIF(Y$1009:Y1009,"&gt;0")+1,0)</f>
        <v>0</v>
      </c>
      <c r="AA1010" s="34"/>
      <c r="AB1010" s="255" t="str">
        <f t="shared" ref="AB1010:AB1073" si="253">IF(Z1010&gt;0,W1010,"")</f>
        <v/>
      </c>
      <c r="AC1010" s="261" t="str">
        <f t="shared" si="246"/>
        <v/>
      </c>
      <c r="AD1010" s="258">
        <f>IF(Z1010&gt;0,COUNTIF(AC$1009:AC1009,AC1010)+1,0)</f>
        <v>0</v>
      </c>
      <c r="AE1010" s="258" t="str">
        <f t="shared" ref="AE1010:AE1073" si="254">IF(Z1010&gt;0,CONCATENATE(AC1010,"-",AD1010),"")</f>
        <v/>
      </c>
      <c r="AF1010" s="392" t="str">
        <f t="shared" si="247"/>
        <v/>
      </c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835"/>
      <c r="CG1010" s="835"/>
      <c r="CH1010" s="835"/>
      <c r="CI1010" s="835"/>
      <c r="CJ1010" s="835"/>
      <c r="CK1010" s="835"/>
      <c r="CL1010" s="34"/>
      <c r="CM1010" s="34"/>
      <c r="CN1010" s="1"/>
      <c r="CO1010" s="34"/>
    </row>
    <row r="1011" spans="1:93" ht="16.5" hidden="1" customHeight="1">
      <c r="A1011" s="1"/>
      <c r="B1011" s="109">
        <f t="shared" si="248"/>
        <v>2</v>
      </c>
      <c r="C1011" s="690">
        <f>HLOOKUP($C$1007,$H$1008:$Q1011,F1011+2,FALSE)</f>
        <v>0.1</v>
      </c>
      <c r="D1011" s="1"/>
      <c r="E1011" s="112" t="str">
        <f>RIPARTIZIONI!J8</f>
        <v>1° piano</v>
      </c>
      <c r="F1011" s="109">
        <f>RIPARTIZIONI!B8</f>
        <v>2</v>
      </c>
      <c r="G1011" s="690">
        <f>HLOOKUP($G$1008,$H$1008:$Q1011,F1011+2,FALSE)</f>
        <v>0.1</v>
      </c>
      <c r="H1011" s="113">
        <f>RIPARTIZIONI!F8/E$1023</f>
        <v>0.1</v>
      </c>
      <c r="I1011" s="113">
        <f>RIPARTIZIONI!G8/F$1023</f>
        <v>0.13333333333333333</v>
      </c>
      <c r="J1011" s="113">
        <f>RIPARTIZIONI!H8/G$1023</f>
        <v>0.1</v>
      </c>
      <c r="K1011" s="111">
        <f>RIPARTIZIONI!I8/K$1023</f>
        <v>0.15</v>
      </c>
      <c r="L1011" s="59" t="str">
        <f>RIPARTIZIONI!L8</f>
        <v>1° piano</v>
      </c>
      <c r="M1011" s="110">
        <f>IF(L$1009=L$1008,RIPARTIZIONI!N8,RIPARTIZIONI!Q8)</f>
        <v>300</v>
      </c>
      <c r="N1011" s="111">
        <f>IF(L$1009=L$1008,RIPARTIZIONI!O8,RIPARTIZIONI!R8)</f>
        <v>30</v>
      </c>
      <c r="O1011" s="110">
        <f t="shared" si="249"/>
        <v>150</v>
      </c>
      <c r="P1011" s="113">
        <f t="shared" si="250"/>
        <v>0.15</v>
      </c>
      <c r="Q1011" s="113">
        <f>IF(RIPARTIZIONI!AT8&gt;0,0,IF(E1011=0,0,IF(VLOOKUP(E1011,L$1010:N$1021,3,FALSE)=0,0,VLOOKUP(E1011,L$1010:N$1021,3,FALSE)/VLOOKUP(E1011,L$1010:S$1021,8,FALSE)/Q$1023)))</f>
        <v>0.15</v>
      </c>
      <c r="R1011" s="1"/>
      <c r="S1011" s="453">
        <f>IF(L$1009=L$1008,RIPARTIZIONI!M8,RIPARTIZIONI!P8)</f>
        <v>2</v>
      </c>
      <c r="T1011" s="1"/>
      <c r="U1011" s="247">
        <f>IF(OR(ISBLANK(F$68),AND(W1011&gt;(F$68-1),W1011&lt;(I$68+1))),IF(ISERROR(VLOOKUP(I$67,G$1076:G$1078,1,FALSE)),0,IF(K$67=G$1086,IF(V1011=1,1,0),0)),0)</f>
        <v>0</v>
      </c>
      <c r="V1011" s="32">
        <f t="shared" si="244"/>
        <v>3</v>
      </c>
      <c r="W1011" s="97">
        <f t="shared" si="251"/>
        <v>45294</v>
      </c>
      <c r="X1011" s="249" t="str">
        <f t="shared" si="245"/>
        <v/>
      </c>
      <c r="Y1011" s="252">
        <f t="shared" si="252"/>
        <v>0</v>
      </c>
      <c r="Z1011" s="253">
        <f>IF(Y1011&gt;0,COUNTIF(Y$1009:Y1010,"&gt;0")+1,0)</f>
        <v>0</v>
      </c>
      <c r="AA1011" s="3"/>
      <c r="AB1011" s="255" t="str">
        <f t="shared" si="253"/>
        <v/>
      </c>
      <c r="AC1011" s="261" t="str">
        <f t="shared" si="246"/>
        <v/>
      </c>
      <c r="AD1011" s="258">
        <f>IF(Z1011&gt;0,COUNTIF(AC$1009:AC1010,AC1011)+1,0)</f>
        <v>0</v>
      </c>
      <c r="AE1011" s="258" t="str">
        <f t="shared" si="254"/>
        <v/>
      </c>
      <c r="AF1011" s="392" t="str">
        <f t="shared" si="247"/>
        <v/>
      </c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835"/>
      <c r="CG1011" s="835"/>
      <c r="CH1011" s="835"/>
      <c r="CI1011" s="835"/>
      <c r="CJ1011" s="835"/>
      <c r="CK1011" s="835"/>
      <c r="CL1011" s="3"/>
      <c r="CM1011" s="3"/>
      <c r="CN1011" s="1"/>
      <c r="CO1011" s="3"/>
    </row>
    <row r="1012" spans="1:93" ht="16.5" hidden="1" customHeight="1">
      <c r="A1012" s="1"/>
      <c r="B1012" s="109">
        <f t="shared" si="248"/>
        <v>3</v>
      </c>
      <c r="C1012" s="690">
        <f>HLOOKUP($C$1007,$H$1008:$Q1012,F1012+2,FALSE)</f>
        <v>0.2</v>
      </c>
      <c r="D1012" s="1"/>
      <c r="E1012" s="112" t="str">
        <f>RIPARTIZIONI!J9</f>
        <v>1° piano</v>
      </c>
      <c r="F1012" s="109">
        <f>RIPARTIZIONI!B9</f>
        <v>3</v>
      </c>
      <c r="G1012" s="690">
        <f>HLOOKUP($G$1008,$H$1008:$Q1012,F1012+2,FALSE)</f>
        <v>0.2</v>
      </c>
      <c r="H1012" s="113">
        <f>RIPARTIZIONI!F9/E$1023</f>
        <v>0.2</v>
      </c>
      <c r="I1012" s="113">
        <f>RIPARTIZIONI!G9/F$1023</f>
        <v>0.2</v>
      </c>
      <c r="J1012" s="113">
        <f>RIPARTIZIONI!H9/G$1023</f>
        <v>0.125</v>
      </c>
      <c r="K1012" s="111">
        <f>RIPARTIZIONI!I9/K$1023</f>
        <v>0.15</v>
      </c>
      <c r="L1012" s="59" t="str">
        <f>RIPARTIZIONI!L9</f>
        <v>2° piano</v>
      </c>
      <c r="M1012" s="110">
        <f>IF(L$1009=L$1008,RIPARTIZIONI!N9,RIPARTIZIONI!Q9)</f>
        <v>600</v>
      </c>
      <c r="N1012" s="111">
        <f>IF(L$1009=L$1008,RIPARTIZIONI!O9,RIPARTIZIONI!R9)</f>
        <v>55</v>
      </c>
      <c r="O1012" s="110">
        <f t="shared" si="249"/>
        <v>150</v>
      </c>
      <c r="P1012" s="113">
        <f t="shared" si="250"/>
        <v>0.15</v>
      </c>
      <c r="Q1012" s="113">
        <f>IF(RIPARTIZIONI!AT9&gt;0,0,IF(E1012=0,0,IF(VLOOKUP(E1012,L$1010:N$1021,3,FALSE)=0,0,VLOOKUP(E1012,L$1010:N$1021,3,FALSE)/VLOOKUP(E1012,L$1010:S$1021,8,FALSE)/Q$1023)))</f>
        <v>0.15</v>
      </c>
      <c r="R1012" s="1"/>
      <c r="S1012" s="453">
        <f>IF(L$1009=L$1008,RIPARTIZIONI!M9,RIPARTIZIONI!P9)</f>
        <v>2</v>
      </c>
      <c r="T1012" s="1"/>
      <c r="U1012" s="247">
        <f>IF(OR(ISBLANK(F$68),AND(W1012&gt;(F$68-1),W1012&lt;(I$68+1))),IF(ISERROR(VLOOKUP(I$67,G$1076:G$1078,1,FALSE)),0,IF(K$67=G$1086,IF(V1012=1,1,0),0)),0)</f>
        <v>0</v>
      </c>
      <c r="V1012" s="32">
        <f t="shared" si="244"/>
        <v>4</v>
      </c>
      <c r="W1012" s="97">
        <f t="shared" si="251"/>
        <v>45295</v>
      </c>
      <c r="X1012" s="249" t="str">
        <f t="shared" si="245"/>
        <v/>
      </c>
      <c r="Y1012" s="252">
        <f t="shared" si="252"/>
        <v>0</v>
      </c>
      <c r="Z1012" s="253">
        <f>IF(Y1012&gt;0,COUNTIF(Y$1009:Y1011,"&gt;0")+1,0)</f>
        <v>0</v>
      </c>
      <c r="AA1012" s="3"/>
      <c r="AB1012" s="255" t="str">
        <f t="shared" si="253"/>
        <v/>
      </c>
      <c r="AC1012" s="261" t="str">
        <f t="shared" si="246"/>
        <v/>
      </c>
      <c r="AD1012" s="258">
        <f>IF(Z1012&gt;0,COUNTIF(AC$1009:AC1011,AC1012)+1,0)</f>
        <v>0</v>
      </c>
      <c r="AE1012" s="258" t="str">
        <f t="shared" si="254"/>
        <v/>
      </c>
      <c r="AF1012" s="392" t="str">
        <f t="shared" si="247"/>
        <v/>
      </c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835"/>
      <c r="CG1012" s="835"/>
      <c r="CH1012" s="835"/>
      <c r="CI1012" s="835"/>
      <c r="CJ1012" s="835"/>
      <c r="CK1012" s="835"/>
      <c r="CL1012" s="3"/>
      <c r="CM1012" s="3"/>
      <c r="CN1012" s="1"/>
      <c r="CO1012" s="3"/>
    </row>
    <row r="1013" spans="1:93" ht="16.5" hidden="1" customHeight="1">
      <c r="A1013" s="1"/>
      <c r="B1013" s="109">
        <f t="shared" si="248"/>
        <v>4</v>
      </c>
      <c r="C1013" s="690">
        <f>HLOOKUP($C$1007,$H$1008:$Q1013,F1013+2,FALSE)</f>
        <v>0.2</v>
      </c>
      <c r="D1013" s="1"/>
      <c r="E1013" s="112" t="str">
        <f>RIPARTIZIONI!J10</f>
        <v>2° piano</v>
      </c>
      <c r="F1013" s="109">
        <f>RIPARTIZIONI!B10</f>
        <v>4</v>
      </c>
      <c r="G1013" s="690">
        <f>HLOOKUP($G$1008,$H$1008:$Q1013,F1013+2,FALSE)</f>
        <v>0.2</v>
      </c>
      <c r="H1013" s="113">
        <f>RIPARTIZIONI!F10/E$1023</f>
        <v>0.2</v>
      </c>
      <c r="I1013" s="113">
        <f>RIPARTIZIONI!G10/F$1023</f>
        <v>0.26666666666666666</v>
      </c>
      <c r="J1013" s="113">
        <f>RIPARTIZIONI!H10/G$1023</f>
        <v>0.25</v>
      </c>
      <c r="K1013" s="111">
        <f>RIPARTIZIONI!I10/K$1023</f>
        <v>0.15</v>
      </c>
      <c r="L1013" s="59" t="str">
        <f>RIPARTIZIONI!L10</f>
        <v>3° piano</v>
      </c>
      <c r="M1013" s="110">
        <f>IF(L$1009=L$1008,RIPARTIZIONI!N10,RIPARTIZIONI!Q10)</f>
        <v>0</v>
      </c>
      <c r="N1013" s="111">
        <f>IF(L$1009=L$1008,RIPARTIZIONI!O10,RIPARTIZIONI!R10)</f>
        <v>0</v>
      </c>
      <c r="O1013" s="110">
        <f t="shared" ref="O1013:O1014" si="255">IF(ISERROR(VLOOKUP(E1013,L$1010:L$1021,1,FALSE)),0,IF(E1013=0,0,IF(VLOOKUP(E1013,L$1010:M$1021,2,FALSE)=0,0,VLOOKUP(E1013,L$1010:M$1021,2,FALSE)/VLOOKUP(E1013,L$1010:S$1021,8,FALSE))))</f>
        <v>300</v>
      </c>
      <c r="P1013" s="113">
        <f t="shared" ref="P1013:P1014" si="256">O1013/O$1023</f>
        <v>0.3</v>
      </c>
      <c r="Q1013" s="113">
        <f>IF(RIPARTIZIONI!AT10&gt;0,0,IF(E1013=0,0,IF(VLOOKUP(E1013,L$1010:N$1021,3,FALSE)=0,0,VLOOKUP(E1013,L$1010:N$1021,3,FALSE)/VLOOKUP(E1013,L$1010:S$1021,8,FALSE)/Q$1023)))</f>
        <v>0.27500000000000002</v>
      </c>
      <c r="R1013" s="1"/>
      <c r="S1013" s="453">
        <f>IF(L$1009=L$1008,RIPARTIZIONI!M10,RIPARTIZIONI!P10)</f>
        <v>0</v>
      </c>
      <c r="T1013" s="1"/>
      <c r="U1013" s="247">
        <f>IF(OR(ISBLANK(F$68),AND(W1013&gt;(F$68-1),W1013&lt;(I$68+1))),IF(ISERROR(VLOOKUP(I$67,G$1076:G$1078,1,FALSE)),0,IF(K$67=G$1086,IF(V1013=1,1,0),0)),0)</f>
        <v>0</v>
      </c>
      <c r="V1013" s="32">
        <f t="shared" si="244"/>
        <v>5</v>
      </c>
      <c r="W1013" s="97">
        <f t="shared" si="251"/>
        <v>45296</v>
      </c>
      <c r="X1013" s="249" t="str">
        <f t="shared" si="245"/>
        <v/>
      </c>
      <c r="Y1013" s="252">
        <f t="shared" si="252"/>
        <v>0</v>
      </c>
      <c r="Z1013" s="253">
        <f>IF(Y1013&gt;0,COUNTIF(Y$1009:Y1012,"&gt;0")+1,0)</f>
        <v>0</v>
      </c>
      <c r="AA1013" s="3"/>
      <c r="AB1013" s="255" t="str">
        <f t="shared" si="253"/>
        <v/>
      </c>
      <c r="AC1013" s="261" t="str">
        <f t="shared" si="246"/>
        <v/>
      </c>
      <c r="AD1013" s="258">
        <f>IF(Z1013&gt;0,COUNTIF(AC$1009:AC1012,AC1013)+1,0)</f>
        <v>0</v>
      </c>
      <c r="AE1013" s="258" t="str">
        <f t="shared" si="254"/>
        <v/>
      </c>
      <c r="AF1013" s="392" t="str">
        <f t="shared" si="247"/>
        <v/>
      </c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229" t="s">
        <v>161</v>
      </c>
      <c r="CL1013" s="3"/>
      <c r="CM1013" s="3"/>
      <c r="CN1013" s="1"/>
      <c r="CO1013" s="3"/>
    </row>
    <row r="1014" spans="1:93" ht="16.5" hidden="1" customHeight="1">
      <c r="A1014" s="1"/>
      <c r="B1014" s="109">
        <f t="shared" si="248"/>
        <v>5</v>
      </c>
      <c r="C1014" s="690">
        <f>HLOOKUP($C$1007,$H$1008:$Q1014,F1014+2,FALSE)</f>
        <v>0.4</v>
      </c>
      <c r="D1014" s="1"/>
      <c r="E1014" s="112" t="str">
        <f>RIPARTIZIONI!J11</f>
        <v>2° piano</v>
      </c>
      <c r="F1014" s="109">
        <f>RIPARTIZIONI!B11</f>
        <v>5</v>
      </c>
      <c r="G1014" s="690">
        <f>HLOOKUP($G$1008,$H$1008:$Q1014,F1014+2,FALSE)</f>
        <v>0.4</v>
      </c>
      <c r="H1014" s="113">
        <f>RIPARTIZIONI!F11/E$1023</f>
        <v>0.4</v>
      </c>
      <c r="I1014" s="113">
        <f>RIPARTIZIONI!G11/F$1023</f>
        <v>0.33333333333333331</v>
      </c>
      <c r="J1014" s="113">
        <f>RIPARTIZIONI!H11/G$1023</f>
        <v>0.47499999999999998</v>
      </c>
      <c r="K1014" s="111">
        <f>RIPARTIZIONI!I11/K$1023</f>
        <v>0.4</v>
      </c>
      <c r="L1014" s="59" t="str">
        <f>RIPARTIZIONI!L11</f>
        <v>ecc.</v>
      </c>
      <c r="M1014" s="110">
        <f>IF(L$1009=L$1008,RIPARTIZIONI!N11,RIPARTIZIONI!Q11)</f>
        <v>0</v>
      </c>
      <c r="N1014" s="111">
        <f>IF(L$1009=L$1008,RIPARTIZIONI!O11,RIPARTIZIONI!R11)</f>
        <v>0</v>
      </c>
      <c r="O1014" s="110">
        <f t="shared" si="255"/>
        <v>300</v>
      </c>
      <c r="P1014" s="113">
        <f t="shared" si="256"/>
        <v>0.3</v>
      </c>
      <c r="Q1014" s="113">
        <f>IF(RIPARTIZIONI!AT11&gt;0,0,IF(E1014=0,0,IF(VLOOKUP(E1014,L$1010:N$1021,3,FALSE)=0,0,VLOOKUP(E1014,L$1010:N$1021,3,FALSE)/VLOOKUP(E1014,L$1010:S$1021,8,FALSE)/Q$1023)))</f>
        <v>0.27500000000000002</v>
      </c>
      <c r="R1014" s="1"/>
      <c r="S1014" s="453">
        <f>IF(L$1009=L$1008,RIPARTIZIONI!M11,RIPARTIZIONI!P11)</f>
        <v>0</v>
      </c>
      <c r="T1014" s="1"/>
      <c r="U1014" s="247">
        <f>IF(OR(ISBLANK(F$68),AND(W1014&gt;(F$68-1),W1014&lt;(I$68+1))),IF(ISERROR(VLOOKUP(I$67,G$1076:G$1078,1,FALSE)),0,IF(K$67=G$1086,IF(V1014=1,1,0),0)),0)</f>
        <v>0</v>
      </c>
      <c r="V1014" s="32">
        <f t="shared" si="244"/>
        <v>6</v>
      </c>
      <c r="W1014" s="97">
        <f t="shared" si="251"/>
        <v>45297</v>
      </c>
      <c r="X1014" s="249" t="str">
        <f t="shared" si="245"/>
        <v/>
      </c>
      <c r="Y1014" s="252">
        <f t="shared" si="252"/>
        <v>0</v>
      </c>
      <c r="Z1014" s="253">
        <f>IF(Y1014&gt;0,COUNTIF(Y$1009:Y1013,"&gt;0")+1,0)</f>
        <v>0</v>
      </c>
      <c r="AA1014" s="3"/>
      <c r="AB1014" s="255" t="str">
        <f t="shared" si="253"/>
        <v/>
      </c>
      <c r="AC1014" s="261" t="str">
        <f t="shared" si="246"/>
        <v/>
      </c>
      <c r="AD1014" s="258">
        <f>IF(Z1014&gt;0,COUNTIF(AC$1009:AC1013,AC1014)+1,0)</f>
        <v>0</v>
      </c>
      <c r="AE1014" s="258" t="str">
        <f t="shared" si="254"/>
        <v/>
      </c>
      <c r="AF1014" s="392" t="str">
        <f t="shared" si="247"/>
        <v/>
      </c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K1014" s="6">
        <f>RIPARTIZIONI!O31</f>
        <v>0</v>
      </c>
      <c r="CL1014" s="3"/>
      <c r="CM1014" s="3"/>
      <c r="CN1014" s="1"/>
      <c r="CO1014" s="3"/>
    </row>
    <row r="1015" spans="1:93" ht="16.5" hidden="1" customHeight="1">
      <c r="A1015" s="1"/>
      <c r="B1015" s="109"/>
      <c r="C1015" s="690"/>
      <c r="D1015" s="1"/>
      <c r="E1015" s="112"/>
      <c r="F1015" s="109"/>
      <c r="G1015" s="690"/>
      <c r="H1015" s="113"/>
      <c r="I1015" s="113"/>
      <c r="J1015" s="113"/>
      <c r="K1015" s="111"/>
      <c r="L1015" s="59" t="str">
        <f>RIPARTIZIONI!L12</f>
        <v>Scala A</v>
      </c>
      <c r="M1015" s="110">
        <f>IF(L$1009=L$1008,RIPARTIZIONI!N12,RIPARTIZIONI!Q12)</f>
        <v>0</v>
      </c>
      <c r="N1015" s="111">
        <f>IF(L$1009=L$1008,RIPARTIZIONI!O12,RIPARTIZIONI!R12)</f>
        <v>0</v>
      </c>
      <c r="O1015" s="110"/>
      <c r="P1015" s="113"/>
      <c r="Q1015" s="113"/>
      <c r="R1015" s="1"/>
      <c r="S1015" s="453">
        <f>IF(L$1009=L$1008,RIPARTIZIONI!M12,RIPARTIZIONI!P12)</f>
        <v>0</v>
      </c>
      <c r="T1015" s="1"/>
      <c r="U1015" s="248">
        <f>IF(ISERROR(VLOOKUP(I$67,G$1076:G$1078,1,FALSE)),0,IF(K$67=G$1086,IF(V1015=1,1,0),IF(V1015=7,1,0)))</f>
        <v>0</v>
      </c>
      <c r="V1015" s="142">
        <f t="shared" si="244"/>
        <v>7</v>
      </c>
      <c r="W1015" s="250">
        <f t="shared" si="251"/>
        <v>45298</v>
      </c>
      <c r="X1015" s="251" t="str">
        <f>IF(U1015=1,IF(ISERROR(VLOOKUP(I67,G1076:G1078,1,FALSE)),"",IF(OR(K67=G1086,I67=G1076),"X","")),"")</f>
        <v/>
      </c>
      <c r="Y1015" s="252">
        <f t="shared" si="252"/>
        <v>0</v>
      </c>
      <c r="Z1015" s="253">
        <f>IF(Y1015&gt;0,COUNTIF(Y$1009:Y1014,"&gt;0")+1,0)</f>
        <v>0</v>
      </c>
      <c r="AA1015" s="3"/>
      <c r="AB1015" s="255" t="str">
        <f t="shared" si="253"/>
        <v/>
      </c>
      <c r="AC1015" s="261" t="str">
        <f t="shared" si="246"/>
        <v/>
      </c>
      <c r="AD1015" s="258">
        <f>IF(Z1015&gt;0,COUNTIF(AC$1009:AC1014,AC1015)+1,0)</f>
        <v>0</v>
      </c>
      <c r="AE1015" s="258" t="str">
        <f t="shared" si="254"/>
        <v/>
      </c>
      <c r="AF1015" s="392" t="str">
        <f t="shared" si="247"/>
        <v/>
      </c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3"/>
      <c r="CM1015" s="3"/>
      <c r="CN1015" s="1"/>
      <c r="CO1015" s="3"/>
    </row>
    <row r="1016" spans="1:93" ht="16.5" hidden="1" customHeight="1">
      <c r="A1016" s="1"/>
      <c r="B1016" s="109"/>
      <c r="C1016" s="690"/>
      <c r="D1016" s="1"/>
      <c r="E1016" s="112"/>
      <c r="F1016" s="109"/>
      <c r="G1016" s="690"/>
      <c r="H1016" s="113"/>
      <c r="I1016" s="113"/>
      <c r="J1016" s="113"/>
      <c r="K1016" s="111"/>
      <c r="L1016" s="59" t="str">
        <f>RIPARTIZIONI!L13</f>
        <v>Scala B</v>
      </c>
      <c r="M1016" s="110">
        <f>IF(L$1009=L$1008,RIPARTIZIONI!N13,RIPARTIZIONI!Q13)</f>
        <v>0</v>
      </c>
      <c r="N1016" s="111">
        <f>IF(L$1009=L$1008,RIPARTIZIONI!O13,RIPARTIZIONI!R13)</f>
        <v>0</v>
      </c>
      <c r="O1016" s="110"/>
      <c r="P1016" s="113"/>
      <c r="Q1016" s="113"/>
      <c r="R1016" s="1"/>
      <c r="S1016" s="453">
        <f>IF(L$1009=L$1008,RIPARTIZIONI!M13,RIPARTIZIONI!P13)</f>
        <v>0</v>
      </c>
      <c r="T1016" s="28">
        <v>1</v>
      </c>
      <c r="U1016" s="247">
        <f>IF(OR(ISBLANK(F$68),AND(W1016&gt;(F$68-1),W1016&lt;(I$68+1))),IF(ISERROR(VLOOKUP(I$67,G$1076:G$1078,1,FALSE)),IF(K$67=G$1086,IF(MONTH(W1016)&lt;&gt;MONTH(W1015),MAX(U$1009:U1015)+1,0),IF(ISERROR(VLOOKUP(I$67,G$1079:G$1084,1,FALSE)),IF(V1016=1,MAX(U$1009:U1015)+1,0),IF(MONTH(W1017)&lt;&gt;MONTH(W1016),T1016,0))),IF(K$67=G$1086,IF(V1016=1,MAX(U$1009:U1015)+1,0),IF(V1016=7,MAX(U$1015:U1015)+1,0))),0)</f>
        <v>2</v>
      </c>
      <c r="V1016" s="27">
        <f t="shared" si="244"/>
        <v>1</v>
      </c>
      <c r="W1016" s="97">
        <f t="shared" si="251"/>
        <v>45299</v>
      </c>
      <c r="X1016" s="249" t="str">
        <f>IF(K$67=G$1086,IF(OR(U1016=1,AND(U1016&gt;0,U1016=(MAX(Y$1009:Y1015)+VLOOKUP(I$67,G$1076:H$1084,2,FALSE)))),"X",""),IF(AND(U1016&gt;0,U1016=(MAX(Y$1009:Y1015)+VLOOKUP(I$67,G$1076:H$1084,2,FALSE))),"X",""))</f>
        <v/>
      </c>
      <c r="Y1016" s="252">
        <f t="shared" si="252"/>
        <v>0</v>
      </c>
      <c r="Z1016" s="253">
        <f>IF(Y1016&gt;0,COUNTIF(Y$1009:Y1015,"&gt;0")+1,0)</f>
        <v>0</v>
      </c>
      <c r="AA1016" s="3"/>
      <c r="AB1016" s="255" t="str">
        <f t="shared" si="253"/>
        <v/>
      </c>
      <c r="AC1016" s="261" t="str">
        <f t="shared" si="246"/>
        <v/>
      </c>
      <c r="AD1016" s="258">
        <f>IF(Z1016&gt;0,COUNTIF(AC$1009:AC1015,AC1016)+1,0)</f>
        <v>0</v>
      </c>
      <c r="AE1016" s="258" t="str">
        <f t="shared" si="254"/>
        <v/>
      </c>
      <c r="AF1016" s="392" t="str">
        <f t="shared" si="247"/>
        <v/>
      </c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3"/>
      <c r="CM1016" s="3"/>
      <c r="CN1016" s="1"/>
      <c r="CO1016" s="3"/>
    </row>
    <row r="1017" spans="1:93" ht="16.5" hidden="1" customHeight="1">
      <c r="A1017" s="1"/>
      <c r="B1017" s="109"/>
      <c r="C1017" s="690"/>
      <c r="D1017" s="1"/>
      <c r="E1017" s="112"/>
      <c r="F1017" s="109"/>
      <c r="G1017" s="690"/>
      <c r="H1017" s="113"/>
      <c r="I1017" s="113"/>
      <c r="J1017" s="113"/>
      <c r="K1017" s="111"/>
      <c r="L1017" s="59" t="str">
        <f>RIPARTIZIONI!L14</f>
        <v>ecc.</v>
      </c>
      <c r="M1017" s="110">
        <f>IF(L$1009=L$1008,RIPARTIZIONI!N14,RIPARTIZIONI!Q14)</f>
        <v>0</v>
      </c>
      <c r="N1017" s="111">
        <f>IF(L$1009=L$1008,RIPARTIZIONI!O14,RIPARTIZIONI!R14)</f>
        <v>0</v>
      </c>
      <c r="O1017" s="110"/>
      <c r="P1017" s="113"/>
      <c r="Q1017" s="113"/>
      <c r="R1017" s="1"/>
      <c r="S1017" s="453">
        <f>IF(L$1009=L$1008,RIPARTIZIONI!M14,RIPARTIZIONI!P14)</f>
        <v>0</v>
      </c>
      <c r="T1017" s="27">
        <f>IF(MONTH(W1017)=MONTH(W1016),T1016,T1016+1)</f>
        <v>1</v>
      </c>
      <c r="U1017" s="247">
        <f>IF(OR(ISBLANK(F$68),AND(W1017&gt;(F$68-1),W1017&lt;(I$68+1))),IF(ISERROR(VLOOKUP(I$67,G$1076:G$1078,1,FALSE)),IF(K$67=G$1086,IF(MONTH(W1017)&lt;&gt;MONTH(W1016),MAX(U$1009:U1016)+1,0),IF(ISERROR(VLOOKUP(I$67,G$1079:G$1084,1,FALSE)),IF(V1017=1,MAX(U$1009:U1016)+1,0),IF(MONTH(W1018)&lt;&gt;MONTH(W1017),T1017,0))),IF(K$67=G$1086,IF(V1017=1,MAX(U$1009:U1016)+1,0),IF(V1017=7,MAX(U$1015:U1016)+1,0))),0)</f>
        <v>0</v>
      </c>
      <c r="V1017" s="27">
        <f t="shared" si="244"/>
        <v>2</v>
      </c>
      <c r="W1017" s="97">
        <f t="shared" si="251"/>
        <v>45300</v>
      </c>
      <c r="X1017" s="249" t="str">
        <f>IF(K$67=G$1086,IF(OR(U1017=1,AND(U1017&gt;0,U1017=(MAX(Y$1009:Y1016)+VLOOKUP(I$67,G$1076:H$1084,2,FALSE)))),"X",""),IF(AND(U1017&gt;0,U1017=(MAX(Y$1009:Y1016)+VLOOKUP(I$67,G$1076:H$1084,2,FALSE))),"X",""))</f>
        <v/>
      </c>
      <c r="Y1017" s="252">
        <f t="shared" si="252"/>
        <v>0</v>
      </c>
      <c r="Z1017" s="253">
        <f>IF(Y1017&gt;0,COUNTIF(Y$1009:Y1016,"&gt;0")+1,0)</f>
        <v>0</v>
      </c>
      <c r="AA1017" s="3"/>
      <c r="AB1017" s="255" t="str">
        <f t="shared" si="253"/>
        <v/>
      </c>
      <c r="AC1017" s="261" t="str">
        <f t="shared" si="246"/>
        <v/>
      </c>
      <c r="AD1017" s="258">
        <f>IF(Z1017&gt;0,COUNTIF(AC$1009:AC1016,AC1017)+1,0)</f>
        <v>0</v>
      </c>
      <c r="AE1017" s="258" t="str">
        <f t="shared" si="254"/>
        <v/>
      </c>
      <c r="AF1017" s="392" t="str">
        <f t="shared" si="247"/>
        <v/>
      </c>
      <c r="AG1017" s="1"/>
      <c r="AH1017" s="835"/>
      <c r="AI1017" s="835"/>
      <c r="AJ1017" s="290"/>
      <c r="AK1017" s="290"/>
      <c r="AL1017" s="290"/>
      <c r="AM1017" s="290"/>
      <c r="AN1017" s="290"/>
      <c r="AO1017" s="290"/>
      <c r="AP1017" s="290"/>
      <c r="AQ1017" s="290"/>
      <c r="AR1017" s="290"/>
      <c r="AS1017" s="290"/>
      <c r="AT1017" s="290"/>
      <c r="AU1017" s="290"/>
      <c r="AV1017" s="290"/>
      <c r="AW1017" s="290"/>
      <c r="AX1017" s="290"/>
      <c r="AY1017" s="290"/>
      <c r="AZ1017" s="290"/>
      <c r="BA1017" s="290"/>
      <c r="BB1017" s="290"/>
      <c r="BC1017" s="290"/>
      <c r="BD1017" s="290"/>
      <c r="BE1017" s="290"/>
      <c r="BF1017" s="290"/>
      <c r="BG1017" s="290"/>
      <c r="BH1017" s="290"/>
      <c r="BI1017" s="290"/>
      <c r="BJ1017" s="290"/>
      <c r="BK1017" s="290"/>
      <c r="BL1017" s="290"/>
      <c r="BM1017" s="290"/>
      <c r="BN1017" s="290"/>
      <c r="BO1017" s="290"/>
      <c r="BP1017" s="290"/>
      <c r="BQ1017" s="290"/>
      <c r="BR1017" s="290"/>
      <c r="BS1017" s="290"/>
      <c r="BT1017" s="290"/>
      <c r="BU1017" s="290"/>
      <c r="BV1017" s="290"/>
      <c r="BW1017" s="290"/>
      <c r="BX1017" s="290"/>
      <c r="BY1017" s="290"/>
      <c r="BZ1017" s="290"/>
      <c r="CA1017" s="290"/>
      <c r="CB1017" s="290"/>
      <c r="CC1017" s="290"/>
      <c r="CD1017" s="290"/>
      <c r="CE1017" s="290"/>
      <c r="CF1017" s="290"/>
      <c r="CG1017" s="290"/>
      <c r="CH1017" s="290"/>
      <c r="CI1017" s="290"/>
      <c r="CJ1017" s="1"/>
      <c r="CK1017" s="1"/>
      <c r="CL1017" s="3"/>
      <c r="CM1017" s="3"/>
      <c r="CN1017" s="525">
        <f t="shared" ref="CN1017:CN1048" ca="1" si="257">IF(ISERROR(E89),0,IF(AND(E89&gt;=CN$1,E89&lt;=CN$2),L89,0))</f>
        <v>110</v>
      </c>
      <c r="CO1017" s="122" t="str">
        <f t="shared" ref="CO1017:CO1048" ca="1" si="258">IF(CN1017&lt;&gt;0,B$78,0)</f>
        <v>AMMINISTRATORE</v>
      </c>
    </row>
    <row r="1018" spans="1:93" ht="16.5" hidden="1" customHeight="1">
      <c r="A1018" s="1"/>
      <c r="B1018" s="109"/>
      <c r="C1018" s="690"/>
      <c r="D1018" s="1"/>
      <c r="E1018" s="112"/>
      <c r="F1018" s="109"/>
      <c r="G1018" s="690"/>
      <c r="H1018" s="113"/>
      <c r="I1018" s="113"/>
      <c r="J1018" s="113"/>
      <c r="K1018" s="111"/>
      <c r="L1018" s="59" t="str">
        <f>RIPARTIZIONI!L15</f>
        <v>Palazzo A</v>
      </c>
      <c r="M1018" s="110">
        <f>IF(L$1009=L$1008,RIPARTIZIONI!N15,RIPARTIZIONI!Q15)</f>
        <v>0</v>
      </c>
      <c r="N1018" s="111">
        <f>IF(L$1009=L$1008,RIPARTIZIONI!O15,RIPARTIZIONI!R15)</f>
        <v>0</v>
      </c>
      <c r="O1018" s="110"/>
      <c r="P1018" s="113"/>
      <c r="Q1018" s="113"/>
      <c r="R1018" s="1"/>
      <c r="S1018" s="453">
        <f>IF(L$1009=L$1008,RIPARTIZIONI!M15,RIPARTIZIONI!P15)</f>
        <v>0</v>
      </c>
      <c r="T1018" s="27">
        <f t="shared" ref="T1018:T1081" si="259">IF(MONTH(W1018)=MONTH(W1017),T1017,T1017+1)</f>
        <v>1</v>
      </c>
      <c r="U1018" s="247">
        <f>IF(OR(ISBLANK(F$68),AND(W1018&gt;(F$68-1),W1018&lt;(I$68+1))),IF(ISERROR(VLOOKUP(I$67,G$1076:G$1078,1,FALSE)),IF(K$67=G$1086,IF(MONTH(W1018)&lt;&gt;MONTH(W1017),MAX(U$1009:U1017)+1,0),IF(ISERROR(VLOOKUP(I$67,G$1079:G$1084,1,FALSE)),IF(V1018=1,MAX(U$1009:U1017)+1,0),IF(MONTH(W1019)&lt;&gt;MONTH(W1018),T1018,0))),IF(K$67=G$1086,IF(V1018=1,MAX(U$1009:U1017)+1,0),IF(V1018=7,MAX(U$1015:U1017)+1,0))),0)</f>
        <v>0</v>
      </c>
      <c r="V1018" s="27">
        <f t="shared" si="244"/>
        <v>3</v>
      </c>
      <c r="W1018" s="97">
        <f t="shared" si="251"/>
        <v>45301</v>
      </c>
      <c r="X1018" s="249" t="str">
        <f>IF(K$67=G$1086,IF(OR(U1018=1,AND(U1018&gt;0,U1018=(MAX(Y$1009:Y1017)+VLOOKUP(I$67,G$1076:H$1084,2,FALSE)))),"X",""),IF(AND(U1018&gt;0,U1018=(MAX(Y$1009:Y1017)+VLOOKUP(I$67,G$1076:H$1084,2,FALSE))),"X",""))</f>
        <v/>
      </c>
      <c r="Y1018" s="252">
        <f t="shared" si="252"/>
        <v>0</v>
      </c>
      <c r="Z1018" s="253">
        <f>IF(Y1018&gt;0,COUNTIF(Y$1009:Y1017,"&gt;0")+1,0)</f>
        <v>0</v>
      </c>
      <c r="AA1018" s="3"/>
      <c r="AB1018" s="255" t="str">
        <f t="shared" si="253"/>
        <v/>
      </c>
      <c r="AC1018" s="261" t="str">
        <f t="shared" si="246"/>
        <v/>
      </c>
      <c r="AD1018" s="258">
        <f>IF(Z1018&gt;0,COUNTIF(AC$1009:AC1017,AC1018)+1,0)</f>
        <v>0</v>
      </c>
      <c r="AE1018" s="258" t="str">
        <f t="shared" si="254"/>
        <v/>
      </c>
      <c r="AF1018" s="392" t="str">
        <f t="shared" si="247"/>
        <v/>
      </c>
      <c r="AG1018" s="1"/>
      <c r="AH1018" s="835"/>
      <c r="AI1018" s="835"/>
      <c r="AJ1018" s="291"/>
      <c r="AK1018" s="291"/>
      <c r="AL1018" s="291"/>
      <c r="AM1018" s="291"/>
      <c r="AN1018" s="291"/>
      <c r="AO1018" s="291"/>
      <c r="AP1018" s="291"/>
      <c r="AQ1018" s="291"/>
      <c r="AR1018" s="291"/>
      <c r="AS1018" s="291"/>
      <c r="AT1018" s="291"/>
      <c r="AU1018" s="291"/>
      <c r="AV1018" s="291"/>
      <c r="AW1018" s="291"/>
      <c r="AX1018" s="291"/>
      <c r="AY1018" s="291"/>
      <c r="AZ1018" s="291"/>
      <c r="BA1018" s="291"/>
      <c r="BB1018" s="291"/>
      <c r="BC1018" s="291"/>
      <c r="BD1018" s="291"/>
      <c r="BE1018" s="291"/>
      <c r="BF1018" s="291"/>
      <c r="BG1018" s="291"/>
      <c r="BH1018" s="291"/>
      <c r="BI1018" s="291"/>
      <c r="BJ1018" s="291"/>
      <c r="BK1018" s="291"/>
      <c r="BL1018" s="291"/>
      <c r="BM1018" s="291"/>
      <c r="BN1018" s="291"/>
      <c r="BO1018" s="291"/>
      <c r="BP1018" s="291"/>
      <c r="BQ1018" s="291"/>
      <c r="BR1018" s="291"/>
      <c r="BS1018" s="291"/>
      <c r="BT1018" s="291"/>
      <c r="BU1018" s="291"/>
      <c r="BV1018" s="291"/>
      <c r="BW1018" s="291"/>
      <c r="BX1018" s="291"/>
      <c r="BY1018" s="291"/>
      <c r="BZ1018" s="291"/>
      <c r="CA1018" s="291"/>
      <c r="CB1018" s="291"/>
      <c r="CC1018" s="291"/>
      <c r="CD1018" s="291"/>
      <c r="CE1018" s="291"/>
      <c r="CF1018" s="291"/>
      <c r="CG1018" s="291"/>
      <c r="CH1018" s="291"/>
      <c r="CI1018" s="291"/>
      <c r="CJ1018" s="1"/>
      <c r="CK1018" s="1"/>
      <c r="CL1018" s="3"/>
      <c r="CM1018" s="3"/>
      <c r="CN1018" s="526">
        <f t="shared" ca="1" si="257"/>
        <v>95</v>
      </c>
      <c r="CO1018" s="122" t="str">
        <f t="shared" ca="1" si="258"/>
        <v>AMMINISTRATORE</v>
      </c>
    </row>
    <row r="1019" spans="1:93" ht="16.5" hidden="1" customHeight="1">
      <c r="A1019" s="1"/>
      <c r="B1019" s="109"/>
      <c r="C1019" s="690"/>
      <c r="D1019" s="1"/>
      <c r="E1019" s="112"/>
      <c r="F1019" s="109"/>
      <c r="G1019" s="690"/>
      <c r="H1019" s="113"/>
      <c r="I1019" s="113"/>
      <c r="J1019" s="113"/>
      <c r="K1019" s="111"/>
      <c r="L1019" s="59" t="str">
        <f>RIPARTIZIONI!L16</f>
        <v>Palazzo B</v>
      </c>
      <c r="M1019" s="110">
        <f>IF(L$1009=L$1008,RIPARTIZIONI!N16,RIPARTIZIONI!Q16)</f>
        <v>0</v>
      </c>
      <c r="N1019" s="111">
        <f>IF(L$1009=L$1008,RIPARTIZIONI!O16,RIPARTIZIONI!R16)</f>
        <v>0</v>
      </c>
      <c r="O1019" s="110"/>
      <c r="P1019" s="113"/>
      <c r="Q1019" s="113"/>
      <c r="R1019" s="1"/>
      <c r="S1019" s="453">
        <f>IF(L$1009=L$1008,RIPARTIZIONI!M16,RIPARTIZIONI!P16)</f>
        <v>0</v>
      </c>
      <c r="T1019" s="27">
        <f t="shared" si="259"/>
        <v>1</v>
      </c>
      <c r="U1019" s="247">
        <f>IF(OR(ISBLANK(F$68),AND(W1019&gt;(F$68-1),W1019&lt;(I$68+1))),IF(ISERROR(VLOOKUP(I$67,G$1076:G$1078,1,FALSE)),IF(K$67=G$1086,IF(MONTH(W1019)&lt;&gt;MONTH(W1018),MAX(U$1009:U1018)+1,0),IF(ISERROR(VLOOKUP(I$67,G$1079:G$1084,1,FALSE)),IF(V1019=1,MAX(U$1009:U1018)+1,0),IF(MONTH(W1020)&lt;&gt;MONTH(W1019),T1019,0))),IF(K$67=G$1086,IF(V1019=1,MAX(U$1009:U1018)+1,0),IF(V1019=7,MAX(U$1015:U1018)+1,0))),0)</f>
        <v>0</v>
      </c>
      <c r="V1019" s="27">
        <f t="shared" si="244"/>
        <v>4</v>
      </c>
      <c r="W1019" s="97">
        <f t="shared" si="251"/>
        <v>45302</v>
      </c>
      <c r="X1019" s="249" t="str">
        <f>IF(K$67=G$1086,IF(OR(U1019=1,AND(U1019&gt;0,U1019=(MAX(Y$1009:Y1018)+VLOOKUP(I$67,G$1076:H$1084,2,FALSE)))),"X",""),IF(AND(U1019&gt;0,U1019=(MAX(Y$1009:Y1018)+VLOOKUP(I$67,G$1076:H$1084,2,FALSE))),"X",""))</f>
        <v/>
      </c>
      <c r="Y1019" s="252">
        <f t="shared" si="252"/>
        <v>0</v>
      </c>
      <c r="Z1019" s="253">
        <f>IF(Y1019&gt;0,COUNTIF(Y$1009:Y1018,"&gt;0")+1,0)</f>
        <v>0</v>
      </c>
      <c r="AA1019" s="3"/>
      <c r="AB1019" s="255" t="str">
        <f t="shared" si="253"/>
        <v/>
      </c>
      <c r="AC1019" s="261" t="str">
        <f t="shared" si="246"/>
        <v/>
      </c>
      <c r="AD1019" s="258">
        <f>IF(Z1019&gt;0,COUNTIF(AC$1009:AC1018,AC1019)+1,0)</f>
        <v>0</v>
      </c>
      <c r="AE1019" s="258" t="str">
        <f t="shared" si="254"/>
        <v/>
      </c>
      <c r="AF1019" s="392" t="str">
        <f t="shared" si="247"/>
        <v/>
      </c>
      <c r="AG1019" s="1"/>
      <c r="AH1019" s="835"/>
      <c r="AI1019" s="835"/>
      <c r="AJ1019" s="332"/>
      <c r="AK1019" s="332"/>
      <c r="AL1019" s="332"/>
      <c r="AM1019" s="332"/>
      <c r="AN1019" s="332"/>
      <c r="AO1019" s="332"/>
      <c r="AP1019" s="332"/>
      <c r="AQ1019" s="332"/>
      <c r="AR1019" s="332"/>
      <c r="AS1019" s="332"/>
      <c r="AT1019" s="332"/>
      <c r="AU1019" s="332"/>
      <c r="AV1019" s="332"/>
      <c r="AW1019" s="332"/>
      <c r="AX1019" s="332"/>
      <c r="AY1019" s="332"/>
      <c r="AZ1019" s="332"/>
      <c r="BA1019" s="332"/>
      <c r="BB1019" s="332"/>
      <c r="BC1019" s="332"/>
      <c r="BD1019" s="332"/>
      <c r="BE1019" s="332"/>
      <c r="BF1019" s="332"/>
      <c r="BG1019" s="332"/>
      <c r="BH1019" s="332"/>
      <c r="BI1019" s="332"/>
      <c r="BJ1019" s="332"/>
      <c r="BK1019" s="332"/>
      <c r="BL1019" s="332"/>
      <c r="BM1019" s="332"/>
      <c r="BN1019" s="332"/>
      <c r="BO1019" s="332"/>
      <c r="BP1019" s="332"/>
      <c r="BQ1019" s="332"/>
      <c r="BR1019" s="332"/>
      <c r="BS1019" s="332"/>
      <c r="BT1019" s="332"/>
      <c r="BU1019" s="332"/>
      <c r="BV1019" s="332"/>
      <c r="BW1019" s="332"/>
      <c r="BX1019" s="332"/>
      <c r="BY1019" s="332"/>
      <c r="BZ1019" s="332"/>
      <c r="CA1019" s="332"/>
      <c r="CB1019" s="332"/>
      <c r="CC1019" s="332"/>
      <c r="CD1019" s="332"/>
      <c r="CE1019" s="332"/>
      <c r="CF1019" s="332"/>
      <c r="CG1019" s="332"/>
      <c r="CH1019" s="332"/>
      <c r="CI1019" s="332"/>
      <c r="CJ1019" s="1"/>
      <c r="CK1019" s="1"/>
      <c r="CL1019" s="3"/>
      <c r="CM1019" s="3"/>
      <c r="CN1019" s="526">
        <f t="shared" ca="1" si="257"/>
        <v>100</v>
      </c>
      <c r="CO1019" s="122" t="str">
        <f t="shared" ca="1" si="258"/>
        <v>AMMINISTRATORE</v>
      </c>
    </row>
    <row r="1020" spans="1:93" ht="16.5" hidden="1" customHeight="1">
      <c r="A1020" s="1"/>
      <c r="B1020" s="109"/>
      <c r="C1020" s="690"/>
      <c r="D1020" s="1"/>
      <c r="E1020" s="112"/>
      <c r="F1020" s="109"/>
      <c r="G1020" s="690"/>
      <c r="H1020" s="113"/>
      <c r="I1020" s="113"/>
      <c r="J1020" s="113"/>
      <c r="K1020" s="111"/>
      <c r="L1020" s="59" t="str">
        <f>RIPARTIZIONI!L17</f>
        <v>ecc.</v>
      </c>
      <c r="M1020" s="110">
        <f>IF(L$1009=L$1008,RIPARTIZIONI!N17,RIPARTIZIONI!Q17)</f>
        <v>0</v>
      </c>
      <c r="N1020" s="111">
        <f>IF(L$1009=L$1008,RIPARTIZIONI!O17,RIPARTIZIONI!R17)</f>
        <v>0</v>
      </c>
      <c r="O1020" s="110"/>
      <c r="P1020" s="113"/>
      <c r="Q1020" s="113"/>
      <c r="R1020" s="1"/>
      <c r="S1020" s="453">
        <f>IF(L$1009=L$1008,RIPARTIZIONI!M17,RIPARTIZIONI!P17)</f>
        <v>0</v>
      </c>
      <c r="T1020" s="27">
        <f t="shared" si="259"/>
        <v>1</v>
      </c>
      <c r="U1020" s="247">
        <f>IF(OR(ISBLANK(F$68),AND(W1020&gt;(F$68-1),W1020&lt;(I$68+1))),IF(ISERROR(VLOOKUP(I$67,G$1076:G$1078,1,FALSE)),IF(K$67=G$1086,IF(MONTH(W1020)&lt;&gt;MONTH(W1019),MAX(U$1009:U1019)+1,0),IF(ISERROR(VLOOKUP(I$67,G$1079:G$1084,1,FALSE)),IF(V1020=1,MAX(U$1009:U1019)+1,0),IF(MONTH(W1021)&lt;&gt;MONTH(W1020),T1020,0))),IF(K$67=G$1086,IF(V1020=1,MAX(U$1009:U1019)+1,0),IF(V1020=7,MAX(U$1015:U1019)+1,0))),0)</f>
        <v>0</v>
      </c>
      <c r="V1020" s="27">
        <f t="shared" si="244"/>
        <v>5</v>
      </c>
      <c r="W1020" s="97">
        <f t="shared" si="251"/>
        <v>45303</v>
      </c>
      <c r="X1020" s="249" t="str">
        <f>IF(K$67=G$1086,IF(OR(U1020=1,AND(U1020&gt;0,U1020=(MAX(Y$1009:Y1019)+VLOOKUP(I$67,G$1076:H$1084,2,FALSE)))),"X",""),IF(AND(U1020&gt;0,U1020=(MAX(Y$1009:Y1019)+VLOOKUP(I$67,G$1076:H$1084,2,FALSE))),"X",""))</f>
        <v/>
      </c>
      <c r="Y1020" s="252">
        <f t="shared" si="252"/>
        <v>0</v>
      </c>
      <c r="Z1020" s="253">
        <f>IF(Y1020&gt;0,COUNTIF(Y$1009:Y1019,"&gt;0")+1,0)</f>
        <v>0</v>
      </c>
      <c r="AA1020" s="3"/>
      <c r="AB1020" s="255" t="str">
        <f t="shared" si="253"/>
        <v/>
      </c>
      <c r="AC1020" s="261" t="str">
        <f t="shared" si="246"/>
        <v/>
      </c>
      <c r="AD1020" s="258">
        <f>IF(Z1020&gt;0,COUNTIF(AC$1009:AC1019,AC1020)+1,0)</f>
        <v>0</v>
      </c>
      <c r="AE1020" s="258" t="str">
        <f t="shared" si="254"/>
        <v/>
      </c>
      <c r="AF1020" s="392" t="str">
        <f t="shared" si="247"/>
        <v/>
      </c>
      <c r="AG1020" s="1"/>
      <c r="AH1020" s="835"/>
      <c r="AI1020" s="835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3"/>
      <c r="CM1020" s="3"/>
      <c r="CN1020" s="526">
        <f t="shared" ca="1" si="257"/>
        <v>100</v>
      </c>
      <c r="CO1020" s="122" t="str">
        <f t="shared" ca="1" si="258"/>
        <v>AMMINISTRATORE</v>
      </c>
    </row>
    <row r="1021" spans="1:93" ht="16.5" hidden="1" customHeight="1">
      <c r="A1021" s="1"/>
      <c r="B1021" s="109"/>
      <c r="C1021" s="690"/>
      <c r="D1021" s="1"/>
      <c r="E1021" s="112"/>
      <c r="F1021" s="109"/>
      <c r="G1021" s="690"/>
      <c r="H1021" s="113"/>
      <c r="I1021" s="113"/>
      <c r="J1021" s="113"/>
      <c r="K1021" s="111"/>
      <c r="L1021" s="59" t="str">
        <f>RIPARTIZIONI!L18</f>
        <v>NON DEF.</v>
      </c>
      <c r="M1021" s="110">
        <f>IF(L$1009=L$1008,RIPARTIZIONI!N18,RIPARTIZIONI!Q18)</f>
        <v>0</v>
      </c>
      <c r="N1021" s="111">
        <f>IF(L$1009=L$1008,RIPARTIZIONI!O18,RIPARTIZIONI!R18)</f>
        <v>0</v>
      </c>
      <c r="O1021" s="110"/>
      <c r="P1021" s="113"/>
      <c r="Q1021" s="113"/>
      <c r="R1021" s="1"/>
      <c r="S1021" s="453">
        <f>IF(L$1009=L$1008,RIPARTIZIONI!M18,RIPARTIZIONI!P18)</f>
        <v>0</v>
      </c>
      <c r="T1021" s="27">
        <f t="shared" si="259"/>
        <v>1</v>
      </c>
      <c r="U1021" s="247">
        <f>IF(OR(ISBLANK(F$68),AND(W1021&gt;(F$68-1),W1021&lt;(I$68+1))),IF(ISERROR(VLOOKUP(I$67,G$1076:G$1078,1,FALSE)),IF(K$67=G$1086,IF(MONTH(W1021)&lt;&gt;MONTH(W1020),MAX(U$1009:U1020)+1,0),IF(ISERROR(VLOOKUP(I$67,G$1079:G$1084,1,FALSE)),IF(V1021=1,MAX(U$1009:U1020)+1,0),IF(MONTH(W1022)&lt;&gt;MONTH(W1021),T1021,0))),IF(K$67=G$1086,IF(V1021=1,MAX(U$1009:U1020)+1,0),IF(V1021=7,MAX(U$1015:U1020)+1,0))),0)</f>
        <v>0</v>
      </c>
      <c r="V1021" s="27">
        <f t="shared" si="244"/>
        <v>6</v>
      </c>
      <c r="W1021" s="97">
        <f t="shared" si="251"/>
        <v>45304</v>
      </c>
      <c r="X1021" s="249" t="str">
        <f>IF(K$67=G$1086,IF(OR(U1021=1,AND(U1021&gt;0,U1021=(MAX(Y$1009:Y1020)+VLOOKUP(I$67,G$1076:H$1084,2,FALSE)))),"X",""),IF(AND(U1021&gt;0,U1021=(MAX(Y$1009:Y1020)+VLOOKUP(I$67,G$1076:H$1084,2,FALSE))),"X",""))</f>
        <v/>
      </c>
      <c r="Y1021" s="252">
        <f t="shared" si="252"/>
        <v>0</v>
      </c>
      <c r="Z1021" s="253">
        <f>IF(Y1021&gt;0,COUNTIF(Y$1009:Y1020,"&gt;0")+1,0)</f>
        <v>0</v>
      </c>
      <c r="AA1021" s="3"/>
      <c r="AB1021" s="255" t="str">
        <f t="shared" si="253"/>
        <v/>
      </c>
      <c r="AC1021" s="261" t="str">
        <f t="shared" si="246"/>
        <v/>
      </c>
      <c r="AD1021" s="258">
        <f>IF(Z1021&gt;0,COUNTIF(AC$1009:AC1020,AC1021)+1,0)</f>
        <v>0</v>
      </c>
      <c r="AE1021" s="258" t="str">
        <f t="shared" si="254"/>
        <v/>
      </c>
      <c r="AF1021" s="392" t="str">
        <f t="shared" si="247"/>
        <v/>
      </c>
      <c r="AG1021" s="1"/>
      <c r="AH1021" s="835"/>
      <c r="AI1021" s="835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3"/>
      <c r="CM1021" s="3"/>
      <c r="CN1021" s="526">
        <f t="shared" ca="1" si="257"/>
        <v>100</v>
      </c>
      <c r="CO1021" s="122" t="str">
        <f t="shared" ca="1" si="258"/>
        <v>AMMINISTRATORE</v>
      </c>
    </row>
    <row r="1022" spans="1:93" ht="16.5" hidden="1" customHeight="1">
      <c r="A1022" s="1"/>
      <c r="B1022" s="109"/>
      <c r="C1022" s="690"/>
      <c r="D1022" s="1"/>
      <c r="E1022" s="112"/>
      <c r="F1022" s="109"/>
      <c r="G1022" s="690"/>
      <c r="H1022" s="113"/>
      <c r="I1022" s="113"/>
      <c r="J1022" s="113"/>
      <c r="K1022" s="111"/>
      <c r="L1022" s="59"/>
      <c r="M1022" s="110"/>
      <c r="N1022" s="111"/>
      <c r="O1022" s="110"/>
      <c r="P1022" s="113"/>
      <c r="Q1022" s="113"/>
      <c r="R1022" s="1"/>
      <c r="S1022" s="1"/>
      <c r="T1022" s="27">
        <f t="shared" si="259"/>
        <v>1</v>
      </c>
      <c r="U1022" s="247">
        <f>IF(OR(ISBLANK(F$68),AND(W1022&gt;(F$68-1),W1022&lt;(I$68+1))),IF(ISERROR(VLOOKUP(I$67,G$1076:G$1078,1,FALSE)),IF(K$67=G$1086,IF(MONTH(W1022)&lt;&gt;MONTH(W1021),MAX(U$1009:U1021)+1,0),IF(ISERROR(VLOOKUP(I$67,G$1079:G$1084,1,FALSE)),IF(V1022=1,MAX(U$1009:U1021)+1,0),IF(MONTH(W1023)&lt;&gt;MONTH(W1022),T1022,0))),IF(K$67=G$1086,IF(V1022=1,MAX(U$1009:U1021)+1,0),IF(V1022=7,MAX(U$1015:U1021)+1,0))),0)</f>
        <v>0</v>
      </c>
      <c r="V1022" s="27">
        <f t="shared" si="244"/>
        <v>7</v>
      </c>
      <c r="W1022" s="97">
        <f t="shared" si="251"/>
        <v>45305</v>
      </c>
      <c r="X1022" s="249" t="str">
        <f>IF(K$67=G$1086,IF(OR(U1022=1,AND(U1022&gt;0,U1022=(MAX(Y$1009:Y1021)+VLOOKUP(I$67,G$1076:H$1084,2,FALSE)))),"X",""),IF(AND(U1022&gt;0,U1022=(MAX(Y$1009:Y1021)+VLOOKUP(I$67,G$1076:H$1084,2,FALSE))),"X",""))</f>
        <v/>
      </c>
      <c r="Y1022" s="252">
        <f t="shared" si="252"/>
        <v>0</v>
      </c>
      <c r="Z1022" s="253">
        <f>IF(Y1022&gt;0,COUNTIF(Y$1009:Y1021,"&gt;0")+1,0)</f>
        <v>0</v>
      </c>
      <c r="AA1022" s="3"/>
      <c r="AB1022" s="255" t="str">
        <f t="shared" si="253"/>
        <v/>
      </c>
      <c r="AC1022" s="261" t="str">
        <f t="shared" si="246"/>
        <v/>
      </c>
      <c r="AD1022" s="258">
        <f>IF(Z1022&gt;0,COUNTIF(AC$1009:AC1021,AC1022)+1,0)</f>
        <v>0</v>
      </c>
      <c r="AE1022" s="258" t="str">
        <f t="shared" si="254"/>
        <v/>
      </c>
      <c r="AF1022" s="392" t="str">
        <f t="shared" si="247"/>
        <v/>
      </c>
      <c r="AG1022" s="1"/>
      <c r="AH1022" s="835"/>
      <c r="AI1022" s="835"/>
      <c r="AJ1022" s="292"/>
      <c r="AK1022" s="292"/>
      <c r="AL1022" s="292"/>
      <c r="AM1022" s="292"/>
      <c r="AN1022" s="292"/>
      <c r="AO1022" s="292"/>
      <c r="AP1022" s="292"/>
      <c r="AQ1022" s="292"/>
      <c r="AR1022" s="292"/>
      <c r="AS1022" s="292"/>
      <c r="AT1022" s="292"/>
      <c r="AU1022" s="292"/>
      <c r="AV1022" s="292"/>
      <c r="AW1022" s="292"/>
      <c r="AX1022" s="292"/>
      <c r="AY1022" s="292"/>
      <c r="AZ1022" s="292"/>
      <c r="BA1022" s="292"/>
      <c r="BB1022" s="292"/>
      <c r="BC1022" s="292"/>
      <c r="BD1022" s="292"/>
      <c r="BE1022" s="292"/>
      <c r="BF1022" s="292"/>
      <c r="BG1022" s="292"/>
      <c r="BH1022" s="292"/>
      <c r="BI1022" s="292"/>
      <c r="BJ1022" s="292"/>
      <c r="BK1022" s="292"/>
      <c r="BL1022" s="292"/>
      <c r="BM1022" s="292"/>
      <c r="BN1022" s="292"/>
      <c r="BO1022" s="292"/>
      <c r="BP1022" s="292"/>
      <c r="BQ1022" s="292"/>
      <c r="BR1022" s="292"/>
      <c r="BS1022" s="292"/>
      <c r="BT1022" s="292"/>
      <c r="BU1022" s="292"/>
      <c r="BV1022" s="292"/>
      <c r="BW1022" s="292"/>
      <c r="BX1022" s="292"/>
      <c r="BY1022" s="292"/>
      <c r="BZ1022" s="292"/>
      <c r="CA1022" s="292"/>
      <c r="CB1022" s="292"/>
      <c r="CC1022" s="292"/>
      <c r="CD1022" s="292"/>
      <c r="CE1022" s="292"/>
      <c r="CF1022" s="292"/>
      <c r="CG1022" s="292"/>
      <c r="CH1022" s="292"/>
      <c r="CI1022" s="292"/>
      <c r="CJ1022" s="1"/>
      <c r="CK1022" s="1"/>
      <c r="CL1022" s="3"/>
      <c r="CM1022" s="3"/>
      <c r="CN1022" s="526">
        <f t="shared" ca="1" si="257"/>
        <v>100</v>
      </c>
      <c r="CO1022" s="122" t="str">
        <f t="shared" ca="1" si="258"/>
        <v>AMMINISTRATORE</v>
      </c>
    </row>
    <row r="1023" spans="1:93" ht="16.5" hidden="1" customHeight="1">
      <c r="A1023" s="1"/>
      <c r="B1023" s="1"/>
      <c r="C1023" s="1"/>
      <c r="D1023" s="1"/>
      <c r="E1023" s="675">
        <f>RIPARTIZIONI!F12</f>
        <v>1000</v>
      </c>
      <c r="F1023" s="676">
        <f>RIPARTIZIONI!G12</f>
        <v>1500</v>
      </c>
      <c r="G1023" s="677">
        <f>RIPARTIZIONI!H12</f>
        <v>1</v>
      </c>
      <c r="H1023" s="679">
        <f>SUM(H1010:H1014)</f>
        <v>1</v>
      </c>
      <c r="I1023" s="679">
        <f>SUM(I1010:I1014)</f>
        <v>1</v>
      </c>
      <c r="J1023" s="679">
        <f>SUM(J1010:J1014)</f>
        <v>1</v>
      </c>
      <c r="K1023" s="680">
        <f>RIPARTIZIONI!I12</f>
        <v>100</v>
      </c>
      <c r="L1023" s="1"/>
      <c r="M1023" s="1"/>
      <c r="N1023" s="1"/>
      <c r="O1023" s="444">
        <f>SUM(O1010:O1014)</f>
        <v>1000</v>
      </c>
      <c r="P1023" s="447">
        <f>SUM(P1010:P1014)</f>
        <v>1</v>
      </c>
      <c r="Q1023" s="448">
        <f>IF(L$1009=L$1008,IF(RIPARTIZIONI!O19=0,1,RIPARTIZIONI!O19),IF(RIPARTIZIONI!R19=0,1,RIPARTIZIONI!R19))</f>
        <v>100</v>
      </c>
      <c r="R1023" s="1"/>
      <c r="S1023" s="1"/>
      <c r="T1023" s="27">
        <f t="shared" si="259"/>
        <v>1</v>
      </c>
      <c r="U1023" s="247">
        <f>IF(OR(ISBLANK(F$68),AND(W1023&gt;(F$68-1),W1023&lt;(I$68+1))),IF(ISERROR(VLOOKUP(I$67,G$1076:G$1078,1,FALSE)),IF(K$67=G$1086,IF(MONTH(W1023)&lt;&gt;MONTH(W1022),MAX(U$1009:U1022)+1,0),IF(ISERROR(VLOOKUP(I$67,G$1079:G$1084,1,FALSE)),IF(V1023=1,MAX(U$1009:U1022)+1,0),IF(MONTH(W1024)&lt;&gt;MONTH(W1023),T1023,0))),IF(K$67=G$1086,IF(V1023=1,MAX(U$1009:U1022)+1,0),IF(V1023=7,MAX(U$1015:U1022)+1,0))),0)</f>
        <v>3</v>
      </c>
      <c r="V1023" s="27">
        <f t="shared" si="244"/>
        <v>1</v>
      </c>
      <c r="W1023" s="97">
        <f t="shared" si="251"/>
        <v>45306</v>
      </c>
      <c r="X1023" s="249" t="str">
        <f>IF(K$67=G$1086,IF(OR(U1023=1,AND(U1023&gt;0,U1023=(MAX(Y$1009:Y1022)+VLOOKUP(I$67,G$1076:H$1084,2,FALSE)))),"X",""),IF(AND(U1023&gt;0,U1023=(MAX(Y$1009:Y1022)+VLOOKUP(I$67,G$1076:H$1084,2,FALSE))),"X",""))</f>
        <v>X</v>
      </c>
      <c r="Y1023" s="252">
        <f t="shared" si="252"/>
        <v>3</v>
      </c>
      <c r="Z1023" s="253">
        <f>IF(Y1023&gt;0,COUNTIF(Y$1009:Y1022,"&gt;0")+1,0)</f>
        <v>2</v>
      </c>
      <c r="AA1023" s="3"/>
      <c r="AB1023" s="255">
        <f t="shared" si="253"/>
        <v>45306</v>
      </c>
      <c r="AC1023" s="261">
        <f t="shared" si="246"/>
        <v>1</v>
      </c>
      <c r="AD1023" s="258">
        <f>IF(Z1023&gt;0,COUNTIF(AC$1009:AC1022,AC1023)+1,0)</f>
        <v>2</v>
      </c>
      <c r="AE1023" s="258" t="str">
        <f t="shared" si="254"/>
        <v>1-2</v>
      </c>
      <c r="AF1023" s="392">
        <f t="shared" si="247"/>
        <v>45306</v>
      </c>
      <c r="AG1023" s="1"/>
      <c r="AH1023" s="835"/>
      <c r="AI1023" s="835"/>
      <c r="AJ1023" s="293"/>
      <c r="AK1023" s="293"/>
      <c r="AL1023" s="293"/>
      <c r="AM1023" s="293"/>
      <c r="AN1023" s="293"/>
      <c r="AO1023" s="293"/>
      <c r="AP1023" s="293"/>
      <c r="AQ1023" s="293"/>
      <c r="AR1023" s="293"/>
      <c r="AS1023" s="293"/>
      <c r="AT1023" s="293"/>
      <c r="AU1023" s="293"/>
      <c r="AV1023" s="293"/>
      <c r="AW1023" s="293"/>
      <c r="AX1023" s="293"/>
      <c r="AY1023" s="293"/>
      <c r="AZ1023" s="293"/>
      <c r="BA1023" s="293"/>
      <c r="BB1023" s="293"/>
      <c r="BC1023" s="293"/>
      <c r="BD1023" s="293"/>
      <c r="BE1023" s="293"/>
      <c r="BF1023" s="293"/>
      <c r="BG1023" s="293"/>
      <c r="BH1023" s="293"/>
      <c r="BI1023" s="293"/>
      <c r="BJ1023" s="293"/>
      <c r="BK1023" s="293"/>
      <c r="BL1023" s="293"/>
      <c r="BM1023" s="293"/>
      <c r="BN1023" s="293"/>
      <c r="BO1023" s="293"/>
      <c r="BP1023" s="293"/>
      <c r="BQ1023" s="293"/>
      <c r="BR1023" s="293"/>
      <c r="BS1023" s="293"/>
      <c r="BT1023" s="293"/>
      <c r="BU1023" s="293"/>
      <c r="BV1023" s="293"/>
      <c r="BW1023" s="293"/>
      <c r="BX1023" s="293"/>
      <c r="BY1023" s="293"/>
      <c r="BZ1023" s="293"/>
      <c r="CA1023" s="293"/>
      <c r="CB1023" s="293"/>
      <c r="CC1023" s="293"/>
      <c r="CD1023" s="293"/>
      <c r="CE1023" s="293"/>
      <c r="CF1023" s="293"/>
      <c r="CG1023" s="293"/>
      <c r="CH1023" s="293"/>
      <c r="CI1023" s="293"/>
      <c r="CJ1023" s="1"/>
      <c r="CK1023" s="1"/>
      <c r="CL1023" s="3"/>
      <c r="CM1023" s="3"/>
      <c r="CN1023" s="526">
        <f t="shared" ca="1" si="257"/>
        <v>100</v>
      </c>
      <c r="CO1023" s="122" t="str">
        <f t="shared" ca="1" si="258"/>
        <v>AMMINISTRATORE</v>
      </c>
    </row>
    <row r="1024" spans="1:93" ht="16.5" hidden="1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27">
        <f t="shared" si="259"/>
        <v>1</v>
      </c>
      <c r="U1024" s="247">
        <f>IF(OR(ISBLANK(F$68),AND(W1024&gt;(F$68-1),W1024&lt;(I$68+1))),IF(ISERROR(VLOOKUP(I$67,G$1076:G$1078,1,FALSE)),IF(K$67=G$1086,IF(MONTH(W1024)&lt;&gt;MONTH(W1023),MAX(U$1009:U1023)+1,0),IF(ISERROR(VLOOKUP(I$67,G$1079:G$1084,1,FALSE)),IF(V1024=1,MAX(U$1009:U1023)+1,0),IF(MONTH(W1025)&lt;&gt;MONTH(W1024),T1024,0))),IF(K$67=G$1086,IF(V1024=1,MAX(U$1009:U1023)+1,0),IF(V1024=7,MAX(U$1015:U1023)+1,0))),0)</f>
        <v>0</v>
      </c>
      <c r="V1024" s="27">
        <f t="shared" si="244"/>
        <v>2</v>
      </c>
      <c r="W1024" s="97">
        <f t="shared" si="251"/>
        <v>45307</v>
      </c>
      <c r="X1024" s="249" t="str">
        <f>IF(K$67=G$1086,IF(OR(U1024=1,AND(U1024&gt;0,U1024=(MAX(Y$1009:Y1023)+VLOOKUP(I$67,G$1076:H$1084,2,FALSE)))),"X",""),IF(AND(U1024&gt;0,U1024=(MAX(Y$1009:Y1023)+VLOOKUP(I$67,G$1076:H$1084,2,FALSE))),"X",""))</f>
        <v/>
      </c>
      <c r="Y1024" s="252">
        <f t="shared" si="252"/>
        <v>0</v>
      </c>
      <c r="Z1024" s="253">
        <f>IF(Y1024&gt;0,COUNTIF(Y$1009:Y1023,"&gt;0")+1,0)</f>
        <v>0</v>
      </c>
      <c r="AA1024" s="3"/>
      <c r="AB1024" s="255" t="str">
        <f t="shared" si="253"/>
        <v/>
      </c>
      <c r="AC1024" s="261" t="str">
        <f t="shared" si="246"/>
        <v/>
      </c>
      <c r="AD1024" s="258">
        <f>IF(Z1024&gt;0,COUNTIF(AC$1009:AC1023,AC1024)+1,0)</f>
        <v>0</v>
      </c>
      <c r="AE1024" s="258" t="str">
        <f t="shared" si="254"/>
        <v/>
      </c>
      <c r="AF1024" s="392" t="str">
        <f t="shared" si="247"/>
        <v/>
      </c>
      <c r="AG1024" s="1"/>
      <c r="AH1024" s="835"/>
      <c r="AI1024" s="835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3"/>
      <c r="CM1024" s="3"/>
      <c r="CN1024" s="526">
        <f t="shared" ca="1" si="257"/>
        <v>100</v>
      </c>
      <c r="CO1024" s="122" t="str">
        <f t="shared" ca="1" si="258"/>
        <v>AMMINISTRATORE</v>
      </c>
    </row>
    <row r="1025" spans="20:93" ht="16.5" hidden="1" customHeight="1">
      <c r="T1025" s="27">
        <f t="shared" si="259"/>
        <v>1</v>
      </c>
      <c r="U1025" s="247">
        <f>IF(OR(ISBLANK(F$68),AND(W1025&gt;(F$68-1),W1025&lt;(I$68+1))),IF(ISERROR(VLOOKUP(I$67,G$1076:G$1078,1,FALSE)),IF(K$67=G$1086,IF(MONTH(W1025)&lt;&gt;MONTH(W1024),MAX(U$1009:U1024)+1,0),IF(ISERROR(VLOOKUP(I$67,G$1079:G$1084,1,FALSE)),IF(V1025=1,MAX(U$1009:U1024)+1,0),IF(MONTH(W1026)&lt;&gt;MONTH(W1025),T1025,0))),IF(K$67=G$1086,IF(V1025=1,MAX(U$1009:U1024)+1,0),IF(V1025=7,MAX(U$1015:U1024)+1,0))),0)</f>
        <v>0</v>
      </c>
      <c r="V1025" s="27">
        <f t="shared" si="244"/>
        <v>3</v>
      </c>
      <c r="W1025" s="97">
        <f t="shared" si="251"/>
        <v>45308</v>
      </c>
      <c r="X1025" s="249" t="str">
        <f>IF(K$67=G$1086,IF(OR(U1025=1,AND(U1025&gt;0,U1025=(MAX(Y$1009:Y1024)+VLOOKUP(I$67,G$1076:H$1084,2,FALSE)))),"X",""),IF(AND(U1025&gt;0,U1025=(MAX(Y$1009:Y1024)+VLOOKUP(I$67,G$1076:H$1084,2,FALSE))),"X",""))</f>
        <v/>
      </c>
      <c r="Y1025" s="252">
        <f t="shared" si="252"/>
        <v>0</v>
      </c>
      <c r="Z1025" s="253">
        <f>IF(Y1025&gt;0,COUNTIF(Y$1009:Y1024,"&gt;0")+1,0)</f>
        <v>0</v>
      </c>
      <c r="AA1025" s="3"/>
      <c r="AB1025" s="255" t="str">
        <f t="shared" si="253"/>
        <v/>
      </c>
      <c r="AC1025" s="261" t="str">
        <f t="shared" si="246"/>
        <v/>
      </c>
      <c r="AD1025" s="258">
        <f>IF(Z1025&gt;0,COUNTIF(AC$1009:AC1024,AC1025)+1,0)</f>
        <v>0</v>
      </c>
      <c r="AE1025" s="258" t="str">
        <f t="shared" si="254"/>
        <v/>
      </c>
      <c r="AF1025" s="392" t="str">
        <f t="shared" si="247"/>
        <v/>
      </c>
      <c r="AG1025" s="1"/>
      <c r="AH1025" s="835"/>
      <c r="AI1025" s="835"/>
      <c r="AJ1025" s="399"/>
      <c r="AK1025" s="399"/>
      <c r="AL1025" s="399"/>
      <c r="AM1025" s="399"/>
      <c r="AN1025" s="399"/>
      <c r="AO1025" s="399"/>
      <c r="AP1025" s="399"/>
      <c r="AQ1025" s="399"/>
      <c r="AR1025" s="399"/>
      <c r="AS1025" s="399"/>
      <c r="AT1025" s="399"/>
      <c r="AU1025" s="399"/>
      <c r="AV1025" s="399"/>
      <c r="AW1025" s="399"/>
      <c r="AX1025" s="399"/>
      <c r="AY1025" s="399"/>
      <c r="AZ1025" s="399"/>
      <c r="BA1025" s="399"/>
      <c r="BB1025" s="399"/>
      <c r="BC1025" s="399"/>
      <c r="BD1025" s="399"/>
      <c r="BE1025" s="399"/>
      <c r="BF1025" s="399"/>
      <c r="BG1025" s="399"/>
      <c r="BH1025" s="399"/>
      <c r="BI1025" s="399"/>
      <c r="BJ1025" s="399"/>
      <c r="BK1025" s="399"/>
      <c r="BL1025" s="399"/>
      <c r="BM1025" s="399"/>
      <c r="BN1025" s="399"/>
      <c r="BO1025" s="399"/>
      <c r="BP1025" s="399"/>
      <c r="BQ1025" s="399"/>
      <c r="BR1025" s="399"/>
      <c r="BS1025" s="399"/>
      <c r="BT1025" s="399"/>
      <c r="BU1025" s="399"/>
      <c r="BV1025" s="399"/>
      <c r="BW1025" s="399"/>
      <c r="BX1025" s="399"/>
      <c r="BY1025" s="399"/>
      <c r="BZ1025" s="399"/>
      <c r="CA1025" s="399"/>
      <c r="CB1025" s="399"/>
      <c r="CC1025" s="399"/>
      <c r="CD1025" s="399"/>
      <c r="CE1025" s="399"/>
      <c r="CF1025" s="399"/>
      <c r="CG1025" s="399"/>
      <c r="CH1025" s="399"/>
      <c r="CI1025" s="399"/>
      <c r="CJ1025" s="1"/>
      <c r="CK1025" s="1"/>
      <c r="CL1025" s="3"/>
      <c r="CM1025" s="3"/>
      <c r="CN1025" s="526">
        <f t="shared" ca="1" si="257"/>
        <v>100</v>
      </c>
      <c r="CO1025" s="122" t="str">
        <f t="shared" ca="1" si="258"/>
        <v>AMMINISTRATORE</v>
      </c>
    </row>
    <row r="1026" spans="20:93" ht="16.5" hidden="1" customHeight="1">
      <c r="T1026" s="27">
        <f t="shared" si="259"/>
        <v>1</v>
      </c>
      <c r="U1026" s="247">
        <f>IF(OR(ISBLANK(F$68),AND(W1026&gt;(F$68-1),W1026&lt;(I$68+1))),IF(ISERROR(VLOOKUP(I$67,G$1076:G$1078,1,FALSE)),IF(K$67=G$1086,IF(MONTH(W1026)&lt;&gt;MONTH(W1025),MAX(U$1009:U1025)+1,0),IF(ISERROR(VLOOKUP(I$67,G$1079:G$1084,1,FALSE)),IF(V1026=1,MAX(U$1009:U1025)+1,0),IF(MONTH(W1027)&lt;&gt;MONTH(W1026),T1026,0))),IF(K$67=G$1086,IF(V1026=1,MAX(U$1009:U1025)+1,0),IF(V1026=7,MAX(U$1015:U1025)+1,0))),0)</f>
        <v>0</v>
      </c>
      <c r="V1026" s="27">
        <f t="shared" si="244"/>
        <v>4</v>
      </c>
      <c r="W1026" s="97">
        <f t="shared" si="251"/>
        <v>45309</v>
      </c>
      <c r="X1026" s="249" t="str">
        <f>IF(K$67=G$1086,IF(OR(U1026=1,AND(U1026&gt;0,U1026=(MAX(Y$1009:Y1025)+VLOOKUP(I$67,G$1076:H$1084,2,FALSE)))),"X",""),IF(AND(U1026&gt;0,U1026=(MAX(Y$1009:Y1025)+VLOOKUP(I$67,G$1076:H$1084,2,FALSE))),"X",""))</f>
        <v/>
      </c>
      <c r="Y1026" s="252">
        <f t="shared" si="252"/>
        <v>0</v>
      </c>
      <c r="Z1026" s="253">
        <f>IF(Y1026&gt;0,COUNTIF(Y$1009:Y1025,"&gt;0")+1,0)</f>
        <v>0</v>
      </c>
      <c r="AA1026" s="3"/>
      <c r="AB1026" s="255" t="str">
        <f t="shared" si="253"/>
        <v/>
      </c>
      <c r="AC1026" s="261" t="str">
        <f t="shared" si="246"/>
        <v/>
      </c>
      <c r="AD1026" s="258">
        <f>IF(Z1026&gt;0,COUNTIF(AC$1009:AC1025,AC1026)+1,0)</f>
        <v>0</v>
      </c>
      <c r="AE1026" s="258" t="str">
        <f t="shared" si="254"/>
        <v/>
      </c>
      <c r="AF1026" s="392" t="str">
        <f t="shared" si="247"/>
        <v/>
      </c>
      <c r="AG1026" s="1"/>
      <c r="AH1026" s="415"/>
      <c r="AI1026" s="399"/>
      <c r="AJ1026" s="399"/>
      <c r="AK1026" s="399"/>
      <c r="AL1026" s="399"/>
      <c r="AM1026" s="399"/>
      <c r="AN1026" s="399"/>
      <c r="AO1026" s="399"/>
      <c r="AP1026" s="399"/>
      <c r="AQ1026" s="399"/>
      <c r="AR1026" s="399"/>
      <c r="AS1026" s="399"/>
      <c r="AT1026" s="399"/>
      <c r="AU1026" s="399"/>
      <c r="AV1026" s="399"/>
      <c r="AW1026" s="399"/>
      <c r="AX1026" s="399"/>
      <c r="AY1026" s="399"/>
      <c r="AZ1026" s="399"/>
      <c r="BA1026" s="399"/>
      <c r="BB1026" s="399"/>
      <c r="BC1026" s="399"/>
      <c r="BD1026" s="399"/>
      <c r="BE1026" s="399"/>
      <c r="BF1026" s="399"/>
      <c r="BG1026" s="399"/>
      <c r="BH1026" s="399"/>
      <c r="BI1026" s="399"/>
      <c r="BJ1026" s="399"/>
      <c r="BK1026" s="399"/>
      <c r="BL1026" s="399"/>
      <c r="BM1026" s="399"/>
      <c r="BN1026" s="399"/>
      <c r="BO1026" s="399"/>
      <c r="BP1026" s="399"/>
      <c r="BQ1026" s="399"/>
      <c r="BR1026" s="399"/>
      <c r="BS1026" s="399"/>
      <c r="BT1026" s="399"/>
      <c r="BU1026" s="399"/>
      <c r="BV1026" s="399"/>
      <c r="BW1026" s="399"/>
      <c r="BX1026" s="399"/>
      <c r="BY1026" s="399"/>
      <c r="BZ1026" s="399"/>
      <c r="CA1026" s="399"/>
      <c r="CB1026" s="399"/>
      <c r="CC1026" s="399"/>
      <c r="CD1026" s="399"/>
      <c r="CE1026" s="399"/>
      <c r="CF1026" s="399"/>
      <c r="CG1026" s="399"/>
      <c r="CH1026" s="399"/>
      <c r="CI1026" s="399"/>
      <c r="CJ1026" s="1"/>
      <c r="CK1026" s="1"/>
      <c r="CL1026" s="3"/>
      <c r="CM1026" s="3"/>
      <c r="CN1026" s="526">
        <f t="shared" ca="1" si="257"/>
        <v>100</v>
      </c>
      <c r="CO1026" s="122" t="str">
        <f t="shared" ca="1" si="258"/>
        <v>AMMINISTRATORE</v>
      </c>
    </row>
    <row r="1027" spans="20:93" ht="16.5" hidden="1" customHeight="1">
      <c r="T1027" s="27">
        <f t="shared" si="259"/>
        <v>1</v>
      </c>
      <c r="U1027" s="247">
        <f>IF(OR(ISBLANK(F$68),AND(W1027&gt;(F$68-1),W1027&lt;(I$68+1))),IF(ISERROR(VLOOKUP(I$67,G$1076:G$1078,1,FALSE)),IF(K$67=G$1086,IF(MONTH(W1027)&lt;&gt;MONTH(W1026),MAX(U$1009:U1026)+1,0),IF(ISERROR(VLOOKUP(I$67,G$1079:G$1084,1,FALSE)),IF(V1027=1,MAX(U$1009:U1026)+1,0),IF(MONTH(W1028)&lt;&gt;MONTH(W1027),T1027,0))),IF(K$67=G$1086,IF(V1027=1,MAX(U$1009:U1026)+1,0),IF(V1027=7,MAX(U$1015:U1026)+1,0))),0)</f>
        <v>0</v>
      </c>
      <c r="V1027" s="27">
        <f t="shared" si="244"/>
        <v>5</v>
      </c>
      <c r="W1027" s="97">
        <f t="shared" si="251"/>
        <v>45310</v>
      </c>
      <c r="X1027" s="249" t="str">
        <f>IF(K$67=G$1086,IF(OR(U1027=1,AND(U1027&gt;0,U1027=(MAX(Y$1009:Y1026)+VLOOKUP(I$67,G$1076:H$1084,2,FALSE)))),"X",""),IF(AND(U1027&gt;0,U1027=(MAX(Y$1009:Y1026)+VLOOKUP(I$67,G$1076:H$1084,2,FALSE))),"X",""))</f>
        <v/>
      </c>
      <c r="Y1027" s="252">
        <f t="shared" si="252"/>
        <v>0</v>
      </c>
      <c r="Z1027" s="253">
        <f>IF(Y1027&gt;0,COUNTIF(Y$1009:Y1026,"&gt;0")+1,0)</f>
        <v>0</v>
      </c>
      <c r="AA1027" s="1"/>
      <c r="AB1027" s="255" t="str">
        <f t="shared" si="253"/>
        <v/>
      </c>
      <c r="AC1027" s="261" t="str">
        <f t="shared" si="246"/>
        <v/>
      </c>
      <c r="AD1027" s="258">
        <f>IF(Z1027&gt;0,COUNTIF(AC$1009:AC1026,AC1027)+1,0)</f>
        <v>0</v>
      </c>
      <c r="AE1027" s="258" t="str">
        <f t="shared" si="254"/>
        <v/>
      </c>
      <c r="AF1027" s="392" t="str">
        <f t="shared" si="247"/>
        <v/>
      </c>
      <c r="AG1027" s="1"/>
      <c r="AH1027" s="415"/>
      <c r="AI1027" s="399"/>
      <c r="AJ1027" s="399"/>
      <c r="AK1027" s="399"/>
      <c r="AL1027" s="399"/>
      <c r="AM1027" s="399"/>
      <c r="AN1027" s="399"/>
      <c r="AO1027" s="399"/>
      <c r="AP1027" s="399"/>
      <c r="AQ1027" s="399"/>
      <c r="AR1027" s="399"/>
      <c r="AS1027" s="399"/>
      <c r="AT1027" s="399"/>
      <c r="AU1027" s="399"/>
      <c r="AV1027" s="399"/>
      <c r="AW1027" s="399"/>
      <c r="AX1027" s="399"/>
      <c r="AY1027" s="399"/>
      <c r="AZ1027" s="399"/>
      <c r="BA1027" s="399"/>
      <c r="BB1027" s="399"/>
      <c r="BC1027" s="399"/>
      <c r="BD1027" s="399"/>
      <c r="BE1027" s="399"/>
      <c r="BF1027" s="399"/>
      <c r="BG1027" s="399"/>
      <c r="BH1027" s="399"/>
      <c r="BI1027" s="399"/>
      <c r="BJ1027" s="399"/>
      <c r="BK1027" s="399"/>
      <c r="BL1027" s="399"/>
      <c r="BM1027" s="399"/>
      <c r="BN1027" s="399"/>
      <c r="BO1027" s="399"/>
      <c r="BP1027" s="399"/>
      <c r="BQ1027" s="399"/>
      <c r="BR1027" s="399"/>
      <c r="BS1027" s="399"/>
      <c r="BT1027" s="399"/>
      <c r="BU1027" s="399"/>
      <c r="BV1027" s="399"/>
      <c r="BW1027" s="399"/>
      <c r="BX1027" s="399"/>
      <c r="BY1027" s="399"/>
      <c r="BZ1027" s="399"/>
      <c r="CA1027" s="399"/>
      <c r="CB1027" s="399"/>
      <c r="CC1027" s="399"/>
      <c r="CD1027" s="399"/>
      <c r="CE1027" s="399"/>
      <c r="CF1027" s="399"/>
      <c r="CG1027" s="399"/>
      <c r="CH1027" s="399"/>
      <c r="CI1027" s="399"/>
      <c r="CJ1027" s="1"/>
      <c r="CK1027" s="1"/>
      <c r="CL1027" s="1"/>
      <c r="CM1027" s="1"/>
      <c r="CN1027" s="526">
        <f t="shared" ca="1" si="257"/>
        <v>0</v>
      </c>
      <c r="CO1027" s="122">
        <f t="shared" ca="1" si="258"/>
        <v>0</v>
      </c>
    </row>
    <row r="1028" spans="20:93" ht="16.5" hidden="1" customHeight="1">
      <c r="T1028" s="27">
        <f t="shared" si="259"/>
        <v>1</v>
      </c>
      <c r="U1028" s="247">
        <f>IF(OR(ISBLANK(F$68),AND(W1028&gt;(F$68-1),W1028&lt;(I$68+1))),IF(ISERROR(VLOOKUP(I$67,G$1076:G$1078,1,FALSE)),IF(K$67=G$1086,IF(MONTH(W1028)&lt;&gt;MONTH(W1027),MAX(U$1009:U1027)+1,0),IF(ISERROR(VLOOKUP(I$67,G$1079:G$1084,1,FALSE)),IF(V1028=1,MAX(U$1009:U1027)+1,0),IF(MONTH(W1029)&lt;&gt;MONTH(W1028),T1028,0))),IF(K$67=G$1086,IF(V1028=1,MAX(U$1009:U1027)+1,0),IF(V1028=7,MAX(U$1015:U1027)+1,0))),0)</f>
        <v>0</v>
      </c>
      <c r="V1028" s="27">
        <f t="shared" si="244"/>
        <v>6</v>
      </c>
      <c r="W1028" s="97">
        <f t="shared" si="251"/>
        <v>45311</v>
      </c>
      <c r="X1028" s="249" t="str">
        <f>IF(K$67=G$1086,IF(OR(U1028=1,AND(U1028&gt;0,U1028=(MAX(Y$1009:Y1027)+VLOOKUP(I$67,G$1076:H$1084,2,FALSE)))),"X",""),IF(AND(U1028&gt;0,U1028=(MAX(Y$1009:Y1027)+VLOOKUP(I$67,G$1076:H$1084,2,FALSE))),"X",""))</f>
        <v/>
      </c>
      <c r="Y1028" s="252">
        <f t="shared" si="252"/>
        <v>0</v>
      </c>
      <c r="Z1028" s="253">
        <f>IF(Y1028&gt;0,COUNTIF(Y$1009:Y1027,"&gt;0")+1,0)</f>
        <v>0</v>
      </c>
      <c r="AA1028" s="1"/>
      <c r="AB1028" s="255" t="str">
        <f t="shared" si="253"/>
        <v/>
      </c>
      <c r="AC1028" s="261" t="str">
        <f t="shared" si="246"/>
        <v/>
      </c>
      <c r="AD1028" s="258">
        <f>IF(Z1028&gt;0,COUNTIF(AC$1009:AC1027,AC1028)+1,0)</f>
        <v>0</v>
      </c>
      <c r="AE1028" s="258" t="str">
        <f t="shared" si="254"/>
        <v/>
      </c>
      <c r="AF1028" s="392" t="str">
        <f t="shared" si="247"/>
        <v/>
      </c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526">
        <f t="shared" ca="1" si="257"/>
        <v>0</v>
      </c>
      <c r="CO1028" s="122">
        <f t="shared" ca="1" si="258"/>
        <v>0</v>
      </c>
    </row>
    <row r="1029" spans="20:93" ht="16.5" hidden="1" customHeight="1">
      <c r="T1029" s="27">
        <f t="shared" si="259"/>
        <v>1</v>
      </c>
      <c r="U1029" s="247">
        <f>IF(OR(ISBLANK(F$68),AND(W1029&gt;(F$68-1),W1029&lt;(I$68+1))),IF(ISERROR(VLOOKUP(I$67,G$1076:G$1078,1,FALSE)),IF(K$67=G$1086,IF(MONTH(W1029)&lt;&gt;MONTH(W1028),MAX(U$1009:U1028)+1,0),IF(ISERROR(VLOOKUP(I$67,G$1079:G$1084,1,FALSE)),IF(V1029=1,MAX(U$1009:U1028)+1,0),IF(MONTH(W1030)&lt;&gt;MONTH(W1029),T1029,0))),IF(K$67=G$1086,IF(V1029=1,MAX(U$1009:U1028)+1,0),IF(V1029=7,MAX(U$1015:U1028)+1,0))),0)</f>
        <v>0</v>
      </c>
      <c r="V1029" s="27">
        <f t="shared" si="244"/>
        <v>7</v>
      </c>
      <c r="W1029" s="97">
        <f t="shared" si="251"/>
        <v>45312</v>
      </c>
      <c r="X1029" s="249" t="str">
        <f>IF(K$67=G$1086,IF(OR(U1029=1,AND(U1029&gt;0,U1029=(MAX(Y$1009:Y1028)+VLOOKUP(I$67,G$1076:H$1084,2,FALSE)))),"X",""),IF(AND(U1029&gt;0,U1029=(MAX(Y$1009:Y1028)+VLOOKUP(I$67,G$1076:H$1084,2,FALSE))),"X",""))</f>
        <v/>
      </c>
      <c r="Y1029" s="252">
        <f t="shared" si="252"/>
        <v>0</v>
      </c>
      <c r="Z1029" s="253">
        <f>IF(Y1029&gt;0,COUNTIF(Y$1009:Y1028,"&gt;0")+1,0)</f>
        <v>0</v>
      </c>
      <c r="AA1029" s="1"/>
      <c r="AB1029" s="255" t="str">
        <f t="shared" si="253"/>
        <v/>
      </c>
      <c r="AC1029" s="261" t="str">
        <f t="shared" si="246"/>
        <v/>
      </c>
      <c r="AD1029" s="258">
        <f>IF(Z1029&gt;0,COUNTIF(AC$1009:AC1028,AC1029)+1,0)</f>
        <v>0</v>
      </c>
      <c r="AE1029" s="258" t="str">
        <f t="shared" si="254"/>
        <v/>
      </c>
      <c r="AF1029" s="392" t="str">
        <f t="shared" si="247"/>
        <v/>
      </c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526">
        <f t="shared" ca="1" si="257"/>
        <v>0</v>
      </c>
      <c r="CO1029" s="122">
        <f t="shared" ca="1" si="258"/>
        <v>0</v>
      </c>
    </row>
    <row r="1030" spans="20:93" ht="16.5" hidden="1" customHeight="1">
      <c r="T1030" s="27">
        <f t="shared" si="259"/>
        <v>1</v>
      </c>
      <c r="U1030" s="247">
        <f>IF(OR(ISBLANK(F$68),AND(W1030&gt;(F$68-1),W1030&lt;(I$68+1))),IF(ISERROR(VLOOKUP(I$67,G$1076:G$1078,1,FALSE)),IF(K$67=G$1086,IF(MONTH(W1030)&lt;&gt;MONTH(W1029),MAX(U$1009:U1029)+1,0),IF(ISERROR(VLOOKUP(I$67,G$1079:G$1084,1,FALSE)),IF(V1030=1,MAX(U$1009:U1029)+1,0),IF(MONTH(W1031)&lt;&gt;MONTH(W1030),T1030,0))),IF(K$67=G$1086,IF(V1030=1,MAX(U$1009:U1029)+1,0),IF(V1030=7,MAX(U$1015:U1029)+1,0))),0)</f>
        <v>4</v>
      </c>
      <c r="V1030" s="27">
        <f t="shared" si="244"/>
        <v>1</v>
      </c>
      <c r="W1030" s="97">
        <f t="shared" si="251"/>
        <v>45313</v>
      </c>
      <c r="X1030" s="249" t="str">
        <f>IF(K$67=G$1086,IF(OR(U1030=1,AND(U1030&gt;0,U1030=(MAX(Y$1009:Y1029)+VLOOKUP(I$67,G$1076:H$1084,2,FALSE)))),"X",""),IF(AND(U1030&gt;0,U1030=(MAX(Y$1009:Y1029)+VLOOKUP(I$67,G$1076:H$1084,2,FALSE))),"X",""))</f>
        <v/>
      </c>
      <c r="Y1030" s="252">
        <f t="shared" si="252"/>
        <v>0</v>
      </c>
      <c r="Z1030" s="253">
        <f>IF(Y1030&gt;0,COUNTIF(Y$1009:Y1029,"&gt;0")+1,0)</f>
        <v>0</v>
      </c>
      <c r="AA1030" s="1"/>
      <c r="AB1030" s="255" t="str">
        <f t="shared" si="253"/>
        <v/>
      </c>
      <c r="AC1030" s="261" t="str">
        <f t="shared" si="246"/>
        <v/>
      </c>
      <c r="AD1030" s="258">
        <f>IF(Z1030&gt;0,COUNTIF(AC$1009:AC1029,AC1030)+1,0)</f>
        <v>0</v>
      </c>
      <c r="AE1030" s="258" t="str">
        <f t="shared" si="254"/>
        <v/>
      </c>
      <c r="AF1030" s="392" t="str">
        <f t="shared" si="247"/>
        <v/>
      </c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526">
        <f t="shared" ca="1" si="257"/>
        <v>0</v>
      </c>
      <c r="CO1030" s="122">
        <f t="shared" ca="1" si="258"/>
        <v>0</v>
      </c>
    </row>
    <row r="1031" spans="20:93" ht="16.5" hidden="1" customHeight="1">
      <c r="T1031" s="27">
        <f t="shared" si="259"/>
        <v>1</v>
      </c>
      <c r="U1031" s="247">
        <f>IF(OR(ISBLANK(F$68),AND(W1031&gt;(F$68-1),W1031&lt;(I$68+1))),IF(ISERROR(VLOOKUP(I$67,G$1076:G$1078,1,FALSE)),IF(K$67=G$1086,IF(MONTH(W1031)&lt;&gt;MONTH(W1030),MAX(U$1009:U1030)+1,0),IF(ISERROR(VLOOKUP(I$67,G$1079:G$1084,1,FALSE)),IF(V1031=1,MAX(U$1009:U1030)+1,0),IF(MONTH(W1032)&lt;&gt;MONTH(W1031),T1031,0))),IF(K$67=G$1086,IF(V1031=1,MAX(U$1009:U1030)+1,0),IF(V1031=7,MAX(U$1015:U1030)+1,0))),0)</f>
        <v>0</v>
      </c>
      <c r="V1031" s="27">
        <f t="shared" si="244"/>
        <v>2</v>
      </c>
      <c r="W1031" s="97">
        <f t="shared" si="251"/>
        <v>45314</v>
      </c>
      <c r="X1031" s="249" t="str">
        <f>IF(K$67=G$1086,IF(OR(U1031=1,AND(U1031&gt;0,U1031=(MAX(Y$1009:Y1030)+VLOOKUP(I$67,G$1076:H$1084,2,FALSE)))),"X",""),IF(AND(U1031&gt;0,U1031=(MAX(Y$1009:Y1030)+VLOOKUP(I$67,G$1076:H$1084,2,FALSE))),"X",""))</f>
        <v/>
      </c>
      <c r="Y1031" s="252">
        <f t="shared" si="252"/>
        <v>0</v>
      </c>
      <c r="Z1031" s="253">
        <f>IF(Y1031&gt;0,COUNTIF(Y$1009:Y1030,"&gt;0")+1,0)</f>
        <v>0</v>
      </c>
      <c r="AA1031" s="1"/>
      <c r="AB1031" s="255" t="str">
        <f t="shared" si="253"/>
        <v/>
      </c>
      <c r="AC1031" s="261" t="str">
        <f t="shared" si="246"/>
        <v/>
      </c>
      <c r="AD1031" s="258">
        <f>IF(Z1031&gt;0,COUNTIF(AC$1009:AC1030,AC1031)+1,0)</f>
        <v>0</v>
      </c>
      <c r="AE1031" s="258" t="str">
        <f t="shared" si="254"/>
        <v/>
      </c>
      <c r="AF1031" s="392" t="str">
        <f t="shared" si="247"/>
        <v/>
      </c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526">
        <f t="shared" ca="1" si="257"/>
        <v>0</v>
      </c>
      <c r="CO1031" s="122">
        <f t="shared" ca="1" si="258"/>
        <v>0</v>
      </c>
    </row>
    <row r="1032" spans="20:93" ht="16.5" hidden="1" customHeight="1">
      <c r="T1032" s="27">
        <f t="shared" si="259"/>
        <v>1</v>
      </c>
      <c r="U1032" s="247">
        <f>IF(OR(ISBLANK(F$68),AND(W1032&gt;(F$68-1),W1032&lt;(I$68+1))),IF(ISERROR(VLOOKUP(I$67,G$1076:G$1078,1,FALSE)),IF(K$67=G$1086,IF(MONTH(W1032)&lt;&gt;MONTH(W1031),MAX(U$1009:U1031)+1,0),IF(ISERROR(VLOOKUP(I$67,G$1079:G$1084,1,FALSE)),IF(V1032=1,MAX(U$1009:U1031)+1,0),IF(MONTH(W1033)&lt;&gt;MONTH(W1032),T1032,0))),IF(K$67=G$1086,IF(V1032=1,MAX(U$1009:U1031)+1,0),IF(V1032=7,MAX(U$1015:U1031)+1,0))),0)</f>
        <v>0</v>
      </c>
      <c r="V1032" s="27">
        <f t="shared" si="244"/>
        <v>3</v>
      </c>
      <c r="W1032" s="97">
        <f t="shared" si="251"/>
        <v>45315</v>
      </c>
      <c r="X1032" s="249" t="str">
        <f>IF(K$67=G$1086,IF(OR(U1032=1,AND(U1032&gt;0,U1032=(MAX(Y$1009:Y1031)+VLOOKUP(I$67,G$1076:H$1084,2,FALSE)))),"X",""),IF(AND(U1032&gt;0,U1032=(MAX(Y$1009:Y1031)+VLOOKUP(I$67,G$1076:H$1084,2,FALSE))),"X",""))</f>
        <v/>
      </c>
      <c r="Y1032" s="252">
        <f t="shared" si="252"/>
        <v>0</v>
      </c>
      <c r="Z1032" s="253">
        <f>IF(Y1032&gt;0,COUNTIF(Y$1009:Y1031,"&gt;0")+1,0)</f>
        <v>0</v>
      </c>
      <c r="AA1032" s="1"/>
      <c r="AB1032" s="255" t="str">
        <f t="shared" si="253"/>
        <v/>
      </c>
      <c r="AC1032" s="261" t="str">
        <f t="shared" si="246"/>
        <v/>
      </c>
      <c r="AD1032" s="258">
        <f>IF(Z1032&gt;0,COUNTIF(AC$1009:AC1031,AC1032)+1,0)</f>
        <v>0</v>
      </c>
      <c r="AE1032" s="258" t="str">
        <f t="shared" si="254"/>
        <v/>
      </c>
      <c r="AF1032" s="392" t="str">
        <f t="shared" si="247"/>
        <v/>
      </c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526">
        <f t="shared" ca="1" si="257"/>
        <v>0</v>
      </c>
      <c r="CO1032" s="122">
        <f t="shared" ca="1" si="258"/>
        <v>0</v>
      </c>
    </row>
    <row r="1033" spans="20:93" ht="16.5" hidden="1" customHeight="1">
      <c r="T1033" s="27">
        <f t="shared" si="259"/>
        <v>1</v>
      </c>
      <c r="U1033" s="247">
        <f>IF(OR(ISBLANK(F$68),AND(W1033&gt;(F$68-1),W1033&lt;(I$68+1))),IF(ISERROR(VLOOKUP(I$67,G$1076:G$1078,1,FALSE)),IF(K$67=G$1086,IF(MONTH(W1033)&lt;&gt;MONTH(W1032),MAX(U$1009:U1032)+1,0),IF(ISERROR(VLOOKUP(I$67,G$1079:G$1084,1,FALSE)),IF(V1033=1,MAX(U$1009:U1032)+1,0),IF(MONTH(W1034)&lt;&gt;MONTH(W1033),T1033,0))),IF(K$67=G$1086,IF(V1033=1,MAX(U$1009:U1032)+1,0),IF(V1033=7,MAX(U$1015:U1032)+1,0))),0)</f>
        <v>0</v>
      </c>
      <c r="V1033" s="27">
        <f t="shared" si="244"/>
        <v>4</v>
      </c>
      <c r="W1033" s="97">
        <f t="shared" si="251"/>
        <v>45316</v>
      </c>
      <c r="X1033" s="249" t="str">
        <f>IF(K$67=G$1086,IF(OR(U1033=1,AND(U1033&gt;0,U1033=(MAX(Y$1009:Y1032)+VLOOKUP(I$67,G$1076:H$1084,2,FALSE)))),"X",""),IF(AND(U1033&gt;0,U1033=(MAX(Y$1009:Y1032)+VLOOKUP(I$67,G$1076:H$1084,2,FALSE))),"X",""))</f>
        <v/>
      </c>
      <c r="Y1033" s="252">
        <f t="shared" si="252"/>
        <v>0</v>
      </c>
      <c r="Z1033" s="253">
        <f>IF(Y1033&gt;0,COUNTIF(Y$1009:Y1032,"&gt;0")+1,0)</f>
        <v>0</v>
      </c>
      <c r="AA1033" s="1"/>
      <c r="AB1033" s="255" t="str">
        <f t="shared" si="253"/>
        <v/>
      </c>
      <c r="AC1033" s="261" t="str">
        <f t="shared" si="246"/>
        <v/>
      </c>
      <c r="AD1033" s="258">
        <f>IF(Z1033&gt;0,COUNTIF(AC$1009:AC1032,AC1033)+1,0)</f>
        <v>0</v>
      </c>
      <c r="AE1033" s="258" t="str">
        <f t="shared" si="254"/>
        <v/>
      </c>
      <c r="AF1033" s="392" t="str">
        <f t="shared" si="247"/>
        <v/>
      </c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526">
        <f t="shared" ca="1" si="257"/>
        <v>0</v>
      </c>
      <c r="CO1033" s="122">
        <f t="shared" ca="1" si="258"/>
        <v>0</v>
      </c>
    </row>
    <row r="1034" spans="20:93" ht="16.5" hidden="1" customHeight="1">
      <c r="T1034" s="27">
        <f t="shared" si="259"/>
        <v>1</v>
      </c>
      <c r="U1034" s="247">
        <f>IF(OR(ISBLANK(F$68),AND(W1034&gt;(F$68-1),W1034&lt;(I$68+1))),IF(ISERROR(VLOOKUP(I$67,G$1076:G$1078,1,FALSE)),IF(K$67=G$1086,IF(MONTH(W1034)&lt;&gt;MONTH(W1033),MAX(U$1009:U1033)+1,0),IF(ISERROR(VLOOKUP(I$67,G$1079:G$1084,1,FALSE)),IF(V1034=1,MAX(U$1009:U1033)+1,0),IF(MONTH(W1035)&lt;&gt;MONTH(W1034),T1034,0))),IF(K$67=G$1086,IF(V1034=1,MAX(U$1009:U1033)+1,0),IF(V1034=7,MAX(U$1015:U1033)+1,0))),0)</f>
        <v>0</v>
      </c>
      <c r="V1034" s="27">
        <f t="shared" si="244"/>
        <v>5</v>
      </c>
      <c r="W1034" s="97">
        <f t="shared" si="251"/>
        <v>45317</v>
      </c>
      <c r="X1034" s="249" t="str">
        <f>IF(K$67=G$1086,IF(OR(U1034=1,AND(U1034&gt;0,U1034=(MAX(Y$1009:Y1033)+VLOOKUP(I$67,G$1076:H$1084,2,FALSE)))),"X",""),IF(AND(U1034&gt;0,U1034=(MAX(Y$1009:Y1033)+VLOOKUP(I$67,G$1076:H$1084,2,FALSE))),"X",""))</f>
        <v/>
      </c>
      <c r="Y1034" s="252">
        <f t="shared" si="252"/>
        <v>0</v>
      </c>
      <c r="Z1034" s="253">
        <f>IF(Y1034&gt;0,COUNTIF(Y$1009:Y1033,"&gt;0")+1,0)</f>
        <v>0</v>
      </c>
      <c r="AA1034" s="1"/>
      <c r="AB1034" s="255" t="str">
        <f t="shared" si="253"/>
        <v/>
      </c>
      <c r="AC1034" s="261" t="str">
        <f t="shared" si="246"/>
        <v/>
      </c>
      <c r="AD1034" s="258">
        <f>IF(Z1034&gt;0,COUNTIF(AC$1009:AC1033,AC1034)+1,0)</f>
        <v>0</v>
      </c>
      <c r="AE1034" s="258" t="str">
        <f t="shared" si="254"/>
        <v/>
      </c>
      <c r="AF1034" s="392" t="str">
        <f t="shared" si="247"/>
        <v/>
      </c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526">
        <f t="shared" ca="1" si="257"/>
        <v>0</v>
      </c>
      <c r="CO1034" s="122">
        <f t="shared" ca="1" si="258"/>
        <v>0</v>
      </c>
    </row>
    <row r="1035" spans="20:93" ht="16.5" hidden="1" customHeight="1">
      <c r="T1035" s="27">
        <f t="shared" si="259"/>
        <v>1</v>
      </c>
      <c r="U1035" s="247">
        <f>IF(OR(ISBLANK(F$68),AND(W1035&gt;(F$68-1),W1035&lt;(I$68+1))),IF(ISERROR(VLOOKUP(I$67,G$1076:G$1078,1,FALSE)),IF(K$67=G$1086,IF(MONTH(W1035)&lt;&gt;MONTH(W1034),MAX(U$1009:U1034)+1,0),IF(ISERROR(VLOOKUP(I$67,G$1079:G$1084,1,FALSE)),IF(V1035=1,MAX(U$1009:U1034)+1,0),IF(MONTH(W1036)&lt;&gt;MONTH(W1035),T1035,0))),IF(K$67=G$1086,IF(V1035=1,MAX(U$1009:U1034)+1,0),IF(V1035=7,MAX(U$1015:U1034)+1,0))),0)</f>
        <v>0</v>
      </c>
      <c r="V1035" s="27">
        <f t="shared" si="244"/>
        <v>6</v>
      </c>
      <c r="W1035" s="97">
        <f t="shared" si="251"/>
        <v>45318</v>
      </c>
      <c r="X1035" s="249" t="str">
        <f>IF(K$67=G$1086,IF(OR(U1035=1,AND(U1035&gt;0,U1035=(MAX(Y$1009:Y1034)+VLOOKUP(I$67,G$1076:H$1084,2,FALSE)))),"X",""),IF(AND(U1035&gt;0,U1035=(MAX(Y$1009:Y1034)+VLOOKUP(I$67,G$1076:H$1084,2,FALSE))),"X",""))</f>
        <v/>
      </c>
      <c r="Y1035" s="252">
        <f t="shared" si="252"/>
        <v>0</v>
      </c>
      <c r="Z1035" s="253">
        <f>IF(Y1035&gt;0,COUNTIF(Y$1009:Y1034,"&gt;0")+1,0)</f>
        <v>0</v>
      </c>
      <c r="AA1035" s="1"/>
      <c r="AB1035" s="255" t="str">
        <f t="shared" si="253"/>
        <v/>
      </c>
      <c r="AC1035" s="261" t="str">
        <f t="shared" si="246"/>
        <v/>
      </c>
      <c r="AD1035" s="258">
        <f>IF(Z1035&gt;0,COUNTIF(AC$1009:AC1034,AC1035)+1,0)</f>
        <v>0</v>
      </c>
      <c r="AE1035" s="258" t="str">
        <f t="shared" si="254"/>
        <v/>
      </c>
      <c r="AF1035" s="392" t="str">
        <f t="shared" si="247"/>
        <v/>
      </c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526">
        <f t="shared" ca="1" si="257"/>
        <v>0</v>
      </c>
      <c r="CO1035" s="122">
        <f t="shared" ca="1" si="258"/>
        <v>0</v>
      </c>
    </row>
    <row r="1036" spans="20:93" ht="16.5" hidden="1" customHeight="1">
      <c r="T1036" s="27">
        <f t="shared" si="259"/>
        <v>1</v>
      </c>
      <c r="U1036" s="247">
        <f>IF(OR(ISBLANK(F$68),AND(W1036&gt;(F$68-1),W1036&lt;(I$68+1))),IF(ISERROR(VLOOKUP(I$67,G$1076:G$1078,1,FALSE)),IF(K$67=G$1086,IF(MONTH(W1036)&lt;&gt;MONTH(W1035),MAX(U$1009:U1035)+1,0),IF(ISERROR(VLOOKUP(I$67,G$1079:G$1084,1,FALSE)),IF(V1036=1,MAX(U$1009:U1035)+1,0),IF(MONTH(W1037)&lt;&gt;MONTH(W1036),T1036,0))),IF(K$67=G$1086,IF(V1036=1,MAX(U$1009:U1035)+1,0),IF(V1036=7,MAX(U$1015:U1035)+1,0))),0)</f>
        <v>0</v>
      </c>
      <c r="V1036" s="27">
        <f t="shared" si="244"/>
        <v>7</v>
      </c>
      <c r="W1036" s="97">
        <f t="shared" si="251"/>
        <v>45319</v>
      </c>
      <c r="X1036" s="249" t="str">
        <f>IF(K$67=G$1086,IF(OR(U1036=1,AND(U1036&gt;0,U1036=(MAX(Y$1009:Y1035)+VLOOKUP(I$67,G$1076:H$1084,2,FALSE)))),"X",""),IF(AND(U1036&gt;0,U1036=(MAX(Y$1009:Y1035)+VLOOKUP(I$67,G$1076:H$1084,2,FALSE))),"X",""))</f>
        <v/>
      </c>
      <c r="Y1036" s="252">
        <f t="shared" si="252"/>
        <v>0</v>
      </c>
      <c r="Z1036" s="253">
        <f>IF(Y1036&gt;0,COUNTIF(Y$1009:Y1035,"&gt;0")+1,0)</f>
        <v>0</v>
      </c>
      <c r="AA1036" s="1"/>
      <c r="AB1036" s="255" t="str">
        <f t="shared" si="253"/>
        <v/>
      </c>
      <c r="AC1036" s="261" t="str">
        <f t="shared" si="246"/>
        <v/>
      </c>
      <c r="AD1036" s="258">
        <f>IF(Z1036&gt;0,COUNTIF(AC$1009:AC1035,AC1036)+1,0)</f>
        <v>0</v>
      </c>
      <c r="AE1036" s="258" t="str">
        <f t="shared" si="254"/>
        <v/>
      </c>
      <c r="AF1036" s="392" t="str">
        <f t="shared" si="247"/>
        <v/>
      </c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526">
        <f t="shared" ca="1" si="257"/>
        <v>0</v>
      </c>
      <c r="CO1036" s="122">
        <f t="shared" ca="1" si="258"/>
        <v>0</v>
      </c>
    </row>
    <row r="1037" spans="20:93" ht="16.5" hidden="1" customHeight="1">
      <c r="T1037" s="27">
        <f t="shared" si="259"/>
        <v>1</v>
      </c>
      <c r="U1037" s="247">
        <f>IF(OR(ISBLANK(F$68),AND(W1037&gt;(F$68-1),W1037&lt;(I$68+1))),IF(ISERROR(VLOOKUP(I$67,G$1076:G$1078,1,FALSE)),IF(K$67=G$1086,IF(MONTH(W1037)&lt;&gt;MONTH(W1036),MAX(U$1009:U1036)+1,0),IF(ISERROR(VLOOKUP(I$67,G$1079:G$1084,1,FALSE)),IF(V1037=1,MAX(U$1009:U1036)+1,0),IF(MONTH(W1038)&lt;&gt;MONTH(W1037),T1037,0))),IF(K$67=G$1086,IF(V1037=1,MAX(U$1009:U1036)+1,0),IF(V1037=7,MAX(U$1015:U1036)+1,0))),0)</f>
        <v>5</v>
      </c>
      <c r="V1037" s="27">
        <f t="shared" si="244"/>
        <v>1</v>
      </c>
      <c r="W1037" s="97">
        <f t="shared" si="251"/>
        <v>45320</v>
      </c>
      <c r="X1037" s="249" t="str">
        <f>IF(K$67=G$1086,IF(OR(U1037=1,AND(U1037&gt;0,U1037=(MAX(Y$1009:Y1036)+VLOOKUP(I$67,G$1076:H$1084,2,FALSE)))),"X",""),IF(AND(U1037&gt;0,U1037=(MAX(Y$1009:Y1036)+VLOOKUP(I$67,G$1076:H$1084,2,FALSE))),"X",""))</f>
        <v>X</v>
      </c>
      <c r="Y1037" s="252">
        <f t="shared" si="252"/>
        <v>5</v>
      </c>
      <c r="Z1037" s="253">
        <f>IF(Y1037&gt;0,COUNTIF(Y$1009:Y1036,"&gt;0")+1,0)</f>
        <v>3</v>
      </c>
      <c r="AA1037" s="1"/>
      <c r="AB1037" s="255">
        <f t="shared" si="253"/>
        <v>45320</v>
      </c>
      <c r="AC1037" s="261">
        <f t="shared" si="246"/>
        <v>1</v>
      </c>
      <c r="AD1037" s="258">
        <f>IF(Z1037&gt;0,COUNTIF(AC$1009:AC1036,AC1037)+1,0)</f>
        <v>3</v>
      </c>
      <c r="AE1037" s="258" t="str">
        <f t="shared" si="254"/>
        <v>1-3</v>
      </c>
      <c r="AF1037" s="392">
        <f t="shared" si="247"/>
        <v>45320</v>
      </c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526">
        <f t="shared" ca="1" si="257"/>
        <v>0</v>
      </c>
      <c r="CO1037" s="122">
        <f t="shared" ca="1" si="258"/>
        <v>0</v>
      </c>
    </row>
    <row r="1038" spans="20:93" ht="16.5" hidden="1" customHeight="1">
      <c r="T1038" s="27">
        <f t="shared" si="259"/>
        <v>1</v>
      </c>
      <c r="U1038" s="247">
        <f>IF(OR(ISBLANK(F$68),AND(W1038&gt;(F$68-1),W1038&lt;(I$68+1))),IF(ISERROR(VLOOKUP(I$67,G$1076:G$1078,1,FALSE)),IF(K$67=G$1086,IF(MONTH(W1038)&lt;&gt;MONTH(W1037),MAX(U$1009:U1037)+1,0),IF(ISERROR(VLOOKUP(I$67,G$1079:G$1084,1,FALSE)),IF(V1038=1,MAX(U$1009:U1037)+1,0),IF(MONTH(W1039)&lt;&gt;MONTH(W1038),T1038,0))),IF(K$67=G$1086,IF(V1038=1,MAX(U$1009:U1037)+1,0),IF(V1038=7,MAX(U$1015:U1037)+1,0))),0)</f>
        <v>0</v>
      </c>
      <c r="V1038" s="27">
        <f t="shared" si="244"/>
        <v>2</v>
      </c>
      <c r="W1038" s="97">
        <f t="shared" si="251"/>
        <v>45321</v>
      </c>
      <c r="X1038" s="249" t="str">
        <f>IF(K$67=G$1086,IF(OR(U1038=1,AND(U1038&gt;0,U1038=(MAX(Y$1009:Y1037)+VLOOKUP(I$67,G$1076:H$1084,2,FALSE)))),"X",""),IF(AND(U1038&gt;0,U1038=(MAX(Y$1009:Y1037)+VLOOKUP(I$67,G$1076:H$1084,2,FALSE))),"X",""))</f>
        <v/>
      </c>
      <c r="Y1038" s="252">
        <f t="shared" si="252"/>
        <v>0</v>
      </c>
      <c r="Z1038" s="253">
        <f>IF(Y1038&gt;0,COUNTIF(Y$1009:Y1037,"&gt;0")+1,0)</f>
        <v>0</v>
      </c>
      <c r="AA1038" s="1"/>
      <c r="AB1038" s="255" t="str">
        <f t="shared" si="253"/>
        <v/>
      </c>
      <c r="AC1038" s="261" t="str">
        <f t="shared" si="246"/>
        <v/>
      </c>
      <c r="AD1038" s="258">
        <f>IF(Z1038&gt;0,COUNTIF(AC$1009:AC1037,AC1038)+1,0)</f>
        <v>0</v>
      </c>
      <c r="AE1038" s="258" t="str">
        <f t="shared" si="254"/>
        <v/>
      </c>
      <c r="AF1038" s="392" t="str">
        <f t="shared" si="247"/>
        <v/>
      </c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526">
        <f t="shared" ca="1" si="257"/>
        <v>0</v>
      </c>
      <c r="CO1038" s="122">
        <f t="shared" ca="1" si="258"/>
        <v>0</v>
      </c>
    </row>
    <row r="1039" spans="20:93" ht="16.5" hidden="1" customHeight="1">
      <c r="T1039" s="27">
        <f t="shared" si="259"/>
        <v>1</v>
      </c>
      <c r="U1039" s="247">
        <f>IF(OR(ISBLANK(F$68),AND(W1039&gt;(F$68-1),W1039&lt;(I$68+1))),IF(ISERROR(VLOOKUP(I$67,G$1076:G$1078,1,FALSE)),IF(K$67=G$1086,IF(MONTH(W1039)&lt;&gt;MONTH(W1038),MAX(U$1009:U1038)+1,0),IF(ISERROR(VLOOKUP(I$67,G$1079:G$1084,1,FALSE)),IF(V1039=1,MAX(U$1009:U1038)+1,0),IF(MONTH(W1040)&lt;&gt;MONTH(W1039),T1039,0))),IF(K$67=G$1086,IF(V1039=1,MAX(U$1009:U1038)+1,0),IF(V1039=7,MAX(U$1015:U1038)+1,0))),0)</f>
        <v>0</v>
      </c>
      <c r="V1039" s="27">
        <f t="shared" si="244"/>
        <v>3</v>
      </c>
      <c r="W1039" s="97">
        <f t="shared" si="251"/>
        <v>45322</v>
      </c>
      <c r="X1039" s="249" t="str">
        <f>IF(K$67=G$1086,IF(OR(U1039=1,AND(U1039&gt;0,U1039=(MAX(Y$1009:Y1038)+VLOOKUP(I$67,G$1076:H$1084,2,FALSE)))),"X",""),IF(AND(U1039&gt;0,U1039=(MAX(Y$1009:Y1038)+VLOOKUP(I$67,G$1076:H$1084,2,FALSE))),"X",""))</f>
        <v/>
      </c>
      <c r="Y1039" s="252">
        <f t="shared" si="252"/>
        <v>0</v>
      </c>
      <c r="Z1039" s="253">
        <f>IF(Y1039&gt;0,COUNTIF(Y$1009:Y1038,"&gt;0")+1,0)</f>
        <v>0</v>
      </c>
      <c r="AA1039" s="1"/>
      <c r="AB1039" s="255" t="str">
        <f t="shared" si="253"/>
        <v/>
      </c>
      <c r="AC1039" s="261" t="str">
        <f t="shared" si="246"/>
        <v/>
      </c>
      <c r="AD1039" s="258">
        <f>IF(Z1039&gt;0,COUNTIF(AC$1009:AC1038,AC1039)+1,0)</f>
        <v>0</v>
      </c>
      <c r="AE1039" s="258" t="str">
        <f t="shared" si="254"/>
        <v/>
      </c>
      <c r="AF1039" s="392" t="str">
        <f t="shared" si="247"/>
        <v/>
      </c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526">
        <f t="shared" ca="1" si="257"/>
        <v>0</v>
      </c>
      <c r="CO1039" s="122">
        <f t="shared" ca="1" si="258"/>
        <v>0</v>
      </c>
    </row>
    <row r="1040" spans="20:93" ht="16.5" hidden="1" customHeight="1">
      <c r="T1040" s="27">
        <f t="shared" si="259"/>
        <v>2</v>
      </c>
      <c r="U1040" s="247">
        <f>IF(OR(ISBLANK(F$68),AND(W1040&gt;(F$68-1),W1040&lt;(I$68+1))),IF(ISERROR(VLOOKUP(I$67,G$1076:G$1078,1,FALSE)),IF(K$67=G$1086,IF(MONTH(W1040)&lt;&gt;MONTH(W1039),MAX(U$1009:U1039)+1,0),IF(ISERROR(VLOOKUP(I$67,G$1079:G$1084,1,FALSE)),IF(V1040=1,MAX(U$1009:U1039)+1,0),IF(MONTH(W1041)&lt;&gt;MONTH(W1040),T1040,0))),IF(K$67=G$1086,IF(V1040=1,MAX(U$1009:U1039)+1,0),IF(V1040=7,MAX(U$1015:U1039)+1,0))),0)</f>
        <v>0</v>
      </c>
      <c r="V1040" s="27">
        <f t="shared" si="244"/>
        <v>4</v>
      </c>
      <c r="W1040" s="97">
        <f t="shared" si="251"/>
        <v>45323</v>
      </c>
      <c r="X1040" s="249" t="str">
        <f>IF(K$67=G$1086,IF(OR(U1040=1,AND(U1040&gt;0,U1040=(MAX(Y$1009:Y1039)+VLOOKUP(I$67,G$1076:H$1084,2,FALSE)))),"X",""),IF(AND(U1040&gt;0,U1040=(MAX(Y$1009:Y1039)+VLOOKUP(I$67,G$1076:H$1084,2,FALSE))),"X",""))</f>
        <v/>
      </c>
      <c r="Y1040" s="252">
        <f t="shared" si="252"/>
        <v>0</v>
      </c>
      <c r="Z1040" s="253">
        <f>IF(Y1040&gt;0,COUNTIF(Y$1009:Y1039,"&gt;0")+1,0)</f>
        <v>0</v>
      </c>
      <c r="AA1040" s="1"/>
      <c r="AB1040" s="255" t="str">
        <f t="shared" si="253"/>
        <v/>
      </c>
      <c r="AC1040" s="261" t="str">
        <f t="shared" si="246"/>
        <v/>
      </c>
      <c r="AD1040" s="258">
        <f>IF(Z1040&gt;0,COUNTIF(AC$1009:AC1039,AC1040)+1,0)</f>
        <v>0</v>
      </c>
      <c r="AE1040" s="258" t="str">
        <f t="shared" si="254"/>
        <v/>
      </c>
      <c r="AF1040" s="392" t="str">
        <f t="shared" si="247"/>
        <v/>
      </c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526">
        <f t="shared" ca="1" si="257"/>
        <v>0</v>
      </c>
      <c r="CO1040" s="122">
        <f t="shared" ca="1" si="258"/>
        <v>0</v>
      </c>
    </row>
    <row r="1041" spans="20:93" ht="16.5" hidden="1" customHeight="1">
      <c r="T1041" s="27">
        <f t="shared" si="259"/>
        <v>2</v>
      </c>
      <c r="U1041" s="247">
        <f>IF(OR(ISBLANK(F$68),AND(W1041&gt;(F$68-1),W1041&lt;(I$68+1))),IF(ISERROR(VLOOKUP(I$67,G$1076:G$1078,1,FALSE)),IF(K$67=G$1086,IF(MONTH(W1041)&lt;&gt;MONTH(W1040),MAX(U$1009:U1040)+1,0),IF(ISERROR(VLOOKUP(I$67,G$1079:G$1084,1,FALSE)),IF(V1041=1,MAX(U$1009:U1040)+1,0),IF(MONTH(W1042)&lt;&gt;MONTH(W1041),T1041,0))),IF(K$67=G$1086,IF(V1041=1,MAX(U$1009:U1040)+1,0),IF(V1041=7,MAX(U$1015:U1040)+1,0))),0)</f>
        <v>0</v>
      </c>
      <c r="V1041" s="27">
        <f t="shared" si="244"/>
        <v>5</v>
      </c>
      <c r="W1041" s="97">
        <f t="shared" si="251"/>
        <v>45324</v>
      </c>
      <c r="X1041" s="249" t="str">
        <f>IF(K$67=G$1086,IF(OR(U1041=1,AND(U1041&gt;0,U1041=(MAX(Y$1009:Y1040)+VLOOKUP(I$67,G$1076:H$1084,2,FALSE)))),"X",""),IF(AND(U1041&gt;0,U1041=(MAX(Y$1009:Y1040)+VLOOKUP(I$67,G$1076:H$1084,2,FALSE))),"X",""))</f>
        <v/>
      </c>
      <c r="Y1041" s="252">
        <f t="shared" si="252"/>
        <v>0</v>
      </c>
      <c r="Z1041" s="253">
        <f>IF(Y1041&gt;0,COUNTIF(Y$1009:Y1040,"&gt;0")+1,0)</f>
        <v>0</v>
      </c>
      <c r="AA1041" s="1"/>
      <c r="AB1041" s="255" t="str">
        <f t="shared" si="253"/>
        <v/>
      </c>
      <c r="AC1041" s="261" t="str">
        <f t="shared" si="246"/>
        <v/>
      </c>
      <c r="AD1041" s="258">
        <f>IF(Z1041&gt;0,COUNTIF(AC$1009:AC1040,AC1041)+1,0)</f>
        <v>0</v>
      </c>
      <c r="AE1041" s="258" t="str">
        <f t="shared" si="254"/>
        <v/>
      </c>
      <c r="AF1041" s="392" t="str">
        <f t="shared" si="247"/>
        <v/>
      </c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526">
        <f t="shared" ca="1" si="257"/>
        <v>0</v>
      </c>
      <c r="CO1041" s="122">
        <f t="shared" ca="1" si="258"/>
        <v>0</v>
      </c>
    </row>
    <row r="1042" spans="20:93" ht="16.5" hidden="1" customHeight="1">
      <c r="T1042" s="27">
        <f t="shared" si="259"/>
        <v>2</v>
      </c>
      <c r="U1042" s="247">
        <f>IF(OR(ISBLANK(F$68),AND(W1042&gt;(F$68-1),W1042&lt;(I$68+1))),IF(ISERROR(VLOOKUP(I$67,G$1076:G$1078,1,FALSE)),IF(K$67=G$1086,IF(MONTH(W1042)&lt;&gt;MONTH(W1041),MAX(U$1009:U1041)+1,0),IF(ISERROR(VLOOKUP(I$67,G$1079:G$1084,1,FALSE)),IF(V1042=1,MAX(U$1009:U1041)+1,0),IF(MONTH(W1043)&lt;&gt;MONTH(W1042),T1042,0))),IF(K$67=G$1086,IF(V1042=1,MAX(U$1009:U1041)+1,0),IF(V1042=7,MAX(U$1015:U1041)+1,0))),0)</f>
        <v>0</v>
      </c>
      <c r="V1042" s="27">
        <f t="shared" si="244"/>
        <v>6</v>
      </c>
      <c r="W1042" s="97">
        <f t="shared" si="251"/>
        <v>45325</v>
      </c>
      <c r="X1042" s="249" t="str">
        <f>IF(K$67=G$1086,IF(OR(U1042=1,AND(U1042&gt;0,U1042=(MAX(Y$1009:Y1041)+VLOOKUP(I$67,G$1076:H$1084,2,FALSE)))),"X",""),IF(AND(U1042&gt;0,U1042=(MAX(Y$1009:Y1041)+VLOOKUP(I$67,G$1076:H$1084,2,FALSE))),"X",""))</f>
        <v/>
      </c>
      <c r="Y1042" s="252">
        <f t="shared" si="252"/>
        <v>0</v>
      </c>
      <c r="Z1042" s="253">
        <f>IF(Y1042&gt;0,COUNTIF(Y$1009:Y1041,"&gt;0")+1,0)</f>
        <v>0</v>
      </c>
      <c r="AA1042" s="1"/>
      <c r="AB1042" s="255" t="str">
        <f t="shared" si="253"/>
        <v/>
      </c>
      <c r="AC1042" s="261" t="str">
        <f t="shared" si="246"/>
        <v/>
      </c>
      <c r="AD1042" s="258">
        <f>IF(Z1042&gt;0,COUNTIF(AC$1009:AC1041,AC1042)+1,0)</f>
        <v>0</v>
      </c>
      <c r="AE1042" s="258" t="str">
        <f t="shared" si="254"/>
        <v/>
      </c>
      <c r="AF1042" s="392" t="str">
        <f t="shared" si="247"/>
        <v/>
      </c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526">
        <f t="shared" ca="1" si="257"/>
        <v>0</v>
      </c>
      <c r="CO1042" s="122">
        <f t="shared" ca="1" si="258"/>
        <v>0</v>
      </c>
    </row>
    <row r="1043" spans="20:93" ht="16.5" hidden="1" customHeight="1">
      <c r="T1043" s="27">
        <f t="shared" si="259"/>
        <v>2</v>
      </c>
      <c r="U1043" s="247">
        <f>IF(OR(ISBLANK(F$68),AND(W1043&gt;(F$68-1),W1043&lt;(I$68+1))),IF(ISERROR(VLOOKUP(I$67,G$1076:G$1078,1,FALSE)),IF(K$67=G$1086,IF(MONTH(W1043)&lt;&gt;MONTH(W1042),MAX(U$1009:U1042)+1,0),IF(ISERROR(VLOOKUP(I$67,G$1079:G$1084,1,FALSE)),IF(V1043=1,MAX(U$1009:U1042)+1,0),IF(MONTH(W1044)&lt;&gt;MONTH(W1043),T1043,0))),IF(K$67=G$1086,IF(V1043=1,MAX(U$1009:U1042)+1,0),IF(V1043=7,MAX(U$1015:U1042)+1,0))),0)</f>
        <v>0</v>
      </c>
      <c r="V1043" s="27">
        <f t="shared" si="244"/>
        <v>7</v>
      </c>
      <c r="W1043" s="97">
        <f>W1042+1</f>
        <v>45326</v>
      </c>
      <c r="X1043" s="249" t="str">
        <f>IF(K$67=G$1086,IF(OR(U1043=1,AND(U1043&gt;0,U1043=(MAX(Y$1009:Y1042)+VLOOKUP(I$67,G$1076:H$1084,2,FALSE)))),"X",""),IF(AND(U1043&gt;0,U1043=(MAX(Y$1009:Y1042)+VLOOKUP(I$67,G$1076:H$1084,2,FALSE))),"X",""))</f>
        <v/>
      </c>
      <c r="Y1043" s="252">
        <f t="shared" si="252"/>
        <v>0</v>
      </c>
      <c r="Z1043" s="253">
        <f>IF(Y1043&gt;0,COUNTIF(Y$1009:Y1042,"&gt;0")+1,0)</f>
        <v>0</v>
      </c>
      <c r="AA1043" s="1"/>
      <c r="AB1043" s="255" t="str">
        <f t="shared" si="253"/>
        <v/>
      </c>
      <c r="AC1043" s="261" t="str">
        <f t="shared" si="246"/>
        <v/>
      </c>
      <c r="AD1043" s="258">
        <f>IF(Z1043&gt;0,COUNTIF(AC$1009:AC1042,AC1043)+1,0)</f>
        <v>0</v>
      </c>
      <c r="AE1043" s="258" t="str">
        <f t="shared" si="254"/>
        <v/>
      </c>
      <c r="AF1043" s="392" t="str">
        <f t="shared" si="247"/>
        <v/>
      </c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526">
        <f t="shared" ca="1" si="257"/>
        <v>0</v>
      </c>
      <c r="CO1043" s="122">
        <f t="shared" ca="1" si="258"/>
        <v>0</v>
      </c>
    </row>
    <row r="1044" spans="20:93" ht="16.5" hidden="1" customHeight="1">
      <c r="T1044" s="27">
        <f t="shared" si="259"/>
        <v>2</v>
      </c>
      <c r="U1044" s="247">
        <f>IF(OR(ISBLANK(F$68),AND(W1044&gt;(F$68-1),W1044&lt;(I$68+1))),IF(ISERROR(VLOOKUP(I$67,G$1076:G$1078,1,FALSE)),IF(K$67=G$1086,IF(MONTH(W1044)&lt;&gt;MONTH(W1043),MAX(U$1009:U1043)+1,0),IF(ISERROR(VLOOKUP(I$67,G$1079:G$1084,1,FALSE)),IF(V1044=1,MAX(U$1009:U1043)+1,0),IF(MONTH(W1045)&lt;&gt;MONTH(W1044),T1044,0))),IF(K$67=G$1086,IF(V1044=1,MAX(U$1009:U1043)+1,0),IF(V1044=7,MAX(U$1015:U1043)+1,0))),0)</f>
        <v>6</v>
      </c>
      <c r="V1044" s="27">
        <f t="shared" si="244"/>
        <v>1</v>
      </c>
      <c r="W1044" s="97">
        <f t="shared" si="251"/>
        <v>45327</v>
      </c>
      <c r="X1044" s="249" t="str">
        <f>IF(K$67=G$1086,IF(OR(U1044=1,AND(U1044&gt;0,U1044=(MAX(Y$1009:Y1043)+VLOOKUP(I$67,G$1076:H$1084,2,FALSE)))),"X",""),IF(AND(U1044&gt;0,U1044=(MAX(Y$1009:Y1043)+VLOOKUP(I$67,G$1076:H$1084,2,FALSE))),"X",""))</f>
        <v/>
      </c>
      <c r="Y1044" s="252">
        <f t="shared" si="252"/>
        <v>0</v>
      </c>
      <c r="Z1044" s="253">
        <f>IF(Y1044&gt;0,COUNTIF(Y$1009:Y1043,"&gt;0")+1,0)</f>
        <v>0</v>
      </c>
      <c r="AA1044" s="1"/>
      <c r="AB1044" s="255" t="str">
        <f t="shared" si="253"/>
        <v/>
      </c>
      <c r="AC1044" s="261" t="str">
        <f t="shared" si="246"/>
        <v/>
      </c>
      <c r="AD1044" s="258">
        <f>IF(Z1044&gt;0,COUNTIF(AC$1009:AC1043,AC1044)+1,0)</f>
        <v>0</v>
      </c>
      <c r="AE1044" s="258" t="str">
        <f t="shared" si="254"/>
        <v/>
      </c>
      <c r="AF1044" s="392" t="str">
        <f t="shared" si="247"/>
        <v/>
      </c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526">
        <f t="shared" si="257"/>
        <v>0</v>
      </c>
      <c r="CO1044" s="122">
        <f t="shared" si="258"/>
        <v>0</v>
      </c>
    </row>
    <row r="1045" spans="20:93" ht="16.5" hidden="1" customHeight="1">
      <c r="T1045" s="27">
        <f t="shared" si="259"/>
        <v>2</v>
      </c>
      <c r="U1045" s="247">
        <f>IF(OR(ISBLANK(F$68),AND(W1045&gt;(F$68-1),W1045&lt;(I$68+1))),IF(ISERROR(VLOOKUP(I$67,G$1076:G$1078,1,FALSE)),IF(K$67=G$1086,IF(MONTH(W1045)&lt;&gt;MONTH(W1044),MAX(U$1009:U1044)+1,0),IF(ISERROR(VLOOKUP(I$67,G$1079:G$1084,1,FALSE)),IF(V1045=1,MAX(U$1009:U1044)+1,0),IF(MONTH(W1046)&lt;&gt;MONTH(W1045),T1045,0))),IF(K$67=G$1086,IF(V1045=1,MAX(U$1009:U1044)+1,0),IF(V1045=7,MAX(U$1015:U1044)+1,0))),0)</f>
        <v>0</v>
      </c>
      <c r="V1045" s="27">
        <f t="shared" si="244"/>
        <v>2</v>
      </c>
      <c r="W1045" s="97">
        <f t="shared" si="251"/>
        <v>45328</v>
      </c>
      <c r="X1045" s="249" t="str">
        <f>IF(K$67=G$1086,IF(OR(U1045=1,AND(U1045&gt;0,U1045=(MAX(Y$1009:Y1044)+VLOOKUP(I$67,G$1076:H$1084,2,FALSE)))),"X",""),IF(AND(U1045&gt;0,U1045=(MAX(Y$1009:Y1044)+VLOOKUP(I$67,G$1076:H$1084,2,FALSE))),"X",""))</f>
        <v/>
      </c>
      <c r="Y1045" s="252">
        <f t="shared" si="252"/>
        <v>0</v>
      </c>
      <c r="Z1045" s="253">
        <f>IF(Y1045&gt;0,COUNTIF(Y$1009:Y1044,"&gt;0")+1,0)</f>
        <v>0</v>
      </c>
      <c r="AA1045" s="1"/>
      <c r="AB1045" s="255" t="str">
        <f t="shared" si="253"/>
        <v/>
      </c>
      <c r="AC1045" s="261" t="str">
        <f t="shared" si="246"/>
        <v/>
      </c>
      <c r="AD1045" s="258">
        <f>IF(Z1045&gt;0,COUNTIF(AC$1009:AC1044,AC1045)+1,0)</f>
        <v>0</v>
      </c>
      <c r="AE1045" s="258" t="str">
        <f t="shared" si="254"/>
        <v/>
      </c>
      <c r="AF1045" s="392" t="str">
        <f t="shared" si="247"/>
        <v/>
      </c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526">
        <f t="shared" si="257"/>
        <v>0</v>
      </c>
      <c r="CO1045" s="122">
        <f t="shared" si="258"/>
        <v>0</v>
      </c>
    </row>
    <row r="1046" spans="20:93" ht="16.5" hidden="1" customHeight="1">
      <c r="T1046" s="27">
        <f t="shared" si="259"/>
        <v>2</v>
      </c>
      <c r="U1046" s="247">
        <f>IF(OR(ISBLANK(F$68),AND(W1046&gt;(F$68-1),W1046&lt;(I$68+1))),IF(ISERROR(VLOOKUP(I$67,G$1076:G$1078,1,FALSE)),IF(K$67=G$1086,IF(MONTH(W1046)&lt;&gt;MONTH(W1045),MAX(U$1009:U1045)+1,0),IF(ISERROR(VLOOKUP(I$67,G$1079:G$1084,1,FALSE)),IF(V1046=1,MAX(U$1009:U1045)+1,0),IF(MONTH(W1047)&lt;&gt;MONTH(W1046),T1046,0))),IF(K$67=G$1086,IF(V1046=1,MAX(U$1009:U1045)+1,0),IF(V1046=7,MAX(U$1015:U1045)+1,0))),0)</f>
        <v>0</v>
      </c>
      <c r="V1046" s="27">
        <f t="shared" si="244"/>
        <v>3</v>
      </c>
      <c r="W1046" s="97">
        <f t="shared" si="251"/>
        <v>45329</v>
      </c>
      <c r="X1046" s="249" t="str">
        <f>IF(K$67=G$1086,IF(OR(U1046=1,AND(U1046&gt;0,U1046=(MAX(Y$1009:Y1045)+VLOOKUP(I$67,G$1076:H$1084,2,FALSE)))),"X",""),IF(AND(U1046&gt;0,U1046=(MAX(Y$1009:Y1045)+VLOOKUP(I$67,G$1076:H$1084,2,FALSE))),"X",""))</f>
        <v/>
      </c>
      <c r="Y1046" s="252">
        <f t="shared" si="252"/>
        <v>0</v>
      </c>
      <c r="Z1046" s="253">
        <f>IF(Y1046&gt;0,COUNTIF(Y$1009:Y1045,"&gt;0")+1,0)</f>
        <v>0</v>
      </c>
      <c r="AA1046" s="1"/>
      <c r="AB1046" s="255" t="str">
        <f t="shared" si="253"/>
        <v/>
      </c>
      <c r="AC1046" s="261" t="str">
        <f t="shared" si="246"/>
        <v/>
      </c>
      <c r="AD1046" s="258">
        <f>IF(Z1046&gt;0,COUNTIF(AC$1009:AC1045,AC1046)+1,0)</f>
        <v>0</v>
      </c>
      <c r="AE1046" s="258" t="str">
        <f t="shared" si="254"/>
        <v/>
      </c>
      <c r="AF1046" s="392" t="str">
        <f t="shared" si="247"/>
        <v/>
      </c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526">
        <f t="shared" si="257"/>
        <v>0</v>
      </c>
      <c r="CO1046" s="122">
        <f t="shared" si="258"/>
        <v>0</v>
      </c>
    </row>
    <row r="1047" spans="20:93" ht="16.5" hidden="1" customHeight="1">
      <c r="T1047" s="27">
        <f t="shared" si="259"/>
        <v>2</v>
      </c>
      <c r="U1047" s="247">
        <f>IF(OR(ISBLANK(F$68),AND(W1047&gt;(F$68-1),W1047&lt;(I$68+1))),IF(ISERROR(VLOOKUP(I$67,G$1076:G$1078,1,FALSE)),IF(K$67=G$1086,IF(MONTH(W1047)&lt;&gt;MONTH(W1046),MAX(U$1009:U1046)+1,0),IF(ISERROR(VLOOKUP(I$67,G$1079:G$1084,1,FALSE)),IF(V1047=1,MAX(U$1009:U1046)+1,0),IF(MONTH(W1048)&lt;&gt;MONTH(W1047),T1047,0))),IF(K$67=G$1086,IF(V1047=1,MAX(U$1009:U1046)+1,0),IF(V1047=7,MAX(U$1015:U1046)+1,0))),0)</f>
        <v>0</v>
      </c>
      <c r="V1047" s="27">
        <f t="shared" si="244"/>
        <v>4</v>
      </c>
      <c r="W1047" s="97">
        <f>W1046+1</f>
        <v>45330</v>
      </c>
      <c r="X1047" s="249" t="str">
        <f>IF(K$67=G$1086,IF(OR(U1047=1,AND(U1047&gt;0,U1047=(MAX(Y$1009:Y1046)+VLOOKUP(I$67,G$1076:H$1084,2,FALSE)))),"X",""),IF(AND(U1047&gt;0,U1047=(MAX(Y$1009:Y1046)+VLOOKUP(I$67,G$1076:H$1084,2,FALSE))),"X",""))</f>
        <v/>
      </c>
      <c r="Y1047" s="252">
        <f t="shared" si="252"/>
        <v>0</v>
      </c>
      <c r="Z1047" s="253">
        <f>IF(Y1047&gt;0,COUNTIF(Y$1009:Y1046,"&gt;0")+1,0)</f>
        <v>0</v>
      </c>
      <c r="AA1047" s="1"/>
      <c r="AB1047" s="255" t="str">
        <f t="shared" si="253"/>
        <v/>
      </c>
      <c r="AC1047" s="261" t="str">
        <f t="shared" si="246"/>
        <v/>
      </c>
      <c r="AD1047" s="258">
        <f>IF(Z1047&gt;0,COUNTIF(AC$1009:AC1046,AC1047)+1,0)</f>
        <v>0</v>
      </c>
      <c r="AE1047" s="258" t="str">
        <f t="shared" si="254"/>
        <v/>
      </c>
      <c r="AF1047" s="392" t="str">
        <f t="shared" si="247"/>
        <v/>
      </c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526">
        <f t="shared" si="257"/>
        <v>0</v>
      </c>
      <c r="CO1047" s="122">
        <f t="shared" si="258"/>
        <v>0</v>
      </c>
    </row>
    <row r="1048" spans="20:93" ht="16.5" hidden="1" customHeight="1">
      <c r="T1048" s="27">
        <f t="shared" si="259"/>
        <v>2</v>
      </c>
      <c r="U1048" s="247">
        <f>IF(OR(ISBLANK(F$68),AND(W1048&gt;(F$68-1),W1048&lt;(I$68+1))),IF(ISERROR(VLOOKUP(I$67,G$1076:G$1078,1,FALSE)),IF(K$67=G$1086,IF(MONTH(W1048)&lt;&gt;MONTH(W1047),MAX(U$1009:U1047)+1,0),IF(ISERROR(VLOOKUP(I$67,G$1079:G$1084,1,FALSE)),IF(V1048=1,MAX(U$1009:U1047)+1,0),IF(MONTH(W1049)&lt;&gt;MONTH(W1048),T1048,0))),IF(K$67=G$1086,IF(V1048=1,MAX(U$1009:U1047)+1,0),IF(V1048=7,MAX(U$1015:U1047)+1,0))),0)</f>
        <v>0</v>
      </c>
      <c r="V1048" s="27">
        <f t="shared" si="244"/>
        <v>5</v>
      </c>
      <c r="W1048" s="97">
        <f t="shared" si="251"/>
        <v>45331</v>
      </c>
      <c r="X1048" s="249" t="str">
        <f>IF(K$67=G$1086,IF(OR(U1048=1,AND(U1048&gt;0,U1048=(MAX(Y$1009:Y1047)+VLOOKUP(I$67,G$1076:H$1084,2,FALSE)))),"X",""),IF(AND(U1048&gt;0,U1048=(MAX(Y$1009:Y1047)+VLOOKUP(I$67,G$1076:H$1084,2,FALSE))),"X",""))</f>
        <v/>
      </c>
      <c r="Y1048" s="252">
        <f t="shared" si="252"/>
        <v>0</v>
      </c>
      <c r="Z1048" s="253">
        <f>IF(Y1048&gt;0,COUNTIF(Y$1009:Y1047,"&gt;0")+1,0)</f>
        <v>0</v>
      </c>
      <c r="AA1048" s="1"/>
      <c r="AB1048" s="255" t="str">
        <f t="shared" si="253"/>
        <v/>
      </c>
      <c r="AC1048" s="261" t="str">
        <f t="shared" si="246"/>
        <v/>
      </c>
      <c r="AD1048" s="258">
        <f>IF(Z1048&gt;0,COUNTIF(AC$1009:AC1047,AC1048)+1,0)</f>
        <v>0</v>
      </c>
      <c r="AE1048" s="258" t="str">
        <f t="shared" si="254"/>
        <v/>
      </c>
      <c r="AF1048" s="392" t="str">
        <f t="shared" si="247"/>
        <v/>
      </c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526">
        <f t="shared" si="257"/>
        <v>0</v>
      </c>
      <c r="CO1048" s="122">
        <f t="shared" si="258"/>
        <v>0</v>
      </c>
    </row>
    <row r="1049" spans="20:93" ht="16.5" hidden="1" customHeight="1">
      <c r="T1049" s="27">
        <f t="shared" si="259"/>
        <v>2</v>
      </c>
      <c r="U1049" s="247">
        <f>IF(OR(ISBLANK(F$68),AND(W1049&gt;(F$68-1),W1049&lt;(I$68+1))),IF(ISERROR(VLOOKUP(I$67,G$1076:G$1078,1,FALSE)),IF(K$67=G$1086,IF(MONTH(W1049)&lt;&gt;MONTH(W1048),MAX(U$1009:U1048)+1,0),IF(ISERROR(VLOOKUP(I$67,G$1079:G$1084,1,FALSE)),IF(V1049=1,MAX(U$1009:U1048)+1,0),IF(MONTH(W1050)&lt;&gt;MONTH(W1049),T1049,0))),IF(K$67=G$1086,IF(V1049=1,MAX(U$1009:U1048)+1,0),IF(V1049=7,MAX(U$1015:U1048)+1,0))),0)</f>
        <v>0</v>
      </c>
      <c r="V1049" s="27">
        <f t="shared" si="244"/>
        <v>6</v>
      </c>
      <c r="W1049" s="97">
        <f t="shared" si="251"/>
        <v>45332</v>
      </c>
      <c r="X1049" s="249" t="str">
        <f>IF(K$67=G$1086,IF(OR(U1049=1,AND(U1049&gt;0,U1049=(MAX(Y$1009:Y1048)+VLOOKUP(I$67,G$1076:H$1084,2,FALSE)))),"X",""),IF(AND(U1049&gt;0,U1049=(MAX(Y$1009:Y1048)+VLOOKUP(I$67,G$1076:H$1084,2,FALSE))),"X",""))</f>
        <v/>
      </c>
      <c r="Y1049" s="252">
        <f t="shared" si="252"/>
        <v>0</v>
      </c>
      <c r="Z1049" s="253">
        <f>IF(Y1049&gt;0,COUNTIF(Y$1009:Y1048,"&gt;0")+1,0)</f>
        <v>0</v>
      </c>
      <c r="AA1049" s="1"/>
      <c r="AB1049" s="255" t="str">
        <f t="shared" si="253"/>
        <v/>
      </c>
      <c r="AC1049" s="261" t="str">
        <f t="shared" si="246"/>
        <v/>
      </c>
      <c r="AD1049" s="258">
        <f>IF(Z1049&gt;0,COUNTIF(AC$1009:AC1048,AC1049)+1,0)</f>
        <v>0</v>
      </c>
      <c r="AE1049" s="258" t="str">
        <f t="shared" si="254"/>
        <v/>
      </c>
      <c r="AF1049" s="392" t="str">
        <f t="shared" si="247"/>
        <v/>
      </c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526">
        <f t="shared" ref="CN1049:CN1068" si="260">IF(ISERROR(E121),0,IF(AND(E121&gt;=CN$1,E121&lt;=CN$2),L121,0))</f>
        <v>0</v>
      </c>
      <c r="CO1049" s="122">
        <f t="shared" ref="CO1049:CO1068" si="261">IF(CN1049&lt;&gt;0,B$78,0)</f>
        <v>0</v>
      </c>
    </row>
    <row r="1050" spans="20:93" ht="16.5" hidden="1" customHeight="1">
      <c r="T1050" s="27">
        <f t="shared" si="259"/>
        <v>2</v>
      </c>
      <c r="U1050" s="247">
        <f>IF(OR(ISBLANK(F$68),AND(W1050&gt;(F$68-1),W1050&lt;(I$68+1))),IF(ISERROR(VLOOKUP(I$67,G$1076:G$1078,1,FALSE)),IF(K$67=G$1086,IF(MONTH(W1050)&lt;&gt;MONTH(W1049),MAX(U$1009:U1049)+1,0),IF(ISERROR(VLOOKUP(I$67,G$1079:G$1084,1,FALSE)),IF(V1050=1,MAX(U$1009:U1049)+1,0),IF(MONTH(W1051)&lt;&gt;MONTH(W1050),T1050,0))),IF(K$67=G$1086,IF(V1050=1,MAX(U$1009:U1049)+1,0),IF(V1050=7,MAX(U$1015:U1049)+1,0))),0)</f>
        <v>0</v>
      </c>
      <c r="V1050" s="27">
        <f t="shared" si="244"/>
        <v>7</v>
      </c>
      <c r="W1050" s="97">
        <f t="shared" si="251"/>
        <v>45333</v>
      </c>
      <c r="X1050" s="249" t="str">
        <f>IF(K$67=G$1086,IF(OR(U1050=1,AND(U1050&gt;0,U1050=(MAX(Y$1009:Y1049)+VLOOKUP(I$67,G$1076:H$1084,2,FALSE)))),"X",""),IF(AND(U1050&gt;0,U1050=(MAX(Y$1009:Y1049)+VLOOKUP(I$67,G$1076:H$1084,2,FALSE))),"X",""))</f>
        <v/>
      </c>
      <c r="Y1050" s="252">
        <f t="shared" si="252"/>
        <v>0</v>
      </c>
      <c r="Z1050" s="253">
        <f>IF(Y1050&gt;0,COUNTIF(Y$1009:Y1049,"&gt;0")+1,0)</f>
        <v>0</v>
      </c>
      <c r="AA1050" s="1"/>
      <c r="AB1050" s="255" t="str">
        <f t="shared" si="253"/>
        <v/>
      </c>
      <c r="AC1050" s="261" t="str">
        <f t="shared" si="246"/>
        <v/>
      </c>
      <c r="AD1050" s="258">
        <f>IF(Z1050&gt;0,COUNTIF(AC$1009:AC1049,AC1050)+1,0)</f>
        <v>0</v>
      </c>
      <c r="AE1050" s="258" t="str">
        <f t="shared" si="254"/>
        <v/>
      </c>
      <c r="AF1050" s="392" t="str">
        <f t="shared" si="247"/>
        <v/>
      </c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526">
        <f t="shared" si="260"/>
        <v>0</v>
      </c>
      <c r="CO1050" s="122">
        <f t="shared" si="261"/>
        <v>0</v>
      </c>
    </row>
    <row r="1051" spans="20:93" ht="16.5" hidden="1" customHeight="1">
      <c r="T1051" s="27">
        <f t="shared" si="259"/>
        <v>2</v>
      </c>
      <c r="U1051" s="247">
        <f>IF(OR(ISBLANK(F$68),AND(W1051&gt;(F$68-1),W1051&lt;(I$68+1))),IF(ISERROR(VLOOKUP(I$67,G$1076:G$1078,1,FALSE)),IF(K$67=G$1086,IF(MONTH(W1051)&lt;&gt;MONTH(W1050),MAX(U$1009:U1050)+1,0),IF(ISERROR(VLOOKUP(I$67,G$1079:G$1084,1,FALSE)),IF(V1051=1,MAX(U$1009:U1050)+1,0),IF(MONTH(W1052)&lt;&gt;MONTH(W1051),T1051,0))),IF(K$67=G$1086,IF(V1051=1,MAX(U$1009:U1050)+1,0),IF(V1051=7,MAX(U$1015:U1050)+1,0))),0)</f>
        <v>7</v>
      </c>
      <c r="V1051" s="27">
        <f t="shared" si="244"/>
        <v>1</v>
      </c>
      <c r="W1051" s="97">
        <f t="shared" si="251"/>
        <v>45334</v>
      </c>
      <c r="X1051" s="249" t="str">
        <f>IF(K$67=G$1086,IF(OR(U1051=1,AND(U1051&gt;0,U1051=(MAX(Y$1009:Y1050)+VLOOKUP(I$67,G$1076:H$1084,2,FALSE)))),"X",""),IF(AND(U1051&gt;0,U1051=(MAX(Y$1009:Y1050)+VLOOKUP(I$67,G$1076:H$1084,2,FALSE))),"X",""))</f>
        <v>X</v>
      </c>
      <c r="Y1051" s="252">
        <f t="shared" si="252"/>
        <v>7</v>
      </c>
      <c r="Z1051" s="253">
        <f>IF(Y1051&gt;0,COUNTIF(Y$1009:Y1050,"&gt;0")+1,0)</f>
        <v>4</v>
      </c>
      <c r="AA1051" s="1"/>
      <c r="AB1051" s="255">
        <f t="shared" si="253"/>
        <v>45334</v>
      </c>
      <c r="AC1051" s="261">
        <f t="shared" si="246"/>
        <v>2</v>
      </c>
      <c r="AD1051" s="258">
        <f>IF(Z1051&gt;0,COUNTIF(AC$1009:AC1050,AC1051)+1,0)</f>
        <v>1</v>
      </c>
      <c r="AE1051" s="258" t="str">
        <f t="shared" si="254"/>
        <v>2-1</v>
      </c>
      <c r="AF1051" s="392">
        <f t="shared" si="247"/>
        <v>45334</v>
      </c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526">
        <f t="shared" si="260"/>
        <v>0</v>
      </c>
      <c r="CO1051" s="122">
        <f t="shared" si="261"/>
        <v>0</v>
      </c>
    </row>
    <row r="1052" spans="20:93" ht="16.5" hidden="1" customHeight="1">
      <c r="T1052" s="27">
        <f t="shared" si="259"/>
        <v>2</v>
      </c>
      <c r="U1052" s="247">
        <f>IF(OR(ISBLANK(F$68),AND(W1052&gt;(F$68-1),W1052&lt;(I$68+1))),IF(ISERROR(VLOOKUP(I$67,G$1076:G$1078,1,FALSE)),IF(K$67=G$1086,IF(MONTH(W1052)&lt;&gt;MONTH(W1051),MAX(U$1009:U1051)+1,0),IF(ISERROR(VLOOKUP(I$67,G$1079:G$1084,1,FALSE)),IF(V1052=1,MAX(U$1009:U1051)+1,0),IF(MONTH(W1053)&lt;&gt;MONTH(W1052),T1052,0))),IF(K$67=G$1086,IF(V1052=1,MAX(U$1009:U1051)+1,0),IF(V1052=7,MAX(U$1015:U1051)+1,0))),0)</f>
        <v>0</v>
      </c>
      <c r="V1052" s="27">
        <f t="shared" si="244"/>
        <v>2</v>
      </c>
      <c r="W1052" s="97">
        <f t="shared" si="251"/>
        <v>45335</v>
      </c>
      <c r="X1052" s="249" t="str">
        <f>IF(K$67=G$1086,IF(OR(U1052=1,AND(U1052&gt;0,U1052=(MAX(Y$1009:Y1051)+VLOOKUP(I$67,G$1076:H$1084,2,FALSE)))),"X",""),IF(AND(U1052&gt;0,U1052=(MAX(Y$1009:Y1051)+VLOOKUP(I$67,G$1076:H$1084,2,FALSE))),"X",""))</f>
        <v/>
      </c>
      <c r="Y1052" s="252">
        <f t="shared" si="252"/>
        <v>0</v>
      </c>
      <c r="Z1052" s="253">
        <f>IF(Y1052&gt;0,COUNTIF(Y$1009:Y1051,"&gt;0")+1,0)</f>
        <v>0</v>
      </c>
      <c r="AA1052" s="1"/>
      <c r="AB1052" s="255" t="str">
        <f t="shared" si="253"/>
        <v/>
      </c>
      <c r="AC1052" s="261" t="str">
        <f t="shared" si="246"/>
        <v/>
      </c>
      <c r="AD1052" s="258">
        <f>IF(Z1052&gt;0,COUNTIF(AC$1009:AC1051,AC1052)+1,0)</f>
        <v>0</v>
      </c>
      <c r="AE1052" s="258" t="str">
        <f t="shared" si="254"/>
        <v/>
      </c>
      <c r="AF1052" s="392" t="str">
        <f t="shared" si="247"/>
        <v/>
      </c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526">
        <f t="shared" si="260"/>
        <v>0</v>
      </c>
      <c r="CO1052" s="122">
        <f t="shared" si="261"/>
        <v>0</v>
      </c>
    </row>
    <row r="1053" spans="20:93" ht="16.5" hidden="1" customHeight="1">
      <c r="T1053" s="27">
        <f t="shared" si="259"/>
        <v>2</v>
      </c>
      <c r="U1053" s="247">
        <f>IF(OR(ISBLANK(F$68),AND(W1053&gt;(F$68-1),W1053&lt;(I$68+1))),IF(ISERROR(VLOOKUP(I$67,G$1076:G$1078,1,FALSE)),IF(K$67=G$1086,IF(MONTH(W1053)&lt;&gt;MONTH(W1052),MAX(U$1009:U1052)+1,0),IF(ISERROR(VLOOKUP(I$67,G$1079:G$1084,1,FALSE)),IF(V1053=1,MAX(U$1009:U1052)+1,0),IF(MONTH(W1054)&lt;&gt;MONTH(W1053),T1053,0))),IF(K$67=G$1086,IF(V1053=1,MAX(U$1009:U1052)+1,0),IF(V1053=7,MAX(U$1015:U1052)+1,0))),0)</f>
        <v>0</v>
      </c>
      <c r="V1053" s="27">
        <f t="shared" si="244"/>
        <v>3</v>
      </c>
      <c r="W1053" s="97">
        <f t="shared" si="251"/>
        <v>45336</v>
      </c>
      <c r="X1053" s="249" t="str">
        <f>IF(K$67=G$1086,IF(OR(U1053=1,AND(U1053&gt;0,U1053=(MAX(Y$1009:Y1052)+VLOOKUP(I$67,G$1076:H$1084,2,FALSE)))),"X",""),IF(AND(U1053&gt;0,U1053=(MAX(Y$1009:Y1052)+VLOOKUP(I$67,G$1076:H$1084,2,FALSE))),"X",""))</f>
        <v/>
      </c>
      <c r="Y1053" s="252">
        <f t="shared" si="252"/>
        <v>0</v>
      </c>
      <c r="Z1053" s="253">
        <f>IF(Y1053&gt;0,COUNTIF(Y$1009:Y1052,"&gt;0")+1,0)</f>
        <v>0</v>
      </c>
      <c r="AA1053" s="1"/>
      <c r="AB1053" s="255" t="str">
        <f t="shared" si="253"/>
        <v/>
      </c>
      <c r="AC1053" s="261" t="str">
        <f t="shared" si="246"/>
        <v/>
      </c>
      <c r="AD1053" s="258">
        <f>IF(Z1053&gt;0,COUNTIF(AC$1009:AC1052,AC1053)+1,0)</f>
        <v>0</v>
      </c>
      <c r="AE1053" s="258" t="str">
        <f t="shared" si="254"/>
        <v/>
      </c>
      <c r="AF1053" s="392" t="str">
        <f t="shared" si="247"/>
        <v/>
      </c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526">
        <f t="shared" si="260"/>
        <v>0</v>
      </c>
      <c r="CO1053" s="122">
        <f t="shared" si="261"/>
        <v>0</v>
      </c>
    </row>
    <row r="1054" spans="20:93" ht="16.5" hidden="1" customHeight="1">
      <c r="T1054" s="27">
        <f t="shared" si="259"/>
        <v>2</v>
      </c>
      <c r="U1054" s="247">
        <f>IF(OR(ISBLANK(F$68),AND(W1054&gt;(F$68-1),W1054&lt;(I$68+1))),IF(ISERROR(VLOOKUP(I$67,G$1076:G$1078,1,FALSE)),IF(K$67=G$1086,IF(MONTH(W1054)&lt;&gt;MONTH(W1053),MAX(U$1009:U1053)+1,0),IF(ISERROR(VLOOKUP(I$67,G$1079:G$1084,1,FALSE)),IF(V1054=1,MAX(U$1009:U1053)+1,0),IF(MONTH(W1055)&lt;&gt;MONTH(W1054),T1054,0))),IF(K$67=G$1086,IF(V1054=1,MAX(U$1009:U1053)+1,0),IF(V1054=7,MAX(U$1015:U1053)+1,0))),0)</f>
        <v>0</v>
      </c>
      <c r="V1054" s="27">
        <f t="shared" si="244"/>
        <v>4</v>
      </c>
      <c r="W1054" s="97">
        <f t="shared" si="251"/>
        <v>45337</v>
      </c>
      <c r="X1054" s="249" t="str">
        <f>IF(K$67=G$1086,IF(OR(U1054=1,AND(U1054&gt;0,U1054=(MAX(Y$1009:Y1053)+VLOOKUP(I$67,G$1076:H$1084,2,FALSE)))),"X",""),IF(AND(U1054&gt;0,U1054=(MAX(Y$1009:Y1053)+VLOOKUP(I$67,G$1076:H$1084,2,FALSE))),"X",""))</f>
        <v/>
      </c>
      <c r="Y1054" s="252">
        <f t="shared" si="252"/>
        <v>0</v>
      </c>
      <c r="Z1054" s="253">
        <f>IF(Y1054&gt;0,COUNTIF(Y$1009:Y1053,"&gt;0")+1,0)</f>
        <v>0</v>
      </c>
      <c r="AA1054" s="1"/>
      <c r="AB1054" s="255" t="str">
        <f t="shared" si="253"/>
        <v/>
      </c>
      <c r="AC1054" s="261" t="str">
        <f t="shared" si="246"/>
        <v/>
      </c>
      <c r="AD1054" s="258">
        <f>IF(Z1054&gt;0,COUNTIF(AC$1009:AC1053,AC1054)+1,0)</f>
        <v>0</v>
      </c>
      <c r="AE1054" s="258" t="str">
        <f t="shared" si="254"/>
        <v/>
      </c>
      <c r="AF1054" s="392" t="str">
        <f t="shared" si="247"/>
        <v/>
      </c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526">
        <f t="shared" si="260"/>
        <v>0</v>
      </c>
      <c r="CO1054" s="122">
        <f t="shared" si="261"/>
        <v>0</v>
      </c>
    </row>
    <row r="1055" spans="20:93" ht="16.5" hidden="1" customHeight="1">
      <c r="T1055" s="27">
        <f t="shared" si="259"/>
        <v>2</v>
      </c>
      <c r="U1055" s="247">
        <f>IF(OR(ISBLANK(F$68),AND(W1055&gt;(F$68-1),W1055&lt;(I$68+1))),IF(ISERROR(VLOOKUP(I$67,G$1076:G$1078,1,FALSE)),IF(K$67=G$1086,IF(MONTH(W1055)&lt;&gt;MONTH(W1054),MAX(U$1009:U1054)+1,0),IF(ISERROR(VLOOKUP(I$67,G$1079:G$1084,1,FALSE)),IF(V1055=1,MAX(U$1009:U1054)+1,0),IF(MONTH(W1056)&lt;&gt;MONTH(W1055),T1055,0))),IF(K$67=G$1086,IF(V1055=1,MAX(U$1009:U1054)+1,0),IF(V1055=7,MAX(U$1015:U1054)+1,0))),0)</f>
        <v>0</v>
      </c>
      <c r="V1055" s="27">
        <f t="shared" si="244"/>
        <v>5</v>
      </c>
      <c r="W1055" s="97">
        <f t="shared" si="251"/>
        <v>45338</v>
      </c>
      <c r="X1055" s="249" t="str">
        <f>IF(K$67=G$1086,IF(OR(U1055=1,AND(U1055&gt;0,U1055=(MAX(Y$1009:Y1054)+VLOOKUP(I$67,G$1076:H$1084,2,FALSE)))),"X",""),IF(AND(U1055&gt;0,U1055=(MAX(Y$1009:Y1054)+VLOOKUP(I$67,G$1076:H$1084,2,FALSE))),"X",""))</f>
        <v/>
      </c>
      <c r="Y1055" s="252">
        <f t="shared" si="252"/>
        <v>0</v>
      </c>
      <c r="Z1055" s="253">
        <f>IF(Y1055&gt;0,COUNTIF(Y$1009:Y1054,"&gt;0")+1,0)</f>
        <v>0</v>
      </c>
      <c r="AA1055" s="1"/>
      <c r="AB1055" s="255" t="str">
        <f t="shared" si="253"/>
        <v/>
      </c>
      <c r="AC1055" s="261" t="str">
        <f t="shared" si="246"/>
        <v/>
      </c>
      <c r="AD1055" s="258">
        <f>IF(Z1055&gt;0,COUNTIF(AC$1009:AC1054,AC1055)+1,0)</f>
        <v>0</v>
      </c>
      <c r="AE1055" s="258" t="str">
        <f t="shared" si="254"/>
        <v/>
      </c>
      <c r="AF1055" s="392" t="str">
        <f t="shared" si="247"/>
        <v/>
      </c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526">
        <f t="shared" si="260"/>
        <v>0</v>
      </c>
      <c r="CO1055" s="122">
        <f t="shared" si="261"/>
        <v>0</v>
      </c>
    </row>
    <row r="1056" spans="20:93" ht="16.5" hidden="1" customHeight="1">
      <c r="T1056" s="27">
        <f t="shared" si="259"/>
        <v>2</v>
      </c>
      <c r="U1056" s="247">
        <f>IF(OR(ISBLANK(F$68),AND(W1056&gt;(F$68-1),W1056&lt;(I$68+1))),IF(ISERROR(VLOOKUP(I$67,G$1076:G$1078,1,FALSE)),IF(K$67=G$1086,IF(MONTH(W1056)&lt;&gt;MONTH(W1055),MAX(U$1009:U1055)+1,0),IF(ISERROR(VLOOKUP(I$67,G$1079:G$1084,1,FALSE)),IF(V1056=1,MAX(U$1009:U1055)+1,0),IF(MONTH(W1057)&lt;&gt;MONTH(W1056),T1056,0))),IF(K$67=G$1086,IF(V1056=1,MAX(U$1009:U1055)+1,0),IF(V1056=7,MAX(U$1015:U1055)+1,0))),0)</f>
        <v>0</v>
      </c>
      <c r="V1056" s="27">
        <f t="shared" si="244"/>
        <v>6</v>
      </c>
      <c r="W1056" s="97">
        <f t="shared" si="251"/>
        <v>45339</v>
      </c>
      <c r="X1056" s="249" t="str">
        <f>IF(K$67=G$1086,IF(OR(U1056=1,AND(U1056&gt;0,U1056=(MAX(Y$1009:Y1055)+VLOOKUP(I$67,G$1076:H$1084,2,FALSE)))),"X",""),IF(AND(U1056&gt;0,U1056=(MAX(Y$1009:Y1055)+VLOOKUP(I$67,G$1076:H$1084,2,FALSE))),"X",""))</f>
        <v/>
      </c>
      <c r="Y1056" s="252">
        <f t="shared" si="252"/>
        <v>0</v>
      </c>
      <c r="Z1056" s="253">
        <f>IF(Y1056&gt;0,COUNTIF(Y$1009:Y1055,"&gt;0")+1,0)</f>
        <v>0</v>
      </c>
      <c r="AA1056" s="1"/>
      <c r="AB1056" s="255" t="str">
        <f t="shared" si="253"/>
        <v/>
      </c>
      <c r="AC1056" s="261" t="str">
        <f t="shared" si="246"/>
        <v/>
      </c>
      <c r="AD1056" s="258">
        <f>IF(Z1056&gt;0,COUNTIF(AC$1009:AC1055,AC1056)+1,0)</f>
        <v>0</v>
      </c>
      <c r="AE1056" s="258" t="str">
        <f t="shared" si="254"/>
        <v/>
      </c>
      <c r="AF1056" s="392" t="str">
        <f t="shared" si="247"/>
        <v/>
      </c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526">
        <f t="shared" si="260"/>
        <v>0</v>
      </c>
      <c r="CO1056" s="122">
        <f t="shared" si="261"/>
        <v>0</v>
      </c>
    </row>
    <row r="1057" spans="20:93" ht="16.5" hidden="1" customHeight="1">
      <c r="T1057" s="27">
        <f t="shared" si="259"/>
        <v>2</v>
      </c>
      <c r="U1057" s="247">
        <f>IF(OR(ISBLANK(F$68),AND(W1057&gt;(F$68-1),W1057&lt;(I$68+1))),IF(ISERROR(VLOOKUP(I$67,G$1076:G$1078,1,FALSE)),IF(K$67=G$1086,IF(MONTH(W1057)&lt;&gt;MONTH(W1056),MAX(U$1009:U1056)+1,0),IF(ISERROR(VLOOKUP(I$67,G$1079:G$1084,1,FALSE)),IF(V1057=1,MAX(U$1009:U1056)+1,0),IF(MONTH(W1058)&lt;&gt;MONTH(W1057),T1057,0))),IF(K$67=G$1086,IF(V1057=1,MAX(U$1009:U1056)+1,0),IF(V1057=7,MAX(U$1015:U1056)+1,0))),0)</f>
        <v>0</v>
      </c>
      <c r="V1057" s="27">
        <f t="shared" si="244"/>
        <v>7</v>
      </c>
      <c r="W1057" s="97">
        <f t="shared" si="251"/>
        <v>45340</v>
      </c>
      <c r="X1057" s="249" t="str">
        <f>IF(K$67=G$1086,IF(OR(U1057=1,AND(U1057&gt;0,U1057=(MAX(Y$1009:Y1056)+VLOOKUP(I$67,G$1076:H$1084,2,FALSE)))),"X",""),IF(AND(U1057&gt;0,U1057=(MAX(Y$1009:Y1056)+VLOOKUP(I$67,G$1076:H$1084,2,FALSE))),"X",""))</f>
        <v/>
      </c>
      <c r="Y1057" s="252">
        <f t="shared" si="252"/>
        <v>0</v>
      </c>
      <c r="Z1057" s="253">
        <f>IF(Y1057&gt;0,COUNTIF(Y$1009:Y1056,"&gt;0")+1,0)</f>
        <v>0</v>
      </c>
      <c r="AA1057" s="1"/>
      <c r="AB1057" s="255" t="str">
        <f t="shared" si="253"/>
        <v/>
      </c>
      <c r="AC1057" s="261" t="str">
        <f t="shared" si="246"/>
        <v/>
      </c>
      <c r="AD1057" s="258">
        <f>IF(Z1057&gt;0,COUNTIF(AC$1009:AC1056,AC1057)+1,0)</f>
        <v>0</v>
      </c>
      <c r="AE1057" s="258" t="str">
        <f t="shared" si="254"/>
        <v/>
      </c>
      <c r="AF1057" s="392" t="str">
        <f t="shared" si="247"/>
        <v/>
      </c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526">
        <f t="shared" si="260"/>
        <v>0</v>
      </c>
      <c r="CO1057" s="122">
        <f t="shared" si="261"/>
        <v>0</v>
      </c>
    </row>
    <row r="1058" spans="20:93" ht="16.5" hidden="1" customHeight="1">
      <c r="T1058" s="27">
        <f t="shared" si="259"/>
        <v>2</v>
      </c>
      <c r="U1058" s="247">
        <f>IF(OR(ISBLANK(F$68),AND(W1058&gt;(F$68-1),W1058&lt;(I$68+1))),IF(ISERROR(VLOOKUP(I$67,G$1076:G$1078,1,FALSE)),IF(K$67=G$1086,IF(MONTH(W1058)&lt;&gt;MONTH(W1057),MAX(U$1009:U1057)+1,0),IF(ISERROR(VLOOKUP(I$67,G$1079:G$1084,1,FALSE)),IF(V1058=1,MAX(U$1009:U1057)+1,0),IF(MONTH(W1059)&lt;&gt;MONTH(W1058),T1058,0))),IF(K$67=G$1086,IF(V1058=1,MAX(U$1009:U1057)+1,0),IF(V1058=7,MAX(U$1015:U1057)+1,0))),0)</f>
        <v>8</v>
      </c>
      <c r="V1058" s="27">
        <f t="shared" si="244"/>
        <v>1</v>
      </c>
      <c r="W1058" s="97">
        <f t="shared" si="251"/>
        <v>45341</v>
      </c>
      <c r="X1058" s="249" t="str">
        <f>IF(K$67=G$1086,IF(OR(U1058=1,AND(U1058&gt;0,U1058=(MAX(Y$1009:Y1057)+VLOOKUP(I$67,G$1076:H$1084,2,FALSE)))),"X",""),IF(AND(U1058&gt;0,U1058=(MAX(Y$1009:Y1057)+VLOOKUP(I$67,G$1076:H$1084,2,FALSE))),"X",""))</f>
        <v/>
      </c>
      <c r="Y1058" s="252">
        <f t="shared" si="252"/>
        <v>0</v>
      </c>
      <c r="Z1058" s="253">
        <f>IF(Y1058&gt;0,COUNTIF(Y$1009:Y1057,"&gt;0")+1,0)</f>
        <v>0</v>
      </c>
      <c r="AA1058" s="1"/>
      <c r="AB1058" s="255" t="str">
        <f t="shared" si="253"/>
        <v/>
      </c>
      <c r="AC1058" s="261" t="str">
        <f t="shared" si="246"/>
        <v/>
      </c>
      <c r="AD1058" s="258">
        <f>IF(Z1058&gt;0,COUNTIF(AC$1009:AC1057,AC1058)+1,0)</f>
        <v>0</v>
      </c>
      <c r="AE1058" s="258" t="str">
        <f t="shared" si="254"/>
        <v/>
      </c>
      <c r="AF1058" s="392" t="str">
        <f t="shared" si="247"/>
        <v/>
      </c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526">
        <f t="shared" si="260"/>
        <v>0</v>
      </c>
      <c r="CO1058" s="122">
        <f t="shared" si="261"/>
        <v>0</v>
      </c>
    </row>
    <row r="1059" spans="20:93" ht="16.5" hidden="1" customHeight="1">
      <c r="T1059" s="27">
        <f t="shared" si="259"/>
        <v>2</v>
      </c>
      <c r="U1059" s="247">
        <f>IF(OR(ISBLANK(F$68),AND(W1059&gt;(F$68-1),W1059&lt;(I$68+1))),IF(ISERROR(VLOOKUP(I$67,G$1076:G$1078,1,FALSE)),IF(K$67=G$1086,IF(MONTH(W1059)&lt;&gt;MONTH(W1058),MAX(U$1009:U1058)+1,0),IF(ISERROR(VLOOKUP(I$67,G$1079:G$1084,1,FALSE)),IF(V1059=1,MAX(U$1009:U1058)+1,0),IF(MONTH(W1060)&lt;&gt;MONTH(W1059),T1059,0))),IF(K$67=G$1086,IF(V1059=1,MAX(U$1009:U1058)+1,0),IF(V1059=7,MAX(U$1015:U1058)+1,0))),0)</f>
        <v>0</v>
      </c>
      <c r="V1059" s="27">
        <f t="shared" si="244"/>
        <v>2</v>
      </c>
      <c r="W1059" s="97">
        <f t="shared" si="251"/>
        <v>45342</v>
      </c>
      <c r="X1059" s="249" t="str">
        <f>IF(K$67=G$1086,IF(OR(U1059=1,AND(U1059&gt;0,U1059=(MAX(Y$1009:Y1058)+VLOOKUP(I$67,G$1076:H$1084,2,FALSE)))),"X",""),IF(AND(U1059&gt;0,U1059=(MAX(Y$1009:Y1058)+VLOOKUP(I$67,G$1076:H$1084,2,FALSE))),"X",""))</f>
        <v/>
      </c>
      <c r="Y1059" s="252">
        <f t="shared" si="252"/>
        <v>0</v>
      </c>
      <c r="Z1059" s="253">
        <f>IF(Y1059&gt;0,COUNTIF(Y$1009:Y1058,"&gt;0")+1,0)</f>
        <v>0</v>
      </c>
      <c r="AA1059" s="1"/>
      <c r="AB1059" s="255" t="str">
        <f t="shared" si="253"/>
        <v/>
      </c>
      <c r="AC1059" s="261" t="str">
        <f t="shared" si="246"/>
        <v/>
      </c>
      <c r="AD1059" s="258">
        <f>IF(Z1059&gt;0,COUNTIF(AC$1009:AC1058,AC1059)+1,0)</f>
        <v>0</v>
      </c>
      <c r="AE1059" s="258" t="str">
        <f t="shared" si="254"/>
        <v/>
      </c>
      <c r="AF1059" s="392" t="str">
        <f t="shared" si="247"/>
        <v/>
      </c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526">
        <f t="shared" si="260"/>
        <v>0</v>
      </c>
      <c r="CO1059" s="122">
        <f t="shared" si="261"/>
        <v>0</v>
      </c>
    </row>
    <row r="1060" spans="20:93" ht="16.5" hidden="1" customHeight="1">
      <c r="T1060" s="27">
        <f t="shared" si="259"/>
        <v>2</v>
      </c>
      <c r="U1060" s="247">
        <f>IF(OR(ISBLANK(F$68),AND(W1060&gt;(F$68-1),W1060&lt;(I$68+1))),IF(ISERROR(VLOOKUP(I$67,G$1076:G$1078,1,FALSE)),IF(K$67=G$1086,IF(MONTH(W1060)&lt;&gt;MONTH(W1059),MAX(U$1009:U1059)+1,0),IF(ISERROR(VLOOKUP(I$67,G$1079:G$1084,1,FALSE)),IF(V1060=1,MAX(U$1009:U1059)+1,0),IF(MONTH(W1061)&lt;&gt;MONTH(W1060),T1060,0))),IF(K$67=G$1086,IF(V1060=1,MAX(U$1009:U1059)+1,0),IF(V1060=7,MAX(U$1015:U1059)+1,0))),0)</f>
        <v>0</v>
      </c>
      <c r="V1060" s="27">
        <f t="shared" si="244"/>
        <v>3</v>
      </c>
      <c r="W1060" s="97">
        <f t="shared" si="251"/>
        <v>45343</v>
      </c>
      <c r="X1060" s="249" t="str">
        <f>IF(K$67=G$1086,IF(OR(U1060=1,AND(U1060&gt;0,U1060=(MAX(Y$1009:Y1059)+VLOOKUP(I$67,G$1076:H$1084,2,FALSE)))),"X",""),IF(AND(U1060&gt;0,U1060=(MAX(Y$1009:Y1059)+VLOOKUP(I$67,G$1076:H$1084,2,FALSE))),"X",""))</f>
        <v/>
      </c>
      <c r="Y1060" s="252">
        <f t="shared" si="252"/>
        <v>0</v>
      </c>
      <c r="Z1060" s="253">
        <f>IF(Y1060&gt;0,COUNTIF(Y$1009:Y1059,"&gt;0")+1,0)</f>
        <v>0</v>
      </c>
      <c r="AA1060" s="1"/>
      <c r="AB1060" s="255" t="str">
        <f t="shared" si="253"/>
        <v/>
      </c>
      <c r="AC1060" s="261" t="str">
        <f t="shared" si="246"/>
        <v/>
      </c>
      <c r="AD1060" s="258">
        <f>IF(Z1060&gt;0,COUNTIF(AC$1009:AC1059,AC1060)+1,0)</f>
        <v>0</v>
      </c>
      <c r="AE1060" s="258" t="str">
        <f t="shared" si="254"/>
        <v/>
      </c>
      <c r="AF1060" s="392" t="str">
        <f t="shared" si="247"/>
        <v/>
      </c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526">
        <f t="shared" si="260"/>
        <v>0</v>
      </c>
      <c r="CO1060" s="122">
        <f t="shared" si="261"/>
        <v>0</v>
      </c>
    </row>
    <row r="1061" spans="20:93" ht="16.5" hidden="1" customHeight="1">
      <c r="T1061" s="27">
        <f t="shared" si="259"/>
        <v>2</v>
      </c>
      <c r="U1061" s="247">
        <f>IF(OR(ISBLANK(F$68),AND(W1061&gt;(F$68-1),W1061&lt;(I$68+1))),IF(ISERROR(VLOOKUP(I$67,G$1076:G$1078,1,FALSE)),IF(K$67=G$1086,IF(MONTH(W1061)&lt;&gt;MONTH(W1060),MAX(U$1009:U1060)+1,0),IF(ISERROR(VLOOKUP(I$67,G$1079:G$1084,1,FALSE)),IF(V1061=1,MAX(U$1009:U1060)+1,0),IF(MONTH(W1062)&lt;&gt;MONTH(W1061),T1061,0))),IF(K$67=G$1086,IF(V1061=1,MAX(U$1009:U1060)+1,0),IF(V1061=7,MAX(U$1015:U1060)+1,0))),0)</f>
        <v>0</v>
      </c>
      <c r="V1061" s="27">
        <f t="shared" si="244"/>
        <v>4</v>
      </c>
      <c r="W1061" s="97">
        <f t="shared" si="251"/>
        <v>45344</v>
      </c>
      <c r="X1061" s="249" t="str">
        <f>IF(K$67=G$1086,IF(OR(U1061=1,AND(U1061&gt;0,U1061=(MAX(Y$1009:Y1060)+VLOOKUP(I$67,G$1076:H$1084,2,FALSE)))),"X",""),IF(AND(U1061&gt;0,U1061=(MAX(Y$1009:Y1060)+VLOOKUP(I$67,G$1076:H$1084,2,FALSE))),"X",""))</f>
        <v/>
      </c>
      <c r="Y1061" s="252">
        <f t="shared" si="252"/>
        <v>0</v>
      </c>
      <c r="Z1061" s="253">
        <f>IF(Y1061&gt;0,COUNTIF(Y$1009:Y1060,"&gt;0")+1,0)</f>
        <v>0</v>
      </c>
      <c r="AA1061" s="1"/>
      <c r="AB1061" s="255" t="str">
        <f t="shared" si="253"/>
        <v/>
      </c>
      <c r="AC1061" s="261" t="str">
        <f t="shared" si="246"/>
        <v/>
      </c>
      <c r="AD1061" s="258">
        <f>IF(Z1061&gt;0,COUNTIF(AC$1009:AC1060,AC1061)+1,0)</f>
        <v>0</v>
      </c>
      <c r="AE1061" s="258" t="str">
        <f t="shared" si="254"/>
        <v/>
      </c>
      <c r="AF1061" s="392" t="str">
        <f t="shared" si="247"/>
        <v/>
      </c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526">
        <f t="shared" si="260"/>
        <v>0</v>
      </c>
      <c r="CO1061" s="122">
        <f t="shared" si="261"/>
        <v>0</v>
      </c>
    </row>
    <row r="1062" spans="20:93" ht="16.5" hidden="1" customHeight="1">
      <c r="T1062" s="27">
        <f t="shared" si="259"/>
        <v>2</v>
      </c>
      <c r="U1062" s="247">
        <f>IF(OR(ISBLANK(F$68),AND(W1062&gt;(F$68-1),W1062&lt;(I$68+1))),IF(ISERROR(VLOOKUP(I$67,G$1076:G$1078,1,FALSE)),IF(K$67=G$1086,IF(MONTH(W1062)&lt;&gt;MONTH(W1061),MAX(U$1009:U1061)+1,0),IF(ISERROR(VLOOKUP(I$67,G$1079:G$1084,1,FALSE)),IF(V1062=1,MAX(U$1009:U1061)+1,0),IF(MONTH(W1063)&lt;&gt;MONTH(W1062),T1062,0))),IF(K$67=G$1086,IF(V1062=1,MAX(U$1009:U1061)+1,0),IF(V1062=7,MAX(U$1015:U1061)+1,0))),0)</f>
        <v>0</v>
      </c>
      <c r="V1062" s="27">
        <f t="shared" si="244"/>
        <v>5</v>
      </c>
      <c r="W1062" s="97">
        <f t="shared" si="251"/>
        <v>45345</v>
      </c>
      <c r="X1062" s="249" t="str">
        <f>IF(K$67=G$1086,IF(OR(U1062=1,AND(U1062&gt;0,U1062=(MAX(Y$1009:Y1061)+VLOOKUP(I$67,G$1076:H$1084,2,FALSE)))),"X",""),IF(AND(U1062&gt;0,U1062=(MAX(Y$1009:Y1061)+VLOOKUP(I$67,G$1076:H$1084,2,FALSE))),"X",""))</f>
        <v/>
      </c>
      <c r="Y1062" s="252">
        <f t="shared" si="252"/>
        <v>0</v>
      </c>
      <c r="Z1062" s="253">
        <f>IF(Y1062&gt;0,COUNTIF(Y$1009:Y1061,"&gt;0")+1,0)</f>
        <v>0</v>
      </c>
      <c r="AA1062" s="1"/>
      <c r="AB1062" s="255" t="str">
        <f t="shared" si="253"/>
        <v/>
      </c>
      <c r="AC1062" s="261" t="str">
        <f t="shared" si="246"/>
        <v/>
      </c>
      <c r="AD1062" s="258">
        <f>IF(Z1062&gt;0,COUNTIF(AC$1009:AC1061,AC1062)+1,0)</f>
        <v>0</v>
      </c>
      <c r="AE1062" s="258" t="str">
        <f t="shared" si="254"/>
        <v/>
      </c>
      <c r="AF1062" s="392" t="str">
        <f t="shared" si="247"/>
        <v/>
      </c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526">
        <f t="shared" si="260"/>
        <v>0</v>
      </c>
      <c r="CO1062" s="122">
        <f t="shared" si="261"/>
        <v>0</v>
      </c>
    </row>
    <row r="1063" spans="20:93" ht="16.5" hidden="1" customHeight="1">
      <c r="T1063" s="27">
        <f t="shared" si="259"/>
        <v>2</v>
      </c>
      <c r="U1063" s="247">
        <f>IF(OR(ISBLANK(F$68),AND(W1063&gt;(F$68-1),W1063&lt;(I$68+1))),IF(ISERROR(VLOOKUP(I$67,G$1076:G$1078,1,FALSE)),IF(K$67=G$1086,IF(MONTH(W1063)&lt;&gt;MONTH(W1062),MAX(U$1009:U1062)+1,0),IF(ISERROR(VLOOKUP(I$67,G$1079:G$1084,1,FALSE)),IF(V1063=1,MAX(U$1009:U1062)+1,0),IF(MONTH(W1064)&lt;&gt;MONTH(W1063),T1063,0))),IF(K$67=G$1086,IF(V1063=1,MAX(U$1009:U1062)+1,0),IF(V1063=7,MAX(U$1015:U1062)+1,0))),0)</f>
        <v>0</v>
      </c>
      <c r="V1063" s="27">
        <f t="shared" si="244"/>
        <v>6</v>
      </c>
      <c r="W1063" s="97">
        <f t="shared" si="251"/>
        <v>45346</v>
      </c>
      <c r="X1063" s="249" t="str">
        <f>IF(K$67=G$1086,IF(OR(U1063=1,AND(U1063&gt;0,U1063=(MAX(Y$1009:Y1062)+VLOOKUP(I$67,G$1076:H$1084,2,FALSE)))),"X",""),IF(AND(U1063&gt;0,U1063=(MAX(Y$1009:Y1062)+VLOOKUP(I$67,G$1076:H$1084,2,FALSE))),"X",""))</f>
        <v/>
      </c>
      <c r="Y1063" s="252">
        <f t="shared" si="252"/>
        <v>0</v>
      </c>
      <c r="Z1063" s="253">
        <f>IF(Y1063&gt;0,COUNTIF(Y$1009:Y1062,"&gt;0")+1,0)</f>
        <v>0</v>
      </c>
      <c r="AA1063" s="1"/>
      <c r="AB1063" s="255" t="str">
        <f t="shared" si="253"/>
        <v/>
      </c>
      <c r="AC1063" s="261" t="str">
        <f t="shared" si="246"/>
        <v/>
      </c>
      <c r="AD1063" s="258">
        <f>IF(Z1063&gt;0,COUNTIF(AC$1009:AC1062,AC1063)+1,0)</f>
        <v>0</v>
      </c>
      <c r="AE1063" s="258" t="str">
        <f t="shared" si="254"/>
        <v/>
      </c>
      <c r="AF1063" s="392" t="str">
        <f t="shared" si="247"/>
        <v/>
      </c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526">
        <f t="shared" si="260"/>
        <v>0</v>
      </c>
      <c r="CO1063" s="122">
        <f t="shared" si="261"/>
        <v>0</v>
      </c>
    </row>
    <row r="1064" spans="20:93" ht="16.5" hidden="1" customHeight="1">
      <c r="T1064" s="27">
        <f t="shared" si="259"/>
        <v>2</v>
      </c>
      <c r="U1064" s="247">
        <f>IF(OR(ISBLANK(F$68),AND(W1064&gt;(F$68-1),W1064&lt;(I$68+1))),IF(ISERROR(VLOOKUP(I$67,G$1076:G$1078,1,FALSE)),IF(K$67=G$1086,IF(MONTH(W1064)&lt;&gt;MONTH(W1063),MAX(U$1009:U1063)+1,0),IF(ISERROR(VLOOKUP(I$67,G$1079:G$1084,1,FALSE)),IF(V1064=1,MAX(U$1009:U1063)+1,0),IF(MONTH(W1065)&lt;&gt;MONTH(W1064),T1064,0))),IF(K$67=G$1086,IF(V1064=1,MAX(U$1009:U1063)+1,0),IF(V1064=7,MAX(U$1015:U1063)+1,0))),0)</f>
        <v>0</v>
      </c>
      <c r="V1064" s="27">
        <f t="shared" si="244"/>
        <v>7</v>
      </c>
      <c r="W1064" s="97">
        <f t="shared" si="251"/>
        <v>45347</v>
      </c>
      <c r="X1064" s="249" t="str">
        <f>IF(K$67=G$1086,IF(OR(U1064=1,AND(U1064&gt;0,U1064=(MAX(Y$1009:Y1063)+VLOOKUP(I$67,G$1076:H$1084,2,FALSE)))),"X",""),IF(AND(U1064&gt;0,U1064=(MAX(Y$1009:Y1063)+VLOOKUP(I$67,G$1076:H$1084,2,FALSE))),"X",""))</f>
        <v/>
      </c>
      <c r="Y1064" s="252">
        <f t="shared" si="252"/>
        <v>0</v>
      </c>
      <c r="Z1064" s="253">
        <f>IF(Y1064&gt;0,COUNTIF(Y$1009:Y1063,"&gt;0")+1,0)</f>
        <v>0</v>
      </c>
      <c r="AA1064" s="1"/>
      <c r="AB1064" s="255" t="str">
        <f t="shared" si="253"/>
        <v/>
      </c>
      <c r="AC1064" s="261" t="str">
        <f t="shared" si="246"/>
        <v/>
      </c>
      <c r="AD1064" s="258">
        <f>IF(Z1064&gt;0,COUNTIF(AC$1009:AC1063,AC1064)+1,0)</f>
        <v>0</v>
      </c>
      <c r="AE1064" s="258" t="str">
        <f t="shared" si="254"/>
        <v/>
      </c>
      <c r="AF1064" s="392" t="str">
        <f t="shared" si="247"/>
        <v/>
      </c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526">
        <f t="shared" si="260"/>
        <v>0</v>
      </c>
      <c r="CO1064" s="122">
        <f t="shared" si="261"/>
        <v>0</v>
      </c>
    </row>
    <row r="1065" spans="20:93" ht="16.5" hidden="1" customHeight="1">
      <c r="T1065" s="27">
        <f t="shared" si="259"/>
        <v>2</v>
      </c>
      <c r="U1065" s="247">
        <f>IF(OR(ISBLANK(F$68),AND(W1065&gt;(F$68-1),W1065&lt;(I$68+1))),IF(ISERROR(VLOOKUP(I$67,G$1076:G$1078,1,FALSE)),IF(K$67=G$1086,IF(MONTH(W1065)&lt;&gt;MONTH(W1064),MAX(U$1009:U1064)+1,0),IF(ISERROR(VLOOKUP(I$67,G$1079:G$1084,1,FALSE)),IF(V1065=1,MAX(U$1009:U1064)+1,0),IF(MONTH(W1066)&lt;&gt;MONTH(W1065),T1065,0))),IF(K$67=G$1086,IF(V1065=1,MAX(U$1009:U1064)+1,0),IF(V1065=7,MAX(U$1015:U1064)+1,0))),0)</f>
        <v>9</v>
      </c>
      <c r="V1065" s="27">
        <f t="shared" si="244"/>
        <v>1</v>
      </c>
      <c r="W1065" s="97">
        <f t="shared" si="251"/>
        <v>45348</v>
      </c>
      <c r="X1065" s="249" t="str">
        <f>IF(K$67=G$1086,IF(OR(U1065=1,AND(U1065&gt;0,U1065=(MAX(Y$1009:Y1064)+VLOOKUP(I$67,G$1076:H$1084,2,FALSE)))),"X",""),IF(AND(U1065&gt;0,U1065=(MAX(Y$1009:Y1064)+VLOOKUP(I$67,G$1076:H$1084,2,FALSE))),"X",""))</f>
        <v>X</v>
      </c>
      <c r="Y1065" s="252">
        <f t="shared" si="252"/>
        <v>9</v>
      </c>
      <c r="Z1065" s="253">
        <f>IF(Y1065&gt;0,COUNTIF(Y$1009:Y1064,"&gt;0")+1,0)</f>
        <v>5</v>
      </c>
      <c r="AA1065" s="1"/>
      <c r="AB1065" s="255">
        <f t="shared" si="253"/>
        <v>45348</v>
      </c>
      <c r="AC1065" s="261">
        <f t="shared" si="246"/>
        <v>2</v>
      </c>
      <c r="AD1065" s="258">
        <f>IF(Z1065&gt;0,COUNTIF(AC$1009:AC1064,AC1065)+1,0)</f>
        <v>2</v>
      </c>
      <c r="AE1065" s="258" t="str">
        <f t="shared" si="254"/>
        <v>2-2</v>
      </c>
      <c r="AF1065" s="392">
        <f t="shared" si="247"/>
        <v>45348</v>
      </c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526">
        <f t="shared" si="260"/>
        <v>0</v>
      </c>
      <c r="CO1065" s="122">
        <f t="shared" si="261"/>
        <v>0</v>
      </c>
    </row>
    <row r="1066" spans="20:93" ht="16.5" hidden="1" customHeight="1">
      <c r="T1066" s="27">
        <f t="shared" si="259"/>
        <v>2</v>
      </c>
      <c r="U1066" s="247">
        <f>IF(OR(ISBLANK(F$68),AND(W1066&gt;(F$68-1),W1066&lt;(I$68+1))),IF(ISERROR(VLOOKUP(I$67,G$1076:G$1078,1,FALSE)),IF(K$67=G$1086,IF(MONTH(W1066)&lt;&gt;MONTH(W1065),MAX(U$1009:U1065)+1,0),IF(ISERROR(VLOOKUP(I$67,G$1079:G$1084,1,FALSE)),IF(V1066=1,MAX(U$1009:U1065)+1,0),IF(MONTH(W1067)&lt;&gt;MONTH(W1066),T1066,0))),IF(K$67=G$1086,IF(V1066=1,MAX(U$1009:U1065)+1,0),IF(V1066=7,MAX(U$1015:U1065)+1,0))),0)</f>
        <v>0</v>
      </c>
      <c r="V1066" s="27">
        <f t="shared" si="244"/>
        <v>2</v>
      </c>
      <c r="W1066" s="97">
        <f t="shared" si="251"/>
        <v>45349</v>
      </c>
      <c r="X1066" s="249" t="str">
        <f>IF(K$67=G$1086,IF(OR(U1066=1,AND(U1066&gt;0,U1066=(MAX(Y$1009:Y1065)+VLOOKUP(I$67,G$1076:H$1084,2,FALSE)))),"X",""),IF(AND(U1066&gt;0,U1066=(MAX(Y$1009:Y1065)+VLOOKUP(I$67,G$1076:H$1084,2,FALSE))),"X",""))</f>
        <v/>
      </c>
      <c r="Y1066" s="252">
        <f t="shared" si="252"/>
        <v>0</v>
      </c>
      <c r="Z1066" s="253">
        <f>IF(Y1066&gt;0,COUNTIF(Y$1009:Y1065,"&gt;0")+1,0)</f>
        <v>0</v>
      </c>
      <c r="AA1066" s="1"/>
      <c r="AB1066" s="255" t="str">
        <f t="shared" si="253"/>
        <v/>
      </c>
      <c r="AC1066" s="261" t="str">
        <f t="shared" si="246"/>
        <v/>
      </c>
      <c r="AD1066" s="258">
        <f>IF(Z1066&gt;0,COUNTIF(AC$1009:AC1065,AC1066)+1,0)</f>
        <v>0</v>
      </c>
      <c r="AE1066" s="258" t="str">
        <f t="shared" si="254"/>
        <v/>
      </c>
      <c r="AF1066" s="392" t="str">
        <f t="shared" si="247"/>
        <v/>
      </c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526">
        <f t="shared" si="260"/>
        <v>0</v>
      </c>
      <c r="CO1066" s="122">
        <f t="shared" si="261"/>
        <v>0</v>
      </c>
    </row>
    <row r="1067" spans="20:93" ht="16.5" hidden="1" customHeight="1">
      <c r="T1067" s="27">
        <f t="shared" si="259"/>
        <v>2</v>
      </c>
      <c r="U1067" s="247">
        <f>IF(OR(ISBLANK(F$68),AND(W1067&gt;(F$68-1),W1067&lt;(I$68+1))),IF(ISERROR(VLOOKUP(I$67,G$1076:G$1078,1,FALSE)),IF(K$67=G$1086,IF(MONTH(W1067)&lt;&gt;MONTH(W1066),MAX(U$1009:U1066)+1,0),IF(ISERROR(VLOOKUP(I$67,G$1079:G$1084,1,FALSE)),IF(V1067=1,MAX(U$1009:U1066)+1,0),IF(MONTH(W1068)&lt;&gt;MONTH(W1067),T1067,0))),IF(K$67=G$1086,IF(V1067=1,MAX(U$1009:U1066)+1,0),IF(V1067=7,MAX(U$1015:U1066)+1,0))),0)</f>
        <v>0</v>
      </c>
      <c r="V1067" s="27">
        <f t="shared" si="244"/>
        <v>3</v>
      </c>
      <c r="W1067" s="97">
        <f t="shared" si="251"/>
        <v>45350</v>
      </c>
      <c r="X1067" s="249" t="str">
        <f>IF(K$67=G$1086,IF(OR(U1067=1,AND(U1067&gt;0,U1067=(MAX(Y$1009:Y1066)+VLOOKUP(I$67,G$1076:H$1084,2,FALSE)))),"X",""),IF(AND(U1067&gt;0,U1067=(MAX(Y$1009:Y1066)+VLOOKUP(I$67,G$1076:H$1084,2,FALSE))),"X",""))</f>
        <v/>
      </c>
      <c r="Y1067" s="252">
        <f t="shared" si="252"/>
        <v>0</v>
      </c>
      <c r="Z1067" s="253">
        <f>IF(Y1067&gt;0,COUNTIF(Y$1009:Y1066,"&gt;0")+1,0)</f>
        <v>0</v>
      </c>
      <c r="AA1067" s="1"/>
      <c r="AB1067" s="255" t="str">
        <f t="shared" si="253"/>
        <v/>
      </c>
      <c r="AC1067" s="261" t="str">
        <f t="shared" si="246"/>
        <v/>
      </c>
      <c r="AD1067" s="258">
        <f>IF(Z1067&gt;0,COUNTIF(AC$1009:AC1066,AC1067)+1,0)</f>
        <v>0</v>
      </c>
      <c r="AE1067" s="258" t="str">
        <f t="shared" si="254"/>
        <v/>
      </c>
      <c r="AF1067" s="392" t="str">
        <f t="shared" si="247"/>
        <v/>
      </c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526">
        <f t="shared" si="260"/>
        <v>0</v>
      </c>
      <c r="CO1067" s="122">
        <f t="shared" si="261"/>
        <v>0</v>
      </c>
    </row>
    <row r="1068" spans="20:93" ht="16.5" hidden="1" customHeight="1">
      <c r="T1068" s="27">
        <f t="shared" si="259"/>
        <v>2</v>
      </c>
      <c r="U1068" s="247">
        <f>IF(OR(ISBLANK(F$68),AND(W1068&gt;(F$68-1),W1068&lt;(I$68+1))),IF(ISERROR(VLOOKUP(I$67,G$1076:G$1078,1,FALSE)),IF(K$67=G$1086,IF(MONTH(W1068)&lt;&gt;MONTH(W1067),MAX(U$1009:U1067)+1,0),IF(ISERROR(VLOOKUP(I$67,G$1079:G$1084,1,FALSE)),IF(V1068=1,MAX(U$1009:U1067)+1,0),IF(MONTH(W1069)&lt;&gt;MONTH(W1068),T1068,0))),IF(K$67=G$1086,IF(V1068=1,MAX(U$1009:U1067)+1,0),IF(V1068=7,MAX(U$1015:U1067)+1,0))),0)</f>
        <v>0</v>
      </c>
      <c r="V1068" s="27">
        <f t="shared" si="244"/>
        <v>4</v>
      </c>
      <c r="W1068" s="97">
        <f t="shared" si="251"/>
        <v>45351</v>
      </c>
      <c r="X1068" s="249" t="str">
        <f>IF(K$67=G$1086,IF(OR(U1068=1,AND(U1068&gt;0,U1068=(MAX(Y$1009:Y1067)+VLOOKUP(I$67,G$1076:H$1084,2,FALSE)))),"X",""),IF(AND(U1068&gt;0,U1068=(MAX(Y$1009:Y1067)+VLOOKUP(I$67,G$1076:H$1084,2,FALSE))),"X",""))</f>
        <v/>
      </c>
      <c r="Y1068" s="252">
        <f t="shared" si="252"/>
        <v>0</v>
      </c>
      <c r="Z1068" s="253">
        <f>IF(Y1068&gt;0,COUNTIF(Y$1009:Y1067,"&gt;0")+1,0)</f>
        <v>0</v>
      </c>
      <c r="AA1068" s="1"/>
      <c r="AB1068" s="255" t="str">
        <f t="shared" si="253"/>
        <v/>
      </c>
      <c r="AC1068" s="261" t="str">
        <f t="shared" si="246"/>
        <v/>
      </c>
      <c r="AD1068" s="258">
        <f>IF(Z1068&gt;0,COUNTIF(AC$1009:AC1067,AC1068)+1,0)</f>
        <v>0</v>
      </c>
      <c r="AE1068" s="258" t="str">
        <f t="shared" si="254"/>
        <v/>
      </c>
      <c r="AF1068" s="392" t="str">
        <f t="shared" si="247"/>
        <v/>
      </c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527">
        <f t="shared" si="260"/>
        <v>0</v>
      </c>
      <c r="CO1068" s="122">
        <f t="shared" si="261"/>
        <v>0</v>
      </c>
    </row>
    <row r="1069" spans="20:93" ht="16.5" hidden="1" customHeight="1">
      <c r="T1069" s="27">
        <f t="shared" si="259"/>
        <v>3</v>
      </c>
      <c r="U1069" s="247">
        <f>IF(OR(ISBLANK(F$68),AND(W1069&gt;(F$68-1),W1069&lt;(I$68+1))),IF(ISERROR(VLOOKUP(I$67,G$1076:G$1078,1,FALSE)),IF(K$67=G$1086,IF(MONTH(W1069)&lt;&gt;MONTH(W1068),MAX(U$1009:U1068)+1,0),IF(ISERROR(VLOOKUP(I$67,G$1079:G$1084,1,FALSE)),IF(V1069=1,MAX(U$1009:U1068)+1,0),IF(MONTH(W1070)&lt;&gt;MONTH(W1069),T1069,0))),IF(K$67=G$1086,IF(V1069=1,MAX(U$1009:U1068)+1,0),IF(V1069=7,MAX(U$1015:U1068)+1,0))),0)</f>
        <v>0</v>
      </c>
      <c r="V1069" s="27">
        <f t="shared" si="244"/>
        <v>5</v>
      </c>
      <c r="W1069" s="97">
        <f t="shared" si="251"/>
        <v>45352</v>
      </c>
      <c r="X1069" s="249" t="str">
        <f>IF(K$67=G$1086,IF(OR(U1069=1,AND(U1069&gt;0,U1069=(MAX(Y$1009:Y1068)+VLOOKUP(I$67,G$1076:H$1084,2,FALSE)))),"X",""),IF(AND(U1069&gt;0,U1069=(MAX(Y$1009:Y1068)+VLOOKUP(I$67,G$1076:H$1084,2,FALSE))),"X",""))</f>
        <v/>
      </c>
      <c r="Y1069" s="252">
        <f t="shared" si="252"/>
        <v>0</v>
      </c>
      <c r="Z1069" s="253">
        <f>IF(Y1069&gt;0,COUNTIF(Y$1009:Y1068,"&gt;0")+1,0)</f>
        <v>0</v>
      </c>
      <c r="AA1069" s="1"/>
      <c r="AB1069" s="255" t="str">
        <f t="shared" si="253"/>
        <v/>
      </c>
      <c r="AC1069" s="261" t="str">
        <f t="shared" si="246"/>
        <v/>
      </c>
      <c r="AD1069" s="258">
        <f>IF(Z1069&gt;0,COUNTIF(AC$1009:AC1068,AC1069)+1,0)</f>
        <v>0</v>
      </c>
      <c r="AE1069" s="258" t="str">
        <f t="shared" si="254"/>
        <v/>
      </c>
      <c r="AF1069" s="392" t="str">
        <f t="shared" si="247"/>
        <v/>
      </c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</row>
    <row r="1070" spans="20:93" ht="16.5" hidden="1" customHeight="1">
      <c r="T1070" s="27">
        <f t="shared" si="259"/>
        <v>3</v>
      </c>
      <c r="U1070" s="247">
        <f>IF(OR(ISBLANK(F$68),AND(W1070&gt;(F$68-1),W1070&lt;(I$68+1))),IF(ISERROR(VLOOKUP(I$67,G$1076:G$1078,1,FALSE)),IF(K$67=G$1086,IF(MONTH(W1070)&lt;&gt;MONTH(W1069),MAX(U$1009:U1069)+1,0),IF(ISERROR(VLOOKUP(I$67,G$1079:G$1084,1,FALSE)),IF(V1070=1,MAX(U$1009:U1069)+1,0),IF(MONTH(W1071)&lt;&gt;MONTH(W1070),T1070,0))),IF(K$67=G$1086,IF(V1070=1,MAX(U$1009:U1069)+1,0),IF(V1070=7,MAX(U$1015:U1069)+1,0))),0)</f>
        <v>0</v>
      </c>
      <c r="V1070" s="27">
        <f t="shared" si="244"/>
        <v>6</v>
      </c>
      <c r="W1070" s="97">
        <f t="shared" si="251"/>
        <v>45353</v>
      </c>
      <c r="X1070" s="249" t="str">
        <f>IF(K$67=G$1086,IF(OR(U1070=1,AND(U1070&gt;0,U1070=(MAX(Y$1009:Y1069)+VLOOKUP(I$67,G$1076:H$1084,2,FALSE)))),"X",""),IF(AND(U1070&gt;0,U1070=(MAX(Y$1009:Y1069)+VLOOKUP(I$67,G$1076:H$1084,2,FALSE))),"X",""))</f>
        <v/>
      </c>
      <c r="Y1070" s="252">
        <f t="shared" si="252"/>
        <v>0</v>
      </c>
      <c r="Z1070" s="253">
        <f>IF(Y1070&gt;0,COUNTIF(Y$1009:Y1069,"&gt;0")+1,0)</f>
        <v>0</v>
      </c>
      <c r="AA1070" s="1"/>
      <c r="AB1070" s="255" t="str">
        <f t="shared" si="253"/>
        <v/>
      </c>
      <c r="AC1070" s="261" t="str">
        <f t="shared" si="246"/>
        <v/>
      </c>
      <c r="AD1070" s="258">
        <f>IF(Z1070&gt;0,COUNTIF(AC$1009:AC1069,AC1070)+1,0)</f>
        <v>0</v>
      </c>
      <c r="AE1070" s="258" t="str">
        <f t="shared" si="254"/>
        <v/>
      </c>
      <c r="AF1070" s="392" t="str">
        <f t="shared" si="247"/>
        <v/>
      </c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</row>
    <row r="1071" spans="20:93" ht="16.5" hidden="1" customHeight="1">
      <c r="T1071" s="27">
        <f>IF(MONTH(W1071)=MONTH(W1070),T1070,T1070+1)</f>
        <v>3</v>
      </c>
      <c r="U1071" s="247">
        <f>IF(OR(ISBLANK(F$68),AND(W1071&gt;(F$68-1),W1071&lt;(I$68+1))),IF(ISERROR(VLOOKUP(I$67,G$1076:G$1078,1,FALSE)),IF(K$67=G$1086,IF(MONTH(W1071)&lt;&gt;MONTH(W1070),MAX(U$1009:U1070)+1,0),IF(ISERROR(VLOOKUP(I$67,G$1079:G$1084,1,FALSE)),IF(V1071=1,MAX(U$1009:U1070)+1,0),IF(MONTH(W1072)&lt;&gt;MONTH(W1071),T1071,0))),IF(K$67=G$1086,IF(V1071=1,MAX(U$1009:U1070)+1,0),IF(V1071=7,MAX(U$1015:U1070)+1,0))),0)</f>
        <v>0</v>
      </c>
      <c r="V1071" s="27">
        <f t="shared" si="244"/>
        <v>7</v>
      </c>
      <c r="W1071" s="97">
        <f>W1070+1</f>
        <v>45354</v>
      </c>
      <c r="X1071" s="249" t="str">
        <f>IF(K$67=G$1086,IF(OR(U1071=1,AND(U1071&gt;0,U1071=(MAX(Y$1009:Y1070)+VLOOKUP(I$67,G$1076:H$1084,2,FALSE)))),"X",""),IF(AND(U1071&gt;0,U1071=(MAX(Y$1009:Y1070)+VLOOKUP(I$67,G$1076:H$1084,2,FALSE))),"X",""))</f>
        <v/>
      </c>
      <c r="Y1071" s="252">
        <f t="shared" si="252"/>
        <v>0</v>
      </c>
      <c r="Z1071" s="253">
        <f>IF(Y1071&gt;0,COUNTIF(Y$1009:Y1070,"&gt;0")+1,0)</f>
        <v>0</v>
      </c>
      <c r="AA1071" s="1"/>
      <c r="AB1071" s="255" t="str">
        <f t="shared" si="253"/>
        <v/>
      </c>
      <c r="AC1071" s="261" t="str">
        <f t="shared" si="246"/>
        <v/>
      </c>
      <c r="AD1071" s="258">
        <f>IF(Z1071&gt;0,COUNTIF(AC$1009:AC1070,AC1071)+1,0)</f>
        <v>0</v>
      </c>
      <c r="AE1071" s="258" t="str">
        <f t="shared" si="254"/>
        <v/>
      </c>
      <c r="AF1071" s="392" t="str">
        <f t="shared" si="247"/>
        <v/>
      </c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</row>
    <row r="1072" spans="20:93" ht="16.5" hidden="1" customHeight="1">
      <c r="T1072" s="27">
        <f t="shared" si="259"/>
        <v>3</v>
      </c>
      <c r="U1072" s="247">
        <f>IF(OR(ISBLANK(F$68),AND(W1072&gt;(F$68-1),W1072&lt;(I$68+1))),IF(ISERROR(VLOOKUP(I$67,G$1076:G$1078,1,FALSE)),IF(K$67=G$1086,IF(MONTH(W1072)&lt;&gt;MONTH(W1071),MAX(U$1009:U1071)+1,0),IF(ISERROR(VLOOKUP(I$67,G$1079:G$1084,1,FALSE)),IF(V1072=1,MAX(U$1009:U1071)+1,0),IF(MONTH(W1073)&lt;&gt;MONTH(W1072),T1072,0))),IF(K$67=G$1086,IF(V1072=1,MAX(U$1009:U1071)+1,0),IF(V1072=7,MAX(U$1015:U1071)+1,0))),0)</f>
        <v>10</v>
      </c>
      <c r="V1072" s="27">
        <f t="shared" si="244"/>
        <v>1</v>
      </c>
      <c r="W1072" s="97">
        <f t="shared" si="251"/>
        <v>45355</v>
      </c>
      <c r="X1072" s="249" t="str">
        <f>IF(K$67=G$1086,IF(OR(U1072=1,AND(U1072&gt;0,U1072=(MAX(Y$1009:Y1071)+VLOOKUP(I$67,G$1076:H$1084,2,FALSE)))),"X",""),IF(AND(U1072&gt;0,U1072=(MAX(Y$1009:Y1071)+VLOOKUP(I$67,G$1076:H$1084,2,FALSE))),"X",""))</f>
        <v/>
      </c>
      <c r="Y1072" s="252">
        <f t="shared" si="252"/>
        <v>0</v>
      </c>
      <c r="Z1072" s="253">
        <f>IF(Y1072&gt;0,COUNTIF(Y$1009:Y1071,"&gt;0")+1,0)</f>
        <v>0</v>
      </c>
      <c r="AA1072" s="1"/>
      <c r="AB1072" s="255" t="str">
        <f t="shared" si="253"/>
        <v/>
      </c>
      <c r="AC1072" s="261" t="str">
        <f t="shared" si="246"/>
        <v/>
      </c>
      <c r="AD1072" s="258">
        <f>IF(Z1072&gt;0,COUNTIF(AC$1009:AC1071,AC1072)+1,0)</f>
        <v>0</v>
      </c>
      <c r="AE1072" s="258" t="str">
        <f t="shared" si="254"/>
        <v/>
      </c>
      <c r="AF1072" s="392" t="str">
        <f t="shared" si="247"/>
        <v/>
      </c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</row>
    <row r="1073" spans="1:93" ht="16.5" hidden="1" customHeight="1">
      <c r="T1073" s="27">
        <f t="shared" si="259"/>
        <v>3</v>
      </c>
      <c r="U1073" s="247">
        <f>IF(OR(ISBLANK(F$68),AND(W1073&gt;(F$68-1),W1073&lt;(I$68+1))),IF(ISERROR(VLOOKUP(I$67,G$1076:G$1078,1,FALSE)),IF(K$67=G$1086,IF(MONTH(W1073)&lt;&gt;MONTH(W1072),MAX(U$1009:U1072)+1,0),IF(ISERROR(VLOOKUP(I$67,G$1079:G$1084,1,FALSE)),IF(V1073=1,MAX(U$1009:U1072)+1,0),IF(MONTH(W1074)&lt;&gt;MONTH(W1073),T1073,0))),IF(K$67=G$1086,IF(V1073=1,MAX(U$1009:U1072)+1,0),IF(V1073=7,MAX(U$1015:U1072)+1,0))),0)</f>
        <v>0</v>
      </c>
      <c r="V1073" s="27">
        <f t="shared" ref="V1073:V1136" si="262">WEEKDAY(W1073,2)</f>
        <v>2</v>
      </c>
      <c r="W1073" s="97">
        <f t="shared" si="251"/>
        <v>45356</v>
      </c>
      <c r="X1073" s="249" t="str">
        <f>IF(K$67=G$1086,IF(OR(U1073=1,AND(U1073&gt;0,U1073=(MAX(Y$1009:Y1072)+VLOOKUP(I$67,G$1076:H$1084,2,FALSE)))),"X",""),IF(AND(U1073&gt;0,U1073=(MAX(Y$1009:Y1072)+VLOOKUP(I$67,G$1076:H$1084,2,FALSE))),"X",""))</f>
        <v/>
      </c>
      <c r="Y1073" s="252">
        <f t="shared" si="252"/>
        <v>0</v>
      </c>
      <c r="Z1073" s="253">
        <f>IF(Y1073&gt;0,COUNTIF(Y$1009:Y1072,"&gt;0")+1,0)</f>
        <v>0</v>
      </c>
      <c r="AA1073" s="1"/>
      <c r="AB1073" s="255" t="str">
        <f t="shared" si="253"/>
        <v/>
      </c>
      <c r="AC1073" s="261" t="str">
        <f>IF(Z1073=0,"",MONTH(AB1073))</f>
        <v/>
      </c>
      <c r="AD1073" s="258">
        <f>IF(Z1073&gt;0,COUNTIF(AC$1009:AC1072,AC1073)+1,0)</f>
        <v>0</v>
      </c>
      <c r="AE1073" s="258" t="str">
        <f t="shared" si="254"/>
        <v/>
      </c>
      <c r="AF1073" s="392" t="str">
        <f>IF(Z1073&gt;0,AB1073,"")</f>
        <v/>
      </c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</row>
    <row r="1074" spans="1:93" ht="16.5" hidden="1" customHeight="1">
      <c r="A1074" s="1"/>
      <c r="B1074" s="1"/>
      <c r="C1074" s="71"/>
      <c r="D1074" s="1"/>
      <c r="E1074" s="1"/>
      <c r="F1074" s="889"/>
      <c r="G1074" s="889"/>
      <c r="H1074" s="889"/>
      <c r="I1074" s="889"/>
      <c r="J1074" s="889"/>
      <c r="K1074" s="889"/>
      <c r="L1074" s="889"/>
      <c r="M1074" s="889"/>
      <c r="N1074" s="889"/>
      <c r="O1074" s="889"/>
      <c r="P1074" s="889"/>
      <c r="Q1074" s="889"/>
      <c r="R1074" s="1"/>
      <c r="S1074" s="1"/>
      <c r="T1074" s="27">
        <f t="shared" si="259"/>
        <v>3</v>
      </c>
      <c r="U1074" s="247">
        <f>IF(OR(ISBLANK(F$68),AND(W1074&gt;(F$68-1),W1074&lt;(I$68+1))),IF(ISERROR(VLOOKUP(I$67,G$1076:G$1078,1,FALSE)),IF(K$67=G$1086,IF(MONTH(W1074)&lt;&gt;MONTH(W1073),MAX(U$1009:U1073)+1,0),IF(ISERROR(VLOOKUP(I$67,G$1079:G$1084,1,FALSE)),IF(V1074=1,MAX(U$1009:U1073)+1,0),IF(MONTH(W1075)&lt;&gt;MONTH(W1074),T1074,0))),IF(K$67=G$1086,IF(V1074=1,MAX(U$1009:U1073)+1,0),IF(V1074=7,MAX(U$1015:U1073)+1,0))),0)</f>
        <v>0</v>
      </c>
      <c r="V1074" s="27">
        <f t="shared" si="262"/>
        <v>3</v>
      </c>
      <c r="W1074" s="97">
        <f t="shared" ref="W1074:W1137" si="263">W1073+1</f>
        <v>45357</v>
      </c>
      <c r="X1074" s="249" t="str">
        <f>IF(K$67=G$1086,IF(OR(U1074=1,AND(U1074&gt;0,U1074=(MAX(Y$1009:Y1073)+VLOOKUP(I$67,G$1076:H$1084,2,FALSE)))),"X",""),IF(AND(U1074&gt;0,U1074=(MAX(Y$1009:Y1073)+VLOOKUP(I$67,G$1076:H$1084,2,FALSE))),"X",""))</f>
        <v/>
      </c>
      <c r="Y1074" s="252">
        <f t="shared" ref="Y1074:Y1137" si="264">IF(OR(ISBLANK($I$67),ISBLANK($K$67)),0,IF(X1074="X",U1074,0))</f>
        <v>0</v>
      </c>
      <c r="Z1074" s="253">
        <f>IF(Y1074&gt;0,COUNTIF(Y$1009:Y1073,"&gt;0")+1,0)</f>
        <v>0</v>
      </c>
      <c r="AA1074" s="1"/>
      <c r="AB1074" s="255" t="str">
        <f t="shared" ref="AB1074:AB1137" si="265">IF(Z1074&gt;0,W1074,"")</f>
        <v/>
      </c>
      <c r="AC1074" s="261" t="str">
        <f>IF(Z1074=0,"",MONTH(AB1074))</f>
        <v/>
      </c>
      <c r="AD1074" s="258">
        <f>IF(Z1074&gt;0,COUNTIF(AC$1009:AC1073,AC1074)+1,0)</f>
        <v>0</v>
      </c>
      <c r="AE1074" s="258" t="str">
        <f t="shared" ref="AE1074:AE1137" si="266">IF(Z1074&gt;0,CONCATENATE(AC1074,"-",AD1074),"")</f>
        <v/>
      </c>
      <c r="AF1074" s="392" t="str">
        <f>IF(Z1074&gt;0,AB1074,"")</f>
        <v/>
      </c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</row>
    <row r="1075" spans="1:93" ht="16.5" hidden="1" customHeight="1">
      <c r="A1075" s="1"/>
      <c r="B1075" s="1"/>
      <c r="C1075" s="7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27">
        <f t="shared" si="259"/>
        <v>3</v>
      </c>
      <c r="U1075" s="247">
        <f>IF(OR(ISBLANK(F$68),AND(W1075&gt;(F$68-1),W1075&lt;(I$68+1))),IF(ISERROR(VLOOKUP(I$67,G$1076:G$1078,1,FALSE)),IF(K$67=G$1086,IF(MONTH(W1075)&lt;&gt;MONTH(W1074),MAX(U$1009:U1074)+1,0),IF(ISERROR(VLOOKUP(I$67,G$1079:G$1084,1,FALSE)),IF(V1075=1,MAX(U$1009:U1074)+1,0),IF(MONTH(W1076)&lt;&gt;MONTH(W1075),T1075,0))),IF(K$67=G$1086,IF(V1075=1,MAX(U$1009:U1074)+1,0),IF(V1075=7,MAX(U$1015:U1074)+1,0))),0)</f>
        <v>0</v>
      </c>
      <c r="V1075" s="27">
        <f t="shared" si="262"/>
        <v>4</v>
      </c>
      <c r="W1075" s="97">
        <f t="shared" si="263"/>
        <v>45358</v>
      </c>
      <c r="X1075" s="249" t="str">
        <f>IF(K$67=G$1086,IF(OR(U1075=1,AND(U1075&gt;0,U1075=(MAX(Y$1009:Y1074)+VLOOKUP(I$67,G$1076:H$1084,2,FALSE)))),"X",""),IF(AND(U1075&gt;0,U1075=(MAX(Y$1009:Y1074)+VLOOKUP(I$67,G$1076:H$1084,2,FALSE))),"X",""))</f>
        <v/>
      </c>
      <c r="Y1075" s="252">
        <f t="shared" si="264"/>
        <v>0</v>
      </c>
      <c r="Z1075" s="253">
        <f>IF(Y1075&gt;0,COUNTIF(Y$1009:Y1074,"&gt;0")+1,0)</f>
        <v>0</v>
      </c>
      <c r="AA1075" s="1"/>
      <c r="AB1075" s="255" t="str">
        <f t="shared" si="265"/>
        <v/>
      </c>
      <c r="AC1075" s="261" t="str">
        <f>IF(Z1075=0,"",MONTH(AB1075))</f>
        <v/>
      </c>
      <c r="AD1075" s="258">
        <f>IF(Z1075&gt;0,COUNTIF(AC$1009:AC1074,AC1075)+1,0)</f>
        <v>0</v>
      </c>
      <c r="AE1075" s="258" t="str">
        <f t="shared" si="266"/>
        <v/>
      </c>
      <c r="AF1075" s="392" t="str">
        <f>IF(Z1075&gt;0,AB1075,"")</f>
        <v/>
      </c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</row>
    <row r="1076" spans="1:93" ht="16.5" hidden="1" customHeight="1">
      <c r="A1076" s="1323" t="b">
        <f>RIPARTIZIONI!O25</f>
        <v>1</v>
      </c>
      <c r="B1076" s="1323"/>
      <c r="C1076" s="71" t="str">
        <f>RIPARTIZIONI!P25</f>
        <v>1 - in MILLESIMI   I</v>
      </c>
      <c r="D1076" s="1"/>
      <c r="E1076" s="114">
        <v>3</v>
      </c>
      <c r="F1076" s="687">
        <v>1</v>
      </c>
      <c r="G1076" s="103" t="s">
        <v>117</v>
      </c>
      <c r="H1076" s="100">
        <v>1</v>
      </c>
      <c r="I1076" s="1"/>
      <c r="J1076" s="283" t="str">
        <f>B78</f>
        <v>AMMINISTRATORE</v>
      </c>
      <c r="K1076" s="204" t="s">
        <v>151</v>
      </c>
      <c r="L1076" s="284">
        <f ca="1">SUMIF(B89:B140,"&gt;0",L89:L140)</f>
        <v>1005</v>
      </c>
      <c r="M1076" s="1"/>
      <c r="N1076" s="1"/>
      <c r="O1076" s="1"/>
      <c r="P1076" s="1378" t="str">
        <f>ENTI!AD1026</f>
        <v>CASSA   -</v>
      </c>
      <c r="Q1076" s="1379"/>
      <c r="R1076" s="90"/>
      <c r="S1076" s="90"/>
      <c r="T1076" s="27">
        <f t="shared" si="259"/>
        <v>3</v>
      </c>
      <c r="U1076" s="247">
        <f>IF(OR(ISBLANK(F$68),AND(W1076&gt;(F$68-1),W1076&lt;(I$68+1))),IF(ISERROR(VLOOKUP(I$67,G$1076:G$1078,1,FALSE)),IF(K$67=G$1086,IF(MONTH(W1076)&lt;&gt;MONTH(W1075),MAX(U$1009:U1075)+1,0),IF(ISERROR(VLOOKUP(I$67,G$1079:G$1084,1,FALSE)),IF(V1076=1,MAX(U$1009:U1075)+1,0),IF(MONTH(W1077)&lt;&gt;MONTH(W1076),T1076,0))),IF(K$67=G$1086,IF(V1076=1,MAX(U$1009:U1075)+1,0),IF(V1076=7,MAX(U$1015:U1075)+1,0))),0)</f>
        <v>0</v>
      </c>
      <c r="V1076" s="27">
        <f t="shared" si="262"/>
        <v>5</v>
      </c>
      <c r="W1076" s="97">
        <f t="shared" si="263"/>
        <v>45359</v>
      </c>
      <c r="X1076" s="249" t="str">
        <f>IF(K$67=G$1086,IF(OR(U1076=1,AND(U1076&gt;0,U1076=(MAX(Y$1009:Y1075)+VLOOKUP(I$67,G$1076:H$1084,2,FALSE)))),"X",""),IF(AND(U1076&gt;0,U1076=(MAX(Y$1009:Y1075)+VLOOKUP(I$67,G$1076:H$1084,2,FALSE))),"X",""))</f>
        <v/>
      </c>
      <c r="Y1076" s="252">
        <f t="shared" si="264"/>
        <v>0</v>
      </c>
      <c r="Z1076" s="253">
        <f>IF(Y1076&gt;0,COUNTIF(Y$1009:Y1075,"&gt;0")+1,0)</f>
        <v>0</v>
      </c>
      <c r="AA1076" s="1"/>
      <c r="AB1076" s="255" t="str">
        <f t="shared" si="265"/>
        <v/>
      </c>
      <c r="AC1076" s="261" t="str">
        <f>IF(Z1076=0,"",MONTH(AB1076))</f>
        <v/>
      </c>
      <c r="AD1076" s="258">
        <f>IF(Z1076&gt;0,COUNTIF(AC$1009:AC1075,AC1076)+1,0)</f>
        <v>0</v>
      </c>
      <c r="AE1076" s="258" t="str">
        <f t="shared" si="266"/>
        <v/>
      </c>
      <c r="AF1076" s="392" t="str">
        <f>IF(Z1076&gt;0,AB1076,"")</f>
        <v/>
      </c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</row>
    <row r="1077" spans="1:93" ht="16.5" hidden="1" customHeight="1">
      <c r="A1077" s="1329" t="b">
        <f>RIPARTIZIONI!O26</f>
        <v>0</v>
      </c>
      <c r="B1077" s="1329"/>
      <c r="C1077" s="308" t="str">
        <f>RIPARTIZIONI!P26</f>
        <v>2 - in MILLESIMI   II</v>
      </c>
      <c r="D1077" s="1"/>
      <c r="E1077" s="7">
        <v>4</v>
      </c>
      <c r="F1077" s="688">
        <v>2</v>
      </c>
      <c r="G1077" s="104" t="s">
        <v>118</v>
      </c>
      <c r="H1077" s="100">
        <v>2</v>
      </c>
      <c r="I1077" s="3"/>
      <c r="J1077" s="3"/>
      <c r="K1077" s="3"/>
      <c r="L1077" s="3"/>
      <c r="M1077" s="3"/>
      <c r="N1077" s="3"/>
      <c r="O1077" s="3"/>
      <c r="P1077" s="1376" t="str">
        <f>ENTI!AD1028</f>
        <v>BANCA C/C nr. 1234567   -</v>
      </c>
      <c r="Q1077" s="1377"/>
      <c r="R1077" s="3"/>
      <c r="S1077" s="3"/>
      <c r="T1077" s="27">
        <f t="shared" si="259"/>
        <v>3</v>
      </c>
      <c r="U1077" s="247">
        <f>IF(OR(ISBLANK(F$68),AND(W1077&gt;(F$68-1),W1077&lt;(I$68+1))),IF(ISERROR(VLOOKUP(I$67,G$1076:G$1078,1,FALSE)),IF(K$67=G$1086,IF(MONTH(W1077)&lt;&gt;MONTH(W1076),MAX(U$1009:U1076)+1,0),IF(ISERROR(VLOOKUP(I$67,G$1079:G$1084,1,FALSE)),IF(V1077=1,MAX(U$1009:U1076)+1,0),IF(MONTH(W1078)&lt;&gt;MONTH(W1077),T1077,0))),IF(K$67=G$1086,IF(V1077=1,MAX(U$1009:U1076)+1,0),IF(V1077=7,MAX(U$1015:U1076)+1,0))),0)</f>
        <v>0</v>
      </c>
      <c r="V1077" s="27">
        <f t="shared" si="262"/>
        <v>6</v>
      </c>
      <c r="W1077" s="97">
        <f t="shared" si="263"/>
        <v>45360</v>
      </c>
      <c r="X1077" s="249" t="str">
        <f>IF(K$67=G$1086,IF(OR(U1077=1,AND(U1077&gt;0,U1077=(MAX(Y$1009:Y1076)+VLOOKUP(I$67,G$1076:H$1084,2,FALSE)))),"X",""),IF(AND(U1077&gt;0,U1077=(MAX(Y$1009:Y1076)+VLOOKUP(I$67,G$1076:H$1084,2,FALSE))),"X",""))</f>
        <v/>
      </c>
      <c r="Y1077" s="252">
        <f t="shared" si="264"/>
        <v>0</v>
      </c>
      <c r="Z1077" s="253">
        <f>IF(Y1077&gt;0,COUNTIF(Y$1009:Y1076,"&gt;0")+1,0)</f>
        <v>0</v>
      </c>
      <c r="AA1077" s="1"/>
      <c r="AB1077" s="255" t="str">
        <f t="shared" si="265"/>
        <v/>
      </c>
      <c r="AC1077" s="261" t="str">
        <f>IF(Z1077=0,"",MONTH(AB1077))</f>
        <v/>
      </c>
      <c r="AD1077" s="258">
        <f>IF(Z1077&gt;0,COUNTIF(AC$1009:AC1076,AC1077)+1,0)</f>
        <v>0</v>
      </c>
      <c r="AE1077" s="258" t="str">
        <f t="shared" si="266"/>
        <v/>
      </c>
      <c r="AF1077" s="392" t="str">
        <f>IF(Z1077&gt;0,AB1077,"")</f>
        <v/>
      </c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</row>
    <row r="1078" spans="1:93" ht="16.5" hidden="1" customHeight="1">
      <c r="A1078" s="1380" t="b">
        <f>RIPARTIZIONI!O27</f>
        <v>0</v>
      </c>
      <c r="B1078" s="1380"/>
      <c r="C1078" s="107" t="str">
        <f>RIPARTIZIONI!P27</f>
        <v>3 - in MILLESIMI   III</v>
      </c>
      <c r="D1078" s="1"/>
      <c r="E1078" s="115">
        <v>5</v>
      </c>
      <c r="F1078" s="689">
        <v>3</v>
      </c>
      <c r="G1078" s="105" t="s">
        <v>119</v>
      </c>
      <c r="H1078" s="100">
        <v>3</v>
      </c>
      <c r="I1078" s="1"/>
      <c r="J1078" s="1311" t="s">
        <v>249</v>
      </c>
      <c r="K1078" s="1311"/>
      <c r="L1078" s="1"/>
      <c r="M1078" s="1"/>
      <c r="N1078" s="671" t="s">
        <v>386</v>
      </c>
      <c r="O1078" s="1"/>
      <c r="P1078" s="1376" t="str">
        <f>ENTI!AD1030</f>
        <v>POSTA C/C nr. 7654321   -</v>
      </c>
      <c r="Q1078" s="1377"/>
      <c r="R1078" s="1"/>
      <c r="S1078" s="1"/>
      <c r="T1078" s="27">
        <f t="shared" si="259"/>
        <v>3</v>
      </c>
      <c r="U1078" s="247">
        <f>IF(OR(ISBLANK(F$68),AND(W1078&gt;(F$68-1),W1078&lt;(I$68+1))),IF(ISERROR(VLOOKUP(I$67,G$1076:G$1078,1,FALSE)),IF(K$67=G$1086,IF(MONTH(W1078)&lt;&gt;MONTH(W1077),MAX(U$1009:U1077)+1,0),IF(ISERROR(VLOOKUP(I$67,G$1079:G$1084,1,FALSE)),IF(V1078=1,MAX(U$1009:U1077)+1,0),IF(MONTH(W1079)&lt;&gt;MONTH(W1078),T1078,0))),IF(K$67=G$1086,IF(V1078=1,MAX(U$1009:U1077)+1,0),IF(V1078=7,MAX(U$1015:U1077)+1,0))),0)</f>
        <v>0</v>
      </c>
      <c r="V1078" s="27">
        <f t="shared" si="262"/>
        <v>7</v>
      </c>
      <c r="W1078" s="97">
        <f t="shared" si="263"/>
        <v>45361</v>
      </c>
      <c r="X1078" s="249" t="str">
        <f>IF(K$67=G$1086,IF(OR(U1078=1,AND(U1078&gt;0,U1078=(MAX(Y$1009:Y1077)+VLOOKUP(I$67,G$1076:H$1084,2,FALSE)))),"X",""),IF(AND(U1078&gt;0,U1078=(MAX(Y$1009:Y1077)+VLOOKUP(I$67,G$1076:H$1084,2,FALSE))),"X",""))</f>
        <v/>
      </c>
      <c r="Y1078" s="252">
        <f t="shared" si="264"/>
        <v>0</v>
      </c>
      <c r="Z1078" s="253">
        <f>IF(Y1078&gt;0,COUNTIF(Y$1009:Y1077,"&gt;0")+1,0)</f>
        <v>0</v>
      </c>
      <c r="AA1078" s="1"/>
      <c r="AB1078" s="255" t="str">
        <f t="shared" si="265"/>
        <v/>
      </c>
      <c r="AC1078" s="261" t="str">
        <f t="shared" ref="AC1078:AC1141" si="267">IF(Z1078=0,"",MONTH(AB1078))</f>
        <v/>
      </c>
      <c r="AD1078" s="258">
        <f>IF(Z1078&gt;0,COUNTIF(AC$1009:AC1077,AC1078)+1,0)</f>
        <v>0</v>
      </c>
      <c r="AE1078" s="258" t="str">
        <f t="shared" si="266"/>
        <v/>
      </c>
      <c r="AF1078" s="392" t="str">
        <f t="shared" ref="AF1078:AF1141" si="268">IF(Z1078&gt;0,AB1078,"")</f>
        <v/>
      </c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</row>
    <row r="1079" spans="1:93" ht="16.5" hidden="1" customHeight="1">
      <c r="A1079" s="1329" t="b">
        <f>RIPARTIZIONI!O28</f>
        <v>0</v>
      </c>
      <c r="B1079" s="1329"/>
      <c r="C1079" s="308" t="str">
        <f>RIPARTIZIONI!P28</f>
        <v>4 - in PERCENTUALE</v>
      </c>
      <c r="D1079" s="1"/>
      <c r="E1079" s="7">
        <v>6</v>
      </c>
      <c r="F1079" s="688">
        <v>4</v>
      </c>
      <c r="G1079" s="161" t="s">
        <v>120</v>
      </c>
      <c r="H1079" s="100">
        <v>1</v>
      </c>
      <c r="I1079" s="1308" t="str">
        <f t="shared" ref="I1079:I1084" si="269">CONCATENATE(J$1078,C1076)</f>
        <v>Ripartizione:  1 - in MILLESIMI   I</v>
      </c>
      <c r="J1079" s="1309"/>
      <c r="K1079" s="1309"/>
      <c r="L1079" s="1310"/>
      <c r="M1079" s="7">
        <v>3</v>
      </c>
      <c r="N1079" s="672">
        <v>0</v>
      </c>
      <c r="O1079" s="1"/>
      <c r="P1079" s="1376" t="str">
        <f>ENTI!AD1032</f>
        <v>DEBITO 1   -</v>
      </c>
      <c r="Q1079" s="1377"/>
      <c r="R1079" s="1"/>
      <c r="S1079" s="1"/>
      <c r="T1079" s="27">
        <f t="shared" si="259"/>
        <v>3</v>
      </c>
      <c r="U1079" s="247">
        <f>IF(OR(ISBLANK(F$68),AND(W1079&gt;(F$68-1),W1079&lt;(I$68+1))),IF(ISERROR(VLOOKUP(I$67,G$1076:G$1078,1,FALSE)),IF(K$67=G$1086,IF(MONTH(W1079)&lt;&gt;MONTH(W1078),MAX(U$1009:U1078)+1,0),IF(ISERROR(VLOOKUP(I$67,G$1079:G$1084,1,FALSE)),IF(V1079=1,MAX(U$1009:U1078)+1,0),IF(MONTH(W1080)&lt;&gt;MONTH(W1079),T1079,0))),IF(K$67=G$1086,IF(V1079=1,MAX(U$1009:U1078)+1,0),IF(V1079=7,MAX(U$1015:U1078)+1,0))),0)</f>
        <v>11</v>
      </c>
      <c r="V1079" s="27">
        <f t="shared" si="262"/>
        <v>1</v>
      </c>
      <c r="W1079" s="97">
        <f t="shared" si="263"/>
        <v>45362</v>
      </c>
      <c r="X1079" s="249" t="str">
        <f>IF(K$67=G$1086,IF(OR(U1079=1,AND(U1079&gt;0,U1079=(MAX(Y$1009:Y1078)+VLOOKUP(I$67,G$1076:H$1084,2,FALSE)))),"X",""),IF(AND(U1079&gt;0,U1079=(MAX(Y$1009:Y1078)+VLOOKUP(I$67,G$1076:H$1084,2,FALSE))),"X",""))</f>
        <v>X</v>
      </c>
      <c r="Y1079" s="252">
        <f t="shared" si="264"/>
        <v>11</v>
      </c>
      <c r="Z1079" s="253">
        <f>IF(Y1079&gt;0,COUNTIF(Y$1009:Y1078,"&gt;0")+1,0)</f>
        <v>6</v>
      </c>
      <c r="AA1079" s="1"/>
      <c r="AB1079" s="255">
        <f t="shared" si="265"/>
        <v>45362</v>
      </c>
      <c r="AC1079" s="261">
        <f t="shared" si="267"/>
        <v>3</v>
      </c>
      <c r="AD1079" s="258">
        <f>IF(Z1079&gt;0,COUNTIF(AC$1009:AC1078,AC1079)+1,0)</f>
        <v>1</v>
      </c>
      <c r="AE1079" s="258" t="str">
        <f t="shared" si="266"/>
        <v>3-1</v>
      </c>
      <c r="AF1079" s="392">
        <f t="shared" si="268"/>
        <v>45362</v>
      </c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</row>
    <row r="1080" spans="1:93" ht="16.5" hidden="1" customHeight="1">
      <c r="A1080" s="1323" t="b">
        <f>RIPARTIZIONI!O29</f>
        <v>0</v>
      </c>
      <c r="B1080" s="1323"/>
      <c r="C1080" s="71" t="str">
        <f>RIPARTIZIONI!P29</f>
        <v>5 - es. PER PIANO in Millesimi</v>
      </c>
      <c r="D1080" s="1"/>
      <c r="E1080" s="114">
        <v>11</v>
      </c>
      <c r="F1080" s="687">
        <v>5</v>
      </c>
      <c r="G1080" s="104" t="s">
        <v>121</v>
      </c>
      <c r="H1080" s="100">
        <v>2</v>
      </c>
      <c r="I1080" s="1308" t="str">
        <f t="shared" si="269"/>
        <v>Ripartizione:  2 - in MILLESIMI   II</v>
      </c>
      <c r="J1080" s="1309"/>
      <c r="K1080" s="1309"/>
      <c r="L1080" s="1310"/>
      <c r="M1080" s="7">
        <v>4</v>
      </c>
      <c r="N1080" s="568">
        <v>0</v>
      </c>
      <c r="O1080" s="1"/>
      <c r="P1080" s="1376" t="str">
        <f>ENTI!AD1034</f>
        <v>RISERVA ACCANTONATA   -</v>
      </c>
      <c r="Q1080" s="1377"/>
      <c r="R1080" s="1"/>
      <c r="S1080" s="1"/>
      <c r="T1080" s="27">
        <f t="shared" si="259"/>
        <v>3</v>
      </c>
      <c r="U1080" s="247">
        <f>IF(OR(ISBLANK(F$68),AND(W1080&gt;(F$68-1),W1080&lt;(I$68+1))),IF(ISERROR(VLOOKUP(I$67,G$1076:G$1078,1,FALSE)),IF(K$67=G$1086,IF(MONTH(W1080)&lt;&gt;MONTH(W1079),MAX(U$1009:U1079)+1,0),IF(ISERROR(VLOOKUP(I$67,G$1079:G$1084,1,FALSE)),IF(V1080=1,MAX(U$1009:U1079)+1,0),IF(MONTH(W1081)&lt;&gt;MONTH(W1080),T1080,0))),IF(K$67=G$1086,IF(V1080=1,MAX(U$1009:U1079)+1,0),IF(V1080=7,MAX(U$1015:U1079)+1,0))),0)</f>
        <v>0</v>
      </c>
      <c r="V1080" s="27">
        <f t="shared" si="262"/>
        <v>2</v>
      </c>
      <c r="W1080" s="97">
        <f t="shared" si="263"/>
        <v>45363</v>
      </c>
      <c r="X1080" s="249" t="str">
        <f>IF(K$67=G$1086,IF(OR(U1080=1,AND(U1080&gt;0,U1080=(MAX(Y$1009:Y1079)+VLOOKUP(I$67,G$1076:H$1084,2,FALSE)))),"X",""),IF(AND(U1080&gt;0,U1080=(MAX(Y$1009:Y1079)+VLOOKUP(I$67,G$1076:H$1084,2,FALSE))),"X",""))</f>
        <v/>
      </c>
      <c r="Y1080" s="252">
        <f t="shared" si="264"/>
        <v>0</v>
      </c>
      <c r="Z1080" s="253">
        <f>IF(Y1080&gt;0,COUNTIF(Y$1009:Y1079,"&gt;0")+1,0)</f>
        <v>0</v>
      </c>
      <c r="AA1080" s="1"/>
      <c r="AB1080" s="255" t="str">
        <f t="shared" si="265"/>
        <v/>
      </c>
      <c r="AC1080" s="261" t="str">
        <f t="shared" si="267"/>
        <v/>
      </c>
      <c r="AD1080" s="258">
        <f>IF(Z1080&gt;0,COUNTIF(AC$1009:AC1079,AC1080)+1,0)</f>
        <v>0</v>
      </c>
      <c r="AE1080" s="258" t="str">
        <f t="shared" si="266"/>
        <v/>
      </c>
      <c r="AF1080" s="392" t="str">
        <f t="shared" si="268"/>
        <v/>
      </c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</row>
    <row r="1081" spans="1:93" ht="16.5" hidden="1" customHeight="1">
      <c r="A1081" s="1380" t="b">
        <f>RIPARTIZIONI!O30</f>
        <v>0</v>
      </c>
      <c r="B1081" s="1380"/>
      <c r="C1081" s="107" t="str">
        <f>RIPARTIZIONI!P30</f>
        <v>6 - es. PER PIANO in Percentuale</v>
      </c>
      <c r="D1081" s="1"/>
      <c r="E1081" s="115">
        <v>12</v>
      </c>
      <c r="F1081" s="689">
        <v>6</v>
      </c>
      <c r="G1081" s="104" t="s">
        <v>122</v>
      </c>
      <c r="H1081" s="100">
        <v>3</v>
      </c>
      <c r="I1081" s="1308" t="str">
        <f t="shared" si="269"/>
        <v>Ripartizione:  3 - in MILLESIMI   III</v>
      </c>
      <c r="J1081" s="1309"/>
      <c r="K1081" s="1309"/>
      <c r="L1081" s="1310"/>
      <c r="M1081" s="7">
        <v>5</v>
      </c>
      <c r="N1081" s="673">
        <v>0</v>
      </c>
      <c r="O1081" s="1"/>
      <c r="P1081" s="1376" t="str">
        <f>ENTI!AD1036</f>
        <v xml:space="preserve"> </v>
      </c>
      <c r="Q1081" s="1377"/>
      <c r="R1081" s="1"/>
      <c r="S1081" s="1"/>
      <c r="T1081" s="27">
        <f t="shared" si="259"/>
        <v>3</v>
      </c>
      <c r="U1081" s="247">
        <f>IF(OR(ISBLANK(F$68),AND(W1081&gt;(F$68-1),W1081&lt;(I$68+1))),IF(ISERROR(VLOOKUP(I$67,G$1076:G$1078,1,FALSE)),IF(K$67=G$1086,IF(MONTH(W1081)&lt;&gt;MONTH(W1080),MAX(U$1009:U1080)+1,0),IF(ISERROR(VLOOKUP(I$67,G$1079:G$1084,1,FALSE)),IF(V1081=1,MAX(U$1009:U1080)+1,0),IF(MONTH(W1082)&lt;&gt;MONTH(W1081),T1081,0))),IF(K$67=G$1086,IF(V1081=1,MAX(U$1009:U1080)+1,0),IF(V1081=7,MAX(U$1015:U1080)+1,0))),0)</f>
        <v>0</v>
      </c>
      <c r="V1081" s="27">
        <f t="shared" si="262"/>
        <v>3</v>
      </c>
      <c r="W1081" s="97">
        <f t="shared" si="263"/>
        <v>45364</v>
      </c>
      <c r="X1081" s="249" t="str">
        <f>IF(K$67=G$1086,IF(OR(U1081=1,AND(U1081&gt;0,U1081=(MAX(Y$1009:Y1080)+VLOOKUP(I$67,G$1076:H$1084,2,FALSE)))),"X",""),IF(AND(U1081&gt;0,U1081=(MAX(Y$1009:Y1080)+VLOOKUP(I$67,G$1076:H$1084,2,FALSE))),"X",""))</f>
        <v/>
      </c>
      <c r="Y1081" s="252">
        <f t="shared" si="264"/>
        <v>0</v>
      </c>
      <c r="Z1081" s="253">
        <f>IF(Y1081&gt;0,COUNTIF(Y$1009:Y1080,"&gt;0")+1,0)</f>
        <v>0</v>
      </c>
      <c r="AA1081" s="1"/>
      <c r="AB1081" s="255" t="str">
        <f t="shared" si="265"/>
        <v/>
      </c>
      <c r="AC1081" s="261" t="str">
        <f t="shared" si="267"/>
        <v/>
      </c>
      <c r="AD1081" s="258">
        <f>IF(Z1081&gt;0,COUNTIF(AC$1009:AC1080,AC1081)+1,0)</f>
        <v>0</v>
      </c>
      <c r="AE1081" s="258" t="str">
        <f t="shared" si="266"/>
        <v/>
      </c>
      <c r="AF1081" s="392" t="str">
        <f t="shared" si="268"/>
        <v/>
      </c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</row>
    <row r="1082" spans="1:93" ht="16.5" hidden="1" customHeight="1">
      <c r="A1082" s="1"/>
      <c r="B1082" s="1"/>
      <c r="C1082" s="1"/>
      <c r="D1082" s="1"/>
      <c r="E1082" s="1"/>
      <c r="F1082" s="1"/>
      <c r="G1082" s="104" t="s">
        <v>123</v>
      </c>
      <c r="H1082" s="100">
        <v>4</v>
      </c>
      <c r="I1082" s="1308" t="str">
        <f t="shared" si="269"/>
        <v>Ripartizione:  4 - in PERCENTUALE</v>
      </c>
      <c r="J1082" s="1309"/>
      <c r="K1082" s="1309"/>
      <c r="L1082" s="1310"/>
      <c r="M1082" s="7">
        <v>6</v>
      </c>
      <c r="N1082" s="7">
        <v>1</v>
      </c>
      <c r="O1082" s="1"/>
      <c r="P1082" s="1381" t="str">
        <f>ENTI!AD1038</f>
        <v xml:space="preserve"> </v>
      </c>
      <c r="Q1082" s="1382"/>
      <c r="R1082" s="1"/>
      <c r="S1082" s="1"/>
      <c r="T1082" s="27">
        <f t="shared" ref="T1082:T1145" si="270">IF(MONTH(W1082)=MONTH(W1081),T1081,T1081+1)</f>
        <v>3</v>
      </c>
      <c r="U1082" s="247">
        <f>IF(OR(ISBLANK(F$68),AND(W1082&gt;(F$68-1),W1082&lt;(I$68+1))),IF(ISERROR(VLOOKUP(I$67,G$1076:G$1078,1,FALSE)),IF(K$67=G$1086,IF(MONTH(W1082)&lt;&gt;MONTH(W1081),MAX(U$1009:U1081)+1,0),IF(ISERROR(VLOOKUP(I$67,G$1079:G$1084,1,FALSE)),IF(V1082=1,MAX(U$1009:U1081)+1,0),IF(MONTH(W1083)&lt;&gt;MONTH(W1082),T1082,0))),IF(K$67=G$1086,IF(V1082=1,MAX(U$1009:U1081)+1,0),IF(V1082=7,MAX(U$1015:U1081)+1,0))),0)</f>
        <v>0</v>
      </c>
      <c r="V1082" s="27">
        <f t="shared" si="262"/>
        <v>4</v>
      </c>
      <c r="W1082" s="97">
        <f t="shared" si="263"/>
        <v>45365</v>
      </c>
      <c r="X1082" s="249" t="str">
        <f>IF(K$67=G$1086,IF(OR(U1082=1,AND(U1082&gt;0,U1082=(MAX(Y$1009:Y1081)+VLOOKUP(I$67,G$1076:H$1084,2,FALSE)))),"X",""),IF(AND(U1082&gt;0,U1082=(MAX(Y$1009:Y1081)+VLOOKUP(I$67,G$1076:H$1084,2,FALSE))),"X",""))</f>
        <v/>
      </c>
      <c r="Y1082" s="252">
        <f t="shared" si="264"/>
        <v>0</v>
      </c>
      <c r="Z1082" s="253">
        <f>IF(Y1082&gt;0,COUNTIF(Y$1009:Y1081,"&gt;0")+1,0)</f>
        <v>0</v>
      </c>
      <c r="AA1082" s="1"/>
      <c r="AB1082" s="255" t="str">
        <f t="shared" si="265"/>
        <v/>
      </c>
      <c r="AC1082" s="261" t="str">
        <f t="shared" si="267"/>
        <v/>
      </c>
      <c r="AD1082" s="258">
        <f>IF(Z1082&gt;0,COUNTIF(AC$1009:AC1081,AC1082)+1,0)</f>
        <v>0</v>
      </c>
      <c r="AE1082" s="258" t="str">
        <f t="shared" si="266"/>
        <v/>
      </c>
      <c r="AF1082" s="392" t="str">
        <f t="shared" si="268"/>
        <v/>
      </c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</row>
    <row r="1083" spans="1:93" ht="16.5" hidden="1" customHeight="1">
      <c r="A1083" s="1"/>
      <c r="B1083" s="1"/>
      <c r="C1083" s="1"/>
      <c r="D1083" s="1"/>
      <c r="E1083" s="1"/>
      <c r="F1083" s="1"/>
      <c r="G1083" s="104" t="s">
        <v>124</v>
      </c>
      <c r="H1083" s="100">
        <v>6</v>
      </c>
      <c r="I1083" s="1308" t="str">
        <f t="shared" si="269"/>
        <v>Ripartizione:  5 - es. PER PIANO in Millesimi</v>
      </c>
      <c r="J1083" s="1309"/>
      <c r="K1083" s="1309"/>
      <c r="L1083" s="1310"/>
      <c r="M1083" s="7">
        <v>11</v>
      </c>
      <c r="N1083" s="672">
        <v>0</v>
      </c>
      <c r="O1083" s="1"/>
      <c r="P1083" s="1"/>
      <c r="Q1083" s="1"/>
      <c r="R1083" s="1"/>
      <c r="S1083" s="1"/>
      <c r="T1083" s="27">
        <f t="shared" si="270"/>
        <v>3</v>
      </c>
      <c r="U1083" s="247">
        <f>IF(OR(ISBLANK(F$68),AND(W1083&gt;(F$68-1),W1083&lt;(I$68+1))),IF(ISERROR(VLOOKUP(I$67,G$1076:G$1078,1,FALSE)),IF(K$67=G$1086,IF(MONTH(W1083)&lt;&gt;MONTH(W1082),MAX(U$1009:U1082)+1,0),IF(ISERROR(VLOOKUP(I$67,G$1079:G$1084,1,FALSE)),IF(V1083=1,MAX(U$1009:U1082)+1,0),IF(MONTH(W1084)&lt;&gt;MONTH(W1083),T1083,0))),IF(K$67=G$1086,IF(V1083=1,MAX(U$1009:U1082)+1,0),IF(V1083=7,MAX(U$1015:U1082)+1,0))),0)</f>
        <v>0</v>
      </c>
      <c r="V1083" s="27">
        <f t="shared" si="262"/>
        <v>5</v>
      </c>
      <c r="W1083" s="97">
        <f t="shared" si="263"/>
        <v>45366</v>
      </c>
      <c r="X1083" s="249" t="str">
        <f>IF(K$67=G$1086,IF(OR(U1083=1,AND(U1083&gt;0,U1083=(MAX(Y$1009:Y1082)+VLOOKUP(I$67,G$1076:H$1084,2,FALSE)))),"X",""),IF(AND(U1083&gt;0,U1083=(MAX(Y$1009:Y1082)+VLOOKUP(I$67,G$1076:H$1084,2,FALSE))),"X",""))</f>
        <v/>
      </c>
      <c r="Y1083" s="252">
        <f t="shared" si="264"/>
        <v>0</v>
      </c>
      <c r="Z1083" s="253">
        <f>IF(Y1083&gt;0,COUNTIF(Y$1009:Y1082,"&gt;0")+1,0)</f>
        <v>0</v>
      </c>
      <c r="AA1083" s="1"/>
      <c r="AB1083" s="255" t="str">
        <f t="shared" si="265"/>
        <v/>
      </c>
      <c r="AC1083" s="261" t="str">
        <f t="shared" si="267"/>
        <v/>
      </c>
      <c r="AD1083" s="258">
        <f>IF(Z1083&gt;0,COUNTIF(AC$1009:AC1082,AC1083)+1,0)</f>
        <v>0</v>
      </c>
      <c r="AE1083" s="258" t="str">
        <f t="shared" si="266"/>
        <v/>
      </c>
      <c r="AF1083" s="392" t="str">
        <f t="shared" si="268"/>
        <v/>
      </c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</row>
    <row r="1084" spans="1:93" ht="16.5" hidden="1" customHeight="1">
      <c r="A1084" s="1"/>
      <c r="B1084" s="1"/>
      <c r="C1084" s="1"/>
      <c r="D1084" s="1"/>
      <c r="E1084" s="1"/>
      <c r="F1084" s="1"/>
      <c r="G1084" s="105" t="s">
        <v>13</v>
      </c>
      <c r="H1084" s="100">
        <v>12</v>
      </c>
      <c r="I1084" s="1308" t="str">
        <f t="shared" si="269"/>
        <v>Ripartizione:  6 - es. PER PIANO in Percentuale</v>
      </c>
      <c r="J1084" s="1309"/>
      <c r="K1084" s="1309"/>
      <c r="L1084" s="1310"/>
      <c r="M1084" s="7">
        <v>12</v>
      </c>
      <c r="N1084" s="115">
        <v>1</v>
      </c>
      <c r="O1084" s="1"/>
      <c r="P1084" s="1"/>
      <c r="Q1084" s="1"/>
      <c r="R1084" s="1"/>
      <c r="S1084" s="1"/>
      <c r="T1084" s="27">
        <f t="shared" si="270"/>
        <v>3</v>
      </c>
      <c r="U1084" s="247">
        <f>IF(OR(ISBLANK(F$68),AND(W1084&gt;(F$68-1),W1084&lt;(I$68+1))),IF(ISERROR(VLOOKUP(I$67,G$1076:G$1078,1,FALSE)),IF(K$67=G$1086,IF(MONTH(W1084)&lt;&gt;MONTH(W1083),MAX(U$1009:U1083)+1,0),IF(ISERROR(VLOOKUP(I$67,G$1079:G$1084,1,FALSE)),IF(V1084=1,MAX(U$1009:U1083)+1,0),IF(MONTH(W1085)&lt;&gt;MONTH(W1084),T1084,0))),IF(K$67=G$1086,IF(V1084=1,MAX(U$1009:U1083)+1,0),IF(V1084=7,MAX(U$1015:U1083)+1,0))),0)</f>
        <v>0</v>
      </c>
      <c r="V1084" s="27">
        <f t="shared" si="262"/>
        <v>6</v>
      </c>
      <c r="W1084" s="97">
        <f t="shared" si="263"/>
        <v>45367</v>
      </c>
      <c r="X1084" s="249" t="str">
        <f>IF(K$67=G$1086,IF(OR(U1084=1,AND(U1084&gt;0,U1084=(MAX(Y$1009:Y1083)+VLOOKUP(I$67,G$1076:H$1084,2,FALSE)))),"X",""),IF(AND(U1084&gt;0,U1084=(MAX(Y$1009:Y1083)+VLOOKUP(I$67,G$1076:H$1084,2,FALSE))),"X",""))</f>
        <v/>
      </c>
      <c r="Y1084" s="252">
        <f t="shared" si="264"/>
        <v>0</v>
      </c>
      <c r="Z1084" s="253">
        <f>IF(Y1084&gt;0,COUNTIF(Y$1009:Y1083,"&gt;0")+1,0)</f>
        <v>0</v>
      </c>
      <c r="AA1084" s="1"/>
      <c r="AB1084" s="255" t="str">
        <f t="shared" si="265"/>
        <v/>
      </c>
      <c r="AC1084" s="261" t="str">
        <f t="shared" si="267"/>
        <v/>
      </c>
      <c r="AD1084" s="258">
        <f>IF(Z1084&gt;0,COUNTIF(AC$1009:AC1083,AC1084)+1,0)</f>
        <v>0</v>
      </c>
      <c r="AE1084" s="258" t="str">
        <f t="shared" si="266"/>
        <v/>
      </c>
      <c r="AF1084" s="392" t="str">
        <f t="shared" si="268"/>
        <v/>
      </c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</row>
    <row r="1085" spans="1:93" ht="16.5" hidden="1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27">
        <f t="shared" si="270"/>
        <v>3</v>
      </c>
      <c r="U1085" s="247">
        <f>IF(OR(ISBLANK(F$68),AND(W1085&gt;(F$68-1),W1085&lt;(I$68+1))),IF(ISERROR(VLOOKUP(I$67,G$1076:G$1078,1,FALSE)),IF(K$67=G$1086,IF(MONTH(W1085)&lt;&gt;MONTH(W1084),MAX(U$1009:U1084)+1,0),IF(ISERROR(VLOOKUP(I$67,G$1079:G$1084,1,FALSE)),IF(V1085=1,MAX(U$1009:U1084)+1,0),IF(MONTH(W1086)&lt;&gt;MONTH(W1085),T1085,0))),IF(K$67=G$1086,IF(V1085=1,MAX(U$1009:U1084)+1,0),IF(V1085=7,MAX(U$1015:U1084)+1,0))),0)</f>
        <v>0</v>
      </c>
      <c r="V1085" s="27">
        <f t="shared" si="262"/>
        <v>7</v>
      </c>
      <c r="W1085" s="97">
        <f t="shared" si="263"/>
        <v>45368</v>
      </c>
      <c r="X1085" s="249" t="str">
        <f>IF(K$67=G$1086,IF(OR(U1085=1,AND(U1085&gt;0,U1085=(MAX(Y$1009:Y1084)+VLOOKUP(I$67,G$1076:H$1084,2,FALSE)))),"X",""),IF(AND(U1085&gt;0,U1085=(MAX(Y$1009:Y1084)+VLOOKUP(I$67,G$1076:H$1084,2,FALSE))),"X",""))</f>
        <v/>
      </c>
      <c r="Y1085" s="252">
        <f t="shared" si="264"/>
        <v>0</v>
      </c>
      <c r="Z1085" s="253">
        <f>IF(Y1085&gt;0,COUNTIF(Y$1009:Y1084,"&gt;0")+1,0)</f>
        <v>0</v>
      </c>
      <c r="AA1085" s="1"/>
      <c r="AB1085" s="255" t="str">
        <f t="shared" si="265"/>
        <v/>
      </c>
      <c r="AC1085" s="261" t="str">
        <f t="shared" si="267"/>
        <v/>
      </c>
      <c r="AD1085" s="258">
        <f>IF(Z1085&gt;0,COUNTIF(AC$1009:AC1084,AC1085)+1,0)</f>
        <v>0</v>
      </c>
      <c r="AE1085" s="258" t="str">
        <f t="shared" si="266"/>
        <v/>
      </c>
      <c r="AF1085" s="392" t="str">
        <f t="shared" si="268"/>
        <v/>
      </c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</row>
    <row r="1086" spans="1:93" ht="16.5" hidden="1" customHeight="1">
      <c r="A1086" s="1"/>
      <c r="B1086" s="1"/>
      <c r="C1086" s="1"/>
      <c r="D1086" s="1"/>
      <c r="E1086" s="1"/>
      <c r="F1086" s="1"/>
      <c r="G1086" s="103" t="s">
        <v>126</v>
      </c>
      <c r="H1086" s="1"/>
      <c r="I1086" s="100">
        <f>IF(J1086="",0,1)</f>
        <v>1</v>
      </c>
      <c r="J1086" s="294" t="str">
        <f t="shared" ref="J1086:J1122" si="271">IF(ISBLANK(B9),0,B9)</f>
        <v>Assicurazione</v>
      </c>
      <c r="K1086" s="1"/>
      <c r="L1086" s="1"/>
      <c r="M1086" s="100">
        <v>1</v>
      </c>
      <c r="N1086" s="294" t="str">
        <f t="shared" ref="N1086:N1122" si="272">IF(M1086&gt;I$1123," ",VLOOKUP(M1086,I$1086:J$1122,2,FALSE))</f>
        <v>Assicurazione</v>
      </c>
      <c r="O1086" s="1"/>
      <c r="P1086" s="1"/>
      <c r="Q1086" s="1"/>
      <c r="R1086" s="1"/>
      <c r="S1086" s="1"/>
      <c r="T1086" s="27">
        <f t="shared" si="270"/>
        <v>3</v>
      </c>
      <c r="U1086" s="247">
        <f>IF(OR(ISBLANK(F$68),AND(W1086&gt;(F$68-1),W1086&lt;(I$68+1))),IF(ISERROR(VLOOKUP(I$67,G$1076:G$1078,1,FALSE)),IF(K$67=G$1086,IF(MONTH(W1086)&lt;&gt;MONTH(W1085),MAX(U$1009:U1085)+1,0),IF(ISERROR(VLOOKUP(I$67,G$1079:G$1084,1,FALSE)),IF(V1086=1,MAX(U$1009:U1085)+1,0),IF(MONTH(W1087)&lt;&gt;MONTH(W1086),T1086,0))),IF(K$67=G$1086,IF(V1086=1,MAX(U$1009:U1085)+1,0),IF(V1086=7,MAX(U$1015:U1085)+1,0))),0)</f>
        <v>12</v>
      </c>
      <c r="V1086" s="27">
        <f t="shared" si="262"/>
        <v>1</v>
      </c>
      <c r="W1086" s="97">
        <f t="shared" si="263"/>
        <v>45369</v>
      </c>
      <c r="X1086" s="249" t="str">
        <f>IF(K$67=G$1086,IF(OR(U1086=1,AND(U1086&gt;0,U1086=(MAX(Y$1009:Y1085)+VLOOKUP(I$67,G$1076:H$1084,2,FALSE)))),"X",""),IF(AND(U1086&gt;0,U1086=(MAX(Y$1009:Y1085)+VLOOKUP(I$67,G$1076:H$1084,2,FALSE))),"X",""))</f>
        <v/>
      </c>
      <c r="Y1086" s="252">
        <f t="shared" si="264"/>
        <v>0</v>
      </c>
      <c r="Z1086" s="253">
        <f>IF(Y1086&gt;0,COUNTIF(Y$1009:Y1085,"&gt;0")+1,0)</f>
        <v>0</v>
      </c>
      <c r="AA1086" s="1"/>
      <c r="AB1086" s="255" t="str">
        <f t="shared" si="265"/>
        <v/>
      </c>
      <c r="AC1086" s="261" t="str">
        <f t="shared" si="267"/>
        <v/>
      </c>
      <c r="AD1086" s="258">
        <f>IF(Z1086&gt;0,COUNTIF(AC$1009:AC1085,AC1086)+1,0)</f>
        <v>0</v>
      </c>
      <c r="AE1086" s="258" t="str">
        <f t="shared" si="266"/>
        <v/>
      </c>
      <c r="AF1086" s="392" t="str">
        <f t="shared" si="268"/>
        <v/>
      </c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</row>
    <row r="1087" spans="1:93" ht="16.5" hidden="1" customHeight="1">
      <c r="A1087" s="1"/>
      <c r="B1087" s="1"/>
      <c r="C1087" s="1"/>
      <c r="D1087" s="1"/>
      <c r="E1087" s="1"/>
      <c r="F1087" s="1"/>
      <c r="G1087" s="105" t="s">
        <v>127</v>
      </c>
      <c r="H1087" s="1"/>
      <c r="I1087" s="100">
        <f>IF(J1087=0,0,COUNTIF(I$1086:I1086,"&gt;0")+1)</f>
        <v>2</v>
      </c>
      <c r="J1087" s="295" t="str">
        <f t="shared" si="271"/>
        <v>Attrezzatura</v>
      </c>
      <c r="K1087" s="1"/>
      <c r="L1087" s="1"/>
      <c r="M1087" s="100">
        <v>2</v>
      </c>
      <c r="N1087" s="295" t="str">
        <f t="shared" si="272"/>
        <v>Attrezzatura</v>
      </c>
      <c r="O1087" s="1"/>
      <c r="P1087" s="1"/>
      <c r="Q1087" s="1"/>
      <c r="R1087" s="1"/>
      <c r="S1087" s="1"/>
      <c r="T1087" s="27">
        <f t="shared" si="270"/>
        <v>3</v>
      </c>
      <c r="U1087" s="247">
        <f>IF(OR(ISBLANK(F$68),AND(W1087&gt;(F$68-1),W1087&lt;(I$68+1))),IF(ISERROR(VLOOKUP(I$67,G$1076:G$1078,1,FALSE)),IF(K$67=G$1086,IF(MONTH(W1087)&lt;&gt;MONTH(W1086),MAX(U$1009:U1086)+1,0),IF(ISERROR(VLOOKUP(I$67,G$1079:G$1084,1,FALSE)),IF(V1087=1,MAX(U$1009:U1086)+1,0),IF(MONTH(W1088)&lt;&gt;MONTH(W1087),T1087,0))),IF(K$67=G$1086,IF(V1087=1,MAX(U$1009:U1086)+1,0),IF(V1087=7,MAX(U$1015:U1086)+1,0))),0)</f>
        <v>0</v>
      </c>
      <c r="V1087" s="27">
        <f t="shared" si="262"/>
        <v>2</v>
      </c>
      <c r="W1087" s="97">
        <f t="shared" si="263"/>
        <v>45370</v>
      </c>
      <c r="X1087" s="249" t="str">
        <f>IF(K$67=G$1086,IF(OR(U1087=1,AND(U1087&gt;0,U1087=(MAX(Y$1009:Y1086)+VLOOKUP(I$67,G$1076:H$1084,2,FALSE)))),"X",""),IF(AND(U1087&gt;0,U1087=(MAX(Y$1009:Y1086)+VLOOKUP(I$67,G$1076:H$1084,2,FALSE))),"X",""))</f>
        <v/>
      </c>
      <c r="Y1087" s="252">
        <f t="shared" si="264"/>
        <v>0</v>
      </c>
      <c r="Z1087" s="253">
        <f>IF(Y1087&gt;0,COUNTIF(Y$1009:Y1086,"&gt;0")+1,0)</f>
        <v>0</v>
      </c>
      <c r="AA1087" s="1"/>
      <c r="AB1087" s="255" t="str">
        <f t="shared" si="265"/>
        <v/>
      </c>
      <c r="AC1087" s="261" t="str">
        <f t="shared" si="267"/>
        <v/>
      </c>
      <c r="AD1087" s="258">
        <f>IF(Z1087&gt;0,COUNTIF(AC$1009:AC1086,AC1087)+1,0)</f>
        <v>0</v>
      </c>
      <c r="AE1087" s="258" t="str">
        <f t="shared" si="266"/>
        <v/>
      </c>
      <c r="AF1087" s="392" t="str">
        <f t="shared" si="268"/>
        <v/>
      </c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</row>
    <row r="1088" spans="1:93" ht="16.5" hidden="1" customHeight="1">
      <c r="A1088" s="1"/>
      <c r="B1088" s="1"/>
      <c r="C1088" s="1"/>
      <c r="D1088" s="1"/>
      <c r="E1088" s="1"/>
      <c r="F1088" s="1"/>
      <c r="G1088" s="1"/>
      <c r="H1088" s="1"/>
      <c r="I1088" s="100">
        <f>IF(J1088=0,0,COUNTIF(I$1086:I1087,"&gt;0")+1)</f>
        <v>3</v>
      </c>
      <c r="J1088" s="295" t="str">
        <f t="shared" si="271"/>
        <v>Spese Postali - Notarili - Documenti</v>
      </c>
      <c r="K1088" s="1"/>
      <c r="L1088" s="1"/>
      <c r="M1088" s="100">
        <v>3</v>
      </c>
      <c r="N1088" s="295" t="str">
        <f t="shared" si="272"/>
        <v>Spese Postali - Notarili - Documenti</v>
      </c>
      <c r="O1088" s="1"/>
      <c r="P1088" s="1"/>
      <c r="Q1088" s="1"/>
      <c r="R1088" s="1"/>
      <c r="S1088" s="1"/>
      <c r="T1088" s="27">
        <f t="shared" si="270"/>
        <v>3</v>
      </c>
      <c r="U1088" s="247">
        <f>IF(OR(ISBLANK(F$68),AND(W1088&gt;(F$68-1),W1088&lt;(I$68+1))),IF(ISERROR(VLOOKUP(I$67,G$1076:G$1078,1,FALSE)),IF(K$67=G$1086,IF(MONTH(W1088)&lt;&gt;MONTH(W1087),MAX(U$1009:U1087)+1,0),IF(ISERROR(VLOOKUP(I$67,G$1079:G$1084,1,FALSE)),IF(V1088=1,MAX(U$1009:U1087)+1,0),IF(MONTH(W1089)&lt;&gt;MONTH(W1088),T1088,0))),IF(K$67=G$1086,IF(V1088=1,MAX(U$1009:U1087)+1,0),IF(V1088=7,MAX(U$1015:U1087)+1,0))),0)</f>
        <v>0</v>
      </c>
      <c r="V1088" s="27">
        <f t="shared" si="262"/>
        <v>3</v>
      </c>
      <c r="W1088" s="97">
        <f t="shared" si="263"/>
        <v>45371</v>
      </c>
      <c r="X1088" s="249" t="str">
        <f>IF(K$67=G$1086,IF(OR(U1088=1,AND(U1088&gt;0,U1088=(MAX(Y$1009:Y1087)+VLOOKUP(I$67,G$1076:H$1084,2,FALSE)))),"X",""),IF(AND(U1088&gt;0,U1088=(MAX(Y$1009:Y1087)+VLOOKUP(I$67,G$1076:H$1084,2,FALSE))),"X",""))</f>
        <v/>
      </c>
      <c r="Y1088" s="252">
        <f t="shared" si="264"/>
        <v>0</v>
      </c>
      <c r="Z1088" s="253">
        <f>IF(Y1088&gt;0,COUNTIF(Y$1009:Y1087,"&gt;0")+1,0)</f>
        <v>0</v>
      </c>
      <c r="AA1088" s="1"/>
      <c r="AB1088" s="255" t="str">
        <f t="shared" si="265"/>
        <v/>
      </c>
      <c r="AC1088" s="261" t="str">
        <f t="shared" si="267"/>
        <v/>
      </c>
      <c r="AD1088" s="258">
        <f>IF(Z1088&gt;0,COUNTIF(AC$1009:AC1087,AC1088)+1,0)</f>
        <v>0</v>
      </c>
      <c r="AE1088" s="258" t="str">
        <f t="shared" si="266"/>
        <v/>
      </c>
      <c r="AF1088" s="392" t="str">
        <f t="shared" si="268"/>
        <v/>
      </c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</row>
    <row r="1089" spans="1:93" ht="16.5" hidden="1" customHeight="1">
      <c r="A1089" s="1"/>
      <c r="B1089" s="1"/>
      <c r="C1089" s="1"/>
      <c r="D1089" s="1"/>
      <c r="E1089" s="1"/>
      <c r="F1089" s="1"/>
      <c r="G1089" s="103" t="s">
        <v>130</v>
      </c>
      <c r="H1089" s="1"/>
      <c r="I1089" s="100">
        <f>IF(J1089=0,0,COUNTIF(I$1086:I1088,"&gt;0")+1)</f>
        <v>4</v>
      </c>
      <c r="J1089" s="295" t="str">
        <f t="shared" si="271"/>
        <v>Spese Bancarie</v>
      </c>
      <c r="K1089" s="1"/>
      <c r="L1089" s="1"/>
      <c r="M1089" s="100">
        <v>4</v>
      </c>
      <c r="N1089" s="295" t="str">
        <f t="shared" si="272"/>
        <v>Spese Bancarie</v>
      </c>
      <c r="O1089" s="1"/>
      <c r="P1089" s="1"/>
      <c r="Q1089" s="1"/>
      <c r="R1089" s="1"/>
      <c r="S1089" s="1"/>
      <c r="T1089" s="27">
        <f t="shared" si="270"/>
        <v>3</v>
      </c>
      <c r="U1089" s="247">
        <f>IF(OR(ISBLANK(F$68),AND(W1089&gt;(F$68-1),W1089&lt;(I$68+1))),IF(ISERROR(VLOOKUP(I$67,G$1076:G$1078,1,FALSE)),IF(K$67=G$1086,IF(MONTH(W1089)&lt;&gt;MONTH(W1088),MAX(U$1009:U1088)+1,0),IF(ISERROR(VLOOKUP(I$67,G$1079:G$1084,1,FALSE)),IF(V1089=1,MAX(U$1009:U1088)+1,0),IF(MONTH(W1090)&lt;&gt;MONTH(W1089),T1089,0))),IF(K$67=G$1086,IF(V1089=1,MAX(U$1009:U1088)+1,0),IF(V1089=7,MAX(U$1015:U1088)+1,0))),0)</f>
        <v>0</v>
      </c>
      <c r="V1089" s="27">
        <f t="shared" si="262"/>
        <v>4</v>
      </c>
      <c r="W1089" s="97">
        <f t="shared" si="263"/>
        <v>45372</v>
      </c>
      <c r="X1089" s="249" t="str">
        <f>IF(K$67=G$1086,IF(OR(U1089=1,AND(U1089&gt;0,U1089=(MAX(Y$1009:Y1088)+VLOOKUP(I$67,G$1076:H$1084,2,FALSE)))),"X",""),IF(AND(U1089&gt;0,U1089=(MAX(Y$1009:Y1088)+VLOOKUP(I$67,G$1076:H$1084,2,FALSE))),"X",""))</f>
        <v/>
      </c>
      <c r="Y1089" s="252">
        <f t="shared" si="264"/>
        <v>0</v>
      </c>
      <c r="Z1089" s="253">
        <f>IF(Y1089&gt;0,COUNTIF(Y$1009:Y1088,"&gt;0")+1,0)</f>
        <v>0</v>
      </c>
      <c r="AA1089" s="1"/>
      <c r="AB1089" s="255" t="str">
        <f t="shared" si="265"/>
        <v/>
      </c>
      <c r="AC1089" s="261" t="str">
        <f t="shared" si="267"/>
        <v/>
      </c>
      <c r="AD1089" s="258">
        <f>IF(Z1089&gt;0,COUNTIF(AC$1009:AC1088,AC1089)+1,0)</f>
        <v>0</v>
      </c>
      <c r="AE1089" s="258" t="str">
        <f t="shared" si="266"/>
        <v/>
      </c>
      <c r="AF1089" s="392" t="str">
        <f t="shared" si="268"/>
        <v/>
      </c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</row>
    <row r="1090" spans="1:93" ht="16.5" hidden="1" customHeight="1">
      <c r="A1090" s="1"/>
      <c r="B1090" s="1"/>
      <c r="C1090" s="1"/>
      <c r="D1090" s="1"/>
      <c r="E1090" s="1"/>
      <c r="F1090" s="1"/>
      <c r="G1090" s="105" t="s">
        <v>129</v>
      </c>
      <c r="H1090" s="1"/>
      <c r="I1090" s="100">
        <f>IF(J1090=0,0,COUNTIF(I$1086:I1089,"&gt;0")+1)</f>
        <v>5</v>
      </c>
      <c r="J1090" s="295" t="str">
        <f t="shared" si="271"/>
        <v>Imposte e tasse condominiali</v>
      </c>
      <c r="K1090" s="1"/>
      <c r="L1090" s="1"/>
      <c r="M1090" s="100">
        <v>5</v>
      </c>
      <c r="N1090" s="295" t="str">
        <f t="shared" si="272"/>
        <v>Imposte e tasse condominiali</v>
      </c>
      <c r="O1090" s="1"/>
      <c r="P1090" s="1"/>
      <c r="Q1090" s="1"/>
      <c r="R1090" s="1"/>
      <c r="S1090" s="1"/>
      <c r="T1090" s="27">
        <f t="shared" si="270"/>
        <v>3</v>
      </c>
      <c r="U1090" s="247">
        <f>IF(OR(ISBLANK(F$68),AND(W1090&gt;(F$68-1),W1090&lt;(I$68+1))),IF(ISERROR(VLOOKUP(I$67,G$1076:G$1078,1,FALSE)),IF(K$67=G$1086,IF(MONTH(W1090)&lt;&gt;MONTH(W1089),MAX(U$1009:U1089)+1,0),IF(ISERROR(VLOOKUP(I$67,G$1079:G$1084,1,FALSE)),IF(V1090=1,MAX(U$1009:U1089)+1,0),IF(MONTH(W1091)&lt;&gt;MONTH(W1090),T1090,0))),IF(K$67=G$1086,IF(V1090=1,MAX(U$1009:U1089)+1,0),IF(V1090=7,MAX(U$1015:U1089)+1,0))),0)</f>
        <v>0</v>
      </c>
      <c r="V1090" s="27">
        <f t="shared" si="262"/>
        <v>5</v>
      </c>
      <c r="W1090" s="97">
        <f t="shared" si="263"/>
        <v>45373</v>
      </c>
      <c r="X1090" s="249" t="str">
        <f>IF(K$67=G$1086,IF(OR(U1090=1,AND(U1090&gt;0,U1090=(MAX(Y$1009:Y1089)+VLOOKUP(I$67,G$1076:H$1084,2,FALSE)))),"X",""),IF(AND(U1090&gt;0,U1090=(MAX(Y$1009:Y1089)+VLOOKUP(I$67,G$1076:H$1084,2,FALSE))),"X",""))</f>
        <v/>
      </c>
      <c r="Y1090" s="252">
        <f t="shared" si="264"/>
        <v>0</v>
      </c>
      <c r="Z1090" s="253">
        <f>IF(Y1090&gt;0,COUNTIF(Y$1009:Y1089,"&gt;0")+1,0)</f>
        <v>0</v>
      </c>
      <c r="AA1090" s="1"/>
      <c r="AB1090" s="255" t="str">
        <f t="shared" si="265"/>
        <v/>
      </c>
      <c r="AC1090" s="261" t="str">
        <f t="shared" si="267"/>
        <v/>
      </c>
      <c r="AD1090" s="258">
        <f>IF(Z1090&gt;0,COUNTIF(AC$1009:AC1089,AC1090)+1,0)</f>
        <v>0</v>
      </c>
      <c r="AE1090" s="258" t="str">
        <f t="shared" si="266"/>
        <v/>
      </c>
      <c r="AF1090" s="392" t="str">
        <f t="shared" si="268"/>
        <v/>
      </c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</row>
    <row r="1091" spans="1:93" ht="16.5" hidden="1" customHeight="1">
      <c r="A1091" s="1"/>
      <c r="B1091" s="1"/>
      <c r="C1091" s="1"/>
      <c r="D1091" s="1"/>
      <c r="E1091" s="1"/>
      <c r="F1091" s="1"/>
      <c r="G1091" s="103" t="s">
        <v>131</v>
      </c>
      <c r="H1091" s="1"/>
      <c r="I1091" s="100">
        <f>IF(J1091=0,0,COUNTIF(I$1086:I1090,"&gt;0")+1)</f>
        <v>6</v>
      </c>
      <c r="J1091" s="295" t="str">
        <f t="shared" si="271"/>
        <v>Fornitura combustibile</v>
      </c>
      <c r="K1091" s="1"/>
      <c r="L1091" s="1"/>
      <c r="M1091" s="100">
        <v>6</v>
      </c>
      <c r="N1091" s="295" t="str">
        <f t="shared" si="272"/>
        <v>Fornitura combustibile</v>
      </c>
      <c r="O1091" s="1"/>
      <c r="P1091" s="1"/>
      <c r="Q1091" s="1"/>
      <c r="R1091" s="1"/>
      <c r="S1091" s="1"/>
      <c r="T1091" s="27">
        <f t="shared" si="270"/>
        <v>3</v>
      </c>
      <c r="U1091" s="247">
        <f>IF(OR(ISBLANK(F$68),AND(W1091&gt;(F$68-1),W1091&lt;(I$68+1))),IF(ISERROR(VLOOKUP(I$67,G$1076:G$1078,1,FALSE)),IF(K$67=G$1086,IF(MONTH(W1091)&lt;&gt;MONTH(W1090),MAX(U$1009:U1090)+1,0),IF(ISERROR(VLOOKUP(I$67,G$1079:G$1084,1,FALSE)),IF(V1091=1,MAX(U$1009:U1090)+1,0),IF(MONTH(W1092)&lt;&gt;MONTH(W1091),T1091,0))),IF(K$67=G$1086,IF(V1091=1,MAX(U$1009:U1090)+1,0),IF(V1091=7,MAX(U$1015:U1090)+1,0))),0)</f>
        <v>0</v>
      </c>
      <c r="V1091" s="27">
        <f t="shared" si="262"/>
        <v>6</v>
      </c>
      <c r="W1091" s="97">
        <f t="shared" si="263"/>
        <v>45374</v>
      </c>
      <c r="X1091" s="249" t="str">
        <f>IF(K$67=G$1086,IF(OR(U1091=1,AND(U1091&gt;0,U1091=(MAX(Y$1009:Y1090)+VLOOKUP(I$67,G$1076:H$1084,2,FALSE)))),"X",""),IF(AND(U1091&gt;0,U1091=(MAX(Y$1009:Y1090)+VLOOKUP(I$67,G$1076:H$1084,2,FALSE))),"X",""))</f>
        <v/>
      </c>
      <c r="Y1091" s="252">
        <f t="shared" si="264"/>
        <v>0</v>
      </c>
      <c r="Z1091" s="253">
        <f>IF(Y1091&gt;0,COUNTIF(Y$1009:Y1090,"&gt;0")+1,0)</f>
        <v>0</v>
      </c>
      <c r="AA1091" s="1"/>
      <c r="AB1091" s="255" t="str">
        <f t="shared" si="265"/>
        <v/>
      </c>
      <c r="AC1091" s="261" t="str">
        <f t="shared" si="267"/>
        <v/>
      </c>
      <c r="AD1091" s="258">
        <f>IF(Z1091&gt;0,COUNTIF(AC$1009:AC1090,AC1091)+1,0)</f>
        <v>0</v>
      </c>
      <c r="AE1091" s="258" t="str">
        <f t="shared" si="266"/>
        <v/>
      </c>
      <c r="AF1091" s="392" t="str">
        <f t="shared" si="268"/>
        <v/>
      </c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</row>
    <row r="1092" spans="1:93" ht="16.5" hidden="1" customHeight="1">
      <c r="A1092" s="1"/>
      <c r="B1092" s="1"/>
      <c r="C1092" s="1"/>
      <c r="D1092" s="1"/>
      <c r="E1092" s="1"/>
      <c r="F1092" s="1"/>
      <c r="G1092" s="105" t="s">
        <v>132</v>
      </c>
      <c r="H1092" s="1"/>
      <c r="I1092" s="100">
        <f>IF(J1092=0,0,COUNTIF(I$1086:I1091,"&gt;0")+1)</f>
        <v>7</v>
      </c>
      <c r="J1092" s="295" t="str">
        <f t="shared" si="271"/>
        <v>Risc.to - Manutenzioni ordinarie</v>
      </c>
      <c r="K1092" s="1"/>
      <c r="L1092" s="1"/>
      <c r="M1092" s="100">
        <v>7</v>
      </c>
      <c r="N1092" s="295" t="str">
        <f t="shared" si="272"/>
        <v>Risc.to - Manutenzioni ordinarie</v>
      </c>
      <c r="O1092" s="1"/>
      <c r="P1092" s="1"/>
      <c r="Q1092" s="1"/>
      <c r="R1092" s="1"/>
      <c r="S1092" s="1"/>
      <c r="T1092" s="27">
        <f t="shared" si="270"/>
        <v>3</v>
      </c>
      <c r="U1092" s="247">
        <f>IF(OR(ISBLANK(F$68),AND(W1092&gt;(F$68-1),W1092&lt;(I$68+1))),IF(ISERROR(VLOOKUP(I$67,G$1076:G$1078,1,FALSE)),IF(K$67=G$1086,IF(MONTH(W1092)&lt;&gt;MONTH(W1091),MAX(U$1009:U1091)+1,0),IF(ISERROR(VLOOKUP(I$67,G$1079:G$1084,1,FALSE)),IF(V1092=1,MAX(U$1009:U1091)+1,0),IF(MONTH(W1093)&lt;&gt;MONTH(W1092),T1092,0))),IF(K$67=G$1086,IF(V1092=1,MAX(U$1009:U1091)+1,0),IF(V1092=7,MAX(U$1015:U1091)+1,0))),0)</f>
        <v>0</v>
      </c>
      <c r="V1092" s="27">
        <f t="shared" si="262"/>
        <v>7</v>
      </c>
      <c r="W1092" s="97">
        <f t="shared" si="263"/>
        <v>45375</v>
      </c>
      <c r="X1092" s="249" t="str">
        <f>IF(K$67=G$1086,IF(OR(U1092=1,AND(U1092&gt;0,U1092=(MAX(Y$1009:Y1091)+VLOOKUP(I$67,G$1076:H$1084,2,FALSE)))),"X",""),IF(AND(U1092&gt;0,U1092=(MAX(Y$1009:Y1091)+VLOOKUP(I$67,G$1076:H$1084,2,FALSE))),"X",""))</f>
        <v/>
      </c>
      <c r="Y1092" s="252">
        <f t="shared" si="264"/>
        <v>0</v>
      </c>
      <c r="Z1092" s="253">
        <f>IF(Y1092&gt;0,COUNTIF(Y$1009:Y1091,"&gt;0")+1,0)</f>
        <v>0</v>
      </c>
      <c r="AA1092" s="1"/>
      <c r="AB1092" s="255" t="str">
        <f t="shared" si="265"/>
        <v/>
      </c>
      <c r="AC1092" s="261" t="str">
        <f t="shared" si="267"/>
        <v/>
      </c>
      <c r="AD1092" s="258">
        <f>IF(Z1092&gt;0,COUNTIF(AC$1009:AC1091,AC1092)+1,0)</f>
        <v>0</v>
      </c>
      <c r="AE1092" s="258" t="str">
        <f t="shared" si="266"/>
        <v/>
      </c>
      <c r="AF1092" s="392" t="str">
        <f t="shared" si="268"/>
        <v/>
      </c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</row>
    <row r="1093" spans="1:93" ht="16.5" hidden="1" customHeight="1">
      <c r="A1093" s="1"/>
      <c r="B1093" s="1"/>
      <c r="C1093" s="1"/>
      <c r="D1093" s="1"/>
      <c r="E1093" s="1"/>
      <c r="F1093" s="1"/>
      <c r="G1093" s="103" t="s">
        <v>134</v>
      </c>
      <c r="H1093" s="1"/>
      <c r="I1093" s="100">
        <f>IF(J1093=0,0,COUNTIF(I$1086:I1092,"&gt;0")+1)</f>
        <v>8</v>
      </c>
      <c r="J1093" s="295" t="str">
        <f t="shared" si="271"/>
        <v>Risc.to - Rip. e Manut.ni straordinarie</v>
      </c>
      <c r="K1093" s="1"/>
      <c r="L1093" s="1"/>
      <c r="M1093" s="100">
        <v>8</v>
      </c>
      <c r="N1093" s="295" t="str">
        <f t="shared" si="272"/>
        <v>Risc.to - Rip. e Manut.ni straordinarie</v>
      </c>
      <c r="O1093" s="1"/>
      <c r="P1093" s="1"/>
      <c r="Q1093" s="1"/>
      <c r="R1093" s="1"/>
      <c r="S1093" s="1"/>
      <c r="T1093" s="27">
        <f t="shared" si="270"/>
        <v>3</v>
      </c>
      <c r="U1093" s="247">
        <f>IF(OR(ISBLANK(F$68),AND(W1093&gt;(F$68-1),W1093&lt;(I$68+1))),IF(ISERROR(VLOOKUP(I$67,G$1076:G$1078,1,FALSE)),IF(K$67=G$1086,IF(MONTH(W1093)&lt;&gt;MONTH(W1092),MAX(U$1009:U1092)+1,0),IF(ISERROR(VLOOKUP(I$67,G$1079:G$1084,1,FALSE)),IF(V1093=1,MAX(U$1009:U1092)+1,0),IF(MONTH(W1094)&lt;&gt;MONTH(W1093),T1093,0))),IF(K$67=G$1086,IF(V1093=1,MAX(U$1009:U1092)+1,0),IF(V1093=7,MAX(U$1015:U1092)+1,0))),0)</f>
        <v>13</v>
      </c>
      <c r="V1093" s="27">
        <f t="shared" si="262"/>
        <v>1</v>
      </c>
      <c r="W1093" s="97">
        <f t="shared" si="263"/>
        <v>45376</v>
      </c>
      <c r="X1093" s="249" t="str">
        <f>IF(K$67=G$1086,IF(OR(U1093=1,AND(U1093&gt;0,U1093=(MAX(Y$1009:Y1092)+VLOOKUP(I$67,G$1076:H$1084,2,FALSE)))),"X",""),IF(AND(U1093&gt;0,U1093=(MAX(Y$1009:Y1092)+VLOOKUP(I$67,G$1076:H$1084,2,FALSE))),"X",""))</f>
        <v>X</v>
      </c>
      <c r="Y1093" s="252">
        <f t="shared" si="264"/>
        <v>13</v>
      </c>
      <c r="Z1093" s="253">
        <f>IF(Y1093&gt;0,COUNTIF(Y$1009:Y1092,"&gt;0")+1,0)</f>
        <v>7</v>
      </c>
      <c r="AA1093" s="1"/>
      <c r="AB1093" s="255">
        <f t="shared" si="265"/>
        <v>45376</v>
      </c>
      <c r="AC1093" s="261">
        <f t="shared" si="267"/>
        <v>3</v>
      </c>
      <c r="AD1093" s="258">
        <f>IF(Z1093&gt;0,COUNTIF(AC$1009:AC1092,AC1093)+1,0)</f>
        <v>2</v>
      </c>
      <c r="AE1093" s="258" t="str">
        <f t="shared" si="266"/>
        <v>3-2</v>
      </c>
      <c r="AF1093" s="392">
        <f t="shared" si="268"/>
        <v>45376</v>
      </c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</row>
    <row r="1094" spans="1:93" ht="16.5" hidden="1" customHeight="1">
      <c r="A1094" s="1"/>
      <c r="B1094" s="1"/>
      <c r="C1094" s="1"/>
      <c r="D1094" s="1"/>
      <c r="E1094" s="1"/>
      <c r="F1094" s="1"/>
      <c r="G1094" s="105" t="s">
        <v>133</v>
      </c>
      <c r="H1094" s="1"/>
      <c r="I1094" s="100">
        <f>IF(J1094=0,0,COUNTIF(I$1086:I1093,"&gt;0")+1)</f>
        <v>9</v>
      </c>
      <c r="J1094" s="295" t="str">
        <f t="shared" si="271"/>
        <v>Illuminazione</v>
      </c>
      <c r="K1094" s="1"/>
      <c r="L1094" s="1"/>
      <c r="M1094" s="100">
        <v>9</v>
      </c>
      <c r="N1094" s="295" t="str">
        <f t="shared" si="272"/>
        <v>Illuminazione</v>
      </c>
      <c r="O1094" s="1"/>
      <c r="P1094" s="1"/>
      <c r="Q1094" s="1"/>
      <c r="R1094" s="1"/>
      <c r="S1094" s="1"/>
      <c r="T1094" s="27">
        <f t="shared" si="270"/>
        <v>3</v>
      </c>
      <c r="U1094" s="247">
        <f>IF(OR(ISBLANK(F$68),AND(W1094&gt;(F$68-1),W1094&lt;(I$68+1))),IF(ISERROR(VLOOKUP(I$67,G$1076:G$1078,1,FALSE)),IF(K$67=G$1086,IF(MONTH(W1094)&lt;&gt;MONTH(W1093),MAX(U$1009:U1093)+1,0),IF(ISERROR(VLOOKUP(I$67,G$1079:G$1084,1,FALSE)),IF(V1094=1,MAX(U$1009:U1093)+1,0),IF(MONTH(W1095)&lt;&gt;MONTH(W1094),T1094,0))),IF(K$67=G$1086,IF(V1094=1,MAX(U$1009:U1093)+1,0),IF(V1094=7,MAX(U$1015:U1093)+1,0))),0)</f>
        <v>0</v>
      </c>
      <c r="V1094" s="27">
        <f t="shared" si="262"/>
        <v>2</v>
      </c>
      <c r="W1094" s="97">
        <f t="shared" si="263"/>
        <v>45377</v>
      </c>
      <c r="X1094" s="249" t="str">
        <f>IF(K$67=G$1086,IF(OR(U1094=1,AND(U1094&gt;0,U1094=(MAX(Y$1009:Y1093)+VLOOKUP(I$67,G$1076:H$1084,2,FALSE)))),"X",""),IF(AND(U1094&gt;0,U1094=(MAX(Y$1009:Y1093)+VLOOKUP(I$67,G$1076:H$1084,2,FALSE))),"X",""))</f>
        <v/>
      </c>
      <c r="Y1094" s="252">
        <f t="shared" si="264"/>
        <v>0</v>
      </c>
      <c r="Z1094" s="253">
        <f>IF(Y1094&gt;0,COUNTIF(Y$1009:Y1093,"&gt;0")+1,0)</f>
        <v>0</v>
      </c>
      <c r="AA1094" s="1"/>
      <c r="AB1094" s="255" t="str">
        <f t="shared" si="265"/>
        <v/>
      </c>
      <c r="AC1094" s="261" t="str">
        <f t="shared" si="267"/>
        <v/>
      </c>
      <c r="AD1094" s="258">
        <f>IF(Z1094&gt;0,COUNTIF(AC$1009:AC1093,AC1094)+1,0)</f>
        <v>0</v>
      </c>
      <c r="AE1094" s="258" t="str">
        <f t="shared" si="266"/>
        <v/>
      </c>
      <c r="AF1094" s="392" t="str">
        <f t="shared" si="268"/>
        <v/>
      </c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</row>
    <row r="1095" spans="1:93" ht="16.5" hidden="1" customHeight="1">
      <c r="A1095" s="1"/>
      <c r="B1095" s="1"/>
      <c r="C1095" s="1"/>
      <c r="D1095" s="1"/>
      <c r="E1095" s="1"/>
      <c r="F1095" s="1"/>
      <c r="G1095" s="1"/>
      <c r="H1095" s="1"/>
      <c r="I1095" s="100">
        <f>IF(J1095=0,0,COUNTIF(I$1086:I1094,"&gt;0")+1)</f>
        <v>10</v>
      </c>
      <c r="J1095" s="295" t="str">
        <f t="shared" si="271"/>
        <v>Piccole manutenzioni ordinarie</v>
      </c>
      <c r="K1095" s="1"/>
      <c r="L1095" s="1"/>
      <c r="M1095" s="100">
        <v>10</v>
      </c>
      <c r="N1095" s="295" t="str">
        <f t="shared" si="272"/>
        <v>Piccole manutenzioni ordinarie</v>
      </c>
      <c r="O1095" s="1"/>
      <c r="P1095" s="1"/>
      <c r="Q1095" s="1"/>
      <c r="R1095" s="1"/>
      <c r="S1095" s="1"/>
      <c r="T1095" s="27">
        <f t="shared" si="270"/>
        <v>3</v>
      </c>
      <c r="U1095" s="247">
        <f>IF(OR(ISBLANK(F$68),AND(W1095&gt;(F$68-1),W1095&lt;(I$68+1))),IF(ISERROR(VLOOKUP(I$67,G$1076:G$1078,1,FALSE)),IF(K$67=G$1086,IF(MONTH(W1095)&lt;&gt;MONTH(W1094),MAX(U$1009:U1094)+1,0),IF(ISERROR(VLOOKUP(I$67,G$1079:G$1084,1,FALSE)),IF(V1095=1,MAX(U$1009:U1094)+1,0),IF(MONTH(W1096)&lt;&gt;MONTH(W1095),T1095,0))),IF(K$67=G$1086,IF(V1095=1,MAX(U$1009:U1094)+1,0),IF(V1095=7,MAX(U$1015:U1094)+1,0))),0)</f>
        <v>0</v>
      </c>
      <c r="V1095" s="27">
        <f t="shared" si="262"/>
        <v>3</v>
      </c>
      <c r="W1095" s="97">
        <f t="shared" si="263"/>
        <v>45378</v>
      </c>
      <c r="X1095" s="249" t="str">
        <f>IF(K$67=G$1086,IF(OR(U1095=1,AND(U1095&gt;0,U1095=(MAX(Y$1009:Y1094)+VLOOKUP(I$67,G$1076:H$1084,2,FALSE)))),"X",""),IF(AND(U1095&gt;0,U1095=(MAX(Y$1009:Y1094)+VLOOKUP(I$67,G$1076:H$1084,2,FALSE))),"X",""))</f>
        <v/>
      </c>
      <c r="Y1095" s="252">
        <f t="shared" si="264"/>
        <v>0</v>
      </c>
      <c r="Z1095" s="253">
        <f>IF(Y1095&gt;0,COUNTIF(Y$1009:Y1094,"&gt;0")+1,0)</f>
        <v>0</v>
      </c>
      <c r="AA1095" s="1"/>
      <c r="AB1095" s="255" t="str">
        <f t="shared" si="265"/>
        <v/>
      </c>
      <c r="AC1095" s="261" t="str">
        <f t="shared" si="267"/>
        <v/>
      </c>
      <c r="AD1095" s="258">
        <f>IF(Z1095&gt;0,COUNTIF(AC$1009:AC1094,AC1095)+1,0)</f>
        <v>0</v>
      </c>
      <c r="AE1095" s="258" t="str">
        <f t="shared" si="266"/>
        <v/>
      </c>
      <c r="AF1095" s="392" t="str">
        <f t="shared" si="268"/>
        <v/>
      </c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</row>
    <row r="1096" spans="1:93" ht="16.5" hidden="1" customHeight="1">
      <c r="A1096" s="1"/>
      <c r="B1096" s="1"/>
      <c r="C1096" s="1"/>
      <c r="D1096" s="1"/>
      <c r="E1096" s="1"/>
      <c r="F1096" s="1"/>
      <c r="G1096" s="1"/>
      <c r="H1096" s="1"/>
      <c r="I1096" s="100">
        <f>IF(J1096=0,0,COUNTIF(I$1086:I1095,"&gt;0")+1)</f>
        <v>11</v>
      </c>
      <c r="J1096" s="295" t="str">
        <f t="shared" si="271"/>
        <v>Giardino</v>
      </c>
      <c r="K1096" s="1"/>
      <c r="L1096" s="1"/>
      <c r="M1096" s="100">
        <v>11</v>
      </c>
      <c r="N1096" s="295" t="str">
        <f t="shared" si="272"/>
        <v>Giardino</v>
      </c>
      <c r="O1096" s="1"/>
      <c r="P1096" s="1"/>
      <c r="Q1096" s="1"/>
      <c r="R1096" s="1"/>
      <c r="S1096" s="1"/>
      <c r="T1096" s="27">
        <f t="shared" si="270"/>
        <v>3</v>
      </c>
      <c r="U1096" s="247">
        <f>IF(OR(ISBLANK(F$68),AND(W1096&gt;(F$68-1),W1096&lt;(I$68+1))),IF(ISERROR(VLOOKUP(I$67,G$1076:G$1078,1,FALSE)),IF(K$67=G$1086,IF(MONTH(W1096)&lt;&gt;MONTH(W1095),MAX(U$1009:U1095)+1,0),IF(ISERROR(VLOOKUP(I$67,G$1079:G$1084,1,FALSE)),IF(V1096=1,MAX(U$1009:U1095)+1,0),IF(MONTH(W1097)&lt;&gt;MONTH(W1096),T1096,0))),IF(K$67=G$1086,IF(V1096=1,MAX(U$1009:U1095)+1,0),IF(V1096=7,MAX(U$1015:U1095)+1,0))),0)</f>
        <v>0</v>
      </c>
      <c r="V1096" s="27">
        <f t="shared" si="262"/>
        <v>4</v>
      </c>
      <c r="W1096" s="97">
        <f t="shared" si="263"/>
        <v>45379</v>
      </c>
      <c r="X1096" s="249" t="str">
        <f>IF(K$67=G$1086,IF(OR(U1096=1,AND(U1096&gt;0,U1096=(MAX(Y$1009:Y1095)+VLOOKUP(I$67,G$1076:H$1084,2,FALSE)))),"X",""),IF(AND(U1096&gt;0,U1096=(MAX(Y$1009:Y1095)+VLOOKUP(I$67,G$1076:H$1084,2,FALSE))),"X",""))</f>
        <v/>
      </c>
      <c r="Y1096" s="252">
        <f t="shared" si="264"/>
        <v>0</v>
      </c>
      <c r="Z1096" s="253">
        <f>IF(Y1096&gt;0,COUNTIF(Y$1009:Y1095,"&gt;0")+1,0)</f>
        <v>0</v>
      </c>
      <c r="AA1096" s="1"/>
      <c r="AB1096" s="255" t="str">
        <f t="shared" si="265"/>
        <v/>
      </c>
      <c r="AC1096" s="261" t="str">
        <f t="shared" si="267"/>
        <v/>
      </c>
      <c r="AD1096" s="258">
        <f>IF(Z1096&gt;0,COUNTIF(AC$1009:AC1095,AC1096)+1,0)</f>
        <v>0</v>
      </c>
      <c r="AE1096" s="258" t="str">
        <f t="shared" si="266"/>
        <v/>
      </c>
      <c r="AF1096" s="392" t="str">
        <f t="shared" si="268"/>
        <v/>
      </c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</row>
    <row r="1097" spans="1:93" ht="16.5" hidden="1" customHeight="1">
      <c r="A1097" s="1"/>
      <c r="B1097" s="1"/>
      <c r="C1097" s="1"/>
      <c r="D1097" s="1"/>
      <c r="E1097" s="1"/>
      <c r="F1097" s="1"/>
      <c r="G1097" s="1"/>
      <c r="H1097" s="1"/>
      <c r="I1097" s="100">
        <f>IF(J1097=0,0,COUNTIF(I$1086:I1096,"&gt;0")+1)</f>
        <v>12</v>
      </c>
      <c r="J1097" s="295" t="str">
        <f t="shared" si="271"/>
        <v>Consumo idrico condominiale</v>
      </c>
      <c r="K1097" s="1"/>
      <c r="L1097" s="1"/>
      <c r="M1097" s="100">
        <v>12</v>
      </c>
      <c r="N1097" s="295" t="str">
        <f t="shared" si="272"/>
        <v>Consumo idrico condominiale</v>
      </c>
      <c r="O1097" s="1"/>
      <c r="P1097" s="1"/>
      <c r="Q1097" s="1"/>
      <c r="R1097" s="1"/>
      <c r="S1097" s="1"/>
      <c r="T1097" s="27">
        <f t="shared" si="270"/>
        <v>3</v>
      </c>
      <c r="U1097" s="247">
        <f>IF(OR(ISBLANK(F$68),AND(W1097&gt;(F$68-1),W1097&lt;(I$68+1))),IF(ISERROR(VLOOKUP(I$67,G$1076:G$1078,1,FALSE)),IF(K$67=G$1086,IF(MONTH(W1097)&lt;&gt;MONTH(W1096),MAX(U$1009:U1096)+1,0),IF(ISERROR(VLOOKUP(I$67,G$1079:G$1084,1,FALSE)),IF(V1097=1,MAX(U$1009:U1096)+1,0),IF(MONTH(W1098)&lt;&gt;MONTH(W1097),T1097,0))),IF(K$67=G$1086,IF(V1097=1,MAX(U$1009:U1096)+1,0),IF(V1097=7,MAX(U$1015:U1096)+1,0))),0)</f>
        <v>0</v>
      </c>
      <c r="V1097" s="27">
        <f t="shared" si="262"/>
        <v>5</v>
      </c>
      <c r="W1097" s="97">
        <f t="shared" si="263"/>
        <v>45380</v>
      </c>
      <c r="X1097" s="249" t="str">
        <f>IF(K$67=G$1086,IF(OR(U1097=1,AND(U1097&gt;0,U1097=(MAX(Y$1009:Y1096)+VLOOKUP(I$67,G$1076:H$1084,2,FALSE)))),"X",""),IF(AND(U1097&gt;0,U1097=(MAX(Y$1009:Y1096)+VLOOKUP(I$67,G$1076:H$1084,2,FALSE))),"X",""))</f>
        <v/>
      </c>
      <c r="Y1097" s="252">
        <f t="shared" si="264"/>
        <v>0</v>
      </c>
      <c r="Z1097" s="253">
        <f>IF(Y1097&gt;0,COUNTIF(Y$1009:Y1096,"&gt;0")+1,0)</f>
        <v>0</v>
      </c>
      <c r="AA1097" s="1"/>
      <c r="AB1097" s="255" t="str">
        <f t="shared" si="265"/>
        <v/>
      </c>
      <c r="AC1097" s="261" t="str">
        <f t="shared" si="267"/>
        <v/>
      </c>
      <c r="AD1097" s="258">
        <f>IF(Z1097&gt;0,COUNTIF(AC$1009:AC1096,AC1097)+1,0)</f>
        <v>0</v>
      </c>
      <c r="AE1097" s="258" t="str">
        <f t="shared" si="266"/>
        <v/>
      </c>
      <c r="AF1097" s="392" t="str">
        <f t="shared" si="268"/>
        <v/>
      </c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</row>
    <row r="1098" spans="1:93" ht="16.5" hidden="1" customHeight="1">
      <c r="A1098" s="1"/>
      <c r="B1098" s="1"/>
      <c r="C1098" s="1"/>
      <c r="D1098" s="1"/>
      <c r="E1098" s="1"/>
      <c r="F1098" s="1"/>
      <c r="G1098" s="1"/>
      <c r="H1098" s="1"/>
      <c r="I1098" s="100">
        <f>IF(J1098=0,0,COUNTIF(I$1086:I1097,"&gt;0")+1)</f>
        <v>13</v>
      </c>
      <c r="J1098" s="295" t="str">
        <f t="shared" si="271"/>
        <v>Materiale di consumo</v>
      </c>
      <c r="K1098" s="1"/>
      <c r="L1098" s="1"/>
      <c r="M1098" s="100">
        <v>13</v>
      </c>
      <c r="N1098" s="295" t="str">
        <f t="shared" si="272"/>
        <v>Materiale di consumo</v>
      </c>
      <c r="O1098" s="1"/>
      <c r="P1098" s="1"/>
      <c r="Q1098" s="1"/>
      <c r="R1098" s="1"/>
      <c r="S1098" s="1"/>
      <c r="T1098" s="27">
        <f t="shared" si="270"/>
        <v>3</v>
      </c>
      <c r="U1098" s="247">
        <f>IF(OR(ISBLANK(F$68),AND(W1098&gt;(F$68-1),W1098&lt;(I$68+1))),IF(ISERROR(VLOOKUP(I$67,G$1076:G$1078,1,FALSE)),IF(K$67=G$1086,IF(MONTH(W1098)&lt;&gt;MONTH(W1097),MAX(U$1009:U1097)+1,0),IF(ISERROR(VLOOKUP(I$67,G$1079:G$1084,1,FALSE)),IF(V1098=1,MAX(U$1009:U1097)+1,0),IF(MONTH(W1099)&lt;&gt;MONTH(W1098),T1098,0))),IF(K$67=G$1086,IF(V1098=1,MAX(U$1009:U1097)+1,0),IF(V1098=7,MAX(U$1015:U1097)+1,0))),0)</f>
        <v>0</v>
      </c>
      <c r="V1098" s="27">
        <f t="shared" si="262"/>
        <v>6</v>
      </c>
      <c r="W1098" s="97">
        <f t="shared" si="263"/>
        <v>45381</v>
      </c>
      <c r="X1098" s="249" t="str">
        <f>IF(K$67=G$1086,IF(OR(U1098=1,AND(U1098&gt;0,U1098=(MAX(Y$1009:Y1097)+VLOOKUP(I$67,G$1076:H$1084,2,FALSE)))),"X",""),IF(AND(U1098&gt;0,U1098=(MAX(Y$1009:Y1097)+VLOOKUP(I$67,G$1076:H$1084,2,FALSE))),"X",""))</f>
        <v/>
      </c>
      <c r="Y1098" s="252">
        <f t="shared" si="264"/>
        <v>0</v>
      </c>
      <c r="Z1098" s="253">
        <f>IF(Y1098&gt;0,COUNTIF(Y$1009:Y1097,"&gt;0")+1,0)</f>
        <v>0</v>
      </c>
      <c r="AA1098" s="1"/>
      <c r="AB1098" s="255" t="str">
        <f t="shared" si="265"/>
        <v/>
      </c>
      <c r="AC1098" s="261" t="str">
        <f t="shared" si="267"/>
        <v/>
      </c>
      <c r="AD1098" s="258">
        <f>IF(Z1098&gt;0,COUNTIF(AC$1009:AC1097,AC1098)+1,0)</f>
        <v>0</v>
      </c>
      <c r="AE1098" s="258" t="str">
        <f t="shared" si="266"/>
        <v/>
      </c>
      <c r="AF1098" s="392" t="str">
        <f t="shared" si="268"/>
        <v/>
      </c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</row>
    <row r="1099" spans="1:93" ht="16.5" hidden="1" customHeight="1">
      <c r="A1099" s="1"/>
      <c r="B1099" s="1"/>
      <c r="C1099" s="1"/>
      <c r="D1099" s="1"/>
      <c r="E1099" s="1"/>
      <c r="F1099" s="1"/>
      <c r="G1099" s="1"/>
      <c r="H1099" s="1"/>
      <c r="I1099" s="100">
        <f>IF(J1099=0,0,COUNTIF(I$1086:I1098,"&gt;0")+1)</f>
        <v>14</v>
      </c>
      <c r="J1099" s="295" t="str">
        <f t="shared" si="271"/>
        <v>Collaboratori</v>
      </c>
      <c r="K1099" s="1"/>
      <c r="L1099" s="1"/>
      <c r="M1099" s="100">
        <v>14</v>
      </c>
      <c r="N1099" s="295" t="str">
        <f t="shared" si="272"/>
        <v>Collaboratori</v>
      </c>
      <c r="O1099" s="1"/>
      <c r="P1099" s="1"/>
      <c r="Q1099" s="1"/>
      <c r="R1099" s="1"/>
      <c r="S1099" s="1"/>
      <c r="T1099" s="27">
        <f t="shared" si="270"/>
        <v>3</v>
      </c>
      <c r="U1099" s="247">
        <f>IF(OR(ISBLANK(F$68),AND(W1099&gt;(F$68-1),W1099&lt;(I$68+1))),IF(ISERROR(VLOOKUP(I$67,G$1076:G$1078,1,FALSE)),IF(K$67=G$1086,IF(MONTH(W1099)&lt;&gt;MONTH(W1098),MAX(U$1009:U1098)+1,0),IF(ISERROR(VLOOKUP(I$67,G$1079:G$1084,1,FALSE)),IF(V1099=1,MAX(U$1009:U1098)+1,0),IF(MONTH(W1100)&lt;&gt;MONTH(W1099),T1099,0))),IF(K$67=G$1086,IF(V1099=1,MAX(U$1009:U1098)+1,0),IF(V1099=7,MAX(U$1015:U1098)+1,0))),0)</f>
        <v>0</v>
      </c>
      <c r="V1099" s="27">
        <f t="shared" si="262"/>
        <v>7</v>
      </c>
      <c r="W1099" s="97">
        <f t="shared" si="263"/>
        <v>45382</v>
      </c>
      <c r="X1099" s="249" t="str">
        <f>IF(K$67=G$1086,IF(OR(U1099=1,AND(U1099&gt;0,U1099=(MAX(Y$1009:Y1098)+VLOOKUP(I$67,G$1076:H$1084,2,FALSE)))),"X",""),IF(AND(U1099&gt;0,U1099=(MAX(Y$1009:Y1098)+VLOOKUP(I$67,G$1076:H$1084,2,FALSE))),"X",""))</f>
        <v/>
      </c>
      <c r="Y1099" s="252">
        <f t="shared" si="264"/>
        <v>0</v>
      </c>
      <c r="Z1099" s="253">
        <f>IF(Y1099&gt;0,COUNTIF(Y$1009:Y1098,"&gt;0")+1,0)</f>
        <v>0</v>
      </c>
      <c r="AA1099" s="1"/>
      <c r="AB1099" s="255" t="str">
        <f t="shared" si="265"/>
        <v/>
      </c>
      <c r="AC1099" s="261" t="str">
        <f t="shared" si="267"/>
        <v/>
      </c>
      <c r="AD1099" s="258">
        <f>IF(Z1099&gt;0,COUNTIF(AC$1009:AC1098,AC1099)+1,0)</f>
        <v>0</v>
      </c>
      <c r="AE1099" s="258" t="str">
        <f t="shared" si="266"/>
        <v/>
      </c>
      <c r="AF1099" s="392" t="str">
        <f t="shared" si="268"/>
        <v/>
      </c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</row>
    <row r="1100" spans="1:93" ht="16.5" hidden="1" customHeight="1">
      <c r="A1100" s="1"/>
      <c r="B1100" s="1"/>
      <c r="C1100" s="1"/>
      <c r="D1100" s="1"/>
      <c r="E1100" s="1"/>
      <c r="F1100" s="1"/>
      <c r="G1100" s="1"/>
      <c r="H1100" s="1"/>
      <c r="I1100" s="100">
        <f>IF(J1100=0,0,COUNTIF(I$1086:I1099,"&gt;0")+1)</f>
        <v>15</v>
      </c>
      <c r="J1100" s="295" t="str">
        <f t="shared" si="271"/>
        <v>Ascensore - Manutenzione</v>
      </c>
      <c r="K1100" s="1"/>
      <c r="L1100" s="1"/>
      <c r="M1100" s="100">
        <v>15</v>
      </c>
      <c r="N1100" s="295" t="str">
        <f t="shared" si="272"/>
        <v>Ascensore - Manutenzione</v>
      </c>
      <c r="O1100" s="1"/>
      <c r="P1100" s="1"/>
      <c r="Q1100" s="1"/>
      <c r="R1100" s="1"/>
      <c r="S1100" s="1"/>
      <c r="T1100" s="27">
        <f t="shared" si="270"/>
        <v>4</v>
      </c>
      <c r="U1100" s="247">
        <f>IF(OR(ISBLANK(F$68),AND(W1100&gt;(F$68-1),W1100&lt;(I$68+1))),IF(ISERROR(VLOOKUP(I$67,G$1076:G$1078,1,FALSE)),IF(K$67=G$1086,IF(MONTH(W1100)&lt;&gt;MONTH(W1099),MAX(U$1009:U1099)+1,0),IF(ISERROR(VLOOKUP(I$67,G$1079:G$1084,1,FALSE)),IF(V1100=1,MAX(U$1009:U1099)+1,0),IF(MONTH(W1101)&lt;&gt;MONTH(W1100),T1100,0))),IF(K$67=G$1086,IF(V1100=1,MAX(U$1009:U1099)+1,0),IF(V1100=7,MAX(U$1015:U1099)+1,0))),0)</f>
        <v>14</v>
      </c>
      <c r="V1100" s="27">
        <f t="shared" si="262"/>
        <v>1</v>
      </c>
      <c r="W1100" s="97">
        <f t="shared" si="263"/>
        <v>45383</v>
      </c>
      <c r="X1100" s="249" t="str">
        <f>IF(K$67=G$1086,IF(OR(U1100=1,AND(U1100&gt;0,U1100=(MAX(Y$1009:Y1099)+VLOOKUP(I$67,G$1076:H$1084,2,FALSE)))),"X",""),IF(AND(U1100&gt;0,U1100=(MAX(Y$1009:Y1099)+VLOOKUP(I$67,G$1076:H$1084,2,FALSE))),"X",""))</f>
        <v/>
      </c>
      <c r="Y1100" s="252">
        <f t="shared" si="264"/>
        <v>0</v>
      </c>
      <c r="Z1100" s="253">
        <f>IF(Y1100&gt;0,COUNTIF(Y$1009:Y1099,"&gt;0")+1,0)</f>
        <v>0</v>
      </c>
      <c r="AA1100" s="1"/>
      <c r="AB1100" s="255" t="str">
        <f t="shared" si="265"/>
        <v/>
      </c>
      <c r="AC1100" s="261" t="str">
        <f t="shared" si="267"/>
        <v/>
      </c>
      <c r="AD1100" s="258">
        <f>IF(Z1100&gt;0,COUNTIF(AC$1009:AC1099,AC1100)+1,0)</f>
        <v>0</v>
      </c>
      <c r="AE1100" s="258" t="str">
        <f t="shared" si="266"/>
        <v/>
      </c>
      <c r="AF1100" s="392" t="str">
        <f t="shared" si="268"/>
        <v/>
      </c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</row>
    <row r="1101" spans="1:93" ht="16.5" hidden="1" customHeight="1">
      <c r="A1101" s="1"/>
      <c r="B1101" s="1"/>
      <c r="C1101" s="1"/>
      <c r="D1101" s="1"/>
      <c r="E1101" s="1"/>
      <c r="F1101" s="1"/>
      <c r="G1101" s="1"/>
      <c r="H1101" s="1"/>
      <c r="I1101" s="100">
        <f>IF(J1101=0,0,COUNTIF(I$1086:I1100,"&gt;0")+1)</f>
        <v>16</v>
      </c>
      <c r="J1101" s="295" t="str">
        <f t="shared" si="271"/>
        <v>Ascensore - Oneri accessori</v>
      </c>
      <c r="K1101" s="1"/>
      <c r="L1101" s="1"/>
      <c r="M1101" s="100">
        <v>16</v>
      </c>
      <c r="N1101" s="295" t="str">
        <f t="shared" si="272"/>
        <v>Ascensore - Oneri accessori</v>
      </c>
      <c r="O1101" s="1"/>
      <c r="P1101" s="1"/>
      <c r="Q1101" s="1"/>
      <c r="R1101" s="1"/>
      <c r="S1101" s="1"/>
      <c r="T1101" s="27">
        <f t="shared" si="270"/>
        <v>4</v>
      </c>
      <c r="U1101" s="247">
        <f>IF(OR(ISBLANK(F$68),AND(W1101&gt;(F$68-1),W1101&lt;(I$68+1))),IF(ISERROR(VLOOKUP(I$67,G$1076:G$1078,1,FALSE)),IF(K$67=G$1086,IF(MONTH(W1101)&lt;&gt;MONTH(W1100),MAX(U$1009:U1100)+1,0),IF(ISERROR(VLOOKUP(I$67,G$1079:G$1084,1,FALSE)),IF(V1101=1,MAX(U$1009:U1100)+1,0),IF(MONTH(W1102)&lt;&gt;MONTH(W1101),T1101,0))),IF(K$67=G$1086,IF(V1101=1,MAX(U$1009:U1100)+1,0),IF(V1101=7,MAX(U$1015:U1100)+1,0))),0)</f>
        <v>0</v>
      </c>
      <c r="V1101" s="27">
        <f t="shared" si="262"/>
        <v>2</v>
      </c>
      <c r="W1101" s="97">
        <f t="shared" si="263"/>
        <v>45384</v>
      </c>
      <c r="X1101" s="249" t="str">
        <f>IF(K$67=G$1086,IF(OR(U1101=1,AND(U1101&gt;0,U1101=(MAX(Y$1009:Y1100)+VLOOKUP(I$67,G$1076:H$1084,2,FALSE)))),"X",""),IF(AND(U1101&gt;0,U1101=(MAX(Y$1009:Y1100)+VLOOKUP(I$67,G$1076:H$1084,2,FALSE))),"X",""))</f>
        <v/>
      </c>
      <c r="Y1101" s="252">
        <f t="shared" si="264"/>
        <v>0</v>
      </c>
      <c r="Z1101" s="253">
        <f>IF(Y1101&gt;0,COUNTIF(Y$1009:Y1100,"&gt;0")+1,0)</f>
        <v>0</v>
      </c>
      <c r="AA1101" s="1"/>
      <c r="AB1101" s="255" t="str">
        <f t="shared" si="265"/>
        <v/>
      </c>
      <c r="AC1101" s="261" t="str">
        <f t="shared" si="267"/>
        <v/>
      </c>
      <c r="AD1101" s="258">
        <f>IF(Z1101&gt;0,COUNTIF(AC$1009:AC1100,AC1101)+1,0)</f>
        <v>0</v>
      </c>
      <c r="AE1101" s="258" t="str">
        <f t="shared" si="266"/>
        <v/>
      </c>
      <c r="AF1101" s="392" t="str">
        <f t="shared" si="268"/>
        <v/>
      </c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</row>
    <row r="1102" spans="1:93" ht="16.5" hidden="1" customHeight="1">
      <c r="A1102" s="1"/>
      <c r="B1102" s="1"/>
      <c r="C1102" s="1"/>
      <c r="D1102" s="1"/>
      <c r="E1102" s="1"/>
      <c r="F1102" s="1"/>
      <c r="G1102" s="1"/>
      <c r="H1102" s="1"/>
      <c r="I1102" s="100">
        <f>IF(J1102=0,0,COUNTIF(I$1086:I1101,"&gt;0")+1)</f>
        <v>17</v>
      </c>
      <c r="J1102" s="295" t="str">
        <f t="shared" si="271"/>
        <v>Decorazioni</v>
      </c>
      <c r="K1102" s="1"/>
      <c r="L1102" s="1"/>
      <c r="M1102" s="100">
        <v>17</v>
      </c>
      <c r="N1102" s="295" t="str">
        <f t="shared" si="272"/>
        <v>Decorazioni</v>
      </c>
      <c r="O1102" s="1"/>
      <c r="P1102" s="1"/>
      <c r="Q1102" s="1"/>
      <c r="R1102" s="1"/>
      <c r="S1102" s="1"/>
      <c r="T1102" s="27">
        <f t="shared" si="270"/>
        <v>4</v>
      </c>
      <c r="U1102" s="247">
        <f>IF(OR(ISBLANK(F$68),AND(W1102&gt;(F$68-1),W1102&lt;(I$68+1))),IF(ISERROR(VLOOKUP(I$67,G$1076:G$1078,1,FALSE)),IF(K$67=G$1086,IF(MONTH(W1102)&lt;&gt;MONTH(W1101),MAX(U$1009:U1101)+1,0),IF(ISERROR(VLOOKUP(I$67,G$1079:G$1084,1,FALSE)),IF(V1102=1,MAX(U$1009:U1101)+1,0),IF(MONTH(W1103)&lt;&gt;MONTH(W1102),T1102,0))),IF(K$67=G$1086,IF(V1102=1,MAX(U$1009:U1101)+1,0),IF(V1102=7,MAX(U$1015:U1101)+1,0))),0)</f>
        <v>0</v>
      </c>
      <c r="V1102" s="27">
        <f t="shared" si="262"/>
        <v>3</v>
      </c>
      <c r="W1102" s="97">
        <f t="shared" si="263"/>
        <v>45385</v>
      </c>
      <c r="X1102" s="249" t="str">
        <f>IF(K$67=G$1086,IF(OR(U1102=1,AND(U1102&gt;0,U1102=(MAX(Y$1009:Y1101)+VLOOKUP(I$67,G$1076:H$1084,2,FALSE)))),"X",""),IF(AND(U1102&gt;0,U1102=(MAX(Y$1009:Y1101)+VLOOKUP(I$67,G$1076:H$1084,2,FALSE))),"X",""))</f>
        <v/>
      </c>
      <c r="Y1102" s="252">
        <f t="shared" si="264"/>
        <v>0</v>
      </c>
      <c r="Z1102" s="253">
        <f>IF(Y1102&gt;0,COUNTIF(Y$1009:Y1101,"&gt;0")+1,0)</f>
        <v>0</v>
      </c>
      <c r="AA1102" s="1"/>
      <c r="AB1102" s="255" t="str">
        <f t="shared" si="265"/>
        <v/>
      </c>
      <c r="AC1102" s="261" t="str">
        <f t="shared" si="267"/>
        <v/>
      </c>
      <c r="AD1102" s="258">
        <f>IF(Z1102&gt;0,COUNTIF(AC$1009:AC1101,AC1102)+1,0)</f>
        <v>0</v>
      </c>
      <c r="AE1102" s="258" t="str">
        <f t="shared" si="266"/>
        <v/>
      </c>
      <c r="AF1102" s="392" t="str">
        <f t="shared" si="268"/>
        <v/>
      </c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</row>
    <row r="1103" spans="1:93" ht="16.5" hidden="1" customHeight="1">
      <c r="A1103" s="1"/>
      <c r="B1103" s="1"/>
      <c r="C1103" s="1"/>
      <c r="D1103" s="1"/>
      <c r="E1103" s="1"/>
      <c r="F1103" s="1"/>
      <c r="G1103" s="1"/>
      <c r="H1103" s="1"/>
      <c r="I1103" s="100">
        <f>IF(J1103=0,0,COUNTIF(I$1086:I1102,"&gt;0")+1)</f>
        <v>18</v>
      </c>
      <c r="J1103" s="295" t="str">
        <f t="shared" si="271"/>
        <v>Software contabilità</v>
      </c>
      <c r="K1103" s="1"/>
      <c r="L1103" s="1"/>
      <c r="M1103" s="100">
        <v>18</v>
      </c>
      <c r="N1103" s="295" t="str">
        <f t="shared" si="272"/>
        <v>Software contabilità</v>
      </c>
      <c r="O1103" s="1"/>
      <c r="P1103" s="1"/>
      <c r="Q1103" s="1"/>
      <c r="R1103" s="1"/>
      <c r="S1103" s="1"/>
      <c r="T1103" s="27">
        <f t="shared" si="270"/>
        <v>4</v>
      </c>
      <c r="U1103" s="247">
        <f>IF(OR(ISBLANK(F$68),AND(W1103&gt;(F$68-1),W1103&lt;(I$68+1))),IF(ISERROR(VLOOKUP(I$67,G$1076:G$1078,1,FALSE)),IF(K$67=G$1086,IF(MONTH(W1103)&lt;&gt;MONTH(W1102),MAX(U$1009:U1102)+1,0),IF(ISERROR(VLOOKUP(I$67,G$1079:G$1084,1,FALSE)),IF(V1103=1,MAX(U$1009:U1102)+1,0),IF(MONTH(W1104)&lt;&gt;MONTH(W1103),T1103,0))),IF(K$67=G$1086,IF(V1103=1,MAX(U$1009:U1102)+1,0),IF(V1103=7,MAX(U$1015:U1102)+1,0))),0)</f>
        <v>0</v>
      </c>
      <c r="V1103" s="27">
        <f t="shared" si="262"/>
        <v>4</v>
      </c>
      <c r="W1103" s="97">
        <f t="shared" si="263"/>
        <v>45386</v>
      </c>
      <c r="X1103" s="249" t="str">
        <f>IF(K$67=G$1086,IF(OR(U1103=1,AND(U1103&gt;0,U1103=(MAX(Y$1009:Y1102)+VLOOKUP(I$67,G$1076:H$1084,2,FALSE)))),"X",""),IF(AND(U1103&gt;0,U1103=(MAX(Y$1009:Y1102)+VLOOKUP(I$67,G$1076:H$1084,2,FALSE))),"X",""))</f>
        <v/>
      </c>
      <c r="Y1103" s="252">
        <f t="shared" si="264"/>
        <v>0</v>
      </c>
      <c r="Z1103" s="253">
        <f>IF(Y1103&gt;0,COUNTIF(Y$1009:Y1102,"&gt;0")+1,0)</f>
        <v>0</v>
      </c>
      <c r="AA1103" s="1"/>
      <c r="AB1103" s="255" t="str">
        <f t="shared" si="265"/>
        <v/>
      </c>
      <c r="AC1103" s="261" t="str">
        <f t="shared" si="267"/>
        <v/>
      </c>
      <c r="AD1103" s="258">
        <f>IF(Z1103&gt;0,COUNTIF(AC$1009:AC1102,AC1103)+1,0)</f>
        <v>0</v>
      </c>
      <c r="AE1103" s="258" t="str">
        <f t="shared" si="266"/>
        <v/>
      </c>
      <c r="AF1103" s="392" t="str">
        <f t="shared" si="268"/>
        <v/>
      </c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</row>
    <row r="1104" spans="1:93" ht="16.5" hidden="1" customHeight="1">
      <c r="A1104" s="1"/>
      <c r="B1104" s="1"/>
      <c r="C1104" s="1"/>
      <c r="D1104" s="1"/>
      <c r="E1104" s="1"/>
      <c r="F1104" s="1"/>
      <c r="G1104" s="1"/>
      <c r="H1104" s="1"/>
      <c r="I1104" s="100">
        <f>IF(J1104=0,0,COUNTIF(I$1086:I1103,"&gt;0")+1)</f>
        <v>19</v>
      </c>
      <c r="J1104" s="295" t="str">
        <f t="shared" si="271"/>
        <v>Inserisci liberamente / sovrascrivi</v>
      </c>
      <c r="K1104" s="1"/>
      <c r="L1104" s="1"/>
      <c r="M1104" s="100">
        <v>19</v>
      </c>
      <c r="N1104" s="295" t="str">
        <f t="shared" si="272"/>
        <v>Inserisci liberamente / sovrascrivi</v>
      </c>
      <c r="O1104" s="1"/>
      <c r="P1104" s="1"/>
      <c r="Q1104" s="1"/>
      <c r="R1104" s="1"/>
      <c r="S1104" s="1"/>
      <c r="T1104" s="27">
        <f t="shared" si="270"/>
        <v>4</v>
      </c>
      <c r="U1104" s="247">
        <f>IF(OR(ISBLANK(F$68),AND(W1104&gt;(F$68-1),W1104&lt;(I$68+1))),IF(ISERROR(VLOOKUP(I$67,G$1076:G$1078,1,FALSE)),IF(K$67=G$1086,IF(MONTH(W1104)&lt;&gt;MONTH(W1103),MAX(U$1009:U1103)+1,0),IF(ISERROR(VLOOKUP(I$67,G$1079:G$1084,1,FALSE)),IF(V1104=1,MAX(U$1009:U1103)+1,0),IF(MONTH(W1105)&lt;&gt;MONTH(W1104),T1104,0))),IF(K$67=G$1086,IF(V1104=1,MAX(U$1009:U1103)+1,0),IF(V1104=7,MAX(U$1015:U1103)+1,0))),0)</f>
        <v>0</v>
      </c>
      <c r="V1104" s="27">
        <f t="shared" si="262"/>
        <v>5</v>
      </c>
      <c r="W1104" s="97">
        <f t="shared" si="263"/>
        <v>45387</v>
      </c>
      <c r="X1104" s="249" t="str">
        <f>IF(K$67=G$1086,IF(OR(U1104=1,AND(U1104&gt;0,U1104=(MAX(Y$1009:Y1103)+VLOOKUP(I$67,G$1076:H$1084,2,FALSE)))),"X",""),IF(AND(U1104&gt;0,U1104=(MAX(Y$1009:Y1103)+VLOOKUP(I$67,G$1076:H$1084,2,FALSE))),"X",""))</f>
        <v/>
      </c>
      <c r="Y1104" s="252">
        <f t="shared" si="264"/>
        <v>0</v>
      </c>
      <c r="Z1104" s="253">
        <f>IF(Y1104&gt;0,COUNTIF(Y$1009:Y1103,"&gt;0")+1,0)</f>
        <v>0</v>
      </c>
      <c r="AA1104" s="1"/>
      <c r="AB1104" s="255" t="str">
        <f t="shared" si="265"/>
        <v/>
      </c>
      <c r="AC1104" s="261" t="str">
        <f t="shared" si="267"/>
        <v/>
      </c>
      <c r="AD1104" s="258">
        <f>IF(Z1104&gt;0,COUNTIF(AC$1009:AC1103,AC1104)+1,0)</f>
        <v>0</v>
      </c>
      <c r="AE1104" s="258" t="str">
        <f t="shared" si="266"/>
        <v/>
      </c>
      <c r="AF1104" s="392" t="str">
        <f t="shared" si="268"/>
        <v/>
      </c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</row>
    <row r="1105" spans="1:93" ht="16.5" hidden="1" customHeight="1">
      <c r="A1105" s="1"/>
      <c r="B1105" s="1"/>
      <c r="C1105" s="1"/>
      <c r="D1105" s="1"/>
      <c r="E1105" s="1"/>
      <c r="F1105" s="1"/>
      <c r="G1105" s="1"/>
      <c r="H1105" s="1"/>
      <c r="I1105" s="100">
        <f>IF(J1105=0,0,COUNTIF(I$1086:I1104,"&gt;0")+1)</f>
        <v>0</v>
      </c>
      <c r="J1105" s="295">
        <f t="shared" si="271"/>
        <v>0</v>
      </c>
      <c r="K1105" s="1"/>
      <c r="L1105" s="1"/>
      <c r="M1105" s="100">
        <v>20</v>
      </c>
      <c r="N1105" s="295" t="str">
        <f t="shared" si="272"/>
        <v>Ultimo COSTO disponibile</v>
      </c>
      <c r="O1105" s="1"/>
      <c r="P1105" s="1"/>
      <c r="Q1105" s="1"/>
      <c r="R1105" s="1"/>
      <c r="S1105" s="1"/>
      <c r="T1105" s="27">
        <f t="shared" si="270"/>
        <v>4</v>
      </c>
      <c r="U1105" s="247">
        <f>IF(OR(ISBLANK(F$68),AND(W1105&gt;(F$68-1),W1105&lt;(I$68+1))),IF(ISERROR(VLOOKUP(I$67,G$1076:G$1078,1,FALSE)),IF(K$67=G$1086,IF(MONTH(W1105)&lt;&gt;MONTH(W1104),MAX(U$1009:U1104)+1,0),IF(ISERROR(VLOOKUP(I$67,G$1079:G$1084,1,FALSE)),IF(V1105=1,MAX(U$1009:U1104)+1,0),IF(MONTH(W1106)&lt;&gt;MONTH(W1105),T1105,0))),IF(K$67=G$1086,IF(V1105=1,MAX(U$1009:U1104)+1,0),IF(V1105=7,MAX(U$1015:U1104)+1,0))),0)</f>
        <v>0</v>
      </c>
      <c r="V1105" s="27">
        <f t="shared" si="262"/>
        <v>6</v>
      </c>
      <c r="W1105" s="97">
        <f t="shared" si="263"/>
        <v>45388</v>
      </c>
      <c r="X1105" s="249" t="str">
        <f>IF(K$67=G$1086,IF(OR(U1105=1,AND(U1105&gt;0,U1105=(MAX(Y$1009:Y1104)+VLOOKUP(I$67,G$1076:H$1084,2,FALSE)))),"X",""),IF(AND(U1105&gt;0,U1105=(MAX(Y$1009:Y1104)+VLOOKUP(I$67,G$1076:H$1084,2,FALSE))),"X",""))</f>
        <v/>
      </c>
      <c r="Y1105" s="252">
        <f t="shared" si="264"/>
        <v>0</v>
      </c>
      <c r="Z1105" s="253">
        <f>IF(Y1105&gt;0,COUNTIF(Y$1009:Y1104,"&gt;0")+1,0)</f>
        <v>0</v>
      </c>
      <c r="AA1105" s="1"/>
      <c r="AB1105" s="255" t="str">
        <f t="shared" si="265"/>
        <v/>
      </c>
      <c r="AC1105" s="261" t="str">
        <f t="shared" si="267"/>
        <v/>
      </c>
      <c r="AD1105" s="258">
        <f>IF(Z1105&gt;0,COUNTIF(AC$1009:AC1104,AC1105)+1,0)</f>
        <v>0</v>
      </c>
      <c r="AE1105" s="258" t="str">
        <f t="shared" si="266"/>
        <v/>
      </c>
      <c r="AF1105" s="392" t="str">
        <f t="shared" si="268"/>
        <v/>
      </c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</row>
    <row r="1106" spans="1:93" ht="16.5" hidden="1" customHeight="1">
      <c r="A1106" s="1"/>
      <c r="B1106" s="1"/>
      <c r="C1106" s="1"/>
      <c r="D1106" s="1"/>
      <c r="E1106" s="1"/>
      <c r="F1106" s="1"/>
      <c r="G1106" s="1"/>
      <c r="H1106" s="1"/>
      <c r="I1106" s="100">
        <f>IF(J1106=0,0,COUNTIF(I$1086:I1105,"&gt;0")+1)</f>
        <v>0</v>
      </c>
      <c r="J1106" s="295">
        <f t="shared" si="271"/>
        <v>0</v>
      </c>
      <c r="K1106" s="1"/>
      <c r="L1106" s="1"/>
      <c r="M1106" s="100">
        <v>21</v>
      </c>
      <c r="N1106" s="295" t="str">
        <f t="shared" si="272"/>
        <v>AMMINISTRATORE</v>
      </c>
      <c r="O1106" s="1"/>
      <c r="P1106" s="1"/>
      <c r="Q1106" s="1"/>
      <c r="R1106" s="1"/>
      <c r="S1106" s="1"/>
      <c r="T1106" s="27">
        <f t="shared" si="270"/>
        <v>4</v>
      </c>
      <c r="U1106" s="247">
        <f>IF(OR(ISBLANK(F$68),AND(W1106&gt;(F$68-1),W1106&lt;(I$68+1))),IF(ISERROR(VLOOKUP(I$67,G$1076:G$1078,1,FALSE)),IF(K$67=G$1086,IF(MONTH(W1106)&lt;&gt;MONTH(W1105),MAX(U$1009:U1105)+1,0),IF(ISERROR(VLOOKUP(I$67,G$1079:G$1084,1,FALSE)),IF(V1106=1,MAX(U$1009:U1105)+1,0),IF(MONTH(W1107)&lt;&gt;MONTH(W1106),T1106,0))),IF(K$67=G$1086,IF(V1106=1,MAX(U$1009:U1105)+1,0),IF(V1106=7,MAX(U$1015:U1105)+1,0))),0)</f>
        <v>0</v>
      </c>
      <c r="V1106" s="27">
        <f t="shared" si="262"/>
        <v>7</v>
      </c>
      <c r="W1106" s="97">
        <f t="shared" si="263"/>
        <v>45389</v>
      </c>
      <c r="X1106" s="249" t="str">
        <f>IF(K$67=G$1086,IF(OR(U1106=1,AND(U1106&gt;0,U1106=(MAX(Y$1009:Y1105)+VLOOKUP(I$67,G$1076:H$1084,2,FALSE)))),"X",""),IF(AND(U1106&gt;0,U1106=(MAX(Y$1009:Y1105)+VLOOKUP(I$67,G$1076:H$1084,2,FALSE))),"X",""))</f>
        <v/>
      </c>
      <c r="Y1106" s="252">
        <f t="shared" si="264"/>
        <v>0</v>
      </c>
      <c r="Z1106" s="253">
        <f>IF(Y1106&gt;0,COUNTIF(Y$1009:Y1105,"&gt;0")+1,0)</f>
        <v>0</v>
      </c>
      <c r="AA1106" s="1"/>
      <c r="AB1106" s="255" t="str">
        <f t="shared" si="265"/>
        <v/>
      </c>
      <c r="AC1106" s="261" t="str">
        <f t="shared" si="267"/>
        <v/>
      </c>
      <c r="AD1106" s="258">
        <f>IF(Z1106&gt;0,COUNTIF(AC$1009:AC1105,AC1106)+1,0)</f>
        <v>0</v>
      </c>
      <c r="AE1106" s="258" t="str">
        <f t="shared" si="266"/>
        <v/>
      </c>
      <c r="AF1106" s="392" t="str">
        <f t="shared" si="268"/>
        <v/>
      </c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</row>
    <row r="1107" spans="1:93" ht="16.5" hidden="1" customHeight="1">
      <c r="A1107" s="1"/>
      <c r="B1107" s="1"/>
      <c r="C1107" s="1"/>
      <c r="D1107" s="1"/>
      <c r="E1107" s="1"/>
      <c r="F1107" s="1"/>
      <c r="G1107" s="1"/>
      <c r="H1107" s="1"/>
      <c r="I1107" s="100">
        <f>IF(J1107=0,0,COUNTIF(I$1086:I1106,"&gt;0")+1)</f>
        <v>0</v>
      </c>
      <c r="J1107" s="295">
        <f t="shared" si="271"/>
        <v>0</v>
      </c>
      <c r="K1107" s="1"/>
      <c r="L1107" s="1"/>
      <c r="M1107" s="100">
        <v>22</v>
      </c>
      <c r="N1107" s="295" t="str">
        <f t="shared" si="272"/>
        <v xml:space="preserve"> </v>
      </c>
      <c r="O1107" s="1"/>
      <c r="P1107" s="1"/>
      <c r="Q1107" s="1"/>
      <c r="R1107" s="1"/>
      <c r="S1107" s="1"/>
      <c r="T1107" s="27">
        <f t="shared" si="270"/>
        <v>4</v>
      </c>
      <c r="U1107" s="247">
        <f>IF(OR(ISBLANK(F$68),AND(W1107&gt;(F$68-1),W1107&lt;(I$68+1))),IF(ISERROR(VLOOKUP(I$67,G$1076:G$1078,1,FALSE)),IF(K$67=G$1086,IF(MONTH(W1107)&lt;&gt;MONTH(W1106),MAX(U$1009:U1106)+1,0),IF(ISERROR(VLOOKUP(I$67,G$1079:G$1084,1,FALSE)),IF(V1107=1,MAX(U$1009:U1106)+1,0),IF(MONTH(W1108)&lt;&gt;MONTH(W1107),T1107,0))),IF(K$67=G$1086,IF(V1107=1,MAX(U$1009:U1106)+1,0),IF(V1107=7,MAX(U$1015:U1106)+1,0))),0)</f>
        <v>15</v>
      </c>
      <c r="V1107" s="27">
        <f t="shared" si="262"/>
        <v>1</v>
      </c>
      <c r="W1107" s="97">
        <f t="shared" si="263"/>
        <v>45390</v>
      </c>
      <c r="X1107" s="249" t="str">
        <f>IF(K$67=G$1086,IF(OR(U1107=1,AND(U1107&gt;0,U1107=(MAX(Y$1009:Y1106)+VLOOKUP(I$67,G$1076:H$1084,2,FALSE)))),"X",""),IF(AND(U1107&gt;0,U1107=(MAX(Y$1009:Y1106)+VLOOKUP(I$67,G$1076:H$1084,2,FALSE))),"X",""))</f>
        <v>X</v>
      </c>
      <c r="Y1107" s="252">
        <f t="shared" si="264"/>
        <v>15</v>
      </c>
      <c r="Z1107" s="253">
        <f>IF(Y1107&gt;0,COUNTIF(Y$1009:Y1106,"&gt;0")+1,0)</f>
        <v>8</v>
      </c>
      <c r="AA1107" s="1"/>
      <c r="AB1107" s="255">
        <f t="shared" si="265"/>
        <v>45390</v>
      </c>
      <c r="AC1107" s="261">
        <f t="shared" si="267"/>
        <v>4</v>
      </c>
      <c r="AD1107" s="258">
        <f>IF(Z1107&gt;0,COUNTIF(AC$1009:AC1106,AC1107)+1,0)</f>
        <v>1</v>
      </c>
      <c r="AE1107" s="258" t="str">
        <f t="shared" si="266"/>
        <v>4-1</v>
      </c>
      <c r="AF1107" s="392">
        <f t="shared" si="268"/>
        <v>45390</v>
      </c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</row>
    <row r="1108" spans="1:93" ht="16.5" hidden="1" customHeight="1">
      <c r="A1108" s="1"/>
      <c r="B1108" s="1"/>
      <c r="C1108" s="1"/>
      <c r="D1108" s="1"/>
      <c r="E1108" s="1"/>
      <c r="F1108" s="1"/>
      <c r="G1108" s="1"/>
      <c r="H1108" s="1"/>
      <c r="I1108" s="100">
        <f>IF(J1108=0,0,COUNTIF(I$1086:I1107,"&gt;0")+1)</f>
        <v>0</v>
      </c>
      <c r="J1108" s="295">
        <f t="shared" si="271"/>
        <v>0</v>
      </c>
      <c r="K1108" s="1"/>
      <c r="L1108" s="1"/>
      <c r="M1108" s="100">
        <v>23</v>
      </c>
      <c r="N1108" s="295" t="str">
        <f t="shared" si="272"/>
        <v xml:space="preserve"> </v>
      </c>
      <c r="O1108" s="1"/>
      <c r="P1108" s="1"/>
      <c r="Q1108" s="1"/>
      <c r="R1108" s="1"/>
      <c r="S1108" s="1"/>
      <c r="T1108" s="27">
        <f t="shared" si="270"/>
        <v>4</v>
      </c>
      <c r="U1108" s="247">
        <f>IF(OR(ISBLANK(F$68),AND(W1108&gt;(F$68-1),W1108&lt;(I$68+1))),IF(ISERROR(VLOOKUP(I$67,G$1076:G$1078,1,FALSE)),IF(K$67=G$1086,IF(MONTH(W1108)&lt;&gt;MONTH(W1107),MAX(U$1009:U1107)+1,0),IF(ISERROR(VLOOKUP(I$67,G$1079:G$1084,1,FALSE)),IF(V1108=1,MAX(U$1009:U1107)+1,0),IF(MONTH(W1109)&lt;&gt;MONTH(W1108),T1108,0))),IF(K$67=G$1086,IF(V1108=1,MAX(U$1009:U1107)+1,0),IF(V1108=7,MAX(U$1015:U1107)+1,0))),0)</f>
        <v>0</v>
      </c>
      <c r="V1108" s="27">
        <f t="shared" si="262"/>
        <v>2</v>
      </c>
      <c r="W1108" s="97">
        <f t="shared" si="263"/>
        <v>45391</v>
      </c>
      <c r="X1108" s="249" t="str">
        <f>IF(K$67=G$1086,IF(OR(U1108=1,AND(U1108&gt;0,U1108=(MAX(Y$1009:Y1107)+VLOOKUP(I$67,G$1076:H$1084,2,FALSE)))),"X",""),IF(AND(U1108&gt;0,U1108=(MAX(Y$1009:Y1107)+VLOOKUP(I$67,G$1076:H$1084,2,FALSE))),"X",""))</f>
        <v/>
      </c>
      <c r="Y1108" s="252">
        <f t="shared" si="264"/>
        <v>0</v>
      </c>
      <c r="Z1108" s="253">
        <f>IF(Y1108&gt;0,COUNTIF(Y$1009:Y1107,"&gt;0")+1,0)</f>
        <v>0</v>
      </c>
      <c r="AA1108" s="1"/>
      <c r="AB1108" s="255" t="str">
        <f t="shared" si="265"/>
        <v/>
      </c>
      <c r="AC1108" s="261" t="str">
        <f t="shared" si="267"/>
        <v/>
      </c>
      <c r="AD1108" s="258">
        <f>IF(Z1108&gt;0,COUNTIF(AC$1009:AC1107,AC1108)+1,0)</f>
        <v>0</v>
      </c>
      <c r="AE1108" s="258" t="str">
        <f t="shared" si="266"/>
        <v/>
      </c>
      <c r="AF1108" s="392" t="str">
        <f t="shared" si="268"/>
        <v/>
      </c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</row>
    <row r="1109" spans="1:93" ht="16.5" hidden="1" customHeight="1">
      <c r="A1109" s="1"/>
      <c r="B1109" s="1"/>
      <c r="C1109" s="1"/>
      <c r="D1109" s="1"/>
      <c r="E1109" s="1"/>
      <c r="F1109" s="1"/>
      <c r="G1109" s="1"/>
      <c r="H1109" s="1"/>
      <c r="I1109" s="100">
        <f>IF(J1109=0,0,COUNTIF(I$1086:I1108,"&gt;0")+1)</f>
        <v>0</v>
      </c>
      <c r="J1109" s="504">
        <f t="shared" si="271"/>
        <v>0</v>
      </c>
      <c r="K1109" s="1"/>
      <c r="L1109" s="1"/>
      <c r="M1109" s="100">
        <v>24</v>
      </c>
      <c r="N1109" s="504" t="str">
        <f t="shared" si="272"/>
        <v xml:space="preserve"> </v>
      </c>
      <c r="O1109" s="1"/>
      <c r="P1109" s="1"/>
      <c r="Q1109" s="1"/>
      <c r="R1109" s="1"/>
      <c r="S1109" s="1"/>
      <c r="T1109" s="27">
        <f t="shared" si="270"/>
        <v>4</v>
      </c>
      <c r="U1109" s="247">
        <f>IF(OR(ISBLANK(F$68),AND(W1109&gt;(F$68-1),W1109&lt;(I$68+1))),IF(ISERROR(VLOOKUP(I$67,G$1076:G$1078,1,FALSE)),IF(K$67=G$1086,IF(MONTH(W1109)&lt;&gt;MONTH(W1108),MAX(U$1009:U1108)+1,0),IF(ISERROR(VLOOKUP(I$67,G$1079:G$1084,1,FALSE)),IF(V1109=1,MAX(U$1009:U1108)+1,0),IF(MONTH(W1110)&lt;&gt;MONTH(W1109),T1109,0))),IF(K$67=G$1086,IF(V1109=1,MAX(U$1009:U1108)+1,0),IF(V1109=7,MAX(U$1015:U1108)+1,0))),0)</f>
        <v>0</v>
      </c>
      <c r="V1109" s="27">
        <f t="shared" si="262"/>
        <v>3</v>
      </c>
      <c r="W1109" s="97">
        <f t="shared" si="263"/>
        <v>45392</v>
      </c>
      <c r="X1109" s="249" t="str">
        <f>IF(K$67=G$1086,IF(OR(U1109=1,AND(U1109&gt;0,U1109=(MAX(Y$1009:Y1108)+VLOOKUP(I$67,G$1076:H$1084,2,FALSE)))),"X",""),IF(AND(U1109&gt;0,U1109=(MAX(Y$1009:Y1108)+VLOOKUP(I$67,G$1076:H$1084,2,FALSE))),"X",""))</f>
        <v/>
      </c>
      <c r="Y1109" s="252">
        <f t="shared" si="264"/>
        <v>0</v>
      </c>
      <c r="Z1109" s="253">
        <f>IF(Y1109&gt;0,COUNTIF(Y$1009:Y1108,"&gt;0")+1,0)</f>
        <v>0</v>
      </c>
      <c r="AA1109" s="1"/>
      <c r="AB1109" s="255" t="str">
        <f t="shared" si="265"/>
        <v/>
      </c>
      <c r="AC1109" s="261" t="str">
        <f t="shared" si="267"/>
        <v/>
      </c>
      <c r="AD1109" s="258">
        <f>IF(Z1109&gt;0,COUNTIF(AC$1009:AC1108,AC1109)+1,0)</f>
        <v>0</v>
      </c>
      <c r="AE1109" s="258" t="str">
        <f t="shared" si="266"/>
        <v/>
      </c>
      <c r="AF1109" s="392" t="str">
        <f t="shared" si="268"/>
        <v/>
      </c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</row>
    <row r="1110" spans="1:93" ht="16.5" hidden="1" customHeight="1">
      <c r="A1110" s="1"/>
      <c r="B1110" s="1"/>
      <c r="C1110" s="1"/>
      <c r="D1110" s="1"/>
      <c r="E1110" s="1"/>
      <c r="F1110" s="1"/>
      <c r="G1110" s="1"/>
      <c r="H1110" s="1"/>
      <c r="I1110" s="100">
        <f>IF(J1110=0,0,COUNTIF(I$1086:I1109,"&gt;0")+1)</f>
        <v>0</v>
      </c>
      <c r="J1110" s="504">
        <f t="shared" si="271"/>
        <v>0</v>
      </c>
      <c r="K1110" s="1"/>
      <c r="L1110" s="1"/>
      <c r="M1110" s="100">
        <v>25</v>
      </c>
      <c r="N1110" s="504" t="str">
        <f t="shared" si="272"/>
        <v xml:space="preserve"> </v>
      </c>
      <c r="O1110" s="1"/>
      <c r="P1110" s="1"/>
      <c r="Q1110" s="1"/>
      <c r="R1110" s="1"/>
      <c r="S1110" s="1"/>
      <c r="T1110" s="27">
        <f t="shared" si="270"/>
        <v>4</v>
      </c>
      <c r="U1110" s="247">
        <f>IF(OR(ISBLANK(F$68),AND(W1110&gt;(F$68-1),W1110&lt;(I$68+1))),IF(ISERROR(VLOOKUP(I$67,G$1076:G$1078,1,FALSE)),IF(K$67=G$1086,IF(MONTH(W1110)&lt;&gt;MONTH(W1109),MAX(U$1009:U1109)+1,0),IF(ISERROR(VLOOKUP(I$67,G$1079:G$1084,1,FALSE)),IF(V1110=1,MAX(U$1009:U1109)+1,0),IF(MONTH(W1111)&lt;&gt;MONTH(W1110),T1110,0))),IF(K$67=G$1086,IF(V1110=1,MAX(U$1009:U1109)+1,0),IF(V1110=7,MAX(U$1015:U1109)+1,0))),0)</f>
        <v>0</v>
      </c>
      <c r="V1110" s="27">
        <f t="shared" si="262"/>
        <v>4</v>
      </c>
      <c r="W1110" s="97">
        <f t="shared" si="263"/>
        <v>45393</v>
      </c>
      <c r="X1110" s="249" t="str">
        <f>IF(K$67=G$1086,IF(OR(U1110=1,AND(U1110&gt;0,U1110=(MAX(Y$1009:Y1109)+VLOOKUP(I$67,G$1076:H$1084,2,FALSE)))),"X",""),IF(AND(U1110&gt;0,U1110=(MAX(Y$1009:Y1109)+VLOOKUP(I$67,G$1076:H$1084,2,FALSE))),"X",""))</f>
        <v/>
      </c>
      <c r="Y1110" s="252">
        <f t="shared" si="264"/>
        <v>0</v>
      </c>
      <c r="Z1110" s="253">
        <f>IF(Y1110&gt;0,COUNTIF(Y$1009:Y1109,"&gt;0")+1,0)</f>
        <v>0</v>
      </c>
      <c r="AA1110" s="1"/>
      <c r="AB1110" s="255" t="str">
        <f t="shared" si="265"/>
        <v/>
      </c>
      <c r="AC1110" s="261" t="str">
        <f t="shared" si="267"/>
        <v/>
      </c>
      <c r="AD1110" s="258">
        <f>IF(Z1110&gt;0,COUNTIF(AC$1009:AC1109,AC1110)+1,0)</f>
        <v>0</v>
      </c>
      <c r="AE1110" s="258" t="str">
        <f t="shared" si="266"/>
        <v/>
      </c>
      <c r="AF1110" s="392" t="str">
        <f t="shared" si="268"/>
        <v/>
      </c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</row>
    <row r="1111" spans="1:93" ht="16.5" hidden="1" customHeight="1">
      <c r="A1111" s="1"/>
      <c r="B1111" s="1"/>
      <c r="C1111" s="1"/>
      <c r="D1111" s="1"/>
      <c r="E1111" s="1"/>
      <c r="F1111" s="1"/>
      <c r="G1111" s="1"/>
      <c r="H1111" s="1"/>
      <c r="I1111" s="100">
        <f>IF(J1111=0,0,COUNTIF(I$1086:I1110,"&gt;0")+1)</f>
        <v>0</v>
      </c>
      <c r="J1111" s="504">
        <f t="shared" si="271"/>
        <v>0</v>
      </c>
      <c r="K1111" s="1"/>
      <c r="L1111" s="1"/>
      <c r="M1111" s="100">
        <v>26</v>
      </c>
      <c r="N1111" s="504" t="str">
        <f t="shared" si="272"/>
        <v xml:space="preserve"> </v>
      </c>
      <c r="O1111" s="1"/>
      <c r="P1111" s="1"/>
      <c r="Q1111" s="1"/>
      <c r="R1111" s="1"/>
      <c r="S1111" s="1"/>
      <c r="T1111" s="27">
        <f t="shared" si="270"/>
        <v>4</v>
      </c>
      <c r="U1111" s="247">
        <f>IF(OR(ISBLANK(F$68),AND(W1111&gt;(F$68-1),W1111&lt;(I$68+1))),IF(ISERROR(VLOOKUP(I$67,G$1076:G$1078,1,FALSE)),IF(K$67=G$1086,IF(MONTH(W1111)&lt;&gt;MONTH(W1110),MAX(U$1009:U1110)+1,0),IF(ISERROR(VLOOKUP(I$67,G$1079:G$1084,1,FALSE)),IF(V1111=1,MAX(U$1009:U1110)+1,0),IF(MONTH(W1112)&lt;&gt;MONTH(W1111),T1111,0))),IF(K$67=G$1086,IF(V1111=1,MAX(U$1009:U1110)+1,0),IF(V1111=7,MAX(U$1015:U1110)+1,0))),0)</f>
        <v>0</v>
      </c>
      <c r="V1111" s="27">
        <f t="shared" si="262"/>
        <v>5</v>
      </c>
      <c r="W1111" s="97">
        <f t="shared" si="263"/>
        <v>45394</v>
      </c>
      <c r="X1111" s="249" t="str">
        <f>IF(K$67=G$1086,IF(OR(U1111=1,AND(U1111&gt;0,U1111=(MAX(Y$1009:Y1110)+VLOOKUP(I$67,G$1076:H$1084,2,FALSE)))),"X",""),IF(AND(U1111&gt;0,U1111=(MAX(Y$1009:Y1110)+VLOOKUP(I$67,G$1076:H$1084,2,FALSE))),"X",""))</f>
        <v/>
      </c>
      <c r="Y1111" s="252">
        <f t="shared" si="264"/>
        <v>0</v>
      </c>
      <c r="Z1111" s="253">
        <f>IF(Y1111&gt;0,COUNTIF(Y$1009:Y1110,"&gt;0")+1,0)</f>
        <v>0</v>
      </c>
      <c r="AA1111" s="1"/>
      <c r="AB1111" s="255" t="str">
        <f t="shared" si="265"/>
        <v/>
      </c>
      <c r="AC1111" s="261" t="str">
        <f t="shared" si="267"/>
        <v/>
      </c>
      <c r="AD1111" s="258">
        <f>IF(Z1111&gt;0,COUNTIF(AC$1009:AC1110,AC1111)+1,0)</f>
        <v>0</v>
      </c>
      <c r="AE1111" s="258" t="str">
        <f t="shared" si="266"/>
        <v/>
      </c>
      <c r="AF1111" s="392" t="str">
        <f t="shared" si="268"/>
        <v/>
      </c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</row>
    <row r="1112" spans="1:93" ht="16.5" hidden="1" customHeight="1">
      <c r="A1112" s="1"/>
      <c r="B1112" s="1"/>
      <c r="C1112" s="1"/>
      <c r="D1112" s="1"/>
      <c r="E1112" s="1"/>
      <c r="F1112" s="1"/>
      <c r="G1112" s="1"/>
      <c r="H1112" s="1"/>
      <c r="I1112" s="100">
        <f>IF(J1112=0,0,COUNTIF(I$1086:I1111,"&gt;0")+1)</f>
        <v>0</v>
      </c>
      <c r="J1112" s="504">
        <f t="shared" si="271"/>
        <v>0</v>
      </c>
      <c r="K1112" s="1"/>
      <c r="L1112" s="1"/>
      <c r="M1112" s="100">
        <v>27</v>
      </c>
      <c r="N1112" s="504" t="str">
        <f t="shared" si="272"/>
        <v xml:space="preserve"> </v>
      </c>
      <c r="O1112" s="1"/>
      <c r="P1112" s="1"/>
      <c r="Q1112" s="1"/>
      <c r="R1112" s="1"/>
      <c r="S1112" s="1"/>
      <c r="T1112" s="27">
        <f t="shared" si="270"/>
        <v>4</v>
      </c>
      <c r="U1112" s="247">
        <f>IF(OR(ISBLANK(F$68),AND(W1112&gt;(F$68-1),W1112&lt;(I$68+1))),IF(ISERROR(VLOOKUP(I$67,G$1076:G$1078,1,FALSE)),IF(K$67=G$1086,IF(MONTH(W1112)&lt;&gt;MONTH(W1111),MAX(U$1009:U1111)+1,0),IF(ISERROR(VLOOKUP(I$67,G$1079:G$1084,1,FALSE)),IF(V1112=1,MAX(U$1009:U1111)+1,0),IF(MONTH(W1113)&lt;&gt;MONTH(W1112),T1112,0))),IF(K$67=G$1086,IF(V1112=1,MAX(U$1009:U1111)+1,0),IF(V1112=7,MAX(U$1015:U1111)+1,0))),0)</f>
        <v>0</v>
      </c>
      <c r="V1112" s="27">
        <f t="shared" si="262"/>
        <v>6</v>
      </c>
      <c r="W1112" s="97">
        <f t="shared" si="263"/>
        <v>45395</v>
      </c>
      <c r="X1112" s="249" t="str">
        <f>IF(K$67=G$1086,IF(OR(U1112=1,AND(U1112&gt;0,U1112=(MAX(Y$1009:Y1111)+VLOOKUP(I$67,G$1076:H$1084,2,FALSE)))),"X",""),IF(AND(U1112&gt;0,U1112=(MAX(Y$1009:Y1111)+VLOOKUP(I$67,G$1076:H$1084,2,FALSE))),"X",""))</f>
        <v/>
      </c>
      <c r="Y1112" s="252">
        <f t="shared" si="264"/>
        <v>0</v>
      </c>
      <c r="Z1112" s="253">
        <f>IF(Y1112&gt;0,COUNTIF(Y$1009:Y1111,"&gt;0")+1,0)</f>
        <v>0</v>
      </c>
      <c r="AA1112" s="1"/>
      <c r="AB1112" s="255" t="str">
        <f t="shared" si="265"/>
        <v/>
      </c>
      <c r="AC1112" s="261" t="str">
        <f t="shared" si="267"/>
        <v/>
      </c>
      <c r="AD1112" s="258">
        <f>IF(Z1112&gt;0,COUNTIF(AC$1009:AC1111,AC1112)+1,0)</f>
        <v>0</v>
      </c>
      <c r="AE1112" s="258" t="str">
        <f t="shared" si="266"/>
        <v/>
      </c>
      <c r="AF1112" s="392" t="str">
        <f t="shared" si="268"/>
        <v/>
      </c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</row>
    <row r="1113" spans="1:93" ht="16.5" hidden="1" customHeight="1">
      <c r="A1113" s="1"/>
      <c r="B1113" s="1"/>
      <c r="C1113" s="1"/>
      <c r="D1113" s="1"/>
      <c r="E1113" s="1"/>
      <c r="F1113" s="1"/>
      <c r="G1113" s="1"/>
      <c r="H1113" s="1"/>
      <c r="I1113" s="100">
        <f>IF(J1113=0,0,COUNTIF(I$1086:I1112,"&gt;0")+1)</f>
        <v>0</v>
      </c>
      <c r="J1113" s="504">
        <f t="shared" si="271"/>
        <v>0</v>
      </c>
      <c r="K1113" s="1"/>
      <c r="L1113" s="1"/>
      <c r="M1113" s="100">
        <v>28</v>
      </c>
      <c r="N1113" s="504" t="str">
        <f t="shared" si="272"/>
        <v xml:space="preserve"> </v>
      </c>
      <c r="O1113" s="1"/>
      <c r="P1113" s="1"/>
      <c r="Q1113" s="1"/>
      <c r="R1113" s="1"/>
      <c r="S1113" s="1"/>
      <c r="T1113" s="27">
        <f t="shared" si="270"/>
        <v>4</v>
      </c>
      <c r="U1113" s="247">
        <f>IF(OR(ISBLANK(F$68),AND(W1113&gt;(F$68-1),W1113&lt;(I$68+1))),IF(ISERROR(VLOOKUP(I$67,G$1076:G$1078,1,FALSE)),IF(K$67=G$1086,IF(MONTH(W1113)&lt;&gt;MONTH(W1112),MAX(U$1009:U1112)+1,0),IF(ISERROR(VLOOKUP(I$67,G$1079:G$1084,1,FALSE)),IF(V1113=1,MAX(U$1009:U1112)+1,0),IF(MONTH(W1114)&lt;&gt;MONTH(W1113),T1113,0))),IF(K$67=G$1086,IF(V1113=1,MAX(U$1009:U1112)+1,0),IF(V1113=7,MAX(U$1015:U1112)+1,0))),0)</f>
        <v>0</v>
      </c>
      <c r="V1113" s="27">
        <f t="shared" si="262"/>
        <v>7</v>
      </c>
      <c r="W1113" s="97">
        <f t="shared" si="263"/>
        <v>45396</v>
      </c>
      <c r="X1113" s="249" t="str">
        <f>IF(K$67=G$1086,IF(OR(U1113=1,AND(U1113&gt;0,U1113=(MAX(Y$1009:Y1112)+VLOOKUP(I$67,G$1076:H$1084,2,FALSE)))),"X",""),IF(AND(U1113&gt;0,U1113=(MAX(Y$1009:Y1112)+VLOOKUP(I$67,G$1076:H$1084,2,FALSE))),"X",""))</f>
        <v/>
      </c>
      <c r="Y1113" s="252">
        <f t="shared" si="264"/>
        <v>0</v>
      </c>
      <c r="Z1113" s="253">
        <f>IF(Y1113&gt;0,COUNTIF(Y$1009:Y1112,"&gt;0")+1,0)</f>
        <v>0</v>
      </c>
      <c r="AA1113" s="1"/>
      <c r="AB1113" s="255" t="str">
        <f t="shared" si="265"/>
        <v/>
      </c>
      <c r="AC1113" s="261" t="str">
        <f t="shared" si="267"/>
        <v/>
      </c>
      <c r="AD1113" s="258">
        <f>IF(Z1113&gt;0,COUNTIF(AC$1009:AC1112,AC1113)+1,0)</f>
        <v>0</v>
      </c>
      <c r="AE1113" s="258" t="str">
        <f t="shared" si="266"/>
        <v/>
      </c>
      <c r="AF1113" s="392" t="str">
        <f t="shared" si="268"/>
        <v/>
      </c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</row>
    <row r="1114" spans="1:93" ht="16.5" hidden="1" customHeight="1">
      <c r="A1114" s="1"/>
      <c r="B1114" s="1"/>
      <c r="C1114" s="1"/>
      <c r="D1114" s="1"/>
      <c r="E1114" s="1"/>
      <c r="F1114" s="1"/>
      <c r="G1114" s="1"/>
      <c r="H1114" s="1"/>
      <c r="I1114" s="100">
        <f>IF(J1114=0,0,COUNTIF(I$1086:I1113,"&gt;0")+1)</f>
        <v>0</v>
      </c>
      <c r="J1114" s="504">
        <f t="shared" si="271"/>
        <v>0</v>
      </c>
      <c r="K1114" s="1"/>
      <c r="L1114" s="1"/>
      <c r="M1114" s="100">
        <v>29</v>
      </c>
      <c r="N1114" s="504" t="str">
        <f t="shared" si="272"/>
        <v xml:space="preserve"> </v>
      </c>
      <c r="O1114" s="1"/>
      <c r="P1114" s="1"/>
      <c r="Q1114" s="1"/>
      <c r="R1114" s="1"/>
      <c r="S1114" s="1"/>
      <c r="T1114" s="27">
        <f t="shared" si="270"/>
        <v>4</v>
      </c>
      <c r="U1114" s="247">
        <f>IF(OR(ISBLANK(F$68),AND(W1114&gt;(F$68-1),W1114&lt;(I$68+1))),IF(ISERROR(VLOOKUP(I$67,G$1076:G$1078,1,FALSE)),IF(K$67=G$1086,IF(MONTH(W1114)&lt;&gt;MONTH(W1113),MAX(U$1009:U1113)+1,0),IF(ISERROR(VLOOKUP(I$67,G$1079:G$1084,1,FALSE)),IF(V1114=1,MAX(U$1009:U1113)+1,0),IF(MONTH(W1115)&lt;&gt;MONTH(W1114),T1114,0))),IF(K$67=G$1086,IF(V1114=1,MAX(U$1009:U1113)+1,0),IF(V1114=7,MAX(U$1015:U1113)+1,0))),0)</f>
        <v>16</v>
      </c>
      <c r="V1114" s="27">
        <f t="shared" si="262"/>
        <v>1</v>
      </c>
      <c r="W1114" s="97">
        <f t="shared" si="263"/>
        <v>45397</v>
      </c>
      <c r="X1114" s="249" t="str">
        <f>IF(K$67=G$1086,IF(OR(U1114=1,AND(U1114&gt;0,U1114=(MAX(Y$1009:Y1113)+VLOOKUP(I$67,G$1076:H$1084,2,FALSE)))),"X",""),IF(AND(U1114&gt;0,U1114=(MAX(Y$1009:Y1113)+VLOOKUP(I$67,G$1076:H$1084,2,FALSE))),"X",""))</f>
        <v/>
      </c>
      <c r="Y1114" s="252">
        <f t="shared" si="264"/>
        <v>0</v>
      </c>
      <c r="Z1114" s="253">
        <f>IF(Y1114&gt;0,COUNTIF(Y$1009:Y1113,"&gt;0")+1,0)</f>
        <v>0</v>
      </c>
      <c r="AA1114" s="1"/>
      <c r="AB1114" s="255" t="str">
        <f t="shared" si="265"/>
        <v/>
      </c>
      <c r="AC1114" s="261" t="str">
        <f t="shared" si="267"/>
        <v/>
      </c>
      <c r="AD1114" s="258">
        <f>IF(Z1114&gt;0,COUNTIF(AC$1009:AC1113,AC1114)+1,0)</f>
        <v>0</v>
      </c>
      <c r="AE1114" s="258" t="str">
        <f t="shared" si="266"/>
        <v/>
      </c>
      <c r="AF1114" s="392" t="str">
        <f t="shared" si="268"/>
        <v/>
      </c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</row>
    <row r="1115" spans="1:93" ht="16.5" hidden="1" customHeight="1">
      <c r="A1115" s="1"/>
      <c r="B1115" s="1"/>
      <c r="C1115" s="1"/>
      <c r="D1115" s="1"/>
      <c r="E1115" s="1"/>
      <c r="F1115" s="1"/>
      <c r="G1115" s="1"/>
      <c r="H1115" s="1"/>
      <c r="I1115" s="100">
        <f>IF(J1115=0,0,COUNTIF(I$1086:I1114,"&gt;0")+1)</f>
        <v>0</v>
      </c>
      <c r="J1115" s="504">
        <f t="shared" si="271"/>
        <v>0</v>
      </c>
      <c r="K1115" s="1"/>
      <c r="L1115" s="1"/>
      <c r="M1115" s="100">
        <v>30</v>
      </c>
      <c r="N1115" s="504" t="str">
        <f t="shared" si="272"/>
        <v xml:space="preserve"> </v>
      </c>
      <c r="O1115" s="1"/>
      <c r="P1115" s="1"/>
      <c r="Q1115" s="1"/>
      <c r="R1115" s="1"/>
      <c r="S1115" s="1"/>
      <c r="T1115" s="27">
        <f t="shared" si="270"/>
        <v>4</v>
      </c>
      <c r="U1115" s="247">
        <f>IF(OR(ISBLANK(F$68),AND(W1115&gt;(F$68-1),W1115&lt;(I$68+1))),IF(ISERROR(VLOOKUP(I$67,G$1076:G$1078,1,FALSE)),IF(K$67=G$1086,IF(MONTH(W1115)&lt;&gt;MONTH(W1114),MAX(U$1009:U1114)+1,0),IF(ISERROR(VLOOKUP(I$67,G$1079:G$1084,1,FALSE)),IF(V1115=1,MAX(U$1009:U1114)+1,0),IF(MONTH(W1116)&lt;&gt;MONTH(W1115),T1115,0))),IF(K$67=G$1086,IF(V1115=1,MAX(U$1009:U1114)+1,0),IF(V1115=7,MAX(U$1015:U1114)+1,0))),0)</f>
        <v>0</v>
      </c>
      <c r="V1115" s="27">
        <f t="shared" si="262"/>
        <v>2</v>
      </c>
      <c r="W1115" s="97">
        <f t="shared" si="263"/>
        <v>45398</v>
      </c>
      <c r="X1115" s="249" t="str">
        <f>IF(K$67=G$1086,IF(OR(U1115=1,AND(U1115&gt;0,U1115=(MAX(Y$1009:Y1114)+VLOOKUP(I$67,G$1076:H$1084,2,FALSE)))),"X",""),IF(AND(U1115&gt;0,U1115=(MAX(Y$1009:Y1114)+VLOOKUP(I$67,G$1076:H$1084,2,FALSE))),"X",""))</f>
        <v/>
      </c>
      <c r="Y1115" s="252">
        <f t="shared" si="264"/>
        <v>0</v>
      </c>
      <c r="Z1115" s="253">
        <f>IF(Y1115&gt;0,COUNTIF(Y$1009:Y1114,"&gt;0")+1,0)</f>
        <v>0</v>
      </c>
      <c r="AA1115" s="1"/>
      <c r="AB1115" s="255" t="str">
        <f t="shared" si="265"/>
        <v/>
      </c>
      <c r="AC1115" s="261" t="str">
        <f t="shared" si="267"/>
        <v/>
      </c>
      <c r="AD1115" s="258">
        <f>IF(Z1115&gt;0,COUNTIF(AC$1009:AC1114,AC1115)+1,0)</f>
        <v>0</v>
      </c>
      <c r="AE1115" s="258" t="str">
        <f t="shared" si="266"/>
        <v/>
      </c>
      <c r="AF1115" s="392" t="str">
        <f t="shared" si="268"/>
        <v/>
      </c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</row>
    <row r="1116" spans="1:93" ht="16.5" hidden="1" customHeight="1">
      <c r="A1116" s="1"/>
      <c r="B1116" s="1"/>
      <c r="C1116" s="1"/>
      <c r="D1116" s="1"/>
      <c r="E1116" s="1"/>
      <c r="F1116" s="1"/>
      <c r="G1116" s="1"/>
      <c r="H1116" s="1"/>
      <c r="I1116" s="100">
        <f>IF(J1116=0,0,COUNTIF(I$1086:I1115,"&gt;0")+1)</f>
        <v>0</v>
      </c>
      <c r="J1116" s="504">
        <f t="shared" si="271"/>
        <v>0</v>
      </c>
      <c r="K1116" s="1"/>
      <c r="L1116" s="1"/>
      <c r="M1116" s="100">
        <v>31</v>
      </c>
      <c r="N1116" s="504" t="str">
        <f t="shared" si="272"/>
        <v xml:space="preserve"> </v>
      </c>
      <c r="O1116" s="1"/>
      <c r="P1116" s="1"/>
      <c r="Q1116" s="1"/>
      <c r="R1116" s="1"/>
      <c r="S1116" s="1"/>
      <c r="T1116" s="27">
        <f t="shared" si="270"/>
        <v>4</v>
      </c>
      <c r="U1116" s="247">
        <f>IF(OR(ISBLANK(F$68),AND(W1116&gt;(F$68-1),W1116&lt;(I$68+1))),IF(ISERROR(VLOOKUP(I$67,G$1076:G$1078,1,FALSE)),IF(K$67=G$1086,IF(MONTH(W1116)&lt;&gt;MONTH(W1115),MAX(U$1009:U1115)+1,0),IF(ISERROR(VLOOKUP(I$67,G$1079:G$1084,1,FALSE)),IF(V1116=1,MAX(U$1009:U1115)+1,0),IF(MONTH(W1117)&lt;&gt;MONTH(W1116),T1116,0))),IF(K$67=G$1086,IF(V1116=1,MAX(U$1009:U1115)+1,0),IF(V1116=7,MAX(U$1015:U1115)+1,0))),0)</f>
        <v>0</v>
      </c>
      <c r="V1116" s="27">
        <f t="shared" si="262"/>
        <v>3</v>
      </c>
      <c r="W1116" s="97">
        <f t="shared" si="263"/>
        <v>45399</v>
      </c>
      <c r="X1116" s="249" t="str">
        <f>IF(K$67=G$1086,IF(OR(U1116=1,AND(U1116&gt;0,U1116=(MAX(Y$1009:Y1115)+VLOOKUP(I$67,G$1076:H$1084,2,FALSE)))),"X",""),IF(AND(U1116&gt;0,U1116=(MAX(Y$1009:Y1115)+VLOOKUP(I$67,G$1076:H$1084,2,FALSE))),"X",""))</f>
        <v/>
      </c>
      <c r="Y1116" s="252">
        <f t="shared" si="264"/>
        <v>0</v>
      </c>
      <c r="Z1116" s="253">
        <f>IF(Y1116&gt;0,COUNTIF(Y$1009:Y1115,"&gt;0")+1,0)</f>
        <v>0</v>
      </c>
      <c r="AA1116" s="1"/>
      <c r="AB1116" s="255" t="str">
        <f t="shared" si="265"/>
        <v/>
      </c>
      <c r="AC1116" s="261" t="str">
        <f t="shared" si="267"/>
        <v/>
      </c>
      <c r="AD1116" s="258">
        <f>IF(Z1116&gt;0,COUNTIF(AC$1009:AC1115,AC1116)+1,0)</f>
        <v>0</v>
      </c>
      <c r="AE1116" s="258" t="str">
        <f t="shared" si="266"/>
        <v/>
      </c>
      <c r="AF1116" s="392" t="str">
        <f t="shared" si="268"/>
        <v/>
      </c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</row>
    <row r="1117" spans="1:93" ht="16.5" hidden="1" customHeight="1">
      <c r="A1117" s="1"/>
      <c r="B1117" s="1"/>
      <c r="C1117" s="1"/>
      <c r="D1117" s="1"/>
      <c r="E1117" s="1"/>
      <c r="F1117" s="1"/>
      <c r="G1117" s="1"/>
      <c r="H1117" s="1"/>
      <c r="I1117" s="100">
        <f>IF(J1117=0,0,COUNTIF(I$1086:I1116,"&gt;0")+1)</f>
        <v>0</v>
      </c>
      <c r="J1117" s="504">
        <f t="shared" si="271"/>
        <v>0</v>
      </c>
      <c r="K1117" s="1"/>
      <c r="L1117" s="1"/>
      <c r="M1117" s="100">
        <v>32</v>
      </c>
      <c r="N1117" s="504" t="str">
        <f t="shared" si="272"/>
        <v xml:space="preserve"> </v>
      </c>
      <c r="O1117" s="1"/>
      <c r="P1117" s="1"/>
      <c r="Q1117" s="1"/>
      <c r="R1117" s="1"/>
      <c r="S1117" s="1"/>
      <c r="T1117" s="27">
        <f t="shared" si="270"/>
        <v>4</v>
      </c>
      <c r="U1117" s="247">
        <f>IF(OR(ISBLANK(F$68),AND(W1117&gt;(F$68-1),W1117&lt;(I$68+1))),IF(ISERROR(VLOOKUP(I$67,G$1076:G$1078,1,FALSE)),IF(K$67=G$1086,IF(MONTH(W1117)&lt;&gt;MONTH(W1116),MAX(U$1009:U1116)+1,0),IF(ISERROR(VLOOKUP(I$67,G$1079:G$1084,1,FALSE)),IF(V1117=1,MAX(U$1009:U1116)+1,0),IF(MONTH(W1118)&lt;&gt;MONTH(W1117),T1117,0))),IF(K$67=G$1086,IF(V1117=1,MAX(U$1009:U1116)+1,0),IF(V1117=7,MAX(U$1015:U1116)+1,0))),0)</f>
        <v>0</v>
      </c>
      <c r="V1117" s="27">
        <f t="shared" si="262"/>
        <v>4</v>
      </c>
      <c r="W1117" s="97">
        <f t="shared" si="263"/>
        <v>45400</v>
      </c>
      <c r="X1117" s="249" t="str">
        <f>IF(K$67=G$1086,IF(OR(U1117=1,AND(U1117&gt;0,U1117=(MAX(Y$1009:Y1116)+VLOOKUP(I$67,G$1076:H$1084,2,FALSE)))),"X",""),IF(AND(U1117&gt;0,U1117=(MAX(Y$1009:Y1116)+VLOOKUP(I$67,G$1076:H$1084,2,FALSE))),"X",""))</f>
        <v/>
      </c>
      <c r="Y1117" s="252">
        <f t="shared" si="264"/>
        <v>0</v>
      </c>
      <c r="Z1117" s="253">
        <f>IF(Y1117&gt;0,COUNTIF(Y$1009:Y1116,"&gt;0")+1,0)</f>
        <v>0</v>
      </c>
      <c r="AA1117" s="1"/>
      <c r="AB1117" s="255" t="str">
        <f t="shared" si="265"/>
        <v/>
      </c>
      <c r="AC1117" s="261" t="str">
        <f t="shared" si="267"/>
        <v/>
      </c>
      <c r="AD1117" s="258">
        <f>IF(Z1117&gt;0,COUNTIF(AC$1009:AC1116,AC1117)+1,0)</f>
        <v>0</v>
      </c>
      <c r="AE1117" s="258" t="str">
        <f t="shared" si="266"/>
        <v/>
      </c>
      <c r="AF1117" s="392" t="str">
        <f t="shared" si="268"/>
        <v/>
      </c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</row>
    <row r="1118" spans="1:93" ht="16.5" hidden="1" customHeight="1">
      <c r="A1118" s="1"/>
      <c r="B1118" s="1"/>
      <c r="C1118" s="1"/>
      <c r="D1118" s="1"/>
      <c r="E1118" s="1"/>
      <c r="F1118" s="1"/>
      <c r="G1118" s="1"/>
      <c r="H1118" s="1"/>
      <c r="I1118" s="100">
        <f>IF(J1118=0,0,COUNTIF(I$1086:I1117,"&gt;0")+1)</f>
        <v>0</v>
      </c>
      <c r="J1118" s="504">
        <f t="shared" si="271"/>
        <v>0</v>
      </c>
      <c r="K1118" s="1"/>
      <c r="L1118" s="1"/>
      <c r="M1118" s="100">
        <v>33</v>
      </c>
      <c r="N1118" s="504" t="str">
        <f t="shared" si="272"/>
        <v xml:space="preserve"> </v>
      </c>
      <c r="O1118" s="1"/>
      <c r="P1118" s="1"/>
      <c r="Q1118" s="1"/>
      <c r="R1118" s="1"/>
      <c r="S1118" s="1"/>
      <c r="T1118" s="27">
        <f t="shared" si="270"/>
        <v>4</v>
      </c>
      <c r="U1118" s="247">
        <f>IF(OR(ISBLANK(F$68),AND(W1118&gt;(F$68-1),W1118&lt;(I$68+1))),IF(ISERROR(VLOOKUP(I$67,G$1076:G$1078,1,FALSE)),IF(K$67=G$1086,IF(MONTH(W1118)&lt;&gt;MONTH(W1117),MAX(U$1009:U1117)+1,0),IF(ISERROR(VLOOKUP(I$67,G$1079:G$1084,1,FALSE)),IF(V1118=1,MAX(U$1009:U1117)+1,0),IF(MONTH(W1119)&lt;&gt;MONTH(W1118),T1118,0))),IF(K$67=G$1086,IF(V1118=1,MAX(U$1009:U1117)+1,0),IF(V1118=7,MAX(U$1015:U1117)+1,0))),0)</f>
        <v>0</v>
      </c>
      <c r="V1118" s="27">
        <f t="shared" si="262"/>
        <v>5</v>
      </c>
      <c r="W1118" s="97">
        <f t="shared" si="263"/>
        <v>45401</v>
      </c>
      <c r="X1118" s="249" t="str">
        <f>IF(K$67=G$1086,IF(OR(U1118=1,AND(U1118&gt;0,U1118=(MAX(Y$1009:Y1117)+VLOOKUP(I$67,G$1076:H$1084,2,FALSE)))),"X",""),IF(AND(U1118&gt;0,U1118=(MAX(Y$1009:Y1117)+VLOOKUP(I$67,G$1076:H$1084,2,FALSE))),"X",""))</f>
        <v/>
      </c>
      <c r="Y1118" s="252">
        <f t="shared" si="264"/>
        <v>0</v>
      </c>
      <c r="Z1118" s="253">
        <f>IF(Y1118&gt;0,COUNTIF(Y$1009:Y1117,"&gt;0")+1,0)</f>
        <v>0</v>
      </c>
      <c r="AA1118" s="1"/>
      <c r="AB1118" s="255" t="str">
        <f t="shared" si="265"/>
        <v/>
      </c>
      <c r="AC1118" s="261" t="str">
        <f t="shared" si="267"/>
        <v/>
      </c>
      <c r="AD1118" s="258">
        <f>IF(Z1118&gt;0,COUNTIF(AC$1009:AC1117,AC1118)+1,0)</f>
        <v>0</v>
      </c>
      <c r="AE1118" s="258" t="str">
        <f t="shared" si="266"/>
        <v/>
      </c>
      <c r="AF1118" s="392" t="str">
        <f t="shared" si="268"/>
        <v/>
      </c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</row>
    <row r="1119" spans="1:93" ht="16.5" hidden="1" customHeight="1">
      <c r="A1119" s="1"/>
      <c r="B1119" s="1"/>
      <c r="C1119" s="1"/>
      <c r="D1119" s="1"/>
      <c r="E1119" s="1"/>
      <c r="F1119" s="1"/>
      <c r="G1119" s="1"/>
      <c r="H1119" s="1"/>
      <c r="I1119" s="100">
        <f>IF(J1119=0,0,COUNTIF(I$1086:I1118,"&gt;0")+1)</f>
        <v>0</v>
      </c>
      <c r="J1119" s="504">
        <f t="shared" si="271"/>
        <v>0</v>
      </c>
      <c r="K1119" s="1"/>
      <c r="L1119" s="1"/>
      <c r="M1119" s="100">
        <v>34</v>
      </c>
      <c r="N1119" s="504" t="str">
        <f t="shared" si="272"/>
        <v xml:space="preserve"> </v>
      </c>
      <c r="O1119" s="1"/>
      <c r="P1119" s="1"/>
      <c r="Q1119" s="1"/>
      <c r="R1119" s="1"/>
      <c r="S1119" s="1"/>
      <c r="T1119" s="27">
        <f t="shared" si="270"/>
        <v>4</v>
      </c>
      <c r="U1119" s="247">
        <f>IF(OR(ISBLANK(F$68),AND(W1119&gt;(F$68-1),W1119&lt;(I$68+1))),IF(ISERROR(VLOOKUP(I$67,G$1076:G$1078,1,FALSE)),IF(K$67=G$1086,IF(MONTH(W1119)&lt;&gt;MONTH(W1118),MAX(U$1009:U1118)+1,0),IF(ISERROR(VLOOKUP(I$67,G$1079:G$1084,1,FALSE)),IF(V1119=1,MAX(U$1009:U1118)+1,0),IF(MONTH(W1120)&lt;&gt;MONTH(W1119),T1119,0))),IF(K$67=G$1086,IF(V1119=1,MAX(U$1009:U1118)+1,0),IF(V1119=7,MAX(U$1015:U1118)+1,0))),0)</f>
        <v>0</v>
      </c>
      <c r="V1119" s="27">
        <f t="shared" si="262"/>
        <v>6</v>
      </c>
      <c r="W1119" s="97">
        <f t="shared" si="263"/>
        <v>45402</v>
      </c>
      <c r="X1119" s="249" t="str">
        <f>IF(K$67=G$1086,IF(OR(U1119=1,AND(U1119&gt;0,U1119=(MAX(Y$1009:Y1118)+VLOOKUP(I$67,G$1076:H$1084,2,FALSE)))),"X",""),IF(AND(U1119&gt;0,U1119=(MAX(Y$1009:Y1118)+VLOOKUP(I$67,G$1076:H$1084,2,FALSE))),"X",""))</f>
        <v/>
      </c>
      <c r="Y1119" s="252">
        <f t="shared" si="264"/>
        <v>0</v>
      </c>
      <c r="Z1119" s="253">
        <f>IF(Y1119&gt;0,COUNTIF(Y$1009:Y1118,"&gt;0")+1,0)</f>
        <v>0</v>
      </c>
      <c r="AA1119" s="1"/>
      <c r="AB1119" s="255" t="str">
        <f t="shared" si="265"/>
        <v/>
      </c>
      <c r="AC1119" s="261" t="str">
        <f t="shared" si="267"/>
        <v/>
      </c>
      <c r="AD1119" s="258">
        <f>IF(Z1119&gt;0,COUNTIF(AC$1009:AC1118,AC1119)+1,0)</f>
        <v>0</v>
      </c>
      <c r="AE1119" s="258" t="str">
        <f t="shared" si="266"/>
        <v/>
      </c>
      <c r="AF1119" s="392" t="str">
        <f t="shared" si="268"/>
        <v/>
      </c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</row>
    <row r="1120" spans="1:93" ht="16.5" hidden="1" customHeight="1">
      <c r="A1120" s="1"/>
      <c r="B1120" s="1"/>
      <c r="C1120" s="1"/>
      <c r="D1120" s="1"/>
      <c r="E1120" s="1"/>
      <c r="F1120" s="1"/>
      <c r="G1120" s="1"/>
      <c r="H1120" s="1"/>
      <c r="I1120" s="100">
        <f>IF(J1120=0,0,COUNTIF(I$1086:I1119,"&gt;0")+1)</f>
        <v>0</v>
      </c>
      <c r="J1120" s="504">
        <f t="shared" si="271"/>
        <v>0</v>
      </c>
      <c r="K1120" s="1"/>
      <c r="L1120" s="1"/>
      <c r="M1120" s="100">
        <v>35</v>
      </c>
      <c r="N1120" s="504" t="str">
        <f t="shared" si="272"/>
        <v xml:space="preserve"> </v>
      </c>
      <c r="O1120" s="1"/>
      <c r="P1120" s="1"/>
      <c r="Q1120" s="1"/>
      <c r="R1120" s="1"/>
      <c r="S1120" s="1"/>
      <c r="T1120" s="27">
        <f t="shared" si="270"/>
        <v>4</v>
      </c>
      <c r="U1120" s="247">
        <f>IF(OR(ISBLANK(F$68),AND(W1120&gt;(F$68-1),W1120&lt;(I$68+1))),IF(ISERROR(VLOOKUP(I$67,G$1076:G$1078,1,FALSE)),IF(K$67=G$1086,IF(MONTH(W1120)&lt;&gt;MONTH(W1119),MAX(U$1009:U1119)+1,0),IF(ISERROR(VLOOKUP(I$67,G$1079:G$1084,1,FALSE)),IF(V1120=1,MAX(U$1009:U1119)+1,0),IF(MONTH(W1121)&lt;&gt;MONTH(W1120),T1120,0))),IF(K$67=G$1086,IF(V1120=1,MAX(U$1009:U1119)+1,0),IF(V1120=7,MAX(U$1015:U1119)+1,0))),0)</f>
        <v>0</v>
      </c>
      <c r="V1120" s="27">
        <f t="shared" si="262"/>
        <v>7</v>
      </c>
      <c r="W1120" s="97">
        <f t="shared" si="263"/>
        <v>45403</v>
      </c>
      <c r="X1120" s="249" t="str">
        <f>IF(K$67=G$1086,IF(OR(U1120=1,AND(U1120&gt;0,U1120=(MAX(Y$1009:Y1119)+VLOOKUP(I$67,G$1076:H$1084,2,FALSE)))),"X",""),IF(AND(U1120&gt;0,U1120=(MAX(Y$1009:Y1119)+VLOOKUP(I$67,G$1076:H$1084,2,FALSE))),"X",""))</f>
        <v/>
      </c>
      <c r="Y1120" s="252">
        <f t="shared" si="264"/>
        <v>0</v>
      </c>
      <c r="Z1120" s="253">
        <f>IF(Y1120&gt;0,COUNTIF(Y$1009:Y1119,"&gt;0")+1,0)</f>
        <v>0</v>
      </c>
      <c r="AA1120" s="1"/>
      <c r="AB1120" s="255" t="str">
        <f t="shared" si="265"/>
        <v/>
      </c>
      <c r="AC1120" s="261" t="str">
        <f t="shared" si="267"/>
        <v/>
      </c>
      <c r="AD1120" s="258">
        <f>IF(Z1120&gt;0,COUNTIF(AC$1009:AC1119,AC1120)+1,0)</f>
        <v>0</v>
      </c>
      <c r="AE1120" s="258" t="str">
        <f t="shared" si="266"/>
        <v/>
      </c>
      <c r="AF1120" s="392" t="str">
        <f t="shared" si="268"/>
        <v/>
      </c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</row>
    <row r="1121" spans="1:93" ht="16.5" hidden="1" customHeight="1">
      <c r="A1121" s="1"/>
      <c r="B1121" s="1"/>
      <c r="C1121" s="1"/>
      <c r="D1121" s="1"/>
      <c r="E1121" s="1"/>
      <c r="F1121" s="1"/>
      <c r="G1121" s="1"/>
      <c r="H1121" s="1"/>
      <c r="I1121" s="100">
        <f>IF(J1121=0,0,COUNTIF(I$1086:I1120,"&gt;0")+1)</f>
        <v>20</v>
      </c>
      <c r="J1121" s="296" t="str">
        <f t="shared" si="271"/>
        <v>Ultimo COSTO disponibile</v>
      </c>
      <c r="K1121" s="1"/>
      <c r="L1121" s="1"/>
      <c r="M1121" s="100">
        <v>36</v>
      </c>
      <c r="N1121" s="296" t="str">
        <f t="shared" si="272"/>
        <v xml:space="preserve"> </v>
      </c>
      <c r="O1121" s="1"/>
      <c r="P1121" s="1"/>
      <c r="Q1121" s="1"/>
      <c r="R1121" s="1"/>
      <c r="S1121" s="1"/>
      <c r="T1121" s="27">
        <f t="shared" si="270"/>
        <v>4</v>
      </c>
      <c r="U1121" s="247">
        <f>IF(OR(ISBLANK(F$68),AND(W1121&gt;(F$68-1),W1121&lt;(I$68+1))),IF(ISERROR(VLOOKUP(I$67,G$1076:G$1078,1,FALSE)),IF(K$67=G$1086,IF(MONTH(W1121)&lt;&gt;MONTH(W1120),MAX(U$1009:U1120)+1,0),IF(ISERROR(VLOOKUP(I$67,G$1079:G$1084,1,FALSE)),IF(V1121=1,MAX(U$1009:U1120)+1,0),IF(MONTH(W1122)&lt;&gt;MONTH(W1121),T1121,0))),IF(K$67=G$1086,IF(V1121=1,MAX(U$1009:U1120)+1,0),IF(V1121=7,MAX(U$1015:U1120)+1,0))),0)</f>
        <v>17</v>
      </c>
      <c r="V1121" s="27">
        <f t="shared" si="262"/>
        <v>1</v>
      </c>
      <c r="W1121" s="97">
        <f t="shared" si="263"/>
        <v>45404</v>
      </c>
      <c r="X1121" s="249" t="str">
        <f>IF(K$67=G$1086,IF(OR(U1121=1,AND(U1121&gt;0,U1121=(MAX(Y$1009:Y1120)+VLOOKUP(I$67,G$1076:H$1084,2,FALSE)))),"X",""),IF(AND(U1121&gt;0,U1121=(MAX(Y$1009:Y1120)+VLOOKUP(I$67,G$1076:H$1084,2,FALSE))),"X",""))</f>
        <v>X</v>
      </c>
      <c r="Y1121" s="252">
        <f t="shared" si="264"/>
        <v>17</v>
      </c>
      <c r="Z1121" s="253">
        <f>IF(Y1121&gt;0,COUNTIF(Y$1009:Y1120,"&gt;0")+1,0)</f>
        <v>9</v>
      </c>
      <c r="AA1121" s="1"/>
      <c r="AB1121" s="255">
        <f t="shared" si="265"/>
        <v>45404</v>
      </c>
      <c r="AC1121" s="261">
        <f t="shared" si="267"/>
        <v>4</v>
      </c>
      <c r="AD1121" s="258">
        <f>IF(Z1121&gt;0,COUNTIF(AC$1009:AC1120,AC1121)+1,0)</f>
        <v>2</v>
      </c>
      <c r="AE1121" s="258" t="str">
        <f t="shared" si="266"/>
        <v>4-2</v>
      </c>
      <c r="AF1121" s="392">
        <f t="shared" si="268"/>
        <v>45404</v>
      </c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</row>
    <row r="1122" spans="1:93" ht="16.5" hidden="1" customHeight="1">
      <c r="A1122" s="1"/>
      <c r="B1122" s="1"/>
      <c r="C1122" s="1"/>
      <c r="D1122" s="1"/>
      <c r="E1122" s="1"/>
      <c r="F1122" s="1"/>
      <c r="G1122" s="1"/>
      <c r="H1122" s="1"/>
      <c r="I1122" s="100">
        <f>IF(J1122=0,0,COUNTIF(I$1086:I1121,"&gt;0")+1)</f>
        <v>21</v>
      </c>
      <c r="J1122" s="296" t="str">
        <f t="shared" si="271"/>
        <v>AMMINISTRATORE</v>
      </c>
      <c r="K1122" s="1"/>
      <c r="L1122" s="1"/>
      <c r="M1122" s="100">
        <v>37</v>
      </c>
      <c r="N1122" s="296" t="str">
        <f t="shared" si="272"/>
        <v xml:space="preserve"> </v>
      </c>
      <c r="O1122" s="1"/>
      <c r="P1122" s="1"/>
      <c r="Q1122" s="1"/>
      <c r="R1122" s="1"/>
      <c r="S1122" s="1"/>
      <c r="T1122" s="27">
        <f t="shared" si="270"/>
        <v>4</v>
      </c>
      <c r="U1122" s="247">
        <f>IF(OR(ISBLANK(F$68),AND(W1122&gt;(F$68-1),W1122&lt;(I$68+1))),IF(ISERROR(VLOOKUP(I$67,G$1076:G$1078,1,FALSE)),IF(K$67=G$1086,IF(MONTH(W1122)&lt;&gt;MONTH(W1121),MAX(U$1009:U1121)+1,0),IF(ISERROR(VLOOKUP(I$67,G$1079:G$1084,1,FALSE)),IF(V1122=1,MAX(U$1009:U1121)+1,0),IF(MONTH(W1123)&lt;&gt;MONTH(W1122),T1122,0))),IF(K$67=G$1086,IF(V1122=1,MAX(U$1009:U1121)+1,0),IF(V1122=7,MAX(U$1015:U1121)+1,0))),0)</f>
        <v>0</v>
      </c>
      <c r="V1122" s="27">
        <f t="shared" si="262"/>
        <v>2</v>
      </c>
      <c r="W1122" s="97">
        <f t="shared" si="263"/>
        <v>45405</v>
      </c>
      <c r="X1122" s="249" t="str">
        <f>IF(K$67=G$1086,IF(OR(U1122=1,AND(U1122&gt;0,U1122=(MAX(Y$1009:Y1121)+VLOOKUP(I$67,G$1076:H$1084,2,FALSE)))),"X",""),IF(AND(U1122&gt;0,U1122=(MAX(Y$1009:Y1121)+VLOOKUP(I$67,G$1076:H$1084,2,FALSE))),"X",""))</f>
        <v/>
      </c>
      <c r="Y1122" s="252">
        <f t="shared" si="264"/>
        <v>0</v>
      </c>
      <c r="Z1122" s="253">
        <f>IF(Y1122&gt;0,COUNTIF(Y$1009:Y1121,"&gt;0")+1,0)</f>
        <v>0</v>
      </c>
      <c r="AA1122" s="1"/>
      <c r="AB1122" s="255" t="str">
        <f t="shared" si="265"/>
        <v/>
      </c>
      <c r="AC1122" s="261" t="str">
        <f t="shared" si="267"/>
        <v/>
      </c>
      <c r="AD1122" s="258">
        <f>IF(Z1122&gt;0,COUNTIF(AC$1009:AC1121,AC1122)+1,0)</f>
        <v>0</v>
      </c>
      <c r="AE1122" s="258" t="str">
        <f t="shared" si="266"/>
        <v/>
      </c>
      <c r="AF1122" s="392" t="str">
        <f t="shared" si="268"/>
        <v/>
      </c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</row>
    <row r="1123" spans="1:93" ht="16.5" hidden="1" customHeight="1">
      <c r="A1123" s="1"/>
      <c r="B1123" s="1"/>
      <c r="C1123" s="1"/>
      <c r="D1123" s="1"/>
      <c r="E1123" s="1"/>
      <c r="F1123" s="1"/>
      <c r="G1123" s="1"/>
      <c r="H1123" s="1"/>
      <c r="I1123" s="98">
        <f>MAX(I1086:I1122)</f>
        <v>21</v>
      </c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27">
        <f t="shared" si="270"/>
        <v>4</v>
      </c>
      <c r="U1123" s="247">
        <f>IF(OR(ISBLANK(F$68),AND(W1123&gt;(F$68-1),W1123&lt;(I$68+1))),IF(ISERROR(VLOOKUP(I$67,G$1076:G$1078,1,FALSE)),IF(K$67=G$1086,IF(MONTH(W1123)&lt;&gt;MONTH(W1122),MAX(U$1009:U1122)+1,0),IF(ISERROR(VLOOKUP(I$67,G$1079:G$1084,1,FALSE)),IF(V1123=1,MAX(U$1009:U1122)+1,0),IF(MONTH(W1124)&lt;&gt;MONTH(W1123),T1123,0))),IF(K$67=G$1086,IF(V1123=1,MAX(U$1009:U1122)+1,0),IF(V1123=7,MAX(U$1015:U1122)+1,0))),0)</f>
        <v>0</v>
      </c>
      <c r="V1123" s="27">
        <f t="shared" si="262"/>
        <v>3</v>
      </c>
      <c r="W1123" s="97">
        <f t="shared" si="263"/>
        <v>45406</v>
      </c>
      <c r="X1123" s="249" t="str">
        <f>IF(K$67=G$1086,IF(OR(U1123=1,AND(U1123&gt;0,U1123=(MAX(Y$1009:Y1122)+VLOOKUP(I$67,G$1076:H$1084,2,FALSE)))),"X",""),IF(AND(U1123&gt;0,U1123=(MAX(Y$1009:Y1122)+VLOOKUP(I$67,G$1076:H$1084,2,FALSE))),"X",""))</f>
        <v/>
      </c>
      <c r="Y1123" s="252">
        <f t="shared" si="264"/>
        <v>0</v>
      </c>
      <c r="Z1123" s="253">
        <f>IF(Y1123&gt;0,COUNTIF(Y$1009:Y1122,"&gt;0")+1,0)</f>
        <v>0</v>
      </c>
      <c r="AA1123" s="1"/>
      <c r="AB1123" s="255" t="str">
        <f t="shared" si="265"/>
        <v/>
      </c>
      <c r="AC1123" s="261" t="str">
        <f t="shared" si="267"/>
        <v/>
      </c>
      <c r="AD1123" s="258">
        <f>IF(Z1123&gt;0,COUNTIF(AC$1009:AC1122,AC1123)+1,0)</f>
        <v>0</v>
      </c>
      <c r="AE1123" s="258" t="str">
        <f t="shared" si="266"/>
        <v/>
      </c>
      <c r="AF1123" s="392" t="str">
        <f t="shared" si="268"/>
        <v/>
      </c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</row>
    <row r="1124" spans="1:93" ht="16.5" hidden="1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27">
        <f t="shared" si="270"/>
        <v>4</v>
      </c>
      <c r="U1124" s="247">
        <f>IF(OR(ISBLANK(F$68),AND(W1124&gt;(F$68-1),W1124&lt;(I$68+1))),IF(ISERROR(VLOOKUP(I$67,G$1076:G$1078,1,FALSE)),IF(K$67=G$1086,IF(MONTH(W1124)&lt;&gt;MONTH(W1123),MAX(U$1009:U1123)+1,0),IF(ISERROR(VLOOKUP(I$67,G$1079:G$1084,1,FALSE)),IF(V1124=1,MAX(U$1009:U1123)+1,0),IF(MONTH(W1125)&lt;&gt;MONTH(W1124),T1124,0))),IF(K$67=G$1086,IF(V1124=1,MAX(U$1009:U1123)+1,0),IF(V1124=7,MAX(U$1015:U1123)+1,0))),0)</f>
        <v>0</v>
      </c>
      <c r="V1124" s="27">
        <f t="shared" si="262"/>
        <v>4</v>
      </c>
      <c r="W1124" s="97">
        <f t="shared" si="263"/>
        <v>45407</v>
      </c>
      <c r="X1124" s="249" t="str">
        <f>IF(K$67=G$1086,IF(OR(U1124=1,AND(U1124&gt;0,U1124=(MAX(Y$1009:Y1123)+VLOOKUP(I$67,G$1076:H$1084,2,FALSE)))),"X",""),IF(AND(U1124&gt;0,U1124=(MAX(Y$1009:Y1123)+VLOOKUP(I$67,G$1076:H$1084,2,FALSE))),"X",""))</f>
        <v/>
      </c>
      <c r="Y1124" s="252">
        <f t="shared" si="264"/>
        <v>0</v>
      </c>
      <c r="Z1124" s="253">
        <f>IF(Y1124&gt;0,COUNTIF(Y$1009:Y1123,"&gt;0")+1,0)</f>
        <v>0</v>
      </c>
      <c r="AA1124" s="1"/>
      <c r="AB1124" s="255" t="str">
        <f t="shared" si="265"/>
        <v/>
      </c>
      <c r="AC1124" s="261" t="str">
        <f t="shared" si="267"/>
        <v/>
      </c>
      <c r="AD1124" s="258">
        <f>IF(Z1124&gt;0,COUNTIF(AC$1009:AC1123,AC1124)+1,0)</f>
        <v>0</v>
      </c>
      <c r="AE1124" s="258" t="str">
        <f t="shared" si="266"/>
        <v/>
      </c>
      <c r="AF1124" s="392" t="str">
        <f t="shared" si="268"/>
        <v/>
      </c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</row>
    <row r="1125" spans="1:93" ht="16.5" hidden="1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27">
        <f t="shared" si="270"/>
        <v>4</v>
      </c>
      <c r="U1125" s="247">
        <f>IF(OR(ISBLANK(F$68),AND(W1125&gt;(F$68-1),W1125&lt;(I$68+1))),IF(ISERROR(VLOOKUP(I$67,G$1076:G$1078,1,FALSE)),IF(K$67=G$1086,IF(MONTH(W1125)&lt;&gt;MONTH(W1124),MAX(U$1009:U1124)+1,0),IF(ISERROR(VLOOKUP(I$67,G$1079:G$1084,1,FALSE)),IF(V1125=1,MAX(U$1009:U1124)+1,0),IF(MONTH(W1126)&lt;&gt;MONTH(W1125),T1125,0))),IF(K$67=G$1086,IF(V1125=1,MAX(U$1009:U1124)+1,0),IF(V1125=7,MAX(U$1015:U1124)+1,0))),0)</f>
        <v>0</v>
      </c>
      <c r="V1125" s="27">
        <f t="shared" si="262"/>
        <v>5</v>
      </c>
      <c r="W1125" s="97">
        <f t="shared" si="263"/>
        <v>45408</v>
      </c>
      <c r="X1125" s="249" t="str">
        <f>IF(K$67=G$1086,IF(OR(U1125=1,AND(U1125&gt;0,U1125=(MAX(Y$1009:Y1124)+VLOOKUP(I$67,G$1076:H$1084,2,FALSE)))),"X",""),IF(AND(U1125&gt;0,U1125=(MAX(Y$1009:Y1124)+VLOOKUP(I$67,G$1076:H$1084,2,FALSE))),"X",""))</f>
        <v/>
      </c>
      <c r="Y1125" s="252">
        <f t="shared" si="264"/>
        <v>0</v>
      </c>
      <c r="Z1125" s="253">
        <f>IF(Y1125&gt;0,COUNTIF(Y$1009:Y1124,"&gt;0")+1,0)</f>
        <v>0</v>
      </c>
      <c r="AA1125" s="1"/>
      <c r="AB1125" s="255" t="str">
        <f t="shared" si="265"/>
        <v/>
      </c>
      <c r="AC1125" s="261" t="str">
        <f t="shared" si="267"/>
        <v/>
      </c>
      <c r="AD1125" s="258">
        <f>IF(Z1125&gt;0,COUNTIF(AC$1009:AC1124,AC1125)+1,0)</f>
        <v>0</v>
      </c>
      <c r="AE1125" s="258" t="str">
        <f t="shared" si="266"/>
        <v/>
      </c>
      <c r="AF1125" s="392" t="str">
        <f t="shared" si="268"/>
        <v/>
      </c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</row>
    <row r="1126" spans="1:93" ht="16.5" hidden="1" customHeight="1">
      <c r="A1126" s="1"/>
      <c r="B1126" s="1"/>
      <c r="C1126" s="1"/>
      <c r="D1126" s="1"/>
      <c r="E1126" s="389" t="s">
        <v>246</v>
      </c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27">
        <f t="shared" si="270"/>
        <v>4</v>
      </c>
      <c r="U1126" s="247">
        <f>IF(OR(ISBLANK(F$68),AND(W1126&gt;(F$68-1),W1126&lt;(I$68+1))),IF(ISERROR(VLOOKUP(I$67,G$1076:G$1078,1,FALSE)),IF(K$67=G$1086,IF(MONTH(W1126)&lt;&gt;MONTH(W1125),MAX(U$1009:U1125)+1,0),IF(ISERROR(VLOOKUP(I$67,G$1079:G$1084,1,FALSE)),IF(V1126=1,MAX(U$1009:U1125)+1,0),IF(MONTH(W1127)&lt;&gt;MONTH(W1126),T1126,0))),IF(K$67=G$1086,IF(V1126=1,MAX(U$1009:U1125)+1,0),IF(V1126=7,MAX(U$1015:U1125)+1,0))),0)</f>
        <v>0</v>
      </c>
      <c r="V1126" s="27">
        <f t="shared" si="262"/>
        <v>6</v>
      </c>
      <c r="W1126" s="97">
        <f t="shared" si="263"/>
        <v>45409</v>
      </c>
      <c r="X1126" s="249" t="str">
        <f>IF(K$67=G$1086,IF(OR(U1126=1,AND(U1126&gt;0,U1126=(MAX(Y$1009:Y1125)+VLOOKUP(I$67,G$1076:H$1084,2,FALSE)))),"X",""),IF(AND(U1126&gt;0,U1126=(MAX(Y$1009:Y1125)+VLOOKUP(I$67,G$1076:H$1084,2,FALSE))),"X",""))</f>
        <v/>
      </c>
      <c r="Y1126" s="252">
        <f t="shared" si="264"/>
        <v>0</v>
      </c>
      <c r="Z1126" s="253">
        <f>IF(Y1126&gt;0,COUNTIF(Y$1009:Y1125,"&gt;0")+1,0)</f>
        <v>0</v>
      </c>
      <c r="AA1126" s="1"/>
      <c r="AB1126" s="255" t="str">
        <f t="shared" si="265"/>
        <v/>
      </c>
      <c r="AC1126" s="261" t="str">
        <f t="shared" si="267"/>
        <v/>
      </c>
      <c r="AD1126" s="258">
        <f>IF(Z1126&gt;0,COUNTIF(AC$1009:AC1125,AC1126)+1,0)</f>
        <v>0</v>
      </c>
      <c r="AE1126" s="258" t="str">
        <f t="shared" si="266"/>
        <v/>
      </c>
      <c r="AF1126" s="392" t="str">
        <f t="shared" si="268"/>
        <v/>
      </c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</row>
    <row r="1127" spans="1:93" ht="16.5" hidden="1" customHeight="1">
      <c r="A1127" s="1"/>
      <c r="B1127" s="1"/>
      <c r="C1127" s="1"/>
      <c r="D1127" s="1"/>
      <c r="E1127" s="307" t="s">
        <v>372</v>
      </c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27">
        <f t="shared" si="270"/>
        <v>4</v>
      </c>
      <c r="U1127" s="247">
        <f>IF(OR(ISBLANK(F$68),AND(W1127&gt;(F$68-1),W1127&lt;(I$68+1))),IF(ISERROR(VLOOKUP(I$67,G$1076:G$1078,1,FALSE)),IF(K$67=G$1086,IF(MONTH(W1127)&lt;&gt;MONTH(W1126),MAX(U$1009:U1126)+1,0),IF(ISERROR(VLOOKUP(I$67,G$1079:G$1084,1,FALSE)),IF(V1127=1,MAX(U$1009:U1126)+1,0),IF(MONTH(W1128)&lt;&gt;MONTH(W1127),T1127,0))),IF(K$67=G$1086,IF(V1127=1,MAX(U$1009:U1126)+1,0),IF(V1127=7,MAX(U$1015:U1126)+1,0))),0)</f>
        <v>0</v>
      </c>
      <c r="V1127" s="27">
        <f t="shared" si="262"/>
        <v>7</v>
      </c>
      <c r="W1127" s="97">
        <f t="shared" si="263"/>
        <v>45410</v>
      </c>
      <c r="X1127" s="249" t="str">
        <f>IF(K$67=G$1086,IF(OR(U1127=1,AND(U1127&gt;0,U1127=(MAX(Y$1009:Y1126)+VLOOKUP(I$67,G$1076:H$1084,2,FALSE)))),"X",""),IF(AND(U1127&gt;0,U1127=(MAX(Y$1009:Y1126)+VLOOKUP(I$67,G$1076:H$1084,2,FALSE))),"X",""))</f>
        <v/>
      </c>
      <c r="Y1127" s="252">
        <f t="shared" si="264"/>
        <v>0</v>
      </c>
      <c r="Z1127" s="253">
        <f>IF(Y1127&gt;0,COUNTIF(Y$1009:Y1126,"&gt;0")+1,0)</f>
        <v>0</v>
      </c>
      <c r="AA1127" s="1"/>
      <c r="AB1127" s="255" t="str">
        <f t="shared" si="265"/>
        <v/>
      </c>
      <c r="AC1127" s="261" t="str">
        <f t="shared" si="267"/>
        <v/>
      </c>
      <c r="AD1127" s="258">
        <f>IF(Z1127&gt;0,COUNTIF(AC$1009:AC1126,AC1127)+1,0)</f>
        <v>0</v>
      </c>
      <c r="AE1127" s="258" t="str">
        <f t="shared" si="266"/>
        <v/>
      </c>
      <c r="AF1127" s="392" t="str">
        <f t="shared" si="268"/>
        <v/>
      </c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</row>
    <row r="1128" spans="1:93" ht="16.5" hidden="1" customHeight="1">
      <c r="A1128" s="1"/>
      <c r="B1128" s="1"/>
      <c r="C1128" s="1"/>
      <c r="D1128" s="1"/>
      <c r="E1128" s="389" t="s">
        <v>182</v>
      </c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27">
        <f t="shared" si="270"/>
        <v>4</v>
      </c>
      <c r="U1128" s="247">
        <f>IF(OR(ISBLANK(F$68),AND(W1128&gt;(F$68-1),W1128&lt;(I$68+1))),IF(ISERROR(VLOOKUP(I$67,G$1076:G$1078,1,FALSE)),IF(K$67=G$1086,IF(MONTH(W1128)&lt;&gt;MONTH(W1127),MAX(U$1009:U1127)+1,0),IF(ISERROR(VLOOKUP(I$67,G$1079:G$1084,1,FALSE)),IF(V1128=1,MAX(U$1009:U1127)+1,0),IF(MONTH(W1129)&lt;&gt;MONTH(W1128),T1128,0))),IF(K$67=G$1086,IF(V1128=1,MAX(U$1009:U1127)+1,0),IF(V1128=7,MAX(U$1015:U1127)+1,0))),0)</f>
        <v>18</v>
      </c>
      <c r="V1128" s="27">
        <f t="shared" si="262"/>
        <v>1</v>
      </c>
      <c r="W1128" s="97">
        <f t="shared" si="263"/>
        <v>45411</v>
      </c>
      <c r="X1128" s="249" t="str">
        <f>IF(K$67=G$1086,IF(OR(U1128=1,AND(U1128&gt;0,U1128=(MAX(Y$1009:Y1127)+VLOOKUP(I$67,G$1076:H$1084,2,FALSE)))),"X",""),IF(AND(U1128&gt;0,U1128=(MAX(Y$1009:Y1127)+VLOOKUP(I$67,G$1076:H$1084,2,FALSE))),"X",""))</f>
        <v/>
      </c>
      <c r="Y1128" s="252">
        <f t="shared" si="264"/>
        <v>0</v>
      </c>
      <c r="Z1128" s="253">
        <f>IF(Y1128&gt;0,COUNTIF(Y$1009:Y1127,"&gt;0")+1,0)</f>
        <v>0</v>
      </c>
      <c r="AA1128" s="1"/>
      <c r="AB1128" s="255" t="str">
        <f t="shared" si="265"/>
        <v/>
      </c>
      <c r="AC1128" s="261" t="str">
        <f t="shared" si="267"/>
        <v/>
      </c>
      <c r="AD1128" s="258">
        <f>IF(Z1128&gt;0,COUNTIF(AC$1009:AC1127,AC1128)+1,0)</f>
        <v>0</v>
      </c>
      <c r="AE1128" s="258" t="str">
        <f t="shared" si="266"/>
        <v/>
      </c>
      <c r="AF1128" s="392" t="str">
        <f t="shared" si="268"/>
        <v/>
      </c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</row>
    <row r="1129" spans="1:93" ht="16.5" hidden="1" customHeight="1">
      <c r="A1129" s="1"/>
      <c r="B1129" s="1"/>
      <c r="C1129" s="1"/>
      <c r="D1129" s="1"/>
      <c r="E1129" s="307" t="str">
        <f>CIRCOLARI!C5</f>
        <v>Inserisci qui il NOME   -   P.I./C.F codice fiscale condominio</v>
      </c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27">
        <f t="shared" si="270"/>
        <v>4</v>
      </c>
      <c r="U1129" s="247">
        <f>IF(OR(ISBLANK(F$68),AND(W1129&gt;(F$68-1),W1129&lt;(I$68+1))),IF(ISERROR(VLOOKUP(I$67,G$1076:G$1078,1,FALSE)),IF(K$67=G$1086,IF(MONTH(W1129)&lt;&gt;MONTH(W1128),MAX(U$1009:U1128)+1,0),IF(ISERROR(VLOOKUP(I$67,G$1079:G$1084,1,FALSE)),IF(V1129=1,MAX(U$1009:U1128)+1,0),IF(MONTH(W1130)&lt;&gt;MONTH(W1129),T1129,0))),IF(K$67=G$1086,IF(V1129=1,MAX(U$1009:U1128)+1,0),IF(V1129=7,MAX(U$1015:U1128)+1,0))),0)</f>
        <v>0</v>
      </c>
      <c r="V1129" s="27">
        <f t="shared" si="262"/>
        <v>2</v>
      </c>
      <c r="W1129" s="97">
        <f t="shared" si="263"/>
        <v>45412</v>
      </c>
      <c r="X1129" s="249" t="str">
        <f>IF(K$67=G$1086,IF(OR(U1129=1,AND(U1129&gt;0,U1129=(MAX(Y$1009:Y1128)+VLOOKUP(I$67,G$1076:H$1084,2,FALSE)))),"X",""),IF(AND(U1129&gt;0,U1129=(MAX(Y$1009:Y1128)+VLOOKUP(I$67,G$1076:H$1084,2,FALSE))),"X",""))</f>
        <v/>
      </c>
      <c r="Y1129" s="252">
        <f t="shared" si="264"/>
        <v>0</v>
      </c>
      <c r="Z1129" s="253">
        <f>IF(Y1129&gt;0,COUNTIF(Y$1009:Y1128,"&gt;0")+1,0)</f>
        <v>0</v>
      </c>
      <c r="AA1129" s="1"/>
      <c r="AB1129" s="255" t="str">
        <f t="shared" si="265"/>
        <v/>
      </c>
      <c r="AC1129" s="261" t="str">
        <f t="shared" si="267"/>
        <v/>
      </c>
      <c r="AD1129" s="258">
        <f>IF(Z1129&gt;0,COUNTIF(AC$1009:AC1128,AC1129)+1,0)</f>
        <v>0</v>
      </c>
      <c r="AE1129" s="258" t="str">
        <f t="shared" si="266"/>
        <v/>
      </c>
      <c r="AF1129" s="392" t="str">
        <f t="shared" si="268"/>
        <v/>
      </c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</row>
    <row r="1130" spans="1:93" ht="16.5" hidden="1" customHeight="1">
      <c r="A1130" s="1"/>
      <c r="B1130" s="1"/>
      <c r="C1130" s="1"/>
      <c r="D1130" s="1"/>
      <c r="E1130" s="389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27">
        <f t="shared" si="270"/>
        <v>5</v>
      </c>
      <c r="U1130" s="247">
        <f>IF(OR(ISBLANK(F$68),AND(W1130&gt;(F$68-1),W1130&lt;(I$68+1))),IF(ISERROR(VLOOKUP(I$67,G$1076:G$1078,1,FALSE)),IF(K$67=G$1086,IF(MONTH(W1130)&lt;&gt;MONTH(W1129),MAX(U$1009:U1129)+1,0),IF(ISERROR(VLOOKUP(I$67,G$1079:G$1084,1,FALSE)),IF(V1130=1,MAX(U$1009:U1129)+1,0),IF(MONTH(W1131)&lt;&gt;MONTH(W1130),T1130,0))),IF(K$67=G$1086,IF(V1130=1,MAX(U$1009:U1129)+1,0),IF(V1130=7,MAX(U$1015:U1129)+1,0))),0)</f>
        <v>0</v>
      </c>
      <c r="V1130" s="27">
        <f t="shared" si="262"/>
        <v>3</v>
      </c>
      <c r="W1130" s="97">
        <f t="shared" si="263"/>
        <v>45413</v>
      </c>
      <c r="X1130" s="249" t="str">
        <f>IF(K$67=G$1086,IF(OR(U1130=1,AND(U1130&gt;0,U1130=(MAX(Y$1009:Y1129)+VLOOKUP(I$67,G$1076:H$1084,2,FALSE)))),"X",""),IF(AND(U1130&gt;0,U1130=(MAX(Y$1009:Y1129)+VLOOKUP(I$67,G$1076:H$1084,2,FALSE))),"X",""))</f>
        <v/>
      </c>
      <c r="Y1130" s="252">
        <f t="shared" si="264"/>
        <v>0</v>
      </c>
      <c r="Z1130" s="253">
        <f>IF(Y1130&gt;0,COUNTIF(Y$1009:Y1129,"&gt;0")+1,0)</f>
        <v>0</v>
      </c>
      <c r="AA1130" s="1"/>
      <c r="AB1130" s="255" t="str">
        <f t="shared" si="265"/>
        <v/>
      </c>
      <c r="AC1130" s="261" t="str">
        <f t="shared" si="267"/>
        <v/>
      </c>
      <c r="AD1130" s="258">
        <f>IF(Z1130&gt;0,COUNTIF(AC$1009:AC1129,AC1130)+1,0)</f>
        <v>0</v>
      </c>
      <c r="AE1130" s="258" t="str">
        <f t="shared" si="266"/>
        <v/>
      </c>
      <c r="AF1130" s="392" t="str">
        <f t="shared" si="268"/>
        <v/>
      </c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</row>
    <row r="1131" spans="1:93" ht="16.5" hidden="1" customHeight="1">
      <c r="A1131" s="1"/>
      <c r="B1131" s="1"/>
      <c r="C1131" s="1"/>
      <c r="D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27">
        <f t="shared" si="270"/>
        <v>5</v>
      </c>
      <c r="U1131" s="247">
        <f>IF(OR(ISBLANK(F$68),AND(W1131&gt;(F$68-1),W1131&lt;(I$68+1))),IF(ISERROR(VLOOKUP(I$67,G$1076:G$1078,1,FALSE)),IF(K$67=G$1086,IF(MONTH(W1131)&lt;&gt;MONTH(W1130),MAX(U$1009:U1130)+1,0),IF(ISERROR(VLOOKUP(I$67,G$1079:G$1084,1,FALSE)),IF(V1131=1,MAX(U$1009:U1130)+1,0),IF(MONTH(W1132)&lt;&gt;MONTH(W1131),T1131,0))),IF(K$67=G$1086,IF(V1131=1,MAX(U$1009:U1130)+1,0),IF(V1131=7,MAX(U$1015:U1130)+1,0))),0)</f>
        <v>0</v>
      </c>
      <c r="V1131" s="27">
        <f t="shared" si="262"/>
        <v>4</v>
      </c>
      <c r="W1131" s="97">
        <f t="shared" si="263"/>
        <v>45414</v>
      </c>
      <c r="X1131" s="249" t="str">
        <f>IF(K$67=G$1086,IF(OR(U1131=1,AND(U1131&gt;0,U1131=(MAX(Y$1009:Y1130)+VLOOKUP(I$67,G$1076:H$1084,2,FALSE)))),"X",""),IF(AND(U1131&gt;0,U1131=(MAX(Y$1009:Y1130)+VLOOKUP(I$67,G$1076:H$1084,2,FALSE))),"X",""))</f>
        <v/>
      </c>
      <c r="Y1131" s="252">
        <f t="shared" si="264"/>
        <v>0</v>
      </c>
      <c r="Z1131" s="253">
        <f>IF(Y1131&gt;0,COUNTIF(Y$1009:Y1130,"&gt;0")+1,0)</f>
        <v>0</v>
      </c>
      <c r="AA1131" s="1"/>
      <c r="AB1131" s="255" t="str">
        <f t="shared" si="265"/>
        <v/>
      </c>
      <c r="AC1131" s="261" t="str">
        <f t="shared" si="267"/>
        <v/>
      </c>
      <c r="AD1131" s="258">
        <f>IF(Z1131&gt;0,COUNTIF(AC$1009:AC1130,AC1131)+1,0)</f>
        <v>0</v>
      </c>
      <c r="AE1131" s="258" t="str">
        <f t="shared" si="266"/>
        <v/>
      </c>
      <c r="AF1131" s="392" t="str">
        <f t="shared" si="268"/>
        <v/>
      </c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</row>
    <row r="1132" spans="1:93" ht="16.5" hidden="1" customHeight="1">
      <c r="A1132" s="1"/>
      <c r="B1132" s="1"/>
      <c r="C1132" s="1"/>
      <c r="D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27">
        <f t="shared" si="270"/>
        <v>5</v>
      </c>
      <c r="U1132" s="247">
        <f>IF(OR(ISBLANK(F$68),AND(W1132&gt;(F$68-1),W1132&lt;(I$68+1))),IF(ISERROR(VLOOKUP(I$67,G$1076:G$1078,1,FALSE)),IF(K$67=G$1086,IF(MONTH(W1132)&lt;&gt;MONTH(W1131),MAX(U$1009:U1131)+1,0),IF(ISERROR(VLOOKUP(I$67,G$1079:G$1084,1,FALSE)),IF(V1132=1,MAX(U$1009:U1131)+1,0),IF(MONTH(W1133)&lt;&gt;MONTH(W1132),T1132,0))),IF(K$67=G$1086,IF(V1132=1,MAX(U$1009:U1131)+1,0),IF(V1132=7,MAX(U$1015:U1131)+1,0))),0)</f>
        <v>0</v>
      </c>
      <c r="V1132" s="27">
        <f t="shared" si="262"/>
        <v>5</v>
      </c>
      <c r="W1132" s="97">
        <f t="shared" si="263"/>
        <v>45415</v>
      </c>
      <c r="X1132" s="249" t="str">
        <f>IF(K$67=G$1086,IF(OR(U1132=1,AND(U1132&gt;0,U1132=(MAX(Y$1009:Y1131)+VLOOKUP(I$67,G$1076:H$1084,2,FALSE)))),"X",""),IF(AND(U1132&gt;0,U1132=(MAX(Y$1009:Y1131)+VLOOKUP(I$67,G$1076:H$1084,2,FALSE))),"X",""))</f>
        <v/>
      </c>
      <c r="Y1132" s="252">
        <f t="shared" si="264"/>
        <v>0</v>
      </c>
      <c r="Z1132" s="253">
        <f>IF(Y1132&gt;0,COUNTIF(Y$1009:Y1131,"&gt;0")+1,0)</f>
        <v>0</v>
      </c>
      <c r="AA1132" s="1"/>
      <c r="AB1132" s="255" t="str">
        <f t="shared" si="265"/>
        <v/>
      </c>
      <c r="AC1132" s="261" t="str">
        <f t="shared" si="267"/>
        <v/>
      </c>
      <c r="AD1132" s="258">
        <f>IF(Z1132&gt;0,COUNTIF(AC$1009:AC1131,AC1132)+1,0)</f>
        <v>0</v>
      </c>
      <c r="AE1132" s="258" t="str">
        <f t="shared" si="266"/>
        <v/>
      </c>
      <c r="AF1132" s="392" t="str">
        <f t="shared" si="268"/>
        <v/>
      </c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</row>
    <row r="1133" spans="1:93" ht="16.5" hidden="1" customHeight="1">
      <c r="A1133" s="1"/>
      <c r="B1133" s="1"/>
      <c r="C1133" s="1"/>
      <c r="D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27">
        <f t="shared" si="270"/>
        <v>5</v>
      </c>
      <c r="U1133" s="247">
        <f>IF(OR(ISBLANK(F$68),AND(W1133&gt;(F$68-1),W1133&lt;(I$68+1))),IF(ISERROR(VLOOKUP(I$67,G$1076:G$1078,1,FALSE)),IF(K$67=G$1086,IF(MONTH(W1133)&lt;&gt;MONTH(W1132),MAX(U$1009:U1132)+1,0),IF(ISERROR(VLOOKUP(I$67,G$1079:G$1084,1,FALSE)),IF(V1133=1,MAX(U$1009:U1132)+1,0),IF(MONTH(W1134)&lt;&gt;MONTH(W1133),T1133,0))),IF(K$67=G$1086,IF(V1133=1,MAX(U$1009:U1132)+1,0),IF(V1133=7,MAX(U$1015:U1132)+1,0))),0)</f>
        <v>0</v>
      </c>
      <c r="V1133" s="27">
        <f t="shared" si="262"/>
        <v>6</v>
      </c>
      <c r="W1133" s="97">
        <f t="shared" si="263"/>
        <v>45416</v>
      </c>
      <c r="X1133" s="249" t="str">
        <f>IF(K$67=G$1086,IF(OR(U1133=1,AND(U1133&gt;0,U1133=(MAX(Y$1009:Y1132)+VLOOKUP(I$67,G$1076:H$1084,2,FALSE)))),"X",""),IF(AND(U1133&gt;0,U1133=(MAX(Y$1009:Y1132)+VLOOKUP(I$67,G$1076:H$1084,2,FALSE))),"X",""))</f>
        <v/>
      </c>
      <c r="Y1133" s="252">
        <f t="shared" si="264"/>
        <v>0</v>
      </c>
      <c r="Z1133" s="253">
        <f>IF(Y1133&gt;0,COUNTIF(Y$1009:Y1132,"&gt;0")+1,0)</f>
        <v>0</v>
      </c>
      <c r="AA1133" s="1"/>
      <c r="AB1133" s="255" t="str">
        <f t="shared" si="265"/>
        <v/>
      </c>
      <c r="AC1133" s="261" t="str">
        <f t="shared" si="267"/>
        <v/>
      </c>
      <c r="AD1133" s="258">
        <f>IF(Z1133&gt;0,COUNTIF(AC$1009:AC1132,AC1133)+1,0)</f>
        <v>0</v>
      </c>
      <c r="AE1133" s="258" t="str">
        <f t="shared" si="266"/>
        <v/>
      </c>
      <c r="AF1133" s="392" t="str">
        <f t="shared" si="268"/>
        <v/>
      </c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</row>
    <row r="1134" spans="1:93" ht="16.5" hidden="1" customHeight="1">
      <c r="A1134" s="1"/>
      <c r="B1134" s="1"/>
      <c r="C1134" s="1"/>
      <c r="D1134" s="1"/>
      <c r="F1134" s="304"/>
      <c r="G1134" s="304"/>
      <c r="H1134" s="304"/>
      <c r="I1134" s="304"/>
      <c r="J1134" s="304"/>
      <c r="K1134" s="304"/>
      <c r="L1134" s="304"/>
      <c r="M1134" s="1"/>
      <c r="N1134" s="1"/>
      <c r="O1134" s="1"/>
      <c r="P1134" s="1"/>
      <c r="Q1134" s="1"/>
      <c r="R1134" s="1"/>
      <c r="S1134" s="1"/>
      <c r="T1134" s="27">
        <f t="shared" si="270"/>
        <v>5</v>
      </c>
      <c r="U1134" s="247">
        <f>IF(OR(ISBLANK(F$68),AND(W1134&gt;(F$68-1),W1134&lt;(I$68+1))),IF(ISERROR(VLOOKUP(I$67,G$1076:G$1078,1,FALSE)),IF(K$67=G$1086,IF(MONTH(W1134)&lt;&gt;MONTH(W1133),MAX(U$1009:U1133)+1,0),IF(ISERROR(VLOOKUP(I$67,G$1079:G$1084,1,FALSE)),IF(V1134=1,MAX(U$1009:U1133)+1,0),IF(MONTH(W1135)&lt;&gt;MONTH(W1134),T1134,0))),IF(K$67=G$1086,IF(V1134=1,MAX(U$1009:U1133)+1,0),IF(V1134=7,MAX(U$1015:U1133)+1,0))),0)</f>
        <v>0</v>
      </c>
      <c r="V1134" s="27">
        <f t="shared" si="262"/>
        <v>7</v>
      </c>
      <c r="W1134" s="97">
        <f t="shared" si="263"/>
        <v>45417</v>
      </c>
      <c r="X1134" s="249" t="str">
        <f>IF(K$67=G$1086,IF(OR(U1134=1,AND(U1134&gt;0,U1134=(MAX(Y$1009:Y1133)+VLOOKUP(I$67,G$1076:H$1084,2,FALSE)))),"X",""),IF(AND(U1134&gt;0,U1134=(MAX(Y$1009:Y1133)+VLOOKUP(I$67,G$1076:H$1084,2,FALSE))),"X",""))</f>
        <v/>
      </c>
      <c r="Y1134" s="252">
        <f t="shared" si="264"/>
        <v>0</v>
      </c>
      <c r="Z1134" s="253">
        <f>IF(Y1134&gt;0,COUNTIF(Y$1009:Y1133,"&gt;0")+1,0)</f>
        <v>0</v>
      </c>
      <c r="AA1134" s="1"/>
      <c r="AB1134" s="255" t="str">
        <f t="shared" si="265"/>
        <v/>
      </c>
      <c r="AC1134" s="261" t="str">
        <f t="shared" si="267"/>
        <v/>
      </c>
      <c r="AD1134" s="258">
        <f>IF(Z1134&gt;0,COUNTIF(AC$1009:AC1133,AC1134)+1,0)</f>
        <v>0</v>
      </c>
      <c r="AE1134" s="258" t="str">
        <f t="shared" si="266"/>
        <v/>
      </c>
      <c r="AF1134" s="392" t="str">
        <f t="shared" si="268"/>
        <v/>
      </c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</row>
    <row r="1135" spans="1:93" ht="16.5" hidden="1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27">
        <f t="shared" si="270"/>
        <v>5</v>
      </c>
      <c r="U1135" s="247">
        <f>IF(OR(ISBLANK(F$68),AND(W1135&gt;(F$68-1),W1135&lt;(I$68+1))),IF(ISERROR(VLOOKUP(I$67,G$1076:G$1078,1,FALSE)),IF(K$67=G$1086,IF(MONTH(W1135)&lt;&gt;MONTH(W1134),MAX(U$1009:U1134)+1,0),IF(ISERROR(VLOOKUP(I$67,G$1079:G$1084,1,FALSE)),IF(V1135=1,MAX(U$1009:U1134)+1,0),IF(MONTH(W1136)&lt;&gt;MONTH(W1135),T1135,0))),IF(K$67=G$1086,IF(V1135=1,MAX(U$1009:U1134)+1,0),IF(V1135=7,MAX(U$1015:U1134)+1,0))),0)</f>
        <v>19</v>
      </c>
      <c r="V1135" s="27">
        <f t="shared" si="262"/>
        <v>1</v>
      </c>
      <c r="W1135" s="97">
        <f t="shared" si="263"/>
        <v>45418</v>
      </c>
      <c r="X1135" s="249" t="str">
        <f>IF(K$67=G$1086,IF(OR(U1135=1,AND(U1135&gt;0,U1135=(MAX(Y$1009:Y1134)+VLOOKUP(I$67,G$1076:H$1084,2,FALSE)))),"X",""),IF(AND(U1135&gt;0,U1135=(MAX(Y$1009:Y1134)+VLOOKUP(I$67,G$1076:H$1084,2,FALSE))),"X",""))</f>
        <v>X</v>
      </c>
      <c r="Y1135" s="252">
        <f t="shared" si="264"/>
        <v>19</v>
      </c>
      <c r="Z1135" s="253">
        <f>IF(Y1135&gt;0,COUNTIF(Y$1009:Y1134,"&gt;0")+1,0)</f>
        <v>10</v>
      </c>
      <c r="AA1135" s="1"/>
      <c r="AB1135" s="255">
        <f t="shared" si="265"/>
        <v>45418</v>
      </c>
      <c r="AC1135" s="261">
        <f t="shared" si="267"/>
        <v>5</v>
      </c>
      <c r="AD1135" s="258">
        <f>IF(Z1135&gt;0,COUNTIF(AC$1009:AC1134,AC1135)+1,0)</f>
        <v>1</v>
      </c>
      <c r="AE1135" s="258" t="str">
        <f t="shared" si="266"/>
        <v>5-1</v>
      </c>
      <c r="AF1135" s="392">
        <f t="shared" si="268"/>
        <v>45418</v>
      </c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</row>
    <row r="1136" spans="1:93" ht="16.5" hidden="1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27">
        <f t="shared" si="270"/>
        <v>5</v>
      </c>
      <c r="U1136" s="247">
        <f>IF(OR(ISBLANK(F$68),AND(W1136&gt;(F$68-1),W1136&lt;(I$68+1))),IF(ISERROR(VLOOKUP(I$67,G$1076:G$1078,1,FALSE)),IF(K$67=G$1086,IF(MONTH(W1136)&lt;&gt;MONTH(W1135),MAX(U$1009:U1135)+1,0),IF(ISERROR(VLOOKUP(I$67,G$1079:G$1084,1,FALSE)),IF(V1136=1,MAX(U$1009:U1135)+1,0),IF(MONTH(W1137)&lt;&gt;MONTH(W1136),T1136,0))),IF(K$67=G$1086,IF(V1136=1,MAX(U$1009:U1135)+1,0),IF(V1136=7,MAX(U$1015:U1135)+1,0))),0)</f>
        <v>0</v>
      </c>
      <c r="V1136" s="27">
        <f t="shared" si="262"/>
        <v>2</v>
      </c>
      <c r="W1136" s="97">
        <f t="shared" si="263"/>
        <v>45419</v>
      </c>
      <c r="X1136" s="249" t="str">
        <f>IF(K$67=G$1086,IF(OR(U1136=1,AND(U1136&gt;0,U1136=(MAX(Y$1009:Y1135)+VLOOKUP(I$67,G$1076:H$1084,2,FALSE)))),"X",""),IF(AND(U1136&gt;0,U1136=(MAX(Y$1009:Y1135)+VLOOKUP(I$67,G$1076:H$1084,2,FALSE))),"X",""))</f>
        <v/>
      </c>
      <c r="Y1136" s="252">
        <f t="shared" si="264"/>
        <v>0</v>
      </c>
      <c r="Z1136" s="253">
        <f>IF(Y1136&gt;0,COUNTIF(Y$1009:Y1135,"&gt;0")+1,0)</f>
        <v>0</v>
      </c>
      <c r="AA1136" s="1"/>
      <c r="AB1136" s="255" t="str">
        <f t="shared" si="265"/>
        <v/>
      </c>
      <c r="AC1136" s="261" t="str">
        <f t="shared" si="267"/>
        <v/>
      </c>
      <c r="AD1136" s="258">
        <f>IF(Z1136&gt;0,COUNTIF(AC$1009:AC1135,AC1136)+1,0)</f>
        <v>0</v>
      </c>
      <c r="AE1136" s="258" t="str">
        <f t="shared" si="266"/>
        <v/>
      </c>
      <c r="AF1136" s="392" t="str">
        <f t="shared" si="268"/>
        <v/>
      </c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</row>
    <row r="1137" spans="1:93" ht="16.5" hidden="1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27">
        <f t="shared" si="270"/>
        <v>5</v>
      </c>
      <c r="U1137" s="247">
        <f>IF(OR(ISBLANK(F$68),AND(W1137&gt;(F$68-1),W1137&lt;(I$68+1))),IF(ISERROR(VLOOKUP(I$67,G$1076:G$1078,1,FALSE)),IF(K$67=G$1086,IF(MONTH(W1137)&lt;&gt;MONTH(W1136),MAX(U$1009:U1136)+1,0),IF(ISERROR(VLOOKUP(I$67,G$1079:G$1084,1,FALSE)),IF(V1137=1,MAX(U$1009:U1136)+1,0),IF(MONTH(W1138)&lt;&gt;MONTH(W1137),T1137,0))),IF(K$67=G$1086,IF(V1137=1,MAX(U$1009:U1136)+1,0),IF(V1137=7,MAX(U$1015:U1136)+1,0))),0)</f>
        <v>0</v>
      </c>
      <c r="V1137" s="27">
        <f t="shared" ref="V1137:V1200" si="273">WEEKDAY(W1137,2)</f>
        <v>3</v>
      </c>
      <c r="W1137" s="97">
        <f t="shared" si="263"/>
        <v>45420</v>
      </c>
      <c r="X1137" s="249" t="str">
        <f>IF(K$67=G$1086,IF(OR(U1137=1,AND(U1137&gt;0,U1137=(MAX(Y$1009:Y1136)+VLOOKUP(I$67,G$1076:H$1084,2,FALSE)))),"X",""),IF(AND(U1137&gt;0,U1137=(MAX(Y$1009:Y1136)+VLOOKUP(I$67,G$1076:H$1084,2,FALSE))),"X",""))</f>
        <v/>
      </c>
      <c r="Y1137" s="252">
        <f t="shared" si="264"/>
        <v>0</v>
      </c>
      <c r="Z1137" s="253">
        <f>IF(Y1137&gt;0,COUNTIF(Y$1009:Y1136,"&gt;0")+1,0)</f>
        <v>0</v>
      </c>
      <c r="AA1137" s="1"/>
      <c r="AB1137" s="255" t="str">
        <f t="shared" si="265"/>
        <v/>
      </c>
      <c r="AC1137" s="261" t="str">
        <f t="shared" si="267"/>
        <v/>
      </c>
      <c r="AD1137" s="258">
        <f>IF(Z1137&gt;0,COUNTIF(AC$1009:AC1136,AC1137)+1,0)</f>
        <v>0</v>
      </c>
      <c r="AE1137" s="258" t="str">
        <f t="shared" si="266"/>
        <v/>
      </c>
      <c r="AF1137" s="392" t="str">
        <f t="shared" si="268"/>
        <v/>
      </c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</row>
    <row r="1138" spans="1:93" ht="16.5" hidden="1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27">
        <f t="shared" si="270"/>
        <v>5</v>
      </c>
      <c r="U1138" s="247">
        <f>IF(OR(ISBLANK(F$68),AND(W1138&gt;(F$68-1),W1138&lt;(I$68+1))),IF(ISERROR(VLOOKUP(I$67,G$1076:G$1078,1,FALSE)),IF(K$67=G$1086,IF(MONTH(W1138)&lt;&gt;MONTH(W1137),MAX(U$1009:U1137)+1,0),IF(ISERROR(VLOOKUP(I$67,G$1079:G$1084,1,FALSE)),IF(V1138=1,MAX(U$1009:U1137)+1,0),IF(MONTH(W1139)&lt;&gt;MONTH(W1138),T1138,0))),IF(K$67=G$1086,IF(V1138=1,MAX(U$1009:U1137)+1,0),IF(V1138=7,MAX(U$1015:U1137)+1,0))),0)</f>
        <v>0</v>
      </c>
      <c r="V1138" s="27">
        <f t="shared" si="273"/>
        <v>4</v>
      </c>
      <c r="W1138" s="97">
        <f t="shared" ref="W1138:W1201" si="274">W1137+1</f>
        <v>45421</v>
      </c>
      <c r="X1138" s="249" t="str">
        <f>IF(K$67=G$1086,IF(OR(U1138=1,AND(U1138&gt;0,U1138=(MAX(Y$1009:Y1137)+VLOOKUP(I$67,G$1076:H$1084,2,FALSE)))),"X",""),IF(AND(U1138&gt;0,U1138=(MAX(Y$1009:Y1137)+VLOOKUP(I$67,G$1076:H$1084,2,FALSE))),"X",""))</f>
        <v/>
      </c>
      <c r="Y1138" s="252">
        <f t="shared" ref="Y1138:Y1201" si="275">IF(OR(ISBLANK($I$67),ISBLANK($K$67)),0,IF(X1138="X",U1138,0))</f>
        <v>0</v>
      </c>
      <c r="Z1138" s="253">
        <f>IF(Y1138&gt;0,COUNTIF(Y$1009:Y1137,"&gt;0")+1,0)</f>
        <v>0</v>
      </c>
      <c r="AA1138" s="1"/>
      <c r="AB1138" s="255" t="str">
        <f t="shared" ref="AB1138:AB1201" si="276">IF(Z1138&gt;0,W1138,"")</f>
        <v/>
      </c>
      <c r="AC1138" s="261" t="str">
        <f t="shared" si="267"/>
        <v/>
      </c>
      <c r="AD1138" s="258">
        <f>IF(Z1138&gt;0,COUNTIF(AC$1009:AC1137,AC1138)+1,0)</f>
        <v>0</v>
      </c>
      <c r="AE1138" s="258" t="str">
        <f t="shared" ref="AE1138:AE1201" si="277">IF(Z1138&gt;0,CONCATENATE(AC1138,"-",AD1138),"")</f>
        <v/>
      </c>
      <c r="AF1138" s="392" t="str">
        <f t="shared" si="268"/>
        <v/>
      </c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</row>
    <row r="1139" spans="1:93" ht="16.5" hidden="1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27">
        <f t="shared" si="270"/>
        <v>5</v>
      </c>
      <c r="U1139" s="247">
        <f>IF(OR(ISBLANK(F$68),AND(W1139&gt;(F$68-1),W1139&lt;(I$68+1))),IF(ISERROR(VLOOKUP(I$67,G$1076:G$1078,1,FALSE)),IF(K$67=G$1086,IF(MONTH(W1139)&lt;&gt;MONTH(W1138),MAX(U$1009:U1138)+1,0),IF(ISERROR(VLOOKUP(I$67,G$1079:G$1084,1,FALSE)),IF(V1139=1,MAX(U$1009:U1138)+1,0),IF(MONTH(W1140)&lt;&gt;MONTH(W1139),T1139,0))),IF(K$67=G$1086,IF(V1139=1,MAX(U$1009:U1138)+1,0),IF(V1139=7,MAX(U$1015:U1138)+1,0))),0)</f>
        <v>0</v>
      </c>
      <c r="V1139" s="27">
        <f t="shared" si="273"/>
        <v>5</v>
      </c>
      <c r="W1139" s="97">
        <f t="shared" si="274"/>
        <v>45422</v>
      </c>
      <c r="X1139" s="249" t="str">
        <f>IF(K$67=G$1086,IF(OR(U1139=1,AND(U1139&gt;0,U1139=(MAX(Y$1009:Y1138)+VLOOKUP(I$67,G$1076:H$1084,2,FALSE)))),"X",""),IF(AND(U1139&gt;0,U1139=(MAX(Y$1009:Y1138)+VLOOKUP(I$67,G$1076:H$1084,2,FALSE))),"X",""))</f>
        <v/>
      </c>
      <c r="Y1139" s="252">
        <f t="shared" si="275"/>
        <v>0</v>
      </c>
      <c r="Z1139" s="253">
        <f>IF(Y1139&gt;0,COUNTIF(Y$1009:Y1138,"&gt;0")+1,0)</f>
        <v>0</v>
      </c>
      <c r="AA1139" s="1"/>
      <c r="AB1139" s="255" t="str">
        <f t="shared" si="276"/>
        <v/>
      </c>
      <c r="AC1139" s="261" t="str">
        <f t="shared" si="267"/>
        <v/>
      </c>
      <c r="AD1139" s="258">
        <f>IF(Z1139&gt;0,COUNTIF(AC$1009:AC1138,AC1139)+1,0)</f>
        <v>0</v>
      </c>
      <c r="AE1139" s="258" t="str">
        <f t="shared" si="277"/>
        <v/>
      </c>
      <c r="AF1139" s="392" t="str">
        <f t="shared" si="268"/>
        <v/>
      </c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</row>
    <row r="1140" spans="1:93" ht="16.5" hidden="1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27">
        <f t="shared" si="270"/>
        <v>5</v>
      </c>
      <c r="U1140" s="247">
        <f>IF(OR(ISBLANK(F$68),AND(W1140&gt;(F$68-1),W1140&lt;(I$68+1))),IF(ISERROR(VLOOKUP(I$67,G$1076:G$1078,1,FALSE)),IF(K$67=G$1086,IF(MONTH(W1140)&lt;&gt;MONTH(W1139),MAX(U$1009:U1139)+1,0),IF(ISERROR(VLOOKUP(I$67,G$1079:G$1084,1,FALSE)),IF(V1140=1,MAX(U$1009:U1139)+1,0),IF(MONTH(W1141)&lt;&gt;MONTH(W1140),T1140,0))),IF(K$67=G$1086,IF(V1140=1,MAX(U$1009:U1139)+1,0),IF(V1140=7,MAX(U$1015:U1139)+1,0))),0)</f>
        <v>0</v>
      </c>
      <c r="V1140" s="27">
        <f t="shared" si="273"/>
        <v>6</v>
      </c>
      <c r="W1140" s="97">
        <f t="shared" si="274"/>
        <v>45423</v>
      </c>
      <c r="X1140" s="249" t="str">
        <f>IF(K$67=G$1086,IF(OR(U1140=1,AND(U1140&gt;0,U1140=(MAX(Y$1009:Y1139)+VLOOKUP(I$67,G$1076:H$1084,2,FALSE)))),"X",""),IF(AND(U1140&gt;0,U1140=(MAX(Y$1009:Y1139)+VLOOKUP(I$67,G$1076:H$1084,2,FALSE))),"X",""))</f>
        <v/>
      </c>
      <c r="Y1140" s="252">
        <f t="shared" si="275"/>
        <v>0</v>
      </c>
      <c r="Z1140" s="253">
        <f>IF(Y1140&gt;0,COUNTIF(Y$1009:Y1139,"&gt;0")+1,0)</f>
        <v>0</v>
      </c>
      <c r="AA1140" s="1"/>
      <c r="AB1140" s="255" t="str">
        <f t="shared" si="276"/>
        <v/>
      </c>
      <c r="AC1140" s="261" t="str">
        <f t="shared" si="267"/>
        <v/>
      </c>
      <c r="AD1140" s="258">
        <f>IF(Z1140&gt;0,COUNTIF(AC$1009:AC1139,AC1140)+1,0)</f>
        <v>0</v>
      </c>
      <c r="AE1140" s="258" t="str">
        <f t="shared" si="277"/>
        <v/>
      </c>
      <c r="AF1140" s="392" t="str">
        <f t="shared" si="268"/>
        <v/>
      </c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</row>
    <row r="1141" spans="1:93" ht="16.5" hidden="1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27">
        <f t="shared" si="270"/>
        <v>5</v>
      </c>
      <c r="U1141" s="247">
        <f>IF(OR(ISBLANK(F$68),AND(W1141&gt;(F$68-1),W1141&lt;(I$68+1))),IF(ISERROR(VLOOKUP(I$67,G$1076:G$1078,1,FALSE)),IF(K$67=G$1086,IF(MONTH(W1141)&lt;&gt;MONTH(W1140),MAX(U$1009:U1140)+1,0),IF(ISERROR(VLOOKUP(I$67,G$1079:G$1084,1,FALSE)),IF(V1141=1,MAX(U$1009:U1140)+1,0),IF(MONTH(W1142)&lt;&gt;MONTH(W1141),T1141,0))),IF(K$67=G$1086,IF(V1141=1,MAX(U$1009:U1140)+1,0),IF(V1141=7,MAX(U$1015:U1140)+1,0))),0)</f>
        <v>0</v>
      </c>
      <c r="V1141" s="27">
        <f t="shared" si="273"/>
        <v>7</v>
      </c>
      <c r="W1141" s="97">
        <f t="shared" si="274"/>
        <v>45424</v>
      </c>
      <c r="X1141" s="249" t="str">
        <f>IF(K$67=G$1086,IF(OR(U1141=1,AND(U1141&gt;0,U1141=(MAX(Y$1009:Y1140)+VLOOKUP(I$67,G$1076:H$1084,2,FALSE)))),"X",""),IF(AND(U1141&gt;0,U1141=(MAX(Y$1009:Y1140)+VLOOKUP(I$67,G$1076:H$1084,2,FALSE))),"X",""))</f>
        <v/>
      </c>
      <c r="Y1141" s="252">
        <f t="shared" si="275"/>
        <v>0</v>
      </c>
      <c r="Z1141" s="253">
        <f>IF(Y1141&gt;0,COUNTIF(Y$1009:Y1140,"&gt;0")+1,0)</f>
        <v>0</v>
      </c>
      <c r="AA1141" s="1"/>
      <c r="AB1141" s="255" t="str">
        <f t="shared" si="276"/>
        <v/>
      </c>
      <c r="AC1141" s="261" t="str">
        <f t="shared" si="267"/>
        <v/>
      </c>
      <c r="AD1141" s="258">
        <f>IF(Z1141&gt;0,COUNTIF(AC$1009:AC1140,AC1141)+1,0)</f>
        <v>0</v>
      </c>
      <c r="AE1141" s="258" t="str">
        <f t="shared" si="277"/>
        <v/>
      </c>
      <c r="AF1141" s="392" t="str">
        <f t="shared" si="268"/>
        <v/>
      </c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</row>
    <row r="1142" spans="1:93" ht="16.5" hidden="1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27">
        <f t="shared" si="270"/>
        <v>5</v>
      </c>
      <c r="U1142" s="247">
        <f>IF(OR(ISBLANK(F$68),AND(W1142&gt;(F$68-1),W1142&lt;(I$68+1))),IF(ISERROR(VLOOKUP(I$67,G$1076:G$1078,1,FALSE)),IF(K$67=G$1086,IF(MONTH(W1142)&lt;&gt;MONTH(W1141),MAX(U$1009:U1141)+1,0),IF(ISERROR(VLOOKUP(I$67,G$1079:G$1084,1,FALSE)),IF(V1142=1,MAX(U$1009:U1141)+1,0),IF(MONTH(W1143)&lt;&gt;MONTH(W1142),T1142,0))),IF(K$67=G$1086,IF(V1142=1,MAX(U$1009:U1141)+1,0),IF(V1142=7,MAX(U$1015:U1141)+1,0))),0)</f>
        <v>20</v>
      </c>
      <c r="V1142" s="27">
        <f t="shared" si="273"/>
        <v>1</v>
      </c>
      <c r="W1142" s="97">
        <f t="shared" si="274"/>
        <v>45425</v>
      </c>
      <c r="X1142" s="249" t="str">
        <f>IF(K$67=G$1086,IF(OR(U1142=1,AND(U1142&gt;0,U1142=(MAX(Y$1009:Y1141)+VLOOKUP(I$67,G$1076:H$1084,2,FALSE)))),"X",""),IF(AND(U1142&gt;0,U1142=(MAX(Y$1009:Y1141)+VLOOKUP(I$67,G$1076:H$1084,2,FALSE))),"X",""))</f>
        <v/>
      </c>
      <c r="Y1142" s="252">
        <f t="shared" si="275"/>
        <v>0</v>
      </c>
      <c r="Z1142" s="253">
        <f>IF(Y1142&gt;0,COUNTIF(Y$1009:Y1141,"&gt;0")+1,0)</f>
        <v>0</v>
      </c>
      <c r="AA1142" s="1"/>
      <c r="AB1142" s="255" t="str">
        <f t="shared" si="276"/>
        <v/>
      </c>
      <c r="AC1142" s="261" t="str">
        <f t="shared" ref="AC1142:AC1205" si="278">IF(Z1142=0,"",MONTH(AB1142))</f>
        <v/>
      </c>
      <c r="AD1142" s="258">
        <f>IF(Z1142&gt;0,COUNTIF(AC$1009:AC1141,AC1142)+1,0)</f>
        <v>0</v>
      </c>
      <c r="AE1142" s="258" t="str">
        <f t="shared" si="277"/>
        <v/>
      </c>
      <c r="AF1142" s="392" t="str">
        <f t="shared" ref="AF1142:AF1205" si="279">IF(Z1142&gt;0,AB1142,"")</f>
        <v/>
      </c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</row>
    <row r="1143" spans="1:93" ht="16.5" hidden="1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27">
        <f t="shared" si="270"/>
        <v>5</v>
      </c>
      <c r="U1143" s="247">
        <f>IF(OR(ISBLANK(F$68),AND(W1143&gt;(F$68-1),W1143&lt;(I$68+1))),IF(ISERROR(VLOOKUP(I$67,G$1076:G$1078,1,FALSE)),IF(K$67=G$1086,IF(MONTH(W1143)&lt;&gt;MONTH(W1142),MAX(U$1009:U1142)+1,0),IF(ISERROR(VLOOKUP(I$67,G$1079:G$1084,1,FALSE)),IF(V1143=1,MAX(U$1009:U1142)+1,0),IF(MONTH(W1144)&lt;&gt;MONTH(W1143),T1143,0))),IF(K$67=G$1086,IF(V1143=1,MAX(U$1009:U1142)+1,0),IF(V1143=7,MAX(U$1015:U1142)+1,0))),0)</f>
        <v>0</v>
      </c>
      <c r="V1143" s="27">
        <f t="shared" si="273"/>
        <v>2</v>
      </c>
      <c r="W1143" s="97">
        <f t="shared" si="274"/>
        <v>45426</v>
      </c>
      <c r="X1143" s="249" t="str">
        <f>IF(K$67=G$1086,IF(OR(U1143=1,AND(U1143&gt;0,U1143=(MAX(Y$1009:Y1142)+VLOOKUP(I$67,G$1076:H$1084,2,FALSE)))),"X",""),IF(AND(U1143&gt;0,U1143=(MAX(Y$1009:Y1142)+VLOOKUP(I$67,G$1076:H$1084,2,FALSE))),"X",""))</f>
        <v/>
      </c>
      <c r="Y1143" s="252">
        <f t="shared" si="275"/>
        <v>0</v>
      </c>
      <c r="Z1143" s="253">
        <f>IF(Y1143&gt;0,COUNTIF(Y$1009:Y1142,"&gt;0")+1,0)</f>
        <v>0</v>
      </c>
      <c r="AA1143" s="1"/>
      <c r="AB1143" s="255" t="str">
        <f t="shared" si="276"/>
        <v/>
      </c>
      <c r="AC1143" s="261" t="str">
        <f t="shared" si="278"/>
        <v/>
      </c>
      <c r="AD1143" s="258">
        <f>IF(Z1143&gt;0,COUNTIF(AC$1009:AC1142,AC1143)+1,0)</f>
        <v>0</v>
      </c>
      <c r="AE1143" s="258" t="str">
        <f t="shared" si="277"/>
        <v/>
      </c>
      <c r="AF1143" s="392" t="str">
        <f t="shared" si="279"/>
        <v/>
      </c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</row>
    <row r="1144" spans="1:93" ht="16.5" hidden="1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27">
        <f t="shared" si="270"/>
        <v>5</v>
      </c>
      <c r="U1144" s="247">
        <f>IF(OR(ISBLANK(F$68),AND(W1144&gt;(F$68-1),W1144&lt;(I$68+1))),IF(ISERROR(VLOOKUP(I$67,G$1076:G$1078,1,FALSE)),IF(K$67=G$1086,IF(MONTH(W1144)&lt;&gt;MONTH(W1143),MAX(U$1009:U1143)+1,0),IF(ISERROR(VLOOKUP(I$67,G$1079:G$1084,1,FALSE)),IF(V1144=1,MAX(U$1009:U1143)+1,0),IF(MONTH(W1145)&lt;&gt;MONTH(W1144),T1144,0))),IF(K$67=G$1086,IF(V1144=1,MAX(U$1009:U1143)+1,0),IF(V1144=7,MAX(U$1015:U1143)+1,0))),0)</f>
        <v>0</v>
      </c>
      <c r="V1144" s="27">
        <f t="shared" si="273"/>
        <v>3</v>
      </c>
      <c r="W1144" s="97">
        <f t="shared" si="274"/>
        <v>45427</v>
      </c>
      <c r="X1144" s="249" t="str">
        <f>IF(K$67=G$1086,IF(OR(U1144=1,AND(U1144&gt;0,U1144=(MAX(Y$1009:Y1143)+VLOOKUP(I$67,G$1076:H$1084,2,FALSE)))),"X",""),IF(AND(U1144&gt;0,U1144=(MAX(Y$1009:Y1143)+VLOOKUP(I$67,G$1076:H$1084,2,FALSE))),"X",""))</f>
        <v/>
      </c>
      <c r="Y1144" s="252">
        <f t="shared" si="275"/>
        <v>0</v>
      </c>
      <c r="Z1144" s="253">
        <f>IF(Y1144&gt;0,COUNTIF(Y$1009:Y1143,"&gt;0")+1,0)</f>
        <v>0</v>
      </c>
      <c r="AA1144" s="1"/>
      <c r="AB1144" s="255" t="str">
        <f t="shared" si="276"/>
        <v/>
      </c>
      <c r="AC1144" s="261" t="str">
        <f t="shared" si="278"/>
        <v/>
      </c>
      <c r="AD1144" s="258">
        <f>IF(Z1144&gt;0,COUNTIF(AC$1009:AC1143,AC1144)+1,0)</f>
        <v>0</v>
      </c>
      <c r="AE1144" s="258" t="str">
        <f t="shared" si="277"/>
        <v/>
      </c>
      <c r="AF1144" s="392" t="str">
        <f t="shared" si="279"/>
        <v/>
      </c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</row>
    <row r="1145" spans="1:93" ht="16.5" hidden="1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27">
        <f t="shared" si="270"/>
        <v>5</v>
      </c>
      <c r="U1145" s="247">
        <f>IF(OR(ISBLANK(F$68),AND(W1145&gt;(F$68-1),W1145&lt;(I$68+1))),IF(ISERROR(VLOOKUP(I$67,G$1076:G$1078,1,FALSE)),IF(K$67=G$1086,IF(MONTH(W1145)&lt;&gt;MONTH(W1144),MAX(U$1009:U1144)+1,0),IF(ISERROR(VLOOKUP(I$67,G$1079:G$1084,1,FALSE)),IF(V1145=1,MAX(U$1009:U1144)+1,0),IF(MONTH(W1146)&lt;&gt;MONTH(W1145),T1145,0))),IF(K$67=G$1086,IF(V1145=1,MAX(U$1009:U1144)+1,0),IF(V1145=7,MAX(U$1015:U1144)+1,0))),0)</f>
        <v>0</v>
      </c>
      <c r="V1145" s="27">
        <f t="shared" si="273"/>
        <v>4</v>
      </c>
      <c r="W1145" s="97">
        <f t="shared" si="274"/>
        <v>45428</v>
      </c>
      <c r="X1145" s="249" t="str">
        <f>IF(K$67=G$1086,IF(OR(U1145=1,AND(U1145&gt;0,U1145=(MAX(Y$1009:Y1144)+VLOOKUP(I$67,G$1076:H$1084,2,FALSE)))),"X",""),IF(AND(U1145&gt;0,U1145=(MAX(Y$1009:Y1144)+VLOOKUP(I$67,G$1076:H$1084,2,FALSE))),"X",""))</f>
        <v/>
      </c>
      <c r="Y1145" s="252">
        <f t="shared" si="275"/>
        <v>0</v>
      </c>
      <c r="Z1145" s="253">
        <f>IF(Y1145&gt;0,COUNTIF(Y$1009:Y1144,"&gt;0")+1,0)</f>
        <v>0</v>
      </c>
      <c r="AA1145" s="1"/>
      <c r="AB1145" s="255" t="str">
        <f t="shared" si="276"/>
        <v/>
      </c>
      <c r="AC1145" s="261" t="str">
        <f t="shared" si="278"/>
        <v/>
      </c>
      <c r="AD1145" s="258">
        <f>IF(Z1145&gt;0,COUNTIF(AC$1009:AC1144,AC1145)+1,0)</f>
        <v>0</v>
      </c>
      <c r="AE1145" s="258" t="str">
        <f t="shared" si="277"/>
        <v/>
      </c>
      <c r="AF1145" s="392" t="str">
        <f t="shared" si="279"/>
        <v/>
      </c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</row>
    <row r="1146" spans="1:93" ht="16.5" hidden="1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27">
        <f t="shared" ref="T1146:T1209" si="280">IF(MONTH(W1146)=MONTH(W1145),T1145,T1145+1)</f>
        <v>5</v>
      </c>
      <c r="U1146" s="247">
        <f>IF(OR(ISBLANK(F$68),AND(W1146&gt;(F$68-1),W1146&lt;(I$68+1))),IF(ISERROR(VLOOKUP(I$67,G$1076:G$1078,1,FALSE)),IF(K$67=G$1086,IF(MONTH(W1146)&lt;&gt;MONTH(W1145),MAX(U$1009:U1145)+1,0),IF(ISERROR(VLOOKUP(I$67,G$1079:G$1084,1,FALSE)),IF(V1146=1,MAX(U$1009:U1145)+1,0),IF(MONTH(W1147)&lt;&gt;MONTH(W1146),T1146,0))),IF(K$67=G$1086,IF(V1146=1,MAX(U$1009:U1145)+1,0),IF(V1146=7,MAX(U$1015:U1145)+1,0))),0)</f>
        <v>0</v>
      </c>
      <c r="V1146" s="27">
        <f t="shared" si="273"/>
        <v>5</v>
      </c>
      <c r="W1146" s="97">
        <f t="shared" si="274"/>
        <v>45429</v>
      </c>
      <c r="X1146" s="249" t="str">
        <f>IF(K$67=G$1086,IF(OR(U1146=1,AND(U1146&gt;0,U1146=(MAX(Y$1009:Y1145)+VLOOKUP(I$67,G$1076:H$1084,2,FALSE)))),"X",""),IF(AND(U1146&gt;0,U1146=(MAX(Y$1009:Y1145)+VLOOKUP(I$67,G$1076:H$1084,2,FALSE))),"X",""))</f>
        <v/>
      </c>
      <c r="Y1146" s="252">
        <f t="shared" si="275"/>
        <v>0</v>
      </c>
      <c r="Z1146" s="253">
        <f>IF(Y1146&gt;0,COUNTIF(Y$1009:Y1145,"&gt;0")+1,0)</f>
        <v>0</v>
      </c>
      <c r="AA1146" s="1"/>
      <c r="AB1146" s="255" t="str">
        <f t="shared" si="276"/>
        <v/>
      </c>
      <c r="AC1146" s="261" t="str">
        <f t="shared" si="278"/>
        <v/>
      </c>
      <c r="AD1146" s="258">
        <f>IF(Z1146&gt;0,COUNTIF(AC$1009:AC1145,AC1146)+1,0)</f>
        <v>0</v>
      </c>
      <c r="AE1146" s="258" t="str">
        <f t="shared" si="277"/>
        <v/>
      </c>
      <c r="AF1146" s="392" t="str">
        <f t="shared" si="279"/>
        <v/>
      </c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</row>
    <row r="1147" spans="1:93" ht="16.5" hidden="1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27">
        <f t="shared" si="280"/>
        <v>5</v>
      </c>
      <c r="U1147" s="247">
        <f>IF(OR(ISBLANK(F$68),AND(W1147&gt;(F$68-1),W1147&lt;(I$68+1))),IF(ISERROR(VLOOKUP(I$67,G$1076:G$1078,1,FALSE)),IF(K$67=G$1086,IF(MONTH(W1147)&lt;&gt;MONTH(W1146),MAX(U$1009:U1146)+1,0),IF(ISERROR(VLOOKUP(I$67,G$1079:G$1084,1,FALSE)),IF(V1147=1,MAX(U$1009:U1146)+1,0),IF(MONTH(W1148)&lt;&gt;MONTH(W1147),T1147,0))),IF(K$67=G$1086,IF(V1147=1,MAX(U$1009:U1146)+1,0),IF(V1147=7,MAX(U$1015:U1146)+1,0))),0)</f>
        <v>0</v>
      </c>
      <c r="V1147" s="27">
        <f t="shared" si="273"/>
        <v>6</v>
      </c>
      <c r="W1147" s="97">
        <f t="shared" si="274"/>
        <v>45430</v>
      </c>
      <c r="X1147" s="249" t="str">
        <f>IF(K$67=G$1086,IF(OR(U1147=1,AND(U1147&gt;0,U1147=(MAX(Y$1009:Y1146)+VLOOKUP(I$67,G$1076:H$1084,2,FALSE)))),"X",""),IF(AND(U1147&gt;0,U1147=(MAX(Y$1009:Y1146)+VLOOKUP(I$67,G$1076:H$1084,2,FALSE))),"X",""))</f>
        <v/>
      </c>
      <c r="Y1147" s="252">
        <f t="shared" si="275"/>
        <v>0</v>
      </c>
      <c r="Z1147" s="253">
        <f>IF(Y1147&gt;0,COUNTIF(Y$1009:Y1146,"&gt;0")+1,0)</f>
        <v>0</v>
      </c>
      <c r="AA1147" s="1"/>
      <c r="AB1147" s="255" t="str">
        <f t="shared" si="276"/>
        <v/>
      </c>
      <c r="AC1147" s="261" t="str">
        <f t="shared" si="278"/>
        <v/>
      </c>
      <c r="AD1147" s="258">
        <f>IF(Z1147&gt;0,COUNTIF(AC$1009:AC1146,AC1147)+1,0)</f>
        <v>0</v>
      </c>
      <c r="AE1147" s="258" t="str">
        <f t="shared" si="277"/>
        <v/>
      </c>
      <c r="AF1147" s="392" t="str">
        <f t="shared" si="279"/>
        <v/>
      </c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</row>
    <row r="1148" spans="1:93" ht="16.5" hidden="1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27">
        <f t="shared" si="280"/>
        <v>5</v>
      </c>
      <c r="U1148" s="247">
        <f>IF(OR(ISBLANK(F$68),AND(W1148&gt;(F$68-1),W1148&lt;(I$68+1))),IF(ISERROR(VLOOKUP(I$67,G$1076:G$1078,1,FALSE)),IF(K$67=G$1086,IF(MONTH(W1148)&lt;&gt;MONTH(W1147),MAX(U$1009:U1147)+1,0),IF(ISERROR(VLOOKUP(I$67,G$1079:G$1084,1,FALSE)),IF(V1148=1,MAX(U$1009:U1147)+1,0),IF(MONTH(W1149)&lt;&gt;MONTH(W1148),T1148,0))),IF(K$67=G$1086,IF(V1148=1,MAX(U$1009:U1147)+1,0),IF(V1148=7,MAX(U$1015:U1147)+1,0))),0)</f>
        <v>0</v>
      </c>
      <c r="V1148" s="27">
        <f t="shared" si="273"/>
        <v>7</v>
      </c>
      <c r="W1148" s="97">
        <f t="shared" si="274"/>
        <v>45431</v>
      </c>
      <c r="X1148" s="249" t="str">
        <f>IF(K$67=G$1086,IF(OR(U1148=1,AND(U1148&gt;0,U1148=(MAX(Y$1009:Y1147)+VLOOKUP(I$67,G$1076:H$1084,2,FALSE)))),"X",""),IF(AND(U1148&gt;0,U1148=(MAX(Y$1009:Y1147)+VLOOKUP(I$67,G$1076:H$1084,2,FALSE))),"X",""))</f>
        <v/>
      </c>
      <c r="Y1148" s="252">
        <f t="shared" si="275"/>
        <v>0</v>
      </c>
      <c r="Z1148" s="253">
        <f>IF(Y1148&gt;0,COUNTIF(Y$1009:Y1147,"&gt;0")+1,0)</f>
        <v>0</v>
      </c>
      <c r="AA1148" s="1"/>
      <c r="AB1148" s="255" t="str">
        <f t="shared" si="276"/>
        <v/>
      </c>
      <c r="AC1148" s="261" t="str">
        <f t="shared" si="278"/>
        <v/>
      </c>
      <c r="AD1148" s="258">
        <f>IF(Z1148&gt;0,COUNTIF(AC$1009:AC1147,AC1148)+1,0)</f>
        <v>0</v>
      </c>
      <c r="AE1148" s="258" t="str">
        <f t="shared" si="277"/>
        <v/>
      </c>
      <c r="AF1148" s="392" t="str">
        <f t="shared" si="279"/>
        <v/>
      </c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</row>
    <row r="1149" spans="1:93" ht="16.5" hidden="1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27">
        <f t="shared" si="280"/>
        <v>5</v>
      </c>
      <c r="U1149" s="247">
        <f>IF(OR(ISBLANK(F$68),AND(W1149&gt;(F$68-1),W1149&lt;(I$68+1))),IF(ISERROR(VLOOKUP(I$67,G$1076:G$1078,1,FALSE)),IF(K$67=G$1086,IF(MONTH(W1149)&lt;&gt;MONTH(W1148),MAX(U$1009:U1148)+1,0),IF(ISERROR(VLOOKUP(I$67,G$1079:G$1084,1,FALSE)),IF(V1149=1,MAX(U$1009:U1148)+1,0),IF(MONTH(W1150)&lt;&gt;MONTH(W1149),T1149,0))),IF(K$67=G$1086,IF(V1149=1,MAX(U$1009:U1148)+1,0),IF(V1149=7,MAX(U$1015:U1148)+1,0))),0)</f>
        <v>21</v>
      </c>
      <c r="V1149" s="27">
        <f t="shared" si="273"/>
        <v>1</v>
      </c>
      <c r="W1149" s="97">
        <f t="shared" si="274"/>
        <v>45432</v>
      </c>
      <c r="X1149" s="249" t="str">
        <f>IF(K$67=G$1086,IF(OR(U1149=1,AND(U1149&gt;0,U1149=(MAX(Y$1009:Y1148)+VLOOKUP(I$67,G$1076:H$1084,2,FALSE)))),"X",""),IF(AND(U1149&gt;0,U1149=(MAX(Y$1009:Y1148)+VLOOKUP(I$67,G$1076:H$1084,2,FALSE))),"X",""))</f>
        <v>X</v>
      </c>
      <c r="Y1149" s="252">
        <f t="shared" si="275"/>
        <v>21</v>
      </c>
      <c r="Z1149" s="253">
        <f>IF(Y1149&gt;0,COUNTIF(Y$1009:Y1148,"&gt;0")+1,0)</f>
        <v>11</v>
      </c>
      <c r="AA1149" s="1"/>
      <c r="AB1149" s="255">
        <f t="shared" si="276"/>
        <v>45432</v>
      </c>
      <c r="AC1149" s="261">
        <f t="shared" si="278"/>
        <v>5</v>
      </c>
      <c r="AD1149" s="258">
        <f>IF(Z1149&gt;0,COUNTIF(AC$1009:AC1148,AC1149)+1,0)</f>
        <v>2</v>
      </c>
      <c r="AE1149" s="258" t="str">
        <f t="shared" si="277"/>
        <v>5-2</v>
      </c>
      <c r="AF1149" s="392">
        <f t="shared" si="279"/>
        <v>45432</v>
      </c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</row>
    <row r="1150" spans="1:93" ht="16.5" hidden="1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27">
        <f t="shared" si="280"/>
        <v>5</v>
      </c>
      <c r="U1150" s="247">
        <f>IF(OR(ISBLANK(F$68),AND(W1150&gt;(F$68-1),W1150&lt;(I$68+1))),IF(ISERROR(VLOOKUP(I$67,G$1076:G$1078,1,FALSE)),IF(K$67=G$1086,IF(MONTH(W1150)&lt;&gt;MONTH(W1149),MAX(U$1009:U1149)+1,0),IF(ISERROR(VLOOKUP(I$67,G$1079:G$1084,1,FALSE)),IF(V1150=1,MAX(U$1009:U1149)+1,0),IF(MONTH(W1151)&lt;&gt;MONTH(W1150),T1150,0))),IF(K$67=G$1086,IF(V1150=1,MAX(U$1009:U1149)+1,0),IF(V1150=7,MAX(U$1015:U1149)+1,0))),0)</f>
        <v>0</v>
      </c>
      <c r="V1150" s="27">
        <f t="shared" si="273"/>
        <v>2</v>
      </c>
      <c r="W1150" s="97">
        <f t="shared" si="274"/>
        <v>45433</v>
      </c>
      <c r="X1150" s="249" t="str">
        <f>IF(K$67=G$1086,IF(OR(U1150=1,AND(U1150&gt;0,U1150=(MAX(Y$1009:Y1149)+VLOOKUP(I$67,G$1076:H$1084,2,FALSE)))),"X",""),IF(AND(U1150&gt;0,U1150=(MAX(Y$1009:Y1149)+VLOOKUP(I$67,G$1076:H$1084,2,FALSE))),"X",""))</f>
        <v/>
      </c>
      <c r="Y1150" s="252">
        <f t="shared" si="275"/>
        <v>0</v>
      </c>
      <c r="Z1150" s="253">
        <f>IF(Y1150&gt;0,COUNTIF(Y$1009:Y1149,"&gt;0")+1,0)</f>
        <v>0</v>
      </c>
      <c r="AA1150" s="1"/>
      <c r="AB1150" s="255" t="str">
        <f t="shared" si="276"/>
        <v/>
      </c>
      <c r="AC1150" s="261" t="str">
        <f t="shared" si="278"/>
        <v/>
      </c>
      <c r="AD1150" s="258">
        <f>IF(Z1150&gt;0,COUNTIF(AC$1009:AC1149,AC1150)+1,0)</f>
        <v>0</v>
      </c>
      <c r="AE1150" s="258" t="str">
        <f t="shared" si="277"/>
        <v/>
      </c>
      <c r="AF1150" s="392" t="str">
        <f t="shared" si="279"/>
        <v/>
      </c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</row>
    <row r="1151" spans="1:93" ht="16.5" hidden="1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27">
        <f t="shared" si="280"/>
        <v>5</v>
      </c>
      <c r="U1151" s="247">
        <f>IF(OR(ISBLANK(F$68),AND(W1151&gt;(F$68-1),W1151&lt;(I$68+1))),IF(ISERROR(VLOOKUP(I$67,G$1076:G$1078,1,FALSE)),IF(K$67=G$1086,IF(MONTH(W1151)&lt;&gt;MONTH(W1150),MAX(U$1009:U1150)+1,0),IF(ISERROR(VLOOKUP(I$67,G$1079:G$1084,1,FALSE)),IF(V1151=1,MAX(U$1009:U1150)+1,0),IF(MONTH(W1152)&lt;&gt;MONTH(W1151),T1151,0))),IF(K$67=G$1086,IF(V1151=1,MAX(U$1009:U1150)+1,0),IF(V1151=7,MAX(U$1015:U1150)+1,0))),0)</f>
        <v>0</v>
      </c>
      <c r="V1151" s="27">
        <f t="shared" si="273"/>
        <v>3</v>
      </c>
      <c r="W1151" s="97">
        <f t="shared" si="274"/>
        <v>45434</v>
      </c>
      <c r="X1151" s="249" t="str">
        <f>IF(K$67=G$1086,IF(OR(U1151=1,AND(U1151&gt;0,U1151=(MAX(Y$1009:Y1150)+VLOOKUP(I$67,G$1076:H$1084,2,FALSE)))),"X",""),IF(AND(U1151&gt;0,U1151=(MAX(Y$1009:Y1150)+VLOOKUP(I$67,G$1076:H$1084,2,FALSE))),"X",""))</f>
        <v/>
      </c>
      <c r="Y1151" s="252">
        <f t="shared" si="275"/>
        <v>0</v>
      </c>
      <c r="Z1151" s="253">
        <f>IF(Y1151&gt;0,COUNTIF(Y$1009:Y1150,"&gt;0")+1,0)</f>
        <v>0</v>
      </c>
      <c r="AA1151" s="1"/>
      <c r="AB1151" s="255" t="str">
        <f t="shared" si="276"/>
        <v/>
      </c>
      <c r="AC1151" s="261" t="str">
        <f t="shared" si="278"/>
        <v/>
      </c>
      <c r="AD1151" s="258">
        <f>IF(Z1151&gt;0,COUNTIF(AC$1009:AC1150,AC1151)+1,0)</f>
        <v>0</v>
      </c>
      <c r="AE1151" s="258" t="str">
        <f t="shared" si="277"/>
        <v/>
      </c>
      <c r="AF1151" s="392" t="str">
        <f t="shared" si="279"/>
        <v/>
      </c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</row>
    <row r="1152" spans="1:93" ht="16.5" hidden="1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27">
        <f t="shared" si="280"/>
        <v>5</v>
      </c>
      <c r="U1152" s="247">
        <f>IF(OR(ISBLANK(F$68),AND(W1152&gt;(F$68-1),W1152&lt;(I$68+1))),IF(ISERROR(VLOOKUP(I$67,G$1076:G$1078,1,FALSE)),IF(K$67=G$1086,IF(MONTH(W1152)&lt;&gt;MONTH(W1151),MAX(U$1009:U1151)+1,0),IF(ISERROR(VLOOKUP(I$67,G$1079:G$1084,1,FALSE)),IF(V1152=1,MAX(U$1009:U1151)+1,0),IF(MONTH(W1153)&lt;&gt;MONTH(W1152),T1152,0))),IF(K$67=G$1086,IF(V1152=1,MAX(U$1009:U1151)+1,0),IF(V1152=7,MAX(U$1015:U1151)+1,0))),0)</f>
        <v>0</v>
      </c>
      <c r="V1152" s="27">
        <f t="shared" si="273"/>
        <v>4</v>
      </c>
      <c r="W1152" s="97">
        <f t="shared" si="274"/>
        <v>45435</v>
      </c>
      <c r="X1152" s="249" t="str">
        <f>IF(K$67=G$1086,IF(OR(U1152=1,AND(U1152&gt;0,U1152=(MAX(Y$1009:Y1151)+VLOOKUP(I$67,G$1076:H$1084,2,FALSE)))),"X",""),IF(AND(U1152&gt;0,U1152=(MAX(Y$1009:Y1151)+VLOOKUP(I$67,G$1076:H$1084,2,FALSE))),"X",""))</f>
        <v/>
      </c>
      <c r="Y1152" s="252">
        <f t="shared" si="275"/>
        <v>0</v>
      </c>
      <c r="Z1152" s="253">
        <f>IF(Y1152&gt;0,COUNTIF(Y$1009:Y1151,"&gt;0")+1,0)</f>
        <v>0</v>
      </c>
      <c r="AA1152" s="1"/>
      <c r="AB1152" s="255" t="str">
        <f t="shared" si="276"/>
        <v/>
      </c>
      <c r="AC1152" s="261" t="str">
        <f t="shared" si="278"/>
        <v/>
      </c>
      <c r="AD1152" s="258">
        <f>IF(Z1152&gt;0,COUNTIF(AC$1009:AC1151,AC1152)+1,0)</f>
        <v>0</v>
      </c>
      <c r="AE1152" s="258" t="str">
        <f t="shared" si="277"/>
        <v/>
      </c>
      <c r="AF1152" s="392" t="str">
        <f t="shared" si="279"/>
        <v/>
      </c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</row>
    <row r="1153" spans="1:93" ht="16.5" hidden="1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27">
        <f t="shared" si="280"/>
        <v>5</v>
      </c>
      <c r="U1153" s="247">
        <f>IF(OR(ISBLANK(F$68),AND(W1153&gt;(F$68-1),W1153&lt;(I$68+1))),IF(ISERROR(VLOOKUP(I$67,G$1076:G$1078,1,FALSE)),IF(K$67=G$1086,IF(MONTH(W1153)&lt;&gt;MONTH(W1152),MAX(U$1009:U1152)+1,0),IF(ISERROR(VLOOKUP(I$67,G$1079:G$1084,1,FALSE)),IF(V1153=1,MAX(U$1009:U1152)+1,0),IF(MONTH(W1154)&lt;&gt;MONTH(W1153),T1153,0))),IF(K$67=G$1086,IF(V1153=1,MAX(U$1009:U1152)+1,0),IF(V1153=7,MAX(U$1015:U1152)+1,0))),0)</f>
        <v>0</v>
      </c>
      <c r="V1153" s="27">
        <f t="shared" si="273"/>
        <v>5</v>
      </c>
      <c r="W1153" s="97">
        <f t="shared" si="274"/>
        <v>45436</v>
      </c>
      <c r="X1153" s="249" t="str">
        <f>IF(K$67=G$1086,IF(OR(U1153=1,AND(U1153&gt;0,U1153=(MAX(Y$1009:Y1152)+VLOOKUP(I$67,G$1076:H$1084,2,FALSE)))),"X",""),IF(AND(U1153&gt;0,U1153=(MAX(Y$1009:Y1152)+VLOOKUP(I$67,G$1076:H$1084,2,FALSE))),"X",""))</f>
        <v/>
      </c>
      <c r="Y1153" s="252">
        <f t="shared" si="275"/>
        <v>0</v>
      </c>
      <c r="Z1153" s="253">
        <f>IF(Y1153&gt;0,COUNTIF(Y$1009:Y1152,"&gt;0")+1,0)</f>
        <v>0</v>
      </c>
      <c r="AA1153" s="1"/>
      <c r="AB1153" s="255" t="str">
        <f t="shared" si="276"/>
        <v/>
      </c>
      <c r="AC1153" s="261" t="str">
        <f t="shared" si="278"/>
        <v/>
      </c>
      <c r="AD1153" s="258">
        <f>IF(Z1153&gt;0,COUNTIF(AC$1009:AC1152,AC1153)+1,0)</f>
        <v>0</v>
      </c>
      <c r="AE1153" s="258" t="str">
        <f t="shared" si="277"/>
        <v/>
      </c>
      <c r="AF1153" s="392" t="str">
        <f t="shared" si="279"/>
        <v/>
      </c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</row>
    <row r="1154" spans="1:93" ht="16.5" hidden="1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27">
        <f t="shared" si="280"/>
        <v>5</v>
      </c>
      <c r="U1154" s="247">
        <f>IF(OR(ISBLANK(F$68),AND(W1154&gt;(F$68-1),W1154&lt;(I$68+1))),IF(ISERROR(VLOOKUP(I$67,G$1076:G$1078,1,FALSE)),IF(K$67=G$1086,IF(MONTH(W1154)&lt;&gt;MONTH(W1153),MAX(U$1009:U1153)+1,0),IF(ISERROR(VLOOKUP(I$67,G$1079:G$1084,1,FALSE)),IF(V1154=1,MAX(U$1009:U1153)+1,0),IF(MONTH(W1155)&lt;&gt;MONTH(W1154),T1154,0))),IF(K$67=G$1086,IF(V1154=1,MAX(U$1009:U1153)+1,0),IF(V1154=7,MAX(U$1015:U1153)+1,0))),0)</f>
        <v>0</v>
      </c>
      <c r="V1154" s="27">
        <f t="shared" si="273"/>
        <v>6</v>
      </c>
      <c r="W1154" s="97">
        <f t="shared" si="274"/>
        <v>45437</v>
      </c>
      <c r="X1154" s="249" t="str">
        <f>IF(K$67=G$1086,IF(OR(U1154=1,AND(U1154&gt;0,U1154=(MAX(Y$1009:Y1153)+VLOOKUP(I$67,G$1076:H$1084,2,FALSE)))),"X",""),IF(AND(U1154&gt;0,U1154=(MAX(Y$1009:Y1153)+VLOOKUP(I$67,G$1076:H$1084,2,FALSE))),"X",""))</f>
        <v/>
      </c>
      <c r="Y1154" s="252">
        <f t="shared" si="275"/>
        <v>0</v>
      </c>
      <c r="Z1154" s="253">
        <f>IF(Y1154&gt;0,COUNTIF(Y$1009:Y1153,"&gt;0")+1,0)</f>
        <v>0</v>
      </c>
      <c r="AA1154" s="1"/>
      <c r="AB1154" s="255" t="str">
        <f t="shared" si="276"/>
        <v/>
      </c>
      <c r="AC1154" s="261" t="str">
        <f t="shared" si="278"/>
        <v/>
      </c>
      <c r="AD1154" s="258">
        <f>IF(Z1154&gt;0,COUNTIF(AC$1009:AC1153,AC1154)+1,0)</f>
        <v>0</v>
      </c>
      <c r="AE1154" s="258" t="str">
        <f t="shared" si="277"/>
        <v/>
      </c>
      <c r="AF1154" s="392" t="str">
        <f t="shared" si="279"/>
        <v/>
      </c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</row>
    <row r="1155" spans="1:93" ht="16.5" hidden="1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27">
        <f t="shared" si="280"/>
        <v>5</v>
      </c>
      <c r="U1155" s="247">
        <f>IF(OR(ISBLANK(F$68),AND(W1155&gt;(F$68-1),W1155&lt;(I$68+1))),IF(ISERROR(VLOOKUP(I$67,G$1076:G$1078,1,FALSE)),IF(K$67=G$1086,IF(MONTH(W1155)&lt;&gt;MONTH(W1154),MAX(U$1009:U1154)+1,0),IF(ISERROR(VLOOKUP(I$67,G$1079:G$1084,1,FALSE)),IF(V1155=1,MAX(U$1009:U1154)+1,0),IF(MONTH(W1156)&lt;&gt;MONTH(W1155),T1155,0))),IF(K$67=G$1086,IF(V1155=1,MAX(U$1009:U1154)+1,0),IF(V1155=7,MAX(U$1015:U1154)+1,0))),0)</f>
        <v>0</v>
      </c>
      <c r="V1155" s="27">
        <f t="shared" si="273"/>
        <v>7</v>
      </c>
      <c r="W1155" s="97">
        <f t="shared" si="274"/>
        <v>45438</v>
      </c>
      <c r="X1155" s="249" t="str">
        <f>IF(K$67=G$1086,IF(OR(U1155=1,AND(U1155&gt;0,U1155=(MAX(Y$1009:Y1154)+VLOOKUP(I$67,G$1076:H$1084,2,FALSE)))),"X",""),IF(AND(U1155&gt;0,U1155=(MAX(Y$1009:Y1154)+VLOOKUP(I$67,G$1076:H$1084,2,FALSE))),"X",""))</f>
        <v/>
      </c>
      <c r="Y1155" s="252">
        <f t="shared" si="275"/>
        <v>0</v>
      </c>
      <c r="Z1155" s="253">
        <f>IF(Y1155&gt;0,COUNTIF(Y$1009:Y1154,"&gt;0")+1,0)</f>
        <v>0</v>
      </c>
      <c r="AA1155" s="1"/>
      <c r="AB1155" s="255" t="str">
        <f t="shared" si="276"/>
        <v/>
      </c>
      <c r="AC1155" s="261" t="str">
        <f t="shared" si="278"/>
        <v/>
      </c>
      <c r="AD1155" s="258">
        <f>IF(Z1155&gt;0,COUNTIF(AC$1009:AC1154,AC1155)+1,0)</f>
        <v>0</v>
      </c>
      <c r="AE1155" s="258" t="str">
        <f t="shared" si="277"/>
        <v/>
      </c>
      <c r="AF1155" s="392" t="str">
        <f t="shared" si="279"/>
        <v/>
      </c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</row>
    <row r="1156" spans="1:93" ht="16.5" hidden="1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27">
        <f t="shared" si="280"/>
        <v>5</v>
      </c>
      <c r="U1156" s="247">
        <f>IF(OR(ISBLANK(F$68),AND(W1156&gt;(F$68-1),W1156&lt;(I$68+1))),IF(ISERROR(VLOOKUP(I$67,G$1076:G$1078,1,FALSE)),IF(K$67=G$1086,IF(MONTH(W1156)&lt;&gt;MONTH(W1155),MAX(U$1009:U1155)+1,0),IF(ISERROR(VLOOKUP(I$67,G$1079:G$1084,1,FALSE)),IF(V1156=1,MAX(U$1009:U1155)+1,0),IF(MONTH(W1157)&lt;&gt;MONTH(W1156),T1156,0))),IF(K$67=G$1086,IF(V1156=1,MAX(U$1009:U1155)+1,0),IF(V1156=7,MAX(U$1015:U1155)+1,0))),0)</f>
        <v>22</v>
      </c>
      <c r="V1156" s="27">
        <f t="shared" si="273"/>
        <v>1</v>
      </c>
      <c r="W1156" s="97">
        <f t="shared" si="274"/>
        <v>45439</v>
      </c>
      <c r="X1156" s="249" t="str">
        <f>IF(K$67=G$1086,IF(OR(U1156=1,AND(U1156&gt;0,U1156=(MAX(Y$1009:Y1155)+VLOOKUP(I$67,G$1076:H$1084,2,FALSE)))),"X",""),IF(AND(U1156&gt;0,U1156=(MAX(Y$1009:Y1155)+VLOOKUP(I$67,G$1076:H$1084,2,FALSE))),"X",""))</f>
        <v/>
      </c>
      <c r="Y1156" s="252">
        <f t="shared" si="275"/>
        <v>0</v>
      </c>
      <c r="Z1156" s="253">
        <f>IF(Y1156&gt;0,COUNTIF(Y$1009:Y1155,"&gt;0")+1,0)</f>
        <v>0</v>
      </c>
      <c r="AA1156" s="1"/>
      <c r="AB1156" s="255" t="str">
        <f t="shared" si="276"/>
        <v/>
      </c>
      <c r="AC1156" s="261" t="str">
        <f t="shared" si="278"/>
        <v/>
      </c>
      <c r="AD1156" s="258">
        <f>IF(Z1156&gt;0,COUNTIF(AC$1009:AC1155,AC1156)+1,0)</f>
        <v>0</v>
      </c>
      <c r="AE1156" s="258" t="str">
        <f t="shared" si="277"/>
        <v/>
      </c>
      <c r="AF1156" s="392" t="str">
        <f t="shared" si="279"/>
        <v/>
      </c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</row>
    <row r="1157" spans="1:93" ht="16.5" hidden="1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27">
        <f t="shared" si="280"/>
        <v>5</v>
      </c>
      <c r="U1157" s="247">
        <f>IF(OR(ISBLANK(F$68),AND(W1157&gt;(F$68-1),W1157&lt;(I$68+1))),IF(ISERROR(VLOOKUP(I$67,G$1076:G$1078,1,FALSE)),IF(K$67=G$1086,IF(MONTH(W1157)&lt;&gt;MONTH(W1156),MAX(U$1009:U1156)+1,0),IF(ISERROR(VLOOKUP(I$67,G$1079:G$1084,1,FALSE)),IF(V1157=1,MAX(U$1009:U1156)+1,0),IF(MONTH(W1158)&lt;&gt;MONTH(W1157),T1157,0))),IF(K$67=G$1086,IF(V1157=1,MAX(U$1009:U1156)+1,0),IF(V1157=7,MAX(U$1015:U1156)+1,0))),0)</f>
        <v>0</v>
      </c>
      <c r="V1157" s="27">
        <f t="shared" si="273"/>
        <v>2</v>
      </c>
      <c r="W1157" s="97">
        <f t="shared" si="274"/>
        <v>45440</v>
      </c>
      <c r="X1157" s="249" t="str">
        <f>IF(K$67=G$1086,IF(OR(U1157=1,AND(U1157&gt;0,U1157=(MAX(Y$1009:Y1156)+VLOOKUP(I$67,G$1076:H$1084,2,FALSE)))),"X",""),IF(AND(U1157&gt;0,U1157=(MAX(Y$1009:Y1156)+VLOOKUP(I$67,G$1076:H$1084,2,FALSE))),"X",""))</f>
        <v/>
      </c>
      <c r="Y1157" s="252">
        <f t="shared" si="275"/>
        <v>0</v>
      </c>
      <c r="Z1157" s="253">
        <f>IF(Y1157&gt;0,COUNTIF(Y$1009:Y1156,"&gt;0")+1,0)</f>
        <v>0</v>
      </c>
      <c r="AA1157" s="1"/>
      <c r="AB1157" s="255" t="str">
        <f t="shared" si="276"/>
        <v/>
      </c>
      <c r="AC1157" s="261" t="str">
        <f t="shared" si="278"/>
        <v/>
      </c>
      <c r="AD1157" s="258">
        <f>IF(Z1157&gt;0,COUNTIF(AC$1009:AC1156,AC1157)+1,0)</f>
        <v>0</v>
      </c>
      <c r="AE1157" s="258" t="str">
        <f t="shared" si="277"/>
        <v/>
      </c>
      <c r="AF1157" s="392" t="str">
        <f t="shared" si="279"/>
        <v/>
      </c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</row>
    <row r="1158" spans="1:93" ht="16.5" hidden="1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27">
        <f t="shared" si="280"/>
        <v>5</v>
      </c>
      <c r="U1158" s="247">
        <f>IF(OR(ISBLANK(F$68),AND(W1158&gt;(F$68-1),W1158&lt;(I$68+1))),IF(ISERROR(VLOOKUP(I$67,G$1076:G$1078,1,FALSE)),IF(K$67=G$1086,IF(MONTH(W1158)&lt;&gt;MONTH(W1157),MAX(U$1009:U1157)+1,0),IF(ISERROR(VLOOKUP(I$67,G$1079:G$1084,1,FALSE)),IF(V1158=1,MAX(U$1009:U1157)+1,0),IF(MONTH(W1159)&lt;&gt;MONTH(W1158),T1158,0))),IF(K$67=G$1086,IF(V1158=1,MAX(U$1009:U1157)+1,0),IF(V1158=7,MAX(U$1015:U1157)+1,0))),0)</f>
        <v>0</v>
      </c>
      <c r="V1158" s="27">
        <f t="shared" si="273"/>
        <v>3</v>
      </c>
      <c r="W1158" s="97">
        <f t="shared" si="274"/>
        <v>45441</v>
      </c>
      <c r="X1158" s="249" t="str">
        <f>IF(K$67=G$1086,IF(OR(U1158=1,AND(U1158&gt;0,U1158=(MAX(Y$1009:Y1157)+VLOOKUP(I$67,G$1076:H$1084,2,FALSE)))),"X",""),IF(AND(U1158&gt;0,U1158=(MAX(Y$1009:Y1157)+VLOOKUP(I$67,G$1076:H$1084,2,FALSE))),"X",""))</f>
        <v/>
      </c>
      <c r="Y1158" s="252">
        <f t="shared" si="275"/>
        <v>0</v>
      </c>
      <c r="Z1158" s="253">
        <f>IF(Y1158&gt;0,COUNTIF(Y$1009:Y1157,"&gt;0")+1,0)</f>
        <v>0</v>
      </c>
      <c r="AA1158" s="1"/>
      <c r="AB1158" s="255" t="str">
        <f t="shared" si="276"/>
        <v/>
      </c>
      <c r="AC1158" s="261" t="str">
        <f t="shared" si="278"/>
        <v/>
      </c>
      <c r="AD1158" s="258">
        <f>IF(Z1158&gt;0,COUNTIF(AC$1009:AC1157,AC1158)+1,0)</f>
        <v>0</v>
      </c>
      <c r="AE1158" s="258" t="str">
        <f t="shared" si="277"/>
        <v/>
      </c>
      <c r="AF1158" s="392" t="str">
        <f t="shared" si="279"/>
        <v/>
      </c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</row>
    <row r="1159" spans="1:93" ht="16.5" hidden="1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27">
        <f t="shared" si="280"/>
        <v>5</v>
      </c>
      <c r="U1159" s="247">
        <f>IF(OR(ISBLANK(F$68),AND(W1159&gt;(F$68-1),W1159&lt;(I$68+1))),IF(ISERROR(VLOOKUP(I$67,G$1076:G$1078,1,FALSE)),IF(K$67=G$1086,IF(MONTH(W1159)&lt;&gt;MONTH(W1158),MAX(U$1009:U1158)+1,0),IF(ISERROR(VLOOKUP(I$67,G$1079:G$1084,1,FALSE)),IF(V1159=1,MAX(U$1009:U1158)+1,0),IF(MONTH(W1160)&lt;&gt;MONTH(W1159),T1159,0))),IF(K$67=G$1086,IF(V1159=1,MAX(U$1009:U1158)+1,0),IF(V1159=7,MAX(U$1015:U1158)+1,0))),0)</f>
        <v>0</v>
      </c>
      <c r="V1159" s="27">
        <f t="shared" si="273"/>
        <v>4</v>
      </c>
      <c r="W1159" s="97">
        <f t="shared" si="274"/>
        <v>45442</v>
      </c>
      <c r="X1159" s="249" t="str">
        <f>IF(K$67=G$1086,IF(OR(U1159=1,AND(U1159&gt;0,U1159=(MAX(Y$1009:Y1158)+VLOOKUP(I$67,G$1076:H$1084,2,FALSE)))),"X",""),IF(AND(U1159&gt;0,U1159=(MAX(Y$1009:Y1158)+VLOOKUP(I$67,G$1076:H$1084,2,FALSE))),"X",""))</f>
        <v/>
      </c>
      <c r="Y1159" s="252">
        <f t="shared" si="275"/>
        <v>0</v>
      </c>
      <c r="Z1159" s="253">
        <f>IF(Y1159&gt;0,COUNTIF(Y$1009:Y1158,"&gt;0")+1,0)</f>
        <v>0</v>
      </c>
      <c r="AA1159" s="1"/>
      <c r="AB1159" s="255" t="str">
        <f t="shared" si="276"/>
        <v/>
      </c>
      <c r="AC1159" s="261" t="str">
        <f t="shared" si="278"/>
        <v/>
      </c>
      <c r="AD1159" s="258">
        <f>IF(Z1159&gt;0,COUNTIF(AC$1009:AC1158,AC1159)+1,0)</f>
        <v>0</v>
      </c>
      <c r="AE1159" s="258" t="str">
        <f t="shared" si="277"/>
        <v/>
      </c>
      <c r="AF1159" s="392" t="str">
        <f t="shared" si="279"/>
        <v/>
      </c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</row>
    <row r="1160" spans="1:93" ht="16.5" hidden="1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27">
        <f t="shared" si="280"/>
        <v>5</v>
      </c>
      <c r="U1160" s="247">
        <f>IF(OR(ISBLANK(F$68),AND(W1160&gt;(F$68-1),W1160&lt;(I$68+1))),IF(ISERROR(VLOOKUP(I$67,G$1076:G$1078,1,FALSE)),IF(K$67=G$1086,IF(MONTH(W1160)&lt;&gt;MONTH(W1159),MAX(U$1009:U1159)+1,0),IF(ISERROR(VLOOKUP(I$67,G$1079:G$1084,1,FALSE)),IF(V1160=1,MAX(U$1009:U1159)+1,0),IF(MONTH(W1161)&lt;&gt;MONTH(W1160),T1160,0))),IF(K$67=G$1086,IF(V1160=1,MAX(U$1009:U1159)+1,0),IF(V1160=7,MAX(U$1015:U1159)+1,0))),0)</f>
        <v>0</v>
      </c>
      <c r="V1160" s="27">
        <f t="shared" si="273"/>
        <v>5</v>
      </c>
      <c r="W1160" s="97">
        <f t="shared" si="274"/>
        <v>45443</v>
      </c>
      <c r="X1160" s="249" t="str">
        <f>IF(K$67=G$1086,IF(OR(U1160=1,AND(U1160&gt;0,U1160=(MAX(Y$1009:Y1159)+VLOOKUP(I$67,G$1076:H$1084,2,FALSE)))),"X",""),IF(AND(U1160&gt;0,U1160=(MAX(Y$1009:Y1159)+VLOOKUP(I$67,G$1076:H$1084,2,FALSE))),"X",""))</f>
        <v/>
      </c>
      <c r="Y1160" s="252">
        <f t="shared" si="275"/>
        <v>0</v>
      </c>
      <c r="Z1160" s="253">
        <f>IF(Y1160&gt;0,COUNTIF(Y$1009:Y1159,"&gt;0")+1,0)</f>
        <v>0</v>
      </c>
      <c r="AA1160" s="1"/>
      <c r="AB1160" s="255" t="str">
        <f t="shared" si="276"/>
        <v/>
      </c>
      <c r="AC1160" s="261" t="str">
        <f t="shared" si="278"/>
        <v/>
      </c>
      <c r="AD1160" s="258">
        <f>IF(Z1160&gt;0,COUNTIF(AC$1009:AC1159,AC1160)+1,0)</f>
        <v>0</v>
      </c>
      <c r="AE1160" s="258" t="str">
        <f t="shared" si="277"/>
        <v/>
      </c>
      <c r="AF1160" s="392" t="str">
        <f t="shared" si="279"/>
        <v/>
      </c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</row>
    <row r="1161" spans="1:93" ht="16.5" hidden="1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27">
        <f t="shared" si="280"/>
        <v>6</v>
      </c>
      <c r="U1161" s="247">
        <f>IF(OR(ISBLANK(F$68),AND(W1161&gt;(F$68-1),W1161&lt;(I$68+1))),IF(ISERROR(VLOOKUP(I$67,G$1076:G$1078,1,FALSE)),IF(K$67=G$1086,IF(MONTH(W1161)&lt;&gt;MONTH(W1160),MAX(U$1009:U1160)+1,0),IF(ISERROR(VLOOKUP(I$67,G$1079:G$1084,1,FALSE)),IF(V1161=1,MAX(U$1009:U1160)+1,0),IF(MONTH(W1162)&lt;&gt;MONTH(W1161),T1161,0))),IF(K$67=G$1086,IF(V1161=1,MAX(U$1009:U1160)+1,0),IF(V1161=7,MAX(U$1015:U1160)+1,0))),0)</f>
        <v>0</v>
      </c>
      <c r="V1161" s="27">
        <f t="shared" si="273"/>
        <v>6</v>
      </c>
      <c r="W1161" s="97">
        <f t="shared" si="274"/>
        <v>45444</v>
      </c>
      <c r="X1161" s="249" t="str">
        <f>IF(K$67=G$1086,IF(OR(U1161=1,AND(U1161&gt;0,U1161=(MAX(Y$1009:Y1160)+VLOOKUP(I$67,G$1076:H$1084,2,FALSE)))),"X",""),IF(AND(U1161&gt;0,U1161=(MAX(Y$1009:Y1160)+VLOOKUP(I$67,G$1076:H$1084,2,FALSE))),"X",""))</f>
        <v/>
      </c>
      <c r="Y1161" s="252">
        <f t="shared" si="275"/>
        <v>0</v>
      </c>
      <c r="Z1161" s="253">
        <f>IF(Y1161&gt;0,COUNTIF(Y$1009:Y1160,"&gt;0")+1,0)</f>
        <v>0</v>
      </c>
      <c r="AA1161" s="1"/>
      <c r="AB1161" s="255" t="str">
        <f t="shared" si="276"/>
        <v/>
      </c>
      <c r="AC1161" s="261" t="str">
        <f t="shared" si="278"/>
        <v/>
      </c>
      <c r="AD1161" s="258">
        <f>IF(Z1161&gt;0,COUNTIF(AC$1009:AC1160,AC1161)+1,0)</f>
        <v>0</v>
      </c>
      <c r="AE1161" s="258" t="str">
        <f t="shared" si="277"/>
        <v/>
      </c>
      <c r="AF1161" s="392" t="str">
        <f t="shared" si="279"/>
        <v/>
      </c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</row>
    <row r="1162" spans="1:93" ht="16.5" hidden="1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27">
        <f t="shared" si="280"/>
        <v>6</v>
      </c>
      <c r="U1162" s="247">
        <f>IF(OR(ISBLANK(F$68),AND(W1162&gt;(F$68-1),W1162&lt;(I$68+1))),IF(ISERROR(VLOOKUP(I$67,G$1076:G$1078,1,FALSE)),IF(K$67=G$1086,IF(MONTH(W1162)&lt;&gt;MONTH(W1161),MAX(U$1009:U1161)+1,0),IF(ISERROR(VLOOKUP(I$67,G$1079:G$1084,1,FALSE)),IF(V1162=1,MAX(U$1009:U1161)+1,0),IF(MONTH(W1163)&lt;&gt;MONTH(W1162),T1162,0))),IF(K$67=G$1086,IF(V1162=1,MAX(U$1009:U1161)+1,0),IF(V1162=7,MAX(U$1015:U1161)+1,0))),0)</f>
        <v>0</v>
      </c>
      <c r="V1162" s="27">
        <f t="shared" si="273"/>
        <v>7</v>
      </c>
      <c r="W1162" s="97">
        <f t="shared" si="274"/>
        <v>45445</v>
      </c>
      <c r="X1162" s="249" t="str">
        <f>IF(K$67=G$1086,IF(OR(U1162=1,AND(U1162&gt;0,U1162=(MAX(Y$1009:Y1161)+VLOOKUP(I$67,G$1076:H$1084,2,FALSE)))),"X",""),IF(AND(U1162&gt;0,U1162=(MAX(Y$1009:Y1161)+VLOOKUP(I$67,G$1076:H$1084,2,FALSE))),"X",""))</f>
        <v/>
      </c>
      <c r="Y1162" s="252">
        <f t="shared" si="275"/>
        <v>0</v>
      </c>
      <c r="Z1162" s="253">
        <f>IF(Y1162&gt;0,COUNTIF(Y$1009:Y1161,"&gt;0")+1,0)</f>
        <v>0</v>
      </c>
      <c r="AA1162" s="1"/>
      <c r="AB1162" s="255" t="str">
        <f t="shared" si="276"/>
        <v/>
      </c>
      <c r="AC1162" s="261" t="str">
        <f t="shared" si="278"/>
        <v/>
      </c>
      <c r="AD1162" s="258">
        <f>IF(Z1162&gt;0,COUNTIF(AC$1009:AC1161,AC1162)+1,0)</f>
        <v>0</v>
      </c>
      <c r="AE1162" s="258" t="str">
        <f t="shared" si="277"/>
        <v/>
      </c>
      <c r="AF1162" s="392" t="str">
        <f t="shared" si="279"/>
        <v/>
      </c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</row>
    <row r="1163" spans="1:93" ht="16.5" hidden="1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27">
        <f t="shared" si="280"/>
        <v>6</v>
      </c>
      <c r="U1163" s="247">
        <f>IF(OR(ISBLANK(F$68),AND(W1163&gt;(F$68-1),W1163&lt;(I$68+1))),IF(ISERROR(VLOOKUP(I$67,G$1076:G$1078,1,FALSE)),IF(K$67=G$1086,IF(MONTH(W1163)&lt;&gt;MONTH(W1162),MAX(U$1009:U1162)+1,0),IF(ISERROR(VLOOKUP(I$67,G$1079:G$1084,1,FALSE)),IF(V1163=1,MAX(U$1009:U1162)+1,0),IF(MONTH(W1164)&lt;&gt;MONTH(W1163),T1163,0))),IF(K$67=G$1086,IF(V1163=1,MAX(U$1009:U1162)+1,0),IF(V1163=7,MAX(U$1015:U1162)+1,0))),0)</f>
        <v>23</v>
      </c>
      <c r="V1163" s="27">
        <f t="shared" si="273"/>
        <v>1</v>
      </c>
      <c r="W1163" s="97">
        <f t="shared" si="274"/>
        <v>45446</v>
      </c>
      <c r="X1163" s="249" t="str">
        <f>IF(K$67=G$1086,IF(OR(U1163=1,AND(U1163&gt;0,U1163=(MAX(Y$1009:Y1162)+VLOOKUP(I$67,G$1076:H$1084,2,FALSE)))),"X",""),IF(AND(U1163&gt;0,U1163=(MAX(Y$1009:Y1162)+VLOOKUP(I$67,G$1076:H$1084,2,FALSE))),"X",""))</f>
        <v>X</v>
      </c>
      <c r="Y1163" s="252">
        <f t="shared" si="275"/>
        <v>23</v>
      </c>
      <c r="Z1163" s="253">
        <f>IF(Y1163&gt;0,COUNTIF(Y$1009:Y1162,"&gt;0")+1,0)</f>
        <v>12</v>
      </c>
      <c r="AA1163" s="1"/>
      <c r="AB1163" s="255">
        <f t="shared" si="276"/>
        <v>45446</v>
      </c>
      <c r="AC1163" s="261">
        <f t="shared" si="278"/>
        <v>6</v>
      </c>
      <c r="AD1163" s="258">
        <f>IF(Z1163&gt;0,COUNTIF(AC$1009:AC1162,AC1163)+1,0)</f>
        <v>1</v>
      </c>
      <c r="AE1163" s="258" t="str">
        <f t="shared" si="277"/>
        <v>6-1</v>
      </c>
      <c r="AF1163" s="392">
        <f t="shared" si="279"/>
        <v>45446</v>
      </c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</row>
    <row r="1164" spans="1:93" ht="16.5" hidden="1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27">
        <f t="shared" si="280"/>
        <v>6</v>
      </c>
      <c r="U1164" s="247">
        <f>IF(OR(ISBLANK(F$68),AND(W1164&gt;(F$68-1),W1164&lt;(I$68+1))),IF(ISERROR(VLOOKUP(I$67,G$1076:G$1078,1,FALSE)),IF(K$67=G$1086,IF(MONTH(W1164)&lt;&gt;MONTH(W1163),MAX(U$1009:U1163)+1,0),IF(ISERROR(VLOOKUP(I$67,G$1079:G$1084,1,FALSE)),IF(V1164=1,MAX(U$1009:U1163)+1,0),IF(MONTH(W1165)&lt;&gt;MONTH(W1164),T1164,0))),IF(K$67=G$1086,IF(V1164=1,MAX(U$1009:U1163)+1,0),IF(V1164=7,MAX(U$1015:U1163)+1,0))),0)</f>
        <v>0</v>
      </c>
      <c r="V1164" s="27">
        <f t="shared" si="273"/>
        <v>2</v>
      </c>
      <c r="W1164" s="97">
        <f t="shared" si="274"/>
        <v>45447</v>
      </c>
      <c r="X1164" s="249" t="str">
        <f>IF(K$67=G$1086,IF(OR(U1164=1,AND(U1164&gt;0,U1164=(MAX(Y$1009:Y1163)+VLOOKUP(I$67,G$1076:H$1084,2,FALSE)))),"X",""),IF(AND(U1164&gt;0,U1164=(MAX(Y$1009:Y1163)+VLOOKUP(I$67,G$1076:H$1084,2,FALSE))),"X",""))</f>
        <v/>
      </c>
      <c r="Y1164" s="252">
        <f t="shared" si="275"/>
        <v>0</v>
      </c>
      <c r="Z1164" s="253">
        <f>IF(Y1164&gt;0,COUNTIF(Y$1009:Y1163,"&gt;0")+1,0)</f>
        <v>0</v>
      </c>
      <c r="AA1164" s="1"/>
      <c r="AB1164" s="255" t="str">
        <f t="shared" si="276"/>
        <v/>
      </c>
      <c r="AC1164" s="261" t="str">
        <f t="shared" si="278"/>
        <v/>
      </c>
      <c r="AD1164" s="258">
        <f>IF(Z1164&gt;0,COUNTIF(AC$1009:AC1163,AC1164)+1,0)</f>
        <v>0</v>
      </c>
      <c r="AE1164" s="258" t="str">
        <f t="shared" si="277"/>
        <v/>
      </c>
      <c r="AF1164" s="392" t="str">
        <f t="shared" si="279"/>
        <v/>
      </c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</row>
    <row r="1165" spans="1:93" ht="16.5" hidden="1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27">
        <f t="shared" si="280"/>
        <v>6</v>
      </c>
      <c r="U1165" s="247">
        <f>IF(OR(ISBLANK(F$68),AND(W1165&gt;(F$68-1),W1165&lt;(I$68+1))),IF(ISERROR(VLOOKUP(I$67,G$1076:G$1078,1,FALSE)),IF(K$67=G$1086,IF(MONTH(W1165)&lt;&gt;MONTH(W1164),MAX(U$1009:U1164)+1,0),IF(ISERROR(VLOOKUP(I$67,G$1079:G$1084,1,FALSE)),IF(V1165=1,MAX(U$1009:U1164)+1,0),IF(MONTH(W1166)&lt;&gt;MONTH(W1165),T1165,0))),IF(K$67=G$1086,IF(V1165=1,MAX(U$1009:U1164)+1,0),IF(V1165=7,MAX(U$1015:U1164)+1,0))),0)</f>
        <v>0</v>
      </c>
      <c r="V1165" s="27">
        <f t="shared" si="273"/>
        <v>3</v>
      </c>
      <c r="W1165" s="97">
        <f t="shared" si="274"/>
        <v>45448</v>
      </c>
      <c r="X1165" s="249" t="str">
        <f>IF(K$67=G$1086,IF(OR(U1165=1,AND(U1165&gt;0,U1165=(MAX(Y$1009:Y1164)+VLOOKUP(I$67,G$1076:H$1084,2,FALSE)))),"X",""),IF(AND(U1165&gt;0,U1165=(MAX(Y$1009:Y1164)+VLOOKUP(I$67,G$1076:H$1084,2,FALSE))),"X",""))</f>
        <v/>
      </c>
      <c r="Y1165" s="252">
        <f t="shared" si="275"/>
        <v>0</v>
      </c>
      <c r="Z1165" s="253">
        <f>IF(Y1165&gt;0,COUNTIF(Y$1009:Y1164,"&gt;0")+1,0)</f>
        <v>0</v>
      </c>
      <c r="AA1165" s="1"/>
      <c r="AB1165" s="255" t="str">
        <f t="shared" si="276"/>
        <v/>
      </c>
      <c r="AC1165" s="261" t="str">
        <f t="shared" si="278"/>
        <v/>
      </c>
      <c r="AD1165" s="258">
        <f>IF(Z1165&gt;0,COUNTIF(AC$1009:AC1164,AC1165)+1,0)</f>
        <v>0</v>
      </c>
      <c r="AE1165" s="258" t="str">
        <f t="shared" si="277"/>
        <v/>
      </c>
      <c r="AF1165" s="392" t="str">
        <f t="shared" si="279"/>
        <v/>
      </c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</row>
    <row r="1166" spans="1:93" ht="16.5" hidden="1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27">
        <f t="shared" si="280"/>
        <v>6</v>
      </c>
      <c r="U1166" s="247">
        <f>IF(OR(ISBLANK(F$68),AND(W1166&gt;(F$68-1),W1166&lt;(I$68+1))),IF(ISERROR(VLOOKUP(I$67,G$1076:G$1078,1,FALSE)),IF(K$67=G$1086,IF(MONTH(W1166)&lt;&gt;MONTH(W1165),MAX(U$1009:U1165)+1,0),IF(ISERROR(VLOOKUP(I$67,G$1079:G$1084,1,FALSE)),IF(V1166=1,MAX(U$1009:U1165)+1,0),IF(MONTH(W1167)&lt;&gt;MONTH(W1166),T1166,0))),IF(K$67=G$1086,IF(V1166=1,MAX(U$1009:U1165)+1,0),IF(V1166=7,MAX(U$1015:U1165)+1,0))),0)</f>
        <v>0</v>
      </c>
      <c r="V1166" s="27">
        <f t="shared" si="273"/>
        <v>4</v>
      </c>
      <c r="W1166" s="97">
        <f t="shared" si="274"/>
        <v>45449</v>
      </c>
      <c r="X1166" s="249" t="str">
        <f>IF(K$67=G$1086,IF(OR(U1166=1,AND(U1166&gt;0,U1166=(MAX(Y$1009:Y1165)+VLOOKUP(I$67,G$1076:H$1084,2,FALSE)))),"X",""),IF(AND(U1166&gt;0,U1166=(MAX(Y$1009:Y1165)+VLOOKUP(I$67,G$1076:H$1084,2,FALSE))),"X",""))</f>
        <v/>
      </c>
      <c r="Y1166" s="252">
        <f t="shared" si="275"/>
        <v>0</v>
      </c>
      <c r="Z1166" s="253">
        <f>IF(Y1166&gt;0,COUNTIF(Y$1009:Y1165,"&gt;0")+1,0)</f>
        <v>0</v>
      </c>
      <c r="AA1166" s="1"/>
      <c r="AB1166" s="255" t="str">
        <f t="shared" si="276"/>
        <v/>
      </c>
      <c r="AC1166" s="261" t="str">
        <f t="shared" si="278"/>
        <v/>
      </c>
      <c r="AD1166" s="258">
        <f>IF(Z1166&gt;0,COUNTIF(AC$1009:AC1165,AC1166)+1,0)</f>
        <v>0</v>
      </c>
      <c r="AE1166" s="258" t="str">
        <f t="shared" si="277"/>
        <v/>
      </c>
      <c r="AF1166" s="392" t="str">
        <f t="shared" si="279"/>
        <v/>
      </c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</row>
    <row r="1167" spans="1:93" ht="16.5" hidden="1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27">
        <f t="shared" si="280"/>
        <v>6</v>
      </c>
      <c r="U1167" s="247">
        <f>IF(OR(ISBLANK(F$68),AND(W1167&gt;(F$68-1),W1167&lt;(I$68+1))),IF(ISERROR(VLOOKUP(I$67,G$1076:G$1078,1,FALSE)),IF(K$67=G$1086,IF(MONTH(W1167)&lt;&gt;MONTH(W1166),MAX(U$1009:U1166)+1,0),IF(ISERROR(VLOOKUP(I$67,G$1079:G$1084,1,FALSE)),IF(V1167=1,MAX(U$1009:U1166)+1,0),IF(MONTH(W1168)&lt;&gt;MONTH(W1167),T1167,0))),IF(K$67=G$1086,IF(V1167=1,MAX(U$1009:U1166)+1,0),IF(V1167=7,MAX(U$1015:U1166)+1,0))),0)</f>
        <v>0</v>
      </c>
      <c r="V1167" s="27">
        <f t="shared" si="273"/>
        <v>5</v>
      </c>
      <c r="W1167" s="97">
        <f t="shared" si="274"/>
        <v>45450</v>
      </c>
      <c r="X1167" s="249" t="str">
        <f>IF(K$67=G$1086,IF(OR(U1167=1,AND(U1167&gt;0,U1167=(MAX(Y$1009:Y1166)+VLOOKUP(I$67,G$1076:H$1084,2,FALSE)))),"X",""),IF(AND(U1167&gt;0,U1167=(MAX(Y$1009:Y1166)+VLOOKUP(I$67,G$1076:H$1084,2,FALSE))),"X",""))</f>
        <v/>
      </c>
      <c r="Y1167" s="252">
        <f t="shared" si="275"/>
        <v>0</v>
      </c>
      <c r="Z1167" s="253">
        <f>IF(Y1167&gt;0,COUNTIF(Y$1009:Y1166,"&gt;0")+1,0)</f>
        <v>0</v>
      </c>
      <c r="AA1167" s="1"/>
      <c r="AB1167" s="255" t="str">
        <f t="shared" si="276"/>
        <v/>
      </c>
      <c r="AC1167" s="261" t="str">
        <f t="shared" si="278"/>
        <v/>
      </c>
      <c r="AD1167" s="258">
        <f>IF(Z1167&gt;0,COUNTIF(AC$1009:AC1166,AC1167)+1,0)</f>
        <v>0</v>
      </c>
      <c r="AE1167" s="258" t="str">
        <f t="shared" si="277"/>
        <v/>
      </c>
      <c r="AF1167" s="392" t="str">
        <f t="shared" si="279"/>
        <v/>
      </c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</row>
    <row r="1168" spans="1:93" ht="16.5" hidden="1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27">
        <f t="shared" si="280"/>
        <v>6</v>
      </c>
      <c r="U1168" s="247">
        <f>IF(OR(ISBLANK(F$68),AND(W1168&gt;(F$68-1),W1168&lt;(I$68+1))),IF(ISERROR(VLOOKUP(I$67,G$1076:G$1078,1,FALSE)),IF(K$67=G$1086,IF(MONTH(W1168)&lt;&gt;MONTH(W1167),MAX(U$1009:U1167)+1,0),IF(ISERROR(VLOOKUP(I$67,G$1079:G$1084,1,FALSE)),IF(V1168=1,MAX(U$1009:U1167)+1,0),IF(MONTH(W1169)&lt;&gt;MONTH(W1168),T1168,0))),IF(K$67=G$1086,IF(V1168=1,MAX(U$1009:U1167)+1,0),IF(V1168=7,MAX(U$1015:U1167)+1,0))),0)</f>
        <v>0</v>
      </c>
      <c r="V1168" s="27">
        <f t="shared" si="273"/>
        <v>6</v>
      </c>
      <c r="W1168" s="97">
        <f t="shared" si="274"/>
        <v>45451</v>
      </c>
      <c r="X1168" s="249" t="str">
        <f>IF(K$67=G$1086,IF(OR(U1168=1,AND(U1168&gt;0,U1168=(MAX(Y$1009:Y1167)+VLOOKUP(I$67,G$1076:H$1084,2,FALSE)))),"X",""),IF(AND(U1168&gt;0,U1168=(MAX(Y$1009:Y1167)+VLOOKUP(I$67,G$1076:H$1084,2,FALSE))),"X",""))</f>
        <v/>
      </c>
      <c r="Y1168" s="252">
        <f t="shared" si="275"/>
        <v>0</v>
      </c>
      <c r="Z1168" s="253">
        <f>IF(Y1168&gt;0,COUNTIF(Y$1009:Y1167,"&gt;0")+1,0)</f>
        <v>0</v>
      </c>
      <c r="AA1168" s="1"/>
      <c r="AB1168" s="255" t="str">
        <f t="shared" si="276"/>
        <v/>
      </c>
      <c r="AC1168" s="261" t="str">
        <f t="shared" si="278"/>
        <v/>
      </c>
      <c r="AD1168" s="258">
        <f>IF(Z1168&gt;0,COUNTIF(AC$1009:AC1167,AC1168)+1,0)</f>
        <v>0</v>
      </c>
      <c r="AE1168" s="258" t="str">
        <f t="shared" si="277"/>
        <v/>
      </c>
      <c r="AF1168" s="392" t="str">
        <f t="shared" si="279"/>
        <v/>
      </c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</row>
    <row r="1169" spans="1:93" ht="16.5" hidden="1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27">
        <f t="shared" si="280"/>
        <v>6</v>
      </c>
      <c r="U1169" s="247">
        <f>IF(OR(ISBLANK(F$68),AND(W1169&gt;(F$68-1),W1169&lt;(I$68+1))),IF(ISERROR(VLOOKUP(I$67,G$1076:G$1078,1,FALSE)),IF(K$67=G$1086,IF(MONTH(W1169)&lt;&gt;MONTH(W1168),MAX(U$1009:U1168)+1,0),IF(ISERROR(VLOOKUP(I$67,G$1079:G$1084,1,FALSE)),IF(V1169=1,MAX(U$1009:U1168)+1,0),IF(MONTH(W1170)&lt;&gt;MONTH(W1169),T1169,0))),IF(K$67=G$1086,IF(V1169=1,MAX(U$1009:U1168)+1,0),IF(V1169=7,MAX(U$1015:U1168)+1,0))),0)</f>
        <v>0</v>
      </c>
      <c r="V1169" s="27">
        <f t="shared" si="273"/>
        <v>7</v>
      </c>
      <c r="W1169" s="97">
        <f t="shared" si="274"/>
        <v>45452</v>
      </c>
      <c r="X1169" s="249" t="str">
        <f>IF(K$67=G$1086,IF(OR(U1169=1,AND(U1169&gt;0,U1169=(MAX(Y$1009:Y1168)+VLOOKUP(I$67,G$1076:H$1084,2,FALSE)))),"X",""),IF(AND(U1169&gt;0,U1169=(MAX(Y$1009:Y1168)+VLOOKUP(I$67,G$1076:H$1084,2,FALSE))),"X",""))</f>
        <v/>
      </c>
      <c r="Y1169" s="252">
        <f t="shared" si="275"/>
        <v>0</v>
      </c>
      <c r="Z1169" s="253">
        <f>IF(Y1169&gt;0,COUNTIF(Y$1009:Y1168,"&gt;0")+1,0)</f>
        <v>0</v>
      </c>
      <c r="AA1169" s="1"/>
      <c r="AB1169" s="255" t="str">
        <f t="shared" si="276"/>
        <v/>
      </c>
      <c r="AC1169" s="261" t="str">
        <f t="shared" si="278"/>
        <v/>
      </c>
      <c r="AD1169" s="258">
        <f>IF(Z1169&gt;0,COUNTIF(AC$1009:AC1168,AC1169)+1,0)</f>
        <v>0</v>
      </c>
      <c r="AE1169" s="258" t="str">
        <f t="shared" si="277"/>
        <v/>
      </c>
      <c r="AF1169" s="392" t="str">
        <f t="shared" si="279"/>
        <v/>
      </c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</row>
    <row r="1170" spans="1:93" ht="16.5" hidden="1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27">
        <f t="shared" si="280"/>
        <v>6</v>
      </c>
      <c r="U1170" s="247">
        <f>IF(OR(ISBLANK(F$68),AND(W1170&gt;(F$68-1),W1170&lt;(I$68+1))),IF(ISERROR(VLOOKUP(I$67,G$1076:G$1078,1,FALSE)),IF(K$67=G$1086,IF(MONTH(W1170)&lt;&gt;MONTH(W1169),MAX(U$1009:U1169)+1,0),IF(ISERROR(VLOOKUP(I$67,G$1079:G$1084,1,FALSE)),IF(V1170=1,MAX(U$1009:U1169)+1,0),IF(MONTH(W1171)&lt;&gt;MONTH(W1170),T1170,0))),IF(K$67=G$1086,IF(V1170=1,MAX(U$1009:U1169)+1,0),IF(V1170=7,MAX(U$1015:U1169)+1,0))),0)</f>
        <v>24</v>
      </c>
      <c r="V1170" s="27">
        <f t="shared" si="273"/>
        <v>1</v>
      </c>
      <c r="W1170" s="97">
        <f t="shared" si="274"/>
        <v>45453</v>
      </c>
      <c r="X1170" s="249" t="str">
        <f>IF(K$67=G$1086,IF(OR(U1170=1,AND(U1170&gt;0,U1170=(MAX(Y$1009:Y1169)+VLOOKUP(I$67,G$1076:H$1084,2,FALSE)))),"X",""),IF(AND(U1170&gt;0,U1170=(MAX(Y$1009:Y1169)+VLOOKUP(I$67,G$1076:H$1084,2,FALSE))),"X",""))</f>
        <v/>
      </c>
      <c r="Y1170" s="252">
        <f t="shared" si="275"/>
        <v>0</v>
      </c>
      <c r="Z1170" s="253">
        <f>IF(Y1170&gt;0,COUNTIF(Y$1009:Y1169,"&gt;0")+1,0)</f>
        <v>0</v>
      </c>
      <c r="AA1170" s="1"/>
      <c r="AB1170" s="255" t="str">
        <f t="shared" si="276"/>
        <v/>
      </c>
      <c r="AC1170" s="261" t="str">
        <f t="shared" si="278"/>
        <v/>
      </c>
      <c r="AD1170" s="258">
        <f>IF(Z1170&gt;0,COUNTIF(AC$1009:AC1169,AC1170)+1,0)</f>
        <v>0</v>
      </c>
      <c r="AE1170" s="258" t="str">
        <f t="shared" si="277"/>
        <v/>
      </c>
      <c r="AF1170" s="392" t="str">
        <f t="shared" si="279"/>
        <v/>
      </c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</row>
    <row r="1171" spans="1:93" ht="16.5" hidden="1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27">
        <f t="shared" si="280"/>
        <v>6</v>
      </c>
      <c r="U1171" s="247">
        <f>IF(OR(ISBLANK(F$68),AND(W1171&gt;(F$68-1),W1171&lt;(I$68+1))),IF(ISERROR(VLOOKUP(I$67,G$1076:G$1078,1,FALSE)),IF(K$67=G$1086,IF(MONTH(W1171)&lt;&gt;MONTH(W1170),MAX(U$1009:U1170)+1,0),IF(ISERROR(VLOOKUP(I$67,G$1079:G$1084,1,FALSE)),IF(V1171=1,MAX(U$1009:U1170)+1,0),IF(MONTH(W1172)&lt;&gt;MONTH(W1171),T1171,0))),IF(K$67=G$1086,IF(V1171=1,MAX(U$1009:U1170)+1,0),IF(V1171=7,MAX(U$1015:U1170)+1,0))),0)</f>
        <v>0</v>
      </c>
      <c r="V1171" s="27">
        <f t="shared" si="273"/>
        <v>2</v>
      </c>
      <c r="W1171" s="97">
        <f t="shared" si="274"/>
        <v>45454</v>
      </c>
      <c r="X1171" s="249" t="str">
        <f>IF(K$67=G$1086,IF(OR(U1171=1,AND(U1171&gt;0,U1171=(MAX(Y$1009:Y1170)+VLOOKUP(I$67,G$1076:H$1084,2,FALSE)))),"X",""),IF(AND(U1171&gt;0,U1171=(MAX(Y$1009:Y1170)+VLOOKUP(I$67,G$1076:H$1084,2,FALSE))),"X",""))</f>
        <v/>
      </c>
      <c r="Y1171" s="252">
        <f t="shared" si="275"/>
        <v>0</v>
      </c>
      <c r="Z1171" s="253">
        <f>IF(Y1171&gt;0,COUNTIF(Y$1009:Y1170,"&gt;0")+1,0)</f>
        <v>0</v>
      </c>
      <c r="AA1171" s="1"/>
      <c r="AB1171" s="255" t="str">
        <f t="shared" si="276"/>
        <v/>
      </c>
      <c r="AC1171" s="261" t="str">
        <f t="shared" si="278"/>
        <v/>
      </c>
      <c r="AD1171" s="258">
        <f>IF(Z1171&gt;0,COUNTIF(AC$1009:AC1170,AC1171)+1,0)</f>
        <v>0</v>
      </c>
      <c r="AE1171" s="258" t="str">
        <f t="shared" si="277"/>
        <v/>
      </c>
      <c r="AF1171" s="392" t="str">
        <f t="shared" si="279"/>
        <v/>
      </c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</row>
    <row r="1172" spans="1:93" ht="16.5" hidden="1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27">
        <f t="shared" si="280"/>
        <v>6</v>
      </c>
      <c r="U1172" s="247">
        <f>IF(OR(ISBLANK(F$68),AND(W1172&gt;(F$68-1),W1172&lt;(I$68+1))),IF(ISERROR(VLOOKUP(I$67,G$1076:G$1078,1,FALSE)),IF(K$67=G$1086,IF(MONTH(W1172)&lt;&gt;MONTH(W1171),MAX(U$1009:U1171)+1,0),IF(ISERROR(VLOOKUP(I$67,G$1079:G$1084,1,FALSE)),IF(V1172=1,MAX(U$1009:U1171)+1,0),IF(MONTH(W1173)&lt;&gt;MONTH(W1172),T1172,0))),IF(K$67=G$1086,IF(V1172=1,MAX(U$1009:U1171)+1,0),IF(V1172=7,MAX(U$1015:U1171)+1,0))),0)</f>
        <v>0</v>
      </c>
      <c r="V1172" s="27">
        <f t="shared" si="273"/>
        <v>3</v>
      </c>
      <c r="W1172" s="97">
        <f t="shared" si="274"/>
        <v>45455</v>
      </c>
      <c r="X1172" s="249" t="str">
        <f>IF(K$67=G$1086,IF(OR(U1172=1,AND(U1172&gt;0,U1172=(MAX(Y$1009:Y1171)+VLOOKUP(I$67,G$1076:H$1084,2,FALSE)))),"X",""),IF(AND(U1172&gt;0,U1172=(MAX(Y$1009:Y1171)+VLOOKUP(I$67,G$1076:H$1084,2,FALSE))),"X",""))</f>
        <v/>
      </c>
      <c r="Y1172" s="252">
        <f t="shared" si="275"/>
        <v>0</v>
      </c>
      <c r="Z1172" s="253">
        <f>IF(Y1172&gt;0,COUNTIF(Y$1009:Y1171,"&gt;0")+1,0)</f>
        <v>0</v>
      </c>
      <c r="AA1172" s="1"/>
      <c r="AB1172" s="255" t="str">
        <f t="shared" si="276"/>
        <v/>
      </c>
      <c r="AC1172" s="261" t="str">
        <f t="shared" si="278"/>
        <v/>
      </c>
      <c r="AD1172" s="258">
        <f>IF(Z1172&gt;0,COUNTIF(AC$1009:AC1171,AC1172)+1,0)</f>
        <v>0</v>
      </c>
      <c r="AE1172" s="258" t="str">
        <f t="shared" si="277"/>
        <v/>
      </c>
      <c r="AF1172" s="392" t="str">
        <f t="shared" si="279"/>
        <v/>
      </c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</row>
    <row r="1173" spans="1:93" ht="16.5" hidden="1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27">
        <f t="shared" si="280"/>
        <v>6</v>
      </c>
      <c r="U1173" s="247">
        <f>IF(OR(ISBLANK(F$68),AND(W1173&gt;(F$68-1),W1173&lt;(I$68+1))),IF(ISERROR(VLOOKUP(I$67,G$1076:G$1078,1,FALSE)),IF(K$67=G$1086,IF(MONTH(W1173)&lt;&gt;MONTH(W1172),MAX(U$1009:U1172)+1,0),IF(ISERROR(VLOOKUP(I$67,G$1079:G$1084,1,FALSE)),IF(V1173=1,MAX(U$1009:U1172)+1,0),IF(MONTH(W1174)&lt;&gt;MONTH(W1173),T1173,0))),IF(K$67=G$1086,IF(V1173=1,MAX(U$1009:U1172)+1,0),IF(V1173=7,MAX(U$1015:U1172)+1,0))),0)</f>
        <v>0</v>
      </c>
      <c r="V1173" s="27">
        <f t="shared" si="273"/>
        <v>4</v>
      </c>
      <c r="W1173" s="97">
        <f t="shared" si="274"/>
        <v>45456</v>
      </c>
      <c r="X1173" s="249" t="str">
        <f>IF(K$67=G$1086,IF(OR(U1173=1,AND(U1173&gt;0,U1173=(MAX(Y$1009:Y1172)+VLOOKUP(I$67,G$1076:H$1084,2,FALSE)))),"X",""),IF(AND(U1173&gt;0,U1173=(MAX(Y$1009:Y1172)+VLOOKUP(I$67,G$1076:H$1084,2,FALSE))),"X",""))</f>
        <v/>
      </c>
      <c r="Y1173" s="252">
        <f t="shared" si="275"/>
        <v>0</v>
      </c>
      <c r="Z1173" s="253">
        <f>IF(Y1173&gt;0,COUNTIF(Y$1009:Y1172,"&gt;0")+1,0)</f>
        <v>0</v>
      </c>
      <c r="AA1173" s="1"/>
      <c r="AB1173" s="255" t="str">
        <f t="shared" si="276"/>
        <v/>
      </c>
      <c r="AC1173" s="261" t="str">
        <f t="shared" si="278"/>
        <v/>
      </c>
      <c r="AD1173" s="258">
        <f>IF(Z1173&gt;0,COUNTIF(AC$1009:AC1172,AC1173)+1,0)</f>
        <v>0</v>
      </c>
      <c r="AE1173" s="258" t="str">
        <f t="shared" si="277"/>
        <v/>
      </c>
      <c r="AF1173" s="392" t="str">
        <f t="shared" si="279"/>
        <v/>
      </c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</row>
    <row r="1174" spans="1:93" ht="16.5" hidden="1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27">
        <f t="shared" si="280"/>
        <v>6</v>
      </c>
      <c r="U1174" s="247">
        <f>IF(OR(ISBLANK(F$68),AND(W1174&gt;(F$68-1),W1174&lt;(I$68+1))),IF(ISERROR(VLOOKUP(I$67,G$1076:G$1078,1,FALSE)),IF(K$67=G$1086,IF(MONTH(W1174)&lt;&gt;MONTH(W1173),MAX(U$1009:U1173)+1,0),IF(ISERROR(VLOOKUP(I$67,G$1079:G$1084,1,FALSE)),IF(V1174=1,MAX(U$1009:U1173)+1,0),IF(MONTH(W1175)&lt;&gt;MONTH(W1174),T1174,0))),IF(K$67=G$1086,IF(V1174=1,MAX(U$1009:U1173)+1,0),IF(V1174=7,MAX(U$1015:U1173)+1,0))),0)</f>
        <v>0</v>
      </c>
      <c r="V1174" s="27">
        <f t="shared" si="273"/>
        <v>5</v>
      </c>
      <c r="W1174" s="97">
        <f t="shared" si="274"/>
        <v>45457</v>
      </c>
      <c r="X1174" s="249" t="str">
        <f>IF(K$67=G$1086,IF(OR(U1174=1,AND(U1174&gt;0,U1174=(MAX(Y$1009:Y1173)+VLOOKUP(I$67,G$1076:H$1084,2,FALSE)))),"X",""),IF(AND(U1174&gt;0,U1174=(MAX(Y$1009:Y1173)+VLOOKUP(I$67,G$1076:H$1084,2,FALSE))),"X",""))</f>
        <v/>
      </c>
      <c r="Y1174" s="252">
        <f t="shared" si="275"/>
        <v>0</v>
      </c>
      <c r="Z1174" s="253">
        <f>IF(Y1174&gt;0,COUNTIF(Y$1009:Y1173,"&gt;0")+1,0)</f>
        <v>0</v>
      </c>
      <c r="AA1174" s="1"/>
      <c r="AB1174" s="255" t="str">
        <f t="shared" si="276"/>
        <v/>
      </c>
      <c r="AC1174" s="261" t="str">
        <f t="shared" si="278"/>
        <v/>
      </c>
      <c r="AD1174" s="258">
        <f>IF(Z1174&gt;0,COUNTIF(AC$1009:AC1173,AC1174)+1,0)</f>
        <v>0</v>
      </c>
      <c r="AE1174" s="258" t="str">
        <f t="shared" si="277"/>
        <v/>
      </c>
      <c r="AF1174" s="392" t="str">
        <f t="shared" si="279"/>
        <v/>
      </c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</row>
    <row r="1175" spans="1:93" ht="16.5" hidden="1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27">
        <f t="shared" si="280"/>
        <v>6</v>
      </c>
      <c r="U1175" s="247">
        <f>IF(OR(ISBLANK(F$68),AND(W1175&gt;(F$68-1),W1175&lt;(I$68+1))),IF(ISERROR(VLOOKUP(I$67,G$1076:G$1078,1,FALSE)),IF(K$67=G$1086,IF(MONTH(W1175)&lt;&gt;MONTH(W1174),MAX(U$1009:U1174)+1,0),IF(ISERROR(VLOOKUP(I$67,G$1079:G$1084,1,FALSE)),IF(V1175=1,MAX(U$1009:U1174)+1,0),IF(MONTH(W1176)&lt;&gt;MONTH(W1175),T1175,0))),IF(K$67=G$1086,IF(V1175=1,MAX(U$1009:U1174)+1,0),IF(V1175=7,MAX(U$1015:U1174)+1,0))),0)</f>
        <v>0</v>
      </c>
      <c r="V1175" s="27">
        <f t="shared" si="273"/>
        <v>6</v>
      </c>
      <c r="W1175" s="97">
        <f t="shared" si="274"/>
        <v>45458</v>
      </c>
      <c r="X1175" s="249" t="str">
        <f>IF(K$67=G$1086,IF(OR(U1175=1,AND(U1175&gt;0,U1175=(MAX(Y$1009:Y1174)+VLOOKUP(I$67,G$1076:H$1084,2,FALSE)))),"X",""),IF(AND(U1175&gt;0,U1175=(MAX(Y$1009:Y1174)+VLOOKUP(I$67,G$1076:H$1084,2,FALSE))),"X",""))</f>
        <v/>
      </c>
      <c r="Y1175" s="252">
        <f t="shared" si="275"/>
        <v>0</v>
      </c>
      <c r="Z1175" s="253">
        <f>IF(Y1175&gt;0,COUNTIF(Y$1009:Y1174,"&gt;0")+1,0)</f>
        <v>0</v>
      </c>
      <c r="AA1175" s="1"/>
      <c r="AB1175" s="255" t="str">
        <f t="shared" si="276"/>
        <v/>
      </c>
      <c r="AC1175" s="261" t="str">
        <f t="shared" si="278"/>
        <v/>
      </c>
      <c r="AD1175" s="258">
        <f>IF(Z1175&gt;0,COUNTIF(AC$1009:AC1174,AC1175)+1,0)</f>
        <v>0</v>
      </c>
      <c r="AE1175" s="258" t="str">
        <f t="shared" si="277"/>
        <v/>
      </c>
      <c r="AF1175" s="392" t="str">
        <f t="shared" si="279"/>
        <v/>
      </c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</row>
    <row r="1176" spans="1:93" ht="16.5" hidden="1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27">
        <f t="shared" si="280"/>
        <v>6</v>
      </c>
      <c r="U1176" s="247">
        <f>IF(OR(ISBLANK(F$68),AND(W1176&gt;(F$68-1),W1176&lt;(I$68+1))),IF(ISERROR(VLOOKUP(I$67,G$1076:G$1078,1,FALSE)),IF(K$67=G$1086,IF(MONTH(W1176)&lt;&gt;MONTH(W1175),MAX(U$1009:U1175)+1,0),IF(ISERROR(VLOOKUP(I$67,G$1079:G$1084,1,FALSE)),IF(V1176=1,MAX(U$1009:U1175)+1,0),IF(MONTH(W1177)&lt;&gt;MONTH(W1176),T1176,0))),IF(K$67=G$1086,IF(V1176=1,MAX(U$1009:U1175)+1,0),IF(V1176=7,MAX(U$1015:U1175)+1,0))),0)</f>
        <v>0</v>
      </c>
      <c r="V1176" s="27">
        <f t="shared" si="273"/>
        <v>7</v>
      </c>
      <c r="W1176" s="97">
        <f t="shared" si="274"/>
        <v>45459</v>
      </c>
      <c r="X1176" s="249" t="str">
        <f>IF(K$67=G$1086,IF(OR(U1176=1,AND(U1176&gt;0,U1176=(MAX(Y$1009:Y1175)+VLOOKUP(I$67,G$1076:H$1084,2,FALSE)))),"X",""),IF(AND(U1176&gt;0,U1176=(MAX(Y$1009:Y1175)+VLOOKUP(I$67,G$1076:H$1084,2,FALSE))),"X",""))</f>
        <v/>
      </c>
      <c r="Y1176" s="252">
        <f t="shared" si="275"/>
        <v>0</v>
      </c>
      <c r="Z1176" s="253">
        <f>IF(Y1176&gt;0,COUNTIF(Y$1009:Y1175,"&gt;0")+1,0)</f>
        <v>0</v>
      </c>
      <c r="AA1176" s="1"/>
      <c r="AB1176" s="255" t="str">
        <f t="shared" si="276"/>
        <v/>
      </c>
      <c r="AC1176" s="261" t="str">
        <f t="shared" si="278"/>
        <v/>
      </c>
      <c r="AD1176" s="258">
        <f>IF(Z1176&gt;0,COUNTIF(AC$1009:AC1175,AC1176)+1,0)</f>
        <v>0</v>
      </c>
      <c r="AE1176" s="258" t="str">
        <f t="shared" si="277"/>
        <v/>
      </c>
      <c r="AF1176" s="392" t="str">
        <f t="shared" si="279"/>
        <v/>
      </c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</row>
    <row r="1177" spans="1:93" ht="16.5" hidden="1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27">
        <f t="shared" si="280"/>
        <v>6</v>
      </c>
      <c r="U1177" s="247">
        <f>IF(OR(ISBLANK(F$68),AND(W1177&gt;(F$68-1),W1177&lt;(I$68+1))),IF(ISERROR(VLOOKUP(I$67,G$1076:G$1078,1,FALSE)),IF(K$67=G$1086,IF(MONTH(W1177)&lt;&gt;MONTH(W1176),MAX(U$1009:U1176)+1,0),IF(ISERROR(VLOOKUP(I$67,G$1079:G$1084,1,FALSE)),IF(V1177=1,MAX(U$1009:U1176)+1,0),IF(MONTH(W1178)&lt;&gt;MONTH(W1177),T1177,0))),IF(K$67=G$1086,IF(V1177=1,MAX(U$1009:U1176)+1,0),IF(V1177=7,MAX(U$1015:U1176)+1,0))),0)</f>
        <v>25</v>
      </c>
      <c r="V1177" s="27">
        <f t="shared" si="273"/>
        <v>1</v>
      </c>
      <c r="W1177" s="97">
        <f t="shared" si="274"/>
        <v>45460</v>
      </c>
      <c r="X1177" s="249" t="str">
        <f>IF(K$67=G$1086,IF(OR(U1177=1,AND(U1177&gt;0,U1177=(MAX(Y$1009:Y1176)+VLOOKUP(I$67,G$1076:H$1084,2,FALSE)))),"X",""),IF(AND(U1177&gt;0,U1177=(MAX(Y$1009:Y1176)+VLOOKUP(I$67,G$1076:H$1084,2,FALSE))),"X",""))</f>
        <v>X</v>
      </c>
      <c r="Y1177" s="252">
        <f t="shared" si="275"/>
        <v>25</v>
      </c>
      <c r="Z1177" s="253">
        <f>IF(Y1177&gt;0,COUNTIF(Y$1009:Y1176,"&gt;0")+1,0)</f>
        <v>13</v>
      </c>
      <c r="AA1177" s="1"/>
      <c r="AB1177" s="255">
        <f t="shared" si="276"/>
        <v>45460</v>
      </c>
      <c r="AC1177" s="261">
        <f t="shared" si="278"/>
        <v>6</v>
      </c>
      <c r="AD1177" s="258">
        <f>IF(Z1177&gt;0,COUNTIF(AC$1009:AC1176,AC1177)+1,0)</f>
        <v>2</v>
      </c>
      <c r="AE1177" s="258" t="str">
        <f t="shared" si="277"/>
        <v>6-2</v>
      </c>
      <c r="AF1177" s="392">
        <f t="shared" si="279"/>
        <v>45460</v>
      </c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</row>
    <row r="1178" spans="1:93" ht="16.5" hidden="1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27">
        <f t="shared" si="280"/>
        <v>6</v>
      </c>
      <c r="U1178" s="247">
        <f>IF(OR(ISBLANK(F$68),AND(W1178&gt;(F$68-1),W1178&lt;(I$68+1))),IF(ISERROR(VLOOKUP(I$67,G$1076:G$1078,1,FALSE)),IF(K$67=G$1086,IF(MONTH(W1178)&lt;&gt;MONTH(W1177),MAX(U$1009:U1177)+1,0),IF(ISERROR(VLOOKUP(I$67,G$1079:G$1084,1,FALSE)),IF(V1178=1,MAX(U$1009:U1177)+1,0),IF(MONTH(W1179)&lt;&gt;MONTH(W1178),T1178,0))),IF(K$67=G$1086,IF(V1178=1,MAX(U$1009:U1177)+1,0),IF(V1178=7,MAX(U$1015:U1177)+1,0))),0)</f>
        <v>0</v>
      </c>
      <c r="V1178" s="27">
        <f t="shared" si="273"/>
        <v>2</v>
      </c>
      <c r="W1178" s="97">
        <f t="shared" si="274"/>
        <v>45461</v>
      </c>
      <c r="X1178" s="249" t="str">
        <f>IF(K$67=G$1086,IF(OR(U1178=1,AND(U1178&gt;0,U1178=(MAX(Y$1009:Y1177)+VLOOKUP(I$67,G$1076:H$1084,2,FALSE)))),"X",""),IF(AND(U1178&gt;0,U1178=(MAX(Y$1009:Y1177)+VLOOKUP(I$67,G$1076:H$1084,2,FALSE))),"X",""))</f>
        <v/>
      </c>
      <c r="Y1178" s="252">
        <f t="shared" si="275"/>
        <v>0</v>
      </c>
      <c r="Z1178" s="253">
        <f>IF(Y1178&gt;0,COUNTIF(Y$1009:Y1177,"&gt;0")+1,0)</f>
        <v>0</v>
      </c>
      <c r="AA1178" s="1"/>
      <c r="AB1178" s="255" t="str">
        <f t="shared" si="276"/>
        <v/>
      </c>
      <c r="AC1178" s="261" t="str">
        <f t="shared" si="278"/>
        <v/>
      </c>
      <c r="AD1178" s="258">
        <f>IF(Z1178&gt;0,COUNTIF(AC$1009:AC1177,AC1178)+1,0)</f>
        <v>0</v>
      </c>
      <c r="AE1178" s="258" t="str">
        <f t="shared" si="277"/>
        <v/>
      </c>
      <c r="AF1178" s="392" t="str">
        <f t="shared" si="279"/>
        <v/>
      </c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</row>
    <row r="1179" spans="1:93" ht="16.5" hidden="1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27">
        <f t="shared" si="280"/>
        <v>6</v>
      </c>
      <c r="U1179" s="247">
        <f>IF(OR(ISBLANK(F$68),AND(W1179&gt;(F$68-1),W1179&lt;(I$68+1))),IF(ISERROR(VLOOKUP(I$67,G$1076:G$1078,1,FALSE)),IF(K$67=G$1086,IF(MONTH(W1179)&lt;&gt;MONTH(W1178),MAX(U$1009:U1178)+1,0),IF(ISERROR(VLOOKUP(I$67,G$1079:G$1084,1,FALSE)),IF(V1179=1,MAX(U$1009:U1178)+1,0),IF(MONTH(W1180)&lt;&gt;MONTH(W1179),T1179,0))),IF(K$67=G$1086,IF(V1179=1,MAX(U$1009:U1178)+1,0),IF(V1179=7,MAX(U$1015:U1178)+1,0))),0)</f>
        <v>0</v>
      </c>
      <c r="V1179" s="27">
        <f t="shared" si="273"/>
        <v>3</v>
      </c>
      <c r="W1179" s="97">
        <f t="shared" si="274"/>
        <v>45462</v>
      </c>
      <c r="X1179" s="249" t="str">
        <f>IF(K$67=G$1086,IF(OR(U1179=1,AND(U1179&gt;0,U1179=(MAX(Y$1009:Y1178)+VLOOKUP(I$67,G$1076:H$1084,2,FALSE)))),"X",""),IF(AND(U1179&gt;0,U1179=(MAX(Y$1009:Y1178)+VLOOKUP(I$67,G$1076:H$1084,2,FALSE))),"X",""))</f>
        <v/>
      </c>
      <c r="Y1179" s="252">
        <f t="shared" si="275"/>
        <v>0</v>
      </c>
      <c r="Z1179" s="253">
        <f>IF(Y1179&gt;0,COUNTIF(Y$1009:Y1178,"&gt;0")+1,0)</f>
        <v>0</v>
      </c>
      <c r="AA1179" s="1"/>
      <c r="AB1179" s="255" t="str">
        <f t="shared" si="276"/>
        <v/>
      </c>
      <c r="AC1179" s="261" t="str">
        <f t="shared" si="278"/>
        <v/>
      </c>
      <c r="AD1179" s="258">
        <f>IF(Z1179&gt;0,COUNTIF(AC$1009:AC1178,AC1179)+1,0)</f>
        <v>0</v>
      </c>
      <c r="AE1179" s="258" t="str">
        <f t="shared" si="277"/>
        <v/>
      </c>
      <c r="AF1179" s="392" t="str">
        <f t="shared" si="279"/>
        <v/>
      </c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</row>
    <row r="1180" spans="1:93" ht="16.5" hidden="1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27">
        <f t="shared" si="280"/>
        <v>6</v>
      </c>
      <c r="U1180" s="247">
        <f>IF(OR(ISBLANK(F$68),AND(W1180&gt;(F$68-1),W1180&lt;(I$68+1))),IF(ISERROR(VLOOKUP(I$67,G$1076:G$1078,1,FALSE)),IF(K$67=G$1086,IF(MONTH(W1180)&lt;&gt;MONTH(W1179),MAX(U$1009:U1179)+1,0),IF(ISERROR(VLOOKUP(I$67,G$1079:G$1084,1,FALSE)),IF(V1180=1,MAX(U$1009:U1179)+1,0),IF(MONTH(W1181)&lt;&gt;MONTH(W1180),T1180,0))),IF(K$67=G$1086,IF(V1180=1,MAX(U$1009:U1179)+1,0),IF(V1180=7,MAX(U$1015:U1179)+1,0))),0)</f>
        <v>0</v>
      </c>
      <c r="V1180" s="27">
        <f t="shared" si="273"/>
        <v>4</v>
      </c>
      <c r="W1180" s="97">
        <f t="shared" si="274"/>
        <v>45463</v>
      </c>
      <c r="X1180" s="249" t="str">
        <f>IF(K$67=G$1086,IF(OR(U1180=1,AND(U1180&gt;0,U1180=(MAX(Y$1009:Y1179)+VLOOKUP(I$67,G$1076:H$1084,2,FALSE)))),"X",""),IF(AND(U1180&gt;0,U1180=(MAX(Y$1009:Y1179)+VLOOKUP(I$67,G$1076:H$1084,2,FALSE))),"X",""))</f>
        <v/>
      </c>
      <c r="Y1180" s="252">
        <f t="shared" si="275"/>
        <v>0</v>
      </c>
      <c r="Z1180" s="253">
        <f>IF(Y1180&gt;0,COUNTIF(Y$1009:Y1179,"&gt;0")+1,0)</f>
        <v>0</v>
      </c>
      <c r="AA1180" s="1"/>
      <c r="AB1180" s="255" t="str">
        <f t="shared" si="276"/>
        <v/>
      </c>
      <c r="AC1180" s="261" t="str">
        <f t="shared" si="278"/>
        <v/>
      </c>
      <c r="AD1180" s="258">
        <f>IF(Z1180&gt;0,COUNTIF(AC$1009:AC1179,AC1180)+1,0)</f>
        <v>0</v>
      </c>
      <c r="AE1180" s="258" t="str">
        <f t="shared" si="277"/>
        <v/>
      </c>
      <c r="AF1180" s="392" t="str">
        <f t="shared" si="279"/>
        <v/>
      </c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</row>
    <row r="1181" spans="1:93" ht="16.5" hidden="1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27">
        <f t="shared" si="280"/>
        <v>6</v>
      </c>
      <c r="U1181" s="247">
        <f>IF(OR(ISBLANK(F$68),AND(W1181&gt;(F$68-1),W1181&lt;(I$68+1))),IF(ISERROR(VLOOKUP(I$67,G$1076:G$1078,1,FALSE)),IF(K$67=G$1086,IF(MONTH(W1181)&lt;&gt;MONTH(W1180),MAX(U$1009:U1180)+1,0),IF(ISERROR(VLOOKUP(I$67,G$1079:G$1084,1,FALSE)),IF(V1181=1,MAX(U$1009:U1180)+1,0),IF(MONTH(W1182)&lt;&gt;MONTH(W1181),T1181,0))),IF(K$67=G$1086,IF(V1181=1,MAX(U$1009:U1180)+1,0),IF(V1181=7,MAX(U$1015:U1180)+1,0))),0)</f>
        <v>0</v>
      </c>
      <c r="V1181" s="27">
        <f t="shared" si="273"/>
        <v>5</v>
      </c>
      <c r="W1181" s="97">
        <f t="shared" si="274"/>
        <v>45464</v>
      </c>
      <c r="X1181" s="249" t="str">
        <f>IF(K$67=G$1086,IF(OR(U1181=1,AND(U1181&gt;0,U1181=(MAX(Y$1009:Y1180)+VLOOKUP(I$67,G$1076:H$1084,2,FALSE)))),"X",""),IF(AND(U1181&gt;0,U1181=(MAX(Y$1009:Y1180)+VLOOKUP(I$67,G$1076:H$1084,2,FALSE))),"X",""))</f>
        <v/>
      </c>
      <c r="Y1181" s="252">
        <f t="shared" si="275"/>
        <v>0</v>
      </c>
      <c r="Z1181" s="253">
        <f>IF(Y1181&gt;0,COUNTIF(Y$1009:Y1180,"&gt;0")+1,0)</f>
        <v>0</v>
      </c>
      <c r="AA1181" s="1"/>
      <c r="AB1181" s="255" t="str">
        <f t="shared" si="276"/>
        <v/>
      </c>
      <c r="AC1181" s="261" t="str">
        <f t="shared" si="278"/>
        <v/>
      </c>
      <c r="AD1181" s="258">
        <f>IF(Z1181&gt;0,COUNTIF(AC$1009:AC1180,AC1181)+1,0)</f>
        <v>0</v>
      </c>
      <c r="AE1181" s="258" t="str">
        <f t="shared" si="277"/>
        <v/>
      </c>
      <c r="AF1181" s="392" t="str">
        <f t="shared" si="279"/>
        <v/>
      </c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</row>
    <row r="1182" spans="1:93" ht="16.5" hidden="1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27">
        <f t="shared" si="280"/>
        <v>6</v>
      </c>
      <c r="U1182" s="247">
        <f>IF(OR(ISBLANK(F$68),AND(W1182&gt;(F$68-1),W1182&lt;(I$68+1))),IF(ISERROR(VLOOKUP(I$67,G$1076:G$1078,1,FALSE)),IF(K$67=G$1086,IF(MONTH(W1182)&lt;&gt;MONTH(W1181),MAX(U$1009:U1181)+1,0),IF(ISERROR(VLOOKUP(I$67,G$1079:G$1084,1,FALSE)),IF(V1182=1,MAX(U$1009:U1181)+1,0),IF(MONTH(W1183)&lt;&gt;MONTH(W1182),T1182,0))),IF(K$67=G$1086,IF(V1182=1,MAX(U$1009:U1181)+1,0),IF(V1182=7,MAX(U$1015:U1181)+1,0))),0)</f>
        <v>0</v>
      </c>
      <c r="V1182" s="27">
        <f t="shared" si="273"/>
        <v>6</v>
      </c>
      <c r="W1182" s="97">
        <f t="shared" si="274"/>
        <v>45465</v>
      </c>
      <c r="X1182" s="249" t="str">
        <f>IF(K$67=G$1086,IF(OR(U1182=1,AND(U1182&gt;0,U1182=(MAX(Y$1009:Y1181)+VLOOKUP(I$67,G$1076:H$1084,2,FALSE)))),"X",""),IF(AND(U1182&gt;0,U1182=(MAX(Y$1009:Y1181)+VLOOKUP(I$67,G$1076:H$1084,2,FALSE))),"X",""))</f>
        <v/>
      </c>
      <c r="Y1182" s="252">
        <f t="shared" si="275"/>
        <v>0</v>
      </c>
      <c r="Z1182" s="253">
        <f>IF(Y1182&gt;0,COUNTIF(Y$1009:Y1181,"&gt;0")+1,0)</f>
        <v>0</v>
      </c>
      <c r="AA1182" s="1"/>
      <c r="AB1182" s="255" t="str">
        <f t="shared" si="276"/>
        <v/>
      </c>
      <c r="AC1182" s="261" t="str">
        <f t="shared" si="278"/>
        <v/>
      </c>
      <c r="AD1182" s="258">
        <f>IF(Z1182&gt;0,COUNTIF(AC$1009:AC1181,AC1182)+1,0)</f>
        <v>0</v>
      </c>
      <c r="AE1182" s="258" t="str">
        <f t="shared" si="277"/>
        <v/>
      </c>
      <c r="AF1182" s="392" t="str">
        <f t="shared" si="279"/>
        <v/>
      </c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</row>
    <row r="1183" spans="1:93" ht="16.5" hidden="1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27">
        <f t="shared" si="280"/>
        <v>6</v>
      </c>
      <c r="U1183" s="247">
        <f>IF(OR(ISBLANK(F$68),AND(W1183&gt;(F$68-1),W1183&lt;(I$68+1))),IF(ISERROR(VLOOKUP(I$67,G$1076:G$1078,1,FALSE)),IF(K$67=G$1086,IF(MONTH(W1183)&lt;&gt;MONTH(W1182),MAX(U$1009:U1182)+1,0),IF(ISERROR(VLOOKUP(I$67,G$1079:G$1084,1,FALSE)),IF(V1183=1,MAX(U$1009:U1182)+1,0),IF(MONTH(W1184)&lt;&gt;MONTH(W1183),T1183,0))),IF(K$67=G$1086,IF(V1183=1,MAX(U$1009:U1182)+1,0),IF(V1183=7,MAX(U$1015:U1182)+1,0))),0)</f>
        <v>0</v>
      </c>
      <c r="V1183" s="27">
        <f t="shared" si="273"/>
        <v>7</v>
      </c>
      <c r="W1183" s="97">
        <f t="shared" si="274"/>
        <v>45466</v>
      </c>
      <c r="X1183" s="249" t="str">
        <f>IF(K$67=G$1086,IF(OR(U1183=1,AND(U1183&gt;0,U1183=(MAX(Y$1009:Y1182)+VLOOKUP(I$67,G$1076:H$1084,2,FALSE)))),"X",""),IF(AND(U1183&gt;0,U1183=(MAX(Y$1009:Y1182)+VLOOKUP(I$67,G$1076:H$1084,2,FALSE))),"X",""))</f>
        <v/>
      </c>
      <c r="Y1183" s="252">
        <f t="shared" si="275"/>
        <v>0</v>
      </c>
      <c r="Z1183" s="253">
        <f>IF(Y1183&gt;0,COUNTIF(Y$1009:Y1182,"&gt;0")+1,0)</f>
        <v>0</v>
      </c>
      <c r="AA1183" s="1"/>
      <c r="AB1183" s="255" t="str">
        <f t="shared" si="276"/>
        <v/>
      </c>
      <c r="AC1183" s="261" t="str">
        <f t="shared" si="278"/>
        <v/>
      </c>
      <c r="AD1183" s="258">
        <f>IF(Z1183&gt;0,COUNTIF(AC$1009:AC1182,AC1183)+1,0)</f>
        <v>0</v>
      </c>
      <c r="AE1183" s="258" t="str">
        <f t="shared" si="277"/>
        <v/>
      </c>
      <c r="AF1183" s="392" t="str">
        <f t="shared" si="279"/>
        <v/>
      </c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</row>
    <row r="1184" spans="1:93" ht="16.5" hidden="1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27">
        <f t="shared" si="280"/>
        <v>6</v>
      </c>
      <c r="U1184" s="247">
        <f>IF(OR(ISBLANK(F$68),AND(W1184&gt;(F$68-1),W1184&lt;(I$68+1))),IF(ISERROR(VLOOKUP(I$67,G$1076:G$1078,1,FALSE)),IF(K$67=G$1086,IF(MONTH(W1184)&lt;&gt;MONTH(W1183),MAX(U$1009:U1183)+1,0),IF(ISERROR(VLOOKUP(I$67,G$1079:G$1084,1,FALSE)),IF(V1184=1,MAX(U$1009:U1183)+1,0),IF(MONTH(W1185)&lt;&gt;MONTH(W1184),T1184,0))),IF(K$67=G$1086,IF(V1184=1,MAX(U$1009:U1183)+1,0),IF(V1184=7,MAX(U$1015:U1183)+1,0))),0)</f>
        <v>26</v>
      </c>
      <c r="V1184" s="27">
        <f t="shared" si="273"/>
        <v>1</v>
      </c>
      <c r="W1184" s="97">
        <f t="shared" si="274"/>
        <v>45467</v>
      </c>
      <c r="X1184" s="249" t="str">
        <f>IF(K$67=G$1086,IF(OR(U1184=1,AND(U1184&gt;0,U1184=(MAX(Y$1009:Y1183)+VLOOKUP(I$67,G$1076:H$1084,2,FALSE)))),"X",""),IF(AND(U1184&gt;0,U1184=(MAX(Y$1009:Y1183)+VLOOKUP(I$67,G$1076:H$1084,2,FALSE))),"X",""))</f>
        <v/>
      </c>
      <c r="Y1184" s="252">
        <f t="shared" si="275"/>
        <v>0</v>
      </c>
      <c r="Z1184" s="253">
        <f>IF(Y1184&gt;0,COUNTIF(Y$1009:Y1183,"&gt;0")+1,0)</f>
        <v>0</v>
      </c>
      <c r="AA1184" s="1"/>
      <c r="AB1184" s="255" t="str">
        <f t="shared" si="276"/>
        <v/>
      </c>
      <c r="AC1184" s="261" t="str">
        <f t="shared" si="278"/>
        <v/>
      </c>
      <c r="AD1184" s="258">
        <f>IF(Z1184&gt;0,COUNTIF(AC$1009:AC1183,AC1184)+1,0)</f>
        <v>0</v>
      </c>
      <c r="AE1184" s="258" t="str">
        <f t="shared" si="277"/>
        <v/>
      </c>
      <c r="AF1184" s="392" t="str">
        <f t="shared" si="279"/>
        <v/>
      </c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</row>
    <row r="1185" spans="1:93" ht="16.5" hidden="1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27">
        <f t="shared" si="280"/>
        <v>6</v>
      </c>
      <c r="U1185" s="247">
        <f>IF(OR(ISBLANK(F$68),AND(W1185&gt;(F$68-1),W1185&lt;(I$68+1))),IF(ISERROR(VLOOKUP(I$67,G$1076:G$1078,1,FALSE)),IF(K$67=G$1086,IF(MONTH(W1185)&lt;&gt;MONTH(W1184),MAX(U$1009:U1184)+1,0),IF(ISERROR(VLOOKUP(I$67,G$1079:G$1084,1,FALSE)),IF(V1185=1,MAX(U$1009:U1184)+1,0),IF(MONTH(W1186)&lt;&gt;MONTH(W1185),T1185,0))),IF(K$67=G$1086,IF(V1185=1,MAX(U$1009:U1184)+1,0),IF(V1185=7,MAX(U$1015:U1184)+1,0))),0)</f>
        <v>0</v>
      </c>
      <c r="V1185" s="27">
        <f t="shared" si="273"/>
        <v>2</v>
      </c>
      <c r="W1185" s="97">
        <f t="shared" si="274"/>
        <v>45468</v>
      </c>
      <c r="X1185" s="249" t="str">
        <f>IF(K$67=G$1086,IF(OR(U1185=1,AND(U1185&gt;0,U1185=(MAX(Y$1009:Y1184)+VLOOKUP(I$67,G$1076:H$1084,2,FALSE)))),"X",""),IF(AND(U1185&gt;0,U1185=(MAX(Y$1009:Y1184)+VLOOKUP(I$67,G$1076:H$1084,2,FALSE))),"X",""))</f>
        <v/>
      </c>
      <c r="Y1185" s="252">
        <f t="shared" si="275"/>
        <v>0</v>
      </c>
      <c r="Z1185" s="253">
        <f>IF(Y1185&gt;0,COUNTIF(Y$1009:Y1184,"&gt;0")+1,0)</f>
        <v>0</v>
      </c>
      <c r="AA1185" s="1"/>
      <c r="AB1185" s="255" t="str">
        <f t="shared" si="276"/>
        <v/>
      </c>
      <c r="AC1185" s="261" t="str">
        <f t="shared" si="278"/>
        <v/>
      </c>
      <c r="AD1185" s="258">
        <f>IF(Z1185&gt;0,COUNTIF(AC$1009:AC1184,AC1185)+1,0)</f>
        <v>0</v>
      </c>
      <c r="AE1185" s="258" t="str">
        <f t="shared" si="277"/>
        <v/>
      </c>
      <c r="AF1185" s="392" t="str">
        <f t="shared" si="279"/>
        <v/>
      </c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</row>
    <row r="1186" spans="1:93" ht="16.5" hidden="1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27">
        <f t="shared" si="280"/>
        <v>6</v>
      </c>
      <c r="U1186" s="247">
        <f>IF(OR(ISBLANK(F$68),AND(W1186&gt;(F$68-1),W1186&lt;(I$68+1))),IF(ISERROR(VLOOKUP(I$67,G$1076:G$1078,1,FALSE)),IF(K$67=G$1086,IF(MONTH(W1186)&lt;&gt;MONTH(W1185),MAX(U$1009:U1185)+1,0),IF(ISERROR(VLOOKUP(I$67,G$1079:G$1084,1,FALSE)),IF(V1186=1,MAX(U$1009:U1185)+1,0),IF(MONTH(W1187)&lt;&gt;MONTH(W1186),T1186,0))),IF(K$67=G$1086,IF(V1186=1,MAX(U$1009:U1185)+1,0),IF(V1186=7,MAX(U$1015:U1185)+1,0))),0)</f>
        <v>0</v>
      </c>
      <c r="V1186" s="27">
        <f t="shared" si="273"/>
        <v>3</v>
      </c>
      <c r="W1186" s="97">
        <f t="shared" si="274"/>
        <v>45469</v>
      </c>
      <c r="X1186" s="249" t="str">
        <f>IF(K$67=G$1086,IF(OR(U1186=1,AND(U1186&gt;0,U1186=(MAX(Y$1009:Y1185)+VLOOKUP(I$67,G$1076:H$1084,2,FALSE)))),"X",""),IF(AND(U1186&gt;0,U1186=(MAX(Y$1009:Y1185)+VLOOKUP(I$67,G$1076:H$1084,2,FALSE))),"X",""))</f>
        <v/>
      </c>
      <c r="Y1186" s="252">
        <f t="shared" si="275"/>
        <v>0</v>
      </c>
      <c r="Z1186" s="253">
        <f>IF(Y1186&gt;0,COUNTIF(Y$1009:Y1185,"&gt;0")+1,0)</f>
        <v>0</v>
      </c>
      <c r="AA1186" s="1"/>
      <c r="AB1186" s="255" t="str">
        <f t="shared" si="276"/>
        <v/>
      </c>
      <c r="AC1186" s="261" t="str">
        <f t="shared" si="278"/>
        <v/>
      </c>
      <c r="AD1186" s="258">
        <f>IF(Z1186&gt;0,COUNTIF(AC$1009:AC1185,AC1186)+1,0)</f>
        <v>0</v>
      </c>
      <c r="AE1186" s="258" t="str">
        <f t="shared" si="277"/>
        <v/>
      </c>
      <c r="AF1186" s="392" t="str">
        <f t="shared" si="279"/>
        <v/>
      </c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</row>
    <row r="1187" spans="1:93" ht="16.5" hidden="1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27">
        <f t="shared" si="280"/>
        <v>6</v>
      </c>
      <c r="U1187" s="247">
        <f>IF(OR(ISBLANK(F$68),AND(W1187&gt;(F$68-1),W1187&lt;(I$68+1))),IF(ISERROR(VLOOKUP(I$67,G$1076:G$1078,1,FALSE)),IF(K$67=G$1086,IF(MONTH(W1187)&lt;&gt;MONTH(W1186),MAX(U$1009:U1186)+1,0),IF(ISERROR(VLOOKUP(I$67,G$1079:G$1084,1,FALSE)),IF(V1187=1,MAX(U$1009:U1186)+1,0),IF(MONTH(W1188)&lt;&gt;MONTH(W1187),T1187,0))),IF(K$67=G$1086,IF(V1187=1,MAX(U$1009:U1186)+1,0),IF(V1187=7,MAX(U$1015:U1186)+1,0))),0)</f>
        <v>0</v>
      </c>
      <c r="V1187" s="27">
        <f t="shared" si="273"/>
        <v>4</v>
      </c>
      <c r="W1187" s="97">
        <f t="shared" si="274"/>
        <v>45470</v>
      </c>
      <c r="X1187" s="249" t="str">
        <f>IF(K$67=G$1086,IF(OR(U1187=1,AND(U1187&gt;0,U1187=(MAX(Y$1009:Y1186)+VLOOKUP(I$67,G$1076:H$1084,2,FALSE)))),"X",""),IF(AND(U1187&gt;0,U1187=(MAX(Y$1009:Y1186)+VLOOKUP(I$67,G$1076:H$1084,2,FALSE))),"X",""))</f>
        <v/>
      </c>
      <c r="Y1187" s="252">
        <f t="shared" si="275"/>
        <v>0</v>
      </c>
      <c r="Z1187" s="253">
        <f>IF(Y1187&gt;0,COUNTIF(Y$1009:Y1186,"&gt;0")+1,0)</f>
        <v>0</v>
      </c>
      <c r="AA1187" s="1"/>
      <c r="AB1187" s="255" t="str">
        <f t="shared" si="276"/>
        <v/>
      </c>
      <c r="AC1187" s="261" t="str">
        <f t="shared" si="278"/>
        <v/>
      </c>
      <c r="AD1187" s="258">
        <f>IF(Z1187&gt;0,COUNTIF(AC$1009:AC1186,AC1187)+1,0)</f>
        <v>0</v>
      </c>
      <c r="AE1187" s="258" t="str">
        <f t="shared" si="277"/>
        <v/>
      </c>
      <c r="AF1187" s="392" t="str">
        <f t="shared" si="279"/>
        <v/>
      </c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</row>
    <row r="1188" spans="1:93" ht="16.5" hidden="1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27">
        <f t="shared" si="280"/>
        <v>6</v>
      </c>
      <c r="U1188" s="247">
        <f>IF(OR(ISBLANK(F$68),AND(W1188&gt;(F$68-1),W1188&lt;(I$68+1))),IF(ISERROR(VLOOKUP(I$67,G$1076:G$1078,1,FALSE)),IF(K$67=G$1086,IF(MONTH(W1188)&lt;&gt;MONTH(W1187),MAX(U$1009:U1187)+1,0),IF(ISERROR(VLOOKUP(I$67,G$1079:G$1084,1,FALSE)),IF(V1188=1,MAX(U$1009:U1187)+1,0),IF(MONTH(W1189)&lt;&gt;MONTH(W1188),T1188,0))),IF(K$67=G$1086,IF(V1188=1,MAX(U$1009:U1187)+1,0),IF(V1188=7,MAX(U$1015:U1187)+1,0))),0)</f>
        <v>0</v>
      </c>
      <c r="V1188" s="27">
        <f t="shared" si="273"/>
        <v>5</v>
      </c>
      <c r="W1188" s="97">
        <f t="shared" si="274"/>
        <v>45471</v>
      </c>
      <c r="X1188" s="249" t="str">
        <f>IF(K$67=G$1086,IF(OR(U1188=1,AND(U1188&gt;0,U1188=(MAX(Y$1009:Y1187)+VLOOKUP(I$67,G$1076:H$1084,2,FALSE)))),"X",""),IF(AND(U1188&gt;0,U1188=(MAX(Y$1009:Y1187)+VLOOKUP(I$67,G$1076:H$1084,2,FALSE))),"X",""))</f>
        <v/>
      </c>
      <c r="Y1188" s="252">
        <f t="shared" si="275"/>
        <v>0</v>
      </c>
      <c r="Z1188" s="253">
        <f>IF(Y1188&gt;0,COUNTIF(Y$1009:Y1187,"&gt;0")+1,0)</f>
        <v>0</v>
      </c>
      <c r="AA1188" s="1"/>
      <c r="AB1188" s="255" t="str">
        <f t="shared" si="276"/>
        <v/>
      </c>
      <c r="AC1188" s="261" t="str">
        <f t="shared" si="278"/>
        <v/>
      </c>
      <c r="AD1188" s="258">
        <f>IF(Z1188&gt;0,COUNTIF(AC$1009:AC1187,AC1188)+1,0)</f>
        <v>0</v>
      </c>
      <c r="AE1188" s="258" t="str">
        <f t="shared" si="277"/>
        <v/>
      </c>
      <c r="AF1188" s="392" t="str">
        <f t="shared" si="279"/>
        <v/>
      </c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</row>
    <row r="1189" spans="1:93" ht="16.5" hidden="1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27">
        <f t="shared" si="280"/>
        <v>6</v>
      </c>
      <c r="U1189" s="247">
        <f>IF(OR(ISBLANK(F$68),AND(W1189&gt;(F$68-1),W1189&lt;(I$68+1))),IF(ISERROR(VLOOKUP(I$67,G$1076:G$1078,1,FALSE)),IF(K$67=G$1086,IF(MONTH(W1189)&lt;&gt;MONTH(W1188),MAX(U$1009:U1188)+1,0),IF(ISERROR(VLOOKUP(I$67,G$1079:G$1084,1,FALSE)),IF(V1189=1,MAX(U$1009:U1188)+1,0),IF(MONTH(W1190)&lt;&gt;MONTH(W1189),T1189,0))),IF(K$67=G$1086,IF(V1189=1,MAX(U$1009:U1188)+1,0),IF(V1189=7,MAX(U$1015:U1188)+1,0))),0)</f>
        <v>0</v>
      </c>
      <c r="V1189" s="27">
        <f t="shared" si="273"/>
        <v>6</v>
      </c>
      <c r="W1189" s="97">
        <f t="shared" si="274"/>
        <v>45472</v>
      </c>
      <c r="X1189" s="249" t="str">
        <f>IF(K$67=G$1086,IF(OR(U1189=1,AND(U1189&gt;0,U1189=(MAX(Y$1009:Y1188)+VLOOKUP(I$67,G$1076:H$1084,2,FALSE)))),"X",""),IF(AND(U1189&gt;0,U1189=(MAX(Y$1009:Y1188)+VLOOKUP(I$67,G$1076:H$1084,2,FALSE))),"X",""))</f>
        <v/>
      </c>
      <c r="Y1189" s="252">
        <f t="shared" si="275"/>
        <v>0</v>
      </c>
      <c r="Z1189" s="253">
        <f>IF(Y1189&gt;0,COUNTIF(Y$1009:Y1188,"&gt;0")+1,0)</f>
        <v>0</v>
      </c>
      <c r="AA1189" s="1"/>
      <c r="AB1189" s="255" t="str">
        <f t="shared" si="276"/>
        <v/>
      </c>
      <c r="AC1189" s="261" t="str">
        <f t="shared" si="278"/>
        <v/>
      </c>
      <c r="AD1189" s="258">
        <f>IF(Z1189&gt;0,COUNTIF(AC$1009:AC1188,AC1189)+1,0)</f>
        <v>0</v>
      </c>
      <c r="AE1189" s="258" t="str">
        <f t="shared" si="277"/>
        <v/>
      </c>
      <c r="AF1189" s="392" t="str">
        <f t="shared" si="279"/>
        <v/>
      </c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</row>
    <row r="1190" spans="1:93" ht="16.5" hidden="1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27">
        <f t="shared" si="280"/>
        <v>6</v>
      </c>
      <c r="U1190" s="247">
        <f>IF(OR(ISBLANK(F$68),AND(W1190&gt;(F$68-1),W1190&lt;(I$68+1))),IF(ISERROR(VLOOKUP(I$67,G$1076:G$1078,1,FALSE)),IF(K$67=G$1086,IF(MONTH(W1190)&lt;&gt;MONTH(W1189),MAX(U$1009:U1189)+1,0),IF(ISERROR(VLOOKUP(I$67,G$1079:G$1084,1,FALSE)),IF(V1190=1,MAX(U$1009:U1189)+1,0),IF(MONTH(W1191)&lt;&gt;MONTH(W1190),T1190,0))),IF(K$67=G$1086,IF(V1190=1,MAX(U$1009:U1189)+1,0),IF(V1190=7,MAX(U$1015:U1189)+1,0))),0)</f>
        <v>0</v>
      </c>
      <c r="V1190" s="27">
        <f t="shared" si="273"/>
        <v>7</v>
      </c>
      <c r="W1190" s="97">
        <f t="shared" si="274"/>
        <v>45473</v>
      </c>
      <c r="X1190" s="249" t="str">
        <f>IF(K$67=G$1086,IF(OR(U1190=1,AND(U1190&gt;0,U1190=(MAX(Y$1009:Y1189)+VLOOKUP(I$67,G$1076:H$1084,2,FALSE)))),"X",""),IF(AND(U1190&gt;0,U1190=(MAX(Y$1009:Y1189)+VLOOKUP(I$67,G$1076:H$1084,2,FALSE))),"X",""))</f>
        <v/>
      </c>
      <c r="Y1190" s="252">
        <f t="shared" si="275"/>
        <v>0</v>
      </c>
      <c r="Z1190" s="253">
        <f>IF(Y1190&gt;0,COUNTIF(Y$1009:Y1189,"&gt;0")+1,0)</f>
        <v>0</v>
      </c>
      <c r="AA1190" s="1"/>
      <c r="AB1190" s="255" t="str">
        <f t="shared" si="276"/>
        <v/>
      </c>
      <c r="AC1190" s="261" t="str">
        <f t="shared" si="278"/>
        <v/>
      </c>
      <c r="AD1190" s="258">
        <f>IF(Z1190&gt;0,COUNTIF(AC$1009:AC1189,AC1190)+1,0)</f>
        <v>0</v>
      </c>
      <c r="AE1190" s="258" t="str">
        <f t="shared" si="277"/>
        <v/>
      </c>
      <c r="AF1190" s="392" t="str">
        <f t="shared" si="279"/>
        <v/>
      </c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</row>
    <row r="1191" spans="1:93" ht="16.5" hidden="1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27">
        <f t="shared" si="280"/>
        <v>7</v>
      </c>
      <c r="U1191" s="247">
        <f>IF(OR(ISBLANK(F$68),AND(W1191&gt;(F$68-1),W1191&lt;(I$68+1))),IF(ISERROR(VLOOKUP(I$67,G$1076:G$1078,1,FALSE)),IF(K$67=G$1086,IF(MONTH(W1191)&lt;&gt;MONTH(W1190),MAX(U$1009:U1190)+1,0),IF(ISERROR(VLOOKUP(I$67,G$1079:G$1084,1,FALSE)),IF(V1191=1,MAX(U$1009:U1190)+1,0),IF(MONTH(W1192)&lt;&gt;MONTH(W1191),T1191,0))),IF(K$67=G$1086,IF(V1191=1,MAX(U$1009:U1190)+1,0),IF(V1191=7,MAX(U$1015:U1190)+1,0))),0)</f>
        <v>27</v>
      </c>
      <c r="V1191" s="27">
        <f t="shared" si="273"/>
        <v>1</v>
      </c>
      <c r="W1191" s="97">
        <f t="shared" si="274"/>
        <v>45474</v>
      </c>
      <c r="X1191" s="249" t="str">
        <f>IF(K$67=G$1086,IF(OR(U1191=1,AND(U1191&gt;0,U1191=(MAX(Y$1009:Y1190)+VLOOKUP(I$67,G$1076:H$1084,2,FALSE)))),"X",""),IF(AND(U1191&gt;0,U1191=(MAX(Y$1009:Y1190)+VLOOKUP(I$67,G$1076:H$1084,2,FALSE))),"X",""))</f>
        <v>X</v>
      </c>
      <c r="Y1191" s="252">
        <f t="shared" si="275"/>
        <v>27</v>
      </c>
      <c r="Z1191" s="253">
        <f>IF(Y1191&gt;0,COUNTIF(Y$1009:Y1190,"&gt;0")+1,0)</f>
        <v>14</v>
      </c>
      <c r="AA1191" s="1"/>
      <c r="AB1191" s="255">
        <f t="shared" si="276"/>
        <v>45474</v>
      </c>
      <c r="AC1191" s="261">
        <f t="shared" si="278"/>
        <v>7</v>
      </c>
      <c r="AD1191" s="258">
        <f>IF(Z1191&gt;0,COUNTIF(AC$1009:AC1190,AC1191)+1,0)</f>
        <v>1</v>
      </c>
      <c r="AE1191" s="258" t="str">
        <f t="shared" si="277"/>
        <v>7-1</v>
      </c>
      <c r="AF1191" s="392">
        <f t="shared" si="279"/>
        <v>45474</v>
      </c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</row>
    <row r="1192" spans="1:93" ht="16.5" hidden="1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27">
        <f t="shared" si="280"/>
        <v>7</v>
      </c>
      <c r="U1192" s="247">
        <f>IF(OR(ISBLANK(F$68),AND(W1192&gt;(F$68-1),W1192&lt;(I$68+1))),IF(ISERROR(VLOOKUP(I$67,G$1076:G$1078,1,FALSE)),IF(K$67=G$1086,IF(MONTH(W1192)&lt;&gt;MONTH(W1191),MAX(U$1009:U1191)+1,0),IF(ISERROR(VLOOKUP(I$67,G$1079:G$1084,1,FALSE)),IF(V1192=1,MAX(U$1009:U1191)+1,0),IF(MONTH(W1193)&lt;&gt;MONTH(W1192),T1192,0))),IF(K$67=G$1086,IF(V1192=1,MAX(U$1009:U1191)+1,0),IF(V1192=7,MAX(U$1015:U1191)+1,0))),0)</f>
        <v>0</v>
      </c>
      <c r="V1192" s="27">
        <f t="shared" si="273"/>
        <v>2</v>
      </c>
      <c r="W1192" s="97">
        <f t="shared" si="274"/>
        <v>45475</v>
      </c>
      <c r="X1192" s="249" t="str">
        <f>IF(K$67=G$1086,IF(OR(U1192=1,AND(U1192&gt;0,U1192=(MAX(Y$1009:Y1191)+VLOOKUP(I$67,G$1076:H$1084,2,FALSE)))),"X",""),IF(AND(U1192&gt;0,U1192=(MAX(Y$1009:Y1191)+VLOOKUP(I$67,G$1076:H$1084,2,FALSE))),"X",""))</f>
        <v/>
      </c>
      <c r="Y1192" s="252">
        <f t="shared" si="275"/>
        <v>0</v>
      </c>
      <c r="Z1192" s="253">
        <f>IF(Y1192&gt;0,COUNTIF(Y$1009:Y1191,"&gt;0")+1,0)</f>
        <v>0</v>
      </c>
      <c r="AA1192" s="1"/>
      <c r="AB1192" s="255" t="str">
        <f t="shared" si="276"/>
        <v/>
      </c>
      <c r="AC1192" s="261" t="str">
        <f t="shared" si="278"/>
        <v/>
      </c>
      <c r="AD1192" s="258">
        <f>IF(Z1192&gt;0,COUNTIF(AC$1009:AC1191,AC1192)+1,0)</f>
        <v>0</v>
      </c>
      <c r="AE1192" s="258" t="str">
        <f t="shared" si="277"/>
        <v/>
      </c>
      <c r="AF1192" s="392" t="str">
        <f t="shared" si="279"/>
        <v/>
      </c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</row>
    <row r="1193" spans="1:93" ht="16.5" hidden="1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27">
        <f t="shared" si="280"/>
        <v>7</v>
      </c>
      <c r="U1193" s="247">
        <f>IF(OR(ISBLANK(F$68),AND(W1193&gt;(F$68-1),W1193&lt;(I$68+1))),IF(ISERROR(VLOOKUP(I$67,G$1076:G$1078,1,FALSE)),IF(K$67=G$1086,IF(MONTH(W1193)&lt;&gt;MONTH(W1192),MAX(U$1009:U1192)+1,0),IF(ISERROR(VLOOKUP(I$67,G$1079:G$1084,1,FALSE)),IF(V1193=1,MAX(U$1009:U1192)+1,0),IF(MONTH(W1194)&lt;&gt;MONTH(W1193),T1193,0))),IF(K$67=G$1086,IF(V1193=1,MAX(U$1009:U1192)+1,0),IF(V1193=7,MAX(U$1015:U1192)+1,0))),0)</f>
        <v>0</v>
      </c>
      <c r="V1193" s="27">
        <f t="shared" si="273"/>
        <v>3</v>
      </c>
      <c r="W1193" s="97">
        <f t="shared" si="274"/>
        <v>45476</v>
      </c>
      <c r="X1193" s="249" t="str">
        <f>IF(K$67=G$1086,IF(OR(U1193=1,AND(U1193&gt;0,U1193=(MAX(Y$1009:Y1192)+VLOOKUP(I$67,G$1076:H$1084,2,FALSE)))),"X",""),IF(AND(U1193&gt;0,U1193=(MAX(Y$1009:Y1192)+VLOOKUP(I$67,G$1076:H$1084,2,FALSE))),"X",""))</f>
        <v/>
      </c>
      <c r="Y1193" s="252">
        <f t="shared" si="275"/>
        <v>0</v>
      </c>
      <c r="Z1193" s="253">
        <f>IF(Y1193&gt;0,COUNTIF(Y$1009:Y1192,"&gt;0")+1,0)</f>
        <v>0</v>
      </c>
      <c r="AA1193" s="1"/>
      <c r="AB1193" s="255" t="str">
        <f t="shared" si="276"/>
        <v/>
      </c>
      <c r="AC1193" s="261" t="str">
        <f t="shared" si="278"/>
        <v/>
      </c>
      <c r="AD1193" s="258">
        <f>IF(Z1193&gt;0,COUNTIF(AC$1009:AC1192,AC1193)+1,0)</f>
        <v>0</v>
      </c>
      <c r="AE1193" s="258" t="str">
        <f t="shared" si="277"/>
        <v/>
      </c>
      <c r="AF1193" s="392" t="str">
        <f t="shared" si="279"/>
        <v/>
      </c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</row>
    <row r="1194" spans="1:93" ht="16.5" hidden="1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27">
        <f t="shared" si="280"/>
        <v>7</v>
      </c>
      <c r="U1194" s="247">
        <f>IF(OR(ISBLANK(F$68),AND(W1194&gt;(F$68-1),W1194&lt;(I$68+1))),IF(ISERROR(VLOOKUP(I$67,G$1076:G$1078,1,FALSE)),IF(K$67=G$1086,IF(MONTH(W1194)&lt;&gt;MONTH(W1193),MAX(U$1009:U1193)+1,0),IF(ISERROR(VLOOKUP(I$67,G$1079:G$1084,1,FALSE)),IF(V1194=1,MAX(U$1009:U1193)+1,0),IF(MONTH(W1195)&lt;&gt;MONTH(W1194),T1194,0))),IF(K$67=G$1086,IF(V1194=1,MAX(U$1009:U1193)+1,0),IF(V1194=7,MAX(U$1015:U1193)+1,0))),0)</f>
        <v>0</v>
      </c>
      <c r="V1194" s="27">
        <f t="shared" si="273"/>
        <v>4</v>
      </c>
      <c r="W1194" s="97">
        <f t="shared" si="274"/>
        <v>45477</v>
      </c>
      <c r="X1194" s="249" t="str">
        <f>IF(K$67=G$1086,IF(OR(U1194=1,AND(U1194&gt;0,U1194=(MAX(Y$1009:Y1193)+VLOOKUP(I$67,G$1076:H$1084,2,FALSE)))),"X",""),IF(AND(U1194&gt;0,U1194=(MAX(Y$1009:Y1193)+VLOOKUP(I$67,G$1076:H$1084,2,FALSE))),"X",""))</f>
        <v/>
      </c>
      <c r="Y1194" s="252">
        <f t="shared" si="275"/>
        <v>0</v>
      </c>
      <c r="Z1194" s="253">
        <f>IF(Y1194&gt;0,COUNTIF(Y$1009:Y1193,"&gt;0")+1,0)</f>
        <v>0</v>
      </c>
      <c r="AA1194" s="1"/>
      <c r="AB1194" s="255" t="str">
        <f t="shared" si="276"/>
        <v/>
      </c>
      <c r="AC1194" s="261" t="str">
        <f t="shared" si="278"/>
        <v/>
      </c>
      <c r="AD1194" s="258">
        <f>IF(Z1194&gt;0,COUNTIF(AC$1009:AC1193,AC1194)+1,0)</f>
        <v>0</v>
      </c>
      <c r="AE1194" s="258" t="str">
        <f t="shared" si="277"/>
        <v/>
      </c>
      <c r="AF1194" s="392" t="str">
        <f t="shared" si="279"/>
        <v/>
      </c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</row>
    <row r="1195" spans="1:93" ht="16.5" hidden="1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27">
        <f t="shared" si="280"/>
        <v>7</v>
      </c>
      <c r="U1195" s="247">
        <f>IF(OR(ISBLANK(F$68),AND(W1195&gt;(F$68-1),W1195&lt;(I$68+1))),IF(ISERROR(VLOOKUP(I$67,G$1076:G$1078,1,FALSE)),IF(K$67=G$1086,IF(MONTH(W1195)&lt;&gt;MONTH(W1194),MAX(U$1009:U1194)+1,0),IF(ISERROR(VLOOKUP(I$67,G$1079:G$1084,1,FALSE)),IF(V1195=1,MAX(U$1009:U1194)+1,0),IF(MONTH(W1196)&lt;&gt;MONTH(W1195),T1195,0))),IF(K$67=G$1086,IF(V1195=1,MAX(U$1009:U1194)+1,0),IF(V1195=7,MAX(U$1015:U1194)+1,0))),0)</f>
        <v>0</v>
      </c>
      <c r="V1195" s="27">
        <f t="shared" si="273"/>
        <v>5</v>
      </c>
      <c r="W1195" s="97">
        <f t="shared" si="274"/>
        <v>45478</v>
      </c>
      <c r="X1195" s="249" t="str">
        <f>IF(K$67=G$1086,IF(OR(U1195=1,AND(U1195&gt;0,U1195=(MAX(Y$1009:Y1194)+VLOOKUP(I$67,G$1076:H$1084,2,FALSE)))),"X",""),IF(AND(U1195&gt;0,U1195=(MAX(Y$1009:Y1194)+VLOOKUP(I$67,G$1076:H$1084,2,FALSE))),"X",""))</f>
        <v/>
      </c>
      <c r="Y1195" s="252">
        <f t="shared" si="275"/>
        <v>0</v>
      </c>
      <c r="Z1195" s="253">
        <f>IF(Y1195&gt;0,COUNTIF(Y$1009:Y1194,"&gt;0")+1,0)</f>
        <v>0</v>
      </c>
      <c r="AA1195" s="1"/>
      <c r="AB1195" s="255" t="str">
        <f t="shared" si="276"/>
        <v/>
      </c>
      <c r="AC1195" s="261" t="str">
        <f t="shared" si="278"/>
        <v/>
      </c>
      <c r="AD1195" s="258">
        <f>IF(Z1195&gt;0,COUNTIF(AC$1009:AC1194,AC1195)+1,0)</f>
        <v>0</v>
      </c>
      <c r="AE1195" s="258" t="str">
        <f t="shared" si="277"/>
        <v/>
      </c>
      <c r="AF1195" s="392" t="str">
        <f t="shared" si="279"/>
        <v/>
      </c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</row>
    <row r="1196" spans="1:93" ht="16.5" hidden="1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27">
        <f t="shared" si="280"/>
        <v>7</v>
      </c>
      <c r="U1196" s="247">
        <f>IF(OR(ISBLANK(F$68),AND(W1196&gt;(F$68-1),W1196&lt;(I$68+1))),IF(ISERROR(VLOOKUP(I$67,G$1076:G$1078,1,FALSE)),IF(K$67=G$1086,IF(MONTH(W1196)&lt;&gt;MONTH(W1195),MAX(U$1009:U1195)+1,0),IF(ISERROR(VLOOKUP(I$67,G$1079:G$1084,1,FALSE)),IF(V1196=1,MAX(U$1009:U1195)+1,0),IF(MONTH(W1197)&lt;&gt;MONTH(W1196),T1196,0))),IF(K$67=G$1086,IF(V1196=1,MAX(U$1009:U1195)+1,0),IF(V1196=7,MAX(U$1015:U1195)+1,0))),0)</f>
        <v>0</v>
      </c>
      <c r="V1196" s="27">
        <f t="shared" si="273"/>
        <v>6</v>
      </c>
      <c r="W1196" s="97">
        <f t="shared" si="274"/>
        <v>45479</v>
      </c>
      <c r="X1196" s="249" t="str">
        <f>IF(K$67=G$1086,IF(OR(U1196=1,AND(U1196&gt;0,U1196=(MAX(Y$1009:Y1195)+VLOOKUP(I$67,G$1076:H$1084,2,FALSE)))),"X",""),IF(AND(U1196&gt;0,U1196=(MAX(Y$1009:Y1195)+VLOOKUP(I$67,G$1076:H$1084,2,FALSE))),"X",""))</f>
        <v/>
      </c>
      <c r="Y1196" s="252">
        <f t="shared" si="275"/>
        <v>0</v>
      </c>
      <c r="Z1196" s="253">
        <f>IF(Y1196&gt;0,COUNTIF(Y$1009:Y1195,"&gt;0")+1,0)</f>
        <v>0</v>
      </c>
      <c r="AA1196" s="1"/>
      <c r="AB1196" s="255" t="str">
        <f t="shared" si="276"/>
        <v/>
      </c>
      <c r="AC1196" s="261" t="str">
        <f t="shared" si="278"/>
        <v/>
      </c>
      <c r="AD1196" s="258">
        <f>IF(Z1196&gt;0,COUNTIF(AC$1009:AC1195,AC1196)+1,0)</f>
        <v>0</v>
      </c>
      <c r="AE1196" s="258" t="str">
        <f t="shared" si="277"/>
        <v/>
      </c>
      <c r="AF1196" s="392" t="str">
        <f t="shared" si="279"/>
        <v/>
      </c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</row>
    <row r="1197" spans="1:93" ht="16.5" hidden="1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27">
        <f t="shared" si="280"/>
        <v>7</v>
      </c>
      <c r="U1197" s="247">
        <f>IF(OR(ISBLANK(F$68),AND(W1197&gt;(F$68-1),W1197&lt;(I$68+1))),IF(ISERROR(VLOOKUP(I$67,G$1076:G$1078,1,FALSE)),IF(K$67=G$1086,IF(MONTH(W1197)&lt;&gt;MONTH(W1196),MAX(U$1009:U1196)+1,0),IF(ISERROR(VLOOKUP(I$67,G$1079:G$1084,1,FALSE)),IF(V1197=1,MAX(U$1009:U1196)+1,0),IF(MONTH(W1198)&lt;&gt;MONTH(W1197),T1197,0))),IF(K$67=G$1086,IF(V1197=1,MAX(U$1009:U1196)+1,0),IF(V1197=7,MAX(U$1015:U1196)+1,0))),0)</f>
        <v>0</v>
      </c>
      <c r="V1197" s="27">
        <f t="shared" si="273"/>
        <v>7</v>
      </c>
      <c r="W1197" s="97">
        <f t="shared" si="274"/>
        <v>45480</v>
      </c>
      <c r="X1197" s="249" t="str">
        <f>IF(K$67=G$1086,IF(OR(U1197=1,AND(U1197&gt;0,U1197=(MAX(Y$1009:Y1196)+VLOOKUP(I$67,G$1076:H$1084,2,FALSE)))),"X",""),IF(AND(U1197&gt;0,U1197=(MAX(Y$1009:Y1196)+VLOOKUP(I$67,G$1076:H$1084,2,FALSE))),"X",""))</f>
        <v/>
      </c>
      <c r="Y1197" s="252">
        <f t="shared" si="275"/>
        <v>0</v>
      </c>
      <c r="Z1197" s="253">
        <f>IF(Y1197&gt;0,COUNTIF(Y$1009:Y1196,"&gt;0")+1,0)</f>
        <v>0</v>
      </c>
      <c r="AA1197" s="1"/>
      <c r="AB1197" s="255" t="str">
        <f t="shared" si="276"/>
        <v/>
      </c>
      <c r="AC1197" s="261" t="str">
        <f t="shared" si="278"/>
        <v/>
      </c>
      <c r="AD1197" s="258">
        <f>IF(Z1197&gt;0,COUNTIF(AC$1009:AC1196,AC1197)+1,0)</f>
        <v>0</v>
      </c>
      <c r="AE1197" s="258" t="str">
        <f t="shared" si="277"/>
        <v/>
      </c>
      <c r="AF1197" s="392" t="str">
        <f t="shared" si="279"/>
        <v/>
      </c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</row>
    <row r="1198" spans="1:93" ht="16.5" hidden="1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27">
        <f t="shared" si="280"/>
        <v>7</v>
      </c>
      <c r="U1198" s="247">
        <f>IF(OR(ISBLANK(F$68),AND(W1198&gt;(F$68-1),W1198&lt;(I$68+1))),IF(ISERROR(VLOOKUP(I$67,G$1076:G$1078,1,FALSE)),IF(K$67=G$1086,IF(MONTH(W1198)&lt;&gt;MONTH(W1197),MAX(U$1009:U1197)+1,0),IF(ISERROR(VLOOKUP(I$67,G$1079:G$1084,1,FALSE)),IF(V1198=1,MAX(U$1009:U1197)+1,0),IF(MONTH(W1199)&lt;&gt;MONTH(W1198),T1198,0))),IF(K$67=G$1086,IF(V1198=1,MAX(U$1009:U1197)+1,0),IF(V1198=7,MAX(U$1015:U1197)+1,0))),0)</f>
        <v>28</v>
      </c>
      <c r="V1198" s="27">
        <f t="shared" si="273"/>
        <v>1</v>
      </c>
      <c r="W1198" s="97">
        <f t="shared" si="274"/>
        <v>45481</v>
      </c>
      <c r="X1198" s="249" t="str">
        <f>IF(K$67=G$1086,IF(OR(U1198=1,AND(U1198&gt;0,U1198=(MAX(Y$1009:Y1197)+VLOOKUP(I$67,G$1076:H$1084,2,FALSE)))),"X",""),IF(AND(U1198&gt;0,U1198=(MAX(Y$1009:Y1197)+VLOOKUP(I$67,G$1076:H$1084,2,FALSE))),"X",""))</f>
        <v/>
      </c>
      <c r="Y1198" s="252">
        <f t="shared" si="275"/>
        <v>0</v>
      </c>
      <c r="Z1198" s="253">
        <f>IF(Y1198&gt;0,COUNTIF(Y$1009:Y1197,"&gt;0")+1,0)</f>
        <v>0</v>
      </c>
      <c r="AA1198" s="1"/>
      <c r="AB1198" s="255" t="str">
        <f t="shared" si="276"/>
        <v/>
      </c>
      <c r="AC1198" s="261" t="str">
        <f t="shared" si="278"/>
        <v/>
      </c>
      <c r="AD1198" s="258">
        <f>IF(Z1198&gt;0,COUNTIF(AC$1009:AC1197,AC1198)+1,0)</f>
        <v>0</v>
      </c>
      <c r="AE1198" s="258" t="str">
        <f t="shared" si="277"/>
        <v/>
      </c>
      <c r="AF1198" s="392" t="str">
        <f t="shared" si="279"/>
        <v/>
      </c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</row>
    <row r="1199" spans="1:93" ht="16.5" hidden="1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27">
        <f t="shared" si="280"/>
        <v>7</v>
      </c>
      <c r="U1199" s="247">
        <f>IF(OR(ISBLANK(F$68),AND(W1199&gt;(F$68-1),W1199&lt;(I$68+1))),IF(ISERROR(VLOOKUP(I$67,G$1076:G$1078,1,FALSE)),IF(K$67=G$1086,IF(MONTH(W1199)&lt;&gt;MONTH(W1198),MAX(U$1009:U1198)+1,0),IF(ISERROR(VLOOKUP(I$67,G$1079:G$1084,1,FALSE)),IF(V1199=1,MAX(U$1009:U1198)+1,0),IF(MONTH(W1200)&lt;&gt;MONTH(W1199),T1199,0))),IF(K$67=G$1086,IF(V1199=1,MAX(U$1009:U1198)+1,0),IF(V1199=7,MAX(U$1015:U1198)+1,0))),0)</f>
        <v>0</v>
      </c>
      <c r="V1199" s="27">
        <f t="shared" si="273"/>
        <v>2</v>
      </c>
      <c r="W1199" s="97">
        <f t="shared" si="274"/>
        <v>45482</v>
      </c>
      <c r="X1199" s="249" t="str">
        <f>IF(K$67=G$1086,IF(OR(U1199=1,AND(U1199&gt;0,U1199=(MAX(Y$1009:Y1198)+VLOOKUP(I$67,G$1076:H$1084,2,FALSE)))),"X",""),IF(AND(U1199&gt;0,U1199=(MAX(Y$1009:Y1198)+VLOOKUP(I$67,G$1076:H$1084,2,FALSE))),"X",""))</f>
        <v/>
      </c>
      <c r="Y1199" s="252">
        <f t="shared" si="275"/>
        <v>0</v>
      </c>
      <c r="Z1199" s="253">
        <f>IF(Y1199&gt;0,COUNTIF(Y$1009:Y1198,"&gt;0")+1,0)</f>
        <v>0</v>
      </c>
      <c r="AA1199" s="1"/>
      <c r="AB1199" s="255" t="str">
        <f t="shared" si="276"/>
        <v/>
      </c>
      <c r="AC1199" s="261" t="str">
        <f t="shared" si="278"/>
        <v/>
      </c>
      <c r="AD1199" s="258">
        <f>IF(Z1199&gt;0,COUNTIF(AC$1009:AC1198,AC1199)+1,0)</f>
        <v>0</v>
      </c>
      <c r="AE1199" s="258" t="str">
        <f t="shared" si="277"/>
        <v/>
      </c>
      <c r="AF1199" s="392" t="str">
        <f t="shared" si="279"/>
        <v/>
      </c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</row>
    <row r="1200" spans="1:93" ht="16.5" hidden="1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27">
        <f t="shared" si="280"/>
        <v>7</v>
      </c>
      <c r="U1200" s="247">
        <f>IF(OR(ISBLANK(F$68),AND(W1200&gt;(F$68-1),W1200&lt;(I$68+1))),IF(ISERROR(VLOOKUP(I$67,G$1076:G$1078,1,FALSE)),IF(K$67=G$1086,IF(MONTH(W1200)&lt;&gt;MONTH(W1199),MAX(U$1009:U1199)+1,0),IF(ISERROR(VLOOKUP(I$67,G$1079:G$1084,1,FALSE)),IF(V1200=1,MAX(U$1009:U1199)+1,0),IF(MONTH(W1201)&lt;&gt;MONTH(W1200),T1200,0))),IF(K$67=G$1086,IF(V1200=1,MAX(U$1009:U1199)+1,0),IF(V1200=7,MAX(U$1015:U1199)+1,0))),0)</f>
        <v>0</v>
      </c>
      <c r="V1200" s="27">
        <f t="shared" si="273"/>
        <v>3</v>
      </c>
      <c r="W1200" s="97">
        <f t="shared" si="274"/>
        <v>45483</v>
      </c>
      <c r="X1200" s="249" t="str">
        <f>IF(K$67=G$1086,IF(OR(U1200=1,AND(U1200&gt;0,U1200=(MAX(Y$1009:Y1199)+VLOOKUP(I$67,G$1076:H$1084,2,FALSE)))),"X",""),IF(AND(U1200&gt;0,U1200=(MAX(Y$1009:Y1199)+VLOOKUP(I$67,G$1076:H$1084,2,FALSE))),"X",""))</f>
        <v/>
      </c>
      <c r="Y1200" s="252">
        <f t="shared" si="275"/>
        <v>0</v>
      </c>
      <c r="Z1200" s="253">
        <f>IF(Y1200&gt;0,COUNTIF(Y$1009:Y1199,"&gt;0")+1,0)</f>
        <v>0</v>
      </c>
      <c r="AA1200" s="1"/>
      <c r="AB1200" s="255" t="str">
        <f t="shared" si="276"/>
        <v/>
      </c>
      <c r="AC1200" s="261" t="str">
        <f t="shared" si="278"/>
        <v/>
      </c>
      <c r="AD1200" s="258">
        <f>IF(Z1200&gt;0,COUNTIF(AC$1009:AC1199,AC1200)+1,0)</f>
        <v>0</v>
      </c>
      <c r="AE1200" s="258" t="str">
        <f t="shared" si="277"/>
        <v/>
      </c>
      <c r="AF1200" s="392" t="str">
        <f t="shared" si="279"/>
        <v/>
      </c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</row>
    <row r="1201" spans="1:93" ht="16.5" hidden="1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27">
        <f t="shared" si="280"/>
        <v>7</v>
      </c>
      <c r="U1201" s="247">
        <f>IF(OR(ISBLANK(F$68),AND(W1201&gt;(F$68-1),W1201&lt;(I$68+1))),IF(ISERROR(VLOOKUP(I$67,G$1076:G$1078,1,FALSE)),IF(K$67=G$1086,IF(MONTH(W1201)&lt;&gt;MONTH(W1200),MAX(U$1009:U1200)+1,0),IF(ISERROR(VLOOKUP(I$67,G$1079:G$1084,1,FALSE)),IF(V1201=1,MAX(U$1009:U1200)+1,0),IF(MONTH(W1202)&lt;&gt;MONTH(W1201),T1201,0))),IF(K$67=G$1086,IF(V1201=1,MAX(U$1009:U1200)+1,0),IF(V1201=7,MAX(U$1015:U1200)+1,0))),0)</f>
        <v>0</v>
      </c>
      <c r="V1201" s="27">
        <f t="shared" ref="V1201:V1264" si="281">WEEKDAY(W1201,2)</f>
        <v>4</v>
      </c>
      <c r="W1201" s="97">
        <f t="shared" si="274"/>
        <v>45484</v>
      </c>
      <c r="X1201" s="249" t="str">
        <f>IF(K$67=G$1086,IF(OR(U1201=1,AND(U1201&gt;0,U1201=(MAX(Y$1009:Y1200)+VLOOKUP(I$67,G$1076:H$1084,2,FALSE)))),"X",""),IF(AND(U1201&gt;0,U1201=(MAX(Y$1009:Y1200)+VLOOKUP(I$67,G$1076:H$1084,2,FALSE))),"X",""))</f>
        <v/>
      </c>
      <c r="Y1201" s="252">
        <f t="shared" si="275"/>
        <v>0</v>
      </c>
      <c r="Z1201" s="253">
        <f>IF(Y1201&gt;0,COUNTIF(Y$1009:Y1200,"&gt;0")+1,0)</f>
        <v>0</v>
      </c>
      <c r="AA1201" s="1"/>
      <c r="AB1201" s="255" t="str">
        <f t="shared" si="276"/>
        <v/>
      </c>
      <c r="AC1201" s="261" t="str">
        <f t="shared" si="278"/>
        <v/>
      </c>
      <c r="AD1201" s="258">
        <f>IF(Z1201&gt;0,COUNTIF(AC$1009:AC1200,AC1201)+1,0)</f>
        <v>0</v>
      </c>
      <c r="AE1201" s="258" t="str">
        <f t="shared" si="277"/>
        <v/>
      </c>
      <c r="AF1201" s="392" t="str">
        <f t="shared" si="279"/>
        <v/>
      </c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</row>
    <row r="1202" spans="1:93" ht="16.5" hidden="1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27">
        <f t="shared" si="280"/>
        <v>7</v>
      </c>
      <c r="U1202" s="247">
        <f>IF(OR(ISBLANK(F$68),AND(W1202&gt;(F$68-1),W1202&lt;(I$68+1))),IF(ISERROR(VLOOKUP(I$67,G$1076:G$1078,1,FALSE)),IF(K$67=G$1086,IF(MONTH(W1202)&lt;&gt;MONTH(W1201),MAX(U$1009:U1201)+1,0),IF(ISERROR(VLOOKUP(I$67,G$1079:G$1084,1,FALSE)),IF(V1202=1,MAX(U$1009:U1201)+1,0),IF(MONTH(W1203)&lt;&gt;MONTH(W1202),T1202,0))),IF(K$67=G$1086,IF(V1202=1,MAX(U$1009:U1201)+1,0),IF(V1202=7,MAX(U$1015:U1201)+1,0))),0)</f>
        <v>0</v>
      </c>
      <c r="V1202" s="27">
        <f t="shared" si="281"/>
        <v>5</v>
      </c>
      <c r="W1202" s="97">
        <f t="shared" ref="W1202:W1265" si="282">W1201+1</f>
        <v>45485</v>
      </c>
      <c r="X1202" s="249" t="str">
        <f>IF(K$67=G$1086,IF(OR(U1202=1,AND(U1202&gt;0,U1202=(MAX(Y$1009:Y1201)+VLOOKUP(I$67,G$1076:H$1084,2,FALSE)))),"X",""),IF(AND(U1202&gt;0,U1202=(MAX(Y$1009:Y1201)+VLOOKUP(I$67,G$1076:H$1084,2,FALSE))),"X",""))</f>
        <v/>
      </c>
      <c r="Y1202" s="252">
        <f t="shared" ref="Y1202:Y1265" si="283">IF(OR(ISBLANK($I$67),ISBLANK($K$67)),0,IF(X1202="X",U1202,0))</f>
        <v>0</v>
      </c>
      <c r="Z1202" s="253">
        <f>IF(Y1202&gt;0,COUNTIF(Y$1009:Y1201,"&gt;0")+1,0)</f>
        <v>0</v>
      </c>
      <c r="AA1202" s="1"/>
      <c r="AB1202" s="255" t="str">
        <f t="shared" ref="AB1202:AB1265" si="284">IF(Z1202&gt;0,W1202,"")</f>
        <v/>
      </c>
      <c r="AC1202" s="261" t="str">
        <f t="shared" si="278"/>
        <v/>
      </c>
      <c r="AD1202" s="258">
        <f>IF(Z1202&gt;0,COUNTIF(AC$1009:AC1201,AC1202)+1,0)</f>
        <v>0</v>
      </c>
      <c r="AE1202" s="258" t="str">
        <f t="shared" ref="AE1202:AE1265" si="285">IF(Z1202&gt;0,CONCATENATE(AC1202,"-",AD1202),"")</f>
        <v/>
      </c>
      <c r="AF1202" s="392" t="str">
        <f t="shared" si="279"/>
        <v/>
      </c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</row>
    <row r="1203" spans="1:93" ht="16.5" hidden="1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27">
        <f t="shared" si="280"/>
        <v>7</v>
      </c>
      <c r="U1203" s="247">
        <f>IF(OR(ISBLANK(F$68),AND(W1203&gt;(F$68-1),W1203&lt;(I$68+1))),IF(ISERROR(VLOOKUP(I$67,G$1076:G$1078,1,FALSE)),IF(K$67=G$1086,IF(MONTH(W1203)&lt;&gt;MONTH(W1202),MAX(U$1009:U1202)+1,0),IF(ISERROR(VLOOKUP(I$67,G$1079:G$1084,1,FALSE)),IF(V1203=1,MAX(U$1009:U1202)+1,0),IF(MONTH(W1204)&lt;&gt;MONTH(W1203),T1203,0))),IF(K$67=G$1086,IF(V1203=1,MAX(U$1009:U1202)+1,0),IF(V1203=7,MAX(U$1015:U1202)+1,0))),0)</f>
        <v>0</v>
      </c>
      <c r="V1203" s="27">
        <f t="shared" si="281"/>
        <v>6</v>
      </c>
      <c r="W1203" s="97">
        <f t="shared" si="282"/>
        <v>45486</v>
      </c>
      <c r="X1203" s="249" t="str">
        <f>IF(K$67=G$1086,IF(OR(U1203=1,AND(U1203&gt;0,U1203=(MAX(Y$1009:Y1202)+VLOOKUP(I$67,G$1076:H$1084,2,FALSE)))),"X",""),IF(AND(U1203&gt;0,U1203=(MAX(Y$1009:Y1202)+VLOOKUP(I$67,G$1076:H$1084,2,FALSE))),"X",""))</f>
        <v/>
      </c>
      <c r="Y1203" s="252">
        <f t="shared" si="283"/>
        <v>0</v>
      </c>
      <c r="Z1203" s="253">
        <f>IF(Y1203&gt;0,COUNTIF(Y$1009:Y1202,"&gt;0")+1,0)</f>
        <v>0</v>
      </c>
      <c r="AA1203" s="1"/>
      <c r="AB1203" s="255" t="str">
        <f t="shared" si="284"/>
        <v/>
      </c>
      <c r="AC1203" s="261" t="str">
        <f t="shared" si="278"/>
        <v/>
      </c>
      <c r="AD1203" s="258">
        <f>IF(Z1203&gt;0,COUNTIF(AC$1009:AC1202,AC1203)+1,0)</f>
        <v>0</v>
      </c>
      <c r="AE1203" s="258" t="str">
        <f t="shared" si="285"/>
        <v/>
      </c>
      <c r="AF1203" s="392" t="str">
        <f t="shared" si="279"/>
        <v/>
      </c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</row>
    <row r="1204" spans="1:93" ht="16.5" hidden="1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27">
        <f t="shared" si="280"/>
        <v>7</v>
      </c>
      <c r="U1204" s="247">
        <f>IF(OR(ISBLANK(F$68),AND(W1204&gt;(F$68-1),W1204&lt;(I$68+1))),IF(ISERROR(VLOOKUP(I$67,G$1076:G$1078,1,FALSE)),IF(K$67=G$1086,IF(MONTH(W1204)&lt;&gt;MONTH(W1203),MAX(U$1009:U1203)+1,0),IF(ISERROR(VLOOKUP(I$67,G$1079:G$1084,1,FALSE)),IF(V1204=1,MAX(U$1009:U1203)+1,0),IF(MONTH(W1205)&lt;&gt;MONTH(W1204),T1204,0))),IF(K$67=G$1086,IF(V1204=1,MAX(U$1009:U1203)+1,0),IF(V1204=7,MAX(U$1015:U1203)+1,0))),0)</f>
        <v>0</v>
      </c>
      <c r="V1204" s="27">
        <f t="shared" si="281"/>
        <v>7</v>
      </c>
      <c r="W1204" s="97">
        <f t="shared" si="282"/>
        <v>45487</v>
      </c>
      <c r="X1204" s="249" t="str">
        <f>IF(K$67=G$1086,IF(OR(U1204=1,AND(U1204&gt;0,U1204=(MAX(Y$1009:Y1203)+VLOOKUP(I$67,G$1076:H$1084,2,FALSE)))),"X",""),IF(AND(U1204&gt;0,U1204=(MAX(Y$1009:Y1203)+VLOOKUP(I$67,G$1076:H$1084,2,FALSE))),"X",""))</f>
        <v/>
      </c>
      <c r="Y1204" s="252">
        <f t="shared" si="283"/>
        <v>0</v>
      </c>
      <c r="Z1204" s="253">
        <f>IF(Y1204&gt;0,COUNTIF(Y$1009:Y1203,"&gt;0")+1,0)</f>
        <v>0</v>
      </c>
      <c r="AA1204" s="1"/>
      <c r="AB1204" s="255" t="str">
        <f t="shared" si="284"/>
        <v/>
      </c>
      <c r="AC1204" s="261" t="str">
        <f t="shared" si="278"/>
        <v/>
      </c>
      <c r="AD1204" s="258">
        <f>IF(Z1204&gt;0,COUNTIF(AC$1009:AC1203,AC1204)+1,0)</f>
        <v>0</v>
      </c>
      <c r="AE1204" s="258" t="str">
        <f t="shared" si="285"/>
        <v/>
      </c>
      <c r="AF1204" s="392" t="str">
        <f t="shared" si="279"/>
        <v/>
      </c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</row>
    <row r="1205" spans="1:93" ht="16.5" hidden="1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27">
        <f t="shared" si="280"/>
        <v>7</v>
      </c>
      <c r="U1205" s="247">
        <f>IF(OR(ISBLANK(F$68),AND(W1205&gt;(F$68-1),W1205&lt;(I$68+1))),IF(ISERROR(VLOOKUP(I$67,G$1076:G$1078,1,FALSE)),IF(K$67=G$1086,IF(MONTH(W1205)&lt;&gt;MONTH(W1204),MAX(U$1009:U1204)+1,0),IF(ISERROR(VLOOKUP(I$67,G$1079:G$1084,1,FALSE)),IF(V1205=1,MAX(U$1009:U1204)+1,0),IF(MONTH(W1206)&lt;&gt;MONTH(W1205),T1205,0))),IF(K$67=G$1086,IF(V1205=1,MAX(U$1009:U1204)+1,0),IF(V1205=7,MAX(U$1015:U1204)+1,0))),0)</f>
        <v>29</v>
      </c>
      <c r="V1205" s="27">
        <f t="shared" si="281"/>
        <v>1</v>
      </c>
      <c r="W1205" s="97">
        <f t="shared" si="282"/>
        <v>45488</v>
      </c>
      <c r="X1205" s="249" t="str">
        <f>IF(K$67=G$1086,IF(OR(U1205=1,AND(U1205&gt;0,U1205=(MAX(Y$1009:Y1204)+VLOOKUP(I$67,G$1076:H$1084,2,FALSE)))),"X",""),IF(AND(U1205&gt;0,U1205=(MAX(Y$1009:Y1204)+VLOOKUP(I$67,G$1076:H$1084,2,FALSE))),"X",""))</f>
        <v>X</v>
      </c>
      <c r="Y1205" s="252">
        <f t="shared" si="283"/>
        <v>29</v>
      </c>
      <c r="Z1205" s="253">
        <f>IF(Y1205&gt;0,COUNTIF(Y$1009:Y1204,"&gt;0")+1,0)</f>
        <v>15</v>
      </c>
      <c r="AA1205" s="1"/>
      <c r="AB1205" s="255">
        <f t="shared" si="284"/>
        <v>45488</v>
      </c>
      <c r="AC1205" s="261">
        <f t="shared" si="278"/>
        <v>7</v>
      </c>
      <c r="AD1205" s="258">
        <f>IF(Z1205&gt;0,COUNTIF(AC$1009:AC1204,AC1205)+1,0)</f>
        <v>2</v>
      </c>
      <c r="AE1205" s="258" t="str">
        <f t="shared" si="285"/>
        <v>7-2</v>
      </c>
      <c r="AF1205" s="392">
        <f t="shared" si="279"/>
        <v>45488</v>
      </c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</row>
    <row r="1206" spans="1:93" ht="16.5" hidden="1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27">
        <f t="shared" si="280"/>
        <v>7</v>
      </c>
      <c r="U1206" s="247">
        <f>IF(OR(ISBLANK(F$68),AND(W1206&gt;(F$68-1),W1206&lt;(I$68+1))),IF(ISERROR(VLOOKUP(I$67,G$1076:G$1078,1,FALSE)),IF(K$67=G$1086,IF(MONTH(W1206)&lt;&gt;MONTH(W1205),MAX(U$1009:U1205)+1,0),IF(ISERROR(VLOOKUP(I$67,G$1079:G$1084,1,FALSE)),IF(V1206=1,MAX(U$1009:U1205)+1,0),IF(MONTH(W1207)&lt;&gt;MONTH(W1206),T1206,0))),IF(K$67=G$1086,IF(V1206=1,MAX(U$1009:U1205)+1,0),IF(V1206=7,MAX(U$1015:U1205)+1,0))),0)</f>
        <v>0</v>
      </c>
      <c r="V1206" s="27">
        <f t="shared" si="281"/>
        <v>2</v>
      </c>
      <c r="W1206" s="97">
        <f t="shared" si="282"/>
        <v>45489</v>
      </c>
      <c r="X1206" s="249" t="str">
        <f>IF(K$67=G$1086,IF(OR(U1206=1,AND(U1206&gt;0,U1206=(MAX(Y$1009:Y1205)+VLOOKUP(I$67,G$1076:H$1084,2,FALSE)))),"X",""),IF(AND(U1206&gt;0,U1206=(MAX(Y$1009:Y1205)+VLOOKUP(I$67,G$1076:H$1084,2,FALSE))),"X",""))</f>
        <v/>
      </c>
      <c r="Y1206" s="252">
        <f t="shared" si="283"/>
        <v>0</v>
      </c>
      <c r="Z1206" s="253">
        <f>IF(Y1206&gt;0,COUNTIF(Y$1009:Y1205,"&gt;0")+1,0)</f>
        <v>0</v>
      </c>
      <c r="AA1206" s="1"/>
      <c r="AB1206" s="255" t="str">
        <f t="shared" si="284"/>
        <v/>
      </c>
      <c r="AC1206" s="261" t="str">
        <f t="shared" ref="AC1206:AC1269" si="286">IF(Z1206=0,"",MONTH(AB1206))</f>
        <v/>
      </c>
      <c r="AD1206" s="258">
        <f>IF(Z1206&gt;0,COUNTIF(AC$1009:AC1205,AC1206)+1,0)</f>
        <v>0</v>
      </c>
      <c r="AE1206" s="258" t="str">
        <f t="shared" si="285"/>
        <v/>
      </c>
      <c r="AF1206" s="392" t="str">
        <f t="shared" ref="AF1206:AF1269" si="287">IF(Z1206&gt;0,AB1206,"")</f>
        <v/>
      </c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</row>
    <row r="1207" spans="1:93" ht="16.5" hidden="1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27">
        <f t="shared" si="280"/>
        <v>7</v>
      </c>
      <c r="U1207" s="247">
        <f>IF(OR(ISBLANK(F$68),AND(W1207&gt;(F$68-1),W1207&lt;(I$68+1))),IF(ISERROR(VLOOKUP(I$67,G$1076:G$1078,1,FALSE)),IF(K$67=G$1086,IF(MONTH(W1207)&lt;&gt;MONTH(W1206),MAX(U$1009:U1206)+1,0),IF(ISERROR(VLOOKUP(I$67,G$1079:G$1084,1,FALSE)),IF(V1207=1,MAX(U$1009:U1206)+1,0),IF(MONTH(W1208)&lt;&gt;MONTH(W1207),T1207,0))),IF(K$67=G$1086,IF(V1207=1,MAX(U$1009:U1206)+1,0),IF(V1207=7,MAX(U$1015:U1206)+1,0))),0)</f>
        <v>0</v>
      </c>
      <c r="V1207" s="27">
        <f t="shared" si="281"/>
        <v>3</v>
      </c>
      <c r="W1207" s="97">
        <f t="shared" si="282"/>
        <v>45490</v>
      </c>
      <c r="X1207" s="249" t="str">
        <f>IF(K$67=G$1086,IF(OR(U1207=1,AND(U1207&gt;0,U1207=(MAX(Y$1009:Y1206)+VLOOKUP(I$67,G$1076:H$1084,2,FALSE)))),"X",""),IF(AND(U1207&gt;0,U1207=(MAX(Y$1009:Y1206)+VLOOKUP(I$67,G$1076:H$1084,2,FALSE))),"X",""))</f>
        <v/>
      </c>
      <c r="Y1207" s="252">
        <f t="shared" si="283"/>
        <v>0</v>
      </c>
      <c r="Z1207" s="253">
        <f>IF(Y1207&gt;0,COUNTIF(Y$1009:Y1206,"&gt;0")+1,0)</f>
        <v>0</v>
      </c>
      <c r="AA1207" s="1"/>
      <c r="AB1207" s="255" t="str">
        <f t="shared" si="284"/>
        <v/>
      </c>
      <c r="AC1207" s="261" t="str">
        <f t="shared" si="286"/>
        <v/>
      </c>
      <c r="AD1207" s="258">
        <f>IF(Z1207&gt;0,COUNTIF(AC$1009:AC1206,AC1207)+1,0)</f>
        <v>0</v>
      </c>
      <c r="AE1207" s="258" t="str">
        <f t="shared" si="285"/>
        <v/>
      </c>
      <c r="AF1207" s="392" t="str">
        <f t="shared" si="287"/>
        <v/>
      </c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</row>
    <row r="1208" spans="1:93" ht="16.5" hidden="1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27">
        <f t="shared" si="280"/>
        <v>7</v>
      </c>
      <c r="U1208" s="247">
        <f>IF(OR(ISBLANK(F$68),AND(W1208&gt;(F$68-1),W1208&lt;(I$68+1))),IF(ISERROR(VLOOKUP(I$67,G$1076:G$1078,1,FALSE)),IF(K$67=G$1086,IF(MONTH(W1208)&lt;&gt;MONTH(W1207),MAX(U$1009:U1207)+1,0),IF(ISERROR(VLOOKUP(I$67,G$1079:G$1084,1,FALSE)),IF(V1208=1,MAX(U$1009:U1207)+1,0),IF(MONTH(W1209)&lt;&gt;MONTH(W1208),T1208,0))),IF(K$67=G$1086,IF(V1208=1,MAX(U$1009:U1207)+1,0),IF(V1208=7,MAX(U$1015:U1207)+1,0))),0)</f>
        <v>0</v>
      </c>
      <c r="V1208" s="27">
        <f t="shared" si="281"/>
        <v>4</v>
      </c>
      <c r="W1208" s="97">
        <f t="shared" si="282"/>
        <v>45491</v>
      </c>
      <c r="X1208" s="249" t="str">
        <f>IF(K$67=G$1086,IF(OR(U1208=1,AND(U1208&gt;0,U1208=(MAX(Y$1009:Y1207)+VLOOKUP(I$67,G$1076:H$1084,2,FALSE)))),"X",""),IF(AND(U1208&gt;0,U1208=(MAX(Y$1009:Y1207)+VLOOKUP(I$67,G$1076:H$1084,2,FALSE))),"X",""))</f>
        <v/>
      </c>
      <c r="Y1208" s="252">
        <f t="shared" si="283"/>
        <v>0</v>
      </c>
      <c r="Z1208" s="253">
        <f>IF(Y1208&gt;0,COUNTIF(Y$1009:Y1207,"&gt;0")+1,0)</f>
        <v>0</v>
      </c>
      <c r="AA1208" s="1"/>
      <c r="AB1208" s="255" t="str">
        <f t="shared" si="284"/>
        <v/>
      </c>
      <c r="AC1208" s="261" t="str">
        <f t="shared" si="286"/>
        <v/>
      </c>
      <c r="AD1208" s="258">
        <f>IF(Z1208&gt;0,COUNTIF(AC$1009:AC1207,AC1208)+1,0)</f>
        <v>0</v>
      </c>
      <c r="AE1208" s="258" t="str">
        <f t="shared" si="285"/>
        <v/>
      </c>
      <c r="AF1208" s="392" t="str">
        <f t="shared" si="287"/>
        <v/>
      </c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</row>
    <row r="1209" spans="1:93" ht="16.5" hidden="1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27">
        <f t="shared" si="280"/>
        <v>7</v>
      </c>
      <c r="U1209" s="247">
        <f>IF(OR(ISBLANK(F$68),AND(W1209&gt;(F$68-1),W1209&lt;(I$68+1))),IF(ISERROR(VLOOKUP(I$67,G$1076:G$1078,1,FALSE)),IF(K$67=G$1086,IF(MONTH(W1209)&lt;&gt;MONTH(W1208),MAX(U$1009:U1208)+1,0),IF(ISERROR(VLOOKUP(I$67,G$1079:G$1084,1,FALSE)),IF(V1209=1,MAX(U$1009:U1208)+1,0),IF(MONTH(W1210)&lt;&gt;MONTH(W1209),T1209,0))),IF(K$67=G$1086,IF(V1209=1,MAX(U$1009:U1208)+1,0),IF(V1209=7,MAX(U$1015:U1208)+1,0))),0)</f>
        <v>0</v>
      </c>
      <c r="V1209" s="27">
        <f t="shared" si="281"/>
        <v>5</v>
      </c>
      <c r="W1209" s="97">
        <f t="shared" si="282"/>
        <v>45492</v>
      </c>
      <c r="X1209" s="249" t="str">
        <f>IF(K$67=G$1086,IF(OR(U1209=1,AND(U1209&gt;0,U1209=(MAX(Y$1009:Y1208)+VLOOKUP(I$67,G$1076:H$1084,2,FALSE)))),"X",""),IF(AND(U1209&gt;0,U1209=(MAX(Y$1009:Y1208)+VLOOKUP(I$67,G$1076:H$1084,2,FALSE))),"X",""))</f>
        <v/>
      </c>
      <c r="Y1209" s="252">
        <f t="shared" si="283"/>
        <v>0</v>
      </c>
      <c r="Z1209" s="253">
        <f>IF(Y1209&gt;0,COUNTIF(Y$1009:Y1208,"&gt;0")+1,0)</f>
        <v>0</v>
      </c>
      <c r="AA1209" s="1"/>
      <c r="AB1209" s="255" t="str">
        <f t="shared" si="284"/>
        <v/>
      </c>
      <c r="AC1209" s="261" t="str">
        <f t="shared" si="286"/>
        <v/>
      </c>
      <c r="AD1209" s="258">
        <f>IF(Z1209&gt;0,COUNTIF(AC$1009:AC1208,AC1209)+1,0)</f>
        <v>0</v>
      </c>
      <c r="AE1209" s="258" t="str">
        <f t="shared" si="285"/>
        <v/>
      </c>
      <c r="AF1209" s="392" t="str">
        <f t="shared" si="287"/>
        <v/>
      </c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</row>
    <row r="1210" spans="1:93" ht="16.5" hidden="1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27">
        <f t="shared" ref="T1210:T1273" si="288">IF(MONTH(W1210)=MONTH(W1209),T1209,T1209+1)</f>
        <v>7</v>
      </c>
      <c r="U1210" s="247">
        <f>IF(OR(ISBLANK(F$68),AND(W1210&gt;(F$68-1),W1210&lt;(I$68+1))),IF(ISERROR(VLOOKUP(I$67,G$1076:G$1078,1,FALSE)),IF(K$67=G$1086,IF(MONTH(W1210)&lt;&gt;MONTH(W1209),MAX(U$1009:U1209)+1,0),IF(ISERROR(VLOOKUP(I$67,G$1079:G$1084,1,FALSE)),IF(V1210=1,MAX(U$1009:U1209)+1,0),IF(MONTH(W1211)&lt;&gt;MONTH(W1210),T1210,0))),IF(K$67=G$1086,IF(V1210=1,MAX(U$1009:U1209)+1,0),IF(V1210=7,MAX(U$1015:U1209)+1,0))),0)</f>
        <v>0</v>
      </c>
      <c r="V1210" s="27">
        <f t="shared" si="281"/>
        <v>6</v>
      </c>
      <c r="W1210" s="97">
        <f t="shared" si="282"/>
        <v>45493</v>
      </c>
      <c r="X1210" s="249" t="str">
        <f>IF(K$67=G$1086,IF(OR(U1210=1,AND(U1210&gt;0,U1210=(MAX(Y$1009:Y1209)+VLOOKUP(I$67,G$1076:H$1084,2,FALSE)))),"X",""),IF(AND(U1210&gt;0,U1210=(MAX(Y$1009:Y1209)+VLOOKUP(I$67,G$1076:H$1084,2,FALSE))),"X",""))</f>
        <v/>
      </c>
      <c r="Y1210" s="252">
        <f t="shared" si="283"/>
        <v>0</v>
      </c>
      <c r="Z1210" s="253">
        <f>IF(Y1210&gt;0,COUNTIF(Y$1009:Y1209,"&gt;0")+1,0)</f>
        <v>0</v>
      </c>
      <c r="AA1210" s="1"/>
      <c r="AB1210" s="255" t="str">
        <f t="shared" si="284"/>
        <v/>
      </c>
      <c r="AC1210" s="261" t="str">
        <f t="shared" si="286"/>
        <v/>
      </c>
      <c r="AD1210" s="258">
        <f>IF(Z1210&gt;0,COUNTIF(AC$1009:AC1209,AC1210)+1,0)</f>
        <v>0</v>
      </c>
      <c r="AE1210" s="258" t="str">
        <f t="shared" si="285"/>
        <v/>
      </c>
      <c r="AF1210" s="392" t="str">
        <f t="shared" si="287"/>
        <v/>
      </c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</row>
    <row r="1211" spans="1:93" ht="16.5" hidden="1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27">
        <f t="shared" si="288"/>
        <v>7</v>
      </c>
      <c r="U1211" s="247">
        <f>IF(OR(ISBLANK(F$68),AND(W1211&gt;(F$68-1),W1211&lt;(I$68+1))),IF(ISERROR(VLOOKUP(I$67,G$1076:G$1078,1,FALSE)),IF(K$67=G$1086,IF(MONTH(W1211)&lt;&gt;MONTH(W1210),MAX(U$1009:U1210)+1,0),IF(ISERROR(VLOOKUP(I$67,G$1079:G$1084,1,FALSE)),IF(V1211=1,MAX(U$1009:U1210)+1,0),IF(MONTH(W1212)&lt;&gt;MONTH(W1211),T1211,0))),IF(K$67=G$1086,IF(V1211=1,MAX(U$1009:U1210)+1,0),IF(V1211=7,MAX(U$1015:U1210)+1,0))),0)</f>
        <v>0</v>
      </c>
      <c r="V1211" s="27">
        <f t="shared" si="281"/>
        <v>7</v>
      </c>
      <c r="W1211" s="97">
        <f t="shared" si="282"/>
        <v>45494</v>
      </c>
      <c r="X1211" s="249" t="str">
        <f>IF(K$67=G$1086,IF(OR(U1211=1,AND(U1211&gt;0,U1211=(MAX(Y$1009:Y1210)+VLOOKUP(I$67,G$1076:H$1084,2,FALSE)))),"X",""),IF(AND(U1211&gt;0,U1211=(MAX(Y$1009:Y1210)+VLOOKUP(I$67,G$1076:H$1084,2,FALSE))),"X",""))</f>
        <v/>
      </c>
      <c r="Y1211" s="252">
        <f t="shared" si="283"/>
        <v>0</v>
      </c>
      <c r="Z1211" s="253">
        <f>IF(Y1211&gt;0,COUNTIF(Y$1009:Y1210,"&gt;0")+1,0)</f>
        <v>0</v>
      </c>
      <c r="AA1211" s="1"/>
      <c r="AB1211" s="255" t="str">
        <f t="shared" si="284"/>
        <v/>
      </c>
      <c r="AC1211" s="261" t="str">
        <f t="shared" si="286"/>
        <v/>
      </c>
      <c r="AD1211" s="258">
        <f>IF(Z1211&gt;0,COUNTIF(AC$1009:AC1210,AC1211)+1,0)</f>
        <v>0</v>
      </c>
      <c r="AE1211" s="258" t="str">
        <f t="shared" si="285"/>
        <v/>
      </c>
      <c r="AF1211" s="392" t="str">
        <f t="shared" si="287"/>
        <v/>
      </c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</row>
    <row r="1212" spans="1:93" ht="16.5" hidden="1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27">
        <f t="shared" si="288"/>
        <v>7</v>
      </c>
      <c r="U1212" s="247">
        <f>IF(OR(ISBLANK(F$68),AND(W1212&gt;(F$68-1),W1212&lt;(I$68+1))),IF(ISERROR(VLOOKUP(I$67,G$1076:G$1078,1,FALSE)),IF(K$67=G$1086,IF(MONTH(W1212)&lt;&gt;MONTH(W1211),MAX(U$1009:U1211)+1,0),IF(ISERROR(VLOOKUP(I$67,G$1079:G$1084,1,FALSE)),IF(V1212=1,MAX(U$1009:U1211)+1,0),IF(MONTH(W1213)&lt;&gt;MONTH(W1212),T1212,0))),IF(K$67=G$1086,IF(V1212=1,MAX(U$1009:U1211)+1,0),IF(V1212=7,MAX(U$1015:U1211)+1,0))),0)</f>
        <v>30</v>
      </c>
      <c r="V1212" s="27">
        <f t="shared" si="281"/>
        <v>1</v>
      </c>
      <c r="W1212" s="97">
        <f t="shared" si="282"/>
        <v>45495</v>
      </c>
      <c r="X1212" s="249" t="str">
        <f>IF(K$67=G$1086,IF(OR(U1212=1,AND(U1212&gt;0,U1212=(MAX(Y$1009:Y1211)+VLOOKUP(I$67,G$1076:H$1084,2,FALSE)))),"X",""),IF(AND(U1212&gt;0,U1212=(MAX(Y$1009:Y1211)+VLOOKUP(I$67,G$1076:H$1084,2,FALSE))),"X",""))</f>
        <v/>
      </c>
      <c r="Y1212" s="252">
        <f t="shared" si="283"/>
        <v>0</v>
      </c>
      <c r="Z1212" s="253">
        <f>IF(Y1212&gt;0,COUNTIF(Y$1009:Y1211,"&gt;0")+1,0)</f>
        <v>0</v>
      </c>
      <c r="AA1212" s="1"/>
      <c r="AB1212" s="255" t="str">
        <f t="shared" si="284"/>
        <v/>
      </c>
      <c r="AC1212" s="261" t="str">
        <f t="shared" si="286"/>
        <v/>
      </c>
      <c r="AD1212" s="258">
        <f>IF(Z1212&gt;0,COUNTIF(AC$1009:AC1211,AC1212)+1,0)</f>
        <v>0</v>
      </c>
      <c r="AE1212" s="258" t="str">
        <f t="shared" si="285"/>
        <v/>
      </c>
      <c r="AF1212" s="392" t="str">
        <f t="shared" si="287"/>
        <v/>
      </c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</row>
    <row r="1213" spans="1:93" ht="16.5" hidden="1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27">
        <f t="shared" si="288"/>
        <v>7</v>
      </c>
      <c r="U1213" s="247">
        <f>IF(OR(ISBLANK(F$68),AND(W1213&gt;(F$68-1),W1213&lt;(I$68+1))),IF(ISERROR(VLOOKUP(I$67,G$1076:G$1078,1,FALSE)),IF(K$67=G$1086,IF(MONTH(W1213)&lt;&gt;MONTH(W1212),MAX(U$1009:U1212)+1,0),IF(ISERROR(VLOOKUP(I$67,G$1079:G$1084,1,FALSE)),IF(V1213=1,MAX(U$1009:U1212)+1,0),IF(MONTH(W1214)&lt;&gt;MONTH(W1213),T1213,0))),IF(K$67=G$1086,IF(V1213=1,MAX(U$1009:U1212)+1,0),IF(V1213=7,MAX(U$1015:U1212)+1,0))),0)</f>
        <v>0</v>
      </c>
      <c r="V1213" s="27">
        <f t="shared" si="281"/>
        <v>2</v>
      </c>
      <c r="W1213" s="97">
        <f t="shared" si="282"/>
        <v>45496</v>
      </c>
      <c r="X1213" s="249" t="str">
        <f>IF(K$67=G$1086,IF(OR(U1213=1,AND(U1213&gt;0,U1213=(MAX(Y$1009:Y1212)+VLOOKUP(I$67,G$1076:H$1084,2,FALSE)))),"X",""),IF(AND(U1213&gt;0,U1213=(MAX(Y$1009:Y1212)+VLOOKUP(I$67,G$1076:H$1084,2,FALSE))),"X",""))</f>
        <v/>
      </c>
      <c r="Y1213" s="252">
        <f t="shared" si="283"/>
        <v>0</v>
      </c>
      <c r="Z1213" s="253">
        <f>IF(Y1213&gt;0,COUNTIF(Y$1009:Y1212,"&gt;0")+1,0)</f>
        <v>0</v>
      </c>
      <c r="AA1213" s="1"/>
      <c r="AB1213" s="255" t="str">
        <f t="shared" si="284"/>
        <v/>
      </c>
      <c r="AC1213" s="261" t="str">
        <f t="shared" si="286"/>
        <v/>
      </c>
      <c r="AD1213" s="258">
        <f>IF(Z1213&gt;0,COUNTIF(AC$1009:AC1212,AC1213)+1,0)</f>
        <v>0</v>
      </c>
      <c r="AE1213" s="258" t="str">
        <f t="shared" si="285"/>
        <v/>
      </c>
      <c r="AF1213" s="392" t="str">
        <f t="shared" si="287"/>
        <v/>
      </c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</row>
    <row r="1214" spans="1:93" ht="16.5" hidden="1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27">
        <f t="shared" si="288"/>
        <v>7</v>
      </c>
      <c r="U1214" s="247">
        <f>IF(OR(ISBLANK(F$68),AND(W1214&gt;(F$68-1),W1214&lt;(I$68+1))),IF(ISERROR(VLOOKUP(I$67,G$1076:G$1078,1,FALSE)),IF(K$67=G$1086,IF(MONTH(W1214)&lt;&gt;MONTH(W1213),MAX(U$1009:U1213)+1,0),IF(ISERROR(VLOOKUP(I$67,G$1079:G$1084,1,FALSE)),IF(V1214=1,MAX(U$1009:U1213)+1,0),IF(MONTH(W1215)&lt;&gt;MONTH(W1214),T1214,0))),IF(K$67=G$1086,IF(V1214=1,MAX(U$1009:U1213)+1,0),IF(V1214=7,MAX(U$1015:U1213)+1,0))),0)</f>
        <v>0</v>
      </c>
      <c r="V1214" s="27">
        <f t="shared" si="281"/>
        <v>3</v>
      </c>
      <c r="W1214" s="97">
        <f t="shared" si="282"/>
        <v>45497</v>
      </c>
      <c r="X1214" s="249" t="str">
        <f>IF(K$67=G$1086,IF(OR(U1214=1,AND(U1214&gt;0,U1214=(MAX(Y$1009:Y1213)+VLOOKUP(I$67,G$1076:H$1084,2,FALSE)))),"X",""),IF(AND(U1214&gt;0,U1214=(MAX(Y$1009:Y1213)+VLOOKUP(I$67,G$1076:H$1084,2,FALSE))),"X",""))</f>
        <v/>
      </c>
      <c r="Y1214" s="252">
        <f t="shared" si="283"/>
        <v>0</v>
      </c>
      <c r="Z1214" s="253">
        <f>IF(Y1214&gt;0,COUNTIF(Y$1009:Y1213,"&gt;0")+1,0)</f>
        <v>0</v>
      </c>
      <c r="AA1214" s="1"/>
      <c r="AB1214" s="255" t="str">
        <f t="shared" si="284"/>
        <v/>
      </c>
      <c r="AC1214" s="261" t="str">
        <f t="shared" si="286"/>
        <v/>
      </c>
      <c r="AD1214" s="258">
        <f>IF(Z1214&gt;0,COUNTIF(AC$1009:AC1213,AC1214)+1,0)</f>
        <v>0</v>
      </c>
      <c r="AE1214" s="258" t="str">
        <f t="shared" si="285"/>
        <v/>
      </c>
      <c r="AF1214" s="392" t="str">
        <f t="shared" si="287"/>
        <v/>
      </c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</row>
    <row r="1215" spans="1:93" ht="16.5" hidden="1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27">
        <f t="shared" si="288"/>
        <v>7</v>
      </c>
      <c r="U1215" s="247">
        <f>IF(OR(ISBLANK(F$68),AND(W1215&gt;(F$68-1),W1215&lt;(I$68+1))),IF(ISERROR(VLOOKUP(I$67,G$1076:G$1078,1,FALSE)),IF(K$67=G$1086,IF(MONTH(W1215)&lt;&gt;MONTH(W1214),MAX(U$1009:U1214)+1,0),IF(ISERROR(VLOOKUP(I$67,G$1079:G$1084,1,FALSE)),IF(V1215=1,MAX(U$1009:U1214)+1,0),IF(MONTH(W1216)&lt;&gt;MONTH(W1215),T1215,0))),IF(K$67=G$1086,IF(V1215=1,MAX(U$1009:U1214)+1,0),IF(V1215=7,MAX(U$1015:U1214)+1,0))),0)</f>
        <v>0</v>
      </c>
      <c r="V1215" s="27">
        <f t="shared" si="281"/>
        <v>4</v>
      </c>
      <c r="W1215" s="97">
        <f t="shared" si="282"/>
        <v>45498</v>
      </c>
      <c r="X1215" s="249" t="str">
        <f>IF(K$67=G$1086,IF(OR(U1215=1,AND(U1215&gt;0,U1215=(MAX(Y$1009:Y1214)+VLOOKUP(I$67,G$1076:H$1084,2,FALSE)))),"X",""),IF(AND(U1215&gt;0,U1215=(MAX(Y$1009:Y1214)+VLOOKUP(I$67,G$1076:H$1084,2,FALSE))),"X",""))</f>
        <v/>
      </c>
      <c r="Y1215" s="252">
        <f t="shared" si="283"/>
        <v>0</v>
      </c>
      <c r="Z1215" s="253">
        <f>IF(Y1215&gt;0,COUNTIF(Y$1009:Y1214,"&gt;0")+1,0)</f>
        <v>0</v>
      </c>
      <c r="AA1215" s="1"/>
      <c r="AB1215" s="255" t="str">
        <f t="shared" si="284"/>
        <v/>
      </c>
      <c r="AC1215" s="261" t="str">
        <f t="shared" si="286"/>
        <v/>
      </c>
      <c r="AD1215" s="258">
        <f>IF(Z1215&gt;0,COUNTIF(AC$1009:AC1214,AC1215)+1,0)</f>
        <v>0</v>
      </c>
      <c r="AE1215" s="258" t="str">
        <f t="shared" si="285"/>
        <v/>
      </c>
      <c r="AF1215" s="392" t="str">
        <f t="shared" si="287"/>
        <v/>
      </c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</row>
    <row r="1216" spans="1:93" ht="16.5" hidden="1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27">
        <f t="shared" si="288"/>
        <v>7</v>
      </c>
      <c r="U1216" s="247">
        <f>IF(OR(ISBLANK(F$68),AND(W1216&gt;(F$68-1),W1216&lt;(I$68+1))),IF(ISERROR(VLOOKUP(I$67,G$1076:G$1078,1,FALSE)),IF(K$67=G$1086,IF(MONTH(W1216)&lt;&gt;MONTH(W1215),MAX(U$1009:U1215)+1,0),IF(ISERROR(VLOOKUP(I$67,G$1079:G$1084,1,FALSE)),IF(V1216=1,MAX(U$1009:U1215)+1,0),IF(MONTH(W1217)&lt;&gt;MONTH(W1216),T1216,0))),IF(K$67=G$1086,IF(V1216=1,MAX(U$1009:U1215)+1,0),IF(V1216=7,MAX(U$1015:U1215)+1,0))),0)</f>
        <v>0</v>
      </c>
      <c r="V1216" s="27">
        <f t="shared" si="281"/>
        <v>5</v>
      </c>
      <c r="W1216" s="97">
        <f t="shared" si="282"/>
        <v>45499</v>
      </c>
      <c r="X1216" s="249" t="str">
        <f>IF(K$67=G$1086,IF(OR(U1216=1,AND(U1216&gt;0,U1216=(MAX(Y$1009:Y1215)+VLOOKUP(I$67,G$1076:H$1084,2,FALSE)))),"X",""),IF(AND(U1216&gt;0,U1216=(MAX(Y$1009:Y1215)+VLOOKUP(I$67,G$1076:H$1084,2,FALSE))),"X",""))</f>
        <v/>
      </c>
      <c r="Y1216" s="252">
        <f t="shared" si="283"/>
        <v>0</v>
      </c>
      <c r="Z1216" s="253">
        <f>IF(Y1216&gt;0,COUNTIF(Y$1009:Y1215,"&gt;0")+1,0)</f>
        <v>0</v>
      </c>
      <c r="AA1216" s="1"/>
      <c r="AB1216" s="255" t="str">
        <f t="shared" si="284"/>
        <v/>
      </c>
      <c r="AC1216" s="261" t="str">
        <f t="shared" si="286"/>
        <v/>
      </c>
      <c r="AD1216" s="258">
        <f>IF(Z1216&gt;0,COUNTIF(AC$1009:AC1215,AC1216)+1,0)</f>
        <v>0</v>
      </c>
      <c r="AE1216" s="258" t="str">
        <f t="shared" si="285"/>
        <v/>
      </c>
      <c r="AF1216" s="392" t="str">
        <f t="shared" si="287"/>
        <v/>
      </c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</row>
    <row r="1217" spans="1:93" ht="16.5" hidden="1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27">
        <f t="shared" si="288"/>
        <v>7</v>
      </c>
      <c r="U1217" s="247">
        <f>IF(OR(ISBLANK(F$68),AND(W1217&gt;(F$68-1),W1217&lt;(I$68+1))),IF(ISERROR(VLOOKUP(I$67,G$1076:G$1078,1,FALSE)),IF(K$67=G$1086,IF(MONTH(W1217)&lt;&gt;MONTH(W1216),MAX(U$1009:U1216)+1,0),IF(ISERROR(VLOOKUP(I$67,G$1079:G$1084,1,FALSE)),IF(V1217=1,MAX(U$1009:U1216)+1,0),IF(MONTH(W1218)&lt;&gt;MONTH(W1217),T1217,0))),IF(K$67=G$1086,IF(V1217=1,MAX(U$1009:U1216)+1,0),IF(V1217=7,MAX(U$1015:U1216)+1,0))),0)</f>
        <v>0</v>
      </c>
      <c r="V1217" s="27">
        <f t="shared" si="281"/>
        <v>6</v>
      </c>
      <c r="W1217" s="97">
        <f t="shared" si="282"/>
        <v>45500</v>
      </c>
      <c r="X1217" s="249" t="str">
        <f>IF(K$67=G$1086,IF(OR(U1217=1,AND(U1217&gt;0,U1217=(MAX(Y$1009:Y1216)+VLOOKUP(I$67,G$1076:H$1084,2,FALSE)))),"X",""),IF(AND(U1217&gt;0,U1217=(MAX(Y$1009:Y1216)+VLOOKUP(I$67,G$1076:H$1084,2,FALSE))),"X",""))</f>
        <v/>
      </c>
      <c r="Y1217" s="252">
        <f t="shared" si="283"/>
        <v>0</v>
      </c>
      <c r="Z1217" s="253">
        <f>IF(Y1217&gt;0,COUNTIF(Y$1009:Y1216,"&gt;0")+1,0)</f>
        <v>0</v>
      </c>
      <c r="AA1217" s="1"/>
      <c r="AB1217" s="255" t="str">
        <f t="shared" si="284"/>
        <v/>
      </c>
      <c r="AC1217" s="261" t="str">
        <f t="shared" si="286"/>
        <v/>
      </c>
      <c r="AD1217" s="258">
        <f>IF(Z1217&gt;0,COUNTIF(AC$1009:AC1216,AC1217)+1,0)</f>
        <v>0</v>
      </c>
      <c r="AE1217" s="258" t="str">
        <f t="shared" si="285"/>
        <v/>
      </c>
      <c r="AF1217" s="392" t="str">
        <f t="shared" si="287"/>
        <v/>
      </c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</row>
    <row r="1218" spans="1:93" ht="16.5" hidden="1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27">
        <f t="shared" si="288"/>
        <v>7</v>
      </c>
      <c r="U1218" s="247">
        <f>IF(OR(ISBLANK(F$68),AND(W1218&gt;(F$68-1),W1218&lt;(I$68+1))),IF(ISERROR(VLOOKUP(I$67,G$1076:G$1078,1,FALSE)),IF(K$67=G$1086,IF(MONTH(W1218)&lt;&gt;MONTH(W1217),MAX(U$1009:U1217)+1,0),IF(ISERROR(VLOOKUP(I$67,G$1079:G$1084,1,FALSE)),IF(V1218=1,MAX(U$1009:U1217)+1,0),IF(MONTH(W1219)&lt;&gt;MONTH(W1218),T1218,0))),IF(K$67=G$1086,IF(V1218=1,MAX(U$1009:U1217)+1,0),IF(V1218=7,MAX(U$1015:U1217)+1,0))),0)</f>
        <v>0</v>
      </c>
      <c r="V1218" s="27">
        <f t="shared" si="281"/>
        <v>7</v>
      </c>
      <c r="W1218" s="97">
        <f t="shared" si="282"/>
        <v>45501</v>
      </c>
      <c r="X1218" s="249" t="str">
        <f>IF(K$67=G$1086,IF(OR(U1218=1,AND(U1218&gt;0,U1218=(MAX(Y$1009:Y1217)+VLOOKUP(I$67,G$1076:H$1084,2,FALSE)))),"X",""),IF(AND(U1218&gt;0,U1218=(MAX(Y$1009:Y1217)+VLOOKUP(I$67,G$1076:H$1084,2,FALSE))),"X",""))</f>
        <v/>
      </c>
      <c r="Y1218" s="252">
        <f t="shared" si="283"/>
        <v>0</v>
      </c>
      <c r="Z1218" s="253">
        <f>IF(Y1218&gt;0,COUNTIF(Y$1009:Y1217,"&gt;0")+1,0)</f>
        <v>0</v>
      </c>
      <c r="AA1218" s="1"/>
      <c r="AB1218" s="255" t="str">
        <f t="shared" si="284"/>
        <v/>
      </c>
      <c r="AC1218" s="261" t="str">
        <f t="shared" si="286"/>
        <v/>
      </c>
      <c r="AD1218" s="258">
        <f>IF(Z1218&gt;0,COUNTIF(AC$1009:AC1217,AC1218)+1,0)</f>
        <v>0</v>
      </c>
      <c r="AE1218" s="258" t="str">
        <f t="shared" si="285"/>
        <v/>
      </c>
      <c r="AF1218" s="392" t="str">
        <f t="shared" si="287"/>
        <v/>
      </c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</row>
    <row r="1219" spans="1:93" ht="16.5" hidden="1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27">
        <f t="shared" si="288"/>
        <v>7</v>
      </c>
      <c r="U1219" s="247">
        <f>IF(OR(ISBLANK(F$68),AND(W1219&gt;(F$68-1),W1219&lt;(I$68+1))),IF(ISERROR(VLOOKUP(I$67,G$1076:G$1078,1,FALSE)),IF(K$67=G$1086,IF(MONTH(W1219)&lt;&gt;MONTH(W1218),MAX(U$1009:U1218)+1,0),IF(ISERROR(VLOOKUP(I$67,G$1079:G$1084,1,FALSE)),IF(V1219=1,MAX(U$1009:U1218)+1,0),IF(MONTH(W1220)&lt;&gt;MONTH(W1219),T1219,0))),IF(K$67=G$1086,IF(V1219=1,MAX(U$1009:U1218)+1,0),IF(V1219=7,MAX(U$1015:U1218)+1,0))),0)</f>
        <v>31</v>
      </c>
      <c r="V1219" s="27">
        <f t="shared" si="281"/>
        <v>1</v>
      </c>
      <c r="W1219" s="97">
        <f t="shared" si="282"/>
        <v>45502</v>
      </c>
      <c r="X1219" s="249" t="str">
        <f>IF(K$67=G$1086,IF(OR(U1219=1,AND(U1219&gt;0,U1219=(MAX(Y$1009:Y1218)+VLOOKUP(I$67,G$1076:H$1084,2,FALSE)))),"X",""),IF(AND(U1219&gt;0,U1219=(MAX(Y$1009:Y1218)+VLOOKUP(I$67,G$1076:H$1084,2,FALSE))),"X",""))</f>
        <v>X</v>
      </c>
      <c r="Y1219" s="252">
        <f t="shared" si="283"/>
        <v>31</v>
      </c>
      <c r="Z1219" s="253">
        <f>IF(Y1219&gt;0,COUNTIF(Y$1009:Y1218,"&gt;0")+1,0)</f>
        <v>16</v>
      </c>
      <c r="AA1219" s="1"/>
      <c r="AB1219" s="255">
        <f t="shared" si="284"/>
        <v>45502</v>
      </c>
      <c r="AC1219" s="261">
        <f t="shared" si="286"/>
        <v>7</v>
      </c>
      <c r="AD1219" s="258">
        <f>IF(Z1219&gt;0,COUNTIF(AC$1009:AC1218,AC1219)+1,0)</f>
        <v>3</v>
      </c>
      <c r="AE1219" s="258" t="str">
        <f t="shared" si="285"/>
        <v>7-3</v>
      </c>
      <c r="AF1219" s="392">
        <f t="shared" si="287"/>
        <v>45502</v>
      </c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</row>
    <row r="1220" spans="1:93" ht="16.5" hidden="1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27">
        <f t="shared" si="288"/>
        <v>7</v>
      </c>
      <c r="U1220" s="247">
        <f>IF(OR(ISBLANK(F$68),AND(W1220&gt;(F$68-1),W1220&lt;(I$68+1))),IF(ISERROR(VLOOKUP(I$67,G$1076:G$1078,1,FALSE)),IF(K$67=G$1086,IF(MONTH(W1220)&lt;&gt;MONTH(W1219),MAX(U$1009:U1219)+1,0),IF(ISERROR(VLOOKUP(I$67,G$1079:G$1084,1,FALSE)),IF(V1220=1,MAX(U$1009:U1219)+1,0),IF(MONTH(W1221)&lt;&gt;MONTH(W1220),T1220,0))),IF(K$67=G$1086,IF(V1220=1,MAX(U$1009:U1219)+1,0),IF(V1220=7,MAX(U$1015:U1219)+1,0))),0)</f>
        <v>0</v>
      </c>
      <c r="V1220" s="27">
        <f t="shared" si="281"/>
        <v>2</v>
      </c>
      <c r="W1220" s="97">
        <f t="shared" si="282"/>
        <v>45503</v>
      </c>
      <c r="X1220" s="249" t="str">
        <f>IF(K$67=G$1086,IF(OR(U1220=1,AND(U1220&gt;0,U1220=(MAX(Y$1009:Y1219)+VLOOKUP(I$67,G$1076:H$1084,2,FALSE)))),"X",""),IF(AND(U1220&gt;0,U1220=(MAX(Y$1009:Y1219)+VLOOKUP(I$67,G$1076:H$1084,2,FALSE))),"X",""))</f>
        <v/>
      </c>
      <c r="Y1220" s="252">
        <f t="shared" si="283"/>
        <v>0</v>
      </c>
      <c r="Z1220" s="253">
        <f>IF(Y1220&gt;0,COUNTIF(Y$1009:Y1219,"&gt;0")+1,0)</f>
        <v>0</v>
      </c>
      <c r="AA1220" s="1"/>
      <c r="AB1220" s="255" t="str">
        <f t="shared" si="284"/>
        <v/>
      </c>
      <c r="AC1220" s="261" t="str">
        <f t="shared" si="286"/>
        <v/>
      </c>
      <c r="AD1220" s="258">
        <f>IF(Z1220&gt;0,COUNTIF(AC$1009:AC1219,AC1220)+1,0)</f>
        <v>0</v>
      </c>
      <c r="AE1220" s="258" t="str">
        <f t="shared" si="285"/>
        <v/>
      </c>
      <c r="AF1220" s="392" t="str">
        <f t="shared" si="287"/>
        <v/>
      </c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</row>
    <row r="1221" spans="1:93" ht="16.5" hidden="1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27">
        <f t="shared" si="288"/>
        <v>7</v>
      </c>
      <c r="U1221" s="247">
        <f>IF(OR(ISBLANK(F$68),AND(W1221&gt;(F$68-1),W1221&lt;(I$68+1))),IF(ISERROR(VLOOKUP(I$67,G$1076:G$1078,1,FALSE)),IF(K$67=G$1086,IF(MONTH(W1221)&lt;&gt;MONTH(W1220),MAX(U$1009:U1220)+1,0),IF(ISERROR(VLOOKUP(I$67,G$1079:G$1084,1,FALSE)),IF(V1221=1,MAX(U$1009:U1220)+1,0),IF(MONTH(W1222)&lt;&gt;MONTH(W1221),T1221,0))),IF(K$67=G$1086,IF(V1221=1,MAX(U$1009:U1220)+1,0),IF(V1221=7,MAX(U$1015:U1220)+1,0))),0)</f>
        <v>0</v>
      </c>
      <c r="V1221" s="27">
        <f t="shared" si="281"/>
        <v>3</v>
      </c>
      <c r="W1221" s="97">
        <f t="shared" si="282"/>
        <v>45504</v>
      </c>
      <c r="X1221" s="249" t="str">
        <f>IF(K$67=G$1086,IF(OR(U1221=1,AND(U1221&gt;0,U1221=(MAX(Y$1009:Y1220)+VLOOKUP(I$67,G$1076:H$1084,2,FALSE)))),"X",""),IF(AND(U1221&gt;0,U1221=(MAX(Y$1009:Y1220)+VLOOKUP(I$67,G$1076:H$1084,2,FALSE))),"X",""))</f>
        <v/>
      </c>
      <c r="Y1221" s="252">
        <f t="shared" si="283"/>
        <v>0</v>
      </c>
      <c r="Z1221" s="253">
        <f>IF(Y1221&gt;0,COUNTIF(Y$1009:Y1220,"&gt;0")+1,0)</f>
        <v>0</v>
      </c>
      <c r="AA1221" s="1"/>
      <c r="AB1221" s="255" t="str">
        <f t="shared" si="284"/>
        <v/>
      </c>
      <c r="AC1221" s="261" t="str">
        <f t="shared" si="286"/>
        <v/>
      </c>
      <c r="AD1221" s="258">
        <f>IF(Z1221&gt;0,COUNTIF(AC$1009:AC1220,AC1221)+1,0)</f>
        <v>0</v>
      </c>
      <c r="AE1221" s="258" t="str">
        <f t="shared" si="285"/>
        <v/>
      </c>
      <c r="AF1221" s="392" t="str">
        <f t="shared" si="287"/>
        <v/>
      </c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</row>
    <row r="1222" spans="1:93" ht="16.5" hidden="1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27">
        <f t="shared" si="288"/>
        <v>8</v>
      </c>
      <c r="U1222" s="247">
        <f>IF(OR(ISBLANK(F$68),AND(W1222&gt;(F$68-1),W1222&lt;(I$68+1))),IF(ISERROR(VLOOKUP(I$67,G$1076:G$1078,1,FALSE)),IF(K$67=G$1086,IF(MONTH(W1222)&lt;&gt;MONTH(W1221),MAX(U$1009:U1221)+1,0),IF(ISERROR(VLOOKUP(I$67,G$1079:G$1084,1,FALSE)),IF(V1222=1,MAX(U$1009:U1221)+1,0),IF(MONTH(W1223)&lt;&gt;MONTH(W1222),T1222,0))),IF(K$67=G$1086,IF(V1222=1,MAX(U$1009:U1221)+1,0),IF(V1222=7,MAX(U$1015:U1221)+1,0))),0)</f>
        <v>0</v>
      </c>
      <c r="V1222" s="27">
        <f t="shared" si="281"/>
        <v>4</v>
      </c>
      <c r="W1222" s="97">
        <f t="shared" si="282"/>
        <v>45505</v>
      </c>
      <c r="X1222" s="249" t="str">
        <f>IF(K$67=G$1086,IF(OR(U1222=1,AND(U1222&gt;0,U1222=(MAX(Y$1009:Y1221)+VLOOKUP(I$67,G$1076:H$1084,2,FALSE)))),"X",""),IF(AND(U1222&gt;0,U1222=(MAX(Y$1009:Y1221)+VLOOKUP(I$67,G$1076:H$1084,2,FALSE))),"X",""))</f>
        <v/>
      </c>
      <c r="Y1222" s="252">
        <f t="shared" si="283"/>
        <v>0</v>
      </c>
      <c r="Z1222" s="253">
        <f>IF(Y1222&gt;0,COUNTIF(Y$1009:Y1221,"&gt;0")+1,0)</f>
        <v>0</v>
      </c>
      <c r="AA1222" s="1"/>
      <c r="AB1222" s="255" t="str">
        <f t="shared" si="284"/>
        <v/>
      </c>
      <c r="AC1222" s="261" t="str">
        <f t="shared" si="286"/>
        <v/>
      </c>
      <c r="AD1222" s="258">
        <f>IF(Z1222&gt;0,COUNTIF(AC$1009:AC1221,AC1222)+1,0)</f>
        <v>0</v>
      </c>
      <c r="AE1222" s="258" t="str">
        <f t="shared" si="285"/>
        <v/>
      </c>
      <c r="AF1222" s="392" t="str">
        <f t="shared" si="287"/>
        <v/>
      </c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</row>
    <row r="1223" spans="1:93" ht="16.5" hidden="1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27">
        <f t="shared" si="288"/>
        <v>8</v>
      </c>
      <c r="U1223" s="247">
        <f>IF(OR(ISBLANK(F$68),AND(W1223&gt;(F$68-1),W1223&lt;(I$68+1))),IF(ISERROR(VLOOKUP(I$67,G$1076:G$1078,1,FALSE)),IF(K$67=G$1086,IF(MONTH(W1223)&lt;&gt;MONTH(W1222),MAX(U$1009:U1222)+1,0),IF(ISERROR(VLOOKUP(I$67,G$1079:G$1084,1,FALSE)),IF(V1223=1,MAX(U$1009:U1222)+1,0),IF(MONTH(W1224)&lt;&gt;MONTH(W1223),T1223,0))),IF(K$67=G$1086,IF(V1223=1,MAX(U$1009:U1222)+1,0),IF(V1223=7,MAX(U$1015:U1222)+1,0))),0)</f>
        <v>0</v>
      </c>
      <c r="V1223" s="27">
        <f t="shared" si="281"/>
        <v>5</v>
      </c>
      <c r="W1223" s="97">
        <f t="shared" si="282"/>
        <v>45506</v>
      </c>
      <c r="X1223" s="249" t="str">
        <f>IF(K$67=G$1086,IF(OR(U1223=1,AND(U1223&gt;0,U1223=(MAX(Y$1009:Y1222)+VLOOKUP(I$67,G$1076:H$1084,2,FALSE)))),"X",""),IF(AND(U1223&gt;0,U1223=(MAX(Y$1009:Y1222)+VLOOKUP(I$67,G$1076:H$1084,2,FALSE))),"X",""))</f>
        <v/>
      </c>
      <c r="Y1223" s="252">
        <f t="shared" si="283"/>
        <v>0</v>
      </c>
      <c r="Z1223" s="253">
        <f>IF(Y1223&gt;0,COUNTIF(Y$1009:Y1222,"&gt;0")+1,0)</f>
        <v>0</v>
      </c>
      <c r="AA1223" s="1"/>
      <c r="AB1223" s="255" t="str">
        <f t="shared" si="284"/>
        <v/>
      </c>
      <c r="AC1223" s="261" t="str">
        <f t="shared" si="286"/>
        <v/>
      </c>
      <c r="AD1223" s="258">
        <f>IF(Z1223&gt;0,COUNTIF(AC$1009:AC1222,AC1223)+1,0)</f>
        <v>0</v>
      </c>
      <c r="AE1223" s="258" t="str">
        <f t="shared" si="285"/>
        <v/>
      </c>
      <c r="AF1223" s="392" t="str">
        <f t="shared" si="287"/>
        <v/>
      </c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</row>
    <row r="1224" spans="1:93" ht="16.5" hidden="1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27">
        <f t="shared" si="288"/>
        <v>8</v>
      </c>
      <c r="U1224" s="247">
        <f>IF(OR(ISBLANK(F$68),AND(W1224&gt;(F$68-1),W1224&lt;(I$68+1))),IF(ISERROR(VLOOKUP(I$67,G$1076:G$1078,1,FALSE)),IF(K$67=G$1086,IF(MONTH(W1224)&lt;&gt;MONTH(W1223),MAX(U$1009:U1223)+1,0),IF(ISERROR(VLOOKUP(I$67,G$1079:G$1084,1,FALSE)),IF(V1224=1,MAX(U$1009:U1223)+1,0),IF(MONTH(W1225)&lt;&gt;MONTH(W1224),T1224,0))),IF(K$67=G$1086,IF(V1224=1,MAX(U$1009:U1223)+1,0),IF(V1224=7,MAX(U$1015:U1223)+1,0))),0)</f>
        <v>0</v>
      </c>
      <c r="V1224" s="27">
        <f t="shared" si="281"/>
        <v>6</v>
      </c>
      <c r="W1224" s="97">
        <f t="shared" si="282"/>
        <v>45507</v>
      </c>
      <c r="X1224" s="249" t="str">
        <f>IF(K$67=G$1086,IF(OR(U1224=1,AND(U1224&gt;0,U1224=(MAX(Y$1009:Y1223)+VLOOKUP(I$67,G$1076:H$1084,2,FALSE)))),"X",""),IF(AND(U1224&gt;0,U1224=(MAX(Y$1009:Y1223)+VLOOKUP(I$67,G$1076:H$1084,2,FALSE))),"X",""))</f>
        <v/>
      </c>
      <c r="Y1224" s="252">
        <f t="shared" si="283"/>
        <v>0</v>
      </c>
      <c r="Z1224" s="253">
        <f>IF(Y1224&gt;0,COUNTIF(Y$1009:Y1223,"&gt;0")+1,0)</f>
        <v>0</v>
      </c>
      <c r="AA1224" s="1"/>
      <c r="AB1224" s="255" t="str">
        <f t="shared" si="284"/>
        <v/>
      </c>
      <c r="AC1224" s="261" t="str">
        <f t="shared" si="286"/>
        <v/>
      </c>
      <c r="AD1224" s="258">
        <f>IF(Z1224&gt;0,COUNTIF(AC$1009:AC1223,AC1224)+1,0)</f>
        <v>0</v>
      </c>
      <c r="AE1224" s="258" t="str">
        <f t="shared" si="285"/>
        <v/>
      </c>
      <c r="AF1224" s="392" t="str">
        <f t="shared" si="287"/>
        <v/>
      </c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</row>
    <row r="1225" spans="1:93" ht="16.5" hidden="1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27">
        <f t="shared" si="288"/>
        <v>8</v>
      </c>
      <c r="U1225" s="247">
        <f>IF(OR(ISBLANK(F$68),AND(W1225&gt;(F$68-1),W1225&lt;(I$68+1))),IF(ISERROR(VLOOKUP(I$67,G$1076:G$1078,1,FALSE)),IF(K$67=G$1086,IF(MONTH(W1225)&lt;&gt;MONTH(W1224),MAX(U$1009:U1224)+1,0),IF(ISERROR(VLOOKUP(I$67,G$1079:G$1084,1,FALSE)),IF(V1225=1,MAX(U$1009:U1224)+1,0),IF(MONTH(W1226)&lt;&gt;MONTH(W1225),T1225,0))),IF(K$67=G$1086,IF(V1225=1,MAX(U$1009:U1224)+1,0),IF(V1225=7,MAX(U$1015:U1224)+1,0))),0)</f>
        <v>0</v>
      </c>
      <c r="V1225" s="27">
        <f t="shared" si="281"/>
        <v>7</v>
      </c>
      <c r="W1225" s="97">
        <f t="shared" si="282"/>
        <v>45508</v>
      </c>
      <c r="X1225" s="249" t="str">
        <f>IF(K$67=G$1086,IF(OR(U1225=1,AND(U1225&gt;0,U1225=(MAX(Y$1009:Y1224)+VLOOKUP(I$67,G$1076:H$1084,2,FALSE)))),"X",""),IF(AND(U1225&gt;0,U1225=(MAX(Y$1009:Y1224)+VLOOKUP(I$67,G$1076:H$1084,2,FALSE))),"X",""))</f>
        <v/>
      </c>
      <c r="Y1225" s="252">
        <f t="shared" si="283"/>
        <v>0</v>
      </c>
      <c r="Z1225" s="253">
        <f>IF(Y1225&gt;0,COUNTIF(Y$1009:Y1224,"&gt;0")+1,0)</f>
        <v>0</v>
      </c>
      <c r="AA1225" s="1"/>
      <c r="AB1225" s="255" t="str">
        <f t="shared" si="284"/>
        <v/>
      </c>
      <c r="AC1225" s="261" t="str">
        <f t="shared" si="286"/>
        <v/>
      </c>
      <c r="AD1225" s="258">
        <f>IF(Z1225&gt;0,COUNTIF(AC$1009:AC1224,AC1225)+1,0)</f>
        <v>0</v>
      </c>
      <c r="AE1225" s="258" t="str">
        <f t="shared" si="285"/>
        <v/>
      </c>
      <c r="AF1225" s="392" t="str">
        <f t="shared" si="287"/>
        <v/>
      </c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</row>
    <row r="1226" spans="1:93" ht="16.5" hidden="1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27">
        <f t="shared" si="288"/>
        <v>8</v>
      </c>
      <c r="U1226" s="247">
        <f>IF(OR(ISBLANK(F$68),AND(W1226&gt;(F$68-1),W1226&lt;(I$68+1))),IF(ISERROR(VLOOKUP(I$67,G$1076:G$1078,1,FALSE)),IF(K$67=G$1086,IF(MONTH(W1226)&lt;&gt;MONTH(W1225),MAX(U$1009:U1225)+1,0),IF(ISERROR(VLOOKUP(I$67,G$1079:G$1084,1,FALSE)),IF(V1226=1,MAX(U$1009:U1225)+1,0),IF(MONTH(W1227)&lt;&gt;MONTH(W1226),T1226,0))),IF(K$67=G$1086,IF(V1226=1,MAX(U$1009:U1225)+1,0),IF(V1226=7,MAX(U$1015:U1225)+1,0))),0)</f>
        <v>32</v>
      </c>
      <c r="V1226" s="27">
        <f t="shared" si="281"/>
        <v>1</v>
      </c>
      <c r="W1226" s="97">
        <f t="shared" si="282"/>
        <v>45509</v>
      </c>
      <c r="X1226" s="249" t="str">
        <f>IF(K$67=G$1086,IF(OR(U1226=1,AND(U1226&gt;0,U1226=(MAX(Y$1009:Y1225)+VLOOKUP(I$67,G$1076:H$1084,2,FALSE)))),"X",""),IF(AND(U1226&gt;0,U1226=(MAX(Y$1009:Y1225)+VLOOKUP(I$67,G$1076:H$1084,2,FALSE))),"X",""))</f>
        <v/>
      </c>
      <c r="Y1226" s="252">
        <f t="shared" si="283"/>
        <v>0</v>
      </c>
      <c r="Z1226" s="253">
        <f>IF(Y1226&gt;0,COUNTIF(Y$1009:Y1225,"&gt;0")+1,0)</f>
        <v>0</v>
      </c>
      <c r="AA1226" s="1"/>
      <c r="AB1226" s="255" t="str">
        <f t="shared" si="284"/>
        <v/>
      </c>
      <c r="AC1226" s="261" t="str">
        <f t="shared" si="286"/>
        <v/>
      </c>
      <c r="AD1226" s="258">
        <f>IF(Z1226&gt;0,COUNTIF(AC$1009:AC1225,AC1226)+1,0)</f>
        <v>0</v>
      </c>
      <c r="AE1226" s="258" t="str">
        <f t="shared" si="285"/>
        <v/>
      </c>
      <c r="AF1226" s="392" t="str">
        <f t="shared" si="287"/>
        <v/>
      </c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</row>
    <row r="1227" spans="1:93" ht="16.5" hidden="1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27">
        <f t="shared" si="288"/>
        <v>8</v>
      </c>
      <c r="U1227" s="247">
        <f>IF(OR(ISBLANK(F$68),AND(W1227&gt;(F$68-1),W1227&lt;(I$68+1))),IF(ISERROR(VLOOKUP(I$67,G$1076:G$1078,1,FALSE)),IF(K$67=G$1086,IF(MONTH(W1227)&lt;&gt;MONTH(W1226),MAX(U$1009:U1226)+1,0),IF(ISERROR(VLOOKUP(I$67,G$1079:G$1084,1,FALSE)),IF(V1227=1,MAX(U$1009:U1226)+1,0),IF(MONTH(W1228)&lt;&gt;MONTH(W1227),T1227,0))),IF(K$67=G$1086,IF(V1227=1,MAX(U$1009:U1226)+1,0),IF(V1227=7,MAX(U$1015:U1226)+1,0))),0)</f>
        <v>0</v>
      </c>
      <c r="V1227" s="27">
        <f t="shared" si="281"/>
        <v>2</v>
      </c>
      <c r="W1227" s="97">
        <f t="shared" si="282"/>
        <v>45510</v>
      </c>
      <c r="X1227" s="249" t="str">
        <f>IF(K$67=G$1086,IF(OR(U1227=1,AND(U1227&gt;0,U1227=(MAX(Y$1009:Y1226)+VLOOKUP(I$67,G$1076:H$1084,2,FALSE)))),"X",""),IF(AND(U1227&gt;0,U1227=(MAX(Y$1009:Y1226)+VLOOKUP(I$67,G$1076:H$1084,2,FALSE))),"X",""))</f>
        <v/>
      </c>
      <c r="Y1227" s="252">
        <f t="shared" si="283"/>
        <v>0</v>
      </c>
      <c r="Z1227" s="253">
        <f>IF(Y1227&gt;0,COUNTIF(Y$1009:Y1226,"&gt;0")+1,0)</f>
        <v>0</v>
      </c>
      <c r="AA1227" s="1"/>
      <c r="AB1227" s="255" t="str">
        <f t="shared" si="284"/>
        <v/>
      </c>
      <c r="AC1227" s="261" t="str">
        <f t="shared" si="286"/>
        <v/>
      </c>
      <c r="AD1227" s="258">
        <f>IF(Z1227&gt;0,COUNTIF(AC$1009:AC1226,AC1227)+1,0)</f>
        <v>0</v>
      </c>
      <c r="AE1227" s="258" t="str">
        <f t="shared" si="285"/>
        <v/>
      </c>
      <c r="AF1227" s="392" t="str">
        <f t="shared" si="287"/>
        <v/>
      </c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</row>
    <row r="1228" spans="1:93" ht="16.5" hidden="1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27">
        <f t="shared" si="288"/>
        <v>8</v>
      </c>
      <c r="U1228" s="247">
        <f>IF(OR(ISBLANK(F$68),AND(W1228&gt;(F$68-1),W1228&lt;(I$68+1))),IF(ISERROR(VLOOKUP(I$67,G$1076:G$1078,1,FALSE)),IF(K$67=G$1086,IF(MONTH(W1228)&lt;&gt;MONTH(W1227),MAX(U$1009:U1227)+1,0),IF(ISERROR(VLOOKUP(I$67,G$1079:G$1084,1,FALSE)),IF(V1228=1,MAX(U$1009:U1227)+1,0),IF(MONTH(W1229)&lt;&gt;MONTH(W1228),T1228,0))),IF(K$67=G$1086,IF(V1228=1,MAX(U$1009:U1227)+1,0),IF(V1228=7,MAX(U$1015:U1227)+1,0))),0)</f>
        <v>0</v>
      </c>
      <c r="V1228" s="27">
        <f t="shared" si="281"/>
        <v>3</v>
      </c>
      <c r="W1228" s="97">
        <f t="shared" si="282"/>
        <v>45511</v>
      </c>
      <c r="X1228" s="249" t="str">
        <f>IF(K$67=G$1086,IF(OR(U1228=1,AND(U1228&gt;0,U1228=(MAX(Y$1009:Y1227)+VLOOKUP(I$67,G$1076:H$1084,2,FALSE)))),"X",""),IF(AND(U1228&gt;0,U1228=(MAX(Y$1009:Y1227)+VLOOKUP(I$67,G$1076:H$1084,2,FALSE))),"X",""))</f>
        <v/>
      </c>
      <c r="Y1228" s="252">
        <f t="shared" si="283"/>
        <v>0</v>
      </c>
      <c r="Z1228" s="253">
        <f>IF(Y1228&gt;0,COUNTIF(Y$1009:Y1227,"&gt;0")+1,0)</f>
        <v>0</v>
      </c>
      <c r="AA1228" s="1"/>
      <c r="AB1228" s="255" t="str">
        <f t="shared" si="284"/>
        <v/>
      </c>
      <c r="AC1228" s="261" t="str">
        <f t="shared" si="286"/>
        <v/>
      </c>
      <c r="AD1228" s="258">
        <f>IF(Z1228&gt;0,COUNTIF(AC$1009:AC1227,AC1228)+1,0)</f>
        <v>0</v>
      </c>
      <c r="AE1228" s="258" t="str">
        <f t="shared" si="285"/>
        <v/>
      </c>
      <c r="AF1228" s="392" t="str">
        <f t="shared" si="287"/>
        <v/>
      </c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</row>
    <row r="1229" spans="1:93" ht="16.5" hidden="1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27">
        <f t="shared" si="288"/>
        <v>8</v>
      </c>
      <c r="U1229" s="247">
        <f>IF(OR(ISBLANK(F$68),AND(W1229&gt;(F$68-1),W1229&lt;(I$68+1))),IF(ISERROR(VLOOKUP(I$67,G$1076:G$1078,1,FALSE)),IF(K$67=G$1086,IF(MONTH(W1229)&lt;&gt;MONTH(W1228),MAX(U$1009:U1228)+1,0),IF(ISERROR(VLOOKUP(I$67,G$1079:G$1084,1,FALSE)),IF(V1229=1,MAX(U$1009:U1228)+1,0),IF(MONTH(W1230)&lt;&gt;MONTH(W1229),T1229,0))),IF(K$67=G$1086,IF(V1229=1,MAX(U$1009:U1228)+1,0),IF(V1229=7,MAX(U$1015:U1228)+1,0))),0)</f>
        <v>0</v>
      </c>
      <c r="V1229" s="27">
        <f t="shared" si="281"/>
        <v>4</v>
      </c>
      <c r="W1229" s="97">
        <f t="shared" si="282"/>
        <v>45512</v>
      </c>
      <c r="X1229" s="249" t="str">
        <f>IF(K$67=G$1086,IF(OR(U1229=1,AND(U1229&gt;0,U1229=(MAX(Y$1009:Y1228)+VLOOKUP(I$67,G$1076:H$1084,2,FALSE)))),"X",""),IF(AND(U1229&gt;0,U1229=(MAX(Y$1009:Y1228)+VLOOKUP(I$67,G$1076:H$1084,2,FALSE))),"X",""))</f>
        <v/>
      </c>
      <c r="Y1229" s="252">
        <f t="shared" si="283"/>
        <v>0</v>
      </c>
      <c r="Z1229" s="253">
        <f>IF(Y1229&gt;0,COUNTIF(Y$1009:Y1228,"&gt;0")+1,0)</f>
        <v>0</v>
      </c>
      <c r="AA1229" s="1"/>
      <c r="AB1229" s="255" t="str">
        <f t="shared" si="284"/>
        <v/>
      </c>
      <c r="AC1229" s="261" t="str">
        <f t="shared" si="286"/>
        <v/>
      </c>
      <c r="AD1229" s="258">
        <f>IF(Z1229&gt;0,COUNTIF(AC$1009:AC1228,AC1229)+1,0)</f>
        <v>0</v>
      </c>
      <c r="AE1229" s="258" t="str">
        <f t="shared" si="285"/>
        <v/>
      </c>
      <c r="AF1229" s="392" t="str">
        <f t="shared" si="287"/>
        <v/>
      </c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</row>
    <row r="1230" spans="1:93" ht="16.5" hidden="1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27">
        <f t="shared" si="288"/>
        <v>8</v>
      </c>
      <c r="U1230" s="247">
        <f>IF(OR(ISBLANK(F$68),AND(W1230&gt;(F$68-1),W1230&lt;(I$68+1))),IF(ISERROR(VLOOKUP(I$67,G$1076:G$1078,1,FALSE)),IF(K$67=G$1086,IF(MONTH(W1230)&lt;&gt;MONTH(W1229),MAX(U$1009:U1229)+1,0),IF(ISERROR(VLOOKUP(I$67,G$1079:G$1084,1,FALSE)),IF(V1230=1,MAX(U$1009:U1229)+1,0),IF(MONTH(W1231)&lt;&gt;MONTH(W1230),T1230,0))),IF(K$67=G$1086,IF(V1230=1,MAX(U$1009:U1229)+1,0),IF(V1230=7,MAX(U$1015:U1229)+1,0))),0)</f>
        <v>0</v>
      </c>
      <c r="V1230" s="27">
        <f t="shared" si="281"/>
        <v>5</v>
      </c>
      <c r="W1230" s="97">
        <f t="shared" si="282"/>
        <v>45513</v>
      </c>
      <c r="X1230" s="249" t="str">
        <f>IF(K$67=G$1086,IF(OR(U1230=1,AND(U1230&gt;0,U1230=(MAX(Y$1009:Y1229)+VLOOKUP(I$67,G$1076:H$1084,2,FALSE)))),"X",""),IF(AND(U1230&gt;0,U1230=(MAX(Y$1009:Y1229)+VLOOKUP(I$67,G$1076:H$1084,2,FALSE))),"X",""))</f>
        <v/>
      </c>
      <c r="Y1230" s="252">
        <f t="shared" si="283"/>
        <v>0</v>
      </c>
      <c r="Z1230" s="253">
        <f>IF(Y1230&gt;0,COUNTIF(Y$1009:Y1229,"&gt;0")+1,0)</f>
        <v>0</v>
      </c>
      <c r="AA1230" s="1"/>
      <c r="AB1230" s="255" t="str">
        <f t="shared" si="284"/>
        <v/>
      </c>
      <c r="AC1230" s="261" t="str">
        <f t="shared" si="286"/>
        <v/>
      </c>
      <c r="AD1230" s="258">
        <f>IF(Z1230&gt;0,COUNTIF(AC$1009:AC1229,AC1230)+1,0)</f>
        <v>0</v>
      </c>
      <c r="AE1230" s="258" t="str">
        <f t="shared" si="285"/>
        <v/>
      </c>
      <c r="AF1230" s="392" t="str">
        <f t="shared" si="287"/>
        <v/>
      </c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</row>
    <row r="1231" spans="1:93" ht="16.5" hidden="1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27">
        <f t="shared" si="288"/>
        <v>8</v>
      </c>
      <c r="U1231" s="247">
        <f>IF(OR(ISBLANK(F$68),AND(W1231&gt;(F$68-1),W1231&lt;(I$68+1))),IF(ISERROR(VLOOKUP(I$67,G$1076:G$1078,1,FALSE)),IF(K$67=G$1086,IF(MONTH(W1231)&lt;&gt;MONTH(W1230),MAX(U$1009:U1230)+1,0),IF(ISERROR(VLOOKUP(I$67,G$1079:G$1084,1,FALSE)),IF(V1231=1,MAX(U$1009:U1230)+1,0),IF(MONTH(W1232)&lt;&gt;MONTH(W1231),T1231,0))),IF(K$67=G$1086,IF(V1231=1,MAX(U$1009:U1230)+1,0),IF(V1231=7,MAX(U$1015:U1230)+1,0))),0)</f>
        <v>0</v>
      </c>
      <c r="V1231" s="27">
        <f t="shared" si="281"/>
        <v>6</v>
      </c>
      <c r="W1231" s="97">
        <f t="shared" si="282"/>
        <v>45514</v>
      </c>
      <c r="X1231" s="249" t="str">
        <f>IF(K$67=G$1086,IF(OR(U1231=1,AND(U1231&gt;0,U1231=(MAX(Y$1009:Y1230)+VLOOKUP(I$67,G$1076:H$1084,2,FALSE)))),"X",""),IF(AND(U1231&gt;0,U1231=(MAX(Y$1009:Y1230)+VLOOKUP(I$67,G$1076:H$1084,2,FALSE))),"X",""))</f>
        <v/>
      </c>
      <c r="Y1231" s="252">
        <f t="shared" si="283"/>
        <v>0</v>
      </c>
      <c r="Z1231" s="253">
        <f>IF(Y1231&gt;0,COUNTIF(Y$1009:Y1230,"&gt;0")+1,0)</f>
        <v>0</v>
      </c>
      <c r="AA1231" s="1"/>
      <c r="AB1231" s="255" t="str">
        <f t="shared" si="284"/>
        <v/>
      </c>
      <c r="AC1231" s="261" t="str">
        <f t="shared" si="286"/>
        <v/>
      </c>
      <c r="AD1231" s="258">
        <f>IF(Z1231&gt;0,COUNTIF(AC$1009:AC1230,AC1231)+1,0)</f>
        <v>0</v>
      </c>
      <c r="AE1231" s="258" t="str">
        <f t="shared" si="285"/>
        <v/>
      </c>
      <c r="AF1231" s="392" t="str">
        <f t="shared" si="287"/>
        <v/>
      </c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</row>
    <row r="1232" spans="1:93" ht="16.5" hidden="1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27">
        <f t="shared" si="288"/>
        <v>8</v>
      </c>
      <c r="U1232" s="247">
        <f>IF(OR(ISBLANK(F$68),AND(W1232&gt;(F$68-1),W1232&lt;(I$68+1))),IF(ISERROR(VLOOKUP(I$67,G$1076:G$1078,1,FALSE)),IF(K$67=G$1086,IF(MONTH(W1232)&lt;&gt;MONTH(W1231),MAX(U$1009:U1231)+1,0),IF(ISERROR(VLOOKUP(I$67,G$1079:G$1084,1,FALSE)),IF(V1232=1,MAX(U$1009:U1231)+1,0),IF(MONTH(W1233)&lt;&gt;MONTH(W1232),T1232,0))),IF(K$67=G$1086,IF(V1232=1,MAX(U$1009:U1231)+1,0),IF(V1232=7,MAX(U$1015:U1231)+1,0))),0)</f>
        <v>0</v>
      </c>
      <c r="V1232" s="27">
        <f t="shared" si="281"/>
        <v>7</v>
      </c>
      <c r="W1232" s="97">
        <f t="shared" si="282"/>
        <v>45515</v>
      </c>
      <c r="X1232" s="249" t="str">
        <f>IF(K$67=G$1086,IF(OR(U1232=1,AND(U1232&gt;0,U1232=(MAX(Y$1009:Y1231)+VLOOKUP(I$67,G$1076:H$1084,2,FALSE)))),"X",""),IF(AND(U1232&gt;0,U1232=(MAX(Y$1009:Y1231)+VLOOKUP(I$67,G$1076:H$1084,2,FALSE))),"X",""))</f>
        <v/>
      </c>
      <c r="Y1232" s="252">
        <f t="shared" si="283"/>
        <v>0</v>
      </c>
      <c r="Z1232" s="253">
        <f>IF(Y1232&gt;0,COUNTIF(Y$1009:Y1231,"&gt;0")+1,0)</f>
        <v>0</v>
      </c>
      <c r="AA1232" s="1"/>
      <c r="AB1232" s="255" t="str">
        <f t="shared" si="284"/>
        <v/>
      </c>
      <c r="AC1232" s="261" t="str">
        <f t="shared" si="286"/>
        <v/>
      </c>
      <c r="AD1232" s="258">
        <f>IF(Z1232&gt;0,COUNTIF(AC$1009:AC1231,AC1232)+1,0)</f>
        <v>0</v>
      </c>
      <c r="AE1232" s="258" t="str">
        <f t="shared" si="285"/>
        <v/>
      </c>
      <c r="AF1232" s="392" t="str">
        <f t="shared" si="287"/>
        <v/>
      </c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</row>
    <row r="1233" spans="1:93" ht="16.5" hidden="1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27">
        <f t="shared" si="288"/>
        <v>8</v>
      </c>
      <c r="U1233" s="247">
        <f>IF(OR(ISBLANK(F$68),AND(W1233&gt;(F$68-1),W1233&lt;(I$68+1))),IF(ISERROR(VLOOKUP(I$67,G$1076:G$1078,1,FALSE)),IF(K$67=G$1086,IF(MONTH(W1233)&lt;&gt;MONTH(W1232),MAX(U$1009:U1232)+1,0),IF(ISERROR(VLOOKUP(I$67,G$1079:G$1084,1,FALSE)),IF(V1233=1,MAX(U$1009:U1232)+1,0),IF(MONTH(W1234)&lt;&gt;MONTH(W1233),T1233,0))),IF(K$67=G$1086,IF(V1233=1,MAX(U$1009:U1232)+1,0),IF(V1233=7,MAX(U$1015:U1232)+1,0))),0)</f>
        <v>33</v>
      </c>
      <c r="V1233" s="27">
        <f t="shared" si="281"/>
        <v>1</v>
      </c>
      <c r="W1233" s="97">
        <f t="shared" si="282"/>
        <v>45516</v>
      </c>
      <c r="X1233" s="249" t="str">
        <f>IF(K$67=G$1086,IF(OR(U1233=1,AND(U1233&gt;0,U1233=(MAX(Y$1009:Y1232)+VLOOKUP(I$67,G$1076:H$1084,2,FALSE)))),"X",""),IF(AND(U1233&gt;0,U1233=(MAX(Y$1009:Y1232)+VLOOKUP(I$67,G$1076:H$1084,2,FALSE))),"X",""))</f>
        <v>X</v>
      </c>
      <c r="Y1233" s="252">
        <f t="shared" si="283"/>
        <v>33</v>
      </c>
      <c r="Z1233" s="253">
        <f>IF(Y1233&gt;0,COUNTIF(Y$1009:Y1232,"&gt;0")+1,0)</f>
        <v>17</v>
      </c>
      <c r="AA1233" s="1"/>
      <c r="AB1233" s="255">
        <f t="shared" si="284"/>
        <v>45516</v>
      </c>
      <c r="AC1233" s="261">
        <f t="shared" si="286"/>
        <v>8</v>
      </c>
      <c r="AD1233" s="258">
        <f>IF(Z1233&gt;0,COUNTIF(AC$1009:AC1232,AC1233)+1,0)</f>
        <v>1</v>
      </c>
      <c r="AE1233" s="258" t="str">
        <f t="shared" si="285"/>
        <v>8-1</v>
      </c>
      <c r="AF1233" s="392">
        <f t="shared" si="287"/>
        <v>45516</v>
      </c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</row>
    <row r="1234" spans="1:93" ht="16.5" hidden="1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27">
        <f t="shared" si="288"/>
        <v>8</v>
      </c>
      <c r="U1234" s="247">
        <f>IF(OR(ISBLANK(F$68),AND(W1234&gt;(F$68-1),W1234&lt;(I$68+1))),IF(ISERROR(VLOOKUP(I$67,G$1076:G$1078,1,FALSE)),IF(K$67=G$1086,IF(MONTH(W1234)&lt;&gt;MONTH(W1233),MAX(U$1009:U1233)+1,0),IF(ISERROR(VLOOKUP(I$67,G$1079:G$1084,1,FALSE)),IF(V1234=1,MAX(U$1009:U1233)+1,0),IF(MONTH(W1235)&lt;&gt;MONTH(W1234),T1234,0))),IF(K$67=G$1086,IF(V1234=1,MAX(U$1009:U1233)+1,0),IF(V1234=7,MAX(U$1015:U1233)+1,0))),0)</f>
        <v>0</v>
      </c>
      <c r="V1234" s="27">
        <f t="shared" si="281"/>
        <v>2</v>
      </c>
      <c r="W1234" s="97">
        <f t="shared" si="282"/>
        <v>45517</v>
      </c>
      <c r="X1234" s="249" t="str">
        <f>IF(K$67=G$1086,IF(OR(U1234=1,AND(U1234&gt;0,U1234=(MAX(Y$1009:Y1233)+VLOOKUP(I$67,G$1076:H$1084,2,FALSE)))),"X",""),IF(AND(U1234&gt;0,U1234=(MAX(Y$1009:Y1233)+VLOOKUP(I$67,G$1076:H$1084,2,FALSE))),"X",""))</f>
        <v/>
      </c>
      <c r="Y1234" s="252">
        <f t="shared" si="283"/>
        <v>0</v>
      </c>
      <c r="Z1234" s="253">
        <f>IF(Y1234&gt;0,COUNTIF(Y$1009:Y1233,"&gt;0")+1,0)</f>
        <v>0</v>
      </c>
      <c r="AA1234" s="1"/>
      <c r="AB1234" s="255" t="str">
        <f t="shared" si="284"/>
        <v/>
      </c>
      <c r="AC1234" s="261" t="str">
        <f t="shared" si="286"/>
        <v/>
      </c>
      <c r="AD1234" s="258">
        <f>IF(Z1234&gt;0,COUNTIF(AC$1009:AC1233,AC1234)+1,0)</f>
        <v>0</v>
      </c>
      <c r="AE1234" s="258" t="str">
        <f t="shared" si="285"/>
        <v/>
      </c>
      <c r="AF1234" s="392" t="str">
        <f t="shared" si="287"/>
        <v/>
      </c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</row>
    <row r="1235" spans="1:93" ht="16.5" hidden="1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27">
        <f t="shared" si="288"/>
        <v>8</v>
      </c>
      <c r="U1235" s="247">
        <f>IF(OR(ISBLANK(F$68),AND(W1235&gt;(F$68-1),W1235&lt;(I$68+1))),IF(ISERROR(VLOOKUP(I$67,G$1076:G$1078,1,FALSE)),IF(K$67=G$1086,IF(MONTH(W1235)&lt;&gt;MONTH(W1234),MAX(U$1009:U1234)+1,0),IF(ISERROR(VLOOKUP(I$67,G$1079:G$1084,1,FALSE)),IF(V1235=1,MAX(U$1009:U1234)+1,0),IF(MONTH(W1236)&lt;&gt;MONTH(W1235),T1235,0))),IF(K$67=G$1086,IF(V1235=1,MAX(U$1009:U1234)+1,0),IF(V1235=7,MAX(U$1015:U1234)+1,0))),0)</f>
        <v>0</v>
      </c>
      <c r="V1235" s="27">
        <f t="shared" si="281"/>
        <v>3</v>
      </c>
      <c r="W1235" s="97">
        <f t="shared" si="282"/>
        <v>45518</v>
      </c>
      <c r="X1235" s="249" t="str">
        <f>IF(K$67=G$1086,IF(OR(U1235=1,AND(U1235&gt;0,U1235=(MAX(Y$1009:Y1234)+VLOOKUP(I$67,G$1076:H$1084,2,FALSE)))),"X",""),IF(AND(U1235&gt;0,U1235=(MAX(Y$1009:Y1234)+VLOOKUP(I$67,G$1076:H$1084,2,FALSE))),"X",""))</f>
        <v/>
      </c>
      <c r="Y1235" s="252">
        <f t="shared" si="283"/>
        <v>0</v>
      </c>
      <c r="Z1235" s="253">
        <f>IF(Y1235&gt;0,COUNTIF(Y$1009:Y1234,"&gt;0")+1,0)</f>
        <v>0</v>
      </c>
      <c r="AA1235" s="1"/>
      <c r="AB1235" s="255" t="str">
        <f t="shared" si="284"/>
        <v/>
      </c>
      <c r="AC1235" s="261" t="str">
        <f t="shared" si="286"/>
        <v/>
      </c>
      <c r="AD1235" s="258">
        <f>IF(Z1235&gt;0,COUNTIF(AC$1009:AC1234,AC1235)+1,0)</f>
        <v>0</v>
      </c>
      <c r="AE1235" s="258" t="str">
        <f t="shared" si="285"/>
        <v/>
      </c>
      <c r="AF1235" s="392" t="str">
        <f t="shared" si="287"/>
        <v/>
      </c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</row>
    <row r="1236" spans="1:93" ht="16.5" hidden="1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27">
        <f t="shared" si="288"/>
        <v>8</v>
      </c>
      <c r="U1236" s="247">
        <f>IF(OR(ISBLANK(F$68),AND(W1236&gt;(F$68-1),W1236&lt;(I$68+1))),IF(ISERROR(VLOOKUP(I$67,G$1076:G$1078,1,FALSE)),IF(K$67=G$1086,IF(MONTH(W1236)&lt;&gt;MONTH(W1235),MAX(U$1009:U1235)+1,0),IF(ISERROR(VLOOKUP(I$67,G$1079:G$1084,1,FALSE)),IF(V1236=1,MAX(U$1009:U1235)+1,0),IF(MONTH(W1237)&lt;&gt;MONTH(W1236),T1236,0))),IF(K$67=G$1086,IF(V1236=1,MAX(U$1009:U1235)+1,0),IF(V1236=7,MAX(U$1015:U1235)+1,0))),0)</f>
        <v>0</v>
      </c>
      <c r="V1236" s="27">
        <f t="shared" si="281"/>
        <v>4</v>
      </c>
      <c r="W1236" s="97">
        <f t="shared" si="282"/>
        <v>45519</v>
      </c>
      <c r="X1236" s="249" t="str">
        <f>IF(K$67=G$1086,IF(OR(U1236=1,AND(U1236&gt;0,U1236=(MAX(Y$1009:Y1235)+VLOOKUP(I$67,G$1076:H$1084,2,FALSE)))),"X",""),IF(AND(U1236&gt;0,U1236=(MAX(Y$1009:Y1235)+VLOOKUP(I$67,G$1076:H$1084,2,FALSE))),"X",""))</f>
        <v/>
      </c>
      <c r="Y1236" s="252">
        <f t="shared" si="283"/>
        <v>0</v>
      </c>
      <c r="Z1236" s="253">
        <f>IF(Y1236&gt;0,COUNTIF(Y$1009:Y1235,"&gt;0")+1,0)</f>
        <v>0</v>
      </c>
      <c r="AA1236" s="1"/>
      <c r="AB1236" s="255" t="str">
        <f t="shared" si="284"/>
        <v/>
      </c>
      <c r="AC1236" s="261" t="str">
        <f t="shared" si="286"/>
        <v/>
      </c>
      <c r="AD1236" s="258">
        <f>IF(Z1236&gt;0,COUNTIF(AC$1009:AC1235,AC1236)+1,0)</f>
        <v>0</v>
      </c>
      <c r="AE1236" s="258" t="str">
        <f t="shared" si="285"/>
        <v/>
      </c>
      <c r="AF1236" s="392" t="str">
        <f t="shared" si="287"/>
        <v/>
      </c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</row>
    <row r="1237" spans="1:93" ht="16.5" hidden="1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27">
        <f t="shared" si="288"/>
        <v>8</v>
      </c>
      <c r="U1237" s="247">
        <f>IF(OR(ISBLANK(F$68),AND(W1237&gt;(F$68-1),W1237&lt;(I$68+1))),IF(ISERROR(VLOOKUP(I$67,G$1076:G$1078,1,FALSE)),IF(K$67=G$1086,IF(MONTH(W1237)&lt;&gt;MONTH(W1236),MAX(U$1009:U1236)+1,0),IF(ISERROR(VLOOKUP(I$67,G$1079:G$1084,1,FALSE)),IF(V1237=1,MAX(U$1009:U1236)+1,0),IF(MONTH(W1238)&lt;&gt;MONTH(W1237),T1237,0))),IF(K$67=G$1086,IF(V1237=1,MAX(U$1009:U1236)+1,0),IF(V1237=7,MAX(U$1015:U1236)+1,0))),0)</f>
        <v>0</v>
      </c>
      <c r="V1237" s="27">
        <f t="shared" si="281"/>
        <v>5</v>
      </c>
      <c r="W1237" s="97">
        <f t="shared" si="282"/>
        <v>45520</v>
      </c>
      <c r="X1237" s="249" t="str">
        <f>IF(K$67=G$1086,IF(OR(U1237=1,AND(U1237&gt;0,U1237=(MAX(Y$1009:Y1236)+VLOOKUP(I$67,G$1076:H$1084,2,FALSE)))),"X",""),IF(AND(U1237&gt;0,U1237=(MAX(Y$1009:Y1236)+VLOOKUP(I$67,G$1076:H$1084,2,FALSE))),"X",""))</f>
        <v/>
      </c>
      <c r="Y1237" s="252">
        <f t="shared" si="283"/>
        <v>0</v>
      </c>
      <c r="Z1237" s="253">
        <f>IF(Y1237&gt;0,COUNTIF(Y$1009:Y1236,"&gt;0")+1,0)</f>
        <v>0</v>
      </c>
      <c r="AA1237" s="1"/>
      <c r="AB1237" s="255" t="str">
        <f t="shared" si="284"/>
        <v/>
      </c>
      <c r="AC1237" s="261" t="str">
        <f t="shared" si="286"/>
        <v/>
      </c>
      <c r="AD1237" s="258">
        <f>IF(Z1237&gt;0,COUNTIF(AC$1009:AC1236,AC1237)+1,0)</f>
        <v>0</v>
      </c>
      <c r="AE1237" s="258" t="str">
        <f t="shared" si="285"/>
        <v/>
      </c>
      <c r="AF1237" s="392" t="str">
        <f t="shared" si="287"/>
        <v/>
      </c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</row>
    <row r="1238" spans="1:93" ht="16.5" hidden="1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27">
        <f t="shared" si="288"/>
        <v>8</v>
      </c>
      <c r="U1238" s="247">
        <f>IF(OR(ISBLANK(F$68),AND(W1238&gt;(F$68-1),W1238&lt;(I$68+1))),IF(ISERROR(VLOOKUP(I$67,G$1076:G$1078,1,FALSE)),IF(K$67=G$1086,IF(MONTH(W1238)&lt;&gt;MONTH(W1237),MAX(U$1009:U1237)+1,0),IF(ISERROR(VLOOKUP(I$67,G$1079:G$1084,1,FALSE)),IF(V1238=1,MAX(U$1009:U1237)+1,0),IF(MONTH(W1239)&lt;&gt;MONTH(W1238),T1238,0))),IF(K$67=G$1086,IF(V1238=1,MAX(U$1009:U1237)+1,0),IF(V1238=7,MAX(U$1015:U1237)+1,0))),0)</f>
        <v>0</v>
      </c>
      <c r="V1238" s="27">
        <f t="shared" si="281"/>
        <v>6</v>
      </c>
      <c r="W1238" s="97">
        <f t="shared" si="282"/>
        <v>45521</v>
      </c>
      <c r="X1238" s="249" t="str">
        <f>IF(K$67=G$1086,IF(OR(U1238=1,AND(U1238&gt;0,U1238=(MAX(Y$1009:Y1237)+VLOOKUP(I$67,G$1076:H$1084,2,FALSE)))),"X",""),IF(AND(U1238&gt;0,U1238=(MAX(Y$1009:Y1237)+VLOOKUP(I$67,G$1076:H$1084,2,FALSE))),"X",""))</f>
        <v/>
      </c>
      <c r="Y1238" s="252">
        <f t="shared" si="283"/>
        <v>0</v>
      </c>
      <c r="Z1238" s="253">
        <f>IF(Y1238&gt;0,COUNTIF(Y$1009:Y1237,"&gt;0")+1,0)</f>
        <v>0</v>
      </c>
      <c r="AA1238" s="1"/>
      <c r="AB1238" s="255" t="str">
        <f t="shared" si="284"/>
        <v/>
      </c>
      <c r="AC1238" s="261" t="str">
        <f t="shared" si="286"/>
        <v/>
      </c>
      <c r="AD1238" s="258">
        <f>IF(Z1238&gt;0,COUNTIF(AC$1009:AC1237,AC1238)+1,0)</f>
        <v>0</v>
      </c>
      <c r="AE1238" s="258" t="str">
        <f t="shared" si="285"/>
        <v/>
      </c>
      <c r="AF1238" s="392" t="str">
        <f t="shared" si="287"/>
        <v/>
      </c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</row>
    <row r="1239" spans="1:93" ht="16.5" hidden="1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27">
        <f t="shared" si="288"/>
        <v>8</v>
      </c>
      <c r="U1239" s="247">
        <f>IF(OR(ISBLANK(F$68),AND(W1239&gt;(F$68-1),W1239&lt;(I$68+1))),IF(ISERROR(VLOOKUP(I$67,G$1076:G$1078,1,FALSE)),IF(K$67=G$1086,IF(MONTH(W1239)&lt;&gt;MONTH(W1238),MAX(U$1009:U1238)+1,0),IF(ISERROR(VLOOKUP(I$67,G$1079:G$1084,1,FALSE)),IF(V1239=1,MAX(U$1009:U1238)+1,0),IF(MONTH(W1240)&lt;&gt;MONTH(W1239),T1239,0))),IF(K$67=G$1086,IF(V1239=1,MAX(U$1009:U1238)+1,0),IF(V1239=7,MAX(U$1015:U1238)+1,0))),0)</f>
        <v>0</v>
      </c>
      <c r="V1239" s="27">
        <f t="shared" si="281"/>
        <v>7</v>
      </c>
      <c r="W1239" s="97">
        <f t="shared" si="282"/>
        <v>45522</v>
      </c>
      <c r="X1239" s="249" t="str">
        <f>IF(K$67=G$1086,IF(OR(U1239=1,AND(U1239&gt;0,U1239=(MAX(Y$1009:Y1238)+VLOOKUP(I$67,G$1076:H$1084,2,FALSE)))),"X",""),IF(AND(U1239&gt;0,U1239=(MAX(Y$1009:Y1238)+VLOOKUP(I$67,G$1076:H$1084,2,FALSE))),"X",""))</f>
        <v/>
      </c>
      <c r="Y1239" s="252">
        <f t="shared" si="283"/>
        <v>0</v>
      </c>
      <c r="Z1239" s="253">
        <f>IF(Y1239&gt;0,COUNTIF(Y$1009:Y1238,"&gt;0")+1,0)</f>
        <v>0</v>
      </c>
      <c r="AA1239" s="1"/>
      <c r="AB1239" s="255" t="str">
        <f t="shared" si="284"/>
        <v/>
      </c>
      <c r="AC1239" s="261" t="str">
        <f t="shared" si="286"/>
        <v/>
      </c>
      <c r="AD1239" s="258">
        <f>IF(Z1239&gt;0,COUNTIF(AC$1009:AC1238,AC1239)+1,0)</f>
        <v>0</v>
      </c>
      <c r="AE1239" s="258" t="str">
        <f t="shared" si="285"/>
        <v/>
      </c>
      <c r="AF1239" s="392" t="str">
        <f t="shared" si="287"/>
        <v/>
      </c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</row>
    <row r="1240" spans="1:93" ht="16.5" hidden="1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27">
        <f t="shared" si="288"/>
        <v>8</v>
      </c>
      <c r="U1240" s="247">
        <f>IF(OR(ISBLANK(F$68),AND(W1240&gt;(F$68-1),W1240&lt;(I$68+1))),IF(ISERROR(VLOOKUP(I$67,G$1076:G$1078,1,FALSE)),IF(K$67=G$1086,IF(MONTH(W1240)&lt;&gt;MONTH(W1239),MAX(U$1009:U1239)+1,0),IF(ISERROR(VLOOKUP(I$67,G$1079:G$1084,1,FALSE)),IF(V1240=1,MAX(U$1009:U1239)+1,0),IF(MONTH(W1241)&lt;&gt;MONTH(W1240),T1240,0))),IF(K$67=G$1086,IF(V1240=1,MAX(U$1009:U1239)+1,0),IF(V1240=7,MAX(U$1015:U1239)+1,0))),0)</f>
        <v>34</v>
      </c>
      <c r="V1240" s="27">
        <f t="shared" si="281"/>
        <v>1</v>
      </c>
      <c r="W1240" s="97">
        <f t="shared" si="282"/>
        <v>45523</v>
      </c>
      <c r="X1240" s="249" t="str">
        <f>IF(K$67=G$1086,IF(OR(U1240=1,AND(U1240&gt;0,U1240=(MAX(Y$1009:Y1239)+VLOOKUP(I$67,G$1076:H$1084,2,FALSE)))),"X",""),IF(AND(U1240&gt;0,U1240=(MAX(Y$1009:Y1239)+VLOOKUP(I$67,G$1076:H$1084,2,FALSE))),"X",""))</f>
        <v/>
      </c>
      <c r="Y1240" s="252">
        <f t="shared" si="283"/>
        <v>0</v>
      </c>
      <c r="Z1240" s="253">
        <f>IF(Y1240&gt;0,COUNTIF(Y$1009:Y1239,"&gt;0")+1,0)</f>
        <v>0</v>
      </c>
      <c r="AA1240" s="1"/>
      <c r="AB1240" s="255" t="str">
        <f t="shared" si="284"/>
        <v/>
      </c>
      <c r="AC1240" s="261" t="str">
        <f t="shared" si="286"/>
        <v/>
      </c>
      <c r="AD1240" s="258">
        <f>IF(Z1240&gt;0,COUNTIF(AC$1009:AC1239,AC1240)+1,0)</f>
        <v>0</v>
      </c>
      <c r="AE1240" s="258" t="str">
        <f t="shared" si="285"/>
        <v/>
      </c>
      <c r="AF1240" s="392" t="str">
        <f t="shared" si="287"/>
        <v/>
      </c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</row>
    <row r="1241" spans="1:93" ht="16.5" hidden="1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27">
        <f t="shared" si="288"/>
        <v>8</v>
      </c>
      <c r="U1241" s="247">
        <f>IF(OR(ISBLANK(F$68),AND(W1241&gt;(F$68-1),W1241&lt;(I$68+1))),IF(ISERROR(VLOOKUP(I$67,G$1076:G$1078,1,FALSE)),IF(K$67=G$1086,IF(MONTH(W1241)&lt;&gt;MONTH(W1240),MAX(U$1009:U1240)+1,0),IF(ISERROR(VLOOKUP(I$67,G$1079:G$1084,1,FALSE)),IF(V1241=1,MAX(U$1009:U1240)+1,0),IF(MONTH(W1242)&lt;&gt;MONTH(W1241),T1241,0))),IF(K$67=G$1086,IF(V1241=1,MAX(U$1009:U1240)+1,0),IF(V1241=7,MAX(U$1015:U1240)+1,0))),0)</f>
        <v>0</v>
      </c>
      <c r="V1241" s="27">
        <f t="shared" si="281"/>
        <v>2</v>
      </c>
      <c r="W1241" s="97">
        <f t="shared" si="282"/>
        <v>45524</v>
      </c>
      <c r="X1241" s="249" t="str">
        <f>IF(K$67=G$1086,IF(OR(U1241=1,AND(U1241&gt;0,U1241=(MAX(Y$1009:Y1240)+VLOOKUP(I$67,G$1076:H$1084,2,FALSE)))),"X",""),IF(AND(U1241&gt;0,U1241=(MAX(Y$1009:Y1240)+VLOOKUP(I$67,G$1076:H$1084,2,FALSE))),"X",""))</f>
        <v/>
      </c>
      <c r="Y1241" s="252">
        <f t="shared" si="283"/>
        <v>0</v>
      </c>
      <c r="Z1241" s="253">
        <f>IF(Y1241&gt;0,COUNTIF(Y$1009:Y1240,"&gt;0")+1,0)</f>
        <v>0</v>
      </c>
      <c r="AA1241" s="1"/>
      <c r="AB1241" s="255" t="str">
        <f t="shared" si="284"/>
        <v/>
      </c>
      <c r="AC1241" s="261" t="str">
        <f t="shared" si="286"/>
        <v/>
      </c>
      <c r="AD1241" s="258">
        <f>IF(Z1241&gt;0,COUNTIF(AC$1009:AC1240,AC1241)+1,0)</f>
        <v>0</v>
      </c>
      <c r="AE1241" s="258" t="str">
        <f t="shared" si="285"/>
        <v/>
      </c>
      <c r="AF1241" s="392" t="str">
        <f t="shared" si="287"/>
        <v/>
      </c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</row>
    <row r="1242" spans="1:93" ht="16.5" hidden="1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27">
        <f t="shared" si="288"/>
        <v>8</v>
      </c>
      <c r="U1242" s="247">
        <f>IF(OR(ISBLANK(F$68),AND(W1242&gt;(F$68-1),W1242&lt;(I$68+1))),IF(ISERROR(VLOOKUP(I$67,G$1076:G$1078,1,FALSE)),IF(K$67=G$1086,IF(MONTH(W1242)&lt;&gt;MONTH(W1241),MAX(U$1009:U1241)+1,0),IF(ISERROR(VLOOKUP(I$67,G$1079:G$1084,1,FALSE)),IF(V1242=1,MAX(U$1009:U1241)+1,0),IF(MONTH(W1243)&lt;&gt;MONTH(W1242),T1242,0))),IF(K$67=G$1086,IF(V1242=1,MAX(U$1009:U1241)+1,0),IF(V1242=7,MAX(U$1015:U1241)+1,0))),0)</f>
        <v>0</v>
      </c>
      <c r="V1242" s="27">
        <f t="shared" si="281"/>
        <v>3</v>
      </c>
      <c r="W1242" s="97">
        <f t="shared" si="282"/>
        <v>45525</v>
      </c>
      <c r="X1242" s="249" t="str">
        <f>IF(K$67=G$1086,IF(OR(U1242=1,AND(U1242&gt;0,U1242=(MAX(Y$1009:Y1241)+VLOOKUP(I$67,G$1076:H$1084,2,FALSE)))),"X",""),IF(AND(U1242&gt;0,U1242=(MAX(Y$1009:Y1241)+VLOOKUP(I$67,G$1076:H$1084,2,FALSE))),"X",""))</f>
        <v/>
      </c>
      <c r="Y1242" s="252">
        <f t="shared" si="283"/>
        <v>0</v>
      </c>
      <c r="Z1242" s="253">
        <f>IF(Y1242&gt;0,COUNTIF(Y$1009:Y1241,"&gt;0")+1,0)</f>
        <v>0</v>
      </c>
      <c r="AA1242" s="1"/>
      <c r="AB1242" s="255" t="str">
        <f t="shared" si="284"/>
        <v/>
      </c>
      <c r="AC1242" s="261" t="str">
        <f t="shared" si="286"/>
        <v/>
      </c>
      <c r="AD1242" s="258">
        <f>IF(Z1242&gt;0,COUNTIF(AC$1009:AC1241,AC1242)+1,0)</f>
        <v>0</v>
      </c>
      <c r="AE1242" s="258" t="str">
        <f t="shared" si="285"/>
        <v/>
      </c>
      <c r="AF1242" s="392" t="str">
        <f t="shared" si="287"/>
        <v/>
      </c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</row>
    <row r="1243" spans="1:93" ht="16.5" hidden="1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27">
        <f t="shared" si="288"/>
        <v>8</v>
      </c>
      <c r="U1243" s="247">
        <f>IF(OR(ISBLANK(F$68),AND(W1243&gt;(F$68-1),W1243&lt;(I$68+1))),IF(ISERROR(VLOOKUP(I$67,G$1076:G$1078,1,FALSE)),IF(K$67=G$1086,IF(MONTH(W1243)&lt;&gt;MONTH(W1242),MAX(U$1009:U1242)+1,0),IF(ISERROR(VLOOKUP(I$67,G$1079:G$1084,1,FALSE)),IF(V1243=1,MAX(U$1009:U1242)+1,0),IF(MONTH(W1244)&lt;&gt;MONTH(W1243),T1243,0))),IF(K$67=G$1086,IF(V1243=1,MAX(U$1009:U1242)+1,0),IF(V1243=7,MAX(U$1015:U1242)+1,0))),0)</f>
        <v>0</v>
      </c>
      <c r="V1243" s="27">
        <f t="shared" si="281"/>
        <v>4</v>
      </c>
      <c r="W1243" s="97">
        <f t="shared" si="282"/>
        <v>45526</v>
      </c>
      <c r="X1243" s="249" t="str">
        <f>IF(K$67=G$1086,IF(OR(U1243=1,AND(U1243&gt;0,U1243=(MAX(Y$1009:Y1242)+VLOOKUP(I$67,G$1076:H$1084,2,FALSE)))),"X",""),IF(AND(U1243&gt;0,U1243=(MAX(Y$1009:Y1242)+VLOOKUP(I$67,G$1076:H$1084,2,FALSE))),"X",""))</f>
        <v/>
      </c>
      <c r="Y1243" s="252">
        <f t="shared" si="283"/>
        <v>0</v>
      </c>
      <c r="Z1243" s="253">
        <f>IF(Y1243&gt;0,COUNTIF(Y$1009:Y1242,"&gt;0")+1,0)</f>
        <v>0</v>
      </c>
      <c r="AA1243" s="1"/>
      <c r="AB1243" s="255" t="str">
        <f t="shared" si="284"/>
        <v/>
      </c>
      <c r="AC1243" s="261" t="str">
        <f t="shared" si="286"/>
        <v/>
      </c>
      <c r="AD1243" s="258">
        <f>IF(Z1243&gt;0,COUNTIF(AC$1009:AC1242,AC1243)+1,0)</f>
        <v>0</v>
      </c>
      <c r="AE1243" s="258" t="str">
        <f t="shared" si="285"/>
        <v/>
      </c>
      <c r="AF1243" s="392" t="str">
        <f t="shared" si="287"/>
        <v/>
      </c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</row>
    <row r="1244" spans="1:93" ht="16.5" hidden="1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27">
        <f t="shared" si="288"/>
        <v>8</v>
      </c>
      <c r="U1244" s="247">
        <f>IF(OR(ISBLANK(F$68),AND(W1244&gt;(F$68-1),W1244&lt;(I$68+1))),IF(ISERROR(VLOOKUP(I$67,G$1076:G$1078,1,FALSE)),IF(K$67=G$1086,IF(MONTH(W1244)&lt;&gt;MONTH(W1243),MAX(U$1009:U1243)+1,0),IF(ISERROR(VLOOKUP(I$67,G$1079:G$1084,1,FALSE)),IF(V1244=1,MAX(U$1009:U1243)+1,0),IF(MONTH(W1245)&lt;&gt;MONTH(W1244),T1244,0))),IF(K$67=G$1086,IF(V1244=1,MAX(U$1009:U1243)+1,0),IF(V1244=7,MAX(U$1015:U1243)+1,0))),0)</f>
        <v>0</v>
      </c>
      <c r="V1244" s="27">
        <f t="shared" si="281"/>
        <v>5</v>
      </c>
      <c r="W1244" s="97">
        <f t="shared" si="282"/>
        <v>45527</v>
      </c>
      <c r="X1244" s="249" t="str">
        <f>IF(K$67=G$1086,IF(OR(U1244=1,AND(U1244&gt;0,U1244=(MAX(Y$1009:Y1243)+VLOOKUP(I$67,G$1076:H$1084,2,FALSE)))),"X",""),IF(AND(U1244&gt;0,U1244=(MAX(Y$1009:Y1243)+VLOOKUP(I$67,G$1076:H$1084,2,FALSE))),"X",""))</f>
        <v/>
      </c>
      <c r="Y1244" s="252">
        <f t="shared" si="283"/>
        <v>0</v>
      </c>
      <c r="Z1244" s="253">
        <f>IF(Y1244&gt;0,COUNTIF(Y$1009:Y1243,"&gt;0")+1,0)</f>
        <v>0</v>
      </c>
      <c r="AA1244" s="1"/>
      <c r="AB1244" s="255" t="str">
        <f t="shared" si="284"/>
        <v/>
      </c>
      <c r="AC1244" s="261" t="str">
        <f t="shared" si="286"/>
        <v/>
      </c>
      <c r="AD1244" s="258">
        <f>IF(Z1244&gt;0,COUNTIF(AC$1009:AC1243,AC1244)+1,0)</f>
        <v>0</v>
      </c>
      <c r="AE1244" s="258" t="str">
        <f t="shared" si="285"/>
        <v/>
      </c>
      <c r="AF1244" s="392" t="str">
        <f t="shared" si="287"/>
        <v/>
      </c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</row>
    <row r="1245" spans="1:93" ht="16.5" hidden="1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27">
        <f t="shared" si="288"/>
        <v>8</v>
      </c>
      <c r="U1245" s="247">
        <f>IF(OR(ISBLANK(F$68),AND(W1245&gt;(F$68-1),W1245&lt;(I$68+1))),IF(ISERROR(VLOOKUP(I$67,G$1076:G$1078,1,FALSE)),IF(K$67=G$1086,IF(MONTH(W1245)&lt;&gt;MONTH(W1244),MAX(U$1009:U1244)+1,0),IF(ISERROR(VLOOKUP(I$67,G$1079:G$1084,1,FALSE)),IF(V1245=1,MAX(U$1009:U1244)+1,0),IF(MONTH(W1246)&lt;&gt;MONTH(W1245),T1245,0))),IF(K$67=G$1086,IF(V1245=1,MAX(U$1009:U1244)+1,0),IF(V1245=7,MAX(U$1015:U1244)+1,0))),0)</f>
        <v>0</v>
      </c>
      <c r="V1245" s="27">
        <f t="shared" si="281"/>
        <v>6</v>
      </c>
      <c r="W1245" s="97">
        <f t="shared" si="282"/>
        <v>45528</v>
      </c>
      <c r="X1245" s="249" t="str">
        <f>IF(K$67=G$1086,IF(OR(U1245=1,AND(U1245&gt;0,U1245=(MAX(Y$1009:Y1244)+VLOOKUP(I$67,G$1076:H$1084,2,FALSE)))),"X",""),IF(AND(U1245&gt;0,U1245=(MAX(Y$1009:Y1244)+VLOOKUP(I$67,G$1076:H$1084,2,FALSE))),"X",""))</f>
        <v/>
      </c>
      <c r="Y1245" s="252">
        <f t="shared" si="283"/>
        <v>0</v>
      </c>
      <c r="Z1245" s="253">
        <f>IF(Y1245&gt;0,COUNTIF(Y$1009:Y1244,"&gt;0")+1,0)</f>
        <v>0</v>
      </c>
      <c r="AA1245" s="1"/>
      <c r="AB1245" s="255" t="str">
        <f t="shared" si="284"/>
        <v/>
      </c>
      <c r="AC1245" s="261" t="str">
        <f t="shared" si="286"/>
        <v/>
      </c>
      <c r="AD1245" s="258">
        <f>IF(Z1245&gt;0,COUNTIF(AC$1009:AC1244,AC1245)+1,0)</f>
        <v>0</v>
      </c>
      <c r="AE1245" s="258" t="str">
        <f t="shared" si="285"/>
        <v/>
      </c>
      <c r="AF1245" s="392" t="str">
        <f t="shared" si="287"/>
        <v/>
      </c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</row>
    <row r="1246" spans="1:93" ht="16.5" hidden="1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27">
        <f t="shared" si="288"/>
        <v>8</v>
      </c>
      <c r="U1246" s="247">
        <f>IF(OR(ISBLANK(F$68),AND(W1246&gt;(F$68-1),W1246&lt;(I$68+1))),IF(ISERROR(VLOOKUP(I$67,G$1076:G$1078,1,FALSE)),IF(K$67=G$1086,IF(MONTH(W1246)&lt;&gt;MONTH(W1245),MAX(U$1009:U1245)+1,0),IF(ISERROR(VLOOKUP(I$67,G$1079:G$1084,1,FALSE)),IF(V1246=1,MAX(U$1009:U1245)+1,0),IF(MONTH(W1247)&lt;&gt;MONTH(W1246),T1246,0))),IF(K$67=G$1086,IF(V1246=1,MAX(U$1009:U1245)+1,0),IF(V1246=7,MAX(U$1015:U1245)+1,0))),0)</f>
        <v>0</v>
      </c>
      <c r="V1246" s="27">
        <f t="shared" si="281"/>
        <v>7</v>
      </c>
      <c r="W1246" s="97">
        <f t="shared" si="282"/>
        <v>45529</v>
      </c>
      <c r="X1246" s="249" t="str">
        <f>IF(K$67=G$1086,IF(OR(U1246=1,AND(U1246&gt;0,U1246=(MAX(Y$1009:Y1245)+VLOOKUP(I$67,G$1076:H$1084,2,FALSE)))),"X",""),IF(AND(U1246&gt;0,U1246=(MAX(Y$1009:Y1245)+VLOOKUP(I$67,G$1076:H$1084,2,FALSE))),"X",""))</f>
        <v/>
      </c>
      <c r="Y1246" s="252">
        <f t="shared" si="283"/>
        <v>0</v>
      </c>
      <c r="Z1246" s="253">
        <f>IF(Y1246&gt;0,COUNTIF(Y$1009:Y1245,"&gt;0")+1,0)</f>
        <v>0</v>
      </c>
      <c r="AA1246" s="1"/>
      <c r="AB1246" s="255" t="str">
        <f t="shared" si="284"/>
        <v/>
      </c>
      <c r="AC1246" s="261" t="str">
        <f t="shared" si="286"/>
        <v/>
      </c>
      <c r="AD1246" s="258">
        <f>IF(Z1246&gt;0,COUNTIF(AC$1009:AC1245,AC1246)+1,0)</f>
        <v>0</v>
      </c>
      <c r="AE1246" s="258" t="str">
        <f t="shared" si="285"/>
        <v/>
      </c>
      <c r="AF1246" s="392" t="str">
        <f t="shared" si="287"/>
        <v/>
      </c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</row>
    <row r="1247" spans="1:93" ht="16.5" hidden="1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27">
        <f t="shared" si="288"/>
        <v>8</v>
      </c>
      <c r="U1247" s="247">
        <f>IF(OR(ISBLANK(F$68),AND(W1247&gt;(F$68-1),W1247&lt;(I$68+1))),IF(ISERROR(VLOOKUP(I$67,G$1076:G$1078,1,FALSE)),IF(K$67=G$1086,IF(MONTH(W1247)&lt;&gt;MONTH(W1246),MAX(U$1009:U1246)+1,0),IF(ISERROR(VLOOKUP(I$67,G$1079:G$1084,1,FALSE)),IF(V1247=1,MAX(U$1009:U1246)+1,0),IF(MONTH(W1248)&lt;&gt;MONTH(W1247),T1247,0))),IF(K$67=G$1086,IF(V1247=1,MAX(U$1009:U1246)+1,0),IF(V1247=7,MAX(U$1015:U1246)+1,0))),0)</f>
        <v>35</v>
      </c>
      <c r="V1247" s="27">
        <f t="shared" si="281"/>
        <v>1</v>
      </c>
      <c r="W1247" s="97">
        <f t="shared" si="282"/>
        <v>45530</v>
      </c>
      <c r="X1247" s="249" t="str">
        <f>IF(K$67=G$1086,IF(OR(U1247=1,AND(U1247&gt;0,U1247=(MAX(Y$1009:Y1246)+VLOOKUP(I$67,G$1076:H$1084,2,FALSE)))),"X",""),IF(AND(U1247&gt;0,U1247=(MAX(Y$1009:Y1246)+VLOOKUP(I$67,G$1076:H$1084,2,FALSE))),"X",""))</f>
        <v>X</v>
      </c>
      <c r="Y1247" s="252">
        <f t="shared" si="283"/>
        <v>35</v>
      </c>
      <c r="Z1247" s="253">
        <f>IF(Y1247&gt;0,COUNTIF(Y$1009:Y1246,"&gt;0")+1,0)</f>
        <v>18</v>
      </c>
      <c r="AA1247" s="1"/>
      <c r="AB1247" s="255">
        <f t="shared" si="284"/>
        <v>45530</v>
      </c>
      <c r="AC1247" s="261">
        <f t="shared" si="286"/>
        <v>8</v>
      </c>
      <c r="AD1247" s="258">
        <f>IF(Z1247&gt;0,COUNTIF(AC$1009:AC1246,AC1247)+1,0)</f>
        <v>2</v>
      </c>
      <c r="AE1247" s="258" t="str">
        <f t="shared" si="285"/>
        <v>8-2</v>
      </c>
      <c r="AF1247" s="392">
        <f t="shared" si="287"/>
        <v>45530</v>
      </c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</row>
    <row r="1248" spans="1:93" ht="16.5" hidden="1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27">
        <f t="shared" si="288"/>
        <v>8</v>
      </c>
      <c r="U1248" s="247">
        <f>IF(OR(ISBLANK(F$68),AND(W1248&gt;(F$68-1),W1248&lt;(I$68+1))),IF(ISERROR(VLOOKUP(I$67,G$1076:G$1078,1,FALSE)),IF(K$67=G$1086,IF(MONTH(W1248)&lt;&gt;MONTH(W1247),MAX(U$1009:U1247)+1,0),IF(ISERROR(VLOOKUP(I$67,G$1079:G$1084,1,FALSE)),IF(V1248=1,MAX(U$1009:U1247)+1,0),IF(MONTH(W1249)&lt;&gt;MONTH(W1248),T1248,0))),IF(K$67=G$1086,IF(V1248=1,MAX(U$1009:U1247)+1,0),IF(V1248=7,MAX(U$1015:U1247)+1,0))),0)</f>
        <v>0</v>
      </c>
      <c r="V1248" s="27">
        <f t="shared" si="281"/>
        <v>2</v>
      </c>
      <c r="W1248" s="97">
        <f t="shared" si="282"/>
        <v>45531</v>
      </c>
      <c r="X1248" s="249" t="str">
        <f>IF(K$67=G$1086,IF(OR(U1248=1,AND(U1248&gt;0,U1248=(MAX(Y$1009:Y1247)+VLOOKUP(I$67,G$1076:H$1084,2,FALSE)))),"X",""),IF(AND(U1248&gt;0,U1248=(MAX(Y$1009:Y1247)+VLOOKUP(I$67,G$1076:H$1084,2,FALSE))),"X",""))</f>
        <v/>
      </c>
      <c r="Y1248" s="252">
        <f t="shared" si="283"/>
        <v>0</v>
      </c>
      <c r="Z1248" s="253">
        <f>IF(Y1248&gt;0,COUNTIF(Y$1009:Y1247,"&gt;0")+1,0)</f>
        <v>0</v>
      </c>
      <c r="AA1248" s="1"/>
      <c r="AB1248" s="255" t="str">
        <f t="shared" si="284"/>
        <v/>
      </c>
      <c r="AC1248" s="261" t="str">
        <f t="shared" si="286"/>
        <v/>
      </c>
      <c r="AD1248" s="258">
        <f>IF(Z1248&gt;0,COUNTIF(AC$1009:AC1247,AC1248)+1,0)</f>
        <v>0</v>
      </c>
      <c r="AE1248" s="258" t="str">
        <f t="shared" si="285"/>
        <v/>
      </c>
      <c r="AF1248" s="392" t="str">
        <f t="shared" si="287"/>
        <v/>
      </c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</row>
    <row r="1249" spans="1:93" ht="16.5" hidden="1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27">
        <f t="shared" si="288"/>
        <v>8</v>
      </c>
      <c r="U1249" s="247">
        <f>IF(OR(ISBLANK(F$68),AND(W1249&gt;(F$68-1),W1249&lt;(I$68+1))),IF(ISERROR(VLOOKUP(I$67,G$1076:G$1078,1,FALSE)),IF(K$67=G$1086,IF(MONTH(W1249)&lt;&gt;MONTH(W1248),MAX(U$1009:U1248)+1,0),IF(ISERROR(VLOOKUP(I$67,G$1079:G$1084,1,FALSE)),IF(V1249=1,MAX(U$1009:U1248)+1,0),IF(MONTH(W1250)&lt;&gt;MONTH(W1249),T1249,0))),IF(K$67=G$1086,IF(V1249=1,MAX(U$1009:U1248)+1,0),IF(V1249=7,MAX(U$1015:U1248)+1,0))),0)</f>
        <v>0</v>
      </c>
      <c r="V1249" s="27">
        <f t="shared" si="281"/>
        <v>3</v>
      </c>
      <c r="W1249" s="97">
        <f t="shared" si="282"/>
        <v>45532</v>
      </c>
      <c r="X1249" s="249" t="str">
        <f>IF(K$67=G$1086,IF(OR(U1249=1,AND(U1249&gt;0,U1249=(MAX(Y$1009:Y1248)+VLOOKUP(I$67,G$1076:H$1084,2,FALSE)))),"X",""),IF(AND(U1249&gt;0,U1249=(MAX(Y$1009:Y1248)+VLOOKUP(I$67,G$1076:H$1084,2,FALSE))),"X",""))</f>
        <v/>
      </c>
      <c r="Y1249" s="252">
        <f t="shared" si="283"/>
        <v>0</v>
      </c>
      <c r="Z1249" s="253">
        <f>IF(Y1249&gt;0,COUNTIF(Y$1009:Y1248,"&gt;0")+1,0)</f>
        <v>0</v>
      </c>
      <c r="AA1249" s="1"/>
      <c r="AB1249" s="255" t="str">
        <f t="shared" si="284"/>
        <v/>
      </c>
      <c r="AC1249" s="261" t="str">
        <f t="shared" si="286"/>
        <v/>
      </c>
      <c r="AD1249" s="258">
        <f>IF(Z1249&gt;0,COUNTIF(AC$1009:AC1248,AC1249)+1,0)</f>
        <v>0</v>
      </c>
      <c r="AE1249" s="258" t="str">
        <f t="shared" si="285"/>
        <v/>
      </c>
      <c r="AF1249" s="392" t="str">
        <f t="shared" si="287"/>
        <v/>
      </c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</row>
    <row r="1250" spans="1:93" ht="16.5" hidden="1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27">
        <f t="shared" si="288"/>
        <v>8</v>
      </c>
      <c r="U1250" s="247">
        <f>IF(OR(ISBLANK(F$68),AND(W1250&gt;(F$68-1),W1250&lt;(I$68+1))),IF(ISERROR(VLOOKUP(I$67,G$1076:G$1078,1,FALSE)),IF(K$67=G$1086,IF(MONTH(W1250)&lt;&gt;MONTH(W1249),MAX(U$1009:U1249)+1,0),IF(ISERROR(VLOOKUP(I$67,G$1079:G$1084,1,FALSE)),IF(V1250=1,MAX(U$1009:U1249)+1,0),IF(MONTH(W1251)&lt;&gt;MONTH(W1250),T1250,0))),IF(K$67=G$1086,IF(V1250=1,MAX(U$1009:U1249)+1,0),IF(V1250=7,MAX(U$1015:U1249)+1,0))),0)</f>
        <v>0</v>
      </c>
      <c r="V1250" s="27">
        <f t="shared" si="281"/>
        <v>4</v>
      </c>
      <c r="W1250" s="97">
        <f t="shared" si="282"/>
        <v>45533</v>
      </c>
      <c r="X1250" s="249" t="str">
        <f>IF(K$67=G$1086,IF(OR(U1250=1,AND(U1250&gt;0,U1250=(MAX(Y$1009:Y1249)+VLOOKUP(I$67,G$1076:H$1084,2,FALSE)))),"X",""),IF(AND(U1250&gt;0,U1250=(MAX(Y$1009:Y1249)+VLOOKUP(I$67,G$1076:H$1084,2,FALSE))),"X",""))</f>
        <v/>
      </c>
      <c r="Y1250" s="252">
        <f t="shared" si="283"/>
        <v>0</v>
      </c>
      <c r="Z1250" s="253">
        <f>IF(Y1250&gt;0,COUNTIF(Y$1009:Y1249,"&gt;0")+1,0)</f>
        <v>0</v>
      </c>
      <c r="AA1250" s="1"/>
      <c r="AB1250" s="255" t="str">
        <f t="shared" si="284"/>
        <v/>
      </c>
      <c r="AC1250" s="261" t="str">
        <f t="shared" si="286"/>
        <v/>
      </c>
      <c r="AD1250" s="258">
        <f>IF(Z1250&gt;0,COUNTIF(AC$1009:AC1249,AC1250)+1,0)</f>
        <v>0</v>
      </c>
      <c r="AE1250" s="258" t="str">
        <f t="shared" si="285"/>
        <v/>
      </c>
      <c r="AF1250" s="392" t="str">
        <f t="shared" si="287"/>
        <v/>
      </c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</row>
    <row r="1251" spans="1:93" ht="16.5" hidden="1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27">
        <f t="shared" si="288"/>
        <v>8</v>
      </c>
      <c r="U1251" s="247">
        <f>IF(OR(ISBLANK(F$68),AND(W1251&gt;(F$68-1),W1251&lt;(I$68+1))),IF(ISERROR(VLOOKUP(I$67,G$1076:G$1078,1,FALSE)),IF(K$67=G$1086,IF(MONTH(W1251)&lt;&gt;MONTH(W1250),MAX(U$1009:U1250)+1,0),IF(ISERROR(VLOOKUP(I$67,G$1079:G$1084,1,FALSE)),IF(V1251=1,MAX(U$1009:U1250)+1,0),IF(MONTH(W1252)&lt;&gt;MONTH(W1251),T1251,0))),IF(K$67=G$1086,IF(V1251=1,MAX(U$1009:U1250)+1,0),IF(V1251=7,MAX(U$1015:U1250)+1,0))),0)</f>
        <v>0</v>
      </c>
      <c r="V1251" s="27">
        <f t="shared" si="281"/>
        <v>5</v>
      </c>
      <c r="W1251" s="97">
        <f t="shared" si="282"/>
        <v>45534</v>
      </c>
      <c r="X1251" s="249" t="str">
        <f>IF(K$67=G$1086,IF(OR(U1251=1,AND(U1251&gt;0,U1251=(MAX(Y$1009:Y1250)+VLOOKUP(I$67,G$1076:H$1084,2,FALSE)))),"X",""),IF(AND(U1251&gt;0,U1251=(MAX(Y$1009:Y1250)+VLOOKUP(I$67,G$1076:H$1084,2,FALSE))),"X",""))</f>
        <v/>
      </c>
      <c r="Y1251" s="252">
        <f t="shared" si="283"/>
        <v>0</v>
      </c>
      <c r="Z1251" s="253">
        <f>IF(Y1251&gt;0,COUNTIF(Y$1009:Y1250,"&gt;0")+1,0)</f>
        <v>0</v>
      </c>
      <c r="AA1251" s="1"/>
      <c r="AB1251" s="255" t="str">
        <f t="shared" si="284"/>
        <v/>
      </c>
      <c r="AC1251" s="261" t="str">
        <f t="shared" si="286"/>
        <v/>
      </c>
      <c r="AD1251" s="258">
        <f>IF(Z1251&gt;0,COUNTIF(AC$1009:AC1250,AC1251)+1,0)</f>
        <v>0</v>
      </c>
      <c r="AE1251" s="258" t="str">
        <f t="shared" si="285"/>
        <v/>
      </c>
      <c r="AF1251" s="392" t="str">
        <f t="shared" si="287"/>
        <v/>
      </c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</row>
    <row r="1252" spans="1:93" ht="16.5" hidden="1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27">
        <f t="shared" si="288"/>
        <v>8</v>
      </c>
      <c r="U1252" s="247">
        <f>IF(OR(ISBLANK(F$68),AND(W1252&gt;(F$68-1),W1252&lt;(I$68+1))),IF(ISERROR(VLOOKUP(I$67,G$1076:G$1078,1,FALSE)),IF(K$67=G$1086,IF(MONTH(W1252)&lt;&gt;MONTH(W1251),MAX(U$1009:U1251)+1,0),IF(ISERROR(VLOOKUP(I$67,G$1079:G$1084,1,FALSE)),IF(V1252=1,MAX(U$1009:U1251)+1,0),IF(MONTH(W1253)&lt;&gt;MONTH(W1252),T1252,0))),IF(K$67=G$1086,IF(V1252=1,MAX(U$1009:U1251)+1,0),IF(V1252=7,MAX(U$1015:U1251)+1,0))),0)</f>
        <v>0</v>
      </c>
      <c r="V1252" s="27">
        <f t="shared" si="281"/>
        <v>6</v>
      </c>
      <c r="W1252" s="97">
        <f t="shared" si="282"/>
        <v>45535</v>
      </c>
      <c r="X1252" s="249" t="str">
        <f>IF(K$67=G$1086,IF(OR(U1252=1,AND(U1252&gt;0,U1252=(MAX(Y$1009:Y1251)+VLOOKUP(I$67,G$1076:H$1084,2,FALSE)))),"X",""),IF(AND(U1252&gt;0,U1252=(MAX(Y$1009:Y1251)+VLOOKUP(I$67,G$1076:H$1084,2,FALSE))),"X",""))</f>
        <v/>
      </c>
      <c r="Y1252" s="252">
        <f t="shared" si="283"/>
        <v>0</v>
      </c>
      <c r="Z1252" s="253">
        <f>IF(Y1252&gt;0,COUNTIF(Y$1009:Y1251,"&gt;0")+1,0)</f>
        <v>0</v>
      </c>
      <c r="AA1252" s="1"/>
      <c r="AB1252" s="255" t="str">
        <f t="shared" si="284"/>
        <v/>
      </c>
      <c r="AC1252" s="261" t="str">
        <f t="shared" si="286"/>
        <v/>
      </c>
      <c r="AD1252" s="258">
        <f>IF(Z1252&gt;0,COUNTIF(AC$1009:AC1251,AC1252)+1,0)</f>
        <v>0</v>
      </c>
      <c r="AE1252" s="258" t="str">
        <f t="shared" si="285"/>
        <v/>
      </c>
      <c r="AF1252" s="392" t="str">
        <f t="shared" si="287"/>
        <v/>
      </c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</row>
    <row r="1253" spans="1:93" ht="16.5" hidden="1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27">
        <f t="shared" si="288"/>
        <v>9</v>
      </c>
      <c r="U1253" s="247">
        <f>IF(OR(ISBLANK(F$68),AND(W1253&gt;(F$68-1),W1253&lt;(I$68+1))),IF(ISERROR(VLOOKUP(I$67,G$1076:G$1078,1,FALSE)),IF(K$67=G$1086,IF(MONTH(W1253)&lt;&gt;MONTH(W1252),MAX(U$1009:U1252)+1,0),IF(ISERROR(VLOOKUP(I$67,G$1079:G$1084,1,FALSE)),IF(V1253=1,MAX(U$1009:U1252)+1,0),IF(MONTH(W1254)&lt;&gt;MONTH(W1253),T1253,0))),IF(K$67=G$1086,IF(V1253=1,MAX(U$1009:U1252)+1,0),IF(V1253=7,MAX(U$1015:U1252)+1,0))),0)</f>
        <v>0</v>
      </c>
      <c r="V1253" s="27">
        <f t="shared" si="281"/>
        <v>7</v>
      </c>
      <c r="W1253" s="97">
        <f t="shared" si="282"/>
        <v>45536</v>
      </c>
      <c r="X1253" s="249" t="str">
        <f>IF(K$67=G$1086,IF(OR(U1253=1,AND(U1253&gt;0,U1253=(MAX(Y$1009:Y1252)+VLOOKUP(I$67,G$1076:H$1084,2,FALSE)))),"X",""),IF(AND(U1253&gt;0,U1253=(MAX(Y$1009:Y1252)+VLOOKUP(I$67,G$1076:H$1084,2,FALSE))),"X",""))</f>
        <v/>
      </c>
      <c r="Y1253" s="252">
        <f t="shared" si="283"/>
        <v>0</v>
      </c>
      <c r="Z1253" s="253">
        <f>IF(Y1253&gt;0,COUNTIF(Y$1009:Y1252,"&gt;0")+1,0)</f>
        <v>0</v>
      </c>
      <c r="AA1253" s="1"/>
      <c r="AB1253" s="255" t="str">
        <f t="shared" si="284"/>
        <v/>
      </c>
      <c r="AC1253" s="261" t="str">
        <f t="shared" si="286"/>
        <v/>
      </c>
      <c r="AD1253" s="258">
        <f>IF(Z1253&gt;0,COUNTIF(AC$1009:AC1252,AC1253)+1,0)</f>
        <v>0</v>
      </c>
      <c r="AE1253" s="258" t="str">
        <f t="shared" si="285"/>
        <v/>
      </c>
      <c r="AF1253" s="392" t="str">
        <f t="shared" si="287"/>
        <v/>
      </c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</row>
    <row r="1254" spans="1:93" ht="16.5" hidden="1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27">
        <f t="shared" si="288"/>
        <v>9</v>
      </c>
      <c r="U1254" s="247">
        <f>IF(OR(ISBLANK(F$68),AND(W1254&gt;(F$68-1),W1254&lt;(I$68+1))),IF(ISERROR(VLOOKUP(I$67,G$1076:G$1078,1,FALSE)),IF(K$67=G$1086,IF(MONTH(W1254)&lt;&gt;MONTH(W1253),MAX(U$1009:U1253)+1,0),IF(ISERROR(VLOOKUP(I$67,G$1079:G$1084,1,FALSE)),IF(V1254=1,MAX(U$1009:U1253)+1,0),IF(MONTH(W1255)&lt;&gt;MONTH(W1254),T1254,0))),IF(K$67=G$1086,IF(V1254=1,MAX(U$1009:U1253)+1,0),IF(V1254=7,MAX(U$1015:U1253)+1,0))),0)</f>
        <v>36</v>
      </c>
      <c r="V1254" s="27">
        <f t="shared" si="281"/>
        <v>1</v>
      </c>
      <c r="W1254" s="97">
        <f t="shared" si="282"/>
        <v>45537</v>
      </c>
      <c r="X1254" s="249" t="str">
        <f>IF(K$67=G$1086,IF(OR(U1254=1,AND(U1254&gt;0,U1254=(MAX(Y$1009:Y1253)+VLOOKUP(I$67,G$1076:H$1084,2,FALSE)))),"X",""),IF(AND(U1254&gt;0,U1254=(MAX(Y$1009:Y1253)+VLOOKUP(I$67,G$1076:H$1084,2,FALSE))),"X",""))</f>
        <v/>
      </c>
      <c r="Y1254" s="252">
        <f t="shared" si="283"/>
        <v>0</v>
      </c>
      <c r="Z1254" s="253">
        <f>IF(Y1254&gt;0,COUNTIF(Y$1009:Y1253,"&gt;0")+1,0)</f>
        <v>0</v>
      </c>
      <c r="AA1254" s="1"/>
      <c r="AB1254" s="255" t="str">
        <f t="shared" si="284"/>
        <v/>
      </c>
      <c r="AC1254" s="261" t="str">
        <f t="shared" si="286"/>
        <v/>
      </c>
      <c r="AD1254" s="258">
        <f>IF(Z1254&gt;0,COUNTIF(AC$1009:AC1253,AC1254)+1,0)</f>
        <v>0</v>
      </c>
      <c r="AE1254" s="258" t="str">
        <f t="shared" si="285"/>
        <v/>
      </c>
      <c r="AF1254" s="392" t="str">
        <f t="shared" si="287"/>
        <v/>
      </c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</row>
    <row r="1255" spans="1:93" ht="16.5" hidden="1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27">
        <f t="shared" si="288"/>
        <v>9</v>
      </c>
      <c r="U1255" s="247">
        <f>IF(OR(ISBLANK(F$68),AND(W1255&gt;(F$68-1),W1255&lt;(I$68+1))),IF(ISERROR(VLOOKUP(I$67,G$1076:G$1078,1,FALSE)),IF(K$67=G$1086,IF(MONTH(W1255)&lt;&gt;MONTH(W1254),MAX(U$1009:U1254)+1,0),IF(ISERROR(VLOOKUP(I$67,G$1079:G$1084,1,FALSE)),IF(V1255=1,MAX(U$1009:U1254)+1,0),IF(MONTH(W1256)&lt;&gt;MONTH(W1255),T1255,0))),IF(K$67=G$1086,IF(V1255=1,MAX(U$1009:U1254)+1,0),IF(V1255=7,MAX(U$1015:U1254)+1,0))),0)</f>
        <v>0</v>
      </c>
      <c r="V1255" s="27">
        <f t="shared" si="281"/>
        <v>2</v>
      </c>
      <c r="W1255" s="97">
        <f t="shared" si="282"/>
        <v>45538</v>
      </c>
      <c r="X1255" s="249" t="str">
        <f>IF(K$67=G$1086,IF(OR(U1255=1,AND(U1255&gt;0,U1255=(MAX(Y$1009:Y1254)+VLOOKUP(I$67,G$1076:H$1084,2,FALSE)))),"X",""),IF(AND(U1255&gt;0,U1255=(MAX(Y$1009:Y1254)+VLOOKUP(I$67,G$1076:H$1084,2,FALSE))),"X",""))</f>
        <v/>
      </c>
      <c r="Y1255" s="252">
        <f t="shared" si="283"/>
        <v>0</v>
      </c>
      <c r="Z1255" s="253">
        <f>IF(Y1255&gt;0,COUNTIF(Y$1009:Y1254,"&gt;0")+1,0)</f>
        <v>0</v>
      </c>
      <c r="AA1255" s="1"/>
      <c r="AB1255" s="255" t="str">
        <f t="shared" si="284"/>
        <v/>
      </c>
      <c r="AC1255" s="261" t="str">
        <f t="shared" si="286"/>
        <v/>
      </c>
      <c r="AD1255" s="258">
        <f>IF(Z1255&gt;0,COUNTIF(AC$1009:AC1254,AC1255)+1,0)</f>
        <v>0</v>
      </c>
      <c r="AE1255" s="258" t="str">
        <f t="shared" si="285"/>
        <v/>
      </c>
      <c r="AF1255" s="392" t="str">
        <f t="shared" si="287"/>
        <v/>
      </c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</row>
    <row r="1256" spans="1:93" ht="16.5" hidden="1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27">
        <f t="shared" si="288"/>
        <v>9</v>
      </c>
      <c r="U1256" s="247">
        <f>IF(OR(ISBLANK(F$68),AND(W1256&gt;(F$68-1),W1256&lt;(I$68+1))),IF(ISERROR(VLOOKUP(I$67,G$1076:G$1078,1,FALSE)),IF(K$67=G$1086,IF(MONTH(W1256)&lt;&gt;MONTH(W1255),MAX(U$1009:U1255)+1,0),IF(ISERROR(VLOOKUP(I$67,G$1079:G$1084,1,FALSE)),IF(V1256=1,MAX(U$1009:U1255)+1,0),IF(MONTH(W1257)&lt;&gt;MONTH(W1256),T1256,0))),IF(K$67=G$1086,IF(V1256=1,MAX(U$1009:U1255)+1,0),IF(V1256=7,MAX(U$1015:U1255)+1,0))),0)</f>
        <v>0</v>
      </c>
      <c r="V1256" s="27">
        <f t="shared" si="281"/>
        <v>3</v>
      </c>
      <c r="W1256" s="97">
        <f t="shared" si="282"/>
        <v>45539</v>
      </c>
      <c r="X1256" s="249" t="str">
        <f>IF(K$67=G$1086,IF(OR(U1256=1,AND(U1256&gt;0,U1256=(MAX(Y$1009:Y1255)+VLOOKUP(I$67,G$1076:H$1084,2,FALSE)))),"X",""),IF(AND(U1256&gt;0,U1256=(MAX(Y$1009:Y1255)+VLOOKUP(I$67,G$1076:H$1084,2,FALSE))),"X",""))</f>
        <v/>
      </c>
      <c r="Y1256" s="252">
        <f t="shared" si="283"/>
        <v>0</v>
      </c>
      <c r="Z1256" s="253">
        <f>IF(Y1256&gt;0,COUNTIF(Y$1009:Y1255,"&gt;0")+1,0)</f>
        <v>0</v>
      </c>
      <c r="AA1256" s="1"/>
      <c r="AB1256" s="255" t="str">
        <f t="shared" si="284"/>
        <v/>
      </c>
      <c r="AC1256" s="261" t="str">
        <f t="shared" si="286"/>
        <v/>
      </c>
      <c r="AD1256" s="258">
        <f>IF(Z1256&gt;0,COUNTIF(AC$1009:AC1255,AC1256)+1,0)</f>
        <v>0</v>
      </c>
      <c r="AE1256" s="258" t="str">
        <f t="shared" si="285"/>
        <v/>
      </c>
      <c r="AF1256" s="392" t="str">
        <f t="shared" si="287"/>
        <v/>
      </c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</row>
    <row r="1257" spans="1:93" ht="16.5" hidden="1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27">
        <f t="shared" si="288"/>
        <v>9</v>
      </c>
      <c r="U1257" s="247">
        <f>IF(OR(ISBLANK(F$68),AND(W1257&gt;(F$68-1),W1257&lt;(I$68+1))),IF(ISERROR(VLOOKUP(I$67,G$1076:G$1078,1,FALSE)),IF(K$67=G$1086,IF(MONTH(W1257)&lt;&gt;MONTH(W1256),MAX(U$1009:U1256)+1,0),IF(ISERROR(VLOOKUP(I$67,G$1079:G$1084,1,FALSE)),IF(V1257=1,MAX(U$1009:U1256)+1,0),IF(MONTH(W1258)&lt;&gt;MONTH(W1257),T1257,0))),IF(K$67=G$1086,IF(V1257=1,MAX(U$1009:U1256)+1,0),IF(V1257=7,MAX(U$1015:U1256)+1,0))),0)</f>
        <v>0</v>
      </c>
      <c r="V1257" s="27">
        <f t="shared" si="281"/>
        <v>4</v>
      </c>
      <c r="W1257" s="97">
        <f t="shared" si="282"/>
        <v>45540</v>
      </c>
      <c r="X1257" s="249" t="str">
        <f>IF(K$67=G$1086,IF(OR(U1257=1,AND(U1257&gt;0,U1257=(MAX(Y$1009:Y1256)+VLOOKUP(I$67,G$1076:H$1084,2,FALSE)))),"X",""),IF(AND(U1257&gt;0,U1257=(MAX(Y$1009:Y1256)+VLOOKUP(I$67,G$1076:H$1084,2,FALSE))),"X",""))</f>
        <v/>
      </c>
      <c r="Y1257" s="252">
        <f t="shared" si="283"/>
        <v>0</v>
      </c>
      <c r="Z1257" s="253">
        <f>IF(Y1257&gt;0,COUNTIF(Y$1009:Y1256,"&gt;0")+1,0)</f>
        <v>0</v>
      </c>
      <c r="AA1257" s="1"/>
      <c r="AB1257" s="255" t="str">
        <f t="shared" si="284"/>
        <v/>
      </c>
      <c r="AC1257" s="261" t="str">
        <f t="shared" si="286"/>
        <v/>
      </c>
      <c r="AD1257" s="258">
        <f>IF(Z1257&gt;0,COUNTIF(AC$1009:AC1256,AC1257)+1,0)</f>
        <v>0</v>
      </c>
      <c r="AE1257" s="258" t="str">
        <f t="shared" si="285"/>
        <v/>
      </c>
      <c r="AF1257" s="392" t="str">
        <f t="shared" si="287"/>
        <v/>
      </c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</row>
    <row r="1258" spans="1:93" ht="16.5" hidden="1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27">
        <f t="shared" si="288"/>
        <v>9</v>
      </c>
      <c r="U1258" s="247">
        <f>IF(OR(ISBLANK(F$68),AND(W1258&gt;(F$68-1),W1258&lt;(I$68+1))),IF(ISERROR(VLOOKUP(I$67,G$1076:G$1078,1,FALSE)),IF(K$67=G$1086,IF(MONTH(W1258)&lt;&gt;MONTH(W1257),MAX(U$1009:U1257)+1,0),IF(ISERROR(VLOOKUP(I$67,G$1079:G$1084,1,FALSE)),IF(V1258=1,MAX(U$1009:U1257)+1,0),IF(MONTH(W1259)&lt;&gt;MONTH(W1258),T1258,0))),IF(K$67=G$1086,IF(V1258=1,MAX(U$1009:U1257)+1,0),IF(V1258=7,MAX(U$1015:U1257)+1,0))),0)</f>
        <v>0</v>
      </c>
      <c r="V1258" s="27">
        <f t="shared" si="281"/>
        <v>5</v>
      </c>
      <c r="W1258" s="97">
        <f t="shared" si="282"/>
        <v>45541</v>
      </c>
      <c r="X1258" s="249" t="str">
        <f>IF(K$67=G$1086,IF(OR(U1258=1,AND(U1258&gt;0,U1258=(MAX(Y$1009:Y1257)+VLOOKUP(I$67,G$1076:H$1084,2,FALSE)))),"X",""),IF(AND(U1258&gt;0,U1258=(MAX(Y$1009:Y1257)+VLOOKUP(I$67,G$1076:H$1084,2,FALSE))),"X",""))</f>
        <v/>
      </c>
      <c r="Y1258" s="252">
        <f t="shared" si="283"/>
        <v>0</v>
      </c>
      <c r="Z1258" s="253">
        <f>IF(Y1258&gt;0,COUNTIF(Y$1009:Y1257,"&gt;0")+1,0)</f>
        <v>0</v>
      </c>
      <c r="AA1258" s="1"/>
      <c r="AB1258" s="255" t="str">
        <f t="shared" si="284"/>
        <v/>
      </c>
      <c r="AC1258" s="261" t="str">
        <f t="shared" si="286"/>
        <v/>
      </c>
      <c r="AD1258" s="258">
        <f>IF(Z1258&gt;0,COUNTIF(AC$1009:AC1257,AC1258)+1,0)</f>
        <v>0</v>
      </c>
      <c r="AE1258" s="258" t="str">
        <f t="shared" si="285"/>
        <v/>
      </c>
      <c r="AF1258" s="392" t="str">
        <f t="shared" si="287"/>
        <v/>
      </c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</row>
    <row r="1259" spans="1:93" ht="16.5" hidden="1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27">
        <f t="shared" si="288"/>
        <v>9</v>
      </c>
      <c r="U1259" s="247">
        <f>IF(OR(ISBLANK(F$68),AND(W1259&gt;(F$68-1),W1259&lt;(I$68+1))),IF(ISERROR(VLOOKUP(I$67,G$1076:G$1078,1,FALSE)),IF(K$67=G$1086,IF(MONTH(W1259)&lt;&gt;MONTH(W1258),MAX(U$1009:U1258)+1,0),IF(ISERROR(VLOOKUP(I$67,G$1079:G$1084,1,FALSE)),IF(V1259=1,MAX(U$1009:U1258)+1,0),IF(MONTH(W1260)&lt;&gt;MONTH(W1259),T1259,0))),IF(K$67=G$1086,IF(V1259=1,MAX(U$1009:U1258)+1,0),IF(V1259=7,MAX(U$1015:U1258)+1,0))),0)</f>
        <v>0</v>
      </c>
      <c r="V1259" s="27">
        <f t="shared" si="281"/>
        <v>6</v>
      </c>
      <c r="W1259" s="97">
        <f t="shared" si="282"/>
        <v>45542</v>
      </c>
      <c r="X1259" s="249" t="str">
        <f>IF(K$67=G$1086,IF(OR(U1259=1,AND(U1259&gt;0,U1259=(MAX(Y$1009:Y1258)+VLOOKUP(I$67,G$1076:H$1084,2,FALSE)))),"X",""),IF(AND(U1259&gt;0,U1259=(MAX(Y$1009:Y1258)+VLOOKUP(I$67,G$1076:H$1084,2,FALSE))),"X",""))</f>
        <v/>
      </c>
      <c r="Y1259" s="252">
        <f t="shared" si="283"/>
        <v>0</v>
      </c>
      <c r="Z1259" s="253">
        <f>IF(Y1259&gt;0,COUNTIF(Y$1009:Y1258,"&gt;0")+1,0)</f>
        <v>0</v>
      </c>
      <c r="AA1259" s="1"/>
      <c r="AB1259" s="255" t="str">
        <f t="shared" si="284"/>
        <v/>
      </c>
      <c r="AC1259" s="261" t="str">
        <f t="shared" si="286"/>
        <v/>
      </c>
      <c r="AD1259" s="258">
        <f>IF(Z1259&gt;0,COUNTIF(AC$1009:AC1258,AC1259)+1,0)</f>
        <v>0</v>
      </c>
      <c r="AE1259" s="258" t="str">
        <f t="shared" si="285"/>
        <v/>
      </c>
      <c r="AF1259" s="392" t="str">
        <f t="shared" si="287"/>
        <v/>
      </c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</row>
    <row r="1260" spans="1:93" ht="16.5" hidden="1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27">
        <f t="shared" si="288"/>
        <v>9</v>
      </c>
      <c r="U1260" s="247">
        <f>IF(OR(ISBLANK(F$68),AND(W1260&gt;(F$68-1),W1260&lt;(I$68+1))),IF(ISERROR(VLOOKUP(I$67,G$1076:G$1078,1,FALSE)),IF(K$67=G$1086,IF(MONTH(W1260)&lt;&gt;MONTH(W1259),MAX(U$1009:U1259)+1,0),IF(ISERROR(VLOOKUP(I$67,G$1079:G$1084,1,FALSE)),IF(V1260=1,MAX(U$1009:U1259)+1,0),IF(MONTH(W1261)&lt;&gt;MONTH(W1260),T1260,0))),IF(K$67=G$1086,IF(V1260=1,MAX(U$1009:U1259)+1,0),IF(V1260=7,MAX(U$1015:U1259)+1,0))),0)</f>
        <v>0</v>
      </c>
      <c r="V1260" s="27">
        <f t="shared" si="281"/>
        <v>7</v>
      </c>
      <c r="W1260" s="97">
        <f t="shared" si="282"/>
        <v>45543</v>
      </c>
      <c r="X1260" s="249" t="str">
        <f>IF(K$67=G$1086,IF(OR(U1260=1,AND(U1260&gt;0,U1260=(MAX(Y$1009:Y1259)+VLOOKUP(I$67,G$1076:H$1084,2,FALSE)))),"X",""),IF(AND(U1260&gt;0,U1260=(MAX(Y$1009:Y1259)+VLOOKUP(I$67,G$1076:H$1084,2,FALSE))),"X",""))</f>
        <v/>
      </c>
      <c r="Y1260" s="252">
        <f t="shared" si="283"/>
        <v>0</v>
      </c>
      <c r="Z1260" s="253">
        <f>IF(Y1260&gt;0,COUNTIF(Y$1009:Y1259,"&gt;0")+1,0)</f>
        <v>0</v>
      </c>
      <c r="AA1260" s="1"/>
      <c r="AB1260" s="255" t="str">
        <f t="shared" si="284"/>
        <v/>
      </c>
      <c r="AC1260" s="261" t="str">
        <f t="shared" si="286"/>
        <v/>
      </c>
      <c r="AD1260" s="258">
        <f>IF(Z1260&gt;0,COUNTIF(AC$1009:AC1259,AC1260)+1,0)</f>
        <v>0</v>
      </c>
      <c r="AE1260" s="258" t="str">
        <f t="shared" si="285"/>
        <v/>
      </c>
      <c r="AF1260" s="392" t="str">
        <f t="shared" si="287"/>
        <v/>
      </c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</row>
    <row r="1261" spans="1:93" ht="16.5" hidden="1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27">
        <f t="shared" si="288"/>
        <v>9</v>
      </c>
      <c r="U1261" s="247">
        <f>IF(OR(ISBLANK(F$68),AND(W1261&gt;(F$68-1),W1261&lt;(I$68+1))),IF(ISERROR(VLOOKUP(I$67,G$1076:G$1078,1,FALSE)),IF(K$67=G$1086,IF(MONTH(W1261)&lt;&gt;MONTH(W1260),MAX(U$1009:U1260)+1,0),IF(ISERROR(VLOOKUP(I$67,G$1079:G$1084,1,FALSE)),IF(V1261=1,MAX(U$1009:U1260)+1,0),IF(MONTH(W1262)&lt;&gt;MONTH(W1261),T1261,0))),IF(K$67=G$1086,IF(V1261=1,MAX(U$1009:U1260)+1,0),IF(V1261=7,MAX(U$1015:U1260)+1,0))),0)</f>
        <v>37</v>
      </c>
      <c r="V1261" s="27">
        <f t="shared" si="281"/>
        <v>1</v>
      </c>
      <c r="W1261" s="97">
        <f t="shared" si="282"/>
        <v>45544</v>
      </c>
      <c r="X1261" s="249" t="str">
        <f>IF(K$67=G$1086,IF(OR(U1261=1,AND(U1261&gt;0,U1261=(MAX(Y$1009:Y1260)+VLOOKUP(I$67,G$1076:H$1084,2,FALSE)))),"X",""),IF(AND(U1261&gt;0,U1261=(MAX(Y$1009:Y1260)+VLOOKUP(I$67,G$1076:H$1084,2,FALSE))),"X",""))</f>
        <v>X</v>
      </c>
      <c r="Y1261" s="252">
        <f t="shared" si="283"/>
        <v>37</v>
      </c>
      <c r="Z1261" s="253">
        <f>IF(Y1261&gt;0,COUNTIF(Y$1009:Y1260,"&gt;0")+1,0)</f>
        <v>19</v>
      </c>
      <c r="AA1261" s="1"/>
      <c r="AB1261" s="255">
        <f t="shared" si="284"/>
        <v>45544</v>
      </c>
      <c r="AC1261" s="261">
        <f t="shared" si="286"/>
        <v>9</v>
      </c>
      <c r="AD1261" s="258">
        <f>IF(Z1261&gt;0,COUNTIF(AC$1009:AC1260,AC1261)+1,0)</f>
        <v>1</v>
      </c>
      <c r="AE1261" s="258" t="str">
        <f t="shared" si="285"/>
        <v>9-1</v>
      </c>
      <c r="AF1261" s="392">
        <f t="shared" si="287"/>
        <v>45544</v>
      </c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</row>
    <row r="1262" spans="1:93" ht="16.5" hidden="1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27">
        <f t="shared" si="288"/>
        <v>9</v>
      </c>
      <c r="U1262" s="247">
        <f>IF(OR(ISBLANK(F$68),AND(W1262&gt;(F$68-1),W1262&lt;(I$68+1))),IF(ISERROR(VLOOKUP(I$67,G$1076:G$1078,1,FALSE)),IF(K$67=G$1086,IF(MONTH(W1262)&lt;&gt;MONTH(W1261),MAX(U$1009:U1261)+1,0),IF(ISERROR(VLOOKUP(I$67,G$1079:G$1084,1,FALSE)),IF(V1262=1,MAX(U$1009:U1261)+1,0),IF(MONTH(W1263)&lt;&gt;MONTH(W1262),T1262,0))),IF(K$67=G$1086,IF(V1262=1,MAX(U$1009:U1261)+1,0),IF(V1262=7,MAX(U$1015:U1261)+1,0))),0)</f>
        <v>0</v>
      </c>
      <c r="V1262" s="27">
        <f t="shared" si="281"/>
        <v>2</v>
      </c>
      <c r="W1262" s="97">
        <f t="shared" si="282"/>
        <v>45545</v>
      </c>
      <c r="X1262" s="249" t="str">
        <f>IF(K$67=G$1086,IF(OR(U1262=1,AND(U1262&gt;0,U1262=(MAX(Y$1009:Y1261)+VLOOKUP(I$67,G$1076:H$1084,2,FALSE)))),"X",""),IF(AND(U1262&gt;0,U1262=(MAX(Y$1009:Y1261)+VLOOKUP(I$67,G$1076:H$1084,2,FALSE))),"X",""))</f>
        <v/>
      </c>
      <c r="Y1262" s="252">
        <f t="shared" si="283"/>
        <v>0</v>
      </c>
      <c r="Z1262" s="253">
        <f>IF(Y1262&gt;0,COUNTIF(Y$1009:Y1261,"&gt;0")+1,0)</f>
        <v>0</v>
      </c>
      <c r="AA1262" s="1"/>
      <c r="AB1262" s="255" t="str">
        <f t="shared" si="284"/>
        <v/>
      </c>
      <c r="AC1262" s="261" t="str">
        <f t="shared" si="286"/>
        <v/>
      </c>
      <c r="AD1262" s="258">
        <f>IF(Z1262&gt;0,COUNTIF(AC$1009:AC1261,AC1262)+1,0)</f>
        <v>0</v>
      </c>
      <c r="AE1262" s="258" t="str">
        <f t="shared" si="285"/>
        <v/>
      </c>
      <c r="AF1262" s="392" t="str">
        <f t="shared" si="287"/>
        <v/>
      </c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</row>
    <row r="1263" spans="1:93" ht="16.5" hidden="1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27">
        <f t="shared" si="288"/>
        <v>9</v>
      </c>
      <c r="U1263" s="247">
        <f>IF(OR(ISBLANK(F$68),AND(W1263&gt;(F$68-1),W1263&lt;(I$68+1))),IF(ISERROR(VLOOKUP(I$67,G$1076:G$1078,1,FALSE)),IF(K$67=G$1086,IF(MONTH(W1263)&lt;&gt;MONTH(W1262),MAX(U$1009:U1262)+1,0),IF(ISERROR(VLOOKUP(I$67,G$1079:G$1084,1,FALSE)),IF(V1263=1,MAX(U$1009:U1262)+1,0),IF(MONTH(W1264)&lt;&gt;MONTH(W1263),T1263,0))),IF(K$67=G$1086,IF(V1263=1,MAX(U$1009:U1262)+1,0),IF(V1263=7,MAX(U$1015:U1262)+1,0))),0)</f>
        <v>0</v>
      </c>
      <c r="V1263" s="27">
        <f t="shared" si="281"/>
        <v>3</v>
      </c>
      <c r="W1263" s="97">
        <f t="shared" si="282"/>
        <v>45546</v>
      </c>
      <c r="X1263" s="249" t="str">
        <f>IF(K$67=G$1086,IF(OR(U1263=1,AND(U1263&gt;0,U1263=(MAX(Y$1009:Y1262)+VLOOKUP(I$67,G$1076:H$1084,2,FALSE)))),"X",""),IF(AND(U1263&gt;0,U1263=(MAX(Y$1009:Y1262)+VLOOKUP(I$67,G$1076:H$1084,2,FALSE))),"X",""))</f>
        <v/>
      </c>
      <c r="Y1263" s="252">
        <f t="shared" si="283"/>
        <v>0</v>
      </c>
      <c r="Z1263" s="253">
        <f>IF(Y1263&gt;0,COUNTIF(Y$1009:Y1262,"&gt;0")+1,0)</f>
        <v>0</v>
      </c>
      <c r="AA1263" s="1"/>
      <c r="AB1263" s="255" t="str">
        <f t="shared" si="284"/>
        <v/>
      </c>
      <c r="AC1263" s="261" t="str">
        <f t="shared" si="286"/>
        <v/>
      </c>
      <c r="AD1263" s="258">
        <f>IF(Z1263&gt;0,COUNTIF(AC$1009:AC1262,AC1263)+1,0)</f>
        <v>0</v>
      </c>
      <c r="AE1263" s="258" t="str">
        <f t="shared" si="285"/>
        <v/>
      </c>
      <c r="AF1263" s="392" t="str">
        <f t="shared" si="287"/>
        <v/>
      </c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</row>
    <row r="1264" spans="1:93" ht="16.5" hidden="1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27">
        <f t="shared" si="288"/>
        <v>9</v>
      </c>
      <c r="U1264" s="247">
        <f>IF(OR(ISBLANK(F$68),AND(W1264&gt;(F$68-1),W1264&lt;(I$68+1))),IF(ISERROR(VLOOKUP(I$67,G$1076:G$1078,1,FALSE)),IF(K$67=G$1086,IF(MONTH(W1264)&lt;&gt;MONTH(W1263),MAX(U$1009:U1263)+1,0),IF(ISERROR(VLOOKUP(I$67,G$1079:G$1084,1,FALSE)),IF(V1264=1,MAX(U$1009:U1263)+1,0),IF(MONTH(W1265)&lt;&gt;MONTH(W1264),T1264,0))),IF(K$67=G$1086,IF(V1264=1,MAX(U$1009:U1263)+1,0),IF(V1264=7,MAX(U$1015:U1263)+1,0))),0)</f>
        <v>0</v>
      </c>
      <c r="V1264" s="27">
        <f t="shared" si="281"/>
        <v>4</v>
      </c>
      <c r="W1264" s="97">
        <f t="shared" si="282"/>
        <v>45547</v>
      </c>
      <c r="X1264" s="249" t="str">
        <f>IF(K$67=G$1086,IF(OR(U1264=1,AND(U1264&gt;0,U1264=(MAX(Y$1009:Y1263)+VLOOKUP(I$67,G$1076:H$1084,2,FALSE)))),"X",""),IF(AND(U1264&gt;0,U1264=(MAX(Y$1009:Y1263)+VLOOKUP(I$67,G$1076:H$1084,2,FALSE))),"X",""))</f>
        <v/>
      </c>
      <c r="Y1264" s="252">
        <f t="shared" si="283"/>
        <v>0</v>
      </c>
      <c r="Z1264" s="253">
        <f>IF(Y1264&gt;0,COUNTIF(Y$1009:Y1263,"&gt;0")+1,0)</f>
        <v>0</v>
      </c>
      <c r="AA1264" s="1"/>
      <c r="AB1264" s="255" t="str">
        <f t="shared" si="284"/>
        <v/>
      </c>
      <c r="AC1264" s="261" t="str">
        <f t="shared" si="286"/>
        <v/>
      </c>
      <c r="AD1264" s="258">
        <f>IF(Z1264&gt;0,COUNTIF(AC$1009:AC1263,AC1264)+1,0)</f>
        <v>0</v>
      </c>
      <c r="AE1264" s="258" t="str">
        <f t="shared" si="285"/>
        <v/>
      </c>
      <c r="AF1264" s="392" t="str">
        <f t="shared" si="287"/>
        <v/>
      </c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</row>
    <row r="1265" spans="1:93" ht="16.5" hidden="1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27">
        <f t="shared" si="288"/>
        <v>9</v>
      </c>
      <c r="U1265" s="247">
        <f>IF(OR(ISBLANK(F$68),AND(W1265&gt;(F$68-1),W1265&lt;(I$68+1))),IF(ISERROR(VLOOKUP(I$67,G$1076:G$1078,1,FALSE)),IF(K$67=G$1086,IF(MONTH(W1265)&lt;&gt;MONTH(W1264),MAX(U$1009:U1264)+1,0),IF(ISERROR(VLOOKUP(I$67,G$1079:G$1084,1,FALSE)),IF(V1265=1,MAX(U$1009:U1264)+1,0),IF(MONTH(W1266)&lt;&gt;MONTH(W1265),T1265,0))),IF(K$67=G$1086,IF(V1265=1,MAX(U$1009:U1264)+1,0),IF(V1265=7,MAX(U$1015:U1264)+1,0))),0)</f>
        <v>0</v>
      </c>
      <c r="V1265" s="27">
        <f t="shared" ref="V1265:V1328" si="289">WEEKDAY(W1265,2)</f>
        <v>5</v>
      </c>
      <c r="W1265" s="97">
        <f t="shared" si="282"/>
        <v>45548</v>
      </c>
      <c r="X1265" s="249" t="str">
        <f>IF(K$67=G$1086,IF(OR(U1265=1,AND(U1265&gt;0,U1265=(MAX(Y$1009:Y1264)+VLOOKUP(I$67,G$1076:H$1084,2,FALSE)))),"X",""),IF(AND(U1265&gt;0,U1265=(MAX(Y$1009:Y1264)+VLOOKUP(I$67,G$1076:H$1084,2,FALSE))),"X",""))</f>
        <v/>
      </c>
      <c r="Y1265" s="252">
        <f t="shared" si="283"/>
        <v>0</v>
      </c>
      <c r="Z1265" s="253">
        <f>IF(Y1265&gt;0,COUNTIF(Y$1009:Y1264,"&gt;0")+1,0)</f>
        <v>0</v>
      </c>
      <c r="AA1265" s="1"/>
      <c r="AB1265" s="255" t="str">
        <f t="shared" si="284"/>
        <v/>
      </c>
      <c r="AC1265" s="261" t="str">
        <f t="shared" si="286"/>
        <v/>
      </c>
      <c r="AD1265" s="258">
        <f>IF(Z1265&gt;0,COUNTIF(AC$1009:AC1264,AC1265)+1,0)</f>
        <v>0</v>
      </c>
      <c r="AE1265" s="258" t="str">
        <f t="shared" si="285"/>
        <v/>
      </c>
      <c r="AF1265" s="392" t="str">
        <f t="shared" si="287"/>
        <v/>
      </c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</row>
    <row r="1266" spans="1:93" ht="16.5" hidden="1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27">
        <f t="shared" si="288"/>
        <v>9</v>
      </c>
      <c r="U1266" s="247">
        <f>IF(OR(ISBLANK(F$68),AND(W1266&gt;(F$68-1),W1266&lt;(I$68+1))),IF(ISERROR(VLOOKUP(I$67,G$1076:G$1078,1,FALSE)),IF(K$67=G$1086,IF(MONTH(W1266)&lt;&gt;MONTH(W1265),MAX(U$1009:U1265)+1,0),IF(ISERROR(VLOOKUP(I$67,G$1079:G$1084,1,FALSE)),IF(V1266=1,MAX(U$1009:U1265)+1,0),IF(MONTH(W1267)&lt;&gt;MONTH(W1266),T1266,0))),IF(K$67=G$1086,IF(V1266=1,MAX(U$1009:U1265)+1,0),IF(V1266=7,MAX(U$1015:U1265)+1,0))),0)</f>
        <v>0</v>
      </c>
      <c r="V1266" s="27">
        <f t="shared" si="289"/>
        <v>6</v>
      </c>
      <c r="W1266" s="97">
        <f t="shared" ref="W1266:W1329" si="290">W1265+1</f>
        <v>45549</v>
      </c>
      <c r="X1266" s="249" t="str">
        <f>IF(K$67=G$1086,IF(OR(U1266=1,AND(U1266&gt;0,U1266=(MAX(Y$1009:Y1265)+VLOOKUP(I$67,G$1076:H$1084,2,FALSE)))),"X",""),IF(AND(U1266&gt;0,U1266=(MAX(Y$1009:Y1265)+VLOOKUP(I$67,G$1076:H$1084,2,FALSE))),"X",""))</f>
        <v/>
      </c>
      <c r="Y1266" s="252">
        <f t="shared" ref="Y1266:Y1329" si="291">IF(OR(ISBLANK($I$67),ISBLANK($K$67)),0,IF(X1266="X",U1266,0))</f>
        <v>0</v>
      </c>
      <c r="Z1266" s="253">
        <f>IF(Y1266&gt;0,COUNTIF(Y$1009:Y1265,"&gt;0")+1,0)</f>
        <v>0</v>
      </c>
      <c r="AA1266" s="1"/>
      <c r="AB1266" s="255" t="str">
        <f t="shared" ref="AB1266:AB1329" si="292">IF(Z1266&gt;0,W1266,"")</f>
        <v/>
      </c>
      <c r="AC1266" s="261" t="str">
        <f t="shared" si="286"/>
        <v/>
      </c>
      <c r="AD1266" s="258">
        <f>IF(Z1266&gt;0,COUNTIF(AC$1009:AC1265,AC1266)+1,0)</f>
        <v>0</v>
      </c>
      <c r="AE1266" s="258" t="str">
        <f t="shared" ref="AE1266:AE1329" si="293">IF(Z1266&gt;0,CONCATENATE(AC1266,"-",AD1266),"")</f>
        <v/>
      </c>
      <c r="AF1266" s="392" t="str">
        <f t="shared" si="287"/>
        <v/>
      </c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</row>
    <row r="1267" spans="1:93" ht="16.5" hidden="1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27">
        <f t="shared" si="288"/>
        <v>9</v>
      </c>
      <c r="U1267" s="247">
        <f>IF(OR(ISBLANK(F$68),AND(W1267&gt;(F$68-1),W1267&lt;(I$68+1))),IF(ISERROR(VLOOKUP(I$67,G$1076:G$1078,1,FALSE)),IF(K$67=G$1086,IF(MONTH(W1267)&lt;&gt;MONTH(W1266),MAX(U$1009:U1266)+1,0),IF(ISERROR(VLOOKUP(I$67,G$1079:G$1084,1,FALSE)),IF(V1267=1,MAX(U$1009:U1266)+1,0),IF(MONTH(W1268)&lt;&gt;MONTH(W1267),T1267,0))),IF(K$67=G$1086,IF(V1267=1,MAX(U$1009:U1266)+1,0),IF(V1267=7,MAX(U$1015:U1266)+1,0))),0)</f>
        <v>0</v>
      </c>
      <c r="V1267" s="27">
        <f t="shared" si="289"/>
        <v>7</v>
      </c>
      <c r="W1267" s="97">
        <f t="shared" si="290"/>
        <v>45550</v>
      </c>
      <c r="X1267" s="249" t="str">
        <f>IF(K$67=G$1086,IF(OR(U1267=1,AND(U1267&gt;0,U1267=(MAX(Y$1009:Y1266)+VLOOKUP(I$67,G$1076:H$1084,2,FALSE)))),"X",""),IF(AND(U1267&gt;0,U1267=(MAX(Y$1009:Y1266)+VLOOKUP(I$67,G$1076:H$1084,2,FALSE))),"X",""))</f>
        <v/>
      </c>
      <c r="Y1267" s="252">
        <f t="shared" si="291"/>
        <v>0</v>
      </c>
      <c r="Z1267" s="253">
        <f>IF(Y1267&gt;0,COUNTIF(Y$1009:Y1266,"&gt;0")+1,0)</f>
        <v>0</v>
      </c>
      <c r="AA1267" s="1"/>
      <c r="AB1267" s="255" t="str">
        <f t="shared" si="292"/>
        <v/>
      </c>
      <c r="AC1267" s="261" t="str">
        <f t="shared" si="286"/>
        <v/>
      </c>
      <c r="AD1267" s="258">
        <f>IF(Z1267&gt;0,COUNTIF(AC$1009:AC1266,AC1267)+1,0)</f>
        <v>0</v>
      </c>
      <c r="AE1267" s="258" t="str">
        <f t="shared" si="293"/>
        <v/>
      </c>
      <c r="AF1267" s="392" t="str">
        <f t="shared" si="287"/>
        <v/>
      </c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</row>
    <row r="1268" spans="1:93" ht="16.5" hidden="1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27">
        <f t="shared" si="288"/>
        <v>9</v>
      </c>
      <c r="U1268" s="247">
        <f>IF(OR(ISBLANK(F$68),AND(W1268&gt;(F$68-1),W1268&lt;(I$68+1))),IF(ISERROR(VLOOKUP(I$67,G$1076:G$1078,1,FALSE)),IF(K$67=G$1086,IF(MONTH(W1268)&lt;&gt;MONTH(W1267),MAX(U$1009:U1267)+1,0),IF(ISERROR(VLOOKUP(I$67,G$1079:G$1084,1,FALSE)),IF(V1268=1,MAX(U$1009:U1267)+1,0),IF(MONTH(W1269)&lt;&gt;MONTH(W1268),T1268,0))),IF(K$67=G$1086,IF(V1268=1,MAX(U$1009:U1267)+1,0),IF(V1268=7,MAX(U$1015:U1267)+1,0))),0)</f>
        <v>38</v>
      </c>
      <c r="V1268" s="27">
        <f t="shared" si="289"/>
        <v>1</v>
      </c>
      <c r="W1268" s="97">
        <f t="shared" si="290"/>
        <v>45551</v>
      </c>
      <c r="X1268" s="249" t="str">
        <f>IF(K$67=G$1086,IF(OR(U1268=1,AND(U1268&gt;0,U1268=(MAX(Y$1009:Y1267)+VLOOKUP(I$67,G$1076:H$1084,2,FALSE)))),"X",""),IF(AND(U1268&gt;0,U1268=(MAX(Y$1009:Y1267)+VLOOKUP(I$67,G$1076:H$1084,2,FALSE))),"X",""))</f>
        <v/>
      </c>
      <c r="Y1268" s="252">
        <f t="shared" si="291"/>
        <v>0</v>
      </c>
      <c r="Z1268" s="253">
        <f>IF(Y1268&gt;0,COUNTIF(Y$1009:Y1267,"&gt;0")+1,0)</f>
        <v>0</v>
      </c>
      <c r="AA1268" s="1"/>
      <c r="AB1268" s="255" t="str">
        <f t="shared" si="292"/>
        <v/>
      </c>
      <c r="AC1268" s="261" t="str">
        <f t="shared" si="286"/>
        <v/>
      </c>
      <c r="AD1268" s="258">
        <f>IF(Z1268&gt;0,COUNTIF(AC$1009:AC1267,AC1268)+1,0)</f>
        <v>0</v>
      </c>
      <c r="AE1268" s="258" t="str">
        <f t="shared" si="293"/>
        <v/>
      </c>
      <c r="AF1268" s="392" t="str">
        <f t="shared" si="287"/>
        <v/>
      </c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</row>
    <row r="1269" spans="1:93" ht="16.5" hidden="1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27">
        <f t="shared" si="288"/>
        <v>9</v>
      </c>
      <c r="U1269" s="247">
        <f>IF(OR(ISBLANK(F$68),AND(W1269&gt;(F$68-1),W1269&lt;(I$68+1))),IF(ISERROR(VLOOKUP(I$67,G$1076:G$1078,1,FALSE)),IF(K$67=G$1086,IF(MONTH(W1269)&lt;&gt;MONTH(W1268),MAX(U$1009:U1268)+1,0),IF(ISERROR(VLOOKUP(I$67,G$1079:G$1084,1,FALSE)),IF(V1269=1,MAX(U$1009:U1268)+1,0),IF(MONTH(W1270)&lt;&gt;MONTH(W1269),T1269,0))),IF(K$67=G$1086,IF(V1269=1,MAX(U$1009:U1268)+1,0),IF(V1269=7,MAX(U$1015:U1268)+1,0))),0)</f>
        <v>0</v>
      </c>
      <c r="V1269" s="27">
        <f t="shared" si="289"/>
        <v>2</v>
      </c>
      <c r="W1269" s="97">
        <f t="shared" si="290"/>
        <v>45552</v>
      </c>
      <c r="X1269" s="249" t="str">
        <f>IF(K$67=G$1086,IF(OR(U1269=1,AND(U1269&gt;0,U1269=(MAX(Y$1009:Y1268)+VLOOKUP(I$67,G$1076:H$1084,2,FALSE)))),"X",""),IF(AND(U1269&gt;0,U1269=(MAX(Y$1009:Y1268)+VLOOKUP(I$67,G$1076:H$1084,2,FALSE))),"X",""))</f>
        <v/>
      </c>
      <c r="Y1269" s="252">
        <f t="shared" si="291"/>
        <v>0</v>
      </c>
      <c r="Z1269" s="253">
        <f>IF(Y1269&gt;0,COUNTIF(Y$1009:Y1268,"&gt;0")+1,0)</f>
        <v>0</v>
      </c>
      <c r="AA1269" s="1"/>
      <c r="AB1269" s="255" t="str">
        <f t="shared" si="292"/>
        <v/>
      </c>
      <c r="AC1269" s="261" t="str">
        <f t="shared" si="286"/>
        <v/>
      </c>
      <c r="AD1269" s="258">
        <f>IF(Z1269&gt;0,COUNTIF(AC$1009:AC1268,AC1269)+1,0)</f>
        <v>0</v>
      </c>
      <c r="AE1269" s="258" t="str">
        <f t="shared" si="293"/>
        <v/>
      </c>
      <c r="AF1269" s="392" t="str">
        <f t="shared" si="287"/>
        <v/>
      </c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</row>
    <row r="1270" spans="1:93" ht="16.5" hidden="1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27">
        <f t="shared" si="288"/>
        <v>9</v>
      </c>
      <c r="U1270" s="247">
        <f>IF(OR(ISBLANK(F$68),AND(W1270&gt;(F$68-1),W1270&lt;(I$68+1))),IF(ISERROR(VLOOKUP(I$67,G$1076:G$1078,1,FALSE)),IF(K$67=G$1086,IF(MONTH(W1270)&lt;&gt;MONTH(W1269),MAX(U$1009:U1269)+1,0),IF(ISERROR(VLOOKUP(I$67,G$1079:G$1084,1,FALSE)),IF(V1270=1,MAX(U$1009:U1269)+1,0),IF(MONTH(W1271)&lt;&gt;MONTH(W1270),T1270,0))),IF(K$67=G$1086,IF(V1270=1,MAX(U$1009:U1269)+1,0),IF(V1270=7,MAX(U$1015:U1269)+1,0))),0)</f>
        <v>0</v>
      </c>
      <c r="V1270" s="27">
        <f t="shared" si="289"/>
        <v>3</v>
      </c>
      <c r="W1270" s="97">
        <f t="shared" si="290"/>
        <v>45553</v>
      </c>
      <c r="X1270" s="249" t="str">
        <f>IF(K$67=G$1086,IF(OR(U1270=1,AND(U1270&gt;0,U1270=(MAX(Y$1009:Y1269)+VLOOKUP(I$67,G$1076:H$1084,2,FALSE)))),"X",""),IF(AND(U1270&gt;0,U1270=(MAX(Y$1009:Y1269)+VLOOKUP(I$67,G$1076:H$1084,2,FALSE))),"X",""))</f>
        <v/>
      </c>
      <c r="Y1270" s="252">
        <f t="shared" si="291"/>
        <v>0</v>
      </c>
      <c r="Z1270" s="253">
        <f>IF(Y1270&gt;0,COUNTIF(Y$1009:Y1269,"&gt;0")+1,0)</f>
        <v>0</v>
      </c>
      <c r="AA1270" s="1"/>
      <c r="AB1270" s="255" t="str">
        <f t="shared" si="292"/>
        <v/>
      </c>
      <c r="AC1270" s="261" t="str">
        <f t="shared" ref="AC1270:AC1333" si="294">IF(Z1270=0,"",MONTH(AB1270))</f>
        <v/>
      </c>
      <c r="AD1270" s="258">
        <f>IF(Z1270&gt;0,COUNTIF(AC$1009:AC1269,AC1270)+1,0)</f>
        <v>0</v>
      </c>
      <c r="AE1270" s="258" t="str">
        <f t="shared" si="293"/>
        <v/>
      </c>
      <c r="AF1270" s="392" t="str">
        <f t="shared" ref="AF1270:AF1333" si="295">IF(Z1270&gt;0,AB1270,"")</f>
        <v/>
      </c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</row>
    <row r="1271" spans="1:93" ht="16.5" hidden="1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27">
        <f t="shared" si="288"/>
        <v>9</v>
      </c>
      <c r="U1271" s="247">
        <f>IF(OR(ISBLANK(F$68),AND(W1271&gt;(F$68-1),W1271&lt;(I$68+1))),IF(ISERROR(VLOOKUP(I$67,G$1076:G$1078,1,FALSE)),IF(K$67=G$1086,IF(MONTH(W1271)&lt;&gt;MONTH(W1270),MAX(U$1009:U1270)+1,0),IF(ISERROR(VLOOKUP(I$67,G$1079:G$1084,1,FALSE)),IF(V1271=1,MAX(U$1009:U1270)+1,0),IF(MONTH(W1272)&lt;&gt;MONTH(W1271),T1271,0))),IF(K$67=G$1086,IF(V1271=1,MAX(U$1009:U1270)+1,0),IF(V1271=7,MAX(U$1015:U1270)+1,0))),0)</f>
        <v>0</v>
      </c>
      <c r="V1271" s="27">
        <f t="shared" si="289"/>
        <v>4</v>
      </c>
      <c r="W1271" s="97">
        <f t="shared" si="290"/>
        <v>45554</v>
      </c>
      <c r="X1271" s="249" t="str">
        <f>IF(K$67=G$1086,IF(OR(U1271=1,AND(U1271&gt;0,U1271=(MAX(Y$1009:Y1270)+VLOOKUP(I$67,G$1076:H$1084,2,FALSE)))),"X",""),IF(AND(U1271&gt;0,U1271=(MAX(Y$1009:Y1270)+VLOOKUP(I$67,G$1076:H$1084,2,FALSE))),"X",""))</f>
        <v/>
      </c>
      <c r="Y1271" s="252">
        <f t="shared" si="291"/>
        <v>0</v>
      </c>
      <c r="Z1271" s="253">
        <f>IF(Y1271&gt;0,COUNTIF(Y$1009:Y1270,"&gt;0")+1,0)</f>
        <v>0</v>
      </c>
      <c r="AA1271" s="1"/>
      <c r="AB1271" s="255" t="str">
        <f t="shared" si="292"/>
        <v/>
      </c>
      <c r="AC1271" s="261" t="str">
        <f t="shared" si="294"/>
        <v/>
      </c>
      <c r="AD1271" s="258">
        <f>IF(Z1271&gt;0,COUNTIF(AC$1009:AC1270,AC1271)+1,0)</f>
        <v>0</v>
      </c>
      <c r="AE1271" s="258" t="str">
        <f t="shared" si="293"/>
        <v/>
      </c>
      <c r="AF1271" s="392" t="str">
        <f t="shared" si="295"/>
        <v/>
      </c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</row>
    <row r="1272" spans="1:93" ht="16.5" hidden="1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27">
        <f t="shared" si="288"/>
        <v>9</v>
      </c>
      <c r="U1272" s="247">
        <f>IF(OR(ISBLANK(F$68),AND(W1272&gt;(F$68-1),W1272&lt;(I$68+1))),IF(ISERROR(VLOOKUP(I$67,G$1076:G$1078,1,FALSE)),IF(K$67=G$1086,IF(MONTH(W1272)&lt;&gt;MONTH(W1271),MAX(U$1009:U1271)+1,0),IF(ISERROR(VLOOKUP(I$67,G$1079:G$1084,1,FALSE)),IF(V1272=1,MAX(U$1009:U1271)+1,0),IF(MONTH(W1273)&lt;&gt;MONTH(W1272),T1272,0))),IF(K$67=G$1086,IF(V1272=1,MAX(U$1009:U1271)+1,0),IF(V1272=7,MAX(U$1015:U1271)+1,0))),0)</f>
        <v>0</v>
      </c>
      <c r="V1272" s="27">
        <f t="shared" si="289"/>
        <v>5</v>
      </c>
      <c r="W1272" s="97">
        <f t="shared" si="290"/>
        <v>45555</v>
      </c>
      <c r="X1272" s="249" t="str">
        <f>IF(K$67=G$1086,IF(OR(U1272=1,AND(U1272&gt;0,U1272=(MAX(Y$1009:Y1271)+VLOOKUP(I$67,G$1076:H$1084,2,FALSE)))),"X",""),IF(AND(U1272&gt;0,U1272=(MAX(Y$1009:Y1271)+VLOOKUP(I$67,G$1076:H$1084,2,FALSE))),"X",""))</f>
        <v/>
      </c>
      <c r="Y1272" s="252">
        <f t="shared" si="291"/>
        <v>0</v>
      </c>
      <c r="Z1272" s="253">
        <f>IF(Y1272&gt;0,COUNTIF(Y$1009:Y1271,"&gt;0")+1,0)</f>
        <v>0</v>
      </c>
      <c r="AA1272" s="1"/>
      <c r="AB1272" s="255" t="str">
        <f t="shared" si="292"/>
        <v/>
      </c>
      <c r="AC1272" s="261" t="str">
        <f t="shared" si="294"/>
        <v/>
      </c>
      <c r="AD1272" s="258">
        <f>IF(Z1272&gt;0,COUNTIF(AC$1009:AC1271,AC1272)+1,0)</f>
        <v>0</v>
      </c>
      <c r="AE1272" s="258" t="str">
        <f t="shared" si="293"/>
        <v/>
      </c>
      <c r="AF1272" s="392" t="str">
        <f t="shared" si="295"/>
        <v/>
      </c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</row>
    <row r="1273" spans="1:93" ht="16.5" hidden="1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27">
        <f t="shared" si="288"/>
        <v>9</v>
      </c>
      <c r="U1273" s="247">
        <f>IF(OR(ISBLANK(F$68),AND(W1273&gt;(F$68-1),W1273&lt;(I$68+1))),IF(ISERROR(VLOOKUP(I$67,G$1076:G$1078,1,FALSE)),IF(K$67=G$1086,IF(MONTH(W1273)&lt;&gt;MONTH(W1272),MAX(U$1009:U1272)+1,0),IF(ISERROR(VLOOKUP(I$67,G$1079:G$1084,1,FALSE)),IF(V1273=1,MAX(U$1009:U1272)+1,0),IF(MONTH(W1274)&lt;&gt;MONTH(W1273),T1273,0))),IF(K$67=G$1086,IF(V1273=1,MAX(U$1009:U1272)+1,0),IF(V1273=7,MAX(U$1015:U1272)+1,0))),0)</f>
        <v>0</v>
      </c>
      <c r="V1273" s="27">
        <f t="shared" si="289"/>
        <v>6</v>
      </c>
      <c r="W1273" s="97">
        <f t="shared" si="290"/>
        <v>45556</v>
      </c>
      <c r="X1273" s="249" t="str">
        <f>IF(K$67=G$1086,IF(OR(U1273=1,AND(U1273&gt;0,U1273=(MAX(Y$1009:Y1272)+VLOOKUP(I$67,G$1076:H$1084,2,FALSE)))),"X",""),IF(AND(U1273&gt;0,U1273=(MAX(Y$1009:Y1272)+VLOOKUP(I$67,G$1076:H$1084,2,FALSE))),"X",""))</f>
        <v/>
      </c>
      <c r="Y1273" s="252">
        <f t="shared" si="291"/>
        <v>0</v>
      </c>
      <c r="Z1273" s="253">
        <f>IF(Y1273&gt;0,COUNTIF(Y$1009:Y1272,"&gt;0")+1,0)</f>
        <v>0</v>
      </c>
      <c r="AA1273" s="1"/>
      <c r="AB1273" s="255" t="str">
        <f t="shared" si="292"/>
        <v/>
      </c>
      <c r="AC1273" s="261" t="str">
        <f t="shared" si="294"/>
        <v/>
      </c>
      <c r="AD1273" s="258">
        <f>IF(Z1273&gt;0,COUNTIF(AC$1009:AC1272,AC1273)+1,0)</f>
        <v>0</v>
      </c>
      <c r="AE1273" s="258" t="str">
        <f t="shared" si="293"/>
        <v/>
      </c>
      <c r="AF1273" s="392" t="str">
        <f t="shared" si="295"/>
        <v/>
      </c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</row>
    <row r="1274" spans="1:93" ht="16.5" hidden="1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27">
        <f t="shared" ref="T1274:T1337" si="296">IF(MONTH(W1274)=MONTH(W1273),T1273,T1273+1)</f>
        <v>9</v>
      </c>
      <c r="U1274" s="247">
        <f>IF(OR(ISBLANK(F$68),AND(W1274&gt;(F$68-1),W1274&lt;(I$68+1))),IF(ISERROR(VLOOKUP(I$67,G$1076:G$1078,1,FALSE)),IF(K$67=G$1086,IF(MONTH(W1274)&lt;&gt;MONTH(W1273),MAX(U$1009:U1273)+1,0),IF(ISERROR(VLOOKUP(I$67,G$1079:G$1084,1,FALSE)),IF(V1274=1,MAX(U$1009:U1273)+1,0),IF(MONTH(W1275)&lt;&gt;MONTH(W1274),T1274,0))),IF(K$67=G$1086,IF(V1274=1,MAX(U$1009:U1273)+1,0),IF(V1274=7,MAX(U$1015:U1273)+1,0))),0)</f>
        <v>0</v>
      </c>
      <c r="V1274" s="27">
        <f t="shared" si="289"/>
        <v>7</v>
      </c>
      <c r="W1274" s="97">
        <f t="shared" si="290"/>
        <v>45557</v>
      </c>
      <c r="X1274" s="249" t="str">
        <f>IF(K$67=G$1086,IF(OR(U1274=1,AND(U1274&gt;0,U1274=(MAX(Y$1009:Y1273)+VLOOKUP(I$67,G$1076:H$1084,2,FALSE)))),"X",""),IF(AND(U1274&gt;0,U1274=(MAX(Y$1009:Y1273)+VLOOKUP(I$67,G$1076:H$1084,2,FALSE))),"X",""))</f>
        <v/>
      </c>
      <c r="Y1274" s="252">
        <f t="shared" si="291"/>
        <v>0</v>
      </c>
      <c r="Z1274" s="253">
        <f>IF(Y1274&gt;0,COUNTIF(Y$1009:Y1273,"&gt;0")+1,0)</f>
        <v>0</v>
      </c>
      <c r="AA1274" s="1"/>
      <c r="AB1274" s="255" t="str">
        <f t="shared" si="292"/>
        <v/>
      </c>
      <c r="AC1274" s="261" t="str">
        <f t="shared" si="294"/>
        <v/>
      </c>
      <c r="AD1274" s="258">
        <f>IF(Z1274&gt;0,COUNTIF(AC$1009:AC1273,AC1274)+1,0)</f>
        <v>0</v>
      </c>
      <c r="AE1274" s="258" t="str">
        <f t="shared" si="293"/>
        <v/>
      </c>
      <c r="AF1274" s="392" t="str">
        <f t="shared" si="295"/>
        <v/>
      </c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</row>
    <row r="1275" spans="1:93" ht="16.5" hidden="1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27">
        <f t="shared" si="296"/>
        <v>9</v>
      </c>
      <c r="U1275" s="247">
        <f>IF(OR(ISBLANK(F$68),AND(W1275&gt;(F$68-1),W1275&lt;(I$68+1))),IF(ISERROR(VLOOKUP(I$67,G$1076:G$1078,1,FALSE)),IF(K$67=G$1086,IF(MONTH(W1275)&lt;&gt;MONTH(W1274),MAX(U$1009:U1274)+1,0),IF(ISERROR(VLOOKUP(I$67,G$1079:G$1084,1,FALSE)),IF(V1275=1,MAX(U$1009:U1274)+1,0),IF(MONTH(W1276)&lt;&gt;MONTH(W1275),T1275,0))),IF(K$67=G$1086,IF(V1275=1,MAX(U$1009:U1274)+1,0),IF(V1275=7,MAX(U$1015:U1274)+1,0))),0)</f>
        <v>39</v>
      </c>
      <c r="V1275" s="27">
        <f t="shared" si="289"/>
        <v>1</v>
      </c>
      <c r="W1275" s="97">
        <f t="shared" si="290"/>
        <v>45558</v>
      </c>
      <c r="X1275" s="249" t="str">
        <f>IF(K$67=G$1086,IF(OR(U1275=1,AND(U1275&gt;0,U1275=(MAX(Y$1009:Y1274)+VLOOKUP(I$67,G$1076:H$1084,2,FALSE)))),"X",""),IF(AND(U1275&gt;0,U1275=(MAX(Y$1009:Y1274)+VLOOKUP(I$67,G$1076:H$1084,2,FALSE))),"X",""))</f>
        <v>X</v>
      </c>
      <c r="Y1275" s="252">
        <f t="shared" si="291"/>
        <v>39</v>
      </c>
      <c r="Z1275" s="253">
        <f>IF(Y1275&gt;0,COUNTIF(Y$1009:Y1274,"&gt;0")+1,0)</f>
        <v>20</v>
      </c>
      <c r="AA1275" s="1"/>
      <c r="AB1275" s="255">
        <f t="shared" si="292"/>
        <v>45558</v>
      </c>
      <c r="AC1275" s="261">
        <f t="shared" si="294"/>
        <v>9</v>
      </c>
      <c r="AD1275" s="258">
        <f>IF(Z1275&gt;0,COUNTIF(AC$1009:AC1274,AC1275)+1,0)</f>
        <v>2</v>
      </c>
      <c r="AE1275" s="258" t="str">
        <f t="shared" si="293"/>
        <v>9-2</v>
      </c>
      <c r="AF1275" s="392">
        <f t="shared" si="295"/>
        <v>45558</v>
      </c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</row>
    <row r="1276" spans="1:93" ht="16.5" hidden="1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27">
        <f t="shared" si="296"/>
        <v>9</v>
      </c>
      <c r="U1276" s="247">
        <f>IF(OR(ISBLANK(F$68),AND(W1276&gt;(F$68-1),W1276&lt;(I$68+1))),IF(ISERROR(VLOOKUP(I$67,G$1076:G$1078,1,FALSE)),IF(K$67=G$1086,IF(MONTH(W1276)&lt;&gt;MONTH(W1275),MAX(U$1009:U1275)+1,0),IF(ISERROR(VLOOKUP(I$67,G$1079:G$1084,1,FALSE)),IF(V1276=1,MAX(U$1009:U1275)+1,0),IF(MONTH(W1277)&lt;&gt;MONTH(W1276),T1276,0))),IF(K$67=G$1086,IF(V1276=1,MAX(U$1009:U1275)+1,0),IF(V1276=7,MAX(U$1015:U1275)+1,0))),0)</f>
        <v>0</v>
      </c>
      <c r="V1276" s="27">
        <f t="shared" si="289"/>
        <v>2</v>
      </c>
      <c r="W1276" s="97">
        <f t="shared" si="290"/>
        <v>45559</v>
      </c>
      <c r="X1276" s="249" t="str">
        <f>IF(K$67=G$1086,IF(OR(U1276=1,AND(U1276&gt;0,U1276=(MAX(Y$1009:Y1275)+VLOOKUP(I$67,G$1076:H$1084,2,FALSE)))),"X",""),IF(AND(U1276&gt;0,U1276=(MAX(Y$1009:Y1275)+VLOOKUP(I$67,G$1076:H$1084,2,FALSE))),"X",""))</f>
        <v/>
      </c>
      <c r="Y1276" s="252">
        <f t="shared" si="291"/>
        <v>0</v>
      </c>
      <c r="Z1276" s="253">
        <f>IF(Y1276&gt;0,COUNTIF(Y$1009:Y1275,"&gt;0")+1,0)</f>
        <v>0</v>
      </c>
      <c r="AA1276" s="1"/>
      <c r="AB1276" s="255" t="str">
        <f t="shared" si="292"/>
        <v/>
      </c>
      <c r="AC1276" s="261" t="str">
        <f t="shared" si="294"/>
        <v/>
      </c>
      <c r="AD1276" s="258">
        <f>IF(Z1276&gt;0,COUNTIF(AC$1009:AC1275,AC1276)+1,0)</f>
        <v>0</v>
      </c>
      <c r="AE1276" s="258" t="str">
        <f t="shared" si="293"/>
        <v/>
      </c>
      <c r="AF1276" s="392" t="str">
        <f t="shared" si="295"/>
        <v/>
      </c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</row>
    <row r="1277" spans="1:93" ht="16.5" hidden="1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27">
        <f t="shared" si="296"/>
        <v>9</v>
      </c>
      <c r="U1277" s="247">
        <f>IF(OR(ISBLANK(F$68),AND(W1277&gt;(F$68-1),W1277&lt;(I$68+1))),IF(ISERROR(VLOOKUP(I$67,G$1076:G$1078,1,FALSE)),IF(K$67=G$1086,IF(MONTH(W1277)&lt;&gt;MONTH(W1276),MAX(U$1009:U1276)+1,0),IF(ISERROR(VLOOKUP(I$67,G$1079:G$1084,1,FALSE)),IF(V1277=1,MAX(U$1009:U1276)+1,0),IF(MONTH(W1278)&lt;&gt;MONTH(W1277),T1277,0))),IF(K$67=G$1086,IF(V1277=1,MAX(U$1009:U1276)+1,0),IF(V1277=7,MAX(U$1015:U1276)+1,0))),0)</f>
        <v>0</v>
      </c>
      <c r="V1277" s="27">
        <f t="shared" si="289"/>
        <v>3</v>
      </c>
      <c r="W1277" s="97">
        <f t="shared" si="290"/>
        <v>45560</v>
      </c>
      <c r="X1277" s="249" t="str">
        <f>IF(K$67=G$1086,IF(OR(U1277=1,AND(U1277&gt;0,U1277=(MAX(Y$1009:Y1276)+VLOOKUP(I$67,G$1076:H$1084,2,FALSE)))),"X",""),IF(AND(U1277&gt;0,U1277=(MAX(Y$1009:Y1276)+VLOOKUP(I$67,G$1076:H$1084,2,FALSE))),"X",""))</f>
        <v/>
      </c>
      <c r="Y1277" s="252">
        <f t="shared" si="291"/>
        <v>0</v>
      </c>
      <c r="Z1277" s="253">
        <f>IF(Y1277&gt;0,COUNTIF(Y$1009:Y1276,"&gt;0")+1,0)</f>
        <v>0</v>
      </c>
      <c r="AA1277" s="1"/>
      <c r="AB1277" s="255" t="str">
        <f t="shared" si="292"/>
        <v/>
      </c>
      <c r="AC1277" s="261" t="str">
        <f t="shared" si="294"/>
        <v/>
      </c>
      <c r="AD1277" s="258">
        <f>IF(Z1277&gt;0,COUNTIF(AC$1009:AC1276,AC1277)+1,0)</f>
        <v>0</v>
      </c>
      <c r="AE1277" s="258" t="str">
        <f t="shared" si="293"/>
        <v/>
      </c>
      <c r="AF1277" s="392" t="str">
        <f t="shared" si="295"/>
        <v/>
      </c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</row>
    <row r="1278" spans="1:93" ht="16.5" hidden="1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27">
        <f t="shared" si="296"/>
        <v>9</v>
      </c>
      <c r="U1278" s="247">
        <f>IF(OR(ISBLANK(F$68),AND(W1278&gt;(F$68-1),W1278&lt;(I$68+1))),IF(ISERROR(VLOOKUP(I$67,G$1076:G$1078,1,FALSE)),IF(K$67=G$1086,IF(MONTH(W1278)&lt;&gt;MONTH(W1277),MAX(U$1009:U1277)+1,0),IF(ISERROR(VLOOKUP(I$67,G$1079:G$1084,1,FALSE)),IF(V1278=1,MAX(U$1009:U1277)+1,0),IF(MONTH(W1279)&lt;&gt;MONTH(W1278),T1278,0))),IF(K$67=G$1086,IF(V1278=1,MAX(U$1009:U1277)+1,0),IF(V1278=7,MAX(U$1015:U1277)+1,0))),0)</f>
        <v>0</v>
      </c>
      <c r="V1278" s="27">
        <f t="shared" si="289"/>
        <v>4</v>
      </c>
      <c r="W1278" s="97">
        <f t="shared" si="290"/>
        <v>45561</v>
      </c>
      <c r="X1278" s="249" t="str">
        <f>IF(K$67=G$1086,IF(OR(U1278=1,AND(U1278&gt;0,U1278=(MAX(Y$1009:Y1277)+VLOOKUP(I$67,G$1076:H$1084,2,FALSE)))),"X",""),IF(AND(U1278&gt;0,U1278=(MAX(Y$1009:Y1277)+VLOOKUP(I$67,G$1076:H$1084,2,FALSE))),"X",""))</f>
        <v/>
      </c>
      <c r="Y1278" s="252">
        <f t="shared" si="291"/>
        <v>0</v>
      </c>
      <c r="Z1278" s="253">
        <f>IF(Y1278&gt;0,COUNTIF(Y$1009:Y1277,"&gt;0")+1,0)</f>
        <v>0</v>
      </c>
      <c r="AA1278" s="1"/>
      <c r="AB1278" s="255" t="str">
        <f t="shared" si="292"/>
        <v/>
      </c>
      <c r="AC1278" s="261" t="str">
        <f t="shared" si="294"/>
        <v/>
      </c>
      <c r="AD1278" s="258">
        <f>IF(Z1278&gt;0,COUNTIF(AC$1009:AC1277,AC1278)+1,0)</f>
        <v>0</v>
      </c>
      <c r="AE1278" s="258" t="str">
        <f t="shared" si="293"/>
        <v/>
      </c>
      <c r="AF1278" s="392" t="str">
        <f t="shared" si="295"/>
        <v/>
      </c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</row>
    <row r="1279" spans="1:93" ht="16.5" hidden="1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27">
        <f t="shared" si="296"/>
        <v>9</v>
      </c>
      <c r="U1279" s="247">
        <f>IF(OR(ISBLANK(F$68),AND(W1279&gt;(F$68-1),W1279&lt;(I$68+1))),IF(ISERROR(VLOOKUP(I$67,G$1076:G$1078,1,FALSE)),IF(K$67=G$1086,IF(MONTH(W1279)&lt;&gt;MONTH(W1278),MAX(U$1009:U1278)+1,0),IF(ISERROR(VLOOKUP(I$67,G$1079:G$1084,1,FALSE)),IF(V1279=1,MAX(U$1009:U1278)+1,0),IF(MONTH(W1280)&lt;&gt;MONTH(W1279),T1279,0))),IF(K$67=G$1086,IF(V1279=1,MAX(U$1009:U1278)+1,0),IF(V1279=7,MAX(U$1015:U1278)+1,0))),0)</f>
        <v>0</v>
      </c>
      <c r="V1279" s="27">
        <f t="shared" si="289"/>
        <v>5</v>
      </c>
      <c r="W1279" s="97">
        <f t="shared" si="290"/>
        <v>45562</v>
      </c>
      <c r="X1279" s="249" t="str">
        <f>IF(K$67=G$1086,IF(OR(U1279=1,AND(U1279&gt;0,U1279=(MAX(Y$1009:Y1278)+VLOOKUP(I$67,G$1076:H$1084,2,FALSE)))),"X",""),IF(AND(U1279&gt;0,U1279=(MAX(Y$1009:Y1278)+VLOOKUP(I$67,G$1076:H$1084,2,FALSE))),"X",""))</f>
        <v/>
      </c>
      <c r="Y1279" s="252">
        <f t="shared" si="291"/>
        <v>0</v>
      </c>
      <c r="Z1279" s="253">
        <f>IF(Y1279&gt;0,COUNTIF(Y$1009:Y1278,"&gt;0")+1,0)</f>
        <v>0</v>
      </c>
      <c r="AA1279" s="1"/>
      <c r="AB1279" s="255" t="str">
        <f t="shared" si="292"/>
        <v/>
      </c>
      <c r="AC1279" s="261" t="str">
        <f t="shared" si="294"/>
        <v/>
      </c>
      <c r="AD1279" s="258">
        <f>IF(Z1279&gt;0,COUNTIF(AC$1009:AC1278,AC1279)+1,0)</f>
        <v>0</v>
      </c>
      <c r="AE1279" s="258" t="str">
        <f t="shared" si="293"/>
        <v/>
      </c>
      <c r="AF1279" s="392" t="str">
        <f t="shared" si="295"/>
        <v/>
      </c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</row>
    <row r="1280" spans="1:93" ht="16.5" hidden="1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27">
        <f t="shared" si="296"/>
        <v>9</v>
      </c>
      <c r="U1280" s="247">
        <f>IF(OR(ISBLANK(F$68),AND(W1280&gt;(F$68-1),W1280&lt;(I$68+1))),IF(ISERROR(VLOOKUP(I$67,G$1076:G$1078,1,FALSE)),IF(K$67=G$1086,IF(MONTH(W1280)&lt;&gt;MONTH(W1279),MAX(U$1009:U1279)+1,0),IF(ISERROR(VLOOKUP(I$67,G$1079:G$1084,1,FALSE)),IF(V1280=1,MAX(U$1009:U1279)+1,0),IF(MONTH(W1281)&lt;&gt;MONTH(W1280),T1280,0))),IF(K$67=G$1086,IF(V1280=1,MAX(U$1009:U1279)+1,0),IF(V1280=7,MAX(U$1015:U1279)+1,0))),0)</f>
        <v>0</v>
      </c>
      <c r="V1280" s="27">
        <f t="shared" si="289"/>
        <v>6</v>
      </c>
      <c r="W1280" s="97">
        <f t="shared" si="290"/>
        <v>45563</v>
      </c>
      <c r="X1280" s="249" t="str">
        <f>IF(K$67=G$1086,IF(OR(U1280=1,AND(U1280&gt;0,U1280=(MAX(Y$1009:Y1279)+VLOOKUP(I$67,G$1076:H$1084,2,FALSE)))),"X",""),IF(AND(U1280&gt;0,U1280=(MAX(Y$1009:Y1279)+VLOOKUP(I$67,G$1076:H$1084,2,FALSE))),"X",""))</f>
        <v/>
      </c>
      <c r="Y1280" s="252">
        <f t="shared" si="291"/>
        <v>0</v>
      </c>
      <c r="Z1280" s="253">
        <f>IF(Y1280&gt;0,COUNTIF(Y$1009:Y1279,"&gt;0")+1,0)</f>
        <v>0</v>
      </c>
      <c r="AA1280" s="1"/>
      <c r="AB1280" s="255" t="str">
        <f t="shared" si="292"/>
        <v/>
      </c>
      <c r="AC1280" s="261" t="str">
        <f t="shared" si="294"/>
        <v/>
      </c>
      <c r="AD1280" s="258">
        <f>IF(Z1280&gt;0,COUNTIF(AC$1009:AC1279,AC1280)+1,0)</f>
        <v>0</v>
      </c>
      <c r="AE1280" s="258" t="str">
        <f t="shared" si="293"/>
        <v/>
      </c>
      <c r="AF1280" s="392" t="str">
        <f t="shared" si="295"/>
        <v/>
      </c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</row>
    <row r="1281" spans="1:93" ht="16.5" hidden="1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27">
        <f t="shared" si="296"/>
        <v>9</v>
      </c>
      <c r="U1281" s="247">
        <f>IF(OR(ISBLANK(F$68),AND(W1281&gt;(F$68-1),W1281&lt;(I$68+1))),IF(ISERROR(VLOOKUP(I$67,G$1076:G$1078,1,FALSE)),IF(K$67=G$1086,IF(MONTH(W1281)&lt;&gt;MONTH(W1280),MAX(U$1009:U1280)+1,0),IF(ISERROR(VLOOKUP(I$67,G$1079:G$1084,1,FALSE)),IF(V1281=1,MAX(U$1009:U1280)+1,0),IF(MONTH(W1282)&lt;&gt;MONTH(W1281),T1281,0))),IF(K$67=G$1086,IF(V1281=1,MAX(U$1009:U1280)+1,0),IF(V1281=7,MAX(U$1015:U1280)+1,0))),0)</f>
        <v>0</v>
      </c>
      <c r="V1281" s="27">
        <f t="shared" si="289"/>
        <v>7</v>
      </c>
      <c r="W1281" s="97">
        <f t="shared" si="290"/>
        <v>45564</v>
      </c>
      <c r="X1281" s="249" t="str">
        <f>IF(K$67=G$1086,IF(OR(U1281=1,AND(U1281&gt;0,U1281=(MAX(Y$1009:Y1280)+VLOOKUP(I$67,G$1076:H$1084,2,FALSE)))),"X",""),IF(AND(U1281&gt;0,U1281=(MAX(Y$1009:Y1280)+VLOOKUP(I$67,G$1076:H$1084,2,FALSE))),"X",""))</f>
        <v/>
      </c>
      <c r="Y1281" s="252">
        <f t="shared" si="291"/>
        <v>0</v>
      </c>
      <c r="Z1281" s="253">
        <f>IF(Y1281&gt;0,COUNTIF(Y$1009:Y1280,"&gt;0")+1,0)</f>
        <v>0</v>
      </c>
      <c r="AA1281" s="1"/>
      <c r="AB1281" s="255" t="str">
        <f t="shared" si="292"/>
        <v/>
      </c>
      <c r="AC1281" s="261" t="str">
        <f t="shared" si="294"/>
        <v/>
      </c>
      <c r="AD1281" s="258">
        <f>IF(Z1281&gt;0,COUNTIF(AC$1009:AC1280,AC1281)+1,0)</f>
        <v>0</v>
      </c>
      <c r="AE1281" s="258" t="str">
        <f t="shared" si="293"/>
        <v/>
      </c>
      <c r="AF1281" s="392" t="str">
        <f t="shared" si="295"/>
        <v/>
      </c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</row>
    <row r="1282" spans="1:93" ht="16.5" hidden="1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27">
        <f t="shared" si="296"/>
        <v>9</v>
      </c>
      <c r="U1282" s="247">
        <f>IF(OR(ISBLANK(F$68),AND(W1282&gt;(F$68-1),W1282&lt;(I$68+1))),IF(ISERROR(VLOOKUP(I$67,G$1076:G$1078,1,FALSE)),IF(K$67=G$1086,IF(MONTH(W1282)&lt;&gt;MONTH(W1281),MAX(U$1009:U1281)+1,0),IF(ISERROR(VLOOKUP(I$67,G$1079:G$1084,1,FALSE)),IF(V1282=1,MAX(U$1009:U1281)+1,0),IF(MONTH(W1283)&lt;&gt;MONTH(W1282),T1282,0))),IF(K$67=G$1086,IF(V1282=1,MAX(U$1009:U1281)+1,0),IF(V1282=7,MAX(U$1015:U1281)+1,0))),0)</f>
        <v>40</v>
      </c>
      <c r="V1282" s="27">
        <f t="shared" si="289"/>
        <v>1</v>
      </c>
      <c r="W1282" s="97">
        <f t="shared" si="290"/>
        <v>45565</v>
      </c>
      <c r="X1282" s="249" t="str">
        <f>IF(K$67=G$1086,IF(OR(U1282=1,AND(U1282&gt;0,U1282=(MAX(Y$1009:Y1281)+VLOOKUP(I$67,G$1076:H$1084,2,FALSE)))),"X",""),IF(AND(U1282&gt;0,U1282=(MAX(Y$1009:Y1281)+VLOOKUP(I$67,G$1076:H$1084,2,FALSE))),"X",""))</f>
        <v/>
      </c>
      <c r="Y1282" s="252">
        <f t="shared" si="291"/>
        <v>0</v>
      </c>
      <c r="Z1282" s="253">
        <f>IF(Y1282&gt;0,COUNTIF(Y$1009:Y1281,"&gt;0")+1,0)</f>
        <v>0</v>
      </c>
      <c r="AA1282" s="1"/>
      <c r="AB1282" s="255" t="str">
        <f t="shared" si="292"/>
        <v/>
      </c>
      <c r="AC1282" s="261" t="str">
        <f t="shared" si="294"/>
        <v/>
      </c>
      <c r="AD1282" s="258">
        <f>IF(Z1282&gt;0,COUNTIF(AC$1009:AC1281,AC1282)+1,0)</f>
        <v>0</v>
      </c>
      <c r="AE1282" s="258" t="str">
        <f t="shared" si="293"/>
        <v/>
      </c>
      <c r="AF1282" s="392" t="str">
        <f t="shared" si="295"/>
        <v/>
      </c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</row>
    <row r="1283" spans="1:93" ht="16.5" hidden="1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27">
        <f t="shared" si="296"/>
        <v>10</v>
      </c>
      <c r="U1283" s="247">
        <f>IF(OR(ISBLANK(F$68),AND(W1283&gt;(F$68-1),W1283&lt;(I$68+1))),IF(ISERROR(VLOOKUP(I$67,G$1076:G$1078,1,FALSE)),IF(K$67=G$1086,IF(MONTH(W1283)&lt;&gt;MONTH(W1282),MAX(U$1009:U1282)+1,0),IF(ISERROR(VLOOKUP(I$67,G$1079:G$1084,1,FALSE)),IF(V1283=1,MAX(U$1009:U1282)+1,0),IF(MONTH(W1284)&lt;&gt;MONTH(W1283),T1283,0))),IF(K$67=G$1086,IF(V1283=1,MAX(U$1009:U1282)+1,0),IF(V1283=7,MAX(U$1015:U1282)+1,0))),0)</f>
        <v>0</v>
      </c>
      <c r="V1283" s="27">
        <f t="shared" si="289"/>
        <v>2</v>
      </c>
      <c r="W1283" s="97">
        <f t="shared" si="290"/>
        <v>45566</v>
      </c>
      <c r="X1283" s="249" t="str">
        <f>IF(K$67=G$1086,IF(OR(U1283=1,AND(U1283&gt;0,U1283=(MAX(Y$1009:Y1282)+VLOOKUP(I$67,G$1076:H$1084,2,FALSE)))),"X",""),IF(AND(U1283&gt;0,U1283=(MAX(Y$1009:Y1282)+VLOOKUP(I$67,G$1076:H$1084,2,FALSE))),"X",""))</f>
        <v/>
      </c>
      <c r="Y1283" s="252">
        <f t="shared" si="291"/>
        <v>0</v>
      </c>
      <c r="Z1283" s="253">
        <f>IF(Y1283&gt;0,COUNTIF(Y$1009:Y1282,"&gt;0")+1,0)</f>
        <v>0</v>
      </c>
      <c r="AA1283" s="1"/>
      <c r="AB1283" s="255" t="str">
        <f t="shared" si="292"/>
        <v/>
      </c>
      <c r="AC1283" s="261" t="str">
        <f t="shared" si="294"/>
        <v/>
      </c>
      <c r="AD1283" s="258">
        <f>IF(Z1283&gt;0,COUNTIF(AC$1009:AC1282,AC1283)+1,0)</f>
        <v>0</v>
      </c>
      <c r="AE1283" s="258" t="str">
        <f t="shared" si="293"/>
        <v/>
      </c>
      <c r="AF1283" s="392" t="str">
        <f t="shared" si="295"/>
        <v/>
      </c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</row>
    <row r="1284" spans="1:93" ht="16.5" hidden="1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27">
        <f t="shared" si="296"/>
        <v>10</v>
      </c>
      <c r="U1284" s="247">
        <f>IF(OR(ISBLANK(F$68),AND(W1284&gt;(F$68-1),W1284&lt;(I$68+1))),IF(ISERROR(VLOOKUP(I$67,G$1076:G$1078,1,FALSE)),IF(K$67=G$1086,IF(MONTH(W1284)&lt;&gt;MONTH(W1283),MAX(U$1009:U1283)+1,0),IF(ISERROR(VLOOKUP(I$67,G$1079:G$1084,1,FALSE)),IF(V1284=1,MAX(U$1009:U1283)+1,0),IF(MONTH(W1285)&lt;&gt;MONTH(W1284),T1284,0))),IF(K$67=G$1086,IF(V1284=1,MAX(U$1009:U1283)+1,0),IF(V1284=7,MAX(U$1015:U1283)+1,0))),0)</f>
        <v>0</v>
      </c>
      <c r="V1284" s="27">
        <f t="shared" si="289"/>
        <v>3</v>
      </c>
      <c r="W1284" s="97">
        <f t="shared" si="290"/>
        <v>45567</v>
      </c>
      <c r="X1284" s="249" t="str">
        <f>IF(K$67=G$1086,IF(OR(U1284=1,AND(U1284&gt;0,U1284=(MAX(Y$1009:Y1283)+VLOOKUP(I$67,G$1076:H$1084,2,FALSE)))),"X",""),IF(AND(U1284&gt;0,U1284=(MAX(Y$1009:Y1283)+VLOOKUP(I$67,G$1076:H$1084,2,FALSE))),"X",""))</f>
        <v/>
      </c>
      <c r="Y1284" s="252">
        <f t="shared" si="291"/>
        <v>0</v>
      </c>
      <c r="Z1284" s="253">
        <f>IF(Y1284&gt;0,COUNTIF(Y$1009:Y1283,"&gt;0")+1,0)</f>
        <v>0</v>
      </c>
      <c r="AA1284" s="1"/>
      <c r="AB1284" s="255" t="str">
        <f t="shared" si="292"/>
        <v/>
      </c>
      <c r="AC1284" s="261" t="str">
        <f t="shared" si="294"/>
        <v/>
      </c>
      <c r="AD1284" s="258">
        <f>IF(Z1284&gt;0,COUNTIF(AC$1009:AC1283,AC1284)+1,0)</f>
        <v>0</v>
      </c>
      <c r="AE1284" s="258" t="str">
        <f t="shared" si="293"/>
        <v/>
      </c>
      <c r="AF1284" s="392" t="str">
        <f t="shared" si="295"/>
        <v/>
      </c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</row>
    <row r="1285" spans="1:93" ht="16.5" hidden="1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27">
        <f t="shared" si="296"/>
        <v>10</v>
      </c>
      <c r="U1285" s="247">
        <f>IF(OR(ISBLANK(F$68),AND(W1285&gt;(F$68-1),W1285&lt;(I$68+1))),IF(ISERROR(VLOOKUP(I$67,G$1076:G$1078,1,FALSE)),IF(K$67=G$1086,IF(MONTH(W1285)&lt;&gt;MONTH(W1284),MAX(U$1009:U1284)+1,0),IF(ISERROR(VLOOKUP(I$67,G$1079:G$1084,1,FALSE)),IF(V1285=1,MAX(U$1009:U1284)+1,0),IF(MONTH(W1286)&lt;&gt;MONTH(W1285),T1285,0))),IF(K$67=G$1086,IF(V1285=1,MAX(U$1009:U1284)+1,0),IF(V1285=7,MAX(U$1015:U1284)+1,0))),0)</f>
        <v>0</v>
      </c>
      <c r="V1285" s="27">
        <f t="shared" si="289"/>
        <v>4</v>
      </c>
      <c r="W1285" s="97">
        <f t="shared" si="290"/>
        <v>45568</v>
      </c>
      <c r="X1285" s="249" t="str">
        <f>IF(K$67=G$1086,IF(OR(U1285=1,AND(U1285&gt;0,U1285=(MAX(Y$1009:Y1284)+VLOOKUP(I$67,G$1076:H$1084,2,FALSE)))),"X",""),IF(AND(U1285&gt;0,U1285=(MAX(Y$1009:Y1284)+VLOOKUP(I$67,G$1076:H$1084,2,FALSE))),"X",""))</f>
        <v/>
      </c>
      <c r="Y1285" s="252">
        <f t="shared" si="291"/>
        <v>0</v>
      </c>
      <c r="Z1285" s="253">
        <f>IF(Y1285&gt;0,COUNTIF(Y$1009:Y1284,"&gt;0")+1,0)</f>
        <v>0</v>
      </c>
      <c r="AA1285" s="1"/>
      <c r="AB1285" s="255" t="str">
        <f t="shared" si="292"/>
        <v/>
      </c>
      <c r="AC1285" s="261" t="str">
        <f t="shared" si="294"/>
        <v/>
      </c>
      <c r="AD1285" s="258">
        <f>IF(Z1285&gt;0,COUNTIF(AC$1009:AC1284,AC1285)+1,0)</f>
        <v>0</v>
      </c>
      <c r="AE1285" s="258" t="str">
        <f t="shared" si="293"/>
        <v/>
      </c>
      <c r="AF1285" s="392" t="str">
        <f t="shared" si="295"/>
        <v/>
      </c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</row>
    <row r="1286" spans="1:93" ht="16.5" hidden="1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27">
        <f t="shared" si="296"/>
        <v>10</v>
      </c>
      <c r="U1286" s="247">
        <f>IF(OR(ISBLANK(F$68),AND(W1286&gt;(F$68-1),W1286&lt;(I$68+1))),IF(ISERROR(VLOOKUP(I$67,G$1076:G$1078,1,FALSE)),IF(K$67=G$1086,IF(MONTH(W1286)&lt;&gt;MONTH(W1285),MAX(U$1009:U1285)+1,0),IF(ISERROR(VLOOKUP(I$67,G$1079:G$1084,1,FALSE)),IF(V1286=1,MAX(U$1009:U1285)+1,0),IF(MONTH(W1287)&lt;&gt;MONTH(W1286),T1286,0))),IF(K$67=G$1086,IF(V1286=1,MAX(U$1009:U1285)+1,0),IF(V1286=7,MAX(U$1015:U1285)+1,0))),0)</f>
        <v>0</v>
      </c>
      <c r="V1286" s="27">
        <f t="shared" si="289"/>
        <v>5</v>
      </c>
      <c r="W1286" s="97">
        <f t="shared" si="290"/>
        <v>45569</v>
      </c>
      <c r="X1286" s="249" t="str">
        <f>IF(K$67=G$1086,IF(OR(U1286=1,AND(U1286&gt;0,U1286=(MAX(Y$1009:Y1285)+VLOOKUP(I$67,G$1076:H$1084,2,FALSE)))),"X",""),IF(AND(U1286&gt;0,U1286=(MAX(Y$1009:Y1285)+VLOOKUP(I$67,G$1076:H$1084,2,FALSE))),"X",""))</f>
        <v/>
      </c>
      <c r="Y1286" s="252">
        <f t="shared" si="291"/>
        <v>0</v>
      </c>
      <c r="Z1286" s="253">
        <f>IF(Y1286&gt;0,COUNTIF(Y$1009:Y1285,"&gt;0")+1,0)</f>
        <v>0</v>
      </c>
      <c r="AA1286" s="1"/>
      <c r="AB1286" s="255" t="str">
        <f t="shared" si="292"/>
        <v/>
      </c>
      <c r="AC1286" s="261" t="str">
        <f t="shared" si="294"/>
        <v/>
      </c>
      <c r="AD1286" s="258">
        <f>IF(Z1286&gt;0,COUNTIF(AC$1009:AC1285,AC1286)+1,0)</f>
        <v>0</v>
      </c>
      <c r="AE1286" s="258" t="str">
        <f t="shared" si="293"/>
        <v/>
      </c>
      <c r="AF1286" s="392" t="str">
        <f t="shared" si="295"/>
        <v/>
      </c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</row>
    <row r="1287" spans="1:93" ht="16.5" hidden="1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27">
        <f t="shared" si="296"/>
        <v>10</v>
      </c>
      <c r="U1287" s="247">
        <f>IF(OR(ISBLANK(F$68),AND(W1287&gt;(F$68-1),W1287&lt;(I$68+1))),IF(ISERROR(VLOOKUP(I$67,G$1076:G$1078,1,FALSE)),IF(K$67=G$1086,IF(MONTH(W1287)&lt;&gt;MONTH(W1286),MAX(U$1009:U1286)+1,0),IF(ISERROR(VLOOKUP(I$67,G$1079:G$1084,1,FALSE)),IF(V1287=1,MAX(U$1009:U1286)+1,0),IF(MONTH(W1288)&lt;&gt;MONTH(W1287),T1287,0))),IF(K$67=G$1086,IF(V1287=1,MAX(U$1009:U1286)+1,0),IF(V1287=7,MAX(U$1015:U1286)+1,0))),0)</f>
        <v>0</v>
      </c>
      <c r="V1287" s="27">
        <f t="shared" si="289"/>
        <v>6</v>
      </c>
      <c r="W1287" s="97">
        <f t="shared" si="290"/>
        <v>45570</v>
      </c>
      <c r="X1287" s="249" t="str">
        <f>IF(K$67=G$1086,IF(OR(U1287=1,AND(U1287&gt;0,U1287=(MAX(Y$1009:Y1286)+VLOOKUP(I$67,G$1076:H$1084,2,FALSE)))),"X",""),IF(AND(U1287&gt;0,U1287=(MAX(Y$1009:Y1286)+VLOOKUP(I$67,G$1076:H$1084,2,FALSE))),"X",""))</f>
        <v/>
      </c>
      <c r="Y1287" s="252">
        <f t="shared" si="291"/>
        <v>0</v>
      </c>
      <c r="Z1287" s="253">
        <f>IF(Y1287&gt;0,COUNTIF(Y$1009:Y1286,"&gt;0")+1,0)</f>
        <v>0</v>
      </c>
      <c r="AA1287" s="1"/>
      <c r="AB1287" s="255" t="str">
        <f t="shared" si="292"/>
        <v/>
      </c>
      <c r="AC1287" s="261" t="str">
        <f t="shared" si="294"/>
        <v/>
      </c>
      <c r="AD1287" s="258">
        <f>IF(Z1287&gt;0,COUNTIF(AC$1009:AC1286,AC1287)+1,0)</f>
        <v>0</v>
      </c>
      <c r="AE1287" s="258" t="str">
        <f t="shared" si="293"/>
        <v/>
      </c>
      <c r="AF1287" s="392" t="str">
        <f t="shared" si="295"/>
        <v/>
      </c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</row>
    <row r="1288" spans="1:93" ht="16.5" hidden="1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27">
        <f t="shared" si="296"/>
        <v>10</v>
      </c>
      <c r="U1288" s="247">
        <f>IF(OR(ISBLANK(F$68),AND(W1288&gt;(F$68-1),W1288&lt;(I$68+1))),IF(ISERROR(VLOOKUP(I$67,G$1076:G$1078,1,FALSE)),IF(K$67=G$1086,IF(MONTH(W1288)&lt;&gt;MONTH(W1287),MAX(U$1009:U1287)+1,0),IF(ISERROR(VLOOKUP(I$67,G$1079:G$1084,1,FALSE)),IF(V1288=1,MAX(U$1009:U1287)+1,0),IF(MONTH(W1289)&lt;&gt;MONTH(W1288),T1288,0))),IF(K$67=G$1086,IF(V1288=1,MAX(U$1009:U1287)+1,0),IF(V1288=7,MAX(U$1015:U1287)+1,0))),0)</f>
        <v>0</v>
      </c>
      <c r="V1288" s="27">
        <f t="shared" si="289"/>
        <v>7</v>
      </c>
      <c r="W1288" s="97">
        <f t="shared" si="290"/>
        <v>45571</v>
      </c>
      <c r="X1288" s="249" t="str">
        <f>IF(K$67=G$1086,IF(OR(U1288=1,AND(U1288&gt;0,U1288=(MAX(Y$1009:Y1287)+VLOOKUP(I$67,G$1076:H$1084,2,FALSE)))),"X",""),IF(AND(U1288&gt;0,U1288=(MAX(Y$1009:Y1287)+VLOOKUP(I$67,G$1076:H$1084,2,FALSE))),"X",""))</f>
        <v/>
      </c>
      <c r="Y1288" s="252">
        <f t="shared" si="291"/>
        <v>0</v>
      </c>
      <c r="Z1288" s="253">
        <f>IF(Y1288&gt;0,COUNTIF(Y$1009:Y1287,"&gt;0")+1,0)</f>
        <v>0</v>
      </c>
      <c r="AA1288" s="1"/>
      <c r="AB1288" s="255" t="str">
        <f t="shared" si="292"/>
        <v/>
      </c>
      <c r="AC1288" s="261" t="str">
        <f t="shared" si="294"/>
        <v/>
      </c>
      <c r="AD1288" s="258">
        <f>IF(Z1288&gt;0,COUNTIF(AC$1009:AC1287,AC1288)+1,0)</f>
        <v>0</v>
      </c>
      <c r="AE1288" s="258" t="str">
        <f t="shared" si="293"/>
        <v/>
      </c>
      <c r="AF1288" s="392" t="str">
        <f t="shared" si="295"/>
        <v/>
      </c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</row>
    <row r="1289" spans="1:93" ht="16.5" hidden="1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27">
        <f t="shared" si="296"/>
        <v>10</v>
      </c>
      <c r="U1289" s="247">
        <f>IF(OR(ISBLANK(F$68),AND(W1289&gt;(F$68-1),W1289&lt;(I$68+1))),IF(ISERROR(VLOOKUP(I$67,G$1076:G$1078,1,FALSE)),IF(K$67=G$1086,IF(MONTH(W1289)&lt;&gt;MONTH(W1288),MAX(U$1009:U1288)+1,0),IF(ISERROR(VLOOKUP(I$67,G$1079:G$1084,1,FALSE)),IF(V1289=1,MAX(U$1009:U1288)+1,0),IF(MONTH(W1290)&lt;&gt;MONTH(W1289),T1289,0))),IF(K$67=G$1086,IF(V1289=1,MAX(U$1009:U1288)+1,0),IF(V1289=7,MAX(U$1015:U1288)+1,0))),0)</f>
        <v>41</v>
      </c>
      <c r="V1289" s="27">
        <f t="shared" si="289"/>
        <v>1</v>
      </c>
      <c r="W1289" s="97">
        <f t="shared" si="290"/>
        <v>45572</v>
      </c>
      <c r="X1289" s="249" t="str">
        <f>IF(K$67=G$1086,IF(OR(U1289=1,AND(U1289&gt;0,U1289=(MAX(Y$1009:Y1288)+VLOOKUP(I$67,G$1076:H$1084,2,FALSE)))),"X",""),IF(AND(U1289&gt;0,U1289=(MAX(Y$1009:Y1288)+VLOOKUP(I$67,G$1076:H$1084,2,FALSE))),"X",""))</f>
        <v>X</v>
      </c>
      <c r="Y1289" s="252">
        <f t="shared" si="291"/>
        <v>41</v>
      </c>
      <c r="Z1289" s="253">
        <f>IF(Y1289&gt;0,COUNTIF(Y$1009:Y1288,"&gt;0")+1,0)</f>
        <v>21</v>
      </c>
      <c r="AA1289" s="1"/>
      <c r="AB1289" s="255">
        <f t="shared" si="292"/>
        <v>45572</v>
      </c>
      <c r="AC1289" s="261">
        <f t="shared" si="294"/>
        <v>10</v>
      </c>
      <c r="AD1289" s="258">
        <f>IF(Z1289&gt;0,COUNTIF(AC$1009:AC1288,AC1289)+1,0)</f>
        <v>1</v>
      </c>
      <c r="AE1289" s="258" t="str">
        <f t="shared" si="293"/>
        <v>10-1</v>
      </c>
      <c r="AF1289" s="392">
        <f t="shared" si="295"/>
        <v>45572</v>
      </c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</row>
    <row r="1290" spans="1:93" ht="16.5" hidden="1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27">
        <f t="shared" si="296"/>
        <v>10</v>
      </c>
      <c r="U1290" s="247">
        <f>IF(OR(ISBLANK(F$68),AND(W1290&gt;(F$68-1),W1290&lt;(I$68+1))),IF(ISERROR(VLOOKUP(I$67,G$1076:G$1078,1,FALSE)),IF(K$67=G$1086,IF(MONTH(W1290)&lt;&gt;MONTH(W1289),MAX(U$1009:U1289)+1,0),IF(ISERROR(VLOOKUP(I$67,G$1079:G$1084,1,FALSE)),IF(V1290=1,MAX(U$1009:U1289)+1,0),IF(MONTH(W1291)&lt;&gt;MONTH(W1290),T1290,0))),IF(K$67=G$1086,IF(V1290=1,MAX(U$1009:U1289)+1,0),IF(V1290=7,MAX(U$1015:U1289)+1,0))),0)</f>
        <v>0</v>
      </c>
      <c r="V1290" s="27">
        <f t="shared" si="289"/>
        <v>2</v>
      </c>
      <c r="W1290" s="97">
        <f t="shared" si="290"/>
        <v>45573</v>
      </c>
      <c r="X1290" s="249" t="str">
        <f>IF(K$67=G$1086,IF(OR(U1290=1,AND(U1290&gt;0,U1290=(MAX(Y$1009:Y1289)+VLOOKUP(I$67,G$1076:H$1084,2,FALSE)))),"X",""),IF(AND(U1290&gt;0,U1290=(MAX(Y$1009:Y1289)+VLOOKUP(I$67,G$1076:H$1084,2,FALSE))),"X",""))</f>
        <v/>
      </c>
      <c r="Y1290" s="252">
        <f t="shared" si="291"/>
        <v>0</v>
      </c>
      <c r="Z1290" s="253">
        <f>IF(Y1290&gt;0,COUNTIF(Y$1009:Y1289,"&gt;0")+1,0)</f>
        <v>0</v>
      </c>
      <c r="AA1290" s="1"/>
      <c r="AB1290" s="255" t="str">
        <f t="shared" si="292"/>
        <v/>
      </c>
      <c r="AC1290" s="261" t="str">
        <f t="shared" si="294"/>
        <v/>
      </c>
      <c r="AD1290" s="258">
        <f>IF(Z1290&gt;0,COUNTIF(AC$1009:AC1289,AC1290)+1,0)</f>
        <v>0</v>
      </c>
      <c r="AE1290" s="258" t="str">
        <f t="shared" si="293"/>
        <v/>
      </c>
      <c r="AF1290" s="392" t="str">
        <f t="shared" si="295"/>
        <v/>
      </c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</row>
    <row r="1291" spans="1:93" ht="16.5" hidden="1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27">
        <f t="shared" si="296"/>
        <v>10</v>
      </c>
      <c r="U1291" s="247">
        <f>IF(OR(ISBLANK(F$68),AND(W1291&gt;(F$68-1),W1291&lt;(I$68+1))),IF(ISERROR(VLOOKUP(I$67,G$1076:G$1078,1,FALSE)),IF(K$67=G$1086,IF(MONTH(W1291)&lt;&gt;MONTH(W1290),MAX(U$1009:U1290)+1,0),IF(ISERROR(VLOOKUP(I$67,G$1079:G$1084,1,FALSE)),IF(V1291=1,MAX(U$1009:U1290)+1,0),IF(MONTH(W1292)&lt;&gt;MONTH(W1291),T1291,0))),IF(K$67=G$1086,IF(V1291=1,MAX(U$1009:U1290)+1,0),IF(V1291=7,MAX(U$1015:U1290)+1,0))),0)</f>
        <v>0</v>
      </c>
      <c r="V1291" s="27">
        <f t="shared" si="289"/>
        <v>3</v>
      </c>
      <c r="W1291" s="97">
        <f t="shared" si="290"/>
        <v>45574</v>
      </c>
      <c r="X1291" s="249" t="str">
        <f>IF(K$67=G$1086,IF(OR(U1291=1,AND(U1291&gt;0,U1291=(MAX(Y$1009:Y1290)+VLOOKUP(I$67,G$1076:H$1084,2,FALSE)))),"X",""),IF(AND(U1291&gt;0,U1291=(MAX(Y$1009:Y1290)+VLOOKUP(I$67,G$1076:H$1084,2,FALSE))),"X",""))</f>
        <v/>
      </c>
      <c r="Y1291" s="252">
        <f t="shared" si="291"/>
        <v>0</v>
      </c>
      <c r="Z1291" s="253">
        <f>IF(Y1291&gt;0,COUNTIF(Y$1009:Y1290,"&gt;0")+1,0)</f>
        <v>0</v>
      </c>
      <c r="AA1291" s="1"/>
      <c r="AB1291" s="255" t="str">
        <f t="shared" si="292"/>
        <v/>
      </c>
      <c r="AC1291" s="261" t="str">
        <f t="shared" si="294"/>
        <v/>
      </c>
      <c r="AD1291" s="258">
        <f>IF(Z1291&gt;0,COUNTIF(AC$1009:AC1290,AC1291)+1,0)</f>
        <v>0</v>
      </c>
      <c r="AE1291" s="258" t="str">
        <f t="shared" si="293"/>
        <v/>
      </c>
      <c r="AF1291" s="392" t="str">
        <f t="shared" si="295"/>
        <v/>
      </c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</row>
    <row r="1292" spans="1:93" ht="16.5" hidden="1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27">
        <f t="shared" si="296"/>
        <v>10</v>
      </c>
      <c r="U1292" s="247">
        <f>IF(OR(ISBLANK(F$68),AND(W1292&gt;(F$68-1),W1292&lt;(I$68+1))),IF(ISERROR(VLOOKUP(I$67,G$1076:G$1078,1,FALSE)),IF(K$67=G$1086,IF(MONTH(W1292)&lt;&gt;MONTH(W1291),MAX(U$1009:U1291)+1,0),IF(ISERROR(VLOOKUP(I$67,G$1079:G$1084,1,FALSE)),IF(V1292=1,MAX(U$1009:U1291)+1,0),IF(MONTH(W1293)&lt;&gt;MONTH(W1292),T1292,0))),IF(K$67=G$1086,IF(V1292=1,MAX(U$1009:U1291)+1,0),IF(V1292=7,MAX(U$1015:U1291)+1,0))),0)</f>
        <v>0</v>
      </c>
      <c r="V1292" s="27">
        <f t="shared" si="289"/>
        <v>4</v>
      </c>
      <c r="W1292" s="97">
        <f t="shared" si="290"/>
        <v>45575</v>
      </c>
      <c r="X1292" s="249" t="str">
        <f>IF(K$67=G$1086,IF(OR(U1292=1,AND(U1292&gt;0,U1292=(MAX(Y$1009:Y1291)+VLOOKUP(I$67,G$1076:H$1084,2,FALSE)))),"X",""),IF(AND(U1292&gt;0,U1292=(MAX(Y$1009:Y1291)+VLOOKUP(I$67,G$1076:H$1084,2,FALSE))),"X",""))</f>
        <v/>
      </c>
      <c r="Y1292" s="252">
        <f t="shared" si="291"/>
        <v>0</v>
      </c>
      <c r="Z1292" s="253">
        <f>IF(Y1292&gt;0,COUNTIF(Y$1009:Y1291,"&gt;0")+1,0)</f>
        <v>0</v>
      </c>
      <c r="AA1292" s="1"/>
      <c r="AB1292" s="255" t="str">
        <f t="shared" si="292"/>
        <v/>
      </c>
      <c r="AC1292" s="261" t="str">
        <f t="shared" si="294"/>
        <v/>
      </c>
      <c r="AD1292" s="258">
        <f>IF(Z1292&gt;0,COUNTIF(AC$1009:AC1291,AC1292)+1,0)</f>
        <v>0</v>
      </c>
      <c r="AE1292" s="258" t="str">
        <f t="shared" si="293"/>
        <v/>
      </c>
      <c r="AF1292" s="392" t="str">
        <f t="shared" si="295"/>
        <v/>
      </c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</row>
    <row r="1293" spans="1:93" ht="16.5" hidden="1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27">
        <f t="shared" si="296"/>
        <v>10</v>
      </c>
      <c r="U1293" s="247">
        <f>IF(OR(ISBLANK(F$68),AND(W1293&gt;(F$68-1),W1293&lt;(I$68+1))),IF(ISERROR(VLOOKUP(I$67,G$1076:G$1078,1,FALSE)),IF(K$67=G$1086,IF(MONTH(W1293)&lt;&gt;MONTH(W1292),MAX(U$1009:U1292)+1,0),IF(ISERROR(VLOOKUP(I$67,G$1079:G$1084,1,FALSE)),IF(V1293=1,MAX(U$1009:U1292)+1,0),IF(MONTH(W1294)&lt;&gt;MONTH(W1293),T1293,0))),IF(K$67=G$1086,IF(V1293=1,MAX(U$1009:U1292)+1,0),IF(V1293=7,MAX(U$1015:U1292)+1,0))),0)</f>
        <v>0</v>
      </c>
      <c r="V1293" s="27">
        <f t="shared" si="289"/>
        <v>5</v>
      </c>
      <c r="W1293" s="97">
        <f t="shared" si="290"/>
        <v>45576</v>
      </c>
      <c r="X1293" s="249" t="str">
        <f>IF(K$67=G$1086,IF(OR(U1293=1,AND(U1293&gt;0,U1293=(MAX(Y$1009:Y1292)+VLOOKUP(I$67,G$1076:H$1084,2,FALSE)))),"X",""),IF(AND(U1293&gt;0,U1293=(MAX(Y$1009:Y1292)+VLOOKUP(I$67,G$1076:H$1084,2,FALSE))),"X",""))</f>
        <v/>
      </c>
      <c r="Y1293" s="252">
        <f t="shared" si="291"/>
        <v>0</v>
      </c>
      <c r="Z1293" s="253">
        <f>IF(Y1293&gt;0,COUNTIF(Y$1009:Y1292,"&gt;0")+1,0)</f>
        <v>0</v>
      </c>
      <c r="AA1293" s="1"/>
      <c r="AB1293" s="255" t="str">
        <f t="shared" si="292"/>
        <v/>
      </c>
      <c r="AC1293" s="261" t="str">
        <f t="shared" si="294"/>
        <v/>
      </c>
      <c r="AD1293" s="258">
        <f>IF(Z1293&gt;0,COUNTIF(AC$1009:AC1292,AC1293)+1,0)</f>
        <v>0</v>
      </c>
      <c r="AE1293" s="258" t="str">
        <f t="shared" si="293"/>
        <v/>
      </c>
      <c r="AF1293" s="392" t="str">
        <f t="shared" si="295"/>
        <v/>
      </c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</row>
    <row r="1294" spans="1:93" ht="16.5" hidden="1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27">
        <f t="shared" si="296"/>
        <v>10</v>
      </c>
      <c r="U1294" s="247">
        <f>IF(OR(ISBLANK(F$68),AND(W1294&gt;(F$68-1),W1294&lt;(I$68+1))),IF(ISERROR(VLOOKUP(I$67,G$1076:G$1078,1,FALSE)),IF(K$67=G$1086,IF(MONTH(W1294)&lt;&gt;MONTH(W1293),MAX(U$1009:U1293)+1,0),IF(ISERROR(VLOOKUP(I$67,G$1079:G$1084,1,FALSE)),IF(V1294=1,MAX(U$1009:U1293)+1,0),IF(MONTH(W1295)&lt;&gt;MONTH(W1294),T1294,0))),IF(K$67=G$1086,IF(V1294=1,MAX(U$1009:U1293)+1,0),IF(V1294=7,MAX(U$1015:U1293)+1,0))),0)</f>
        <v>0</v>
      </c>
      <c r="V1294" s="27">
        <f t="shared" si="289"/>
        <v>6</v>
      </c>
      <c r="W1294" s="97">
        <f t="shared" si="290"/>
        <v>45577</v>
      </c>
      <c r="X1294" s="249" t="str">
        <f>IF(K$67=G$1086,IF(OR(U1294=1,AND(U1294&gt;0,U1294=(MAX(Y$1009:Y1293)+VLOOKUP(I$67,G$1076:H$1084,2,FALSE)))),"X",""),IF(AND(U1294&gt;0,U1294=(MAX(Y$1009:Y1293)+VLOOKUP(I$67,G$1076:H$1084,2,FALSE))),"X",""))</f>
        <v/>
      </c>
      <c r="Y1294" s="252">
        <f t="shared" si="291"/>
        <v>0</v>
      </c>
      <c r="Z1294" s="253">
        <f>IF(Y1294&gt;0,COUNTIF(Y$1009:Y1293,"&gt;0")+1,0)</f>
        <v>0</v>
      </c>
      <c r="AA1294" s="1"/>
      <c r="AB1294" s="255" t="str">
        <f t="shared" si="292"/>
        <v/>
      </c>
      <c r="AC1294" s="261" t="str">
        <f t="shared" si="294"/>
        <v/>
      </c>
      <c r="AD1294" s="258">
        <f>IF(Z1294&gt;0,COUNTIF(AC$1009:AC1293,AC1294)+1,0)</f>
        <v>0</v>
      </c>
      <c r="AE1294" s="258" t="str">
        <f t="shared" si="293"/>
        <v/>
      </c>
      <c r="AF1294" s="392" t="str">
        <f t="shared" si="295"/>
        <v/>
      </c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</row>
    <row r="1295" spans="1:93" ht="16.5" hidden="1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27">
        <f t="shared" si="296"/>
        <v>10</v>
      </c>
      <c r="U1295" s="247">
        <f>IF(OR(ISBLANK(F$68),AND(W1295&gt;(F$68-1),W1295&lt;(I$68+1))),IF(ISERROR(VLOOKUP(I$67,G$1076:G$1078,1,FALSE)),IF(K$67=G$1086,IF(MONTH(W1295)&lt;&gt;MONTH(W1294),MAX(U$1009:U1294)+1,0),IF(ISERROR(VLOOKUP(I$67,G$1079:G$1084,1,FALSE)),IF(V1295=1,MAX(U$1009:U1294)+1,0),IF(MONTH(W1296)&lt;&gt;MONTH(W1295),T1295,0))),IF(K$67=G$1086,IF(V1295=1,MAX(U$1009:U1294)+1,0),IF(V1295=7,MAX(U$1015:U1294)+1,0))),0)</f>
        <v>0</v>
      </c>
      <c r="V1295" s="27">
        <f t="shared" si="289"/>
        <v>7</v>
      </c>
      <c r="W1295" s="97">
        <f t="shared" si="290"/>
        <v>45578</v>
      </c>
      <c r="X1295" s="249" t="str">
        <f>IF(K$67=G$1086,IF(OR(U1295=1,AND(U1295&gt;0,U1295=(MAX(Y$1009:Y1294)+VLOOKUP(I$67,G$1076:H$1084,2,FALSE)))),"X",""),IF(AND(U1295&gt;0,U1295=(MAX(Y$1009:Y1294)+VLOOKUP(I$67,G$1076:H$1084,2,FALSE))),"X",""))</f>
        <v/>
      </c>
      <c r="Y1295" s="252">
        <f t="shared" si="291"/>
        <v>0</v>
      </c>
      <c r="Z1295" s="253">
        <f>IF(Y1295&gt;0,COUNTIF(Y$1009:Y1294,"&gt;0")+1,0)</f>
        <v>0</v>
      </c>
      <c r="AA1295" s="1"/>
      <c r="AB1295" s="255" t="str">
        <f t="shared" si="292"/>
        <v/>
      </c>
      <c r="AC1295" s="261" t="str">
        <f t="shared" si="294"/>
        <v/>
      </c>
      <c r="AD1295" s="258">
        <f>IF(Z1295&gt;0,COUNTIF(AC$1009:AC1294,AC1295)+1,0)</f>
        <v>0</v>
      </c>
      <c r="AE1295" s="258" t="str">
        <f t="shared" si="293"/>
        <v/>
      </c>
      <c r="AF1295" s="392" t="str">
        <f t="shared" si="295"/>
        <v/>
      </c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</row>
    <row r="1296" spans="1:93" ht="16.5" hidden="1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27">
        <f t="shared" si="296"/>
        <v>10</v>
      </c>
      <c r="U1296" s="247">
        <f>IF(OR(ISBLANK(F$68),AND(W1296&gt;(F$68-1),W1296&lt;(I$68+1))),IF(ISERROR(VLOOKUP(I$67,G$1076:G$1078,1,FALSE)),IF(K$67=G$1086,IF(MONTH(W1296)&lt;&gt;MONTH(W1295),MAX(U$1009:U1295)+1,0),IF(ISERROR(VLOOKUP(I$67,G$1079:G$1084,1,FALSE)),IF(V1296=1,MAX(U$1009:U1295)+1,0),IF(MONTH(W1297)&lt;&gt;MONTH(W1296),T1296,0))),IF(K$67=G$1086,IF(V1296=1,MAX(U$1009:U1295)+1,0),IF(V1296=7,MAX(U$1015:U1295)+1,0))),0)</f>
        <v>42</v>
      </c>
      <c r="V1296" s="27">
        <f t="shared" si="289"/>
        <v>1</v>
      </c>
      <c r="W1296" s="97">
        <f t="shared" si="290"/>
        <v>45579</v>
      </c>
      <c r="X1296" s="249" t="str">
        <f>IF(K$67=G$1086,IF(OR(U1296=1,AND(U1296&gt;0,U1296=(MAX(Y$1009:Y1295)+VLOOKUP(I$67,G$1076:H$1084,2,FALSE)))),"X",""),IF(AND(U1296&gt;0,U1296=(MAX(Y$1009:Y1295)+VLOOKUP(I$67,G$1076:H$1084,2,FALSE))),"X",""))</f>
        <v/>
      </c>
      <c r="Y1296" s="252">
        <f t="shared" si="291"/>
        <v>0</v>
      </c>
      <c r="Z1296" s="253">
        <f>IF(Y1296&gt;0,COUNTIF(Y$1009:Y1295,"&gt;0")+1,0)</f>
        <v>0</v>
      </c>
      <c r="AA1296" s="1"/>
      <c r="AB1296" s="255" t="str">
        <f t="shared" si="292"/>
        <v/>
      </c>
      <c r="AC1296" s="261" t="str">
        <f t="shared" si="294"/>
        <v/>
      </c>
      <c r="AD1296" s="258">
        <f>IF(Z1296&gt;0,COUNTIF(AC$1009:AC1295,AC1296)+1,0)</f>
        <v>0</v>
      </c>
      <c r="AE1296" s="258" t="str">
        <f t="shared" si="293"/>
        <v/>
      </c>
      <c r="AF1296" s="392" t="str">
        <f t="shared" si="295"/>
        <v/>
      </c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</row>
    <row r="1297" spans="1:93" ht="16.5" hidden="1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27">
        <f t="shared" si="296"/>
        <v>10</v>
      </c>
      <c r="U1297" s="247">
        <f>IF(OR(ISBLANK(F$68),AND(W1297&gt;(F$68-1),W1297&lt;(I$68+1))),IF(ISERROR(VLOOKUP(I$67,G$1076:G$1078,1,FALSE)),IF(K$67=G$1086,IF(MONTH(W1297)&lt;&gt;MONTH(W1296),MAX(U$1009:U1296)+1,0),IF(ISERROR(VLOOKUP(I$67,G$1079:G$1084,1,FALSE)),IF(V1297=1,MAX(U$1009:U1296)+1,0),IF(MONTH(W1298)&lt;&gt;MONTH(W1297),T1297,0))),IF(K$67=G$1086,IF(V1297=1,MAX(U$1009:U1296)+1,0),IF(V1297=7,MAX(U$1015:U1296)+1,0))),0)</f>
        <v>0</v>
      </c>
      <c r="V1297" s="27">
        <f t="shared" si="289"/>
        <v>2</v>
      </c>
      <c r="W1297" s="97">
        <f t="shared" si="290"/>
        <v>45580</v>
      </c>
      <c r="X1297" s="249" t="str">
        <f>IF(K$67=G$1086,IF(OR(U1297=1,AND(U1297&gt;0,U1297=(MAX(Y$1009:Y1296)+VLOOKUP(I$67,G$1076:H$1084,2,FALSE)))),"X",""),IF(AND(U1297&gt;0,U1297=(MAX(Y$1009:Y1296)+VLOOKUP(I$67,G$1076:H$1084,2,FALSE))),"X",""))</f>
        <v/>
      </c>
      <c r="Y1297" s="252">
        <f t="shared" si="291"/>
        <v>0</v>
      </c>
      <c r="Z1297" s="253">
        <f>IF(Y1297&gt;0,COUNTIF(Y$1009:Y1296,"&gt;0")+1,0)</f>
        <v>0</v>
      </c>
      <c r="AA1297" s="1"/>
      <c r="AB1297" s="255" t="str">
        <f t="shared" si="292"/>
        <v/>
      </c>
      <c r="AC1297" s="261" t="str">
        <f t="shared" si="294"/>
        <v/>
      </c>
      <c r="AD1297" s="258">
        <f>IF(Z1297&gt;0,COUNTIF(AC$1009:AC1296,AC1297)+1,0)</f>
        <v>0</v>
      </c>
      <c r="AE1297" s="258" t="str">
        <f t="shared" si="293"/>
        <v/>
      </c>
      <c r="AF1297" s="392" t="str">
        <f t="shared" si="295"/>
        <v/>
      </c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</row>
    <row r="1298" spans="1:93" ht="16.5" hidden="1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27">
        <f t="shared" si="296"/>
        <v>10</v>
      </c>
      <c r="U1298" s="247">
        <f>IF(OR(ISBLANK(F$68),AND(W1298&gt;(F$68-1),W1298&lt;(I$68+1))),IF(ISERROR(VLOOKUP(I$67,G$1076:G$1078,1,FALSE)),IF(K$67=G$1086,IF(MONTH(W1298)&lt;&gt;MONTH(W1297),MAX(U$1009:U1297)+1,0),IF(ISERROR(VLOOKUP(I$67,G$1079:G$1084,1,FALSE)),IF(V1298=1,MAX(U$1009:U1297)+1,0),IF(MONTH(W1299)&lt;&gt;MONTH(W1298),T1298,0))),IF(K$67=G$1086,IF(V1298=1,MAX(U$1009:U1297)+1,0),IF(V1298=7,MAX(U$1015:U1297)+1,0))),0)</f>
        <v>0</v>
      </c>
      <c r="V1298" s="27">
        <f t="shared" si="289"/>
        <v>3</v>
      </c>
      <c r="W1298" s="97">
        <f t="shared" si="290"/>
        <v>45581</v>
      </c>
      <c r="X1298" s="249" t="str">
        <f>IF(K$67=G$1086,IF(OR(U1298=1,AND(U1298&gt;0,U1298=(MAX(Y$1009:Y1297)+VLOOKUP(I$67,G$1076:H$1084,2,FALSE)))),"X",""),IF(AND(U1298&gt;0,U1298=(MAX(Y$1009:Y1297)+VLOOKUP(I$67,G$1076:H$1084,2,FALSE))),"X",""))</f>
        <v/>
      </c>
      <c r="Y1298" s="252">
        <f t="shared" si="291"/>
        <v>0</v>
      </c>
      <c r="Z1298" s="253">
        <f>IF(Y1298&gt;0,COUNTIF(Y$1009:Y1297,"&gt;0")+1,0)</f>
        <v>0</v>
      </c>
      <c r="AA1298" s="1"/>
      <c r="AB1298" s="255" t="str">
        <f t="shared" si="292"/>
        <v/>
      </c>
      <c r="AC1298" s="261" t="str">
        <f t="shared" si="294"/>
        <v/>
      </c>
      <c r="AD1298" s="258">
        <f>IF(Z1298&gt;0,COUNTIF(AC$1009:AC1297,AC1298)+1,0)</f>
        <v>0</v>
      </c>
      <c r="AE1298" s="258" t="str">
        <f t="shared" si="293"/>
        <v/>
      </c>
      <c r="AF1298" s="392" t="str">
        <f t="shared" si="295"/>
        <v/>
      </c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</row>
    <row r="1299" spans="1:93" ht="16.5" hidden="1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27">
        <f t="shared" si="296"/>
        <v>10</v>
      </c>
      <c r="U1299" s="247">
        <f>IF(OR(ISBLANK(F$68),AND(W1299&gt;(F$68-1),W1299&lt;(I$68+1))),IF(ISERROR(VLOOKUP(I$67,G$1076:G$1078,1,FALSE)),IF(K$67=G$1086,IF(MONTH(W1299)&lt;&gt;MONTH(W1298),MAX(U$1009:U1298)+1,0),IF(ISERROR(VLOOKUP(I$67,G$1079:G$1084,1,FALSE)),IF(V1299=1,MAX(U$1009:U1298)+1,0),IF(MONTH(W1300)&lt;&gt;MONTH(W1299),T1299,0))),IF(K$67=G$1086,IF(V1299=1,MAX(U$1009:U1298)+1,0),IF(V1299=7,MAX(U$1015:U1298)+1,0))),0)</f>
        <v>0</v>
      </c>
      <c r="V1299" s="27">
        <f t="shared" si="289"/>
        <v>4</v>
      </c>
      <c r="W1299" s="97">
        <f t="shared" si="290"/>
        <v>45582</v>
      </c>
      <c r="X1299" s="249" t="str">
        <f>IF(K$67=G$1086,IF(OR(U1299=1,AND(U1299&gt;0,U1299=(MAX(Y$1009:Y1298)+VLOOKUP(I$67,G$1076:H$1084,2,FALSE)))),"X",""),IF(AND(U1299&gt;0,U1299=(MAX(Y$1009:Y1298)+VLOOKUP(I$67,G$1076:H$1084,2,FALSE))),"X",""))</f>
        <v/>
      </c>
      <c r="Y1299" s="252">
        <f t="shared" si="291"/>
        <v>0</v>
      </c>
      <c r="Z1299" s="253">
        <f>IF(Y1299&gt;0,COUNTIF(Y$1009:Y1298,"&gt;0")+1,0)</f>
        <v>0</v>
      </c>
      <c r="AA1299" s="1"/>
      <c r="AB1299" s="255" t="str">
        <f t="shared" si="292"/>
        <v/>
      </c>
      <c r="AC1299" s="261" t="str">
        <f t="shared" si="294"/>
        <v/>
      </c>
      <c r="AD1299" s="258">
        <f>IF(Z1299&gt;0,COUNTIF(AC$1009:AC1298,AC1299)+1,0)</f>
        <v>0</v>
      </c>
      <c r="AE1299" s="258" t="str">
        <f t="shared" si="293"/>
        <v/>
      </c>
      <c r="AF1299" s="392" t="str">
        <f t="shared" si="295"/>
        <v/>
      </c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</row>
    <row r="1300" spans="1:93" ht="16.5" hidden="1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27">
        <f t="shared" si="296"/>
        <v>10</v>
      </c>
      <c r="U1300" s="247">
        <f>IF(OR(ISBLANK(F$68),AND(W1300&gt;(F$68-1),W1300&lt;(I$68+1))),IF(ISERROR(VLOOKUP(I$67,G$1076:G$1078,1,FALSE)),IF(K$67=G$1086,IF(MONTH(W1300)&lt;&gt;MONTH(W1299),MAX(U$1009:U1299)+1,0),IF(ISERROR(VLOOKUP(I$67,G$1079:G$1084,1,FALSE)),IF(V1300=1,MAX(U$1009:U1299)+1,0),IF(MONTH(W1301)&lt;&gt;MONTH(W1300),T1300,0))),IF(K$67=G$1086,IF(V1300=1,MAX(U$1009:U1299)+1,0),IF(V1300=7,MAX(U$1015:U1299)+1,0))),0)</f>
        <v>0</v>
      </c>
      <c r="V1300" s="27">
        <f t="shared" si="289"/>
        <v>5</v>
      </c>
      <c r="W1300" s="97">
        <f t="shared" si="290"/>
        <v>45583</v>
      </c>
      <c r="X1300" s="249" t="str">
        <f>IF(K$67=G$1086,IF(OR(U1300=1,AND(U1300&gt;0,U1300=(MAX(Y$1009:Y1299)+VLOOKUP(I$67,G$1076:H$1084,2,FALSE)))),"X",""),IF(AND(U1300&gt;0,U1300=(MAX(Y$1009:Y1299)+VLOOKUP(I$67,G$1076:H$1084,2,FALSE))),"X",""))</f>
        <v/>
      </c>
      <c r="Y1300" s="252">
        <f t="shared" si="291"/>
        <v>0</v>
      </c>
      <c r="Z1300" s="253">
        <f>IF(Y1300&gt;0,COUNTIF(Y$1009:Y1299,"&gt;0")+1,0)</f>
        <v>0</v>
      </c>
      <c r="AA1300" s="1"/>
      <c r="AB1300" s="255" t="str">
        <f t="shared" si="292"/>
        <v/>
      </c>
      <c r="AC1300" s="261" t="str">
        <f t="shared" si="294"/>
        <v/>
      </c>
      <c r="AD1300" s="258">
        <f>IF(Z1300&gt;0,COUNTIF(AC$1009:AC1299,AC1300)+1,0)</f>
        <v>0</v>
      </c>
      <c r="AE1300" s="258" t="str">
        <f t="shared" si="293"/>
        <v/>
      </c>
      <c r="AF1300" s="392" t="str">
        <f t="shared" si="295"/>
        <v/>
      </c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</row>
    <row r="1301" spans="1:93" ht="16.5" hidden="1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27">
        <f t="shared" si="296"/>
        <v>10</v>
      </c>
      <c r="U1301" s="247">
        <f>IF(OR(ISBLANK(F$68),AND(W1301&gt;(F$68-1),W1301&lt;(I$68+1))),IF(ISERROR(VLOOKUP(I$67,G$1076:G$1078,1,FALSE)),IF(K$67=G$1086,IF(MONTH(W1301)&lt;&gt;MONTH(W1300),MAX(U$1009:U1300)+1,0),IF(ISERROR(VLOOKUP(I$67,G$1079:G$1084,1,FALSE)),IF(V1301=1,MAX(U$1009:U1300)+1,0),IF(MONTH(W1302)&lt;&gt;MONTH(W1301),T1301,0))),IF(K$67=G$1086,IF(V1301=1,MAX(U$1009:U1300)+1,0),IF(V1301=7,MAX(U$1015:U1300)+1,0))),0)</f>
        <v>0</v>
      </c>
      <c r="V1301" s="27">
        <f t="shared" si="289"/>
        <v>6</v>
      </c>
      <c r="W1301" s="97">
        <f t="shared" si="290"/>
        <v>45584</v>
      </c>
      <c r="X1301" s="249" t="str">
        <f>IF(K$67=G$1086,IF(OR(U1301=1,AND(U1301&gt;0,U1301=(MAX(Y$1009:Y1300)+VLOOKUP(I$67,G$1076:H$1084,2,FALSE)))),"X",""),IF(AND(U1301&gt;0,U1301=(MAX(Y$1009:Y1300)+VLOOKUP(I$67,G$1076:H$1084,2,FALSE))),"X",""))</f>
        <v/>
      </c>
      <c r="Y1301" s="252">
        <f t="shared" si="291"/>
        <v>0</v>
      </c>
      <c r="Z1301" s="253">
        <f>IF(Y1301&gt;0,COUNTIF(Y$1009:Y1300,"&gt;0")+1,0)</f>
        <v>0</v>
      </c>
      <c r="AA1301" s="1"/>
      <c r="AB1301" s="255" t="str">
        <f t="shared" si="292"/>
        <v/>
      </c>
      <c r="AC1301" s="261" t="str">
        <f t="shared" si="294"/>
        <v/>
      </c>
      <c r="AD1301" s="258">
        <f>IF(Z1301&gt;0,COUNTIF(AC$1009:AC1300,AC1301)+1,0)</f>
        <v>0</v>
      </c>
      <c r="AE1301" s="258" t="str">
        <f t="shared" si="293"/>
        <v/>
      </c>
      <c r="AF1301" s="392" t="str">
        <f t="shared" si="295"/>
        <v/>
      </c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</row>
    <row r="1302" spans="1:93" ht="16.5" hidden="1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27">
        <f t="shared" si="296"/>
        <v>10</v>
      </c>
      <c r="U1302" s="247">
        <f>IF(OR(ISBLANK(F$68),AND(W1302&gt;(F$68-1),W1302&lt;(I$68+1))),IF(ISERROR(VLOOKUP(I$67,G$1076:G$1078,1,FALSE)),IF(K$67=G$1086,IF(MONTH(W1302)&lt;&gt;MONTH(W1301),MAX(U$1009:U1301)+1,0),IF(ISERROR(VLOOKUP(I$67,G$1079:G$1084,1,FALSE)),IF(V1302=1,MAX(U$1009:U1301)+1,0),IF(MONTH(W1303)&lt;&gt;MONTH(W1302),T1302,0))),IF(K$67=G$1086,IF(V1302=1,MAX(U$1009:U1301)+1,0),IF(V1302=7,MAX(U$1015:U1301)+1,0))),0)</f>
        <v>0</v>
      </c>
      <c r="V1302" s="27">
        <f t="shared" si="289"/>
        <v>7</v>
      </c>
      <c r="W1302" s="97">
        <f t="shared" si="290"/>
        <v>45585</v>
      </c>
      <c r="X1302" s="249" t="str">
        <f>IF(K$67=G$1086,IF(OR(U1302=1,AND(U1302&gt;0,U1302=(MAX(Y$1009:Y1301)+VLOOKUP(I$67,G$1076:H$1084,2,FALSE)))),"X",""),IF(AND(U1302&gt;0,U1302=(MAX(Y$1009:Y1301)+VLOOKUP(I$67,G$1076:H$1084,2,FALSE))),"X",""))</f>
        <v/>
      </c>
      <c r="Y1302" s="252">
        <f t="shared" si="291"/>
        <v>0</v>
      </c>
      <c r="Z1302" s="253">
        <f>IF(Y1302&gt;0,COUNTIF(Y$1009:Y1301,"&gt;0")+1,0)</f>
        <v>0</v>
      </c>
      <c r="AA1302" s="1"/>
      <c r="AB1302" s="255" t="str">
        <f t="shared" si="292"/>
        <v/>
      </c>
      <c r="AC1302" s="261" t="str">
        <f t="shared" si="294"/>
        <v/>
      </c>
      <c r="AD1302" s="258">
        <f>IF(Z1302&gt;0,COUNTIF(AC$1009:AC1301,AC1302)+1,0)</f>
        <v>0</v>
      </c>
      <c r="AE1302" s="258" t="str">
        <f t="shared" si="293"/>
        <v/>
      </c>
      <c r="AF1302" s="392" t="str">
        <f t="shared" si="295"/>
        <v/>
      </c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</row>
    <row r="1303" spans="1:93" ht="16.5" hidden="1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27">
        <f t="shared" si="296"/>
        <v>10</v>
      </c>
      <c r="U1303" s="247">
        <f>IF(OR(ISBLANK(F$68),AND(W1303&gt;(F$68-1),W1303&lt;(I$68+1))),IF(ISERROR(VLOOKUP(I$67,G$1076:G$1078,1,FALSE)),IF(K$67=G$1086,IF(MONTH(W1303)&lt;&gt;MONTH(W1302),MAX(U$1009:U1302)+1,0),IF(ISERROR(VLOOKUP(I$67,G$1079:G$1084,1,FALSE)),IF(V1303=1,MAX(U$1009:U1302)+1,0),IF(MONTH(W1304)&lt;&gt;MONTH(W1303),T1303,0))),IF(K$67=G$1086,IF(V1303=1,MAX(U$1009:U1302)+1,0),IF(V1303=7,MAX(U$1015:U1302)+1,0))),0)</f>
        <v>43</v>
      </c>
      <c r="V1303" s="27">
        <f t="shared" si="289"/>
        <v>1</v>
      </c>
      <c r="W1303" s="97">
        <f t="shared" si="290"/>
        <v>45586</v>
      </c>
      <c r="X1303" s="249" t="str">
        <f>IF(K$67=G$1086,IF(OR(U1303=1,AND(U1303&gt;0,U1303=(MAX(Y$1009:Y1302)+VLOOKUP(I$67,G$1076:H$1084,2,FALSE)))),"X",""),IF(AND(U1303&gt;0,U1303=(MAX(Y$1009:Y1302)+VLOOKUP(I$67,G$1076:H$1084,2,FALSE))),"X",""))</f>
        <v>X</v>
      </c>
      <c r="Y1303" s="252">
        <f t="shared" si="291"/>
        <v>43</v>
      </c>
      <c r="Z1303" s="253">
        <f>IF(Y1303&gt;0,COUNTIF(Y$1009:Y1302,"&gt;0")+1,0)</f>
        <v>22</v>
      </c>
      <c r="AA1303" s="1"/>
      <c r="AB1303" s="255">
        <f t="shared" si="292"/>
        <v>45586</v>
      </c>
      <c r="AC1303" s="261">
        <f t="shared" si="294"/>
        <v>10</v>
      </c>
      <c r="AD1303" s="258">
        <f>IF(Z1303&gt;0,COUNTIF(AC$1009:AC1302,AC1303)+1,0)</f>
        <v>2</v>
      </c>
      <c r="AE1303" s="258" t="str">
        <f t="shared" si="293"/>
        <v>10-2</v>
      </c>
      <c r="AF1303" s="392">
        <f t="shared" si="295"/>
        <v>45586</v>
      </c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</row>
    <row r="1304" spans="1:93" ht="16.5" hidden="1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27">
        <f t="shared" si="296"/>
        <v>10</v>
      </c>
      <c r="U1304" s="247">
        <f>IF(OR(ISBLANK(F$68),AND(W1304&gt;(F$68-1),W1304&lt;(I$68+1))),IF(ISERROR(VLOOKUP(I$67,G$1076:G$1078,1,FALSE)),IF(K$67=G$1086,IF(MONTH(W1304)&lt;&gt;MONTH(W1303),MAX(U$1009:U1303)+1,0),IF(ISERROR(VLOOKUP(I$67,G$1079:G$1084,1,FALSE)),IF(V1304=1,MAX(U$1009:U1303)+1,0),IF(MONTH(W1305)&lt;&gt;MONTH(W1304),T1304,0))),IF(K$67=G$1086,IF(V1304=1,MAX(U$1009:U1303)+1,0),IF(V1304=7,MAX(U$1015:U1303)+1,0))),0)</f>
        <v>0</v>
      </c>
      <c r="V1304" s="27">
        <f t="shared" si="289"/>
        <v>2</v>
      </c>
      <c r="W1304" s="97">
        <f t="shared" si="290"/>
        <v>45587</v>
      </c>
      <c r="X1304" s="249" t="str">
        <f>IF(K$67=G$1086,IF(OR(U1304=1,AND(U1304&gt;0,U1304=(MAX(Y$1009:Y1303)+VLOOKUP(I$67,G$1076:H$1084,2,FALSE)))),"X",""),IF(AND(U1304&gt;0,U1304=(MAX(Y$1009:Y1303)+VLOOKUP(I$67,G$1076:H$1084,2,FALSE))),"X",""))</f>
        <v/>
      </c>
      <c r="Y1304" s="252">
        <f t="shared" si="291"/>
        <v>0</v>
      </c>
      <c r="Z1304" s="253">
        <f>IF(Y1304&gt;0,COUNTIF(Y$1009:Y1303,"&gt;0")+1,0)</f>
        <v>0</v>
      </c>
      <c r="AA1304" s="1"/>
      <c r="AB1304" s="255" t="str">
        <f t="shared" si="292"/>
        <v/>
      </c>
      <c r="AC1304" s="261" t="str">
        <f t="shared" si="294"/>
        <v/>
      </c>
      <c r="AD1304" s="258">
        <f>IF(Z1304&gt;0,COUNTIF(AC$1009:AC1303,AC1304)+1,0)</f>
        <v>0</v>
      </c>
      <c r="AE1304" s="258" t="str">
        <f t="shared" si="293"/>
        <v/>
      </c>
      <c r="AF1304" s="392" t="str">
        <f t="shared" si="295"/>
        <v/>
      </c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</row>
    <row r="1305" spans="1:93" ht="16.5" hidden="1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27">
        <f t="shared" si="296"/>
        <v>10</v>
      </c>
      <c r="U1305" s="247">
        <f>IF(OR(ISBLANK(F$68),AND(W1305&gt;(F$68-1),W1305&lt;(I$68+1))),IF(ISERROR(VLOOKUP(I$67,G$1076:G$1078,1,FALSE)),IF(K$67=G$1086,IF(MONTH(W1305)&lt;&gt;MONTH(W1304),MAX(U$1009:U1304)+1,0),IF(ISERROR(VLOOKUP(I$67,G$1079:G$1084,1,FALSE)),IF(V1305=1,MAX(U$1009:U1304)+1,0),IF(MONTH(W1306)&lt;&gt;MONTH(W1305),T1305,0))),IF(K$67=G$1086,IF(V1305=1,MAX(U$1009:U1304)+1,0),IF(V1305=7,MAX(U$1015:U1304)+1,0))),0)</f>
        <v>0</v>
      </c>
      <c r="V1305" s="27">
        <f t="shared" si="289"/>
        <v>3</v>
      </c>
      <c r="W1305" s="97">
        <f t="shared" si="290"/>
        <v>45588</v>
      </c>
      <c r="X1305" s="249" t="str">
        <f>IF(K$67=G$1086,IF(OR(U1305=1,AND(U1305&gt;0,U1305=(MAX(Y$1009:Y1304)+VLOOKUP(I$67,G$1076:H$1084,2,FALSE)))),"X",""),IF(AND(U1305&gt;0,U1305=(MAX(Y$1009:Y1304)+VLOOKUP(I$67,G$1076:H$1084,2,FALSE))),"X",""))</f>
        <v/>
      </c>
      <c r="Y1305" s="252">
        <f t="shared" si="291"/>
        <v>0</v>
      </c>
      <c r="Z1305" s="253">
        <f>IF(Y1305&gt;0,COUNTIF(Y$1009:Y1304,"&gt;0")+1,0)</f>
        <v>0</v>
      </c>
      <c r="AA1305" s="1"/>
      <c r="AB1305" s="255" t="str">
        <f t="shared" si="292"/>
        <v/>
      </c>
      <c r="AC1305" s="261" t="str">
        <f t="shared" si="294"/>
        <v/>
      </c>
      <c r="AD1305" s="258">
        <f>IF(Z1305&gt;0,COUNTIF(AC$1009:AC1304,AC1305)+1,0)</f>
        <v>0</v>
      </c>
      <c r="AE1305" s="258" t="str">
        <f t="shared" si="293"/>
        <v/>
      </c>
      <c r="AF1305" s="392" t="str">
        <f t="shared" si="295"/>
        <v/>
      </c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</row>
    <row r="1306" spans="1:93" ht="16.5" hidden="1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27">
        <f t="shared" si="296"/>
        <v>10</v>
      </c>
      <c r="U1306" s="247">
        <f>IF(OR(ISBLANK(F$68),AND(W1306&gt;(F$68-1),W1306&lt;(I$68+1))),IF(ISERROR(VLOOKUP(I$67,G$1076:G$1078,1,FALSE)),IF(K$67=G$1086,IF(MONTH(W1306)&lt;&gt;MONTH(W1305),MAX(U$1009:U1305)+1,0),IF(ISERROR(VLOOKUP(I$67,G$1079:G$1084,1,FALSE)),IF(V1306=1,MAX(U$1009:U1305)+1,0),IF(MONTH(W1307)&lt;&gt;MONTH(W1306),T1306,0))),IF(K$67=G$1086,IF(V1306=1,MAX(U$1009:U1305)+1,0),IF(V1306=7,MAX(U$1015:U1305)+1,0))),0)</f>
        <v>0</v>
      </c>
      <c r="V1306" s="27">
        <f t="shared" si="289"/>
        <v>4</v>
      </c>
      <c r="W1306" s="97">
        <f t="shared" si="290"/>
        <v>45589</v>
      </c>
      <c r="X1306" s="249" t="str">
        <f>IF(K$67=G$1086,IF(OR(U1306=1,AND(U1306&gt;0,U1306=(MAX(Y$1009:Y1305)+VLOOKUP(I$67,G$1076:H$1084,2,FALSE)))),"X",""),IF(AND(U1306&gt;0,U1306=(MAX(Y$1009:Y1305)+VLOOKUP(I$67,G$1076:H$1084,2,FALSE))),"X",""))</f>
        <v/>
      </c>
      <c r="Y1306" s="252">
        <f t="shared" si="291"/>
        <v>0</v>
      </c>
      <c r="Z1306" s="253">
        <f>IF(Y1306&gt;0,COUNTIF(Y$1009:Y1305,"&gt;0")+1,0)</f>
        <v>0</v>
      </c>
      <c r="AA1306" s="1"/>
      <c r="AB1306" s="255" t="str">
        <f t="shared" si="292"/>
        <v/>
      </c>
      <c r="AC1306" s="261" t="str">
        <f t="shared" si="294"/>
        <v/>
      </c>
      <c r="AD1306" s="258">
        <f>IF(Z1306&gt;0,COUNTIF(AC$1009:AC1305,AC1306)+1,0)</f>
        <v>0</v>
      </c>
      <c r="AE1306" s="258" t="str">
        <f t="shared" si="293"/>
        <v/>
      </c>
      <c r="AF1306" s="392" t="str">
        <f t="shared" si="295"/>
        <v/>
      </c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</row>
    <row r="1307" spans="1:93" ht="16.5" hidden="1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27">
        <f t="shared" si="296"/>
        <v>10</v>
      </c>
      <c r="U1307" s="247">
        <f>IF(OR(ISBLANK(F$68),AND(W1307&gt;(F$68-1),W1307&lt;(I$68+1))),IF(ISERROR(VLOOKUP(I$67,G$1076:G$1078,1,FALSE)),IF(K$67=G$1086,IF(MONTH(W1307)&lt;&gt;MONTH(W1306),MAX(U$1009:U1306)+1,0),IF(ISERROR(VLOOKUP(I$67,G$1079:G$1084,1,FALSE)),IF(V1307=1,MAX(U$1009:U1306)+1,0),IF(MONTH(W1308)&lt;&gt;MONTH(W1307),T1307,0))),IF(K$67=G$1086,IF(V1307=1,MAX(U$1009:U1306)+1,0),IF(V1307=7,MAX(U$1015:U1306)+1,0))),0)</f>
        <v>0</v>
      </c>
      <c r="V1307" s="27">
        <f t="shared" si="289"/>
        <v>5</v>
      </c>
      <c r="W1307" s="97">
        <f t="shared" si="290"/>
        <v>45590</v>
      </c>
      <c r="X1307" s="249" t="str">
        <f>IF(K$67=G$1086,IF(OR(U1307=1,AND(U1307&gt;0,U1307=(MAX(Y$1009:Y1306)+VLOOKUP(I$67,G$1076:H$1084,2,FALSE)))),"X",""),IF(AND(U1307&gt;0,U1307=(MAX(Y$1009:Y1306)+VLOOKUP(I$67,G$1076:H$1084,2,FALSE))),"X",""))</f>
        <v/>
      </c>
      <c r="Y1307" s="252">
        <f t="shared" si="291"/>
        <v>0</v>
      </c>
      <c r="Z1307" s="253">
        <f>IF(Y1307&gt;0,COUNTIF(Y$1009:Y1306,"&gt;0")+1,0)</f>
        <v>0</v>
      </c>
      <c r="AA1307" s="1"/>
      <c r="AB1307" s="255" t="str">
        <f t="shared" si="292"/>
        <v/>
      </c>
      <c r="AC1307" s="261" t="str">
        <f t="shared" si="294"/>
        <v/>
      </c>
      <c r="AD1307" s="258">
        <f>IF(Z1307&gt;0,COUNTIF(AC$1009:AC1306,AC1307)+1,0)</f>
        <v>0</v>
      </c>
      <c r="AE1307" s="258" t="str">
        <f t="shared" si="293"/>
        <v/>
      </c>
      <c r="AF1307" s="392" t="str">
        <f t="shared" si="295"/>
        <v/>
      </c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</row>
    <row r="1308" spans="1:93" ht="16.5" hidden="1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27">
        <f t="shared" si="296"/>
        <v>10</v>
      </c>
      <c r="U1308" s="247">
        <f>IF(OR(ISBLANK(F$68),AND(W1308&gt;(F$68-1),W1308&lt;(I$68+1))),IF(ISERROR(VLOOKUP(I$67,G$1076:G$1078,1,FALSE)),IF(K$67=G$1086,IF(MONTH(W1308)&lt;&gt;MONTH(W1307),MAX(U$1009:U1307)+1,0),IF(ISERROR(VLOOKUP(I$67,G$1079:G$1084,1,FALSE)),IF(V1308=1,MAX(U$1009:U1307)+1,0),IF(MONTH(W1309)&lt;&gt;MONTH(W1308),T1308,0))),IF(K$67=G$1086,IF(V1308=1,MAX(U$1009:U1307)+1,0),IF(V1308=7,MAX(U$1015:U1307)+1,0))),0)</f>
        <v>0</v>
      </c>
      <c r="V1308" s="27">
        <f t="shared" si="289"/>
        <v>6</v>
      </c>
      <c r="W1308" s="97">
        <f t="shared" si="290"/>
        <v>45591</v>
      </c>
      <c r="X1308" s="249" t="str">
        <f>IF(K$67=G$1086,IF(OR(U1308=1,AND(U1308&gt;0,U1308=(MAX(Y$1009:Y1307)+VLOOKUP(I$67,G$1076:H$1084,2,FALSE)))),"X",""),IF(AND(U1308&gt;0,U1308=(MAX(Y$1009:Y1307)+VLOOKUP(I$67,G$1076:H$1084,2,FALSE))),"X",""))</f>
        <v/>
      </c>
      <c r="Y1308" s="252">
        <f t="shared" si="291"/>
        <v>0</v>
      </c>
      <c r="Z1308" s="253">
        <f>IF(Y1308&gt;0,COUNTIF(Y$1009:Y1307,"&gt;0")+1,0)</f>
        <v>0</v>
      </c>
      <c r="AA1308" s="1"/>
      <c r="AB1308" s="255" t="str">
        <f t="shared" si="292"/>
        <v/>
      </c>
      <c r="AC1308" s="261" t="str">
        <f t="shared" si="294"/>
        <v/>
      </c>
      <c r="AD1308" s="258">
        <f>IF(Z1308&gt;0,COUNTIF(AC$1009:AC1307,AC1308)+1,0)</f>
        <v>0</v>
      </c>
      <c r="AE1308" s="258" t="str">
        <f t="shared" si="293"/>
        <v/>
      </c>
      <c r="AF1308" s="392" t="str">
        <f t="shared" si="295"/>
        <v/>
      </c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</row>
    <row r="1309" spans="1:93" ht="16.5" hidden="1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27">
        <f t="shared" si="296"/>
        <v>10</v>
      </c>
      <c r="U1309" s="247">
        <f>IF(OR(ISBLANK(F$68),AND(W1309&gt;(F$68-1),W1309&lt;(I$68+1))),IF(ISERROR(VLOOKUP(I$67,G$1076:G$1078,1,FALSE)),IF(K$67=G$1086,IF(MONTH(W1309)&lt;&gt;MONTH(W1308),MAX(U$1009:U1308)+1,0),IF(ISERROR(VLOOKUP(I$67,G$1079:G$1084,1,FALSE)),IF(V1309=1,MAX(U$1009:U1308)+1,0),IF(MONTH(W1310)&lt;&gt;MONTH(W1309),T1309,0))),IF(K$67=G$1086,IF(V1309=1,MAX(U$1009:U1308)+1,0),IF(V1309=7,MAX(U$1015:U1308)+1,0))),0)</f>
        <v>0</v>
      </c>
      <c r="V1309" s="27">
        <f t="shared" si="289"/>
        <v>7</v>
      </c>
      <c r="W1309" s="97">
        <f t="shared" si="290"/>
        <v>45592</v>
      </c>
      <c r="X1309" s="249" t="str">
        <f>IF(K$67=G$1086,IF(OR(U1309=1,AND(U1309&gt;0,U1309=(MAX(Y$1009:Y1308)+VLOOKUP(I$67,G$1076:H$1084,2,FALSE)))),"X",""),IF(AND(U1309&gt;0,U1309=(MAX(Y$1009:Y1308)+VLOOKUP(I$67,G$1076:H$1084,2,FALSE))),"X",""))</f>
        <v/>
      </c>
      <c r="Y1309" s="252">
        <f t="shared" si="291"/>
        <v>0</v>
      </c>
      <c r="Z1309" s="253">
        <f>IF(Y1309&gt;0,COUNTIF(Y$1009:Y1308,"&gt;0")+1,0)</f>
        <v>0</v>
      </c>
      <c r="AA1309" s="1"/>
      <c r="AB1309" s="255" t="str">
        <f t="shared" si="292"/>
        <v/>
      </c>
      <c r="AC1309" s="261" t="str">
        <f t="shared" si="294"/>
        <v/>
      </c>
      <c r="AD1309" s="258">
        <f>IF(Z1309&gt;0,COUNTIF(AC$1009:AC1308,AC1309)+1,0)</f>
        <v>0</v>
      </c>
      <c r="AE1309" s="258" t="str">
        <f t="shared" si="293"/>
        <v/>
      </c>
      <c r="AF1309" s="392" t="str">
        <f t="shared" si="295"/>
        <v/>
      </c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</row>
    <row r="1310" spans="1:93" ht="16.5" hidden="1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27">
        <f t="shared" si="296"/>
        <v>10</v>
      </c>
      <c r="U1310" s="247">
        <f>IF(OR(ISBLANK(F$68),AND(W1310&gt;(F$68-1),W1310&lt;(I$68+1))),IF(ISERROR(VLOOKUP(I$67,G$1076:G$1078,1,FALSE)),IF(K$67=G$1086,IF(MONTH(W1310)&lt;&gt;MONTH(W1309),MAX(U$1009:U1309)+1,0),IF(ISERROR(VLOOKUP(I$67,G$1079:G$1084,1,FALSE)),IF(V1310=1,MAX(U$1009:U1309)+1,0),IF(MONTH(W1311)&lt;&gt;MONTH(W1310),T1310,0))),IF(K$67=G$1086,IF(V1310=1,MAX(U$1009:U1309)+1,0),IF(V1310=7,MAX(U$1015:U1309)+1,0))),0)</f>
        <v>44</v>
      </c>
      <c r="V1310" s="27">
        <f t="shared" si="289"/>
        <v>1</v>
      </c>
      <c r="W1310" s="97">
        <f t="shared" si="290"/>
        <v>45593</v>
      </c>
      <c r="X1310" s="249" t="str">
        <f>IF(K$67=G$1086,IF(OR(U1310=1,AND(U1310&gt;0,U1310=(MAX(Y$1009:Y1309)+VLOOKUP(I$67,G$1076:H$1084,2,FALSE)))),"X",""),IF(AND(U1310&gt;0,U1310=(MAX(Y$1009:Y1309)+VLOOKUP(I$67,G$1076:H$1084,2,FALSE))),"X",""))</f>
        <v/>
      </c>
      <c r="Y1310" s="252">
        <f t="shared" si="291"/>
        <v>0</v>
      </c>
      <c r="Z1310" s="253">
        <f>IF(Y1310&gt;0,COUNTIF(Y$1009:Y1309,"&gt;0")+1,0)</f>
        <v>0</v>
      </c>
      <c r="AA1310" s="1"/>
      <c r="AB1310" s="255" t="str">
        <f t="shared" si="292"/>
        <v/>
      </c>
      <c r="AC1310" s="261" t="str">
        <f t="shared" si="294"/>
        <v/>
      </c>
      <c r="AD1310" s="258">
        <f>IF(Z1310&gt;0,COUNTIF(AC$1009:AC1309,AC1310)+1,0)</f>
        <v>0</v>
      </c>
      <c r="AE1310" s="258" t="str">
        <f t="shared" si="293"/>
        <v/>
      </c>
      <c r="AF1310" s="392" t="str">
        <f t="shared" si="295"/>
        <v/>
      </c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</row>
    <row r="1311" spans="1:93" ht="16.5" hidden="1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27">
        <f t="shared" si="296"/>
        <v>10</v>
      </c>
      <c r="U1311" s="247">
        <f>IF(OR(ISBLANK(F$68),AND(W1311&gt;(F$68-1),W1311&lt;(I$68+1))),IF(ISERROR(VLOOKUP(I$67,G$1076:G$1078,1,FALSE)),IF(K$67=G$1086,IF(MONTH(W1311)&lt;&gt;MONTH(W1310),MAX(U$1009:U1310)+1,0),IF(ISERROR(VLOOKUP(I$67,G$1079:G$1084,1,FALSE)),IF(V1311=1,MAX(U$1009:U1310)+1,0),IF(MONTH(W1312)&lt;&gt;MONTH(W1311),T1311,0))),IF(K$67=G$1086,IF(V1311=1,MAX(U$1009:U1310)+1,0),IF(V1311=7,MAX(U$1015:U1310)+1,0))),0)</f>
        <v>0</v>
      </c>
      <c r="V1311" s="27">
        <f t="shared" si="289"/>
        <v>2</v>
      </c>
      <c r="W1311" s="97">
        <f t="shared" si="290"/>
        <v>45594</v>
      </c>
      <c r="X1311" s="249" t="str">
        <f>IF(K$67=G$1086,IF(OR(U1311=1,AND(U1311&gt;0,U1311=(MAX(Y$1009:Y1310)+VLOOKUP(I$67,G$1076:H$1084,2,FALSE)))),"X",""),IF(AND(U1311&gt;0,U1311=(MAX(Y$1009:Y1310)+VLOOKUP(I$67,G$1076:H$1084,2,FALSE))),"X",""))</f>
        <v/>
      </c>
      <c r="Y1311" s="252">
        <f t="shared" si="291"/>
        <v>0</v>
      </c>
      <c r="Z1311" s="253">
        <f>IF(Y1311&gt;0,COUNTIF(Y$1009:Y1310,"&gt;0")+1,0)</f>
        <v>0</v>
      </c>
      <c r="AA1311" s="1"/>
      <c r="AB1311" s="255" t="str">
        <f t="shared" si="292"/>
        <v/>
      </c>
      <c r="AC1311" s="261" t="str">
        <f t="shared" si="294"/>
        <v/>
      </c>
      <c r="AD1311" s="258">
        <f>IF(Z1311&gt;0,COUNTIF(AC$1009:AC1310,AC1311)+1,0)</f>
        <v>0</v>
      </c>
      <c r="AE1311" s="258" t="str">
        <f t="shared" si="293"/>
        <v/>
      </c>
      <c r="AF1311" s="392" t="str">
        <f t="shared" si="295"/>
        <v/>
      </c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</row>
    <row r="1312" spans="1:93" ht="16.5" hidden="1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27">
        <f t="shared" si="296"/>
        <v>10</v>
      </c>
      <c r="U1312" s="247">
        <f>IF(OR(ISBLANK(F$68),AND(W1312&gt;(F$68-1),W1312&lt;(I$68+1))),IF(ISERROR(VLOOKUP(I$67,G$1076:G$1078,1,FALSE)),IF(K$67=G$1086,IF(MONTH(W1312)&lt;&gt;MONTH(W1311),MAX(U$1009:U1311)+1,0),IF(ISERROR(VLOOKUP(I$67,G$1079:G$1084,1,FALSE)),IF(V1312=1,MAX(U$1009:U1311)+1,0),IF(MONTH(W1313)&lt;&gt;MONTH(W1312),T1312,0))),IF(K$67=G$1086,IF(V1312=1,MAX(U$1009:U1311)+1,0),IF(V1312=7,MAX(U$1015:U1311)+1,0))),0)</f>
        <v>0</v>
      </c>
      <c r="V1312" s="27">
        <f t="shared" si="289"/>
        <v>3</v>
      </c>
      <c r="W1312" s="97">
        <f t="shared" si="290"/>
        <v>45595</v>
      </c>
      <c r="X1312" s="249" t="str">
        <f>IF(K$67=G$1086,IF(OR(U1312=1,AND(U1312&gt;0,U1312=(MAX(Y$1009:Y1311)+VLOOKUP(I$67,G$1076:H$1084,2,FALSE)))),"X",""),IF(AND(U1312&gt;0,U1312=(MAX(Y$1009:Y1311)+VLOOKUP(I$67,G$1076:H$1084,2,FALSE))),"X",""))</f>
        <v/>
      </c>
      <c r="Y1312" s="252">
        <f t="shared" si="291"/>
        <v>0</v>
      </c>
      <c r="Z1312" s="253">
        <f>IF(Y1312&gt;0,COUNTIF(Y$1009:Y1311,"&gt;0")+1,0)</f>
        <v>0</v>
      </c>
      <c r="AA1312" s="1"/>
      <c r="AB1312" s="255" t="str">
        <f t="shared" si="292"/>
        <v/>
      </c>
      <c r="AC1312" s="261" t="str">
        <f t="shared" si="294"/>
        <v/>
      </c>
      <c r="AD1312" s="258">
        <f>IF(Z1312&gt;0,COUNTIF(AC$1009:AC1311,AC1312)+1,0)</f>
        <v>0</v>
      </c>
      <c r="AE1312" s="258" t="str">
        <f t="shared" si="293"/>
        <v/>
      </c>
      <c r="AF1312" s="392" t="str">
        <f t="shared" si="295"/>
        <v/>
      </c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</row>
    <row r="1313" spans="1:93" ht="16.5" hidden="1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27">
        <f t="shared" si="296"/>
        <v>10</v>
      </c>
      <c r="U1313" s="247">
        <f>IF(OR(ISBLANK(F$68),AND(W1313&gt;(F$68-1),W1313&lt;(I$68+1))),IF(ISERROR(VLOOKUP(I$67,G$1076:G$1078,1,FALSE)),IF(K$67=G$1086,IF(MONTH(W1313)&lt;&gt;MONTH(W1312),MAX(U$1009:U1312)+1,0),IF(ISERROR(VLOOKUP(I$67,G$1079:G$1084,1,FALSE)),IF(V1313=1,MAX(U$1009:U1312)+1,0),IF(MONTH(W1314)&lt;&gt;MONTH(W1313),T1313,0))),IF(K$67=G$1086,IF(V1313=1,MAX(U$1009:U1312)+1,0),IF(V1313=7,MAX(U$1015:U1312)+1,0))),0)</f>
        <v>0</v>
      </c>
      <c r="V1313" s="27">
        <f t="shared" si="289"/>
        <v>4</v>
      </c>
      <c r="W1313" s="97">
        <f t="shared" si="290"/>
        <v>45596</v>
      </c>
      <c r="X1313" s="249" t="str">
        <f>IF(K$67=G$1086,IF(OR(U1313=1,AND(U1313&gt;0,U1313=(MAX(Y$1009:Y1312)+VLOOKUP(I$67,G$1076:H$1084,2,FALSE)))),"X",""),IF(AND(U1313&gt;0,U1313=(MAX(Y$1009:Y1312)+VLOOKUP(I$67,G$1076:H$1084,2,FALSE))),"X",""))</f>
        <v/>
      </c>
      <c r="Y1313" s="252">
        <f t="shared" si="291"/>
        <v>0</v>
      </c>
      <c r="Z1313" s="253">
        <f>IF(Y1313&gt;0,COUNTIF(Y$1009:Y1312,"&gt;0")+1,0)</f>
        <v>0</v>
      </c>
      <c r="AA1313" s="1"/>
      <c r="AB1313" s="255" t="str">
        <f t="shared" si="292"/>
        <v/>
      </c>
      <c r="AC1313" s="261" t="str">
        <f t="shared" si="294"/>
        <v/>
      </c>
      <c r="AD1313" s="258">
        <f>IF(Z1313&gt;0,COUNTIF(AC$1009:AC1312,AC1313)+1,0)</f>
        <v>0</v>
      </c>
      <c r="AE1313" s="258" t="str">
        <f t="shared" si="293"/>
        <v/>
      </c>
      <c r="AF1313" s="392" t="str">
        <f t="shared" si="295"/>
        <v/>
      </c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</row>
    <row r="1314" spans="1:93" ht="16.5" hidden="1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27">
        <f t="shared" si="296"/>
        <v>11</v>
      </c>
      <c r="U1314" s="247">
        <f>IF(OR(ISBLANK(F$68),AND(W1314&gt;(F$68-1),W1314&lt;(I$68+1))),IF(ISERROR(VLOOKUP(I$67,G$1076:G$1078,1,FALSE)),IF(K$67=G$1086,IF(MONTH(W1314)&lt;&gt;MONTH(W1313),MAX(U$1009:U1313)+1,0),IF(ISERROR(VLOOKUP(I$67,G$1079:G$1084,1,FALSE)),IF(V1314=1,MAX(U$1009:U1313)+1,0),IF(MONTH(W1315)&lt;&gt;MONTH(W1314),T1314,0))),IF(K$67=G$1086,IF(V1314=1,MAX(U$1009:U1313)+1,0),IF(V1314=7,MAX(U$1015:U1313)+1,0))),0)</f>
        <v>0</v>
      </c>
      <c r="V1314" s="27">
        <f t="shared" si="289"/>
        <v>5</v>
      </c>
      <c r="W1314" s="97">
        <f t="shared" si="290"/>
        <v>45597</v>
      </c>
      <c r="X1314" s="249" t="str">
        <f>IF(K$67=G$1086,IF(OR(U1314=1,AND(U1314&gt;0,U1314=(MAX(Y$1009:Y1313)+VLOOKUP(I$67,G$1076:H$1084,2,FALSE)))),"X",""),IF(AND(U1314&gt;0,U1314=(MAX(Y$1009:Y1313)+VLOOKUP(I$67,G$1076:H$1084,2,FALSE))),"X",""))</f>
        <v/>
      </c>
      <c r="Y1314" s="252">
        <f t="shared" si="291"/>
        <v>0</v>
      </c>
      <c r="Z1314" s="253">
        <f>IF(Y1314&gt;0,COUNTIF(Y$1009:Y1313,"&gt;0")+1,0)</f>
        <v>0</v>
      </c>
      <c r="AA1314" s="1"/>
      <c r="AB1314" s="255" t="str">
        <f t="shared" si="292"/>
        <v/>
      </c>
      <c r="AC1314" s="261" t="str">
        <f t="shared" si="294"/>
        <v/>
      </c>
      <c r="AD1314" s="258">
        <f>IF(Z1314&gt;0,COUNTIF(AC$1009:AC1313,AC1314)+1,0)</f>
        <v>0</v>
      </c>
      <c r="AE1314" s="258" t="str">
        <f t="shared" si="293"/>
        <v/>
      </c>
      <c r="AF1314" s="392" t="str">
        <f t="shared" si="295"/>
        <v/>
      </c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</row>
    <row r="1315" spans="1:93" ht="16.5" hidden="1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27">
        <f t="shared" si="296"/>
        <v>11</v>
      </c>
      <c r="U1315" s="247">
        <f>IF(OR(ISBLANK(F$68),AND(W1315&gt;(F$68-1),W1315&lt;(I$68+1))),IF(ISERROR(VLOOKUP(I$67,G$1076:G$1078,1,FALSE)),IF(K$67=G$1086,IF(MONTH(W1315)&lt;&gt;MONTH(W1314),MAX(U$1009:U1314)+1,0),IF(ISERROR(VLOOKUP(I$67,G$1079:G$1084,1,FALSE)),IF(V1315=1,MAX(U$1009:U1314)+1,0),IF(MONTH(W1316)&lt;&gt;MONTH(W1315),T1315,0))),IF(K$67=G$1086,IF(V1315=1,MAX(U$1009:U1314)+1,0),IF(V1315=7,MAX(U$1015:U1314)+1,0))),0)</f>
        <v>0</v>
      </c>
      <c r="V1315" s="27">
        <f t="shared" si="289"/>
        <v>6</v>
      </c>
      <c r="W1315" s="97">
        <f t="shared" si="290"/>
        <v>45598</v>
      </c>
      <c r="X1315" s="249" t="str">
        <f>IF(K$67=G$1086,IF(OR(U1315=1,AND(U1315&gt;0,U1315=(MAX(Y$1009:Y1314)+VLOOKUP(I$67,G$1076:H$1084,2,FALSE)))),"X",""),IF(AND(U1315&gt;0,U1315=(MAX(Y$1009:Y1314)+VLOOKUP(I$67,G$1076:H$1084,2,FALSE))),"X",""))</f>
        <v/>
      </c>
      <c r="Y1315" s="252">
        <f t="shared" si="291"/>
        <v>0</v>
      </c>
      <c r="Z1315" s="253">
        <f>IF(Y1315&gt;0,COUNTIF(Y$1009:Y1314,"&gt;0")+1,0)</f>
        <v>0</v>
      </c>
      <c r="AA1315" s="1"/>
      <c r="AB1315" s="255" t="str">
        <f t="shared" si="292"/>
        <v/>
      </c>
      <c r="AC1315" s="261" t="str">
        <f t="shared" si="294"/>
        <v/>
      </c>
      <c r="AD1315" s="258">
        <f>IF(Z1315&gt;0,COUNTIF(AC$1009:AC1314,AC1315)+1,0)</f>
        <v>0</v>
      </c>
      <c r="AE1315" s="258" t="str">
        <f t="shared" si="293"/>
        <v/>
      </c>
      <c r="AF1315" s="392" t="str">
        <f t="shared" si="295"/>
        <v/>
      </c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</row>
    <row r="1316" spans="1:93" ht="16.5" hidden="1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27">
        <f t="shared" si="296"/>
        <v>11</v>
      </c>
      <c r="U1316" s="247">
        <f>IF(OR(ISBLANK(F$68),AND(W1316&gt;(F$68-1),W1316&lt;(I$68+1))),IF(ISERROR(VLOOKUP(I$67,G$1076:G$1078,1,FALSE)),IF(K$67=G$1086,IF(MONTH(W1316)&lt;&gt;MONTH(W1315),MAX(U$1009:U1315)+1,0),IF(ISERROR(VLOOKUP(I$67,G$1079:G$1084,1,FALSE)),IF(V1316=1,MAX(U$1009:U1315)+1,0),IF(MONTH(W1317)&lt;&gt;MONTH(W1316),T1316,0))),IF(K$67=G$1086,IF(V1316=1,MAX(U$1009:U1315)+1,0),IF(V1316=7,MAX(U$1015:U1315)+1,0))),0)</f>
        <v>0</v>
      </c>
      <c r="V1316" s="27">
        <f t="shared" si="289"/>
        <v>7</v>
      </c>
      <c r="W1316" s="97">
        <f t="shared" si="290"/>
        <v>45599</v>
      </c>
      <c r="X1316" s="249" t="str">
        <f>IF(K$67=G$1086,IF(OR(U1316=1,AND(U1316&gt;0,U1316=(MAX(Y$1009:Y1315)+VLOOKUP(I$67,G$1076:H$1084,2,FALSE)))),"X",""),IF(AND(U1316&gt;0,U1316=(MAX(Y$1009:Y1315)+VLOOKUP(I$67,G$1076:H$1084,2,FALSE))),"X",""))</f>
        <v/>
      </c>
      <c r="Y1316" s="252">
        <f t="shared" si="291"/>
        <v>0</v>
      </c>
      <c r="Z1316" s="253">
        <f>IF(Y1316&gt;0,COUNTIF(Y$1009:Y1315,"&gt;0")+1,0)</f>
        <v>0</v>
      </c>
      <c r="AA1316" s="1"/>
      <c r="AB1316" s="255" t="str">
        <f t="shared" si="292"/>
        <v/>
      </c>
      <c r="AC1316" s="261" t="str">
        <f t="shared" si="294"/>
        <v/>
      </c>
      <c r="AD1316" s="258">
        <f>IF(Z1316&gt;0,COUNTIF(AC$1009:AC1315,AC1316)+1,0)</f>
        <v>0</v>
      </c>
      <c r="AE1316" s="258" t="str">
        <f t="shared" si="293"/>
        <v/>
      </c>
      <c r="AF1316" s="392" t="str">
        <f t="shared" si="295"/>
        <v/>
      </c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</row>
    <row r="1317" spans="1:93" ht="16.5" hidden="1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27">
        <f t="shared" si="296"/>
        <v>11</v>
      </c>
      <c r="U1317" s="247">
        <f>IF(OR(ISBLANK(F$68),AND(W1317&gt;(F$68-1),W1317&lt;(I$68+1))),IF(ISERROR(VLOOKUP(I$67,G$1076:G$1078,1,FALSE)),IF(K$67=G$1086,IF(MONTH(W1317)&lt;&gt;MONTH(W1316),MAX(U$1009:U1316)+1,0),IF(ISERROR(VLOOKUP(I$67,G$1079:G$1084,1,FALSE)),IF(V1317=1,MAX(U$1009:U1316)+1,0),IF(MONTH(W1318)&lt;&gt;MONTH(W1317),T1317,0))),IF(K$67=G$1086,IF(V1317=1,MAX(U$1009:U1316)+1,0),IF(V1317=7,MAX(U$1015:U1316)+1,0))),0)</f>
        <v>45</v>
      </c>
      <c r="V1317" s="27">
        <f t="shared" si="289"/>
        <v>1</v>
      </c>
      <c r="W1317" s="97">
        <f t="shared" si="290"/>
        <v>45600</v>
      </c>
      <c r="X1317" s="249" t="str">
        <f>IF(K$67=G$1086,IF(OR(U1317=1,AND(U1317&gt;0,U1317=(MAX(Y$1009:Y1316)+VLOOKUP(I$67,G$1076:H$1084,2,FALSE)))),"X",""),IF(AND(U1317&gt;0,U1317=(MAX(Y$1009:Y1316)+VLOOKUP(I$67,G$1076:H$1084,2,FALSE))),"X",""))</f>
        <v>X</v>
      </c>
      <c r="Y1317" s="252">
        <f t="shared" si="291"/>
        <v>45</v>
      </c>
      <c r="Z1317" s="253">
        <f>IF(Y1317&gt;0,COUNTIF(Y$1009:Y1316,"&gt;0")+1,0)</f>
        <v>23</v>
      </c>
      <c r="AA1317" s="1"/>
      <c r="AB1317" s="255">
        <f t="shared" si="292"/>
        <v>45600</v>
      </c>
      <c r="AC1317" s="261">
        <f t="shared" si="294"/>
        <v>11</v>
      </c>
      <c r="AD1317" s="258">
        <f>IF(Z1317&gt;0,COUNTIF(AC$1009:AC1316,AC1317)+1,0)</f>
        <v>1</v>
      </c>
      <c r="AE1317" s="258" t="str">
        <f t="shared" si="293"/>
        <v>11-1</v>
      </c>
      <c r="AF1317" s="392">
        <f t="shared" si="295"/>
        <v>45600</v>
      </c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</row>
    <row r="1318" spans="1:93" ht="16.5" hidden="1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27">
        <f t="shared" si="296"/>
        <v>11</v>
      </c>
      <c r="U1318" s="247">
        <f>IF(OR(ISBLANK(F$68),AND(W1318&gt;(F$68-1),W1318&lt;(I$68+1))),IF(ISERROR(VLOOKUP(I$67,G$1076:G$1078,1,FALSE)),IF(K$67=G$1086,IF(MONTH(W1318)&lt;&gt;MONTH(W1317),MAX(U$1009:U1317)+1,0),IF(ISERROR(VLOOKUP(I$67,G$1079:G$1084,1,FALSE)),IF(V1318=1,MAX(U$1009:U1317)+1,0),IF(MONTH(W1319)&lt;&gt;MONTH(W1318),T1318,0))),IF(K$67=G$1086,IF(V1318=1,MAX(U$1009:U1317)+1,0),IF(V1318=7,MAX(U$1015:U1317)+1,0))),0)</f>
        <v>0</v>
      </c>
      <c r="V1318" s="27">
        <f t="shared" si="289"/>
        <v>2</v>
      </c>
      <c r="W1318" s="97">
        <f t="shared" si="290"/>
        <v>45601</v>
      </c>
      <c r="X1318" s="249" t="str">
        <f>IF(K$67=G$1086,IF(OR(U1318=1,AND(U1318&gt;0,U1318=(MAX(Y$1009:Y1317)+VLOOKUP(I$67,G$1076:H$1084,2,FALSE)))),"X",""),IF(AND(U1318&gt;0,U1318=(MAX(Y$1009:Y1317)+VLOOKUP(I$67,G$1076:H$1084,2,FALSE))),"X",""))</f>
        <v/>
      </c>
      <c r="Y1318" s="252">
        <f t="shared" si="291"/>
        <v>0</v>
      </c>
      <c r="Z1318" s="253">
        <f>IF(Y1318&gt;0,COUNTIF(Y$1009:Y1317,"&gt;0")+1,0)</f>
        <v>0</v>
      </c>
      <c r="AA1318" s="1"/>
      <c r="AB1318" s="255" t="str">
        <f t="shared" si="292"/>
        <v/>
      </c>
      <c r="AC1318" s="261" t="str">
        <f t="shared" si="294"/>
        <v/>
      </c>
      <c r="AD1318" s="258">
        <f>IF(Z1318&gt;0,COUNTIF(AC$1009:AC1317,AC1318)+1,0)</f>
        <v>0</v>
      </c>
      <c r="AE1318" s="258" t="str">
        <f t="shared" si="293"/>
        <v/>
      </c>
      <c r="AF1318" s="392" t="str">
        <f t="shared" si="295"/>
        <v/>
      </c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</row>
    <row r="1319" spans="1:93" ht="16.5" hidden="1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27">
        <f t="shared" si="296"/>
        <v>11</v>
      </c>
      <c r="U1319" s="247">
        <f>IF(OR(ISBLANK(F$68),AND(W1319&gt;(F$68-1),W1319&lt;(I$68+1))),IF(ISERROR(VLOOKUP(I$67,G$1076:G$1078,1,FALSE)),IF(K$67=G$1086,IF(MONTH(W1319)&lt;&gt;MONTH(W1318),MAX(U$1009:U1318)+1,0),IF(ISERROR(VLOOKUP(I$67,G$1079:G$1084,1,FALSE)),IF(V1319=1,MAX(U$1009:U1318)+1,0),IF(MONTH(W1320)&lt;&gt;MONTH(W1319),T1319,0))),IF(K$67=G$1086,IF(V1319=1,MAX(U$1009:U1318)+1,0),IF(V1319=7,MAX(U$1015:U1318)+1,0))),0)</f>
        <v>0</v>
      </c>
      <c r="V1319" s="27">
        <f t="shared" si="289"/>
        <v>3</v>
      </c>
      <c r="W1319" s="97">
        <f t="shared" si="290"/>
        <v>45602</v>
      </c>
      <c r="X1319" s="249" t="str">
        <f>IF(K$67=G$1086,IF(OR(U1319=1,AND(U1319&gt;0,U1319=(MAX(Y$1009:Y1318)+VLOOKUP(I$67,G$1076:H$1084,2,FALSE)))),"X",""),IF(AND(U1319&gt;0,U1319=(MAX(Y$1009:Y1318)+VLOOKUP(I$67,G$1076:H$1084,2,FALSE))),"X",""))</f>
        <v/>
      </c>
      <c r="Y1319" s="252">
        <f t="shared" si="291"/>
        <v>0</v>
      </c>
      <c r="Z1319" s="253">
        <f>IF(Y1319&gt;0,COUNTIF(Y$1009:Y1318,"&gt;0")+1,0)</f>
        <v>0</v>
      </c>
      <c r="AA1319" s="1"/>
      <c r="AB1319" s="255" t="str">
        <f t="shared" si="292"/>
        <v/>
      </c>
      <c r="AC1319" s="261" t="str">
        <f t="shared" si="294"/>
        <v/>
      </c>
      <c r="AD1319" s="258">
        <f>IF(Z1319&gt;0,COUNTIF(AC$1009:AC1318,AC1319)+1,0)</f>
        <v>0</v>
      </c>
      <c r="AE1319" s="258" t="str">
        <f t="shared" si="293"/>
        <v/>
      </c>
      <c r="AF1319" s="392" t="str">
        <f t="shared" si="295"/>
        <v/>
      </c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</row>
    <row r="1320" spans="1:93" ht="16.5" hidden="1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27">
        <f t="shared" si="296"/>
        <v>11</v>
      </c>
      <c r="U1320" s="247">
        <f>IF(OR(ISBLANK(F$68),AND(W1320&gt;(F$68-1),W1320&lt;(I$68+1))),IF(ISERROR(VLOOKUP(I$67,G$1076:G$1078,1,FALSE)),IF(K$67=G$1086,IF(MONTH(W1320)&lt;&gt;MONTH(W1319),MAX(U$1009:U1319)+1,0),IF(ISERROR(VLOOKUP(I$67,G$1079:G$1084,1,FALSE)),IF(V1320=1,MAX(U$1009:U1319)+1,0),IF(MONTH(W1321)&lt;&gt;MONTH(W1320),T1320,0))),IF(K$67=G$1086,IF(V1320=1,MAX(U$1009:U1319)+1,0),IF(V1320=7,MAX(U$1015:U1319)+1,0))),0)</f>
        <v>0</v>
      </c>
      <c r="V1320" s="27">
        <f t="shared" si="289"/>
        <v>4</v>
      </c>
      <c r="W1320" s="97">
        <f t="shared" si="290"/>
        <v>45603</v>
      </c>
      <c r="X1320" s="249" t="str">
        <f>IF(K$67=G$1086,IF(OR(U1320=1,AND(U1320&gt;0,U1320=(MAX(Y$1009:Y1319)+VLOOKUP(I$67,G$1076:H$1084,2,FALSE)))),"X",""),IF(AND(U1320&gt;0,U1320=(MAX(Y$1009:Y1319)+VLOOKUP(I$67,G$1076:H$1084,2,FALSE))),"X",""))</f>
        <v/>
      </c>
      <c r="Y1320" s="252">
        <f t="shared" si="291"/>
        <v>0</v>
      </c>
      <c r="Z1320" s="253">
        <f>IF(Y1320&gt;0,COUNTIF(Y$1009:Y1319,"&gt;0")+1,0)</f>
        <v>0</v>
      </c>
      <c r="AA1320" s="1"/>
      <c r="AB1320" s="255" t="str">
        <f t="shared" si="292"/>
        <v/>
      </c>
      <c r="AC1320" s="261" t="str">
        <f t="shared" si="294"/>
        <v/>
      </c>
      <c r="AD1320" s="258">
        <f>IF(Z1320&gt;0,COUNTIF(AC$1009:AC1319,AC1320)+1,0)</f>
        <v>0</v>
      </c>
      <c r="AE1320" s="258" t="str">
        <f t="shared" si="293"/>
        <v/>
      </c>
      <c r="AF1320" s="392" t="str">
        <f t="shared" si="295"/>
        <v/>
      </c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</row>
    <row r="1321" spans="1:93" ht="16.5" hidden="1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27">
        <f t="shared" si="296"/>
        <v>11</v>
      </c>
      <c r="U1321" s="247">
        <f>IF(OR(ISBLANK(F$68),AND(W1321&gt;(F$68-1),W1321&lt;(I$68+1))),IF(ISERROR(VLOOKUP(I$67,G$1076:G$1078,1,FALSE)),IF(K$67=G$1086,IF(MONTH(W1321)&lt;&gt;MONTH(W1320),MAX(U$1009:U1320)+1,0),IF(ISERROR(VLOOKUP(I$67,G$1079:G$1084,1,FALSE)),IF(V1321=1,MAX(U$1009:U1320)+1,0),IF(MONTH(W1322)&lt;&gt;MONTH(W1321),T1321,0))),IF(K$67=G$1086,IF(V1321=1,MAX(U$1009:U1320)+1,0),IF(V1321=7,MAX(U$1015:U1320)+1,0))),0)</f>
        <v>0</v>
      </c>
      <c r="V1321" s="27">
        <f t="shared" si="289"/>
        <v>5</v>
      </c>
      <c r="W1321" s="97">
        <f t="shared" si="290"/>
        <v>45604</v>
      </c>
      <c r="X1321" s="249" t="str">
        <f>IF(K$67=G$1086,IF(OR(U1321=1,AND(U1321&gt;0,U1321=(MAX(Y$1009:Y1320)+VLOOKUP(I$67,G$1076:H$1084,2,FALSE)))),"X",""),IF(AND(U1321&gt;0,U1321=(MAX(Y$1009:Y1320)+VLOOKUP(I$67,G$1076:H$1084,2,FALSE))),"X",""))</f>
        <v/>
      </c>
      <c r="Y1321" s="252">
        <f t="shared" si="291"/>
        <v>0</v>
      </c>
      <c r="Z1321" s="253">
        <f>IF(Y1321&gt;0,COUNTIF(Y$1009:Y1320,"&gt;0")+1,0)</f>
        <v>0</v>
      </c>
      <c r="AA1321" s="1"/>
      <c r="AB1321" s="255" t="str">
        <f t="shared" si="292"/>
        <v/>
      </c>
      <c r="AC1321" s="261" t="str">
        <f t="shared" si="294"/>
        <v/>
      </c>
      <c r="AD1321" s="258">
        <f>IF(Z1321&gt;0,COUNTIF(AC$1009:AC1320,AC1321)+1,0)</f>
        <v>0</v>
      </c>
      <c r="AE1321" s="258" t="str">
        <f t="shared" si="293"/>
        <v/>
      </c>
      <c r="AF1321" s="392" t="str">
        <f t="shared" si="295"/>
        <v/>
      </c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</row>
    <row r="1322" spans="1:93" ht="16.5" hidden="1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27">
        <f t="shared" si="296"/>
        <v>11</v>
      </c>
      <c r="U1322" s="247">
        <f>IF(OR(ISBLANK(F$68),AND(W1322&gt;(F$68-1),W1322&lt;(I$68+1))),IF(ISERROR(VLOOKUP(I$67,G$1076:G$1078,1,FALSE)),IF(K$67=G$1086,IF(MONTH(W1322)&lt;&gt;MONTH(W1321),MAX(U$1009:U1321)+1,0),IF(ISERROR(VLOOKUP(I$67,G$1079:G$1084,1,FALSE)),IF(V1322=1,MAX(U$1009:U1321)+1,0),IF(MONTH(W1323)&lt;&gt;MONTH(W1322),T1322,0))),IF(K$67=G$1086,IF(V1322=1,MAX(U$1009:U1321)+1,0),IF(V1322=7,MAX(U$1015:U1321)+1,0))),0)</f>
        <v>0</v>
      </c>
      <c r="V1322" s="27">
        <f t="shared" si="289"/>
        <v>6</v>
      </c>
      <c r="W1322" s="97">
        <f t="shared" si="290"/>
        <v>45605</v>
      </c>
      <c r="X1322" s="249" t="str">
        <f>IF(K$67=G$1086,IF(OR(U1322=1,AND(U1322&gt;0,U1322=(MAX(Y$1009:Y1321)+VLOOKUP(I$67,G$1076:H$1084,2,FALSE)))),"X",""),IF(AND(U1322&gt;0,U1322=(MAX(Y$1009:Y1321)+VLOOKUP(I$67,G$1076:H$1084,2,FALSE))),"X",""))</f>
        <v/>
      </c>
      <c r="Y1322" s="252">
        <f t="shared" si="291"/>
        <v>0</v>
      </c>
      <c r="Z1322" s="253">
        <f>IF(Y1322&gt;0,COUNTIF(Y$1009:Y1321,"&gt;0")+1,0)</f>
        <v>0</v>
      </c>
      <c r="AA1322" s="1"/>
      <c r="AB1322" s="255" t="str">
        <f t="shared" si="292"/>
        <v/>
      </c>
      <c r="AC1322" s="261" t="str">
        <f t="shared" si="294"/>
        <v/>
      </c>
      <c r="AD1322" s="258">
        <f>IF(Z1322&gt;0,COUNTIF(AC$1009:AC1321,AC1322)+1,0)</f>
        <v>0</v>
      </c>
      <c r="AE1322" s="258" t="str">
        <f t="shared" si="293"/>
        <v/>
      </c>
      <c r="AF1322" s="392" t="str">
        <f t="shared" si="295"/>
        <v/>
      </c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</row>
    <row r="1323" spans="1:93" ht="16.5" hidden="1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27">
        <f t="shared" si="296"/>
        <v>11</v>
      </c>
      <c r="U1323" s="247">
        <f>IF(OR(ISBLANK(F$68),AND(W1323&gt;(F$68-1),W1323&lt;(I$68+1))),IF(ISERROR(VLOOKUP(I$67,G$1076:G$1078,1,FALSE)),IF(K$67=G$1086,IF(MONTH(W1323)&lt;&gt;MONTH(W1322),MAX(U$1009:U1322)+1,0),IF(ISERROR(VLOOKUP(I$67,G$1079:G$1084,1,FALSE)),IF(V1323=1,MAX(U$1009:U1322)+1,0),IF(MONTH(W1324)&lt;&gt;MONTH(W1323),T1323,0))),IF(K$67=G$1086,IF(V1323=1,MAX(U$1009:U1322)+1,0),IF(V1323=7,MAX(U$1015:U1322)+1,0))),0)</f>
        <v>0</v>
      </c>
      <c r="V1323" s="27">
        <f t="shared" si="289"/>
        <v>7</v>
      </c>
      <c r="W1323" s="97">
        <f t="shared" si="290"/>
        <v>45606</v>
      </c>
      <c r="X1323" s="249" t="str">
        <f>IF(K$67=G$1086,IF(OR(U1323=1,AND(U1323&gt;0,U1323=(MAX(Y$1009:Y1322)+VLOOKUP(I$67,G$1076:H$1084,2,FALSE)))),"X",""),IF(AND(U1323&gt;0,U1323=(MAX(Y$1009:Y1322)+VLOOKUP(I$67,G$1076:H$1084,2,FALSE))),"X",""))</f>
        <v/>
      </c>
      <c r="Y1323" s="252">
        <f t="shared" si="291"/>
        <v>0</v>
      </c>
      <c r="Z1323" s="253">
        <f>IF(Y1323&gt;0,COUNTIF(Y$1009:Y1322,"&gt;0")+1,0)</f>
        <v>0</v>
      </c>
      <c r="AA1323" s="1"/>
      <c r="AB1323" s="255" t="str">
        <f t="shared" si="292"/>
        <v/>
      </c>
      <c r="AC1323" s="261" t="str">
        <f t="shared" si="294"/>
        <v/>
      </c>
      <c r="AD1323" s="258">
        <f>IF(Z1323&gt;0,COUNTIF(AC$1009:AC1322,AC1323)+1,0)</f>
        <v>0</v>
      </c>
      <c r="AE1323" s="258" t="str">
        <f t="shared" si="293"/>
        <v/>
      </c>
      <c r="AF1323" s="392" t="str">
        <f t="shared" si="295"/>
        <v/>
      </c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</row>
    <row r="1324" spans="1:93" ht="16.5" hidden="1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27">
        <f t="shared" si="296"/>
        <v>11</v>
      </c>
      <c r="U1324" s="247">
        <f>IF(OR(ISBLANK(F$68),AND(W1324&gt;(F$68-1),W1324&lt;(I$68+1))),IF(ISERROR(VLOOKUP(I$67,G$1076:G$1078,1,FALSE)),IF(K$67=G$1086,IF(MONTH(W1324)&lt;&gt;MONTH(W1323),MAX(U$1009:U1323)+1,0),IF(ISERROR(VLOOKUP(I$67,G$1079:G$1084,1,FALSE)),IF(V1324=1,MAX(U$1009:U1323)+1,0),IF(MONTH(W1325)&lt;&gt;MONTH(W1324),T1324,0))),IF(K$67=G$1086,IF(V1324=1,MAX(U$1009:U1323)+1,0),IF(V1324=7,MAX(U$1015:U1323)+1,0))),0)</f>
        <v>46</v>
      </c>
      <c r="V1324" s="27">
        <f t="shared" si="289"/>
        <v>1</v>
      </c>
      <c r="W1324" s="97">
        <f t="shared" si="290"/>
        <v>45607</v>
      </c>
      <c r="X1324" s="249" t="str">
        <f>IF(K$67=G$1086,IF(OR(U1324=1,AND(U1324&gt;0,U1324=(MAX(Y$1009:Y1323)+VLOOKUP(I$67,G$1076:H$1084,2,FALSE)))),"X",""),IF(AND(U1324&gt;0,U1324=(MAX(Y$1009:Y1323)+VLOOKUP(I$67,G$1076:H$1084,2,FALSE))),"X",""))</f>
        <v/>
      </c>
      <c r="Y1324" s="252">
        <f t="shared" si="291"/>
        <v>0</v>
      </c>
      <c r="Z1324" s="253">
        <f>IF(Y1324&gt;0,COUNTIF(Y$1009:Y1323,"&gt;0")+1,0)</f>
        <v>0</v>
      </c>
      <c r="AA1324" s="1"/>
      <c r="AB1324" s="255" t="str">
        <f t="shared" si="292"/>
        <v/>
      </c>
      <c r="AC1324" s="261" t="str">
        <f t="shared" si="294"/>
        <v/>
      </c>
      <c r="AD1324" s="258">
        <f>IF(Z1324&gt;0,COUNTIF(AC$1009:AC1323,AC1324)+1,0)</f>
        <v>0</v>
      </c>
      <c r="AE1324" s="258" t="str">
        <f t="shared" si="293"/>
        <v/>
      </c>
      <c r="AF1324" s="392" t="str">
        <f t="shared" si="295"/>
        <v/>
      </c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</row>
    <row r="1325" spans="1:93" ht="16.5" hidden="1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27">
        <f t="shared" si="296"/>
        <v>11</v>
      </c>
      <c r="U1325" s="247">
        <f>IF(OR(ISBLANK(F$68),AND(W1325&gt;(F$68-1),W1325&lt;(I$68+1))),IF(ISERROR(VLOOKUP(I$67,G$1076:G$1078,1,FALSE)),IF(K$67=G$1086,IF(MONTH(W1325)&lt;&gt;MONTH(W1324),MAX(U$1009:U1324)+1,0),IF(ISERROR(VLOOKUP(I$67,G$1079:G$1084,1,FALSE)),IF(V1325=1,MAX(U$1009:U1324)+1,0),IF(MONTH(W1326)&lt;&gt;MONTH(W1325),T1325,0))),IF(K$67=G$1086,IF(V1325=1,MAX(U$1009:U1324)+1,0),IF(V1325=7,MAX(U$1015:U1324)+1,0))),0)</f>
        <v>0</v>
      </c>
      <c r="V1325" s="27">
        <f t="shared" si="289"/>
        <v>2</v>
      </c>
      <c r="W1325" s="97">
        <f t="shared" si="290"/>
        <v>45608</v>
      </c>
      <c r="X1325" s="249" t="str">
        <f>IF(K$67=G$1086,IF(OR(U1325=1,AND(U1325&gt;0,U1325=(MAX(Y$1009:Y1324)+VLOOKUP(I$67,G$1076:H$1084,2,FALSE)))),"X",""),IF(AND(U1325&gt;0,U1325=(MAX(Y$1009:Y1324)+VLOOKUP(I$67,G$1076:H$1084,2,FALSE))),"X",""))</f>
        <v/>
      </c>
      <c r="Y1325" s="252">
        <f t="shared" si="291"/>
        <v>0</v>
      </c>
      <c r="Z1325" s="253">
        <f>IF(Y1325&gt;0,COUNTIF(Y$1009:Y1324,"&gt;0")+1,0)</f>
        <v>0</v>
      </c>
      <c r="AA1325" s="1"/>
      <c r="AB1325" s="255" t="str">
        <f t="shared" si="292"/>
        <v/>
      </c>
      <c r="AC1325" s="261" t="str">
        <f t="shared" si="294"/>
        <v/>
      </c>
      <c r="AD1325" s="258">
        <f>IF(Z1325&gt;0,COUNTIF(AC$1009:AC1324,AC1325)+1,0)</f>
        <v>0</v>
      </c>
      <c r="AE1325" s="258" t="str">
        <f t="shared" si="293"/>
        <v/>
      </c>
      <c r="AF1325" s="392" t="str">
        <f t="shared" si="295"/>
        <v/>
      </c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</row>
    <row r="1326" spans="1:93" ht="16.5" hidden="1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27">
        <f t="shared" si="296"/>
        <v>11</v>
      </c>
      <c r="U1326" s="247">
        <f>IF(OR(ISBLANK(F$68),AND(W1326&gt;(F$68-1),W1326&lt;(I$68+1))),IF(ISERROR(VLOOKUP(I$67,G$1076:G$1078,1,FALSE)),IF(K$67=G$1086,IF(MONTH(W1326)&lt;&gt;MONTH(W1325),MAX(U$1009:U1325)+1,0),IF(ISERROR(VLOOKUP(I$67,G$1079:G$1084,1,FALSE)),IF(V1326=1,MAX(U$1009:U1325)+1,0),IF(MONTH(W1327)&lt;&gt;MONTH(W1326),T1326,0))),IF(K$67=G$1086,IF(V1326=1,MAX(U$1009:U1325)+1,0),IF(V1326=7,MAX(U$1015:U1325)+1,0))),0)</f>
        <v>0</v>
      </c>
      <c r="V1326" s="27">
        <f t="shared" si="289"/>
        <v>3</v>
      </c>
      <c r="W1326" s="97">
        <f t="shared" si="290"/>
        <v>45609</v>
      </c>
      <c r="X1326" s="249" t="str">
        <f>IF(K$67=G$1086,IF(OR(U1326=1,AND(U1326&gt;0,U1326=(MAX(Y$1009:Y1325)+VLOOKUP(I$67,G$1076:H$1084,2,FALSE)))),"X",""),IF(AND(U1326&gt;0,U1326=(MAX(Y$1009:Y1325)+VLOOKUP(I$67,G$1076:H$1084,2,FALSE))),"X",""))</f>
        <v/>
      </c>
      <c r="Y1326" s="252">
        <f t="shared" si="291"/>
        <v>0</v>
      </c>
      <c r="Z1326" s="253">
        <f>IF(Y1326&gt;0,COUNTIF(Y$1009:Y1325,"&gt;0")+1,0)</f>
        <v>0</v>
      </c>
      <c r="AA1326" s="1"/>
      <c r="AB1326" s="255" t="str">
        <f t="shared" si="292"/>
        <v/>
      </c>
      <c r="AC1326" s="261" t="str">
        <f t="shared" si="294"/>
        <v/>
      </c>
      <c r="AD1326" s="258">
        <f>IF(Z1326&gt;0,COUNTIF(AC$1009:AC1325,AC1326)+1,0)</f>
        <v>0</v>
      </c>
      <c r="AE1326" s="258" t="str">
        <f t="shared" si="293"/>
        <v/>
      </c>
      <c r="AF1326" s="392" t="str">
        <f t="shared" si="295"/>
        <v/>
      </c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</row>
    <row r="1327" spans="1:93" ht="16.5" hidden="1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27">
        <f t="shared" si="296"/>
        <v>11</v>
      </c>
      <c r="U1327" s="247">
        <f>IF(OR(ISBLANK(F$68),AND(W1327&gt;(F$68-1),W1327&lt;(I$68+1))),IF(ISERROR(VLOOKUP(I$67,G$1076:G$1078,1,FALSE)),IF(K$67=G$1086,IF(MONTH(W1327)&lt;&gt;MONTH(W1326),MAX(U$1009:U1326)+1,0),IF(ISERROR(VLOOKUP(I$67,G$1079:G$1084,1,FALSE)),IF(V1327=1,MAX(U$1009:U1326)+1,0),IF(MONTH(W1328)&lt;&gt;MONTH(W1327),T1327,0))),IF(K$67=G$1086,IF(V1327=1,MAX(U$1009:U1326)+1,0),IF(V1327=7,MAX(U$1015:U1326)+1,0))),0)</f>
        <v>0</v>
      </c>
      <c r="V1327" s="27">
        <f t="shared" si="289"/>
        <v>4</v>
      </c>
      <c r="W1327" s="97">
        <f t="shared" si="290"/>
        <v>45610</v>
      </c>
      <c r="X1327" s="249" t="str">
        <f>IF(K$67=G$1086,IF(OR(U1327=1,AND(U1327&gt;0,U1327=(MAX(Y$1009:Y1326)+VLOOKUP(I$67,G$1076:H$1084,2,FALSE)))),"X",""),IF(AND(U1327&gt;0,U1327=(MAX(Y$1009:Y1326)+VLOOKUP(I$67,G$1076:H$1084,2,FALSE))),"X",""))</f>
        <v/>
      </c>
      <c r="Y1327" s="252">
        <f t="shared" si="291"/>
        <v>0</v>
      </c>
      <c r="Z1327" s="253">
        <f>IF(Y1327&gt;0,COUNTIF(Y$1009:Y1326,"&gt;0")+1,0)</f>
        <v>0</v>
      </c>
      <c r="AA1327" s="1"/>
      <c r="AB1327" s="255" t="str">
        <f t="shared" si="292"/>
        <v/>
      </c>
      <c r="AC1327" s="261" t="str">
        <f t="shared" si="294"/>
        <v/>
      </c>
      <c r="AD1327" s="258">
        <f>IF(Z1327&gt;0,COUNTIF(AC$1009:AC1326,AC1327)+1,0)</f>
        <v>0</v>
      </c>
      <c r="AE1327" s="258" t="str">
        <f t="shared" si="293"/>
        <v/>
      </c>
      <c r="AF1327" s="392" t="str">
        <f t="shared" si="295"/>
        <v/>
      </c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</row>
    <row r="1328" spans="1:93" ht="16.5" hidden="1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27">
        <f t="shared" si="296"/>
        <v>11</v>
      </c>
      <c r="U1328" s="247">
        <f>IF(OR(ISBLANK(F$68),AND(W1328&gt;(F$68-1),W1328&lt;(I$68+1))),IF(ISERROR(VLOOKUP(I$67,G$1076:G$1078,1,FALSE)),IF(K$67=G$1086,IF(MONTH(W1328)&lt;&gt;MONTH(W1327),MAX(U$1009:U1327)+1,0),IF(ISERROR(VLOOKUP(I$67,G$1079:G$1084,1,FALSE)),IF(V1328=1,MAX(U$1009:U1327)+1,0),IF(MONTH(W1329)&lt;&gt;MONTH(W1328),T1328,0))),IF(K$67=G$1086,IF(V1328=1,MAX(U$1009:U1327)+1,0),IF(V1328=7,MAX(U$1015:U1327)+1,0))),0)</f>
        <v>0</v>
      </c>
      <c r="V1328" s="27">
        <f t="shared" si="289"/>
        <v>5</v>
      </c>
      <c r="W1328" s="97">
        <f t="shared" si="290"/>
        <v>45611</v>
      </c>
      <c r="X1328" s="249" t="str">
        <f>IF(K$67=G$1086,IF(OR(U1328=1,AND(U1328&gt;0,U1328=(MAX(Y$1009:Y1327)+VLOOKUP(I$67,G$1076:H$1084,2,FALSE)))),"X",""),IF(AND(U1328&gt;0,U1328=(MAX(Y$1009:Y1327)+VLOOKUP(I$67,G$1076:H$1084,2,FALSE))),"X",""))</f>
        <v/>
      </c>
      <c r="Y1328" s="252">
        <f t="shared" si="291"/>
        <v>0</v>
      </c>
      <c r="Z1328" s="253">
        <f>IF(Y1328&gt;0,COUNTIF(Y$1009:Y1327,"&gt;0")+1,0)</f>
        <v>0</v>
      </c>
      <c r="AA1328" s="1"/>
      <c r="AB1328" s="255" t="str">
        <f t="shared" si="292"/>
        <v/>
      </c>
      <c r="AC1328" s="261" t="str">
        <f t="shared" si="294"/>
        <v/>
      </c>
      <c r="AD1328" s="258">
        <f>IF(Z1328&gt;0,COUNTIF(AC$1009:AC1327,AC1328)+1,0)</f>
        <v>0</v>
      </c>
      <c r="AE1328" s="258" t="str">
        <f t="shared" si="293"/>
        <v/>
      </c>
      <c r="AF1328" s="392" t="str">
        <f t="shared" si="295"/>
        <v/>
      </c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</row>
    <row r="1329" spans="1:93" ht="16.5" hidden="1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27">
        <f t="shared" si="296"/>
        <v>11</v>
      </c>
      <c r="U1329" s="247">
        <f>IF(OR(ISBLANK(F$68),AND(W1329&gt;(F$68-1),W1329&lt;(I$68+1))),IF(ISERROR(VLOOKUP(I$67,G$1076:G$1078,1,FALSE)),IF(K$67=G$1086,IF(MONTH(W1329)&lt;&gt;MONTH(W1328),MAX(U$1009:U1328)+1,0),IF(ISERROR(VLOOKUP(I$67,G$1079:G$1084,1,FALSE)),IF(V1329=1,MAX(U$1009:U1328)+1,0),IF(MONTH(W1330)&lt;&gt;MONTH(W1329),T1329,0))),IF(K$67=G$1086,IF(V1329=1,MAX(U$1009:U1328)+1,0),IF(V1329=7,MAX(U$1015:U1328)+1,0))),0)</f>
        <v>0</v>
      </c>
      <c r="V1329" s="27">
        <f t="shared" ref="V1329:V1374" si="297">WEEKDAY(W1329,2)</f>
        <v>6</v>
      </c>
      <c r="W1329" s="97">
        <f t="shared" si="290"/>
        <v>45612</v>
      </c>
      <c r="X1329" s="249" t="str">
        <f>IF(K$67=G$1086,IF(OR(U1329=1,AND(U1329&gt;0,U1329=(MAX(Y$1009:Y1328)+VLOOKUP(I$67,G$1076:H$1084,2,FALSE)))),"X",""),IF(AND(U1329&gt;0,U1329=(MAX(Y$1009:Y1328)+VLOOKUP(I$67,G$1076:H$1084,2,FALSE))),"X",""))</f>
        <v/>
      </c>
      <c r="Y1329" s="252">
        <f t="shared" si="291"/>
        <v>0</v>
      </c>
      <c r="Z1329" s="253">
        <f>IF(Y1329&gt;0,COUNTIF(Y$1009:Y1328,"&gt;0")+1,0)</f>
        <v>0</v>
      </c>
      <c r="AA1329" s="1"/>
      <c r="AB1329" s="255" t="str">
        <f t="shared" si="292"/>
        <v/>
      </c>
      <c r="AC1329" s="261" t="str">
        <f t="shared" si="294"/>
        <v/>
      </c>
      <c r="AD1329" s="258">
        <f>IF(Z1329&gt;0,COUNTIF(AC$1009:AC1328,AC1329)+1,0)</f>
        <v>0</v>
      </c>
      <c r="AE1329" s="258" t="str">
        <f t="shared" si="293"/>
        <v/>
      </c>
      <c r="AF1329" s="392" t="str">
        <f t="shared" si="295"/>
        <v/>
      </c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</row>
    <row r="1330" spans="1:93" ht="16.5" hidden="1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27">
        <f t="shared" si="296"/>
        <v>11</v>
      </c>
      <c r="U1330" s="247">
        <f>IF(OR(ISBLANK(F$68),AND(W1330&gt;(F$68-1),W1330&lt;(I$68+1))),IF(ISERROR(VLOOKUP(I$67,G$1076:G$1078,1,FALSE)),IF(K$67=G$1086,IF(MONTH(W1330)&lt;&gt;MONTH(W1329),MAX(U$1009:U1329)+1,0),IF(ISERROR(VLOOKUP(I$67,G$1079:G$1084,1,FALSE)),IF(V1330=1,MAX(U$1009:U1329)+1,0),IF(MONTH(W1331)&lt;&gt;MONTH(W1330),T1330,0))),IF(K$67=G$1086,IF(V1330=1,MAX(U$1009:U1329)+1,0),IF(V1330=7,MAX(U$1015:U1329)+1,0))),0)</f>
        <v>0</v>
      </c>
      <c r="V1330" s="27">
        <f t="shared" si="297"/>
        <v>7</v>
      </c>
      <c r="W1330" s="97">
        <f t="shared" ref="W1330:W1373" si="298">W1329+1</f>
        <v>45613</v>
      </c>
      <c r="X1330" s="249" t="str">
        <f>IF(K$67=G$1086,IF(OR(U1330=1,AND(U1330&gt;0,U1330=(MAX(Y$1009:Y1329)+VLOOKUP(I$67,G$1076:H$1084,2,FALSE)))),"X",""),IF(AND(U1330&gt;0,U1330=(MAX(Y$1009:Y1329)+VLOOKUP(I$67,G$1076:H$1084,2,FALSE))),"X",""))</f>
        <v/>
      </c>
      <c r="Y1330" s="252">
        <f t="shared" ref="Y1330:Y1374" si="299">IF(OR(ISBLANK($I$67),ISBLANK($K$67)),0,IF(X1330="X",U1330,0))</f>
        <v>0</v>
      </c>
      <c r="Z1330" s="253">
        <f>IF(Y1330&gt;0,COUNTIF(Y$1009:Y1329,"&gt;0")+1,0)</f>
        <v>0</v>
      </c>
      <c r="AA1330" s="1"/>
      <c r="AB1330" s="255" t="str">
        <f t="shared" ref="AB1330:AB1374" si="300">IF(Z1330&gt;0,W1330,"")</f>
        <v/>
      </c>
      <c r="AC1330" s="261" t="str">
        <f t="shared" si="294"/>
        <v/>
      </c>
      <c r="AD1330" s="258">
        <f>IF(Z1330&gt;0,COUNTIF(AC$1009:AC1329,AC1330)+1,0)</f>
        <v>0</v>
      </c>
      <c r="AE1330" s="258" t="str">
        <f t="shared" ref="AE1330:AE1374" si="301">IF(Z1330&gt;0,CONCATENATE(AC1330,"-",AD1330),"")</f>
        <v/>
      </c>
      <c r="AF1330" s="392" t="str">
        <f t="shared" si="295"/>
        <v/>
      </c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</row>
    <row r="1331" spans="1:93" ht="16.5" hidden="1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27">
        <f t="shared" si="296"/>
        <v>11</v>
      </c>
      <c r="U1331" s="247">
        <f>IF(OR(ISBLANK(F$68),AND(W1331&gt;(F$68-1),W1331&lt;(I$68+1))),IF(ISERROR(VLOOKUP(I$67,G$1076:G$1078,1,FALSE)),IF(K$67=G$1086,IF(MONTH(W1331)&lt;&gt;MONTH(W1330),MAX(U$1009:U1330)+1,0),IF(ISERROR(VLOOKUP(I$67,G$1079:G$1084,1,FALSE)),IF(V1331=1,MAX(U$1009:U1330)+1,0),IF(MONTH(W1332)&lt;&gt;MONTH(W1331),T1331,0))),IF(K$67=G$1086,IF(V1331=1,MAX(U$1009:U1330)+1,0),IF(V1331=7,MAX(U$1015:U1330)+1,0))),0)</f>
        <v>47</v>
      </c>
      <c r="V1331" s="27">
        <f t="shared" si="297"/>
        <v>1</v>
      </c>
      <c r="W1331" s="97">
        <f t="shared" si="298"/>
        <v>45614</v>
      </c>
      <c r="X1331" s="249" t="str">
        <f>IF(K$67=G$1086,IF(OR(U1331=1,AND(U1331&gt;0,U1331=(MAX(Y$1009:Y1330)+VLOOKUP(I$67,G$1076:H$1084,2,FALSE)))),"X",""),IF(AND(U1331&gt;0,U1331=(MAX(Y$1009:Y1330)+VLOOKUP(I$67,G$1076:H$1084,2,FALSE))),"X",""))</f>
        <v>X</v>
      </c>
      <c r="Y1331" s="252">
        <f t="shared" si="299"/>
        <v>47</v>
      </c>
      <c r="Z1331" s="253">
        <f>IF(Y1331&gt;0,COUNTIF(Y$1009:Y1330,"&gt;0")+1,0)</f>
        <v>24</v>
      </c>
      <c r="AA1331" s="1"/>
      <c r="AB1331" s="255">
        <f t="shared" si="300"/>
        <v>45614</v>
      </c>
      <c r="AC1331" s="261">
        <f t="shared" si="294"/>
        <v>11</v>
      </c>
      <c r="AD1331" s="258">
        <f>IF(Z1331&gt;0,COUNTIF(AC$1009:AC1330,AC1331)+1,0)</f>
        <v>2</v>
      </c>
      <c r="AE1331" s="258" t="str">
        <f t="shared" si="301"/>
        <v>11-2</v>
      </c>
      <c r="AF1331" s="392">
        <f t="shared" si="295"/>
        <v>45614</v>
      </c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</row>
    <row r="1332" spans="1:93" ht="16.5" hidden="1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27">
        <f t="shared" si="296"/>
        <v>11</v>
      </c>
      <c r="U1332" s="247">
        <f>IF(OR(ISBLANK(F$68),AND(W1332&gt;(F$68-1),W1332&lt;(I$68+1))),IF(ISERROR(VLOOKUP(I$67,G$1076:G$1078,1,FALSE)),IF(K$67=G$1086,IF(MONTH(W1332)&lt;&gt;MONTH(W1331),MAX(U$1009:U1331)+1,0),IF(ISERROR(VLOOKUP(I$67,G$1079:G$1084,1,FALSE)),IF(V1332=1,MAX(U$1009:U1331)+1,0),IF(MONTH(W1333)&lt;&gt;MONTH(W1332),T1332,0))),IF(K$67=G$1086,IF(V1332=1,MAX(U$1009:U1331)+1,0),IF(V1332=7,MAX(U$1015:U1331)+1,0))),0)</f>
        <v>0</v>
      </c>
      <c r="V1332" s="27">
        <f t="shared" si="297"/>
        <v>2</v>
      </c>
      <c r="W1332" s="97">
        <f t="shared" si="298"/>
        <v>45615</v>
      </c>
      <c r="X1332" s="249" t="str">
        <f>IF(K$67=G$1086,IF(OR(U1332=1,AND(U1332&gt;0,U1332=(MAX(Y$1009:Y1331)+VLOOKUP(I$67,G$1076:H$1084,2,FALSE)))),"X",""),IF(AND(U1332&gt;0,U1332=(MAX(Y$1009:Y1331)+VLOOKUP(I$67,G$1076:H$1084,2,FALSE))),"X",""))</f>
        <v/>
      </c>
      <c r="Y1332" s="252">
        <f t="shared" si="299"/>
        <v>0</v>
      </c>
      <c r="Z1332" s="253">
        <f>IF(Y1332&gt;0,COUNTIF(Y$1009:Y1331,"&gt;0")+1,0)</f>
        <v>0</v>
      </c>
      <c r="AA1332" s="1"/>
      <c r="AB1332" s="255" t="str">
        <f t="shared" si="300"/>
        <v/>
      </c>
      <c r="AC1332" s="261" t="str">
        <f t="shared" si="294"/>
        <v/>
      </c>
      <c r="AD1332" s="258">
        <f>IF(Z1332&gt;0,COUNTIF(AC$1009:AC1331,AC1332)+1,0)</f>
        <v>0</v>
      </c>
      <c r="AE1332" s="258" t="str">
        <f t="shared" si="301"/>
        <v/>
      </c>
      <c r="AF1332" s="392" t="str">
        <f t="shared" si="295"/>
        <v/>
      </c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</row>
    <row r="1333" spans="1:93" ht="16.5" hidden="1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27">
        <f t="shared" si="296"/>
        <v>11</v>
      </c>
      <c r="U1333" s="247">
        <f>IF(OR(ISBLANK(F$68),AND(W1333&gt;(F$68-1),W1333&lt;(I$68+1))),IF(ISERROR(VLOOKUP(I$67,G$1076:G$1078,1,FALSE)),IF(K$67=G$1086,IF(MONTH(W1333)&lt;&gt;MONTH(W1332),MAX(U$1009:U1332)+1,0),IF(ISERROR(VLOOKUP(I$67,G$1079:G$1084,1,FALSE)),IF(V1333=1,MAX(U$1009:U1332)+1,0),IF(MONTH(W1334)&lt;&gt;MONTH(W1333),T1333,0))),IF(K$67=G$1086,IF(V1333=1,MAX(U$1009:U1332)+1,0),IF(V1333=7,MAX(U$1015:U1332)+1,0))),0)</f>
        <v>0</v>
      </c>
      <c r="V1333" s="27">
        <f t="shared" si="297"/>
        <v>3</v>
      </c>
      <c r="W1333" s="97">
        <f t="shared" si="298"/>
        <v>45616</v>
      </c>
      <c r="X1333" s="249" t="str">
        <f>IF(K$67=G$1086,IF(OR(U1333=1,AND(U1333&gt;0,U1333=(MAX(Y$1009:Y1332)+VLOOKUP(I$67,G$1076:H$1084,2,FALSE)))),"X",""),IF(AND(U1333&gt;0,U1333=(MAX(Y$1009:Y1332)+VLOOKUP(I$67,G$1076:H$1084,2,FALSE))),"X",""))</f>
        <v/>
      </c>
      <c r="Y1333" s="252">
        <f t="shared" si="299"/>
        <v>0</v>
      </c>
      <c r="Z1333" s="253">
        <f>IF(Y1333&gt;0,COUNTIF(Y$1009:Y1332,"&gt;0")+1,0)</f>
        <v>0</v>
      </c>
      <c r="AA1333" s="1"/>
      <c r="AB1333" s="255" t="str">
        <f t="shared" si="300"/>
        <v/>
      </c>
      <c r="AC1333" s="261" t="str">
        <f t="shared" si="294"/>
        <v/>
      </c>
      <c r="AD1333" s="258">
        <f>IF(Z1333&gt;0,COUNTIF(AC$1009:AC1332,AC1333)+1,0)</f>
        <v>0</v>
      </c>
      <c r="AE1333" s="258" t="str">
        <f t="shared" si="301"/>
        <v/>
      </c>
      <c r="AF1333" s="392" t="str">
        <f t="shared" si="295"/>
        <v/>
      </c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</row>
    <row r="1334" spans="1:93" ht="16.5" hidden="1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27">
        <f t="shared" si="296"/>
        <v>11</v>
      </c>
      <c r="U1334" s="247">
        <f>IF(OR(ISBLANK(F$68),AND(W1334&gt;(F$68-1),W1334&lt;(I$68+1))),IF(ISERROR(VLOOKUP(I$67,G$1076:G$1078,1,FALSE)),IF(K$67=G$1086,IF(MONTH(W1334)&lt;&gt;MONTH(W1333),MAX(U$1009:U1333)+1,0),IF(ISERROR(VLOOKUP(I$67,G$1079:G$1084,1,FALSE)),IF(V1334=1,MAX(U$1009:U1333)+1,0),IF(MONTH(W1335)&lt;&gt;MONTH(W1334),T1334,0))),IF(K$67=G$1086,IF(V1334=1,MAX(U$1009:U1333)+1,0),IF(V1334=7,MAX(U$1015:U1333)+1,0))),0)</f>
        <v>0</v>
      </c>
      <c r="V1334" s="27">
        <f t="shared" si="297"/>
        <v>4</v>
      </c>
      <c r="W1334" s="97">
        <f t="shared" si="298"/>
        <v>45617</v>
      </c>
      <c r="X1334" s="249" t="str">
        <f>IF(K$67=G$1086,IF(OR(U1334=1,AND(U1334&gt;0,U1334=(MAX(Y$1009:Y1333)+VLOOKUP(I$67,G$1076:H$1084,2,FALSE)))),"X",""),IF(AND(U1334&gt;0,U1334=(MAX(Y$1009:Y1333)+VLOOKUP(I$67,G$1076:H$1084,2,FALSE))),"X",""))</f>
        <v/>
      </c>
      <c r="Y1334" s="252">
        <f t="shared" si="299"/>
        <v>0</v>
      </c>
      <c r="Z1334" s="253">
        <f>IF(Y1334&gt;0,COUNTIF(Y$1009:Y1333,"&gt;0")+1,0)</f>
        <v>0</v>
      </c>
      <c r="AA1334" s="1"/>
      <c r="AB1334" s="255" t="str">
        <f t="shared" si="300"/>
        <v/>
      </c>
      <c r="AC1334" s="261" t="str">
        <f t="shared" ref="AC1334:AC1374" si="302">IF(Z1334=0,"",MONTH(AB1334))</f>
        <v/>
      </c>
      <c r="AD1334" s="258">
        <f>IF(Z1334&gt;0,COUNTIF(AC$1009:AC1333,AC1334)+1,0)</f>
        <v>0</v>
      </c>
      <c r="AE1334" s="258" t="str">
        <f t="shared" si="301"/>
        <v/>
      </c>
      <c r="AF1334" s="392" t="str">
        <f t="shared" ref="AF1334:AF1374" si="303">IF(Z1334&gt;0,AB1334,"")</f>
        <v/>
      </c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</row>
    <row r="1335" spans="1:93" ht="16.5" hidden="1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27">
        <f t="shared" si="296"/>
        <v>11</v>
      </c>
      <c r="U1335" s="247">
        <f>IF(OR(ISBLANK(F$68),AND(W1335&gt;(F$68-1),W1335&lt;(I$68+1))),IF(ISERROR(VLOOKUP(I$67,G$1076:G$1078,1,FALSE)),IF(K$67=G$1086,IF(MONTH(W1335)&lt;&gt;MONTH(W1334),MAX(U$1009:U1334)+1,0),IF(ISERROR(VLOOKUP(I$67,G$1079:G$1084,1,FALSE)),IF(V1335=1,MAX(U$1009:U1334)+1,0),IF(MONTH(W1336)&lt;&gt;MONTH(W1335),T1335,0))),IF(K$67=G$1086,IF(V1335=1,MAX(U$1009:U1334)+1,0),IF(V1335=7,MAX(U$1015:U1334)+1,0))),0)</f>
        <v>0</v>
      </c>
      <c r="V1335" s="27">
        <f t="shared" si="297"/>
        <v>5</v>
      </c>
      <c r="W1335" s="97">
        <f t="shared" si="298"/>
        <v>45618</v>
      </c>
      <c r="X1335" s="249" t="str">
        <f>IF(K$67=G$1086,IF(OR(U1335=1,AND(U1335&gt;0,U1335=(MAX(Y$1009:Y1334)+VLOOKUP(I$67,G$1076:H$1084,2,FALSE)))),"X",""),IF(AND(U1335&gt;0,U1335=(MAX(Y$1009:Y1334)+VLOOKUP(I$67,G$1076:H$1084,2,FALSE))),"X",""))</f>
        <v/>
      </c>
      <c r="Y1335" s="252">
        <f t="shared" si="299"/>
        <v>0</v>
      </c>
      <c r="Z1335" s="253">
        <f>IF(Y1335&gt;0,COUNTIF(Y$1009:Y1334,"&gt;0")+1,0)</f>
        <v>0</v>
      </c>
      <c r="AA1335" s="1"/>
      <c r="AB1335" s="255" t="str">
        <f t="shared" si="300"/>
        <v/>
      </c>
      <c r="AC1335" s="261" t="str">
        <f t="shared" si="302"/>
        <v/>
      </c>
      <c r="AD1335" s="258">
        <f>IF(Z1335&gt;0,COUNTIF(AC$1009:AC1334,AC1335)+1,0)</f>
        <v>0</v>
      </c>
      <c r="AE1335" s="258" t="str">
        <f t="shared" si="301"/>
        <v/>
      </c>
      <c r="AF1335" s="392" t="str">
        <f t="shared" si="303"/>
        <v/>
      </c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</row>
    <row r="1336" spans="1:93" ht="16.5" hidden="1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27">
        <f t="shared" si="296"/>
        <v>11</v>
      </c>
      <c r="U1336" s="247">
        <f>IF(OR(ISBLANK(F$68),AND(W1336&gt;(F$68-1),W1336&lt;(I$68+1))),IF(ISERROR(VLOOKUP(I$67,G$1076:G$1078,1,FALSE)),IF(K$67=G$1086,IF(MONTH(W1336)&lt;&gt;MONTH(W1335),MAX(U$1009:U1335)+1,0),IF(ISERROR(VLOOKUP(I$67,G$1079:G$1084,1,FALSE)),IF(V1336=1,MAX(U$1009:U1335)+1,0),IF(MONTH(W1337)&lt;&gt;MONTH(W1336),T1336,0))),IF(K$67=G$1086,IF(V1336=1,MAX(U$1009:U1335)+1,0),IF(V1336=7,MAX(U$1015:U1335)+1,0))),0)</f>
        <v>0</v>
      </c>
      <c r="V1336" s="27">
        <f t="shared" si="297"/>
        <v>6</v>
      </c>
      <c r="W1336" s="97">
        <f t="shared" si="298"/>
        <v>45619</v>
      </c>
      <c r="X1336" s="249" t="str">
        <f>IF(K$67=G$1086,IF(OR(U1336=1,AND(U1336&gt;0,U1336=(MAX(Y$1009:Y1335)+VLOOKUP(I$67,G$1076:H$1084,2,FALSE)))),"X",""),IF(AND(U1336&gt;0,U1336=(MAX(Y$1009:Y1335)+VLOOKUP(I$67,G$1076:H$1084,2,FALSE))),"X",""))</f>
        <v/>
      </c>
      <c r="Y1336" s="252">
        <f t="shared" si="299"/>
        <v>0</v>
      </c>
      <c r="Z1336" s="253">
        <f>IF(Y1336&gt;0,COUNTIF(Y$1009:Y1335,"&gt;0")+1,0)</f>
        <v>0</v>
      </c>
      <c r="AA1336" s="1"/>
      <c r="AB1336" s="255" t="str">
        <f t="shared" si="300"/>
        <v/>
      </c>
      <c r="AC1336" s="261" t="str">
        <f t="shared" si="302"/>
        <v/>
      </c>
      <c r="AD1336" s="258">
        <f>IF(Z1336&gt;0,COUNTIF(AC$1009:AC1335,AC1336)+1,0)</f>
        <v>0</v>
      </c>
      <c r="AE1336" s="258" t="str">
        <f t="shared" si="301"/>
        <v/>
      </c>
      <c r="AF1336" s="392" t="str">
        <f t="shared" si="303"/>
        <v/>
      </c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</row>
    <row r="1337" spans="1:93" ht="16.5" hidden="1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27">
        <f t="shared" si="296"/>
        <v>11</v>
      </c>
      <c r="U1337" s="247">
        <f>IF(OR(ISBLANK(F$68),AND(W1337&gt;(F$68-1),W1337&lt;(I$68+1))),IF(ISERROR(VLOOKUP(I$67,G$1076:G$1078,1,FALSE)),IF(K$67=G$1086,IF(MONTH(W1337)&lt;&gt;MONTH(W1336),MAX(U$1009:U1336)+1,0),IF(ISERROR(VLOOKUP(I$67,G$1079:G$1084,1,FALSE)),IF(V1337=1,MAX(U$1009:U1336)+1,0),IF(MONTH(W1338)&lt;&gt;MONTH(W1337),T1337,0))),IF(K$67=G$1086,IF(V1337=1,MAX(U$1009:U1336)+1,0),IF(V1337=7,MAX(U$1015:U1336)+1,0))),0)</f>
        <v>0</v>
      </c>
      <c r="V1337" s="27">
        <f t="shared" si="297"/>
        <v>7</v>
      </c>
      <c r="W1337" s="97">
        <f t="shared" si="298"/>
        <v>45620</v>
      </c>
      <c r="X1337" s="249" t="str">
        <f>IF(K$67=G$1086,IF(OR(U1337=1,AND(U1337&gt;0,U1337=(MAX(Y$1009:Y1336)+VLOOKUP(I$67,G$1076:H$1084,2,FALSE)))),"X",""),IF(AND(U1337&gt;0,U1337=(MAX(Y$1009:Y1336)+VLOOKUP(I$67,G$1076:H$1084,2,FALSE))),"X",""))</f>
        <v/>
      </c>
      <c r="Y1337" s="252">
        <f t="shared" si="299"/>
        <v>0</v>
      </c>
      <c r="Z1337" s="253">
        <f>IF(Y1337&gt;0,COUNTIF(Y$1009:Y1336,"&gt;0")+1,0)</f>
        <v>0</v>
      </c>
      <c r="AA1337" s="1"/>
      <c r="AB1337" s="255" t="str">
        <f t="shared" si="300"/>
        <v/>
      </c>
      <c r="AC1337" s="261" t="str">
        <f t="shared" si="302"/>
        <v/>
      </c>
      <c r="AD1337" s="258">
        <f>IF(Z1337&gt;0,COUNTIF(AC$1009:AC1336,AC1337)+1,0)</f>
        <v>0</v>
      </c>
      <c r="AE1337" s="258" t="str">
        <f t="shared" si="301"/>
        <v/>
      </c>
      <c r="AF1337" s="392" t="str">
        <f t="shared" si="303"/>
        <v/>
      </c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</row>
    <row r="1338" spans="1:93" ht="16.5" hidden="1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27">
        <f t="shared" ref="T1338:T1373" si="304">IF(MONTH(W1338)=MONTH(W1337),T1337,T1337+1)</f>
        <v>11</v>
      </c>
      <c r="U1338" s="247">
        <f>IF(OR(ISBLANK(F$68),AND(W1338&gt;(F$68-1),W1338&lt;(I$68+1))),IF(ISERROR(VLOOKUP(I$67,G$1076:G$1078,1,FALSE)),IF(K$67=G$1086,IF(MONTH(W1338)&lt;&gt;MONTH(W1337),MAX(U$1009:U1337)+1,0),IF(ISERROR(VLOOKUP(I$67,G$1079:G$1084,1,FALSE)),IF(V1338=1,MAX(U$1009:U1337)+1,0),IF(MONTH(W1339)&lt;&gt;MONTH(W1338),T1338,0))),IF(K$67=G$1086,IF(V1338=1,MAX(U$1009:U1337)+1,0),IF(V1338=7,MAX(U$1015:U1337)+1,0))),0)</f>
        <v>48</v>
      </c>
      <c r="V1338" s="27">
        <f t="shared" si="297"/>
        <v>1</v>
      </c>
      <c r="W1338" s="97">
        <f t="shared" si="298"/>
        <v>45621</v>
      </c>
      <c r="X1338" s="249" t="str">
        <f>IF(K$67=G$1086,IF(OR(U1338=1,AND(U1338&gt;0,U1338=(MAX(Y$1009:Y1337)+VLOOKUP(I$67,G$1076:H$1084,2,FALSE)))),"X",""),IF(AND(U1338&gt;0,U1338=(MAX(Y$1009:Y1337)+VLOOKUP(I$67,G$1076:H$1084,2,FALSE))),"X",""))</f>
        <v/>
      </c>
      <c r="Y1338" s="252">
        <f t="shared" si="299"/>
        <v>0</v>
      </c>
      <c r="Z1338" s="253">
        <f>IF(Y1338&gt;0,COUNTIF(Y$1009:Y1337,"&gt;0")+1,0)</f>
        <v>0</v>
      </c>
      <c r="AA1338" s="1"/>
      <c r="AB1338" s="255" t="str">
        <f t="shared" si="300"/>
        <v/>
      </c>
      <c r="AC1338" s="261" t="str">
        <f t="shared" si="302"/>
        <v/>
      </c>
      <c r="AD1338" s="258">
        <f>IF(Z1338&gt;0,COUNTIF(AC$1009:AC1337,AC1338)+1,0)</f>
        <v>0</v>
      </c>
      <c r="AE1338" s="258" t="str">
        <f t="shared" si="301"/>
        <v/>
      </c>
      <c r="AF1338" s="392" t="str">
        <f t="shared" si="303"/>
        <v/>
      </c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</row>
    <row r="1339" spans="1:93" ht="16.5" hidden="1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27">
        <f t="shared" si="304"/>
        <v>11</v>
      </c>
      <c r="U1339" s="247">
        <f>IF(OR(ISBLANK(F$68),AND(W1339&gt;(F$68-1),W1339&lt;(I$68+1))),IF(ISERROR(VLOOKUP(I$67,G$1076:G$1078,1,FALSE)),IF(K$67=G$1086,IF(MONTH(W1339)&lt;&gt;MONTH(W1338),MAX(U$1009:U1338)+1,0),IF(ISERROR(VLOOKUP(I$67,G$1079:G$1084,1,FALSE)),IF(V1339=1,MAX(U$1009:U1338)+1,0),IF(MONTH(W1340)&lt;&gt;MONTH(W1339),T1339,0))),IF(K$67=G$1086,IF(V1339=1,MAX(U$1009:U1338)+1,0),IF(V1339=7,MAX(U$1015:U1338)+1,0))),0)</f>
        <v>0</v>
      </c>
      <c r="V1339" s="27">
        <f t="shared" si="297"/>
        <v>2</v>
      </c>
      <c r="W1339" s="97">
        <f t="shared" si="298"/>
        <v>45622</v>
      </c>
      <c r="X1339" s="249" t="str">
        <f>IF(K$67=G$1086,IF(OR(U1339=1,AND(U1339&gt;0,U1339=(MAX(Y$1009:Y1338)+VLOOKUP(I$67,G$1076:H$1084,2,FALSE)))),"X",""),IF(AND(U1339&gt;0,U1339=(MAX(Y$1009:Y1338)+VLOOKUP(I$67,G$1076:H$1084,2,FALSE))),"X",""))</f>
        <v/>
      </c>
      <c r="Y1339" s="252">
        <f t="shared" si="299"/>
        <v>0</v>
      </c>
      <c r="Z1339" s="253">
        <f>IF(Y1339&gt;0,COUNTIF(Y$1009:Y1338,"&gt;0")+1,0)</f>
        <v>0</v>
      </c>
      <c r="AA1339" s="1"/>
      <c r="AB1339" s="255" t="str">
        <f t="shared" si="300"/>
        <v/>
      </c>
      <c r="AC1339" s="261" t="str">
        <f t="shared" si="302"/>
        <v/>
      </c>
      <c r="AD1339" s="258">
        <f>IF(Z1339&gt;0,COUNTIF(AC$1009:AC1338,AC1339)+1,0)</f>
        <v>0</v>
      </c>
      <c r="AE1339" s="258" t="str">
        <f t="shared" si="301"/>
        <v/>
      </c>
      <c r="AF1339" s="392" t="str">
        <f t="shared" si="303"/>
        <v/>
      </c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</row>
    <row r="1340" spans="1:93" ht="16.5" hidden="1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27">
        <f t="shared" si="304"/>
        <v>11</v>
      </c>
      <c r="U1340" s="247">
        <f>IF(OR(ISBLANK(F$68),AND(W1340&gt;(F$68-1),W1340&lt;(I$68+1))),IF(ISERROR(VLOOKUP(I$67,G$1076:G$1078,1,FALSE)),IF(K$67=G$1086,IF(MONTH(W1340)&lt;&gt;MONTH(W1339),MAX(U$1009:U1339)+1,0),IF(ISERROR(VLOOKUP(I$67,G$1079:G$1084,1,FALSE)),IF(V1340=1,MAX(U$1009:U1339)+1,0),IF(MONTH(W1341)&lt;&gt;MONTH(W1340),T1340,0))),IF(K$67=G$1086,IF(V1340=1,MAX(U$1009:U1339)+1,0),IF(V1340=7,MAX(U$1015:U1339)+1,0))),0)</f>
        <v>0</v>
      </c>
      <c r="V1340" s="27">
        <f t="shared" si="297"/>
        <v>3</v>
      </c>
      <c r="W1340" s="97">
        <f t="shared" si="298"/>
        <v>45623</v>
      </c>
      <c r="X1340" s="249" t="str">
        <f>IF(K$67=G$1086,IF(OR(U1340=1,AND(U1340&gt;0,U1340=(MAX(Y$1009:Y1339)+VLOOKUP(I$67,G$1076:H$1084,2,FALSE)))),"X",""),IF(AND(U1340&gt;0,U1340=(MAX(Y$1009:Y1339)+VLOOKUP(I$67,G$1076:H$1084,2,FALSE))),"X",""))</f>
        <v/>
      </c>
      <c r="Y1340" s="252">
        <f t="shared" si="299"/>
        <v>0</v>
      </c>
      <c r="Z1340" s="253">
        <f>IF(Y1340&gt;0,COUNTIF(Y$1009:Y1339,"&gt;0")+1,0)</f>
        <v>0</v>
      </c>
      <c r="AA1340" s="1"/>
      <c r="AB1340" s="255" t="str">
        <f t="shared" si="300"/>
        <v/>
      </c>
      <c r="AC1340" s="261" t="str">
        <f t="shared" si="302"/>
        <v/>
      </c>
      <c r="AD1340" s="258">
        <f>IF(Z1340&gt;0,COUNTIF(AC$1009:AC1339,AC1340)+1,0)</f>
        <v>0</v>
      </c>
      <c r="AE1340" s="258" t="str">
        <f t="shared" si="301"/>
        <v/>
      </c>
      <c r="AF1340" s="392" t="str">
        <f t="shared" si="303"/>
        <v/>
      </c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</row>
    <row r="1341" spans="1:93" ht="16.5" hidden="1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27">
        <f t="shared" si="304"/>
        <v>11</v>
      </c>
      <c r="U1341" s="247">
        <f>IF(OR(ISBLANK(F$68),AND(W1341&gt;(F$68-1),W1341&lt;(I$68+1))),IF(ISERROR(VLOOKUP(I$67,G$1076:G$1078,1,FALSE)),IF(K$67=G$1086,IF(MONTH(W1341)&lt;&gt;MONTH(W1340),MAX(U$1009:U1340)+1,0),IF(ISERROR(VLOOKUP(I$67,G$1079:G$1084,1,FALSE)),IF(V1341=1,MAX(U$1009:U1340)+1,0),IF(MONTH(W1342)&lt;&gt;MONTH(W1341),T1341,0))),IF(K$67=G$1086,IF(V1341=1,MAX(U$1009:U1340)+1,0),IF(V1341=7,MAX(U$1015:U1340)+1,0))),0)</f>
        <v>0</v>
      </c>
      <c r="V1341" s="27">
        <f t="shared" si="297"/>
        <v>4</v>
      </c>
      <c r="W1341" s="97">
        <f t="shared" si="298"/>
        <v>45624</v>
      </c>
      <c r="X1341" s="249" t="str">
        <f>IF(K$67=G$1086,IF(OR(U1341=1,AND(U1341&gt;0,U1341=(MAX(Y$1009:Y1340)+VLOOKUP(I$67,G$1076:H$1084,2,FALSE)))),"X",""),IF(AND(U1341&gt;0,U1341=(MAX(Y$1009:Y1340)+VLOOKUP(I$67,G$1076:H$1084,2,FALSE))),"X",""))</f>
        <v/>
      </c>
      <c r="Y1341" s="252">
        <f t="shared" si="299"/>
        <v>0</v>
      </c>
      <c r="Z1341" s="253">
        <f>IF(Y1341&gt;0,COUNTIF(Y$1009:Y1340,"&gt;0")+1,0)</f>
        <v>0</v>
      </c>
      <c r="AA1341" s="1"/>
      <c r="AB1341" s="255" t="str">
        <f t="shared" si="300"/>
        <v/>
      </c>
      <c r="AC1341" s="261" t="str">
        <f t="shared" si="302"/>
        <v/>
      </c>
      <c r="AD1341" s="258">
        <f>IF(Z1341&gt;0,COUNTIF(AC$1009:AC1340,AC1341)+1,0)</f>
        <v>0</v>
      </c>
      <c r="AE1341" s="258" t="str">
        <f t="shared" si="301"/>
        <v/>
      </c>
      <c r="AF1341" s="392" t="str">
        <f t="shared" si="303"/>
        <v/>
      </c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</row>
    <row r="1342" spans="1:93" ht="16.5" hidden="1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27">
        <f t="shared" si="304"/>
        <v>11</v>
      </c>
      <c r="U1342" s="247">
        <f>IF(OR(ISBLANK(F$68),AND(W1342&gt;(F$68-1),W1342&lt;(I$68+1))),IF(ISERROR(VLOOKUP(I$67,G$1076:G$1078,1,FALSE)),IF(K$67=G$1086,IF(MONTH(W1342)&lt;&gt;MONTH(W1341),MAX(U$1009:U1341)+1,0),IF(ISERROR(VLOOKUP(I$67,G$1079:G$1084,1,FALSE)),IF(V1342=1,MAX(U$1009:U1341)+1,0),IF(MONTH(W1343)&lt;&gt;MONTH(W1342),T1342,0))),IF(K$67=G$1086,IF(V1342=1,MAX(U$1009:U1341)+1,0),IF(V1342=7,MAX(U$1015:U1341)+1,0))),0)</f>
        <v>0</v>
      </c>
      <c r="V1342" s="27">
        <f t="shared" si="297"/>
        <v>5</v>
      </c>
      <c r="W1342" s="97">
        <f t="shared" si="298"/>
        <v>45625</v>
      </c>
      <c r="X1342" s="249" t="str">
        <f>IF(K$67=G$1086,IF(OR(U1342=1,AND(U1342&gt;0,U1342=(MAX(Y$1009:Y1341)+VLOOKUP(I$67,G$1076:H$1084,2,FALSE)))),"X",""),IF(AND(U1342&gt;0,U1342=(MAX(Y$1009:Y1341)+VLOOKUP(I$67,G$1076:H$1084,2,FALSE))),"X",""))</f>
        <v/>
      </c>
      <c r="Y1342" s="252">
        <f t="shared" si="299"/>
        <v>0</v>
      </c>
      <c r="Z1342" s="253">
        <f>IF(Y1342&gt;0,COUNTIF(Y$1009:Y1341,"&gt;0")+1,0)</f>
        <v>0</v>
      </c>
      <c r="AA1342" s="1"/>
      <c r="AB1342" s="255" t="str">
        <f t="shared" si="300"/>
        <v/>
      </c>
      <c r="AC1342" s="261" t="str">
        <f t="shared" si="302"/>
        <v/>
      </c>
      <c r="AD1342" s="258">
        <f>IF(Z1342&gt;0,COUNTIF(AC$1009:AC1341,AC1342)+1,0)</f>
        <v>0</v>
      </c>
      <c r="AE1342" s="258" t="str">
        <f t="shared" si="301"/>
        <v/>
      </c>
      <c r="AF1342" s="392" t="str">
        <f t="shared" si="303"/>
        <v/>
      </c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</row>
    <row r="1343" spans="1:93" ht="16.5" hidden="1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27">
        <f t="shared" si="304"/>
        <v>11</v>
      </c>
      <c r="U1343" s="247">
        <f>IF(OR(ISBLANK(F$68),AND(W1343&gt;(F$68-1),W1343&lt;(I$68+1))),IF(ISERROR(VLOOKUP(I$67,G$1076:G$1078,1,FALSE)),IF(K$67=G$1086,IF(MONTH(W1343)&lt;&gt;MONTH(W1342),MAX(U$1009:U1342)+1,0),IF(ISERROR(VLOOKUP(I$67,G$1079:G$1084,1,FALSE)),IF(V1343=1,MAX(U$1009:U1342)+1,0),IF(MONTH(W1344)&lt;&gt;MONTH(W1343),T1343,0))),IF(K$67=G$1086,IF(V1343=1,MAX(U$1009:U1342)+1,0),IF(V1343=7,MAX(U$1015:U1342)+1,0))),0)</f>
        <v>0</v>
      </c>
      <c r="V1343" s="27">
        <f t="shared" si="297"/>
        <v>6</v>
      </c>
      <c r="W1343" s="97">
        <f t="shared" si="298"/>
        <v>45626</v>
      </c>
      <c r="X1343" s="249" t="str">
        <f>IF(K$67=G$1086,IF(OR(U1343=1,AND(U1343&gt;0,U1343=(MAX(Y$1009:Y1342)+VLOOKUP(I$67,G$1076:H$1084,2,FALSE)))),"X",""),IF(AND(U1343&gt;0,U1343=(MAX(Y$1009:Y1342)+VLOOKUP(I$67,G$1076:H$1084,2,FALSE))),"X",""))</f>
        <v/>
      </c>
      <c r="Y1343" s="252">
        <f t="shared" si="299"/>
        <v>0</v>
      </c>
      <c r="Z1343" s="253">
        <f>IF(Y1343&gt;0,COUNTIF(Y$1009:Y1342,"&gt;0")+1,0)</f>
        <v>0</v>
      </c>
      <c r="AA1343" s="1"/>
      <c r="AB1343" s="255" t="str">
        <f t="shared" si="300"/>
        <v/>
      </c>
      <c r="AC1343" s="261" t="str">
        <f t="shared" si="302"/>
        <v/>
      </c>
      <c r="AD1343" s="258">
        <f>IF(Z1343&gt;0,COUNTIF(AC$1009:AC1342,AC1343)+1,0)</f>
        <v>0</v>
      </c>
      <c r="AE1343" s="258" t="str">
        <f t="shared" si="301"/>
        <v/>
      </c>
      <c r="AF1343" s="392" t="str">
        <f t="shared" si="303"/>
        <v/>
      </c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</row>
    <row r="1344" spans="1:93" ht="16.5" hidden="1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27">
        <f t="shared" si="304"/>
        <v>12</v>
      </c>
      <c r="U1344" s="247">
        <f>IF(OR(ISBLANK(F$68),AND(W1344&gt;(F$68-1),W1344&lt;(I$68+1))),IF(ISERROR(VLOOKUP(I$67,G$1076:G$1078,1,FALSE)),IF(K$67=G$1086,IF(MONTH(W1344)&lt;&gt;MONTH(W1343),MAX(U$1009:U1343)+1,0),IF(ISERROR(VLOOKUP(I$67,G$1079:G$1084,1,FALSE)),IF(V1344=1,MAX(U$1009:U1343)+1,0),IF(MONTH(W1345)&lt;&gt;MONTH(W1344),T1344,0))),IF(K$67=G$1086,IF(V1344=1,MAX(U$1009:U1343)+1,0),IF(V1344=7,MAX(U$1015:U1343)+1,0))),0)</f>
        <v>0</v>
      </c>
      <c r="V1344" s="27">
        <f t="shared" si="297"/>
        <v>7</v>
      </c>
      <c r="W1344" s="97">
        <f t="shared" si="298"/>
        <v>45627</v>
      </c>
      <c r="X1344" s="249" t="str">
        <f>IF(K$67=G$1086,IF(OR(U1344=1,AND(U1344&gt;0,U1344=(MAX(Y$1009:Y1343)+VLOOKUP(I$67,G$1076:H$1084,2,FALSE)))),"X",""),IF(AND(U1344&gt;0,U1344=(MAX(Y$1009:Y1343)+VLOOKUP(I$67,G$1076:H$1084,2,FALSE))),"X",""))</f>
        <v/>
      </c>
      <c r="Y1344" s="252">
        <f t="shared" si="299"/>
        <v>0</v>
      </c>
      <c r="Z1344" s="253">
        <f>IF(Y1344&gt;0,COUNTIF(Y$1009:Y1343,"&gt;0")+1,0)</f>
        <v>0</v>
      </c>
      <c r="AA1344" s="1"/>
      <c r="AB1344" s="255" t="str">
        <f t="shared" si="300"/>
        <v/>
      </c>
      <c r="AC1344" s="261" t="str">
        <f t="shared" si="302"/>
        <v/>
      </c>
      <c r="AD1344" s="258">
        <f>IF(Z1344&gt;0,COUNTIF(AC$1009:AC1343,AC1344)+1,0)</f>
        <v>0</v>
      </c>
      <c r="AE1344" s="258" t="str">
        <f t="shared" si="301"/>
        <v/>
      </c>
      <c r="AF1344" s="392" t="str">
        <f t="shared" si="303"/>
        <v/>
      </c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</row>
    <row r="1345" spans="1:93" ht="16.5" hidden="1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27">
        <f t="shared" si="304"/>
        <v>12</v>
      </c>
      <c r="U1345" s="247">
        <f>IF(OR(ISBLANK(F$68),AND(W1345&gt;(F$68-1),W1345&lt;(I$68+1))),IF(ISERROR(VLOOKUP(I$67,G$1076:G$1078,1,FALSE)),IF(K$67=G$1086,IF(MONTH(W1345)&lt;&gt;MONTH(W1344),MAX(U$1009:U1344)+1,0),IF(ISERROR(VLOOKUP(I$67,G$1079:G$1084,1,FALSE)),IF(V1345=1,MAX(U$1009:U1344)+1,0),IF(MONTH(W1346)&lt;&gt;MONTH(W1345),T1345,0))),IF(K$67=G$1086,IF(V1345=1,MAX(U$1009:U1344)+1,0),IF(V1345=7,MAX(U$1015:U1344)+1,0))),0)</f>
        <v>49</v>
      </c>
      <c r="V1345" s="27">
        <f t="shared" si="297"/>
        <v>1</v>
      </c>
      <c r="W1345" s="97">
        <f t="shared" si="298"/>
        <v>45628</v>
      </c>
      <c r="X1345" s="249" t="str">
        <f>IF(K$67=G$1086,IF(OR(U1345=1,AND(U1345&gt;0,U1345=(MAX(Y$1009:Y1344)+VLOOKUP(I$67,G$1076:H$1084,2,FALSE)))),"X",""),IF(AND(U1345&gt;0,U1345=(MAX(Y$1009:Y1344)+VLOOKUP(I$67,G$1076:H$1084,2,FALSE))),"X",""))</f>
        <v>X</v>
      </c>
      <c r="Y1345" s="252">
        <f t="shared" si="299"/>
        <v>49</v>
      </c>
      <c r="Z1345" s="253">
        <f>IF(Y1345&gt;0,COUNTIF(Y$1009:Y1344,"&gt;0")+1,0)</f>
        <v>25</v>
      </c>
      <c r="AA1345" s="1"/>
      <c r="AB1345" s="255">
        <f t="shared" si="300"/>
        <v>45628</v>
      </c>
      <c r="AC1345" s="261">
        <f t="shared" si="302"/>
        <v>12</v>
      </c>
      <c r="AD1345" s="258">
        <f>IF(Z1345&gt;0,COUNTIF(AC$1009:AC1344,AC1345)+1,0)</f>
        <v>1</v>
      </c>
      <c r="AE1345" s="258" t="str">
        <f t="shared" si="301"/>
        <v>12-1</v>
      </c>
      <c r="AF1345" s="392">
        <f t="shared" si="303"/>
        <v>45628</v>
      </c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</row>
    <row r="1346" spans="1:93" ht="16.5" hidden="1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27">
        <f t="shared" si="304"/>
        <v>12</v>
      </c>
      <c r="U1346" s="247">
        <f>IF(OR(ISBLANK(F$68),AND(W1346&gt;(F$68-1),W1346&lt;(I$68+1))),IF(ISERROR(VLOOKUP(I$67,G$1076:G$1078,1,FALSE)),IF(K$67=G$1086,IF(MONTH(W1346)&lt;&gt;MONTH(W1345),MAX(U$1009:U1345)+1,0),IF(ISERROR(VLOOKUP(I$67,G$1079:G$1084,1,FALSE)),IF(V1346=1,MAX(U$1009:U1345)+1,0),IF(MONTH(W1347)&lt;&gt;MONTH(W1346),T1346,0))),IF(K$67=G$1086,IF(V1346=1,MAX(U$1009:U1345)+1,0),IF(V1346=7,MAX(U$1015:U1345)+1,0))),0)</f>
        <v>0</v>
      </c>
      <c r="V1346" s="27">
        <f t="shared" si="297"/>
        <v>2</v>
      </c>
      <c r="W1346" s="97">
        <f t="shared" si="298"/>
        <v>45629</v>
      </c>
      <c r="X1346" s="249" t="str">
        <f>IF(K$67=G$1086,IF(OR(U1346=1,AND(U1346&gt;0,U1346=(MAX(Y$1009:Y1345)+VLOOKUP(I$67,G$1076:H$1084,2,FALSE)))),"X",""),IF(AND(U1346&gt;0,U1346=(MAX(Y$1009:Y1345)+VLOOKUP(I$67,G$1076:H$1084,2,FALSE))),"X",""))</f>
        <v/>
      </c>
      <c r="Y1346" s="252">
        <f t="shared" si="299"/>
        <v>0</v>
      </c>
      <c r="Z1346" s="253">
        <f>IF(Y1346&gt;0,COUNTIF(Y$1009:Y1345,"&gt;0")+1,0)</f>
        <v>0</v>
      </c>
      <c r="AA1346" s="1"/>
      <c r="AB1346" s="255" t="str">
        <f t="shared" si="300"/>
        <v/>
      </c>
      <c r="AC1346" s="261" t="str">
        <f t="shared" si="302"/>
        <v/>
      </c>
      <c r="AD1346" s="258">
        <f>IF(Z1346&gt;0,COUNTIF(AC$1009:AC1345,AC1346)+1,0)</f>
        <v>0</v>
      </c>
      <c r="AE1346" s="258" t="str">
        <f t="shared" si="301"/>
        <v/>
      </c>
      <c r="AF1346" s="392" t="str">
        <f t="shared" si="303"/>
        <v/>
      </c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</row>
    <row r="1347" spans="1:93" ht="16.5" hidden="1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27">
        <f t="shared" si="304"/>
        <v>12</v>
      </c>
      <c r="U1347" s="247">
        <f>IF(OR(ISBLANK(F$68),AND(W1347&gt;(F$68-1),W1347&lt;(I$68+1))),IF(ISERROR(VLOOKUP(I$67,G$1076:G$1078,1,FALSE)),IF(K$67=G$1086,IF(MONTH(W1347)&lt;&gt;MONTH(W1346),MAX(U$1009:U1346)+1,0),IF(ISERROR(VLOOKUP(I$67,G$1079:G$1084,1,FALSE)),IF(V1347=1,MAX(U$1009:U1346)+1,0),IF(MONTH(W1348)&lt;&gt;MONTH(W1347),T1347,0))),IF(K$67=G$1086,IF(V1347=1,MAX(U$1009:U1346)+1,0),IF(V1347=7,MAX(U$1015:U1346)+1,0))),0)</f>
        <v>0</v>
      </c>
      <c r="V1347" s="27">
        <f t="shared" si="297"/>
        <v>3</v>
      </c>
      <c r="W1347" s="97">
        <f t="shared" si="298"/>
        <v>45630</v>
      </c>
      <c r="X1347" s="249" t="str">
        <f>IF(K$67=G$1086,IF(OR(U1347=1,AND(U1347&gt;0,U1347=(MAX(Y$1009:Y1346)+VLOOKUP(I$67,G$1076:H$1084,2,FALSE)))),"X",""),IF(AND(U1347&gt;0,U1347=(MAX(Y$1009:Y1346)+VLOOKUP(I$67,G$1076:H$1084,2,FALSE))),"X",""))</f>
        <v/>
      </c>
      <c r="Y1347" s="252">
        <f t="shared" si="299"/>
        <v>0</v>
      </c>
      <c r="Z1347" s="253">
        <f>IF(Y1347&gt;0,COUNTIF(Y$1009:Y1346,"&gt;0")+1,0)</f>
        <v>0</v>
      </c>
      <c r="AA1347" s="1"/>
      <c r="AB1347" s="255" t="str">
        <f t="shared" si="300"/>
        <v/>
      </c>
      <c r="AC1347" s="261" t="str">
        <f t="shared" si="302"/>
        <v/>
      </c>
      <c r="AD1347" s="258">
        <f>IF(Z1347&gt;0,COUNTIF(AC$1009:AC1346,AC1347)+1,0)</f>
        <v>0</v>
      </c>
      <c r="AE1347" s="258" t="str">
        <f t="shared" si="301"/>
        <v/>
      </c>
      <c r="AF1347" s="392" t="str">
        <f t="shared" si="303"/>
        <v/>
      </c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</row>
    <row r="1348" spans="1:93" ht="16.5" hidden="1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27">
        <f t="shared" si="304"/>
        <v>12</v>
      </c>
      <c r="U1348" s="247">
        <f>IF(OR(ISBLANK(F$68),AND(W1348&gt;(F$68-1),W1348&lt;(I$68+1))),IF(ISERROR(VLOOKUP(I$67,G$1076:G$1078,1,FALSE)),IF(K$67=G$1086,IF(MONTH(W1348)&lt;&gt;MONTH(W1347),MAX(U$1009:U1347)+1,0),IF(ISERROR(VLOOKUP(I$67,G$1079:G$1084,1,FALSE)),IF(V1348=1,MAX(U$1009:U1347)+1,0),IF(MONTH(W1349)&lt;&gt;MONTH(W1348),T1348,0))),IF(K$67=G$1086,IF(V1348=1,MAX(U$1009:U1347)+1,0),IF(V1348=7,MAX(U$1015:U1347)+1,0))),0)</f>
        <v>0</v>
      </c>
      <c r="V1348" s="27">
        <f t="shared" si="297"/>
        <v>4</v>
      </c>
      <c r="W1348" s="97">
        <f t="shared" si="298"/>
        <v>45631</v>
      </c>
      <c r="X1348" s="249" t="str">
        <f>IF(K$67=G$1086,IF(OR(U1348=1,AND(U1348&gt;0,U1348=(MAX(Y$1009:Y1347)+VLOOKUP(I$67,G$1076:H$1084,2,FALSE)))),"X",""),IF(AND(U1348&gt;0,U1348=(MAX(Y$1009:Y1347)+VLOOKUP(I$67,G$1076:H$1084,2,FALSE))),"X",""))</f>
        <v/>
      </c>
      <c r="Y1348" s="252">
        <f t="shared" si="299"/>
        <v>0</v>
      </c>
      <c r="Z1348" s="253">
        <f>IF(Y1348&gt;0,COUNTIF(Y$1009:Y1347,"&gt;0")+1,0)</f>
        <v>0</v>
      </c>
      <c r="AA1348" s="1"/>
      <c r="AB1348" s="255" t="str">
        <f t="shared" si="300"/>
        <v/>
      </c>
      <c r="AC1348" s="261" t="str">
        <f t="shared" si="302"/>
        <v/>
      </c>
      <c r="AD1348" s="258">
        <f>IF(Z1348&gt;0,COUNTIF(AC$1009:AC1347,AC1348)+1,0)</f>
        <v>0</v>
      </c>
      <c r="AE1348" s="258" t="str">
        <f t="shared" si="301"/>
        <v/>
      </c>
      <c r="AF1348" s="392" t="str">
        <f t="shared" si="303"/>
        <v/>
      </c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</row>
    <row r="1349" spans="1:93" ht="16.5" hidden="1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27">
        <f t="shared" si="304"/>
        <v>12</v>
      </c>
      <c r="U1349" s="247">
        <f>IF(OR(ISBLANK(F$68),AND(W1349&gt;(F$68-1),W1349&lt;(I$68+1))),IF(ISERROR(VLOOKUP(I$67,G$1076:G$1078,1,FALSE)),IF(K$67=G$1086,IF(MONTH(W1349)&lt;&gt;MONTH(W1348),MAX(U$1009:U1348)+1,0),IF(ISERROR(VLOOKUP(I$67,G$1079:G$1084,1,FALSE)),IF(V1349=1,MAX(U$1009:U1348)+1,0),IF(MONTH(W1350)&lt;&gt;MONTH(W1349),T1349,0))),IF(K$67=G$1086,IF(V1349=1,MAX(U$1009:U1348)+1,0),IF(V1349=7,MAX(U$1015:U1348)+1,0))),0)</f>
        <v>0</v>
      </c>
      <c r="V1349" s="27">
        <f t="shared" si="297"/>
        <v>5</v>
      </c>
      <c r="W1349" s="97">
        <f t="shared" si="298"/>
        <v>45632</v>
      </c>
      <c r="X1349" s="249" t="str">
        <f>IF(K$67=G$1086,IF(OR(U1349=1,AND(U1349&gt;0,U1349=(MAX(Y$1009:Y1348)+VLOOKUP(I$67,G$1076:H$1084,2,FALSE)))),"X",""),IF(AND(U1349&gt;0,U1349=(MAX(Y$1009:Y1348)+VLOOKUP(I$67,G$1076:H$1084,2,FALSE))),"X",""))</f>
        <v/>
      </c>
      <c r="Y1349" s="252">
        <f t="shared" si="299"/>
        <v>0</v>
      </c>
      <c r="Z1349" s="253">
        <f>IF(Y1349&gt;0,COUNTIF(Y$1009:Y1348,"&gt;0")+1,0)</f>
        <v>0</v>
      </c>
      <c r="AA1349" s="1"/>
      <c r="AB1349" s="255" t="str">
        <f t="shared" si="300"/>
        <v/>
      </c>
      <c r="AC1349" s="261" t="str">
        <f t="shared" si="302"/>
        <v/>
      </c>
      <c r="AD1349" s="258">
        <f>IF(Z1349&gt;0,COUNTIF(AC$1009:AC1348,AC1349)+1,0)</f>
        <v>0</v>
      </c>
      <c r="AE1349" s="258" t="str">
        <f t="shared" si="301"/>
        <v/>
      </c>
      <c r="AF1349" s="392" t="str">
        <f t="shared" si="303"/>
        <v/>
      </c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</row>
    <row r="1350" spans="1:93" ht="16.5" hidden="1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27">
        <f t="shared" si="304"/>
        <v>12</v>
      </c>
      <c r="U1350" s="247">
        <f>IF(OR(ISBLANK(F$68),AND(W1350&gt;(F$68-1),W1350&lt;(I$68+1))),IF(ISERROR(VLOOKUP(I$67,G$1076:G$1078,1,FALSE)),IF(K$67=G$1086,IF(MONTH(W1350)&lt;&gt;MONTH(W1349),MAX(U$1009:U1349)+1,0),IF(ISERROR(VLOOKUP(I$67,G$1079:G$1084,1,FALSE)),IF(V1350=1,MAX(U$1009:U1349)+1,0),IF(MONTH(W1351)&lt;&gt;MONTH(W1350),T1350,0))),IF(K$67=G$1086,IF(V1350=1,MAX(U$1009:U1349)+1,0),IF(V1350=7,MAX(U$1015:U1349)+1,0))),0)</f>
        <v>0</v>
      </c>
      <c r="V1350" s="27">
        <f t="shared" si="297"/>
        <v>6</v>
      </c>
      <c r="W1350" s="97">
        <f t="shared" si="298"/>
        <v>45633</v>
      </c>
      <c r="X1350" s="249" t="str">
        <f>IF(K$67=G$1086,IF(OR(U1350=1,AND(U1350&gt;0,U1350=(MAX(Y$1009:Y1349)+VLOOKUP(I$67,G$1076:H$1084,2,FALSE)))),"X",""),IF(AND(U1350&gt;0,U1350=(MAX(Y$1009:Y1349)+VLOOKUP(I$67,G$1076:H$1084,2,FALSE))),"X",""))</f>
        <v/>
      </c>
      <c r="Y1350" s="252">
        <f t="shared" si="299"/>
        <v>0</v>
      </c>
      <c r="Z1350" s="253">
        <f>IF(Y1350&gt;0,COUNTIF(Y$1009:Y1349,"&gt;0")+1,0)</f>
        <v>0</v>
      </c>
      <c r="AA1350" s="1"/>
      <c r="AB1350" s="255" t="str">
        <f t="shared" si="300"/>
        <v/>
      </c>
      <c r="AC1350" s="261" t="str">
        <f t="shared" si="302"/>
        <v/>
      </c>
      <c r="AD1350" s="258">
        <f>IF(Z1350&gt;0,COUNTIF(AC$1009:AC1349,AC1350)+1,0)</f>
        <v>0</v>
      </c>
      <c r="AE1350" s="258" t="str">
        <f t="shared" si="301"/>
        <v/>
      </c>
      <c r="AF1350" s="392" t="str">
        <f t="shared" si="303"/>
        <v/>
      </c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</row>
    <row r="1351" spans="1:93" ht="16.5" hidden="1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27">
        <f t="shared" si="304"/>
        <v>12</v>
      </c>
      <c r="U1351" s="247">
        <f>IF(OR(ISBLANK(F$68),AND(W1351&gt;(F$68-1),W1351&lt;(I$68+1))),IF(ISERROR(VLOOKUP(I$67,G$1076:G$1078,1,FALSE)),IF(K$67=G$1086,IF(MONTH(W1351)&lt;&gt;MONTH(W1350),MAX(U$1009:U1350)+1,0),IF(ISERROR(VLOOKUP(I$67,G$1079:G$1084,1,FALSE)),IF(V1351=1,MAX(U$1009:U1350)+1,0),IF(MONTH(W1352)&lt;&gt;MONTH(W1351),T1351,0))),IF(K$67=G$1086,IF(V1351=1,MAX(U$1009:U1350)+1,0),IF(V1351=7,MAX(U$1015:U1350)+1,0))),0)</f>
        <v>0</v>
      </c>
      <c r="V1351" s="27">
        <f t="shared" si="297"/>
        <v>7</v>
      </c>
      <c r="W1351" s="97">
        <f t="shared" si="298"/>
        <v>45634</v>
      </c>
      <c r="X1351" s="249" t="str">
        <f>IF(K$67=G$1086,IF(OR(U1351=1,AND(U1351&gt;0,U1351=(MAX(Y$1009:Y1350)+VLOOKUP(I$67,G$1076:H$1084,2,FALSE)))),"X",""),IF(AND(U1351&gt;0,U1351=(MAX(Y$1009:Y1350)+VLOOKUP(I$67,G$1076:H$1084,2,FALSE))),"X",""))</f>
        <v/>
      </c>
      <c r="Y1351" s="252">
        <f t="shared" si="299"/>
        <v>0</v>
      </c>
      <c r="Z1351" s="253">
        <f>IF(Y1351&gt;0,COUNTIF(Y$1009:Y1350,"&gt;0")+1,0)</f>
        <v>0</v>
      </c>
      <c r="AA1351" s="1"/>
      <c r="AB1351" s="255" t="str">
        <f t="shared" si="300"/>
        <v/>
      </c>
      <c r="AC1351" s="261" t="str">
        <f t="shared" si="302"/>
        <v/>
      </c>
      <c r="AD1351" s="258">
        <f>IF(Z1351&gt;0,COUNTIF(AC$1009:AC1350,AC1351)+1,0)</f>
        <v>0</v>
      </c>
      <c r="AE1351" s="258" t="str">
        <f t="shared" si="301"/>
        <v/>
      </c>
      <c r="AF1351" s="392" t="str">
        <f t="shared" si="303"/>
        <v/>
      </c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</row>
    <row r="1352" spans="1:93" ht="16.5" hidden="1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27">
        <f t="shared" si="304"/>
        <v>12</v>
      </c>
      <c r="U1352" s="247">
        <f>IF(OR(ISBLANK(F$68),AND(W1352&gt;(F$68-1),W1352&lt;(I$68+1))),IF(ISERROR(VLOOKUP(I$67,G$1076:G$1078,1,FALSE)),IF(K$67=G$1086,IF(MONTH(W1352)&lt;&gt;MONTH(W1351),MAX(U$1009:U1351)+1,0),IF(ISERROR(VLOOKUP(I$67,G$1079:G$1084,1,FALSE)),IF(V1352=1,MAX(U$1009:U1351)+1,0),IF(MONTH(W1353)&lt;&gt;MONTH(W1352),T1352,0))),IF(K$67=G$1086,IF(V1352=1,MAX(U$1009:U1351)+1,0),IF(V1352=7,MAX(U$1015:U1351)+1,0))),0)</f>
        <v>50</v>
      </c>
      <c r="V1352" s="27">
        <f t="shared" si="297"/>
        <v>1</v>
      </c>
      <c r="W1352" s="97">
        <f t="shared" si="298"/>
        <v>45635</v>
      </c>
      <c r="X1352" s="249" t="str">
        <f>IF(K$67=G$1086,IF(OR(U1352=1,AND(U1352&gt;0,U1352=(MAX(Y$1009:Y1351)+VLOOKUP(I$67,G$1076:H$1084,2,FALSE)))),"X",""),IF(AND(U1352&gt;0,U1352=(MAX(Y$1009:Y1351)+VLOOKUP(I$67,G$1076:H$1084,2,FALSE))),"X",""))</f>
        <v/>
      </c>
      <c r="Y1352" s="252">
        <f t="shared" si="299"/>
        <v>0</v>
      </c>
      <c r="Z1352" s="253">
        <f>IF(Y1352&gt;0,COUNTIF(Y$1009:Y1351,"&gt;0")+1,0)</f>
        <v>0</v>
      </c>
      <c r="AA1352" s="1"/>
      <c r="AB1352" s="255" t="str">
        <f t="shared" si="300"/>
        <v/>
      </c>
      <c r="AC1352" s="261" t="str">
        <f t="shared" si="302"/>
        <v/>
      </c>
      <c r="AD1352" s="258">
        <f>IF(Z1352&gt;0,COUNTIF(AC$1009:AC1351,AC1352)+1,0)</f>
        <v>0</v>
      </c>
      <c r="AE1352" s="258" t="str">
        <f t="shared" si="301"/>
        <v/>
      </c>
      <c r="AF1352" s="392" t="str">
        <f t="shared" si="303"/>
        <v/>
      </c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</row>
    <row r="1353" spans="1:93" ht="16.5" hidden="1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27">
        <f t="shared" si="304"/>
        <v>12</v>
      </c>
      <c r="U1353" s="247">
        <f>IF(OR(ISBLANK(F$68),AND(W1353&gt;(F$68-1),W1353&lt;(I$68+1))),IF(ISERROR(VLOOKUP(I$67,G$1076:G$1078,1,FALSE)),IF(K$67=G$1086,IF(MONTH(W1353)&lt;&gt;MONTH(W1352),MAX(U$1009:U1352)+1,0),IF(ISERROR(VLOOKUP(I$67,G$1079:G$1084,1,FALSE)),IF(V1353=1,MAX(U$1009:U1352)+1,0),IF(MONTH(W1354)&lt;&gt;MONTH(W1353),T1353,0))),IF(K$67=G$1086,IF(V1353=1,MAX(U$1009:U1352)+1,0),IF(V1353=7,MAX(U$1015:U1352)+1,0))),0)</f>
        <v>0</v>
      </c>
      <c r="V1353" s="27">
        <f t="shared" si="297"/>
        <v>2</v>
      </c>
      <c r="W1353" s="97">
        <f t="shared" si="298"/>
        <v>45636</v>
      </c>
      <c r="X1353" s="249" t="str">
        <f>IF(K$67=G$1086,IF(OR(U1353=1,AND(U1353&gt;0,U1353=(MAX(Y$1009:Y1352)+VLOOKUP(I$67,G$1076:H$1084,2,FALSE)))),"X",""),IF(AND(U1353&gt;0,U1353=(MAX(Y$1009:Y1352)+VLOOKUP(I$67,G$1076:H$1084,2,FALSE))),"X",""))</f>
        <v/>
      </c>
      <c r="Y1353" s="252">
        <f t="shared" si="299"/>
        <v>0</v>
      </c>
      <c r="Z1353" s="253">
        <f>IF(Y1353&gt;0,COUNTIF(Y$1009:Y1352,"&gt;0")+1,0)</f>
        <v>0</v>
      </c>
      <c r="AA1353" s="1"/>
      <c r="AB1353" s="255" t="str">
        <f t="shared" si="300"/>
        <v/>
      </c>
      <c r="AC1353" s="261" t="str">
        <f t="shared" si="302"/>
        <v/>
      </c>
      <c r="AD1353" s="258">
        <f>IF(Z1353&gt;0,COUNTIF(AC$1009:AC1352,AC1353)+1,0)</f>
        <v>0</v>
      </c>
      <c r="AE1353" s="258" t="str">
        <f t="shared" si="301"/>
        <v/>
      </c>
      <c r="AF1353" s="392" t="str">
        <f t="shared" si="303"/>
        <v/>
      </c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</row>
    <row r="1354" spans="1:93" ht="16.5" hidden="1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27">
        <f t="shared" si="304"/>
        <v>12</v>
      </c>
      <c r="U1354" s="247">
        <f>IF(OR(ISBLANK(F$68),AND(W1354&gt;(F$68-1),W1354&lt;(I$68+1))),IF(ISERROR(VLOOKUP(I$67,G$1076:G$1078,1,FALSE)),IF(K$67=G$1086,IF(MONTH(W1354)&lt;&gt;MONTH(W1353),MAX(U$1009:U1353)+1,0),IF(ISERROR(VLOOKUP(I$67,G$1079:G$1084,1,FALSE)),IF(V1354=1,MAX(U$1009:U1353)+1,0),IF(MONTH(W1355)&lt;&gt;MONTH(W1354),T1354,0))),IF(K$67=G$1086,IF(V1354=1,MAX(U$1009:U1353)+1,0),IF(V1354=7,MAX(U$1015:U1353)+1,0))),0)</f>
        <v>0</v>
      </c>
      <c r="V1354" s="27">
        <f t="shared" si="297"/>
        <v>3</v>
      </c>
      <c r="W1354" s="97">
        <f t="shared" si="298"/>
        <v>45637</v>
      </c>
      <c r="X1354" s="249" t="str">
        <f>IF(K$67=G$1086,IF(OR(U1354=1,AND(U1354&gt;0,U1354=(MAX(Y$1009:Y1353)+VLOOKUP(I$67,G$1076:H$1084,2,FALSE)))),"X",""),IF(AND(U1354&gt;0,U1354=(MAX(Y$1009:Y1353)+VLOOKUP(I$67,G$1076:H$1084,2,FALSE))),"X",""))</f>
        <v/>
      </c>
      <c r="Y1354" s="252">
        <f t="shared" si="299"/>
        <v>0</v>
      </c>
      <c r="Z1354" s="253">
        <f>IF(Y1354&gt;0,COUNTIF(Y$1009:Y1353,"&gt;0")+1,0)</f>
        <v>0</v>
      </c>
      <c r="AA1354" s="1"/>
      <c r="AB1354" s="255" t="str">
        <f t="shared" si="300"/>
        <v/>
      </c>
      <c r="AC1354" s="261" t="str">
        <f t="shared" si="302"/>
        <v/>
      </c>
      <c r="AD1354" s="258">
        <f>IF(Z1354&gt;0,COUNTIF(AC$1009:AC1353,AC1354)+1,0)</f>
        <v>0</v>
      </c>
      <c r="AE1354" s="258" t="str">
        <f t="shared" si="301"/>
        <v/>
      </c>
      <c r="AF1354" s="392" t="str">
        <f t="shared" si="303"/>
        <v/>
      </c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</row>
    <row r="1355" spans="1:93" ht="16.5" hidden="1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27">
        <f t="shared" si="304"/>
        <v>12</v>
      </c>
      <c r="U1355" s="247">
        <f>IF(OR(ISBLANK(F$68),AND(W1355&gt;(F$68-1),W1355&lt;(I$68+1))),IF(ISERROR(VLOOKUP(I$67,G$1076:G$1078,1,FALSE)),IF(K$67=G$1086,IF(MONTH(W1355)&lt;&gt;MONTH(W1354),MAX(U$1009:U1354)+1,0),IF(ISERROR(VLOOKUP(I$67,G$1079:G$1084,1,FALSE)),IF(V1355=1,MAX(U$1009:U1354)+1,0),IF(MONTH(W1356)&lt;&gt;MONTH(W1355),T1355,0))),IF(K$67=G$1086,IF(V1355=1,MAX(U$1009:U1354)+1,0),IF(V1355=7,MAX(U$1015:U1354)+1,0))),0)</f>
        <v>0</v>
      </c>
      <c r="V1355" s="27">
        <f t="shared" si="297"/>
        <v>4</v>
      </c>
      <c r="W1355" s="97">
        <f t="shared" si="298"/>
        <v>45638</v>
      </c>
      <c r="X1355" s="249" t="str">
        <f>IF(K$67=G$1086,IF(OR(U1355=1,AND(U1355&gt;0,U1355=(MAX(Y$1009:Y1354)+VLOOKUP(I$67,G$1076:H$1084,2,FALSE)))),"X",""),IF(AND(U1355&gt;0,U1355=(MAX(Y$1009:Y1354)+VLOOKUP(I$67,G$1076:H$1084,2,FALSE))),"X",""))</f>
        <v/>
      </c>
      <c r="Y1355" s="252">
        <f t="shared" si="299"/>
        <v>0</v>
      </c>
      <c r="Z1355" s="253">
        <f>IF(Y1355&gt;0,COUNTIF(Y$1009:Y1354,"&gt;0")+1,0)</f>
        <v>0</v>
      </c>
      <c r="AA1355" s="1"/>
      <c r="AB1355" s="255" t="str">
        <f t="shared" si="300"/>
        <v/>
      </c>
      <c r="AC1355" s="261" t="str">
        <f t="shared" si="302"/>
        <v/>
      </c>
      <c r="AD1355" s="258">
        <f>IF(Z1355&gt;0,COUNTIF(AC$1009:AC1354,AC1355)+1,0)</f>
        <v>0</v>
      </c>
      <c r="AE1355" s="258" t="str">
        <f t="shared" si="301"/>
        <v/>
      </c>
      <c r="AF1355" s="392" t="str">
        <f t="shared" si="303"/>
        <v/>
      </c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</row>
    <row r="1356" spans="1:93" ht="16.5" hidden="1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27">
        <f t="shared" si="304"/>
        <v>12</v>
      </c>
      <c r="U1356" s="247">
        <f>IF(OR(ISBLANK(F$68),AND(W1356&gt;(F$68-1),W1356&lt;(I$68+1))),IF(ISERROR(VLOOKUP(I$67,G$1076:G$1078,1,FALSE)),IF(K$67=G$1086,IF(MONTH(W1356)&lt;&gt;MONTH(W1355),MAX(U$1009:U1355)+1,0),IF(ISERROR(VLOOKUP(I$67,G$1079:G$1084,1,FALSE)),IF(V1356=1,MAX(U$1009:U1355)+1,0),IF(MONTH(W1357)&lt;&gt;MONTH(W1356),T1356,0))),IF(K$67=G$1086,IF(V1356=1,MAX(U$1009:U1355)+1,0),IF(V1356=7,MAX(U$1015:U1355)+1,0))),0)</f>
        <v>0</v>
      </c>
      <c r="V1356" s="27">
        <f t="shared" si="297"/>
        <v>5</v>
      </c>
      <c r="W1356" s="97">
        <f t="shared" si="298"/>
        <v>45639</v>
      </c>
      <c r="X1356" s="249" t="str">
        <f>IF(K$67=G$1086,IF(OR(U1356=1,AND(U1356&gt;0,U1356=(MAX(Y$1009:Y1355)+VLOOKUP(I$67,G$1076:H$1084,2,FALSE)))),"X",""),IF(AND(U1356&gt;0,U1356=(MAX(Y$1009:Y1355)+VLOOKUP(I$67,G$1076:H$1084,2,FALSE))),"X",""))</f>
        <v/>
      </c>
      <c r="Y1356" s="252">
        <f t="shared" si="299"/>
        <v>0</v>
      </c>
      <c r="Z1356" s="253">
        <f>IF(Y1356&gt;0,COUNTIF(Y$1009:Y1355,"&gt;0")+1,0)</f>
        <v>0</v>
      </c>
      <c r="AA1356" s="1"/>
      <c r="AB1356" s="255" t="str">
        <f t="shared" si="300"/>
        <v/>
      </c>
      <c r="AC1356" s="261" t="str">
        <f t="shared" si="302"/>
        <v/>
      </c>
      <c r="AD1356" s="258">
        <f>IF(Z1356&gt;0,COUNTIF(AC$1009:AC1355,AC1356)+1,0)</f>
        <v>0</v>
      </c>
      <c r="AE1356" s="258" t="str">
        <f t="shared" si="301"/>
        <v/>
      </c>
      <c r="AF1356" s="392" t="str">
        <f t="shared" si="303"/>
        <v/>
      </c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</row>
    <row r="1357" spans="1:93" ht="16.5" hidden="1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27">
        <f t="shared" si="304"/>
        <v>12</v>
      </c>
      <c r="U1357" s="247">
        <f>IF(OR(ISBLANK(F$68),AND(W1357&gt;(F$68-1),W1357&lt;(I$68+1))),IF(ISERROR(VLOOKUP(I$67,G$1076:G$1078,1,FALSE)),IF(K$67=G$1086,IF(MONTH(W1357)&lt;&gt;MONTH(W1356),MAX(U$1009:U1356)+1,0),IF(ISERROR(VLOOKUP(I$67,G$1079:G$1084,1,FALSE)),IF(V1357=1,MAX(U$1009:U1356)+1,0),IF(MONTH(W1358)&lt;&gt;MONTH(W1357),T1357,0))),IF(K$67=G$1086,IF(V1357=1,MAX(U$1009:U1356)+1,0),IF(V1357=7,MAX(U$1015:U1356)+1,0))),0)</f>
        <v>0</v>
      </c>
      <c r="V1357" s="27">
        <f t="shared" si="297"/>
        <v>6</v>
      </c>
      <c r="W1357" s="97">
        <f t="shared" si="298"/>
        <v>45640</v>
      </c>
      <c r="X1357" s="249" t="str">
        <f>IF(K$67=G$1086,IF(OR(U1357=1,AND(U1357&gt;0,U1357=(MAX(Y$1009:Y1356)+VLOOKUP(I$67,G$1076:H$1084,2,FALSE)))),"X",""),IF(AND(U1357&gt;0,U1357=(MAX(Y$1009:Y1356)+VLOOKUP(I$67,G$1076:H$1084,2,FALSE))),"X",""))</f>
        <v/>
      </c>
      <c r="Y1357" s="252">
        <f t="shared" si="299"/>
        <v>0</v>
      </c>
      <c r="Z1357" s="253">
        <f>IF(Y1357&gt;0,COUNTIF(Y$1009:Y1356,"&gt;0")+1,0)</f>
        <v>0</v>
      </c>
      <c r="AA1357" s="1"/>
      <c r="AB1357" s="255" t="str">
        <f t="shared" si="300"/>
        <v/>
      </c>
      <c r="AC1357" s="261" t="str">
        <f t="shared" si="302"/>
        <v/>
      </c>
      <c r="AD1357" s="258">
        <f>IF(Z1357&gt;0,COUNTIF(AC$1009:AC1356,AC1357)+1,0)</f>
        <v>0</v>
      </c>
      <c r="AE1357" s="258" t="str">
        <f t="shared" si="301"/>
        <v/>
      </c>
      <c r="AF1357" s="392" t="str">
        <f t="shared" si="303"/>
        <v/>
      </c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</row>
    <row r="1358" spans="1:93" ht="16.5" hidden="1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27">
        <f t="shared" si="304"/>
        <v>12</v>
      </c>
      <c r="U1358" s="247">
        <f>IF(OR(ISBLANK(F$68),AND(W1358&gt;(F$68-1),W1358&lt;(I$68+1))),IF(ISERROR(VLOOKUP(I$67,G$1076:G$1078,1,FALSE)),IF(K$67=G$1086,IF(MONTH(W1358)&lt;&gt;MONTH(W1357),MAX(U$1009:U1357)+1,0),IF(ISERROR(VLOOKUP(I$67,G$1079:G$1084,1,FALSE)),IF(V1358=1,MAX(U$1009:U1357)+1,0),IF(MONTH(W1359)&lt;&gt;MONTH(W1358),T1358,0))),IF(K$67=G$1086,IF(V1358=1,MAX(U$1009:U1357)+1,0),IF(V1358=7,MAX(U$1015:U1357)+1,0))),0)</f>
        <v>0</v>
      </c>
      <c r="V1358" s="27">
        <f t="shared" si="297"/>
        <v>7</v>
      </c>
      <c r="W1358" s="97">
        <f t="shared" si="298"/>
        <v>45641</v>
      </c>
      <c r="X1358" s="249" t="str">
        <f>IF(K$67=G$1086,IF(OR(U1358=1,AND(U1358&gt;0,U1358=(MAX(Y$1009:Y1357)+VLOOKUP(I$67,G$1076:H$1084,2,FALSE)))),"X",""),IF(AND(U1358&gt;0,U1358=(MAX(Y$1009:Y1357)+VLOOKUP(I$67,G$1076:H$1084,2,FALSE))),"X",""))</f>
        <v/>
      </c>
      <c r="Y1358" s="252">
        <f t="shared" si="299"/>
        <v>0</v>
      </c>
      <c r="Z1358" s="253">
        <f>IF(Y1358&gt;0,COUNTIF(Y$1009:Y1357,"&gt;0")+1,0)</f>
        <v>0</v>
      </c>
      <c r="AA1358" s="1"/>
      <c r="AB1358" s="255" t="str">
        <f t="shared" si="300"/>
        <v/>
      </c>
      <c r="AC1358" s="261" t="str">
        <f t="shared" si="302"/>
        <v/>
      </c>
      <c r="AD1358" s="258">
        <f>IF(Z1358&gt;0,COUNTIF(AC$1009:AC1357,AC1358)+1,0)</f>
        <v>0</v>
      </c>
      <c r="AE1358" s="258" t="str">
        <f t="shared" si="301"/>
        <v/>
      </c>
      <c r="AF1358" s="392" t="str">
        <f t="shared" si="303"/>
        <v/>
      </c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</row>
    <row r="1359" spans="1:93" ht="16.5" hidden="1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27">
        <f t="shared" si="304"/>
        <v>12</v>
      </c>
      <c r="U1359" s="247">
        <f>IF(OR(ISBLANK(F$68),AND(W1359&gt;(F$68-1),W1359&lt;(I$68+1))),IF(ISERROR(VLOOKUP(I$67,G$1076:G$1078,1,FALSE)),IF(K$67=G$1086,IF(MONTH(W1359)&lt;&gt;MONTH(W1358),MAX(U$1009:U1358)+1,0),IF(ISERROR(VLOOKUP(I$67,G$1079:G$1084,1,FALSE)),IF(V1359=1,MAX(U$1009:U1358)+1,0),IF(MONTH(W1360)&lt;&gt;MONTH(W1359),T1359,0))),IF(K$67=G$1086,IF(V1359=1,MAX(U$1009:U1358)+1,0),IF(V1359=7,MAX(U$1015:U1358)+1,0))),0)</f>
        <v>51</v>
      </c>
      <c r="V1359" s="27">
        <f t="shared" si="297"/>
        <v>1</v>
      </c>
      <c r="W1359" s="97">
        <f t="shared" si="298"/>
        <v>45642</v>
      </c>
      <c r="X1359" s="249" t="str">
        <f>IF(K$67=G$1086,IF(OR(U1359=1,AND(U1359&gt;0,U1359=(MAX(Y$1009:Y1358)+VLOOKUP(I$67,G$1076:H$1084,2,FALSE)))),"X",""),IF(AND(U1359&gt;0,U1359=(MAX(Y$1009:Y1358)+VLOOKUP(I$67,G$1076:H$1084,2,FALSE))),"X",""))</f>
        <v>X</v>
      </c>
      <c r="Y1359" s="252">
        <f t="shared" si="299"/>
        <v>51</v>
      </c>
      <c r="Z1359" s="253">
        <f>IF(Y1359&gt;0,COUNTIF(Y$1009:Y1358,"&gt;0")+1,0)</f>
        <v>26</v>
      </c>
      <c r="AA1359" s="1"/>
      <c r="AB1359" s="255">
        <f t="shared" si="300"/>
        <v>45642</v>
      </c>
      <c r="AC1359" s="261">
        <f t="shared" si="302"/>
        <v>12</v>
      </c>
      <c r="AD1359" s="258">
        <f>IF(Z1359&gt;0,COUNTIF(AC$1009:AC1358,AC1359)+1,0)</f>
        <v>2</v>
      </c>
      <c r="AE1359" s="258" t="str">
        <f t="shared" si="301"/>
        <v>12-2</v>
      </c>
      <c r="AF1359" s="392">
        <f t="shared" si="303"/>
        <v>45642</v>
      </c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</row>
    <row r="1360" spans="1:93" ht="16.5" hidden="1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27">
        <f t="shared" si="304"/>
        <v>12</v>
      </c>
      <c r="U1360" s="247">
        <f>IF(OR(ISBLANK(F$68),AND(W1360&gt;(F$68-1),W1360&lt;(I$68+1))),IF(ISERROR(VLOOKUP(I$67,G$1076:G$1078,1,FALSE)),IF(K$67=G$1086,IF(MONTH(W1360)&lt;&gt;MONTH(W1359),MAX(U$1009:U1359)+1,0),IF(ISERROR(VLOOKUP(I$67,G$1079:G$1084,1,FALSE)),IF(V1360=1,MAX(U$1009:U1359)+1,0),IF(MONTH(W1361)&lt;&gt;MONTH(W1360),T1360,0))),IF(K$67=G$1086,IF(V1360=1,MAX(U$1009:U1359)+1,0),IF(V1360=7,MAX(U$1015:U1359)+1,0))),0)</f>
        <v>0</v>
      </c>
      <c r="V1360" s="27">
        <f t="shared" si="297"/>
        <v>2</v>
      </c>
      <c r="W1360" s="97">
        <f t="shared" si="298"/>
        <v>45643</v>
      </c>
      <c r="X1360" s="249" t="str">
        <f>IF(K$67=G$1086,IF(OR(U1360=1,AND(U1360&gt;0,U1360=(MAX(Y$1009:Y1359)+VLOOKUP(I$67,G$1076:H$1084,2,FALSE)))),"X",""),IF(AND(U1360&gt;0,U1360=(MAX(Y$1009:Y1359)+VLOOKUP(I$67,G$1076:H$1084,2,FALSE))),"X",""))</f>
        <v/>
      </c>
      <c r="Y1360" s="252">
        <f t="shared" si="299"/>
        <v>0</v>
      </c>
      <c r="Z1360" s="253">
        <f>IF(Y1360&gt;0,COUNTIF(Y$1009:Y1359,"&gt;0")+1,0)</f>
        <v>0</v>
      </c>
      <c r="AA1360" s="1"/>
      <c r="AB1360" s="255" t="str">
        <f t="shared" si="300"/>
        <v/>
      </c>
      <c r="AC1360" s="261" t="str">
        <f t="shared" si="302"/>
        <v/>
      </c>
      <c r="AD1360" s="258">
        <f>IF(Z1360&gt;0,COUNTIF(AC$1009:AC1359,AC1360)+1,0)</f>
        <v>0</v>
      </c>
      <c r="AE1360" s="258" t="str">
        <f t="shared" si="301"/>
        <v/>
      </c>
      <c r="AF1360" s="392" t="str">
        <f t="shared" si="303"/>
        <v/>
      </c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</row>
    <row r="1361" spans="1:93" ht="16.5" hidden="1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27">
        <f t="shared" si="304"/>
        <v>12</v>
      </c>
      <c r="U1361" s="247">
        <f>IF(OR(ISBLANK(F$68),AND(W1361&gt;(F$68-1),W1361&lt;(I$68+1))),IF(ISERROR(VLOOKUP(I$67,G$1076:G$1078,1,FALSE)),IF(K$67=G$1086,IF(MONTH(W1361)&lt;&gt;MONTH(W1360),MAX(U$1009:U1360)+1,0),IF(ISERROR(VLOOKUP(I$67,G$1079:G$1084,1,FALSE)),IF(V1361=1,MAX(U$1009:U1360)+1,0),IF(MONTH(W1362)&lt;&gt;MONTH(W1361),T1361,0))),IF(K$67=G$1086,IF(V1361=1,MAX(U$1009:U1360)+1,0),IF(V1361=7,MAX(U$1015:U1360)+1,0))),0)</f>
        <v>0</v>
      </c>
      <c r="V1361" s="27">
        <f t="shared" si="297"/>
        <v>3</v>
      </c>
      <c r="W1361" s="97">
        <f t="shared" si="298"/>
        <v>45644</v>
      </c>
      <c r="X1361" s="249" t="str">
        <f>IF(K$67=G$1086,IF(OR(U1361=1,AND(U1361&gt;0,U1361=(MAX(Y$1009:Y1360)+VLOOKUP(I$67,G$1076:H$1084,2,FALSE)))),"X",""),IF(AND(U1361&gt;0,U1361=(MAX(Y$1009:Y1360)+VLOOKUP(I$67,G$1076:H$1084,2,FALSE))),"X",""))</f>
        <v/>
      </c>
      <c r="Y1361" s="252">
        <f t="shared" si="299"/>
        <v>0</v>
      </c>
      <c r="Z1361" s="253">
        <f>IF(Y1361&gt;0,COUNTIF(Y$1009:Y1360,"&gt;0")+1,0)</f>
        <v>0</v>
      </c>
      <c r="AA1361" s="1"/>
      <c r="AB1361" s="255" t="str">
        <f t="shared" si="300"/>
        <v/>
      </c>
      <c r="AC1361" s="261" t="str">
        <f t="shared" si="302"/>
        <v/>
      </c>
      <c r="AD1361" s="258">
        <f>IF(Z1361&gt;0,COUNTIF(AC$1009:AC1360,AC1361)+1,0)</f>
        <v>0</v>
      </c>
      <c r="AE1361" s="258" t="str">
        <f t="shared" si="301"/>
        <v/>
      </c>
      <c r="AF1361" s="392" t="str">
        <f t="shared" si="303"/>
        <v/>
      </c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</row>
    <row r="1362" spans="1:93" ht="16.5" hidden="1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27">
        <f t="shared" si="304"/>
        <v>12</v>
      </c>
      <c r="U1362" s="247">
        <f>IF(OR(ISBLANK(F$68),AND(W1362&gt;(F$68-1),W1362&lt;(I$68+1))),IF(ISERROR(VLOOKUP(I$67,G$1076:G$1078,1,FALSE)),IF(K$67=G$1086,IF(MONTH(W1362)&lt;&gt;MONTH(W1361),MAX(U$1009:U1361)+1,0),IF(ISERROR(VLOOKUP(I$67,G$1079:G$1084,1,FALSE)),IF(V1362=1,MAX(U$1009:U1361)+1,0),IF(MONTH(W1363)&lt;&gt;MONTH(W1362),T1362,0))),IF(K$67=G$1086,IF(V1362=1,MAX(U$1009:U1361)+1,0),IF(V1362=7,MAX(U$1015:U1361)+1,0))),0)</f>
        <v>0</v>
      </c>
      <c r="V1362" s="27">
        <f t="shared" si="297"/>
        <v>4</v>
      </c>
      <c r="W1362" s="97">
        <f t="shared" si="298"/>
        <v>45645</v>
      </c>
      <c r="X1362" s="249" t="str">
        <f>IF(K$67=G$1086,IF(OR(U1362=1,AND(U1362&gt;0,U1362=(MAX(Y$1009:Y1361)+VLOOKUP(I$67,G$1076:H$1084,2,FALSE)))),"X",""),IF(AND(U1362&gt;0,U1362=(MAX(Y$1009:Y1361)+VLOOKUP(I$67,G$1076:H$1084,2,FALSE))),"X",""))</f>
        <v/>
      </c>
      <c r="Y1362" s="252">
        <f t="shared" si="299"/>
        <v>0</v>
      </c>
      <c r="Z1362" s="253">
        <f>IF(Y1362&gt;0,COUNTIF(Y$1009:Y1361,"&gt;0")+1,0)</f>
        <v>0</v>
      </c>
      <c r="AA1362" s="1"/>
      <c r="AB1362" s="255" t="str">
        <f t="shared" si="300"/>
        <v/>
      </c>
      <c r="AC1362" s="261" t="str">
        <f t="shared" si="302"/>
        <v/>
      </c>
      <c r="AD1362" s="258">
        <f>IF(Z1362&gt;0,COUNTIF(AC$1009:AC1361,AC1362)+1,0)</f>
        <v>0</v>
      </c>
      <c r="AE1362" s="258" t="str">
        <f t="shared" si="301"/>
        <v/>
      </c>
      <c r="AF1362" s="392" t="str">
        <f t="shared" si="303"/>
        <v/>
      </c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</row>
    <row r="1363" spans="1:93" ht="16.5" hidden="1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27">
        <f t="shared" si="304"/>
        <v>12</v>
      </c>
      <c r="U1363" s="247">
        <f>IF(OR(ISBLANK(F$68),AND(W1363&gt;(F$68-1),W1363&lt;(I$68+1))),IF(ISERROR(VLOOKUP(I$67,G$1076:G$1078,1,FALSE)),IF(K$67=G$1086,IF(MONTH(W1363)&lt;&gt;MONTH(W1362),MAX(U$1009:U1362)+1,0),IF(ISERROR(VLOOKUP(I$67,G$1079:G$1084,1,FALSE)),IF(V1363=1,MAX(U$1009:U1362)+1,0),IF(MONTH(W1364)&lt;&gt;MONTH(W1363),T1363,0))),IF(K$67=G$1086,IF(V1363=1,MAX(U$1009:U1362)+1,0),IF(V1363=7,MAX(U$1015:U1362)+1,0))),0)</f>
        <v>0</v>
      </c>
      <c r="V1363" s="27">
        <f t="shared" si="297"/>
        <v>5</v>
      </c>
      <c r="W1363" s="97">
        <f t="shared" si="298"/>
        <v>45646</v>
      </c>
      <c r="X1363" s="249" t="str">
        <f>IF(K$67=G$1086,IF(OR(U1363=1,AND(U1363&gt;0,U1363=(MAX(Y$1009:Y1362)+VLOOKUP(I$67,G$1076:H$1084,2,FALSE)))),"X",""),IF(AND(U1363&gt;0,U1363=(MAX(Y$1009:Y1362)+VLOOKUP(I$67,G$1076:H$1084,2,FALSE))),"X",""))</f>
        <v/>
      </c>
      <c r="Y1363" s="252">
        <f t="shared" si="299"/>
        <v>0</v>
      </c>
      <c r="Z1363" s="253">
        <f>IF(Y1363&gt;0,COUNTIF(Y$1009:Y1362,"&gt;0")+1,0)</f>
        <v>0</v>
      </c>
      <c r="AA1363" s="1"/>
      <c r="AB1363" s="255" t="str">
        <f t="shared" si="300"/>
        <v/>
      </c>
      <c r="AC1363" s="261" t="str">
        <f t="shared" si="302"/>
        <v/>
      </c>
      <c r="AD1363" s="258">
        <f>IF(Z1363&gt;0,COUNTIF(AC$1009:AC1362,AC1363)+1,0)</f>
        <v>0</v>
      </c>
      <c r="AE1363" s="258" t="str">
        <f t="shared" si="301"/>
        <v/>
      </c>
      <c r="AF1363" s="392" t="str">
        <f t="shared" si="303"/>
        <v/>
      </c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</row>
    <row r="1364" spans="1:93" ht="16.5" hidden="1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27">
        <f t="shared" si="304"/>
        <v>12</v>
      </c>
      <c r="U1364" s="247">
        <f>IF(OR(ISBLANK(F$68),AND(W1364&gt;(F$68-1),W1364&lt;(I$68+1))),IF(ISERROR(VLOOKUP(I$67,G$1076:G$1078,1,FALSE)),IF(K$67=G$1086,IF(MONTH(W1364)&lt;&gt;MONTH(W1363),MAX(U$1009:U1363)+1,0),IF(ISERROR(VLOOKUP(I$67,G$1079:G$1084,1,FALSE)),IF(V1364=1,MAX(U$1009:U1363)+1,0),IF(MONTH(W1365)&lt;&gt;MONTH(W1364),T1364,0))),IF(K$67=G$1086,IF(V1364=1,MAX(U$1009:U1363)+1,0),IF(V1364=7,MAX(U$1015:U1363)+1,0))),0)</f>
        <v>0</v>
      </c>
      <c r="V1364" s="27">
        <f t="shared" si="297"/>
        <v>6</v>
      </c>
      <c r="W1364" s="97">
        <f t="shared" si="298"/>
        <v>45647</v>
      </c>
      <c r="X1364" s="249" t="str">
        <f>IF(K$67=G$1086,IF(OR(U1364=1,AND(U1364&gt;0,U1364=(MAX(Y$1009:Y1363)+VLOOKUP(I$67,G$1076:H$1084,2,FALSE)))),"X",""),IF(AND(U1364&gt;0,U1364=(MAX(Y$1009:Y1363)+VLOOKUP(I$67,G$1076:H$1084,2,FALSE))),"X",""))</f>
        <v/>
      </c>
      <c r="Y1364" s="252">
        <f t="shared" si="299"/>
        <v>0</v>
      </c>
      <c r="Z1364" s="253">
        <f>IF(Y1364&gt;0,COUNTIF(Y$1009:Y1363,"&gt;0")+1,0)</f>
        <v>0</v>
      </c>
      <c r="AA1364" s="1"/>
      <c r="AB1364" s="255" t="str">
        <f t="shared" si="300"/>
        <v/>
      </c>
      <c r="AC1364" s="261" t="str">
        <f t="shared" si="302"/>
        <v/>
      </c>
      <c r="AD1364" s="258">
        <f>IF(Z1364&gt;0,COUNTIF(AC$1009:AC1363,AC1364)+1,0)</f>
        <v>0</v>
      </c>
      <c r="AE1364" s="258" t="str">
        <f t="shared" si="301"/>
        <v/>
      </c>
      <c r="AF1364" s="392" t="str">
        <f t="shared" si="303"/>
        <v/>
      </c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</row>
    <row r="1365" spans="1:93" ht="16.5" hidden="1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27">
        <f t="shared" si="304"/>
        <v>12</v>
      </c>
      <c r="U1365" s="247">
        <f>IF(OR(ISBLANK(F$68),AND(W1365&gt;(F$68-1),W1365&lt;(I$68+1))),IF(ISERROR(VLOOKUP(I$67,G$1076:G$1078,1,FALSE)),IF(K$67=G$1086,IF(MONTH(W1365)&lt;&gt;MONTH(W1364),MAX(U$1009:U1364)+1,0),IF(ISERROR(VLOOKUP(I$67,G$1079:G$1084,1,FALSE)),IF(V1365=1,MAX(U$1009:U1364)+1,0),IF(MONTH(W1366)&lt;&gt;MONTH(W1365),T1365,0))),IF(K$67=G$1086,IF(V1365=1,MAX(U$1009:U1364)+1,0),IF(V1365=7,MAX(U$1015:U1364)+1,0))),0)</f>
        <v>0</v>
      </c>
      <c r="V1365" s="27">
        <f t="shared" si="297"/>
        <v>7</v>
      </c>
      <c r="W1365" s="97">
        <f t="shared" si="298"/>
        <v>45648</v>
      </c>
      <c r="X1365" s="249" t="str">
        <f>IF(K$67=G$1086,IF(OR(U1365=1,AND(U1365&gt;0,U1365=(MAX(Y$1009:Y1364)+VLOOKUP(I$67,G$1076:H$1084,2,FALSE)))),"X",""),IF(AND(U1365&gt;0,U1365=(MAX(Y$1009:Y1364)+VLOOKUP(I$67,G$1076:H$1084,2,FALSE))),"X",""))</f>
        <v/>
      </c>
      <c r="Y1365" s="252">
        <f t="shared" si="299"/>
        <v>0</v>
      </c>
      <c r="Z1365" s="253">
        <f>IF(Y1365&gt;0,COUNTIF(Y$1009:Y1364,"&gt;0")+1,0)</f>
        <v>0</v>
      </c>
      <c r="AA1365" s="1"/>
      <c r="AB1365" s="255" t="str">
        <f t="shared" si="300"/>
        <v/>
      </c>
      <c r="AC1365" s="261" t="str">
        <f t="shared" si="302"/>
        <v/>
      </c>
      <c r="AD1365" s="258">
        <f>IF(Z1365&gt;0,COUNTIF(AC$1009:AC1364,AC1365)+1,0)</f>
        <v>0</v>
      </c>
      <c r="AE1365" s="258" t="str">
        <f t="shared" si="301"/>
        <v/>
      </c>
      <c r="AF1365" s="392" t="str">
        <f t="shared" si="303"/>
        <v/>
      </c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</row>
    <row r="1366" spans="1:93" ht="16.5" hidden="1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27">
        <f t="shared" si="304"/>
        <v>12</v>
      </c>
      <c r="U1366" s="247">
        <f>IF(OR(ISBLANK(F$68),AND(W1366&gt;(F$68-1),W1366&lt;(I$68+1))),IF(ISERROR(VLOOKUP(I$67,G$1076:G$1078,1,FALSE)),IF(K$67=G$1086,IF(MONTH(W1366)&lt;&gt;MONTH(W1365),MAX(U$1009:U1365)+1,0),IF(ISERROR(VLOOKUP(I$67,G$1079:G$1084,1,FALSE)),IF(V1366=1,MAX(U$1009:U1365)+1,0),IF(MONTH(W1367)&lt;&gt;MONTH(W1366),T1366,0))),IF(K$67=G$1086,IF(V1366=1,MAX(U$1009:U1365)+1,0),IF(V1366=7,MAX(U$1015:U1365)+1,0))),0)</f>
        <v>52</v>
      </c>
      <c r="V1366" s="27">
        <f t="shared" si="297"/>
        <v>1</v>
      </c>
      <c r="W1366" s="97">
        <f t="shared" si="298"/>
        <v>45649</v>
      </c>
      <c r="X1366" s="249" t="str">
        <f>IF(K$67=G$1086,IF(OR(U1366=1,AND(U1366&gt;0,U1366=(MAX(Y$1009:Y1365)+VLOOKUP(I$67,G$1076:H$1084,2,FALSE)))),"X",""),IF(AND(U1366&gt;0,U1366=(MAX(Y$1009:Y1365)+VLOOKUP(I$67,G$1076:H$1084,2,FALSE))),"X",""))</f>
        <v/>
      </c>
      <c r="Y1366" s="252">
        <f t="shared" si="299"/>
        <v>0</v>
      </c>
      <c r="Z1366" s="253">
        <f>IF(Y1366&gt;0,COUNTIF(Y$1009:Y1365,"&gt;0")+1,0)</f>
        <v>0</v>
      </c>
      <c r="AA1366" s="1"/>
      <c r="AB1366" s="255" t="str">
        <f t="shared" si="300"/>
        <v/>
      </c>
      <c r="AC1366" s="261" t="str">
        <f t="shared" si="302"/>
        <v/>
      </c>
      <c r="AD1366" s="258">
        <f>IF(Z1366&gt;0,COUNTIF(AC$1009:AC1365,AC1366)+1,0)</f>
        <v>0</v>
      </c>
      <c r="AE1366" s="258" t="str">
        <f t="shared" si="301"/>
        <v/>
      </c>
      <c r="AF1366" s="392" t="str">
        <f t="shared" si="303"/>
        <v/>
      </c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</row>
    <row r="1367" spans="1:93" ht="16.5" hidden="1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27">
        <f t="shared" si="304"/>
        <v>12</v>
      </c>
      <c r="U1367" s="247">
        <f>IF(OR(ISBLANK(F$68),AND(W1367&gt;(F$68-1),W1367&lt;(I$68+1))),IF(ISERROR(VLOOKUP(I$67,G$1076:G$1078,1,FALSE)),IF(K$67=G$1086,IF(MONTH(W1367)&lt;&gt;MONTH(W1366),MAX(U$1009:U1366)+1,0),IF(ISERROR(VLOOKUP(I$67,G$1079:G$1084,1,FALSE)),IF(V1367=1,MAX(U$1009:U1366)+1,0),IF(MONTH(W1368)&lt;&gt;MONTH(W1367),T1367,0))),IF(K$67=G$1086,IF(V1367=1,MAX(U$1009:U1366)+1,0),IF(V1367=7,MAX(U$1015:U1366)+1,0))),0)</f>
        <v>0</v>
      </c>
      <c r="V1367" s="27">
        <f t="shared" si="297"/>
        <v>2</v>
      </c>
      <c r="W1367" s="97">
        <f t="shared" si="298"/>
        <v>45650</v>
      </c>
      <c r="X1367" s="249" t="str">
        <f>IF(K$67=G$1086,IF(OR(U1367=1,AND(U1367&gt;0,U1367=(MAX(Y$1009:Y1366)+VLOOKUP(I$67,G$1076:H$1084,2,FALSE)))),"X",""),IF(AND(U1367&gt;0,U1367=(MAX(Y$1009:Y1366)+VLOOKUP(I$67,G$1076:H$1084,2,FALSE))),"X",""))</f>
        <v/>
      </c>
      <c r="Y1367" s="252">
        <f t="shared" si="299"/>
        <v>0</v>
      </c>
      <c r="Z1367" s="253">
        <f>IF(Y1367&gt;0,COUNTIF(Y$1009:Y1366,"&gt;0")+1,0)</f>
        <v>0</v>
      </c>
      <c r="AA1367" s="1"/>
      <c r="AB1367" s="255" t="str">
        <f t="shared" si="300"/>
        <v/>
      </c>
      <c r="AC1367" s="261" t="str">
        <f t="shared" si="302"/>
        <v/>
      </c>
      <c r="AD1367" s="258">
        <f>IF(Z1367&gt;0,COUNTIF(AC$1009:AC1366,AC1367)+1,0)</f>
        <v>0</v>
      </c>
      <c r="AE1367" s="258" t="str">
        <f t="shared" si="301"/>
        <v/>
      </c>
      <c r="AF1367" s="392" t="str">
        <f t="shared" si="303"/>
        <v/>
      </c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</row>
    <row r="1368" spans="1:93" ht="16.5" hidden="1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27">
        <f t="shared" si="304"/>
        <v>12</v>
      </c>
      <c r="U1368" s="247">
        <f>IF(OR(ISBLANK(F$68),AND(W1368&gt;(F$68-1),W1368&lt;(I$68+1))),IF(ISERROR(VLOOKUP(I$67,G$1076:G$1078,1,FALSE)),IF(K$67=G$1086,IF(MONTH(W1368)&lt;&gt;MONTH(W1367),MAX(U$1009:U1367)+1,0),IF(ISERROR(VLOOKUP(I$67,G$1079:G$1084,1,FALSE)),IF(V1368=1,MAX(U$1009:U1367)+1,0),IF(MONTH(W1369)&lt;&gt;MONTH(W1368),T1368,0))),IF(K$67=G$1086,IF(V1368=1,MAX(U$1009:U1367)+1,0),IF(V1368=7,MAX(U$1015:U1367)+1,0))),0)</f>
        <v>0</v>
      </c>
      <c r="V1368" s="27">
        <f t="shared" si="297"/>
        <v>3</v>
      </c>
      <c r="W1368" s="97">
        <f t="shared" si="298"/>
        <v>45651</v>
      </c>
      <c r="X1368" s="249" t="str">
        <f>IF(K$67=G$1086,IF(OR(U1368=1,AND(U1368&gt;0,U1368=(MAX(Y$1009:Y1367)+VLOOKUP(I$67,G$1076:H$1084,2,FALSE)))),"X",""),IF(AND(U1368&gt;0,U1368=(MAX(Y$1009:Y1367)+VLOOKUP(I$67,G$1076:H$1084,2,FALSE))),"X",""))</f>
        <v/>
      </c>
      <c r="Y1368" s="252">
        <f t="shared" si="299"/>
        <v>0</v>
      </c>
      <c r="Z1368" s="253">
        <f>IF(Y1368&gt;0,COUNTIF(Y$1009:Y1367,"&gt;0")+1,0)</f>
        <v>0</v>
      </c>
      <c r="AA1368" s="1"/>
      <c r="AB1368" s="255" t="str">
        <f t="shared" si="300"/>
        <v/>
      </c>
      <c r="AC1368" s="261" t="str">
        <f t="shared" si="302"/>
        <v/>
      </c>
      <c r="AD1368" s="258">
        <f>IF(Z1368&gt;0,COUNTIF(AC$1009:AC1367,AC1368)+1,0)</f>
        <v>0</v>
      </c>
      <c r="AE1368" s="258" t="str">
        <f t="shared" si="301"/>
        <v/>
      </c>
      <c r="AF1368" s="392" t="str">
        <f t="shared" si="303"/>
        <v/>
      </c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</row>
    <row r="1369" spans="1:93" ht="16.5" hidden="1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27">
        <f t="shared" si="304"/>
        <v>12</v>
      </c>
      <c r="U1369" s="247">
        <f>IF(OR(ISBLANK(F$68),AND(W1369&gt;(F$68-1),W1369&lt;(I$68+1))),IF(ISERROR(VLOOKUP(I$67,G$1076:G$1078,1,FALSE)),IF(K$67=G$1086,IF(MONTH(W1369)&lt;&gt;MONTH(W1368),MAX(U$1009:U1368)+1,0),IF(ISERROR(VLOOKUP(I$67,G$1079:G$1084,1,FALSE)),IF(V1369=1,MAX(U$1009:U1368)+1,0),IF(MONTH(W1370)&lt;&gt;MONTH(W1369),T1369,0))),IF(K$67=G$1086,IF(V1369=1,MAX(U$1009:U1368)+1,0),IF(V1369=7,MAX(U$1015:U1368)+1,0))),0)</f>
        <v>0</v>
      </c>
      <c r="V1369" s="27">
        <f t="shared" si="297"/>
        <v>4</v>
      </c>
      <c r="W1369" s="97">
        <f t="shared" si="298"/>
        <v>45652</v>
      </c>
      <c r="X1369" s="249" t="str">
        <f>IF(K$67=G$1086,IF(OR(U1369=1,AND(U1369&gt;0,U1369=(MAX(Y$1009:Y1368)+VLOOKUP(I$67,G$1076:H$1084,2,FALSE)))),"X",""),IF(AND(U1369&gt;0,U1369=(MAX(Y$1009:Y1368)+VLOOKUP(I$67,G$1076:H$1084,2,FALSE))),"X",""))</f>
        <v/>
      </c>
      <c r="Y1369" s="252">
        <f t="shared" si="299"/>
        <v>0</v>
      </c>
      <c r="Z1369" s="253">
        <f>IF(Y1369&gt;0,COUNTIF(Y$1009:Y1368,"&gt;0")+1,0)</f>
        <v>0</v>
      </c>
      <c r="AA1369" s="1"/>
      <c r="AB1369" s="255" t="str">
        <f t="shared" si="300"/>
        <v/>
      </c>
      <c r="AC1369" s="261" t="str">
        <f t="shared" si="302"/>
        <v/>
      </c>
      <c r="AD1369" s="258">
        <f>IF(Z1369&gt;0,COUNTIF(AC$1009:AC1368,AC1369)+1,0)</f>
        <v>0</v>
      </c>
      <c r="AE1369" s="258" t="str">
        <f t="shared" si="301"/>
        <v/>
      </c>
      <c r="AF1369" s="392" t="str">
        <f t="shared" si="303"/>
        <v/>
      </c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</row>
    <row r="1370" spans="1:93" ht="16.5" hidden="1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27">
        <f t="shared" si="304"/>
        <v>12</v>
      </c>
      <c r="U1370" s="247">
        <f>IF(OR(ISBLANK(F$68),AND(W1370&gt;(F$68-1),W1370&lt;(I$68+1))),IF(ISERROR(VLOOKUP(I$67,G$1076:G$1078,1,FALSE)),IF(K$67=G$1086,IF(MONTH(W1370)&lt;&gt;MONTH(W1369),MAX(U$1009:U1369)+1,0),IF(ISERROR(VLOOKUP(I$67,G$1079:G$1084,1,FALSE)),IF(V1370=1,MAX(U$1009:U1369)+1,0),IF(MONTH(W1371)&lt;&gt;MONTH(W1370),T1370,0))),IF(K$67=G$1086,IF(V1370=1,MAX(U$1009:U1369)+1,0),IF(V1370=7,MAX(U$1015:U1369)+1,0))),0)</f>
        <v>0</v>
      </c>
      <c r="V1370" s="27">
        <f t="shared" si="297"/>
        <v>5</v>
      </c>
      <c r="W1370" s="97">
        <f t="shared" si="298"/>
        <v>45653</v>
      </c>
      <c r="X1370" s="249" t="str">
        <f>IF(K$67=G$1086,IF(OR(U1370=1,AND(U1370&gt;0,U1370=(MAX(Y$1009:Y1369)+VLOOKUP(I$67,G$1076:H$1084,2,FALSE)))),"X",""),IF(AND(U1370&gt;0,U1370=(MAX(Y$1009:Y1369)+VLOOKUP(I$67,G$1076:H$1084,2,FALSE))),"X",""))</f>
        <v/>
      </c>
      <c r="Y1370" s="252">
        <f t="shared" si="299"/>
        <v>0</v>
      </c>
      <c r="Z1370" s="253">
        <f>IF(Y1370&gt;0,COUNTIF(Y$1009:Y1369,"&gt;0")+1,0)</f>
        <v>0</v>
      </c>
      <c r="AA1370" s="1"/>
      <c r="AB1370" s="255" t="str">
        <f t="shared" si="300"/>
        <v/>
      </c>
      <c r="AC1370" s="261" t="str">
        <f t="shared" si="302"/>
        <v/>
      </c>
      <c r="AD1370" s="258">
        <f>IF(Z1370&gt;0,COUNTIF(AC$1009:AC1369,AC1370)+1,0)</f>
        <v>0</v>
      </c>
      <c r="AE1370" s="258" t="str">
        <f t="shared" si="301"/>
        <v/>
      </c>
      <c r="AF1370" s="392" t="str">
        <f t="shared" si="303"/>
        <v/>
      </c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</row>
    <row r="1371" spans="1:93" ht="16.5" hidden="1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27">
        <f t="shared" si="304"/>
        <v>12</v>
      </c>
      <c r="U1371" s="247">
        <f>IF(OR(ISBLANK(F$68),AND(W1371&gt;(F$68-1),W1371&lt;(I$68+1))),IF(ISERROR(VLOOKUP(I$67,G$1076:G$1078,1,FALSE)),IF(K$67=G$1086,IF(MONTH(W1371)&lt;&gt;MONTH(W1370),MAX(U$1009:U1370)+1,0),IF(ISERROR(VLOOKUP(I$67,G$1079:G$1084,1,FALSE)),IF(V1371=1,MAX(U$1009:U1370)+1,0),IF(MONTH(W1372)&lt;&gt;MONTH(W1371),T1371,0))),IF(K$67=G$1086,IF(V1371=1,MAX(U$1009:U1370)+1,0),IF(V1371=7,MAX(U$1015:U1370)+1,0))),0)</f>
        <v>0</v>
      </c>
      <c r="V1371" s="27">
        <f t="shared" si="297"/>
        <v>6</v>
      </c>
      <c r="W1371" s="97">
        <f t="shared" si="298"/>
        <v>45654</v>
      </c>
      <c r="X1371" s="249" t="str">
        <f>IF(K$67=G$1086,IF(OR(U1371=1,AND(U1371&gt;0,U1371=(MAX(Y$1009:Y1370)+VLOOKUP(I$67,G$1076:H$1084,2,FALSE)))),"X",""),IF(AND(U1371&gt;0,U1371=(MAX(Y$1009:Y1370)+VLOOKUP(I$67,G$1076:H$1084,2,FALSE))),"X",""))</f>
        <v/>
      </c>
      <c r="Y1371" s="252">
        <f t="shared" si="299"/>
        <v>0</v>
      </c>
      <c r="Z1371" s="253">
        <f>IF(Y1371&gt;0,COUNTIF(Y$1009:Y1370,"&gt;0")+1,0)</f>
        <v>0</v>
      </c>
      <c r="AA1371" s="1"/>
      <c r="AB1371" s="255" t="str">
        <f t="shared" si="300"/>
        <v/>
      </c>
      <c r="AC1371" s="261" t="str">
        <f t="shared" si="302"/>
        <v/>
      </c>
      <c r="AD1371" s="258">
        <f>IF(Z1371&gt;0,COUNTIF(AC$1009:AC1370,AC1371)+1,0)</f>
        <v>0</v>
      </c>
      <c r="AE1371" s="258" t="str">
        <f t="shared" si="301"/>
        <v/>
      </c>
      <c r="AF1371" s="392" t="str">
        <f t="shared" si="303"/>
        <v/>
      </c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</row>
    <row r="1372" spans="1:93" ht="16.5" hidden="1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27">
        <f t="shared" si="304"/>
        <v>12</v>
      </c>
      <c r="U1372" s="247">
        <f>IF(OR(ISBLANK(F$68),AND(W1372&gt;(F$68-1),W1372&lt;(I$68+1))),IF(ISERROR(VLOOKUP(I$67,G$1076:G$1078,1,FALSE)),IF(K$67=G$1086,IF(MONTH(W1372)&lt;&gt;MONTH(W1371),MAX(U$1009:U1371)+1,0),IF(ISERROR(VLOOKUP(I$67,G$1079:G$1084,1,FALSE)),IF(V1372=1,MAX(U$1009:U1371)+1,0),IF(MONTH(W1373)&lt;&gt;MONTH(W1372),T1372,0))),IF(K$67=G$1086,IF(V1372=1,MAX(U$1009:U1371)+1,0),IF(V1372=7,MAX(U$1015:U1371)+1,0))),0)</f>
        <v>0</v>
      </c>
      <c r="V1372" s="27">
        <f t="shared" si="297"/>
        <v>7</v>
      </c>
      <c r="W1372" s="97">
        <f t="shared" si="298"/>
        <v>45655</v>
      </c>
      <c r="X1372" s="249" t="str">
        <f>IF(K$67=G$1086,IF(OR(U1372=1,AND(U1372&gt;0,U1372=(MAX(Y$1009:Y1371)+VLOOKUP(I$67,G$1076:H$1084,2,FALSE)))),"X",""),IF(AND(U1372&gt;0,U1372=(MAX(Y$1009:Y1371)+VLOOKUP(I$67,G$1076:H$1084,2,FALSE))),"X",""))</f>
        <v/>
      </c>
      <c r="Y1372" s="252">
        <f t="shared" si="299"/>
        <v>0</v>
      </c>
      <c r="Z1372" s="253">
        <f>IF(Y1372&gt;0,COUNTIF(Y$1009:Y1371,"&gt;0")+1,0)</f>
        <v>0</v>
      </c>
      <c r="AA1372" s="1"/>
      <c r="AB1372" s="255" t="str">
        <f t="shared" si="300"/>
        <v/>
      </c>
      <c r="AC1372" s="261" t="str">
        <f t="shared" si="302"/>
        <v/>
      </c>
      <c r="AD1372" s="258">
        <f>IF(Z1372&gt;0,COUNTIF(AC$1009:AC1371,AC1372)+1,0)</f>
        <v>0</v>
      </c>
      <c r="AE1372" s="258" t="str">
        <f t="shared" si="301"/>
        <v/>
      </c>
      <c r="AF1372" s="392" t="str">
        <f t="shared" si="303"/>
        <v/>
      </c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</row>
    <row r="1373" spans="1:93" ht="16.5" hidden="1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27">
        <f t="shared" si="304"/>
        <v>12</v>
      </c>
      <c r="U1373" s="247">
        <f>IF(OR(ISBLANK(F$68),AND(W1373&gt;(F$68-1),W1373&lt;(I$68+1))),IF(ISERROR(VLOOKUP(I$67,G$1076:G$1078,1,FALSE)),IF(K$67=G$1086,IF(MONTH(W1373)&lt;&gt;MONTH(W1372),MAX(U$1009:U1372)+1,0),IF(ISERROR(VLOOKUP(I$67,G$1079:G$1084,1,FALSE)),IF(V1373=1,MAX(U$1009:U1372)+1,0),IF(MONTH(W1374)&lt;&gt;MONTH(W1373),T1373,0))),IF(K$67=G$1086,IF(V1373=1,MAX(U$1009:U1372)+1,0),IF(V1373=7,MAX(U$1015:U1372)+1,0))),0)</f>
        <v>53</v>
      </c>
      <c r="V1373" s="27">
        <f t="shared" si="297"/>
        <v>1</v>
      </c>
      <c r="W1373" s="97">
        <f t="shared" si="298"/>
        <v>45656</v>
      </c>
      <c r="X1373" s="249" t="str">
        <f>IF(K$67=G$1086,IF(OR(U1373=1,AND(U1373&gt;0,U1373=(MAX(Y$1009:Y1372)+VLOOKUP(I$67,G$1076:H$1084,2,FALSE)))),"X",""),IF(AND(U1373&gt;0,U1373=(MAX(Y$1009:Y1372)+VLOOKUP(I$67,G$1076:H$1084,2,FALSE))),"X",""))</f>
        <v>X</v>
      </c>
      <c r="Y1373" s="252">
        <f t="shared" si="299"/>
        <v>53</v>
      </c>
      <c r="Z1373" s="253">
        <f>IF(Y1373&gt;0,COUNTIF(Y$1009:Y1372,"&gt;0")+1,0)</f>
        <v>27</v>
      </c>
      <c r="AA1373" s="1"/>
      <c r="AB1373" s="255">
        <f t="shared" si="300"/>
        <v>45656</v>
      </c>
      <c r="AC1373" s="261">
        <f t="shared" si="302"/>
        <v>12</v>
      </c>
      <c r="AD1373" s="258">
        <f>IF(Z1373&gt;0,COUNTIF(AC$1009:AC1372,AC1373)+1,0)</f>
        <v>3</v>
      </c>
      <c r="AE1373" s="258" t="str">
        <f t="shared" si="301"/>
        <v>12-3</v>
      </c>
      <c r="AF1373" s="392">
        <f t="shared" si="303"/>
        <v>45656</v>
      </c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</row>
    <row r="1374" spans="1:93" ht="16.5" hidden="1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28">
        <f>IF(W$1441="X",0,T1373)</f>
        <v>12</v>
      </c>
      <c r="U1374" s="394">
        <f>IF(W1441="X",0,IF(OR(ISBLANK(F$68),AND(W1374&gt;(F$68-1),W1374&lt;(I$68+1))),IF(ISERROR(VLOOKUP(I$67,G$1076:G$1078,1,FALSE)),IF(K$67=G$1086,IF(MONTH(W1374)&lt;&gt;MONTH(W1373),MAX(U$1009:U1373)+1,0),IF(ISERROR(VLOOKUP(I$67,G$1079:G$1084,1,FALSE)),IF(V1374=1,MAX(U$1009:U1373)+1,0),IF(MONTH(W1375)&lt;&gt;MONTH(W1374),MONTH(W1374),0))),IF(K$67=G$1086,IF(V1374=1,MAX(U$1009:U1373)+1,0),IF(V1374=7,MAX(U$1015:U1373)+1,0))),0))</f>
        <v>0</v>
      </c>
      <c r="V1374" s="27">
        <f t="shared" si="297"/>
        <v>2</v>
      </c>
      <c r="W1374" s="99">
        <f>IF(MONTH(W1068)=3,0,W1373+1)</f>
        <v>45657</v>
      </c>
      <c r="X1374" s="249" t="str">
        <f>IF(K$67=G$1086,IF(OR(U1374=1,AND(U1374&gt;0,U1374=(MAX(Y$1009:Y1373)+VLOOKUP(I$67,G$1076:H$1084,2,FALSE)))),"X",""),IF(AND(U1374&gt;0,U1374=(MAX(Y$1009:Y1373)+VLOOKUP(I$67,G$1076:H$1084,2,FALSE))),"X",""))</f>
        <v/>
      </c>
      <c r="Y1374" s="252">
        <f t="shared" si="299"/>
        <v>0</v>
      </c>
      <c r="Z1374" s="268">
        <f>IF(W1374=0,0,IF(Y1374&gt;0,COUNTIF(Y$1009:Y1373,"&gt;0")+1,0))</f>
        <v>0</v>
      </c>
      <c r="AA1374" s="1"/>
      <c r="AB1374" s="256" t="str">
        <f t="shared" si="300"/>
        <v/>
      </c>
      <c r="AC1374" s="262" t="str">
        <f t="shared" si="302"/>
        <v/>
      </c>
      <c r="AD1374" s="259">
        <f>IF(Z1374&gt;0,COUNTIF(AC$1009:AC1373,AC1374)+1,0)</f>
        <v>0</v>
      </c>
      <c r="AE1374" s="259" t="str">
        <f t="shared" si="301"/>
        <v/>
      </c>
      <c r="AF1374" s="393" t="str">
        <f t="shared" si="303"/>
        <v/>
      </c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</row>
    <row r="1375" spans="1:93" ht="12.75" hidden="1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46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</row>
    <row r="1376" spans="1:93" ht="12.75" hidden="1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266" t="s">
        <v>86</v>
      </c>
      <c r="AD1376" s="267">
        <f>MAX(AD1009:AD1374)</f>
        <v>3</v>
      </c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</row>
    <row r="1377" spans="1:93" ht="12.75" hidden="1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266"/>
      <c r="AD1377" s="267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</row>
    <row r="1378" spans="1:93" ht="16.5" hidden="1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65" t="s">
        <v>0</v>
      </c>
      <c r="X1378" s="166" t="s">
        <v>39</v>
      </c>
      <c r="Y1378" s="166" t="s">
        <v>149</v>
      </c>
      <c r="Z1378" s="275" t="s">
        <v>16</v>
      </c>
      <c r="AA1378" s="273"/>
      <c r="AB1378" s="276" t="s">
        <v>15</v>
      </c>
      <c r="AC1378" s="209" t="s">
        <v>85</v>
      </c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</row>
    <row r="1379" spans="1:93" ht="16.5" hidden="1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931">
        <f>IF(AND(W1379&gt;=$U$1,W1379&lt;=$U$2),IF(X1379='ESTRATTO CONTO'!$E$2,1,IF(AC1379='ESTRATTO CONTO'!$E$2,1,0)),0)</f>
        <v>1</v>
      </c>
      <c r="V1379" s="27">
        <v>1</v>
      </c>
      <c r="W1379" s="99">
        <f t="shared" ref="W1379:W1410" si="305">N89</f>
        <v>45352</v>
      </c>
      <c r="X1379" s="311" t="str">
        <f>IF(W1379=0,0,VLOOKUP(P89,ENTI!$AD$1025:$AH$1038,5,FALSE))</f>
        <v>CASSA</v>
      </c>
      <c r="Y1379" s="311" t="str">
        <f t="shared" ref="Y1379:Y1410" si="306">IF(W1379=0,0,CONCATENATE("Doc. Nr. ",F89," - ",I$73))</f>
        <v>Doc. Nr. 1/2024 - QUIETANZA di pagamento</v>
      </c>
      <c r="Z1379" s="312">
        <f t="shared" ref="Z1379:Z1410" ca="1" si="307">IF(AND(J$1444=0,OR(W1379&lt;W$1438,W1379&gt;W$1439)),0,IF(W1379=0,0,L89*-1))</f>
        <v>-110</v>
      </c>
      <c r="AA1379" s="1"/>
      <c r="AB1379" s="311" t="str">
        <f t="shared" ref="AB1379:AB1410" si="308">IF(W1379=0,0,IF(ISBLANK(I89),"",I89))</f>
        <v>Testo libero (eventuali oneri straord.)</v>
      </c>
      <c r="AC1379" s="311" t="str">
        <f t="shared" ref="AC1379:AC1410" si="309">IF(W1379=0,0,B$78)</f>
        <v>AMMINISTRATORE</v>
      </c>
      <c r="AD1379" s="1"/>
      <c r="AE1379" s="1226" t="str">
        <f>IF(AND(W1379&gt;=W$1438,W1379&lt;=W$1439),CONCATENATE(MONTH(W1379),X1379),0)</f>
        <v>3CASSA</v>
      </c>
      <c r="AF1379" s="1227"/>
      <c r="AG1379" s="1228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</row>
    <row r="1380" spans="1:93" ht="16.5" hidden="1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931">
        <f>IF(AND(W1380&gt;=$U$1,W1380&lt;=$U$2),IF(X1380='ESTRATTO CONTO'!$E$2,1+COUNTIF(U$1379:U1379,"&gt;0"),IF(AC1380='ESTRATTO CONTO'!$E$2,1+COUNTIF(U$1379:U1379,"&gt;0"),0)),0)</f>
        <v>2</v>
      </c>
      <c r="V1380" s="27">
        <v>2</v>
      </c>
      <c r="W1380" s="41">
        <f t="shared" si="305"/>
        <v>45352</v>
      </c>
      <c r="X1380" s="313" t="str">
        <f>IF(W1380=0,0,VLOOKUP(P90,ENTI!$AD$1025:$AH$1038,5,FALSE))</f>
        <v>CASSA</v>
      </c>
      <c r="Y1380" s="313" t="str">
        <f t="shared" si="306"/>
        <v>Doc. Nr.  - QUIETANZA di pagamento</v>
      </c>
      <c r="Z1380" s="314">
        <f t="shared" ca="1" si="307"/>
        <v>-95</v>
      </c>
      <c r="AA1380" s="1"/>
      <c r="AB1380" s="313" t="str">
        <f t="shared" si="308"/>
        <v>Testo libero (eventuali sconti)</v>
      </c>
      <c r="AC1380" s="313" t="str">
        <f t="shared" si="309"/>
        <v>AMMINISTRATORE</v>
      </c>
      <c r="AD1380" s="1"/>
      <c r="AE1380" s="1226" t="str">
        <f t="shared" ref="AE1380:AE1430" si="310">IF(AND(W1380&gt;=W$1438,W1380&lt;=W$1439),CONCATENATE(MONTH(W1380),X1380),0)</f>
        <v>3CASSA</v>
      </c>
      <c r="AF1380" s="1227"/>
      <c r="AG1380" s="1228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</row>
    <row r="1381" spans="1:93" ht="16.5" hidden="1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931">
        <f>IF(AND(W1381&gt;=$U$1,W1381&lt;=$U$2),IF(X1381='ESTRATTO CONTO'!$E$2,1+COUNTIF(U$1379:U1380,"&gt;0"),IF(AC1381='ESTRATTO CONTO'!$E$2,1+COUNTIF(U$1379:U1380,"&gt;0"),0)),0)</f>
        <v>3</v>
      </c>
      <c r="V1381" s="27">
        <v>3</v>
      </c>
      <c r="W1381" s="41">
        <f t="shared" si="305"/>
        <v>45352</v>
      </c>
      <c r="X1381" s="313" t="str">
        <f>IF(W1381=0,0,VLOOKUP(P91,ENTI!$AD$1025:$AH$1038,5,FALSE))</f>
        <v>CASSA</v>
      </c>
      <c r="Y1381" s="313" t="str">
        <f t="shared" si="306"/>
        <v>Doc. Nr.  - QUIETANZA di pagamento</v>
      </c>
      <c r="Z1381" s="314">
        <f t="shared" ca="1" si="307"/>
        <v>-100</v>
      </c>
      <c r="AA1381" s="1"/>
      <c r="AB1381" s="313" t="str">
        <f t="shared" si="308"/>
        <v/>
      </c>
      <c r="AC1381" s="313" t="str">
        <f t="shared" si="309"/>
        <v>AMMINISTRATORE</v>
      </c>
      <c r="AD1381" s="1"/>
      <c r="AE1381" s="1226" t="str">
        <f t="shared" si="310"/>
        <v>3CASSA</v>
      </c>
      <c r="AF1381" s="1227"/>
      <c r="AG1381" s="1228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</row>
    <row r="1382" spans="1:93" ht="16.5" hidden="1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931">
        <f>IF(AND(W1382&gt;=$U$1,W1382&lt;=$U$2),IF(X1382='ESTRATTO CONTO'!$E$2,1+COUNTIF(U$1379:U1381,"&gt;0"),IF(AC1382='ESTRATTO CONTO'!$E$2,1+COUNTIF(U$1379:U1381,"&gt;0"),0)),0)</f>
        <v>0</v>
      </c>
      <c r="V1382" s="27">
        <v>4</v>
      </c>
      <c r="W1382" s="41">
        <f t="shared" si="305"/>
        <v>0</v>
      </c>
      <c r="X1382" s="313">
        <f>IF(W1382=0,0,VLOOKUP(P92,ENTI!$AD$1025:$AH$1038,5,FALSE))</f>
        <v>0</v>
      </c>
      <c r="Y1382" s="313">
        <f t="shared" si="306"/>
        <v>0</v>
      </c>
      <c r="Z1382" s="314">
        <f t="shared" si="307"/>
        <v>0</v>
      </c>
      <c r="AA1382" s="1"/>
      <c r="AB1382" s="313">
        <f t="shared" si="308"/>
        <v>0</v>
      </c>
      <c r="AC1382" s="313">
        <f t="shared" si="309"/>
        <v>0</v>
      </c>
      <c r="AD1382" s="1"/>
      <c r="AE1382" s="1226">
        <f t="shared" si="310"/>
        <v>0</v>
      </c>
      <c r="AF1382" s="1227"/>
      <c r="AG1382" s="1228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</row>
    <row r="1383" spans="1:93" ht="16.5" hidden="1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931">
        <f>IF(AND(W1383&gt;=$U$1,W1383&lt;=$U$2),IF(X1383='ESTRATTO CONTO'!$E$2,1+COUNTIF(U$1379:U1382,"&gt;0"),IF(AC1383='ESTRATTO CONTO'!$E$2,1+COUNTIF(U$1379:U1382,"&gt;0"),0)),0)</f>
        <v>0</v>
      </c>
      <c r="V1383" s="27">
        <v>5</v>
      </c>
      <c r="W1383" s="41">
        <f t="shared" si="305"/>
        <v>0</v>
      </c>
      <c r="X1383" s="313">
        <f>IF(W1383=0,0,VLOOKUP(P93,ENTI!$AD$1025:$AH$1038,5,FALSE))</f>
        <v>0</v>
      </c>
      <c r="Y1383" s="313">
        <f t="shared" si="306"/>
        <v>0</v>
      </c>
      <c r="Z1383" s="314">
        <f t="shared" si="307"/>
        <v>0</v>
      </c>
      <c r="AA1383" s="1"/>
      <c r="AB1383" s="313">
        <f t="shared" si="308"/>
        <v>0</v>
      </c>
      <c r="AC1383" s="313">
        <f t="shared" si="309"/>
        <v>0</v>
      </c>
      <c r="AD1383" s="1"/>
      <c r="AE1383" s="1226">
        <f t="shared" si="310"/>
        <v>0</v>
      </c>
      <c r="AF1383" s="1227"/>
      <c r="AG1383" s="1228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</row>
    <row r="1384" spans="1:93" ht="16.5" hidden="1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931">
        <f>IF(AND(W1384&gt;=$U$1,W1384&lt;=$U$2),IF(X1384='ESTRATTO CONTO'!$E$2,1+COUNTIF(U$1379:U1383,"&gt;0"),IF(AC1384='ESTRATTO CONTO'!$E$2,1+COUNTIF(U$1379:U1383,"&gt;0"),0)),0)</f>
        <v>0</v>
      </c>
      <c r="V1384" s="27">
        <v>6</v>
      </c>
      <c r="W1384" s="41">
        <f t="shared" si="305"/>
        <v>0</v>
      </c>
      <c r="X1384" s="313">
        <f>IF(W1384=0,0,VLOOKUP(P94,ENTI!$AD$1025:$AH$1038,5,FALSE))</f>
        <v>0</v>
      </c>
      <c r="Y1384" s="313">
        <f t="shared" si="306"/>
        <v>0</v>
      </c>
      <c r="Z1384" s="314">
        <f t="shared" si="307"/>
        <v>0</v>
      </c>
      <c r="AA1384" s="1"/>
      <c r="AB1384" s="313">
        <f t="shared" si="308"/>
        <v>0</v>
      </c>
      <c r="AC1384" s="313">
        <f t="shared" si="309"/>
        <v>0</v>
      </c>
      <c r="AD1384" s="1"/>
      <c r="AE1384" s="1226">
        <f t="shared" si="310"/>
        <v>0</v>
      </c>
      <c r="AF1384" s="1227"/>
      <c r="AG1384" s="1228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</row>
    <row r="1385" spans="1:93" ht="16.5" hidden="1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931">
        <f>IF(AND(W1385&gt;=$U$1,W1385&lt;=$U$2),IF(X1385='ESTRATTO CONTO'!$E$2,1+COUNTIF(U$1379:U1384,"&gt;0"),IF(AC1385='ESTRATTO CONTO'!$E$2,1+COUNTIF(U$1379:U1384,"&gt;0"),0)),0)</f>
        <v>0</v>
      </c>
      <c r="V1385" s="27">
        <v>7</v>
      </c>
      <c r="W1385" s="41">
        <f t="shared" si="305"/>
        <v>0</v>
      </c>
      <c r="X1385" s="313">
        <f>IF(W1385=0,0,VLOOKUP(P95,ENTI!$AD$1025:$AH$1038,5,FALSE))</f>
        <v>0</v>
      </c>
      <c r="Y1385" s="313">
        <f t="shared" si="306"/>
        <v>0</v>
      </c>
      <c r="Z1385" s="314">
        <f t="shared" si="307"/>
        <v>0</v>
      </c>
      <c r="AA1385" s="1"/>
      <c r="AB1385" s="313">
        <f t="shared" si="308"/>
        <v>0</v>
      </c>
      <c r="AC1385" s="313">
        <f t="shared" si="309"/>
        <v>0</v>
      </c>
      <c r="AD1385" s="1"/>
      <c r="AE1385" s="1226">
        <f t="shared" si="310"/>
        <v>0</v>
      </c>
      <c r="AF1385" s="1227"/>
      <c r="AG1385" s="1228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</row>
    <row r="1386" spans="1:93" ht="16.5" hidden="1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931">
        <f>IF(AND(W1386&gt;=$U$1,W1386&lt;=$U$2),IF(X1386='ESTRATTO CONTO'!$E$2,1+COUNTIF(U$1379:U1385,"&gt;0"),IF(AC1386='ESTRATTO CONTO'!$E$2,1+COUNTIF(U$1379:U1385,"&gt;0"),0)),0)</f>
        <v>0</v>
      </c>
      <c r="V1386" s="27">
        <v>8</v>
      </c>
      <c r="W1386" s="41">
        <f t="shared" si="305"/>
        <v>0</v>
      </c>
      <c r="X1386" s="313">
        <f>IF(W1386=0,0,VLOOKUP(P96,ENTI!$AD$1025:$AH$1038,5,FALSE))</f>
        <v>0</v>
      </c>
      <c r="Y1386" s="313">
        <f t="shared" si="306"/>
        <v>0</v>
      </c>
      <c r="Z1386" s="314">
        <f t="shared" si="307"/>
        <v>0</v>
      </c>
      <c r="AA1386" s="1"/>
      <c r="AB1386" s="313">
        <f t="shared" si="308"/>
        <v>0</v>
      </c>
      <c r="AC1386" s="313">
        <f t="shared" si="309"/>
        <v>0</v>
      </c>
      <c r="AD1386" s="1"/>
      <c r="AE1386" s="1226">
        <f t="shared" si="310"/>
        <v>0</v>
      </c>
      <c r="AF1386" s="1227"/>
      <c r="AG1386" s="1228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</row>
    <row r="1387" spans="1:93" ht="16.5" hidden="1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931">
        <f>IF(AND(W1387&gt;=$U$1,W1387&lt;=$U$2),IF(X1387='ESTRATTO CONTO'!$E$2,1+COUNTIF(U$1379:U1386,"&gt;0"),IF(AC1387='ESTRATTO CONTO'!$E$2,1+COUNTIF(U$1379:U1386,"&gt;0"),0)),0)</f>
        <v>0</v>
      </c>
      <c r="V1387" s="27">
        <v>9</v>
      </c>
      <c r="W1387" s="41">
        <f t="shared" si="305"/>
        <v>0</v>
      </c>
      <c r="X1387" s="313">
        <f>IF(W1387=0,0,VLOOKUP(P97,ENTI!$AD$1025:$AH$1038,5,FALSE))</f>
        <v>0</v>
      </c>
      <c r="Y1387" s="313">
        <f t="shared" si="306"/>
        <v>0</v>
      </c>
      <c r="Z1387" s="314">
        <f t="shared" si="307"/>
        <v>0</v>
      </c>
      <c r="AA1387" s="1"/>
      <c r="AB1387" s="313">
        <f t="shared" si="308"/>
        <v>0</v>
      </c>
      <c r="AC1387" s="313">
        <f t="shared" si="309"/>
        <v>0</v>
      </c>
      <c r="AD1387" s="1"/>
      <c r="AE1387" s="1226">
        <f t="shared" si="310"/>
        <v>0</v>
      </c>
      <c r="AF1387" s="1227"/>
      <c r="AG1387" s="1228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</row>
    <row r="1388" spans="1:93" ht="16.5" hidden="1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931">
        <f>IF(AND(W1388&gt;=$U$1,W1388&lt;=$U$2),IF(X1388='ESTRATTO CONTO'!$E$2,1+COUNTIF(U$1379:U1387,"&gt;0"),IF(AC1388='ESTRATTO CONTO'!$E$2,1+COUNTIF(U$1379:U1387,"&gt;0"),0)),0)</f>
        <v>0</v>
      </c>
      <c r="V1388" s="27">
        <v>10</v>
      </c>
      <c r="W1388" s="41">
        <f t="shared" si="305"/>
        <v>0</v>
      </c>
      <c r="X1388" s="313">
        <f>IF(W1388=0,0,VLOOKUP(P98,ENTI!$AD$1025:$AH$1038,5,FALSE))</f>
        <v>0</v>
      </c>
      <c r="Y1388" s="313">
        <f t="shared" si="306"/>
        <v>0</v>
      </c>
      <c r="Z1388" s="314">
        <f t="shared" si="307"/>
        <v>0</v>
      </c>
      <c r="AA1388" s="1"/>
      <c r="AB1388" s="313">
        <f t="shared" si="308"/>
        <v>0</v>
      </c>
      <c r="AC1388" s="313">
        <f t="shared" si="309"/>
        <v>0</v>
      </c>
      <c r="AD1388" s="1"/>
      <c r="AE1388" s="1226">
        <f t="shared" si="310"/>
        <v>0</v>
      </c>
      <c r="AF1388" s="1227"/>
      <c r="AG1388" s="1228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</row>
    <row r="1389" spans="1:93" ht="16.5" hidden="1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931">
        <f>IF(AND(W1389&gt;=$U$1,W1389&lt;=$U$2),IF(X1389='ESTRATTO CONTO'!$E$2,1+COUNTIF(U$1379:U1388,"&gt;0"),IF(AC1389='ESTRATTO CONTO'!$E$2,1+COUNTIF(U$1379:U1388,"&gt;0"),0)),0)</f>
        <v>0</v>
      </c>
      <c r="V1389" s="27">
        <v>11</v>
      </c>
      <c r="W1389" s="41">
        <f t="shared" si="305"/>
        <v>0</v>
      </c>
      <c r="X1389" s="313">
        <f>IF(W1389=0,0,VLOOKUP(P99,ENTI!$AD$1025:$AH$1038,5,FALSE))</f>
        <v>0</v>
      </c>
      <c r="Y1389" s="313">
        <f t="shared" si="306"/>
        <v>0</v>
      </c>
      <c r="Z1389" s="314">
        <f t="shared" si="307"/>
        <v>0</v>
      </c>
      <c r="AA1389" s="1"/>
      <c r="AB1389" s="313">
        <f t="shared" si="308"/>
        <v>0</v>
      </c>
      <c r="AC1389" s="313">
        <f t="shared" si="309"/>
        <v>0</v>
      </c>
      <c r="AD1389" s="1"/>
      <c r="AE1389" s="1226">
        <f t="shared" si="310"/>
        <v>0</v>
      </c>
      <c r="AF1389" s="1227"/>
      <c r="AG1389" s="1228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</row>
    <row r="1390" spans="1:93" ht="16.5" hidden="1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931">
        <f>IF(AND(W1390&gt;=$U$1,W1390&lt;=$U$2),IF(X1390='ESTRATTO CONTO'!$E$2,1+COUNTIF(U$1379:U1389,"&gt;0"),IF(AC1390='ESTRATTO CONTO'!$E$2,1+COUNTIF(U$1379:U1389,"&gt;0"),0)),0)</f>
        <v>0</v>
      </c>
      <c r="V1390" s="27">
        <v>12</v>
      </c>
      <c r="W1390" s="41">
        <f t="shared" si="305"/>
        <v>0</v>
      </c>
      <c r="X1390" s="313">
        <f>IF(W1390=0,0,VLOOKUP(P100,ENTI!$AD$1025:$AH$1038,5,FALSE))</f>
        <v>0</v>
      </c>
      <c r="Y1390" s="313">
        <f t="shared" si="306"/>
        <v>0</v>
      </c>
      <c r="Z1390" s="314">
        <f t="shared" si="307"/>
        <v>0</v>
      </c>
      <c r="AA1390" s="1"/>
      <c r="AB1390" s="313">
        <f t="shared" si="308"/>
        <v>0</v>
      </c>
      <c r="AC1390" s="313">
        <f t="shared" si="309"/>
        <v>0</v>
      </c>
      <c r="AD1390" s="1"/>
      <c r="AE1390" s="1226">
        <f t="shared" si="310"/>
        <v>0</v>
      </c>
      <c r="AF1390" s="1227"/>
      <c r="AG1390" s="1228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</row>
    <row r="1391" spans="1:93" ht="16.5" hidden="1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931">
        <f>IF(AND(W1391&gt;=$U$1,W1391&lt;=$U$2),IF(X1391='ESTRATTO CONTO'!$E$2,1+COUNTIF(U$1379:U1390,"&gt;0"),IF(AC1391='ESTRATTO CONTO'!$E$2,1+COUNTIF(U$1379:U1390,"&gt;0"),0)),0)</f>
        <v>0</v>
      </c>
      <c r="V1391" s="27">
        <v>13</v>
      </c>
      <c r="W1391" s="41">
        <f t="shared" si="305"/>
        <v>0</v>
      </c>
      <c r="X1391" s="313">
        <f>IF(W1391=0,0,VLOOKUP(P101,ENTI!$AD$1025:$AH$1038,5,FALSE))</f>
        <v>0</v>
      </c>
      <c r="Y1391" s="313">
        <f t="shared" si="306"/>
        <v>0</v>
      </c>
      <c r="Z1391" s="314">
        <f t="shared" si="307"/>
        <v>0</v>
      </c>
      <c r="AA1391" s="1"/>
      <c r="AB1391" s="313">
        <f t="shared" si="308"/>
        <v>0</v>
      </c>
      <c r="AC1391" s="313">
        <f t="shared" si="309"/>
        <v>0</v>
      </c>
      <c r="AD1391" s="1"/>
      <c r="AE1391" s="1226">
        <f t="shared" si="310"/>
        <v>0</v>
      </c>
      <c r="AF1391" s="1227"/>
      <c r="AG1391" s="1228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</row>
    <row r="1392" spans="1:93" ht="16.5" hidden="1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931">
        <f>IF(AND(W1392&gt;=$U$1,W1392&lt;=$U$2),IF(X1392='ESTRATTO CONTO'!$E$2,1+COUNTIF(U$1379:U1391,"&gt;0"),IF(AC1392='ESTRATTO CONTO'!$E$2,1+COUNTIF(U$1379:U1391,"&gt;0"),0)),0)</f>
        <v>0</v>
      </c>
      <c r="V1392" s="27">
        <v>14</v>
      </c>
      <c r="W1392" s="41">
        <f t="shared" si="305"/>
        <v>0</v>
      </c>
      <c r="X1392" s="313">
        <f>IF(W1392=0,0,VLOOKUP(P102,ENTI!$AD$1025:$AH$1038,5,FALSE))</f>
        <v>0</v>
      </c>
      <c r="Y1392" s="313">
        <f t="shared" si="306"/>
        <v>0</v>
      </c>
      <c r="Z1392" s="314">
        <f t="shared" si="307"/>
        <v>0</v>
      </c>
      <c r="AA1392" s="1"/>
      <c r="AB1392" s="313">
        <f t="shared" si="308"/>
        <v>0</v>
      </c>
      <c r="AC1392" s="313">
        <f t="shared" si="309"/>
        <v>0</v>
      </c>
      <c r="AD1392" s="1"/>
      <c r="AE1392" s="1226">
        <f t="shared" si="310"/>
        <v>0</v>
      </c>
      <c r="AF1392" s="1227"/>
      <c r="AG1392" s="1228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</row>
    <row r="1393" spans="1:93" ht="16.5" hidden="1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931">
        <f>IF(AND(W1393&gt;=$U$1,W1393&lt;=$U$2),IF(X1393='ESTRATTO CONTO'!$E$2,1+COUNTIF(U$1379:U1392,"&gt;0"),IF(AC1393='ESTRATTO CONTO'!$E$2,1+COUNTIF(U$1379:U1392,"&gt;0"),0)),0)</f>
        <v>0</v>
      </c>
      <c r="V1393" s="27">
        <v>15</v>
      </c>
      <c r="W1393" s="41">
        <f t="shared" si="305"/>
        <v>0</v>
      </c>
      <c r="X1393" s="313">
        <f>IF(W1393=0,0,VLOOKUP(P103,ENTI!$AD$1025:$AH$1038,5,FALSE))</f>
        <v>0</v>
      </c>
      <c r="Y1393" s="313">
        <f t="shared" si="306"/>
        <v>0</v>
      </c>
      <c r="Z1393" s="314">
        <f t="shared" si="307"/>
        <v>0</v>
      </c>
      <c r="AA1393" s="1"/>
      <c r="AB1393" s="313">
        <f t="shared" si="308"/>
        <v>0</v>
      </c>
      <c r="AC1393" s="313">
        <f t="shared" si="309"/>
        <v>0</v>
      </c>
      <c r="AD1393" s="1"/>
      <c r="AE1393" s="1226">
        <f t="shared" si="310"/>
        <v>0</v>
      </c>
      <c r="AF1393" s="1227"/>
      <c r="AG1393" s="1228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</row>
    <row r="1394" spans="1:93" ht="16.5" hidden="1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931">
        <f>IF(AND(W1394&gt;=$U$1,W1394&lt;=$U$2),IF(X1394='ESTRATTO CONTO'!$E$2,1+COUNTIF(U$1379:U1393,"&gt;0"),IF(AC1394='ESTRATTO CONTO'!$E$2,1+COUNTIF(U$1379:U1393,"&gt;0"),0)),0)</f>
        <v>0</v>
      </c>
      <c r="V1394" s="27">
        <v>16</v>
      </c>
      <c r="W1394" s="41">
        <f t="shared" si="305"/>
        <v>0</v>
      </c>
      <c r="X1394" s="313">
        <f>IF(W1394=0,0,VLOOKUP(P104,ENTI!$AD$1025:$AH$1038,5,FALSE))</f>
        <v>0</v>
      </c>
      <c r="Y1394" s="313">
        <f t="shared" si="306"/>
        <v>0</v>
      </c>
      <c r="Z1394" s="314">
        <f t="shared" si="307"/>
        <v>0</v>
      </c>
      <c r="AA1394" s="1"/>
      <c r="AB1394" s="313">
        <f t="shared" si="308"/>
        <v>0</v>
      </c>
      <c r="AC1394" s="313">
        <f t="shared" si="309"/>
        <v>0</v>
      </c>
      <c r="AD1394" s="1"/>
      <c r="AE1394" s="1226">
        <f t="shared" si="310"/>
        <v>0</v>
      </c>
      <c r="AF1394" s="1227"/>
      <c r="AG1394" s="1228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</row>
    <row r="1395" spans="1:93" ht="16.5" hidden="1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931">
        <f>IF(AND(W1395&gt;=$U$1,W1395&lt;=$U$2),IF(X1395='ESTRATTO CONTO'!$E$2,1+COUNTIF(U$1379:U1394,"&gt;0"),IF(AC1395='ESTRATTO CONTO'!$E$2,1+COUNTIF(U$1379:U1394,"&gt;0"),0)),0)</f>
        <v>0</v>
      </c>
      <c r="V1395" s="27">
        <v>17</v>
      </c>
      <c r="W1395" s="41">
        <f t="shared" si="305"/>
        <v>0</v>
      </c>
      <c r="X1395" s="313">
        <f>IF(W1395=0,0,VLOOKUP(P105,ENTI!$AD$1025:$AH$1038,5,FALSE))</f>
        <v>0</v>
      </c>
      <c r="Y1395" s="313">
        <f t="shared" si="306"/>
        <v>0</v>
      </c>
      <c r="Z1395" s="314">
        <f t="shared" si="307"/>
        <v>0</v>
      </c>
      <c r="AA1395" s="1"/>
      <c r="AB1395" s="313">
        <f t="shared" si="308"/>
        <v>0</v>
      </c>
      <c r="AC1395" s="313">
        <f t="shared" si="309"/>
        <v>0</v>
      </c>
      <c r="AD1395" s="1"/>
      <c r="AE1395" s="1226">
        <f t="shared" si="310"/>
        <v>0</v>
      </c>
      <c r="AF1395" s="1227"/>
      <c r="AG1395" s="1228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</row>
    <row r="1396" spans="1:93" ht="16.5" hidden="1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931">
        <f>IF(AND(W1396&gt;=$U$1,W1396&lt;=$U$2),IF(X1396='ESTRATTO CONTO'!$E$2,1+COUNTIF(U$1379:U1395,"&gt;0"),IF(AC1396='ESTRATTO CONTO'!$E$2,1+COUNTIF(U$1379:U1395,"&gt;0"),0)),0)</f>
        <v>0</v>
      </c>
      <c r="V1396" s="27">
        <v>18</v>
      </c>
      <c r="W1396" s="41">
        <f t="shared" si="305"/>
        <v>0</v>
      </c>
      <c r="X1396" s="313">
        <f>IF(W1396=0,0,VLOOKUP(P106,ENTI!$AD$1025:$AH$1038,5,FALSE))</f>
        <v>0</v>
      </c>
      <c r="Y1396" s="313">
        <f t="shared" si="306"/>
        <v>0</v>
      </c>
      <c r="Z1396" s="314">
        <f t="shared" si="307"/>
        <v>0</v>
      </c>
      <c r="AA1396" s="1"/>
      <c r="AB1396" s="313">
        <f t="shared" si="308"/>
        <v>0</v>
      </c>
      <c r="AC1396" s="313">
        <f t="shared" si="309"/>
        <v>0</v>
      </c>
      <c r="AD1396" s="1"/>
      <c r="AE1396" s="1226">
        <f t="shared" si="310"/>
        <v>0</v>
      </c>
      <c r="AF1396" s="1227"/>
      <c r="AG1396" s="1228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</row>
    <row r="1397" spans="1:93" ht="16.5" hidden="1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931">
        <f>IF(AND(W1397&gt;=$U$1,W1397&lt;=$U$2),IF(X1397='ESTRATTO CONTO'!$E$2,1+COUNTIF(U$1379:U1396,"&gt;0"),IF(AC1397='ESTRATTO CONTO'!$E$2,1+COUNTIF(U$1379:U1396,"&gt;0"),0)),0)</f>
        <v>0</v>
      </c>
      <c r="V1397" s="27">
        <v>19</v>
      </c>
      <c r="W1397" s="41">
        <f t="shared" si="305"/>
        <v>0</v>
      </c>
      <c r="X1397" s="313">
        <f>IF(W1397=0,0,VLOOKUP(P107,ENTI!$AD$1025:$AH$1038,5,FALSE))</f>
        <v>0</v>
      </c>
      <c r="Y1397" s="313">
        <f t="shared" si="306"/>
        <v>0</v>
      </c>
      <c r="Z1397" s="314">
        <f t="shared" si="307"/>
        <v>0</v>
      </c>
      <c r="AA1397" s="1"/>
      <c r="AB1397" s="313">
        <f t="shared" si="308"/>
        <v>0</v>
      </c>
      <c r="AC1397" s="313">
        <f t="shared" si="309"/>
        <v>0</v>
      </c>
      <c r="AD1397" s="1"/>
      <c r="AE1397" s="1226">
        <f t="shared" si="310"/>
        <v>0</v>
      </c>
      <c r="AF1397" s="1227"/>
      <c r="AG1397" s="1228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</row>
    <row r="1398" spans="1:93" ht="16.5" hidden="1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931">
        <f>IF(AND(W1398&gt;=$U$1,W1398&lt;=$U$2),IF(X1398='ESTRATTO CONTO'!$E$2,1+COUNTIF(U$1379:U1397,"&gt;0"),IF(AC1398='ESTRATTO CONTO'!$E$2,1+COUNTIF(U$1379:U1397,"&gt;0"),0)),0)</f>
        <v>0</v>
      </c>
      <c r="V1398" s="27">
        <v>20</v>
      </c>
      <c r="W1398" s="41">
        <f t="shared" si="305"/>
        <v>0</v>
      </c>
      <c r="X1398" s="313">
        <f>IF(W1398=0,0,VLOOKUP(P108,ENTI!$AD$1025:$AH$1038,5,FALSE))</f>
        <v>0</v>
      </c>
      <c r="Y1398" s="313">
        <f t="shared" si="306"/>
        <v>0</v>
      </c>
      <c r="Z1398" s="314">
        <f t="shared" si="307"/>
        <v>0</v>
      </c>
      <c r="AA1398" s="1"/>
      <c r="AB1398" s="313">
        <f t="shared" si="308"/>
        <v>0</v>
      </c>
      <c r="AC1398" s="313">
        <f t="shared" si="309"/>
        <v>0</v>
      </c>
      <c r="AD1398" s="1"/>
      <c r="AE1398" s="1226">
        <f t="shared" si="310"/>
        <v>0</v>
      </c>
      <c r="AF1398" s="1227"/>
      <c r="AG1398" s="1228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</row>
    <row r="1399" spans="1:93" ht="16.5" hidden="1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931">
        <f>IF(AND(W1399&gt;=$U$1,W1399&lt;=$U$2),IF(X1399='ESTRATTO CONTO'!$E$2,1+COUNTIF(U$1379:U1398,"&gt;0"),IF(AC1399='ESTRATTO CONTO'!$E$2,1+COUNTIF(U$1379:U1398,"&gt;0"),0)),0)</f>
        <v>0</v>
      </c>
      <c r="V1399" s="27">
        <v>21</v>
      </c>
      <c r="W1399" s="41">
        <f t="shared" si="305"/>
        <v>0</v>
      </c>
      <c r="X1399" s="313">
        <f>IF(W1399=0,0,VLOOKUP(P109,ENTI!$AD$1025:$AH$1038,5,FALSE))</f>
        <v>0</v>
      </c>
      <c r="Y1399" s="313">
        <f t="shared" si="306"/>
        <v>0</v>
      </c>
      <c r="Z1399" s="314">
        <f t="shared" si="307"/>
        <v>0</v>
      </c>
      <c r="AA1399" s="1"/>
      <c r="AB1399" s="313">
        <f t="shared" si="308"/>
        <v>0</v>
      </c>
      <c r="AC1399" s="313">
        <f t="shared" si="309"/>
        <v>0</v>
      </c>
      <c r="AD1399" s="1"/>
      <c r="AE1399" s="1226">
        <f t="shared" si="310"/>
        <v>0</v>
      </c>
      <c r="AF1399" s="1227"/>
      <c r="AG1399" s="1228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</row>
    <row r="1400" spans="1:93" ht="16.5" hidden="1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931">
        <f>IF(AND(W1400&gt;=$U$1,W1400&lt;=$U$2),IF(X1400='ESTRATTO CONTO'!$E$2,1+COUNTIF(U$1379:U1399,"&gt;0"),IF(AC1400='ESTRATTO CONTO'!$E$2,1+COUNTIF(U$1379:U1399,"&gt;0"),0)),0)</f>
        <v>0</v>
      </c>
      <c r="V1400" s="27">
        <v>22</v>
      </c>
      <c r="W1400" s="41">
        <f t="shared" si="305"/>
        <v>0</v>
      </c>
      <c r="X1400" s="313">
        <f>IF(W1400=0,0,VLOOKUP(P110,ENTI!$AD$1025:$AH$1038,5,FALSE))</f>
        <v>0</v>
      </c>
      <c r="Y1400" s="313">
        <f t="shared" si="306"/>
        <v>0</v>
      </c>
      <c r="Z1400" s="314">
        <f t="shared" si="307"/>
        <v>0</v>
      </c>
      <c r="AA1400" s="1"/>
      <c r="AB1400" s="313">
        <f t="shared" si="308"/>
        <v>0</v>
      </c>
      <c r="AC1400" s="313">
        <f t="shared" si="309"/>
        <v>0</v>
      </c>
      <c r="AD1400" s="1"/>
      <c r="AE1400" s="1226">
        <f t="shared" si="310"/>
        <v>0</v>
      </c>
      <c r="AF1400" s="1227"/>
      <c r="AG1400" s="1228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</row>
    <row r="1401" spans="1:93" ht="16.5" hidden="1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931">
        <f>IF(AND(W1401&gt;=$U$1,W1401&lt;=$U$2),IF(X1401='ESTRATTO CONTO'!$E$2,1+COUNTIF(U$1379:U1400,"&gt;0"),IF(AC1401='ESTRATTO CONTO'!$E$2,1+COUNTIF(U$1379:U1400,"&gt;0"),0)),0)</f>
        <v>0</v>
      </c>
      <c r="V1401" s="27">
        <v>23</v>
      </c>
      <c r="W1401" s="41">
        <f t="shared" si="305"/>
        <v>0</v>
      </c>
      <c r="X1401" s="313">
        <f>IF(W1401=0,0,VLOOKUP(P111,ENTI!$AD$1025:$AH$1038,5,FALSE))</f>
        <v>0</v>
      </c>
      <c r="Y1401" s="313">
        <f t="shared" si="306"/>
        <v>0</v>
      </c>
      <c r="Z1401" s="314">
        <f t="shared" si="307"/>
        <v>0</v>
      </c>
      <c r="AA1401" s="1"/>
      <c r="AB1401" s="313">
        <f t="shared" si="308"/>
        <v>0</v>
      </c>
      <c r="AC1401" s="313">
        <f t="shared" si="309"/>
        <v>0</v>
      </c>
      <c r="AD1401" s="1"/>
      <c r="AE1401" s="1226">
        <f t="shared" si="310"/>
        <v>0</v>
      </c>
      <c r="AF1401" s="1227"/>
      <c r="AG1401" s="1228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</row>
    <row r="1402" spans="1:93" ht="16.5" hidden="1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931">
        <f>IF(AND(W1402&gt;=$U$1,W1402&lt;=$U$2),IF(X1402='ESTRATTO CONTO'!$E$2,1+COUNTIF(U$1379:U1401,"&gt;0"),IF(AC1402='ESTRATTO CONTO'!$E$2,1+COUNTIF(U$1379:U1401,"&gt;0"),0)),0)</f>
        <v>0</v>
      </c>
      <c r="V1402" s="27">
        <v>24</v>
      </c>
      <c r="W1402" s="41">
        <f t="shared" si="305"/>
        <v>0</v>
      </c>
      <c r="X1402" s="313">
        <f>IF(W1402=0,0,VLOOKUP(P112,ENTI!$AD$1025:$AH$1038,5,FALSE))</f>
        <v>0</v>
      </c>
      <c r="Y1402" s="313">
        <f t="shared" si="306"/>
        <v>0</v>
      </c>
      <c r="Z1402" s="314">
        <f t="shared" si="307"/>
        <v>0</v>
      </c>
      <c r="AA1402" s="1"/>
      <c r="AB1402" s="313">
        <f t="shared" si="308"/>
        <v>0</v>
      </c>
      <c r="AC1402" s="313">
        <f t="shared" si="309"/>
        <v>0</v>
      </c>
      <c r="AD1402" s="1"/>
      <c r="AE1402" s="1226">
        <f t="shared" si="310"/>
        <v>0</v>
      </c>
      <c r="AF1402" s="1227"/>
      <c r="AG1402" s="1228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</row>
    <row r="1403" spans="1:93" ht="16.5" hidden="1" customHeight="1">
      <c r="A1403" s="835"/>
      <c r="B1403" s="835"/>
      <c r="C1403" s="835"/>
      <c r="D1403" s="835"/>
      <c r="E1403" s="835"/>
      <c r="F1403" s="835"/>
      <c r="G1403" s="835"/>
      <c r="H1403" s="835"/>
      <c r="I1403" s="835"/>
      <c r="J1403" s="835"/>
      <c r="K1403" s="835"/>
      <c r="L1403" s="835"/>
      <c r="M1403" s="835"/>
      <c r="N1403" s="835"/>
      <c r="O1403" s="835"/>
      <c r="P1403" s="835"/>
      <c r="Q1403" s="835"/>
      <c r="R1403" s="835"/>
      <c r="S1403" s="835"/>
      <c r="T1403" s="1"/>
      <c r="U1403" s="931">
        <f>IF(AND(W1403&gt;=$U$1,W1403&lt;=$U$2),IF(X1403='ESTRATTO CONTO'!$E$2,1+COUNTIF(U$1379:U1402,"&gt;0"),IF(AC1403='ESTRATTO CONTO'!$E$2,1+COUNTIF(U$1379:U1402,"&gt;0"),0)),0)</f>
        <v>0</v>
      </c>
      <c r="V1403" s="27">
        <v>25</v>
      </c>
      <c r="W1403" s="41">
        <f t="shared" si="305"/>
        <v>0</v>
      </c>
      <c r="X1403" s="313">
        <f>IF(W1403=0,0,VLOOKUP(P113,ENTI!$AD$1025:$AH$1038,5,FALSE))</f>
        <v>0</v>
      </c>
      <c r="Y1403" s="313">
        <f t="shared" si="306"/>
        <v>0</v>
      </c>
      <c r="Z1403" s="314">
        <f t="shared" si="307"/>
        <v>0</v>
      </c>
      <c r="AA1403" s="1"/>
      <c r="AB1403" s="313">
        <f t="shared" si="308"/>
        <v>0</v>
      </c>
      <c r="AC1403" s="313">
        <f t="shared" si="309"/>
        <v>0</v>
      </c>
      <c r="AD1403" s="1"/>
      <c r="AE1403" s="1226">
        <f t="shared" si="310"/>
        <v>0</v>
      </c>
      <c r="AF1403" s="1227"/>
      <c r="AG1403" s="1228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</row>
    <row r="1404" spans="1:93" ht="16.5" hidden="1" customHeight="1">
      <c r="A1404" s="835"/>
      <c r="B1404" s="835"/>
      <c r="C1404" s="835"/>
      <c r="D1404" s="835"/>
      <c r="E1404" s="835"/>
      <c r="F1404" s="835"/>
      <c r="G1404" s="835"/>
      <c r="H1404" s="835"/>
      <c r="I1404" s="835"/>
      <c r="J1404" s="835"/>
      <c r="K1404" s="835"/>
      <c r="L1404" s="835"/>
      <c r="M1404" s="835"/>
      <c r="N1404" s="835"/>
      <c r="O1404" s="835"/>
      <c r="P1404" s="835"/>
      <c r="Q1404" s="835"/>
      <c r="R1404" s="835"/>
      <c r="S1404" s="835"/>
      <c r="T1404" s="1"/>
      <c r="U1404" s="931">
        <f>IF(AND(W1404&gt;=$U$1,W1404&lt;=$U$2),IF(X1404='ESTRATTO CONTO'!$E$2,1+COUNTIF(U$1379:U1403,"&gt;0"),IF(AC1404='ESTRATTO CONTO'!$E$2,1+COUNTIF(U$1379:U1403,"&gt;0"),0)),0)</f>
        <v>0</v>
      </c>
      <c r="V1404" s="27">
        <v>26</v>
      </c>
      <c r="W1404" s="41">
        <f t="shared" si="305"/>
        <v>0</v>
      </c>
      <c r="X1404" s="313">
        <f>IF(W1404=0,0,VLOOKUP(P114,ENTI!$AD$1025:$AH$1038,5,FALSE))</f>
        <v>0</v>
      </c>
      <c r="Y1404" s="313">
        <f t="shared" si="306"/>
        <v>0</v>
      </c>
      <c r="Z1404" s="314">
        <f t="shared" si="307"/>
        <v>0</v>
      </c>
      <c r="AA1404" s="1"/>
      <c r="AB1404" s="313">
        <f t="shared" si="308"/>
        <v>0</v>
      </c>
      <c r="AC1404" s="313">
        <f t="shared" si="309"/>
        <v>0</v>
      </c>
      <c r="AD1404" s="1"/>
      <c r="AE1404" s="1226">
        <f t="shared" si="310"/>
        <v>0</v>
      </c>
      <c r="AF1404" s="1227"/>
      <c r="AG1404" s="1228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</row>
    <row r="1405" spans="1:93" ht="16.5" hidden="1" customHeight="1">
      <c r="A1405" s="835"/>
      <c r="B1405" s="835"/>
      <c r="C1405" s="835"/>
      <c r="D1405" s="835"/>
      <c r="E1405" s="835"/>
      <c r="F1405" s="835"/>
      <c r="G1405" s="835"/>
      <c r="H1405" s="835"/>
      <c r="I1405" s="835"/>
      <c r="J1405" s="835"/>
      <c r="K1405" s="835"/>
      <c r="L1405" s="835"/>
      <c r="M1405" s="835"/>
      <c r="N1405" s="835"/>
      <c r="O1405" s="835"/>
      <c r="P1405" s="835"/>
      <c r="Q1405" s="835"/>
      <c r="R1405" s="835"/>
      <c r="S1405" s="835"/>
      <c r="T1405" s="1"/>
      <c r="U1405" s="931">
        <f>IF(AND(W1405&gt;=$U$1,W1405&lt;=$U$2),IF(X1405='ESTRATTO CONTO'!$E$2,1+COUNTIF(U$1379:U1404,"&gt;0"),IF(AC1405='ESTRATTO CONTO'!$E$2,1+COUNTIF(U$1379:U1404,"&gt;0"),0)),0)</f>
        <v>0</v>
      </c>
      <c r="V1405" s="27">
        <v>27</v>
      </c>
      <c r="W1405" s="41">
        <f t="shared" si="305"/>
        <v>0</v>
      </c>
      <c r="X1405" s="313">
        <f>IF(W1405=0,0,VLOOKUP(P115,ENTI!$AD$1025:$AH$1038,5,FALSE))</f>
        <v>0</v>
      </c>
      <c r="Y1405" s="313">
        <f t="shared" si="306"/>
        <v>0</v>
      </c>
      <c r="Z1405" s="314">
        <f t="shared" si="307"/>
        <v>0</v>
      </c>
      <c r="AA1405" s="1"/>
      <c r="AB1405" s="313">
        <f t="shared" si="308"/>
        <v>0</v>
      </c>
      <c r="AC1405" s="313">
        <f t="shared" si="309"/>
        <v>0</v>
      </c>
      <c r="AD1405" s="1"/>
      <c r="AE1405" s="1226">
        <f t="shared" si="310"/>
        <v>0</v>
      </c>
      <c r="AF1405" s="1227"/>
      <c r="AG1405" s="1228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</row>
    <row r="1406" spans="1:93" ht="16.5" hidden="1" customHeight="1">
      <c r="A1406" s="835"/>
      <c r="B1406" s="835"/>
      <c r="C1406" s="835"/>
      <c r="D1406" s="835"/>
      <c r="E1406" s="835"/>
      <c r="F1406" s="835"/>
      <c r="G1406" s="835"/>
      <c r="H1406" s="835"/>
      <c r="I1406" s="835"/>
      <c r="J1406" s="835"/>
      <c r="K1406" s="835"/>
      <c r="L1406" s="835"/>
      <c r="M1406" s="835"/>
      <c r="N1406" s="835"/>
      <c r="O1406" s="835"/>
      <c r="P1406" s="835"/>
      <c r="Q1406" s="835"/>
      <c r="R1406" s="835"/>
      <c r="S1406" s="835"/>
      <c r="T1406" s="1"/>
      <c r="U1406" s="931">
        <f>IF(AND(W1406&gt;=$U$1,W1406&lt;=$U$2),IF(X1406='ESTRATTO CONTO'!$E$2,1+COUNTIF(U$1379:U1405,"&gt;0"),IF(AC1406='ESTRATTO CONTO'!$E$2,1+COUNTIF(U$1379:U1405,"&gt;0"),0)),0)</f>
        <v>0</v>
      </c>
      <c r="V1406" s="27">
        <v>28</v>
      </c>
      <c r="W1406" s="41">
        <f t="shared" si="305"/>
        <v>0</v>
      </c>
      <c r="X1406" s="313">
        <f>IF(W1406=0,0,VLOOKUP(P116,ENTI!$AD$1025:$AH$1038,5,FALSE))</f>
        <v>0</v>
      </c>
      <c r="Y1406" s="313">
        <f t="shared" si="306"/>
        <v>0</v>
      </c>
      <c r="Z1406" s="314">
        <f t="shared" si="307"/>
        <v>0</v>
      </c>
      <c r="AA1406" s="1"/>
      <c r="AB1406" s="313">
        <f t="shared" si="308"/>
        <v>0</v>
      </c>
      <c r="AC1406" s="313">
        <f t="shared" si="309"/>
        <v>0</v>
      </c>
      <c r="AD1406" s="1"/>
      <c r="AE1406" s="1226">
        <f t="shared" si="310"/>
        <v>0</v>
      </c>
      <c r="AF1406" s="1227"/>
      <c r="AG1406" s="1228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</row>
    <row r="1407" spans="1:93" ht="16.5" hidden="1" customHeight="1">
      <c r="A1407" s="835"/>
      <c r="B1407" s="835"/>
      <c r="C1407" s="835"/>
      <c r="D1407" s="835"/>
      <c r="E1407" s="835"/>
      <c r="F1407" s="835"/>
      <c r="G1407" s="835"/>
      <c r="H1407" s="835"/>
      <c r="I1407" s="835"/>
      <c r="J1407" s="835"/>
      <c r="K1407" s="835"/>
      <c r="L1407" s="835"/>
      <c r="M1407" s="835"/>
      <c r="N1407" s="835"/>
      <c r="O1407" s="835"/>
      <c r="P1407" s="835"/>
      <c r="Q1407" s="835"/>
      <c r="R1407" s="835"/>
      <c r="S1407" s="835"/>
      <c r="T1407" s="1"/>
      <c r="U1407" s="931">
        <f>IF(AND(W1407&gt;=$U$1,W1407&lt;=$U$2),IF(X1407='ESTRATTO CONTO'!$E$2,1+COUNTIF(U$1379:U1406,"&gt;0"),IF(AC1407='ESTRATTO CONTO'!$E$2,1+COUNTIF(U$1379:U1406,"&gt;0"),0)),0)</f>
        <v>0</v>
      </c>
      <c r="V1407" s="27">
        <v>29</v>
      </c>
      <c r="W1407" s="41">
        <f t="shared" si="305"/>
        <v>0</v>
      </c>
      <c r="X1407" s="313">
        <f>IF(W1407=0,0,VLOOKUP(P117,ENTI!$AD$1025:$AH$1038,5,FALSE))</f>
        <v>0</v>
      </c>
      <c r="Y1407" s="313">
        <f t="shared" si="306"/>
        <v>0</v>
      </c>
      <c r="Z1407" s="314">
        <f t="shared" si="307"/>
        <v>0</v>
      </c>
      <c r="AA1407" s="1"/>
      <c r="AB1407" s="313">
        <f t="shared" si="308"/>
        <v>0</v>
      </c>
      <c r="AC1407" s="313">
        <f t="shared" si="309"/>
        <v>0</v>
      </c>
      <c r="AD1407" s="1"/>
      <c r="AE1407" s="1226">
        <f t="shared" si="310"/>
        <v>0</v>
      </c>
      <c r="AF1407" s="1227"/>
      <c r="AG1407" s="1228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</row>
    <row r="1408" spans="1:93" ht="16.5" hidden="1" customHeight="1">
      <c r="A1408" s="835"/>
      <c r="B1408" s="835"/>
      <c r="C1408" s="835"/>
      <c r="D1408" s="835"/>
      <c r="E1408" s="835"/>
      <c r="F1408" s="835"/>
      <c r="G1408" s="835"/>
      <c r="H1408" s="835"/>
      <c r="I1408" s="835"/>
      <c r="J1408" s="835"/>
      <c r="K1408" s="835"/>
      <c r="L1408" s="835"/>
      <c r="M1408" s="835"/>
      <c r="N1408" s="835"/>
      <c r="O1408" s="835"/>
      <c r="P1408" s="835"/>
      <c r="Q1408" s="835"/>
      <c r="R1408" s="835"/>
      <c r="S1408" s="835"/>
      <c r="T1408" s="1"/>
      <c r="U1408" s="931">
        <f>IF(AND(W1408&gt;=$U$1,W1408&lt;=$U$2),IF(X1408='ESTRATTO CONTO'!$E$2,1+COUNTIF(U$1379:U1407,"&gt;0"),IF(AC1408='ESTRATTO CONTO'!$E$2,1+COUNTIF(U$1379:U1407,"&gt;0"),0)),0)</f>
        <v>0</v>
      </c>
      <c r="V1408" s="27">
        <v>30</v>
      </c>
      <c r="W1408" s="41">
        <f t="shared" si="305"/>
        <v>0</v>
      </c>
      <c r="X1408" s="313">
        <f>IF(W1408=0,0,VLOOKUP(P118,ENTI!$AD$1025:$AH$1038,5,FALSE))</f>
        <v>0</v>
      </c>
      <c r="Y1408" s="313">
        <f t="shared" si="306"/>
        <v>0</v>
      </c>
      <c r="Z1408" s="314">
        <f t="shared" si="307"/>
        <v>0</v>
      </c>
      <c r="AA1408" s="1"/>
      <c r="AB1408" s="313">
        <f t="shared" si="308"/>
        <v>0</v>
      </c>
      <c r="AC1408" s="313">
        <f t="shared" si="309"/>
        <v>0</v>
      </c>
      <c r="AD1408" s="1"/>
      <c r="AE1408" s="1226">
        <f t="shared" si="310"/>
        <v>0</v>
      </c>
      <c r="AF1408" s="1227"/>
      <c r="AG1408" s="1228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</row>
    <row r="1409" spans="1:93" ht="16.5" hidden="1" customHeight="1">
      <c r="A1409" s="835"/>
      <c r="B1409" s="835"/>
      <c r="C1409" s="835"/>
      <c r="D1409" s="835"/>
      <c r="E1409" s="835"/>
      <c r="F1409" s="835"/>
      <c r="G1409" s="835"/>
      <c r="H1409" s="835"/>
      <c r="I1409" s="835"/>
      <c r="J1409" s="835"/>
      <c r="K1409" s="835"/>
      <c r="L1409" s="835"/>
      <c r="M1409" s="835"/>
      <c r="N1409" s="835"/>
      <c r="O1409" s="835"/>
      <c r="P1409" s="835"/>
      <c r="Q1409" s="835"/>
      <c r="R1409" s="835"/>
      <c r="S1409" s="835"/>
      <c r="T1409" s="1"/>
      <c r="U1409" s="931">
        <f>IF(AND(W1409&gt;=$U$1,W1409&lt;=$U$2),IF(X1409='ESTRATTO CONTO'!$E$2,1+COUNTIF(U$1379:U1408,"&gt;0"),IF(AC1409='ESTRATTO CONTO'!$E$2,1+COUNTIF(U$1379:U1408,"&gt;0"),0)),0)</f>
        <v>0</v>
      </c>
      <c r="V1409" s="27">
        <v>31</v>
      </c>
      <c r="W1409" s="41">
        <f t="shared" si="305"/>
        <v>0</v>
      </c>
      <c r="X1409" s="313">
        <f>IF(W1409=0,0,VLOOKUP(P119,ENTI!$AD$1025:$AH$1038,5,FALSE))</f>
        <v>0</v>
      </c>
      <c r="Y1409" s="313">
        <f t="shared" si="306"/>
        <v>0</v>
      </c>
      <c r="Z1409" s="314">
        <f t="shared" si="307"/>
        <v>0</v>
      </c>
      <c r="AA1409" s="1"/>
      <c r="AB1409" s="313">
        <f t="shared" si="308"/>
        <v>0</v>
      </c>
      <c r="AC1409" s="313">
        <f t="shared" si="309"/>
        <v>0</v>
      </c>
      <c r="AD1409" s="1"/>
      <c r="AE1409" s="1226">
        <f t="shared" si="310"/>
        <v>0</v>
      </c>
      <c r="AF1409" s="1227"/>
      <c r="AG1409" s="1228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</row>
    <row r="1410" spans="1:93" ht="16.5" hidden="1" customHeight="1">
      <c r="A1410" s="835"/>
      <c r="B1410" s="835"/>
      <c r="C1410" s="835"/>
      <c r="D1410" s="835"/>
      <c r="E1410" s="835"/>
      <c r="F1410" s="835"/>
      <c r="G1410" s="835"/>
      <c r="H1410" s="835"/>
      <c r="I1410" s="835"/>
      <c r="J1410" s="835"/>
      <c r="K1410" s="835"/>
      <c r="L1410" s="835"/>
      <c r="M1410" s="835"/>
      <c r="N1410" s="835"/>
      <c r="O1410" s="835"/>
      <c r="P1410" s="835"/>
      <c r="Q1410" s="835"/>
      <c r="R1410" s="835"/>
      <c r="S1410" s="835"/>
      <c r="T1410" s="1"/>
      <c r="U1410" s="931">
        <f>IF(AND(W1410&gt;=$U$1,W1410&lt;=$U$2),IF(X1410='ESTRATTO CONTO'!$E$2,1+COUNTIF(U$1379:U1409,"&gt;0"),IF(AC1410='ESTRATTO CONTO'!$E$2,1+COUNTIF(U$1379:U1409,"&gt;0"),0)),0)</f>
        <v>0</v>
      </c>
      <c r="V1410" s="27">
        <v>32</v>
      </c>
      <c r="W1410" s="41">
        <f t="shared" si="305"/>
        <v>0</v>
      </c>
      <c r="X1410" s="313">
        <f>IF(W1410=0,0,VLOOKUP(P120,ENTI!$AD$1025:$AH$1038,5,FALSE))</f>
        <v>0</v>
      </c>
      <c r="Y1410" s="313">
        <f t="shared" si="306"/>
        <v>0</v>
      </c>
      <c r="Z1410" s="314">
        <f t="shared" si="307"/>
        <v>0</v>
      </c>
      <c r="AA1410" s="1"/>
      <c r="AB1410" s="313">
        <f t="shared" si="308"/>
        <v>0</v>
      </c>
      <c r="AC1410" s="313">
        <f t="shared" si="309"/>
        <v>0</v>
      </c>
      <c r="AD1410" s="1"/>
      <c r="AE1410" s="1226">
        <f t="shared" si="310"/>
        <v>0</v>
      </c>
      <c r="AF1410" s="1227"/>
      <c r="AG1410" s="1228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</row>
    <row r="1411" spans="1:93" ht="16.5" hidden="1" customHeight="1">
      <c r="A1411" s="835"/>
      <c r="B1411" s="835"/>
      <c r="C1411" s="835"/>
      <c r="D1411" s="835"/>
      <c r="E1411" s="835"/>
      <c r="F1411" s="835"/>
      <c r="G1411" s="835"/>
      <c r="H1411" s="835"/>
      <c r="I1411" s="835"/>
      <c r="J1411" s="835"/>
      <c r="K1411" s="835"/>
      <c r="L1411" s="835"/>
      <c r="M1411" s="835"/>
      <c r="N1411" s="835"/>
      <c r="O1411" s="835"/>
      <c r="P1411" s="835"/>
      <c r="Q1411" s="835"/>
      <c r="R1411" s="835"/>
      <c r="S1411" s="835"/>
      <c r="T1411" s="1"/>
      <c r="U1411" s="931">
        <f>IF(AND(W1411&gt;=$U$1,W1411&lt;=$U$2),IF(X1411='ESTRATTO CONTO'!$E$2,1+COUNTIF(U$1379:U1410,"&gt;0"),IF(AC1411='ESTRATTO CONTO'!$E$2,1+COUNTIF(U$1379:U1410,"&gt;0"),0)),0)</f>
        <v>0</v>
      </c>
      <c r="V1411" s="27">
        <v>33</v>
      </c>
      <c r="W1411" s="41">
        <f t="shared" ref="W1411:W1430" si="311">N121</f>
        <v>0</v>
      </c>
      <c r="X1411" s="313">
        <f>IF(W1411=0,0,VLOOKUP(P121,ENTI!$AD$1025:$AH$1038,5,FALSE))</f>
        <v>0</v>
      </c>
      <c r="Y1411" s="313">
        <f t="shared" ref="Y1411:Y1430" si="312">IF(W1411=0,0,CONCATENATE("Doc. Nr. ",F121," - ",I$73))</f>
        <v>0</v>
      </c>
      <c r="Z1411" s="314">
        <f t="shared" ref="Z1411:Z1430" si="313">IF(AND(J$1444=0,OR(W1411&lt;W$1438,W1411&gt;W$1439)),0,IF(W1411=0,0,L121*-1))</f>
        <v>0</v>
      </c>
      <c r="AA1411" s="1"/>
      <c r="AB1411" s="313">
        <f t="shared" ref="AB1411:AB1430" si="314">IF(W1411=0,0,IF(ISBLANK(I121),"",I121))</f>
        <v>0</v>
      </c>
      <c r="AC1411" s="313">
        <f t="shared" ref="AC1411:AC1430" si="315">IF(W1411=0,0,B$78)</f>
        <v>0</v>
      </c>
      <c r="AD1411" s="1"/>
      <c r="AE1411" s="1226">
        <f t="shared" si="310"/>
        <v>0</v>
      </c>
      <c r="AF1411" s="1227"/>
      <c r="AG1411" s="1228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</row>
    <row r="1412" spans="1:93" ht="16.5" hidden="1" customHeight="1">
      <c r="A1412" s="835"/>
      <c r="B1412" s="835"/>
      <c r="C1412" s="835"/>
      <c r="D1412" s="835"/>
      <c r="E1412" s="835"/>
      <c r="F1412" s="835"/>
      <c r="G1412" s="835"/>
      <c r="H1412" s="835"/>
      <c r="I1412" s="835"/>
      <c r="J1412" s="835"/>
      <c r="K1412" s="835"/>
      <c r="L1412" s="835"/>
      <c r="M1412" s="835"/>
      <c r="N1412" s="835"/>
      <c r="O1412" s="835"/>
      <c r="P1412" s="835"/>
      <c r="Q1412" s="835"/>
      <c r="R1412" s="835"/>
      <c r="S1412" s="835"/>
      <c r="T1412" s="1"/>
      <c r="U1412" s="931">
        <f>IF(AND(W1412&gt;=$U$1,W1412&lt;=$U$2),IF(X1412='ESTRATTO CONTO'!$E$2,1+COUNTIF(U$1379:U1411,"&gt;0"),IF(AC1412='ESTRATTO CONTO'!$E$2,1+COUNTIF(U$1379:U1411,"&gt;0"),0)),0)</f>
        <v>0</v>
      </c>
      <c r="V1412" s="27">
        <v>34</v>
      </c>
      <c r="W1412" s="41">
        <f t="shared" si="311"/>
        <v>0</v>
      </c>
      <c r="X1412" s="313">
        <f>IF(W1412=0,0,VLOOKUP(P122,ENTI!$AD$1025:$AH$1038,5,FALSE))</f>
        <v>0</v>
      </c>
      <c r="Y1412" s="313">
        <f t="shared" si="312"/>
        <v>0</v>
      </c>
      <c r="Z1412" s="314">
        <f t="shared" si="313"/>
        <v>0</v>
      </c>
      <c r="AA1412" s="1"/>
      <c r="AB1412" s="313">
        <f t="shared" si="314"/>
        <v>0</v>
      </c>
      <c r="AC1412" s="313">
        <f t="shared" si="315"/>
        <v>0</v>
      </c>
      <c r="AD1412" s="1"/>
      <c r="AE1412" s="1226">
        <f t="shared" si="310"/>
        <v>0</v>
      </c>
      <c r="AF1412" s="1227"/>
      <c r="AG1412" s="1228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</row>
    <row r="1413" spans="1:93" ht="16.5" hidden="1" customHeight="1">
      <c r="A1413" s="835"/>
      <c r="B1413" s="835"/>
      <c r="C1413" s="835"/>
      <c r="D1413" s="835"/>
      <c r="E1413" s="835"/>
      <c r="F1413" s="835"/>
      <c r="G1413" s="835"/>
      <c r="H1413" s="835"/>
      <c r="I1413" s="835"/>
      <c r="J1413" s="835"/>
      <c r="K1413" s="835"/>
      <c r="L1413" s="835"/>
      <c r="M1413" s="835"/>
      <c r="N1413" s="835"/>
      <c r="O1413" s="835"/>
      <c r="P1413" s="835"/>
      <c r="Q1413" s="835"/>
      <c r="R1413" s="835"/>
      <c r="S1413" s="835"/>
      <c r="T1413" s="1"/>
      <c r="U1413" s="931">
        <f>IF(AND(W1413&gt;=$U$1,W1413&lt;=$U$2),IF(X1413='ESTRATTO CONTO'!$E$2,1+COUNTIF(U$1379:U1412,"&gt;0"),IF(AC1413='ESTRATTO CONTO'!$E$2,1+COUNTIF(U$1379:U1412,"&gt;0"),0)),0)</f>
        <v>0</v>
      </c>
      <c r="V1413" s="27">
        <v>35</v>
      </c>
      <c r="W1413" s="41">
        <f t="shared" si="311"/>
        <v>0</v>
      </c>
      <c r="X1413" s="313">
        <f>IF(W1413=0,0,VLOOKUP(P123,ENTI!$AD$1025:$AH$1038,5,FALSE))</f>
        <v>0</v>
      </c>
      <c r="Y1413" s="313">
        <f t="shared" si="312"/>
        <v>0</v>
      </c>
      <c r="Z1413" s="314">
        <f t="shared" si="313"/>
        <v>0</v>
      </c>
      <c r="AA1413" s="1"/>
      <c r="AB1413" s="313">
        <f t="shared" si="314"/>
        <v>0</v>
      </c>
      <c r="AC1413" s="313">
        <f t="shared" si="315"/>
        <v>0</v>
      </c>
      <c r="AD1413" s="1"/>
      <c r="AE1413" s="1226">
        <f t="shared" si="310"/>
        <v>0</v>
      </c>
      <c r="AF1413" s="1227"/>
      <c r="AG1413" s="1228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</row>
    <row r="1414" spans="1:93" ht="16.5" hidden="1" customHeight="1">
      <c r="A1414" s="835"/>
      <c r="B1414" s="835"/>
      <c r="C1414" s="835"/>
      <c r="D1414" s="835"/>
      <c r="E1414" s="835"/>
      <c r="F1414" s="835"/>
      <c r="G1414" s="835"/>
      <c r="H1414" s="835"/>
      <c r="I1414" s="835"/>
      <c r="J1414" s="835"/>
      <c r="K1414" s="835"/>
      <c r="L1414" s="835"/>
      <c r="M1414" s="835"/>
      <c r="N1414" s="835"/>
      <c r="O1414" s="835"/>
      <c r="P1414" s="835"/>
      <c r="Q1414" s="835"/>
      <c r="R1414" s="835"/>
      <c r="S1414" s="835"/>
      <c r="T1414" s="1"/>
      <c r="U1414" s="931">
        <f>IF(AND(W1414&gt;=$U$1,W1414&lt;=$U$2),IF(X1414='ESTRATTO CONTO'!$E$2,1+COUNTIF(U$1379:U1413,"&gt;0"),IF(AC1414='ESTRATTO CONTO'!$E$2,1+COUNTIF(U$1379:U1413,"&gt;0"),0)),0)</f>
        <v>0</v>
      </c>
      <c r="V1414" s="27">
        <v>36</v>
      </c>
      <c r="W1414" s="41">
        <f t="shared" si="311"/>
        <v>0</v>
      </c>
      <c r="X1414" s="313">
        <f>IF(W1414=0,0,VLOOKUP(P124,ENTI!$AD$1025:$AH$1038,5,FALSE))</f>
        <v>0</v>
      </c>
      <c r="Y1414" s="313">
        <f t="shared" si="312"/>
        <v>0</v>
      </c>
      <c r="Z1414" s="314">
        <f t="shared" si="313"/>
        <v>0</v>
      </c>
      <c r="AA1414" s="1"/>
      <c r="AB1414" s="313">
        <f t="shared" si="314"/>
        <v>0</v>
      </c>
      <c r="AC1414" s="313">
        <f t="shared" si="315"/>
        <v>0</v>
      </c>
      <c r="AD1414" s="1"/>
      <c r="AE1414" s="1226">
        <f t="shared" si="310"/>
        <v>0</v>
      </c>
      <c r="AF1414" s="1227"/>
      <c r="AG1414" s="1228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</row>
    <row r="1415" spans="1:93" ht="16.5" hidden="1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931">
        <f>IF(AND(W1415&gt;=$U$1,W1415&lt;=$U$2),IF(X1415='ESTRATTO CONTO'!$E$2,1+COUNTIF(U$1379:U1414,"&gt;0"),IF(AC1415='ESTRATTO CONTO'!$E$2,1+COUNTIF(U$1379:U1414,"&gt;0"),0)),0)</f>
        <v>0</v>
      </c>
      <c r="V1415" s="27">
        <v>37</v>
      </c>
      <c r="W1415" s="41">
        <f t="shared" si="311"/>
        <v>0</v>
      </c>
      <c r="X1415" s="313">
        <f>IF(W1415=0,0,VLOOKUP(P125,ENTI!$AD$1025:$AH$1038,5,FALSE))</f>
        <v>0</v>
      </c>
      <c r="Y1415" s="313">
        <f t="shared" si="312"/>
        <v>0</v>
      </c>
      <c r="Z1415" s="314">
        <f t="shared" si="313"/>
        <v>0</v>
      </c>
      <c r="AA1415" s="1"/>
      <c r="AB1415" s="313">
        <f t="shared" si="314"/>
        <v>0</v>
      </c>
      <c r="AC1415" s="313">
        <f t="shared" si="315"/>
        <v>0</v>
      </c>
      <c r="AD1415" s="1"/>
      <c r="AE1415" s="1226">
        <f t="shared" si="310"/>
        <v>0</v>
      </c>
      <c r="AF1415" s="1227"/>
      <c r="AG1415" s="1228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</row>
    <row r="1416" spans="1:93" ht="16.5" hidden="1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931">
        <f>IF(AND(W1416&gt;=$U$1,W1416&lt;=$U$2),IF(X1416='ESTRATTO CONTO'!$E$2,1+COUNTIF(U$1379:U1415,"&gt;0"),IF(AC1416='ESTRATTO CONTO'!$E$2,1+COUNTIF(U$1379:U1415,"&gt;0"),0)),0)</f>
        <v>0</v>
      </c>
      <c r="V1416" s="27">
        <v>38</v>
      </c>
      <c r="W1416" s="41">
        <f t="shared" si="311"/>
        <v>0</v>
      </c>
      <c r="X1416" s="313">
        <f>IF(W1416=0,0,VLOOKUP(P126,ENTI!$AD$1025:$AH$1038,5,FALSE))</f>
        <v>0</v>
      </c>
      <c r="Y1416" s="313">
        <f t="shared" si="312"/>
        <v>0</v>
      </c>
      <c r="Z1416" s="314">
        <f t="shared" si="313"/>
        <v>0</v>
      </c>
      <c r="AA1416" s="1"/>
      <c r="AB1416" s="313">
        <f t="shared" si="314"/>
        <v>0</v>
      </c>
      <c r="AC1416" s="313">
        <f t="shared" si="315"/>
        <v>0</v>
      </c>
      <c r="AD1416" s="1"/>
      <c r="AE1416" s="1226">
        <f t="shared" si="310"/>
        <v>0</v>
      </c>
      <c r="AF1416" s="1227"/>
      <c r="AG1416" s="1228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</row>
    <row r="1417" spans="1:93" ht="16.5" hidden="1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910" t="s">
        <v>495</v>
      </c>
      <c r="O1417" s="1"/>
      <c r="P1417" s="886">
        <f>W1433</f>
        <v>45292</v>
      </c>
      <c r="Q1417" s="887">
        <f>W1434</f>
        <v>45657</v>
      </c>
      <c r="R1417" s="1"/>
      <c r="S1417" s="1"/>
      <c r="T1417" s="1"/>
      <c r="U1417" s="931">
        <f>IF(AND(W1417&gt;=$U$1,W1417&lt;=$U$2),IF(X1417='ESTRATTO CONTO'!$E$2,1+COUNTIF(U$1379:U1416,"&gt;0"),IF(AC1417='ESTRATTO CONTO'!$E$2,1+COUNTIF(U$1379:U1416,"&gt;0"),0)),0)</f>
        <v>0</v>
      </c>
      <c r="V1417" s="27">
        <v>39</v>
      </c>
      <c r="W1417" s="41">
        <f t="shared" si="311"/>
        <v>0</v>
      </c>
      <c r="X1417" s="313">
        <f>IF(W1417=0,0,VLOOKUP(P127,ENTI!$AD$1025:$AH$1038,5,FALSE))</f>
        <v>0</v>
      </c>
      <c r="Y1417" s="313">
        <f t="shared" si="312"/>
        <v>0</v>
      </c>
      <c r="Z1417" s="314">
        <f t="shared" si="313"/>
        <v>0</v>
      </c>
      <c r="AA1417" s="1"/>
      <c r="AB1417" s="313">
        <f t="shared" si="314"/>
        <v>0</v>
      </c>
      <c r="AC1417" s="313">
        <f t="shared" si="315"/>
        <v>0</v>
      </c>
      <c r="AD1417" s="1"/>
      <c r="AE1417" s="1226">
        <f t="shared" si="310"/>
        <v>0</v>
      </c>
      <c r="AF1417" s="1227"/>
      <c r="AG1417" s="1228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</row>
    <row r="1418" spans="1:93" ht="16.5" hidden="1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878">
        <f>S1418-P1418</f>
        <v>90</v>
      </c>
      <c r="N1418" s="890" t="s">
        <v>491</v>
      </c>
      <c r="O1418" s="890" t="s">
        <v>1</v>
      </c>
      <c r="P1418" s="880">
        <f>HLOOKUP(O1418,Presentazione!$B$206:$M$210,5,FALSE)</f>
        <v>45292</v>
      </c>
      <c r="Q1418" s="883">
        <f>IF(AND(M1418&gt;85,M1418&lt;95),S1418,DATE(YEAR(S1418)+1,MONTH(S1418),DAY(S1418)))</f>
        <v>45382</v>
      </c>
      <c r="R1418" s="835"/>
      <c r="S1418" s="879">
        <f>P1419-1</f>
        <v>45382</v>
      </c>
      <c r="T1418" s="1"/>
      <c r="U1418" s="931">
        <f>IF(AND(W1418&gt;=$U$1,W1418&lt;=$U$2),IF(X1418='ESTRATTO CONTO'!$E$2,1+COUNTIF(U$1379:U1417,"&gt;0"),IF(AC1418='ESTRATTO CONTO'!$E$2,1+COUNTIF(U$1379:U1417,"&gt;0"),0)),0)</f>
        <v>0</v>
      </c>
      <c r="V1418" s="27">
        <v>40</v>
      </c>
      <c r="W1418" s="41">
        <f t="shared" si="311"/>
        <v>0</v>
      </c>
      <c r="X1418" s="313">
        <f>IF(W1418=0,0,VLOOKUP(P128,ENTI!$AD$1025:$AH$1038,5,FALSE))</f>
        <v>0</v>
      </c>
      <c r="Y1418" s="313">
        <f t="shared" si="312"/>
        <v>0</v>
      </c>
      <c r="Z1418" s="314">
        <f t="shared" si="313"/>
        <v>0</v>
      </c>
      <c r="AA1418" s="1"/>
      <c r="AB1418" s="313">
        <f t="shared" si="314"/>
        <v>0</v>
      </c>
      <c r="AC1418" s="313">
        <f t="shared" si="315"/>
        <v>0</v>
      </c>
      <c r="AD1418" s="1"/>
      <c r="AE1418" s="1226">
        <f t="shared" si="310"/>
        <v>0</v>
      </c>
      <c r="AF1418" s="1227"/>
      <c r="AG1418" s="1228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</row>
    <row r="1419" spans="1:93" ht="16.5" hidden="1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878">
        <f>S1419-P1419</f>
        <v>90</v>
      </c>
      <c r="N1419" s="890" t="s">
        <v>492</v>
      </c>
      <c r="O1419" s="890" t="s">
        <v>4</v>
      </c>
      <c r="P1419" s="881">
        <f>HLOOKUP(O1419,Presentazione!$B$206:$M$210,5,FALSE)</f>
        <v>45383</v>
      </c>
      <c r="Q1419" s="884">
        <f>IF(AND(M1419&gt;85,M1419&lt;95),S1419,DATE(YEAR(S1419)+1,MONTH(S1419),DAY(S1419)))</f>
        <v>45473</v>
      </c>
      <c r="R1419" s="835"/>
      <c r="S1419" s="879">
        <f>P1420-1</f>
        <v>45473</v>
      </c>
      <c r="T1419" s="1"/>
      <c r="U1419" s="931">
        <f>IF(AND(W1419&gt;=$U$1,W1419&lt;=$U$2),IF(X1419='ESTRATTO CONTO'!$E$2,1+COUNTIF(U$1379:U1418,"&gt;0"),IF(AC1419='ESTRATTO CONTO'!$E$2,1+COUNTIF(U$1379:U1418,"&gt;0"),0)),0)</f>
        <v>0</v>
      </c>
      <c r="V1419" s="27">
        <v>41</v>
      </c>
      <c r="W1419" s="41">
        <f t="shared" si="311"/>
        <v>0</v>
      </c>
      <c r="X1419" s="313">
        <f>IF(W1419=0,0,VLOOKUP(P129,ENTI!$AD$1025:$AH$1038,5,FALSE))</f>
        <v>0</v>
      </c>
      <c r="Y1419" s="313">
        <f t="shared" si="312"/>
        <v>0</v>
      </c>
      <c r="Z1419" s="314">
        <f t="shared" si="313"/>
        <v>0</v>
      </c>
      <c r="AA1419" s="1"/>
      <c r="AB1419" s="313">
        <f t="shared" si="314"/>
        <v>0</v>
      </c>
      <c r="AC1419" s="313">
        <f t="shared" si="315"/>
        <v>0</v>
      </c>
      <c r="AD1419" s="1"/>
      <c r="AE1419" s="1226">
        <f t="shared" si="310"/>
        <v>0</v>
      </c>
      <c r="AF1419" s="1227"/>
      <c r="AG1419" s="1228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</row>
    <row r="1420" spans="1:93" ht="16.5" hidden="1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878">
        <f>S1420-P1420</f>
        <v>91</v>
      </c>
      <c r="N1420" s="890" t="s">
        <v>493</v>
      </c>
      <c r="O1420" s="890" t="s">
        <v>7</v>
      </c>
      <c r="P1420" s="881">
        <f>HLOOKUP(O1420,Presentazione!$B$206:$M$210,5,FALSE)</f>
        <v>45474</v>
      </c>
      <c r="Q1420" s="884">
        <f>IF(AND(M1420&gt;85,M1420&lt;95),S1420,DATE(YEAR(S1420)+1,MONTH(S1420),DAY(S1420)))</f>
        <v>45565</v>
      </c>
      <c r="R1420" s="835"/>
      <c r="S1420" s="879">
        <f>P1421-1</f>
        <v>45565</v>
      </c>
      <c r="T1420" s="1"/>
      <c r="U1420" s="931">
        <f>IF(AND(W1420&gt;=$U$1,W1420&lt;=$U$2),IF(X1420='ESTRATTO CONTO'!$E$2,1+COUNTIF(U$1379:U1419,"&gt;0"),IF(AC1420='ESTRATTO CONTO'!$E$2,1+COUNTIF(U$1379:U1419,"&gt;0"),0)),0)</f>
        <v>0</v>
      </c>
      <c r="V1420" s="27">
        <v>42</v>
      </c>
      <c r="W1420" s="41">
        <f t="shared" si="311"/>
        <v>0</v>
      </c>
      <c r="X1420" s="313">
        <f>IF(W1420=0,0,VLOOKUP(P130,ENTI!$AD$1025:$AH$1038,5,FALSE))</f>
        <v>0</v>
      </c>
      <c r="Y1420" s="313">
        <f t="shared" si="312"/>
        <v>0</v>
      </c>
      <c r="Z1420" s="314">
        <f t="shared" si="313"/>
        <v>0</v>
      </c>
      <c r="AA1420" s="1"/>
      <c r="AB1420" s="313">
        <f t="shared" si="314"/>
        <v>0</v>
      </c>
      <c r="AC1420" s="313">
        <f t="shared" si="315"/>
        <v>0</v>
      </c>
      <c r="AD1420" s="1"/>
      <c r="AE1420" s="1226">
        <f t="shared" si="310"/>
        <v>0</v>
      </c>
      <c r="AF1420" s="1227"/>
      <c r="AG1420" s="1228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</row>
    <row r="1421" spans="1:93" ht="16.5" hidden="1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878">
        <f>S1421-P1421</f>
        <v>-275</v>
      </c>
      <c r="N1421" s="890" t="s">
        <v>494</v>
      </c>
      <c r="O1421" s="890" t="s">
        <v>10</v>
      </c>
      <c r="P1421" s="882">
        <f>HLOOKUP(O1421,Presentazione!$B$206:$M$210,5,FALSE)</f>
        <v>45566</v>
      </c>
      <c r="Q1421" s="885">
        <f>IF(AND(M1421&gt;85,M1421&lt;95),S1421,DATE(YEAR(S1421)+1,MONTH(S1421),DAY(S1421)))</f>
        <v>45657</v>
      </c>
      <c r="R1421" s="835"/>
      <c r="S1421" s="879">
        <f>HLOOKUP(O1418,Presentazione!$B$206:$M$210,5,FALSE)-1</f>
        <v>45291</v>
      </c>
      <c r="T1421" s="1"/>
      <c r="U1421" s="931">
        <f>IF(AND(W1421&gt;=$U$1,W1421&lt;=$U$2),IF(X1421='ESTRATTO CONTO'!$E$2,1+COUNTIF(U$1379:U1420,"&gt;0"),IF(AC1421='ESTRATTO CONTO'!$E$2,1+COUNTIF(U$1379:U1420,"&gt;0"),0)),0)</f>
        <v>0</v>
      </c>
      <c r="V1421" s="27">
        <v>43</v>
      </c>
      <c r="W1421" s="41">
        <f t="shared" si="311"/>
        <v>0</v>
      </c>
      <c r="X1421" s="313">
        <f>IF(W1421=0,0,VLOOKUP(P131,ENTI!$AD$1025:$AH$1038,5,FALSE))</f>
        <v>0</v>
      </c>
      <c r="Y1421" s="313">
        <f t="shared" si="312"/>
        <v>0</v>
      </c>
      <c r="Z1421" s="314">
        <f t="shared" si="313"/>
        <v>0</v>
      </c>
      <c r="AA1421" s="1"/>
      <c r="AB1421" s="313">
        <f t="shared" si="314"/>
        <v>0</v>
      </c>
      <c r="AC1421" s="313">
        <f t="shared" si="315"/>
        <v>0</v>
      </c>
      <c r="AD1421" s="1"/>
      <c r="AE1421" s="1226">
        <f t="shared" si="310"/>
        <v>0</v>
      </c>
      <c r="AF1421" s="1227"/>
      <c r="AG1421" s="1228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</row>
    <row r="1422" spans="1:93" ht="16.5" hidden="1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229" t="s">
        <v>497</v>
      </c>
      <c r="Q1422" s="1229"/>
      <c r="R1422" s="1"/>
      <c r="S1422" s="1"/>
      <c r="T1422" s="1"/>
      <c r="U1422" s="931">
        <f>IF(AND(W1422&gt;=$U$1,W1422&lt;=$U$2),IF(X1422='ESTRATTO CONTO'!$E$2,1+COUNTIF(U$1379:U1421,"&gt;0"),IF(AC1422='ESTRATTO CONTO'!$E$2,1+COUNTIF(U$1379:U1421,"&gt;0"),0)),0)</f>
        <v>0</v>
      </c>
      <c r="V1422" s="27">
        <v>44</v>
      </c>
      <c r="W1422" s="41">
        <f t="shared" si="311"/>
        <v>0</v>
      </c>
      <c r="X1422" s="313">
        <f>IF(W1422=0,0,VLOOKUP(P132,ENTI!$AD$1025:$AH$1038,5,FALSE))</f>
        <v>0</v>
      </c>
      <c r="Y1422" s="313">
        <f t="shared" si="312"/>
        <v>0</v>
      </c>
      <c r="Z1422" s="314">
        <f t="shared" si="313"/>
        <v>0</v>
      </c>
      <c r="AA1422" s="1"/>
      <c r="AB1422" s="313">
        <f t="shared" si="314"/>
        <v>0</v>
      </c>
      <c r="AC1422" s="313">
        <f t="shared" si="315"/>
        <v>0</v>
      </c>
      <c r="AD1422" s="1"/>
      <c r="AE1422" s="1226">
        <f t="shared" si="310"/>
        <v>0</v>
      </c>
      <c r="AF1422" s="1227"/>
      <c r="AG1422" s="1228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</row>
    <row r="1423" spans="1:93" ht="16.5" hidden="1" customHeight="1">
      <c r="A1423" s="1"/>
      <c r="B1423" s="1"/>
      <c r="C1423" s="897">
        <f>SUM(F1423:Q1423)</f>
        <v>12</v>
      </c>
      <c r="D1423" s="1"/>
      <c r="E1423" s="1"/>
      <c r="F1423" s="914">
        <f t="shared" ref="F1423:P1423" si="316">IF(AND($J$1444=0,$P$4=$N$1417),0,IF($P$4=$N$1417,IF(OR((G1424-1)&lt;$Z$1434,F1424&gt;$Z$1433),0,1),IF(AND(F1437&gt;=$V$1438,F1437&lt;=$V$1439),1,0)))</f>
        <v>1</v>
      </c>
      <c r="G1423" s="914">
        <f t="shared" si="316"/>
        <v>1</v>
      </c>
      <c r="H1423" s="914">
        <f t="shared" si="316"/>
        <v>1</v>
      </c>
      <c r="I1423" s="914">
        <f t="shared" si="316"/>
        <v>1</v>
      </c>
      <c r="J1423" s="914">
        <f t="shared" si="316"/>
        <v>1</v>
      </c>
      <c r="K1423" s="914">
        <f t="shared" si="316"/>
        <v>1</v>
      </c>
      <c r="L1423" s="914">
        <f t="shared" si="316"/>
        <v>1</v>
      </c>
      <c r="M1423" s="914">
        <f t="shared" si="316"/>
        <v>1</v>
      </c>
      <c r="N1423" s="914">
        <f t="shared" si="316"/>
        <v>1</v>
      </c>
      <c r="O1423" s="914">
        <f t="shared" si="316"/>
        <v>1</v>
      </c>
      <c r="P1423" s="914">
        <f t="shared" si="316"/>
        <v>1</v>
      </c>
      <c r="Q1423" s="914">
        <f>IF(AND($J$1444=0,$P$4=$N$1417),0,IF($P$4=$N$1417,IF(OR(S1424&lt;$Z$1434,Q1424&gt;$Z$1433),0,1),IF(AND(Q1437&gt;=$V$1438,Q1437&lt;=$V$1439),1,0)))</f>
        <v>1</v>
      </c>
      <c r="R1423" s="1"/>
      <c r="S1423" s="1"/>
      <c r="T1423" s="1"/>
      <c r="U1423" s="931">
        <f>IF(AND(W1423&gt;=$U$1,W1423&lt;=$U$2),IF(X1423='ESTRATTO CONTO'!$E$2,1+COUNTIF(U$1379:U1422,"&gt;0"),IF(AC1423='ESTRATTO CONTO'!$E$2,1+COUNTIF(U$1379:U1422,"&gt;0"),0)),0)</f>
        <v>0</v>
      </c>
      <c r="V1423" s="27">
        <v>45</v>
      </c>
      <c r="W1423" s="41">
        <f t="shared" si="311"/>
        <v>0</v>
      </c>
      <c r="X1423" s="313">
        <f>IF(W1423=0,0,VLOOKUP(P133,ENTI!$AD$1025:$AH$1038,5,FALSE))</f>
        <v>0</v>
      </c>
      <c r="Y1423" s="313">
        <f t="shared" si="312"/>
        <v>0</v>
      </c>
      <c r="Z1423" s="314">
        <f t="shared" si="313"/>
        <v>0</v>
      </c>
      <c r="AA1423" s="1"/>
      <c r="AB1423" s="313">
        <f t="shared" si="314"/>
        <v>0</v>
      </c>
      <c r="AC1423" s="313">
        <f t="shared" si="315"/>
        <v>0</v>
      </c>
      <c r="AD1423" s="1"/>
      <c r="AE1423" s="1226">
        <f t="shared" si="310"/>
        <v>0</v>
      </c>
      <c r="AF1423" s="1227"/>
      <c r="AG1423" s="1228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</row>
    <row r="1424" spans="1:93" ht="16.5" hidden="1" customHeight="1">
      <c r="A1424" s="1"/>
      <c r="B1424" s="1"/>
      <c r="C1424" s="1"/>
      <c r="D1424" s="1"/>
      <c r="E1424" s="1"/>
      <c r="F1424" s="915">
        <f>Presentazione!B210</f>
        <v>45292</v>
      </c>
      <c r="G1424" s="915">
        <f>Presentazione!C210</f>
        <v>45323</v>
      </c>
      <c r="H1424" s="915">
        <f>Presentazione!D210</f>
        <v>45352</v>
      </c>
      <c r="I1424" s="915">
        <f>Presentazione!E210</f>
        <v>45383</v>
      </c>
      <c r="J1424" s="915">
        <f>Presentazione!F210</f>
        <v>45413</v>
      </c>
      <c r="K1424" s="915">
        <f>Presentazione!G210</f>
        <v>45444</v>
      </c>
      <c r="L1424" s="915">
        <f>Presentazione!H210</f>
        <v>45474</v>
      </c>
      <c r="M1424" s="915">
        <f>Presentazione!I210</f>
        <v>45505</v>
      </c>
      <c r="N1424" s="915">
        <f>Presentazione!J210</f>
        <v>45536</v>
      </c>
      <c r="O1424" s="915">
        <f>Presentazione!K210</f>
        <v>45566</v>
      </c>
      <c r="P1424" s="915">
        <f>Presentazione!L210</f>
        <v>45597</v>
      </c>
      <c r="Q1424" s="913">
        <f>Presentazione!M210</f>
        <v>45627</v>
      </c>
      <c r="R1424" s="1"/>
      <c r="S1424" s="916">
        <f>Presentazione!N210</f>
        <v>45657</v>
      </c>
      <c r="T1424" s="1"/>
      <c r="U1424" s="931">
        <f>IF(AND(W1424&gt;=$U$1,W1424&lt;=$U$2),IF(X1424='ESTRATTO CONTO'!$E$2,1+COUNTIF(U$1379:U1423,"&gt;0"),IF(AC1424='ESTRATTO CONTO'!$E$2,1+COUNTIF(U$1379:U1423,"&gt;0"),0)),0)</f>
        <v>0</v>
      </c>
      <c r="V1424" s="27">
        <v>46</v>
      </c>
      <c r="W1424" s="41">
        <f t="shared" si="311"/>
        <v>0</v>
      </c>
      <c r="X1424" s="313">
        <f>IF(W1424=0,0,VLOOKUP(P134,ENTI!$AD$1025:$AH$1038,5,FALSE))</f>
        <v>0</v>
      </c>
      <c r="Y1424" s="313">
        <f t="shared" si="312"/>
        <v>0</v>
      </c>
      <c r="Z1424" s="314">
        <f t="shared" si="313"/>
        <v>0</v>
      </c>
      <c r="AA1424" s="1"/>
      <c r="AB1424" s="313">
        <f t="shared" si="314"/>
        <v>0</v>
      </c>
      <c r="AC1424" s="313">
        <f t="shared" si="315"/>
        <v>0</v>
      </c>
      <c r="AD1424" s="1"/>
      <c r="AE1424" s="1226">
        <f t="shared" si="310"/>
        <v>0</v>
      </c>
      <c r="AF1424" s="1227"/>
      <c r="AG1424" s="1228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</row>
    <row r="1425" spans="1:93" ht="16.5" hidden="1" customHeight="1">
      <c r="A1425" s="1"/>
      <c r="B1425" s="1"/>
      <c r="C1425" s="59" t="s">
        <v>18</v>
      </c>
      <c r="D1425" s="1"/>
      <c r="E1425" s="60">
        <f ca="1">IF($B$52&lt;0,$B$52*$E48*-1,$B$52*$E48)</f>
        <v>200.3125</v>
      </c>
      <c r="F1425" s="61">
        <f t="shared" ref="F1425:Q1429" ca="1" si="317">IF(F$1423=0,0,IF(F$6-$B$52&gt;0,IF(F$6-$B$52&gt;$E1425,$E1425,F$6-$B$52),0))</f>
        <v>200.3125</v>
      </c>
      <c r="G1425" s="62">
        <f t="shared" ca="1" si="317"/>
        <v>200.3125</v>
      </c>
      <c r="H1425" s="62">
        <f t="shared" ca="1" si="317"/>
        <v>82.916666666666686</v>
      </c>
      <c r="I1425" s="62">
        <f t="shared" ca="1" si="317"/>
        <v>32.916666666666686</v>
      </c>
      <c r="J1425" s="62">
        <f t="shared" ca="1" si="317"/>
        <v>0</v>
      </c>
      <c r="K1425" s="62">
        <f t="shared" ca="1" si="317"/>
        <v>0</v>
      </c>
      <c r="L1425" s="62">
        <f t="shared" ca="1" si="317"/>
        <v>0</v>
      </c>
      <c r="M1425" s="62">
        <f t="shared" ca="1" si="317"/>
        <v>0</v>
      </c>
      <c r="N1425" s="62">
        <f t="shared" ca="1" si="317"/>
        <v>0</v>
      </c>
      <c r="O1425" s="62">
        <f t="shared" ca="1" si="317"/>
        <v>0</v>
      </c>
      <c r="P1425" s="62">
        <f t="shared" ca="1" si="317"/>
        <v>32.916666666666686</v>
      </c>
      <c r="Q1425" s="63">
        <f t="shared" ca="1" si="317"/>
        <v>32.916666666666686</v>
      </c>
      <c r="R1425" s="1"/>
      <c r="S1425" s="1"/>
      <c r="T1425" s="1"/>
      <c r="U1425" s="931">
        <f>IF(AND(W1425&gt;=$U$1,W1425&lt;=$U$2),IF(X1425='ESTRATTO CONTO'!$E$2,1+COUNTIF(U$1379:U1424,"&gt;0"),IF(AC1425='ESTRATTO CONTO'!$E$2,1+COUNTIF(U$1379:U1424,"&gt;0"),0)),0)</f>
        <v>0</v>
      </c>
      <c r="V1425" s="27">
        <v>47</v>
      </c>
      <c r="W1425" s="41">
        <f t="shared" si="311"/>
        <v>0</v>
      </c>
      <c r="X1425" s="313">
        <f>IF(W1425=0,0,VLOOKUP(P135,ENTI!$AD$1025:$AH$1038,5,FALSE))</f>
        <v>0</v>
      </c>
      <c r="Y1425" s="313">
        <f t="shared" si="312"/>
        <v>0</v>
      </c>
      <c r="Z1425" s="314">
        <f t="shared" si="313"/>
        <v>0</v>
      </c>
      <c r="AA1425" s="1"/>
      <c r="AB1425" s="313">
        <f t="shared" si="314"/>
        <v>0</v>
      </c>
      <c r="AC1425" s="313">
        <f t="shared" si="315"/>
        <v>0</v>
      </c>
      <c r="AD1425" s="1"/>
      <c r="AE1425" s="1226">
        <f t="shared" si="310"/>
        <v>0</v>
      </c>
      <c r="AF1425" s="1227"/>
      <c r="AG1425" s="1228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</row>
    <row r="1426" spans="1:93" ht="16.5" hidden="1" customHeight="1">
      <c r="A1426" s="1"/>
      <c r="B1426" s="1"/>
      <c r="C1426" s="64"/>
      <c r="D1426" s="64"/>
      <c r="E1426" s="65">
        <f ca="1">IF($B$52&lt;0,$B$52*$E49*-1,$B$52*$E49)</f>
        <v>133.54166666666666</v>
      </c>
      <c r="F1426" s="66">
        <f t="shared" ca="1" si="317"/>
        <v>133.54166666666666</v>
      </c>
      <c r="G1426" s="67">
        <f t="shared" ca="1" si="317"/>
        <v>133.54166666666666</v>
      </c>
      <c r="H1426" s="67">
        <f t="shared" ca="1" si="317"/>
        <v>82.916666666666686</v>
      </c>
      <c r="I1426" s="67">
        <f t="shared" ca="1" si="317"/>
        <v>32.916666666666686</v>
      </c>
      <c r="J1426" s="67">
        <f t="shared" ca="1" si="317"/>
        <v>0</v>
      </c>
      <c r="K1426" s="67">
        <f t="shared" ca="1" si="317"/>
        <v>0</v>
      </c>
      <c r="L1426" s="67">
        <f t="shared" ca="1" si="317"/>
        <v>0</v>
      </c>
      <c r="M1426" s="67">
        <f t="shared" ca="1" si="317"/>
        <v>0</v>
      </c>
      <c r="N1426" s="67">
        <f t="shared" ca="1" si="317"/>
        <v>0</v>
      </c>
      <c r="O1426" s="67">
        <f t="shared" ca="1" si="317"/>
        <v>0</v>
      </c>
      <c r="P1426" s="67">
        <f t="shared" ca="1" si="317"/>
        <v>32.916666666666686</v>
      </c>
      <c r="Q1426" s="68">
        <f t="shared" ca="1" si="317"/>
        <v>32.916666666666686</v>
      </c>
      <c r="R1426" s="1"/>
      <c r="S1426" s="1"/>
      <c r="T1426" s="1"/>
      <c r="U1426" s="931">
        <f>IF(AND(W1426&gt;=$U$1,W1426&lt;=$U$2),IF(X1426='ESTRATTO CONTO'!$E$2,1+COUNTIF(U$1379:U1425,"&gt;0"),IF(AC1426='ESTRATTO CONTO'!$E$2,1+COUNTIF(U$1379:U1425,"&gt;0"),0)),0)</f>
        <v>0</v>
      </c>
      <c r="V1426" s="27">
        <v>48</v>
      </c>
      <c r="W1426" s="41">
        <f t="shared" si="311"/>
        <v>0</v>
      </c>
      <c r="X1426" s="313">
        <f>IF(W1426=0,0,VLOOKUP(P136,ENTI!$AD$1025:$AH$1038,5,FALSE))</f>
        <v>0</v>
      </c>
      <c r="Y1426" s="313">
        <f t="shared" si="312"/>
        <v>0</v>
      </c>
      <c r="Z1426" s="314">
        <f t="shared" si="313"/>
        <v>0</v>
      </c>
      <c r="AA1426" s="1"/>
      <c r="AB1426" s="313">
        <f t="shared" si="314"/>
        <v>0</v>
      </c>
      <c r="AC1426" s="313">
        <f t="shared" si="315"/>
        <v>0</v>
      </c>
      <c r="AD1426" s="1"/>
      <c r="AE1426" s="1226">
        <f t="shared" si="310"/>
        <v>0</v>
      </c>
      <c r="AF1426" s="1227"/>
      <c r="AG1426" s="1228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</row>
    <row r="1427" spans="1:93" ht="16.5" hidden="1" customHeight="1">
      <c r="A1427" s="1"/>
      <c r="B1427" s="1218" t="s">
        <v>504</v>
      </c>
      <c r="C1427" s="1218"/>
      <c r="D1427" s="69"/>
      <c r="E1427" s="65">
        <f ca="1">IF($B$52&lt;0,$B$52*$E50*-1,$B$52*$E50)</f>
        <v>66.770833333333329</v>
      </c>
      <c r="F1427" s="66">
        <f t="shared" ca="1" si="317"/>
        <v>66.770833333333329</v>
      </c>
      <c r="G1427" s="67">
        <f t="shared" ca="1" si="317"/>
        <v>66.770833333333329</v>
      </c>
      <c r="H1427" s="67">
        <f t="shared" ca="1" si="317"/>
        <v>66.770833333333329</v>
      </c>
      <c r="I1427" s="67">
        <f t="shared" ca="1" si="317"/>
        <v>32.916666666666686</v>
      </c>
      <c r="J1427" s="67">
        <f t="shared" ca="1" si="317"/>
        <v>0</v>
      </c>
      <c r="K1427" s="67">
        <f t="shared" ca="1" si="317"/>
        <v>0</v>
      </c>
      <c r="L1427" s="67">
        <f t="shared" ca="1" si="317"/>
        <v>0</v>
      </c>
      <c r="M1427" s="67">
        <f t="shared" ca="1" si="317"/>
        <v>0</v>
      </c>
      <c r="N1427" s="67">
        <f t="shared" ca="1" si="317"/>
        <v>0</v>
      </c>
      <c r="O1427" s="67">
        <f t="shared" ca="1" si="317"/>
        <v>0</v>
      </c>
      <c r="P1427" s="67">
        <f t="shared" ca="1" si="317"/>
        <v>32.916666666666686</v>
      </c>
      <c r="Q1427" s="68">
        <f t="shared" ca="1" si="317"/>
        <v>32.916666666666686</v>
      </c>
      <c r="R1427" s="1"/>
      <c r="S1427" s="1"/>
      <c r="T1427" s="1"/>
      <c r="U1427" s="931">
        <f>IF(AND(W1427&gt;=$U$1,W1427&lt;=$U$2),IF(X1427='ESTRATTO CONTO'!$E$2,1+COUNTIF(U$1379:U1426,"&gt;0"),IF(AC1427='ESTRATTO CONTO'!$E$2,1+COUNTIF(U$1379:U1426,"&gt;0"),0)),0)</f>
        <v>0</v>
      </c>
      <c r="V1427" s="27">
        <v>49</v>
      </c>
      <c r="W1427" s="41">
        <f t="shared" si="311"/>
        <v>0</v>
      </c>
      <c r="X1427" s="313">
        <f>IF(W1427=0,0,VLOOKUP(P137,ENTI!$AD$1025:$AH$1038,5,FALSE))</f>
        <v>0</v>
      </c>
      <c r="Y1427" s="313">
        <f t="shared" si="312"/>
        <v>0</v>
      </c>
      <c r="Z1427" s="314">
        <f t="shared" si="313"/>
        <v>0</v>
      </c>
      <c r="AA1427" s="1"/>
      <c r="AB1427" s="313">
        <f t="shared" si="314"/>
        <v>0</v>
      </c>
      <c r="AC1427" s="313">
        <f t="shared" si="315"/>
        <v>0</v>
      </c>
      <c r="AD1427" s="1"/>
      <c r="AE1427" s="1226">
        <f t="shared" si="310"/>
        <v>0</v>
      </c>
      <c r="AF1427" s="1227"/>
      <c r="AG1427" s="1228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</row>
    <row r="1428" spans="1:93" ht="16.5" hidden="1" customHeight="1">
      <c r="A1428" s="1"/>
      <c r="B1428" s="70"/>
      <c r="C1428" s="891">
        <f>IF(C1423=12,IF(CEILING(C1434/30,1)&gt;12,12,CEILING(C1434/30,1)),C1423)</f>
        <v>12</v>
      </c>
      <c r="D1428" s="1"/>
      <c r="E1428" s="65">
        <f ca="1">IF($B$52&lt;0,$B$52*$E51*-1,$B$52*$E51)</f>
        <v>26.708333333333332</v>
      </c>
      <c r="F1428" s="66">
        <f t="shared" ca="1" si="317"/>
        <v>26.708333333333332</v>
      </c>
      <c r="G1428" s="67">
        <f t="shared" ca="1" si="317"/>
        <v>26.708333333333332</v>
      </c>
      <c r="H1428" s="67">
        <f t="shared" ca="1" si="317"/>
        <v>26.708333333333332</v>
      </c>
      <c r="I1428" s="67">
        <f t="shared" ca="1" si="317"/>
        <v>26.708333333333332</v>
      </c>
      <c r="J1428" s="67">
        <f t="shared" ca="1" si="317"/>
        <v>0</v>
      </c>
      <c r="K1428" s="67">
        <f t="shared" ca="1" si="317"/>
        <v>0</v>
      </c>
      <c r="L1428" s="67">
        <f t="shared" ca="1" si="317"/>
        <v>0</v>
      </c>
      <c r="M1428" s="67">
        <f t="shared" ca="1" si="317"/>
        <v>0</v>
      </c>
      <c r="N1428" s="67">
        <f t="shared" ca="1" si="317"/>
        <v>0</v>
      </c>
      <c r="O1428" s="67">
        <f t="shared" ca="1" si="317"/>
        <v>0</v>
      </c>
      <c r="P1428" s="67">
        <f t="shared" ca="1" si="317"/>
        <v>26.708333333333332</v>
      </c>
      <c r="Q1428" s="68">
        <f t="shared" ca="1" si="317"/>
        <v>26.708333333333332</v>
      </c>
      <c r="R1428" s="1"/>
      <c r="S1428" s="1"/>
      <c r="T1428" s="1"/>
      <c r="U1428" s="931">
        <f>IF(AND(W1428&gt;=$U$1,W1428&lt;=$U$2),IF(X1428='ESTRATTO CONTO'!$E$2,1+COUNTIF(U$1379:U1427,"&gt;0"),IF(AC1428='ESTRATTO CONTO'!$E$2,1+COUNTIF(U$1379:U1427,"&gt;0"),0)),0)</f>
        <v>0</v>
      </c>
      <c r="V1428" s="27">
        <v>50</v>
      </c>
      <c r="W1428" s="41">
        <f t="shared" si="311"/>
        <v>0</v>
      </c>
      <c r="X1428" s="313">
        <f>IF(W1428=0,0,VLOOKUP(P138,ENTI!$AD$1025:$AH$1038,5,FALSE))</f>
        <v>0</v>
      </c>
      <c r="Y1428" s="313">
        <f t="shared" si="312"/>
        <v>0</v>
      </c>
      <c r="Z1428" s="314">
        <f t="shared" si="313"/>
        <v>0</v>
      </c>
      <c r="AA1428" s="1"/>
      <c r="AB1428" s="313">
        <f t="shared" si="314"/>
        <v>0</v>
      </c>
      <c r="AC1428" s="313">
        <f t="shared" si="315"/>
        <v>0</v>
      </c>
      <c r="AD1428" s="1"/>
      <c r="AE1428" s="1226">
        <f t="shared" si="310"/>
        <v>0</v>
      </c>
      <c r="AF1428" s="1227"/>
      <c r="AG1428" s="1228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</row>
    <row r="1429" spans="1:93" ht="16.5" hidden="1" customHeight="1">
      <c r="A1429" s="1"/>
      <c r="B1429" s="1"/>
      <c r="C1429" s="71" t="s">
        <v>33</v>
      </c>
      <c r="D1429" s="1"/>
      <c r="E1429" s="72">
        <f ca="1">IF($B$52&lt;0,$B$52*$E52*-1,$B$52*$E52)</f>
        <v>13.354166666666666</v>
      </c>
      <c r="F1429" s="73">
        <f t="shared" ca="1" si="317"/>
        <v>13.354166666666666</v>
      </c>
      <c r="G1429" s="74">
        <f t="shared" ca="1" si="317"/>
        <v>13.354166666666666</v>
      </c>
      <c r="H1429" s="74">
        <f t="shared" ca="1" si="317"/>
        <v>13.354166666666666</v>
      </c>
      <c r="I1429" s="74">
        <f t="shared" ca="1" si="317"/>
        <v>13.354166666666666</v>
      </c>
      <c r="J1429" s="74">
        <f t="shared" ca="1" si="317"/>
        <v>0</v>
      </c>
      <c r="K1429" s="74">
        <f t="shared" ca="1" si="317"/>
        <v>0</v>
      </c>
      <c r="L1429" s="74">
        <f t="shared" ca="1" si="317"/>
        <v>0</v>
      </c>
      <c r="M1429" s="74">
        <f t="shared" ca="1" si="317"/>
        <v>0</v>
      </c>
      <c r="N1429" s="74">
        <f t="shared" ca="1" si="317"/>
        <v>0</v>
      </c>
      <c r="O1429" s="74">
        <f t="shared" ca="1" si="317"/>
        <v>0</v>
      </c>
      <c r="P1429" s="74">
        <f t="shared" ca="1" si="317"/>
        <v>13.354166666666666</v>
      </c>
      <c r="Q1429" s="75">
        <f t="shared" ca="1" si="317"/>
        <v>13.354166666666666</v>
      </c>
      <c r="R1429" s="1"/>
      <c r="S1429" s="1"/>
      <c r="T1429" s="1"/>
      <c r="U1429" s="931">
        <f>IF(AND(W1429&gt;=$U$1,W1429&lt;=$U$2),IF(X1429='ESTRATTO CONTO'!$E$2,1+COUNTIF(U$1379:U1428,"&gt;0"),IF(AC1429='ESTRATTO CONTO'!$E$2,1+COUNTIF(U$1379:U1428,"&gt;0"),0)),0)</f>
        <v>0</v>
      </c>
      <c r="V1429" s="27">
        <v>51</v>
      </c>
      <c r="W1429" s="41">
        <f t="shared" si="311"/>
        <v>0</v>
      </c>
      <c r="X1429" s="313">
        <f>IF(W1429=0,0,VLOOKUP(P139,ENTI!$AD$1025:$AH$1038,5,FALSE))</f>
        <v>0</v>
      </c>
      <c r="Y1429" s="313">
        <f t="shared" si="312"/>
        <v>0</v>
      </c>
      <c r="Z1429" s="314">
        <f t="shared" si="313"/>
        <v>0</v>
      </c>
      <c r="AA1429" s="1"/>
      <c r="AB1429" s="313">
        <f t="shared" si="314"/>
        <v>0</v>
      </c>
      <c r="AC1429" s="313">
        <f t="shared" si="315"/>
        <v>0</v>
      </c>
      <c r="AD1429" s="1"/>
      <c r="AE1429" s="1226">
        <f t="shared" si="310"/>
        <v>0</v>
      </c>
      <c r="AF1429" s="1227"/>
      <c r="AG1429" s="1228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</row>
    <row r="1430" spans="1:93" ht="16.5" hidden="1" customHeight="1">
      <c r="A1430" s="1"/>
      <c r="B1430" s="1"/>
      <c r="C1430" s="71" t="s">
        <v>72</v>
      </c>
      <c r="D1430" s="1"/>
      <c r="E1430" s="45" t="s">
        <v>17</v>
      </c>
      <c r="F1430" s="76">
        <f t="shared" ref="F1430:Q1430" ca="1" si="318">F$6-$B$52</f>
        <v>237.91666666666669</v>
      </c>
      <c r="G1430" s="77">
        <f t="shared" ca="1" si="318"/>
        <v>232.91666666666669</v>
      </c>
      <c r="H1430" s="77">
        <f t="shared" ca="1" si="318"/>
        <v>82.916666666666686</v>
      </c>
      <c r="I1430" s="77">
        <f t="shared" ca="1" si="318"/>
        <v>32.916666666666686</v>
      </c>
      <c r="J1430" s="77">
        <f t="shared" ca="1" si="318"/>
        <v>-17.083333333333314</v>
      </c>
      <c r="K1430" s="77">
        <f t="shared" ca="1" si="318"/>
        <v>-167.08333333333331</v>
      </c>
      <c r="L1430" s="77">
        <f t="shared" ca="1" si="318"/>
        <v>-117.08333333333331</v>
      </c>
      <c r="M1430" s="77">
        <f t="shared" ca="1" si="318"/>
        <v>-167.08333333333331</v>
      </c>
      <c r="N1430" s="77">
        <f t="shared" ca="1" si="318"/>
        <v>-117.08333333333331</v>
      </c>
      <c r="O1430" s="77">
        <f t="shared" ca="1" si="318"/>
        <v>-67.083333333333314</v>
      </c>
      <c r="P1430" s="77">
        <f t="shared" ca="1" si="318"/>
        <v>32.916666666666686</v>
      </c>
      <c r="Q1430" s="78">
        <f t="shared" ca="1" si="318"/>
        <v>32.916666666666686</v>
      </c>
      <c r="R1430" s="1"/>
      <c r="S1430" s="1"/>
      <c r="T1430" s="1"/>
      <c r="U1430" s="931">
        <f>IF(AND(W1430&gt;=$U$1,W1430&lt;=$U$2),IF(X1430='ESTRATTO CONTO'!$E$2,1+COUNTIF(U$1379:U1429,"&gt;0"),IF(AC1430='ESTRATTO CONTO'!$E$2,1+COUNTIF(U$1379:U1429,"&gt;0"),0)),0)</f>
        <v>0</v>
      </c>
      <c r="V1430" s="27">
        <v>52</v>
      </c>
      <c r="W1430" s="41">
        <f t="shared" si="311"/>
        <v>0</v>
      </c>
      <c r="X1430" s="313">
        <f>IF(W1430=0,0,VLOOKUP(P140,ENTI!$AD$1025:$AH$1038,5,FALSE))</f>
        <v>0</v>
      </c>
      <c r="Y1430" s="313">
        <f t="shared" si="312"/>
        <v>0</v>
      </c>
      <c r="Z1430" s="314">
        <f t="shared" si="313"/>
        <v>0</v>
      </c>
      <c r="AA1430" s="1"/>
      <c r="AB1430" s="313">
        <f t="shared" si="314"/>
        <v>0</v>
      </c>
      <c r="AC1430" s="313">
        <f t="shared" si="315"/>
        <v>0</v>
      </c>
      <c r="AD1430" s="1"/>
      <c r="AE1430" s="1226">
        <f t="shared" si="310"/>
        <v>0</v>
      </c>
      <c r="AF1430" s="1227"/>
      <c r="AG1430" s="1228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</row>
    <row r="1431" spans="1:93" ht="16.5" hidden="1" customHeight="1">
      <c r="A1431" s="1"/>
      <c r="B1431" s="1"/>
      <c r="C1431" s="1"/>
      <c r="D1431" s="1"/>
      <c r="E1431" s="79">
        <f ca="1">E1429*-1</f>
        <v>-13.354166666666666</v>
      </c>
      <c r="F1431" s="61">
        <f t="shared" ref="F1431:Q1431" ca="1" si="319">IF(F$1423=0,0,IF(F1439&gt;0,IF(F$6-$B$52&lt;0,IF(F$6-$B$52&lt;$E1431,$E1431,F$6-$B$52),0),0))</f>
        <v>0</v>
      </c>
      <c r="G1431" s="62">
        <f t="shared" ca="1" si="319"/>
        <v>0</v>
      </c>
      <c r="H1431" s="62">
        <f t="shared" ca="1" si="319"/>
        <v>0</v>
      </c>
      <c r="I1431" s="62">
        <f t="shared" ca="1" si="319"/>
        <v>0</v>
      </c>
      <c r="J1431" s="62">
        <f t="shared" ca="1" si="319"/>
        <v>-13.354166666666666</v>
      </c>
      <c r="K1431" s="62">
        <f t="shared" ca="1" si="319"/>
        <v>-13.354166666666666</v>
      </c>
      <c r="L1431" s="62">
        <f t="shared" ca="1" si="319"/>
        <v>-13.354166666666666</v>
      </c>
      <c r="M1431" s="62">
        <f t="shared" ca="1" si="319"/>
        <v>-13.354166666666666</v>
      </c>
      <c r="N1431" s="62">
        <f t="shared" ca="1" si="319"/>
        <v>-13.354166666666666</v>
      </c>
      <c r="O1431" s="62">
        <f t="shared" ca="1" si="319"/>
        <v>-13.354166666666666</v>
      </c>
      <c r="P1431" s="62">
        <f t="shared" ca="1" si="319"/>
        <v>0</v>
      </c>
      <c r="Q1431" s="63">
        <f t="shared" ca="1" si="319"/>
        <v>0</v>
      </c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</row>
    <row r="1432" spans="1:93" ht="16.5" hidden="1" customHeight="1">
      <c r="A1432" s="1"/>
      <c r="B1432" s="1"/>
      <c r="C1432" s="1"/>
      <c r="D1432" s="1"/>
      <c r="E1432" s="80">
        <f ca="1">E1428*-1</f>
        <v>-26.708333333333332</v>
      </c>
      <c r="F1432" s="66">
        <f t="shared" ref="F1432:Q1432" ca="1" si="320">IF(F$1423=0,0,IF(F1439&gt;0,IF(F$6-$B$52&lt;0,IF(F$6-$B$52&lt;$E1432,$E1432,F$6-$B$52),0),0))</f>
        <v>0</v>
      </c>
      <c r="G1432" s="67">
        <f t="shared" ca="1" si="320"/>
        <v>0</v>
      </c>
      <c r="H1432" s="67">
        <f t="shared" ca="1" si="320"/>
        <v>0</v>
      </c>
      <c r="I1432" s="67">
        <f t="shared" ca="1" si="320"/>
        <v>0</v>
      </c>
      <c r="J1432" s="67">
        <f t="shared" ca="1" si="320"/>
        <v>-17.083333333333314</v>
      </c>
      <c r="K1432" s="67">
        <f t="shared" ca="1" si="320"/>
        <v>-26.708333333333332</v>
      </c>
      <c r="L1432" s="67">
        <f t="shared" ca="1" si="320"/>
        <v>-26.708333333333332</v>
      </c>
      <c r="M1432" s="67">
        <f t="shared" ca="1" si="320"/>
        <v>-26.708333333333332</v>
      </c>
      <c r="N1432" s="67">
        <f t="shared" ca="1" si="320"/>
        <v>-26.708333333333332</v>
      </c>
      <c r="O1432" s="67">
        <f t="shared" ca="1" si="320"/>
        <v>-26.708333333333332</v>
      </c>
      <c r="P1432" s="67">
        <f t="shared" ca="1" si="320"/>
        <v>0</v>
      </c>
      <c r="Q1432" s="68">
        <f t="shared" ca="1" si="320"/>
        <v>0</v>
      </c>
      <c r="R1432" s="1"/>
      <c r="S1432" s="1"/>
      <c r="T1432" s="1"/>
      <c r="U1432" s="931">
        <f>COUNTIF(U1379:U1430,"&gt;0")</f>
        <v>3</v>
      </c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</row>
    <row r="1433" spans="1:93" ht="16.5" hidden="1" customHeight="1">
      <c r="A1433" s="1"/>
      <c r="B1433" s="1"/>
      <c r="C1433" s="71" t="s">
        <v>510</v>
      </c>
      <c r="D1433" s="1"/>
      <c r="E1433" s="80">
        <f ca="1">E1427*-1</f>
        <v>-66.770833333333329</v>
      </c>
      <c r="F1433" s="66">
        <f t="shared" ref="F1433:Q1433" ca="1" si="321">IF(F$1423=0,0,IF(F1439&gt;0,IF(F$6-$B$52&lt;0,IF(F$6-$B$52&lt;$E1433,$E1433,F$6-$B$52),0),0))</f>
        <v>0</v>
      </c>
      <c r="G1433" s="67">
        <f t="shared" ca="1" si="321"/>
        <v>0</v>
      </c>
      <c r="H1433" s="67">
        <f t="shared" ca="1" si="321"/>
        <v>0</v>
      </c>
      <c r="I1433" s="67">
        <f t="shared" ca="1" si="321"/>
        <v>0</v>
      </c>
      <c r="J1433" s="67">
        <f t="shared" ca="1" si="321"/>
        <v>-17.083333333333314</v>
      </c>
      <c r="K1433" s="67">
        <f t="shared" ca="1" si="321"/>
        <v>-66.770833333333329</v>
      </c>
      <c r="L1433" s="67">
        <f t="shared" ca="1" si="321"/>
        <v>-66.770833333333329</v>
      </c>
      <c r="M1433" s="67">
        <f t="shared" ca="1" si="321"/>
        <v>-66.770833333333329</v>
      </c>
      <c r="N1433" s="67">
        <f t="shared" ca="1" si="321"/>
        <v>-66.770833333333329</v>
      </c>
      <c r="O1433" s="67">
        <f t="shared" ca="1" si="321"/>
        <v>-66.770833333333329</v>
      </c>
      <c r="P1433" s="67">
        <f t="shared" ca="1" si="321"/>
        <v>0</v>
      </c>
      <c r="Q1433" s="68">
        <f t="shared" ca="1" si="321"/>
        <v>0</v>
      </c>
      <c r="R1433" s="1"/>
      <c r="S1433" s="1"/>
      <c r="T1433" s="1"/>
      <c r="U1433" s="931">
        <f>COUNTIF(C89:C140,"&gt;0")</f>
        <v>0</v>
      </c>
      <c r="V1433" s="1"/>
      <c r="W1433" s="874">
        <f>Presentazione!$B$210</f>
        <v>45292</v>
      </c>
      <c r="X1433" s="292" t="s">
        <v>164</v>
      </c>
      <c r="Y1433" s="903" t="s">
        <v>511</v>
      </c>
      <c r="Z1433" s="908">
        <f>ENTI!Z1015</f>
        <v>45657</v>
      </c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</row>
    <row r="1434" spans="1:93" ht="16.5" hidden="1" customHeight="1">
      <c r="A1434" s="1"/>
      <c r="B1434" s="1"/>
      <c r="C1434" s="891">
        <f>Z1433-Z1434</f>
        <v>365</v>
      </c>
      <c r="D1434" s="1"/>
      <c r="E1434" s="80">
        <f ca="1">E1426*-1</f>
        <v>-133.54166666666666</v>
      </c>
      <c r="F1434" s="66">
        <f t="shared" ref="F1434:Q1434" ca="1" si="322">IF(F$1423=0,0,IF(F1439&gt;0,IF(F$6-$B$52&lt;0,IF(F$6-$B$52&lt;$E1434,$E1434,F$6-$B$52),0),0))</f>
        <v>0</v>
      </c>
      <c r="G1434" s="67">
        <f t="shared" ca="1" si="322"/>
        <v>0</v>
      </c>
      <c r="H1434" s="67">
        <f t="shared" ca="1" si="322"/>
        <v>0</v>
      </c>
      <c r="I1434" s="67">
        <f t="shared" ca="1" si="322"/>
        <v>0</v>
      </c>
      <c r="J1434" s="67">
        <f t="shared" ca="1" si="322"/>
        <v>-17.083333333333314</v>
      </c>
      <c r="K1434" s="67">
        <f t="shared" ca="1" si="322"/>
        <v>-133.54166666666666</v>
      </c>
      <c r="L1434" s="67">
        <f t="shared" ca="1" si="322"/>
        <v>-117.08333333333331</v>
      </c>
      <c r="M1434" s="67">
        <f t="shared" ca="1" si="322"/>
        <v>-133.54166666666666</v>
      </c>
      <c r="N1434" s="67">
        <f t="shared" ca="1" si="322"/>
        <v>-117.08333333333331</v>
      </c>
      <c r="O1434" s="67">
        <f t="shared" ca="1" si="322"/>
        <v>-67.083333333333314</v>
      </c>
      <c r="P1434" s="67">
        <f t="shared" ca="1" si="322"/>
        <v>0</v>
      </c>
      <c r="Q1434" s="68">
        <f t="shared" ca="1" si="322"/>
        <v>0</v>
      </c>
      <c r="R1434" s="1"/>
      <c r="S1434" s="1"/>
      <c r="T1434" s="1"/>
      <c r="U1434" s="1"/>
      <c r="V1434" s="1"/>
      <c r="W1434" s="875">
        <f>Presentazione!$N$210</f>
        <v>45657</v>
      </c>
      <c r="X1434" s="293" t="s">
        <v>488</v>
      </c>
      <c r="Y1434" s="904" t="s">
        <v>512</v>
      </c>
      <c r="Z1434" s="909">
        <f>ENTI!Z1016</f>
        <v>45292</v>
      </c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</row>
    <row r="1435" spans="1:93" ht="16.5" hidden="1" customHeight="1">
      <c r="A1435" s="1"/>
      <c r="B1435" s="1"/>
      <c r="C1435" s="1"/>
      <c r="D1435" s="1"/>
      <c r="E1435" s="81">
        <f ca="1">E1425*-1</f>
        <v>-200.3125</v>
      </c>
      <c r="F1435" s="73">
        <f t="shared" ref="F1435:Q1435" ca="1" si="323">IF(F$1423=0,0,IF(F1439&gt;0,IF(F$6-$B$52&lt;0,IF(F$6-$B$52&lt;$E1435,$E1435,F$6-$B$52),0),0))</f>
        <v>0</v>
      </c>
      <c r="G1435" s="74">
        <f t="shared" ca="1" si="323"/>
        <v>0</v>
      </c>
      <c r="H1435" s="74">
        <f t="shared" ca="1" si="323"/>
        <v>0</v>
      </c>
      <c r="I1435" s="74">
        <f t="shared" ca="1" si="323"/>
        <v>0</v>
      </c>
      <c r="J1435" s="74">
        <f t="shared" ca="1" si="323"/>
        <v>-17.083333333333314</v>
      </c>
      <c r="K1435" s="74">
        <f t="shared" ca="1" si="323"/>
        <v>-167.08333333333331</v>
      </c>
      <c r="L1435" s="74">
        <f t="shared" ca="1" si="323"/>
        <v>-117.08333333333331</v>
      </c>
      <c r="M1435" s="74">
        <f t="shared" ca="1" si="323"/>
        <v>-167.08333333333331</v>
      </c>
      <c r="N1435" s="74">
        <f t="shared" ca="1" si="323"/>
        <v>-117.08333333333331</v>
      </c>
      <c r="O1435" s="74">
        <f t="shared" ca="1" si="323"/>
        <v>-67.083333333333314</v>
      </c>
      <c r="P1435" s="74">
        <f t="shared" ca="1" si="323"/>
        <v>0</v>
      </c>
      <c r="Q1435" s="75">
        <f t="shared" ca="1" si="323"/>
        <v>0</v>
      </c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</row>
    <row r="1436" spans="1:93" ht="16.5" hidden="1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417">
        <f>COUNTIF(W4:W1003,"&gt;0")</f>
        <v>30</v>
      </c>
      <c r="X1436" s="332" t="s">
        <v>323</v>
      </c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</row>
    <row r="1437" spans="1:93" ht="16.5" hidden="1" customHeight="1">
      <c r="A1437" s="1"/>
      <c r="B1437" s="1"/>
      <c r="C1437" s="1"/>
      <c r="D1437" s="1"/>
      <c r="E1437" s="1"/>
      <c r="F1437" s="889">
        <f>Presentazione!B207</f>
        <v>1</v>
      </c>
      <c r="G1437" s="889">
        <f>Presentazione!C207</f>
        <v>2</v>
      </c>
      <c r="H1437" s="889">
        <f>Presentazione!D207</f>
        <v>3</v>
      </c>
      <c r="I1437" s="889">
        <f>Presentazione!E207</f>
        <v>4</v>
      </c>
      <c r="J1437" s="889">
        <f>Presentazione!F207</f>
        <v>5</v>
      </c>
      <c r="K1437" s="889">
        <f>Presentazione!G207</f>
        <v>6</v>
      </c>
      <c r="L1437" s="889">
        <f>Presentazione!H207</f>
        <v>7</v>
      </c>
      <c r="M1437" s="889">
        <f>Presentazione!I207</f>
        <v>8</v>
      </c>
      <c r="N1437" s="889">
        <f>Presentazione!J207</f>
        <v>9</v>
      </c>
      <c r="O1437" s="889">
        <f>Presentazione!K207</f>
        <v>10</v>
      </c>
      <c r="P1437" s="889">
        <f>Presentazione!L207</f>
        <v>11</v>
      </c>
      <c r="Q1437" s="889">
        <f>Presentazione!M207</f>
        <v>12</v>
      </c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</row>
    <row r="1438" spans="1:93" ht="16.5" hidden="1" customHeight="1">
      <c r="A1438" s="1"/>
      <c r="B1438" s="1"/>
      <c r="C1438" s="1"/>
      <c r="D1438" s="1"/>
      <c r="E1438" s="1"/>
      <c r="F1438" s="892">
        <f>IF(F1423=1,1,0)</f>
        <v>1</v>
      </c>
      <c r="G1438" s="892">
        <f t="shared" ref="G1438:Q1438" si="324">IF(G1423=1,1,0)</f>
        <v>1</v>
      </c>
      <c r="H1438" s="892">
        <f t="shared" si="324"/>
        <v>1</v>
      </c>
      <c r="I1438" s="892">
        <f t="shared" si="324"/>
        <v>1</v>
      </c>
      <c r="J1438" s="892">
        <f t="shared" si="324"/>
        <v>1</v>
      </c>
      <c r="K1438" s="892">
        <f t="shared" si="324"/>
        <v>1</v>
      </c>
      <c r="L1438" s="892">
        <f t="shared" si="324"/>
        <v>1</v>
      </c>
      <c r="M1438" s="892">
        <f t="shared" si="324"/>
        <v>1</v>
      </c>
      <c r="N1438" s="892">
        <f t="shared" si="324"/>
        <v>1</v>
      </c>
      <c r="O1438" s="892">
        <f t="shared" si="324"/>
        <v>1</v>
      </c>
      <c r="P1438" s="892">
        <f t="shared" si="324"/>
        <v>1</v>
      </c>
      <c r="Q1438" s="892">
        <f t="shared" si="324"/>
        <v>1</v>
      </c>
      <c r="R1438" s="1"/>
      <c r="S1438" s="652" t="s">
        <v>366</v>
      </c>
      <c r="T1438" s="1"/>
      <c r="U1438" s="1"/>
      <c r="V1438" s="888">
        <f>MONTH(W1438)</f>
        <v>1</v>
      </c>
      <c r="W1438" s="874">
        <f>VLOOKUP(P4,N1417:P1421,3,FALSE)</f>
        <v>45292</v>
      </c>
      <c r="X1438" s="292" t="s">
        <v>164</v>
      </c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</row>
    <row r="1439" spans="1:93" ht="16.5" hidden="1" customHeight="1">
      <c r="A1439" s="1"/>
      <c r="B1439" s="1"/>
      <c r="C1439" s="1"/>
      <c r="D1439" s="1"/>
      <c r="E1439" s="1"/>
      <c r="F1439" s="889">
        <f>IF(F1423=0,0,F1441)</f>
        <v>1</v>
      </c>
      <c r="G1439" s="889">
        <f t="shared" ref="G1439:Q1439" si="325">IF(G1423=0,0,G1441)</f>
        <v>2</v>
      </c>
      <c r="H1439" s="889">
        <f t="shared" si="325"/>
        <v>3</v>
      </c>
      <c r="I1439" s="889">
        <f t="shared" si="325"/>
        <v>4</v>
      </c>
      <c r="J1439" s="889">
        <f t="shared" si="325"/>
        <v>5</v>
      </c>
      <c r="K1439" s="889">
        <f t="shared" si="325"/>
        <v>6</v>
      </c>
      <c r="L1439" s="889">
        <f t="shared" si="325"/>
        <v>7</v>
      </c>
      <c r="M1439" s="889">
        <f t="shared" si="325"/>
        <v>8</v>
      </c>
      <c r="N1439" s="889">
        <f t="shared" si="325"/>
        <v>9</v>
      </c>
      <c r="O1439" s="889">
        <f t="shared" si="325"/>
        <v>10</v>
      </c>
      <c r="P1439" s="889">
        <f t="shared" si="325"/>
        <v>11</v>
      </c>
      <c r="Q1439" s="889">
        <f t="shared" si="325"/>
        <v>12</v>
      </c>
      <c r="R1439" s="1"/>
      <c r="S1439" s="1"/>
      <c r="T1439" s="1"/>
      <c r="U1439" s="1"/>
      <c r="V1439" s="888">
        <f>MONTH(W1439)</f>
        <v>12</v>
      </c>
      <c r="W1439" s="875">
        <f>VLOOKUP(P4,N1417:Q1421,4,FALSE)</f>
        <v>45657</v>
      </c>
      <c r="X1439" s="293" t="s">
        <v>365</v>
      </c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</row>
    <row r="1440" spans="1:93" ht="16.5" hidden="1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835"/>
      <c r="W1440" s="835"/>
      <c r="X1440" s="835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</row>
    <row r="1441" spans="1:93" ht="12.75" hidden="1" customHeight="1">
      <c r="A1441" s="1"/>
      <c r="B1441" s="1"/>
      <c r="C1441" s="1"/>
      <c r="D1441" s="1"/>
      <c r="E1441" s="1"/>
      <c r="F1441" s="889">
        <v>1</v>
      </c>
      <c r="G1441" s="889">
        <v>2</v>
      </c>
      <c r="H1441" s="889">
        <v>3</v>
      </c>
      <c r="I1441" s="889">
        <v>4</v>
      </c>
      <c r="J1441" s="889">
        <v>5</v>
      </c>
      <c r="K1441" s="889">
        <v>6</v>
      </c>
      <c r="L1441" s="889">
        <v>7</v>
      </c>
      <c r="M1441" s="889">
        <v>8</v>
      </c>
      <c r="N1441" s="889">
        <v>9</v>
      </c>
      <c r="O1441" s="889">
        <v>10</v>
      </c>
      <c r="P1441" s="889">
        <v>11</v>
      </c>
      <c r="Q1441" s="889">
        <v>12</v>
      </c>
      <c r="R1441" s="1"/>
      <c r="S1441" s="1"/>
      <c r="T1441" s="1"/>
      <c r="U1441" s="1"/>
      <c r="V1441" s="835"/>
      <c r="W1441" s="919" t="str">
        <f>IF(MONTH(W1374)=MONTH(W1009),"X","Bisestile")</f>
        <v>Bisestile</v>
      </c>
      <c r="X1441" s="835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</row>
    <row r="1442" spans="1:93" ht="12.75" hidden="1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835"/>
      <c r="W1442" s="835"/>
      <c r="X1442" s="835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</row>
    <row r="1443" spans="1:93" ht="12.75" hidden="1" customHeight="1">
      <c r="A1443" s="1"/>
      <c r="B1443" s="1"/>
      <c r="C1443" s="1"/>
      <c r="D1443" s="1"/>
      <c r="E1443" s="1"/>
      <c r="F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</row>
    <row r="1444" spans="1:93" ht="12.75" hidden="1" customHeight="1">
      <c r="A1444" s="1"/>
      <c r="B1444" s="1"/>
      <c r="C1444" s="1"/>
      <c r="D1444" s="1"/>
      <c r="E1444" s="893" t="s">
        <v>14</v>
      </c>
      <c r="F1444" s="739">
        <v>1</v>
      </c>
      <c r="G1444" s="893" t="s">
        <v>513</v>
      </c>
      <c r="H1444" s="920" t="b">
        <f>Presentazione!$E$181</f>
        <v>1</v>
      </c>
      <c r="I1444" s="917" t="s">
        <v>215</v>
      </c>
      <c r="J1444" s="739">
        <f>Presentazione!$H$181</f>
        <v>1</v>
      </c>
      <c r="K1444" s="893" t="s">
        <v>548</v>
      </c>
      <c r="L1444" s="739" t="b">
        <f>Presentazione!$L$181</f>
        <v>1</v>
      </c>
      <c r="M1444" s="835"/>
      <c r="N1444" s="835"/>
      <c r="O1444" s="835"/>
      <c r="P1444" s="835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</row>
    <row r="1445" spans="1:93" hidden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</row>
  </sheetData>
  <sheetProtection algorithmName="SHA-512" hashValue="DjoAkbKcBGi00ing5cF2jbcDlnt+/qBG5NSzon5fXtLmhY0W+84VOPzD+o2RnapTUHfQydnxI3eKSgHsQQMp4w==" saltValue="OIajW+vedlBpXO8oHV2+0w==" spinCount="100000" sheet="1" objects="1" scenarios="1" selectLockedCells="1" autoFilter="0"/>
  <autoFilter ref="V3:AC1003"/>
  <mergeCells count="343">
    <mergeCell ref="C74:E74"/>
    <mergeCell ref="F74:G74"/>
    <mergeCell ref="I66:J66"/>
    <mergeCell ref="F66:G66"/>
    <mergeCell ref="B1427:C1427"/>
    <mergeCell ref="AE1403:AG1403"/>
    <mergeCell ref="AE1404:AG1404"/>
    <mergeCell ref="AE1405:AG1405"/>
    <mergeCell ref="P1079:Q1079"/>
    <mergeCell ref="P1080:Q1080"/>
    <mergeCell ref="AE1391:AG1391"/>
    <mergeCell ref="AE1392:AG1392"/>
    <mergeCell ref="AE1393:AG1393"/>
    <mergeCell ref="AE1394:AG1394"/>
    <mergeCell ref="AE1390:AG1390"/>
    <mergeCell ref="AE1383:AG1383"/>
    <mergeCell ref="AE1395:AG1395"/>
    <mergeCell ref="AE1396:AG1396"/>
    <mergeCell ref="AE1397:AG1397"/>
    <mergeCell ref="AE1398:AG1398"/>
    <mergeCell ref="P1422:Q1422"/>
    <mergeCell ref="AE1407:AG1407"/>
    <mergeCell ref="AE1408:AG1408"/>
    <mergeCell ref="AE1409:AG1409"/>
    <mergeCell ref="AE1414:AG1414"/>
    <mergeCell ref="AE1410:AG1410"/>
    <mergeCell ref="AE1411:AG1411"/>
    <mergeCell ref="AE1412:AG1412"/>
    <mergeCell ref="AE1413:AG1413"/>
    <mergeCell ref="AE1430:AG1430"/>
    <mergeCell ref="AE1423:AG1423"/>
    <mergeCell ref="AE1424:AG1424"/>
    <mergeCell ref="AE1425:AG1425"/>
    <mergeCell ref="AE1426:AG1426"/>
    <mergeCell ref="AE1427:AG1427"/>
    <mergeCell ref="AE1428:AG1428"/>
    <mergeCell ref="AE1429:AG1429"/>
    <mergeCell ref="AE1415:AG1415"/>
    <mergeCell ref="AE1416:AG1416"/>
    <mergeCell ref="AE1421:AG1421"/>
    <mergeCell ref="AE1422:AG1422"/>
    <mergeCell ref="AE1419:AG1419"/>
    <mergeCell ref="AE1420:AG1420"/>
    <mergeCell ref="AE1417:AG1417"/>
    <mergeCell ref="A1078:B1078"/>
    <mergeCell ref="A1079:B1079"/>
    <mergeCell ref="I1081:L1081"/>
    <mergeCell ref="I1082:L1082"/>
    <mergeCell ref="A1081:B1081"/>
    <mergeCell ref="A1080:B1080"/>
    <mergeCell ref="AE1418:AG1418"/>
    <mergeCell ref="AE1379:AG1379"/>
    <mergeCell ref="AE1380:AG1380"/>
    <mergeCell ref="AE1381:AG1381"/>
    <mergeCell ref="AE1382:AG1382"/>
    <mergeCell ref="P1081:Q1081"/>
    <mergeCell ref="P1082:Q1082"/>
    <mergeCell ref="AE1387:AG1387"/>
    <mergeCell ref="AE1388:AG1388"/>
    <mergeCell ref="AE1389:AG1389"/>
    <mergeCell ref="AE1384:AG1384"/>
    <mergeCell ref="AE1385:AG1385"/>
    <mergeCell ref="AE1386:AG1386"/>
    <mergeCell ref="AE1406:AG1406"/>
    <mergeCell ref="AE1399:AG1399"/>
    <mergeCell ref="AE1400:AG1400"/>
    <mergeCell ref="AE1401:AG1401"/>
    <mergeCell ref="AE1402:AG1402"/>
    <mergeCell ref="N140:O140"/>
    <mergeCell ref="P138:S138"/>
    <mergeCell ref="N138:O138"/>
    <mergeCell ref="N139:O139"/>
    <mergeCell ref="N132:O132"/>
    <mergeCell ref="I133:K133"/>
    <mergeCell ref="N133:O133"/>
    <mergeCell ref="N137:O137"/>
    <mergeCell ref="I136:K136"/>
    <mergeCell ref="N136:O136"/>
    <mergeCell ref="I134:K134"/>
    <mergeCell ref="N134:O134"/>
    <mergeCell ref="P1077:Q1077"/>
    <mergeCell ref="P1078:Q1078"/>
    <mergeCell ref="P132:S132"/>
    <mergeCell ref="P133:S133"/>
    <mergeCell ref="P126:S126"/>
    <mergeCell ref="P127:S127"/>
    <mergeCell ref="P124:S124"/>
    <mergeCell ref="P125:S125"/>
    <mergeCell ref="P123:S123"/>
    <mergeCell ref="P1076:Q1076"/>
    <mergeCell ref="P130:S130"/>
    <mergeCell ref="P131:S131"/>
    <mergeCell ref="P128:S128"/>
    <mergeCell ref="P129:S129"/>
    <mergeCell ref="P140:S140"/>
    <mergeCell ref="P136:S136"/>
    <mergeCell ref="P137:S137"/>
    <mergeCell ref="P139:S139"/>
    <mergeCell ref="P134:S134"/>
    <mergeCell ref="P135:S135"/>
    <mergeCell ref="N128:O128"/>
    <mergeCell ref="N122:O122"/>
    <mergeCell ref="N135:O135"/>
    <mergeCell ref="I135:K135"/>
    <mergeCell ref="I129:K129"/>
    <mergeCell ref="N129:O129"/>
    <mergeCell ref="I128:K128"/>
    <mergeCell ref="I123:K123"/>
    <mergeCell ref="N126:O126"/>
    <mergeCell ref="I127:K127"/>
    <mergeCell ref="N127:O127"/>
    <mergeCell ref="I124:K124"/>
    <mergeCell ref="N124:O124"/>
    <mergeCell ref="I130:K130"/>
    <mergeCell ref="N130:O130"/>
    <mergeCell ref="I131:K131"/>
    <mergeCell ref="N131:O131"/>
    <mergeCell ref="N120:O120"/>
    <mergeCell ref="I121:K121"/>
    <mergeCell ref="N121:O121"/>
    <mergeCell ref="I119:K119"/>
    <mergeCell ref="N119:O119"/>
    <mergeCell ref="I125:K125"/>
    <mergeCell ref="N125:O125"/>
    <mergeCell ref="P120:S120"/>
    <mergeCell ref="P121:S121"/>
    <mergeCell ref="P122:S122"/>
    <mergeCell ref="N123:O123"/>
    <mergeCell ref="P119:S119"/>
    <mergeCell ref="I122:K122"/>
    <mergeCell ref="I118:K118"/>
    <mergeCell ref="N118:O118"/>
    <mergeCell ref="I114:K114"/>
    <mergeCell ref="N114:O114"/>
    <mergeCell ref="I115:K115"/>
    <mergeCell ref="N115:O115"/>
    <mergeCell ref="P118:S118"/>
    <mergeCell ref="P110:S110"/>
    <mergeCell ref="P111:S111"/>
    <mergeCell ref="I116:K116"/>
    <mergeCell ref="N116:O116"/>
    <mergeCell ref="I117:K117"/>
    <mergeCell ref="N117:O117"/>
    <mergeCell ref="P116:S116"/>
    <mergeCell ref="P117:S117"/>
    <mergeCell ref="P114:S114"/>
    <mergeCell ref="P115:S115"/>
    <mergeCell ref="N112:O112"/>
    <mergeCell ref="I113:K113"/>
    <mergeCell ref="N113:O113"/>
    <mergeCell ref="P112:S112"/>
    <mergeCell ref="P113:S113"/>
    <mergeCell ref="I108:K108"/>
    <mergeCell ref="N108:O108"/>
    <mergeCell ref="I109:K109"/>
    <mergeCell ref="N109:O109"/>
    <mergeCell ref="P108:S108"/>
    <mergeCell ref="P109:S109"/>
    <mergeCell ref="I110:K110"/>
    <mergeCell ref="N110:O110"/>
    <mergeCell ref="I111:K111"/>
    <mergeCell ref="N111:O111"/>
    <mergeCell ref="P106:S106"/>
    <mergeCell ref="P107:S107"/>
    <mergeCell ref="I104:K104"/>
    <mergeCell ref="N104:O104"/>
    <mergeCell ref="I105:K105"/>
    <mergeCell ref="N105:O105"/>
    <mergeCell ref="P104:S104"/>
    <mergeCell ref="P105:S105"/>
    <mergeCell ref="I106:K106"/>
    <mergeCell ref="N106:O106"/>
    <mergeCell ref="I107:K107"/>
    <mergeCell ref="N107:O107"/>
    <mergeCell ref="I73:L73"/>
    <mergeCell ref="I72:L72"/>
    <mergeCell ref="P103:S103"/>
    <mergeCell ref="I100:K100"/>
    <mergeCell ref="N100:O100"/>
    <mergeCell ref="I101:K101"/>
    <mergeCell ref="N101:O101"/>
    <mergeCell ref="P100:S100"/>
    <mergeCell ref="P101:S101"/>
    <mergeCell ref="I102:K102"/>
    <mergeCell ref="N102:O102"/>
    <mergeCell ref="I103:K103"/>
    <mergeCell ref="N103:O103"/>
    <mergeCell ref="I90:K90"/>
    <mergeCell ref="N90:O90"/>
    <mergeCell ref="I91:K91"/>
    <mergeCell ref="N91:O91"/>
    <mergeCell ref="I93:K93"/>
    <mergeCell ref="N92:O92"/>
    <mergeCell ref="P92:S92"/>
    <mergeCell ref="I92:K92"/>
    <mergeCell ref="P93:S93"/>
    <mergeCell ref="N93:O93"/>
    <mergeCell ref="H2:I2"/>
    <mergeCell ref="B17:E17"/>
    <mergeCell ref="B14:E14"/>
    <mergeCell ref="J2:K2"/>
    <mergeCell ref="B2:G2"/>
    <mergeCell ref="B5:D5"/>
    <mergeCell ref="P4:Q4"/>
    <mergeCell ref="O72:Q72"/>
    <mergeCell ref="N65:P65"/>
    <mergeCell ref="N69:Q69"/>
    <mergeCell ref="N70:P70"/>
    <mergeCell ref="B24:E24"/>
    <mergeCell ref="B23:E23"/>
    <mergeCell ref="B13:E13"/>
    <mergeCell ref="B10:E10"/>
    <mergeCell ref="B11:E11"/>
    <mergeCell ref="B20:E20"/>
    <mergeCell ref="B21:E21"/>
    <mergeCell ref="B22:E22"/>
    <mergeCell ref="B16:E16"/>
    <mergeCell ref="B18:E18"/>
    <mergeCell ref="H64:I64"/>
    <mergeCell ref="B41:E41"/>
    <mergeCell ref="B42:E42"/>
    <mergeCell ref="N64:Q64"/>
    <mergeCell ref="N63:P63"/>
    <mergeCell ref="B51:C51"/>
    <mergeCell ref="B59:D59"/>
    <mergeCell ref="I61:S61"/>
    <mergeCell ref="B43:E43"/>
    <mergeCell ref="H63:I63"/>
    <mergeCell ref="K63:L63"/>
    <mergeCell ref="C63:G63"/>
    <mergeCell ref="C64:G64"/>
    <mergeCell ref="K64:L64"/>
    <mergeCell ref="B55:C55"/>
    <mergeCell ref="B56:C56"/>
    <mergeCell ref="B57:C57"/>
    <mergeCell ref="A1076:B1076"/>
    <mergeCell ref="I132:K132"/>
    <mergeCell ref="I138:K138"/>
    <mergeCell ref="I137:K137"/>
    <mergeCell ref="B78:D78"/>
    <mergeCell ref="I89:K89"/>
    <mergeCell ref="C70:E70"/>
    <mergeCell ref="A1077:B1077"/>
    <mergeCell ref="C73:E73"/>
    <mergeCell ref="E87:G87"/>
    <mergeCell ref="B77:D77"/>
    <mergeCell ref="C144:P144"/>
    <mergeCell ref="F79:Q79"/>
    <mergeCell ref="N73:Q73"/>
    <mergeCell ref="I139:K139"/>
    <mergeCell ref="P90:S90"/>
    <mergeCell ref="P98:S98"/>
    <mergeCell ref="N71:Q71"/>
    <mergeCell ref="I70:L70"/>
    <mergeCell ref="P91:S91"/>
    <mergeCell ref="P89:S89"/>
    <mergeCell ref="N87:O87"/>
    <mergeCell ref="N88:O88"/>
    <mergeCell ref="N89:O89"/>
    <mergeCell ref="F67:G67"/>
    <mergeCell ref="I67:J67"/>
    <mergeCell ref="C67:E67"/>
    <mergeCell ref="F68:G68"/>
    <mergeCell ref="K67:L67"/>
    <mergeCell ref="I1084:L1084"/>
    <mergeCell ref="J1078:K1078"/>
    <mergeCell ref="I1079:L1079"/>
    <mergeCell ref="I1080:L1080"/>
    <mergeCell ref="I1083:L1083"/>
    <mergeCell ref="F70:G70"/>
    <mergeCell ref="I99:K99"/>
    <mergeCell ref="I71:L71"/>
    <mergeCell ref="I69:L69"/>
    <mergeCell ref="I68:J68"/>
    <mergeCell ref="K68:L68"/>
    <mergeCell ref="I94:K94"/>
    <mergeCell ref="I95:K95"/>
    <mergeCell ref="I96:K96"/>
    <mergeCell ref="I97:K97"/>
    <mergeCell ref="I112:K112"/>
    <mergeCell ref="I120:K120"/>
    <mergeCell ref="C72:E72"/>
    <mergeCell ref="F72:G73"/>
    <mergeCell ref="B27:E27"/>
    <mergeCell ref="B29:E29"/>
    <mergeCell ref="B34:E34"/>
    <mergeCell ref="B30:E30"/>
    <mergeCell ref="B31:E31"/>
    <mergeCell ref="B45:E45"/>
    <mergeCell ref="B35:E35"/>
    <mergeCell ref="B36:E36"/>
    <mergeCell ref="B37:E37"/>
    <mergeCell ref="B40:E40"/>
    <mergeCell ref="B44:E44"/>
    <mergeCell ref="B32:E32"/>
    <mergeCell ref="S7:S8"/>
    <mergeCell ref="W1:X1"/>
    <mergeCell ref="N68:Q68"/>
    <mergeCell ref="E59:Q59"/>
    <mergeCell ref="I60:S60"/>
    <mergeCell ref="N67:P67"/>
    <mergeCell ref="N66:P66"/>
    <mergeCell ref="K66:L66"/>
    <mergeCell ref="B25:E25"/>
    <mergeCell ref="B61:G61"/>
    <mergeCell ref="B1:E1"/>
    <mergeCell ref="B12:E12"/>
    <mergeCell ref="B8:E8"/>
    <mergeCell ref="B15:E15"/>
    <mergeCell ref="B9:E9"/>
    <mergeCell ref="B19:E19"/>
    <mergeCell ref="B6:E6"/>
    <mergeCell ref="B52:C52"/>
    <mergeCell ref="B53:C53"/>
    <mergeCell ref="B26:E26"/>
    <mergeCell ref="B33:E33"/>
    <mergeCell ref="B39:E39"/>
    <mergeCell ref="B38:E38"/>
    <mergeCell ref="B28:E28"/>
    <mergeCell ref="X1006:Y1006"/>
    <mergeCell ref="B81:D81"/>
    <mergeCell ref="B80:D80"/>
    <mergeCell ref="B79:D79"/>
    <mergeCell ref="E86:L86"/>
    <mergeCell ref="I140:K140"/>
    <mergeCell ref="I88:K88"/>
    <mergeCell ref="I87:K87"/>
    <mergeCell ref="I126:K126"/>
    <mergeCell ref="P87:Q87"/>
    <mergeCell ref="P88:S88"/>
    <mergeCell ref="P95:S95"/>
    <mergeCell ref="N94:O94"/>
    <mergeCell ref="N95:O95"/>
    <mergeCell ref="P94:S94"/>
    <mergeCell ref="P99:S99"/>
    <mergeCell ref="N96:O96"/>
    <mergeCell ref="N97:O97"/>
    <mergeCell ref="P96:S96"/>
    <mergeCell ref="P97:S97"/>
    <mergeCell ref="I98:K98"/>
    <mergeCell ref="N98:O98"/>
    <mergeCell ref="N99:O99"/>
    <mergeCell ref="P102:S102"/>
  </mergeCells>
  <phoneticPr fontId="4" type="noConversion"/>
  <conditionalFormatting sqref="AB4:AB1003">
    <cfRule type="expression" dxfId="593" priority="77" stopIfTrue="1">
      <formula>AND($AA4="somma",#REF!="totale")</formula>
    </cfRule>
  </conditionalFormatting>
  <conditionalFormatting sqref="F89:F140">
    <cfRule type="expression" dxfId="592" priority="78" stopIfTrue="1">
      <formula>ISERROR($E89)</formula>
    </cfRule>
  </conditionalFormatting>
  <conditionalFormatting sqref="E89:E140">
    <cfRule type="expression" dxfId="591" priority="79" stopIfTrue="1">
      <formula>ISERROR($E89)</formula>
    </cfRule>
    <cfRule type="expression" dxfId="590" priority="80" stopIfTrue="1">
      <formula>$B89&gt;0</formula>
    </cfRule>
  </conditionalFormatting>
  <conditionalFormatting sqref="N89:O140">
    <cfRule type="expression" dxfId="589" priority="81" stopIfTrue="1">
      <formula>ISERROR($E89)</formula>
    </cfRule>
    <cfRule type="expression" dxfId="588" priority="82" stopIfTrue="1">
      <formula>$T89&gt;0</formula>
    </cfRule>
    <cfRule type="expression" dxfId="587" priority="83" stopIfTrue="1">
      <formula>$B89=0</formula>
    </cfRule>
  </conditionalFormatting>
  <conditionalFormatting sqref="CO1017:CO1068 CL4:CL1003 CO4:CO1003 AA4:AA1003">
    <cfRule type="expression" dxfId="586" priority="84" stopIfTrue="1">
      <formula>AND(#REF!="somma",$AA4="totale")</formula>
    </cfRule>
  </conditionalFormatting>
  <conditionalFormatting sqref="Z4:Z1003">
    <cfRule type="expression" dxfId="585" priority="85" stopIfTrue="1">
      <formula>$CM4=1</formula>
    </cfRule>
  </conditionalFormatting>
  <conditionalFormatting sqref="X4:X1003">
    <cfRule type="expression" dxfId="584" priority="86" stopIfTrue="1">
      <formula>$CM4=1</formula>
    </cfRule>
  </conditionalFormatting>
  <conditionalFormatting sqref="Y4:Y1003">
    <cfRule type="expression" dxfId="583" priority="87" stopIfTrue="1">
      <formula>$CM4=1</formula>
    </cfRule>
  </conditionalFormatting>
  <conditionalFormatting sqref="D89:D140">
    <cfRule type="expression" dxfId="582" priority="88" stopIfTrue="1">
      <formula>$G89=0</formula>
    </cfRule>
    <cfRule type="expression" dxfId="581" priority="89" stopIfTrue="1">
      <formula>$B89&gt;0</formula>
    </cfRule>
  </conditionalFormatting>
  <conditionalFormatting sqref="P89:S140">
    <cfRule type="expression" dxfId="580" priority="92" stopIfTrue="1">
      <formula>ISERROR($E89)</formula>
    </cfRule>
    <cfRule type="expression" dxfId="579" priority="93" stopIfTrue="1">
      <formula>$T89&gt;0</formula>
    </cfRule>
    <cfRule type="expression" dxfId="578" priority="94" stopIfTrue="1">
      <formula>$B89=0</formula>
    </cfRule>
  </conditionalFormatting>
  <conditionalFormatting sqref="F80:Q84">
    <cfRule type="expression" dxfId="577" priority="96" stopIfTrue="1">
      <formula>OR(AND(ISERROR(F80),$E80=0),$K$68&lt;&gt;"")</formula>
    </cfRule>
    <cfRule type="expression" dxfId="576" priority="97" stopIfTrue="1">
      <formula>AND(ISERROR(F80),$E80&gt;0)</formula>
    </cfRule>
    <cfRule type="expression" dxfId="575" priority="98" stopIfTrue="1">
      <formula>$E80&gt;0</formula>
    </cfRule>
  </conditionalFormatting>
  <conditionalFormatting sqref="AD4:CK1003">
    <cfRule type="expression" dxfId="574" priority="8" stopIfTrue="1">
      <formula>ISERROR(AD4)</formula>
    </cfRule>
    <cfRule type="expression" dxfId="573" priority="99" stopIfTrue="1">
      <formula>$X4=$B$45</formula>
    </cfRule>
    <cfRule type="expression" dxfId="572" priority="100" stopIfTrue="1">
      <formula>$Z4=0</formula>
    </cfRule>
    <cfRule type="cellIs" dxfId="571" priority="101" stopIfTrue="1" operator="equal">
      <formula>0</formula>
    </cfRule>
  </conditionalFormatting>
  <conditionalFormatting sqref="W1379:W1430">
    <cfRule type="expression" dxfId="570" priority="125" stopIfTrue="1">
      <formula>$X1379=$B$45</formula>
    </cfRule>
  </conditionalFormatting>
  <conditionalFormatting sqref="E1431:E1435 E1425:E1429 AD1376:AD1377 B52:C52 F1425:Q1435 AD1009:AE1374 U1009:U1374 Y1009:Y1374 Q1:S1">
    <cfRule type="cellIs" dxfId="569" priority="126" stopIfTrue="1" operator="equal">
      <formula>0</formula>
    </cfRule>
  </conditionalFormatting>
  <conditionalFormatting sqref="CN1017:CN1068 U1379:U1430 U1006 U6:U1003 CN4:CN1003">
    <cfRule type="cellIs" dxfId="568" priority="127" stopIfTrue="1" operator="equal">
      <formula>0</formula>
    </cfRule>
  </conditionalFormatting>
  <conditionalFormatting sqref="Z1010:Z1374">
    <cfRule type="cellIs" dxfId="567" priority="128" stopIfTrue="1" operator="equal">
      <formula>0</formula>
    </cfRule>
  </conditionalFormatting>
  <conditionalFormatting sqref="E80:E84">
    <cfRule type="cellIs" dxfId="566" priority="133" stopIfTrue="1" operator="equal">
      <formula>0</formula>
    </cfRule>
    <cfRule type="cellIs" dxfId="565" priority="134" stopIfTrue="1" operator="greaterThan">
      <formula>0</formula>
    </cfRule>
  </conditionalFormatting>
  <conditionalFormatting sqref="H70">
    <cfRule type="expression" dxfId="564" priority="135" stopIfTrue="1">
      <formula>OR($F$68&gt;0,$I$68&gt;0)</formula>
    </cfRule>
  </conditionalFormatting>
  <conditionalFormatting sqref="D52">
    <cfRule type="cellIs" dxfId="563" priority="141" stopIfTrue="1" operator="equal">
      <formula>0</formula>
    </cfRule>
  </conditionalFormatting>
  <conditionalFormatting sqref="I68:J68">
    <cfRule type="expression" dxfId="562" priority="149" stopIfTrue="1">
      <formula>AND(ISBLANK($I$68),$F$68&gt;0)</formula>
    </cfRule>
  </conditionalFormatting>
  <conditionalFormatting sqref="F68:G68">
    <cfRule type="expression" dxfId="561" priority="150" stopIfTrue="1">
      <formula>AND(ISBLANK($F$68),$I$68&gt;0)</formula>
    </cfRule>
  </conditionalFormatting>
  <conditionalFormatting sqref="J64">
    <cfRule type="cellIs" dxfId="560" priority="151" stopIfTrue="1" operator="equal">
      <formula>"ERROR"</formula>
    </cfRule>
  </conditionalFormatting>
  <conditionalFormatting sqref="B53:C53">
    <cfRule type="expression" dxfId="559" priority="154" stopIfTrue="1">
      <formula>ISERROR($B$53)</formula>
    </cfRule>
  </conditionalFormatting>
  <conditionalFormatting sqref="I70:L70">
    <cfRule type="expression" dxfId="558" priority="159" stopIfTrue="1">
      <formula>AND($F$67&gt;0,$I$67&lt;&gt;"",$K$67&lt;&gt;"",$I$70="")</formula>
    </cfRule>
  </conditionalFormatting>
  <conditionalFormatting sqref="I69:L69">
    <cfRule type="expression" dxfId="557" priority="160" stopIfTrue="1">
      <formula>$I$70=""</formula>
    </cfRule>
  </conditionalFormatting>
  <conditionalFormatting sqref="AD1006:CK1006">
    <cfRule type="expression" dxfId="556" priority="162" stopIfTrue="1">
      <formula>ISERROR(AD1006)</formula>
    </cfRule>
    <cfRule type="cellIs" dxfId="555" priority="163" stopIfTrue="1" operator="equal">
      <formula>0</formula>
    </cfRule>
  </conditionalFormatting>
  <conditionalFormatting sqref="Q46">
    <cfRule type="expression" dxfId="554" priority="164" stopIfTrue="1">
      <formula>S46&lt;0</formula>
    </cfRule>
    <cfRule type="expression" dxfId="553" priority="165" stopIfTrue="1">
      <formula>S46=0</formula>
    </cfRule>
  </conditionalFormatting>
  <conditionalFormatting sqref="S46">
    <cfRule type="containsErrors" dxfId="552" priority="7" stopIfTrue="1">
      <formula>ISERROR(S46)</formula>
    </cfRule>
    <cfRule type="cellIs" dxfId="551" priority="166" stopIfTrue="1" operator="lessThan">
      <formula>0</formula>
    </cfRule>
    <cfRule type="cellIs" dxfId="550" priority="167" stopIfTrue="1" operator="equal">
      <formula>0</formula>
    </cfRule>
  </conditionalFormatting>
  <conditionalFormatting sqref="W4:W1003">
    <cfRule type="expression" dxfId="549" priority="35" stopIfTrue="1">
      <formula>$CM4=1</formula>
    </cfRule>
    <cfRule type="expression" dxfId="548" priority="173" stopIfTrue="1">
      <formula>$AA4=1</formula>
    </cfRule>
  </conditionalFormatting>
  <conditionalFormatting sqref="S4">
    <cfRule type="expression" dxfId="547" priority="40">
      <formula>$P$4=""</formula>
    </cfRule>
  </conditionalFormatting>
  <conditionalFormatting sqref="G89:G140">
    <cfRule type="containsErrors" dxfId="546" priority="27" stopIfTrue="1">
      <formula>ISERROR(G89)</formula>
    </cfRule>
    <cfRule type="expression" dxfId="545" priority="359" stopIfTrue="1">
      <formula>ISERROR($E89)</formula>
    </cfRule>
    <cfRule type="expression" dxfId="544" priority="360" stopIfTrue="1">
      <formula>$B89&gt;0</formula>
    </cfRule>
  </conditionalFormatting>
  <conditionalFormatting sqref="F5:Q5 F8:Q8 F77:Q77">
    <cfRule type="expression" dxfId="543" priority="368" stopIfTrue="1">
      <formula>OR(F$1423=1,$J$1444=1)</formula>
    </cfRule>
  </conditionalFormatting>
  <conditionalFormatting sqref="F1423:Q1423">
    <cfRule type="cellIs" dxfId="542" priority="34" stopIfTrue="1" operator="equal">
      <formula>0</formula>
    </cfRule>
  </conditionalFormatting>
  <conditionalFormatting sqref="F1438">
    <cfRule type="cellIs" dxfId="541" priority="33" stopIfTrue="1" operator="equal">
      <formula>0</formula>
    </cfRule>
  </conditionalFormatting>
  <conditionalFormatting sqref="G1438:Q1438">
    <cfRule type="cellIs" dxfId="540" priority="32" stopIfTrue="1" operator="equal">
      <formula>0</formula>
    </cfRule>
  </conditionalFormatting>
  <conditionalFormatting sqref="W2:Z2 AC110:AC1003">
    <cfRule type="expression" dxfId="539" priority="380" stopIfTrue="1">
      <formula>$H$1444=FALSE</formula>
    </cfRule>
  </conditionalFormatting>
  <conditionalFormatting sqref="S9:S44">
    <cfRule type="expression" dxfId="538" priority="382" stopIfTrue="1">
      <formula>$H$1444=FALSE</formula>
    </cfRule>
    <cfRule type="cellIs" dxfId="537" priority="383" stopIfTrue="1" operator="equal">
      <formula>0</formula>
    </cfRule>
  </conditionalFormatting>
  <conditionalFormatting sqref="S6">
    <cfRule type="expression" dxfId="536" priority="384" stopIfTrue="1">
      <formula>$H$1444=FALSE</formula>
    </cfRule>
    <cfRule type="cellIs" dxfId="535" priority="385" stopIfTrue="1" operator="equal">
      <formula>0</formula>
    </cfRule>
  </conditionalFormatting>
  <conditionalFormatting sqref="F45:Q45 S45">
    <cfRule type="expression" dxfId="534" priority="386" stopIfTrue="1">
      <formula>$H$1444=FALSE</formula>
    </cfRule>
    <cfRule type="cellIs" dxfId="533" priority="387" stopIfTrue="1" operator="equal">
      <formula>0</formula>
    </cfRule>
  </conditionalFormatting>
  <conditionalFormatting sqref="F6:Q6">
    <cfRule type="expression" dxfId="532" priority="398" stopIfTrue="1">
      <formula>OR($H$1444=FALSE,$L$1444=FALSE)</formula>
    </cfRule>
    <cfRule type="expression" dxfId="531" priority="399" stopIfTrue="1">
      <formula>F$1423=0</formula>
    </cfRule>
    <cfRule type="cellIs" dxfId="530" priority="400" stopIfTrue="1" operator="equal">
      <formula>0</formula>
    </cfRule>
  </conditionalFormatting>
  <conditionalFormatting sqref="B52:C52">
    <cfRule type="containsErrors" dxfId="529" priority="28" stopIfTrue="1">
      <formula>ISERROR(B52)</formula>
    </cfRule>
  </conditionalFormatting>
  <conditionalFormatting sqref="F79:Q79 E86:L86">
    <cfRule type="expression" dxfId="528" priority="414" stopIfTrue="1">
      <formula>#REF!&gt;0</formula>
    </cfRule>
  </conditionalFormatting>
  <conditionalFormatting sqref="E78">
    <cfRule type="cellIs" dxfId="527" priority="416" stopIfTrue="1" operator="lessThan">
      <formula>0</formula>
    </cfRule>
    <cfRule type="expression" dxfId="526" priority="417" stopIfTrue="1">
      <formula>#REF!&gt;0</formula>
    </cfRule>
  </conditionalFormatting>
  <conditionalFormatting sqref="E76:E77 S76:S77">
    <cfRule type="expression" dxfId="525" priority="418" stopIfTrue="1">
      <formula>#REF!&gt;0</formula>
    </cfRule>
  </conditionalFormatting>
  <conditionalFormatting sqref="G1:P1 B1:E1 L2:S2">
    <cfRule type="expression" dxfId="524" priority="424" stopIfTrue="1">
      <formula>$J$1444=1</formula>
    </cfRule>
  </conditionalFormatting>
  <conditionalFormatting sqref="B2:G2">
    <cfRule type="expression" dxfId="523" priority="427" stopIfTrue="1">
      <formula>$J$1444=1</formula>
    </cfRule>
  </conditionalFormatting>
  <conditionalFormatting sqref="F78:Q78">
    <cfRule type="containsErrors" dxfId="522" priority="431" stopIfTrue="1">
      <formula>ISERROR(F78)</formula>
    </cfRule>
    <cfRule type="expression" dxfId="521" priority="432" stopIfTrue="1">
      <formula>$H$1441=TRUE</formula>
    </cfRule>
    <cfRule type="expression" dxfId="520" priority="433" stopIfTrue="1">
      <formula>AND($J$1444=0,F$1423=0)</formula>
    </cfRule>
    <cfRule type="cellIs" dxfId="519" priority="434" stopIfTrue="1" operator="equal">
      <formula>0</formula>
    </cfRule>
  </conditionalFormatting>
  <conditionalFormatting sqref="K63:L63">
    <cfRule type="expression" dxfId="518" priority="435" stopIfTrue="1">
      <formula>$J$1444=1</formula>
    </cfRule>
    <cfRule type="expression" dxfId="517" priority="436" stopIfTrue="1">
      <formula>$H$1444=TRUE</formula>
    </cfRule>
  </conditionalFormatting>
  <conditionalFormatting sqref="H89:H140">
    <cfRule type="expression" dxfId="516" priority="353" stopIfTrue="1">
      <formula>AND(ISERROR($E89),$H89=0)</formula>
    </cfRule>
    <cfRule type="expression" dxfId="515" priority="354" stopIfTrue="1">
      <formula>AND(ISERROR($E89),$H89&lt;&gt;0)</formula>
    </cfRule>
  </conditionalFormatting>
  <conditionalFormatting sqref="F57:Q57">
    <cfRule type="cellIs" dxfId="514" priority="23" stopIfTrue="1" operator="lessThan">
      <formula>0</formula>
    </cfRule>
  </conditionalFormatting>
  <conditionalFormatting sqref="F48:Q48">
    <cfRule type="cellIs" dxfId="513" priority="18" stopIfTrue="1" operator="greaterThan">
      <formula>0</formula>
    </cfRule>
  </conditionalFormatting>
  <conditionalFormatting sqref="F49:Q49">
    <cfRule type="expression" dxfId="512" priority="16" stopIfTrue="1">
      <formula>AND(F49&gt;0,F48=0)</formula>
    </cfRule>
    <cfRule type="cellIs" dxfId="511" priority="17" stopIfTrue="1" operator="greaterThan">
      <formula>0</formula>
    </cfRule>
  </conditionalFormatting>
  <conditionalFormatting sqref="F50:Q50">
    <cfRule type="expression" dxfId="510" priority="11" stopIfTrue="1">
      <formula>AND(F50&gt;0,F49=0)</formula>
    </cfRule>
    <cfRule type="cellIs" dxfId="509" priority="12" stopIfTrue="1" operator="greaterThan">
      <formula>0</formula>
    </cfRule>
  </conditionalFormatting>
  <conditionalFormatting sqref="F51:Q51">
    <cfRule type="expression" dxfId="508" priority="9" stopIfTrue="1">
      <formula>AND(F51&gt;0,F50=0)</formula>
    </cfRule>
    <cfRule type="cellIs" dxfId="507" priority="10" stopIfTrue="1" operator="greaterThan">
      <formula>0</formula>
    </cfRule>
  </conditionalFormatting>
  <conditionalFormatting sqref="F52:Q52">
    <cfRule type="expression" dxfId="506" priority="13" stopIfTrue="1">
      <formula>AND(F52&gt;0,F51=0)</formula>
    </cfRule>
    <cfRule type="cellIs" dxfId="505" priority="14" stopIfTrue="1" operator="greaterThan">
      <formula>0</formula>
    </cfRule>
    <cfRule type="cellIs" dxfId="504" priority="15" stopIfTrue="1" operator="equal">
      <formula>0</formula>
    </cfRule>
  </conditionalFormatting>
  <conditionalFormatting sqref="F53:Q53">
    <cfRule type="expression" dxfId="503" priority="19" stopIfTrue="1">
      <formula>AND(F53&lt;0,F54=0)</formula>
    </cfRule>
    <cfRule type="cellIs" dxfId="502" priority="20" stopIfTrue="1" operator="lessThan">
      <formula>0</formula>
    </cfRule>
  </conditionalFormatting>
  <conditionalFormatting sqref="F54:Q56">
    <cfRule type="expression" dxfId="501" priority="21" stopIfTrue="1">
      <formula>AND(F54&lt;0,F55=0)</formula>
    </cfRule>
    <cfRule type="cellIs" dxfId="500" priority="22" stopIfTrue="1" operator="lessThan">
      <formula>0</formula>
    </cfRule>
  </conditionalFormatting>
  <conditionalFormatting sqref="E5">
    <cfRule type="cellIs" dxfId="499" priority="6" operator="equal">
      <formula>0</formula>
    </cfRule>
  </conditionalFormatting>
  <conditionalFormatting sqref="Y12">
    <cfRule type="expression" dxfId="498" priority="5" stopIfTrue="1">
      <formula>$AS12=1</formula>
    </cfRule>
  </conditionalFormatting>
  <conditionalFormatting sqref="Y10">
    <cfRule type="expression" dxfId="497" priority="4" stopIfTrue="1">
      <formula>$AS10=1</formula>
    </cfRule>
  </conditionalFormatting>
  <conditionalFormatting sqref="Y13">
    <cfRule type="expression" dxfId="496" priority="3" stopIfTrue="1">
      <formula>$AS13=1</formula>
    </cfRule>
  </conditionalFormatting>
  <conditionalFormatting sqref="U4:U5">
    <cfRule type="cellIs" dxfId="495" priority="2" stopIfTrue="1" operator="equal">
      <formula>0</formula>
    </cfRule>
  </conditionalFormatting>
  <conditionalFormatting sqref="CQ89:CQ140">
    <cfRule type="cellIs" dxfId="494" priority="1" operator="equal">
      <formula>0</formula>
    </cfRule>
  </conditionalFormatting>
  <conditionalFormatting sqref="H2:I2">
    <cfRule type="expression" dxfId="493" priority="3894" stopIfTrue="1">
      <formula>#REF!=1</formula>
    </cfRule>
  </conditionalFormatting>
  <conditionalFormatting sqref="J2:K2">
    <cfRule type="expression" dxfId="492" priority="5698" stopIfTrue="1">
      <formula>#REF!=1</formula>
    </cfRule>
  </conditionalFormatting>
  <conditionalFormatting sqref="I94:K94">
    <cfRule type="expression" dxfId="491" priority="5699" stopIfTrue="1">
      <formula>#REF!=TRUE</formula>
    </cfRule>
    <cfRule type="expression" dxfId="490" priority="5700" stopIfTrue="1">
      <formula>ISERROR($E94)</formula>
    </cfRule>
  </conditionalFormatting>
  <conditionalFormatting sqref="H94">
    <cfRule type="expression" dxfId="489" priority="5701" stopIfTrue="1">
      <formula>#REF!=TRUE</formula>
    </cfRule>
    <cfRule type="expression" dxfId="488" priority="5702" stopIfTrue="1">
      <formula>AND(ISERROR($E94),$H94=0)</formula>
    </cfRule>
    <cfRule type="expression" dxfId="487" priority="5703" stopIfTrue="1">
      <formula>AND(ISERROR($E94),$H94&lt;&gt;0)</formula>
    </cfRule>
  </conditionalFormatting>
  <conditionalFormatting sqref="I95:K140 I89:K93">
    <cfRule type="expression" dxfId="486" priority="6143" stopIfTrue="1">
      <formula>$H$1441=TRUE</formula>
    </cfRule>
    <cfRule type="expression" dxfId="485" priority="6144" stopIfTrue="1">
      <formula>ISERROR($E89)</formula>
    </cfRule>
  </conditionalFormatting>
  <conditionalFormatting sqref="L89:L140">
    <cfRule type="expression" dxfId="484" priority="6147" stopIfTrue="1">
      <formula>$H$1441=TRUE</formula>
    </cfRule>
    <cfRule type="expression" dxfId="483" priority="6148" stopIfTrue="1">
      <formula>ISERROR($E89)</formula>
    </cfRule>
    <cfRule type="expression" dxfId="482" priority="6149" stopIfTrue="1">
      <formula>$B89&gt;0</formula>
    </cfRule>
  </conditionalFormatting>
  <conditionalFormatting sqref="S78">
    <cfRule type="containsErrors" dxfId="481" priority="6150" stopIfTrue="1">
      <formula>ISERROR(S78)</formula>
    </cfRule>
    <cfRule type="expression" dxfId="480" priority="6151" stopIfTrue="1">
      <formula>$H$1441=TRUE</formula>
    </cfRule>
    <cfRule type="expression" dxfId="479" priority="6152" stopIfTrue="1">
      <formula>AND(SUM($F78:$Q78)=0,$S78=0)</formula>
    </cfRule>
  </conditionalFormatting>
  <conditionalFormatting sqref="K64:L64">
    <cfRule type="expression" dxfId="478" priority="6153" stopIfTrue="1">
      <formula>$J$1444=1</formula>
    </cfRule>
    <cfRule type="cellIs" dxfId="477" priority="6154" stopIfTrue="1" operator="equal">
      <formula>0</formula>
    </cfRule>
    <cfRule type="expression" dxfId="476" priority="6155" stopIfTrue="1">
      <formula>$J$64="ERROR"</formula>
    </cfRule>
  </conditionalFormatting>
  <conditionalFormatting sqref="F9:Q44">
    <cfRule type="expression" dxfId="475" priority="6156" stopIfTrue="1">
      <formula>AND($J$1444=0,F$1423=0)</formula>
    </cfRule>
    <cfRule type="expression" dxfId="474" priority="6157">
      <formula>AND($J$1444=1,$P$4&lt;&gt;$N$1417,F$1423=1)</formula>
    </cfRule>
    <cfRule type="cellIs" dxfId="473" priority="6158" stopIfTrue="1" operator="equal">
      <formula>0</formula>
    </cfRule>
  </conditionalFormatting>
  <conditionalFormatting sqref="B55:C57">
    <cfRule type="expression" dxfId="472" priority="6159">
      <formula>OR($J$1444=0,$P$4&lt;&gt;$N$1417)</formula>
    </cfRule>
  </conditionalFormatting>
  <conditionalFormatting sqref="O4">
    <cfRule type="expression" dxfId="471" priority="6160">
      <formula>AND($J$1444=0,$P$4=$N$1417)</formula>
    </cfRule>
  </conditionalFormatting>
  <dataValidations count="14">
    <dataValidation type="decimal" operator="greaterThan" allowBlank="1" showInputMessage="1" showErrorMessage="1" sqref="E49:E51">
      <formula1>E50</formula1>
    </dataValidation>
    <dataValidation type="decimal" allowBlank="1" showInputMessage="1" showErrorMessage="1" sqref="E48">
      <formula1>E49</formula1>
      <formula2>100</formula2>
    </dataValidation>
    <dataValidation type="list" allowBlank="1" showInputMessage="1" showErrorMessage="1" sqref="CL1004:CM1004 AA1004">
      <formula1>#REF!</formula1>
    </dataValidation>
    <dataValidation type="decimal" operator="greaterThan" allowBlank="1" showInputMessage="1" showErrorMessage="1" sqref="E52">
      <formula1>0</formula1>
    </dataValidation>
    <dataValidation type="list" allowBlank="1" showInputMessage="1" showErrorMessage="1" sqref="I67:J67">
      <formula1>$G$1075:$G$1084</formula1>
    </dataValidation>
    <dataValidation type="list" allowBlank="1" showInputMessage="1" showErrorMessage="1" sqref="K67:L67">
      <formula1>$G$1086:$G$1087</formula1>
    </dataValidation>
    <dataValidation type="list" allowBlank="1" showInputMessage="1" showErrorMessage="1" sqref="P89:S140">
      <formula1>$P$1076:$P$1083</formula1>
    </dataValidation>
    <dataValidation type="list" allowBlank="1" showInputMessage="1" showErrorMessage="1" sqref="I70:L70">
      <formula1>$I$1079:$I$1085</formula1>
    </dataValidation>
    <dataValidation type="whole" operator="greaterThanOrEqual" allowBlank="1" showInputMessage="1" showErrorMessage="1" sqref="F68:G68">
      <formula1>#REF!</formula1>
    </dataValidation>
    <dataValidation type="whole" operator="lessThanOrEqual" allowBlank="1" showInputMessage="1" showErrorMessage="1" sqref="I68:J68">
      <formula1>#REF!</formula1>
    </dataValidation>
    <dataValidation type="list" allowBlank="1" showInputMessage="1" showErrorMessage="1" sqref="P4:Q4">
      <formula1>$N$1416:$N$1421</formula1>
    </dataValidation>
    <dataValidation type="list" allowBlank="1" showInputMessage="1" showErrorMessage="1" sqref="X4:X1003">
      <formula1>$N$1086:$N$1122</formula1>
    </dataValidation>
    <dataValidation type="list" allowBlank="1" showInputMessage="1" showErrorMessage="1" sqref="AC4:AC1003">
      <formula1>$C$1075:$C$1081</formula1>
    </dataValidation>
    <dataValidation type="date" allowBlank="1" showInputMessage="1" showErrorMessage="1" errorTitle="DATA non ammessa" error="La data non coincide con le tue impostazioni" sqref="W4:W1003">
      <formula1>$W$1433</formula1>
      <formula2>$W$1434</formula2>
    </dataValidation>
  </dataValidations>
  <hyperlinks>
    <hyperlink ref="H2:I2" location="COSTI!AC4" display="VAI AL REGISTRO"/>
    <hyperlink ref="Z1" location="COSTI!A4" display="Vai al riepilogo"/>
    <hyperlink ref="J2:K2" location="COSTI!F89" display="VAI ALLA SCHEDA AMM."/>
  </hyperlinks>
  <printOptions horizontalCentered="1"/>
  <pageMargins left="0" right="0" top="0.19685039370078741" bottom="0" header="0.51181102362204722" footer="0.51181102362204722"/>
  <pageSetup paperSize="9" scale="75" orientation="landscape" verticalDpi="300" r:id="rId1"/>
  <headerFooter alignWithMargins="0"/>
  <rowBreaks count="2" manualBreakCount="2">
    <brk id="45" max="19" man="1"/>
    <brk id="85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AW97"/>
  <sheetViews>
    <sheetView showGridLines="0" showRowColHeaders="0" zoomScaleNormal="100" workbookViewId="0"/>
  </sheetViews>
  <sheetFormatPr defaultRowHeight="12.75"/>
  <cols>
    <col min="1" max="1" width="1.42578125" style="2" customWidth="1"/>
    <col min="2" max="2" width="3.5703125" style="2" bestFit="1" customWidth="1"/>
    <col min="3" max="3" width="7.140625" style="2" customWidth="1"/>
    <col min="4" max="4" width="16.7109375" style="2" customWidth="1"/>
    <col min="5" max="5" width="3.140625" style="2" customWidth="1"/>
    <col min="6" max="6" width="10" style="2" customWidth="1"/>
    <col min="7" max="18" width="10.85546875" style="2" customWidth="1"/>
    <col min="19" max="19" width="1.28515625" style="2" customWidth="1"/>
    <col min="20" max="20" width="12.85546875" style="2" customWidth="1"/>
    <col min="21" max="21" width="5" style="2" customWidth="1"/>
    <col min="22" max="22" width="15.7109375" style="2" hidden="1" customWidth="1"/>
    <col min="23" max="34" width="10.85546875" style="2" hidden="1" customWidth="1"/>
    <col min="35" max="35" width="10" style="2" hidden="1" customWidth="1"/>
    <col min="36" max="47" width="10.85546875" style="2" hidden="1" customWidth="1"/>
    <col min="48" max="48" width="10" style="2" hidden="1" customWidth="1"/>
    <col min="49" max="49" width="9.140625" style="2" hidden="1" customWidth="1"/>
    <col min="50" max="16384" width="9.140625" style="2"/>
  </cols>
  <sheetData>
    <row r="1" spans="1:48" ht="19.5" customHeight="1">
      <c r="A1" s="373"/>
      <c r="B1" s="1"/>
      <c r="C1" s="1387" t="s">
        <v>430</v>
      </c>
      <c r="D1" s="1387"/>
      <c r="E1" s="1387"/>
      <c r="F1" s="1387"/>
      <c r="G1" s="1387"/>
      <c r="H1" s="1387"/>
      <c r="I1" s="1387"/>
      <c r="J1" s="1387"/>
      <c r="K1" s="1387"/>
      <c r="L1" s="1388" t="str">
        <f>ENTI!B32</f>
        <v>www.marcopiccoli.it - Bilancio Condominiale 4.0.E05 FREE - per EXCEL .xlsx</v>
      </c>
      <c r="M1" s="1388"/>
      <c r="N1" s="1388"/>
      <c r="O1" s="1388"/>
      <c r="P1" s="1388"/>
      <c r="Q1" s="1388"/>
      <c r="R1" s="1388"/>
      <c r="S1" s="1388"/>
      <c r="T1" s="1388"/>
      <c r="U1" s="1"/>
      <c r="V1" s="373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ht="17.25" customHeight="1">
      <c r="A2" s="1"/>
      <c r="B2" s="1"/>
      <c r="C2" s="1406" t="str">
        <f>CONCATENATE(Presentazione!C26," - ",Presentazione!D28," - ",Presentazione!D29)</f>
        <v>Inserisci qui il NOME - Via del Condominio - 00000 - ROMA</v>
      </c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"/>
      <c r="Q2" s="1"/>
      <c r="R2" s="1"/>
      <c r="S2" s="1"/>
      <c r="T2" s="1"/>
      <c r="U2" s="27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1:48" ht="17.25" customHeight="1">
      <c r="A3" s="1"/>
      <c r="B3" s="1"/>
      <c r="C3" s="1390" t="s">
        <v>418</v>
      </c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  <c r="Q3" s="1390"/>
      <c r="R3" s="1390"/>
      <c r="S3" s="1"/>
      <c r="T3" s="437"/>
      <c r="U3" s="438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</row>
    <row r="4" spans="1:48" ht="17.25" customHeight="1">
      <c r="A4" s="1"/>
      <c r="B4" s="1"/>
      <c r="C4" s="1391" t="s">
        <v>432</v>
      </c>
      <c r="D4" s="1392"/>
      <c r="E4" s="1392"/>
      <c r="F4" s="1392"/>
      <c r="G4" s="1392"/>
      <c r="H4" s="1392"/>
      <c r="I4" s="1392"/>
      <c r="J4" s="1392"/>
      <c r="K4" s="1392"/>
      <c r="L4" s="1392"/>
      <c r="M4" s="1392"/>
      <c r="N4" s="1392"/>
      <c r="O4" s="1392"/>
      <c r="P4" s="1392"/>
      <c r="Q4" s="1392"/>
      <c r="R4" s="1392"/>
      <c r="S4" s="1"/>
      <c r="T4" s="437"/>
      <c r="U4" s="438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437"/>
      <c r="AU4" s="437"/>
      <c r="AV4" s="437"/>
    </row>
    <row r="5" spans="1:48" ht="21" customHeight="1">
      <c r="A5" s="1"/>
      <c r="B5" s="1"/>
      <c r="C5" s="418"/>
      <c r="D5" s="418"/>
      <c r="E5" s="418"/>
      <c r="F5" s="418"/>
      <c r="G5" s="418"/>
      <c r="H5" s="418"/>
      <c r="I5" s="418"/>
      <c r="J5" s="540" t="s">
        <v>433</v>
      </c>
      <c r="K5" s="418"/>
      <c r="L5" s="939" t="s">
        <v>433</v>
      </c>
      <c r="M5" s="418"/>
      <c r="N5" s="1057" t="s">
        <v>433</v>
      </c>
      <c r="O5" s="418"/>
      <c r="P5" s="418"/>
      <c r="Q5" s="418"/>
      <c r="R5" s="418"/>
      <c r="S5" s="1"/>
      <c r="T5" s="437"/>
      <c r="U5" s="438"/>
      <c r="V5" s="437"/>
      <c r="W5" s="437"/>
      <c r="X5" s="437"/>
      <c r="Y5" s="437"/>
      <c r="Z5" s="437"/>
      <c r="AA5" s="437"/>
      <c r="AB5" s="437"/>
      <c r="AC5" s="437"/>
      <c r="AD5" s="437"/>
      <c r="AE5" s="437"/>
      <c r="AF5" s="437"/>
      <c r="AG5" s="437"/>
      <c r="AH5" s="437"/>
      <c r="AI5" s="437"/>
      <c r="AJ5" s="437"/>
      <c r="AK5" s="437"/>
      <c r="AL5" s="437"/>
      <c r="AM5" s="437"/>
      <c r="AN5" s="437"/>
      <c r="AO5" s="437"/>
      <c r="AP5" s="437"/>
      <c r="AQ5" s="437"/>
      <c r="AR5" s="437"/>
      <c r="AS5" s="437"/>
      <c r="AT5" s="437"/>
      <c r="AU5" s="437"/>
      <c r="AV5" s="437"/>
    </row>
    <row r="6" spans="1:48" ht="15.75" customHeight="1">
      <c r="A6" s="373"/>
      <c r="B6" s="3"/>
      <c r="C6" s="1407" t="s">
        <v>378</v>
      </c>
      <c r="D6" s="1407"/>
      <c r="E6" s="1407"/>
      <c r="F6" s="941" t="s">
        <v>379</v>
      </c>
      <c r="G6" s="941" t="s">
        <v>380</v>
      </c>
      <c r="H6" s="941" t="s">
        <v>381</v>
      </c>
      <c r="I6" s="941" t="s">
        <v>232</v>
      </c>
      <c r="J6" s="941" t="str">
        <f>L6</f>
        <v>es. PER PIANO</v>
      </c>
      <c r="K6" s="1"/>
      <c r="L6" s="956" t="s">
        <v>532</v>
      </c>
      <c r="M6" s="954" t="s">
        <v>236</v>
      </c>
      <c r="N6" s="953" t="s">
        <v>379</v>
      </c>
      <c r="O6" s="940" t="s">
        <v>232</v>
      </c>
      <c r="P6" s="426" t="s">
        <v>236</v>
      </c>
      <c r="Q6" s="430" t="str">
        <f>N6</f>
        <v>MILL.mi   I</v>
      </c>
      <c r="R6" s="430" t="s">
        <v>232</v>
      </c>
      <c r="S6" s="1"/>
      <c r="T6" s="437"/>
      <c r="U6" s="1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</row>
    <row r="7" spans="1:48" ht="16.5" customHeight="1">
      <c r="A7" s="1"/>
      <c r="B7" s="669">
        <v>1</v>
      </c>
      <c r="C7" s="1408" t="str">
        <f>ENTI!B9</f>
        <v>Nome ENTE 1</v>
      </c>
      <c r="D7" s="1409"/>
      <c r="E7" s="1410"/>
      <c r="F7" s="700">
        <v>100</v>
      </c>
      <c r="G7" s="700">
        <v>100</v>
      </c>
      <c r="H7" s="701">
        <v>0.05</v>
      </c>
      <c r="I7" s="1088">
        <v>15</v>
      </c>
      <c r="J7" s="1085" t="s">
        <v>525</v>
      </c>
      <c r="K7" s="739" t="str">
        <f>IF(J7="","",IF(ISERROR(VLOOKUP(J7,L$7:L$18,1,FALSE)),"&lt;-- ERROR",""))</f>
        <v/>
      </c>
      <c r="L7" s="942" t="s">
        <v>525</v>
      </c>
      <c r="M7" s="950">
        <f t="shared" ref="M7:M18" si="0">COUNTIF(J$7:J$11,L7)</f>
        <v>1</v>
      </c>
      <c r="N7" s="946">
        <f t="shared" ref="N7:N18" si="1">IF(N$6="",0,SUMIF(J$7:J$11,L7,IF(N$6=F$6,F$7:F$11,IF(N$6=G$6,G$7:G$11,IF(N$6=H$6,H$7:H$11,0)))))</f>
        <v>100</v>
      </c>
      <c r="O7" s="955">
        <f t="shared" ref="O7:O18" si="2">SUMIF(J$7:J$11,L7,I$7:I$11)</f>
        <v>15</v>
      </c>
      <c r="P7" s="427"/>
      <c r="Q7" s="700"/>
      <c r="R7" s="420"/>
      <c r="S7" s="1"/>
      <c r="T7" s="437"/>
      <c r="U7" s="1"/>
      <c r="V7" s="1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38"/>
      <c r="AJ7" s="437"/>
      <c r="AK7" s="437"/>
      <c r="AL7" s="437"/>
      <c r="AM7" s="437"/>
      <c r="AN7" s="437"/>
      <c r="AO7" s="437"/>
      <c r="AP7" s="437"/>
      <c r="AQ7" s="437"/>
      <c r="AR7" s="437"/>
      <c r="AS7" s="437"/>
      <c r="AT7" s="957">
        <f>IF(AND(OR(O$25=TRUE,O$26=TRUE,O$27=TRUE),AT$12=0),IF(AND(SUM(F7:H7)&gt;0,C7=""),1,0),IF(AND(OR(SUM(F7:H7)&gt;0,I7&gt;0),ISERROR(VLOOKUP(J7,L$7:L$18,1,FALSE))),1,0))</f>
        <v>0</v>
      </c>
      <c r="AU7" s="957">
        <f t="shared" ref="AU7:AU11" si="3">IF(AND(C7=0,SUM(F7:I7)&gt;0),1,0)</f>
        <v>0</v>
      </c>
      <c r="AV7" s="438"/>
    </row>
    <row r="8" spans="1:48" ht="16.5" customHeight="1">
      <c r="A8" s="1"/>
      <c r="B8" s="669">
        <v>2</v>
      </c>
      <c r="C8" s="1401" t="str">
        <f>ENTI!B10</f>
        <v>Nome ENTE 2</v>
      </c>
      <c r="D8" s="1402"/>
      <c r="E8" s="1403"/>
      <c r="F8" s="702">
        <v>100</v>
      </c>
      <c r="G8" s="702">
        <v>200</v>
      </c>
      <c r="H8" s="703">
        <v>0.1</v>
      </c>
      <c r="I8" s="1089">
        <v>15</v>
      </c>
      <c r="J8" s="1086" t="s">
        <v>64</v>
      </c>
      <c r="K8" s="739" t="str">
        <f>IF(J8="","",IF(ISERROR(VLOOKUP(J8,L$7:L$18,1,FALSE)),"&lt;-- ERROR",""))</f>
        <v/>
      </c>
      <c r="L8" s="943" t="s">
        <v>64</v>
      </c>
      <c r="M8" s="951">
        <f t="shared" si="0"/>
        <v>2</v>
      </c>
      <c r="N8" s="945">
        <f t="shared" si="1"/>
        <v>300</v>
      </c>
      <c r="O8" s="947">
        <f t="shared" si="2"/>
        <v>30</v>
      </c>
      <c r="P8" s="428"/>
      <c r="Q8" s="706"/>
      <c r="R8" s="421"/>
      <c r="S8" s="1"/>
      <c r="T8" s="437"/>
      <c r="U8" s="1"/>
      <c r="V8" s="1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8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957">
        <f>IF(AND(OR(O$25=TRUE,O$26=TRUE,O$27=TRUE),AT$12=0),IF(AND(SUM(F8:H8)&gt;0,C8=""),1,0),IF(AND(OR(SUM(F8:H8)&gt;0,I8&gt;0),ISERROR(VLOOKUP(J8,L$7:L$18,1,FALSE))),1,0))</f>
        <v>0</v>
      </c>
      <c r="AU8" s="957">
        <f t="shared" si="3"/>
        <v>0</v>
      </c>
      <c r="AV8" s="438"/>
    </row>
    <row r="9" spans="1:48" ht="16.5" customHeight="1">
      <c r="A9" s="1"/>
      <c r="B9" s="669">
        <v>3</v>
      </c>
      <c r="C9" s="1401" t="str">
        <f>ENTI!B11</f>
        <v>Nome ENTE 3</v>
      </c>
      <c r="D9" s="1402"/>
      <c r="E9" s="1403"/>
      <c r="F9" s="702">
        <v>200</v>
      </c>
      <c r="G9" s="702">
        <v>300</v>
      </c>
      <c r="H9" s="703">
        <v>0.125</v>
      </c>
      <c r="I9" s="1089">
        <v>15</v>
      </c>
      <c r="J9" s="1086" t="s">
        <v>64</v>
      </c>
      <c r="K9" s="739" t="str">
        <f>IF(J9="","",IF(ISERROR(VLOOKUP(J9,L$7:L$18,1,FALSE)),"&lt;-- ERROR",""))</f>
        <v/>
      </c>
      <c r="L9" s="943" t="s">
        <v>65</v>
      </c>
      <c r="M9" s="951">
        <f t="shared" si="0"/>
        <v>2</v>
      </c>
      <c r="N9" s="945">
        <f t="shared" si="1"/>
        <v>600</v>
      </c>
      <c r="O9" s="947">
        <f t="shared" si="2"/>
        <v>55</v>
      </c>
      <c r="P9" s="428"/>
      <c r="Q9" s="706"/>
      <c r="R9" s="421"/>
      <c r="S9" s="1"/>
      <c r="T9" s="437"/>
      <c r="U9" s="1"/>
      <c r="V9" s="1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437"/>
      <c r="AH9" s="437"/>
      <c r="AI9" s="438"/>
      <c r="AJ9" s="437"/>
      <c r="AK9" s="437"/>
      <c r="AL9" s="437"/>
      <c r="AM9" s="437"/>
      <c r="AN9" s="437"/>
      <c r="AO9" s="437"/>
      <c r="AP9" s="437"/>
      <c r="AQ9" s="437"/>
      <c r="AR9" s="437"/>
      <c r="AS9" s="437"/>
      <c r="AT9" s="957">
        <f>IF(AND(OR(O$25=TRUE,O$26=TRUE,O$27=TRUE),AT$12=0),IF(AND(SUM(F9:H9)&gt;0,C9=""),1,0),IF(AND(OR(SUM(F9:H9)&gt;0,I9&gt;0),ISERROR(VLOOKUP(J9,L$7:L$18,1,FALSE))),1,0))</f>
        <v>0</v>
      </c>
      <c r="AU9" s="957">
        <f t="shared" si="3"/>
        <v>0</v>
      </c>
      <c r="AV9" s="438"/>
    </row>
    <row r="10" spans="1:48" ht="16.5" customHeight="1">
      <c r="A10" s="1"/>
      <c r="B10" s="669">
        <v>4</v>
      </c>
      <c r="C10" s="1401" t="str">
        <f>ENTI!B12</f>
        <v>Nome ENTE 4 / sovrascrivi</v>
      </c>
      <c r="D10" s="1402"/>
      <c r="E10" s="1403"/>
      <c r="F10" s="702">
        <v>200</v>
      </c>
      <c r="G10" s="702">
        <v>400</v>
      </c>
      <c r="H10" s="703">
        <v>0.25</v>
      </c>
      <c r="I10" s="1089">
        <v>15</v>
      </c>
      <c r="J10" s="1086" t="s">
        <v>65</v>
      </c>
      <c r="K10" s="739" t="str">
        <f>IF(J10="","",IF(ISERROR(VLOOKUP(J10,L$7:L$18,1,FALSE)),"&lt;-- ERROR",""))</f>
        <v/>
      </c>
      <c r="L10" s="943" t="s">
        <v>66</v>
      </c>
      <c r="M10" s="951">
        <f t="shared" si="0"/>
        <v>0</v>
      </c>
      <c r="N10" s="945">
        <f t="shared" si="1"/>
        <v>0</v>
      </c>
      <c r="O10" s="947">
        <f t="shared" si="2"/>
        <v>0</v>
      </c>
      <c r="P10" s="428"/>
      <c r="Q10" s="706"/>
      <c r="R10" s="421"/>
      <c r="S10" s="1"/>
      <c r="T10" s="437"/>
      <c r="U10" s="1"/>
      <c r="V10" s="1"/>
      <c r="W10" s="437"/>
      <c r="X10" s="437"/>
      <c r="Y10" s="437"/>
      <c r="Z10" s="437"/>
      <c r="AA10" s="437"/>
      <c r="AB10" s="437"/>
      <c r="AC10" s="437"/>
      <c r="AD10" s="437"/>
      <c r="AE10" s="437"/>
      <c r="AF10" s="437"/>
      <c r="AG10" s="437"/>
      <c r="AH10" s="437"/>
      <c r="AI10" s="438"/>
      <c r="AJ10" s="437"/>
      <c r="AK10" s="437"/>
      <c r="AL10" s="437"/>
      <c r="AM10" s="437"/>
      <c r="AN10" s="437"/>
      <c r="AO10" s="437"/>
      <c r="AP10" s="437"/>
      <c r="AQ10" s="437"/>
      <c r="AR10" s="437"/>
      <c r="AS10" s="437"/>
      <c r="AT10" s="957">
        <f>IF(AND(OR(O$25=TRUE,O$26=TRUE,O$27=TRUE),AT$12=0),IF(AND(SUM(F10:H10)&gt;0,C10=""),1,0),IF(AND(OR(SUM(F10:H10)&gt;0,I10&gt;0),ISERROR(VLOOKUP(J10,L$7:L$18,1,FALSE))),1,0))</f>
        <v>0</v>
      </c>
      <c r="AU10" s="957">
        <f t="shared" si="3"/>
        <v>0</v>
      </c>
      <c r="AV10" s="438"/>
    </row>
    <row r="11" spans="1:48" ht="16.5" customHeight="1">
      <c r="A11" s="1"/>
      <c r="B11" s="669">
        <v>5</v>
      </c>
      <c r="C11" s="1437" t="str">
        <f>ENTI!B13</f>
        <v>Nome ENTE ultimo disponibile</v>
      </c>
      <c r="D11" s="1438"/>
      <c r="E11" s="1439"/>
      <c r="F11" s="704">
        <v>400</v>
      </c>
      <c r="G11" s="704">
        <v>500</v>
      </c>
      <c r="H11" s="705">
        <v>0.47499999999999998</v>
      </c>
      <c r="I11" s="1090">
        <v>40</v>
      </c>
      <c r="J11" s="1087" t="s">
        <v>65</v>
      </c>
      <c r="K11" s="739" t="str">
        <f>IF(J11="","",IF(ISERROR(VLOOKUP(J11,L$7:L$18,1,FALSE)),"&lt;-- ERROR",""))</f>
        <v/>
      </c>
      <c r="L11" s="943" t="s">
        <v>527</v>
      </c>
      <c r="M11" s="951">
        <f t="shared" si="0"/>
        <v>0</v>
      </c>
      <c r="N11" s="945">
        <f t="shared" si="1"/>
        <v>0</v>
      </c>
      <c r="O11" s="947">
        <f t="shared" si="2"/>
        <v>0</v>
      </c>
      <c r="P11" s="428"/>
      <c r="Q11" s="706"/>
      <c r="R11" s="421"/>
      <c r="S11" s="1"/>
      <c r="T11" s="437"/>
      <c r="U11" s="1"/>
      <c r="V11" s="1"/>
      <c r="W11" s="437"/>
      <c r="X11" s="437"/>
      <c r="Y11" s="437"/>
      <c r="Z11" s="437"/>
      <c r="AA11" s="437"/>
      <c r="AB11" s="437"/>
      <c r="AC11" s="437"/>
      <c r="AD11" s="437"/>
      <c r="AE11" s="437"/>
      <c r="AF11" s="437"/>
      <c r="AG11" s="437"/>
      <c r="AH11" s="437"/>
      <c r="AI11" s="438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957">
        <f>IF(AND(OR(O$25=TRUE,O$26=TRUE,O$27=TRUE),AT$12=0),IF(AND(SUM(F11:H11)&gt;0,C11=""),1,0),IF(AND(OR(SUM(F11:H11)&gt;0,I11&gt;0),ISERROR(VLOOKUP(J11,L$7:L$18,1,FALSE))),1,0))</f>
        <v>0</v>
      </c>
      <c r="AU11" s="957">
        <f t="shared" si="3"/>
        <v>0</v>
      </c>
      <c r="AV11" s="438"/>
    </row>
    <row r="12" spans="1:48" ht="16.5" customHeight="1">
      <c r="A12" s="1"/>
      <c r="B12" s="3"/>
      <c r="C12" s="668" t="str">
        <f>IF(AU12&gt;0,"ERROR","")</f>
        <v/>
      </c>
      <c r="D12" s="1058" t="s">
        <v>63</v>
      </c>
      <c r="E12" s="423"/>
      <c r="F12" s="708">
        <f>SUM(F7:F11)</f>
        <v>1000</v>
      </c>
      <c r="G12" s="708">
        <f>SUM(G7:G11)</f>
        <v>1500</v>
      </c>
      <c r="H12" s="708">
        <f>SUM(H7:H11)</f>
        <v>1</v>
      </c>
      <c r="I12" s="457">
        <f>SUM(I7:I11)</f>
        <v>100</v>
      </c>
      <c r="J12" s="454"/>
      <c r="K12" s="90"/>
      <c r="L12" s="943" t="s">
        <v>528</v>
      </c>
      <c r="M12" s="951">
        <f t="shared" si="0"/>
        <v>0</v>
      </c>
      <c r="N12" s="945">
        <f t="shared" si="1"/>
        <v>0</v>
      </c>
      <c r="O12" s="947">
        <f t="shared" si="2"/>
        <v>0</v>
      </c>
      <c r="P12" s="428"/>
      <c r="Q12" s="706"/>
      <c r="R12" s="421"/>
      <c r="S12" s="1"/>
      <c r="T12" s="437"/>
      <c r="U12" s="1"/>
      <c r="V12" s="1"/>
      <c r="W12" s="437"/>
      <c r="X12" s="437"/>
      <c r="Y12" s="437"/>
      <c r="Z12" s="437"/>
      <c r="AA12" s="437"/>
      <c r="AB12" s="437"/>
      <c r="AC12" s="437"/>
      <c r="AD12" s="437"/>
      <c r="AE12" s="437"/>
      <c r="AF12" s="437"/>
      <c r="AG12" s="437"/>
      <c r="AH12" s="437"/>
      <c r="AI12" s="438"/>
      <c r="AJ12" s="437"/>
      <c r="AK12" s="437"/>
      <c r="AL12" s="437"/>
      <c r="AM12" s="437"/>
      <c r="AN12" s="437"/>
      <c r="AO12" s="437"/>
      <c r="AP12" s="437"/>
      <c r="AQ12" s="437"/>
      <c r="AR12" s="437"/>
      <c r="AS12" s="437"/>
      <c r="AT12" s="931">
        <f>IF(ISBLANK(COSTI!I70),0,VLOOKUP(COSTI!I70,COSTI!I1079:N1084,6,FALSE))</f>
        <v>0</v>
      </c>
      <c r="AU12" s="931">
        <f>SUM(AU7:AU11)</f>
        <v>0</v>
      </c>
      <c r="AV12" s="438"/>
    </row>
    <row r="13" spans="1:48" ht="16.5" customHeight="1">
      <c r="A13" s="1"/>
      <c r="B13" s="1"/>
      <c r="C13" s="1436" t="str">
        <f>C$2</f>
        <v>Inserisci qui il NOME - Via del Condominio - 00000 - ROMA</v>
      </c>
      <c r="D13" s="1436"/>
      <c r="E13" s="1436"/>
      <c r="F13" s="1436"/>
      <c r="G13" s="1436"/>
      <c r="H13" s="1436"/>
      <c r="I13" s="1436"/>
      <c r="J13" s="1436"/>
      <c r="K13" s="1"/>
      <c r="L13" s="943" t="s">
        <v>529</v>
      </c>
      <c r="M13" s="951">
        <f t="shared" si="0"/>
        <v>0</v>
      </c>
      <c r="N13" s="945">
        <f t="shared" si="1"/>
        <v>0</v>
      </c>
      <c r="O13" s="947">
        <f t="shared" si="2"/>
        <v>0</v>
      </c>
      <c r="P13" s="428"/>
      <c r="Q13" s="706"/>
      <c r="R13" s="421"/>
      <c r="S13" s="1"/>
      <c r="T13" s="437"/>
      <c r="U13" s="1"/>
      <c r="V13" s="1"/>
      <c r="W13" s="437"/>
      <c r="X13" s="437"/>
      <c r="Y13" s="437"/>
      <c r="Z13" s="437"/>
      <c r="AA13" s="437"/>
      <c r="AB13" s="437"/>
      <c r="AC13" s="437"/>
      <c r="AD13" s="437"/>
      <c r="AE13" s="437"/>
      <c r="AF13" s="437"/>
      <c r="AG13" s="437"/>
      <c r="AH13" s="437"/>
      <c r="AI13" s="438"/>
      <c r="AJ13" s="437"/>
      <c r="AK13" s="437"/>
      <c r="AL13" s="437"/>
      <c r="AM13" s="437"/>
      <c r="AN13" s="437"/>
      <c r="AO13" s="437"/>
      <c r="AP13" s="437"/>
      <c r="AQ13" s="437"/>
      <c r="AR13" s="437"/>
      <c r="AS13" s="437"/>
      <c r="AT13" s="835"/>
      <c r="AU13" s="835"/>
      <c r="AV13" s="438"/>
    </row>
    <row r="14" spans="1:48" ht="16.5" customHeight="1">
      <c r="A14" s="1"/>
      <c r="B14" s="1"/>
      <c r="C14" s="1440" t="str">
        <f>COSTI!I60</f>
        <v/>
      </c>
      <c r="D14" s="1440"/>
      <c r="E14" s="1440"/>
      <c r="F14" s="1440"/>
      <c r="G14" s="1440"/>
      <c r="H14" s="1440"/>
      <c r="I14" s="1440"/>
      <c r="J14" s="1"/>
      <c r="K14" s="1"/>
      <c r="L14" s="943" t="s">
        <v>527</v>
      </c>
      <c r="M14" s="951">
        <f t="shared" si="0"/>
        <v>0</v>
      </c>
      <c r="N14" s="945">
        <f t="shared" si="1"/>
        <v>0</v>
      </c>
      <c r="O14" s="947">
        <f t="shared" si="2"/>
        <v>0</v>
      </c>
      <c r="P14" s="428"/>
      <c r="Q14" s="706"/>
      <c r="R14" s="421"/>
      <c r="S14" s="1"/>
      <c r="T14" s="437"/>
      <c r="U14" s="1"/>
      <c r="V14" s="1"/>
      <c r="W14" s="437"/>
      <c r="X14" s="437"/>
      <c r="Y14" s="437"/>
      <c r="Z14" s="437"/>
      <c r="AA14" s="437"/>
      <c r="AB14" s="437"/>
      <c r="AC14" s="437"/>
      <c r="AD14" s="437"/>
      <c r="AE14" s="437"/>
      <c r="AF14" s="437"/>
      <c r="AG14" s="437"/>
      <c r="AH14" s="437"/>
      <c r="AI14" s="438"/>
      <c r="AJ14" s="437"/>
      <c r="AK14" s="437"/>
      <c r="AL14" s="437"/>
      <c r="AM14" s="437"/>
      <c r="AN14" s="437"/>
      <c r="AO14" s="437"/>
      <c r="AP14" s="437"/>
      <c r="AQ14" s="437"/>
      <c r="AR14" s="437"/>
      <c r="AS14" s="437"/>
      <c r="AT14" s="835"/>
      <c r="AU14" s="835"/>
      <c r="AV14" s="438"/>
    </row>
    <row r="15" spans="1:48" ht="16.5" customHeight="1">
      <c r="A15" s="1"/>
      <c r="B15" s="1"/>
      <c r="C15" s="1059"/>
      <c r="D15" s="1059"/>
      <c r="E15" s="1059"/>
      <c r="F15" s="1059"/>
      <c r="G15" s="1059"/>
      <c r="H15" s="1059"/>
      <c r="I15" s="1059"/>
      <c r="J15" s="1"/>
      <c r="K15" s="1"/>
      <c r="L15" s="943" t="s">
        <v>530</v>
      </c>
      <c r="M15" s="951">
        <f t="shared" si="0"/>
        <v>0</v>
      </c>
      <c r="N15" s="945">
        <f t="shared" si="1"/>
        <v>0</v>
      </c>
      <c r="O15" s="947">
        <f t="shared" si="2"/>
        <v>0</v>
      </c>
      <c r="P15" s="428"/>
      <c r="Q15" s="706"/>
      <c r="R15" s="421"/>
      <c r="S15" s="1"/>
      <c r="T15" s="437"/>
      <c r="U15" s="1"/>
      <c r="V15" s="1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8"/>
      <c r="AJ15" s="437"/>
      <c r="AK15" s="437"/>
      <c r="AL15" s="437"/>
      <c r="AM15" s="437"/>
      <c r="AN15" s="437"/>
      <c r="AO15" s="437"/>
      <c r="AP15" s="437"/>
      <c r="AQ15" s="437"/>
      <c r="AR15" s="437"/>
      <c r="AS15" s="437"/>
      <c r="AT15" s="835"/>
      <c r="AU15" s="835"/>
      <c r="AV15" s="438"/>
    </row>
    <row r="16" spans="1:48" ht="16.5" customHeight="1">
      <c r="A16" s="1"/>
      <c r="B16" s="1"/>
      <c r="C16" s="1059"/>
      <c r="D16" s="1059"/>
      <c r="E16" s="1059"/>
      <c r="F16" s="1059"/>
      <c r="G16" s="1059"/>
      <c r="H16" s="1059"/>
      <c r="I16" s="1059"/>
      <c r="J16" s="1"/>
      <c r="K16" s="1"/>
      <c r="L16" s="943" t="s">
        <v>531</v>
      </c>
      <c r="M16" s="951">
        <f t="shared" si="0"/>
        <v>0</v>
      </c>
      <c r="N16" s="945">
        <f t="shared" si="1"/>
        <v>0</v>
      </c>
      <c r="O16" s="947">
        <f t="shared" si="2"/>
        <v>0</v>
      </c>
      <c r="P16" s="428"/>
      <c r="Q16" s="706"/>
      <c r="R16" s="421"/>
      <c r="S16" s="1"/>
      <c r="T16" s="437"/>
      <c r="U16" s="1"/>
      <c r="V16" s="1"/>
      <c r="W16" s="437"/>
      <c r="X16" s="437"/>
      <c r="Y16" s="437"/>
      <c r="Z16" s="437"/>
      <c r="AA16" s="437"/>
      <c r="AB16" s="437"/>
      <c r="AC16" s="437"/>
      <c r="AD16" s="437"/>
      <c r="AE16" s="437"/>
      <c r="AF16" s="437"/>
      <c r="AG16" s="437"/>
      <c r="AH16" s="437"/>
      <c r="AI16" s="438"/>
      <c r="AJ16" s="437"/>
      <c r="AK16" s="437"/>
      <c r="AL16" s="437"/>
      <c r="AM16" s="437"/>
      <c r="AN16" s="437"/>
      <c r="AO16" s="437"/>
      <c r="AP16" s="437"/>
      <c r="AQ16" s="437"/>
      <c r="AR16" s="437"/>
      <c r="AS16" s="437"/>
      <c r="AT16" s="835"/>
      <c r="AU16" s="835"/>
      <c r="AV16" s="438"/>
    </row>
    <row r="17" spans="1:49" ht="16.5" customHeight="1">
      <c r="A17" s="1"/>
      <c r="B17" s="1"/>
      <c r="C17" s="1061"/>
      <c r="D17" s="1061"/>
      <c r="E17" s="1061"/>
      <c r="F17" s="1061"/>
      <c r="G17" s="1061"/>
      <c r="H17" s="1061"/>
      <c r="I17" s="1061"/>
      <c r="J17" s="1"/>
      <c r="K17" s="1"/>
      <c r="L17" s="943" t="s">
        <v>527</v>
      </c>
      <c r="M17" s="951">
        <f t="shared" si="0"/>
        <v>0</v>
      </c>
      <c r="N17" s="945">
        <f t="shared" si="1"/>
        <v>0</v>
      </c>
      <c r="O17" s="947">
        <f t="shared" si="2"/>
        <v>0</v>
      </c>
      <c r="P17" s="428"/>
      <c r="Q17" s="706"/>
      <c r="R17" s="421"/>
      <c r="S17" s="1"/>
      <c r="T17" s="437"/>
      <c r="U17" s="1"/>
      <c r="V17" s="1"/>
      <c r="W17" s="437"/>
      <c r="X17" s="437"/>
      <c r="Y17" s="437"/>
      <c r="Z17" s="437"/>
      <c r="AA17" s="437"/>
      <c r="AB17" s="437"/>
      <c r="AC17" s="437"/>
      <c r="AD17" s="437"/>
      <c r="AE17" s="437"/>
      <c r="AF17" s="437"/>
      <c r="AG17" s="437"/>
      <c r="AH17" s="437"/>
      <c r="AI17" s="438"/>
      <c r="AJ17" s="437"/>
      <c r="AK17" s="437"/>
      <c r="AL17" s="437"/>
      <c r="AM17" s="437"/>
      <c r="AN17" s="437"/>
      <c r="AO17" s="437"/>
      <c r="AP17" s="437"/>
      <c r="AQ17" s="437"/>
      <c r="AR17" s="437"/>
      <c r="AS17" s="437"/>
      <c r="AT17" s="835"/>
      <c r="AU17" s="835"/>
      <c r="AV17" s="438"/>
    </row>
    <row r="18" spans="1:49" ht="16.5" customHeight="1">
      <c r="A18" s="1"/>
      <c r="B18" s="1"/>
      <c r="C18" s="1061"/>
      <c r="D18" s="1061"/>
      <c r="E18" s="1061"/>
      <c r="F18" s="1061"/>
      <c r="G18" s="1061"/>
      <c r="H18" s="1061"/>
      <c r="I18" s="1061"/>
      <c r="J18" s="1"/>
      <c r="K18" s="1"/>
      <c r="L18" s="944" t="s">
        <v>526</v>
      </c>
      <c r="M18" s="952">
        <f t="shared" si="0"/>
        <v>0</v>
      </c>
      <c r="N18" s="948">
        <f t="shared" si="1"/>
        <v>0</v>
      </c>
      <c r="O18" s="949">
        <f t="shared" si="2"/>
        <v>0</v>
      </c>
      <c r="P18" s="429"/>
      <c r="Q18" s="707"/>
      <c r="R18" s="422"/>
      <c r="S18" s="1"/>
      <c r="T18" s="437"/>
      <c r="U18" s="1"/>
      <c r="V18" s="1"/>
      <c r="W18" s="437"/>
      <c r="X18" s="437"/>
      <c r="Y18" s="437"/>
      <c r="Z18" s="437"/>
      <c r="AA18" s="437"/>
      <c r="AB18" s="437"/>
      <c r="AC18" s="437"/>
      <c r="AD18" s="437"/>
      <c r="AE18" s="437"/>
      <c r="AF18" s="437"/>
      <c r="AG18" s="437"/>
      <c r="AH18" s="437"/>
      <c r="AI18" s="438"/>
      <c r="AJ18" s="437"/>
      <c r="AK18" s="437"/>
      <c r="AL18" s="437"/>
      <c r="AM18" s="437"/>
      <c r="AN18" s="437"/>
      <c r="AO18" s="437"/>
      <c r="AP18" s="437"/>
      <c r="AQ18" s="437"/>
      <c r="AR18" s="437"/>
      <c r="AS18" s="437"/>
      <c r="AT18" s="835"/>
      <c r="AU18" s="835"/>
      <c r="AV18" s="438"/>
    </row>
    <row r="19" spans="1:49" ht="16.5" customHeight="1">
      <c r="A19" s="1"/>
      <c r="B19" s="1"/>
      <c r="C19" s="1061"/>
      <c r="D19" s="1061"/>
      <c r="E19" s="1061"/>
      <c r="F19" s="1061"/>
      <c r="G19" s="1061"/>
      <c r="H19" s="1061"/>
      <c r="I19" s="1061"/>
      <c r="J19" s="1"/>
      <c r="K19" s="1"/>
      <c r="L19" s="424" t="e">
        <f>IF(SUM(N19:O19)=0,"",IF(AND(O29=TRUE,N6=""),"MILL.mi  ???",IF(O30=TRUE,"",IF(SUM(HLOOKUP(N6,F6:H12,62,FALSE),I12)&lt;&gt;SUM(N19:O19),"ERROR",""))))</f>
        <v>#REF!</v>
      </c>
      <c r="M19" s="51"/>
      <c r="N19" s="709">
        <f>SUM(N7:N18)</f>
        <v>1000</v>
      </c>
      <c r="O19" s="456">
        <f>SUM(O7:O18)</f>
        <v>100</v>
      </c>
      <c r="P19" s="455"/>
      <c r="Q19" s="709">
        <f>SUM(Q7:Q18)</f>
        <v>0</v>
      </c>
      <c r="R19" s="456">
        <f>SUM(R7:R18)</f>
        <v>0</v>
      </c>
      <c r="S19" s="1"/>
      <c r="T19" s="437"/>
      <c r="U19" s="1"/>
      <c r="V19" s="1"/>
      <c r="W19" s="437"/>
      <c r="X19" s="437"/>
      <c r="Y19" s="437"/>
      <c r="Z19" s="437"/>
      <c r="AA19" s="437"/>
      <c r="AB19" s="437"/>
      <c r="AC19" s="437"/>
      <c r="AD19" s="437"/>
      <c r="AE19" s="437"/>
      <c r="AF19" s="437"/>
      <c r="AG19" s="437"/>
      <c r="AH19" s="437"/>
      <c r="AI19" s="438"/>
      <c r="AJ19" s="437"/>
      <c r="AK19" s="437"/>
      <c r="AL19" s="437"/>
      <c r="AM19" s="437"/>
      <c r="AN19" s="437"/>
      <c r="AO19" s="437"/>
      <c r="AP19" s="437"/>
      <c r="AQ19" s="437"/>
      <c r="AR19" s="437"/>
      <c r="AS19" s="437"/>
      <c r="AT19" s="835"/>
      <c r="AU19" s="835"/>
      <c r="AV19" s="438"/>
    </row>
    <row r="20" spans="1:49" ht="16.5" customHeight="1">
      <c r="A20" s="1"/>
      <c r="B20" s="1"/>
      <c r="C20" s="1061"/>
      <c r="D20" s="1061"/>
      <c r="E20" s="1061"/>
      <c r="F20" s="1061"/>
      <c r="G20" s="1061"/>
      <c r="H20" s="1061"/>
      <c r="I20" s="1061"/>
      <c r="J20" s="1"/>
      <c r="K20" s="1"/>
      <c r="L20" s="1404" t="s">
        <v>241</v>
      </c>
      <c r="M20" s="1405"/>
      <c r="N20" s="1399" t="s">
        <v>238</v>
      </c>
      <c r="O20" s="1400"/>
      <c r="P20" s="1444" t="s">
        <v>240</v>
      </c>
      <c r="Q20" s="1444"/>
      <c r="R20" s="46"/>
      <c r="S20" s="90"/>
      <c r="T20" s="437"/>
      <c r="U20" s="1"/>
      <c r="V20" s="1"/>
      <c r="W20" s="437"/>
      <c r="X20" s="437"/>
      <c r="Y20" s="437"/>
      <c r="Z20" s="437"/>
      <c r="AA20" s="437"/>
      <c r="AB20" s="437"/>
      <c r="AC20" s="57"/>
      <c r="AD20" s="57"/>
      <c r="AE20" s="57"/>
      <c r="AF20" s="57"/>
      <c r="AG20" s="57"/>
      <c r="AH20" s="57"/>
      <c r="AI20" s="1060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835"/>
      <c r="AU20" s="835"/>
      <c r="AV20" s="1060"/>
    </row>
    <row r="21" spans="1:49" ht="16.5" customHeight="1">
      <c r="A21" s="1"/>
      <c r="B21" s="1"/>
      <c r="C21" s="1061"/>
      <c r="D21" s="1061"/>
      <c r="E21" s="1061"/>
      <c r="F21" s="1061"/>
      <c r="G21" s="1061"/>
      <c r="H21" s="1061"/>
      <c r="I21" s="106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437"/>
      <c r="V21" s="1"/>
      <c r="W21" s="1"/>
      <c r="X21" s="437"/>
      <c r="Y21" s="437"/>
      <c r="Z21" s="437"/>
      <c r="AA21" s="437"/>
      <c r="AB21" s="437"/>
      <c r="AC21" s="1"/>
      <c r="AD21" s="1"/>
      <c r="AE21" s="1"/>
      <c r="AF21" s="1"/>
      <c r="AG21" s="1"/>
      <c r="AH21" s="1"/>
      <c r="AI21" s="438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835"/>
      <c r="AU21" s="835"/>
      <c r="AV21" s="438"/>
    </row>
    <row r="22" spans="1:49" ht="16.5" customHeight="1">
      <c r="A22" s="1"/>
      <c r="B22" s="1"/>
      <c r="C22" s="1061"/>
      <c r="D22" s="1061"/>
      <c r="E22" s="1061"/>
      <c r="F22" s="1061"/>
      <c r="G22" s="1061"/>
      <c r="H22" s="1061"/>
      <c r="I22" s="1061"/>
      <c r="J22" s="1"/>
      <c r="K22" s="1"/>
      <c r="L22" s="1"/>
      <c r="M22" s="1"/>
      <c r="N22" s="1"/>
      <c r="O22" s="1"/>
      <c r="P22" s="1"/>
      <c r="Q22" s="1"/>
      <c r="R22" s="1"/>
      <c r="S22" s="1"/>
      <c r="T22" s="90"/>
      <c r="U22" s="430"/>
      <c r="V22" s="1456"/>
      <c r="W22" s="1456"/>
      <c r="X22" s="1456"/>
      <c r="Y22" s="1"/>
      <c r="Z22" s="437"/>
      <c r="AA22" s="437"/>
      <c r="AB22" s="437"/>
      <c r="AC22" s="1"/>
      <c r="AD22" s="1"/>
      <c r="AE22" s="1"/>
      <c r="AF22" s="1"/>
      <c r="AG22" s="1"/>
      <c r="AH22" s="1"/>
      <c r="AI22" s="28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835"/>
      <c r="AU22" s="835"/>
      <c r="AV22" s="28"/>
    </row>
    <row r="23" spans="1:49" ht="16.5" customHeight="1">
      <c r="A23" s="1"/>
      <c r="B23" s="1"/>
      <c r="C23" s="1061"/>
      <c r="D23" s="1061"/>
      <c r="E23" s="1061"/>
      <c r="F23" s="1061"/>
      <c r="G23" s="1061"/>
      <c r="H23" s="1061"/>
      <c r="I23" s="1061"/>
      <c r="J23" s="1"/>
      <c r="K23" s="1"/>
      <c r="L23" s="1396" t="s">
        <v>234</v>
      </c>
      <c r="M23" s="1397"/>
      <c r="N23" s="1398"/>
      <c r="O23" s="1"/>
      <c r="P23" s="1"/>
      <c r="Q23" s="1"/>
      <c r="R23" s="1"/>
      <c r="S23" s="1"/>
      <c r="T23" s="90"/>
      <c r="U23" s="430"/>
      <c r="V23" s="1457"/>
      <c r="W23" s="1457"/>
      <c r="X23" s="1457"/>
      <c r="Y23" s="1457"/>
      <c r="Z23" s="437"/>
      <c r="AA23" s="437"/>
      <c r="AB23" s="437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9" ht="16.5" customHeight="1">
      <c r="A24" s="1"/>
      <c r="B24" s="1"/>
      <c r="C24" s="1061"/>
      <c r="D24" s="1061"/>
      <c r="E24" s="1061"/>
      <c r="F24" s="1061"/>
      <c r="G24" s="1061"/>
      <c r="H24" s="1061"/>
      <c r="I24" s="1061"/>
      <c r="J24" s="1"/>
      <c r="K24" s="1"/>
      <c r="L24" s="1393" t="str">
        <f>IF(ISBLANK(L25),H76,H75)</f>
        <v>DEFAULT</v>
      </c>
      <c r="M24" s="1394"/>
      <c r="N24" s="1395"/>
      <c r="O24" s="670"/>
      <c r="P24" s="1389" t="s">
        <v>235</v>
      </c>
      <c r="Q24" s="1389"/>
      <c r="R24" s="1389"/>
      <c r="S24" s="90"/>
      <c r="T24" s="90"/>
      <c r="U24" s="430"/>
      <c r="V24" s="1460"/>
      <c r="W24" s="1460"/>
      <c r="X24" s="1460"/>
      <c r="Y24" s="1460"/>
      <c r="Z24" s="437"/>
      <c r="AA24" s="437"/>
      <c r="AB24" s="437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9" ht="16.5" customHeight="1">
      <c r="A25" s="1"/>
      <c r="B25" s="1"/>
      <c r="C25" s="1061"/>
      <c r="D25" s="1061"/>
      <c r="E25" s="1061"/>
      <c r="F25" s="1061"/>
      <c r="G25" s="1061"/>
      <c r="H25" s="1061"/>
      <c r="I25" s="1061"/>
      <c r="J25" s="1"/>
      <c r="K25" s="1"/>
      <c r="L25" s="1412" t="s">
        <v>382</v>
      </c>
      <c r="M25" s="1413"/>
      <c r="N25" s="1414"/>
      <c r="O25" s="640" t="b">
        <f t="shared" ref="O25:O30" si="4">IF(L$25=P25,TRUE,FALSE)</f>
        <v>1</v>
      </c>
      <c r="P25" s="1459" t="s">
        <v>382</v>
      </c>
      <c r="Q25" s="1459"/>
      <c r="R25" s="1459"/>
      <c r="S25" s="1432">
        <f t="shared" ref="S25:S30" si="5">IF(O25=TRUE,1,0)</f>
        <v>1</v>
      </c>
      <c r="T25" s="1432"/>
      <c r="U25" s="437"/>
      <c r="V25" s="1461"/>
      <c r="W25" s="1461"/>
      <c r="X25" s="1461"/>
      <c r="Y25" s="1461"/>
      <c r="Z25" s="57"/>
      <c r="AA25" s="57"/>
      <c r="AB25" s="57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003" t="str">
        <f>$F$6</f>
        <v>MILL.mi   I</v>
      </c>
    </row>
    <row r="26" spans="1:49" ht="16.5" customHeight="1">
      <c r="A26" s="1"/>
      <c r="B26" s="1"/>
      <c r="C26" s="1061"/>
      <c r="D26" s="1061"/>
      <c r="E26" s="1061"/>
      <c r="F26" s="1061"/>
      <c r="G26" s="1061"/>
      <c r="H26" s="1061"/>
      <c r="I26" s="1061"/>
      <c r="J26" s="1"/>
      <c r="K26" s="1"/>
      <c r="L26" s="1415"/>
      <c r="M26" s="1416"/>
      <c r="N26" s="1417"/>
      <c r="O26" s="640" t="b">
        <f t="shared" si="4"/>
        <v>0</v>
      </c>
      <c r="P26" s="1458" t="s">
        <v>383</v>
      </c>
      <c r="Q26" s="1458"/>
      <c r="R26" s="1458"/>
      <c r="S26" s="1432">
        <f t="shared" si="5"/>
        <v>0</v>
      </c>
      <c r="T26" s="1432"/>
      <c r="U26" s="1"/>
      <c r="V26" s="1"/>
      <c r="W26" s="1"/>
      <c r="X26" s="1"/>
      <c r="Y26" s="1"/>
      <c r="Z26" s="1"/>
      <c r="AA26" s="1"/>
      <c r="AB26" s="1"/>
      <c r="AC26" s="835"/>
      <c r="AD26" s="835"/>
      <c r="AE26" s="835"/>
      <c r="AF26" s="835"/>
      <c r="AG26" s="835"/>
      <c r="AH26" s="835"/>
      <c r="AI26" s="835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004" t="str">
        <f>$G$6</f>
        <v>MILL.mi   II</v>
      </c>
    </row>
    <row r="27" spans="1:49" ht="16.5" customHeight="1">
      <c r="A27" s="1"/>
      <c r="B27" s="1"/>
      <c r="C27" s="1062"/>
      <c r="D27" s="1062"/>
      <c r="E27" s="1062"/>
      <c r="F27" s="1062"/>
      <c r="G27" s="1062"/>
      <c r="H27" s="1062"/>
      <c r="I27" s="1062"/>
      <c r="J27" s="1"/>
      <c r="K27" s="1"/>
      <c r="L27" s="618" t="str">
        <f>IF(L25="","",IF(ISERROR(VLOOKUP(L25,P25:R30,1,FALSE)),"ERROR --&gt;",""))</f>
        <v/>
      </c>
      <c r="M27" s="1"/>
      <c r="N27" s="1"/>
      <c r="O27" s="640" t="b">
        <f t="shared" si="4"/>
        <v>0</v>
      </c>
      <c r="P27" s="1433" t="s">
        <v>384</v>
      </c>
      <c r="Q27" s="1433"/>
      <c r="R27" s="1433"/>
      <c r="S27" s="1432">
        <f t="shared" si="5"/>
        <v>0</v>
      </c>
      <c r="T27" s="1432"/>
      <c r="U27" s="1"/>
      <c r="V27" s="1"/>
      <c r="W27" s="1"/>
      <c r="X27" s="1"/>
      <c r="Y27" s="1"/>
      <c r="Z27" s="1"/>
      <c r="AA27" s="1"/>
      <c r="AB27" s="1"/>
      <c r="AC27" s="835"/>
      <c r="AD27" s="835"/>
      <c r="AE27" s="835"/>
      <c r="AF27" s="835"/>
      <c r="AG27" s="835"/>
      <c r="AH27" s="835"/>
      <c r="AI27" s="835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004" t="str">
        <f>$H$6</f>
        <v>MILL.mi   III</v>
      </c>
    </row>
    <row r="28" spans="1:49" ht="16.5" customHeight="1">
      <c r="A28" s="1"/>
      <c r="B28" s="1"/>
      <c r="C28" s="1062"/>
      <c r="D28" s="1062"/>
      <c r="E28" s="1062"/>
      <c r="F28" s="1062"/>
      <c r="G28" s="1062"/>
      <c r="H28" s="1062"/>
      <c r="I28" s="1062"/>
      <c r="J28" s="1"/>
      <c r="K28" s="1"/>
      <c r="L28" s="1"/>
      <c r="M28" s="1"/>
      <c r="N28" s="1"/>
      <c r="O28" s="640" t="b">
        <f t="shared" si="4"/>
        <v>0</v>
      </c>
      <c r="P28" s="1458" t="s">
        <v>385</v>
      </c>
      <c r="Q28" s="1458"/>
      <c r="R28" s="1458"/>
      <c r="S28" s="1432">
        <f t="shared" si="5"/>
        <v>0</v>
      </c>
      <c r="T28" s="1432"/>
      <c r="U28" s="1"/>
      <c r="V28" s="1"/>
      <c r="W28" s="1"/>
      <c r="X28" s="1"/>
      <c r="Y28" s="1"/>
      <c r="Z28" s="1"/>
      <c r="AA28" s="1"/>
      <c r="AB28" s="1"/>
      <c r="AC28" s="835"/>
      <c r="AD28" s="835"/>
      <c r="AE28" s="835"/>
      <c r="AF28" s="835"/>
      <c r="AG28" s="835"/>
      <c r="AH28" s="835"/>
      <c r="AI28" s="835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004" t="str">
        <f>$I$6</f>
        <v>Percentuale</v>
      </c>
    </row>
    <row r="29" spans="1:49" ht="16.5" customHeight="1">
      <c r="A29" s="1"/>
      <c r="B29" s="1"/>
      <c r="C29" s="1062"/>
      <c r="D29" s="1062"/>
      <c r="E29" s="1062"/>
      <c r="F29" s="1062"/>
      <c r="G29" s="1062"/>
      <c r="H29" s="1062"/>
      <c r="I29" s="1062"/>
      <c r="J29" s="1"/>
      <c r="K29" s="1"/>
      <c r="L29" s="1"/>
      <c r="M29" s="1"/>
      <c r="N29" s="1"/>
      <c r="O29" s="640" t="b">
        <f t="shared" si="4"/>
        <v>0</v>
      </c>
      <c r="P29" s="1459" t="str">
        <f>CONCATENATE("5 - ",L6," in Millesimi")</f>
        <v>5 - es. PER PIANO in Millesimi</v>
      </c>
      <c r="Q29" s="1459"/>
      <c r="R29" s="1459"/>
      <c r="S29" s="1432">
        <f t="shared" si="5"/>
        <v>0</v>
      </c>
      <c r="T29" s="1432"/>
      <c r="U29" s="1"/>
      <c r="V29" s="1"/>
      <c r="W29" s="1"/>
      <c r="X29" s="1"/>
      <c r="Y29" s="1"/>
      <c r="Z29" s="1"/>
      <c r="AA29" s="1"/>
      <c r="AB29" s="1"/>
      <c r="AC29" s="835"/>
      <c r="AD29" s="835"/>
      <c r="AE29" s="835"/>
      <c r="AF29" s="835"/>
      <c r="AG29" s="835"/>
      <c r="AH29" s="835"/>
      <c r="AI29" s="835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004" t="str">
        <f>$N$6</f>
        <v>MILL.mi   I</v>
      </c>
    </row>
    <row r="30" spans="1:49" ht="16.5" customHeight="1">
      <c r="A30" s="1"/>
      <c r="B30" s="1"/>
      <c r="C30" s="1062"/>
      <c r="D30" s="1062"/>
      <c r="E30" s="1062"/>
      <c r="F30" s="1062"/>
      <c r="G30" s="1062"/>
      <c r="H30" s="1062"/>
      <c r="I30" s="1062"/>
      <c r="J30" s="1"/>
      <c r="K30" s="1"/>
      <c r="L30" s="1"/>
      <c r="M30" s="1"/>
      <c r="N30" s="1"/>
      <c r="O30" s="640" t="b">
        <f t="shared" si="4"/>
        <v>0</v>
      </c>
      <c r="P30" s="1433" t="str">
        <f>CONCATENATE("6 - ",L6," in Percentuale")</f>
        <v>6 - es. PER PIANO in Percentuale</v>
      </c>
      <c r="Q30" s="1433"/>
      <c r="R30" s="1433"/>
      <c r="S30" s="1432">
        <f t="shared" si="5"/>
        <v>0</v>
      </c>
      <c r="T30" s="1432"/>
      <c r="U30" s="1"/>
      <c r="V30" s="1"/>
      <c r="W30" s="1"/>
      <c r="X30" s="1"/>
      <c r="Y30" s="1"/>
      <c r="Z30" s="1"/>
      <c r="AA30" s="1"/>
      <c r="AB30" s="1"/>
      <c r="AC30" s="835"/>
      <c r="AD30" s="835"/>
      <c r="AE30" s="835"/>
      <c r="AF30" s="835"/>
      <c r="AG30" s="835"/>
      <c r="AH30" s="835"/>
      <c r="AI30" s="835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05" t="str">
        <f>$O$6</f>
        <v>Percentuale</v>
      </c>
    </row>
    <row r="31" spans="1:49" ht="16.5" customHeight="1">
      <c r="A31" s="1"/>
      <c r="B31" s="1"/>
      <c r="C31" s="1062"/>
      <c r="D31" s="1062"/>
      <c r="E31" s="1062"/>
      <c r="F31" s="1062"/>
      <c r="G31" s="1062"/>
      <c r="H31" s="1062"/>
      <c r="I31" s="1062"/>
      <c r="J31" s="1"/>
      <c r="K31" s="1"/>
      <c r="L31" s="1"/>
      <c r="M31" s="1"/>
      <c r="N31" s="1"/>
      <c r="O31" s="639">
        <f>IF(COUNTIF(O25:O30,TRUE)&lt;&gt;1,1,0)</f>
        <v>0</v>
      </c>
      <c r="P31" s="1"/>
      <c r="Q31" s="1"/>
      <c r="R31" s="1"/>
      <c r="S31" s="1"/>
      <c r="T31" s="835"/>
      <c r="U31" s="835"/>
      <c r="V31" s="835"/>
      <c r="W31" s="835"/>
      <c r="X31" s="835"/>
      <c r="Y31" s="835"/>
      <c r="Z31" s="835"/>
      <c r="AA31" s="835"/>
      <c r="AB31" s="835"/>
      <c r="AC31" s="835"/>
      <c r="AD31" s="835"/>
      <c r="AE31" s="835"/>
      <c r="AF31" s="835"/>
      <c r="AG31" s="835"/>
      <c r="AH31" s="835"/>
      <c r="AI31" s="835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9" ht="16.5" customHeight="1">
      <c r="A32" s="1"/>
      <c r="B32" s="1"/>
      <c r="C32" s="1"/>
      <c r="D32" s="1"/>
      <c r="E32" s="1"/>
      <c r="F32" s="1"/>
      <c r="G32" s="1"/>
      <c r="H32" s="1"/>
      <c r="I32" s="1445" t="str">
        <f>Presentazione!$F$10</f>
        <v/>
      </c>
      <c r="J32" s="1445"/>
      <c r="K32" s="1445"/>
      <c r="L32" s="1445"/>
      <c r="M32" s="1445"/>
      <c r="N32" s="1445"/>
      <c r="O32" s="1445"/>
      <c r="P32" s="1445"/>
      <c r="Q32" s="1445"/>
      <c r="R32" s="1445"/>
      <c r="S32" s="1445"/>
      <c r="T32" s="1445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6.5" customHeight="1">
      <c r="A33" s="1"/>
      <c r="B33" s="1"/>
      <c r="C33" s="1462" t="str">
        <f>L1</f>
        <v>www.marcopiccoli.it - Bilancio Condominiale 4.0.E05 FREE - per EXCEL .xlsx</v>
      </c>
      <c r="D33" s="1462"/>
      <c r="E33" s="1462"/>
      <c r="F33" s="1462"/>
      <c r="G33" s="1462"/>
      <c r="H33" s="1462"/>
      <c r="I33" s="1"/>
      <c r="J33" s="1421" t="str">
        <f>COSTI!$I$61</f>
        <v>Inserisci qui il NOME   -   P.I./C.F codice fiscale condominio</v>
      </c>
      <c r="K33" s="1421"/>
      <c r="L33" s="1421"/>
      <c r="M33" s="1421"/>
      <c r="N33" s="1421"/>
      <c r="O33" s="1421"/>
      <c r="P33" s="1421"/>
      <c r="Q33" s="1421"/>
      <c r="R33" s="1421"/>
      <c r="S33" s="1421"/>
      <c r="T33" s="142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6.5" customHeight="1">
      <c r="A34" s="373"/>
      <c r="B34" s="1"/>
      <c r="C34" s="1452" t="s">
        <v>347</v>
      </c>
      <c r="D34" s="1452"/>
      <c r="E34" s="1452"/>
      <c r="F34" s="1452"/>
      <c r="G34" s="1446" t="s">
        <v>371</v>
      </c>
      <c r="H34" s="1446"/>
      <c r="I34" s="732" t="str">
        <f>$C$13</f>
        <v>Inserisci qui il NOME - Via del Condominio - 00000 - ROMA</v>
      </c>
      <c r="J34" s="551"/>
      <c r="K34" s="551"/>
      <c r="L34" s="1"/>
      <c r="M34" s="731"/>
      <c r="N34" s="731"/>
      <c r="O34" s="731"/>
      <c r="P34" s="731"/>
      <c r="Q34" s="731"/>
      <c r="R34" s="733" t="s">
        <v>13</v>
      </c>
      <c r="S34" s="570"/>
      <c r="T34" s="730">
        <f>Presentazione!$J$26</f>
        <v>2024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6.5" customHeight="1">
      <c r="A35" s="1"/>
      <c r="B35" s="3"/>
      <c r="C35" s="90"/>
      <c r="D35" s="90"/>
      <c r="E35" s="1008"/>
      <c r="F35" s="1008"/>
      <c r="G35" s="1008"/>
      <c r="H35" s="1008"/>
      <c r="I35" s="835"/>
      <c r="J35" s="835"/>
      <c r="K35" s="835"/>
      <c r="L35" s="1008"/>
      <c r="M35" s="1008"/>
      <c r="O35" s="995" t="s">
        <v>536</v>
      </c>
      <c r="P35" s="1434" t="str">
        <f>COSTI!P4</f>
        <v>Totale in sistema</v>
      </c>
      <c r="Q35" s="1435"/>
      <c r="R35" s="994" t="s">
        <v>364</v>
      </c>
      <c r="S35" s="90"/>
      <c r="T35" s="90"/>
      <c r="U35" s="274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6.5" customHeight="1">
      <c r="A36" s="1"/>
      <c r="B36" s="3"/>
      <c r="C36" s="395" t="s">
        <v>237</v>
      </c>
      <c r="D36" s="1451" t="str">
        <f>IF(SUM(S25:S30)=0,N85,L25)</f>
        <v>1 - in MILLESIMI   I</v>
      </c>
      <c r="E36" s="1451"/>
      <c r="F36" s="1451"/>
      <c r="G36" s="958" t="str">
        <f>ENTI!F8</f>
        <v>Gennaio</v>
      </c>
      <c r="H36" s="958" t="str">
        <f>ENTI!G8</f>
        <v>Febbraio</v>
      </c>
      <c r="I36" s="958" t="str">
        <f>ENTI!H8</f>
        <v>Marzo</v>
      </c>
      <c r="J36" s="958" t="str">
        <f>ENTI!I8</f>
        <v>Aprile</v>
      </c>
      <c r="K36" s="958" t="str">
        <f>ENTI!J8</f>
        <v>Maggio</v>
      </c>
      <c r="L36" s="958" t="str">
        <f>ENTI!K8</f>
        <v>Giugno</v>
      </c>
      <c r="M36" s="958" t="str">
        <f>ENTI!L8</f>
        <v>Luglio</v>
      </c>
      <c r="N36" s="958" t="str">
        <f>ENTI!M8</f>
        <v>Agosto</v>
      </c>
      <c r="O36" s="958" t="str">
        <f>ENTI!N8</f>
        <v>Settembre</v>
      </c>
      <c r="P36" s="958" t="str">
        <f>ENTI!O8</f>
        <v>Ottobre</v>
      </c>
      <c r="Q36" s="958" t="str">
        <f>ENTI!P8</f>
        <v>Novembre</v>
      </c>
      <c r="R36" s="958" t="str">
        <f>ENTI!Q8</f>
        <v>Dicembre</v>
      </c>
      <c r="S36" s="3"/>
      <c r="T36" s="388" t="s">
        <v>192</v>
      </c>
      <c r="U36" s="274"/>
      <c r="V36" s="1"/>
      <c r="W36" s="45" t="str">
        <f>COSTI!F5</f>
        <v>GEN</v>
      </c>
      <c r="X36" s="45" t="str">
        <f>COSTI!G5</f>
        <v>FEB</v>
      </c>
      <c r="Y36" s="45" t="str">
        <f>COSTI!H5</f>
        <v>MAR</v>
      </c>
      <c r="Z36" s="45" t="str">
        <f>COSTI!I5</f>
        <v>APR</v>
      </c>
      <c r="AA36" s="45" t="str">
        <f>COSTI!J5</f>
        <v>MAG</v>
      </c>
      <c r="AB36" s="45" t="str">
        <f>COSTI!K5</f>
        <v>GIU</v>
      </c>
      <c r="AC36" s="45" t="str">
        <f>COSTI!L5</f>
        <v>LUG</v>
      </c>
      <c r="AD36" s="45" t="str">
        <f>COSTI!M5</f>
        <v>AGO</v>
      </c>
      <c r="AE36" s="45" t="str">
        <f>COSTI!N5</f>
        <v>SET</v>
      </c>
      <c r="AF36" s="45" t="str">
        <f>COSTI!O5</f>
        <v>OTT</v>
      </c>
      <c r="AG36" s="45" t="str">
        <f>COSTI!P5</f>
        <v>NOV</v>
      </c>
      <c r="AH36" s="45" t="str">
        <f>COSTI!Q5</f>
        <v>DIC</v>
      </c>
      <c r="AI36" s="1"/>
      <c r="AJ36" s="45" t="str">
        <f>W36</f>
        <v>GEN</v>
      </c>
      <c r="AK36" s="45" t="str">
        <f t="shared" ref="AK36:AU36" si="6">X36</f>
        <v>FEB</v>
      </c>
      <c r="AL36" s="45" t="str">
        <f t="shared" si="6"/>
        <v>MAR</v>
      </c>
      <c r="AM36" s="45" t="str">
        <f t="shared" si="6"/>
        <v>APR</v>
      </c>
      <c r="AN36" s="45" t="str">
        <f t="shared" si="6"/>
        <v>MAG</v>
      </c>
      <c r="AO36" s="45" t="str">
        <f t="shared" si="6"/>
        <v>GIU</v>
      </c>
      <c r="AP36" s="45" t="str">
        <f t="shared" si="6"/>
        <v>LUG</v>
      </c>
      <c r="AQ36" s="45" t="str">
        <f t="shared" si="6"/>
        <v>AGO</v>
      </c>
      <c r="AR36" s="45" t="str">
        <f t="shared" si="6"/>
        <v>SET</v>
      </c>
      <c r="AS36" s="45" t="str">
        <f t="shared" si="6"/>
        <v>OTT</v>
      </c>
      <c r="AT36" s="45" t="str">
        <f t="shared" si="6"/>
        <v>NOV</v>
      </c>
      <c r="AU36" s="45" t="str">
        <f t="shared" si="6"/>
        <v>DIC</v>
      </c>
      <c r="AV36" s="1"/>
    </row>
    <row r="37" spans="1:48" ht="16.5" customHeight="1">
      <c r="A37" s="1"/>
      <c r="B37" s="435">
        <v>1</v>
      </c>
      <c r="C37" s="1453" t="str">
        <f ca="1">IF(AND(T37=0,ISBLANK(ENTI!B9)),"",IF(AND(T37&gt;0,ISBLANK(ENTI!B9)),CONCATENATE(H$71,C7),CONCATENATE(H$71,ENTI!B9)))</f>
        <v>Ripartizione costi Nome ENTE 1</v>
      </c>
      <c r="D37" s="1454"/>
      <c r="E37" s="1454"/>
      <c r="F37" s="1455"/>
      <c r="G37" s="974">
        <f ca="1">IF(G64=0,0,SUMIF(COSTI!$CL$4:$CL$1003,G$69,COSTI!$AD$4:$AD$1003)+G49)</f>
        <v>47.17</v>
      </c>
      <c r="H37" s="975">
        <f ca="1">IF(H64=0,0,SUMIF(COSTI!$CL$4:$CL$1003,H$69,COSTI!$AD$4:$AD$1003)+H49)</f>
        <v>50</v>
      </c>
      <c r="I37" s="975">
        <f ca="1">IF(I64=0,0,SUMIF(COSTI!$CL$4:$CL$1003,I$69,COSTI!$AD$4:$AD$1003)+I49)</f>
        <v>40</v>
      </c>
      <c r="J37" s="975">
        <f ca="1">IF(J64=0,0,SUMIF(COSTI!$CL$4:$CL$1003,J$69,COSTI!$AD$4:$AD$1003)+J49)</f>
        <v>30</v>
      </c>
      <c r="K37" s="975">
        <f ca="1">IF(K64=0,0,SUMIF(COSTI!$CL$4:$CL$1003,K$69,COSTI!$AD$4:$AD$1003)+K49)</f>
        <v>25</v>
      </c>
      <c r="L37" s="975">
        <f ca="1">IF(L64=0,0,SUMIF(COSTI!$CL$4:$CL$1003,L$69,COSTI!$AD$4:$AD$1003)+L49)</f>
        <v>10</v>
      </c>
      <c r="M37" s="975">
        <f ca="1">IF(M64=0,0,SUMIF(COSTI!$CL$4:$CL$1003,M$69,COSTI!$AD$4:$AD$1003)+M49)</f>
        <v>15</v>
      </c>
      <c r="N37" s="975">
        <f ca="1">IF(N64=0,0,SUMIF(COSTI!$CL$4:$CL$1003,N$69,COSTI!$AD$4:$AD$1003)+N49)</f>
        <v>10</v>
      </c>
      <c r="O37" s="975">
        <f ca="1">IF(O64=0,0,SUMIF(COSTI!$CL$4:$CL$1003,O$69,COSTI!$AD$4:$AD$1003)+O49)</f>
        <v>15</v>
      </c>
      <c r="P37" s="975">
        <f ca="1">IF(P64=0,0,SUMIF(COSTI!$CL$4:$CL$1003,P$69,COSTI!$AD$4:$AD$1003)+P49)</f>
        <v>20</v>
      </c>
      <c r="Q37" s="975">
        <f ca="1">IF(Q64=0,0,SUMIF(COSTI!$CL$4:$CL$1003,Q$69,COSTI!$AD$4:$AD$1003)+Q49)</f>
        <v>30</v>
      </c>
      <c r="R37" s="976">
        <f ca="1">IF(R64=0,0,SUMIF(COSTI!$CL$4:$CL$1003,R$69,COSTI!$AD$4:$AD$1003)+R49)</f>
        <v>30</v>
      </c>
      <c r="S37" s="27"/>
      <c r="T37" s="968">
        <f t="shared" ref="T37:T40" ca="1" si="7">SUM(G37:R37)</f>
        <v>322.17</v>
      </c>
      <c r="U37" s="274">
        <f t="shared" ref="U37:U41" ca="1" si="8">IF(ISERROR(T37),1,0)</f>
        <v>0</v>
      </c>
      <c r="V37" s="308" t="str">
        <f>ENTI!B9</f>
        <v>Nome ENTE 1</v>
      </c>
      <c r="W37" s="530">
        <f ca="1">G37</f>
        <v>47.17</v>
      </c>
      <c r="X37" s="530">
        <f ca="1">SUM($G37:H37)</f>
        <v>97.17</v>
      </c>
      <c r="Y37" s="530">
        <f ca="1">SUM($G37:I37)</f>
        <v>137.17000000000002</v>
      </c>
      <c r="Z37" s="530">
        <f ca="1">SUM($G37:J37)</f>
        <v>167.17000000000002</v>
      </c>
      <c r="AA37" s="530">
        <f ca="1">SUM($G37:K37)</f>
        <v>192.17000000000002</v>
      </c>
      <c r="AB37" s="530">
        <f ca="1">SUM($G37:L37)</f>
        <v>202.17000000000002</v>
      </c>
      <c r="AC37" s="530">
        <f ca="1">SUM($G37:M37)</f>
        <v>217.17000000000002</v>
      </c>
      <c r="AD37" s="530">
        <f ca="1">SUM($G37:N37)</f>
        <v>227.17000000000002</v>
      </c>
      <c r="AE37" s="530">
        <f ca="1">SUM($G37:O37)</f>
        <v>242.17000000000002</v>
      </c>
      <c r="AF37" s="530">
        <f ca="1">SUM($G37:P37)</f>
        <v>262.17</v>
      </c>
      <c r="AG37" s="530">
        <f ca="1">SUM($G37:Q37)</f>
        <v>292.17</v>
      </c>
      <c r="AH37" s="530">
        <f ca="1">SUM($G37:R37)</f>
        <v>322.17</v>
      </c>
      <c r="AI37" s="308"/>
      <c r="AJ37" s="530">
        <f>ENTI!F9</f>
        <v>100</v>
      </c>
      <c r="AK37" s="530">
        <f>SUM(ENTI!$F9:G9)</f>
        <v>100</v>
      </c>
      <c r="AL37" s="530">
        <f>SUM(ENTI!$F9:H9)</f>
        <v>150</v>
      </c>
      <c r="AM37" s="530">
        <f>SUM(ENTI!$F9:I9)</f>
        <v>150</v>
      </c>
      <c r="AN37" s="530">
        <f>SUM(ENTI!$F9:J9)</f>
        <v>250</v>
      </c>
      <c r="AO37" s="530">
        <f>SUM(ENTI!$F9:K9)</f>
        <v>250</v>
      </c>
      <c r="AP37" s="530">
        <f>SUM(ENTI!$F9:L9)</f>
        <v>300</v>
      </c>
      <c r="AQ37" s="530">
        <f>SUM(ENTI!$F9:M9)</f>
        <v>300</v>
      </c>
      <c r="AR37" s="530">
        <f>SUM(ENTI!$F9:N9)</f>
        <v>400</v>
      </c>
      <c r="AS37" s="530">
        <f>SUM(ENTI!$F9:O9)</f>
        <v>400</v>
      </c>
      <c r="AT37" s="530">
        <f>SUM(ENTI!$F9:P9)</f>
        <v>450</v>
      </c>
      <c r="AU37" s="530">
        <f>SUM(ENTI!$F9:Q9)</f>
        <v>450</v>
      </c>
      <c r="AV37" s="308"/>
    </row>
    <row r="38" spans="1:48" ht="16.5" customHeight="1">
      <c r="A38" s="1"/>
      <c r="B38" s="435">
        <v>2</v>
      </c>
      <c r="C38" s="1448" t="str">
        <f ca="1">IF(AND(T38=0,ISBLANK(ENTI!B10)),"",IF(AND(T38&gt;0,ISBLANK(ENTI!B10)),CONCATENATE(H$71,C8),CONCATENATE(H$71,ENTI!B10)))</f>
        <v>Ripartizione costi Nome ENTE 2</v>
      </c>
      <c r="D38" s="1449"/>
      <c r="E38" s="1449"/>
      <c r="F38" s="1450"/>
      <c r="G38" s="977">
        <f ca="1">IF(G64=0,0,SUMIF(COSTI!$CL$4:$CL$1003,G$69,COSTI!$AE$4:$AE$1003)+G50)</f>
        <v>53.83</v>
      </c>
      <c r="H38" s="978">
        <f ca="1">IF(H64=0,0,SUMIF(COSTI!$CL$4:$CL$1003,H$69,COSTI!$AE$4:$AE$1003)+H50)</f>
        <v>60</v>
      </c>
      <c r="I38" s="978">
        <f ca="1">IF(I64=0,0,SUMIF(COSTI!$CL$4:$CL$1003,I$69,COSTI!$AE$4:$AE$1003)+I50)</f>
        <v>40</v>
      </c>
      <c r="J38" s="978">
        <f ca="1">IF(J64=0,0,SUMIF(COSTI!$CL$4:$CL$1003,J$69,COSTI!$AE$4:$AE$1003)+J50)</f>
        <v>30</v>
      </c>
      <c r="K38" s="978">
        <f ca="1">IF(K64=0,0,SUMIF(COSTI!$CL$4:$CL$1003,K$69,COSTI!$AE$4:$AE$1003)+K50)</f>
        <v>25</v>
      </c>
      <c r="L38" s="978">
        <f ca="1">IF(L64=0,0,SUMIF(COSTI!$CL$4:$CL$1003,L$69,COSTI!$AE$4:$AE$1003)+L50)</f>
        <v>10</v>
      </c>
      <c r="M38" s="978">
        <f ca="1">IF(M64=0,0,SUMIF(COSTI!$CL$4:$CL$1003,M$69,COSTI!$AE$4:$AE$1003)+M50)</f>
        <v>15</v>
      </c>
      <c r="N38" s="978">
        <f ca="1">IF(N64=0,0,SUMIF(COSTI!$CL$4:$CL$1003,N$69,COSTI!$AE$4:$AE$1003)+N50)</f>
        <v>10</v>
      </c>
      <c r="O38" s="978">
        <f ca="1">IF(O64=0,0,SUMIF(COSTI!$CL$4:$CL$1003,O$69,COSTI!$AE$4:$AE$1003)+O50)</f>
        <v>15</v>
      </c>
      <c r="P38" s="978">
        <f ca="1">IF(P64=0,0,SUMIF(COSTI!$CL$4:$CL$1003,P$69,COSTI!$AE$4:$AE$1003)+P50)</f>
        <v>20</v>
      </c>
      <c r="Q38" s="978">
        <f ca="1">IF(Q64=0,0,SUMIF(COSTI!$CL$4:$CL$1003,Q$69,COSTI!$AE$4:$AE$1003)+Q50)</f>
        <v>30</v>
      </c>
      <c r="R38" s="979">
        <f ca="1">IF(R64=0,0,SUMIF(COSTI!$CL$4:$CL$1003,R$69,COSTI!$AE$4:$AE$1003)+R50)</f>
        <v>30</v>
      </c>
      <c r="S38" s="27"/>
      <c r="T38" s="969">
        <f t="shared" ca="1" si="7"/>
        <v>338.83</v>
      </c>
      <c r="U38" s="274">
        <f t="shared" ca="1" si="8"/>
        <v>0</v>
      </c>
      <c r="V38" s="308" t="str">
        <f>ENTI!B10</f>
        <v>Nome ENTE 2</v>
      </c>
      <c r="W38" s="530">
        <f t="shared" ref="W38:W41" ca="1" si="9">G38</f>
        <v>53.83</v>
      </c>
      <c r="X38" s="530">
        <f ca="1">SUM($G38:H38)</f>
        <v>113.83</v>
      </c>
      <c r="Y38" s="530">
        <f ca="1">SUM($G38:I38)</f>
        <v>153.82999999999998</v>
      </c>
      <c r="Z38" s="530">
        <f ca="1">SUM($G38:J38)</f>
        <v>183.82999999999998</v>
      </c>
      <c r="AA38" s="530">
        <f ca="1">SUM($G38:K38)</f>
        <v>208.82999999999998</v>
      </c>
      <c r="AB38" s="530">
        <f ca="1">SUM($G38:L38)</f>
        <v>218.82999999999998</v>
      </c>
      <c r="AC38" s="530">
        <f ca="1">SUM($G38:M38)</f>
        <v>233.82999999999998</v>
      </c>
      <c r="AD38" s="530">
        <f ca="1">SUM($G38:N38)</f>
        <v>243.82999999999998</v>
      </c>
      <c r="AE38" s="530">
        <f ca="1">SUM($G38:O38)</f>
        <v>258.83</v>
      </c>
      <c r="AF38" s="530">
        <f ca="1">SUM($G38:P38)</f>
        <v>278.83</v>
      </c>
      <c r="AG38" s="530">
        <f ca="1">SUM($G38:Q38)</f>
        <v>308.83</v>
      </c>
      <c r="AH38" s="530">
        <f ca="1">SUM($G38:R38)</f>
        <v>338.83</v>
      </c>
      <c r="AI38" s="308"/>
      <c r="AJ38" s="530">
        <f>ENTI!F10</f>
        <v>50</v>
      </c>
      <c r="AK38" s="530">
        <f>SUM(ENTI!$F10:G10)</f>
        <v>50</v>
      </c>
      <c r="AL38" s="530">
        <f>SUM(ENTI!$F10:H10)</f>
        <v>150</v>
      </c>
      <c r="AM38" s="530">
        <f>SUM(ENTI!$F10:I10)</f>
        <v>150</v>
      </c>
      <c r="AN38" s="530">
        <f>SUM(ENTI!$F10:J10)</f>
        <v>200</v>
      </c>
      <c r="AO38" s="530">
        <f>SUM(ENTI!$F10:K10)</f>
        <v>200</v>
      </c>
      <c r="AP38" s="530">
        <f>SUM(ENTI!$F10:L10)</f>
        <v>300</v>
      </c>
      <c r="AQ38" s="530">
        <f>SUM(ENTI!$F10:M10)</f>
        <v>300</v>
      </c>
      <c r="AR38" s="530">
        <f>SUM(ENTI!$F10:N10)</f>
        <v>350</v>
      </c>
      <c r="AS38" s="530">
        <f>SUM(ENTI!$F10:O10)</f>
        <v>350</v>
      </c>
      <c r="AT38" s="530">
        <f>SUM(ENTI!$F10:P10)</f>
        <v>650</v>
      </c>
      <c r="AU38" s="530">
        <f>SUM(ENTI!$F10:Q10)</f>
        <v>650</v>
      </c>
      <c r="AV38" s="308"/>
    </row>
    <row r="39" spans="1:48" ht="16.5" customHeight="1">
      <c r="A39" s="1"/>
      <c r="B39" s="435">
        <v>3</v>
      </c>
      <c r="C39" s="1448" t="str">
        <f ca="1">IF(AND(T39=0,ISBLANK(ENTI!B11)),"",IF(AND(T39&gt;0,ISBLANK(ENTI!B11)),CONCATENATE(H$71,C9),CONCATENATE(H$71,ENTI!B11)))</f>
        <v>Ripartizione costi Nome ENTE 3</v>
      </c>
      <c r="D39" s="1449"/>
      <c r="E39" s="1449"/>
      <c r="F39" s="1450"/>
      <c r="G39" s="977">
        <f ca="1">IF(G64=0,0,SUMIF(COSTI!$CL$4:$CL$1003,G$69,COSTI!$AF$4:$AF$1003)+G51)</f>
        <v>101</v>
      </c>
      <c r="H39" s="978">
        <f ca="1">IF(H64=0,0,SUMIF(COSTI!$CL$4:$CL$1003,H$69,COSTI!$AF$4:$AF$1003)+H51)</f>
        <v>82.5</v>
      </c>
      <c r="I39" s="978">
        <f ca="1">IF(I64=0,0,SUMIF(COSTI!$CL$4:$CL$1003,I$69,COSTI!$AF$4:$AF$1003)+I51)</f>
        <v>65</v>
      </c>
      <c r="J39" s="978">
        <f ca="1">IF(J64=0,0,SUMIF(COSTI!$CL$4:$CL$1003,J$69,COSTI!$AF$4:$AF$1003)+J51)</f>
        <v>60</v>
      </c>
      <c r="K39" s="978">
        <f ca="1">IF(K64=0,0,SUMIF(COSTI!$CL$4:$CL$1003,K$69,COSTI!$AF$4:$AF$1003)+K51)</f>
        <v>50</v>
      </c>
      <c r="L39" s="978">
        <f ca="1">IF(L64=0,0,SUMIF(COSTI!$CL$4:$CL$1003,L$69,COSTI!$AF$4:$AF$1003)+L51)</f>
        <v>20</v>
      </c>
      <c r="M39" s="978">
        <f ca="1">IF(M64=0,0,SUMIF(COSTI!$CL$4:$CL$1003,M$69,COSTI!$AF$4:$AF$1003)+M51)</f>
        <v>30</v>
      </c>
      <c r="N39" s="978">
        <f ca="1">IF(N64=0,0,SUMIF(COSTI!$CL$4:$CL$1003,N$69,COSTI!$AF$4:$AF$1003)+N51)</f>
        <v>20</v>
      </c>
      <c r="O39" s="978">
        <f ca="1">IF(O64=0,0,SUMIF(COSTI!$CL$4:$CL$1003,O$69,COSTI!$AF$4:$AF$1003)+O51)</f>
        <v>30</v>
      </c>
      <c r="P39" s="978">
        <f ca="1">IF(P64=0,0,SUMIF(COSTI!$CL$4:$CL$1003,P$69,COSTI!$AF$4:$AF$1003)+P51)</f>
        <v>40</v>
      </c>
      <c r="Q39" s="978">
        <f ca="1">IF(Q64=0,0,SUMIF(COSTI!$CL$4:$CL$1003,Q$69,COSTI!$AF$4:$AF$1003)+Q51)</f>
        <v>60</v>
      </c>
      <c r="R39" s="979">
        <f ca="1">IF(R64=0,0,SUMIF(COSTI!$CL$4:$CL$1003,R$69,COSTI!$AF$4:$AF$1003)+R51)</f>
        <v>60</v>
      </c>
      <c r="S39" s="27"/>
      <c r="T39" s="969">
        <f t="shared" ca="1" si="7"/>
        <v>618.5</v>
      </c>
      <c r="U39" s="274">
        <f t="shared" ca="1" si="8"/>
        <v>0</v>
      </c>
      <c r="V39" s="308" t="str">
        <f>ENTI!B11</f>
        <v>Nome ENTE 3</v>
      </c>
      <c r="W39" s="530">
        <f t="shared" ca="1" si="9"/>
        <v>101</v>
      </c>
      <c r="X39" s="530">
        <f ca="1">SUM($G39:H39)</f>
        <v>183.5</v>
      </c>
      <c r="Y39" s="530">
        <f ca="1">SUM($G39:I39)</f>
        <v>248.5</v>
      </c>
      <c r="Z39" s="530">
        <f ca="1">SUM($G39:J39)</f>
        <v>308.5</v>
      </c>
      <c r="AA39" s="530">
        <f ca="1">SUM($G39:K39)</f>
        <v>358.5</v>
      </c>
      <c r="AB39" s="530">
        <f ca="1">SUM($G39:L39)</f>
        <v>378.5</v>
      </c>
      <c r="AC39" s="530">
        <f ca="1">SUM($G39:M39)</f>
        <v>408.5</v>
      </c>
      <c r="AD39" s="530">
        <f ca="1">SUM($G39:N39)</f>
        <v>428.5</v>
      </c>
      <c r="AE39" s="530">
        <f ca="1">SUM($G39:O39)</f>
        <v>458.5</v>
      </c>
      <c r="AF39" s="530">
        <f ca="1">SUM($G39:P39)</f>
        <v>498.5</v>
      </c>
      <c r="AG39" s="530">
        <f ca="1">SUM($G39:Q39)</f>
        <v>558.5</v>
      </c>
      <c r="AH39" s="530">
        <f ca="1">SUM($G39:R39)</f>
        <v>618.5</v>
      </c>
      <c r="AI39" s="308"/>
      <c r="AJ39" s="530">
        <f>ENTI!F11</f>
        <v>0</v>
      </c>
      <c r="AK39" s="530">
        <f>SUM(ENTI!$F11:G11)</f>
        <v>100</v>
      </c>
      <c r="AL39" s="530">
        <f>SUM(ENTI!$F11:H11)</f>
        <v>100</v>
      </c>
      <c r="AM39" s="530">
        <f>SUM(ENTI!$F11:I11)</f>
        <v>150</v>
      </c>
      <c r="AN39" s="530">
        <f>SUM(ENTI!$F11:J11)</f>
        <v>150</v>
      </c>
      <c r="AO39" s="530">
        <f>SUM(ENTI!$F11:K11)</f>
        <v>250</v>
      </c>
      <c r="AP39" s="530">
        <f>SUM(ENTI!$F11:L11)</f>
        <v>250</v>
      </c>
      <c r="AQ39" s="530">
        <f>SUM(ENTI!$F11:M11)</f>
        <v>550</v>
      </c>
      <c r="AR39" s="530">
        <f>SUM(ENTI!$F11:N11)</f>
        <v>550</v>
      </c>
      <c r="AS39" s="530">
        <f>SUM(ENTI!$F11:O11)</f>
        <v>500</v>
      </c>
      <c r="AT39" s="530">
        <f>SUM(ENTI!$F11:P11)</f>
        <v>500</v>
      </c>
      <c r="AU39" s="530">
        <f>SUM(ENTI!$F11:Q11)</f>
        <v>550</v>
      </c>
      <c r="AV39" s="308"/>
    </row>
    <row r="40" spans="1:48" ht="16.5" customHeight="1">
      <c r="A40" s="1"/>
      <c r="B40" s="435">
        <v>4</v>
      </c>
      <c r="C40" s="1448" t="str">
        <f ca="1">IF(AND(T40=0,ISBLANK(ENTI!B12)),"",IF(AND(T40&gt;0,ISBLANK(ENTI!B12)),CONCATENATE(H$71,C10),CONCATENATE(H$71,ENTI!B12)))</f>
        <v>Ripartizione costi Nome ENTE 4 / sovrascrivi</v>
      </c>
      <c r="D40" s="1449"/>
      <c r="E40" s="1449"/>
      <c r="F40" s="1450"/>
      <c r="G40" s="977">
        <f ca="1">IF(G64=0,0,SUMIF(COSTI!$CL$4:$CL$1003,G$69,COSTI!$AL$4:$AL$1003)+G52)</f>
        <v>107.67</v>
      </c>
      <c r="H40" s="978">
        <f ca="1">IF(H64=0,0,SUMIF(COSTI!$CL$4:$CL$1003,H$69,COSTI!$AL$4:$AL$1003)+H52)</f>
        <v>110</v>
      </c>
      <c r="I40" s="978">
        <f ca="1">IF(I64=0,0,SUMIF(COSTI!$CL$4:$CL$1003,I$69,COSTI!$AL$4:$AL$1003)+I52)</f>
        <v>77.5</v>
      </c>
      <c r="J40" s="978">
        <f ca="1">IF(J64=0,0,SUMIF(COSTI!$CL$4:$CL$1003,J$69,COSTI!$AL$4:$AL$1003)+J52)</f>
        <v>60</v>
      </c>
      <c r="K40" s="978">
        <f ca="1">IF(K64=0,0,SUMIF(COSTI!$CL$4:$CL$1003,K$69,COSTI!$AL$4:$AL$1003)+K52)</f>
        <v>50</v>
      </c>
      <c r="L40" s="978">
        <f ca="1">IF(L64=0,0,SUMIF(COSTI!$CL$4:$CL$1003,L$69,COSTI!$AL$4:$AL$1003)+L52)</f>
        <v>20</v>
      </c>
      <c r="M40" s="978">
        <f ca="1">IF(M64=0,0,SUMIF(COSTI!$CL$4:$CL$1003,M$69,COSTI!$AL$4:$AL$1003)+M52)</f>
        <v>30</v>
      </c>
      <c r="N40" s="978">
        <f ca="1">IF(N64=0,0,SUMIF(COSTI!$CL$4:$CL$1003,N$69,COSTI!$AL$4:$AL$1003)+N52)</f>
        <v>20</v>
      </c>
      <c r="O40" s="978">
        <f ca="1">IF(O64=0,0,SUMIF(COSTI!$CL$4:$CL$1003,O$69,COSTI!$AL$4:$AL$1003)+O52)</f>
        <v>30</v>
      </c>
      <c r="P40" s="978">
        <f ca="1">IF(P64=0,0,SUMIF(COSTI!$CL$4:$CL$1003,P$69,COSTI!$AL$4:$AL$1003)+P52)</f>
        <v>40</v>
      </c>
      <c r="Q40" s="978">
        <f ca="1">IF(Q64=0,0,SUMIF(COSTI!$CL$4:$CL$1003,Q$69,COSTI!$AL$4:$AL$1003)+Q52)</f>
        <v>60</v>
      </c>
      <c r="R40" s="979">
        <f ca="1">IF(R64=0,0,SUMIF(COSTI!$CL$4:$CL$1003,R$69,COSTI!$AL$4:$AL$1003)+R52)</f>
        <v>60</v>
      </c>
      <c r="S40" s="27"/>
      <c r="T40" s="969">
        <f t="shared" ca="1" si="7"/>
        <v>665.17000000000007</v>
      </c>
      <c r="U40" s="274">
        <f t="shared" ca="1" si="8"/>
        <v>0</v>
      </c>
      <c r="V40" s="308" t="str">
        <f>ENTI!B12</f>
        <v>Nome ENTE 4 / sovrascrivi</v>
      </c>
      <c r="W40" s="530">
        <f t="shared" ca="1" si="9"/>
        <v>107.67</v>
      </c>
      <c r="X40" s="530">
        <f ca="1">SUM($G40:H40)</f>
        <v>217.67000000000002</v>
      </c>
      <c r="Y40" s="530">
        <f ca="1">SUM($G40:I40)</f>
        <v>295.17</v>
      </c>
      <c r="Z40" s="530">
        <f ca="1">SUM($G40:J40)</f>
        <v>355.17</v>
      </c>
      <c r="AA40" s="530">
        <f ca="1">SUM($G40:K40)</f>
        <v>405.17</v>
      </c>
      <c r="AB40" s="530">
        <f ca="1">SUM($G40:L40)</f>
        <v>425.17</v>
      </c>
      <c r="AC40" s="530">
        <f ca="1">SUM($G40:M40)</f>
        <v>455.17</v>
      </c>
      <c r="AD40" s="530">
        <f ca="1">SUM($G40:N40)</f>
        <v>475.17</v>
      </c>
      <c r="AE40" s="530">
        <f ca="1">SUM($G40:O40)</f>
        <v>505.17</v>
      </c>
      <c r="AF40" s="530">
        <f ca="1">SUM($G40:P40)</f>
        <v>545.17000000000007</v>
      </c>
      <c r="AG40" s="530">
        <f ca="1">SUM($G40:Q40)</f>
        <v>605.17000000000007</v>
      </c>
      <c r="AH40" s="530">
        <f ca="1">SUM($G40:R40)</f>
        <v>665.17000000000007</v>
      </c>
      <c r="AI40" s="308"/>
      <c r="AJ40" s="530">
        <f>ENTI!F12</f>
        <v>0</v>
      </c>
      <c r="AK40" s="530">
        <f>SUM(ENTI!$F12:G12)</f>
        <v>50</v>
      </c>
      <c r="AL40" s="530">
        <f>SUM(ENTI!$F12:H12)</f>
        <v>50</v>
      </c>
      <c r="AM40" s="530">
        <f>SUM(ENTI!$F12:I12)</f>
        <v>350</v>
      </c>
      <c r="AN40" s="530">
        <f>SUM(ENTI!$F12:J12)</f>
        <v>350</v>
      </c>
      <c r="AO40" s="530">
        <f>SUM(ENTI!$F12:K12)</f>
        <v>400</v>
      </c>
      <c r="AP40" s="530">
        <f>SUM(ENTI!$F12:L12)</f>
        <v>400</v>
      </c>
      <c r="AQ40" s="530">
        <f>SUM(ENTI!$F12:M12)</f>
        <v>500</v>
      </c>
      <c r="AR40" s="530">
        <f>SUM(ENTI!$F12:N12)</f>
        <v>500</v>
      </c>
      <c r="AS40" s="530">
        <f>SUM(ENTI!$F12:O12)</f>
        <v>550</v>
      </c>
      <c r="AT40" s="530">
        <f>SUM(ENTI!$F12:P12)</f>
        <v>550</v>
      </c>
      <c r="AU40" s="530">
        <f>SUM(ENTI!$F12:Q12)</f>
        <v>650</v>
      </c>
      <c r="AV40" s="308"/>
    </row>
    <row r="41" spans="1:48" ht="16.5" customHeight="1">
      <c r="A41" s="1"/>
      <c r="B41" s="435">
        <v>5</v>
      </c>
      <c r="C41" s="1463" t="str">
        <f ca="1">IF(AND(T41=0,ISBLANK(ENTI!B13)),"",IF(AND(T41&gt;0,ISBLANK(ENTI!B13)),CONCATENATE(H$71,C11),CONCATENATE(H$71,ENTI!B13)))</f>
        <v>Ripartizione costi Nome ENTE ultimo disponibile</v>
      </c>
      <c r="D41" s="1464"/>
      <c r="E41" s="1464"/>
      <c r="F41" s="1465"/>
      <c r="G41" s="980">
        <f ca="1">IF(G64=0,0,SUMIF(COSTI!$CL$4:$CL$1003,G$69,COSTI!$CK$4:$CK$1003)+G53)</f>
        <v>195.32999999999998</v>
      </c>
      <c r="H41" s="981">
        <f ca="1">IF(H64=0,0,SUMIF(COSTI!$CL$4:$CL$1003,H$69,COSTI!$CK$4:$CK$1003)+H53)</f>
        <v>197.5</v>
      </c>
      <c r="I41" s="981">
        <f ca="1">IF(I64=0,0,SUMIF(COSTI!$CL$4:$CL$1003,I$69,COSTI!$CK$4:$CK$1003)+I53)</f>
        <v>127.5</v>
      </c>
      <c r="J41" s="981">
        <f ca="1">IF(J64=0,0,SUMIF(COSTI!$CL$4:$CL$1003,J$69,COSTI!$CK$4:$CK$1003)+J53)</f>
        <v>120</v>
      </c>
      <c r="K41" s="981">
        <f ca="1">IF(K64=0,0,SUMIF(COSTI!$CL$4:$CL$1003,K$69,COSTI!$CK$4:$CK$1003)+K53)</f>
        <v>100</v>
      </c>
      <c r="L41" s="981">
        <f ca="1">IF(L64=0,0,SUMIF(COSTI!$CL$4:$CL$1003,L$69,COSTI!$CK$4:$CK$1003)+L53)</f>
        <v>40</v>
      </c>
      <c r="M41" s="981">
        <f ca="1">IF(M64=0,0,SUMIF(COSTI!$CL$4:$CL$1003,M$69,COSTI!$CK$4:$CK$1003)+M53)</f>
        <v>60</v>
      </c>
      <c r="N41" s="981">
        <f ca="1">IF(N64=0,0,SUMIF(COSTI!$CL$4:$CL$1003,N$69,COSTI!$CK$4:$CK$1003)+N53)</f>
        <v>40</v>
      </c>
      <c r="O41" s="981">
        <f ca="1">IF(O64=0,0,SUMIF(COSTI!$CL$4:$CL$1003,O$69,COSTI!$CK$4:$CK$1003)+O53)</f>
        <v>60</v>
      </c>
      <c r="P41" s="981">
        <f ca="1">IF(P64=0,0,SUMIF(COSTI!$CL$4:$CL$1003,P$69,COSTI!$CK$4:$CK$1003)+P53)</f>
        <v>80</v>
      </c>
      <c r="Q41" s="981">
        <f ca="1">IF(Q64=0,0,SUMIF(COSTI!$CL$4:$CL$1003,Q$69,COSTI!$CK$4:$CK$1003)+Q53)</f>
        <v>120</v>
      </c>
      <c r="R41" s="982">
        <f ca="1">IF(R64=0,0,SUMIF(COSTI!$CL$4:$CL$1003,R$69,COSTI!$CK$4:$CK$1003)+R53)</f>
        <v>120</v>
      </c>
      <c r="S41" s="27"/>
      <c r="T41" s="970">
        <f ca="1">SUM(G41:R41)</f>
        <v>1260.33</v>
      </c>
      <c r="U41" s="274">
        <f t="shared" ca="1" si="8"/>
        <v>0</v>
      </c>
      <c r="V41" s="308" t="str">
        <f>ENTI!B13</f>
        <v>Nome ENTE ultimo disponibile</v>
      </c>
      <c r="W41" s="530">
        <f t="shared" ca="1" si="9"/>
        <v>195.32999999999998</v>
      </c>
      <c r="X41" s="530">
        <f ca="1">SUM($G41:H41)</f>
        <v>392.83</v>
      </c>
      <c r="Y41" s="530">
        <f ca="1">SUM($G41:I41)</f>
        <v>520.32999999999993</v>
      </c>
      <c r="Z41" s="530">
        <f ca="1">SUM($G41:J41)</f>
        <v>640.32999999999993</v>
      </c>
      <c r="AA41" s="530">
        <f ca="1">SUM($G41:K41)</f>
        <v>740.32999999999993</v>
      </c>
      <c r="AB41" s="530">
        <f ca="1">SUM($G41:L41)</f>
        <v>780.32999999999993</v>
      </c>
      <c r="AC41" s="530">
        <f ca="1">SUM($G41:M41)</f>
        <v>840.32999999999993</v>
      </c>
      <c r="AD41" s="530">
        <f ca="1">SUM($G41:N41)</f>
        <v>880.32999999999993</v>
      </c>
      <c r="AE41" s="530">
        <f ca="1">SUM($G41:O41)</f>
        <v>940.32999999999993</v>
      </c>
      <c r="AF41" s="530">
        <f ca="1">SUM($G41:P41)</f>
        <v>1020.3299999999999</v>
      </c>
      <c r="AG41" s="530">
        <f ca="1">SUM($G41:Q41)</f>
        <v>1140.33</v>
      </c>
      <c r="AH41" s="530">
        <f ca="1">SUM($G41:R41)</f>
        <v>1260.33</v>
      </c>
      <c r="AI41" s="308"/>
      <c r="AJ41" s="530">
        <f>ENTI!F13</f>
        <v>0</v>
      </c>
      <c r="AK41" s="530">
        <f>SUM(ENTI!$F13:G13)</f>
        <v>100</v>
      </c>
      <c r="AL41" s="530">
        <f>SUM(ENTI!$F13:H13)</f>
        <v>100</v>
      </c>
      <c r="AM41" s="530">
        <f>SUM(ENTI!$F13:I13)</f>
        <v>100</v>
      </c>
      <c r="AN41" s="530">
        <f>SUM(ENTI!$F13:J13)</f>
        <v>150</v>
      </c>
      <c r="AO41" s="530">
        <f>SUM(ENTI!$F13:K13)</f>
        <v>150</v>
      </c>
      <c r="AP41" s="530">
        <f>SUM(ENTI!$F13:L13)</f>
        <v>100</v>
      </c>
      <c r="AQ41" s="530">
        <f>SUM(ENTI!$F13:M13)</f>
        <v>100</v>
      </c>
      <c r="AR41" s="530">
        <f>SUM(ENTI!$F13:N13)</f>
        <v>150</v>
      </c>
      <c r="AS41" s="530">
        <f>SUM(ENTI!$F13:O13)</f>
        <v>250</v>
      </c>
      <c r="AT41" s="530">
        <f>SUM(ENTI!$F13:P13)</f>
        <v>250</v>
      </c>
      <c r="AU41" s="530">
        <f>SUM(ENTI!$F13:Q13)</f>
        <v>300</v>
      </c>
      <c r="AV41" s="308"/>
    </row>
    <row r="42" spans="1:48" ht="16.5" customHeight="1">
      <c r="A42" s="1"/>
      <c r="B42" s="3"/>
      <c r="C42" s="89"/>
      <c r="D42" s="89"/>
      <c r="E42" s="89"/>
      <c r="F42" s="89"/>
      <c r="G42" s="797" t="str">
        <f ca="1">IF(OR(G44&gt;0.99,G44&lt;-0.99),"ERROR","")</f>
        <v/>
      </c>
      <c r="H42" s="797" t="str">
        <f t="shared" ref="H42:R42" ca="1" si="10">IF(OR(H44&gt;0.99,H44&lt;-0.99),"ERROR","")</f>
        <v/>
      </c>
      <c r="I42" s="797" t="str">
        <f t="shared" ca="1" si="10"/>
        <v/>
      </c>
      <c r="J42" s="797" t="str">
        <f t="shared" ca="1" si="10"/>
        <v/>
      </c>
      <c r="K42" s="797" t="str">
        <f t="shared" ca="1" si="10"/>
        <v/>
      </c>
      <c r="L42" s="797" t="str">
        <f t="shared" ca="1" si="10"/>
        <v/>
      </c>
      <c r="M42" s="797" t="str">
        <f t="shared" ca="1" si="10"/>
        <v/>
      </c>
      <c r="N42" s="797" t="str">
        <f t="shared" ca="1" si="10"/>
        <v/>
      </c>
      <c r="O42" s="797" t="str">
        <f t="shared" ca="1" si="10"/>
        <v/>
      </c>
      <c r="P42" s="797" t="str">
        <f t="shared" ca="1" si="10"/>
        <v/>
      </c>
      <c r="Q42" s="797" t="str">
        <f t="shared" ca="1" si="10"/>
        <v/>
      </c>
      <c r="R42" s="797" t="str">
        <f t="shared" ca="1" si="10"/>
        <v/>
      </c>
      <c r="S42" s="90"/>
      <c r="T42" s="502" t="str">
        <f>Presentazione!$K$26</f>
        <v>EURO</v>
      </c>
      <c r="U42" s="27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6.5" customHeight="1">
      <c r="A43" s="1"/>
      <c r="B43" s="27"/>
      <c r="C43" s="1467" t="s">
        <v>533</v>
      </c>
      <c r="D43" s="1468"/>
      <c r="E43" s="1468"/>
      <c r="F43" s="1469"/>
      <c r="G43" s="983">
        <f t="shared" ref="G43:R43" ca="1" si="11">ROUND(SUM(G37:G41),2)</f>
        <v>505</v>
      </c>
      <c r="H43" s="984">
        <f t="shared" ca="1" si="11"/>
        <v>500</v>
      </c>
      <c r="I43" s="984">
        <f t="shared" ca="1" si="11"/>
        <v>350</v>
      </c>
      <c r="J43" s="984">
        <f t="shared" ca="1" si="11"/>
        <v>300</v>
      </c>
      <c r="K43" s="984">
        <f t="shared" ca="1" si="11"/>
        <v>250</v>
      </c>
      <c r="L43" s="984">
        <f t="shared" ca="1" si="11"/>
        <v>100</v>
      </c>
      <c r="M43" s="984">
        <f t="shared" ca="1" si="11"/>
        <v>150</v>
      </c>
      <c r="N43" s="984">
        <f t="shared" ca="1" si="11"/>
        <v>100</v>
      </c>
      <c r="O43" s="984">
        <f t="shared" ca="1" si="11"/>
        <v>150</v>
      </c>
      <c r="P43" s="984">
        <f t="shared" ca="1" si="11"/>
        <v>200</v>
      </c>
      <c r="Q43" s="984">
        <f t="shared" ca="1" si="11"/>
        <v>300</v>
      </c>
      <c r="R43" s="985">
        <f t="shared" ca="1" si="11"/>
        <v>300</v>
      </c>
      <c r="S43" s="27"/>
      <c r="T43" s="971">
        <f ca="1">SUM(G43:R43)</f>
        <v>3205</v>
      </c>
      <c r="U43" s="27"/>
      <c r="V43" s="1"/>
      <c r="W43" s="530">
        <f t="shared" ref="W43:AH43" ca="1" si="12">SUM(W37:W41)</f>
        <v>505</v>
      </c>
      <c r="X43" s="530">
        <f t="shared" ca="1" si="12"/>
        <v>1005</v>
      </c>
      <c r="Y43" s="530">
        <f t="shared" ca="1" si="12"/>
        <v>1355</v>
      </c>
      <c r="Z43" s="530">
        <f t="shared" ca="1" si="12"/>
        <v>1655</v>
      </c>
      <c r="AA43" s="530">
        <f t="shared" ca="1" si="12"/>
        <v>1905</v>
      </c>
      <c r="AB43" s="530">
        <f t="shared" ca="1" si="12"/>
        <v>2005</v>
      </c>
      <c r="AC43" s="530">
        <f t="shared" ca="1" si="12"/>
        <v>2155</v>
      </c>
      <c r="AD43" s="530">
        <f t="shared" ca="1" si="12"/>
        <v>2255</v>
      </c>
      <c r="AE43" s="530">
        <f t="shared" ca="1" si="12"/>
        <v>2405</v>
      </c>
      <c r="AF43" s="530">
        <f t="shared" ca="1" si="12"/>
        <v>2605</v>
      </c>
      <c r="AG43" s="530">
        <f t="shared" ca="1" si="12"/>
        <v>2905</v>
      </c>
      <c r="AH43" s="530">
        <f t="shared" ca="1" si="12"/>
        <v>3205</v>
      </c>
      <c r="AI43" s="1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1"/>
    </row>
    <row r="44" spans="1:48" ht="16.5" customHeight="1">
      <c r="A44" s="1"/>
      <c r="B44" s="3"/>
      <c r="C44" s="1"/>
      <c r="D44" s="1"/>
      <c r="E44" s="1"/>
      <c r="F44" s="1"/>
      <c r="G44" s="798">
        <f ca="1">G43-ROUND(COSTI!F6,2)</f>
        <v>0</v>
      </c>
      <c r="H44" s="798">
        <f ca="1">H43-ROUND(COSTI!G6,2)</f>
        <v>0</v>
      </c>
      <c r="I44" s="798">
        <f ca="1">I43-ROUND(COSTI!H6,2)</f>
        <v>0</v>
      </c>
      <c r="J44" s="798">
        <f ca="1">J43-ROUND(COSTI!I6,2)</f>
        <v>0</v>
      </c>
      <c r="K44" s="798">
        <f ca="1">K43-ROUND(COSTI!J6,2)</f>
        <v>0</v>
      </c>
      <c r="L44" s="798">
        <f ca="1">L43-ROUND(COSTI!K6,2)</f>
        <v>0</v>
      </c>
      <c r="M44" s="798">
        <f ca="1">M43-ROUND(COSTI!L6,2)</f>
        <v>0</v>
      </c>
      <c r="N44" s="798">
        <f ca="1">N43-ROUND(COSTI!M6,2)</f>
        <v>0</v>
      </c>
      <c r="O44" s="798">
        <f ca="1">O43-ROUND(COSTI!N6,2)</f>
        <v>0</v>
      </c>
      <c r="P44" s="798">
        <f ca="1">P43-ROUND(COSTI!O6,2)</f>
        <v>0</v>
      </c>
      <c r="Q44" s="798">
        <f ca="1">Q43-ROUND(COSTI!P6,2)</f>
        <v>0</v>
      </c>
      <c r="R44" s="798">
        <f ca="1">R43-ROUND(COSTI!Q6,2)</f>
        <v>0</v>
      </c>
      <c r="S44" s="46"/>
      <c r="T44" s="973">
        <f ca="1">SUM(G44:R44)</f>
        <v>0</v>
      </c>
      <c r="U44" s="27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6.5" customHeight="1">
      <c r="A45" s="1"/>
      <c r="B45" s="3"/>
      <c r="C45" s="1425" t="s">
        <v>98</v>
      </c>
      <c r="D45" s="1425"/>
      <c r="E45" s="1425"/>
      <c r="F45" s="1425"/>
      <c r="G45" s="465">
        <f ca="1">IF(ENTI!F6&gt;G43,ENTI!F6-G43,0)</f>
        <v>0</v>
      </c>
      <c r="H45" s="465">
        <f ca="1">IF(ENTI!G6&gt;H43,ENTI!G6-H43,0)</f>
        <v>0</v>
      </c>
      <c r="I45" s="465">
        <f ca="1">IF(ENTI!H6&gt;I43,ENTI!H6-I43,0)</f>
        <v>0</v>
      </c>
      <c r="J45" s="465">
        <f ca="1">IF(ENTI!I6&gt;J43,ENTI!I6-J43,0)</f>
        <v>50</v>
      </c>
      <c r="K45" s="465">
        <f ca="1">IF(ENTI!J6&gt;K43,ENTI!J6-K43,0)</f>
        <v>0</v>
      </c>
      <c r="L45" s="465">
        <f ca="1">IF(ENTI!K6&gt;L43,ENTI!K6-L43,0)</f>
        <v>50</v>
      </c>
      <c r="M45" s="465">
        <f ca="1">IF(ENTI!L6&gt;M43,ENTI!L6-M43,0)</f>
        <v>0</v>
      </c>
      <c r="N45" s="465">
        <f ca="1">IF(ENTI!M6&gt;N43,ENTI!M6-N43,0)</f>
        <v>300</v>
      </c>
      <c r="O45" s="465">
        <f ca="1">IF(ENTI!N6&gt;O43,ENTI!N6-O43,0)</f>
        <v>50</v>
      </c>
      <c r="P45" s="465">
        <f ca="1">IF(ENTI!O6&gt;P43,ENTI!O6-P43,0)</f>
        <v>0</v>
      </c>
      <c r="Q45" s="465">
        <f ca="1">IF(ENTI!P6&gt;Q43,ENTI!P6-Q43,0)</f>
        <v>50</v>
      </c>
      <c r="R45" s="465">
        <f ca="1">IF(ENTI!Q6&gt;R43,ENTI!Q6-R43,0)</f>
        <v>0</v>
      </c>
      <c r="S45" s="32"/>
      <c r="T45" s="1423">
        <f ca="1">SUM(G45:R46)</f>
        <v>-605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6.5" customHeight="1">
      <c r="A46" s="1"/>
      <c r="B46" s="1"/>
      <c r="C46" s="1424" t="s">
        <v>99</v>
      </c>
      <c r="D46" s="1424"/>
      <c r="E46" s="1424"/>
      <c r="F46" s="1424"/>
      <c r="G46" s="466">
        <f ca="1">IF(G43&gt;ENTI!F6,ENTI!F6-G43,0)</f>
        <v>-355</v>
      </c>
      <c r="H46" s="466">
        <f ca="1">IF(H43&gt;ENTI!G6,ENTI!G6-H43,0)</f>
        <v>-250</v>
      </c>
      <c r="I46" s="466">
        <f ca="1">IF(I43&gt;ENTI!H6,ENTI!H6-I43,0)</f>
        <v>-200</v>
      </c>
      <c r="J46" s="466">
        <f ca="1">IF(J43&gt;ENTI!I6,ENTI!I6-J43,0)</f>
        <v>0</v>
      </c>
      <c r="K46" s="466">
        <f ca="1">IF(K43&gt;ENTI!J6,ENTI!J6-K43,0)</f>
        <v>-50</v>
      </c>
      <c r="L46" s="466">
        <f ca="1">IF(L43&gt;ENTI!K6,ENTI!K6-L43,0)</f>
        <v>0</v>
      </c>
      <c r="M46" s="466">
        <f ca="1">IF(M43&gt;ENTI!L6,ENTI!L6-M43,0)</f>
        <v>-50</v>
      </c>
      <c r="N46" s="466">
        <f ca="1">IF(N43&gt;ENTI!M6,ENTI!M6-N43,0)</f>
        <v>0</v>
      </c>
      <c r="O46" s="466">
        <f ca="1">IF(O43&gt;ENTI!N6,ENTI!N6-O43,0)</f>
        <v>0</v>
      </c>
      <c r="P46" s="466">
        <f ca="1">IF(P43&gt;ENTI!O6,ENTI!O6-P43,0)</f>
        <v>-100</v>
      </c>
      <c r="Q46" s="466">
        <f ca="1">IF(Q43&gt;ENTI!P6,ENTI!P6-Q43,0)</f>
        <v>0</v>
      </c>
      <c r="R46" s="466">
        <f ca="1">IF(R43&gt;ENTI!Q6,ENTI!Q6-R43,0)</f>
        <v>-100</v>
      </c>
      <c r="S46" s="32"/>
      <c r="T46" s="1423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6.5" customHeight="1">
      <c r="A47" s="1"/>
      <c r="B47" s="1"/>
      <c r="C47" s="1"/>
      <c r="D47" s="1"/>
      <c r="E47" s="1"/>
      <c r="F47" s="1"/>
      <c r="G47" s="796" t="str">
        <f t="shared" ref="G47:R47" ca="1" si="13">IF(OR((SUM(G49:G53)-G55)&gt;0.5,(SUM(G49:G53)-G55)&lt;-0.5),"ERROR","")</f>
        <v/>
      </c>
      <c r="H47" s="796" t="str">
        <f t="shared" ca="1" si="13"/>
        <v/>
      </c>
      <c r="I47" s="796" t="str">
        <f t="shared" ca="1" si="13"/>
        <v/>
      </c>
      <c r="J47" s="796" t="str">
        <f t="shared" ca="1" si="13"/>
        <v/>
      </c>
      <c r="K47" s="796" t="str">
        <f t="shared" ca="1" si="13"/>
        <v/>
      </c>
      <c r="L47" s="796" t="str">
        <f t="shared" ca="1" si="13"/>
        <v/>
      </c>
      <c r="M47" s="796" t="str">
        <f t="shared" ca="1" si="13"/>
        <v/>
      </c>
      <c r="N47" s="796" t="str">
        <f t="shared" ca="1" si="13"/>
        <v/>
      </c>
      <c r="O47" s="796" t="str">
        <f t="shared" ca="1" si="13"/>
        <v/>
      </c>
      <c r="P47" s="796" t="str">
        <f t="shared" ca="1" si="13"/>
        <v/>
      </c>
      <c r="Q47" s="796" t="str">
        <f t="shared" ca="1" si="13"/>
        <v/>
      </c>
      <c r="R47" s="796" t="str">
        <f t="shared" ca="1" si="13"/>
        <v/>
      </c>
      <c r="S47" s="1"/>
      <c r="T47" s="507" t="str">
        <f ca="1">IF(T67&lt;&gt;0,"ERROR",IF((T43-ENTI!S6)*-1=T45,"","ERROR"))</f>
        <v/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6.5" customHeight="1">
      <c r="A48" s="373"/>
      <c r="B48" s="1"/>
      <c r="C48" s="1466" t="str">
        <f>IF(C66=0,N87,CONCATENATE(PROPER(C55),": ",VLOOKUP(C66,H77:M82,4,FALSE)))</f>
        <v>Amministratore: 1 - in MILLESIMI   I</v>
      </c>
      <c r="D48" s="1466"/>
      <c r="E48" s="1466"/>
      <c r="F48" s="1466"/>
      <c r="G48" s="959" t="str">
        <f t="shared" ref="G48:R48" si="14">G36</f>
        <v>Gennaio</v>
      </c>
      <c r="H48" s="959" t="str">
        <f t="shared" si="14"/>
        <v>Febbraio</v>
      </c>
      <c r="I48" s="959" t="str">
        <f t="shared" si="14"/>
        <v>Marzo</v>
      </c>
      <c r="J48" s="959" t="str">
        <f t="shared" si="14"/>
        <v>Aprile</v>
      </c>
      <c r="K48" s="959" t="str">
        <f t="shared" si="14"/>
        <v>Maggio</v>
      </c>
      <c r="L48" s="959" t="str">
        <f t="shared" si="14"/>
        <v>Giugno</v>
      </c>
      <c r="M48" s="959" t="str">
        <f t="shared" si="14"/>
        <v>Luglio</v>
      </c>
      <c r="N48" s="959" t="str">
        <f t="shared" si="14"/>
        <v>Agosto</v>
      </c>
      <c r="O48" s="959" t="str">
        <f t="shared" si="14"/>
        <v>Settembre</v>
      </c>
      <c r="P48" s="959" t="str">
        <f t="shared" si="14"/>
        <v>Ottobre</v>
      </c>
      <c r="Q48" s="959" t="str">
        <f t="shared" si="14"/>
        <v>Novembre</v>
      </c>
      <c r="R48" s="959" t="str">
        <f t="shared" si="14"/>
        <v>Dicembre</v>
      </c>
      <c r="S48" s="3"/>
      <c r="T48" s="355" t="s">
        <v>250</v>
      </c>
      <c r="U48" s="1"/>
      <c r="V48" s="1"/>
      <c r="W48" s="45" t="str">
        <f t="shared" ref="W48:AH48" si="15">W36</f>
        <v>GEN</v>
      </c>
      <c r="X48" s="45" t="str">
        <f t="shared" si="15"/>
        <v>FEB</v>
      </c>
      <c r="Y48" s="45" t="str">
        <f t="shared" si="15"/>
        <v>MAR</v>
      </c>
      <c r="Z48" s="45" t="str">
        <f t="shared" si="15"/>
        <v>APR</v>
      </c>
      <c r="AA48" s="45" t="str">
        <f t="shared" si="15"/>
        <v>MAG</v>
      </c>
      <c r="AB48" s="45" t="str">
        <f t="shared" si="15"/>
        <v>GIU</v>
      </c>
      <c r="AC48" s="45" t="str">
        <f t="shared" si="15"/>
        <v>LUG</v>
      </c>
      <c r="AD48" s="45" t="str">
        <f t="shared" si="15"/>
        <v>AGO</v>
      </c>
      <c r="AE48" s="45" t="str">
        <f t="shared" si="15"/>
        <v>SET</v>
      </c>
      <c r="AF48" s="45" t="str">
        <f t="shared" si="15"/>
        <v>OTT</v>
      </c>
      <c r="AG48" s="45" t="str">
        <f t="shared" si="15"/>
        <v>NOV</v>
      </c>
      <c r="AH48" s="45" t="str">
        <f t="shared" si="15"/>
        <v>DIC</v>
      </c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6.5" customHeight="1">
      <c r="A49" s="1"/>
      <c r="B49" s="419">
        <v>1</v>
      </c>
      <c r="C49" s="1429" t="str">
        <f ca="1">IF(AND(T49=0,ISBLANK(ENTI!B9)),"",IF(AND(T49&gt;0,ISBLANK(ENTI!B9)),CONCATENATE(H$71,C7),CONCATENATE(H$71,ENTI!B9)))</f>
        <v>Ripartizione costi Nome ENTE 1</v>
      </c>
      <c r="D49" s="1430"/>
      <c r="E49" s="1430"/>
      <c r="F49" s="1431"/>
      <c r="G49" s="974">
        <f ca="1">IF($C$66=0,0,G$55*VLOOKUP($B49,COSTI!$F$1010:$Q$1014,VLOOKUP($C$66,COSTI!$I$1079:$M$1084,5,FALSE),FALSE))</f>
        <v>30.5</v>
      </c>
      <c r="H49" s="975">
        <f ca="1">IF($C$66=0,0,H$55*VLOOKUP($B49,COSTI!$F$1010:$Q$1014,VLOOKUP($C$66,COSTI!$I$1079:$M$1084,5,FALSE),FALSE))</f>
        <v>20</v>
      </c>
      <c r="I49" s="975">
        <f ca="1">IF($C$66=0,0,I$55*VLOOKUP($B49,COSTI!$F$1010:$Q$1014,VLOOKUP($C$66,COSTI!$I$1079:$M$1084,5,FALSE),FALSE))</f>
        <v>20</v>
      </c>
      <c r="J49" s="975">
        <f ca="1">IF($C$66=0,0,J$55*VLOOKUP($B49,COSTI!$F$1010:$Q$1014,VLOOKUP($C$66,COSTI!$I$1079:$M$1084,5,FALSE),FALSE))</f>
        <v>20</v>
      </c>
      <c r="K49" s="975">
        <f ca="1">IF($C$66=0,0,K$55*VLOOKUP($B49,COSTI!$F$1010:$Q$1014,VLOOKUP($C$66,COSTI!$I$1079:$M$1084,5,FALSE),FALSE))</f>
        <v>10</v>
      </c>
      <c r="L49" s="975">
        <f ca="1">IF($C$66=0,0,L$55*VLOOKUP($B49,COSTI!$F$1010:$Q$1014,VLOOKUP($C$66,COSTI!$I$1079:$M$1084,5,FALSE),FALSE))</f>
        <v>0</v>
      </c>
      <c r="M49" s="975">
        <f ca="1">IF($C$66=0,0,M$55*VLOOKUP($B49,COSTI!$F$1010:$Q$1014,VLOOKUP($C$66,COSTI!$I$1079:$M$1084,5,FALSE),FALSE))</f>
        <v>0</v>
      </c>
      <c r="N49" s="975">
        <f ca="1">IF($C$66=0,0,N$55*VLOOKUP($B49,COSTI!$F$1010:$Q$1014,VLOOKUP($C$66,COSTI!$I$1079:$M$1084,5,FALSE),FALSE))</f>
        <v>0</v>
      </c>
      <c r="O49" s="975">
        <f ca="1">IF($C$66=0,0,O$55*VLOOKUP($B49,COSTI!$F$1010:$Q$1014,VLOOKUP($C$66,COSTI!$I$1079:$M$1084,5,FALSE),FALSE))</f>
        <v>0</v>
      </c>
      <c r="P49" s="975">
        <f ca="1">IF($C$66=0,0,P$55*VLOOKUP($B49,COSTI!$F$1010:$Q$1014,VLOOKUP($C$66,COSTI!$I$1079:$M$1084,5,FALSE),FALSE))</f>
        <v>0</v>
      </c>
      <c r="Q49" s="975">
        <f ca="1">IF($C$66=0,0,Q$55*VLOOKUP($B49,COSTI!$F$1010:$Q$1014,VLOOKUP($C$66,COSTI!$I$1079:$M$1084,5,FALSE),FALSE))</f>
        <v>0</v>
      </c>
      <c r="R49" s="976">
        <f ca="1">IF($C$66=0,0,R$55*VLOOKUP($B49,COSTI!$F$1010:$Q$1014,VLOOKUP($C$66,COSTI!$I$1079:$M$1084,5,FALSE),FALSE))</f>
        <v>0</v>
      </c>
      <c r="S49" s="27"/>
      <c r="T49" s="965">
        <f t="shared" ref="T49:T52" ca="1" si="16">SUM(G49:R49)</f>
        <v>100.5</v>
      </c>
      <c r="U49" s="1"/>
      <c r="V49" s="1"/>
      <c r="W49" s="530">
        <f ca="1">W$55*VLOOKUP($B49,COSTI!$F$1010:$Q$1014,VLOOKUP($C$66,COSTI!$I$1079:$M$1084,5,FALSE),FALSE)</f>
        <v>30.5</v>
      </c>
      <c r="X49" s="530">
        <f ca="1">X$55*VLOOKUP($B49,COSTI!$F$1010:$Q$1014,VLOOKUP($C$66,COSTI!$I$1079:$M$1084,5,FALSE),FALSE)</f>
        <v>20</v>
      </c>
      <c r="Y49" s="530">
        <f ca="1">Y$55*VLOOKUP($B49,COSTI!$F$1010:$Q$1014,VLOOKUP($C$66,COSTI!$I$1079:$M$1084,5,FALSE),FALSE)</f>
        <v>20</v>
      </c>
      <c r="Z49" s="530">
        <f ca="1">Z$55*VLOOKUP($B49,COSTI!$F$1010:$Q$1014,VLOOKUP($C$66,COSTI!$I$1079:$M$1084,5,FALSE),FALSE)</f>
        <v>20</v>
      </c>
      <c r="AA49" s="530">
        <f ca="1">AA$55*VLOOKUP($B49,COSTI!$F$1010:$Q$1014,VLOOKUP($C$66,COSTI!$I$1079:$M$1084,5,FALSE),FALSE)</f>
        <v>10</v>
      </c>
      <c r="AB49" s="530">
        <f ca="1">AB$55*VLOOKUP($B49,COSTI!$F$1010:$Q$1014,VLOOKUP($C$66,COSTI!$I$1079:$M$1084,5,FALSE),FALSE)</f>
        <v>0</v>
      </c>
      <c r="AC49" s="530">
        <f ca="1">AC$55*VLOOKUP($B49,COSTI!$F$1010:$Q$1014,VLOOKUP($C$66,COSTI!$I$1079:$M$1084,5,FALSE),FALSE)</f>
        <v>0</v>
      </c>
      <c r="AD49" s="530">
        <f ca="1">AD$55*VLOOKUP($B49,COSTI!$F$1010:$Q$1014,VLOOKUP($C$66,COSTI!$I$1079:$M$1084,5,FALSE),FALSE)</f>
        <v>0</v>
      </c>
      <c r="AE49" s="530">
        <f ca="1">AE$55*VLOOKUP($B49,COSTI!$F$1010:$Q$1014,VLOOKUP($C$66,COSTI!$I$1079:$M$1084,5,FALSE),FALSE)</f>
        <v>0</v>
      </c>
      <c r="AF49" s="530">
        <f ca="1">AF$55*VLOOKUP($B49,COSTI!$F$1010:$Q$1014,VLOOKUP($C$66,COSTI!$I$1079:$M$1084,5,FALSE),FALSE)</f>
        <v>0</v>
      </c>
      <c r="AG49" s="530">
        <f ca="1">AG$55*VLOOKUP($B49,COSTI!$F$1010:$Q$1014,VLOOKUP($C$66,COSTI!$I$1079:$M$1084,5,FALSE),FALSE)</f>
        <v>0</v>
      </c>
      <c r="AH49" s="530">
        <f ca="1">AH$55*VLOOKUP($B49,COSTI!$F$1010:$Q$1014,VLOOKUP($C$66,COSTI!$I$1079:$M$1084,5,FALSE),FALSE)</f>
        <v>0</v>
      </c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6.5" customHeight="1">
      <c r="A50" s="1"/>
      <c r="B50" s="419">
        <v>2</v>
      </c>
      <c r="C50" s="1426" t="str">
        <f ca="1">IF(AND(T50=0,ISBLANK(ENTI!B10)),"",IF(AND(T50&gt;0,ISBLANK(ENTI!B10)),CONCATENATE(H$71,C8),CONCATENATE(H$71,ENTI!B10)))</f>
        <v>Ripartizione costi Nome ENTE 2</v>
      </c>
      <c r="D50" s="1427"/>
      <c r="E50" s="1427"/>
      <c r="F50" s="1428"/>
      <c r="G50" s="977">
        <f ca="1">IF($C$66=0,0,G$55*VLOOKUP($B50,COSTI!$F$1010:$Q$1014,VLOOKUP($C$66,COSTI!$I$1079:$M$1084,5,FALSE),FALSE))</f>
        <v>30.5</v>
      </c>
      <c r="H50" s="978">
        <f ca="1">IF($C$66=0,0,H$55*VLOOKUP($B50,COSTI!$F$1010:$Q$1014,VLOOKUP($C$66,COSTI!$I$1079:$M$1084,5,FALSE),FALSE))</f>
        <v>20</v>
      </c>
      <c r="I50" s="978">
        <f ca="1">IF($C$66=0,0,I$55*VLOOKUP($B50,COSTI!$F$1010:$Q$1014,VLOOKUP($C$66,COSTI!$I$1079:$M$1084,5,FALSE),FALSE))</f>
        <v>20</v>
      </c>
      <c r="J50" s="978">
        <f ca="1">IF($C$66=0,0,J$55*VLOOKUP($B50,COSTI!$F$1010:$Q$1014,VLOOKUP($C$66,COSTI!$I$1079:$M$1084,5,FALSE),FALSE))</f>
        <v>20</v>
      </c>
      <c r="K50" s="978">
        <f ca="1">IF($C$66=0,0,K$55*VLOOKUP($B50,COSTI!$F$1010:$Q$1014,VLOOKUP($C$66,COSTI!$I$1079:$M$1084,5,FALSE),FALSE))</f>
        <v>10</v>
      </c>
      <c r="L50" s="978">
        <f ca="1">IF($C$66=0,0,L$55*VLOOKUP($B50,COSTI!$F$1010:$Q$1014,VLOOKUP($C$66,COSTI!$I$1079:$M$1084,5,FALSE),FALSE))</f>
        <v>0</v>
      </c>
      <c r="M50" s="978">
        <f ca="1">IF($C$66=0,0,M$55*VLOOKUP($B50,COSTI!$F$1010:$Q$1014,VLOOKUP($C$66,COSTI!$I$1079:$M$1084,5,FALSE),FALSE))</f>
        <v>0</v>
      </c>
      <c r="N50" s="978">
        <f ca="1">IF($C$66=0,0,N$55*VLOOKUP($B50,COSTI!$F$1010:$Q$1014,VLOOKUP($C$66,COSTI!$I$1079:$M$1084,5,FALSE),FALSE))</f>
        <v>0</v>
      </c>
      <c r="O50" s="978">
        <f ca="1">IF($C$66=0,0,O$55*VLOOKUP($B50,COSTI!$F$1010:$Q$1014,VLOOKUP($C$66,COSTI!$I$1079:$M$1084,5,FALSE),FALSE))</f>
        <v>0</v>
      </c>
      <c r="P50" s="978">
        <f ca="1">IF($C$66=0,0,P$55*VLOOKUP($B50,COSTI!$F$1010:$Q$1014,VLOOKUP($C$66,COSTI!$I$1079:$M$1084,5,FALSE),FALSE))</f>
        <v>0</v>
      </c>
      <c r="Q50" s="978">
        <f ca="1">IF($C$66=0,0,Q$55*VLOOKUP($B50,COSTI!$F$1010:$Q$1014,VLOOKUP($C$66,COSTI!$I$1079:$M$1084,5,FALSE),FALSE))</f>
        <v>0</v>
      </c>
      <c r="R50" s="979">
        <f ca="1">IF($C$66=0,0,R$55*VLOOKUP($B50,COSTI!$F$1010:$Q$1014,VLOOKUP($C$66,COSTI!$I$1079:$M$1084,5,FALSE),FALSE))</f>
        <v>0</v>
      </c>
      <c r="S50" s="27"/>
      <c r="T50" s="966">
        <f t="shared" ca="1" si="16"/>
        <v>100.5</v>
      </c>
      <c r="U50" s="1"/>
      <c r="V50" s="1"/>
      <c r="W50" s="530">
        <f ca="1">W$55*VLOOKUP($B50,COSTI!$F$1010:$Q$1014,VLOOKUP($C$66,COSTI!$I$1079:$M$1084,5,FALSE),FALSE)</f>
        <v>30.5</v>
      </c>
      <c r="X50" s="530">
        <f ca="1">X$55*VLOOKUP($B50,COSTI!$F$1010:$Q$1014,VLOOKUP($C$66,COSTI!$I$1079:$M$1084,5,FALSE),FALSE)</f>
        <v>20</v>
      </c>
      <c r="Y50" s="530">
        <f ca="1">Y$55*VLOOKUP($B50,COSTI!$F$1010:$Q$1014,VLOOKUP($C$66,COSTI!$I$1079:$M$1084,5,FALSE),FALSE)</f>
        <v>20</v>
      </c>
      <c r="Z50" s="530">
        <f ca="1">Z$55*VLOOKUP($B50,COSTI!$F$1010:$Q$1014,VLOOKUP($C$66,COSTI!$I$1079:$M$1084,5,FALSE),FALSE)</f>
        <v>20</v>
      </c>
      <c r="AA50" s="530">
        <f ca="1">AA$55*VLOOKUP($B50,COSTI!$F$1010:$Q$1014,VLOOKUP($C$66,COSTI!$I$1079:$M$1084,5,FALSE),FALSE)</f>
        <v>10</v>
      </c>
      <c r="AB50" s="530">
        <f ca="1">AB$55*VLOOKUP($B50,COSTI!$F$1010:$Q$1014,VLOOKUP($C$66,COSTI!$I$1079:$M$1084,5,FALSE),FALSE)</f>
        <v>0</v>
      </c>
      <c r="AC50" s="530">
        <f ca="1">AC$55*VLOOKUP($B50,COSTI!$F$1010:$Q$1014,VLOOKUP($C$66,COSTI!$I$1079:$M$1084,5,FALSE),FALSE)</f>
        <v>0</v>
      </c>
      <c r="AD50" s="530">
        <f ca="1">AD$55*VLOOKUP($B50,COSTI!$F$1010:$Q$1014,VLOOKUP($C$66,COSTI!$I$1079:$M$1084,5,FALSE),FALSE)</f>
        <v>0</v>
      </c>
      <c r="AE50" s="530">
        <f ca="1">AE$55*VLOOKUP($B50,COSTI!$F$1010:$Q$1014,VLOOKUP($C$66,COSTI!$I$1079:$M$1084,5,FALSE),FALSE)</f>
        <v>0</v>
      </c>
      <c r="AF50" s="530">
        <f ca="1">AF$55*VLOOKUP($B50,COSTI!$F$1010:$Q$1014,VLOOKUP($C$66,COSTI!$I$1079:$M$1084,5,FALSE),FALSE)</f>
        <v>0</v>
      </c>
      <c r="AG50" s="530">
        <f ca="1">AG$55*VLOOKUP($B50,COSTI!$F$1010:$Q$1014,VLOOKUP($C$66,COSTI!$I$1079:$M$1084,5,FALSE),FALSE)</f>
        <v>0</v>
      </c>
      <c r="AH50" s="530">
        <f ca="1">AH$55*VLOOKUP($B50,COSTI!$F$1010:$Q$1014,VLOOKUP($C$66,COSTI!$I$1079:$M$1084,5,FALSE),FALSE)</f>
        <v>0</v>
      </c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6.5" customHeight="1">
      <c r="A51" s="1"/>
      <c r="B51" s="419">
        <v>3</v>
      </c>
      <c r="C51" s="1426" t="str">
        <f ca="1">IF(AND(T51=0,ISBLANK(ENTI!B11)),"",IF(AND(T51&gt;0,ISBLANK(ENTI!B11)),CONCATENATE(H$71,C9),CONCATENATE(H$71,ENTI!B11)))</f>
        <v>Ripartizione costi Nome ENTE 3</v>
      </c>
      <c r="D51" s="1427"/>
      <c r="E51" s="1427"/>
      <c r="F51" s="1428"/>
      <c r="G51" s="977">
        <f ca="1">IF($C$66=0,0,G$55*VLOOKUP($B51,COSTI!$F$1010:$Q$1014,VLOOKUP($C$66,COSTI!$I$1079:$M$1084,5,FALSE),FALSE))</f>
        <v>61</v>
      </c>
      <c r="H51" s="978">
        <f ca="1">IF($C$66=0,0,H$55*VLOOKUP($B51,COSTI!$F$1010:$Q$1014,VLOOKUP($C$66,COSTI!$I$1079:$M$1084,5,FALSE),FALSE))</f>
        <v>40</v>
      </c>
      <c r="I51" s="978">
        <f ca="1">IF($C$66=0,0,I$55*VLOOKUP($B51,COSTI!$F$1010:$Q$1014,VLOOKUP($C$66,COSTI!$I$1079:$M$1084,5,FALSE),FALSE))</f>
        <v>40</v>
      </c>
      <c r="J51" s="978">
        <f ca="1">IF($C$66=0,0,J$55*VLOOKUP($B51,COSTI!$F$1010:$Q$1014,VLOOKUP($C$66,COSTI!$I$1079:$M$1084,5,FALSE),FALSE))</f>
        <v>40</v>
      </c>
      <c r="K51" s="978">
        <f ca="1">IF($C$66=0,0,K$55*VLOOKUP($B51,COSTI!$F$1010:$Q$1014,VLOOKUP($C$66,COSTI!$I$1079:$M$1084,5,FALSE),FALSE))</f>
        <v>20</v>
      </c>
      <c r="L51" s="978">
        <f ca="1">IF($C$66=0,0,L$55*VLOOKUP($B51,COSTI!$F$1010:$Q$1014,VLOOKUP($C$66,COSTI!$I$1079:$M$1084,5,FALSE),FALSE))</f>
        <v>0</v>
      </c>
      <c r="M51" s="978">
        <f ca="1">IF($C$66=0,0,M$55*VLOOKUP($B51,COSTI!$F$1010:$Q$1014,VLOOKUP($C$66,COSTI!$I$1079:$M$1084,5,FALSE),FALSE))</f>
        <v>0</v>
      </c>
      <c r="N51" s="978">
        <f ca="1">IF($C$66=0,0,N$55*VLOOKUP($B51,COSTI!$F$1010:$Q$1014,VLOOKUP($C$66,COSTI!$I$1079:$M$1084,5,FALSE),FALSE))</f>
        <v>0</v>
      </c>
      <c r="O51" s="978">
        <f ca="1">IF($C$66=0,0,O$55*VLOOKUP($B51,COSTI!$F$1010:$Q$1014,VLOOKUP($C$66,COSTI!$I$1079:$M$1084,5,FALSE),FALSE))</f>
        <v>0</v>
      </c>
      <c r="P51" s="978">
        <f ca="1">IF($C$66=0,0,P$55*VLOOKUP($B51,COSTI!$F$1010:$Q$1014,VLOOKUP($C$66,COSTI!$I$1079:$M$1084,5,FALSE),FALSE))</f>
        <v>0</v>
      </c>
      <c r="Q51" s="978">
        <f ca="1">IF($C$66=0,0,Q$55*VLOOKUP($B51,COSTI!$F$1010:$Q$1014,VLOOKUP($C$66,COSTI!$I$1079:$M$1084,5,FALSE),FALSE))</f>
        <v>0</v>
      </c>
      <c r="R51" s="979">
        <f ca="1">IF($C$66=0,0,R$55*VLOOKUP($B51,COSTI!$F$1010:$Q$1014,VLOOKUP($C$66,COSTI!$I$1079:$M$1084,5,FALSE),FALSE))</f>
        <v>0</v>
      </c>
      <c r="S51" s="27"/>
      <c r="T51" s="966">
        <f t="shared" ca="1" si="16"/>
        <v>201</v>
      </c>
      <c r="U51" s="1"/>
      <c r="V51" s="1"/>
      <c r="W51" s="530">
        <f ca="1">W$55*VLOOKUP($B51,COSTI!$F$1010:$Q$1014,VLOOKUP($C$66,COSTI!$I$1079:$M$1084,5,FALSE),FALSE)</f>
        <v>61</v>
      </c>
      <c r="X51" s="530">
        <f ca="1">X$55*VLOOKUP($B51,COSTI!$F$1010:$Q$1014,VLOOKUP($C$66,COSTI!$I$1079:$M$1084,5,FALSE),FALSE)</f>
        <v>40</v>
      </c>
      <c r="Y51" s="530">
        <f ca="1">Y$55*VLOOKUP($B51,COSTI!$F$1010:$Q$1014,VLOOKUP($C$66,COSTI!$I$1079:$M$1084,5,FALSE),FALSE)</f>
        <v>40</v>
      </c>
      <c r="Z51" s="530">
        <f ca="1">Z$55*VLOOKUP($B51,COSTI!$F$1010:$Q$1014,VLOOKUP($C$66,COSTI!$I$1079:$M$1084,5,FALSE),FALSE)</f>
        <v>40</v>
      </c>
      <c r="AA51" s="530">
        <f ca="1">AA$55*VLOOKUP($B51,COSTI!$F$1010:$Q$1014,VLOOKUP($C$66,COSTI!$I$1079:$M$1084,5,FALSE),FALSE)</f>
        <v>20</v>
      </c>
      <c r="AB51" s="530">
        <f ca="1">AB$55*VLOOKUP($B51,COSTI!$F$1010:$Q$1014,VLOOKUP($C$66,COSTI!$I$1079:$M$1084,5,FALSE),FALSE)</f>
        <v>0</v>
      </c>
      <c r="AC51" s="530">
        <f ca="1">AC$55*VLOOKUP($B51,COSTI!$F$1010:$Q$1014,VLOOKUP($C$66,COSTI!$I$1079:$M$1084,5,FALSE),FALSE)</f>
        <v>0</v>
      </c>
      <c r="AD51" s="530">
        <f ca="1">AD$55*VLOOKUP($B51,COSTI!$F$1010:$Q$1014,VLOOKUP($C$66,COSTI!$I$1079:$M$1084,5,FALSE),FALSE)</f>
        <v>0</v>
      </c>
      <c r="AE51" s="530">
        <f ca="1">AE$55*VLOOKUP($B51,COSTI!$F$1010:$Q$1014,VLOOKUP($C$66,COSTI!$I$1079:$M$1084,5,FALSE),FALSE)</f>
        <v>0</v>
      </c>
      <c r="AF51" s="530">
        <f ca="1">AF$55*VLOOKUP($B51,COSTI!$F$1010:$Q$1014,VLOOKUP($C$66,COSTI!$I$1079:$M$1084,5,FALSE),FALSE)</f>
        <v>0</v>
      </c>
      <c r="AG51" s="530">
        <f ca="1">AG$55*VLOOKUP($B51,COSTI!$F$1010:$Q$1014,VLOOKUP($C$66,COSTI!$I$1079:$M$1084,5,FALSE),FALSE)</f>
        <v>0</v>
      </c>
      <c r="AH51" s="530">
        <f ca="1">AH$55*VLOOKUP($B51,COSTI!$F$1010:$Q$1014,VLOOKUP($C$66,COSTI!$I$1079:$M$1084,5,FALSE),FALSE)</f>
        <v>0</v>
      </c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6.5" customHeight="1">
      <c r="A52" s="1"/>
      <c r="B52" s="419">
        <v>4</v>
      </c>
      <c r="C52" s="1426" t="str">
        <f ca="1">IF(AND(T52=0,ISBLANK(ENTI!B12)),"",IF(AND(T52&gt;0,ISBLANK(ENTI!B12)),CONCATENATE(H$71,C10),CONCATENATE(H$71,ENTI!B12)))</f>
        <v>Ripartizione costi Nome ENTE 4 / sovrascrivi</v>
      </c>
      <c r="D52" s="1427"/>
      <c r="E52" s="1427"/>
      <c r="F52" s="1428"/>
      <c r="G52" s="977">
        <f ca="1">IF($C$66=0,0,G$55*VLOOKUP($B52,COSTI!$F$1010:$Q$1014,VLOOKUP($C$66,COSTI!$I$1079:$M$1084,5,FALSE),FALSE))</f>
        <v>61</v>
      </c>
      <c r="H52" s="978">
        <f ca="1">IF($C$66=0,0,H$55*VLOOKUP($B52,COSTI!$F$1010:$Q$1014,VLOOKUP($C$66,COSTI!$I$1079:$M$1084,5,FALSE),FALSE))</f>
        <v>40</v>
      </c>
      <c r="I52" s="978">
        <f ca="1">IF($C$66=0,0,I$55*VLOOKUP($B52,COSTI!$F$1010:$Q$1014,VLOOKUP($C$66,COSTI!$I$1079:$M$1084,5,FALSE),FALSE))</f>
        <v>40</v>
      </c>
      <c r="J52" s="978">
        <f ca="1">IF($C$66=0,0,J$55*VLOOKUP($B52,COSTI!$F$1010:$Q$1014,VLOOKUP($C$66,COSTI!$I$1079:$M$1084,5,FALSE),FALSE))</f>
        <v>40</v>
      </c>
      <c r="K52" s="978">
        <f ca="1">IF($C$66=0,0,K$55*VLOOKUP($B52,COSTI!$F$1010:$Q$1014,VLOOKUP($C$66,COSTI!$I$1079:$M$1084,5,FALSE),FALSE))</f>
        <v>20</v>
      </c>
      <c r="L52" s="978">
        <f ca="1">IF($C$66=0,0,L$55*VLOOKUP($B52,COSTI!$F$1010:$Q$1014,VLOOKUP($C$66,COSTI!$I$1079:$M$1084,5,FALSE),FALSE))</f>
        <v>0</v>
      </c>
      <c r="M52" s="978">
        <f ca="1">IF($C$66=0,0,M$55*VLOOKUP($B52,COSTI!$F$1010:$Q$1014,VLOOKUP($C$66,COSTI!$I$1079:$M$1084,5,FALSE),FALSE))</f>
        <v>0</v>
      </c>
      <c r="N52" s="978">
        <f ca="1">IF($C$66=0,0,N$55*VLOOKUP($B52,COSTI!$F$1010:$Q$1014,VLOOKUP($C$66,COSTI!$I$1079:$M$1084,5,FALSE),FALSE))</f>
        <v>0</v>
      </c>
      <c r="O52" s="978">
        <f ca="1">IF($C$66=0,0,O$55*VLOOKUP($B52,COSTI!$F$1010:$Q$1014,VLOOKUP($C$66,COSTI!$I$1079:$M$1084,5,FALSE),FALSE))</f>
        <v>0</v>
      </c>
      <c r="P52" s="978">
        <f ca="1">IF($C$66=0,0,P$55*VLOOKUP($B52,COSTI!$F$1010:$Q$1014,VLOOKUP($C$66,COSTI!$I$1079:$M$1084,5,FALSE),FALSE))</f>
        <v>0</v>
      </c>
      <c r="Q52" s="978">
        <f ca="1">IF($C$66=0,0,Q$55*VLOOKUP($B52,COSTI!$F$1010:$Q$1014,VLOOKUP($C$66,COSTI!$I$1079:$M$1084,5,FALSE),FALSE))</f>
        <v>0</v>
      </c>
      <c r="R52" s="979">
        <f ca="1">IF($C$66=0,0,R$55*VLOOKUP($B52,COSTI!$F$1010:$Q$1014,VLOOKUP($C$66,COSTI!$I$1079:$M$1084,5,FALSE),FALSE))</f>
        <v>0</v>
      </c>
      <c r="S52" s="27"/>
      <c r="T52" s="966">
        <f t="shared" ca="1" si="16"/>
        <v>201</v>
      </c>
      <c r="U52" s="1"/>
      <c r="V52" s="1"/>
      <c r="W52" s="530">
        <f ca="1">W$55*VLOOKUP($B52,COSTI!$F$1010:$Q$1014,VLOOKUP($C$66,COSTI!$I$1079:$M$1084,5,FALSE),FALSE)</f>
        <v>61</v>
      </c>
      <c r="X52" s="530">
        <f ca="1">X$55*VLOOKUP($B52,COSTI!$F$1010:$Q$1014,VLOOKUP($C$66,COSTI!$I$1079:$M$1084,5,FALSE),FALSE)</f>
        <v>40</v>
      </c>
      <c r="Y52" s="530">
        <f ca="1">Y$55*VLOOKUP($B52,COSTI!$F$1010:$Q$1014,VLOOKUP($C$66,COSTI!$I$1079:$M$1084,5,FALSE),FALSE)</f>
        <v>40</v>
      </c>
      <c r="Z52" s="530">
        <f ca="1">Z$55*VLOOKUP($B52,COSTI!$F$1010:$Q$1014,VLOOKUP($C$66,COSTI!$I$1079:$M$1084,5,FALSE),FALSE)</f>
        <v>40</v>
      </c>
      <c r="AA52" s="530">
        <f ca="1">AA$55*VLOOKUP($B52,COSTI!$F$1010:$Q$1014,VLOOKUP($C$66,COSTI!$I$1079:$M$1084,5,FALSE),FALSE)</f>
        <v>20</v>
      </c>
      <c r="AB52" s="530">
        <f ca="1">AB$55*VLOOKUP($B52,COSTI!$F$1010:$Q$1014,VLOOKUP($C$66,COSTI!$I$1079:$M$1084,5,FALSE),FALSE)</f>
        <v>0</v>
      </c>
      <c r="AC52" s="530">
        <f ca="1">AC$55*VLOOKUP($B52,COSTI!$F$1010:$Q$1014,VLOOKUP($C$66,COSTI!$I$1079:$M$1084,5,FALSE),FALSE)</f>
        <v>0</v>
      </c>
      <c r="AD52" s="530">
        <f ca="1">AD$55*VLOOKUP($B52,COSTI!$F$1010:$Q$1014,VLOOKUP($C$66,COSTI!$I$1079:$M$1084,5,FALSE),FALSE)</f>
        <v>0</v>
      </c>
      <c r="AE52" s="530">
        <f ca="1">AE$55*VLOOKUP($B52,COSTI!$F$1010:$Q$1014,VLOOKUP($C$66,COSTI!$I$1079:$M$1084,5,FALSE),FALSE)</f>
        <v>0</v>
      </c>
      <c r="AF52" s="530">
        <f ca="1">AF$55*VLOOKUP($B52,COSTI!$F$1010:$Q$1014,VLOOKUP($C$66,COSTI!$I$1079:$M$1084,5,FALSE),FALSE)</f>
        <v>0</v>
      </c>
      <c r="AG52" s="530">
        <f ca="1">AG$55*VLOOKUP($B52,COSTI!$F$1010:$Q$1014,VLOOKUP($C$66,COSTI!$I$1079:$M$1084,5,FALSE),FALSE)</f>
        <v>0</v>
      </c>
      <c r="AH52" s="530">
        <f ca="1">AH$55*VLOOKUP($B52,COSTI!$F$1010:$Q$1014,VLOOKUP($C$66,COSTI!$I$1079:$M$1084,5,FALSE),FALSE)</f>
        <v>0</v>
      </c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6.5" customHeight="1">
      <c r="A53" s="1"/>
      <c r="B53" s="419">
        <v>5</v>
      </c>
      <c r="C53" s="1471" t="str">
        <f ca="1">IF(AND(T53=0,ISBLANK(ENTI!B13)),"",IF(AND(T53&gt;0,ISBLANK(ENTI!B13)),CONCATENATE(H$71,C11),CONCATENATE(H$71,ENTI!B13)))</f>
        <v>Ripartizione costi Nome ENTE ultimo disponibile</v>
      </c>
      <c r="D53" s="1472"/>
      <c r="E53" s="1472"/>
      <c r="F53" s="1473"/>
      <c r="G53" s="980">
        <f ca="1">IF($C$66=0,0,G$55*VLOOKUP($B53,COSTI!$F$1010:$Q$1014,VLOOKUP($C$66,COSTI!$I$1079:$M$1084,5,FALSE),FALSE))</f>
        <v>122</v>
      </c>
      <c r="H53" s="981">
        <f ca="1">IF($C$66=0,0,H$55*VLOOKUP($B53,COSTI!$F$1010:$Q$1014,VLOOKUP($C$66,COSTI!$I$1079:$M$1084,5,FALSE),FALSE))</f>
        <v>80</v>
      </c>
      <c r="I53" s="981">
        <f ca="1">IF($C$66=0,0,I$55*VLOOKUP($B53,COSTI!$F$1010:$Q$1014,VLOOKUP($C$66,COSTI!$I$1079:$M$1084,5,FALSE),FALSE))</f>
        <v>80</v>
      </c>
      <c r="J53" s="981">
        <f ca="1">IF($C$66=0,0,J$55*VLOOKUP($B53,COSTI!$F$1010:$Q$1014,VLOOKUP($C$66,COSTI!$I$1079:$M$1084,5,FALSE),FALSE))</f>
        <v>80</v>
      </c>
      <c r="K53" s="981">
        <f ca="1">IF($C$66=0,0,K$55*VLOOKUP($B53,COSTI!$F$1010:$Q$1014,VLOOKUP($C$66,COSTI!$I$1079:$M$1084,5,FALSE),FALSE))</f>
        <v>40</v>
      </c>
      <c r="L53" s="981">
        <f ca="1">IF($C$66=0,0,L$55*VLOOKUP($B53,COSTI!$F$1010:$Q$1014,VLOOKUP($C$66,COSTI!$I$1079:$M$1084,5,FALSE),FALSE))</f>
        <v>0</v>
      </c>
      <c r="M53" s="981">
        <f ca="1">IF($C$66=0,0,M$55*VLOOKUP($B53,COSTI!$F$1010:$Q$1014,VLOOKUP($C$66,COSTI!$I$1079:$M$1084,5,FALSE),FALSE))</f>
        <v>0</v>
      </c>
      <c r="N53" s="981">
        <f ca="1">IF($C$66=0,0,N$55*VLOOKUP($B53,COSTI!$F$1010:$Q$1014,VLOOKUP($C$66,COSTI!$I$1079:$M$1084,5,FALSE),FALSE))</f>
        <v>0</v>
      </c>
      <c r="O53" s="981">
        <f ca="1">IF($C$66=0,0,O$55*VLOOKUP($B53,COSTI!$F$1010:$Q$1014,VLOOKUP($C$66,COSTI!$I$1079:$M$1084,5,FALSE),FALSE))</f>
        <v>0</v>
      </c>
      <c r="P53" s="981">
        <f ca="1">IF($C$66=0,0,P$55*VLOOKUP($B53,COSTI!$F$1010:$Q$1014,VLOOKUP($C$66,COSTI!$I$1079:$M$1084,5,FALSE),FALSE))</f>
        <v>0</v>
      </c>
      <c r="Q53" s="981">
        <f ca="1">IF($C$66=0,0,Q$55*VLOOKUP($B53,COSTI!$F$1010:$Q$1014,VLOOKUP($C$66,COSTI!$I$1079:$M$1084,5,FALSE),FALSE))</f>
        <v>0</v>
      </c>
      <c r="R53" s="982">
        <f ca="1">IF($C$66=0,0,R$55*VLOOKUP($B53,COSTI!$F$1010:$Q$1014,VLOOKUP($C$66,COSTI!$I$1079:$M$1084,5,FALSE),FALSE))</f>
        <v>0</v>
      </c>
      <c r="S53" s="27"/>
      <c r="T53" s="967">
        <f ca="1">SUM(G53:R53)</f>
        <v>402</v>
      </c>
      <c r="U53" s="1"/>
      <c r="V53" s="1"/>
      <c r="W53" s="530">
        <f ca="1">W$55*VLOOKUP($B53,COSTI!$F$1010:$Q$1014,VLOOKUP($C$66,COSTI!$I$1079:$M$1084,5,FALSE),FALSE)</f>
        <v>122</v>
      </c>
      <c r="X53" s="530">
        <f ca="1">X$55*VLOOKUP($B53,COSTI!$F$1010:$Q$1014,VLOOKUP($C$66,COSTI!$I$1079:$M$1084,5,FALSE),FALSE)</f>
        <v>80</v>
      </c>
      <c r="Y53" s="530">
        <f ca="1">Y$55*VLOOKUP($B53,COSTI!$F$1010:$Q$1014,VLOOKUP($C$66,COSTI!$I$1079:$M$1084,5,FALSE),FALSE)</f>
        <v>80</v>
      </c>
      <c r="Z53" s="530">
        <f ca="1">Z$55*VLOOKUP($B53,COSTI!$F$1010:$Q$1014,VLOOKUP($C$66,COSTI!$I$1079:$M$1084,5,FALSE),FALSE)</f>
        <v>80</v>
      </c>
      <c r="AA53" s="530">
        <f ca="1">AA$55*VLOOKUP($B53,COSTI!$F$1010:$Q$1014,VLOOKUP($C$66,COSTI!$I$1079:$M$1084,5,FALSE),FALSE)</f>
        <v>40</v>
      </c>
      <c r="AB53" s="530">
        <f ca="1">AB$55*VLOOKUP($B53,COSTI!$F$1010:$Q$1014,VLOOKUP($C$66,COSTI!$I$1079:$M$1084,5,FALSE),FALSE)</f>
        <v>0</v>
      </c>
      <c r="AC53" s="530">
        <f ca="1">AC$55*VLOOKUP($B53,COSTI!$F$1010:$Q$1014,VLOOKUP($C$66,COSTI!$I$1079:$M$1084,5,FALSE),FALSE)</f>
        <v>0</v>
      </c>
      <c r="AD53" s="530">
        <f ca="1">AD$55*VLOOKUP($B53,COSTI!$F$1010:$Q$1014,VLOOKUP($C$66,COSTI!$I$1079:$M$1084,5,FALSE),FALSE)</f>
        <v>0</v>
      </c>
      <c r="AE53" s="530">
        <f ca="1">AE$55*VLOOKUP($B53,COSTI!$F$1010:$Q$1014,VLOOKUP($C$66,COSTI!$I$1079:$M$1084,5,FALSE),FALSE)</f>
        <v>0</v>
      </c>
      <c r="AF53" s="530">
        <f ca="1">AF$55*VLOOKUP($B53,COSTI!$F$1010:$Q$1014,VLOOKUP($C$66,COSTI!$I$1079:$M$1084,5,FALSE),FALSE)</f>
        <v>0</v>
      </c>
      <c r="AG53" s="530">
        <f ca="1">AG$55*VLOOKUP($B53,COSTI!$F$1010:$Q$1014,VLOOKUP($C$66,COSTI!$I$1079:$M$1084,5,FALSE),FALSE)</f>
        <v>0</v>
      </c>
      <c r="AH53" s="530">
        <f ca="1">AH$55*VLOOKUP($B53,COSTI!$F$1010:$Q$1014,VLOOKUP($C$66,COSTI!$I$1079:$M$1084,5,FALSE),FALSE)</f>
        <v>0</v>
      </c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6.5" customHeight="1">
      <c r="A54" s="1"/>
      <c r="B54" s="1"/>
      <c r="C54" s="1470" t="s">
        <v>152</v>
      </c>
      <c r="D54" s="1470"/>
      <c r="E54" s="1470"/>
      <c r="F54" s="1470"/>
      <c r="G54" s="1478" t="str">
        <f ca="1">IF(T55&gt;0,N88,"")</f>
        <v>Questi valori, relativi alla ripartizione automatica del conto AMMINISTRATORE, confluiscono già nei totali del report precedente.</v>
      </c>
      <c r="H54" s="1478"/>
      <c r="I54" s="1478"/>
      <c r="J54" s="1478"/>
      <c r="K54" s="1478"/>
      <c r="L54" s="1478"/>
      <c r="M54" s="1478"/>
      <c r="N54" s="1478"/>
      <c r="O54" s="1478"/>
      <c r="P54" s="1478"/>
      <c r="Q54" s="1478"/>
      <c r="R54" s="1478"/>
      <c r="S54" s="1"/>
      <c r="T54" s="502" t="str">
        <f>Presentazione!$K$26</f>
        <v>EURO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6.5" customHeight="1">
      <c r="A55" s="373"/>
      <c r="B55" s="1"/>
      <c r="C55" s="1418" t="str">
        <f>COSTI!B78</f>
        <v>AMMINISTRATORE</v>
      </c>
      <c r="D55" s="1419"/>
      <c r="E55" s="1419"/>
      <c r="F55" s="1420"/>
      <c r="G55" s="470">
        <f ca="1">COSTI!F45-SUMIF(COSTI!$AB$4:$AB$1003,G69&amp;$C55,COSTI!$Z$4:$Z$1003)</f>
        <v>305</v>
      </c>
      <c r="H55" s="471">
        <f ca="1">COSTI!G45-SUMIF(COSTI!$AB$4:$AB$1003,H69&amp;$C55,COSTI!$Z$4:$Z$1003)</f>
        <v>200</v>
      </c>
      <c r="I55" s="471">
        <f ca="1">COSTI!H45-SUMIF(COSTI!$AB$4:$AB$1003,I69&amp;$C55,COSTI!$Z$4:$Z$1003)</f>
        <v>200</v>
      </c>
      <c r="J55" s="471">
        <f ca="1">COSTI!I45-SUMIF(COSTI!$AB$4:$AB$1003,J69&amp;$C55,COSTI!$Z$4:$Z$1003)</f>
        <v>200</v>
      </c>
      <c r="K55" s="471">
        <f ca="1">COSTI!J45-SUMIF(COSTI!$AB$4:$AB$1003,K69&amp;$C55,COSTI!$Z$4:$Z$1003)</f>
        <v>100</v>
      </c>
      <c r="L55" s="471">
        <f ca="1">COSTI!K45-SUMIF(COSTI!$AB$4:$AB$1003,L69&amp;$C55,COSTI!$Z$4:$Z$1003)</f>
        <v>0</v>
      </c>
      <c r="M55" s="471">
        <f ca="1">COSTI!L45-SUMIF(COSTI!$AB$4:$AB$1003,M69&amp;$C55,COSTI!$Z$4:$Z$1003)</f>
        <v>0</v>
      </c>
      <c r="N55" s="471">
        <f ca="1">COSTI!M45-SUMIF(COSTI!$AB$4:$AB$1003,N69&amp;$C55,COSTI!$Z$4:$Z$1003)</f>
        <v>0</v>
      </c>
      <c r="O55" s="471">
        <f ca="1">COSTI!N45-SUMIF(COSTI!$AB$4:$AB$1003,O69&amp;$C55,COSTI!$Z$4:$Z$1003)</f>
        <v>0</v>
      </c>
      <c r="P55" s="471">
        <f ca="1">COSTI!O45-SUMIF(COSTI!$AB$4:$AB$1003,P69&amp;$C55,COSTI!$Z$4:$Z$1003)</f>
        <v>0</v>
      </c>
      <c r="Q55" s="471">
        <f ca="1">COSTI!P45-SUMIF(COSTI!$AB$4:$AB$1003,Q69&amp;$C55,COSTI!$Z$4:$Z$1003)</f>
        <v>0</v>
      </c>
      <c r="R55" s="472">
        <f ca="1">COSTI!Q45-SUMIF(COSTI!$AB$4:$AB$1003,R69&amp;$C55,COSTI!$Z$4:$Z$1003)</f>
        <v>0</v>
      </c>
      <c r="S55" s="27"/>
      <c r="T55" s="964">
        <f ca="1">SUM(G55:R55)</f>
        <v>1005</v>
      </c>
      <c r="U55" s="1"/>
      <c r="V55" s="1"/>
      <c r="W55" s="530">
        <f ca="1">SUMIF(COSTI!$A$89:$A$140,G69,COSTI!$L$89:$L$140)</f>
        <v>305</v>
      </c>
      <c r="X55" s="530">
        <f ca="1">SUMIF(COSTI!$A$89:$A$140,H69,COSTI!$L$89:$L$140)</f>
        <v>200</v>
      </c>
      <c r="Y55" s="530">
        <f ca="1">SUMIF(COSTI!$A$89:$A$140,I69,COSTI!$L$89:$L$140)</f>
        <v>200</v>
      </c>
      <c r="Z55" s="530">
        <f ca="1">SUMIF(COSTI!$A$89:$A$140,J69,COSTI!$L$89:$L$140)</f>
        <v>200</v>
      </c>
      <c r="AA55" s="530">
        <f ca="1">SUMIF(COSTI!$A$89:$A$140,K69,COSTI!$L$89:$L$140)</f>
        <v>100</v>
      </c>
      <c r="AB55" s="530">
        <f ca="1">SUMIF(COSTI!$A$89:$A$140,L69,COSTI!$L$89:$L$140)</f>
        <v>0</v>
      </c>
      <c r="AC55" s="530">
        <f ca="1">SUMIF(COSTI!$A$89:$A$140,M69,COSTI!$L$89:$L$140)</f>
        <v>0</v>
      </c>
      <c r="AD55" s="530">
        <f ca="1">SUMIF(COSTI!$A$89:$A$140,N69,COSTI!$L$89:$L$140)</f>
        <v>0</v>
      </c>
      <c r="AE55" s="530">
        <f ca="1">SUMIF(COSTI!$A$89:$A$140,O69,COSTI!$L$89:$L$140)</f>
        <v>0</v>
      </c>
      <c r="AF55" s="530">
        <f ca="1">SUMIF(COSTI!$A$89:$A$140,P69,COSTI!$L$89:$L$140)</f>
        <v>0</v>
      </c>
      <c r="AG55" s="530">
        <f ca="1">SUMIF(COSTI!$A$89:$A$140,Q69,COSTI!$L$89:$L$140)</f>
        <v>0</v>
      </c>
      <c r="AH55" s="530">
        <f ca="1">SUMIF(COSTI!$A$89:$A$140,R69,COSTI!$L$89:$L$140)</f>
        <v>0</v>
      </c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6.5" customHeight="1">
      <c r="A56" s="1"/>
      <c r="B56" s="3"/>
      <c r="C56" s="1422" t="s">
        <v>436</v>
      </c>
      <c r="D56" s="142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794" t="s">
        <v>458</v>
      </c>
      <c r="S56" s="90"/>
      <c r="T56" s="795">
        <f ca="1">SUM(T49:T53)-T55</f>
        <v>0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6.5" customHeight="1">
      <c r="A57" s="1"/>
      <c r="B57" s="1"/>
      <c r="C57" s="1483"/>
      <c r="D57" s="1483"/>
      <c r="E57" s="1483"/>
      <c r="F57" s="1483"/>
      <c r="G57" s="1446" t="s">
        <v>371</v>
      </c>
      <c r="H57" s="1446"/>
      <c r="I57" s="732" t="str">
        <f>$C$13</f>
        <v>Inserisci qui il NOME - Via del Condominio - 00000 - ROMA</v>
      </c>
      <c r="J57" s="551"/>
      <c r="K57" s="551"/>
      <c r="L57" s="1"/>
      <c r="M57" s="731"/>
      <c r="N57" s="731"/>
      <c r="O57" s="731"/>
      <c r="P57" s="731"/>
      <c r="Q57" s="731"/>
      <c r="R57" s="733" t="s">
        <v>13</v>
      </c>
      <c r="S57" s="570"/>
      <c r="T57" s="730">
        <f>Presentazione!$J$26</f>
        <v>2024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6.5" customHeight="1">
      <c r="A58" s="1"/>
      <c r="B58" s="1"/>
      <c r="C58" s="1"/>
      <c r="D58" s="1"/>
      <c r="E58" s="1"/>
      <c r="F58" s="1"/>
      <c r="G58" s="1"/>
      <c r="H58" s="1"/>
      <c r="I58" s="1445" t="str">
        <f>Presentazione!$F$10</f>
        <v/>
      </c>
      <c r="J58" s="1445"/>
      <c r="K58" s="1445"/>
      <c r="L58" s="1445"/>
      <c r="M58" s="1445"/>
      <c r="N58" s="1445"/>
      <c r="O58" s="1445"/>
      <c r="P58" s="1445"/>
      <c r="Q58" s="1445"/>
      <c r="R58" s="1445"/>
      <c r="S58" s="1445"/>
      <c r="T58" s="1445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6.5" customHeight="1">
      <c r="A59" s="1"/>
      <c r="B59" s="1"/>
      <c r="C59" s="1197" t="str">
        <f>COSTI!B61</f>
        <v>www.marcopiccoli.it - Bilancio Condominiale 4.0.E05 FREE - per EXCEL .xlsx</v>
      </c>
      <c r="D59" s="1197"/>
      <c r="E59" s="1197"/>
      <c r="F59" s="1197"/>
      <c r="G59" s="1197"/>
      <c r="H59" s="1197"/>
      <c r="I59" s="1"/>
      <c r="J59" s="1421" t="str">
        <f>COSTI!$I$61</f>
        <v>Inserisci qui il NOME   -   P.I./C.F codice fiscale condominio</v>
      </c>
      <c r="K59" s="1421"/>
      <c r="L59" s="1421"/>
      <c r="M59" s="1421"/>
      <c r="N59" s="1421"/>
      <c r="O59" s="1421"/>
      <c r="P59" s="1421"/>
      <c r="Q59" s="1421"/>
      <c r="R59" s="1421"/>
      <c r="S59" s="1421"/>
      <c r="T59" s="142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6.5" customHeight="1">
      <c r="A60" s="1"/>
      <c r="B60" s="3"/>
      <c r="C60" s="46"/>
      <c r="D60" s="46"/>
      <c r="E60" s="46"/>
      <c r="F60" s="133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27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6.5" customHeight="1">
      <c r="A61" s="1"/>
      <c r="B61" s="1"/>
      <c r="C61" s="1"/>
      <c r="D61" s="1337" t="str">
        <f>Presentazione!$B$85</f>
        <v>Questo file risulta al momento completamente funzionante ed il sistema rileva tutti i suoi fogli.</v>
      </c>
      <c r="E61" s="1337"/>
      <c r="F61" s="1337"/>
      <c r="G61" s="1337"/>
      <c r="H61" s="1337"/>
      <c r="I61" s="1337"/>
      <c r="J61" s="1337"/>
      <c r="K61" s="1337"/>
      <c r="L61" s="1337"/>
      <c r="M61" s="1337"/>
      <c r="N61" s="1337"/>
      <c r="O61" s="1337"/>
      <c r="P61" s="1337"/>
      <c r="Q61" s="1337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6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6.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56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56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56"/>
    </row>
    <row r="64" spans="1:48" ht="16.5" hidden="1" customHeight="1">
      <c r="A64" s="1"/>
      <c r="B64" s="1"/>
      <c r="C64" s="1"/>
      <c r="D64" s="1"/>
      <c r="E64" s="1"/>
      <c r="F64" s="1"/>
      <c r="G64" s="889">
        <f>IF(OR($I$92=FALSE,$M$92=FALSE),0,COSTI!F1423)</f>
        <v>1</v>
      </c>
      <c r="H64" s="889">
        <f>IF(OR($I$92=FALSE,$M$92=FALSE),0,COSTI!G1423)</f>
        <v>1</v>
      </c>
      <c r="I64" s="889">
        <f>IF(OR($I$92=FALSE,$M$92=FALSE),0,COSTI!H1423)</f>
        <v>1</v>
      </c>
      <c r="J64" s="889">
        <f>IF(OR($I$92=FALSE,$M$92=FALSE),0,COSTI!I1423)</f>
        <v>1</v>
      </c>
      <c r="K64" s="889">
        <f>IF(OR($I$92=FALSE,$M$92=FALSE),0,COSTI!J1423)</f>
        <v>1</v>
      </c>
      <c r="L64" s="889">
        <f>IF(OR($I$92=FALSE,$M$92=FALSE),0,COSTI!K1423)</f>
        <v>1</v>
      </c>
      <c r="M64" s="889">
        <f>IF(OR($I$92=FALSE,$M$92=FALSE),0,COSTI!L1423)</f>
        <v>1</v>
      </c>
      <c r="N64" s="889">
        <f>IF(OR($I$92=FALSE,$M$92=FALSE),0,COSTI!M1423)</f>
        <v>1</v>
      </c>
      <c r="O64" s="889">
        <f>IF(OR($I$92=FALSE,$M$92=FALSE),0,COSTI!N1423)</f>
        <v>1</v>
      </c>
      <c r="P64" s="889">
        <f>IF(OR($I$92=FALSE,$M$92=FALSE),0,COSTI!O1423)</f>
        <v>1</v>
      </c>
      <c r="Q64" s="889">
        <f>IF(OR($I$92=FALSE,$M$92=FALSE),0,COSTI!P1423)</f>
        <v>1</v>
      </c>
      <c r="R64" s="889">
        <f>IF(OR($I$92=FALSE,$M$92=FALSE),0,COSTI!Q1423)</f>
        <v>1</v>
      </c>
      <c r="S64" s="1"/>
      <c r="T64" s="1"/>
      <c r="U64" s="1"/>
      <c r="V64" s="156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56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56"/>
    </row>
    <row r="65" spans="1:48" ht="16.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56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56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56"/>
    </row>
    <row r="66" spans="1:48" ht="16.5" hidden="1" customHeight="1">
      <c r="A66" s="1"/>
      <c r="B66" s="1"/>
      <c r="C66" s="1447" t="str">
        <f>COSTI!I70</f>
        <v>Ripartizione:  1 - in MILLESIMI   I</v>
      </c>
      <c r="D66" s="1447"/>
      <c r="E66" s="1447"/>
      <c r="F66" s="1447"/>
      <c r="G66" s="1477"/>
      <c r="H66" s="1477"/>
      <c r="I66" s="1477"/>
      <c r="J66" s="1477"/>
      <c r="K66" s="51"/>
      <c r="L66" s="51"/>
      <c r="M66" s="51"/>
      <c r="N66" s="51"/>
      <c r="O66" s="51"/>
      <c r="P66" s="51"/>
      <c r="Q66" s="51"/>
      <c r="R66" s="353"/>
      <c r="S66" s="354"/>
      <c r="T66" s="972">
        <f ca="1">COSTI!S45-SUMIF(COSTI!X4:X1003,C55,COSTI!Z4:Z1003)</f>
        <v>1005</v>
      </c>
      <c r="U66" s="1"/>
      <c r="V66" s="156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56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56"/>
    </row>
    <row r="67" spans="1:48" ht="16.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972">
        <f ca="1">T55-T66</f>
        <v>0</v>
      </c>
      <c r="U67" s="1"/>
      <c r="V67" s="156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56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56"/>
    </row>
    <row r="68" spans="1:48" ht="16.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56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56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56"/>
    </row>
    <row r="69" spans="1:48" ht="16.5" hidden="1" customHeight="1">
      <c r="A69" s="1"/>
      <c r="B69" s="1"/>
      <c r="C69" s="1"/>
      <c r="D69" s="1"/>
      <c r="E69" s="1"/>
      <c r="F69" s="1"/>
      <c r="G69" s="889">
        <f>IF(AND($K$92=0,COSTI!$P$4=COSTI!$N$1417),0,Presentazione!B207)</f>
        <v>1</v>
      </c>
      <c r="H69" s="889">
        <f>IF(AND($K$92=0,COSTI!$P$4=COSTI!$N$1417),0,Presentazione!C207)</f>
        <v>2</v>
      </c>
      <c r="I69" s="889">
        <f>IF(AND($K$92=0,COSTI!$P$4=COSTI!$N$1417),0,Presentazione!D207)</f>
        <v>3</v>
      </c>
      <c r="J69" s="889">
        <f>IF(AND($K$92=0,COSTI!$P$4=COSTI!$N$1417),0,Presentazione!E207)</f>
        <v>4</v>
      </c>
      <c r="K69" s="889">
        <f>IF(AND($K$92=0,COSTI!$P$4=COSTI!$N$1417),0,Presentazione!F207)</f>
        <v>5</v>
      </c>
      <c r="L69" s="889">
        <f>IF(AND($K$92=0,COSTI!$P$4=COSTI!$N$1417),0,Presentazione!G207)</f>
        <v>6</v>
      </c>
      <c r="M69" s="889">
        <f>IF(AND($K$92=0,COSTI!$P$4=COSTI!$N$1417),0,Presentazione!H207)</f>
        <v>7</v>
      </c>
      <c r="N69" s="889">
        <f>IF(AND($K$92=0,COSTI!$P$4=COSTI!$N$1417),0,Presentazione!I207)</f>
        <v>8</v>
      </c>
      <c r="O69" s="889">
        <f>IF(AND($K$92=0,COSTI!$P$4=COSTI!$N$1417),0,Presentazione!J207)</f>
        <v>9</v>
      </c>
      <c r="P69" s="889">
        <f>IF(AND($K$92=0,COSTI!$P$4=COSTI!$N$1417),0,Presentazione!K207)</f>
        <v>10</v>
      </c>
      <c r="Q69" s="889">
        <f>IF(AND($K$92=0,COSTI!$P$4=COSTI!$N$1417),0,Presentazione!L207)</f>
        <v>11</v>
      </c>
      <c r="R69" s="889">
        <f>IF(AND($K$92=0,COSTI!$P$4=COSTI!$N$1417),0,Presentazione!M207)</f>
        <v>12</v>
      </c>
      <c r="S69" s="1"/>
      <c r="T69" s="1"/>
      <c r="U69" s="1"/>
      <c r="V69" s="46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46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46"/>
    </row>
    <row r="70" spans="1:48" ht="16.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56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56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56"/>
    </row>
    <row r="71" spans="1:48" ht="16.5" hidden="1" customHeight="1">
      <c r="A71" s="1"/>
      <c r="B71" s="1"/>
      <c r="C71" s="1"/>
      <c r="D71" s="1"/>
      <c r="E71" s="1"/>
      <c r="F71" s="44" t="str">
        <f t="shared" ref="F71:F82" si="17">IF(L7="","",L7)</f>
        <v>TERRA</v>
      </c>
      <c r="G71" s="1"/>
      <c r="H71" s="71" t="s">
        <v>72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46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46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46"/>
    </row>
    <row r="72" spans="1:48" ht="16.5" hidden="1" customHeight="1">
      <c r="A72" s="1"/>
      <c r="B72" s="1"/>
      <c r="C72" s="1"/>
      <c r="D72" s="1"/>
      <c r="E72" s="1"/>
      <c r="F72" s="44" t="str">
        <f t="shared" si="17"/>
        <v>1° piano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46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46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46"/>
    </row>
    <row r="73" spans="1:48" ht="16.5" hidden="1" customHeight="1">
      <c r="A73" s="1"/>
      <c r="B73" s="1"/>
      <c r="C73" s="1"/>
      <c r="D73" s="1"/>
      <c r="E73" s="1"/>
      <c r="F73" s="44" t="str">
        <f t="shared" si="17"/>
        <v>2° piano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56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56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56"/>
    </row>
    <row r="74" spans="1:48" ht="16.5" hidden="1" customHeight="1">
      <c r="A74" s="1"/>
      <c r="B74" s="1"/>
      <c r="C74" s="1"/>
      <c r="D74" s="1"/>
      <c r="E74" s="1"/>
      <c r="F74" s="44" t="str">
        <f t="shared" si="17"/>
        <v>3° piano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56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56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56"/>
    </row>
    <row r="75" spans="1:48" ht="16.5" hidden="1" customHeight="1">
      <c r="A75" s="1"/>
      <c r="B75" s="1"/>
      <c r="C75" s="1"/>
      <c r="D75" s="1"/>
      <c r="E75" s="1"/>
      <c r="F75" s="44" t="str">
        <f t="shared" si="17"/>
        <v>ecc.</v>
      </c>
      <c r="G75" s="1"/>
      <c r="H75" s="1226" t="s">
        <v>233</v>
      </c>
      <c r="I75" s="1227"/>
      <c r="J75" s="1228"/>
      <c r="K75" s="1226" t="s">
        <v>238</v>
      </c>
      <c r="L75" s="1227"/>
      <c r="M75" s="1228"/>
      <c r="N75" s="1"/>
      <c r="O75" s="1"/>
      <c r="P75" s="1"/>
      <c r="Q75" s="1"/>
      <c r="R75" s="1"/>
      <c r="S75" s="1"/>
      <c r="T75" s="1"/>
      <c r="U75" s="1"/>
      <c r="V75" s="156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56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56"/>
    </row>
    <row r="76" spans="1:48" ht="16.5" hidden="1" customHeight="1">
      <c r="A76" s="1"/>
      <c r="B76" s="1"/>
      <c r="C76" s="1"/>
      <c r="D76" s="1"/>
      <c r="E76" s="1"/>
      <c r="F76" s="44" t="str">
        <f t="shared" si="17"/>
        <v>Scala A</v>
      </c>
      <c r="G76" s="1"/>
      <c r="H76" s="1226" t="s">
        <v>186</v>
      </c>
      <c r="I76" s="1227"/>
      <c r="J76" s="1228"/>
      <c r="K76" s="1226" t="s">
        <v>239</v>
      </c>
      <c r="L76" s="1227"/>
      <c r="M76" s="1228"/>
      <c r="N76" s="1"/>
      <c r="O76" s="1"/>
      <c r="P76" s="1"/>
      <c r="Q76" s="1"/>
      <c r="R76" s="1"/>
      <c r="S76" s="1"/>
      <c r="T76" s="1"/>
      <c r="U76" s="1"/>
      <c r="V76" s="156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56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56"/>
    </row>
    <row r="77" spans="1:48" ht="16.5" hidden="1" customHeight="1">
      <c r="A77" s="1"/>
      <c r="B77" s="1"/>
      <c r="C77" s="1"/>
      <c r="D77" s="1"/>
      <c r="E77" s="1"/>
      <c r="F77" s="44" t="str">
        <f t="shared" si="17"/>
        <v>Scala B</v>
      </c>
      <c r="G77" s="1"/>
      <c r="H77" s="1479" t="str">
        <f>COSTI!I1079</f>
        <v>Ripartizione:  1 - in MILLESIMI   I</v>
      </c>
      <c r="I77" s="1442"/>
      <c r="J77" s="1480"/>
      <c r="K77" s="1441" t="str">
        <f>COSTI!C1076</f>
        <v>1 - in MILLESIMI   I</v>
      </c>
      <c r="L77" s="1442"/>
      <c r="M77" s="1443"/>
      <c r="N77" s="1"/>
      <c r="O77" s="1"/>
      <c r="P77" s="1"/>
      <c r="Q77" s="1"/>
      <c r="R77" s="1"/>
      <c r="S77" s="1"/>
      <c r="T77" s="1"/>
      <c r="U77" s="1"/>
      <c r="V77" s="156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56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56"/>
    </row>
    <row r="78" spans="1:48" ht="16.5" hidden="1" customHeight="1">
      <c r="A78" s="1"/>
      <c r="B78" s="1"/>
      <c r="C78" s="1"/>
      <c r="D78" s="1"/>
      <c r="E78" s="1"/>
      <c r="F78" s="44" t="str">
        <f t="shared" si="17"/>
        <v>ecc.</v>
      </c>
      <c r="G78" s="1"/>
      <c r="H78" s="1484" t="str">
        <f>COSTI!I1080</f>
        <v>Ripartizione:  2 - in MILLESIMI   II</v>
      </c>
      <c r="I78" s="1309"/>
      <c r="J78" s="1310"/>
      <c r="K78" s="1308" t="str">
        <f>COSTI!C1077</f>
        <v>2 - in MILLESIMI   II</v>
      </c>
      <c r="L78" s="1309"/>
      <c r="M78" s="1411"/>
      <c r="N78" s="1"/>
      <c r="O78" s="1"/>
      <c r="P78" s="1"/>
      <c r="Q78" s="1"/>
      <c r="R78" s="1"/>
      <c r="S78" s="1"/>
      <c r="T78" s="1"/>
      <c r="U78" s="1"/>
      <c r="V78" s="156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56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56"/>
    </row>
    <row r="79" spans="1:48" ht="16.5" hidden="1" customHeight="1">
      <c r="A79" s="1"/>
      <c r="B79" s="1"/>
      <c r="C79" s="1"/>
      <c r="D79" s="1"/>
      <c r="E79" s="1"/>
      <c r="F79" s="44" t="str">
        <f t="shared" si="17"/>
        <v>Palazzo A</v>
      </c>
      <c r="G79" s="1"/>
      <c r="H79" s="1484" t="str">
        <f>COSTI!I1081</f>
        <v>Ripartizione:  3 - in MILLESIMI   III</v>
      </c>
      <c r="I79" s="1309"/>
      <c r="J79" s="1310"/>
      <c r="K79" s="1308" t="str">
        <f>COSTI!C1078</f>
        <v>3 - in MILLESIMI   III</v>
      </c>
      <c r="L79" s="1309"/>
      <c r="M79" s="1411"/>
      <c r="N79" s="1"/>
      <c r="O79" s="1"/>
      <c r="P79" s="1"/>
      <c r="Q79" s="1"/>
      <c r="R79" s="1"/>
      <c r="S79" s="1"/>
      <c r="T79" s="1"/>
      <c r="U79" s="1"/>
      <c r="V79" s="156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56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56"/>
    </row>
    <row r="80" spans="1:48" ht="16.5" hidden="1" customHeight="1">
      <c r="A80" s="1"/>
      <c r="B80" s="1"/>
      <c r="C80" s="1"/>
      <c r="D80" s="1"/>
      <c r="E80" s="1"/>
      <c r="F80" s="44" t="str">
        <f t="shared" si="17"/>
        <v>Palazzo B</v>
      </c>
      <c r="G80" s="1"/>
      <c r="H80" s="1484" t="str">
        <f>COSTI!I1082</f>
        <v>Ripartizione:  4 - in PERCENTUALE</v>
      </c>
      <c r="I80" s="1309"/>
      <c r="J80" s="1310"/>
      <c r="K80" s="1308" t="str">
        <f>COSTI!C1079</f>
        <v>4 - in PERCENTUALE</v>
      </c>
      <c r="L80" s="1309"/>
      <c r="M80" s="1411"/>
      <c r="N80" s="1"/>
      <c r="O80" s="1"/>
      <c r="P80" s="1"/>
      <c r="Q80" s="1"/>
      <c r="R80" s="1"/>
      <c r="S80" s="1"/>
      <c r="T80" s="1"/>
      <c r="U80" s="1"/>
      <c r="V80" s="46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46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46"/>
    </row>
    <row r="81" spans="1:48" ht="16.5" hidden="1" customHeight="1">
      <c r="A81" s="1"/>
      <c r="B81" s="1"/>
      <c r="C81" s="1"/>
      <c r="D81" s="1"/>
      <c r="E81" s="1"/>
      <c r="F81" s="44" t="str">
        <f t="shared" si="17"/>
        <v>ecc.</v>
      </c>
      <c r="G81" s="1"/>
      <c r="H81" s="1484" t="str">
        <f>COSTI!I1083</f>
        <v>Ripartizione:  5 - es. PER PIANO in Millesimi</v>
      </c>
      <c r="I81" s="1309"/>
      <c r="J81" s="1310"/>
      <c r="K81" s="1308" t="str">
        <f>COSTI!C1080</f>
        <v>5 - es. PER PIANO in Millesimi</v>
      </c>
      <c r="L81" s="1309"/>
      <c r="M81" s="1411"/>
      <c r="N81" s="1"/>
      <c r="O81" s="1"/>
      <c r="P81" s="1"/>
      <c r="Q81" s="1"/>
      <c r="R81" s="1"/>
      <c r="S81" s="1"/>
      <c r="T81" s="1"/>
      <c r="U81" s="1"/>
      <c r="V81" s="46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46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46"/>
    </row>
    <row r="82" spans="1:48" ht="16.5" hidden="1" customHeight="1">
      <c r="A82" s="1"/>
      <c r="B82" s="1"/>
      <c r="C82" s="1"/>
      <c r="D82" s="1"/>
      <c r="E82" s="1"/>
      <c r="F82" s="44" t="str">
        <f t="shared" si="17"/>
        <v>NON DEF.</v>
      </c>
      <c r="G82" s="1"/>
      <c r="H82" s="1474" t="str">
        <f>COSTI!I1084</f>
        <v>Ripartizione:  6 - es. PER PIANO in Percentuale</v>
      </c>
      <c r="I82" s="1475"/>
      <c r="J82" s="1476"/>
      <c r="K82" s="1481" t="str">
        <f>COSTI!C1081</f>
        <v>6 - es. PER PIANO in Percentuale</v>
      </c>
      <c r="L82" s="1475"/>
      <c r="M82" s="1482"/>
      <c r="N82" s="1"/>
      <c r="O82" s="1"/>
      <c r="P82" s="1"/>
      <c r="Q82" s="1"/>
      <c r="R82" s="1"/>
      <c r="S82" s="1"/>
      <c r="T82" s="1"/>
      <c r="U82" s="1"/>
      <c r="V82" s="46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46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46"/>
    </row>
    <row r="83" spans="1:48" ht="16.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46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46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46"/>
    </row>
    <row r="84" spans="1:48" ht="16.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46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46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46"/>
    </row>
    <row r="85" spans="1:48" ht="16.5" hidden="1" customHeight="1">
      <c r="A85" s="1"/>
      <c r="B85" s="1"/>
      <c r="C85" s="1"/>
      <c r="D85" s="1"/>
      <c r="E85" s="1"/>
      <c r="F85" s="106" t="s">
        <v>169</v>
      </c>
      <c r="G85" s="1"/>
      <c r="H85" s="1"/>
      <c r="I85" s="1"/>
      <c r="J85" s="1"/>
      <c r="K85" s="1"/>
      <c r="L85" s="1"/>
      <c r="M85" s="1"/>
      <c r="N85" s="71" t="s">
        <v>186</v>
      </c>
      <c r="O85" s="1"/>
      <c r="P85" s="1"/>
      <c r="Q85" s="1"/>
      <c r="R85" s="1"/>
      <c r="S85" s="1"/>
      <c r="T85" s="1"/>
      <c r="U85" s="1"/>
      <c r="V85" s="46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46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46"/>
    </row>
    <row r="86" spans="1:48" ht="16.5" hidden="1" customHeight="1">
      <c r="A86" s="1"/>
      <c r="B86" s="1"/>
      <c r="C86" s="1"/>
      <c r="D86" s="1"/>
      <c r="E86" s="1"/>
      <c r="F86" s="107" t="s">
        <v>231</v>
      </c>
      <c r="G86" s="1"/>
      <c r="H86" s="1"/>
      <c r="I86" s="1"/>
      <c r="J86" s="1"/>
      <c r="K86" s="1"/>
      <c r="L86" s="1"/>
      <c r="M86" s="1"/>
      <c r="N86" s="107" t="s">
        <v>187</v>
      </c>
      <c r="O86" s="1"/>
      <c r="P86" s="1"/>
      <c r="Q86" s="1"/>
      <c r="R86" s="1"/>
      <c r="S86" s="1"/>
      <c r="T86" s="1"/>
      <c r="U86" s="1"/>
      <c r="V86" s="46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46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46"/>
    </row>
    <row r="87" spans="1:48" ht="16.5" hidden="1" customHeight="1">
      <c r="A87" s="1"/>
      <c r="B87" s="1"/>
      <c r="C87" s="1"/>
      <c r="D87" s="1"/>
      <c r="E87" s="1"/>
      <c r="F87" s="106" t="s">
        <v>182</v>
      </c>
      <c r="G87" s="1"/>
      <c r="H87" s="1"/>
      <c r="I87" s="1"/>
      <c r="J87" s="1"/>
      <c r="K87" s="1"/>
      <c r="L87" s="1"/>
      <c r="M87" s="1"/>
      <c r="N87" s="308" t="s">
        <v>191</v>
      </c>
      <c r="O87" s="1"/>
      <c r="P87" s="1"/>
      <c r="Q87" s="1"/>
      <c r="R87" s="1"/>
      <c r="S87" s="1"/>
      <c r="T87" s="1"/>
      <c r="U87" s="1"/>
      <c r="V87" s="46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46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46"/>
    </row>
    <row r="88" spans="1:48" ht="16.5" hidden="1" customHeight="1">
      <c r="A88" s="1"/>
      <c r="B88" s="1"/>
      <c r="C88" s="1"/>
      <c r="D88" s="1"/>
      <c r="E88" s="1"/>
      <c r="F88" s="107" t="str">
        <f>CONCATENATE(Presentazione!$C$26," - ",Presentazione!$D$28)</f>
        <v>Inserisci qui il NOME - Via del Condominio</v>
      </c>
      <c r="G88" s="1"/>
      <c r="H88" s="1"/>
      <c r="I88" s="1"/>
      <c r="J88" s="1"/>
      <c r="K88" s="1"/>
      <c r="L88" s="1"/>
      <c r="M88" s="1"/>
      <c r="N88" s="308" t="str">
        <f>CONCATENATE("Questi valori, relativi alla ripartizione automatica del conto ",N89,", confluiscono già nei totali del report precedente.")</f>
        <v>Questi valori, relativi alla ripartizione automatica del conto AMMINISTRATORE, confluiscono già nei totali del report precedente.</v>
      </c>
      <c r="O88" s="1"/>
      <c r="P88" s="1"/>
      <c r="Q88" s="1"/>
      <c r="R88" s="1"/>
      <c r="S88" s="1"/>
      <c r="T88" s="1"/>
      <c r="U88" s="1"/>
      <c r="V88" s="46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46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46"/>
    </row>
    <row r="89" spans="1:48" ht="16.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07" t="str">
        <f>UPPER(COSTI!B78)</f>
        <v>AMMINISTRATORE</v>
      </c>
      <c r="O89" s="1"/>
      <c r="P89" s="1"/>
      <c r="Q89" s="1"/>
      <c r="R89" s="1"/>
      <c r="S89" s="1"/>
      <c r="T89" s="1"/>
      <c r="U89" s="1"/>
      <c r="V89" s="46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46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46"/>
    </row>
    <row r="90" spans="1:48" hidden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idden="1">
      <c r="A91" s="1"/>
      <c r="B91" s="1"/>
      <c r="C91" s="1"/>
      <c r="D91" s="1"/>
      <c r="E91" s="1"/>
      <c r="F91" s="1"/>
      <c r="G91" s="1"/>
      <c r="H91" s="15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idden="1">
      <c r="A92" s="1"/>
      <c r="B92" s="1"/>
      <c r="C92" s="1"/>
      <c r="D92" s="1"/>
      <c r="E92" s="1"/>
      <c r="F92" s="893" t="s">
        <v>14</v>
      </c>
      <c r="G92" s="739">
        <v>1</v>
      </c>
      <c r="H92" s="893" t="s">
        <v>513</v>
      </c>
      <c r="I92" s="920" t="b">
        <f>Presentazione!$E$181</f>
        <v>1</v>
      </c>
      <c r="J92" s="917" t="s">
        <v>215</v>
      </c>
      <c r="K92" s="739">
        <f>Presentazione!$H$181</f>
        <v>1</v>
      </c>
      <c r="L92" s="893" t="s">
        <v>548</v>
      </c>
      <c r="M92" s="739" t="b">
        <f>Presentazione!$L$181</f>
        <v>1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idden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idden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4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48" ht="15">
      <c r="A96" s="37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738" t="s">
        <v>431</v>
      </c>
      <c r="S96" s="1"/>
      <c r="T96" s="1"/>
      <c r="U96" s="1"/>
    </row>
    <row r="97" spans="1:2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373"/>
    </row>
  </sheetData>
  <sheetProtection algorithmName="SHA-512" hashValue="2vxf3eG5WIyLyi4aY9hzfgyW6CuLD5U684wLL/NPRntLt8yu9LColxstv+8vtOXIqM4rQQawOvAp9CZk3jzbtQ==" saltValue="9VMB7DglF/JbdAxIEh9itA==" spinCount="100000" sheet="1" objects="1" scenarios="1" selectLockedCells="1"/>
  <mergeCells count="86">
    <mergeCell ref="K80:M80"/>
    <mergeCell ref="H82:J82"/>
    <mergeCell ref="G66:J66"/>
    <mergeCell ref="G54:R54"/>
    <mergeCell ref="H77:J77"/>
    <mergeCell ref="K75:M75"/>
    <mergeCell ref="K76:M76"/>
    <mergeCell ref="K82:M82"/>
    <mergeCell ref="D61:Q61"/>
    <mergeCell ref="C57:F57"/>
    <mergeCell ref="K81:M81"/>
    <mergeCell ref="H78:J78"/>
    <mergeCell ref="H81:J81"/>
    <mergeCell ref="H76:J76"/>
    <mergeCell ref="H79:J79"/>
    <mergeCell ref="H80:J80"/>
    <mergeCell ref="K79:M79"/>
    <mergeCell ref="G34:H34"/>
    <mergeCell ref="V24:Y24"/>
    <mergeCell ref="P29:R29"/>
    <mergeCell ref="V25:Y25"/>
    <mergeCell ref="S25:T25"/>
    <mergeCell ref="J33:T33"/>
    <mergeCell ref="C33:H33"/>
    <mergeCell ref="P28:R28"/>
    <mergeCell ref="C41:F41"/>
    <mergeCell ref="C51:F51"/>
    <mergeCell ref="C48:F48"/>
    <mergeCell ref="C43:F43"/>
    <mergeCell ref="C54:F54"/>
    <mergeCell ref="C52:F52"/>
    <mergeCell ref="C53:F53"/>
    <mergeCell ref="V22:X22"/>
    <mergeCell ref="S26:T26"/>
    <mergeCell ref="S27:T27"/>
    <mergeCell ref="V23:Y23"/>
    <mergeCell ref="P26:R26"/>
    <mergeCell ref="P27:R27"/>
    <mergeCell ref="P25:R25"/>
    <mergeCell ref="P35:Q35"/>
    <mergeCell ref="C13:J13"/>
    <mergeCell ref="C11:E11"/>
    <mergeCell ref="C14:I14"/>
    <mergeCell ref="K77:M77"/>
    <mergeCell ref="P20:Q20"/>
    <mergeCell ref="I32:T32"/>
    <mergeCell ref="I58:T58"/>
    <mergeCell ref="G57:H57"/>
    <mergeCell ref="C66:F66"/>
    <mergeCell ref="C40:F40"/>
    <mergeCell ref="D36:F36"/>
    <mergeCell ref="C38:F38"/>
    <mergeCell ref="C34:F34"/>
    <mergeCell ref="C37:F37"/>
    <mergeCell ref="C39:F39"/>
    <mergeCell ref="K78:M78"/>
    <mergeCell ref="C59:H59"/>
    <mergeCell ref="L25:N26"/>
    <mergeCell ref="C55:F55"/>
    <mergeCell ref="H75:J75"/>
    <mergeCell ref="J59:T59"/>
    <mergeCell ref="C56:D56"/>
    <mergeCell ref="T45:T46"/>
    <mergeCell ref="C46:F46"/>
    <mergeCell ref="C45:F45"/>
    <mergeCell ref="C50:F50"/>
    <mergeCell ref="C49:F49"/>
    <mergeCell ref="S28:T28"/>
    <mergeCell ref="S29:T29"/>
    <mergeCell ref="S30:T30"/>
    <mergeCell ref="P30:R30"/>
    <mergeCell ref="C1:K1"/>
    <mergeCell ref="L1:T1"/>
    <mergeCell ref="P24:R24"/>
    <mergeCell ref="C3:R3"/>
    <mergeCell ref="C4:R4"/>
    <mergeCell ref="L24:N24"/>
    <mergeCell ref="L23:N23"/>
    <mergeCell ref="N20:O20"/>
    <mergeCell ref="C10:E10"/>
    <mergeCell ref="L20:M20"/>
    <mergeCell ref="C2:O2"/>
    <mergeCell ref="C6:E6"/>
    <mergeCell ref="C7:E7"/>
    <mergeCell ref="C8:E8"/>
    <mergeCell ref="C9:E9"/>
  </mergeCells>
  <phoneticPr fontId="4" type="noConversion"/>
  <conditionalFormatting sqref="C37:F41">
    <cfRule type="expression" dxfId="470" priority="16" stopIfTrue="1">
      <formula>AND($T37&gt;0,ISBLANK(#REF!))</formula>
    </cfRule>
    <cfRule type="expression" dxfId="469" priority="17" stopIfTrue="1">
      <formula>ISERROR($C37)</formula>
    </cfRule>
  </conditionalFormatting>
  <conditionalFormatting sqref="B49:B53 B37:B41">
    <cfRule type="expression" dxfId="468" priority="18" stopIfTrue="1">
      <formula>$C37=""</formula>
    </cfRule>
  </conditionalFormatting>
  <conditionalFormatting sqref="C49:F53">
    <cfRule type="expression" dxfId="467" priority="19" stopIfTrue="1">
      <formula>ISERROR($C49)</formula>
    </cfRule>
  </conditionalFormatting>
  <conditionalFormatting sqref="G48:R48">
    <cfRule type="expression" dxfId="466" priority="21" stopIfTrue="1">
      <formula>G$64=0</formula>
    </cfRule>
  </conditionalFormatting>
  <conditionalFormatting sqref="B7:B11">
    <cfRule type="expression" dxfId="465" priority="29" stopIfTrue="1">
      <formula>AND($C7="",SUM($F7:$I7)&gt;0)</formula>
    </cfRule>
    <cfRule type="expression" dxfId="464" priority="30" stopIfTrue="1">
      <formula>$C7=""</formula>
    </cfRule>
  </conditionalFormatting>
  <conditionalFormatting sqref="T37:T41">
    <cfRule type="expression" dxfId="463" priority="1" stopIfTrue="1">
      <formula>$C37=""</formula>
    </cfRule>
    <cfRule type="cellIs" dxfId="462" priority="38" stopIfTrue="1" operator="equal">
      <formula>0</formula>
    </cfRule>
    <cfRule type="expression" dxfId="461" priority="39" stopIfTrue="1">
      <formula>ISERROR($T37)</formula>
    </cfRule>
  </conditionalFormatting>
  <conditionalFormatting sqref="T49:T53">
    <cfRule type="cellIs" dxfId="460" priority="40" stopIfTrue="1" operator="equal">
      <formula>0</formula>
    </cfRule>
    <cfRule type="expression" dxfId="459" priority="41" stopIfTrue="1">
      <formula>ISERROR($T49)</formula>
    </cfRule>
  </conditionalFormatting>
  <conditionalFormatting sqref="C7:E11">
    <cfRule type="expression" dxfId="458" priority="42" stopIfTrue="1">
      <formula>AND($C7=0,SUM($F7:$I7)&gt;0)</formula>
    </cfRule>
    <cfRule type="expression" dxfId="457" priority="43" stopIfTrue="1">
      <formula>OR(ISERROR(C7),C7=0)</formula>
    </cfRule>
    <cfRule type="expression" dxfId="456" priority="44" stopIfTrue="1">
      <formula>AND($C7&lt;&gt;0,SUM($F7:$I7)=0)</formula>
    </cfRule>
  </conditionalFormatting>
  <conditionalFormatting sqref="G44:R44 T44 AJ37:AU41">
    <cfRule type="cellIs" dxfId="455" priority="53" stopIfTrue="1" operator="equal">
      <formula>0</formula>
    </cfRule>
  </conditionalFormatting>
  <conditionalFormatting sqref="C48:F48">
    <cfRule type="expression" dxfId="454" priority="57" stopIfTrue="1">
      <formula>$C$66=0</formula>
    </cfRule>
  </conditionalFormatting>
  <conditionalFormatting sqref="L25:N26">
    <cfRule type="expression" dxfId="453" priority="58" stopIfTrue="1">
      <formula>ISBLANK($L$25)</formula>
    </cfRule>
  </conditionalFormatting>
  <conditionalFormatting sqref="T47">
    <cfRule type="cellIs" dxfId="452" priority="59" stopIfTrue="1" operator="equal">
      <formula>"!!!"</formula>
    </cfRule>
  </conditionalFormatting>
  <conditionalFormatting sqref="C12">
    <cfRule type="expression" dxfId="451" priority="60" stopIfTrue="1">
      <formula>ISERROR($C$12)</formula>
    </cfRule>
  </conditionalFormatting>
  <conditionalFormatting sqref="G64:R64">
    <cfRule type="cellIs" dxfId="450" priority="61" stopIfTrue="1" operator="equal">
      <formula>0</formula>
    </cfRule>
  </conditionalFormatting>
  <conditionalFormatting sqref="T55">
    <cfRule type="cellIs" dxfId="449" priority="10" operator="equal">
      <formula>0</formula>
    </cfRule>
    <cfRule type="expression" dxfId="448" priority="103" stopIfTrue="1">
      <formula>ISERROR(T55)</formula>
    </cfRule>
  </conditionalFormatting>
  <conditionalFormatting sqref="G54:R54 L19">
    <cfRule type="expression" dxfId="447" priority="104" stopIfTrue="1">
      <formula>ISERROR(G19)</formula>
    </cfRule>
  </conditionalFormatting>
  <conditionalFormatting sqref="L24:N24">
    <cfRule type="expression" dxfId="446" priority="105" stopIfTrue="1">
      <formula>ISBLANK($L$25)</formula>
    </cfRule>
  </conditionalFormatting>
  <conditionalFormatting sqref="C56:D56">
    <cfRule type="expression" dxfId="445" priority="112" stopIfTrue="1">
      <formula>$L$1382=1</formula>
    </cfRule>
  </conditionalFormatting>
  <conditionalFormatting sqref="R56">
    <cfRule type="expression" dxfId="444" priority="113" stopIfTrue="1">
      <formula>T56&lt;0</formula>
    </cfRule>
    <cfRule type="expression" dxfId="443" priority="114" stopIfTrue="1">
      <formula>T56=0</formula>
    </cfRule>
  </conditionalFormatting>
  <conditionalFormatting sqref="T56">
    <cfRule type="cellIs" dxfId="442" priority="115" stopIfTrue="1" operator="lessThan">
      <formula>0</formula>
    </cfRule>
    <cfRule type="cellIs" dxfId="441" priority="116" stopIfTrue="1" operator="equal">
      <formula>0</formula>
    </cfRule>
  </conditionalFormatting>
  <conditionalFormatting sqref="G47:R47">
    <cfRule type="expression" dxfId="440" priority="117" stopIfTrue="1">
      <formula>ISERROR(#REF!)</formula>
    </cfRule>
  </conditionalFormatting>
  <conditionalFormatting sqref="G42:R42">
    <cfRule type="expression" dxfId="439" priority="118" stopIfTrue="1">
      <formula>ISERROR(G42)</formula>
    </cfRule>
  </conditionalFormatting>
  <conditionalFormatting sqref="AT7:AU11">
    <cfRule type="cellIs" dxfId="438" priority="15" operator="equal">
      <formula>0</formula>
    </cfRule>
  </conditionalFormatting>
  <conditionalFormatting sqref="C55:F55">
    <cfRule type="expression" dxfId="437" priority="9">
      <formula>$T$55=0</formula>
    </cfRule>
  </conditionalFormatting>
  <conditionalFormatting sqref="G45:R46">
    <cfRule type="expression" dxfId="436" priority="738" stopIfTrue="1">
      <formula>$I$92=FALSE</formula>
    </cfRule>
    <cfRule type="cellIs" dxfId="435" priority="739" stopIfTrue="1" operator="equal">
      <formula>0</formula>
    </cfRule>
    <cfRule type="expression" dxfId="434" priority="740" stopIfTrue="1">
      <formula>ISERROR(G45)</formula>
    </cfRule>
  </conditionalFormatting>
  <conditionalFormatting sqref="G36:R36">
    <cfRule type="expression" dxfId="433" priority="759" stopIfTrue="1">
      <formula>AND($K$92=0,G$64=0)</formula>
    </cfRule>
  </conditionalFormatting>
  <conditionalFormatting sqref="G55:R55">
    <cfRule type="expression" dxfId="432" priority="760" stopIfTrue="1">
      <formula>AND($K$92=0,G$64=0)</formula>
    </cfRule>
    <cfRule type="cellIs" dxfId="431" priority="761" stopIfTrue="1" operator="equal">
      <formula>0</formula>
    </cfRule>
  </conditionalFormatting>
  <conditionalFormatting sqref="P35:Q35">
    <cfRule type="cellIs" dxfId="430" priority="7" operator="equal">
      <formula>0</formula>
    </cfRule>
  </conditionalFormatting>
  <conditionalFormatting sqref="G44:R44">
    <cfRule type="containsErrors" dxfId="429" priority="5" stopIfTrue="1">
      <formula>ISERROR(G44)</formula>
    </cfRule>
  </conditionalFormatting>
  <conditionalFormatting sqref="T44">
    <cfRule type="containsErrors" dxfId="428" priority="4" stopIfTrue="1">
      <formula>ISERROR(T44)</formula>
    </cfRule>
  </conditionalFormatting>
  <conditionalFormatting sqref="T34">
    <cfRule type="cellIs" dxfId="427" priority="3" operator="equal">
      <formula>0</formula>
    </cfRule>
  </conditionalFormatting>
  <conditionalFormatting sqref="F6">
    <cfRule type="expression" dxfId="426" priority="5303" stopIfTrue="1">
      <formula>$O$25=TRUE</formula>
    </cfRule>
  </conditionalFormatting>
  <conditionalFormatting sqref="I6">
    <cfRule type="expression" dxfId="425" priority="5304" stopIfTrue="1">
      <formula>$O$28=TRUE</formula>
    </cfRule>
  </conditionalFormatting>
  <conditionalFormatting sqref="G6">
    <cfRule type="expression" dxfId="424" priority="5305" stopIfTrue="1">
      <formula>$O$26=TRUE</formula>
    </cfRule>
  </conditionalFormatting>
  <conditionalFormatting sqref="H6">
    <cfRule type="expression" dxfId="423" priority="5306" stopIfTrue="1">
      <formula>$O$27=TRUE</formula>
    </cfRule>
  </conditionalFormatting>
  <conditionalFormatting sqref="I7:I11">
    <cfRule type="expression" dxfId="422" priority="5313" stopIfTrue="1">
      <formula>$O$28=TRUE</formula>
    </cfRule>
    <cfRule type="cellIs" dxfId="421" priority="5314" stopIfTrue="1" operator="equal">
      <formula>0</formula>
    </cfRule>
  </conditionalFormatting>
  <conditionalFormatting sqref="G7:G11">
    <cfRule type="expression" dxfId="420" priority="5315" stopIfTrue="1">
      <formula>$O$26=TRUE</formula>
    </cfRule>
    <cfRule type="cellIs" dxfId="419" priority="5316" stopIfTrue="1" operator="equal">
      <formula>0</formula>
    </cfRule>
  </conditionalFormatting>
  <conditionalFormatting sqref="H7:H11">
    <cfRule type="expression" dxfId="418" priority="5317" stopIfTrue="1">
      <formula>$O$27=TRUE</formula>
    </cfRule>
    <cfRule type="cellIs" dxfId="417" priority="5318" stopIfTrue="1" operator="equal">
      <formula>0</formula>
    </cfRule>
  </conditionalFormatting>
  <conditionalFormatting sqref="T45:T46">
    <cfRule type="expression" dxfId="416" priority="5363" stopIfTrue="1">
      <formula>$I$92=FALSE</formula>
    </cfRule>
    <cfRule type="expression" dxfId="415" priority="5364" stopIfTrue="1">
      <formula>ISERROR($T$45)</formula>
    </cfRule>
    <cfRule type="cellIs" dxfId="414" priority="5365" stopIfTrue="1" operator="lessThan">
      <formula>0</formula>
    </cfRule>
  </conditionalFormatting>
  <conditionalFormatting sqref="T43">
    <cfRule type="expression" dxfId="413" priority="5366" stopIfTrue="1">
      <formula>$I$92=FALSE</formula>
    </cfRule>
    <cfRule type="cellIs" dxfId="412" priority="5367" stopIfTrue="1" operator="equal">
      <formula>0</formula>
    </cfRule>
    <cfRule type="expression" dxfId="411" priority="5368" stopIfTrue="1">
      <formula>ISERROR($T$43)</formula>
    </cfRule>
  </conditionalFormatting>
  <conditionalFormatting sqref="G49:R53">
    <cfRule type="expression" dxfId="410" priority="5369" stopIfTrue="1">
      <formula>G$47="ERROR"</formula>
    </cfRule>
    <cfRule type="expression" dxfId="409" priority="5370" stopIfTrue="1">
      <formula>AND($K$92=0,G$64=0)</formula>
    </cfRule>
    <cfRule type="cellIs" dxfId="408" priority="5371" stopIfTrue="1" operator="equal">
      <formula>0</formula>
    </cfRule>
  </conditionalFormatting>
  <conditionalFormatting sqref="G43:R43">
    <cfRule type="containsErrors" dxfId="407" priority="5375" stopIfTrue="1">
      <formula>ISERROR(G43)</formula>
    </cfRule>
    <cfRule type="expression" dxfId="406" priority="5376" stopIfTrue="1">
      <formula>AND($K$92=0,G$64=0)</formula>
    </cfRule>
    <cfRule type="cellIs" dxfId="405" priority="5377" stopIfTrue="1" operator="equal">
      <formula>0</formula>
    </cfRule>
    <cfRule type="expression" dxfId="404" priority="5378" stopIfTrue="1">
      <formula>G$42="ERROR"</formula>
    </cfRule>
  </conditionalFormatting>
  <conditionalFormatting sqref="G37:R41">
    <cfRule type="expression" dxfId="403" priority="5430" stopIfTrue="1">
      <formula>$C37=""</formula>
    </cfRule>
    <cfRule type="expression" dxfId="402" priority="5431" stopIfTrue="1">
      <formula>AND($K$92=0,G$64=0)</formula>
    </cfRule>
    <cfRule type="expression" dxfId="401" priority="5432" stopIfTrue="1">
      <formula>ISERROR(G37)</formula>
    </cfRule>
    <cfRule type="cellIs" dxfId="400" priority="5433" stopIfTrue="1" operator="equal">
      <formula>0</formula>
    </cfRule>
  </conditionalFormatting>
  <conditionalFormatting sqref="P6">
    <cfRule type="expression" dxfId="399" priority="5438" stopIfTrue="1">
      <formula>$N$20=$K$75</formula>
    </cfRule>
  </conditionalFormatting>
  <conditionalFormatting sqref="M6">
    <cfRule type="expression" dxfId="398" priority="5439" stopIfTrue="1">
      <formula>$N$20=$K$76</formula>
    </cfRule>
  </conditionalFormatting>
  <conditionalFormatting sqref="L20:M20">
    <cfRule type="expression" dxfId="397" priority="5440" stopIfTrue="1">
      <formula>$N$20=$K$76</formula>
    </cfRule>
  </conditionalFormatting>
  <conditionalFormatting sqref="P20:Q20">
    <cfRule type="expression" dxfId="396" priority="5441" stopIfTrue="1">
      <formula>$N$20=$K$75</formula>
    </cfRule>
  </conditionalFormatting>
  <conditionalFormatting sqref="M7:M18">
    <cfRule type="cellIs" dxfId="395" priority="5442" stopIfTrue="1" operator="equal">
      <formula>0</formula>
    </cfRule>
    <cfRule type="expression" dxfId="394" priority="5443" stopIfTrue="1">
      <formula>$N$20=$K$76</formula>
    </cfRule>
  </conditionalFormatting>
  <conditionalFormatting sqref="M19:O19">
    <cfRule type="expression" dxfId="393" priority="5444" stopIfTrue="1">
      <formula>$N$20=$K$75</formula>
    </cfRule>
    <cfRule type="expression" dxfId="392" priority="5445" stopIfTrue="1">
      <formula>$N$20=$K$76</formula>
    </cfRule>
  </conditionalFormatting>
  <conditionalFormatting sqref="P7:P18">
    <cfRule type="expression" dxfId="391" priority="5446" stopIfTrue="1">
      <formula>$N$20=$K$75</formula>
    </cfRule>
  </conditionalFormatting>
  <conditionalFormatting sqref="P19:R19">
    <cfRule type="expression" dxfId="390" priority="5447" stopIfTrue="1">
      <formula>$N$20=$K$75</formula>
    </cfRule>
  </conditionalFormatting>
  <conditionalFormatting sqref="R6">
    <cfRule type="expression" dxfId="389" priority="5448" stopIfTrue="1">
      <formula>$N$20=$K$75</formula>
    </cfRule>
    <cfRule type="expression" dxfId="388" priority="5449" stopIfTrue="1">
      <formula>$L$25=$P$30</formula>
    </cfRule>
  </conditionalFormatting>
  <conditionalFormatting sqref="O7:O18">
    <cfRule type="expression" dxfId="387" priority="5450" stopIfTrue="1">
      <formula>AND($L$25=$P$30,$N$20=$K$75)</formula>
    </cfRule>
    <cfRule type="cellIs" dxfId="386" priority="5451" stopIfTrue="1" operator="equal">
      <formula>0</formula>
    </cfRule>
    <cfRule type="expression" dxfId="385" priority="5452">
      <formula>$N$20=$K$76</formula>
    </cfRule>
  </conditionalFormatting>
  <conditionalFormatting sqref="Q7:Q18">
    <cfRule type="expression" dxfId="384" priority="5453" stopIfTrue="1">
      <formula>$N$20=$K$75</formula>
    </cfRule>
    <cfRule type="expression" dxfId="383" priority="5454" stopIfTrue="1">
      <formula>$L$25=$P$29</formula>
    </cfRule>
  </conditionalFormatting>
  <conditionalFormatting sqref="R7:R18">
    <cfRule type="expression" dxfId="382" priority="5455" stopIfTrue="1">
      <formula>$N$20=$K$75</formula>
    </cfRule>
    <cfRule type="expression" dxfId="381" priority="5456" stopIfTrue="1">
      <formula>$L$25=$P$30</formula>
    </cfRule>
  </conditionalFormatting>
  <conditionalFormatting sqref="O6">
    <cfRule type="expression" dxfId="380" priority="5457" stopIfTrue="1">
      <formula>$N$20=$K$76</formula>
    </cfRule>
    <cfRule type="expression" dxfId="379" priority="5458" stopIfTrue="1">
      <formula>AND($L$25=$P$30,$N$20=$K$75)</formula>
    </cfRule>
  </conditionalFormatting>
  <conditionalFormatting sqref="Q6">
    <cfRule type="expression" dxfId="378" priority="5459" stopIfTrue="1">
      <formula>$N$20=$K$75</formula>
    </cfRule>
    <cfRule type="expression" dxfId="377" priority="5460" stopIfTrue="1">
      <formula>$L$25=$P$29</formula>
    </cfRule>
    <cfRule type="cellIs" dxfId="376" priority="5461" stopIfTrue="1" operator="equal">
      <formula>0</formula>
    </cfRule>
  </conditionalFormatting>
  <conditionalFormatting sqref="N6">
    <cfRule type="expression" dxfId="375" priority="5462" stopIfTrue="1">
      <formula>$N$20=#REF!</formula>
    </cfRule>
    <cfRule type="expression" dxfId="374" priority="5463" stopIfTrue="1">
      <formula>AND($O$30=FALSE,ISBLANK($N$6))</formula>
    </cfRule>
    <cfRule type="expression" dxfId="373" priority="5464" stopIfTrue="1">
      <formula>AND($L$25=$P$29,$N$20=$K$75)</formula>
    </cfRule>
  </conditionalFormatting>
  <conditionalFormatting sqref="N7:N18">
    <cfRule type="expression" dxfId="372" priority="5465" stopIfTrue="1">
      <formula>AND($L$25=$P$29,$N$20=$K$75)</formula>
    </cfRule>
    <cfRule type="cellIs" dxfId="371" priority="5466" operator="equal">
      <formula>0</formula>
    </cfRule>
    <cfRule type="expression" dxfId="370" priority="5467" stopIfTrue="1">
      <formula>AND($N$20=$K$76,$N7&lt;&gt;0)</formula>
    </cfRule>
  </conditionalFormatting>
  <conditionalFormatting sqref="F7:F11">
    <cfRule type="expression" dxfId="369" priority="5468" stopIfTrue="1">
      <formula>$I$92=FALSE</formula>
    </cfRule>
    <cfRule type="expression" dxfId="368" priority="5469" stopIfTrue="1">
      <formula>$O$25=TRUE</formula>
    </cfRule>
    <cfRule type="cellIs" dxfId="367" priority="5470" stopIfTrue="1" operator="equal">
      <formula>0</formula>
    </cfRule>
  </conditionalFormatting>
  <dataValidations count="4">
    <dataValidation type="list" allowBlank="1" showInputMessage="1" showErrorMessage="1" sqref="L25:N26">
      <formula1>$P$25:$P$31</formula1>
    </dataValidation>
    <dataValidation type="list" allowBlank="1" showInputMessage="1" showErrorMessage="1" sqref="N20:O20">
      <formula1>$K$75:$K$76</formula1>
    </dataValidation>
    <dataValidation type="list" allowBlank="1" showInputMessage="1" showErrorMessage="1" sqref="N6">
      <formula1>$E$6:$H$6</formula1>
    </dataValidation>
    <dataValidation type="list" allowBlank="1" showInputMessage="1" showErrorMessage="1" sqref="J7:J11">
      <formula1>$F$70:$F$82</formula1>
    </dataValidation>
  </dataValidations>
  <hyperlinks>
    <hyperlink ref="R96" location="RIPARTIZIONI!A1" display="Torna su"/>
    <hyperlink ref="C56:D56" location="COSTI!F89" display="VAI ALLA SCHEDA AMM."/>
    <hyperlink ref="R35" location="COSTI!P4" display="QUI"/>
  </hyperlinks>
  <printOptions horizontalCentered="1"/>
  <pageMargins left="0" right="0" top="0.19685039370078741" bottom="0.19685039370078741" header="0.51181102362204722" footer="0"/>
  <pageSetup paperSize="9" scale="80" orientation="landscape" verticalDpi="300" r:id="rId1"/>
  <headerFooter alignWithMargins="0"/>
  <rowBreaks count="1" manualBreakCount="1">
    <brk id="3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BD1087"/>
  <sheetViews>
    <sheetView showGridLines="0" showRowColHeaders="0" zoomScaleNormal="100" workbookViewId="0">
      <pane ySplit="3" topLeftCell="A4" activePane="bottomLeft" state="frozen"/>
      <selection pane="bottomLeft" activeCell="P4" sqref="P4:Q4"/>
    </sheetView>
  </sheetViews>
  <sheetFormatPr defaultRowHeight="12.75"/>
  <cols>
    <col min="1" max="1" width="5" style="2" customWidth="1"/>
    <col min="2" max="2" width="4.28515625" style="2" customWidth="1"/>
    <col min="3" max="3" width="16.7109375" style="2" customWidth="1"/>
    <col min="4" max="4" width="3.140625" style="2" customWidth="1"/>
    <col min="5" max="17" width="10" style="2" customWidth="1"/>
    <col min="18" max="18" width="1.28515625" style="2" customWidth="1"/>
    <col min="19" max="19" width="12.85546875" style="2" customWidth="1"/>
    <col min="20" max="20" width="4.28515625" style="2" customWidth="1"/>
    <col min="21" max="21" width="5" style="2" hidden="1" customWidth="1"/>
    <col min="22" max="22" width="10" style="2" customWidth="1"/>
    <col min="23" max="23" width="11.42578125" style="2" customWidth="1"/>
    <col min="24" max="24" width="32.85546875" style="2" customWidth="1"/>
    <col min="25" max="25" width="55.7109375" style="2" customWidth="1"/>
    <col min="26" max="26" width="14.28515625" style="2" customWidth="1"/>
    <col min="27" max="27" width="2.42578125" style="2" customWidth="1"/>
    <col min="28" max="28" width="28.5703125" style="2" hidden="1" customWidth="1"/>
    <col min="29" max="29" width="14.28515625" style="2" customWidth="1"/>
    <col min="30" max="30" width="12.85546875" style="2" customWidth="1"/>
    <col min="31" max="31" width="1.42578125" style="2" customWidth="1"/>
    <col min="32" max="32" width="14.28515625" style="2" customWidth="1"/>
    <col min="33" max="33" width="32.85546875" style="2" hidden="1" customWidth="1"/>
    <col min="34" max="34" width="8.5703125" style="2" hidden="1" customWidth="1"/>
    <col min="35" max="35" width="13.42578125" style="2" hidden="1" customWidth="1"/>
    <col min="36" max="36" width="7.140625" style="2" hidden="1" customWidth="1"/>
    <col min="37" max="37" width="13.42578125" style="2" customWidth="1"/>
    <col min="38" max="38" width="11.42578125" style="2" customWidth="1"/>
    <col min="39" max="39" width="24.28515625" style="2" customWidth="1"/>
    <col min="40" max="40" width="42.85546875" style="2" customWidth="1"/>
    <col min="41" max="41" width="14.28515625" style="2" customWidth="1"/>
    <col min="42" max="42" width="25.7109375" style="2" customWidth="1"/>
    <col min="43" max="45" width="13.42578125" style="2" hidden="1" customWidth="1"/>
    <col min="46" max="46" width="28.5703125" style="2" hidden="1" customWidth="1"/>
    <col min="47" max="48" width="13.42578125" style="2" hidden="1" customWidth="1"/>
    <col min="49" max="49" width="10.7109375" style="2" hidden="1" customWidth="1"/>
    <col min="50" max="50" width="20.7109375" style="2" hidden="1" customWidth="1"/>
    <col min="51" max="51" width="19.28515625" style="2" hidden="1" customWidth="1"/>
    <col min="52" max="52" width="10.85546875" style="2" hidden="1" customWidth="1"/>
    <col min="53" max="53" width="4.42578125" style="2" hidden="1" customWidth="1"/>
    <col min="54" max="55" width="13.42578125" style="2" hidden="1" customWidth="1"/>
    <col min="56" max="56" width="5.7109375" style="2" customWidth="1"/>
    <col min="57" max="16384" width="9.140625" style="2"/>
  </cols>
  <sheetData>
    <row r="1" spans="1:56" ht="22.5" customHeight="1">
      <c r="A1" s="3"/>
      <c r="B1" s="1241" t="str">
        <f>IF(J1037=1,E1081,E1079)</f>
        <v>TITOLARE del sistema:</v>
      </c>
      <c r="C1" s="1241"/>
      <c r="D1" s="1241"/>
      <c r="E1" s="1241"/>
      <c r="F1" s="1218" t="s">
        <v>329</v>
      </c>
      <c r="G1" s="1218"/>
      <c r="H1" s="1218"/>
      <c r="I1" s="1218"/>
      <c r="J1" s="1218"/>
      <c r="K1" s="1218"/>
      <c r="L1" s="1218"/>
      <c r="M1" s="1218"/>
      <c r="N1" s="1218"/>
      <c r="O1" s="1218"/>
      <c r="P1" s="1218"/>
      <c r="Q1" s="1218"/>
      <c r="R1" s="1218"/>
      <c r="S1" s="1218"/>
      <c r="T1" s="3"/>
      <c r="U1" s="1047">
        <f>VLOOKUP($P$4,$N$1009:$Q$1013,3,FALSE)</f>
        <v>45292</v>
      </c>
      <c r="V1" s="15" t="s">
        <v>183</v>
      </c>
      <c r="W1" s="1531" t="s">
        <v>172</v>
      </c>
      <c r="X1" s="1531"/>
      <c r="Y1" s="542"/>
      <c r="Z1" s="638" t="s">
        <v>324</v>
      </c>
      <c r="AA1" s="1"/>
      <c r="AB1" s="1"/>
      <c r="AC1" s="936" t="s">
        <v>519</v>
      </c>
      <c r="AD1" s="121" t="s">
        <v>69</v>
      </c>
      <c r="AE1" s="1"/>
      <c r="AF1" s="227" t="s">
        <v>354</v>
      </c>
      <c r="AG1" s="1"/>
      <c r="AH1" s="1"/>
      <c r="AI1" s="1"/>
      <c r="AJ1" s="1"/>
      <c r="AK1" s="1"/>
      <c r="AL1" s="1244" t="s">
        <v>521</v>
      </c>
      <c r="AM1" s="1244"/>
      <c r="AN1" s="1244"/>
      <c r="AO1" s="1244"/>
      <c r="AP1" s="1244"/>
      <c r="AQ1" s="1"/>
      <c r="AR1" s="15" t="e">
        <f>VLOOKUP(AR2,B1057:C1068,2,FALSE)</f>
        <v>#N/A</v>
      </c>
      <c r="AS1" s="1"/>
      <c r="AT1" s="1"/>
      <c r="AU1" s="1"/>
      <c r="AV1" s="1"/>
      <c r="AW1" s="1530" t="s">
        <v>89</v>
      </c>
      <c r="AX1" s="1530"/>
      <c r="AY1" s="1530"/>
      <c r="AZ1" s="1530"/>
      <c r="BA1" s="1"/>
      <c r="BB1" s="1"/>
      <c r="BC1" s="1"/>
      <c r="BD1" s="1"/>
    </row>
    <row r="2" spans="1:56" ht="18.75" customHeight="1">
      <c r="A2" s="3"/>
      <c r="B2" s="1246" t="str">
        <f>IF(J1037=1,E1082,E1080)</f>
        <v>Inserisci qui il NOME   -   P.I./C.F codice fiscale condominio</v>
      </c>
      <c r="C2" s="1246"/>
      <c r="D2" s="1246"/>
      <c r="E2" s="1246"/>
      <c r="F2" s="1246"/>
      <c r="G2" s="1246"/>
      <c r="H2" s="1252" t="s">
        <v>203</v>
      </c>
      <c r="I2" s="1252"/>
      <c r="J2" s="1219" t="s">
        <v>330</v>
      </c>
      <c r="K2" s="1219"/>
      <c r="L2" s="1219"/>
      <c r="M2" s="1219"/>
      <c r="N2" s="1219"/>
      <c r="O2" s="1219"/>
      <c r="P2" s="1219"/>
      <c r="Q2" s="1219"/>
      <c r="R2" s="1219"/>
      <c r="S2" s="1219"/>
      <c r="T2" s="3"/>
      <c r="U2" s="1048">
        <f>VLOOKUP($P$4,$N$1009:$Q$1013,4,FALSE)</f>
        <v>45657</v>
      </c>
      <c r="V2" s="545">
        <f>V1003-W1023</f>
        <v>964</v>
      </c>
      <c r="W2" s="194" t="s">
        <v>163</v>
      </c>
      <c r="X2" s="376" t="s">
        <v>39</v>
      </c>
      <c r="Y2" s="376" t="s">
        <v>15</v>
      </c>
      <c r="Z2" s="377" t="str">
        <f>Presentazione!$K$26</f>
        <v>EURO</v>
      </c>
      <c r="AA2" s="1"/>
      <c r="AB2" s="1"/>
      <c r="AC2" s="937" t="s">
        <v>520</v>
      </c>
      <c r="AD2" s="510" t="str">
        <f>B9</f>
        <v>CASSA</v>
      </c>
      <c r="AE2" s="1"/>
      <c r="AF2" s="511"/>
      <c r="AG2" s="857" t="e">
        <f>VLOOKUP(AF2,B1057:C1068,2,FALSE)</f>
        <v>#N/A</v>
      </c>
      <c r="AH2" s="151" t="s">
        <v>78</v>
      </c>
      <c r="AI2" s="151" t="s">
        <v>78</v>
      </c>
      <c r="AJ2" s="180" t="s">
        <v>87</v>
      </c>
      <c r="AK2" s="1"/>
      <c r="AL2" s="165" t="s">
        <v>0</v>
      </c>
      <c r="AM2" s="166" t="s">
        <v>39</v>
      </c>
      <c r="AN2" s="166" t="s">
        <v>15</v>
      </c>
      <c r="AO2" s="205" t="str">
        <f>Z2</f>
        <v>EURO</v>
      </c>
      <c r="AP2" s="209" t="s">
        <v>85</v>
      </c>
      <c r="AQ2" s="177" t="str">
        <f>AD2</f>
        <v>CASSA</v>
      </c>
      <c r="AR2" s="177">
        <f>AF2</f>
        <v>0</v>
      </c>
      <c r="AS2" s="1"/>
      <c r="AT2" s="1"/>
      <c r="AU2" s="1"/>
      <c r="AV2" s="1"/>
      <c r="AW2" s="191" t="s">
        <v>0</v>
      </c>
      <c r="AX2" s="192" t="s">
        <v>39</v>
      </c>
      <c r="AY2" s="192" t="s">
        <v>15</v>
      </c>
      <c r="AZ2" s="193" t="s">
        <v>16</v>
      </c>
      <c r="BA2" s="1"/>
      <c r="BB2" s="151"/>
      <c r="BC2" s="151"/>
      <c r="BD2" s="1"/>
    </row>
    <row r="3" spans="1:56" ht="11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3"/>
      <c r="V3" s="3"/>
      <c r="W3" s="397" t="s">
        <v>48</v>
      </c>
      <c r="X3" s="86"/>
      <c r="Y3" s="86"/>
      <c r="Z3" s="87"/>
      <c r="AA3" s="1"/>
      <c r="AB3" s="84"/>
      <c r="AC3" s="1"/>
      <c r="AD3" s="1"/>
      <c r="AE3" s="1"/>
      <c r="AF3" s="1"/>
      <c r="AG3" s="858" t="s">
        <v>479</v>
      </c>
      <c r="AH3" s="1"/>
      <c r="AI3" s="1"/>
      <c r="AJ3" s="1"/>
      <c r="AK3" s="1"/>
      <c r="AL3" s="85"/>
      <c r="AM3" s="86"/>
      <c r="AN3" s="86"/>
      <c r="AO3" s="206"/>
      <c r="AP3" s="210"/>
      <c r="AQ3" s="1"/>
      <c r="AR3" s="1"/>
      <c r="AS3" s="1"/>
      <c r="AT3" s="84"/>
      <c r="AU3" s="1"/>
      <c r="AV3" s="1"/>
      <c r="AW3" s="85"/>
      <c r="AX3" s="86"/>
      <c r="AY3" s="86"/>
      <c r="AZ3" s="168"/>
      <c r="BA3" s="1"/>
      <c r="BB3" s="1"/>
      <c r="BC3" s="1"/>
      <c r="BD3" s="1"/>
    </row>
    <row r="4" spans="1:56" ht="16.5" customHeight="1">
      <c r="A4" s="373"/>
      <c r="B4" s="1241" t="s">
        <v>423</v>
      </c>
      <c r="C4" s="1241"/>
      <c r="D4" s="1"/>
      <c r="E4" s="1"/>
      <c r="F4" s="1"/>
      <c r="G4" s="1"/>
      <c r="H4" s="1"/>
      <c r="I4" s="835"/>
      <c r="J4" s="835"/>
      <c r="K4" s="835"/>
      <c r="L4" s="835"/>
      <c r="M4" s="835"/>
      <c r="N4" s="835"/>
      <c r="O4" s="906" t="s">
        <v>496</v>
      </c>
      <c r="P4" s="1532" t="s">
        <v>495</v>
      </c>
      <c r="Q4" s="1533"/>
      <c r="R4" s="835"/>
      <c r="S4" s="876" t="s">
        <v>490</v>
      </c>
      <c r="T4" s="1"/>
      <c r="U4" s="435">
        <f>IF(AND(W4&gt;=$U$1,W4&lt;=$U$2),IF(X4='ESTRATTO CONTO'!$E$2,1,0),0)</f>
        <v>1</v>
      </c>
      <c r="V4" s="416" t="s">
        <v>175</v>
      </c>
      <c r="W4" s="509">
        <f>COSTI!W4</f>
        <v>45298</v>
      </c>
      <c r="X4" s="321" t="s">
        <v>62</v>
      </c>
      <c r="Y4" s="905" t="s">
        <v>602</v>
      </c>
      <c r="Z4" s="508">
        <f>COSTI!Z4*-1</f>
        <v>-100</v>
      </c>
      <c r="AA4" s="357" t="s">
        <v>48</v>
      </c>
      <c r="AB4" s="306" t="str">
        <f t="shared" ref="AB4:AB67" si="0">IF(W4&gt;0,IF(AND(W4&gt;=W$1012,W4&lt;=W$1013),CONCATENATE(MONTH(W4)&amp;X4),0),"")</f>
        <v>1CASSA</v>
      </c>
      <c r="AC4" s="636">
        <f>AI4</f>
        <v>0</v>
      </c>
      <c r="AD4" s="935">
        <f>IF(ISERROR(VLOOKUP(AD$2,X5:X$1003,1,FALSE)),IF(X4=AD$2,SUMIF(X$4:X4,AD$2,Z$4:Z4)+$E$9+SUM(AQ$4:AQ$1003)+SUMIF(COSTI!$X$1379:$X$1430,AD$2,COSTI!$Z$1379:$Z$1430),0),0)</f>
        <v>0</v>
      </c>
      <c r="AE4" s="26"/>
      <c r="AF4" s="856" t="e">
        <f>IF(ISERROR(VLOOKUP(AG$2,X5:X$1003,1,FALSE)),IF(X4=AG$2,SUMIF(X$4:X4,AG$2,Z$4:Z4)+VLOOKUP(AF$2,$B$1057:$F$1068,5,FALSE)+SUM(AR$4:AR$1003)+SUMIF(COSTI!$X$1379:$X$1430,AG$2,COSTI!$Z$1379:$Z$1430),0),0)</f>
        <v>#N/A</v>
      </c>
      <c r="AG4" s="859"/>
      <c r="AH4" s="27">
        <f t="shared" ref="AH4:AH67" si="1">IF(ISBLANK(X4),"",IF(ISERROR(VLOOKUP(X4,B$34:B$38,1,FALSE)),1,0))</f>
        <v>1</v>
      </c>
      <c r="AI4" s="152">
        <f>IF(W5&gt;0,0,IF(AH4=0,(Z4*-1)+BC4+SUM(BB3:BB$4),BC4+SUM(BB3:BB$4)))</f>
        <v>0</v>
      </c>
      <c r="AJ4" s="931">
        <f>IF(AND(AL4&gt;=$U$1,AL4&lt;=$U$2),IF(AM4='ESTRATTO CONTO'!$E$2,U1015+1,0),0)</f>
        <v>13</v>
      </c>
      <c r="AK4" s="203">
        <f>IF(AL$1015&gt;0,1,0)</f>
        <v>1</v>
      </c>
      <c r="AL4" s="309">
        <f>VLOOKUP($AK4,ENTI!$AF$4:AG$1003,2,FALSE)</f>
        <v>45297</v>
      </c>
      <c r="AM4" s="224" t="str">
        <f>VLOOKUP($AK4,ENTI!$AF$4:AH$1003,3,FALSE)</f>
        <v>CASSA</v>
      </c>
      <c r="AN4" s="224" t="str">
        <f>VLOOKUP($AK4,ENTI!$AF$4:AI$1003,4,FALSE)</f>
        <v>Versato in contanti quota prestabilita GENNAIO</v>
      </c>
      <c r="AO4" s="781">
        <f>VLOOKUP($AK4,ENTI!$AF$4:AJ$1003,5,FALSE)</f>
        <v>100</v>
      </c>
      <c r="AP4" s="315" t="str">
        <f>VLOOKUP($AK4,ENTI!$AF$4:AK$1003,6,FALSE)</f>
        <v>Nome ENTE 1</v>
      </c>
      <c r="AQ4" s="208">
        <f t="shared" ref="AQ4:AQ14" si="2">IF(AM4=AQ$2,AO4,0)</f>
        <v>100</v>
      </c>
      <c r="AR4" s="152" t="e">
        <f t="shared" ref="AR4:AR14" si="3">IF(AM4=AR$1,AO4,0)</f>
        <v>#N/A</v>
      </c>
      <c r="AS4" s="1"/>
      <c r="AT4" s="88" t="str">
        <f t="shared" ref="AT4:AT67" si="4">IF(AL4&gt;0,IF(AND(AL4&gt;=W$1012,AL4&lt;=W$1013),CONCATENATE(MONTH(AL4)&amp;AM4),0),"")</f>
        <v>1CASSA</v>
      </c>
      <c r="AU4" s="1"/>
      <c r="AV4" s="196">
        <f>IF(AW4&gt;0,1,0)</f>
        <v>0</v>
      </c>
      <c r="AW4" s="164">
        <f t="shared" ref="AW4:AW67" si="5">IF(ISERROR(VLOOKUP($X4,$B$34:$B$38,1,FALSE)),0,W4)</f>
        <v>0</v>
      </c>
      <c r="AX4" s="310">
        <f>IF($AW4=0,0,VLOOKUP(VLOOKUP($X4,$B$34:$T$38,19,FALSE),ENTI!$A$9:$B$13,2,FALSE))</f>
        <v>0</v>
      </c>
      <c r="AY4" s="310">
        <f>IF(AW4=0,0,Y4)</f>
        <v>0</v>
      </c>
      <c r="AZ4" s="316">
        <f>IF(AW4=0,0,Z4)</f>
        <v>0</v>
      </c>
      <c r="BA4" s="1"/>
      <c r="BB4" s="152">
        <f>IF(ISERROR(VLOOKUP(X4,B$9:D$15,1,FALSE)),Z4*-1,0)</f>
        <v>0</v>
      </c>
      <c r="BC4" s="152">
        <f ca="1">SUM(Z$4:Z4)+SUM(BB$4:BB4)+COSTI!S$6-COSTI!L$1076</f>
        <v>2100</v>
      </c>
      <c r="BD4" s="1"/>
    </row>
    <row r="5" spans="1:56" ht="16.5" customHeight="1">
      <c r="A5" s="3"/>
      <c r="B5" s="1240" t="s">
        <v>13</v>
      </c>
      <c r="C5" s="1240"/>
      <c r="D5" s="1240"/>
      <c r="E5" s="386">
        <f>Presentazione!$J$26</f>
        <v>2024</v>
      </c>
      <c r="F5" s="223" t="str">
        <f>Presentazione!B204</f>
        <v>GEN</v>
      </c>
      <c r="G5" s="223" t="str">
        <f>Presentazione!C204</f>
        <v>FEB</v>
      </c>
      <c r="H5" s="223" t="str">
        <f>Presentazione!D204</f>
        <v>MAR</v>
      </c>
      <c r="I5" s="223" t="str">
        <f>Presentazione!E204</f>
        <v>APR</v>
      </c>
      <c r="J5" s="223" t="str">
        <f>Presentazione!F204</f>
        <v>MAG</v>
      </c>
      <c r="K5" s="223" t="str">
        <f>Presentazione!G204</f>
        <v>GIU</v>
      </c>
      <c r="L5" s="223" t="str">
        <f>Presentazione!H204</f>
        <v>LUG</v>
      </c>
      <c r="M5" s="223" t="str">
        <f>Presentazione!I204</f>
        <v>AGO</v>
      </c>
      <c r="N5" s="223" t="str">
        <f>Presentazione!J204</f>
        <v>SET</v>
      </c>
      <c r="O5" s="223" t="str">
        <f>Presentazione!K204</f>
        <v>OTT</v>
      </c>
      <c r="P5" s="223" t="str">
        <f>Presentazione!L204</f>
        <v>NOV</v>
      </c>
      <c r="Q5" s="223" t="str">
        <f>Presentazione!M204</f>
        <v>DIC</v>
      </c>
      <c r="R5" s="3"/>
      <c r="S5" s="83"/>
      <c r="T5" s="3"/>
      <c r="U5" s="435">
        <f>IF(AND(W5&gt;=$U$1,W5&lt;=$U$2),IF(X5='ESTRATTO CONTO'!$E$2,1+COUNTIF(U$4:U4,"&gt;0"),0),0)</f>
        <v>0</v>
      </c>
      <c r="V5" s="417">
        <f>V4+1</f>
        <v>2</v>
      </c>
      <c r="W5" s="509">
        <f>COSTI!W5</f>
        <v>45311</v>
      </c>
      <c r="X5" s="905" t="s">
        <v>498</v>
      </c>
      <c r="Y5" s="321" t="s">
        <v>353</v>
      </c>
      <c r="Z5" s="508">
        <f>COSTI!Z5*-1</f>
        <v>-100</v>
      </c>
      <c r="AA5" s="356"/>
      <c r="AB5" s="306" t="str">
        <f t="shared" si="0"/>
        <v>1BANCA C/C nr. 1234567</v>
      </c>
      <c r="AC5" s="637">
        <f t="shared" ref="AC5:AC120" si="6">AI5</f>
        <v>0</v>
      </c>
      <c r="AD5" s="935">
        <f>IF(ISERROR(VLOOKUP(AD$2,X6:X$1003,1,FALSE)),IF(X5=AD$2,SUMIF(X$4:X5,AD$2,Z$4:Z5)+$E$9+SUM(AQ$4:AQ$1003)+SUMIF(COSTI!$X$1379:$X$1430,AD$2,COSTI!$Z$1379:$Z$1430),0),0)</f>
        <v>0</v>
      </c>
      <c r="AE5" s="26"/>
      <c r="AF5" s="856" t="e">
        <f>IF(ISERROR(VLOOKUP(AG$2,X6:X$1003,1,FALSE)),IF(X5=AG$2,SUMIF(X$4:X5,AG$2,Z$4:Z5)+VLOOKUP(AF$2,$B$1057:$F$1068,5,FALSE)+SUM(AR$4:AR$1003)+SUMIF(COSTI!$X$1379:$X$1430,AG$2,COSTI!$Z$1379:$Z$1430),0),0)</f>
        <v>#N/A</v>
      </c>
      <c r="AG5" s="859"/>
      <c r="AH5" s="27">
        <f t="shared" si="1"/>
        <v>1</v>
      </c>
      <c r="AI5" s="152">
        <f>IF(W6&gt;0,0,IF(AH5=0,(Z5*-1)+BC5+SUM(BB$4:BB4),BC5+SUM(BB$4:BB4)))</f>
        <v>0</v>
      </c>
      <c r="AJ5" s="931">
        <f>IF(AND(AL5&gt;=$U$1,AL5&lt;=$U$2),IF(AM5='ESTRATTO CONTO'!$E$2,1+COUNTIF(AJ$4:AJ4,"&gt;0")+U$1015,0),0)</f>
        <v>14</v>
      </c>
      <c r="AK5" s="203">
        <f>IF(AND(OR((AK4+1)&lt;AL$1015,(AK4+1)=AL$1015),MAX(AK$4:AK4)&lt;AL$1015),AK4+1,0)</f>
        <v>2</v>
      </c>
      <c r="AL5" s="309">
        <f>VLOOKUP($AK5,ENTI!$AF$4:AG$1003,2,FALSE)</f>
        <v>45310</v>
      </c>
      <c r="AM5" s="224" t="str">
        <f>VLOOKUP($AK5,ENTI!$AF$4:AH$1003,3,FALSE)</f>
        <v>CASSA</v>
      </c>
      <c r="AN5" s="224" t="str">
        <f>VLOOKUP($AK5,ENTI!$AF$4:AI$1003,4,FALSE)</f>
        <v>Versato in contanti acconto GENNAIO</v>
      </c>
      <c r="AO5" s="781">
        <f>VLOOKUP($AK5,ENTI!$AF$4:AJ$1003,5,FALSE)</f>
        <v>50</v>
      </c>
      <c r="AP5" s="315" t="str">
        <f>VLOOKUP($AK5,ENTI!$AF$4:AK$1003,6,FALSE)</f>
        <v>Nome ENTE 2</v>
      </c>
      <c r="AQ5" s="208">
        <f t="shared" si="2"/>
        <v>50</v>
      </c>
      <c r="AR5" s="152" t="e">
        <f t="shared" si="3"/>
        <v>#N/A</v>
      </c>
      <c r="AS5" s="1"/>
      <c r="AT5" s="88" t="str">
        <f t="shared" si="4"/>
        <v>1CASSA</v>
      </c>
      <c r="AU5" s="1"/>
      <c r="AV5" s="175">
        <f>IF(AW5&gt;0,COUNTIF(AV$4:AV4,"&gt;0")+1,0)</f>
        <v>0</v>
      </c>
      <c r="AW5" s="164">
        <f t="shared" si="5"/>
        <v>0</v>
      </c>
      <c r="AX5" s="310">
        <f>IF($AW5=0,0,VLOOKUP(VLOOKUP($X5,$B$34:$T$38,19,FALSE),ENTI!$A$9:$B$13,2,FALSE))</f>
        <v>0</v>
      </c>
      <c r="AY5" s="310">
        <f>IF(AW5=0,0,Y5)</f>
        <v>0</v>
      </c>
      <c r="AZ5" s="316">
        <f>IF(AW5=0,0,Z5)</f>
        <v>0</v>
      </c>
      <c r="BA5" s="1"/>
      <c r="BB5" s="152">
        <f>IF(ISERROR(VLOOKUP(X5,B$9:D$15,1,FALSE)),Z5*-1,0)</f>
        <v>0</v>
      </c>
      <c r="BC5" s="152">
        <f ca="1">SUM(Z$4:Z5)+SUM(BB$4:BB5)+COSTI!S$6-COSTI!L$1076</f>
        <v>2000</v>
      </c>
      <c r="BD5" s="1"/>
    </row>
    <row r="6" spans="1:56" ht="16.5" customHeight="1">
      <c r="A6" s="3"/>
      <c r="B6" s="1535" t="s">
        <v>251</v>
      </c>
      <c r="C6" s="1535"/>
      <c r="D6" s="1535"/>
      <c r="E6" s="1536"/>
      <c r="F6" s="848">
        <f t="shared" ref="F6:Q6" ca="1" si="7">IF(AND($J$1037=0,$P$4=$N$1009),0,SUM(F9:F15))</f>
        <v>950</v>
      </c>
      <c r="G6" s="849">
        <f t="shared" ca="1" si="7"/>
        <v>900</v>
      </c>
      <c r="H6" s="849">
        <f t="shared" ca="1" si="7"/>
        <v>595</v>
      </c>
      <c r="I6" s="849">
        <f t="shared" ca="1" si="7"/>
        <v>845</v>
      </c>
      <c r="J6" s="849">
        <f t="shared" ca="1" si="7"/>
        <v>895</v>
      </c>
      <c r="K6" s="849">
        <f t="shared" ca="1" si="7"/>
        <v>945</v>
      </c>
      <c r="L6" s="849">
        <f t="shared" ca="1" si="7"/>
        <v>895</v>
      </c>
      <c r="M6" s="849">
        <f t="shared" ca="1" si="7"/>
        <v>1195</v>
      </c>
      <c r="N6" s="849">
        <f t="shared" ca="1" si="7"/>
        <v>1245</v>
      </c>
      <c r="O6" s="849">
        <f t="shared" ca="1" si="7"/>
        <v>1115.4100000000001</v>
      </c>
      <c r="P6" s="849">
        <f t="shared" ca="1" si="7"/>
        <v>1165.4100000000001</v>
      </c>
      <c r="Q6" s="850">
        <f t="shared" ca="1" si="7"/>
        <v>1063.24</v>
      </c>
      <c r="R6" s="3"/>
      <c r="S6" s="228" t="s">
        <v>439</v>
      </c>
      <c r="T6" s="3"/>
      <c r="U6" s="435">
        <f>IF(AND(W6&gt;=$U$1,W6&lt;=$U$2),IF(X6='ESTRATTO CONTO'!$E$2,1+COUNTIF(U$4:U5,"&gt;0"),0),0)</f>
        <v>0</v>
      </c>
      <c r="V6" s="417">
        <f t="shared" ref="V6:V69" si="8">V5+1</f>
        <v>3</v>
      </c>
      <c r="W6" s="509">
        <f>COSTI!W6</f>
        <v>45324</v>
      </c>
      <c r="X6" s="321" t="s">
        <v>499</v>
      </c>
      <c r="Y6" s="321" t="s">
        <v>391</v>
      </c>
      <c r="Z6" s="508">
        <f>COSTI!Z6*-1</f>
        <v>-100</v>
      </c>
      <c r="AA6" s="356"/>
      <c r="AB6" s="306" t="str">
        <f t="shared" si="0"/>
        <v>2POSTA C/C nr. 7654321</v>
      </c>
      <c r="AC6" s="637">
        <f t="shared" si="6"/>
        <v>0</v>
      </c>
      <c r="AD6" s="935">
        <f>IF(ISERROR(VLOOKUP(AD$2,X7:X$1003,1,FALSE)),IF(X6=AD$2,SUMIF(X$4:X6,AD$2,Z$4:Z6)+$E$9+SUM(AQ$4:AQ$1003)+SUMIF(COSTI!$X$1379:$X$1430,AD$2,COSTI!$Z$1379:$Z$1430),0),0)</f>
        <v>0</v>
      </c>
      <c r="AE6" s="26"/>
      <c r="AF6" s="856" t="e">
        <f>IF(ISERROR(VLOOKUP(AG$2,X7:X$1003,1,FALSE)),IF(X6=AG$2,SUMIF(X$4:X6,AG$2,Z$4:Z6)+VLOOKUP(AF$2,$B$1057:$F$1068,5,FALSE)+SUM(AR$4:AR$1003)+SUMIF(COSTI!$X$1379:$X$1430,AG$2,COSTI!$Z$1379:$Z$1430),0),0)</f>
        <v>#N/A</v>
      </c>
      <c r="AG6" s="859"/>
      <c r="AH6" s="27">
        <f t="shared" si="1"/>
        <v>1</v>
      </c>
      <c r="AI6" s="152">
        <f>IF(W7&gt;0,0,IF(AH6=0,(Z6*-1)+BC6+SUM(BB$4:BB5),BC6+SUM(BB$4:BB5)))</f>
        <v>0</v>
      </c>
      <c r="AJ6" s="931">
        <f>IF(AND(AL6&gt;=$U$1,AL6&lt;=$U$2),IF(AM6='ESTRATTO CONTO'!$E$2,1+COUNTIF(AJ$4:AJ5,"&gt;0")+U$1015,0),0)</f>
        <v>15</v>
      </c>
      <c r="AK6" s="203">
        <f>IF(AND(OR((AK5+1)&lt;AL$1015,(AK5+1)=AL$1015),MAX(AK$4:AK5)&lt;AL$1015),AK5+1,0)</f>
        <v>3</v>
      </c>
      <c r="AL6" s="309">
        <f>VLOOKUP($AK6,ENTI!$AF$4:AG$1003,2,FALSE)</f>
        <v>45323</v>
      </c>
      <c r="AM6" s="224" t="str">
        <f>VLOOKUP($AK6,ENTI!$AF$4:AH$1003,3,FALSE)</f>
        <v>CASSA</v>
      </c>
      <c r="AN6" s="224" t="str">
        <f>VLOOKUP($AK6,ENTI!$AF$4:AI$1003,4,FALSE)</f>
        <v>Ricevuto bonifico quota prestabilita</v>
      </c>
      <c r="AO6" s="781">
        <f>VLOOKUP($AK6,ENTI!$AF$4:AJ$1003,5,FALSE)</f>
        <v>100</v>
      </c>
      <c r="AP6" s="315" t="str">
        <f>VLOOKUP($AK6,ENTI!$AF$4:AK$1003,6,FALSE)</f>
        <v>Nome ENTE 3</v>
      </c>
      <c r="AQ6" s="208">
        <f t="shared" si="2"/>
        <v>100</v>
      </c>
      <c r="AR6" s="152" t="e">
        <f t="shared" si="3"/>
        <v>#N/A</v>
      </c>
      <c r="AS6" s="1"/>
      <c r="AT6" s="88" t="str">
        <f t="shared" si="4"/>
        <v>2CASSA</v>
      </c>
      <c r="AU6" s="1"/>
      <c r="AV6" s="175">
        <f>IF(AW6&gt;0,COUNTIF(AV$4:AV5,"&gt;0")+1,0)</f>
        <v>0</v>
      </c>
      <c r="AW6" s="164">
        <f t="shared" si="5"/>
        <v>0</v>
      </c>
      <c r="AX6" s="310">
        <f>IF($AW6=0,0,VLOOKUP(VLOOKUP($X6,$B$34:$T$38,19,FALSE),ENTI!$A$9:$B$13,2,FALSE))</f>
        <v>0</v>
      </c>
      <c r="AY6" s="310">
        <f t="shared" ref="AY6:AY69" si="9">IF(AW6=0,0,Y6)</f>
        <v>0</v>
      </c>
      <c r="AZ6" s="316">
        <f t="shared" ref="AZ6:AZ69" si="10">IF(AW6=0,0,Z6)</f>
        <v>0</v>
      </c>
      <c r="BA6" s="1"/>
      <c r="BB6" s="152">
        <f t="shared" ref="BB6:BB69" si="11">IF(ISERROR(VLOOKUP(X6,B$9:D$15,1,FALSE)),Z6*-1,0)</f>
        <v>0</v>
      </c>
      <c r="BC6" s="152">
        <f ca="1">SUM(Z$4:Z6)+SUM(BB$4:BB6)+COSTI!S$6-COSTI!L$1076</f>
        <v>1900</v>
      </c>
      <c r="BD6" s="1"/>
    </row>
    <row r="7" spans="1:56" ht="16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435">
        <f>IF(AND(W7&gt;=$U$1,W7&lt;=$U$2),IF(X7='ESTRATTO CONTO'!$E$2,1+COUNTIF(U$4:U6,"&gt;0"),0),0)</f>
        <v>2</v>
      </c>
      <c r="V7" s="417">
        <f t="shared" si="8"/>
        <v>4</v>
      </c>
      <c r="W7" s="509">
        <f>COSTI!W7</f>
        <v>45337</v>
      </c>
      <c r="X7" s="905" t="s">
        <v>62</v>
      </c>
      <c r="Y7" s="321" t="s">
        <v>392</v>
      </c>
      <c r="Z7" s="508">
        <f>COSTI!Z7*-1</f>
        <v>-100</v>
      </c>
      <c r="AA7" s="356"/>
      <c r="AB7" s="306" t="str">
        <f t="shared" si="0"/>
        <v>2CASSA</v>
      </c>
      <c r="AC7" s="637">
        <f t="shared" si="6"/>
        <v>0</v>
      </c>
      <c r="AD7" s="935">
        <f>IF(ISERROR(VLOOKUP(AD$2,X8:X$1003,1,FALSE)),IF(X7=AD$2,SUMIF(X$4:X7,AD$2,Z$4:Z7)+$E$9+SUM(AQ$4:AQ$1003)+SUMIF(COSTI!$X$1379:$X$1430,AD$2,COSTI!$Z$1379:$Z$1430),0),0)</f>
        <v>0</v>
      </c>
      <c r="AE7" s="26"/>
      <c r="AF7" s="856" t="e">
        <f>IF(ISERROR(VLOOKUP(AG$2,X8:X$1003,1,FALSE)),IF(X7=AG$2,SUMIF(X$4:X7,AG$2,Z$4:Z7)+VLOOKUP(AF$2,$B$1057:$F$1068,5,FALSE)+SUM(AR$4:AR$1003)+SUMIF(COSTI!$X$1379:$X$1430,AG$2,COSTI!$Z$1379:$Z$1430),0),0)</f>
        <v>#N/A</v>
      </c>
      <c r="AG7" s="859"/>
      <c r="AH7" s="27">
        <f t="shared" si="1"/>
        <v>1</v>
      </c>
      <c r="AI7" s="152">
        <f>IF(W8&gt;0,0,IF(AH7=0,(Z7*-1)+BC7+SUM(BB$4:BB6),BC7+SUM(BB$4:BB6)))</f>
        <v>0</v>
      </c>
      <c r="AJ7" s="931">
        <f>IF(AND(AL7&gt;=$U$1,AL7&lt;=$U$2),IF(AM7='ESTRATTO CONTO'!$E$2,1+COUNTIF(AJ$4:AJ6,"&gt;0")+U$1015,0),0)</f>
        <v>16</v>
      </c>
      <c r="AK7" s="203">
        <f>IF(AND(OR((AK6+1)&lt;AL$1015,(AK6+1)=AL$1015),MAX(AK$4:AK6)&lt;AL$1015),AK6+1,0)</f>
        <v>4</v>
      </c>
      <c r="AL7" s="309">
        <f>VLOOKUP($AK7,ENTI!$AF$4:AG$1003,2,FALSE)</f>
        <v>45336</v>
      </c>
      <c r="AM7" s="224" t="str">
        <f>VLOOKUP($AK7,ENTI!$AF$4:AH$1003,3,FALSE)</f>
        <v>CASSA</v>
      </c>
      <c r="AN7" s="224" t="str">
        <f>VLOOKUP($AK7,ENTI!$AF$4:AI$1003,4,FALSE)</f>
        <v>Ricevuto bonifico acconto</v>
      </c>
      <c r="AO7" s="781">
        <f>VLOOKUP($AK7,ENTI!$AF$4:AJ$1003,5,FALSE)</f>
        <v>50</v>
      </c>
      <c r="AP7" s="315" t="str">
        <f>VLOOKUP($AK7,ENTI!$AF$4:AK$1003,6,FALSE)</f>
        <v>Nome ENTE 4 / sovrascrivi</v>
      </c>
      <c r="AQ7" s="208">
        <f t="shared" si="2"/>
        <v>50</v>
      </c>
      <c r="AR7" s="152" t="e">
        <f t="shared" si="3"/>
        <v>#N/A</v>
      </c>
      <c r="AS7" s="1"/>
      <c r="AT7" s="88" t="str">
        <f t="shared" si="4"/>
        <v>2CASSA</v>
      </c>
      <c r="AU7" s="1"/>
      <c r="AV7" s="175">
        <f>IF(AW7&gt;0,COUNTIF(AV$4:AV6,"&gt;0")+1,0)</f>
        <v>0</v>
      </c>
      <c r="AW7" s="164">
        <f t="shared" si="5"/>
        <v>0</v>
      </c>
      <c r="AX7" s="310">
        <f>IF($AW7=0,0,VLOOKUP(VLOOKUP($X7,$B$34:$T$38,19,FALSE),ENTI!$A$9:$B$13,2,FALSE))</f>
        <v>0</v>
      </c>
      <c r="AY7" s="310">
        <f t="shared" si="9"/>
        <v>0</v>
      </c>
      <c r="AZ7" s="316">
        <f t="shared" si="10"/>
        <v>0</v>
      </c>
      <c r="BA7" s="1"/>
      <c r="BB7" s="152">
        <f t="shared" si="11"/>
        <v>0</v>
      </c>
      <c r="BC7" s="152">
        <f ca="1">SUM(Z$4:Z7)+SUM(BB$4:BB7)+COSTI!S$6-COSTI!L$1076</f>
        <v>1800</v>
      </c>
      <c r="BD7" s="1"/>
    </row>
    <row r="8" spans="1:56" ht="16.5" customHeight="1">
      <c r="A8" s="45"/>
      <c r="B8" s="1534" t="s">
        <v>112</v>
      </c>
      <c r="C8" s="1534"/>
      <c r="D8" s="1534"/>
      <c r="E8" s="159" t="s">
        <v>68</v>
      </c>
      <c r="F8" s="375" t="str">
        <f>Presentazione!B206</f>
        <v>Gennaio</v>
      </c>
      <c r="G8" s="375" t="str">
        <f>Presentazione!C206</f>
        <v>Febbraio</v>
      </c>
      <c r="H8" s="375" t="str">
        <f>Presentazione!D206</f>
        <v>Marzo</v>
      </c>
      <c r="I8" s="375" t="str">
        <f>Presentazione!E206</f>
        <v>Aprile</v>
      </c>
      <c r="J8" s="375" t="str">
        <f>Presentazione!F206</f>
        <v>Maggio</v>
      </c>
      <c r="K8" s="375" t="str">
        <f>Presentazione!G206</f>
        <v>Giugno</v>
      </c>
      <c r="L8" s="375" t="str">
        <f>Presentazione!H206</f>
        <v>Luglio</v>
      </c>
      <c r="M8" s="375" t="str">
        <f>Presentazione!I206</f>
        <v>Agosto</v>
      </c>
      <c r="N8" s="375" t="str">
        <f>Presentazione!J206</f>
        <v>Settembre</v>
      </c>
      <c r="O8" s="375" t="str">
        <f>Presentazione!K206</f>
        <v>Ottobre</v>
      </c>
      <c r="P8" s="375" t="str">
        <f>Presentazione!L206</f>
        <v>Novembre</v>
      </c>
      <c r="Q8" s="375" t="str">
        <f>Presentazione!M206</f>
        <v>Dicembre</v>
      </c>
      <c r="R8" s="3"/>
      <c r="S8" s="156" t="str">
        <f>Presentazione!$K$26</f>
        <v>EURO</v>
      </c>
      <c r="T8" s="3"/>
      <c r="U8" s="435">
        <f>IF(AND(W8&gt;=$U$1,W8&lt;=$U$2),IF(X8='ESTRATTO CONTO'!$E$2,1+COUNTIF(U$4:U7,"&gt;0"),0),0)</f>
        <v>0</v>
      </c>
      <c r="V8" s="417">
        <f t="shared" si="8"/>
        <v>5</v>
      </c>
      <c r="W8" s="509">
        <f>COSTI!W8</f>
        <v>45350</v>
      </c>
      <c r="X8" s="905" t="s">
        <v>498</v>
      </c>
      <c r="Y8" s="321" t="s">
        <v>393</v>
      </c>
      <c r="Z8" s="508">
        <f>COSTI!Z8*-1</f>
        <v>-100</v>
      </c>
      <c r="AA8" s="356"/>
      <c r="AB8" s="306" t="str">
        <f t="shared" si="0"/>
        <v>2BANCA C/C nr. 1234567</v>
      </c>
      <c r="AC8" s="637">
        <f t="shared" si="6"/>
        <v>0</v>
      </c>
      <c r="AD8" s="935">
        <f>IF(ISERROR(VLOOKUP(AD$2,X9:X$1003,1,FALSE)),IF(X8=AD$2,SUMIF(X$4:X8,AD$2,Z$4:Z8)+$E$9+SUM(AQ$4:AQ$1003)+SUMIF(COSTI!$X$1379:$X$1430,AD$2,COSTI!$Z$1379:$Z$1430),0),0)</f>
        <v>0</v>
      </c>
      <c r="AE8" s="26"/>
      <c r="AF8" s="856" t="e">
        <f>IF(ISERROR(VLOOKUP(AG$2,X9:X$1003,1,FALSE)),IF(X8=AG$2,SUMIF(X$4:X8,AG$2,Z$4:Z8)+VLOOKUP(AF$2,$B$1057:$F$1068,5,FALSE)+SUM(AR$4:AR$1003)+SUMIF(COSTI!$X$1379:$X$1430,AG$2,COSTI!$Z$1379:$Z$1430),0),0)</f>
        <v>#N/A</v>
      </c>
      <c r="AG8" s="859"/>
      <c r="AH8" s="27">
        <f t="shared" si="1"/>
        <v>1</v>
      </c>
      <c r="AI8" s="152">
        <f>IF(W9&gt;0,0,IF(AH8=0,(Z8*-1)+BC8+SUM(BB$4:BB7),BC8+SUM(BB$4:BB7)))</f>
        <v>0</v>
      </c>
      <c r="AJ8" s="931">
        <f>IF(AND(AL8&gt;=$U$1,AL8&lt;=$U$2),IF(AM8='ESTRATTO CONTO'!$E$2,1+COUNTIF(AJ$4:AJ7,"&gt;0")+U$1015,0),0)</f>
        <v>17</v>
      </c>
      <c r="AK8" s="203">
        <f>IF(AND(OR((AK7+1)&lt;AL$1015,(AK7+1)=AL$1015),MAX(AK$4:AK7)&lt;AL$1015),AK7+1,0)</f>
        <v>5</v>
      </c>
      <c r="AL8" s="309">
        <f>VLOOKUP($AK8,ENTI!$AF$4:AG$1003,2,FALSE)</f>
        <v>45349</v>
      </c>
      <c r="AM8" s="224" t="str">
        <f>VLOOKUP($AK8,ENTI!$AF$4:AH$1003,3,FALSE)</f>
        <v>CASSA</v>
      </c>
      <c r="AN8" s="224">
        <f>VLOOKUP($AK8,ENTI!$AF$4:AI$1003,4,FALSE)</f>
        <v>0</v>
      </c>
      <c r="AO8" s="781">
        <f>VLOOKUP($AK8,ENTI!$AF$4:AJ$1003,5,FALSE)</f>
        <v>100</v>
      </c>
      <c r="AP8" s="315" t="str">
        <f>VLOOKUP($AK8,ENTI!$AF$4:AK$1003,6,FALSE)</f>
        <v>Nome ENTE ultimo disponibile</v>
      </c>
      <c r="AQ8" s="208">
        <f t="shared" si="2"/>
        <v>100</v>
      </c>
      <c r="AR8" s="152" t="e">
        <f t="shared" si="3"/>
        <v>#N/A</v>
      </c>
      <c r="AS8" s="1"/>
      <c r="AT8" s="88" t="str">
        <f t="shared" si="4"/>
        <v>2CASSA</v>
      </c>
      <c r="AU8" s="1"/>
      <c r="AV8" s="175">
        <f>IF(AW8&gt;0,COUNTIF(AV$4:AV7,"&gt;0")+1,0)</f>
        <v>0</v>
      </c>
      <c r="AW8" s="164">
        <f t="shared" si="5"/>
        <v>0</v>
      </c>
      <c r="AX8" s="310">
        <f>IF($AW8=0,0,VLOOKUP(VLOOKUP($X8,$B$34:$T$38,19,FALSE),ENTI!$A$9:$B$13,2,FALSE))</f>
        <v>0</v>
      </c>
      <c r="AY8" s="310">
        <f t="shared" si="9"/>
        <v>0</v>
      </c>
      <c r="AZ8" s="316">
        <f t="shared" si="10"/>
        <v>0</v>
      </c>
      <c r="BA8" s="1"/>
      <c r="BB8" s="152">
        <f t="shared" si="11"/>
        <v>0</v>
      </c>
      <c r="BC8" s="152">
        <f ca="1">SUM(Z$4:Z8)+SUM(BB$4:BB8)+COSTI!S$6-COSTI!L$1076</f>
        <v>1700</v>
      </c>
      <c r="BD8" s="1"/>
    </row>
    <row r="9" spans="1:56" ht="16.5" customHeight="1">
      <c r="A9" s="521">
        <v>1</v>
      </c>
      <c r="B9" s="1494" t="s">
        <v>62</v>
      </c>
      <c r="C9" s="1495"/>
      <c r="D9" s="1495"/>
      <c r="E9" s="523">
        <v>200</v>
      </c>
      <c r="F9" s="552">
        <f ca="1">ROUND(SUMIF($AB$4:$AB$1003,CONCATENATE(F$1029,$B9),$Z$4:$Z$1003)+SUMIF($AT$4:$AT$1003,CONCATENATE(F$1029,$B9),$AO$4:$AO$1003)+E9+SUMIF(COSTI!$AE$1379:$AG$1430,CONCATENATE(F$1029,$B9),COSTI!$Z$1379:$Z$1430),2)</f>
        <v>250</v>
      </c>
      <c r="G9" s="553">
        <f ca="1">ROUND(SUMIF($AB$4:$AB$1003,CONCATENATE(G$1029,$B9),$Z$4:$Z$1003)+SUMIF($AT$4:$AT$1003,CONCATENATE(G$1029,$B9),$AO$4:$AO$1003)+F9+SUMIF(COSTI!$AE$1379:$AG$1430,CONCATENATE(G$1029,$B9),COSTI!$Z$1379:$Z$1430),2)</f>
        <v>400</v>
      </c>
      <c r="H9" s="553">
        <f ca="1">ROUND(SUMIF($AB$4:$AB$1003,CONCATENATE(H$1029,$B9),$Z$4:$Z$1003)+SUMIF($AT$4:$AT$1003,CONCATENATE(H$1029,$B9),$AO$4:$AO$1003)+G9+SUMIF(COSTI!$AE$1379:$AG$1430,CONCATENATE(H$1029,$B9),COSTI!$Z$1379:$Z$1430),2)</f>
        <v>95</v>
      </c>
      <c r="I9" s="553">
        <f ca="1">ROUND(SUMIF($AB$4:$AB$1003,CONCATENATE(I$1029,$B9),$Z$4:$Z$1003)+SUMIF($AT$4:$AT$1003,CONCATENATE(I$1029,$B9),$AO$4:$AO$1003)+H9+SUMIF(COSTI!$AE$1379:$AG$1430,CONCATENATE(I$1029,$B9),COSTI!$Z$1379:$Z$1430),2)</f>
        <v>395</v>
      </c>
      <c r="J9" s="553">
        <f ca="1">ROUND(SUMIF($AB$4:$AB$1003,CONCATENATE(J$1029,$B9),$Z$4:$Z$1003)+SUMIF($AT$4:$AT$1003,CONCATENATE(J$1029,$B9),$AO$4:$AO$1003)+I9+SUMIF(COSTI!$AE$1379:$AG$1430,CONCATENATE(J$1029,$B9),COSTI!$Z$1379:$Z$1430),2)</f>
        <v>345</v>
      </c>
      <c r="K9" s="553">
        <f ca="1">ROUND(SUMIF($AB$4:$AB$1003,CONCATENATE(K$1029,$B9),$Z$4:$Z$1003)+SUMIF($AT$4:$AT$1003,CONCATENATE(K$1029,$B9),$AO$4:$AO$1003)+J9+SUMIF(COSTI!$AE$1379:$AG$1430,CONCATENATE(K$1029,$B9),COSTI!$Z$1379:$Z$1430),2)</f>
        <v>295</v>
      </c>
      <c r="L9" s="553">
        <f ca="1">ROUND(SUMIF($AB$4:$AB$1003,CONCATENATE(L$1029,$B9),$Z$4:$Z$1003)+SUMIF($AT$4:$AT$1003,CONCATENATE(L$1029,$B9),$AO$4:$AO$1003)+K9+SUMIF(COSTI!$AE$1379:$AG$1430,CONCATENATE(L$1029,$B9),COSTI!$Z$1379:$Z$1430),2)</f>
        <v>345</v>
      </c>
      <c r="M9" s="553">
        <f ca="1">ROUND(SUMIF($AB$4:$AB$1003,CONCATENATE(M$1029,$B9),$Z$4:$Z$1003)+SUMIF($AT$4:$AT$1003,CONCATENATE(M$1029,$B9),$AO$4:$AO$1003)+L9+SUMIF(COSTI!$AE$1379:$AG$1430,CONCATENATE(M$1029,$B9),COSTI!$Z$1379:$Z$1430),2)</f>
        <v>695</v>
      </c>
      <c r="N9" s="553">
        <f ca="1">ROUND(SUMIF($AB$4:$AB$1003,CONCATENATE(N$1029,$B9),$Z$4:$Z$1003)+SUMIF($AT$4:$AT$1003,CONCATENATE(N$1029,$B9),$AO$4:$AO$1003)+M9+SUMIF(COSTI!$AE$1379:$AG$1430,CONCATENATE(N$1029,$B9),COSTI!$Z$1379:$Z$1430),2)</f>
        <v>645</v>
      </c>
      <c r="O9" s="553">
        <f ca="1">ROUND(SUMIF($AB$4:$AB$1003,CONCATENATE(O$1029,$B9),$Z$4:$Z$1003)+SUMIF($AT$4:$AT$1003,CONCATENATE(O$1029,$B9),$AO$4:$AO$1003)+N9+SUMIF(COSTI!$AE$1379:$AG$1430,CONCATENATE(O$1029,$B9),COSTI!$Z$1379:$Z$1430),2)</f>
        <v>706.58</v>
      </c>
      <c r="P9" s="553">
        <f ca="1">ROUND(SUMIF($AB$4:$AB$1003,CONCATENATE(P$1029,$B9),$Z$4:$Z$1003)+SUMIF($AT$4:$AT$1003,CONCATENATE(P$1029,$B9),$AO$4:$AO$1003)+O9+SUMIF(COSTI!$AE$1379:$AG$1430,CONCATENATE(P$1029,$B9),COSTI!$Z$1379:$Z$1430),2)</f>
        <v>756.58</v>
      </c>
      <c r="Q9" s="554">
        <f ca="1">ROUND(SUMIF($AB$4:$AB$1003,CONCATENATE(Q$1029,$B9),$Z$4:$Z$1003)+SUMIF($AT$4:$AT$1003,CONCATENATE(Q$1029,$B9),$AO$4:$AO$1003)+P9+SUMIF(COSTI!$AE$1379:$AG$1430,CONCATENATE(Q$1029,$B9),COSTI!$Z$1379:$Z$1430),2)</f>
        <v>656.58</v>
      </c>
      <c r="R9" s="27"/>
      <c r="S9" s="467">
        <f t="shared" ref="S9:S15" ca="1" si="12">IF(AND($J$1037=0,$P$4=$N$1009),0,SUM(Q9))</f>
        <v>656.58</v>
      </c>
      <c r="T9" s="27"/>
      <c r="U9" s="435">
        <f>IF(AND(W9&gt;=$U$1,W9&lt;=$U$2),IF(X9='ESTRATTO CONTO'!$E$2,1+COUNTIF(U$4:U8,"&gt;0"),0),0)</f>
        <v>0</v>
      </c>
      <c r="V9" s="417">
        <f t="shared" si="8"/>
        <v>6</v>
      </c>
      <c r="W9" s="509">
        <f>COSTI!W9</f>
        <v>45363</v>
      </c>
      <c r="X9" s="321" t="s">
        <v>499</v>
      </c>
      <c r="Y9" s="321" t="s">
        <v>394</v>
      </c>
      <c r="Z9" s="508">
        <f>COSTI!Z9*-1</f>
        <v>-100</v>
      </c>
      <c r="AA9" s="356"/>
      <c r="AB9" s="306" t="str">
        <f t="shared" si="0"/>
        <v>3POSTA C/C nr. 7654321</v>
      </c>
      <c r="AC9" s="637">
        <f t="shared" si="6"/>
        <v>0</v>
      </c>
      <c r="AD9" s="935">
        <f>IF(ISERROR(VLOOKUP(AD$2,X10:X$1003,1,FALSE)),IF(X9=AD$2,SUMIF(X$4:X9,AD$2,Z$4:Z9)+$E$9+SUM(AQ$4:AQ$1003)+SUMIF(COSTI!$X$1379:$X$1430,AD$2,COSTI!$Z$1379:$Z$1430),0),0)</f>
        <v>0</v>
      </c>
      <c r="AE9" s="26"/>
      <c r="AF9" s="856" t="e">
        <f>IF(ISERROR(VLOOKUP(AG$2,X10:X$1003,1,FALSE)),IF(X9=AG$2,SUMIF(X$4:X9,AG$2,Z$4:Z9)+VLOOKUP(AF$2,$B$1057:$F$1068,5,FALSE)+SUM(AR$4:AR$1003)+SUMIF(COSTI!$X$1379:$X$1430,AG$2,COSTI!$Z$1379:$Z$1430),0),0)</f>
        <v>#N/A</v>
      </c>
      <c r="AG9" s="859"/>
      <c r="AH9" s="27">
        <f t="shared" si="1"/>
        <v>1</v>
      </c>
      <c r="AI9" s="152">
        <f>IF(W10&gt;0,0,IF(AH9=0,(Z9*-1)+BC9+SUM(BB$4:BB8),BC9+SUM(BB$4:BB8)))</f>
        <v>0</v>
      </c>
      <c r="AJ9" s="931">
        <f>IF(AND(AL9&gt;=$U$1,AL9&lt;=$U$2),IF(AM9='ESTRATTO CONTO'!$E$2,1+COUNTIF(AJ$4:AJ8,"&gt;0")+U$1015,0),0)</f>
        <v>0</v>
      </c>
      <c r="AK9" s="203">
        <f>IF(AND(OR((AK8+1)&lt;AL$1015,(AK8+1)=AL$1015),MAX(AK$4:AK8)&lt;AL$1015),AK8+1,0)</f>
        <v>6</v>
      </c>
      <c r="AL9" s="309">
        <f>VLOOKUP($AK9,ENTI!$AF$4:AG$1003,2,FALSE)</f>
        <v>45362</v>
      </c>
      <c r="AM9" s="224" t="str">
        <f>VLOOKUP($AK9,ENTI!$AF$4:AH$1003,3,FALSE)</f>
        <v>POSTA C/C nr. 7654321</v>
      </c>
      <c r="AN9" s="224">
        <f>VLOOKUP($AK9,ENTI!$AF$4:AI$1003,4,FALSE)</f>
        <v>0</v>
      </c>
      <c r="AO9" s="781">
        <f>VLOOKUP($AK9,ENTI!$AF$4:AJ$1003,5,FALSE)</f>
        <v>50</v>
      </c>
      <c r="AP9" s="315" t="str">
        <f>VLOOKUP($AK9,ENTI!$AF$4:AK$1003,6,FALSE)</f>
        <v>Nome ENTE 1</v>
      </c>
      <c r="AQ9" s="208">
        <f t="shared" si="2"/>
        <v>0</v>
      </c>
      <c r="AR9" s="152" t="e">
        <f t="shared" si="3"/>
        <v>#N/A</v>
      </c>
      <c r="AS9" s="1"/>
      <c r="AT9" s="88" t="str">
        <f t="shared" si="4"/>
        <v>3POSTA C/C nr. 7654321</v>
      </c>
      <c r="AU9" s="1"/>
      <c r="AV9" s="175">
        <f>IF(AW9&gt;0,COUNTIF(AV$4:AV8,"&gt;0")+1,0)</f>
        <v>0</v>
      </c>
      <c r="AW9" s="164">
        <f t="shared" si="5"/>
        <v>0</v>
      </c>
      <c r="AX9" s="310">
        <f>IF($AW9=0,0,VLOOKUP(VLOOKUP($X9,$B$34:$T$38,19,FALSE),ENTI!$A$9:$B$13,2,FALSE))</f>
        <v>0</v>
      </c>
      <c r="AY9" s="310">
        <f t="shared" si="9"/>
        <v>0</v>
      </c>
      <c r="AZ9" s="316">
        <f t="shared" si="10"/>
        <v>0</v>
      </c>
      <c r="BA9" s="1"/>
      <c r="BB9" s="152">
        <f t="shared" si="11"/>
        <v>0</v>
      </c>
      <c r="BC9" s="152">
        <f ca="1">SUM(Z$4:Z9)+SUM(BB$4:BB9)+COSTI!S$6-COSTI!L$1076</f>
        <v>1600</v>
      </c>
      <c r="BD9" s="1"/>
    </row>
    <row r="10" spans="1:56" ht="16.5" customHeight="1">
      <c r="A10" s="521">
        <v>2</v>
      </c>
      <c r="B10" s="1509" t="s">
        <v>498</v>
      </c>
      <c r="C10" s="1510"/>
      <c r="D10" s="1510"/>
      <c r="E10" s="844">
        <v>500</v>
      </c>
      <c r="F10" s="555">
        <f ca="1">ROUND(SUMIF($AB$4:$AB$1003,CONCATENATE(F$1029,$B10),$Z$4:$Z$1003)+SUMIF($AT$4:$AT$1003,CONCATENATE(F$1029,$B10),$AO$4:$AO$1003)+E10+SUMIF(COSTI!$AE$1379:$AG$1430,CONCATENATE(F$1029,$B10),COSTI!$Z$1379:$Z$1430),2)</f>
        <v>400</v>
      </c>
      <c r="G10" s="556">
        <f ca="1">ROUND(SUMIF($AB$4:$AB$1003,CONCATENATE(G$1029,$B10),$Z$4:$Z$1003)+SUMIF($AT$4:$AT$1003,CONCATENATE(G$1029,$B10),$AO$4:$AO$1003)+F10+SUMIF(COSTI!$AE$1379:$AG$1430,CONCATENATE(G$1029,$B10),COSTI!$Z$1379:$Z$1430),2)</f>
        <v>300</v>
      </c>
      <c r="H10" s="556">
        <f ca="1">ROUND(SUMIF($AB$4:$AB$1003,CONCATENATE(H$1029,$B10),$Z$4:$Z$1003)+SUMIF($AT$4:$AT$1003,CONCATENATE(H$1029,$B10),$AO$4:$AO$1003)+G10+SUMIF(COSTI!$AE$1379:$AG$1430,CONCATENATE(H$1029,$B10),COSTI!$Z$1379:$Z$1430),2)</f>
        <v>250</v>
      </c>
      <c r="I10" s="556">
        <f ca="1">ROUND(SUMIF($AB$4:$AB$1003,CONCATENATE(I$1029,$B10),$Z$4:$Z$1003)+SUMIF($AT$4:$AT$1003,CONCATENATE(I$1029,$B10),$AO$4:$AO$1003)+H10+SUMIF(COSTI!$AE$1379:$AG$1430,CONCATENATE(I$1029,$B10),COSTI!$Z$1379:$Z$1430),2)</f>
        <v>200</v>
      </c>
      <c r="J10" s="556">
        <f ca="1">ROUND(SUMIF($AB$4:$AB$1003,CONCATENATE(J$1029,$B10),$Z$4:$Z$1003)+SUMIF($AT$4:$AT$1003,CONCATENATE(J$1029,$B10),$AO$4:$AO$1003)+I10+SUMIF(COSTI!$AE$1379:$AG$1430,CONCATENATE(J$1029,$B10),COSTI!$Z$1379:$Z$1430),2)</f>
        <v>250</v>
      </c>
      <c r="K10" s="556">
        <f ca="1">ROUND(SUMIF($AB$4:$AB$1003,CONCATENATE(K$1029,$B10),$Z$4:$Z$1003)+SUMIF($AT$4:$AT$1003,CONCATENATE(K$1029,$B10),$AO$4:$AO$1003)+J10+SUMIF(COSTI!$AE$1379:$AG$1430,CONCATENATE(K$1029,$B10),COSTI!$Z$1379:$Z$1430),2)</f>
        <v>300</v>
      </c>
      <c r="L10" s="556">
        <f ca="1">ROUND(SUMIF($AB$4:$AB$1003,CONCATENATE(L$1029,$B10),$Z$4:$Z$1003)+SUMIF($AT$4:$AT$1003,CONCATENATE(L$1029,$B10),$AO$4:$AO$1003)+K10+SUMIF(COSTI!$AE$1379:$AG$1430,CONCATENATE(L$1029,$B10),COSTI!$Z$1379:$Z$1430),2)</f>
        <v>250</v>
      </c>
      <c r="M10" s="556">
        <f ca="1">ROUND(SUMIF($AB$4:$AB$1003,CONCATENATE(M$1029,$B10),$Z$4:$Z$1003)+SUMIF($AT$4:$AT$1003,CONCATENATE(M$1029,$B10),$AO$4:$AO$1003)+L10+SUMIF(COSTI!$AE$1379:$AG$1430,CONCATENATE(M$1029,$B10),COSTI!$Z$1379:$Z$1430),2)</f>
        <v>250</v>
      </c>
      <c r="N10" s="556">
        <f ca="1">ROUND(SUMIF($AB$4:$AB$1003,CONCATENATE(N$1029,$B10),$Z$4:$Z$1003)+SUMIF($AT$4:$AT$1003,CONCATENATE(N$1029,$B10),$AO$4:$AO$1003)+M10+SUMIF(COSTI!$AE$1379:$AG$1430,CONCATENATE(N$1029,$B10),COSTI!$Z$1379:$Z$1430),2)</f>
        <v>350</v>
      </c>
      <c r="O10" s="556">
        <f ca="1">ROUND(SUMIF($AB$4:$AB$1003,CONCATENATE(O$1029,$B10),$Z$4:$Z$1003)+SUMIF($AT$4:$AT$1003,CONCATENATE(O$1029,$B10),$AO$4:$AO$1003)+N10+SUMIF(COSTI!$AE$1379:$AG$1430,CONCATENATE(O$1029,$B10),COSTI!$Z$1379:$Z$1430),2)</f>
        <v>250</v>
      </c>
      <c r="P10" s="556">
        <f ca="1">ROUND(SUMIF($AB$4:$AB$1003,CONCATENATE(P$1029,$B10),$Z$4:$Z$1003)+SUMIF($AT$4:$AT$1003,CONCATENATE(P$1029,$B10),$AO$4:$AO$1003)+O10+SUMIF(COSTI!$AE$1379:$AG$1430,CONCATENATE(P$1029,$B10),COSTI!$Z$1379:$Z$1430),2)</f>
        <v>250</v>
      </c>
      <c r="Q10" s="557">
        <f ca="1">ROUND(SUMIF($AB$4:$AB$1003,CONCATENATE(Q$1029,$B10),$Z$4:$Z$1003)+SUMIF($AT$4:$AT$1003,CONCATENATE(Q$1029,$B10),$AO$4:$AO$1003)+P10+SUMIF(COSTI!$AE$1379:$AG$1430,CONCATENATE(Q$1029,$B10),COSTI!$Z$1379:$Z$1430),2)</f>
        <v>300</v>
      </c>
      <c r="R10" s="27"/>
      <c r="S10" s="847">
        <f t="shared" ca="1" si="12"/>
        <v>300</v>
      </c>
      <c r="T10" s="27"/>
      <c r="U10" s="435">
        <f>IF(AND(W10&gt;=$U$1,W10&lt;=$U$2),IF(X10='ESTRATTO CONTO'!$E$2,1+COUNTIF(U$4:U9,"&gt;0"),0),0)</f>
        <v>0</v>
      </c>
      <c r="V10" s="417">
        <f t="shared" si="8"/>
        <v>7</v>
      </c>
      <c r="W10" s="509">
        <f>COSTI!W10</f>
        <v>45376</v>
      </c>
      <c r="X10" s="321" t="s">
        <v>498</v>
      </c>
      <c r="Y10" s="905" t="s">
        <v>517</v>
      </c>
      <c r="Z10" s="508">
        <f>COSTI!Z10*-1</f>
        <v>-50</v>
      </c>
      <c r="AA10" s="356"/>
      <c r="AB10" s="306" t="str">
        <f t="shared" si="0"/>
        <v>3BANCA C/C nr. 1234567</v>
      </c>
      <c r="AC10" s="637">
        <f t="shared" si="6"/>
        <v>0</v>
      </c>
      <c r="AD10" s="935">
        <f>IF(ISERROR(VLOOKUP(AD$2,X11:X$1003,1,FALSE)),IF(X10=AD$2,SUMIF(X$4:X10,AD$2,Z$4:Z10)+$E$9+SUM(AQ$4:AQ$1003)+SUMIF(COSTI!$X$1379:$X$1430,AD$2,COSTI!$Z$1379:$Z$1430),0),0)</f>
        <v>0</v>
      </c>
      <c r="AE10" s="26"/>
      <c r="AF10" s="856" t="e">
        <f>IF(ISERROR(VLOOKUP(AG$2,X11:X$1003,1,FALSE)),IF(X10=AG$2,SUMIF(X$4:X10,AG$2,Z$4:Z10)+VLOOKUP(AF$2,$B$1057:$F$1068,5,FALSE)+SUM(AR$4:AR$1003)+SUMIF(COSTI!$X$1379:$X$1430,AG$2,COSTI!$Z$1379:$Z$1430),0),0)</f>
        <v>#N/A</v>
      </c>
      <c r="AG10" s="859"/>
      <c r="AH10" s="27">
        <f t="shared" si="1"/>
        <v>1</v>
      </c>
      <c r="AI10" s="152">
        <f>IF(W11&gt;0,0,IF(AH10=0,(Z10*-1)+BC10+SUM(BB$4:BB9),BC10+SUM(BB$4:BB9)))</f>
        <v>0</v>
      </c>
      <c r="AJ10" s="931">
        <f>IF(AND(AL10&gt;=$U$1,AL10&lt;=$U$2),IF(AM10='ESTRATTO CONTO'!$E$2,1+COUNTIF(AJ$4:AJ9,"&gt;0")+U$1015,0),0)</f>
        <v>0</v>
      </c>
      <c r="AK10" s="203">
        <f>IF(AND(OR((AK9+1)&lt;AL$1015,(AK9+1)=AL$1015),MAX(AK$4:AK9)&lt;AL$1015),AK9+1,0)</f>
        <v>7</v>
      </c>
      <c r="AL10" s="309">
        <f>VLOOKUP($AK10,ENTI!$AF$4:AG$1003,2,FALSE)</f>
        <v>45375</v>
      </c>
      <c r="AM10" s="224" t="str">
        <f>VLOOKUP($AK10,ENTI!$AF$4:AH$1003,3,FALSE)</f>
        <v>DEBITO 1</v>
      </c>
      <c r="AN10" s="224" t="str">
        <f>VLOOKUP($AK10,ENTI!$AF$4:AI$1003,4,FALSE)</f>
        <v>Ipotesi di ENTRATA monetaria a fronte di un DEBITO</v>
      </c>
      <c r="AO10" s="781">
        <f>VLOOKUP($AK10,ENTI!$AF$4:AJ$1003,5,FALSE)</f>
        <v>100</v>
      </c>
      <c r="AP10" s="315" t="str">
        <f>VLOOKUP($AK10,ENTI!$AF$4:AK$1003,6,FALSE)</f>
        <v>Nome ENTE 2</v>
      </c>
      <c r="AQ10" s="208">
        <f t="shared" si="2"/>
        <v>0</v>
      </c>
      <c r="AR10" s="152" t="e">
        <f t="shared" si="3"/>
        <v>#N/A</v>
      </c>
      <c r="AS10" s="1"/>
      <c r="AT10" s="88" t="str">
        <f t="shared" si="4"/>
        <v>3DEBITO 1</v>
      </c>
      <c r="AU10" s="1"/>
      <c r="AV10" s="175">
        <f>IF(AW10&gt;0,COUNTIF(AV$4:AV9,"&gt;0")+1,0)</f>
        <v>0</v>
      </c>
      <c r="AW10" s="164">
        <f t="shared" si="5"/>
        <v>0</v>
      </c>
      <c r="AX10" s="310">
        <f>IF($AW10=0,0,VLOOKUP(VLOOKUP($X10,$B$34:$T$38,19,FALSE),ENTI!$A$9:$B$13,2,FALSE))</f>
        <v>0</v>
      </c>
      <c r="AY10" s="310">
        <f t="shared" si="9"/>
        <v>0</v>
      </c>
      <c r="AZ10" s="316">
        <f t="shared" si="10"/>
        <v>0</v>
      </c>
      <c r="BA10" s="1"/>
      <c r="BB10" s="152">
        <f t="shared" si="11"/>
        <v>0</v>
      </c>
      <c r="BC10" s="152">
        <f ca="1">SUM(Z$4:Z10)+SUM(BB$4:BB10)+COSTI!S$6-COSTI!L$1076</f>
        <v>1550</v>
      </c>
      <c r="BD10" s="1"/>
    </row>
    <row r="11" spans="1:56" ht="16.5" customHeight="1">
      <c r="A11" s="521">
        <v>3</v>
      </c>
      <c r="B11" s="1499" t="s">
        <v>499</v>
      </c>
      <c r="C11" s="1500"/>
      <c r="D11" s="1500"/>
      <c r="E11" s="845">
        <v>300</v>
      </c>
      <c r="F11" s="558">
        <f ca="1">ROUND(SUMIF($AB$4:$AB$1003,CONCATENATE(F$1029,$B11),$Z$4:$Z$1003)+SUMIF($AT$4:$AT$1003,CONCATENATE(F$1029,$B11),$AO$4:$AO$1003)+E11+SUMIF(COSTI!$AE$1379:$AG$1430,CONCATENATE(F$1029,$B11),COSTI!$Z$1379:$Z$1430),2)</f>
        <v>300</v>
      </c>
      <c r="G11" s="559">
        <f ca="1">ROUND(SUMIF($AB$4:$AB$1003,CONCATENATE(G$1029,$B11),$Z$4:$Z$1003)+SUMIF($AT$4:$AT$1003,CONCATENATE(G$1029,$B11),$AO$4:$AO$1003)+F11+SUMIF(COSTI!$AE$1379:$AG$1430,CONCATENATE(G$1029,$B11),COSTI!$Z$1379:$Z$1430),2)</f>
        <v>200</v>
      </c>
      <c r="H11" s="559">
        <f ca="1">ROUND(SUMIF($AB$4:$AB$1003,CONCATENATE(H$1029,$B11),$Z$4:$Z$1003)+SUMIF($AT$4:$AT$1003,CONCATENATE(H$1029,$B11),$AO$4:$AO$1003)+G11+SUMIF(COSTI!$AE$1379:$AG$1430,CONCATENATE(H$1029,$B11),COSTI!$Z$1379:$Z$1430),2)</f>
        <v>150</v>
      </c>
      <c r="I11" s="559">
        <f ca="1">ROUND(SUMIF($AB$4:$AB$1003,CONCATENATE(I$1029,$B11),$Z$4:$Z$1003)+SUMIF($AT$4:$AT$1003,CONCATENATE(I$1029,$B11),$AO$4:$AO$1003)+H11+SUMIF(COSTI!$AE$1379:$AG$1430,CONCATENATE(I$1029,$B11),COSTI!$Z$1379:$Z$1430),2)</f>
        <v>100</v>
      </c>
      <c r="J11" s="559">
        <f ca="1">ROUND(SUMIF($AB$4:$AB$1003,CONCATENATE(J$1029,$B11),$Z$4:$Z$1003)+SUMIF($AT$4:$AT$1003,CONCATENATE(J$1029,$B11),$AO$4:$AO$1003)+I11+SUMIF(COSTI!$AE$1379:$AG$1430,CONCATENATE(J$1029,$B11),COSTI!$Z$1379:$Z$1430),2)</f>
        <v>150</v>
      </c>
      <c r="K11" s="559">
        <f ca="1">ROUND(SUMIF($AB$4:$AB$1003,CONCATENATE(K$1029,$B11),$Z$4:$Z$1003)+SUMIF($AT$4:$AT$1003,CONCATENATE(K$1029,$B11),$AO$4:$AO$1003)+J11+SUMIF(COSTI!$AE$1379:$AG$1430,CONCATENATE(K$1029,$B11),COSTI!$Z$1379:$Z$1430),2)</f>
        <v>200</v>
      </c>
      <c r="L11" s="559">
        <f ca="1">ROUND(SUMIF($AB$4:$AB$1003,CONCATENATE(L$1029,$B11),$Z$4:$Z$1003)+SUMIF($AT$4:$AT$1003,CONCATENATE(L$1029,$B11),$AO$4:$AO$1003)+K11+SUMIF(COSTI!$AE$1379:$AG$1430,CONCATENATE(L$1029,$B11),COSTI!$Z$1379:$Z$1430),2)</f>
        <v>150</v>
      </c>
      <c r="M11" s="559">
        <f ca="1">ROUND(SUMIF($AB$4:$AB$1003,CONCATENATE(M$1029,$B11),$Z$4:$Z$1003)+SUMIF($AT$4:$AT$1003,CONCATENATE(M$1029,$B11),$AO$4:$AO$1003)+L11+SUMIF(COSTI!$AE$1379:$AG$1430,CONCATENATE(M$1029,$B11),COSTI!$Z$1379:$Z$1430),2)</f>
        <v>100</v>
      </c>
      <c r="N11" s="559">
        <f ca="1">ROUND(SUMIF($AB$4:$AB$1003,CONCATENATE(N$1029,$B11),$Z$4:$Z$1003)+SUMIF($AT$4:$AT$1003,CONCATENATE(N$1029,$B11),$AO$4:$AO$1003)+M11+SUMIF(COSTI!$AE$1379:$AG$1430,CONCATENATE(N$1029,$B11),COSTI!$Z$1379:$Z$1430),2)</f>
        <v>100</v>
      </c>
      <c r="O11" s="559">
        <f ca="1">ROUND(SUMIF($AB$4:$AB$1003,CONCATENATE(O$1029,$B11),$Z$4:$Z$1003)+SUMIF($AT$4:$AT$1003,CONCATENATE(O$1029,$B11),$AO$4:$AO$1003)+N11+SUMIF(COSTI!$AE$1379:$AG$1430,CONCATENATE(O$1029,$B11),COSTI!$Z$1379:$Z$1430),2)</f>
        <v>8.83</v>
      </c>
      <c r="P11" s="559">
        <f ca="1">ROUND(SUMIF($AB$4:$AB$1003,CONCATENATE(P$1029,$B11),$Z$4:$Z$1003)+SUMIF($AT$4:$AT$1003,CONCATENATE(P$1029,$B11),$AO$4:$AO$1003)+O11+SUMIF(COSTI!$AE$1379:$AG$1430,CONCATENATE(P$1029,$B11),COSTI!$Z$1379:$Z$1430),2)</f>
        <v>8.83</v>
      </c>
      <c r="Q11" s="560">
        <f ca="1">ROUND(SUMIF($AB$4:$AB$1003,CONCATENATE(Q$1029,$B11),$Z$4:$Z$1003)+SUMIF($AT$4:$AT$1003,CONCATENATE(Q$1029,$B11),$AO$4:$AO$1003)+P11+SUMIF(COSTI!$AE$1379:$AG$1430,CONCATENATE(Q$1029,$B11),COSTI!$Z$1379:$Z$1430),2)</f>
        <v>-43.34</v>
      </c>
      <c r="R11" s="27"/>
      <c r="S11" s="839">
        <f t="shared" ca="1" si="12"/>
        <v>-43.34</v>
      </c>
      <c r="T11" s="27"/>
      <c r="U11" s="435">
        <f>IF(AND(W11&gt;=$U$1,W11&lt;=$U$2),IF(X11='ESTRATTO CONTO'!$E$2,1+COUNTIF(U$4:U10,"&gt;0"),0),0)</f>
        <v>0</v>
      </c>
      <c r="V11" s="417">
        <f t="shared" si="8"/>
        <v>8</v>
      </c>
      <c r="W11" s="509">
        <f>COSTI!W11</f>
        <v>45389</v>
      </c>
      <c r="X11" s="321" t="s">
        <v>498</v>
      </c>
      <c r="Y11" s="905" t="s">
        <v>518</v>
      </c>
      <c r="Z11" s="508">
        <f>COSTI!Z11*-1</f>
        <v>-50</v>
      </c>
      <c r="AA11" s="356"/>
      <c r="AB11" s="306" t="str">
        <f t="shared" si="0"/>
        <v>4BANCA C/C nr. 1234567</v>
      </c>
      <c r="AC11" s="637">
        <f t="shared" si="6"/>
        <v>0</v>
      </c>
      <c r="AD11" s="935">
        <f>IF(ISERROR(VLOOKUP(AD$2,X12:X$1003,1,FALSE)),IF(X11=AD$2,SUMIF(X$4:X11,AD$2,Z$4:Z11)+$E$9+SUM(AQ$4:AQ$1003)+SUMIF(COSTI!$X$1379:$X$1430,AD$2,COSTI!$Z$1379:$Z$1430),0),0)</f>
        <v>0</v>
      </c>
      <c r="AE11" s="26"/>
      <c r="AF11" s="856" t="e">
        <f>IF(ISERROR(VLOOKUP(AG$2,X12:X$1003,1,FALSE)),IF(X11=AG$2,SUMIF(X$4:X11,AG$2,Z$4:Z11)+VLOOKUP(AF$2,$B$1057:$F$1068,5,FALSE)+SUM(AR$4:AR$1003)+SUMIF(COSTI!$X$1379:$X$1430,AG$2,COSTI!$Z$1379:$Z$1430),0),0)</f>
        <v>#N/A</v>
      </c>
      <c r="AG11" s="859"/>
      <c r="AH11" s="27">
        <f t="shared" si="1"/>
        <v>1</v>
      </c>
      <c r="AI11" s="152">
        <f>IF(W12&gt;0,0,IF(AH11=0,(Z11*-1)+BC11+SUM(BB$4:BB10),BC11+SUM(BB$4:BB10)))</f>
        <v>0</v>
      </c>
      <c r="AJ11" s="931">
        <f>IF(AND(AL11&gt;=$U$1,AL11&lt;=$U$2),IF(AM11='ESTRATTO CONTO'!$E$2,1+COUNTIF(AJ$4:AJ10,"&gt;0")+U$1015,0),0)</f>
        <v>0</v>
      </c>
      <c r="AK11" s="203">
        <f>IF(AND(OR((AK10+1)&lt;AL$1015,(AK10+1)=AL$1015),MAX(AK$4:AK10)&lt;AL$1015),AK10+1,0)</f>
        <v>8</v>
      </c>
      <c r="AL11" s="309">
        <f>VLOOKUP($AK11,ENTI!$AF$4:AG$1003,2,FALSE)</f>
        <v>45388</v>
      </c>
      <c r="AM11" s="224" t="str">
        <f>VLOOKUP($AK11,ENTI!$AF$4:AH$1003,3,FALSE)</f>
        <v>RISERVA ACCANTONATA</v>
      </c>
      <c r="AN11" s="224">
        <f>VLOOKUP($AK11,ENTI!$AF$4:AI$1003,4,FALSE)</f>
        <v>0</v>
      </c>
      <c r="AO11" s="781">
        <f>VLOOKUP($AK11,ENTI!$AF$4:AJ$1003,5,FALSE)</f>
        <v>50</v>
      </c>
      <c r="AP11" s="315" t="str">
        <f>VLOOKUP($AK11,ENTI!$AF$4:AK$1003,6,FALSE)</f>
        <v>Nome ENTE 3</v>
      </c>
      <c r="AQ11" s="208">
        <f t="shared" si="2"/>
        <v>0</v>
      </c>
      <c r="AR11" s="152" t="e">
        <f t="shared" si="3"/>
        <v>#N/A</v>
      </c>
      <c r="AS11" s="1"/>
      <c r="AT11" s="88" t="str">
        <f t="shared" si="4"/>
        <v>4RISERVA ACCANTONATA</v>
      </c>
      <c r="AU11" s="1"/>
      <c r="AV11" s="175">
        <f>IF(AW11&gt;0,COUNTIF(AV$4:AV10,"&gt;0")+1,0)</f>
        <v>0</v>
      </c>
      <c r="AW11" s="164">
        <f t="shared" si="5"/>
        <v>0</v>
      </c>
      <c r="AX11" s="310">
        <f>IF($AW11=0,0,VLOOKUP(VLOOKUP($X11,$B$34:$T$38,19,FALSE),ENTI!$A$9:$B$13,2,FALSE))</f>
        <v>0</v>
      </c>
      <c r="AY11" s="310">
        <f t="shared" si="9"/>
        <v>0</v>
      </c>
      <c r="AZ11" s="316">
        <f t="shared" si="10"/>
        <v>0</v>
      </c>
      <c r="BA11" s="1"/>
      <c r="BB11" s="152">
        <f t="shared" si="11"/>
        <v>0</v>
      </c>
      <c r="BC11" s="152">
        <f ca="1">SUM(Z$4:Z11)+SUM(BB$4:BB11)+COSTI!S$6-COSTI!L$1076</f>
        <v>1500</v>
      </c>
      <c r="BD11" s="1"/>
    </row>
    <row r="12" spans="1:56" ht="16.5" customHeight="1">
      <c r="A12" s="521">
        <v>4</v>
      </c>
      <c r="B12" s="1499"/>
      <c r="C12" s="1500"/>
      <c r="D12" s="1500"/>
      <c r="E12" s="845"/>
      <c r="F12" s="558">
        <f ca="1">ROUND(SUMIF($AB$4:$AB$1003,CONCATENATE(F$1029,$B12),$Z$4:$Z$1003)+SUMIF($AT$4:$AT$1003,CONCATENATE(F$1029,$B12),$AO$4:$AO$1003)+E12+SUMIF(COSTI!$AE$1379:$AG$1430,CONCATENATE(F$1029,$B12),COSTI!$Z$1379:$Z$1430),2)</f>
        <v>0</v>
      </c>
      <c r="G12" s="559">
        <f ca="1">ROUND(SUMIF($AB$4:$AB$1003,CONCATENATE(G$1029,$B12),$Z$4:$Z$1003)+SUMIF($AT$4:$AT$1003,CONCATENATE(G$1029,$B12),$AO$4:$AO$1003)+F12+SUMIF(COSTI!$AE$1379:$AG$1430,CONCATENATE(G$1029,$B12),COSTI!$Z$1379:$Z$1430),2)</f>
        <v>0</v>
      </c>
      <c r="H12" s="559">
        <f ca="1">ROUND(SUMIF($AB$4:$AB$1003,CONCATENATE(H$1029,$B12),$Z$4:$Z$1003)+SUMIF($AT$4:$AT$1003,CONCATENATE(H$1029,$B12),$AO$4:$AO$1003)+G12+SUMIF(COSTI!$AE$1379:$AG$1430,CONCATENATE(H$1029,$B12),COSTI!$Z$1379:$Z$1430),2)</f>
        <v>0</v>
      </c>
      <c r="I12" s="559">
        <f ca="1">ROUND(SUMIF($AB$4:$AB$1003,CONCATENATE(I$1029,$B12),$Z$4:$Z$1003)+SUMIF($AT$4:$AT$1003,CONCATENATE(I$1029,$B12),$AO$4:$AO$1003)+H12+SUMIF(COSTI!$AE$1379:$AG$1430,CONCATENATE(I$1029,$B12),COSTI!$Z$1379:$Z$1430),2)</f>
        <v>0</v>
      </c>
      <c r="J12" s="559">
        <f ca="1">ROUND(SUMIF($AB$4:$AB$1003,CONCATENATE(J$1029,$B12),$Z$4:$Z$1003)+SUMIF($AT$4:$AT$1003,CONCATENATE(J$1029,$B12),$AO$4:$AO$1003)+I12+SUMIF(COSTI!$AE$1379:$AG$1430,CONCATENATE(J$1029,$B12),COSTI!$Z$1379:$Z$1430),2)</f>
        <v>0</v>
      </c>
      <c r="K12" s="559">
        <f ca="1">ROUND(SUMIF($AB$4:$AB$1003,CONCATENATE(K$1029,$B12),$Z$4:$Z$1003)+SUMIF($AT$4:$AT$1003,CONCATENATE(K$1029,$B12),$AO$4:$AO$1003)+J12+SUMIF(COSTI!$AE$1379:$AG$1430,CONCATENATE(K$1029,$B12),COSTI!$Z$1379:$Z$1430),2)</f>
        <v>0</v>
      </c>
      <c r="L12" s="559">
        <f ca="1">ROUND(SUMIF($AB$4:$AB$1003,CONCATENATE(L$1029,$B12),$Z$4:$Z$1003)+SUMIF($AT$4:$AT$1003,CONCATENATE(L$1029,$B12),$AO$4:$AO$1003)+K12+SUMIF(COSTI!$AE$1379:$AG$1430,CONCATENATE(L$1029,$B12),COSTI!$Z$1379:$Z$1430),2)</f>
        <v>0</v>
      </c>
      <c r="M12" s="559">
        <f ca="1">ROUND(SUMIF($AB$4:$AB$1003,CONCATENATE(M$1029,$B12),$Z$4:$Z$1003)+SUMIF($AT$4:$AT$1003,CONCATENATE(M$1029,$B12),$AO$4:$AO$1003)+L12+SUMIF(COSTI!$AE$1379:$AG$1430,CONCATENATE(M$1029,$B12),COSTI!$Z$1379:$Z$1430),2)</f>
        <v>0</v>
      </c>
      <c r="N12" s="559">
        <f ca="1">ROUND(SUMIF($AB$4:$AB$1003,CONCATENATE(N$1029,$B12),$Z$4:$Z$1003)+SUMIF($AT$4:$AT$1003,CONCATENATE(N$1029,$B12),$AO$4:$AO$1003)+M12+SUMIF(COSTI!$AE$1379:$AG$1430,CONCATENATE(N$1029,$B12),COSTI!$Z$1379:$Z$1430),2)</f>
        <v>0</v>
      </c>
      <c r="O12" s="559">
        <f ca="1">ROUND(SUMIF($AB$4:$AB$1003,CONCATENATE(O$1029,$B12),$Z$4:$Z$1003)+SUMIF($AT$4:$AT$1003,CONCATENATE(O$1029,$B12),$AO$4:$AO$1003)+N12+SUMIF(COSTI!$AE$1379:$AG$1430,CONCATENATE(O$1029,$B12),COSTI!$Z$1379:$Z$1430),2)</f>
        <v>0</v>
      </c>
      <c r="P12" s="559">
        <f ca="1">ROUND(SUMIF($AB$4:$AB$1003,CONCATENATE(P$1029,$B12),$Z$4:$Z$1003)+SUMIF($AT$4:$AT$1003,CONCATENATE(P$1029,$B12),$AO$4:$AO$1003)+O12+SUMIF(COSTI!$AE$1379:$AG$1430,CONCATENATE(P$1029,$B12),COSTI!$Z$1379:$Z$1430),2)</f>
        <v>0</v>
      </c>
      <c r="Q12" s="560">
        <f ca="1">ROUND(SUMIF($AB$4:$AB$1003,CONCATENATE(Q$1029,$B12),$Z$4:$Z$1003)+SUMIF($AT$4:$AT$1003,CONCATENATE(Q$1029,$B12),$AO$4:$AO$1003)+P12+SUMIF(COSTI!$AE$1379:$AG$1430,CONCATENATE(Q$1029,$B12),COSTI!$Z$1379:$Z$1430),2)</f>
        <v>0</v>
      </c>
      <c r="R12" s="27"/>
      <c r="S12" s="839">
        <f t="shared" ca="1" si="12"/>
        <v>0</v>
      </c>
      <c r="T12" s="27"/>
      <c r="U12" s="435">
        <f>IF(AND(W12&gt;=$U$1,W12&lt;=$U$2),IF(X12='ESTRATTO CONTO'!$E$2,1+COUNTIF(U$4:U11,"&gt;0"),0),0)</f>
        <v>0</v>
      </c>
      <c r="V12" s="417">
        <f t="shared" si="8"/>
        <v>9</v>
      </c>
      <c r="W12" s="509">
        <f>COSTI!W12</f>
        <v>45402</v>
      </c>
      <c r="X12" s="321" t="s">
        <v>499</v>
      </c>
      <c r="Y12" s="905" t="s">
        <v>603</v>
      </c>
      <c r="Z12" s="508">
        <f>COSTI!Z12*-1</f>
        <v>-50</v>
      </c>
      <c r="AA12" s="356"/>
      <c r="AB12" s="306" t="str">
        <f t="shared" si="0"/>
        <v>4POSTA C/C nr. 7654321</v>
      </c>
      <c r="AC12" s="637">
        <f t="shared" si="6"/>
        <v>0</v>
      </c>
      <c r="AD12" s="935">
        <f>IF(ISERROR(VLOOKUP(AD$2,X13:X$1003,1,FALSE)),IF(X12=AD$2,SUMIF(X$4:X12,AD$2,Z$4:Z12)+$E$9+SUM(AQ$4:AQ$1003)+SUMIF(COSTI!$X$1379:$X$1430,AD$2,COSTI!$Z$1379:$Z$1430),0),0)</f>
        <v>0</v>
      </c>
      <c r="AE12" s="26"/>
      <c r="AF12" s="856" t="e">
        <f>IF(ISERROR(VLOOKUP(AG$2,X13:X$1003,1,FALSE)),IF(X12=AG$2,SUMIF(X$4:X12,AG$2,Z$4:Z12)+VLOOKUP(AF$2,$B$1057:$F$1068,5,FALSE)+SUM(AR$4:AR$1003)+SUMIF(COSTI!$X$1379:$X$1430,AG$2,COSTI!$Z$1379:$Z$1430),0),0)</f>
        <v>#N/A</v>
      </c>
      <c r="AG12" s="859"/>
      <c r="AH12" s="27">
        <f t="shared" si="1"/>
        <v>1</v>
      </c>
      <c r="AI12" s="152">
        <f>IF(W13&gt;0,0,IF(AH12=0,(Z12*-1)+BC12+SUM(BB$4:BB11),BC12+SUM(BB$4:BB11)))</f>
        <v>0</v>
      </c>
      <c r="AJ12" s="931">
        <f>IF(AND(AL12&gt;=$U$1,AL12&lt;=$U$2),IF(AM12='ESTRATTO CONTO'!$E$2,1+COUNTIF(AJ$4:AJ11,"&gt;0")+U$1015,0),0)</f>
        <v>18</v>
      </c>
      <c r="AK12" s="203">
        <f>IF(AND(OR((AK11+1)&lt;AL$1015,(AK11+1)=AL$1015),MAX(AK$4:AK11)&lt;AL$1015),AK11+1,0)</f>
        <v>9</v>
      </c>
      <c r="AL12" s="309">
        <f>VLOOKUP($AK12,ENTI!$AF$4:AG$1003,2,FALSE)</f>
        <v>45401</v>
      </c>
      <c r="AM12" s="224" t="str">
        <f>VLOOKUP($AK12,ENTI!$AF$4:AH$1003,3,FALSE)</f>
        <v>CASSA</v>
      </c>
      <c r="AN12" s="224">
        <f>VLOOKUP($AK12,ENTI!$AF$4:AI$1003,4,FALSE)</f>
        <v>0</v>
      </c>
      <c r="AO12" s="781">
        <f>VLOOKUP($AK12,ENTI!$AF$4:AJ$1003,5,FALSE)</f>
        <v>300</v>
      </c>
      <c r="AP12" s="315" t="str">
        <f>VLOOKUP($AK12,ENTI!$AF$4:AK$1003,6,FALSE)</f>
        <v>Nome ENTE 4 / sovrascrivi</v>
      </c>
      <c r="AQ12" s="208">
        <f t="shared" si="2"/>
        <v>300</v>
      </c>
      <c r="AR12" s="152" t="e">
        <f t="shared" si="3"/>
        <v>#N/A</v>
      </c>
      <c r="AS12" s="1"/>
      <c r="AT12" s="88" t="str">
        <f t="shared" si="4"/>
        <v>4CASSA</v>
      </c>
      <c r="AU12" s="1"/>
      <c r="AV12" s="175">
        <f>IF(AW12&gt;0,COUNTIF(AV$4:AV11,"&gt;0")+1,0)</f>
        <v>0</v>
      </c>
      <c r="AW12" s="164">
        <f t="shared" si="5"/>
        <v>0</v>
      </c>
      <c r="AX12" s="310">
        <f>IF($AW12=0,0,VLOOKUP(VLOOKUP($X12,$B$34:$T$38,19,FALSE),ENTI!$A$9:$B$13,2,FALSE))</f>
        <v>0</v>
      </c>
      <c r="AY12" s="310">
        <f t="shared" si="9"/>
        <v>0</v>
      </c>
      <c r="AZ12" s="316">
        <f t="shared" si="10"/>
        <v>0</v>
      </c>
      <c r="BA12" s="1"/>
      <c r="BB12" s="152">
        <f t="shared" si="11"/>
        <v>0</v>
      </c>
      <c r="BC12" s="152">
        <f ca="1">SUM(Z$4:Z12)+SUM(BB$4:BB12)+COSTI!S$6-COSTI!L$1076</f>
        <v>1450</v>
      </c>
      <c r="BD12" s="1"/>
    </row>
    <row r="13" spans="1:56" ht="16.5" customHeight="1">
      <c r="A13" s="521">
        <v>5</v>
      </c>
      <c r="B13" s="1499"/>
      <c r="C13" s="1500"/>
      <c r="D13" s="1500"/>
      <c r="E13" s="845"/>
      <c r="F13" s="558">
        <f ca="1">ROUND(SUMIF($AB$4:$AB$1003,CONCATENATE(F$1029,$B13),$Z$4:$Z$1003)+SUMIF($AT$4:$AT$1003,CONCATENATE(F$1029,$B13),$AO$4:$AO$1003)+E13+SUMIF(COSTI!$AE$1379:$AG$1430,CONCATENATE(F$1029,$B13),COSTI!$Z$1379:$Z$1430),2)</f>
        <v>0</v>
      </c>
      <c r="G13" s="559">
        <f ca="1">ROUND(SUMIF($AB$4:$AB$1003,CONCATENATE(G$1029,$B13),$Z$4:$Z$1003)+SUMIF($AT$4:$AT$1003,CONCATENATE(G$1029,$B13),$AO$4:$AO$1003)+F13+SUMIF(COSTI!$AE$1379:$AG$1430,CONCATENATE(G$1029,$B13),COSTI!$Z$1379:$Z$1430),2)</f>
        <v>0</v>
      </c>
      <c r="H13" s="559">
        <f ca="1">ROUND(SUMIF($AB$4:$AB$1003,CONCATENATE(H$1029,$B13),$Z$4:$Z$1003)+SUMIF($AT$4:$AT$1003,CONCATENATE(H$1029,$B13),$AO$4:$AO$1003)+G13+SUMIF(COSTI!$AE$1379:$AG$1430,CONCATENATE(H$1029,$B13),COSTI!$Z$1379:$Z$1430),2)</f>
        <v>0</v>
      </c>
      <c r="I13" s="559">
        <f ca="1">ROUND(SUMIF($AB$4:$AB$1003,CONCATENATE(I$1029,$B13),$Z$4:$Z$1003)+SUMIF($AT$4:$AT$1003,CONCATENATE(I$1029,$B13),$AO$4:$AO$1003)+H13+SUMIF(COSTI!$AE$1379:$AG$1430,CONCATENATE(I$1029,$B13),COSTI!$Z$1379:$Z$1430),2)</f>
        <v>0</v>
      </c>
      <c r="J13" s="559">
        <f ca="1">ROUND(SUMIF($AB$4:$AB$1003,CONCATENATE(J$1029,$B13),$Z$4:$Z$1003)+SUMIF($AT$4:$AT$1003,CONCATENATE(J$1029,$B13),$AO$4:$AO$1003)+I13+SUMIF(COSTI!$AE$1379:$AG$1430,CONCATENATE(J$1029,$B13),COSTI!$Z$1379:$Z$1430),2)</f>
        <v>0</v>
      </c>
      <c r="K13" s="559">
        <f ca="1">ROUND(SUMIF($AB$4:$AB$1003,CONCATENATE(K$1029,$B13),$Z$4:$Z$1003)+SUMIF($AT$4:$AT$1003,CONCATENATE(K$1029,$B13),$AO$4:$AO$1003)+J13+SUMIF(COSTI!$AE$1379:$AG$1430,CONCATENATE(K$1029,$B13),COSTI!$Z$1379:$Z$1430),2)</f>
        <v>0</v>
      </c>
      <c r="L13" s="559">
        <f ca="1">ROUND(SUMIF($AB$4:$AB$1003,CONCATENATE(L$1029,$B13),$Z$4:$Z$1003)+SUMIF($AT$4:$AT$1003,CONCATENATE(L$1029,$B13),$AO$4:$AO$1003)+K13+SUMIF(COSTI!$AE$1379:$AG$1430,CONCATENATE(L$1029,$B13),COSTI!$Z$1379:$Z$1430),2)</f>
        <v>0</v>
      </c>
      <c r="M13" s="559">
        <f ca="1">ROUND(SUMIF($AB$4:$AB$1003,CONCATENATE(M$1029,$B13),$Z$4:$Z$1003)+SUMIF($AT$4:$AT$1003,CONCATENATE(M$1029,$B13),$AO$4:$AO$1003)+L13+SUMIF(COSTI!$AE$1379:$AG$1430,CONCATENATE(M$1029,$B13),COSTI!$Z$1379:$Z$1430),2)</f>
        <v>0</v>
      </c>
      <c r="N13" s="559">
        <f ca="1">ROUND(SUMIF($AB$4:$AB$1003,CONCATENATE(N$1029,$B13),$Z$4:$Z$1003)+SUMIF($AT$4:$AT$1003,CONCATENATE(N$1029,$B13),$AO$4:$AO$1003)+M13+SUMIF(COSTI!$AE$1379:$AG$1430,CONCATENATE(N$1029,$B13),COSTI!$Z$1379:$Z$1430),2)</f>
        <v>0</v>
      </c>
      <c r="O13" s="559">
        <f ca="1">ROUND(SUMIF($AB$4:$AB$1003,CONCATENATE(O$1029,$B13),$Z$4:$Z$1003)+SUMIF($AT$4:$AT$1003,CONCATENATE(O$1029,$B13),$AO$4:$AO$1003)+N13+SUMIF(COSTI!$AE$1379:$AG$1430,CONCATENATE(O$1029,$B13),COSTI!$Z$1379:$Z$1430),2)</f>
        <v>0</v>
      </c>
      <c r="P13" s="559">
        <f ca="1">ROUND(SUMIF($AB$4:$AB$1003,CONCATENATE(P$1029,$B13),$Z$4:$Z$1003)+SUMIF($AT$4:$AT$1003,CONCATENATE(P$1029,$B13),$AO$4:$AO$1003)+O13+SUMIF(COSTI!$AE$1379:$AG$1430,CONCATENATE(P$1029,$B13),COSTI!$Z$1379:$Z$1430),2)</f>
        <v>0</v>
      </c>
      <c r="Q13" s="560">
        <f ca="1">ROUND(SUMIF($AB$4:$AB$1003,CONCATENATE(Q$1029,$B13),$Z$4:$Z$1003)+SUMIF($AT$4:$AT$1003,CONCATENATE(Q$1029,$B13),$AO$4:$AO$1003)+P13+SUMIF(COSTI!$AE$1379:$AG$1430,CONCATENATE(Q$1029,$B13),COSTI!$Z$1379:$Z$1430),2)</f>
        <v>0</v>
      </c>
      <c r="R13" s="27"/>
      <c r="S13" s="839">
        <f t="shared" ca="1" si="12"/>
        <v>0</v>
      </c>
      <c r="T13" s="27"/>
      <c r="U13" s="435">
        <f>IF(AND(W13&gt;=$U$1,W13&lt;=$U$2),IF(X13='ESTRATTO CONTO'!$E$2,1+COUNTIF(U$4:U12,"&gt;0"),0),0)</f>
        <v>3</v>
      </c>
      <c r="V13" s="417">
        <f t="shared" si="8"/>
        <v>10</v>
      </c>
      <c r="W13" s="509">
        <f>COSTI!W13</f>
        <v>45415</v>
      </c>
      <c r="X13" s="321" t="s">
        <v>62</v>
      </c>
      <c r="Y13" s="905" t="s">
        <v>604</v>
      </c>
      <c r="Z13" s="508">
        <f>COSTI!Z13*-1</f>
        <v>-50</v>
      </c>
      <c r="AA13" s="356"/>
      <c r="AB13" s="306" t="str">
        <f t="shared" si="0"/>
        <v>5CASSA</v>
      </c>
      <c r="AC13" s="637">
        <f t="shared" si="6"/>
        <v>0</v>
      </c>
      <c r="AD13" s="935">
        <f>IF(ISERROR(VLOOKUP(AD$2,X14:X$1003,1,FALSE)),IF(X13=AD$2,SUMIF(X$4:X13,AD$2,Z$4:Z13)+$E$9+SUM(AQ$4:AQ$1003)+SUMIF(COSTI!$X$1379:$X$1430,AD$2,COSTI!$Z$1379:$Z$1430),0),0)</f>
        <v>0</v>
      </c>
      <c r="AE13" s="26"/>
      <c r="AF13" s="856" t="e">
        <f>IF(ISERROR(VLOOKUP(AG$2,X14:X$1003,1,FALSE)),IF(X13=AG$2,SUMIF(X$4:X13,AG$2,Z$4:Z13)+VLOOKUP(AF$2,$B$1057:$F$1068,5,FALSE)+SUM(AR$4:AR$1003)+SUMIF(COSTI!$X$1379:$X$1430,AG$2,COSTI!$Z$1379:$Z$1430),0),0)</f>
        <v>#N/A</v>
      </c>
      <c r="AG13" s="859"/>
      <c r="AH13" s="27">
        <f t="shared" si="1"/>
        <v>1</v>
      </c>
      <c r="AI13" s="152">
        <f>IF(W14&gt;0,0,IF(AH13=0,(Z13*-1)+BC13+SUM(BB$4:BB12),BC13+SUM(BB$4:BB12)))</f>
        <v>0</v>
      </c>
      <c r="AJ13" s="931">
        <f>IF(AND(AL13&gt;=$U$1,AL13&lt;=$U$2),IF(AM13='ESTRATTO CONTO'!$E$2,1+COUNTIF(AJ$4:AJ12,"&gt;0")+U$1015,0),0)</f>
        <v>0</v>
      </c>
      <c r="AK13" s="203">
        <f>IF(AND(OR((AK12+1)&lt;AL$1015,(AK12+1)=AL$1015),MAX(AK$4:AK12)&lt;AL$1015),AK12+1,0)</f>
        <v>10</v>
      </c>
      <c r="AL13" s="309">
        <f>VLOOKUP($AK13,ENTI!$AF$4:AG$1003,2,FALSE)</f>
        <v>45414</v>
      </c>
      <c r="AM13" s="224" t="str">
        <f>VLOOKUP($AK13,ENTI!$AF$4:AH$1003,3,FALSE)</f>
        <v>BANCA C/C nr. 1234567</v>
      </c>
      <c r="AN13" s="224" t="str">
        <f>VLOOKUP($AK13,ENTI!$AF$4:AI$1003,4,FALSE)</f>
        <v>Inserisci liberamente una descrizione</v>
      </c>
      <c r="AO13" s="781">
        <f>VLOOKUP($AK13,ENTI!$AF$4:AJ$1003,5,FALSE)</f>
        <v>50</v>
      </c>
      <c r="AP13" s="315" t="str">
        <f>VLOOKUP($AK13,ENTI!$AF$4:AK$1003,6,FALSE)</f>
        <v>Nome ENTE ultimo disponibile</v>
      </c>
      <c r="AQ13" s="208">
        <f t="shared" si="2"/>
        <v>0</v>
      </c>
      <c r="AR13" s="152" t="e">
        <f t="shared" si="3"/>
        <v>#N/A</v>
      </c>
      <c r="AS13" s="1"/>
      <c r="AT13" s="88" t="str">
        <f t="shared" si="4"/>
        <v>5BANCA C/C nr. 1234567</v>
      </c>
      <c r="AU13" s="1"/>
      <c r="AV13" s="175">
        <f>IF(AW13&gt;0,COUNTIF(AV$4:AV12,"&gt;0")+1,0)</f>
        <v>0</v>
      </c>
      <c r="AW13" s="164">
        <f t="shared" si="5"/>
        <v>0</v>
      </c>
      <c r="AX13" s="310">
        <f>IF($AW13=0,0,VLOOKUP(VLOOKUP($X13,$B$34:$T$38,19,FALSE),ENTI!$A$9:$B$13,2,FALSE))</f>
        <v>0</v>
      </c>
      <c r="AY13" s="310">
        <f t="shared" si="9"/>
        <v>0</v>
      </c>
      <c r="AZ13" s="316">
        <f t="shared" si="10"/>
        <v>0</v>
      </c>
      <c r="BA13" s="1"/>
      <c r="BB13" s="152">
        <f t="shared" si="11"/>
        <v>0</v>
      </c>
      <c r="BC13" s="152">
        <f ca="1">SUM(Z$4:Z13)+SUM(BB$4:BB13)+COSTI!S$6-COSTI!L$1076</f>
        <v>1400</v>
      </c>
      <c r="BD13" s="1"/>
    </row>
    <row r="14" spans="1:56" ht="16.5" customHeight="1">
      <c r="A14" s="521">
        <v>6</v>
      </c>
      <c r="B14" s="1499" t="s">
        <v>503</v>
      </c>
      <c r="C14" s="1500"/>
      <c r="D14" s="1500"/>
      <c r="E14" s="845"/>
      <c r="F14" s="558">
        <f ca="1">ROUND(SUMIF($AB$4:$AB$1003,CONCATENATE(F$1029,$B14),$Z$4:$Z$1003)+SUMIF($AT$4:$AT$1003,CONCATENATE(F$1029,$B14),$AO$4:$AO$1003)+E14+SUMIF(COSTI!$AE$1379:$AG$1430,CONCATENATE(F$1029,$B14),COSTI!$Z$1379:$Z$1430),2)</f>
        <v>0</v>
      </c>
      <c r="G14" s="559">
        <f ca="1">ROUND(SUMIF($AB$4:$AB$1003,CONCATENATE(G$1029,$B14),$Z$4:$Z$1003)+SUMIF($AT$4:$AT$1003,CONCATENATE(G$1029,$B14),$AO$4:$AO$1003)+F14+SUMIF(COSTI!$AE$1379:$AG$1430,CONCATENATE(G$1029,$B14),COSTI!$Z$1379:$Z$1430),2)</f>
        <v>0</v>
      </c>
      <c r="H14" s="559">
        <f ca="1">ROUND(SUMIF($AB$4:$AB$1003,CONCATENATE(H$1029,$B14),$Z$4:$Z$1003)+SUMIF($AT$4:$AT$1003,CONCATENATE(H$1029,$B14),$AO$4:$AO$1003)+G14+SUMIF(COSTI!$AE$1379:$AG$1430,CONCATENATE(H$1029,$B14),COSTI!$Z$1379:$Z$1430),2)</f>
        <v>100</v>
      </c>
      <c r="I14" s="559">
        <f ca="1">ROUND(SUMIF($AB$4:$AB$1003,CONCATENATE(I$1029,$B14),$Z$4:$Z$1003)+SUMIF($AT$4:$AT$1003,CONCATENATE(I$1029,$B14),$AO$4:$AO$1003)+H14+SUMIF(COSTI!$AE$1379:$AG$1430,CONCATENATE(I$1029,$B14),COSTI!$Z$1379:$Z$1430),2)</f>
        <v>100</v>
      </c>
      <c r="J14" s="559">
        <f ca="1">ROUND(SUMIF($AB$4:$AB$1003,CONCATENATE(J$1029,$B14),$Z$4:$Z$1003)+SUMIF($AT$4:$AT$1003,CONCATENATE(J$1029,$B14),$AO$4:$AO$1003)+I14+SUMIF(COSTI!$AE$1379:$AG$1430,CONCATENATE(J$1029,$B14),COSTI!$Z$1379:$Z$1430),2)</f>
        <v>100</v>
      </c>
      <c r="K14" s="559">
        <f ca="1">ROUND(SUMIF($AB$4:$AB$1003,CONCATENATE(K$1029,$B14),$Z$4:$Z$1003)+SUMIF($AT$4:$AT$1003,CONCATENATE(K$1029,$B14),$AO$4:$AO$1003)+J14+SUMIF(COSTI!$AE$1379:$AG$1430,CONCATENATE(K$1029,$B14),COSTI!$Z$1379:$Z$1430),2)</f>
        <v>100</v>
      </c>
      <c r="L14" s="559">
        <f ca="1">ROUND(SUMIF($AB$4:$AB$1003,CONCATENATE(L$1029,$B14),$Z$4:$Z$1003)+SUMIF($AT$4:$AT$1003,CONCATENATE(L$1029,$B14),$AO$4:$AO$1003)+K14+SUMIF(COSTI!$AE$1379:$AG$1430,CONCATENATE(L$1029,$B14),COSTI!$Z$1379:$Z$1430),2)</f>
        <v>50</v>
      </c>
      <c r="M14" s="559">
        <f ca="1">ROUND(SUMIF($AB$4:$AB$1003,CONCATENATE(M$1029,$B14),$Z$4:$Z$1003)+SUMIF($AT$4:$AT$1003,CONCATENATE(M$1029,$B14),$AO$4:$AO$1003)+L14+SUMIF(COSTI!$AE$1379:$AG$1430,CONCATENATE(M$1029,$B14),COSTI!$Z$1379:$Z$1430),2)</f>
        <v>50</v>
      </c>
      <c r="N14" s="559">
        <f ca="1">ROUND(SUMIF($AB$4:$AB$1003,CONCATENATE(N$1029,$B14),$Z$4:$Z$1003)+SUMIF($AT$4:$AT$1003,CONCATENATE(N$1029,$B14),$AO$4:$AO$1003)+M14+SUMIF(COSTI!$AE$1379:$AG$1430,CONCATENATE(N$1029,$B14),COSTI!$Z$1379:$Z$1430),2)</f>
        <v>50</v>
      </c>
      <c r="O14" s="559">
        <f ca="1">ROUND(SUMIF($AB$4:$AB$1003,CONCATENATE(O$1029,$B14),$Z$4:$Z$1003)+SUMIF($AT$4:$AT$1003,CONCATENATE(O$1029,$B14),$AO$4:$AO$1003)+N14+SUMIF(COSTI!$AE$1379:$AG$1430,CONCATENATE(O$1029,$B14),COSTI!$Z$1379:$Z$1430),2)</f>
        <v>0</v>
      </c>
      <c r="P14" s="559">
        <f ca="1">ROUND(SUMIF($AB$4:$AB$1003,CONCATENATE(P$1029,$B14),$Z$4:$Z$1003)+SUMIF($AT$4:$AT$1003,CONCATENATE(P$1029,$B14),$AO$4:$AO$1003)+O14+SUMIF(COSTI!$AE$1379:$AG$1430,CONCATENATE(P$1029,$B14),COSTI!$Z$1379:$Z$1430),2)</f>
        <v>0</v>
      </c>
      <c r="Q14" s="560">
        <f ca="1">ROUND(SUMIF($AB$4:$AB$1003,CONCATENATE(Q$1029,$B14),$Z$4:$Z$1003)+SUMIF($AT$4:$AT$1003,CONCATENATE(Q$1029,$B14),$AO$4:$AO$1003)+P14+SUMIF(COSTI!$AE$1379:$AG$1430,CONCATENATE(Q$1029,$B14),COSTI!$Z$1379:$Z$1430),2)</f>
        <v>0</v>
      </c>
      <c r="R14" s="27"/>
      <c r="S14" s="839">
        <f t="shared" ca="1" si="12"/>
        <v>0</v>
      </c>
      <c r="T14" s="27"/>
      <c r="U14" s="435">
        <f>IF(AND(W14&gt;=$U$1,W14&lt;=$U$2),IF(X14='ESTRATTO CONTO'!$E$2,1+COUNTIF(U$4:U13,"&gt;0"),0),0)</f>
        <v>0</v>
      </c>
      <c r="V14" s="417">
        <f t="shared" si="8"/>
        <v>11</v>
      </c>
      <c r="W14" s="509">
        <f>COSTI!W14</f>
        <v>45428</v>
      </c>
      <c r="X14" s="321" t="s">
        <v>498</v>
      </c>
      <c r="Y14" s="905" t="s">
        <v>612</v>
      </c>
      <c r="Z14" s="508">
        <f>COSTI!Z14*-1</f>
        <v>-50</v>
      </c>
      <c r="AA14" s="356"/>
      <c r="AB14" s="306" t="str">
        <f t="shared" si="0"/>
        <v>5BANCA C/C nr. 1234567</v>
      </c>
      <c r="AC14" s="637">
        <f t="shared" si="6"/>
        <v>0</v>
      </c>
      <c r="AD14" s="935">
        <f>IF(ISERROR(VLOOKUP(AD$2,X15:X$1003,1,FALSE)),IF(X14=AD$2,SUMIF(X$4:X14,AD$2,Z$4:Z14)+$E$9+SUM(AQ$4:AQ$1003)+SUMIF(COSTI!$X$1379:$X$1430,AD$2,COSTI!$Z$1379:$Z$1430),0),0)</f>
        <v>0</v>
      </c>
      <c r="AE14" s="26"/>
      <c r="AF14" s="856" t="e">
        <f>IF(ISERROR(VLOOKUP(AG$2,X15:X$1003,1,FALSE)),IF(X14=AG$2,SUMIF(X$4:X14,AG$2,Z$4:Z14)+VLOOKUP(AF$2,$B$1057:$F$1068,5,FALSE)+SUM(AR$4:AR$1003)+SUMIF(COSTI!$X$1379:$X$1430,AG$2,COSTI!$Z$1379:$Z$1430),0),0)</f>
        <v>#N/A</v>
      </c>
      <c r="AG14" s="859"/>
      <c r="AH14" s="27">
        <f t="shared" si="1"/>
        <v>1</v>
      </c>
      <c r="AI14" s="152">
        <f>IF(W15&gt;0,0,IF(AH14=0,(Z14*-1)+BC14+SUM(BB$4:BB13),BC14+SUM(BB$4:BB13)))</f>
        <v>0</v>
      </c>
      <c r="AJ14" s="931">
        <f>IF(AND(AL14&gt;=$U$1,AL14&lt;=$U$2),IF(AM14='ESTRATTO CONTO'!$E$2,1+COUNTIF(AJ$4:AJ13,"&gt;0")+U$1015,0),0)</f>
        <v>0</v>
      </c>
      <c r="AK14" s="203">
        <f>IF(AND(OR((AK13+1)&lt;AL$1015,(AK13+1)=AL$1015),MAX(AK$4:AK13)&lt;AL$1015),AK13+1,0)</f>
        <v>11</v>
      </c>
      <c r="AL14" s="309">
        <f>VLOOKUP($AK14,ENTI!$AF$4:AG$1003,2,FALSE)</f>
        <v>45427</v>
      </c>
      <c r="AM14" s="224" t="str">
        <f>VLOOKUP($AK14,ENTI!$AF$4:AH$1003,3,FALSE)</f>
        <v>POSTA C/C nr. 7654321</v>
      </c>
      <c r="AN14" s="224" t="str">
        <f>VLOOKUP($AK14,ENTI!$AF$4:AI$1003,4,FALSE)</f>
        <v>Inserisci come "CONTROCONTO" uno dei conti Patrimoniali</v>
      </c>
      <c r="AO14" s="781">
        <f>VLOOKUP($AK14,ENTI!$AF$4:AJ$1003,5,FALSE)</f>
        <v>100</v>
      </c>
      <c r="AP14" s="315" t="str">
        <f>VLOOKUP($AK14,ENTI!$AF$4:AK$1003,6,FALSE)</f>
        <v>Nome ENTE 1</v>
      </c>
      <c r="AQ14" s="208">
        <f t="shared" si="2"/>
        <v>0</v>
      </c>
      <c r="AR14" s="152" t="e">
        <f t="shared" si="3"/>
        <v>#N/A</v>
      </c>
      <c r="AS14" s="1"/>
      <c r="AT14" s="88" t="str">
        <f t="shared" si="4"/>
        <v>5POSTA C/C nr. 7654321</v>
      </c>
      <c r="AU14" s="1"/>
      <c r="AV14" s="175">
        <f>IF(AW14&gt;0,COUNTIF(AV$4:AV13,"&gt;0")+1,0)</f>
        <v>0</v>
      </c>
      <c r="AW14" s="164">
        <f t="shared" si="5"/>
        <v>0</v>
      </c>
      <c r="AX14" s="310">
        <f>IF($AW14=0,0,VLOOKUP(VLOOKUP($X14,$B$34:$T$38,19,FALSE),ENTI!$A$9:$B$13,2,FALSE))</f>
        <v>0</v>
      </c>
      <c r="AY14" s="310">
        <f t="shared" si="9"/>
        <v>0</v>
      </c>
      <c r="AZ14" s="316">
        <f t="shared" si="10"/>
        <v>0</v>
      </c>
      <c r="BA14" s="1"/>
      <c r="BB14" s="152">
        <f t="shared" si="11"/>
        <v>0</v>
      </c>
      <c r="BC14" s="152">
        <f ca="1">SUM(Z$4:Z14)+SUM(BB$4:BB14)+COSTI!S$6-COSTI!L$1076</f>
        <v>1350</v>
      </c>
      <c r="BD14" s="1"/>
    </row>
    <row r="15" spans="1:56" ht="16.5" customHeight="1">
      <c r="A15" s="521">
        <v>7</v>
      </c>
      <c r="B15" s="1512" t="s">
        <v>77</v>
      </c>
      <c r="C15" s="1513"/>
      <c r="D15" s="1513"/>
      <c r="E15" s="846"/>
      <c r="F15" s="561">
        <f ca="1">ROUND(SUMIF($AB$4:$AB$1003,CONCATENATE(F$1029,$B15),$Z$4:$Z$1003)+SUMIF($AT$4:$AT$1003,CONCATENATE(F$1029,$B15),$AO$4:$AO$1003)+E15+SUMIF(COSTI!$AE$1379:$AG$1430,CONCATENATE(F$1029,$B15),COSTI!$Z$1379:$Z$1430),2)</f>
        <v>0</v>
      </c>
      <c r="G15" s="562">
        <f ca="1">ROUND(SUMIF($AB$4:$AB$1003,CONCATENATE(G$1029,$B15),$Z$4:$Z$1003)+SUMIF($AT$4:$AT$1003,CONCATENATE(G$1029,$B15),$AO$4:$AO$1003)+F15+SUMIF(COSTI!$AE$1379:$AG$1430,CONCATENATE(G$1029,$B15),COSTI!$Z$1379:$Z$1430),2)</f>
        <v>0</v>
      </c>
      <c r="H15" s="562">
        <f ca="1">ROUND(SUMIF($AB$4:$AB$1003,CONCATENATE(H$1029,$B15),$Z$4:$Z$1003)+SUMIF($AT$4:$AT$1003,CONCATENATE(H$1029,$B15),$AO$4:$AO$1003)+G15+SUMIF(COSTI!$AE$1379:$AG$1430,CONCATENATE(H$1029,$B15),COSTI!$Z$1379:$Z$1430),2)</f>
        <v>0</v>
      </c>
      <c r="I15" s="562">
        <f ca="1">ROUND(SUMIF($AB$4:$AB$1003,CONCATENATE(I$1029,$B15),$Z$4:$Z$1003)+SUMIF($AT$4:$AT$1003,CONCATENATE(I$1029,$B15),$AO$4:$AO$1003)+H15+SUMIF(COSTI!$AE$1379:$AG$1430,CONCATENATE(I$1029,$B15),COSTI!$Z$1379:$Z$1430),2)</f>
        <v>50</v>
      </c>
      <c r="J15" s="562">
        <f ca="1">ROUND(SUMIF($AB$4:$AB$1003,CONCATENATE(J$1029,$B15),$Z$4:$Z$1003)+SUMIF($AT$4:$AT$1003,CONCATENATE(J$1029,$B15),$AO$4:$AO$1003)+I15+SUMIF(COSTI!$AE$1379:$AG$1430,CONCATENATE(J$1029,$B15),COSTI!$Z$1379:$Z$1430),2)</f>
        <v>50</v>
      </c>
      <c r="K15" s="562">
        <f ca="1">ROUND(SUMIF($AB$4:$AB$1003,CONCATENATE(K$1029,$B15),$Z$4:$Z$1003)+SUMIF($AT$4:$AT$1003,CONCATENATE(K$1029,$B15),$AO$4:$AO$1003)+J15+SUMIF(COSTI!$AE$1379:$AG$1430,CONCATENATE(K$1029,$B15),COSTI!$Z$1379:$Z$1430),2)</f>
        <v>50</v>
      </c>
      <c r="L15" s="562">
        <f ca="1">ROUND(SUMIF($AB$4:$AB$1003,CONCATENATE(L$1029,$B15),$Z$4:$Z$1003)+SUMIF($AT$4:$AT$1003,CONCATENATE(L$1029,$B15),$AO$4:$AO$1003)+K15+SUMIF(COSTI!$AE$1379:$AG$1430,CONCATENATE(L$1029,$B15),COSTI!$Z$1379:$Z$1430),2)</f>
        <v>100</v>
      </c>
      <c r="M15" s="562">
        <f ca="1">ROUND(SUMIF($AB$4:$AB$1003,CONCATENATE(M$1029,$B15),$Z$4:$Z$1003)+SUMIF($AT$4:$AT$1003,CONCATENATE(M$1029,$B15),$AO$4:$AO$1003)+L15+SUMIF(COSTI!$AE$1379:$AG$1430,CONCATENATE(M$1029,$B15),COSTI!$Z$1379:$Z$1430),2)</f>
        <v>100</v>
      </c>
      <c r="N15" s="562">
        <f ca="1">ROUND(SUMIF($AB$4:$AB$1003,CONCATENATE(N$1029,$B15),$Z$4:$Z$1003)+SUMIF($AT$4:$AT$1003,CONCATENATE(N$1029,$B15),$AO$4:$AO$1003)+M15+SUMIF(COSTI!$AE$1379:$AG$1430,CONCATENATE(N$1029,$B15),COSTI!$Z$1379:$Z$1430),2)</f>
        <v>100</v>
      </c>
      <c r="O15" s="562">
        <f ca="1">ROUND(SUMIF($AB$4:$AB$1003,CONCATENATE(O$1029,$B15),$Z$4:$Z$1003)+SUMIF($AT$4:$AT$1003,CONCATENATE(O$1029,$B15),$AO$4:$AO$1003)+N15+SUMIF(COSTI!$AE$1379:$AG$1430,CONCATENATE(O$1029,$B15),COSTI!$Z$1379:$Z$1430),2)</f>
        <v>150</v>
      </c>
      <c r="P15" s="562">
        <f ca="1">ROUND(SUMIF($AB$4:$AB$1003,CONCATENATE(P$1029,$B15),$Z$4:$Z$1003)+SUMIF($AT$4:$AT$1003,CONCATENATE(P$1029,$B15),$AO$4:$AO$1003)+O15+SUMIF(COSTI!$AE$1379:$AG$1430,CONCATENATE(P$1029,$B15),COSTI!$Z$1379:$Z$1430),2)</f>
        <v>150</v>
      </c>
      <c r="Q15" s="563">
        <f ca="1">ROUND(SUMIF($AB$4:$AB$1003,CONCATENATE(Q$1029,$B15),$Z$4:$Z$1003)+SUMIF($AT$4:$AT$1003,CONCATENATE(Q$1029,$B15),$AO$4:$AO$1003)+P15+SUMIF(COSTI!$AE$1379:$AG$1430,CONCATENATE(Q$1029,$B15),COSTI!$Z$1379:$Z$1430),2)</f>
        <v>150</v>
      </c>
      <c r="R15" s="27"/>
      <c r="S15" s="840">
        <f t="shared" ca="1" si="12"/>
        <v>150</v>
      </c>
      <c r="T15" s="27"/>
      <c r="U15" s="435">
        <f>IF(AND(W15&gt;=$U$1,W15&lt;=$U$2),IF(X15='ESTRATTO CONTO'!$E$2,1+COUNTIF(U$4:U14,"&gt;0"),0),0)</f>
        <v>0</v>
      </c>
      <c r="V15" s="417">
        <f t="shared" si="8"/>
        <v>12</v>
      </c>
      <c r="W15" s="509">
        <f>COSTI!W15</f>
        <v>45441</v>
      </c>
      <c r="X15" s="321" t="s">
        <v>499</v>
      </c>
      <c r="Y15" s="905" t="s">
        <v>612</v>
      </c>
      <c r="Z15" s="508">
        <f>COSTI!Z15*-1</f>
        <v>-50</v>
      </c>
      <c r="AA15" s="356"/>
      <c r="AB15" s="306" t="str">
        <f t="shared" si="0"/>
        <v>5POSTA C/C nr. 7654321</v>
      </c>
      <c r="AC15" s="637">
        <f t="shared" si="6"/>
        <v>0</v>
      </c>
      <c r="AD15" s="935">
        <f>IF(ISERROR(VLOOKUP(AD$2,X16:X$1003,1,FALSE)),IF(X15=AD$2,SUMIF(X$4:X15,AD$2,Z$4:Z15)+$E$9+SUM(AQ$4:AQ$1003)+SUMIF(COSTI!$X$1379:$X$1430,AD$2,COSTI!$Z$1379:$Z$1430),0),0)</f>
        <v>0</v>
      </c>
      <c r="AE15" s="26"/>
      <c r="AF15" s="856" t="e">
        <f>IF(ISERROR(VLOOKUP(AG$2,X16:X$1003,1,FALSE)),IF(X15=AG$2,SUMIF(X$4:X15,AG$2,Z$4:Z15)+VLOOKUP(AF$2,$B$1057:$F$1068,5,FALSE)+SUM(AR$4:AR$1003)+SUMIF(COSTI!$X$1379:$X$1430,AG$2,COSTI!$Z$1379:$Z$1430),0),0)</f>
        <v>#N/A</v>
      </c>
      <c r="AG15" s="859"/>
      <c r="AH15" s="27">
        <f t="shared" si="1"/>
        <v>1</v>
      </c>
      <c r="AI15" s="152">
        <f>IF(W16&gt;0,0,IF(AH15=0,(Z15*-1)+BC15+SUM(BB$4:BB14),BC15+SUM(BB$4:BB14)))</f>
        <v>0</v>
      </c>
      <c r="AJ15" s="931">
        <f>IF(AND(AL15&gt;=$U$1,AL15&lt;=$U$2),IF(AM15='ESTRATTO CONTO'!$E$2,1+COUNTIF(AJ$4:AJ14,"&gt;0")+U$1015,0),0)</f>
        <v>0</v>
      </c>
      <c r="AK15" s="203">
        <f>IF(AND(OR((AK14+1)&lt;AL$1015,(AK14+1)=AL$1015),MAX(AK$4:AK14)&lt;AL$1015),AK14+1,0)</f>
        <v>12</v>
      </c>
      <c r="AL15" s="309">
        <f>VLOOKUP($AK15,ENTI!$AF$4:AG$1003,2,FALSE)</f>
        <v>45440</v>
      </c>
      <c r="AM15" s="224" t="str">
        <f>VLOOKUP($AK15,ENTI!$AF$4:AH$1003,3,FALSE)</f>
        <v>BANCA C/C nr. 1234567</v>
      </c>
      <c r="AN15" s="224" t="str">
        <f>VLOOKUP($AK15,ENTI!$AF$4:AI$1003,4,FALSE)</f>
        <v>Verifica che ci sia il segno "+" per far "entrare" gli importi nei</v>
      </c>
      <c r="AO15" s="781">
        <f>VLOOKUP($AK15,ENTI!$AF$4:AJ$1003,5,FALSE)</f>
        <v>50</v>
      </c>
      <c r="AP15" s="315" t="str">
        <f>VLOOKUP($AK15,ENTI!$AF$4:AK$1003,6,FALSE)</f>
        <v>Nome ENTE 2</v>
      </c>
      <c r="AQ15" s="208">
        <f t="shared" ref="AQ15:AQ78" si="13">IF(AM15=AQ$2,AO15,0)</f>
        <v>0</v>
      </c>
      <c r="AR15" s="152" t="e">
        <f t="shared" ref="AR15:AR78" si="14">IF(AM15=AR$1,AO15,0)</f>
        <v>#N/A</v>
      </c>
      <c r="AS15" s="1"/>
      <c r="AT15" s="88" t="str">
        <f t="shared" si="4"/>
        <v>5BANCA C/C nr. 1234567</v>
      </c>
      <c r="AU15" s="1"/>
      <c r="AV15" s="175">
        <f>IF(AW15&gt;0,COUNTIF(AV$4:AV14,"&gt;0")+1,0)</f>
        <v>0</v>
      </c>
      <c r="AW15" s="164">
        <f t="shared" si="5"/>
        <v>0</v>
      </c>
      <c r="AX15" s="310">
        <f>IF($AW15=0,0,VLOOKUP(VLOOKUP($X15,$B$34:$T$38,19,FALSE),ENTI!$A$9:$B$13,2,FALSE))</f>
        <v>0</v>
      </c>
      <c r="AY15" s="310">
        <f t="shared" si="9"/>
        <v>0</v>
      </c>
      <c r="AZ15" s="316">
        <f t="shared" si="10"/>
        <v>0</v>
      </c>
      <c r="BA15" s="1"/>
      <c r="BB15" s="152">
        <f t="shared" si="11"/>
        <v>0</v>
      </c>
      <c r="BC15" s="152">
        <f ca="1">SUM(Z$4:Z15)+SUM(BB$4:BB15)+COSTI!S$6-COSTI!L$1076</f>
        <v>1300</v>
      </c>
      <c r="BD15" s="1"/>
    </row>
    <row r="16" spans="1:56" ht="16.5" customHeight="1">
      <c r="A16" s="770" t="s">
        <v>157</v>
      </c>
      <c r="B16" s="1507" t="str">
        <f>CONCATENATE("Totale Iniziale   ",Presentazione!K26)</f>
        <v>Totale Iniziale   EURO</v>
      </c>
      <c r="C16" s="1507"/>
      <c r="D16" s="1507"/>
      <c r="E16" s="468">
        <f>SUM(E9:E15)</f>
        <v>1000</v>
      </c>
      <c r="F16" s="1511" t="str">
        <f>IF(E1084="",E1083,COSTI!B4)</f>
        <v>Questi conti confluiscono nello Stato Patrimoniale del Condominio. Nell' ATTIVO gli importi in positivo; nel PASSIVO gli importi negativi.</v>
      </c>
      <c r="G16" s="1511"/>
      <c r="H16" s="1511"/>
      <c r="I16" s="1511"/>
      <c r="J16" s="1511"/>
      <c r="K16" s="1511"/>
      <c r="L16" s="1511"/>
      <c r="M16" s="1511"/>
      <c r="N16" s="1511"/>
      <c r="O16" s="1511"/>
      <c r="P16" s="1511"/>
      <c r="Q16" s="1511"/>
      <c r="R16" s="1511"/>
      <c r="S16" s="1511"/>
      <c r="T16" s="1"/>
      <c r="U16" s="435">
        <f>IF(AND(W16&gt;=$U$1,W16&lt;=$U$2),IF(X16='ESTRATTO CONTO'!$E$2,1+COUNTIF(U$4:U15,"&gt;0"),0),0)</f>
        <v>4</v>
      </c>
      <c r="V16" s="417">
        <f t="shared" si="8"/>
        <v>13</v>
      </c>
      <c r="W16" s="509">
        <f>COSTI!W16</f>
        <v>45453</v>
      </c>
      <c r="X16" s="321" t="s">
        <v>62</v>
      </c>
      <c r="Y16" s="905" t="s">
        <v>612</v>
      </c>
      <c r="Z16" s="508">
        <f>COSTI!Z16*-1</f>
        <v>-50</v>
      </c>
      <c r="AA16" s="356"/>
      <c r="AB16" s="306" t="str">
        <f t="shared" si="0"/>
        <v>6CASSA</v>
      </c>
      <c r="AC16" s="637">
        <f t="shared" si="6"/>
        <v>0</v>
      </c>
      <c r="AD16" s="935">
        <f>IF(ISERROR(VLOOKUP(AD$2,X17:X$1003,1,FALSE)),IF(X16=AD$2,SUMIF(X$4:X16,AD$2,Z$4:Z16)+$E$9+SUM(AQ$4:AQ$1003)+SUMIF(COSTI!$X$1379:$X$1430,AD$2,COSTI!$Z$1379:$Z$1430),0),0)</f>
        <v>0</v>
      </c>
      <c r="AE16" s="26"/>
      <c r="AF16" s="856" t="e">
        <f>IF(ISERROR(VLOOKUP(AG$2,X17:X$1003,1,FALSE)),IF(X16=AG$2,SUMIF(X$4:X16,AG$2,Z$4:Z16)+VLOOKUP(AF$2,$B$1057:$F$1068,5,FALSE)+SUM(AR$4:AR$1003)+SUMIF(COSTI!$X$1379:$X$1430,AG$2,COSTI!$Z$1379:$Z$1430),0),0)</f>
        <v>#N/A</v>
      </c>
      <c r="AG16" s="859"/>
      <c r="AH16" s="27">
        <f t="shared" si="1"/>
        <v>1</v>
      </c>
      <c r="AI16" s="152">
        <f>IF(W17&gt;0,0,IF(AH16=0,(Z16*-1)+BC16+SUM(BB$4:BB15),BC16+SUM(BB$4:BB15)))</f>
        <v>0</v>
      </c>
      <c r="AJ16" s="931">
        <f>IF(AND(AL16&gt;=$U$1,AL16&lt;=$U$2),IF(AM16='ESTRATTO CONTO'!$E$2,1+COUNTIF(AJ$4:AJ15,"&gt;0")+U$1015,0),0)</f>
        <v>0</v>
      </c>
      <c r="AK16" s="203">
        <f>IF(AND(OR((AK15+1)&lt;AL$1015,(AK15+1)=AL$1015),MAX(AK$4:AK15)&lt;AL$1015),AK15+1,0)</f>
        <v>13</v>
      </c>
      <c r="AL16" s="309">
        <f>VLOOKUP($AK16,ENTI!$AF$4:AG$1003,2,FALSE)</f>
        <v>45452</v>
      </c>
      <c r="AM16" s="224" t="str">
        <f>VLOOKUP($AK16,ENTI!$AF$4:AH$1003,3,FALSE)</f>
        <v>BANCA C/C nr. 1234567</v>
      </c>
      <c r="AN16" s="224" t="str">
        <f>VLOOKUP($AK16,ENTI!$AF$4:AI$1003,4,FALSE)</f>
        <v>fondi del Condominio, oppure il segno "-" per far uscire gli importi.</v>
      </c>
      <c r="AO16" s="781">
        <f>VLOOKUP($AK16,ENTI!$AF$4:AJ$1003,5,FALSE)</f>
        <v>100</v>
      </c>
      <c r="AP16" s="315" t="str">
        <f>VLOOKUP($AK16,ENTI!$AF$4:AK$1003,6,FALSE)</f>
        <v>Nome ENTE 3</v>
      </c>
      <c r="AQ16" s="208">
        <f t="shared" si="13"/>
        <v>0</v>
      </c>
      <c r="AR16" s="152" t="e">
        <f t="shared" si="14"/>
        <v>#N/A</v>
      </c>
      <c r="AS16" s="1"/>
      <c r="AT16" s="88" t="str">
        <f t="shared" si="4"/>
        <v>6BANCA C/C nr. 1234567</v>
      </c>
      <c r="AU16" s="1"/>
      <c r="AV16" s="175">
        <f>IF(AW16&gt;0,COUNTIF(AV$4:AV15,"&gt;0")+1,0)</f>
        <v>0</v>
      </c>
      <c r="AW16" s="164">
        <f t="shared" si="5"/>
        <v>0</v>
      </c>
      <c r="AX16" s="310">
        <f>IF($AW16=0,0,VLOOKUP(VLOOKUP($X16,$B$34:$T$38,19,FALSE),ENTI!$A$9:$B$13,2,FALSE))</f>
        <v>0</v>
      </c>
      <c r="AY16" s="310">
        <f t="shared" si="9"/>
        <v>0</v>
      </c>
      <c r="AZ16" s="316">
        <f t="shared" si="10"/>
        <v>0</v>
      </c>
      <c r="BA16" s="1"/>
      <c r="BB16" s="152">
        <f t="shared" si="11"/>
        <v>0</v>
      </c>
      <c r="BC16" s="152">
        <f ca="1">SUM(Z$4:Z16)+SUM(BB$4:BB16)+COSTI!S$6-COSTI!L$1076</f>
        <v>1250</v>
      </c>
      <c r="BD16" s="1"/>
    </row>
    <row r="17" spans="1:56" ht="16.5" customHeight="1">
      <c r="A17" s="1"/>
      <c r="B17" s="1496" t="str">
        <f>Presentazione!F10</f>
        <v/>
      </c>
      <c r="C17" s="1496"/>
      <c r="D17" s="1496"/>
      <c r="E17" s="1496"/>
      <c r="F17" s="1511"/>
      <c r="G17" s="1511"/>
      <c r="H17" s="1511"/>
      <c r="I17" s="1511"/>
      <c r="J17" s="1511"/>
      <c r="K17" s="1511"/>
      <c r="L17" s="1511"/>
      <c r="M17" s="1511"/>
      <c r="N17" s="1511"/>
      <c r="O17" s="1511"/>
      <c r="P17" s="1511"/>
      <c r="Q17" s="1511"/>
      <c r="R17" s="1511"/>
      <c r="S17" s="1511"/>
      <c r="T17" s="1"/>
      <c r="U17" s="435">
        <f>IF(AND(W17&gt;=$U$1,W17&lt;=$U$2),IF(X17='ESTRATTO CONTO'!$E$2,1+COUNTIF(U$4:U16,"&gt;0"),0),0)</f>
        <v>0</v>
      </c>
      <c r="V17" s="417">
        <f t="shared" si="8"/>
        <v>14</v>
      </c>
      <c r="W17" s="509">
        <f>COSTI!W17</f>
        <v>45465</v>
      </c>
      <c r="X17" s="321" t="s">
        <v>498</v>
      </c>
      <c r="Y17" s="905" t="s">
        <v>612</v>
      </c>
      <c r="Z17" s="508">
        <f>COSTI!Z17*-1</f>
        <v>-50</v>
      </c>
      <c r="AA17" s="356"/>
      <c r="AB17" s="306" t="str">
        <f t="shared" si="0"/>
        <v>6BANCA C/C nr. 1234567</v>
      </c>
      <c r="AC17" s="637">
        <f t="shared" si="6"/>
        <v>0</v>
      </c>
      <c r="AD17" s="935">
        <f>IF(ISERROR(VLOOKUP(AD$2,X18:X$1003,1,FALSE)),IF(X17=AD$2,SUMIF(X$4:X17,AD$2,Z$4:Z17)+$E$9+SUM(AQ$4:AQ$1003)+SUMIF(COSTI!$X$1379:$X$1430,AD$2,COSTI!$Z$1379:$Z$1430),0),0)</f>
        <v>0</v>
      </c>
      <c r="AE17" s="26"/>
      <c r="AF17" s="856" t="e">
        <f>IF(ISERROR(VLOOKUP(AG$2,X18:X$1003,1,FALSE)),IF(X17=AG$2,SUMIF(X$4:X17,AG$2,Z$4:Z17)+VLOOKUP(AF$2,$B$1057:$F$1068,5,FALSE)+SUM(AR$4:AR$1003)+SUMIF(COSTI!$X$1379:$X$1430,AG$2,COSTI!$Z$1379:$Z$1430),0),0)</f>
        <v>#N/A</v>
      </c>
      <c r="AG17" s="859"/>
      <c r="AH17" s="27">
        <f t="shared" si="1"/>
        <v>1</v>
      </c>
      <c r="AI17" s="152">
        <f>IF(W18&gt;0,0,IF(AH17=0,(Z17*-1)+BC17+SUM(BB$4:BB16),BC17+SUM(BB$4:BB16)))</f>
        <v>0</v>
      </c>
      <c r="AJ17" s="931">
        <f>IF(AND(AL17&gt;=$U$1,AL17&lt;=$U$2),IF(AM17='ESTRATTO CONTO'!$E$2,1+COUNTIF(AJ$4:AJ16,"&gt;0")+U$1015,0),0)</f>
        <v>0</v>
      </c>
      <c r="AK17" s="203">
        <f>IF(AND(OR((AK16+1)&lt;AL$1015,(AK16+1)=AL$1015),MAX(AK$4:AK16)&lt;AL$1015),AK16+1,0)</f>
        <v>14</v>
      </c>
      <c r="AL17" s="309">
        <f>VLOOKUP($AK17,ENTI!$AF$4:AG$1003,2,FALSE)</f>
        <v>45464</v>
      </c>
      <c r="AM17" s="224" t="str">
        <f>VLOOKUP($AK17,ENTI!$AF$4:AH$1003,3,FALSE)</f>
        <v>POSTA C/C nr. 7654321</v>
      </c>
      <c r="AN17" s="224">
        <f>VLOOKUP($AK17,ENTI!$AF$4:AI$1003,4,FALSE)</f>
        <v>0</v>
      </c>
      <c r="AO17" s="781">
        <f>VLOOKUP($AK17,ENTI!$AF$4:AJ$1003,5,FALSE)</f>
        <v>50</v>
      </c>
      <c r="AP17" s="315" t="str">
        <f>VLOOKUP($AK17,ENTI!$AF$4:AK$1003,6,FALSE)</f>
        <v>Nome ENTE 4 / sovrascrivi</v>
      </c>
      <c r="AQ17" s="208">
        <f t="shared" si="13"/>
        <v>0</v>
      </c>
      <c r="AR17" s="152" t="e">
        <f t="shared" si="14"/>
        <v>#N/A</v>
      </c>
      <c r="AS17" s="1"/>
      <c r="AT17" s="88" t="str">
        <f t="shared" si="4"/>
        <v>6POSTA C/C nr. 7654321</v>
      </c>
      <c r="AU17" s="1"/>
      <c r="AV17" s="175">
        <f>IF(AW17&gt;0,COUNTIF(AV$4:AV16,"&gt;0")+1,0)</f>
        <v>0</v>
      </c>
      <c r="AW17" s="164">
        <f t="shared" si="5"/>
        <v>0</v>
      </c>
      <c r="AX17" s="310">
        <f>IF($AW17=0,0,VLOOKUP(VLOOKUP($X17,$B$34:$T$38,19,FALSE),ENTI!$A$9:$B$13,2,FALSE))</f>
        <v>0</v>
      </c>
      <c r="AY17" s="310">
        <f t="shared" si="9"/>
        <v>0</v>
      </c>
      <c r="AZ17" s="316">
        <f t="shared" si="10"/>
        <v>0</v>
      </c>
      <c r="BA17" s="1"/>
      <c r="BB17" s="152">
        <f t="shared" si="11"/>
        <v>0</v>
      </c>
      <c r="BC17" s="152">
        <f ca="1">SUM(Z$4:Z17)+SUM(BB$4:BB17)+COSTI!S$6-COSTI!L$1076</f>
        <v>1200</v>
      </c>
      <c r="BD17" s="1"/>
    </row>
    <row r="18" spans="1:56" ht="16.5" customHeight="1">
      <c r="A18" s="3"/>
      <c r="B18" s="1497"/>
      <c r="C18" s="1497"/>
      <c r="D18" s="1497"/>
      <c r="E18" s="1497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3"/>
      <c r="U18" s="435">
        <f>IF(AND(W18&gt;=$U$1,W18&lt;=$U$2),IF(X18='ESTRATTO CONTO'!$E$2,1+COUNTIF(U$4:U17,"&gt;0"),0),0)</f>
        <v>0</v>
      </c>
      <c r="V18" s="417">
        <f t="shared" si="8"/>
        <v>15</v>
      </c>
      <c r="W18" s="509">
        <f>COSTI!W18</f>
        <v>45477</v>
      </c>
      <c r="X18" s="321" t="s">
        <v>499</v>
      </c>
      <c r="Y18" s="905" t="s">
        <v>612</v>
      </c>
      <c r="Z18" s="508">
        <f>COSTI!Z18*-1</f>
        <v>-50</v>
      </c>
      <c r="AA18" s="356"/>
      <c r="AB18" s="306" t="str">
        <f t="shared" si="0"/>
        <v>7POSTA C/C nr. 7654321</v>
      </c>
      <c r="AC18" s="637">
        <f t="shared" si="6"/>
        <v>0</v>
      </c>
      <c r="AD18" s="935">
        <f>IF(ISERROR(VLOOKUP(AD$2,X19:X$1003,1,FALSE)),IF(X18=AD$2,SUMIF(X$4:X18,AD$2,Z$4:Z18)+$E$9+SUM(AQ$4:AQ$1003)+SUMIF(COSTI!$X$1379:$X$1430,AD$2,COSTI!$Z$1379:$Z$1430),0),0)</f>
        <v>0</v>
      </c>
      <c r="AE18" s="26"/>
      <c r="AF18" s="856" t="e">
        <f>IF(ISERROR(VLOOKUP(AG$2,X19:X$1003,1,FALSE)),IF(X18=AG$2,SUMIF(X$4:X18,AG$2,Z$4:Z18)+VLOOKUP(AF$2,$B$1057:$F$1068,5,FALSE)+SUM(AR$4:AR$1003)+SUMIF(COSTI!$X$1379:$X$1430,AG$2,COSTI!$Z$1379:$Z$1430),0),0)</f>
        <v>#N/A</v>
      </c>
      <c r="AG18" s="859"/>
      <c r="AH18" s="27">
        <f t="shared" si="1"/>
        <v>1</v>
      </c>
      <c r="AI18" s="152">
        <f>IF(W19&gt;0,0,IF(AH18=0,(Z18*-1)+BC18+SUM(BB$4:BB17),BC18+SUM(BB$4:BB17)))</f>
        <v>0</v>
      </c>
      <c r="AJ18" s="931">
        <f>IF(AND(AL18&gt;=$U$1,AL18&lt;=$U$2),IF(AM18='ESTRATTO CONTO'!$E$2,1+COUNTIF(AJ$4:AJ17,"&gt;0")+U$1015,0),0)</f>
        <v>0</v>
      </c>
      <c r="AK18" s="203">
        <f>IF(AND(OR((AK17+1)&lt;AL$1015,(AK17+1)=AL$1015),MAX(AK$4:AK17)&lt;AL$1015),AK17+1,0)</f>
        <v>15</v>
      </c>
      <c r="AL18" s="309">
        <f>VLOOKUP($AK18,ENTI!$AF$4:AG$1003,2,FALSE)</f>
        <v>45476</v>
      </c>
      <c r="AM18" s="224" t="str">
        <f>VLOOKUP($AK18,ENTI!$AF$4:AH$1003,3,FALSE)</f>
        <v>DEBITO 1</v>
      </c>
      <c r="AN18" s="224" t="str">
        <f>VLOOKUP($AK18,ENTI!$AF$4:AI$1003,4,FALSE)</f>
        <v>Ipotesi di STORNO parziale di un debito</v>
      </c>
      <c r="AO18" s="781">
        <f>VLOOKUP($AK18,ENTI!$AF$4:AJ$1003,5,FALSE)</f>
        <v>-50</v>
      </c>
      <c r="AP18" s="315" t="str">
        <f>VLOOKUP($AK18,ENTI!$AF$4:AK$1003,6,FALSE)</f>
        <v>Nome ENTE ultimo disponibile</v>
      </c>
      <c r="AQ18" s="208">
        <f t="shared" si="13"/>
        <v>0</v>
      </c>
      <c r="AR18" s="152" t="e">
        <f t="shared" si="14"/>
        <v>#N/A</v>
      </c>
      <c r="AS18" s="1"/>
      <c r="AT18" s="88" t="str">
        <f t="shared" si="4"/>
        <v>7DEBITO 1</v>
      </c>
      <c r="AU18" s="1"/>
      <c r="AV18" s="175">
        <f>IF(AW18&gt;0,COUNTIF(AV$4:AV17,"&gt;0")+1,0)</f>
        <v>0</v>
      </c>
      <c r="AW18" s="164">
        <f t="shared" si="5"/>
        <v>0</v>
      </c>
      <c r="AX18" s="310">
        <f>IF($AW18=0,0,VLOOKUP(VLOOKUP($X18,$B$34:$T$38,19,FALSE),ENTI!$A$9:$B$13,2,FALSE))</f>
        <v>0</v>
      </c>
      <c r="AY18" s="310">
        <f t="shared" si="9"/>
        <v>0</v>
      </c>
      <c r="AZ18" s="316">
        <f t="shared" si="10"/>
        <v>0</v>
      </c>
      <c r="BA18" s="1"/>
      <c r="BB18" s="152">
        <f t="shared" si="11"/>
        <v>0</v>
      </c>
      <c r="BC18" s="152">
        <f ca="1">SUM(Z$4:Z18)+SUM(BB$4:BB18)+COSTI!S$6-COSTI!L$1076</f>
        <v>1150</v>
      </c>
      <c r="BD18" s="1"/>
    </row>
    <row r="19" spans="1:56" ht="16.5" customHeight="1">
      <c r="A19" s="1"/>
      <c r="B19" s="46"/>
      <c r="C19" s="46"/>
      <c r="D19" s="46"/>
      <c r="E19" s="328">
        <v>0.75</v>
      </c>
      <c r="F19" s="836">
        <f t="shared" ref="F19:Q19" ca="1" si="15">IF(ISERROR($B$23),0,IF(OR(F1017=$E1017,F1017&gt;F1018),F1022,0))</f>
        <v>0</v>
      </c>
      <c r="G19" s="836">
        <f t="shared" ca="1" si="15"/>
        <v>0</v>
      </c>
      <c r="H19" s="836">
        <f t="shared" ca="1" si="15"/>
        <v>0</v>
      </c>
      <c r="I19" s="836">
        <f t="shared" ca="1" si="15"/>
        <v>0</v>
      </c>
      <c r="J19" s="836">
        <f t="shared" ca="1" si="15"/>
        <v>0</v>
      </c>
      <c r="K19" s="836">
        <f t="shared" ca="1" si="15"/>
        <v>0</v>
      </c>
      <c r="L19" s="836">
        <f t="shared" ca="1" si="15"/>
        <v>0</v>
      </c>
      <c r="M19" s="836">
        <f t="shared" ca="1" si="15"/>
        <v>0</v>
      </c>
      <c r="N19" s="836">
        <f t="shared" ca="1" si="15"/>
        <v>0</v>
      </c>
      <c r="O19" s="836">
        <f t="shared" ca="1" si="15"/>
        <v>0</v>
      </c>
      <c r="P19" s="836">
        <f t="shared" ca="1" si="15"/>
        <v>0</v>
      </c>
      <c r="Q19" s="836">
        <f t="shared" ca="1" si="15"/>
        <v>0</v>
      </c>
      <c r="R19" s="46"/>
      <c r="S19" s="46"/>
      <c r="T19" s="1"/>
      <c r="U19" s="435">
        <f>IF(AND(W19&gt;=$U$1,W19&lt;=$U$2),IF(X19='ESTRATTO CONTO'!$E$2,1+COUNTIF(U$4:U18,"&gt;0"),0),0)</f>
        <v>5</v>
      </c>
      <c r="V19" s="417">
        <f t="shared" si="8"/>
        <v>16</v>
      </c>
      <c r="W19" s="509">
        <f>COSTI!W19</f>
        <v>45489</v>
      </c>
      <c r="X19" s="321" t="s">
        <v>62</v>
      </c>
      <c r="Y19" s="905" t="s">
        <v>612</v>
      </c>
      <c r="Z19" s="508">
        <f>COSTI!Z19*-1</f>
        <v>-50</v>
      </c>
      <c r="AA19" s="356"/>
      <c r="AB19" s="306" t="str">
        <f t="shared" si="0"/>
        <v>7CASSA</v>
      </c>
      <c r="AC19" s="637">
        <f t="shared" si="6"/>
        <v>0</v>
      </c>
      <c r="AD19" s="935">
        <f>IF(ISERROR(VLOOKUP(AD$2,X20:X$1003,1,FALSE)),IF(X19=AD$2,SUMIF(X$4:X19,AD$2,Z$4:Z19)+$E$9+SUM(AQ$4:AQ$1003)+SUMIF(COSTI!$X$1379:$X$1430,AD$2,COSTI!$Z$1379:$Z$1430),0),0)</f>
        <v>0</v>
      </c>
      <c r="AE19" s="26"/>
      <c r="AF19" s="856" t="e">
        <f>IF(ISERROR(VLOOKUP(AG$2,X20:X$1003,1,FALSE)),IF(X19=AG$2,SUMIF(X$4:X19,AG$2,Z$4:Z19)+VLOOKUP(AF$2,$B$1057:$F$1068,5,FALSE)+SUM(AR$4:AR$1003)+SUMIF(COSTI!$X$1379:$X$1430,AG$2,COSTI!$Z$1379:$Z$1430),0),0)</f>
        <v>#N/A</v>
      </c>
      <c r="AG19" s="859"/>
      <c r="AH19" s="27">
        <f t="shared" si="1"/>
        <v>1</v>
      </c>
      <c r="AI19" s="152">
        <f>IF(W20&gt;0,0,IF(AH19=0,(Z19*-1)+BC19+SUM(BB$4:BB18),BC19+SUM(BB$4:BB18)))</f>
        <v>0</v>
      </c>
      <c r="AJ19" s="931">
        <f>IF(AND(AL19&gt;=$U$1,AL19&lt;=$U$2),IF(AM19='ESTRATTO CONTO'!$E$2,1+COUNTIF(AJ$4:AJ18,"&gt;0")+U$1015,0),0)</f>
        <v>0</v>
      </c>
      <c r="AK19" s="203">
        <f>IF(AND(OR((AK18+1)&lt;AL$1015,(AK18+1)=AL$1015),MAX(AK$4:AK18)&lt;AL$1015),AK18+1,0)</f>
        <v>16</v>
      </c>
      <c r="AL19" s="309">
        <f>VLOOKUP($AK19,ENTI!$AF$4:AG$1003,2,FALSE)</f>
        <v>45488</v>
      </c>
      <c r="AM19" s="224" t="str">
        <f>VLOOKUP($AK19,ENTI!$AF$4:AH$1003,3,FALSE)</f>
        <v>RISERVA ACCANTONATA</v>
      </c>
      <c r="AN19" s="224">
        <f>VLOOKUP($AK19,ENTI!$AF$4:AI$1003,4,FALSE)</f>
        <v>0</v>
      </c>
      <c r="AO19" s="781">
        <f>VLOOKUP($AK19,ENTI!$AF$4:AJ$1003,5,FALSE)</f>
        <v>50</v>
      </c>
      <c r="AP19" s="315" t="str">
        <f>VLOOKUP($AK19,ENTI!$AF$4:AK$1003,6,FALSE)</f>
        <v>Nome ENTE 1</v>
      </c>
      <c r="AQ19" s="208">
        <f t="shared" si="13"/>
        <v>0</v>
      </c>
      <c r="AR19" s="152" t="e">
        <f t="shared" si="14"/>
        <v>#N/A</v>
      </c>
      <c r="AS19" s="1"/>
      <c r="AT19" s="88" t="str">
        <f t="shared" si="4"/>
        <v>7RISERVA ACCANTONATA</v>
      </c>
      <c r="AU19" s="1"/>
      <c r="AV19" s="175">
        <f>IF(AW19&gt;0,COUNTIF(AV$4:AV18,"&gt;0")+1,0)</f>
        <v>0</v>
      </c>
      <c r="AW19" s="164">
        <f t="shared" si="5"/>
        <v>0</v>
      </c>
      <c r="AX19" s="310">
        <f>IF($AW19=0,0,VLOOKUP(VLOOKUP($X19,$B$34:$T$38,19,FALSE),ENTI!$A$9:$B$13,2,FALSE))</f>
        <v>0</v>
      </c>
      <c r="AY19" s="310">
        <f t="shared" si="9"/>
        <v>0</v>
      </c>
      <c r="AZ19" s="316">
        <f t="shared" si="10"/>
        <v>0</v>
      </c>
      <c r="BA19" s="1"/>
      <c r="BB19" s="152">
        <f t="shared" si="11"/>
        <v>0</v>
      </c>
      <c r="BC19" s="152">
        <f ca="1">SUM(Z$4:Z19)+SUM(BB$4:BB19)+COSTI!S$6-COSTI!L$1076</f>
        <v>1100</v>
      </c>
      <c r="BD19" s="1"/>
    </row>
    <row r="20" spans="1:56" ht="16.5" customHeight="1">
      <c r="A20" s="1"/>
      <c r="B20" s="46"/>
      <c r="C20" s="46"/>
      <c r="D20" s="46"/>
      <c r="E20" s="328">
        <v>0.5</v>
      </c>
      <c r="F20" s="836">
        <f t="shared" ref="F20:Q20" ca="1" si="16">IF(ISERROR($B$23),0,IF(F1018=F1019,0,F1018))</f>
        <v>0</v>
      </c>
      <c r="G20" s="836">
        <f t="shared" ca="1" si="16"/>
        <v>0</v>
      </c>
      <c r="H20" s="836">
        <f t="shared" ca="1" si="16"/>
        <v>0</v>
      </c>
      <c r="I20" s="836">
        <f t="shared" ca="1" si="16"/>
        <v>0</v>
      </c>
      <c r="J20" s="836">
        <f t="shared" ca="1" si="16"/>
        <v>0</v>
      </c>
      <c r="K20" s="836">
        <f t="shared" ca="1" si="16"/>
        <v>0</v>
      </c>
      <c r="L20" s="836">
        <f t="shared" ca="1" si="16"/>
        <v>0</v>
      </c>
      <c r="M20" s="836">
        <f t="shared" ca="1" si="16"/>
        <v>0</v>
      </c>
      <c r="N20" s="836">
        <f t="shared" ca="1" si="16"/>
        <v>260.91166666666675</v>
      </c>
      <c r="O20" s="836">
        <f t="shared" ca="1" si="16"/>
        <v>0</v>
      </c>
      <c r="P20" s="836">
        <f t="shared" ca="1" si="16"/>
        <v>0</v>
      </c>
      <c r="Q20" s="836">
        <f t="shared" ca="1" si="16"/>
        <v>0</v>
      </c>
      <c r="R20" s="46"/>
      <c r="S20" s="46"/>
      <c r="T20" s="1"/>
      <c r="U20" s="435">
        <f>IF(AND(W20&gt;=$U$1,W20&lt;=$U$2),IF(X20='ESTRATTO CONTO'!$E$2,1+COUNTIF(U$4:U19,"&gt;0"),0),0)</f>
        <v>0</v>
      </c>
      <c r="V20" s="417">
        <f t="shared" si="8"/>
        <v>17</v>
      </c>
      <c r="W20" s="509">
        <f>COSTI!W20</f>
        <v>45501</v>
      </c>
      <c r="X20" s="321" t="s">
        <v>498</v>
      </c>
      <c r="Y20" s="905" t="s">
        <v>612</v>
      </c>
      <c r="Z20" s="508">
        <f>COSTI!Z20*-1</f>
        <v>-50</v>
      </c>
      <c r="AA20" s="356"/>
      <c r="AB20" s="306" t="str">
        <f t="shared" si="0"/>
        <v>7BANCA C/C nr. 1234567</v>
      </c>
      <c r="AC20" s="637">
        <f t="shared" si="6"/>
        <v>0</v>
      </c>
      <c r="AD20" s="935">
        <f>IF(ISERROR(VLOOKUP(AD$2,X21:X$1003,1,FALSE)),IF(X20=AD$2,SUMIF(X$4:X20,AD$2,Z$4:Z20)+$E$9+SUM(AQ$4:AQ$1003)+SUMIF(COSTI!$X$1379:$X$1430,AD$2,COSTI!$Z$1379:$Z$1430),0),0)</f>
        <v>0</v>
      </c>
      <c r="AE20" s="26"/>
      <c r="AF20" s="856" t="e">
        <f>IF(ISERROR(VLOOKUP(AG$2,X21:X$1003,1,FALSE)),IF(X20=AG$2,SUMIF(X$4:X20,AG$2,Z$4:Z20)+VLOOKUP(AF$2,$B$1057:$F$1068,5,FALSE)+SUM(AR$4:AR$1003)+SUMIF(COSTI!$X$1379:$X$1430,AG$2,COSTI!$Z$1379:$Z$1430),0),0)</f>
        <v>#N/A</v>
      </c>
      <c r="AG20" s="859"/>
      <c r="AH20" s="27">
        <f t="shared" si="1"/>
        <v>1</v>
      </c>
      <c r="AI20" s="152">
        <f>IF(W21&gt;0,0,IF(AH20=0,(Z20*-1)+BC20+SUM(BB$4:BB19),BC20+SUM(BB$4:BB19)))</f>
        <v>0</v>
      </c>
      <c r="AJ20" s="931">
        <f>IF(AND(AL20&gt;=$U$1,AL20&lt;=$U$2),IF(AM20='ESTRATTO CONTO'!$E$2,1+COUNTIF(AJ$4:AJ19,"&gt;0")+U$1015,0),0)</f>
        <v>19</v>
      </c>
      <c r="AK20" s="203">
        <f>IF(AND(OR((AK19+1)&lt;AL$1015,(AK19+1)=AL$1015),MAX(AK$4:AK19)&lt;AL$1015),AK19+1,0)</f>
        <v>17</v>
      </c>
      <c r="AL20" s="309">
        <f>VLOOKUP($AK20,ENTI!$AF$4:AG$1003,2,FALSE)</f>
        <v>45500</v>
      </c>
      <c r="AM20" s="224" t="str">
        <f>VLOOKUP($AK20,ENTI!$AF$4:AH$1003,3,FALSE)</f>
        <v>CASSA</v>
      </c>
      <c r="AN20" s="224">
        <f>VLOOKUP($AK20,ENTI!$AF$4:AI$1003,4,FALSE)</f>
        <v>0</v>
      </c>
      <c r="AO20" s="781">
        <f>VLOOKUP($AK20,ENTI!$AF$4:AJ$1003,5,FALSE)</f>
        <v>100</v>
      </c>
      <c r="AP20" s="315" t="str">
        <f>VLOOKUP($AK20,ENTI!$AF$4:AK$1003,6,FALSE)</f>
        <v>Nome ENTE 2</v>
      </c>
      <c r="AQ20" s="208">
        <f t="shared" si="13"/>
        <v>100</v>
      </c>
      <c r="AR20" s="152" t="e">
        <f t="shared" si="14"/>
        <v>#N/A</v>
      </c>
      <c r="AS20" s="1"/>
      <c r="AT20" s="88" t="str">
        <f t="shared" si="4"/>
        <v>7CASSA</v>
      </c>
      <c r="AU20" s="1"/>
      <c r="AV20" s="175">
        <f>IF(AW20&gt;0,COUNTIF(AV$4:AV19,"&gt;0")+1,0)</f>
        <v>0</v>
      </c>
      <c r="AW20" s="164">
        <f t="shared" si="5"/>
        <v>0</v>
      </c>
      <c r="AX20" s="310">
        <f>IF($AW20=0,0,VLOOKUP(VLOOKUP($X20,$B$34:$T$38,19,FALSE),ENTI!$A$9:$B$13,2,FALSE))</f>
        <v>0</v>
      </c>
      <c r="AY20" s="310">
        <f t="shared" si="9"/>
        <v>0</v>
      </c>
      <c r="AZ20" s="316">
        <f t="shared" si="10"/>
        <v>0</v>
      </c>
      <c r="BA20" s="1"/>
      <c r="BB20" s="152">
        <f t="shared" si="11"/>
        <v>0</v>
      </c>
      <c r="BC20" s="152">
        <f ca="1">SUM(Z$4:Z20)+SUM(BB$4:BB20)+COSTI!S$6-COSTI!L$1076</f>
        <v>1050</v>
      </c>
      <c r="BD20" s="1"/>
    </row>
    <row r="21" spans="1:56" ht="16.5" customHeight="1">
      <c r="A21" s="1"/>
      <c r="B21" s="1501" t="s">
        <v>114</v>
      </c>
      <c r="C21" s="1501"/>
      <c r="D21" s="46"/>
      <c r="E21" s="328">
        <v>0.25</v>
      </c>
      <c r="F21" s="836">
        <f t="shared" ref="F21:Q21" ca="1" si="17">IF(ISERROR($B$23),0,IF(F1019=F1020,0,F1019))</f>
        <v>0</v>
      </c>
      <c r="G21" s="836">
        <f t="shared" ca="1" si="17"/>
        <v>0</v>
      </c>
      <c r="H21" s="836">
        <f t="shared" ca="1" si="17"/>
        <v>0</v>
      </c>
      <c r="I21" s="836">
        <f t="shared" ca="1" si="17"/>
        <v>0</v>
      </c>
      <c r="J21" s="836">
        <f t="shared" ca="1" si="17"/>
        <v>0</v>
      </c>
      <c r="K21" s="836">
        <f t="shared" ca="1" si="17"/>
        <v>0</v>
      </c>
      <c r="L21" s="836">
        <f t="shared" ca="1" si="17"/>
        <v>0</v>
      </c>
      <c r="M21" s="836">
        <f t="shared" ca="1" si="17"/>
        <v>210.91166666666675</v>
      </c>
      <c r="N21" s="836">
        <f t="shared" ca="1" si="17"/>
        <v>246.02208333333331</v>
      </c>
      <c r="O21" s="836">
        <f t="shared" ca="1" si="17"/>
        <v>131.32166666666683</v>
      </c>
      <c r="P21" s="836">
        <f t="shared" ca="1" si="17"/>
        <v>181.32166666666683</v>
      </c>
      <c r="Q21" s="836">
        <f t="shared" ca="1" si="17"/>
        <v>0</v>
      </c>
      <c r="R21" s="46"/>
      <c r="S21" s="46"/>
      <c r="T21" s="1"/>
      <c r="U21" s="435">
        <f>IF(AND(W21&gt;=$U$1,W21&lt;=$U$2),IF(X21='ESTRATTO CONTO'!$E$2,1+COUNTIF(U$4:U20,"&gt;0"),0),0)</f>
        <v>0</v>
      </c>
      <c r="V21" s="417">
        <f t="shared" si="8"/>
        <v>18</v>
      </c>
      <c r="W21" s="509">
        <f>COSTI!W21</f>
        <v>45513</v>
      </c>
      <c r="X21" s="321" t="s">
        <v>499</v>
      </c>
      <c r="Y21" s="905" t="s">
        <v>612</v>
      </c>
      <c r="Z21" s="508">
        <f>COSTI!Z21*-1</f>
        <v>-50</v>
      </c>
      <c r="AA21" s="356"/>
      <c r="AB21" s="306" t="str">
        <f t="shared" si="0"/>
        <v>8POSTA C/C nr. 7654321</v>
      </c>
      <c r="AC21" s="637">
        <f t="shared" si="6"/>
        <v>0</v>
      </c>
      <c r="AD21" s="935">
        <f>IF(ISERROR(VLOOKUP(AD$2,X22:X$1003,1,FALSE)),IF(X21=AD$2,SUMIF(X$4:X21,AD$2,Z$4:Z21)+$E$9+SUM(AQ$4:AQ$1003)+SUMIF(COSTI!$X$1379:$X$1430,AD$2,COSTI!$Z$1379:$Z$1430),0),0)</f>
        <v>0</v>
      </c>
      <c r="AE21" s="26"/>
      <c r="AF21" s="856" t="e">
        <f>IF(ISERROR(VLOOKUP(AG$2,X22:X$1003,1,FALSE)),IF(X21=AG$2,SUMIF(X$4:X21,AG$2,Z$4:Z21)+VLOOKUP(AF$2,$B$1057:$F$1068,5,FALSE)+SUM(AR$4:AR$1003)+SUMIF(COSTI!$X$1379:$X$1430,AG$2,COSTI!$Z$1379:$Z$1430),0),0)</f>
        <v>#N/A</v>
      </c>
      <c r="AG21" s="859"/>
      <c r="AH21" s="27">
        <f t="shared" si="1"/>
        <v>1</v>
      </c>
      <c r="AI21" s="152">
        <f>IF(W22&gt;0,0,IF(AH21=0,(Z21*-1)+BC21+SUM(BB$4:BB20),BC21+SUM(BB$4:BB20)))</f>
        <v>0</v>
      </c>
      <c r="AJ21" s="931">
        <f>IF(AND(AL21&gt;=$U$1,AL21&lt;=$U$2),IF(AM21='ESTRATTO CONTO'!$E$2,1+COUNTIF(AJ$4:AJ20,"&gt;0")+U$1015,0),0)</f>
        <v>20</v>
      </c>
      <c r="AK21" s="203">
        <f>IF(AND(OR((AK20+1)&lt;AL$1015,(AK20+1)=AL$1015),MAX(AK$4:AK20)&lt;AL$1015),AK20+1,0)</f>
        <v>18</v>
      </c>
      <c r="AL21" s="309">
        <f>VLOOKUP($AK21,ENTI!$AF$4:AG$1003,2,FALSE)</f>
        <v>45512</v>
      </c>
      <c r="AM21" s="224" t="str">
        <f>VLOOKUP($AK21,ENTI!$AF$4:AH$1003,3,FALSE)</f>
        <v>CASSA</v>
      </c>
      <c r="AN21" s="224">
        <f>VLOOKUP($AK21,ENTI!$AF$4:AI$1003,4,FALSE)</f>
        <v>0</v>
      </c>
      <c r="AO21" s="781">
        <f>VLOOKUP($AK21,ENTI!$AF$4:AJ$1003,5,FALSE)</f>
        <v>300</v>
      </c>
      <c r="AP21" s="315" t="str">
        <f>VLOOKUP($AK21,ENTI!$AF$4:AK$1003,6,FALSE)</f>
        <v>Nome ENTE 3</v>
      </c>
      <c r="AQ21" s="208">
        <f t="shared" si="13"/>
        <v>300</v>
      </c>
      <c r="AR21" s="152" t="e">
        <f t="shared" si="14"/>
        <v>#N/A</v>
      </c>
      <c r="AS21" s="1"/>
      <c r="AT21" s="88" t="str">
        <f t="shared" si="4"/>
        <v>8CASSA</v>
      </c>
      <c r="AU21" s="1"/>
      <c r="AV21" s="175">
        <f>IF(AW21&gt;0,COUNTIF(AV$4:AV20,"&gt;0")+1,0)</f>
        <v>0</v>
      </c>
      <c r="AW21" s="164">
        <f t="shared" si="5"/>
        <v>0</v>
      </c>
      <c r="AX21" s="310">
        <f>IF($AW21=0,0,VLOOKUP(VLOOKUP($X21,$B$34:$T$38,19,FALSE),ENTI!$A$9:$B$13,2,FALSE))</f>
        <v>0</v>
      </c>
      <c r="AY21" s="310">
        <f t="shared" si="9"/>
        <v>0</v>
      </c>
      <c r="AZ21" s="316">
        <f t="shared" si="10"/>
        <v>0</v>
      </c>
      <c r="BA21" s="1"/>
      <c r="BB21" s="152">
        <f t="shared" si="11"/>
        <v>0</v>
      </c>
      <c r="BC21" s="152">
        <f ca="1">SUM(Z$4:Z21)+SUM(BB$4:BB21)+COSTI!S$6-COSTI!L$1076</f>
        <v>1000</v>
      </c>
      <c r="BD21" s="1"/>
    </row>
    <row r="22" spans="1:56" ht="16.5" customHeight="1">
      <c r="A22" s="1"/>
      <c r="B22" s="1508" t="str">
        <f>CONCATENATE("a fine mese  ",Presentazione!K26)</f>
        <v>a fine mese  EURO</v>
      </c>
      <c r="C22" s="1508"/>
      <c r="D22" s="49"/>
      <c r="E22" s="328">
        <v>0.1</v>
      </c>
      <c r="F22" s="836">
        <f t="shared" ref="F22:Q22" ca="1" si="18">IF(ISERROR($B$23),0,IF(F1020=F1021,0,F1020))</f>
        <v>0</v>
      </c>
      <c r="G22" s="836">
        <f t="shared" ca="1" si="18"/>
        <v>0</v>
      </c>
      <c r="H22" s="836">
        <f t="shared" ca="1" si="18"/>
        <v>0</v>
      </c>
      <c r="I22" s="836">
        <f t="shared" ca="1" si="18"/>
        <v>0</v>
      </c>
      <c r="J22" s="836">
        <f t="shared" ca="1" si="18"/>
        <v>0</v>
      </c>
      <c r="K22" s="836">
        <f t="shared" ca="1" si="18"/>
        <v>0</v>
      </c>
      <c r="L22" s="836">
        <f t="shared" ca="1" si="18"/>
        <v>0</v>
      </c>
      <c r="M22" s="836">
        <f t="shared" ca="1" si="18"/>
        <v>98.408833333333334</v>
      </c>
      <c r="N22" s="836">
        <f t="shared" ca="1" si="18"/>
        <v>98.408833333333334</v>
      </c>
      <c r="O22" s="836">
        <f t="shared" ca="1" si="18"/>
        <v>98.408833333333334</v>
      </c>
      <c r="P22" s="836">
        <f t="shared" ca="1" si="18"/>
        <v>98.408833333333334</v>
      </c>
      <c r="Q22" s="836">
        <f t="shared" ca="1" si="18"/>
        <v>79.151666666666756</v>
      </c>
      <c r="R22" s="46"/>
      <c r="S22" s="46"/>
      <c r="T22" s="1"/>
      <c r="U22" s="435">
        <f>IF(AND(W22&gt;=$U$1,W22&lt;=$U$2),IF(X22='ESTRATTO CONTO'!$E$2,1+COUNTIF(U$4:U21,"&gt;0"),0),0)</f>
        <v>6</v>
      </c>
      <c r="V22" s="417">
        <f t="shared" si="8"/>
        <v>19</v>
      </c>
      <c r="W22" s="509">
        <f>COSTI!W22</f>
        <v>45525</v>
      </c>
      <c r="X22" s="321" t="s">
        <v>62</v>
      </c>
      <c r="Y22" s="905" t="s">
        <v>612</v>
      </c>
      <c r="Z22" s="508">
        <f>COSTI!Z22*-1</f>
        <v>-50</v>
      </c>
      <c r="AA22" s="356"/>
      <c r="AB22" s="306" t="str">
        <f t="shared" si="0"/>
        <v>8CASSA</v>
      </c>
      <c r="AC22" s="637">
        <f t="shared" si="6"/>
        <v>0</v>
      </c>
      <c r="AD22" s="935">
        <f>IF(ISERROR(VLOOKUP(AD$2,X23:X$1003,1,FALSE)),IF(X22=AD$2,SUMIF(X$4:X22,AD$2,Z$4:Z22)+$E$9+SUM(AQ$4:AQ$1003)+SUMIF(COSTI!$X$1379:$X$1430,AD$2,COSTI!$Z$1379:$Z$1430),0),0)</f>
        <v>0</v>
      </c>
      <c r="AE22" s="26"/>
      <c r="AF22" s="856" t="e">
        <f>IF(ISERROR(VLOOKUP(AG$2,X23:X$1003,1,FALSE)),IF(X22=AG$2,SUMIF(X$4:X22,AG$2,Z$4:Z22)+VLOOKUP(AF$2,$B$1057:$F$1068,5,FALSE)+SUM(AR$4:AR$1003)+SUMIF(COSTI!$X$1379:$X$1430,AG$2,COSTI!$Z$1379:$Z$1430),0),0)</f>
        <v>#N/A</v>
      </c>
      <c r="AG22" s="859"/>
      <c r="AH22" s="27">
        <f t="shared" si="1"/>
        <v>1</v>
      </c>
      <c r="AI22" s="152">
        <f>IF(W23&gt;0,0,IF(AH22=0,(Z22*-1)+BC22+SUM(BB$4:BB21),BC22+SUM(BB$4:BB21)))</f>
        <v>0</v>
      </c>
      <c r="AJ22" s="931">
        <f>IF(AND(AL22&gt;=$U$1,AL22&lt;=$U$2),IF(AM22='ESTRATTO CONTO'!$E$2,1+COUNTIF(AJ$4:AJ21,"&gt;0")+U$1015,0),0)</f>
        <v>21</v>
      </c>
      <c r="AK22" s="203">
        <f>IF(AND(OR((AK21+1)&lt;AL$1015,(AK21+1)=AL$1015),MAX(AK$4:AK21)&lt;AL$1015),AK21+1,0)</f>
        <v>19</v>
      </c>
      <c r="AL22" s="309">
        <f>VLOOKUP($AK22,ENTI!$AF$4:AG$1003,2,FALSE)</f>
        <v>45524</v>
      </c>
      <c r="AM22" s="224" t="str">
        <f>VLOOKUP($AK22,ENTI!$AF$4:AH$1003,3,FALSE)</f>
        <v>CASSA</v>
      </c>
      <c r="AN22" s="224">
        <f>VLOOKUP($AK22,ENTI!$AF$4:AI$1003,4,FALSE)</f>
        <v>0</v>
      </c>
      <c r="AO22" s="781">
        <f>VLOOKUP($AK22,ENTI!$AF$4:AJ$1003,5,FALSE)</f>
        <v>100</v>
      </c>
      <c r="AP22" s="315" t="str">
        <f>VLOOKUP($AK22,ENTI!$AF$4:AK$1003,6,FALSE)</f>
        <v>Nome ENTE 4 / sovrascrivi</v>
      </c>
      <c r="AQ22" s="208">
        <f t="shared" si="13"/>
        <v>100</v>
      </c>
      <c r="AR22" s="152" t="e">
        <f t="shared" si="14"/>
        <v>#N/A</v>
      </c>
      <c r="AS22" s="1"/>
      <c r="AT22" s="88" t="str">
        <f t="shared" si="4"/>
        <v>8CASSA</v>
      </c>
      <c r="AU22" s="1"/>
      <c r="AV22" s="175">
        <f>IF(AW22&gt;0,COUNTIF(AV$4:AV21,"&gt;0")+1,0)</f>
        <v>0</v>
      </c>
      <c r="AW22" s="164">
        <f t="shared" si="5"/>
        <v>0</v>
      </c>
      <c r="AX22" s="310">
        <f>IF($AW22=0,0,VLOOKUP(VLOOKUP($X22,$B$34:$T$38,19,FALSE),ENTI!$A$9:$B$13,2,FALSE))</f>
        <v>0</v>
      </c>
      <c r="AY22" s="310">
        <f t="shared" si="9"/>
        <v>0</v>
      </c>
      <c r="AZ22" s="316">
        <f t="shared" si="10"/>
        <v>0</v>
      </c>
      <c r="BA22" s="1"/>
      <c r="BB22" s="152">
        <f t="shared" si="11"/>
        <v>0</v>
      </c>
      <c r="BC22" s="152">
        <f ca="1">SUM(Z$4:Z22)+SUM(BB$4:BB22)+COSTI!S$6-COSTI!L$1076</f>
        <v>950</v>
      </c>
      <c r="BD22" s="1"/>
    </row>
    <row r="23" spans="1:56" ht="16.5" customHeight="1">
      <c r="A23" s="1"/>
      <c r="B23" s="1491">
        <f ca="1">IF(C1023=0,0,C1023/C1020)</f>
        <v>984.08833333333325</v>
      </c>
      <c r="C23" s="1491"/>
      <c r="D23" s="50"/>
      <c r="E23" s="329">
        <v>0.05</v>
      </c>
      <c r="F23" s="837">
        <f t="shared" ref="F23:Q23" ca="1" si="19">IF(ISERROR($B$23),0,F1021)</f>
        <v>0</v>
      </c>
      <c r="G23" s="837">
        <f t="shared" ca="1" si="19"/>
        <v>0</v>
      </c>
      <c r="H23" s="837">
        <f t="shared" ca="1" si="19"/>
        <v>0</v>
      </c>
      <c r="I23" s="837">
        <f t="shared" ca="1" si="19"/>
        <v>0</v>
      </c>
      <c r="J23" s="837">
        <f t="shared" ca="1" si="19"/>
        <v>0</v>
      </c>
      <c r="K23" s="837">
        <f t="shared" ca="1" si="19"/>
        <v>0</v>
      </c>
      <c r="L23" s="837">
        <f t="shared" ca="1" si="19"/>
        <v>0</v>
      </c>
      <c r="M23" s="837">
        <f t="shared" ca="1" si="19"/>
        <v>49.204416666666667</v>
      </c>
      <c r="N23" s="837">
        <f t="shared" ca="1" si="19"/>
        <v>49.204416666666667</v>
      </c>
      <c r="O23" s="837">
        <f t="shared" ca="1" si="19"/>
        <v>49.204416666666667</v>
      </c>
      <c r="P23" s="837">
        <f t="shared" ca="1" si="19"/>
        <v>49.204416666666667</v>
      </c>
      <c r="Q23" s="837">
        <f t="shared" ca="1" si="19"/>
        <v>49.204416666666667</v>
      </c>
      <c r="R23" s="51"/>
      <c r="S23" s="51"/>
      <c r="T23" s="1"/>
      <c r="U23" s="435">
        <f>IF(AND(W23&gt;=$U$1,W23&lt;=$U$2),IF(X23='ESTRATTO CONTO'!$E$2,1+COUNTIF(U$4:U22,"&gt;0"),0),0)</f>
        <v>0</v>
      </c>
      <c r="V23" s="417">
        <f t="shared" si="8"/>
        <v>20</v>
      </c>
      <c r="W23" s="509">
        <f>COSTI!W23</f>
        <v>45537</v>
      </c>
      <c r="X23" s="321" t="s">
        <v>498</v>
      </c>
      <c r="Y23" s="905" t="s">
        <v>612</v>
      </c>
      <c r="Z23" s="508">
        <f>COSTI!Z23*-1</f>
        <v>-50</v>
      </c>
      <c r="AA23" s="356"/>
      <c r="AB23" s="306" t="str">
        <f t="shared" si="0"/>
        <v>9BANCA C/C nr. 1234567</v>
      </c>
      <c r="AC23" s="637">
        <f t="shared" si="6"/>
        <v>0</v>
      </c>
      <c r="AD23" s="935">
        <f>IF(ISERROR(VLOOKUP(AD$2,X24:X$1003,1,FALSE)),IF(X23=AD$2,SUMIF(X$4:X23,AD$2,Z$4:Z23)+$E$9+SUM(AQ$4:AQ$1003)+SUMIF(COSTI!$X$1379:$X$1430,AD$2,COSTI!$Z$1379:$Z$1430),0),0)</f>
        <v>0</v>
      </c>
      <c r="AE23" s="26"/>
      <c r="AF23" s="856" t="e">
        <f>IF(ISERROR(VLOOKUP(AG$2,X24:X$1003,1,FALSE)),IF(X23=AG$2,SUMIF(X$4:X23,AG$2,Z$4:Z23)+VLOOKUP(AF$2,$B$1057:$F$1068,5,FALSE)+SUM(AR$4:AR$1003)+SUMIF(COSTI!$X$1379:$X$1430,AG$2,COSTI!$Z$1379:$Z$1430),0),0)</f>
        <v>#N/A</v>
      </c>
      <c r="AG23" s="859"/>
      <c r="AH23" s="27">
        <f t="shared" si="1"/>
        <v>1</v>
      </c>
      <c r="AI23" s="152">
        <f>IF(W24&gt;0,0,IF(AH23=0,(Z23*-1)+BC23+SUM(BB$4:BB22),BC23+SUM(BB$4:BB22)))</f>
        <v>0</v>
      </c>
      <c r="AJ23" s="931">
        <f>IF(AND(AL23&gt;=$U$1,AL23&lt;=$U$2),IF(AM23='ESTRATTO CONTO'!$E$2,1+COUNTIF(AJ$4:AJ22,"&gt;0")+U$1015,0),0)</f>
        <v>0</v>
      </c>
      <c r="AK23" s="203">
        <f>IF(AND(OR((AK22+1)&lt;AL$1015,(AK22+1)=AL$1015),MAX(AK$4:AK22)&lt;AL$1015),AK22+1,0)</f>
        <v>20</v>
      </c>
      <c r="AL23" s="309">
        <f>VLOOKUP($AK23,ENTI!$AF$4:AG$1003,2,FALSE)</f>
        <v>45536</v>
      </c>
      <c r="AM23" s="224" t="str">
        <f>VLOOKUP($AK23,ENTI!$AF$4:AH$1003,3,FALSE)</f>
        <v>BANCA C/C nr. 1234567</v>
      </c>
      <c r="AN23" s="224">
        <f>VLOOKUP($AK23,ENTI!$AF$4:AI$1003,4,FALSE)</f>
        <v>0</v>
      </c>
      <c r="AO23" s="781">
        <f>VLOOKUP($AK23,ENTI!$AF$4:AJ$1003,5,FALSE)</f>
        <v>50</v>
      </c>
      <c r="AP23" s="315" t="str">
        <f>VLOOKUP($AK23,ENTI!$AF$4:AK$1003,6,FALSE)</f>
        <v>Nome ENTE ultimo disponibile</v>
      </c>
      <c r="AQ23" s="208">
        <f t="shared" si="13"/>
        <v>0</v>
      </c>
      <c r="AR23" s="152" t="e">
        <f t="shared" si="14"/>
        <v>#N/A</v>
      </c>
      <c r="AS23" s="1"/>
      <c r="AT23" s="88" t="str">
        <f t="shared" si="4"/>
        <v>9BANCA C/C nr. 1234567</v>
      </c>
      <c r="AU23" s="1"/>
      <c r="AV23" s="175">
        <f>IF(AW23&gt;0,COUNTIF(AV$4:AV22,"&gt;0")+1,0)</f>
        <v>0</v>
      </c>
      <c r="AW23" s="164">
        <f t="shared" si="5"/>
        <v>0</v>
      </c>
      <c r="AX23" s="310">
        <f>IF($AW23=0,0,VLOOKUP(VLOOKUP($X23,$B$34:$T$38,19,FALSE),ENTI!$A$9:$B$13,2,FALSE))</f>
        <v>0</v>
      </c>
      <c r="AY23" s="310">
        <f t="shared" si="9"/>
        <v>0</v>
      </c>
      <c r="AZ23" s="316">
        <f t="shared" si="10"/>
        <v>0</v>
      </c>
      <c r="BA23" s="1"/>
      <c r="BB23" s="152">
        <f t="shared" si="11"/>
        <v>0</v>
      </c>
      <c r="BC23" s="152">
        <f ca="1">SUM(Z$4:Z23)+SUM(BB$4:BB23)+COSTI!S$6-COSTI!L$1076</f>
        <v>900</v>
      </c>
      <c r="BD23" s="1"/>
    </row>
    <row r="24" spans="1:56" ht="16.5" customHeight="1">
      <c r="A24" s="1"/>
      <c r="B24" s="1221" t="str">
        <f>CONCATENATE(C1021," ",C1020)</f>
        <v>Mesi conteggiati: 12</v>
      </c>
      <c r="C24" s="1221"/>
      <c r="D24" s="52"/>
      <c r="E24" s="330">
        <f>E23</f>
        <v>0.05</v>
      </c>
      <c r="F24" s="836">
        <f t="shared" ref="F24:Q24" ca="1" si="20">F1023</f>
        <v>-34.088333333333253</v>
      </c>
      <c r="G24" s="836">
        <f t="shared" ca="1" si="20"/>
        <v>-49.204416666666667</v>
      </c>
      <c r="H24" s="836">
        <f t="shared" ca="1" si="20"/>
        <v>-49.204416666666667</v>
      </c>
      <c r="I24" s="836">
        <f t="shared" ca="1" si="20"/>
        <v>-49.204416666666667</v>
      </c>
      <c r="J24" s="836">
        <f t="shared" ca="1" si="20"/>
        <v>-49.204416666666667</v>
      </c>
      <c r="K24" s="836">
        <f t="shared" ca="1" si="20"/>
        <v>-39.088333333333253</v>
      </c>
      <c r="L24" s="836">
        <f t="shared" ca="1" si="20"/>
        <v>-49.204416666666667</v>
      </c>
      <c r="M24" s="836">
        <f t="shared" ca="1" si="20"/>
        <v>0</v>
      </c>
      <c r="N24" s="836">
        <f t="shared" ca="1" si="20"/>
        <v>0</v>
      </c>
      <c r="O24" s="836">
        <f t="shared" ca="1" si="20"/>
        <v>0</v>
      </c>
      <c r="P24" s="836">
        <f t="shared" ca="1" si="20"/>
        <v>0</v>
      </c>
      <c r="Q24" s="836">
        <f t="shared" ca="1" si="20"/>
        <v>0</v>
      </c>
      <c r="R24" s="53"/>
      <c r="S24" s="53"/>
      <c r="T24" s="1"/>
      <c r="U24" s="435">
        <f>IF(AND(W24&gt;=$U$1,W24&lt;=$U$2),IF(X24='ESTRATTO CONTO'!$E$2,1+COUNTIF(U$4:U23,"&gt;0"),0),0)</f>
        <v>0</v>
      </c>
      <c r="V24" s="417">
        <f t="shared" si="8"/>
        <v>21</v>
      </c>
      <c r="W24" s="509">
        <f>COSTI!W24</f>
        <v>45549</v>
      </c>
      <c r="X24" s="321" t="s">
        <v>499</v>
      </c>
      <c r="Y24" s="905" t="s">
        <v>612</v>
      </c>
      <c r="Z24" s="508">
        <f>COSTI!Z24*-1</f>
        <v>-50</v>
      </c>
      <c r="AA24" s="356"/>
      <c r="AB24" s="306" t="str">
        <f t="shared" si="0"/>
        <v>9POSTA C/C nr. 7654321</v>
      </c>
      <c r="AC24" s="637">
        <f t="shared" si="6"/>
        <v>0</v>
      </c>
      <c r="AD24" s="935">
        <f>IF(ISERROR(VLOOKUP(AD$2,X25:X$1003,1,FALSE)),IF(X24=AD$2,SUMIF(X$4:X24,AD$2,Z$4:Z24)+$E$9+SUM(AQ$4:AQ$1003)+SUMIF(COSTI!$X$1379:$X$1430,AD$2,COSTI!$Z$1379:$Z$1430),0),0)</f>
        <v>0</v>
      </c>
      <c r="AE24" s="26"/>
      <c r="AF24" s="856" t="e">
        <f>IF(ISERROR(VLOOKUP(AG$2,X25:X$1003,1,FALSE)),IF(X24=AG$2,SUMIF(X$4:X24,AG$2,Z$4:Z24)+VLOOKUP(AF$2,$B$1057:$F$1068,5,FALSE)+SUM(AR$4:AR$1003)+SUMIF(COSTI!$X$1379:$X$1430,AG$2,COSTI!$Z$1379:$Z$1430),0),0)</f>
        <v>#N/A</v>
      </c>
      <c r="AG24" s="859"/>
      <c r="AH24" s="27">
        <f t="shared" si="1"/>
        <v>1</v>
      </c>
      <c r="AI24" s="152">
        <f>IF(W25&gt;0,0,IF(AH24=0,(Z24*-1)+BC24+SUM(BB$4:BB23),BC24+SUM(BB$4:BB23)))</f>
        <v>0</v>
      </c>
      <c r="AJ24" s="931">
        <f>IF(AND(AL24&gt;=$U$1,AL24&lt;=$U$2),IF(AM24='ESTRATTO CONTO'!$E$2,1+COUNTIF(AJ$4:AJ23,"&gt;0")+U$1015,0),0)</f>
        <v>0</v>
      </c>
      <c r="AK24" s="203">
        <f>IF(AND(OR((AK23+1)&lt;AL$1015,(AK23+1)=AL$1015),MAX(AK$4:AK23)&lt;AL$1015),AK23+1,0)</f>
        <v>21</v>
      </c>
      <c r="AL24" s="309">
        <f>VLOOKUP($AK24,ENTI!$AF$4:AG$1003,2,FALSE)</f>
        <v>45548</v>
      </c>
      <c r="AM24" s="224" t="str">
        <f>VLOOKUP($AK24,ENTI!$AF$4:AH$1003,3,FALSE)</f>
        <v>BANCA C/C nr. 1234567</v>
      </c>
      <c r="AN24" s="224">
        <f>VLOOKUP($AK24,ENTI!$AF$4:AI$1003,4,FALSE)</f>
        <v>0</v>
      </c>
      <c r="AO24" s="781">
        <f>VLOOKUP($AK24,ENTI!$AF$4:AJ$1003,5,FALSE)</f>
        <v>100</v>
      </c>
      <c r="AP24" s="315" t="str">
        <f>VLOOKUP($AK24,ENTI!$AF$4:AK$1003,6,FALSE)</f>
        <v>Nome ENTE 1</v>
      </c>
      <c r="AQ24" s="208">
        <f t="shared" si="13"/>
        <v>0</v>
      </c>
      <c r="AR24" s="152" t="e">
        <f t="shared" si="14"/>
        <v>#N/A</v>
      </c>
      <c r="AS24" s="1"/>
      <c r="AT24" s="88" t="str">
        <f t="shared" si="4"/>
        <v>9BANCA C/C nr. 1234567</v>
      </c>
      <c r="AU24" s="1"/>
      <c r="AV24" s="175">
        <f>IF(AW24&gt;0,COUNTIF(AV$4:AV23,"&gt;0")+1,0)</f>
        <v>0</v>
      </c>
      <c r="AW24" s="164">
        <f t="shared" si="5"/>
        <v>0</v>
      </c>
      <c r="AX24" s="310">
        <f>IF($AW24=0,0,VLOOKUP(VLOOKUP($X24,$B$34:$T$38,19,FALSE),ENTI!$A$9:$B$13,2,FALSE))</f>
        <v>0</v>
      </c>
      <c r="AY24" s="310">
        <f t="shared" si="9"/>
        <v>0</v>
      </c>
      <c r="AZ24" s="316">
        <f t="shared" si="10"/>
        <v>0</v>
      </c>
      <c r="BA24" s="1"/>
      <c r="BB24" s="152">
        <f t="shared" si="11"/>
        <v>0</v>
      </c>
      <c r="BC24" s="152">
        <f ca="1">SUM(Z$4:Z24)+SUM(BB$4:BB24)+COSTI!S$6-COSTI!L$1076</f>
        <v>850</v>
      </c>
      <c r="BD24" s="1"/>
    </row>
    <row r="25" spans="1:56" ht="16.5" customHeight="1">
      <c r="A25" s="1"/>
      <c r="C25" s="46"/>
      <c r="D25" s="46"/>
      <c r="E25" s="331">
        <f>E22</f>
        <v>0.1</v>
      </c>
      <c r="F25" s="836">
        <f t="shared" ref="F25:Q25" ca="1" si="21">IF(F1024=F1023,0,F1024)</f>
        <v>0</v>
      </c>
      <c r="G25" s="836">
        <f t="shared" ca="1" si="21"/>
        <v>-84.088333333333253</v>
      </c>
      <c r="H25" s="836">
        <f t="shared" ca="1" si="21"/>
        <v>-98.408833333333334</v>
      </c>
      <c r="I25" s="836">
        <f t="shared" ca="1" si="21"/>
        <v>-98.408833333333334</v>
      </c>
      <c r="J25" s="836">
        <f t="shared" ca="1" si="21"/>
        <v>-89.088333333333253</v>
      </c>
      <c r="K25" s="836">
        <f t="shared" ca="1" si="21"/>
        <v>0</v>
      </c>
      <c r="L25" s="836">
        <f t="shared" ca="1" si="21"/>
        <v>-89.088333333333253</v>
      </c>
      <c r="M25" s="836">
        <f t="shared" ca="1" si="21"/>
        <v>0</v>
      </c>
      <c r="N25" s="836">
        <f t="shared" ca="1" si="21"/>
        <v>0</v>
      </c>
      <c r="O25" s="836">
        <f t="shared" ca="1" si="21"/>
        <v>0</v>
      </c>
      <c r="P25" s="836">
        <f t="shared" ca="1" si="21"/>
        <v>0</v>
      </c>
      <c r="Q25" s="836">
        <f t="shared" ca="1" si="21"/>
        <v>0</v>
      </c>
      <c r="R25" s="46"/>
      <c r="S25" s="46"/>
      <c r="T25" s="1"/>
      <c r="U25" s="435">
        <f>IF(AND(W25&gt;=$U$1,W25&lt;=$U$2),IF(X25='ESTRATTO CONTO'!$E$2,1+COUNTIF(U$4:U24,"&gt;0"),0),0)</f>
        <v>7</v>
      </c>
      <c r="V25" s="417">
        <f t="shared" si="8"/>
        <v>22</v>
      </c>
      <c r="W25" s="509">
        <f>COSTI!W25</f>
        <v>45561</v>
      </c>
      <c r="X25" s="321" t="s">
        <v>62</v>
      </c>
      <c r="Y25" s="905" t="s">
        <v>612</v>
      </c>
      <c r="Z25" s="508">
        <f>COSTI!Z25*-1</f>
        <v>-50</v>
      </c>
      <c r="AA25" s="356"/>
      <c r="AB25" s="306" t="str">
        <f t="shared" si="0"/>
        <v>9CASSA</v>
      </c>
      <c r="AC25" s="637">
        <f t="shared" si="6"/>
        <v>0</v>
      </c>
      <c r="AD25" s="935">
        <f>IF(ISERROR(VLOOKUP(AD$2,X26:X$1003,1,FALSE)),IF(X25=AD$2,SUMIF(X$4:X25,AD$2,Z$4:Z25)+$E$9+SUM(AQ$4:AQ$1003)+SUMIF(COSTI!$X$1379:$X$1430,AD$2,COSTI!$Z$1379:$Z$1430),0),0)</f>
        <v>0</v>
      </c>
      <c r="AE25" s="26"/>
      <c r="AF25" s="856" t="e">
        <f>IF(ISERROR(VLOOKUP(AG$2,X26:X$1003,1,FALSE)),IF(X25=AG$2,SUMIF(X$4:X25,AG$2,Z$4:Z25)+VLOOKUP(AF$2,$B$1057:$F$1068,5,FALSE)+SUM(AR$4:AR$1003)+SUMIF(COSTI!$X$1379:$X$1430,AG$2,COSTI!$Z$1379:$Z$1430),0),0)</f>
        <v>#N/A</v>
      </c>
      <c r="AG25" s="859"/>
      <c r="AH25" s="27">
        <f t="shared" si="1"/>
        <v>1</v>
      </c>
      <c r="AI25" s="152">
        <f>IF(W26&gt;0,0,IF(AH25=0,(Z25*-1)+BC25+SUM(BB$4:BB24),BC25+SUM(BB$4:BB24)))</f>
        <v>0</v>
      </c>
      <c r="AJ25" s="931">
        <f>IF(AND(AL25&gt;=$U$1,AL25&lt;=$U$2),IF(AM25='ESTRATTO CONTO'!$E$2,1+COUNTIF(AJ$4:AJ24,"&gt;0")+U$1015,0),0)</f>
        <v>0</v>
      </c>
      <c r="AK25" s="203">
        <f>IF(AND(OR((AK24+1)&lt;AL$1015,(AK24+1)=AL$1015),MAX(AK$4:AK24)&lt;AL$1015),AK24+1,0)</f>
        <v>22</v>
      </c>
      <c r="AL25" s="309">
        <f>VLOOKUP($AK25,ENTI!$AF$4:AG$1003,2,FALSE)</f>
        <v>45560</v>
      </c>
      <c r="AM25" s="224" t="str">
        <f>VLOOKUP($AK25,ENTI!$AF$4:AH$1003,3,FALSE)</f>
        <v>POSTA C/C nr. 7654321</v>
      </c>
      <c r="AN25" s="224">
        <f>VLOOKUP($AK25,ENTI!$AF$4:AI$1003,4,FALSE)</f>
        <v>0</v>
      </c>
      <c r="AO25" s="781">
        <f>VLOOKUP($AK25,ENTI!$AF$4:AJ$1003,5,FALSE)</f>
        <v>50</v>
      </c>
      <c r="AP25" s="315" t="str">
        <f>VLOOKUP($AK25,ENTI!$AF$4:AK$1003,6,FALSE)</f>
        <v>Nome ENTE 2</v>
      </c>
      <c r="AQ25" s="208">
        <f t="shared" si="13"/>
        <v>0</v>
      </c>
      <c r="AR25" s="152" t="e">
        <f t="shared" si="14"/>
        <v>#N/A</v>
      </c>
      <c r="AS25" s="1"/>
      <c r="AT25" s="88" t="str">
        <f t="shared" si="4"/>
        <v>9POSTA C/C nr. 7654321</v>
      </c>
      <c r="AU25" s="1"/>
      <c r="AV25" s="175">
        <f>IF(AW25&gt;0,COUNTIF(AV$4:AV24,"&gt;0")+1,0)</f>
        <v>0</v>
      </c>
      <c r="AW25" s="164">
        <f t="shared" si="5"/>
        <v>0</v>
      </c>
      <c r="AX25" s="310">
        <f>IF($AW25=0,0,VLOOKUP(VLOOKUP($X25,$B$34:$T$38,19,FALSE),ENTI!$A$9:$B$13,2,FALSE))</f>
        <v>0</v>
      </c>
      <c r="AY25" s="310">
        <f t="shared" si="9"/>
        <v>0</v>
      </c>
      <c r="AZ25" s="316">
        <f t="shared" si="10"/>
        <v>0</v>
      </c>
      <c r="BA25" s="1"/>
      <c r="BB25" s="152">
        <f t="shared" si="11"/>
        <v>0</v>
      </c>
      <c r="BC25" s="152">
        <f ca="1">SUM(Z$4:Z25)+SUM(BB$4:BB25)+COSTI!S$6-COSTI!L$1076</f>
        <v>800</v>
      </c>
      <c r="BD25" s="1"/>
    </row>
    <row r="26" spans="1:56" ht="16.5" customHeight="1">
      <c r="A26" s="1"/>
      <c r="B26" s="1250" t="s">
        <v>508</v>
      </c>
      <c r="C26" s="1251"/>
      <c r="D26" s="46"/>
      <c r="E26" s="331">
        <f>E21</f>
        <v>0.25</v>
      </c>
      <c r="F26" s="836">
        <f t="shared" ref="F26:Q26" ca="1" si="22">IF(F1025=F1024,0,F1025)</f>
        <v>0</v>
      </c>
      <c r="G26" s="836">
        <f t="shared" ca="1" si="22"/>
        <v>0</v>
      </c>
      <c r="H26" s="836">
        <f t="shared" ca="1" si="22"/>
        <v>-246.02208333333331</v>
      </c>
      <c r="I26" s="836">
        <f t="shared" ca="1" si="22"/>
        <v>-139.08833333333325</v>
      </c>
      <c r="J26" s="836">
        <f t="shared" ca="1" si="22"/>
        <v>0</v>
      </c>
      <c r="K26" s="836">
        <f t="shared" ca="1" si="22"/>
        <v>0</v>
      </c>
      <c r="L26" s="836">
        <f t="shared" ca="1" si="22"/>
        <v>0</v>
      </c>
      <c r="M26" s="836">
        <f t="shared" ca="1" si="22"/>
        <v>0</v>
      </c>
      <c r="N26" s="836">
        <f t="shared" ca="1" si="22"/>
        <v>0</v>
      </c>
      <c r="O26" s="836">
        <f t="shared" ca="1" si="22"/>
        <v>0</v>
      </c>
      <c r="P26" s="836">
        <f t="shared" ca="1" si="22"/>
        <v>0</v>
      </c>
      <c r="Q26" s="836">
        <f t="shared" ca="1" si="22"/>
        <v>0</v>
      </c>
      <c r="R26" s="46"/>
      <c r="S26" s="46"/>
      <c r="T26" s="1"/>
      <c r="U26" s="435">
        <f>IF(AND(W26&gt;=$U$1,W26&lt;=$U$2),IF(X26='ESTRATTO CONTO'!$E$2,1+COUNTIF(U$4:U25,"&gt;0"),0),0)</f>
        <v>0</v>
      </c>
      <c r="V26" s="417">
        <f t="shared" si="8"/>
        <v>23</v>
      </c>
      <c r="W26" s="509">
        <f>COSTI!W26</f>
        <v>45573</v>
      </c>
      <c r="X26" s="321" t="s">
        <v>498</v>
      </c>
      <c r="Y26" s="905" t="s">
        <v>612</v>
      </c>
      <c r="Z26" s="508">
        <f>COSTI!Z26*-1</f>
        <v>-100</v>
      </c>
      <c r="AA26" s="356"/>
      <c r="AB26" s="306" t="str">
        <f t="shared" si="0"/>
        <v>10BANCA C/C nr. 1234567</v>
      </c>
      <c r="AC26" s="637">
        <f t="shared" si="6"/>
        <v>0</v>
      </c>
      <c r="AD26" s="935">
        <f>IF(ISERROR(VLOOKUP(AD$2,X27:X$1003,1,FALSE)),IF(X26=AD$2,SUMIF(X$4:X26,AD$2,Z$4:Z26)+$E$9+SUM(AQ$4:AQ$1003)+SUMIF(COSTI!$X$1379:$X$1430,AD$2,COSTI!$Z$1379:$Z$1430),0),0)</f>
        <v>0</v>
      </c>
      <c r="AE26" s="26"/>
      <c r="AF26" s="856" t="e">
        <f>IF(ISERROR(VLOOKUP(AG$2,X27:X$1003,1,FALSE)),IF(X26=AG$2,SUMIF(X$4:X26,AG$2,Z$4:Z26)+VLOOKUP(AF$2,$B$1057:$F$1068,5,FALSE)+SUM(AR$4:AR$1003)+SUMIF(COSTI!$X$1379:$X$1430,AG$2,COSTI!$Z$1379:$Z$1430),0),0)</f>
        <v>#N/A</v>
      </c>
      <c r="AG26" s="859"/>
      <c r="AH26" s="27">
        <f t="shared" si="1"/>
        <v>1</v>
      </c>
      <c r="AI26" s="152">
        <f>IF(W27&gt;0,0,IF(AH26=0,(Z26*-1)+BC26+SUM(BB$4:BB25),BC26+SUM(BB$4:BB25)))</f>
        <v>0</v>
      </c>
      <c r="AJ26" s="931">
        <f>IF(AND(AL26&gt;=$U$1,AL26&lt;=$U$2),IF(AM26='ESTRATTO CONTO'!$E$2,1+COUNTIF(AJ$4:AJ25,"&gt;0")+U$1015,0),0)</f>
        <v>0</v>
      </c>
      <c r="AK26" s="203">
        <f>IF(AND(OR((AK25+1)&lt;AL$1015,(AK25+1)=AL$1015),MAX(AK$4:AK25)&lt;AL$1015),AK25+1,0)</f>
        <v>23</v>
      </c>
      <c r="AL26" s="309">
        <f>VLOOKUP($AK26,ENTI!$AF$4:AG$1003,2,FALSE)</f>
        <v>45572</v>
      </c>
      <c r="AM26" s="224" t="str">
        <f>VLOOKUP($AK26,ENTI!$AF$4:AH$1003,3,FALSE)</f>
        <v>DEBITO 1</v>
      </c>
      <c r="AN26" s="224" t="str">
        <f>VLOOKUP($AK26,ENTI!$AF$4:AI$1003,4,FALSE)</f>
        <v>Ipotesi di STORNO parziale di un debito</v>
      </c>
      <c r="AO26" s="781">
        <f>VLOOKUP($AK26,ENTI!$AF$4:AJ$1003,5,FALSE)</f>
        <v>-50</v>
      </c>
      <c r="AP26" s="315" t="str">
        <f>VLOOKUP($AK26,ENTI!$AF$4:AK$1003,6,FALSE)</f>
        <v>Nome ENTE 3</v>
      </c>
      <c r="AQ26" s="208">
        <f t="shared" si="13"/>
        <v>0</v>
      </c>
      <c r="AR26" s="152" t="e">
        <f t="shared" si="14"/>
        <v>#N/A</v>
      </c>
      <c r="AS26" s="1"/>
      <c r="AT26" s="88" t="str">
        <f t="shared" si="4"/>
        <v>10DEBITO 1</v>
      </c>
      <c r="AU26" s="1"/>
      <c r="AV26" s="175">
        <f>IF(AW26&gt;0,COUNTIF(AV$4:AV25,"&gt;0")+1,0)</f>
        <v>0</v>
      </c>
      <c r="AW26" s="164">
        <f t="shared" si="5"/>
        <v>0</v>
      </c>
      <c r="AX26" s="310">
        <f>IF($AW26=0,0,VLOOKUP(VLOOKUP($X26,$B$34:$T$38,19,FALSE),ENTI!$A$9:$B$13,2,FALSE))</f>
        <v>0</v>
      </c>
      <c r="AY26" s="310">
        <f t="shared" si="9"/>
        <v>0</v>
      </c>
      <c r="AZ26" s="316">
        <f t="shared" si="10"/>
        <v>0</v>
      </c>
      <c r="BA26" s="1"/>
      <c r="BB26" s="152">
        <f t="shared" si="11"/>
        <v>0</v>
      </c>
      <c r="BC26" s="152">
        <f ca="1">SUM(Z$4:Z26)+SUM(BB$4:BB26)+COSTI!S$6-COSTI!L$1076</f>
        <v>700</v>
      </c>
      <c r="BD26" s="1"/>
    </row>
    <row r="27" spans="1:56" ht="16.5" customHeight="1">
      <c r="A27" s="1"/>
      <c r="B27" s="1259" t="str">
        <f>CONCATENATE(C1025,"   ",C1026)</f>
        <v>nei REGISTRI:    365</v>
      </c>
      <c r="C27" s="1260"/>
      <c r="D27" s="46"/>
      <c r="E27" s="331">
        <f>E20</f>
        <v>0.5</v>
      </c>
      <c r="F27" s="836">
        <f t="shared" ref="F27:Q27" ca="1" si="23">IF(F1026=F1025,0,F1026)</f>
        <v>0</v>
      </c>
      <c r="G27" s="836">
        <f t="shared" ca="1" si="23"/>
        <v>0</v>
      </c>
      <c r="H27" s="836">
        <f t="shared" ca="1" si="23"/>
        <v>-389.08833333333325</v>
      </c>
      <c r="I27" s="836">
        <f t="shared" ca="1" si="23"/>
        <v>0</v>
      </c>
      <c r="J27" s="836">
        <f t="shared" ca="1" si="23"/>
        <v>0</v>
      </c>
      <c r="K27" s="836">
        <f t="shared" ca="1" si="23"/>
        <v>0</v>
      </c>
      <c r="L27" s="836">
        <f t="shared" ca="1" si="23"/>
        <v>0</v>
      </c>
      <c r="M27" s="836">
        <f t="shared" ca="1" si="23"/>
        <v>0</v>
      </c>
      <c r="N27" s="836">
        <f t="shared" ca="1" si="23"/>
        <v>0</v>
      </c>
      <c r="O27" s="836">
        <f t="shared" ca="1" si="23"/>
        <v>0</v>
      </c>
      <c r="P27" s="836">
        <f t="shared" ca="1" si="23"/>
        <v>0</v>
      </c>
      <c r="Q27" s="836">
        <f t="shared" ca="1" si="23"/>
        <v>0</v>
      </c>
      <c r="R27" s="46"/>
      <c r="S27" s="46"/>
      <c r="T27" s="1"/>
      <c r="U27" s="435">
        <f>IF(AND(W27&gt;=$U$1,W27&lt;=$U$2),IF(X27='ESTRATTO CONTO'!$E$2,1+COUNTIF(U$4:U26,"&gt;0"),0),0)</f>
        <v>0</v>
      </c>
      <c r="V27" s="417">
        <f t="shared" si="8"/>
        <v>24</v>
      </c>
      <c r="W27" s="509">
        <f>COSTI!W27</f>
        <v>45585</v>
      </c>
      <c r="X27" s="321" t="s">
        <v>499</v>
      </c>
      <c r="Y27" s="905" t="s">
        <v>612</v>
      </c>
      <c r="Z27" s="508">
        <f>COSTI!Z27*-1</f>
        <v>-100</v>
      </c>
      <c r="AA27" s="356"/>
      <c r="AB27" s="306" t="str">
        <f t="shared" si="0"/>
        <v>10POSTA C/C nr. 7654321</v>
      </c>
      <c r="AC27" s="637">
        <f t="shared" si="6"/>
        <v>0</v>
      </c>
      <c r="AD27" s="935">
        <f>IF(ISERROR(VLOOKUP(AD$2,X28:X$1003,1,FALSE)),IF(X27=AD$2,SUMIF(X$4:X27,AD$2,Z$4:Z27)+$E$9+SUM(AQ$4:AQ$1003)+SUMIF(COSTI!$X$1379:$X$1430,AD$2,COSTI!$Z$1379:$Z$1430),0),0)</f>
        <v>0</v>
      </c>
      <c r="AE27" s="26"/>
      <c r="AF27" s="856" t="e">
        <f>IF(ISERROR(VLOOKUP(AG$2,X28:X$1003,1,FALSE)),IF(X27=AG$2,SUMIF(X$4:X27,AG$2,Z$4:Z27)+VLOOKUP(AF$2,$B$1057:$F$1068,5,FALSE)+SUM(AR$4:AR$1003)+SUMIF(COSTI!$X$1379:$X$1430,AG$2,COSTI!$Z$1379:$Z$1430),0),0)</f>
        <v>#N/A</v>
      </c>
      <c r="AG27" s="859"/>
      <c r="AH27" s="27">
        <f t="shared" si="1"/>
        <v>1</v>
      </c>
      <c r="AI27" s="152">
        <f>IF(W28&gt;0,0,IF(AH27=0,(Z27*-1)+BC27+SUM(BB$4:BB26),BC27+SUM(BB$4:BB26)))</f>
        <v>0</v>
      </c>
      <c r="AJ27" s="931">
        <f>IF(AND(AL27&gt;=$U$1,AL27&lt;=$U$2),IF(AM27='ESTRATTO CONTO'!$E$2,1+COUNTIF(AJ$4:AJ26,"&gt;0")+U$1015,0),0)</f>
        <v>0</v>
      </c>
      <c r="AK27" s="203">
        <f>IF(AND(OR((AK26+1)&lt;AL$1015,(AK26+1)=AL$1015),MAX(AK$4:AK26)&lt;AL$1015),AK26+1,0)</f>
        <v>24</v>
      </c>
      <c r="AL27" s="309">
        <f>VLOOKUP($AK27,ENTI!$AF$4:AG$1003,2,FALSE)</f>
        <v>45584</v>
      </c>
      <c r="AM27" s="224" t="str">
        <f>VLOOKUP($AK27,ENTI!$AF$4:AH$1003,3,FALSE)</f>
        <v>RISERVA ACCANTONATA</v>
      </c>
      <c r="AN27" s="224">
        <f>VLOOKUP($AK27,ENTI!$AF$4:AI$1003,4,FALSE)</f>
        <v>0</v>
      </c>
      <c r="AO27" s="781">
        <f>VLOOKUP($AK27,ENTI!$AF$4:AJ$1003,5,FALSE)</f>
        <v>50</v>
      </c>
      <c r="AP27" s="315" t="str">
        <f>VLOOKUP($AK27,ENTI!$AF$4:AK$1003,6,FALSE)</f>
        <v>Nome ENTE 4 / sovrascrivi</v>
      </c>
      <c r="AQ27" s="208">
        <f t="shared" si="13"/>
        <v>0</v>
      </c>
      <c r="AR27" s="152" t="e">
        <f t="shared" si="14"/>
        <v>#N/A</v>
      </c>
      <c r="AS27" s="1"/>
      <c r="AT27" s="88" t="str">
        <f t="shared" si="4"/>
        <v>10RISERVA ACCANTONATA</v>
      </c>
      <c r="AU27" s="1"/>
      <c r="AV27" s="175">
        <f>IF(AW27&gt;0,COUNTIF(AV$4:AV26,"&gt;0")+1,0)</f>
        <v>0</v>
      </c>
      <c r="AW27" s="164">
        <f t="shared" si="5"/>
        <v>0</v>
      </c>
      <c r="AX27" s="310">
        <f>IF($AW27=0,0,VLOOKUP(VLOOKUP($X27,$B$34:$T$38,19,FALSE),ENTI!$A$9:$B$13,2,FALSE))</f>
        <v>0</v>
      </c>
      <c r="AY27" s="310">
        <f t="shared" si="9"/>
        <v>0</v>
      </c>
      <c r="AZ27" s="316">
        <f t="shared" si="10"/>
        <v>0</v>
      </c>
      <c r="BA27" s="1"/>
      <c r="BB27" s="152">
        <f t="shared" si="11"/>
        <v>0</v>
      </c>
      <c r="BC27" s="152">
        <f ca="1">SUM(Z$4:Z27)+SUM(BB$4:BB27)+COSTI!S$6-COSTI!L$1076</f>
        <v>600</v>
      </c>
      <c r="BD27" s="1"/>
    </row>
    <row r="28" spans="1:56" ht="16.5" customHeight="1">
      <c r="A28" s="1"/>
      <c r="B28" s="1261" t="s">
        <v>509</v>
      </c>
      <c r="C28" s="1262"/>
      <c r="D28" s="46"/>
      <c r="E28" s="331">
        <f>E19</f>
        <v>0.75</v>
      </c>
      <c r="F28" s="836">
        <f t="shared" ref="F28:Q28" ca="1" si="24">IF(ISERROR($B$23),0,IF(OR(F1027=$E1027,F1027&lt;F1026),F1022,0))</f>
        <v>0</v>
      </c>
      <c r="G28" s="836">
        <f t="shared" ca="1" si="24"/>
        <v>0</v>
      </c>
      <c r="H28" s="836">
        <f t="shared" ca="1" si="24"/>
        <v>0</v>
      </c>
      <c r="I28" s="836">
        <f t="shared" ca="1" si="24"/>
        <v>0</v>
      </c>
      <c r="J28" s="836">
        <f t="shared" ca="1" si="24"/>
        <v>0</v>
      </c>
      <c r="K28" s="836">
        <f t="shared" ca="1" si="24"/>
        <v>0</v>
      </c>
      <c r="L28" s="836">
        <f t="shared" ca="1" si="24"/>
        <v>0</v>
      </c>
      <c r="M28" s="836">
        <f t="shared" ca="1" si="24"/>
        <v>0</v>
      </c>
      <c r="N28" s="836">
        <f t="shared" ca="1" si="24"/>
        <v>0</v>
      </c>
      <c r="O28" s="836">
        <f t="shared" ca="1" si="24"/>
        <v>0</v>
      </c>
      <c r="P28" s="836">
        <f t="shared" ca="1" si="24"/>
        <v>0</v>
      </c>
      <c r="Q28" s="836">
        <f t="shared" ca="1" si="24"/>
        <v>0</v>
      </c>
      <c r="R28" s="46"/>
      <c r="S28" s="46"/>
      <c r="T28" s="1"/>
      <c r="U28" s="435">
        <f>IF(AND(W28&gt;=$U$1,W28&lt;=$U$2),IF(X28='ESTRATTO CONTO'!$E$2,1+COUNTIF(U$4:U27,"&gt;0"),0),0)</f>
        <v>8</v>
      </c>
      <c r="V28" s="417">
        <f t="shared" si="8"/>
        <v>25</v>
      </c>
      <c r="W28" s="509">
        <f>COSTI!W28</f>
        <v>45597</v>
      </c>
      <c r="X28" s="321" t="s">
        <v>62</v>
      </c>
      <c r="Y28" s="905" t="s">
        <v>612</v>
      </c>
      <c r="Z28" s="508">
        <f>COSTI!Z28*-1</f>
        <v>-100</v>
      </c>
      <c r="AA28" s="356"/>
      <c r="AB28" s="306" t="str">
        <f t="shared" si="0"/>
        <v>11CASSA</v>
      </c>
      <c r="AC28" s="637">
        <f t="shared" si="6"/>
        <v>0</v>
      </c>
      <c r="AD28" s="935">
        <f>IF(ISERROR(VLOOKUP(AD$2,X29:X$1003,1,FALSE)),IF(X28=AD$2,SUMIF(X$4:X28,AD$2,Z$4:Z28)+$E$9+SUM(AQ$4:AQ$1003)+SUMIF(COSTI!$X$1379:$X$1430,AD$2,COSTI!$Z$1379:$Z$1430),0),0)</f>
        <v>0</v>
      </c>
      <c r="AE28" s="26"/>
      <c r="AF28" s="856" t="e">
        <f>IF(ISERROR(VLOOKUP(AG$2,X29:X$1003,1,FALSE)),IF(X28=AG$2,SUMIF(X$4:X28,AG$2,Z$4:Z28)+VLOOKUP(AF$2,$B$1057:$F$1068,5,FALSE)+SUM(AR$4:AR$1003)+SUMIF(COSTI!$X$1379:$X$1430,AG$2,COSTI!$Z$1379:$Z$1430),0),0)</f>
        <v>#N/A</v>
      </c>
      <c r="AG28" s="859"/>
      <c r="AH28" s="27">
        <f t="shared" si="1"/>
        <v>1</v>
      </c>
      <c r="AI28" s="152">
        <f>IF(W29&gt;0,0,IF(AH28=0,(Z28*-1)+BC28+SUM(BB$4:BB27),BC28+SUM(BB$4:BB27)))</f>
        <v>0</v>
      </c>
      <c r="AJ28" s="931">
        <f>IF(AND(AL28&gt;=$U$1,AL28&lt;=$U$2),IF(AM28='ESTRATTO CONTO'!$E$2,1+COUNTIF(AJ$4:AJ27,"&gt;0")+U$1015,0),0)</f>
        <v>22</v>
      </c>
      <c r="AK28" s="203">
        <f>IF(AND(OR((AK27+1)&lt;AL$1015,(AK27+1)=AL$1015),MAX(AK$4:AK27)&lt;AL$1015),AK27+1,0)</f>
        <v>25</v>
      </c>
      <c r="AL28" s="309">
        <f>VLOOKUP($AK28,ENTI!$AF$4:AG$1003,2,FALSE)</f>
        <v>45596</v>
      </c>
      <c r="AM28" s="224" t="str">
        <f>VLOOKUP($AK28,ENTI!$AF$4:AH$1003,3,FALSE)</f>
        <v>CASSA</v>
      </c>
      <c r="AN28" s="224">
        <f>VLOOKUP($AK28,ENTI!$AF$4:AI$1003,4,FALSE)</f>
        <v>0</v>
      </c>
      <c r="AO28" s="781">
        <f>VLOOKUP($AK28,ENTI!$AF$4:AJ$1003,5,FALSE)</f>
        <v>100</v>
      </c>
      <c r="AP28" s="315" t="str">
        <f>VLOOKUP($AK28,ENTI!$AF$4:AK$1003,6,FALSE)</f>
        <v>Nome ENTE ultimo disponibile</v>
      </c>
      <c r="AQ28" s="208">
        <f t="shared" si="13"/>
        <v>100</v>
      </c>
      <c r="AR28" s="152" t="e">
        <f t="shared" si="14"/>
        <v>#N/A</v>
      </c>
      <c r="AS28" s="1"/>
      <c r="AT28" s="88" t="str">
        <f t="shared" si="4"/>
        <v>10CASSA</v>
      </c>
      <c r="AU28" s="1"/>
      <c r="AV28" s="175">
        <f>IF(AW28&gt;0,COUNTIF(AV$4:AV27,"&gt;0")+1,0)</f>
        <v>0</v>
      </c>
      <c r="AW28" s="164">
        <f t="shared" si="5"/>
        <v>0</v>
      </c>
      <c r="AX28" s="310">
        <f>IF($AW28=0,0,VLOOKUP(VLOOKUP($X28,$B$34:$T$38,19,FALSE),ENTI!$A$9:$B$13,2,FALSE))</f>
        <v>0</v>
      </c>
      <c r="AY28" s="310">
        <f t="shared" si="9"/>
        <v>0</v>
      </c>
      <c r="AZ28" s="316">
        <f t="shared" si="10"/>
        <v>0</v>
      </c>
      <c r="BA28" s="1"/>
      <c r="BB28" s="152">
        <f t="shared" si="11"/>
        <v>0</v>
      </c>
      <c r="BC28" s="152">
        <f ca="1">SUM(Z$4:Z28)+SUM(BB$4:BB28)+COSTI!S$6-COSTI!L$1076</f>
        <v>500</v>
      </c>
      <c r="BD28" s="1"/>
    </row>
    <row r="29" spans="1:56" ht="16.5" customHeight="1">
      <c r="A29" s="1"/>
      <c r="B29" s="46"/>
      <c r="C29" s="46"/>
      <c r="D29" s="46"/>
      <c r="E29" s="55"/>
      <c r="F29" s="56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46"/>
      <c r="S29" s="46"/>
      <c r="T29" s="1"/>
      <c r="U29" s="435">
        <f>IF(AND(W29&gt;=$U$1,W29&lt;=$U$2),IF(X29='ESTRATTO CONTO'!$E$2,1+COUNTIF(U$4:U28,"&gt;0"),0),0)</f>
        <v>9</v>
      </c>
      <c r="V29" s="417">
        <f t="shared" si="8"/>
        <v>26</v>
      </c>
      <c r="W29" s="509">
        <f>COSTI!W29</f>
        <v>45609</v>
      </c>
      <c r="X29" s="321" t="s">
        <v>62</v>
      </c>
      <c r="Y29" s="905" t="s">
        <v>612</v>
      </c>
      <c r="Z29" s="508">
        <f>COSTI!Z29*-1</f>
        <v>-100</v>
      </c>
      <c r="AA29" s="356"/>
      <c r="AB29" s="306" t="str">
        <f t="shared" si="0"/>
        <v>11CASSA</v>
      </c>
      <c r="AC29" s="637">
        <f t="shared" si="6"/>
        <v>0</v>
      </c>
      <c r="AD29" s="935">
        <f>IF(ISERROR(VLOOKUP(AD$2,X30:X$1003,1,FALSE)),IF(X29=AD$2,SUMIF(X$4:X29,AD$2,Z$4:Z29)+$E$9+SUM(AQ$4:AQ$1003)+SUMIF(COSTI!$X$1379:$X$1430,AD$2,COSTI!$Z$1379:$Z$1430),0),0)</f>
        <v>0</v>
      </c>
      <c r="AE29" s="26"/>
      <c r="AF29" s="856" t="e">
        <f>IF(ISERROR(VLOOKUP(AG$2,X30:X$1003,1,FALSE)),IF(X29=AG$2,SUMIF(X$4:X29,AG$2,Z$4:Z29)+VLOOKUP(AF$2,$B$1057:$F$1068,5,FALSE)+SUM(AR$4:AR$1003)+SUMIF(COSTI!$X$1379:$X$1430,AG$2,COSTI!$Z$1379:$Z$1430),0),0)</f>
        <v>#N/A</v>
      </c>
      <c r="AG29" s="859"/>
      <c r="AH29" s="27">
        <f t="shared" si="1"/>
        <v>1</v>
      </c>
      <c r="AI29" s="152">
        <f>IF(W30&gt;0,0,IF(AH29=0,(Z29*-1)+BC29+SUM(BB$4:BB28),BC29+SUM(BB$4:BB28)))</f>
        <v>0</v>
      </c>
      <c r="AJ29" s="931">
        <f>IF(AND(AL29&gt;=$U$1,AL29&lt;=$U$2),IF(AM29='ESTRATTO CONTO'!$E$2,1+COUNTIF(AJ$4:AJ28,"&gt;0")+U$1015,0),0)</f>
        <v>23</v>
      </c>
      <c r="AK29" s="203">
        <f>IF(AND(OR((AK28+1)&lt;AL$1015,(AK28+1)=AL$1015),MAX(AK$4:AK28)&lt;AL$1015),AK28+1,0)</f>
        <v>26</v>
      </c>
      <c r="AL29" s="309">
        <f>VLOOKUP($AK29,ENTI!$AF$4:AG$1003,2,FALSE)</f>
        <v>45608</v>
      </c>
      <c r="AM29" s="224" t="str">
        <f>VLOOKUP($AK29,ENTI!$AF$4:AH$1003,3,FALSE)</f>
        <v>CASSA</v>
      </c>
      <c r="AN29" s="224">
        <f>VLOOKUP($AK29,ENTI!$AF$4:AI$1003,4,FALSE)</f>
        <v>0</v>
      </c>
      <c r="AO29" s="781">
        <f>VLOOKUP($AK29,ENTI!$AF$4:AJ$1003,5,FALSE)</f>
        <v>50</v>
      </c>
      <c r="AP29" s="315" t="str">
        <f>VLOOKUP($AK29,ENTI!$AF$4:AK$1003,6,FALSE)</f>
        <v>Nome ENTE 1</v>
      </c>
      <c r="AQ29" s="208">
        <f t="shared" si="13"/>
        <v>50</v>
      </c>
      <c r="AR29" s="152" t="e">
        <f t="shared" si="14"/>
        <v>#N/A</v>
      </c>
      <c r="AS29" s="1"/>
      <c r="AT29" s="88" t="str">
        <f t="shared" si="4"/>
        <v>11CASSA</v>
      </c>
      <c r="AU29" s="1"/>
      <c r="AV29" s="175">
        <f>IF(AW29&gt;0,COUNTIF(AV$4:AV28,"&gt;0")+1,0)</f>
        <v>0</v>
      </c>
      <c r="AW29" s="164">
        <f t="shared" si="5"/>
        <v>0</v>
      </c>
      <c r="AX29" s="310">
        <f>IF($AW29=0,0,VLOOKUP(VLOOKUP($X29,$B$34:$T$38,19,FALSE),ENTI!$A$9:$B$13,2,FALSE))</f>
        <v>0</v>
      </c>
      <c r="AY29" s="310">
        <f t="shared" si="9"/>
        <v>0</v>
      </c>
      <c r="AZ29" s="316">
        <f t="shared" si="10"/>
        <v>0</v>
      </c>
      <c r="BA29" s="1"/>
      <c r="BB29" s="152">
        <f t="shared" si="11"/>
        <v>0</v>
      </c>
      <c r="BC29" s="152">
        <f ca="1">SUM(Z$4:Z29)+SUM(BB$4:BB29)+COSTI!S$6-COSTI!L$1076</f>
        <v>400</v>
      </c>
      <c r="BD29" s="1"/>
    </row>
    <row r="30" spans="1:56" ht="16.5" customHeight="1">
      <c r="A30" s="3"/>
      <c r="B30" s="1493" t="s">
        <v>390</v>
      </c>
      <c r="C30" s="1493"/>
      <c r="D30" s="1493"/>
      <c r="E30" s="1493"/>
      <c r="F30" s="1493"/>
      <c r="G30" s="1493"/>
      <c r="H30" s="1493"/>
      <c r="I30" s="1493"/>
      <c r="J30" s="1493"/>
      <c r="K30" s="1493"/>
      <c r="L30" s="1493"/>
      <c r="M30" s="1493"/>
      <c r="N30" s="46"/>
      <c r="O30" s="46"/>
      <c r="P30" s="46"/>
      <c r="Q30" s="46"/>
      <c r="R30" s="46"/>
      <c r="S30" s="46"/>
      <c r="T30" s="3"/>
      <c r="U30" s="435">
        <f>IF(AND(W30&gt;=$U$1,W30&lt;=$U$2),IF(X30='ESTRATTO CONTO'!$E$2,1+COUNTIF(U$4:U29,"&gt;0"),0),0)</f>
        <v>10</v>
      </c>
      <c r="V30" s="417">
        <f t="shared" si="8"/>
        <v>27</v>
      </c>
      <c r="W30" s="509">
        <f>COSTI!W30</f>
        <v>45621</v>
      </c>
      <c r="X30" s="321" t="s">
        <v>62</v>
      </c>
      <c r="Y30" s="905" t="s">
        <v>612</v>
      </c>
      <c r="Z30" s="508">
        <f>COSTI!Z30*-1</f>
        <v>-100</v>
      </c>
      <c r="AA30" s="356"/>
      <c r="AB30" s="306" t="str">
        <f t="shared" si="0"/>
        <v>11CASSA</v>
      </c>
      <c r="AC30" s="637">
        <f t="shared" si="6"/>
        <v>0</v>
      </c>
      <c r="AD30" s="935">
        <f>IF(ISERROR(VLOOKUP(AD$2,X31:X$1003,1,FALSE)),IF(X30=AD$2,SUMIF(X$4:X30,AD$2,Z$4:Z30)+$E$9+SUM(AQ$4:AQ$1003)+SUMIF(COSTI!$X$1379:$X$1430,AD$2,COSTI!$Z$1379:$Z$1430),0),0)</f>
        <v>0</v>
      </c>
      <c r="AE30" s="26"/>
      <c r="AF30" s="856" t="e">
        <f>IF(ISERROR(VLOOKUP(AG$2,X31:X$1003,1,FALSE)),IF(X30=AG$2,SUMIF(X$4:X30,AG$2,Z$4:Z30)+VLOOKUP(AF$2,$B$1057:$F$1068,5,FALSE)+SUM(AR$4:AR$1003)+SUMIF(COSTI!$X$1379:$X$1430,AG$2,COSTI!$Z$1379:$Z$1430),0),0)</f>
        <v>#N/A</v>
      </c>
      <c r="AG30" s="859"/>
      <c r="AH30" s="27">
        <f t="shared" si="1"/>
        <v>1</v>
      </c>
      <c r="AI30" s="152">
        <f>IF(W31&gt;0,0,IF(AH30=0,(Z30*-1)+BC30+SUM(BB$4:BB29),BC30+SUM(BB$4:BB29)))</f>
        <v>0</v>
      </c>
      <c r="AJ30" s="931">
        <f>IF(AND(AL30&gt;=$U$1,AL30&lt;=$U$2),IF(AM30='ESTRATTO CONTO'!$E$2,1+COUNTIF(AJ$4:AJ29,"&gt;0")+U$1015,0),0)</f>
        <v>24</v>
      </c>
      <c r="AK30" s="203">
        <f>IF(AND(OR((AK29+1)&lt;AL$1015,(AK29+1)=AL$1015),MAX(AK$4:AK29)&lt;AL$1015),AK29+1,0)</f>
        <v>27</v>
      </c>
      <c r="AL30" s="309">
        <f>VLOOKUP($AK30,ENTI!$AF$4:AG$1003,2,FALSE)</f>
        <v>45620</v>
      </c>
      <c r="AM30" s="224" t="str">
        <f>VLOOKUP($AK30,ENTI!$AF$4:AH$1003,3,FALSE)</f>
        <v>CASSA</v>
      </c>
      <c r="AN30" s="224">
        <f>VLOOKUP($AK30,ENTI!$AF$4:AI$1003,4,FALSE)</f>
        <v>0</v>
      </c>
      <c r="AO30" s="781">
        <f>VLOOKUP($AK30,ENTI!$AF$4:AJ$1003,5,FALSE)</f>
        <v>300</v>
      </c>
      <c r="AP30" s="315" t="str">
        <f>VLOOKUP($AK30,ENTI!$AF$4:AK$1003,6,FALSE)</f>
        <v>Nome ENTE 2</v>
      </c>
      <c r="AQ30" s="208">
        <f t="shared" si="13"/>
        <v>300</v>
      </c>
      <c r="AR30" s="152" t="e">
        <f t="shared" si="14"/>
        <v>#N/A</v>
      </c>
      <c r="AS30" s="1"/>
      <c r="AT30" s="88" t="str">
        <f t="shared" si="4"/>
        <v>11CASSA</v>
      </c>
      <c r="AU30" s="1"/>
      <c r="AV30" s="175">
        <f>IF(AW30&gt;0,COUNTIF(AV$4:AV29,"&gt;0")+1,0)</f>
        <v>0</v>
      </c>
      <c r="AW30" s="164">
        <f t="shared" si="5"/>
        <v>0</v>
      </c>
      <c r="AX30" s="310">
        <f>IF($AW30=0,0,VLOOKUP(VLOOKUP($X30,$B$34:$T$38,19,FALSE),ENTI!$A$9:$B$13,2,FALSE))</f>
        <v>0</v>
      </c>
      <c r="AY30" s="310">
        <f t="shared" si="9"/>
        <v>0</v>
      </c>
      <c r="AZ30" s="316">
        <f t="shared" si="10"/>
        <v>0</v>
      </c>
      <c r="BA30" s="1"/>
      <c r="BB30" s="152">
        <f t="shared" si="11"/>
        <v>0</v>
      </c>
      <c r="BC30" s="152">
        <f ca="1">SUM(Z$4:Z30)+SUM(BB$4:BB30)+COSTI!S$6-COSTI!L$1076</f>
        <v>300</v>
      </c>
      <c r="BD30" s="1"/>
    </row>
    <row r="31" spans="1:56" ht="16.5" customHeight="1">
      <c r="A31" s="1"/>
      <c r="B31" s="1498" t="s">
        <v>115</v>
      </c>
      <c r="C31" s="1498"/>
      <c r="D31" s="1498"/>
      <c r="E31" s="1498"/>
      <c r="F31" s="1498"/>
      <c r="G31" s="1498"/>
      <c r="H31" s="1498"/>
      <c r="I31" s="1498"/>
      <c r="J31" s="1498"/>
      <c r="K31" s="1498"/>
      <c r="L31" s="1498"/>
      <c r="M31" s="1498"/>
      <c r="N31" s="1498"/>
      <c r="O31" s="1498"/>
      <c r="P31" s="1498"/>
      <c r="Q31" s="1498"/>
      <c r="R31" s="547"/>
      <c r="S31" s="548" t="str">
        <f>Presentazione!K26</f>
        <v>EURO</v>
      </c>
      <c r="T31" s="1"/>
      <c r="U31" s="435">
        <f>IF(AND(W31&gt;=$U$1,W31&lt;=$U$2),IF(X31='ESTRATTO CONTO'!$E$2,1+COUNTIF(U$4:U30,"&gt;0"),0),0)</f>
        <v>11</v>
      </c>
      <c r="V31" s="417">
        <f t="shared" si="8"/>
        <v>28</v>
      </c>
      <c r="W31" s="509">
        <f>COSTI!W31</f>
        <v>45633</v>
      </c>
      <c r="X31" s="321" t="s">
        <v>62</v>
      </c>
      <c r="Y31" s="905" t="s">
        <v>612</v>
      </c>
      <c r="Z31" s="508">
        <f>COSTI!Z31*-1</f>
        <v>-100</v>
      </c>
      <c r="AA31" s="356"/>
      <c r="AB31" s="306" t="str">
        <f t="shared" si="0"/>
        <v>12CASSA</v>
      </c>
      <c r="AC31" s="637">
        <f t="shared" si="6"/>
        <v>0</v>
      </c>
      <c r="AD31" s="935">
        <f>IF(ISERROR(VLOOKUP(AD$2,X32:X$1003,1,FALSE)),IF(X31=AD$2,SUMIF(X$4:X31,AD$2,Z$4:Z31)+$E$9+SUM(AQ$4:AQ$1003)+SUMIF(COSTI!$X$1379:$X$1430,AD$2,COSTI!$Z$1379:$Z$1430),0),0)</f>
        <v>0</v>
      </c>
      <c r="AE31" s="26"/>
      <c r="AF31" s="856" t="e">
        <f>IF(ISERROR(VLOOKUP(AG$2,X32:X$1003,1,FALSE)),IF(X31=AG$2,SUMIF(X$4:X31,AG$2,Z$4:Z31)+VLOOKUP(AF$2,$B$1057:$F$1068,5,FALSE)+SUM(AR$4:AR$1003)+SUMIF(COSTI!$X$1379:$X$1430,AG$2,COSTI!$Z$1379:$Z$1430),0),0)</f>
        <v>#N/A</v>
      </c>
      <c r="AG31" s="859"/>
      <c r="AH31" s="27">
        <f t="shared" si="1"/>
        <v>1</v>
      </c>
      <c r="AI31" s="152">
        <f>IF(W32&gt;0,0,IF(AH31=0,(Z31*-1)+BC31+SUM(BB$4:BB30),BC31+SUM(BB$4:BB30)))</f>
        <v>0</v>
      </c>
      <c r="AJ31" s="931">
        <f>IF(AND(AL31&gt;=$U$1,AL31&lt;=$U$2),IF(AM31='ESTRATTO CONTO'!$E$2,1+COUNTIF(AJ$4:AJ30,"&gt;0")+U$1015,0),0)</f>
        <v>0</v>
      </c>
      <c r="AK31" s="203">
        <f>IF(AND(OR((AK30+1)&lt;AL$1015,(AK30+1)=AL$1015),MAX(AK$4:AK30)&lt;AL$1015),AK30+1,0)</f>
        <v>28</v>
      </c>
      <c r="AL31" s="309">
        <f>VLOOKUP($AK31,ENTI!$AF$4:AG$1003,2,FALSE)</f>
        <v>45632</v>
      </c>
      <c r="AM31" s="224" t="str">
        <f>VLOOKUP($AK31,ENTI!$AF$4:AH$1003,3,FALSE)</f>
        <v>BANCA C/C nr. 1234567</v>
      </c>
      <c r="AN31" s="224">
        <f>VLOOKUP($AK31,ENTI!$AF$4:AI$1003,4,FALSE)</f>
        <v>0</v>
      </c>
      <c r="AO31" s="781">
        <f>VLOOKUP($AK31,ENTI!$AF$4:AJ$1003,5,FALSE)</f>
        <v>50</v>
      </c>
      <c r="AP31" s="315" t="str">
        <f>VLOOKUP($AK31,ENTI!$AF$4:AK$1003,6,FALSE)</f>
        <v>Nome ENTE 3</v>
      </c>
      <c r="AQ31" s="208">
        <f t="shared" si="13"/>
        <v>0</v>
      </c>
      <c r="AR31" s="152" t="e">
        <f t="shared" si="14"/>
        <v>#N/A</v>
      </c>
      <c r="AS31" s="1"/>
      <c r="AT31" s="88" t="str">
        <f t="shared" si="4"/>
        <v>12BANCA C/C nr. 1234567</v>
      </c>
      <c r="AU31" s="1"/>
      <c r="AV31" s="175">
        <f>IF(AW31&gt;0,COUNTIF(AV$4:AV30,"&gt;0")+1,0)</f>
        <v>0</v>
      </c>
      <c r="AW31" s="164">
        <f t="shared" si="5"/>
        <v>0</v>
      </c>
      <c r="AX31" s="310">
        <f>IF($AW31=0,0,VLOOKUP(VLOOKUP($X31,$B$34:$T$38,19,FALSE),ENTI!$A$9:$B$13,2,FALSE))</f>
        <v>0</v>
      </c>
      <c r="AY31" s="310">
        <f t="shared" si="9"/>
        <v>0</v>
      </c>
      <c r="AZ31" s="316">
        <f t="shared" si="10"/>
        <v>0</v>
      </c>
      <c r="BA31" s="1"/>
      <c r="BB31" s="152">
        <f t="shared" si="11"/>
        <v>0</v>
      </c>
      <c r="BC31" s="152">
        <f ca="1">SUM(Z$4:Z31)+SUM(BB$4:BB31)+COSTI!S$6-COSTI!L$1076</f>
        <v>200</v>
      </c>
      <c r="BD31" s="1"/>
    </row>
    <row r="32" spans="1:56" ht="16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960">
        <f ca="1">SUM(S34:S38)</f>
        <v>-636.7600000000001</v>
      </c>
      <c r="T32" s="1"/>
      <c r="U32" s="435">
        <f>IF(AND(W32&gt;=$U$1,W32&lt;=$U$2),IF(X32='ESTRATTO CONTO'!$E$2,1+COUNTIF(U$4:U31,"&gt;0"),0),0)</f>
        <v>0</v>
      </c>
      <c r="V32" s="417">
        <f t="shared" si="8"/>
        <v>29</v>
      </c>
      <c r="W32" s="509">
        <f>COSTI!W32</f>
        <v>45645</v>
      </c>
      <c r="X32" s="321" t="s">
        <v>498</v>
      </c>
      <c r="Y32" s="905" t="s">
        <v>612</v>
      </c>
      <c r="Z32" s="508">
        <f>COSTI!Z32*-1</f>
        <v>-100</v>
      </c>
      <c r="AA32" s="356"/>
      <c r="AB32" s="306" t="str">
        <f t="shared" si="0"/>
        <v>12BANCA C/C nr. 1234567</v>
      </c>
      <c r="AC32" s="637">
        <f t="shared" si="6"/>
        <v>0</v>
      </c>
      <c r="AD32" s="935">
        <f>IF(ISERROR(VLOOKUP(AD$2,X33:X$1003,1,FALSE)),IF(X32=AD$2,SUMIF(X$4:X32,AD$2,Z$4:Z32)+$E$9+SUM(AQ$4:AQ$1003)+SUMIF(COSTI!$X$1379:$X$1430,AD$2,COSTI!$Z$1379:$Z$1430),0),0)</f>
        <v>0</v>
      </c>
      <c r="AE32" s="26"/>
      <c r="AF32" s="856" t="e">
        <f>IF(ISERROR(VLOOKUP(AG$2,X33:X$1003,1,FALSE)),IF(X32=AG$2,SUMIF(X$4:X32,AG$2,Z$4:Z32)+VLOOKUP(AF$2,$B$1057:$F$1068,5,FALSE)+SUM(AR$4:AR$1003)+SUMIF(COSTI!$X$1379:$X$1430,AG$2,COSTI!$Z$1379:$Z$1430),0),0)</f>
        <v>#N/A</v>
      </c>
      <c r="AG32" s="859"/>
      <c r="AH32" s="27">
        <f t="shared" si="1"/>
        <v>1</v>
      </c>
      <c r="AI32" s="152">
        <f>IF(W33&gt;0,0,IF(AH32=0,(Z32*-1)+BC32+SUM(BB$4:BB31),BC32+SUM(BB$4:BB31)))</f>
        <v>0</v>
      </c>
      <c r="AJ32" s="931">
        <f>IF(AND(AL32&gt;=$U$1,AL32&lt;=$U$2),IF(AM32='ESTRATTO CONTO'!$E$2,1+COUNTIF(AJ$4:AJ31,"&gt;0")+U$1015,0),0)</f>
        <v>0</v>
      </c>
      <c r="AK32" s="203">
        <f>IF(AND(OR((AK31+1)&lt;AL$1015,(AK31+1)=AL$1015),MAX(AK$4:AK31)&lt;AL$1015),AK31+1,0)</f>
        <v>29</v>
      </c>
      <c r="AL32" s="309">
        <f>VLOOKUP($AK32,ENTI!$AF$4:AG$1003,2,FALSE)</f>
        <v>45644</v>
      </c>
      <c r="AM32" s="224" t="str">
        <f>VLOOKUP($AK32,ENTI!$AF$4:AH$1003,3,FALSE)</f>
        <v>BANCA C/C nr. 1234567</v>
      </c>
      <c r="AN32" s="224">
        <f>VLOOKUP($AK32,ENTI!$AF$4:AI$1003,4,FALSE)</f>
        <v>0</v>
      </c>
      <c r="AO32" s="781">
        <f>VLOOKUP($AK32,ENTI!$AF$4:AJ$1003,5,FALSE)</f>
        <v>100</v>
      </c>
      <c r="AP32" s="315" t="str">
        <f>VLOOKUP($AK32,ENTI!$AF$4:AK$1003,6,FALSE)</f>
        <v>Nome ENTE 4 / sovrascrivi</v>
      </c>
      <c r="AQ32" s="208">
        <f t="shared" si="13"/>
        <v>0</v>
      </c>
      <c r="AR32" s="152" t="e">
        <f t="shared" si="14"/>
        <v>#N/A</v>
      </c>
      <c r="AS32" s="1"/>
      <c r="AT32" s="88" t="str">
        <f t="shared" si="4"/>
        <v>12BANCA C/C nr. 1234567</v>
      </c>
      <c r="AU32" s="1"/>
      <c r="AV32" s="175">
        <f>IF(AW32&gt;0,COUNTIF(AV$4:AV31,"&gt;0")+1,0)</f>
        <v>0</v>
      </c>
      <c r="AW32" s="164">
        <f t="shared" si="5"/>
        <v>0</v>
      </c>
      <c r="AX32" s="310">
        <f>IF($AW32=0,0,VLOOKUP(VLOOKUP($X32,$B$34:$T$38,19,FALSE),ENTI!$A$9:$B$13,2,FALSE))</f>
        <v>0</v>
      </c>
      <c r="AY32" s="310">
        <f t="shared" si="9"/>
        <v>0</v>
      </c>
      <c r="AZ32" s="316">
        <f t="shared" si="10"/>
        <v>0</v>
      </c>
      <c r="BA32" s="1"/>
      <c r="BB32" s="152">
        <f t="shared" si="11"/>
        <v>0</v>
      </c>
      <c r="BC32" s="152">
        <f ca="1">SUM(Z$4:Z32)+SUM(BB$4:BB32)+COSTI!S$6-COSTI!L$1076</f>
        <v>100</v>
      </c>
      <c r="BD32" s="1"/>
    </row>
    <row r="33" spans="1:56" ht="16.5" customHeight="1">
      <c r="A33" s="1"/>
      <c r="B33" s="1487" t="s">
        <v>79</v>
      </c>
      <c r="C33" s="1487"/>
      <c r="D33" s="1487"/>
      <c r="E33" s="287" t="s">
        <v>68</v>
      </c>
      <c r="F33" s="993" t="str">
        <f>Presentazione!B206</f>
        <v>Gennaio</v>
      </c>
      <c r="G33" s="993" t="str">
        <f>Presentazione!C206</f>
        <v>Febbraio</v>
      </c>
      <c r="H33" s="993" t="str">
        <f>Presentazione!D206</f>
        <v>Marzo</v>
      </c>
      <c r="I33" s="993" t="str">
        <f>Presentazione!E206</f>
        <v>Aprile</v>
      </c>
      <c r="J33" s="993" t="str">
        <f>Presentazione!F206</f>
        <v>Maggio</v>
      </c>
      <c r="K33" s="993" t="str">
        <f>Presentazione!G206</f>
        <v>Giugno</v>
      </c>
      <c r="L33" s="993" t="str">
        <f>Presentazione!H206</f>
        <v>Luglio</v>
      </c>
      <c r="M33" s="993" t="str">
        <f>Presentazione!I206</f>
        <v>Agosto</v>
      </c>
      <c r="N33" s="993" t="str">
        <f>Presentazione!J206</f>
        <v>Settembre</v>
      </c>
      <c r="O33" s="993" t="str">
        <f>Presentazione!K206</f>
        <v>Ottobre</v>
      </c>
      <c r="P33" s="993" t="str">
        <f>Presentazione!L206</f>
        <v>Novembre</v>
      </c>
      <c r="Q33" s="993" t="str">
        <f>Presentazione!M206</f>
        <v>Dicembre</v>
      </c>
      <c r="R33" s="157"/>
      <c r="S33" s="287" t="s">
        <v>456</v>
      </c>
      <c r="T33" s="1"/>
      <c r="U33" s="435">
        <f>IF(AND(W33&gt;=$U$1,W33&lt;=$U$2),IF(X33='ESTRATTO CONTO'!$E$2,1+COUNTIF(U$4:U32,"&gt;0"),0),0)</f>
        <v>0</v>
      </c>
      <c r="V33" s="417">
        <f t="shared" si="8"/>
        <v>30</v>
      </c>
      <c r="W33" s="509">
        <f>COSTI!W33</f>
        <v>45657</v>
      </c>
      <c r="X33" s="321" t="s">
        <v>499</v>
      </c>
      <c r="Y33" s="905" t="s">
        <v>612</v>
      </c>
      <c r="Z33" s="508">
        <f>COSTI!Z33*-1</f>
        <v>-100</v>
      </c>
      <c r="AA33" s="356"/>
      <c r="AB33" s="306" t="str">
        <f t="shared" si="0"/>
        <v>12POSTA C/C nr. 7654321</v>
      </c>
      <c r="AC33" s="637">
        <f t="shared" ca="1" si="6"/>
        <v>0</v>
      </c>
      <c r="AD33" s="935">
        <f>IF(ISERROR(VLOOKUP(AD$2,X34:X$1003,1,FALSE)),IF(X33=AD$2,SUMIF(X$4:X33,AD$2,Z$4:Z33)+$E$9+SUM(AQ$4:AQ$1003)+SUMIF(COSTI!$X$1379:$X$1430,AD$2,COSTI!$Z$1379:$Z$1430),0),0)</f>
        <v>0</v>
      </c>
      <c r="AE33" s="26"/>
      <c r="AF33" s="856" t="e">
        <f>IF(ISERROR(VLOOKUP(AG$2,X34:X$1003,1,FALSE)),IF(X33=AG$2,SUMIF(X$4:X33,AG$2,Z$4:Z33)+VLOOKUP(AF$2,$B$1057:$F$1068,5,FALSE)+SUM(AR$4:AR$1003)+SUMIF(COSTI!$X$1379:$X$1430,AG$2,COSTI!$Z$1379:$Z$1430),0),0)</f>
        <v>#N/A</v>
      </c>
      <c r="AG33" s="859"/>
      <c r="AH33" s="27">
        <f t="shared" si="1"/>
        <v>1</v>
      </c>
      <c r="AI33" s="152">
        <f ca="1">IF(W34&gt;0,0,IF(AH33=0,(Z33*-1)+BC33+SUM(BB$4:BB32),BC33+SUM(BB$4:BB32)))</f>
        <v>0</v>
      </c>
      <c r="AJ33" s="931">
        <f>IF(AND(AL33&gt;=$U$1,AL33&lt;=$U$2),IF(AM33='ESTRATTO CONTO'!$E$2,1+COUNTIF(AJ$4:AJ32,"&gt;0")+U$1015,0),0)</f>
        <v>0</v>
      </c>
      <c r="AK33" s="203">
        <f>IF(AND(OR((AK32+1)&lt;AL$1015,(AK32+1)=AL$1015),MAX(AK$4:AK32)&lt;AL$1015),AK32+1,0)</f>
        <v>30</v>
      </c>
      <c r="AL33" s="309">
        <f>VLOOKUP($AK33,ENTI!$AF$4:AG$1003,2,FALSE)</f>
        <v>45656</v>
      </c>
      <c r="AM33" s="224" t="str">
        <f>VLOOKUP($AK33,ENTI!$AF$4:AH$1003,3,FALSE)</f>
        <v>POSTA C/C nr. 7654321</v>
      </c>
      <c r="AN33" s="224">
        <f>VLOOKUP($AK33,ENTI!$AF$4:AI$1003,4,FALSE)</f>
        <v>0</v>
      </c>
      <c r="AO33" s="781">
        <f>VLOOKUP($AK33,ENTI!$AF$4:AJ$1003,5,FALSE)</f>
        <v>50</v>
      </c>
      <c r="AP33" s="315" t="str">
        <f>VLOOKUP($AK33,ENTI!$AF$4:AK$1003,6,FALSE)</f>
        <v>Nome ENTE ultimo disponibile</v>
      </c>
      <c r="AQ33" s="208">
        <f t="shared" si="13"/>
        <v>0</v>
      </c>
      <c r="AR33" s="152" t="e">
        <f t="shared" si="14"/>
        <v>#N/A</v>
      </c>
      <c r="AS33" s="1"/>
      <c r="AT33" s="88" t="str">
        <f t="shared" si="4"/>
        <v>12POSTA C/C nr. 7654321</v>
      </c>
      <c r="AU33" s="1"/>
      <c r="AV33" s="175">
        <f>IF(AW33&gt;0,COUNTIF(AV$4:AV32,"&gt;0")+1,0)</f>
        <v>0</v>
      </c>
      <c r="AW33" s="164">
        <f t="shared" si="5"/>
        <v>0</v>
      </c>
      <c r="AX33" s="310">
        <f>IF($AW33=0,0,VLOOKUP(VLOOKUP($X33,$B$34:$T$38,19,FALSE),ENTI!$A$9:$B$13,2,FALSE))</f>
        <v>0</v>
      </c>
      <c r="AY33" s="310">
        <f t="shared" si="9"/>
        <v>0</v>
      </c>
      <c r="AZ33" s="316">
        <f t="shared" si="10"/>
        <v>0</v>
      </c>
      <c r="BA33" s="1"/>
      <c r="BB33" s="152">
        <f t="shared" si="11"/>
        <v>0</v>
      </c>
      <c r="BC33" s="152">
        <f ca="1">SUM(Z$4:Z33)+SUM(BB$4:BB33)+COSTI!S$6-COSTI!L$1076</f>
        <v>0</v>
      </c>
      <c r="BD33" s="1"/>
    </row>
    <row r="34" spans="1:56" ht="16.5" customHeight="1">
      <c r="A34" s="635">
        <v>8</v>
      </c>
      <c r="B34" s="1429" t="str">
        <f>CONCATENATE(C$1041,ENTI!B9)</f>
        <v>CR/DB - Nome ENTE 1</v>
      </c>
      <c r="C34" s="1430"/>
      <c r="D34" s="1506"/>
      <c r="E34" s="851"/>
      <c r="F34" s="531">
        <f ca="1">ROUND(SUM(SUMIF($AB$4:$AB$1003,CONCATENATE(F$1029,$B34),$Z$4:$Z$1003)+SUM(ENTI!F9-RIPARTIZIONI!G37))+E34,2)</f>
        <v>52.83</v>
      </c>
      <c r="G34" s="532">
        <f ca="1">ROUND(SUM(SUMIF($AB$4:$AB$1003,CONCATENATE(G$1029,$B34),$Z$4:$Z$1003)+SUM(ENTI!G9-RIPARTIZIONI!H37))+F34,2)</f>
        <v>2.83</v>
      </c>
      <c r="H34" s="532">
        <f ca="1">ROUND(SUM(SUMIF($AB$4:$AB$1003,CONCATENATE(H$1029,$B34),$Z$4:$Z$1003)+SUM(ENTI!H9-RIPARTIZIONI!I37))+G34,2)</f>
        <v>12.83</v>
      </c>
      <c r="I34" s="532">
        <f ca="1">ROUND(SUM(SUMIF($AB$4:$AB$1003,CONCATENATE(I$1029,$B34),$Z$4:$Z$1003)+SUM(ENTI!I9-RIPARTIZIONI!J37))+H34,2)</f>
        <v>-17.170000000000002</v>
      </c>
      <c r="J34" s="532">
        <f ca="1">ROUND(SUM(SUMIF($AB$4:$AB$1003,CONCATENATE(J$1029,$B34),$Z$4:$Z$1003)+SUM(ENTI!J9-RIPARTIZIONI!K37))+I34,2)</f>
        <v>57.83</v>
      </c>
      <c r="K34" s="532">
        <f ca="1">ROUND(SUM(SUMIF($AB$4:$AB$1003,CONCATENATE(K$1029,$B34),$Z$4:$Z$1003)+SUM(ENTI!K9-RIPARTIZIONI!L37))+J34,2)</f>
        <v>47.83</v>
      </c>
      <c r="L34" s="532">
        <f ca="1">ROUND(SUM(SUMIF($AB$4:$AB$1003,CONCATENATE(L$1029,$B34),$Z$4:$Z$1003)+SUM(ENTI!L9-RIPARTIZIONI!M37))+K34,2)</f>
        <v>82.83</v>
      </c>
      <c r="M34" s="532">
        <f ca="1">ROUND(SUM(SUMIF($AB$4:$AB$1003,CONCATENATE(M$1029,$B34),$Z$4:$Z$1003)+SUM(ENTI!M9-RIPARTIZIONI!N37))+L34,2)</f>
        <v>72.83</v>
      </c>
      <c r="N34" s="532">
        <f ca="1">ROUND(SUM(SUMIF($AB$4:$AB$1003,CONCATENATE(N$1029,$B34),$Z$4:$Z$1003)+SUM(ENTI!N9-RIPARTIZIONI!O37))+M34,2)</f>
        <v>157.83000000000001</v>
      </c>
      <c r="O34" s="532">
        <f ca="1">ROUND(SUM(SUMIF($AB$4:$AB$1003,CONCATENATE(O$1029,$B34),$Z$4:$Z$1003)+SUM(ENTI!O9-RIPARTIZIONI!P37))+N34,2)</f>
        <v>146.66</v>
      </c>
      <c r="P34" s="532">
        <f ca="1">ROUND(SUM(SUMIF($AB$4:$AB$1003,CONCATENATE(P$1029,$B34),$Z$4:$Z$1003)+SUM(ENTI!P9-RIPARTIZIONI!Q37))+O34,2)</f>
        <v>166.66</v>
      </c>
      <c r="Q34" s="533">
        <f ca="1">ROUND(SUM(SUMIF($AB$4:$AB$1003,CONCATENATE(Q$1029,$B34),$Z$4:$Z$1003)+SUM(ENTI!Q9-RIPARTIZIONI!R37))+P34,2)</f>
        <v>136.66</v>
      </c>
      <c r="R34" s="27"/>
      <c r="S34" s="961">
        <f ca="1">IF(ISERROR(F34),0,SUM(Q34))</f>
        <v>136.66</v>
      </c>
      <c r="T34" s="274">
        <v>1</v>
      </c>
      <c r="U34" s="435">
        <f>IF(AND(W34&gt;=$U$1,W34&lt;=$U$2),IF(X34='ESTRATTO CONTO'!$E$2,1+COUNTIF(U$4:U33,"&gt;0"),0),0)</f>
        <v>0</v>
      </c>
      <c r="V34" s="417">
        <f t="shared" si="8"/>
        <v>31</v>
      </c>
      <c r="W34" s="509"/>
      <c r="X34" s="321"/>
      <c r="Y34" s="905"/>
      <c r="Z34" s="508"/>
      <c r="AA34" s="356"/>
      <c r="AB34" s="306" t="str">
        <f t="shared" si="0"/>
        <v/>
      </c>
      <c r="AC34" s="637">
        <f t="shared" si="6"/>
        <v>0</v>
      </c>
      <c r="AD34" s="935">
        <f>IF(ISERROR(VLOOKUP(AD$2,X35:X$1003,1,FALSE)),IF(X34=AD$2,SUMIF(X$4:X34,AD$2,Z$4:Z34)+$E$9+SUM(AQ$4:AQ$1003)+SUMIF(COSTI!$X$1379:$X$1430,AD$2,COSTI!$Z$1379:$Z$1430),0),0)</f>
        <v>0</v>
      </c>
      <c r="AE34" s="26"/>
      <c r="AF34" s="856" t="e">
        <f>IF(ISERROR(VLOOKUP(AG$2,X35:X$1003,1,FALSE)),IF(X34=AG$2,SUMIF(X$4:X34,AG$2,Z$4:Z34)+VLOOKUP(AF$2,$B$1057:$F$1068,5,FALSE)+SUM(AR$4:AR$1003)+SUMIF(COSTI!$X$1379:$X$1430,AG$2,COSTI!$Z$1379:$Z$1430),0),0)</f>
        <v>#N/A</v>
      </c>
      <c r="AG34" s="859"/>
      <c r="AH34" s="27" t="str">
        <f t="shared" si="1"/>
        <v/>
      </c>
      <c r="AI34" s="152">
        <f>IF(W35&gt;0,0,IF(AH34=0,(Z34*-1)+BC34+SUM(BB$4:BB33),BC34+SUM(BB$4:BB33)))</f>
        <v>0</v>
      </c>
      <c r="AJ34" s="931">
        <f>IF(AND(AL34&gt;=$U$1,AL34&lt;=$U$2),IF(AM34='ESTRATTO CONTO'!$E$2,1+COUNTIF(AJ$4:AJ33,"&gt;0")+U$1015,0),0)</f>
        <v>0</v>
      </c>
      <c r="AK34" s="203">
        <f>IF(AND(OR((AK33+1)&lt;AL$1015,(AK33+1)=AL$1015),MAX(AK$4:AK33)&lt;AL$1015),AK33+1,0)</f>
        <v>0</v>
      </c>
      <c r="AL34" s="309">
        <f>VLOOKUP($AK34,ENTI!$AF$4:AG$1003,2,FALSE)</f>
        <v>0</v>
      </c>
      <c r="AM34" s="224">
        <f>VLOOKUP($AK34,ENTI!$AF$4:AH$1003,3,FALSE)</f>
        <v>0</v>
      </c>
      <c r="AN34" s="224">
        <f>VLOOKUP($AK34,ENTI!$AF$4:AI$1003,4,FALSE)</f>
        <v>0</v>
      </c>
      <c r="AO34" s="781">
        <f>VLOOKUP($AK34,ENTI!$AF$4:AJ$1003,5,FALSE)</f>
        <v>0</v>
      </c>
      <c r="AP34" s="315">
        <f>VLOOKUP($AK34,ENTI!$AF$4:AK$1003,6,FALSE)</f>
        <v>0</v>
      </c>
      <c r="AQ34" s="208">
        <f t="shared" si="13"/>
        <v>0</v>
      </c>
      <c r="AR34" s="152" t="e">
        <f t="shared" si="14"/>
        <v>#N/A</v>
      </c>
      <c r="AS34" s="1"/>
      <c r="AT34" s="88" t="str">
        <f t="shared" si="4"/>
        <v/>
      </c>
      <c r="AU34" s="1"/>
      <c r="AV34" s="175">
        <f>IF(AW34&gt;0,COUNTIF(AV$4:AV33,"&gt;0")+1,0)</f>
        <v>0</v>
      </c>
      <c r="AW34" s="164">
        <f t="shared" si="5"/>
        <v>0</v>
      </c>
      <c r="AX34" s="310">
        <f>IF($AW34=0,0,VLOOKUP(VLOOKUP($X34,$B$34:$T$38,19,FALSE),ENTI!$A$9:$B$13,2,FALSE))</f>
        <v>0</v>
      </c>
      <c r="AY34" s="310">
        <f t="shared" si="9"/>
        <v>0</v>
      </c>
      <c r="AZ34" s="316">
        <f t="shared" si="10"/>
        <v>0</v>
      </c>
      <c r="BA34" s="1"/>
      <c r="BB34" s="152">
        <f t="shared" si="11"/>
        <v>0</v>
      </c>
      <c r="BC34" s="152">
        <f ca="1">SUM(Z$4:Z34)+SUM(BB$4:BB34)+COSTI!S$6-COSTI!L$1076</f>
        <v>0</v>
      </c>
      <c r="BD34" s="1"/>
    </row>
    <row r="35" spans="1:56" ht="16.5" customHeight="1">
      <c r="A35" s="635">
        <v>9</v>
      </c>
      <c r="B35" s="1426" t="str">
        <f>CONCATENATE(C$1041,ENTI!B10)</f>
        <v>CR/DB - Nome ENTE 2</v>
      </c>
      <c r="C35" s="1427"/>
      <c r="D35" s="1492"/>
      <c r="E35" s="852"/>
      <c r="F35" s="534">
        <f ca="1">ROUND(SUM(SUMIF($AB$4:$AB$1003,CONCATENATE(F$1029,$B35),$Z$4:$Z$1003)+SUM(ENTI!F10-RIPARTIZIONI!G38))+E35,2)</f>
        <v>-3.83</v>
      </c>
      <c r="G35" s="469">
        <f ca="1">ROUND(SUM(SUMIF($AB$4:$AB$1003,CONCATENATE(G$1029,$B35),$Z$4:$Z$1003)+SUM(ENTI!G10-RIPARTIZIONI!H38))+F35,2)</f>
        <v>-63.83</v>
      </c>
      <c r="H35" s="469">
        <f ca="1">ROUND(SUM(SUMIF($AB$4:$AB$1003,CONCATENATE(H$1029,$B35),$Z$4:$Z$1003)+SUM(ENTI!H10-RIPARTIZIONI!I38))+G35,2)</f>
        <v>-3.83</v>
      </c>
      <c r="I35" s="469">
        <f ca="1">ROUND(SUM(SUMIF($AB$4:$AB$1003,CONCATENATE(I$1029,$B35),$Z$4:$Z$1003)+SUM(ENTI!I10-RIPARTIZIONI!J38))+H35,2)</f>
        <v>-33.83</v>
      </c>
      <c r="J35" s="469">
        <f ca="1">ROUND(SUM(SUMIF($AB$4:$AB$1003,CONCATENATE(J$1029,$B35),$Z$4:$Z$1003)+SUM(ENTI!J10-RIPARTIZIONI!K38))+I35,2)</f>
        <v>-8.83</v>
      </c>
      <c r="K35" s="469">
        <f ca="1">ROUND(SUM(SUMIF($AB$4:$AB$1003,CONCATENATE(K$1029,$B35),$Z$4:$Z$1003)+SUM(ENTI!K10-RIPARTIZIONI!L38))+J35,2)</f>
        <v>-18.829999999999998</v>
      </c>
      <c r="L35" s="469">
        <f ca="1">ROUND(SUM(SUMIF($AB$4:$AB$1003,CONCATENATE(L$1029,$B35),$Z$4:$Z$1003)+SUM(ENTI!L10-RIPARTIZIONI!M38))+K35,2)</f>
        <v>66.17</v>
      </c>
      <c r="M35" s="469">
        <f ca="1">ROUND(SUM(SUMIF($AB$4:$AB$1003,CONCATENATE(M$1029,$B35),$Z$4:$Z$1003)+SUM(ENTI!M10-RIPARTIZIONI!N38))+L35,2)</f>
        <v>56.17</v>
      </c>
      <c r="N35" s="469">
        <f ca="1">ROUND(SUM(SUMIF($AB$4:$AB$1003,CONCATENATE(N$1029,$B35),$Z$4:$Z$1003)+SUM(ENTI!N10-RIPARTIZIONI!O38))+M35,2)</f>
        <v>91.17</v>
      </c>
      <c r="O35" s="469">
        <f ca="1">ROUND(SUM(SUMIF($AB$4:$AB$1003,CONCATENATE(O$1029,$B35),$Z$4:$Z$1003)+SUM(ENTI!O10-RIPARTIZIONI!P38))+N35,2)</f>
        <v>71.17</v>
      </c>
      <c r="P35" s="469">
        <f ca="1">ROUND(SUM(SUMIF($AB$4:$AB$1003,CONCATENATE(P$1029,$B35),$Z$4:$Z$1003)+SUM(ENTI!P10-RIPARTIZIONI!Q38))+O35,2)</f>
        <v>341.17</v>
      </c>
      <c r="Q35" s="535">
        <f ca="1">ROUND(SUM(SUMIF($AB$4:$AB$1003,CONCATENATE(Q$1029,$B35),$Z$4:$Z$1003)+SUM(ENTI!Q10-RIPARTIZIONI!R38))+P35,2)</f>
        <v>309</v>
      </c>
      <c r="R35" s="27"/>
      <c r="S35" s="962">
        <f t="shared" ref="S35:S38" ca="1" si="25">IF(ISERROR(F35),0,SUM(Q35))</f>
        <v>309</v>
      </c>
      <c r="T35" s="274">
        <v>2</v>
      </c>
      <c r="U35" s="435">
        <f>IF(AND(W35&gt;=$U$1,W35&lt;=$U$2),IF(X35='ESTRATTO CONTO'!$E$2,1+COUNTIF(U$4:U34,"&gt;0"),0),0)</f>
        <v>0</v>
      </c>
      <c r="V35" s="417">
        <f t="shared" si="8"/>
        <v>32</v>
      </c>
      <c r="W35" s="509">
        <v>45566</v>
      </c>
      <c r="X35" s="321" t="s">
        <v>609</v>
      </c>
      <c r="Y35" s="905" t="s">
        <v>611</v>
      </c>
      <c r="Z35" s="508">
        <v>8.83</v>
      </c>
      <c r="AA35" s="356"/>
      <c r="AB35" s="306" t="str">
        <f t="shared" si="0"/>
        <v>10CR/DB - Nome ENTE 1</v>
      </c>
      <c r="AC35" s="637">
        <f t="shared" si="6"/>
        <v>0</v>
      </c>
      <c r="AD35" s="935">
        <f>IF(ISERROR(VLOOKUP(AD$2,X36:X$1003,1,FALSE)),IF(X35=AD$2,SUMIF(X$4:X35,AD$2,Z$4:Z35)+$E$9+SUM(AQ$4:AQ$1003)+SUMIF(COSTI!$X$1379:$X$1430,AD$2,COSTI!$Z$1379:$Z$1430),0),0)</f>
        <v>0</v>
      </c>
      <c r="AE35" s="26"/>
      <c r="AF35" s="856" t="e">
        <f>IF(ISERROR(VLOOKUP(AG$2,X36:X$1003,1,FALSE)),IF(X35=AG$2,SUMIF(X$4:X35,AG$2,Z$4:Z35)+VLOOKUP(AF$2,$B$1057:$F$1068,5,FALSE)+SUM(AR$4:AR$1003)+SUMIF(COSTI!$X$1379:$X$1430,AG$2,COSTI!$Z$1379:$Z$1430),0),0)</f>
        <v>#N/A</v>
      </c>
      <c r="AG35" s="859"/>
      <c r="AH35" s="27">
        <f t="shared" si="1"/>
        <v>0</v>
      </c>
      <c r="AI35" s="152">
        <f>IF(W36&gt;0,0,IF(AH35=0,(Z35*-1)+BC35+SUM(BB$4:BB34),BC35+SUM(BB$4:BB34)))</f>
        <v>0</v>
      </c>
      <c r="AJ35" s="931">
        <f>IF(AND(AL35&gt;=$U$1,AL35&lt;=$U$2),IF(AM35='ESTRATTO CONTO'!$E$2,1+COUNTIF(AJ$4:AJ34,"&gt;0")+U$1015,0),0)</f>
        <v>0</v>
      </c>
      <c r="AK35" s="203">
        <f>IF(AND(OR((AK34+1)&lt;AL$1015,(AK34+1)=AL$1015),MAX(AK$4:AK34)&lt;AL$1015),AK34+1,0)</f>
        <v>0</v>
      </c>
      <c r="AL35" s="309">
        <f>VLOOKUP($AK35,ENTI!$AF$4:AG$1003,2,FALSE)</f>
        <v>0</v>
      </c>
      <c r="AM35" s="224">
        <f>VLOOKUP($AK35,ENTI!$AF$4:AH$1003,3,FALSE)</f>
        <v>0</v>
      </c>
      <c r="AN35" s="224">
        <f>VLOOKUP($AK35,ENTI!$AF$4:AI$1003,4,FALSE)</f>
        <v>0</v>
      </c>
      <c r="AO35" s="781">
        <f>VLOOKUP($AK35,ENTI!$AF$4:AJ$1003,5,FALSE)</f>
        <v>0</v>
      </c>
      <c r="AP35" s="315">
        <f>VLOOKUP($AK35,ENTI!$AF$4:AK$1003,6,FALSE)</f>
        <v>0</v>
      </c>
      <c r="AQ35" s="208">
        <f t="shared" si="13"/>
        <v>0</v>
      </c>
      <c r="AR35" s="152" t="e">
        <f t="shared" si="14"/>
        <v>#N/A</v>
      </c>
      <c r="AS35" s="1"/>
      <c r="AT35" s="88" t="str">
        <f t="shared" si="4"/>
        <v/>
      </c>
      <c r="AU35" s="1"/>
      <c r="AV35" s="175">
        <f>IF(AW35&gt;0,COUNTIF(AV$4:AV34,"&gt;0")+1,0)</f>
        <v>1</v>
      </c>
      <c r="AW35" s="164">
        <f t="shared" si="5"/>
        <v>45566</v>
      </c>
      <c r="AX35" s="310" t="str">
        <f>IF($AW35=0,0,VLOOKUP(VLOOKUP($X35,$B$34:$T$38,19,FALSE),ENTI!$A$9:$B$13,2,FALSE))</f>
        <v>Nome ENTE 1</v>
      </c>
      <c r="AY35" s="310" t="str">
        <f t="shared" si="9"/>
        <v>Incassato importo da accreditare direttamente all' ente</v>
      </c>
      <c r="AZ35" s="316">
        <f t="shared" si="10"/>
        <v>8.83</v>
      </c>
      <c r="BA35" s="1"/>
      <c r="BB35" s="152">
        <f t="shared" si="11"/>
        <v>-8.83</v>
      </c>
      <c r="BC35" s="152">
        <f ca="1">SUM(Z$4:Z35)+SUM(BB$4:BB35)+COSTI!S$6-COSTI!L$1076</f>
        <v>0</v>
      </c>
      <c r="BD35" s="1"/>
    </row>
    <row r="36" spans="1:56" ht="16.5" customHeight="1">
      <c r="A36" s="635">
        <v>10</v>
      </c>
      <c r="B36" s="1426" t="str">
        <f>CONCATENATE(C$1041,ENTI!B11)</f>
        <v>CR/DB - Nome ENTE 3</v>
      </c>
      <c r="C36" s="1427"/>
      <c r="D36" s="1492"/>
      <c r="E36" s="852"/>
      <c r="F36" s="534">
        <f ca="1">ROUND(SUM(SUMIF($AB$4:$AB$1003,CONCATENATE(F$1029,$B36),$Z$4:$Z$1003)+SUM(ENTI!F11-RIPARTIZIONI!G39))+E36,2)</f>
        <v>-101</v>
      </c>
      <c r="G36" s="469">
        <f ca="1">ROUND(SUM(SUMIF($AB$4:$AB$1003,CONCATENATE(G$1029,$B36),$Z$4:$Z$1003)+SUM(ENTI!G11-RIPARTIZIONI!H39))+F36,2)</f>
        <v>-83.5</v>
      </c>
      <c r="H36" s="469">
        <f ca="1">ROUND(SUM(SUMIF($AB$4:$AB$1003,CONCATENATE(H$1029,$B36),$Z$4:$Z$1003)+SUM(ENTI!H11-RIPARTIZIONI!I39))+G36,2)</f>
        <v>-148.5</v>
      </c>
      <c r="I36" s="469">
        <f ca="1">ROUND(SUM(SUMIF($AB$4:$AB$1003,CONCATENATE(I$1029,$B36),$Z$4:$Z$1003)+SUM(ENTI!I11-RIPARTIZIONI!J39))+H36,2)</f>
        <v>-158.5</v>
      </c>
      <c r="J36" s="469">
        <f ca="1">ROUND(SUM(SUMIF($AB$4:$AB$1003,CONCATENATE(J$1029,$B36),$Z$4:$Z$1003)+SUM(ENTI!J11-RIPARTIZIONI!K39))+I36,2)</f>
        <v>-208.5</v>
      </c>
      <c r="K36" s="469">
        <f ca="1">ROUND(SUM(SUMIF($AB$4:$AB$1003,CONCATENATE(K$1029,$B36),$Z$4:$Z$1003)+SUM(ENTI!K11-RIPARTIZIONI!L39))+J36,2)</f>
        <v>-128.5</v>
      </c>
      <c r="L36" s="469">
        <f ca="1">ROUND(SUM(SUMIF($AB$4:$AB$1003,CONCATENATE(L$1029,$B36),$Z$4:$Z$1003)+SUM(ENTI!L11-RIPARTIZIONI!M39))+K36,2)</f>
        <v>-158.5</v>
      </c>
      <c r="M36" s="469">
        <f ca="1">ROUND(SUM(SUMIF($AB$4:$AB$1003,CONCATENATE(M$1029,$B36),$Z$4:$Z$1003)+SUM(ENTI!M11-RIPARTIZIONI!N39))+L36,2)</f>
        <v>121.5</v>
      </c>
      <c r="N36" s="469">
        <f ca="1">ROUND(SUM(SUMIF($AB$4:$AB$1003,CONCATENATE(N$1029,$B36),$Z$4:$Z$1003)+SUM(ENTI!N11-RIPARTIZIONI!O39))+M36,2)</f>
        <v>91.5</v>
      </c>
      <c r="O36" s="469">
        <f ca="1">ROUND(SUM(SUMIF($AB$4:$AB$1003,CONCATENATE(O$1029,$B36),$Z$4:$Z$1003)+SUM(ENTI!O11-RIPARTIZIONI!P39))+N36,2)</f>
        <v>-36.92</v>
      </c>
      <c r="P36" s="469">
        <f ca="1">ROUND(SUM(SUMIF($AB$4:$AB$1003,CONCATENATE(P$1029,$B36),$Z$4:$Z$1003)+SUM(ENTI!P11-RIPARTIZIONI!Q39))+O36,2)</f>
        <v>-96.92</v>
      </c>
      <c r="Q36" s="535">
        <f ca="1">ROUND(SUM(SUMIF($AB$4:$AB$1003,CONCATENATE(Q$1029,$B36),$Z$4:$Z$1003)+SUM(ENTI!Q11-RIPARTIZIONI!R39))+P36,2)</f>
        <v>-106.92</v>
      </c>
      <c r="R36" s="27"/>
      <c r="S36" s="962">
        <f t="shared" ca="1" si="25"/>
        <v>-106.92</v>
      </c>
      <c r="T36" s="274">
        <v>3</v>
      </c>
      <c r="U36" s="435">
        <f>IF(AND(W36&gt;=$U$1,W36&lt;=$U$2),IF(X36='ESTRATTO CONTO'!$E$2,1+COUNTIF(U$4:U35,"&gt;0"),0),0)</f>
        <v>0</v>
      </c>
      <c r="V36" s="417">
        <f t="shared" si="8"/>
        <v>33</v>
      </c>
      <c r="W36" s="509">
        <v>45566</v>
      </c>
      <c r="X36" s="321" t="s">
        <v>499</v>
      </c>
      <c r="Y36" s="905" t="s">
        <v>611</v>
      </c>
      <c r="Z36" s="508">
        <v>8.83</v>
      </c>
      <c r="AA36" s="356"/>
      <c r="AB36" s="306" t="str">
        <f t="shared" si="0"/>
        <v>10POSTA C/C nr. 7654321</v>
      </c>
      <c r="AC36" s="637">
        <f t="shared" si="6"/>
        <v>0</v>
      </c>
      <c r="AD36" s="935">
        <f>IF(ISERROR(VLOOKUP(AD$2,X37:X$1003,1,FALSE)),IF(X36=AD$2,SUMIF(X$4:X36,AD$2,Z$4:Z36)+$E$9+SUM(AQ$4:AQ$1003)+SUMIF(COSTI!$X$1379:$X$1430,AD$2,COSTI!$Z$1379:$Z$1430),0),0)</f>
        <v>0</v>
      </c>
      <c r="AE36" s="26"/>
      <c r="AF36" s="856" t="e">
        <f>IF(ISERROR(VLOOKUP(AG$2,X37:X$1003,1,FALSE)),IF(X36=AG$2,SUMIF(X$4:X36,AG$2,Z$4:Z36)+VLOOKUP(AF$2,$B$1057:$F$1068,5,FALSE)+SUM(AR$4:AR$1003)+SUMIF(COSTI!$X$1379:$X$1430,AG$2,COSTI!$Z$1379:$Z$1430),0),0)</f>
        <v>#N/A</v>
      </c>
      <c r="AG36" s="859"/>
      <c r="AH36" s="27">
        <f t="shared" si="1"/>
        <v>1</v>
      </c>
      <c r="AI36" s="152">
        <f>IF(W37&gt;0,0,IF(AH36=0,(Z36*-1)+BC36+SUM(BB$4:BB35),BC36+SUM(BB$4:BB35)))</f>
        <v>0</v>
      </c>
      <c r="AJ36" s="931">
        <f>IF(AND(AL36&gt;=$U$1,AL36&lt;=$U$2),IF(AM36='ESTRATTO CONTO'!$E$2,1+COUNTIF(AJ$4:AJ35,"&gt;0")+U$1015,0),0)</f>
        <v>0</v>
      </c>
      <c r="AK36" s="203">
        <f>IF(AND(OR((AK35+1)&lt;AL$1015,(AK35+1)=AL$1015),MAX(AK$4:AK35)&lt;AL$1015),AK35+1,0)</f>
        <v>0</v>
      </c>
      <c r="AL36" s="309">
        <f>VLOOKUP($AK36,ENTI!$AF$4:AG$1003,2,FALSE)</f>
        <v>0</v>
      </c>
      <c r="AM36" s="224">
        <f>VLOOKUP($AK36,ENTI!$AF$4:AH$1003,3,FALSE)</f>
        <v>0</v>
      </c>
      <c r="AN36" s="224">
        <f>VLOOKUP($AK36,ENTI!$AF$4:AI$1003,4,FALSE)</f>
        <v>0</v>
      </c>
      <c r="AO36" s="781">
        <f>VLOOKUP($AK36,ENTI!$AF$4:AJ$1003,5,FALSE)</f>
        <v>0</v>
      </c>
      <c r="AP36" s="315">
        <f>VLOOKUP($AK36,ENTI!$AF$4:AK$1003,6,FALSE)</f>
        <v>0</v>
      </c>
      <c r="AQ36" s="208">
        <f t="shared" si="13"/>
        <v>0</v>
      </c>
      <c r="AR36" s="152" t="e">
        <f t="shared" si="14"/>
        <v>#N/A</v>
      </c>
      <c r="AS36" s="1"/>
      <c r="AT36" s="88" t="str">
        <f t="shared" si="4"/>
        <v/>
      </c>
      <c r="AU36" s="1"/>
      <c r="AV36" s="175">
        <f>IF(AW36&gt;0,COUNTIF(AV$4:AV35,"&gt;0")+1,0)</f>
        <v>0</v>
      </c>
      <c r="AW36" s="164">
        <f t="shared" si="5"/>
        <v>0</v>
      </c>
      <c r="AX36" s="310">
        <f>IF($AW36=0,0,VLOOKUP(VLOOKUP($X36,$B$34:$T$38,19,FALSE),ENTI!$A$9:$B$13,2,FALSE))</f>
        <v>0</v>
      </c>
      <c r="AY36" s="310">
        <f t="shared" si="9"/>
        <v>0</v>
      </c>
      <c r="AZ36" s="316">
        <f t="shared" si="10"/>
        <v>0</v>
      </c>
      <c r="BA36" s="1"/>
      <c r="BB36" s="152">
        <f t="shared" si="11"/>
        <v>0</v>
      </c>
      <c r="BC36" s="152">
        <f ca="1">SUM(Z$4:Z36)+SUM(BB$4:BB36)+COSTI!S$6-COSTI!L$1076</f>
        <v>8.8299999999999272</v>
      </c>
      <c r="BD36" s="1"/>
    </row>
    <row r="37" spans="1:56" ht="16.5" customHeight="1">
      <c r="A37" s="635">
        <v>11</v>
      </c>
      <c r="B37" s="1426" t="str">
        <f>CONCATENATE(C$1041,ENTI!B12)</f>
        <v>CR/DB - Nome ENTE 4 / sovrascrivi</v>
      </c>
      <c r="C37" s="1427"/>
      <c r="D37" s="1492"/>
      <c r="E37" s="853"/>
      <c r="F37" s="534">
        <f ca="1">ROUND(SUM(SUMIF($AB$4:$AB$1003,CONCATENATE(F$1029,$B37),$Z$4:$Z$1003)+SUM(ENTI!F12-RIPARTIZIONI!G40))+E37,2)</f>
        <v>-107.67</v>
      </c>
      <c r="G37" s="469">
        <f ca="1">ROUND(SUM(SUMIF($AB$4:$AB$1003,CONCATENATE(G$1029,$B37),$Z$4:$Z$1003)+SUM(ENTI!G12-RIPARTIZIONI!H40))+F37,2)</f>
        <v>-167.67</v>
      </c>
      <c r="H37" s="469">
        <f ca="1">ROUND(SUM(SUMIF($AB$4:$AB$1003,CONCATENATE(H$1029,$B37),$Z$4:$Z$1003)+SUM(ENTI!H12-RIPARTIZIONI!I40))+G37,2)</f>
        <v>-245.17</v>
      </c>
      <c r="I37" s="469">
        <f ca="1">ROUND(SUM(SUMIF($AB$4:$AB$1003,CONCATENATE(I$1029,$B37),$Z$4:$Z$1003)+SUM(ENTI!I12-RIPARTIZIONI!J40))+H37,2)</f>
        <v>-5.17</v>
      </c>
      <c r="J37" s="469">
        <f ca="1">ROUND(SUM(SUMIF($AB$4:$AB$1003,CONCATENATE(J$1029,$B37),$Z$4:$Z$1003)+SUM(ENTI!J12-RIPARTIZIONI!K40))+I37,2)</f>
        <v>-55.17</v>
      </c>
      <c r="K37" s="469">
        <f ca="1">ROUND(SUM(SUMIF($AB$4:$AB$1003,CONCATENATE(K$1029,$B37),$Z$4:$Z$1003)+SUM(ENTI!K12-RIPARTIZIONI!L40))+J37,2)</f>
        <v>-25.17</v>
      </c>
      <c r="L37" s="469">
        <f ca="1">ROUND(SUM(SUMIF($AB$4:$AB$1003,CONCATENATE(L$1029,$B37),$Z$4:$Z$1003)+SUM(ENTI!L12-RIPARTIZIONI!M40))+K37,2)</f>
        <v>-55.17</v>
      </c>
      <c r="M37" s="469">
        <f ca="1">ROUND(SUM(SUMIF($AB$4:$AB$1003,CONCATENATE(M$1029,$B37),$Z$4:$Z$1003)+SUM(ENTI!M12-RIPARTIZIONI!N40))+L37,2)</f>
        <v>24.83</v>
      </c>
      <c r="N37" s="469">
        <f ca="1">ROUND(SUM(SUMIF($AB$4:$AB$1003,CONCATENATE(N$1029,$B37),$Z$4:$Z$1003)+SUM(ENTI!N12-RIPARTIZIONI!O40))+M37,2)</f>
        <v>-5.17</v>
      </c>
      <c r="O37" s="469">
        <f ca="1">ROUND(SUM(SUMIF($AB$4:$AB$1003,CONCATENATE(O$1029,$B37),$Z$4:$Z$1003)+SUM(ENTI!O12-RIPARTIZIONI!P40))+N37,2)</f>
        <v>4.83</v>
      </c>
      <c r="P37" s="469">
        <f ca="1">ROUND(SUM(SUMIF($AB$4:$AB$1003,CONCATENATE(P$1029,$B37),$Z$4:$Z$1003)+SUM(ENTI!P12-RIPARTIZIONI!Q40))+O37,2)</f>
        <v>-55.17</v>
      </c>
      <c r="Q37" s="535">
        <f ca="1">ROUND(SUM(SUMIF($AB$4:$AB$1003,CONCATENATE(Q$1029,$B37),$Z$4:$Z$1003)+SUM(ENTI!Q12-RIPARTIZIONI!R40))+P37,2)</f>
        <v>-15.17</v>
      </c>
      <c r="R37" s="27"/>
      <c r="S37" s="962">
        <f t="shared" ca="1" si="25"/>
        <v>-15.17</v>
      </c>
      <c r="T37" s="274">
        <v>4</v>
      </c>
      <c r="U37" s="435">
        <f>IF(AND(W37&gt;=$U$1,W37&lt;=$U$2),IF(X37='ESTRATTO CONTO'!$E$2,1+COUNTIF(U$4:U36,"&gt;0"),0),0)</f>
        <v>0</v>
      </c>
      <c r="V37" s="417">
        <f t="shared" si="8"/>
        <v>34</v>
      </c>
      <c r="W37" s="509">
        <v>45566</v>
      </c>
      <c r="X37" s="321" t="s">
        <v>607</v>
      </c>
      <c r="Y37" s="905" t="s">
        <v>608</v>
      </c>
      <c r="Z37" s="508">
        <v>-38.42</v>
      </c>
      <c r="AA37" s="356"/>
      <c r="AB37" s="306" t="str">
        <f t="shared" si="0"/>
        <v>10CR/DB - Nome ENTE 3</v>
      </c>
      <c r="AC37" s="637">
        <f t="shared" si="6"/>
        <v>0</v>
      </c>
      <c r="AD37" s="935">
        <f>IF(ISERROR(VLOOKUP(AD$2,X38:X$1003,1,FALSE)),IF(X37=AD$2,SUMIF(X$4:X37,AD$2,Z$4:Z37)+$E$9+SUM(AQ$4:AQ$1003)+SUMIF(COSTI!$X$1379:$X$1430,AD$2,COSTI!$Z$1379:$Z$1430),0),0)</f>
        <v>0</v>
      </c>
      <c r="AE37" s="26"/>
      <c r="AF37" s="856" t="e">
        <f>IF(ISERROR(VLOOKUP(AG$2,X38:X$1003,1,FALSE)),IF(X37=AG$2,SUMIF(X$4:X37,AG$2,Z$4:Z37)+VLOOKUP(AF$2,$B$1057:$F$1068,5,FALSE)+SUM(AR$4:AR$1003)+SUMIF(COSTI!$X$1379:$X$1430,AG$2,COSTI!$Z$1379:$Z$1430),0),0)</f>
        <v>#N/A</v>
      </c>
      <c r="AG37" s="859"/>
      <c r="AH37" s="27">
        <f t="shared" si="1"/>
        <v>0</v>
      </c>
      <c r="AI37" s="152">
        <f>IF(W38&gt;0,0,IF(AH37=0,(Z37*-1)+BC37+SUM(BB$4:BB36),BC37+SUM(BB$4:BB36)))</f>
        <v>0</v>
      </c>
      <c r="AJ37" s="931">
        <f>IF(AND(AL37&gt;=$U$1,AL37&lt;=$U$2),IF(AM37='ESTRATTO CONTO'!$E$2,1+COUNTIF(AJ$4:AJ36,"&gt;0")+U$1015,0),0)</f>
        <v>0</v>
      </c>
      <c r="AK37" s="203">
        <f>IF(AND(OR((AK36+1)&lt;AL$1015,(AK36+1)=AL$1015),MAX(AK$4:AK36)&lt;AL$1015),AK36+1,0)</f>
        <v>0</v>
      </c>
      <c r="AL37" s="309">
        <f>VLOOKUP($AK37,ENTI!$AF$4:AG$1003,2,FALSE)</f>
        <v>0</v>
      </c>
      <c r="AM37" s="224">
        <f>VLOOKUP($AK37,ENTI!$AF$4:AH$1003,3,FALSE)</f>
        <v>0</v>
      </c>
      <c r="AN37" s="224">
        <f>VLOOKUP($AK37,ENTI!$AF$4:AI$1003,4,FALSE)</f>
        <v>0</v>
      </c>
      <c r="AO37" s="781">
        <f>VLOOKUP($AK37,ENTI!$AF$4:AJ$1003,5,FALSE)</f>
        <v>0</v>
      </c>
      <c r="AP37" s="315">
        <f>VLOOKUP($AK37,ENTI!$AF$4:AK$1003,6,FALSE)</f>
        <v>0</v>
      </c>
      <c r="AQ37" s="208">
        <f t="shared" si="13"/>
        <v>0</v>
      </c>
      <c r="AR37" s="152" t="e">
        <f t="shared" si="14"/>
        <v>#N/A</v>
      </c>
      <c r="AS37" s="1"/>
      <c r="AT37" s="88" t="str">
        <f t="shared" si="4"/>
        <v/>
      </c>
      <c r="AU37" s="1"/>
      <c r="AV37" s="175">
        <f>IF(AW37&gt;0,COUNTIF(AV$4:AV36,"&gt;0")+1,0)</f>
        <v>2</v>
      </c>
      <c r="AW37" s="164">
        <f t="shared" si="5"/>
        <v>45566</v>
      </c>
      <c r="AX37" s="310" t="str">
        <f>IF($AW37=0,0,VLOOKUP(VLOOKUP($X37,$B$34:$T$38,19,FALSE),ENTI!$A$9:$B$13,2,FALSE))</f>
        <v>Nome ENTE 3</v>
      </c>
      <c r="AY37" s="310" t="str">
        <f t="shared" si="9"/>
        <v>Pagato in anticipo spesa diretta addebitata all' ente</v>
      </c>
      <c r="AZ37" s="316">
        <f t="shared" si="10"/>
        <v>-38.42</v>
      </c>
      <c r="BA37" s="1"/>
      <c r="BB37" s="152">
        <f t="shared" si="11"/>
        <v>38.42</v>
      </c>
      <c r="BC37" s="152">
        <f ca="1">SUM(Z$4:Z37)+SUM(BB$4:BB37)+COSTI!S$6-COSTI!L$1076</f>
        <v>8.8299999999999272</v>
      </c>
      <c r="BD37" s="1"/>
    </row>
    <row r="38" spans="1:56" ht="16.5" customHeight="1">
      <c r="A38" s="635">
        <v>12</v>
      </c>
      <c r="B38" s="1471" t="str">
        <f>CONCATENATE(C$1041,ENTI!B13)</f>
        <v>CR/DB - Nome ENTE ultimo disponibile</v>
      </c>
      <c r="C38" s="1472"/>
      <c r="D38" s="1502"/>
      <c r="E38" s="854"/>
      <c r="F38" s="536">
        <f ca="1">ROUND(SUM(SUMIF($AB$4:$AB$1003,CONCATENATE(F$1029,$B38),$Z$4:$Z$1003)+SUM(ENTI!F13-RIPARTIZIONI!G41))+E38,2)</f>
        <v>-195.33</v>
      </c>
      <c r="G38" s="537">
        <f ca="1">ROUND(SUM(SUMIF($AB$4:$AB$1003,CONCATENATE(G$1029,$B38),$Z$4:$Z$1003)+SUM(ENTI!G13-RIPARTIZIONI!H41))+F38,2)</f>
        <v>-292.83</v>
      </c>
      <c r="H38" s="537">
        <f ca="1">ROUND(SUM(SUMIF($AB$4:$AB$1003,CONCATENATE(H$1029,$B38),$Z$4:$Z$1003)+SUM(ENTI!H13-RIPARTIZIONI!I41))+G38,2)</f>
        <v>-420.33</v>
      </c>
      <c r="I38" s="537">
        <f ca="1">ROUND(SUM(SUMIF($AB$4:$AB$1003,CONCATENATE(I$1029,$B38),$Z$4:$Z$1003)+SUM(ENTI!I13-RIPARTIZIONI!J41))+H38,2)</f>
        <v>-540.33000000000004</v>
      </c>
      <c r="J38" s="537">
        <f ca="1">ROUND(SUM(SUMIF($AB$4:$AB$1003,CONCATENATE(J$1029,$B38),$Z$4:$Z$1003)+SUM(ENTI!J13-RIPARTIZIONI!K41))+I38,2)</f>
        <v>-590.33000000000004</v>
      </c>
      <c r="K38" s="537">
        <f ca="1">ROUND(SUM(SUMIF($AB$4:$AB$1003,CONCATENATE(K$1029,$B38),$Z$4:$Z$1003)+SUM(ENTI!K13-RIPARTIZIONI!L41))+J38,2)</f>
        <v>-630.33000000000004</v>
      </c>
      <c r="L38" s="537">
        <f ca="1">ROUND(SUM(SUMIF($AB$4:$AB$1003,CONCATENATE(L$1029,$B38),$Z$4:$Z$1003)+SUM(ENTI!L13-RIPARTIZIONI!M41))+K38,2)</f>
        <v>-740.33</v>
      </c>
      <c r="M38" s="537">
        <f ca="1">ROUND(SUM(SUMIF($AB$4:$AB$1003,CONCATENATE(M$1029,$B38),$Z$4:$Z$1003)+SUM(ENTI!M13-RIPARTIZIONI!N41))+L38,2)</f>
        <v>-780.33</v>
      </c>
      <c r="N38" s="537">
        <f ca="1">ROUND(SUM(SUMIF($AB$4:$AB$1003,CONCATENATE(N$1029,$B38),$Z$4:$Z$1003)+SUM(ENTI!N13-RIPARTIZIONI!O41))+M38,2)</f>
        <v>-790.33</v>
      </c>
      <c r="O38" s="537">
        <f ca="1">ROUND(SUM(SUMIF($AB$4:$AB$1003,CONCATENATE(O$1029,$B38),$Z$4:$Z$1003)+SUM(ENTI!O13-RIPARTIZIONI!P41))+N38,2)</f>
        <v>-770.33</v>
      </c>
      <c r="P38" s="537">
        <f ca="1">ROUND(SUM(SUMIF($AB$4:$AB$1003,CONCATENATE(P$1029,$B38),$Z$4:$Z$1003)+SUM(ENTI!P13-RIPARTIZIONI!Q41))+O38,2)</f>
        <v>-890.33</v>
      </c>
      <c r="Q38" s="538">
        <f ca="1">ROUND(SUM(SUMIF($AB$4:$AB$1003,CONCATENATE(Q$1029,$B38),$Z$4:$Z$1003)+SUM(ENTI!Q13-RIPARTIZIONI!R41))+P38,2)</f>
        <v>-960.33</v>
      </c>
      <c r="R38" s="27"/>
      <c r="S38" s="963">
        <f t="shared" ca="1" si="25"/>
        <v>-960.33</v>
      </c>
      <c r="T38" s="274">
        <v>5</v>
      </c>
      <c r="U38" s="435">
        <f>IF(AND(W38&gt;=$U$1,W38&lt;=$U$2),IF(X38='ESTRATTO CONTO'!$E$2,1+COUNTIF(U$4:U37,"&gt;0"),0),0)</f>
        <v>12</v>
      </c>
      <c r="V38" s="417">
        <f t="shared" si="8"/>
        <v>35</v>
      </c>
      <c r="W38" s="509">
        <v>45566</v>
      </c>
      <c r="X38" s="321" t="s">
        <v>62</v>
      </c>
      <c r="Y38" s="905" t="s">
        <v>608</v>
      </c>
      <c r="Z38" s="508">
        <v>-38.42</v>
      </c>
      <c r="AA38" s="356"/>
      <c r="AB38" s="306" t="str">
        <f t="shared" si="0"/>
        <v>10CASSA</v>
      </c>
      <c r="AC38" s="637">
        <f t="shared" si="6"/>
        <v>0</v>
      </c>
      <c r="AD38" s="935">
        <f ca="1">IF(ISERROR(VLOOKUP(AD$2,X39:X$1003,1,FALSE)),IF(X38=AD$2,SUMIF(X$4:X38,AD$2,Z$4:Z38)+$E$9+SUM(AQ$4:AQ$1003)+SUMIF(COSTI!$X$1379:$X$1430,AD$2,COSTI!$Z$1379:$Z$1430),0),0)</f>
        <v>656.58</v>
      </c>
      <c r="AE38" s="26"/>
      <c r="AF38" s="856" t="e">
        <f>IF(ISERROR(VLOOKUP(AG$2,X39:X$1003,1,FALSE)),IF(X38=AG$2,SUMIF(X$4:X38,AG$2,Z$4:Z38)+VLOOKUP(AF$2,$B$1057:$F$1068,5,FALSE)+SUM(AR$4:AR$1003)+SUMIF(COSTI!$X$1379:$X$1430,AG$2,COSTI!$Z$1379:$Z$1430),0),0)</f>
        <v>#N/A</v>
      </c>
      <c r="AG38" s="859"/>
      <c r="AH38" s="27">
        <f t="shared" si="1"/>
        <v>1</v>
      </c>
      <c r="AI38" s="152">
        <f>IF(W39&gt;0,0,IF(AH38=0,(Z38*-1)+BC38+SUM(BB$4:BB37),BC38+SUM(BB$4:BB37)))</f>
        <v>0</v>
      </c>
      <c r="AJ38" s="931">
        <f>IF(AND(AL38&gt;=$U$1,AL38&lt;=$U$2),IF(AM38='ESTRATTO CONTO'!$E$2,1+COUNTIF(AJ$4:AJ37,"&gt;0")+U$1015,0),0)</f>
        <v>0</v>
      </c>
      <c r="AK38" s="203">
        <f>IF(AND(OR((AK37+1)&lt;AL$1015,(AK37+1)=AL$1015),MAX(AK$4:AK37)&lt;AL$1015),AK37+1,0)</f>
        <v>0</v>
      </c>
      <c r="AL38" s="309">
        <f>VLOOKUP($AK38,ENTI!$AF$4:AG$1003,2,FALSE)</f>
        <v>0</v>
      </c>
      <c r="AM38" s="224">
        <f>VLOOKUP($AK38,ENTI!$AF$4:AH$1003,3,FALSE)</f>
        <v>0</v>
      </c>
      <c r="AN38" s="224">
        <f>VLOOKUP($AK38,ENTI!$AF$4:AI$1003,4,FALSE)</f>
        <v>0</v>
      </c>
      <c r="AO38" s="781">
        <f>VLOOKUP($AK38,ENTI!$AF$4:AJ$1003,5,FALSE)</f>
        <v>0</v>
      </c>
      <c r="AP38" s="315">
        <f>VLOOKUP($AK38,ENTI!$AF$4:AK$1003,6,FALSE)</f>
        <v>0</v>
      </c>
      <c r="AQ38" s="208">
        <f t="shared" si="13"/>
        <v>0</v>
      </c>
      <c r="AR38" s="152" t="e">
        <f t="shared" si="14"/>
        <v>#N/A</v>
      </c>
      <c r="AS38" s="1"/>
      <c r="AT38" s="88" t="str">
        <f t="shared" si="4"/>
        <v/>
      </c>
      <c r="AU38" s="1"/>
      <c r="AV38" s="175">
        <f>IF(AW38&gt;0,COUNTIF(AV$4:AV37,"&gt;0")+1,0)</f>
        <v>0</v>
      </c>
      <c r="AW38" s="164">
        <f t="shared" si="5"/>
        <v>0</v>
      </c>
      <c r="AX38" s="310">
        <f>IF($AW38=0,0,VLOOKUP(VLOOKUP($X38,$B$34:$T$38,19,FALSE),ENTI!$A$9:$B$13,2,FALSE))</f>
        <v>0</v>
      </c>
      <c r="AY38" s="310">
        <f t="shared" si="9"/>
        <v>0</v>
      </c>
      <c r="AZ38" s="316">
        <f t="shared" si="10"/>
        <v>0</v>
      </c>
      <c r="BA38" s="1"/>
      <c r="BB38" s="152">
        <f t="shared" si="11"/>
        <v>0</v>
      </c>
      <c r="BC38" s="152">
        <f ca="1">SUM(Z$4:Z38)+SUM(BB$4:BB38)+COSTI!S$6-COSTI!L$1076</f>
        <v>-29.590000000000146</v>
      </c>
      <c r="BD38" s="1"/>
    </row>
    <row r="39" spans="1:56" ht="16.5" customHeight="1">
      <c r="A39" s="3"/>
      <c r="B39" s="1487" t="s">
        <v>388</v>
      </c>
      <c r="C39" s="1487"/>
      <c r="D39" s="1487"/>
      <c r="E39" s="1487"/>
      <c r="F39" s="1487"/>
      <c r="G39" s="1487"/>
      <c r="H39" s="1487"/>
      <c r="I39" s="1487"/>
      <c r="J39" s="1487"/>
      <c r="K39" s="1487"/>
      <c r="L39" s="1487"/>
      <c r="M39" s="1487"/>
      <c r="N39" s="1487"/>
      <c r="O39" s="1487"/>
      <c r="P39" s="1487"/>
      <c r="Q39" s="1487"/>
      <c r="R39" s="1487"/>
      <c r="S39" s="1487"/>
      <c r="T39" s="3"/>
      <c r="U39" s="435">
        <f>IF(AND(W39&gt;=$U$1,W39&lt;=$U$2),IF(X39='ESTRATTO CONTO'!$E$2,1+COUNTIF(U$4:U38,"&gt;0"),0),0)</f>
        <v>0</v>
      </c>
      <c r="V39" s="417">
        <f t="shared" si="8"/>
        <v>36</v>
      </c>
      <c r="W39" s="509">
        <v>45627</v>
      </c>
      <c r="X39" s="321" t="s">
        <v>610</v>
      </c>
      <c r="Y39" s="905" t="s">
        <v>608</v>
      </c>
      <c r="Z39" s="508">
        <v>-2.17</v>
      </c>
      <c r="AA39" s="356"/>
      <c r="AB39" s="306" t="str">
        <f t="shared" si="0"/>
        <v>12CR/DB - Nome ENTE 2</v>
      </c>
      <c r="AC39" s="637">
        <f t="shared" si="6"/>
        <v>0</v>
      </c>
      <c r="AD39" s="935">
        <f>IF(ISERROR(VLOOKUP(AD$2,X40:X$1003,1,FALSE)),IF(X39=AD$2,SUMIF(X$4:X39,AD$2,Z$4:Z39)+$E$9+SUM(AQ$4:AQ$1003)+SUMIF(COSTI!$X$1379:$X$1430,AD$2,COSTI!$Z$1379:$Z$1430),0),0)</f>
        <v>0</v>
      </c>
      <c r="AE39" s="26"/>
      <c r="AF39" s="856" t="e">
        <f>IF(ISERROR(VLOOKUP(AG$2,X40:X$1003,1,FALSE)),IF(X39=AG$2,SUMIF(X$4:X39,AG$2,Z$4:Z39)+VLOOKUP(AF$2,$B$1057:$F$1068,5,FALSE)+SUM(AR$4:AR$1003)+SUMIF(COSTI!$X$1379:$X$1430,AG$2,COSTI!$Z$1379:$Z$1430),0),0)</f>
        <v>#N/A</v>
      </c>
      <c r="AG39" s="859"/>
      <c r="AH39" s="27">
        <f t="shared" si="1"/>
        <v>0</v>
      </c>
      <c r="AI39" s="152">
        <f>IF(W40&gt;0,0,IF(AH39=0,(Z39*-1)+BC39+SUM(BB$4:BB38),BC39+SUM(BB$4:BB38)))</f>
        <v>0</v>
      </c>
      <c r="AJ39" s="931">
        <f>IF(AND(AL39&gt;=$U$1,AL39&lt;=$U$2),IF(AM39='ESTRATTO CONTO'!$E$2,1+COUNTIF(AJ$4:AJ38,"&gt;0")+U$1015,0),0)</f>
        <v>0</v>
      </c>
      <c r="AK39" s="203">
        <f>IF(AND(OR((AK38+1)&lt;AL$1015,(AK38+1)=AL$1015),MAX(AK$4:AK38)&lt;AL$1015),AK38+1,0)</f>
        <v>0</v>
      </c>
      <c r="AL39" s="309">
        <f>VLOOKUP($AK39,ENTI!$AF$4:AG$1003,2,FALSE)</f>
        <v>0</v>
      </c>
      <c r="AM39" s="224">
        <f>VLOOKUP($AK39,ENTI!$AF$4:AH$1003,3,FALSE)</f>
        <v>0</v>
      </c>
      <c r="AN39" s="224">
        <f>VLOOKUP($AK39,ENTI!$AF$4:AI$1003,4,FALSE)</f>
        <v>0</v>
      </c>
      <c r="AO39" s="781">
        <f>VLOOKUP($AK39,ENTI!$AF$4:AJ$1003,5,FALSE)</f>
        <v>0</v>
      </c>
      <c r="AP39" s="315">
        <f>VLOOKUP($AK39,ENTI!$AF$4:AK$1003,6,FALSE)</f>
        <v>0</v>
      </c>
      <c r="AQ39" s="208">
        <f t="shared" si="13"/>
        <v>0</v>
      </c>
      <c r="AR39" s="152" t="e">
        <f t="shared" si="14"/>
        <v>#N/A</v>
      </c>
      <c r="AS39" s="1"/>
      <c r="AT39" s="88" t="str">
        <f t="shared" si="4"/>
        <v/>
      </c>
      <c r="AU39" s="1"/>
      <c r="AV39" s="175">
        <f>IF(AW39&gt;0,COUNTIF(AV$4:AV38,"&gt;0")+1,0)</f>
        <v>3</v>
      </c>
      <c r="AW39" s="164">
        <f t="shared" si="5"/>
        <v>45627</v>
      </c>
      <c r="AX39" s="310" t="str">
        <f>IF($AW39=0,0,VLOOKUP(VLOOKUP($X39,$B$34:$T$38,19,FALSE),ENTI!$A$9:$B$13,2,FALSE))</f>
        <v>Nome ENTE 2</v>
      </c>
      <c r="AY39" s="310" t="str">
        <f t="shared" si="9"/>
        <v>Pagato in anticipo spesa diretta addebitata all' ente</v>
      </c>
      <c r="AZ39" s="316">
        <f t="shared" si="10"/>
        <v>-2.17</v>
      </c>
      <c r="BA39" s="1"/>
      <c r="BB39" s="152">
        <f t="shared" si="11"/>
        <v>2.17</v>
      </c>
      <c r="BC39" s="152">
        <f ca="1">SUM(Z$4:Z39)+SUM(BB$4:BB39)+COSTI!S$6-COSTI!L$1076</f>
        <v>-29.590000000000146</v>
      </c>
      <c r="BD39" s="1"/>
    </row>
    <row r="40" spans="1:56" ht="16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35"/>
      <c r="S40" s="1"/>
      <c r="T40" s="1"/>
      <c r="U40" s="435">
        <f>IF(AND(W40&gt;=$U$1,W40&lt;=$U$2),IF(X40='ESTRATTO CONTO'!$E$2,1+COUNTIF(U$4:U39,"&gt;0"),0),0)</f>
        <v>0</v>
      </c>
      <c r="V40" s="417">
        <f t="shared" si="8"/>
        <v>37</v>
      </c>
      <c r="W40" s="509">
        <v>45627</v>
      </c>
      <c r="X40" s="321" t="s">
        <v>499</v>
      </c>
      <c r="Y40" s="905" t="s">
        <v>608</v>
      </c>
      <c r="Z40" s="508">
        <v>-2.17</v>
      </c>
      <c r="AA40" s="356"/>
      <c r="AB40" s="306" t="str">
        <f t="shared" si="0"/>
        <v>12POSTA C/C nr. 7654321</v>
      </c>
      <c r="AC40" s="637">
        <f t="shared" ca="1" si="6"/>
        <v>-2.1316282072803006E-13</v>
      </c>
      <c r="AD40" s="935">
        <f>IF(ISERROR(VLOOKUP(AD$2,X41:X$1003,1,FALSE)),IF(X40=AD$2,SUMIF(X$4:X40,AD$2,Z$4:Z40)+$E$9+SUM(AQ$4:AQ$1003)+SUMIF(COSTI!$X$1379:$X$1430,AD$2,COSTI!$Z$1379:$Z$1430),0),0)</f>
        <v>0</v>
      </c>
      <c r="AE40" s="26"/>
      <c r="AF40" s="856" t="e">
        <f>IF(ISERROR(VLOOKUP(AG$2,X41:X$1003,1,FALSE)),IF(X40=AG$2,SUMIF(X$4:X40,AG$2,Z$4:Z40)+VLOOKUP(AF$2,$B$1057:$F$1068,5,FALSE)+SUM(AR$4:AR$1003)+SUMIF(COSTI!$X$1379:$X$1430,AG$2,COSTI!$Z$1379:$Z$1430),0),0)</f>
        <v>#N/A</v>
      </c>
      <c r="AG40" s="859"/>
      <c r="AH40" s="27">
        <f t="shared" si="1"/>
        <v>1</v>
      </c>
      <c r="AI40" s="152">
        <f ca="1">IF(W41&gt;0,0,IF(AH40=0,(Z40*-1)+BC40+SUM(BB$4:BB39),BC40+SUM(BB$4:BB39)))</f>
        <v>-2.1316282072803006E-13</v>
      </c>
      <c r="AJ40" s="931">
        <f>IF(AND(AL40&gt;=$U$1,AL40&lt;=$U$2),IF(AM40='ESTRATTO CONTO'!$E$2,1+COUNTIF(AJ$4:AJ39,"&gt;0")+U$1015,0),0)</f>
        <v>0</v>
      </c>
      <c r="AK40" s="203">
        <f>IF(AND(OR((AK39+1)&lt;AL$1015,(AK39+1)=AL$1015),MAX(AK$4:AK39)&lt;AL$1015),AK39+1,0)</f>
        <v>0</v>
      </c>
      <c r="AL40" s="309">
        <f>VLOOKUP($AK40,ENTI!$AF$4:AG$1003,2,FALSE)</f>
        <v>0</v>
      </c>
      <c r="AM40" s="224">
        <f>VLOOKUP($AK40,ENTI!$AF$4:AH$1003,3,FALSE)</f>
        <v>0</v>
      </c>
      <c r="AN40" s="224">
        <f>VLOOKUP($AK40,ENTI!$AF$4:AI$1003,4,FALSE)</f>
        <v>0</v>
      </c>
      <c r="AO40" s="781">
        <f>VLOOKUP($AK40,ENTI!$AF$4:AJ$1003,5,FALSE)</f>
        <v>0</v>
      </c>
      <c r="AP40" s="315">
        <f>VLOOKUP($AK40,ENTI!$AF$4:AK$1003,6,FALSE)</f>
        <v>0</v>
      </c>
      <c r="AQ40" s="208">
        <f t="shared" si="13"/>
        <v>0</v>
      </c>
      <c r="AR40" s="152" t="e">
        <f t="shared" si="14"/>
        <v>#N/A</v>
      </c>
      <c r="AS40" s="1"/>
      <c r="AT40" s="88" t="str">
        <f t="shared" si="4"/>
        <v/>
      </c>
      <c r="AU40" s="1"/>
      <c r="AV40" s="175">
        <f>IF(AW40&gt;0,COUNTIF(AV$4:AV39,"&gt;0")+1,0)</f>
        <v>0</v>
      </c>
      <c r="AW40" s="164">
        <f t="shared" si="5"/>
        <v>0</v>
      </c>
      <c r="AX40" s="310">
        <f>IF($AW40=0,0,VLOOKUP(VLOOKUP($X40,$B$34:$T$38,19,FALSE),ENTI!$A$9:$B$13,2,FALSE))</f>
        <v>0</v>
      </c>
      <c r="AY40" s="310">
        <f t="shared" si="9"/>
        <v>0</v>
      </c>
      <c r="AZ40" s="316">
        <f t="shared" si="10"/>
        <v>0</v>
      </c>
      <c r="BA40" s="1"/>
      <c r="BB40" s="152">
        <f t="shared" si="11"/>
        <v>0</v>
      </c>
      <c r="BC40" s="152">
        <f ca="1">SUM(Z$4:Z40)+SUM(BB$4:BB40)+COSTI!S$6-COSTI!L$1076</f>
        <v>-31.760000000000218</v>
      </c>
      <c r="BD40" s="1"/>
    </row>
    <row r="41" spans="1:56" ht="16.5" customHeight="1">
      <c r="A41" s="770" t="s">
        <v>158</v>
      </c>
      <c r="B41" s="1212" t="str">
        <f>CONCATENATE("Totale Saldo ENTI   ",Presentazione!$K$26)</f>
        <v>Totale Saldo ENTI   EURO</v>
      </c>
      <c r="C41" s="1212"/>
      <c r="D41" s="1212"/>
      <c r="E41" s="769">
        <f t="shared" ref="E41:Q41" si="26">SUM(E34:E38)</f>
        <v>0</v>
      </c>
      <c r="F41" s="769">
        <f t="shared" ca="1" si="26"/>
        <v>-355</v>
      </c>
      <c r="G41" s="769">
        <f t="shared" ca="1" si="26"/>
        <v>-605</v>
      </c>
      <c r="H41" s="769">
        <f t="shared" ca="1" si="26"/>
        <v>-805</v>
      </c>
      <c r="I41" s="769">
        <f t="shared" ca="1" si="26"/>
        <v>-755</v>
      </c>
      <c r="J41" s="769">
        <f t="shared" ca="1" si="26"/>
        <v>-805</v>
      </c>
      <c r="K41" s="769">
        <f t="shared" ca="1" si="26"/>
        <v>-755</v>
      </c>
      <c r="L41" s="769">
        <f t="shared" ca="1" si="26"/>
        <v>-805</v>
      </c>
      <c r="M41" s="769">
        <f t="shared" ca="1" si="26"/>
        <v>-505.00000000000006</v>
      </c>
      <c r="N41" s="769">
        <f t="shared" ca="1" si="26"/>
        <v>-455.00000000000006</v>
      </c>
      <c r="O41" s="769">
        <f t="shared" ca="1" si="26"/>
        <v>-584.59</v>
      </c>
      <c r="P41" s="769">
        <f t="shared" ca="1" si="26"/>
        <v>-534.59</v>
      </c>
      <c r="Q41" s="769">
        <f t="shared" ca="1" si="26"/>
        <v>-636.7600000000001</v>
      </c>
      <c r="R41" s="1"/>
      <c r="S41" s="1"/>
      <c r="T41" s="1"/>
      <c r="U41" s="435">
        <f>IF(AND(W41&gt;=$U$1,W41&lt;=$U$2),IF(X41='ESTRATTO CONTO'!$E$2,1+COUNTIF(U$4:U40,"&gt;0"),0),0)</f>
        <v>0</v>
      </c>
      <c r="V41" s="417">
        <f t="shared" si="8"/>
        <v>38</v>
      </c>
      <c r="W41" s="509"/>
      <c r="X41" s="321"/>
      <c r="Y41" s="905"/>
      <c r="Z41" s="508"/>
      <c r="AA41" s="356"/>
      <c r="AB41" s="306" t="str">
        <f t="shared" si="0"/>
        <v/>
      </c>
      <c r="AC41" s="637">
        <f t="shared" ca="1" si="6"/>
        <v>-2.1316282072803006E-13</v>
      </c>
      <c r="AD41" s="935">
        <f>IF(ISERROR(VLOOKUP(AD$2,X42:X$1003,1,FALSE)),IF(X41=AD$2,SUMIF(X$4:X41,AD$2,Z$4:Z41)+$E$9+SUM(AQ$4:AQ$1003)+SUMIF(COSTI!$X$1379:$X$1430,AD$2,COSTI!$Z$1379:$Z$1430),0),0)</f>
        <v>0</v>
      </c>
      <c r="AE41" s="26"/>
      <c r="AF41" s="856" t="e">
        <f>IF(ISERROR(VLOOKUP(AG$2,X42:X$1003,1,FALSE)),IF(X41=AG$2,SUMIF(X$4:X41,AG$2,Z$4:Z41)+VLOOKUP(AF$2,$B$1057:$F$1068,5,FALSE)+SUM(AR$4:AR$1003)+SUMIF(COSTI!$X$1379:$X$1430,AG$2,COSTI!$Z$1379:$Z$1430),0),0)</f>
        <v>#N/A</v>
      </c>
      <c r="AG41" s="859"/>
      <c r="AH41" s="27" t="str">
        <f t="shared" si="1"/>
        <v/>
      </c>
      <c r="AI41" s="152">
        <f ca="1">IF(W42&gt;0,0,IF(AH41=0,(Z41*-1)+BC41+SUM(BB$4:BB40),BC41+SUM(BB$4:BB40)))</f>
        <v>-2.1316282072803006E-13</v>
      </c>
      <c r="AJ41" s="931">
        <f>IF(AND(AL41&gt;=$U$1,AL41&lt;=$U$2),IF(AM41='ESTRATTO CONTO'!$E$2,1+COUNTIF(AJ$4:AJ40,"&gt;0")+U$1015,0),0)</f>
        <v>0</v>
      </c>
      <c r="AK41" s="203">
        <f>IF(AND(OR((AK40+1)&lt;AL$1015,(AK40+1)=AL$1015),MAX(AK$4:AK40)&lt;AL$1015),AK40+1,0)</f>
        <v>0</v>
      </c>
      <c r="AL41" s="309">
        <f>VLOOKUP($AK41,ENTI!$AF$4:AG$1003,2,FALSE)</f>
        <v>0</v>
      </c>
      <c r="AM41" s="224">
        <f>VLOOKUP($AK41,ENTI!$AF$4:AH$1003,3,FALSE)</f>
        <v>0</v>
      </c>
      <c r="AN41" s="224">
        <f>VLOOKUP($AK41,ENTI!$AF$4:AI$1003,4,FALSE)</f>
        <v>0</v>
      </c>
      <c r="AO41" s="781">
        <f>VLOOKUP($AK41,ENTI!$AF$4:AJ$1003,5,FALSE)</f>
        <v>0</v>
      </c>
      <c r="AP41" s="315">
        <f>VLOOKUP($AK41,ENTI!$AF$4:AK$1003,6,FALSE)</f>
        <v>0</v>
      </c>
      <c r="AQ41" s="208">
        <f t="shared" si="13"/>
        <v>0</v>
      </c>
      <c r="AR41" s="152" t="e">
        <f t="shared" si="14"/>
        <v>#N/A</v>
      </c>
      <c r="AS41" s="1"/>
      <c r="AT41" s="88" t="str">
        <f t="shared" si="4"/>
        <v/>
      </c>
      <c r="AU41" s="1"/>
      <c r="AV41" s="175">
        <f>IF(AW41&gt;0,COUNTIF(AV$4:AV40,"&gt;0")+1,0)</f>
        <v>0</v>
      </c>
      <c r="AW41" s="164">
        <f t="shared" si="5"/>
        <v>0</v>
      </c>
      <c r="AX41" s="310">
        <f>IF($AW41=0,0,VLOOKUP(VLOOKUP($X41,$B$34:$T$38,19,FALSE),ENTI!$A$9:$B$13,2,FALSE))</f>
        <v>0</v>
      </c>
      <c r="AY41" s="310">
        <f t="shared" si="9"/>
        <v>0</v>
      </c>
      <c r="AZ41" s="316">
        <f t="shared" si="10"/>
        <v>0</v>
      </c>
      <c r="BA41" s="1"/>
      <c r="BB41" s="152">
        <f t="shared" si="11"/>
        <v>0</v>
      </c>
      <c r="BC41" s="152">
        <f ca="1">SUM(Z$4:Z41)+SUM(BB$4:BB41)+COSTI!S$6-COSTI!L$1076</f>
        <v>-31.760000000000218</v>
      </c>
      <c r="BD41" s="1"/>
    </row>
    <row r="42" spans="1:56" ht="16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435">
        <f>IF(AND(W42&gt;=$U$1,W42&lt;=$U$2),IF(X42='ESTRATTO CONTO'!$E$2,1+COUNTIF(U$4:U41,"&gt;0"),0),0)</f>
        <v>0</v>
      </c>
      <c r="V42" s="417">
        <f t="shared" si="8"/>
        <v>39</v>
      </c>
      <c r="W42" s="509"/>
      <c r="X42" s="321"/>
      <c r="Y42" s="905"/>
      <c r="Z42" s="508"/>
      <c r="AA42" s="356"/>
      <c r="AB42" s="306" t="str">
        <f t="shared" si="0"/>
        <v/>
      </c>
      <c r="AC42" s="637">
        <f t="shared" ca="1" si="6"/>
        <v>-2.1316282072803006E-13</v>
      </c>
      <c r="AD42" s="935">
        <f>IF(ISERROR(VLOOKUP(AD$2,X43:X$1003,1,FALSE)),IF(X42=AD$2,SUMIF(X$4:X42,AD$2,Z$4:Z42)+$E$9+SUM(AQ$4:AQ$1003)+SUMIF(COSTI!$X$1379:$X$1430,AD$2,COSTI!$Z$1379:$Z$1430),0),0)</f>
        <v>0</v>
      </c>
      <c r="AE42" s="26"/>
      <c r="AF42" s="856" t="e">
        <f>IF(ISERROR(VLOOKUP(AG$2,X43:X$1003,1,FALSE)),IF(X42=AG$2,SUMIF(X$4:X42,AG$2,Z$4:Z42)+VLOOKUP(AF$2,$B$1057:$F$1068,5,FALSE)+SUM(AR$4:AR$1003)+SUMIF(COSTI!$X$1379:$X$1430,AG$2,COSTI!$Z$1379:$Z$1430),0),0)</f>
        <v>#N/A</v>
      </c>
      <c r="AG42" s="859"/>
      <c r="AH42" s="27" t="str">
        <f t="shared" si="1"/>
        <v/>
      </c>
      <c r="AI42" s="152">
        <f ca="1">IF(W43&gt;0,0,IF(AH42=0,(Z42*-1)+BC42+SUM(BB$4:BB41),BC42+SUM(BB$4:BB41)))</f>
        <v>-2.1316282072803006E-13</v>
      </c>
      <c r="AJ42" s="931">
        <f>IF(AND(AL42&gt;=$U$1,AL42&lt;=$U$2),IF(AM42='ESTRATTO CONTO'!$E$2,1+COUNTIF(AJ$4:AJ41,"&gt;0")+U$1015,0),0)</f>
        <v>0</v>
      </c>
      <c r="AK42" s="203">
        <f>IF(AND(OR((AK41+1)&lt;AL$1015,(AK41+1)=AL$1015),MAX(AK$4:AK41)&lt;AL$1015),AK41+1,0)</f>
        <v>0</v>
      </c>
      <c r="AL42" s="309">
        <f>VLOOKUP($AK42,ENTI!$AF$4:AG$1003,2,FALSE)</f>
        <v>0</v>
      </c>
      <c r="AM42" s="224">
        <f>VLOOKUP($AK42,ENTI!$AF$4:AH$1003,3,FALSE)</f>
        <v>0</v>
      </c>
      <c r="AN42" s="224">
        <f>VLOOKUP($AK42,ENTI!$AF$4:AI$1003,4,FALSE)</f>
        <v>0</v>
      </c>
      <c r="AO42" s="781">
        <f>VLOOKUP($AK42,ENTI!$AF$4:AJ$1003,5,FALSE)</f>
        <v>0</v>
      </c>
      <c r="AP42" s="315">
        <f>VLOOKUP($AK42,ENTI!$AF$4:AK$1003,6,FALSE)</f>
        <v>0</v>
      </c>
      <c r="AQ42" s="208">
        <f t="shared" si="13"/>
        <v>0</v>
      </c>
      <c r="AR42" s="152" t="e">
        <f t="shared" si="14"/>
        <v>#N/A</v>
      </c>
      <c r="AS42" s="1"/>
      <c r="AT42" s="88" t="str">
        <f t="shared" si="4"/>
        <v/>
      </c>
      <c r="AU42" s="1"/>
      <c r="AV42" s="175">
        <f>IF(AW42&gt;0,COUNTIF(AV$4:AV41,"&gt;0")+1,0)</f>
        <v>0</v>
      </c>
      <c r="AW42" s="164">
        <f t="shared" si="5"/>
        <v>0</v>
      </c>
      <c r="AX42" s="310">
        <f>IF($AW42=0,0,VLOOKUP(VLOOKUP($X42,$B$34:$T$38,19,FALSE),ENTI!$A$9:$B$13,2,FALSE))</f>
        <v>0</v>
      </c>
      <c r="AY42" s="310">
        <f t="shared" si="9"/>
        <v>0</v>
      </c>
      <c r="AZ42" s="316">
        <f t="shared" si="10"/>
        <v>0</v>
      </c>
      <c r="BA42" s="1"/>
      <c r="BB42" s="152">
        <f t="shared" si="11"/>
        <v>0</v>
      </c>
      <c r="BC42" s="152">
        <f ca="1">SUM(Z$4:Z42)+SUM(BB$4:BB42)+COSTI!S$6-COSTI!L$1076</f>
        <v>-31.760000000000218</v>
      </c>
      <c r="BD42" s="1"/>
    </row>
    <row r="43" spans="1:56" ht="16.5" customHeight="1">
      <c r="A43" s="3"/>
      <c r="B43" s="1487" t="s">
        <v>79</v>
      </c>
      <c r="C43" s="1487"/>
      <c r="D43" s="1487"/>
      <c r="E43" s="45" t="s">
        <v>68</v>
      </c>
      <c r="F43" s="993" t="str">
        <f t="shared" ref="F43:Q43" si="27">F33</f>
        <v>Gennaio</v>
      </c>
      <c r="G43" s="993" t="str">
        <f t="shared" si="27"/>
        <v>Febbraio</v>
      </c>
      <c r="H43" s="993" t="str">
        <f t="shared" si="27"/>
        <v>Marzo</v>
      </c>
      <c r="I43" s="993" t="str">
        <f t="shared" si="27"/>
        <v>Aprile</v>
      </c>
      <c r="J43" s="993" t="str">
        <f t="shared" si="27"/>
        <v>Maggio</v>
      </c>
      <c r="K43" s="993" t="str">
        <f t="shared" si="27"/>
        <v>Giugno</v>
      </c>
      <c r="L43" s="993" t="str">
        <f t="shared" si="27"/>
        <v>Luglio</v>
      </c>
      <c r="M43" s="993" t="str">
        <f t="shared" si="27"/>
        <v>Agosto</v>
      </c>
      <c r="N43" s="993" t="str">
        <f t="shared" si="27"/>
        <v>Settembre</v>
      </c>
      <c r="O43" s="993" t="str">
        <f t="shared" si="27"/>
        <v>Ottobre</v>
      </c>
      <c r="P43" s="993" t="str">
        <f t="shared" si="27"/>
        <v>Novembre</v>
      </c>
      <c r="Q43" s="993" t="str">
        <f t="shared" si="27"/>
        <v>Dicembre</v>
      </c>
      <c r="R43" s="1"/>
      <c r="S43" s="287" t="s">
        <v>162</v>
      </c>
      <c r="T43" s="3"/>
      <c r="U43" s="435">
        <f>IF(AND(W43&gt;=$U$1,W43&lt;=$U$2),IF(X43='ESTRATTO CONTO'!$E$2,1+COUNTIF(U$4:U42,"&gt;0"),0),0)</f>
        <v>0</v>
      </c>
      <c r="V43" s="417">
        <f t="shared" si="8"/>
        <v>40</v>
      </c>
      <c r="W43" s="509"/>
      <c r="X43" s="321"/>
      <c r="Y43" s="905"/>
      <c r="Z43" s="508"/>
      <c r="AA43" s="356"/>
      <c r="AB43" s="306" t="str">
        <f t="shared" si="0"/>
        <v/>
      </c>
      <c r="AC43" s="637">
        <f t="shared" ca="1" si="6"/>
        <v>-2.1316282072803006E-13</v>
      </c>
      <c r="AD43" s="935">
        <f>IF(ISERROR(VLOOKUP(AD$2,X44:X$1003,1,FALSE)),IF(X43=AD$2,SUMIF(X$4:X43,AD$2,Z$4:Z43)+$E$9+SUM(AQ$4:AQ$1003)+SUMIF(COSTI!$X$1379:$X$1430,AD$2,COSTI!$Z$1379:$Z$1430),0),0)</f>
        <v>0</v>
      </c>
      <c r="AE43" s="26"/>
      <c r="AF43" s="856" t="e">
        <f>IF(ISERROR(VLOOKUP(AG$2,X44:X$1003,1,FALSE)),IF(X43=AG$2,SUMIF(X$4:X43,AG$2,Z$4:Z43)+VLOOKUP(AF$2,$B$1057:$F$1068,5,FALSE)+SUM(AR$4:AR$1003)+SUMIF(COSTI!$X$1379:$X$1430,AG$2,COSTI!$Z$1379:$Z$1430),0),0)</f>
        <v>#N/A</v>
      </c>
      <c r="AG43" s="859"/>
      <c r="AH43" s="27" t="str">
        <f t="shared" si="1"/>
        <v/>
      </c>
      <c r="AI43" s="152">
        <f ca="1">IF(W44&gt;0,0,IF(AH43=0,(Z43*-1)+BC43+SUM(BB$4:BB42),BC43+SUM(BB$4:BB42)))</f>
        <v>-2.1316282072803006E-13</v>
      </c>
      <c r="AJ43" s="931">
        <f>IF(AND(AL43&gt;=$U$1,AL43&lt;=$U$2),IF(AM43='ESTRATTO CONTO'!$E$2,1+COUNTIF(AJ$4:AJ42,"&gt;0")+U$1015,0),0)</f>
        <v>0</v>
      </c>
      <c r="AK43" s="203">
        <f>IF(AND(OR((AK42+1)&lt;AL$1015,(AK42+1)=AL$1015),MAX(AK$4:AK42)&lt;AL$1015),AK42+1,0)</f>
        <v>0</v>
      </c>
      <c r="AL43" s="309">
        <f>VLOOKUP($AK43,ENTI!$AF$4:AG$1003,2,FALSE)</f>
        <v>0</v>
      </c>
      <c r="AM43" s="224">
        <f>VLOOKUP($AK43,ENTI!$AF$4:AH$1003,3,FALSE)</f>
        <v>0</v>
      </c>
      <c r="AN43" s="224">
        <f>VLOOKUP($AK43,ENTI!$AF$4:AI$1003,4,FALSE)</f>
        <v>0</v>
      </c>
      <c r="AO43" s="781">
        <f>VLOOKUP($AK43,ENTI!$AF$4:AJ$1003,5,FALSE)</f>
        <v>0</v>
      </c>
      <c r="AP43" s="315">
        <f>VLOOKUP($AK43,ENTI!$AF$4:AK$1003,6,FALSE)</f>
        <v>0</v>
      </c>
      <c r="AQ43" s="208">
        <f t="shared" si="13"/>
        <v>0</v>
      </c>
      <c r="AR43" s="152" t="e">
        <f t="shared" si="14"/>
        <v>#N/A</v>
      </c>
      <c r="AS43" s="1"/>
      <c r="AT43" s="88" t="str">
        <f t="shared" si="4"/>
        <v/>
      </c>
      <c r="AU43" s="1"/>
      <c r="AV43" s="175">
        <f>IF(AW43&gt;0,COUNTIF(AV$4:AV42,"&gt;0")+1,0)</f>
        <v>0</v>
      </c>
      <c r="AW43" s="164">
        <f t="shared" si="5"/>
        <v>0</v>
      </c>
      <c r="AX43" s="310">
        <f>IF($AW43=0,0,VLOOKUP(VLOOKUP($X43,$B$34:$T$38,19,FALSE),ENTI!$A$9:$B$13,2,FALSE))</f>
        <v>0</v>
      </c>
      <c r="AY43" s="310">
        <f t="shared" si="9"/>
        <v>0</v>
      </c>
      <c r="AZ43" s="316">
        <f t="shared" si="10"/>
        <v>0</v>
      </c>
      <c r="BA43" s="1"/>
      <c r="BB43" s="152">
        <f t="shared" si="11"/>
        <v>0</v>
      </c>
      <c r="BC43" s="152">
        <f ca="1">SUM(Z$4:Z43)+SUM(BB$4:BB43)+COSTI!S$6-COSTI!L$1076</f>
        <v>-31.760000000000218</v>
      </c>
      <c r="BD43" s="1"/>
    </row>
    <row r="44" spans="1:56" ht="16.5" customHeight="1">
      <c r="A44" s="770" t="s">
        <v>159</v>
      </c>
      <c r="B44" s="1488" t="str">
        <f>COSTI!B78</f>
        <v>AMMINISTRATORE</v>
      </c>
      <c r="C44" s="1489"/>
      <c r="D44" s="1489"/>
      <c r="E44" s="855">
        <f>COSTI!E78</f>
        <v>0</v>
      </c>
      <c r="F44" s="470">
        <f ca="1">COSTI!F78+E44</f>
        <v>0</v>
      </c>
      <c r="G44" s="471">
        <f ca="1">COSTI!G78+F44</f>
        <v>200</v>
      </c>
      <c r="H44" s="471">
        <f ca="1">COSTI!H78+G44</f>
        <v>400</v>
      </c>
      <c r="I44" s="471">
        <f ca="1">COSTI!I78+H44</f>
        <v>600</v>
      </c>
      <c r="J44" s="471">
        <f ca="1">COSTI!J78+I44</f>
        <v>700</v>
      </c>
      <c r="K44" s="471">
        <f ca="1">COSTI!K78+J44</f>
        <v>700</v>
      </c>
      <c r="L44" s="471">
        <f ca="1">COSTI!L78+K44</f>
        <v>700</v>
      </c>
      <c r="M44" s="471">
        <f ca="1">COSTI!M78+L44</f>
        <v>700</v>
      </c>
      <c r="N44" s="471">
        <f ca="1">COSTI!N78+M44</f>
        <v>700</v>
      </c>
      <c r="O44" s="471">
        <f ca="1">COSTI!O78+N44</f>
        <v>700</v>
      </c>
      <c r="P44" s="471">
        <f ca="1">COSTI!P78+O44</f>
        <v>700</v>
      </c>
      <c r="Q44" s="472">
        <f ca="1">COSTI!Q78+P44</f>
        <v>700</v>
      </c>
      <c r="R44" s="27"/>
      <c r="S44" s="964">
        <f ca="1">SUM(Q44)</f>
        <v>700</v>
      </c>
      <c r="T44" s="1"/>
      <c r="U44" s="435">
        <f>IF(AND(W44&gt;=$U$1,W44&lt;=$U$2),IF(X44='ESTRATTO CONTO'!$E$2,1+COUNTIF(U$4:U43,"&gt;0"),0),0)</f>
        <v>0</v>
      </c>
      <c r="V44" s="417">
        <f t="shared" si="8"/>
        <v>41</v>
      </c>
      <c r="W44" s="509"/>
      <c r="X44" s="321"/>
      <c r="Y44" s="905"/>
      <c r="Z44" s="508"/>
      <c r="AA44" s="356"/>
      <c r="AB44" s="306" t="str">
        <f t="shared" si="0"/>
        <v/>
      </c>
      <c r="AC44" s="637">
        <f t="shared" ca="1" si="6"/>
        <v>-2.1316282072803006E-13</v>
      </c>
      <c r="AD44" s="935">
        <f>IF(ISERROR(VLOOKUP(AD$2,X45:X$1003,1,FALSE)),IF(X44=AD$2,SUMIF(X$4:X44,AD$2,Z$4:Z44)+$E$9+SUM(AQ$4:AQ$1003)+SUMIF(COSTI!$X$1379:$X$1430,AD$2,COSTI!$Z$1379:$Z$1430),0),0)</f>
        <v>0</v>
      </c>
      <c r="AE44" s="26"/>
      <c r="AF44" s="856" t="e">
        <f>IF(ISERROR(VLOOKUP(AG$2,X45:X$1003,1,FALSE)),IF(X44=AG$2,SUMIF(X$4:X44,AG$2,Z$4:Z44)+VLOOKUP(AF$2,$B$1057:$F$1068,5,FALSE)+SUM(AR$4:AR$1003)+SUMIF(COSTI!$X$1379:$X$1430,AG$2,COSTI!$Z$1379:$Z$1430),0),0)</f>
        <v>#N/A</v>
      </c>
      <c r="AG44" s="859"/>
      <c r="AH44" s="27" t="str">
        <f t="shared" si="1"/>
        <v/>
      </c>
      <c r="AI44" s="152">
        <f ca="1">IF(W45&gt;0,0,IF(AH44=0,(Z44*-1)+BC44+SUM(BB$4:BB43),BC44+SUM(BB$4:BB43)))</f>
        <v>-2.1316282072803006E-13</v>
      </c>
      <c r="AJ44" s="931">
        <f>IF(AND(AL44&gt;=$U$1,AL44&lt;=$U$2),IF(AM44='ESTRATTO CONTO'!$E$2,1+COUNTIF(AJ$4:AJ43,"&gt;0")+U$1015,0),0)</f>
        <v>0</v>
      </c>
      <c r="AK44" s="203">
        <f>IF(AND(OR((AK43+1)&lt;AL$1015,(AK43+1)=AL$1015),MAX(AK$4:AK43)&lt;AL$1015),AK43+1,0)</f>
        <v>0</v>
      </c>
      <c r="AL44" s="309">
        <f>VLOOKUP($AK44,ENTI!$AF$4:AG$1003,2,FALSE)</f>
        <v>0</v>
      </c>
      <c r="AM44" s="224">
        <f>VLOOKUP($AK44,ENTI!$AF$4:AH$1003,3,FALSE)</f>
        <v>0</v>
      </c>
      <c r="AN44" s="224">
        <f>VLOOKUP($AK44,ENTI!$AF$4:AI$1003,4,FALSE)</f>
        <v>0</v>
      </c>
      <c r="AO44" s="781">
        <f>VLOOKUP($AK44,ENTI!$AF$4:AJ$1003,5,FALSE)</f>
        <v>0</v>
      </c>
      <c r="AP44" s="315">
        <f>VLOOKUP($AK44,ENTI!$AF$4:AK$1003,6,FALSE)</f>
        <v>0</v>
      </c>
      <c r="AQ44" s="208">
        <f t="shared" si="13"/>
        <v>0</v>
      </c>
      <c r="AR44" s="152" t="e">
        <f t="shared" si="14"/>
        <v>#N/A</v>
      </c>
      <c r="AS44" s="1"/>
      <c r="AT44" s="88" t="str">
        <f t="shared" si="4"/>
        <v/>
      </c>
      <c r="AU44" s="1"/>
      <c r="AV44" s="175">
        <f>IF(AW44&gt;0,COUNTIF(AV$4:AV43,"&gt;0")+1,0)</f>
        <v>0</v>
      </c>
      <c r="AW44" s="164">
        <f t="shared" si="5"/>
        <v>0</v>
      </c>
      <c r="AX44" s="310">
        <f>IF($AW44=0,0,VLOOKUP(VLOOKUP($X44,$B$34:$T$38,19,FALSE),ENTI!$A$9:$B$13,2,FALSE))</f>
        <v>0</v>
      </c>
      <c r="AY44" s="310">
        <f t="shared" si="9"/>
        <v>0</v>
      </c>
      <c r="AZ44" s="316">
        <f t="shared" si="10"/>
        <v>0</v>
      </c>
      <c r="BA44" s="1"/>
      <c r="BB44" s="152">
        <f t="shared" si="11"/>
        <v>0</v>
      </c>
      <c r="BC44" s="152">
        <f ca="1">SUM(Z$4:Z44)+SUM(BB$4:BB44)+COSTI!S$6-COSTI!L$1076</f>
        <v>-31.760000000000218</v>
      </c>
      <c r="BD44" s="1"/>
    </row>
    <row r="45" spans="1:56" ht="16.5" customHeight="1">
      <c r="A45" s="1"/>
      <c r="B45" s="771" t="s">
        <v>441</v>
      </c>
      <c r="C45" s="1"/>
      <c r="D45" s="1"/>
      <c r="E45" s="1"/>
      <c r="F45" s="1490"/>
      <c r="G45" s="1490"/>
      <c r="H45" s="1490"/>
      <c r="I45" s="1490"/>
      <c r="J45" s="1490"/>
      <c r="K45" s="1490"/>
      <c r="L45" s="1490"/>
      <c r="M45" s="1490"/>
      <c r="N45" s="1490"/>
      <c r="O45" s="1490"/>
      <c r="P45" s="1490"/>
      <c r="Q45" s="1490"/>
      <c r="R45" s="1"/>
      <c r="S45" s="1"/>
      <c r="T45" s="1"/>
      <c r="U45" s="435">
        <f>IF(AND(W45&gt;=$U$1,W45&lt;=$U$2),IF(X45='ESTRATTO CONTO'!$E$2,1+COUNTIF(U$4:U44,"&gt;0"),0),0)</f>
        <v>0</v>
      </c>
      <c r="V45" s="417">
        <f t="shared" si="8"/>
        <v>42</v>
      </c>
      <c r="W45" s="509"/>
      <c r="X45" s="321"/>
      <c r="Y45" s="905"/>
      <c r="Z45" s="508"/>
      <c r="AA45" s="356"/>
      <c r="AB45" s="306" t="str">
        <f t="shared" si="0"/>
        <v/>
      </c>
      <c r="AC45" s="637">
        <f t="shared" ca="1" si="6"/>
        <v>-2.1316282072803006E-13</v>
      </c>
      <c r="AD45" s="935">
        <f>IF(ISERROR(VLOOKUP(AD$2,X46:X$1003,1,FALSE)),IF(X45=AD$2,SUMIF(X$4:X45,AD$2,Z$4:Z45)+$E$9+SUM(AQ$4:AQ$1003)+SUMIF(COSTI!$X$1379:$X$1430,AD$2,COSTI!$Z$1379:$Z$1430),0),0)</f>
        <v>0</v>
      </c>
      <c r="AE45" s="26"/>
      <c r="AF45" s="856" t="e">
        <f>IF(ISERROR(VLOOKUP(AG$2,X46:X$1003,1,FALSE)),IF(X45=AG$2,SUMIF(X$4:X45,AG$2,Z$4:Z45)+VLOOKUP(AF$2,$B$1057:$F$1068,5,FALSE)+SUM(AR$4:AR$1003)+SUMIF(COSTI!$X$1379:$X$1430,AG$2,COSTI!$Z$1379:$Z$1430),0),0)</f>
        <v>#N/A</v>
      </c>
      <c r="AG45" s="859"/>
      <c r="AH45" s="27" t="str">
        <f t="shared" si="1"/>
        <v/>
      </c>
      <c r="AI45" s="152">
        <f ca="1">IF(W46&gt;0,0,IF(AH45=0,(Z45*-1)+BC45+SUM(BB$4:BB44),BC45+SUM(BB$4:BB44)))</f>
        <v>-2.1316282072803006E-13</v>
      </c>
      <c r="AJ45" s="931">
        <f>IF(AND(AL45&gt;=$U$1,AL45&lt;=$U$2),IF(AM45='ESTRATTO CONTO'!$E$2,1+COUNTIF(AJ$4:AJ44,"&gt;0")+U$1015,0),0)</f>
        <v>0</v>
      </c>
      <c r="AK45" s="203">
        <f>IF(AND(OR((AK44+1)&lt;AL$1015,(AK44+1)=AL$1015),MAX(AK$4:AK44)&lt;AL$1015),AK44+1,0)</f>
        <v>0</v>
      </c>
      <c r="AL45" s="309">
        <f>VLOOKUP($AK45,ENTI!$AF$4:AG$1003,2,FALSE)</f>
        <v>0</v>
      </c>
      <c r="AM45" s="224">
        <f>VLOOKUP($AK45,ENTI!$AF$4:AH$1003,3,FALSE)</f>
        <v>0</v>
      </c>
      <c r="AN45" s="224">
        <f>VLOOKUP($AK45,ENTI!$AF$4:AI$1003,4,FALSE)</f>
        <v>0</v>
      </c>
      <c r="AO45" s="781">
        <f>VLOOKUP($AK45,ENTI!$AF$4:AJ$1003,5,FALSE)</f>
        <v>0</v>
      </c>
      <c r="AP45" s="315">
        <f>VLOOKUP($AK45,ENTI!$AF$4:AK$1003,6,FALSE)</f>
        <v>0</v>
      </c>
      <c r="AQ45" s="208">
        <f t="shared" si="13"/>
        <v>0</v>
      </c>
      <c r="AR45" s="152" t="e">
        <f t="shared" si="14"/>
        <v>#N/A</v>
      </c>
      <c r="AS45" s="1"/>
      <c r="AT45" s="88" t="str">
        <f t="shared" si="4"/>
        <v/>
      </c>
      <c r="AU45" s="1"/>
      <c r="AV45" s="175">
        <f>IF(AW45&gt;0,COUNTIF(AV$4:AV44,"&gt;0")+1,0)</f>
        <v>0</v>
      </c>
      <c r="AW45" s="164">
        <f t="shared" si="5"/>
        <v>0</v>
      </c>
      <c r="AX45" s="310">
        <f>IF($AW45=0,0,VLOOKUP(VLOOKUP($X45,$B$34:$T$38,19,FALSE),ENTI!$A$9:$B$13,2,FALSE))</f>
        <v>0</v>
      </c>
      <c r="AY45" s="310">
        <f t="shared" si="9"/>
        <v>0</v>
      </c>
      <c r="AZ45" s="316">
        <f t="shared" si="10"/>
        <v>0</v>
      </c>
      <c r="BA45" s="1"/>
      <c r="BB45" s="152">
        <f t="shared" si="11"/>
        <v>0</v>
      </c>
      <c r="BC45" s="152">
        <f ca="1">SUM(Z$4:Z45)+SUM(BB$4:BB45)+COSTI!S$6-COSTI!L$1076</f>
        <v>-31.760000000000218</v>
      </c>
      <c r="BD45" s="1"/>
    </row>
    <row r="46" spans="1:56" ht="16.5" customHeight="1">
      <c r="A46" s="770" t="s">
        <v>440</v>
      </c>
      <c r="B46" s="1521" t="s">
        <v>333</v>
      </c>
      <c r="C46" s="1522"/>
      <c r="D46" s="1522"/>
      <c r="E46" s="987">
        <f>ROUND(SUM(E9:E15)+(SUM(E34:E38)*-1)+(E44*-1),2)</f>
        <v>1000</v>
      </c>
      <c r="F46" s="988"/>
      <c r="G46" s="989"/>
      <c r="H46" s="989"/>
      <c r="I46" s="989"/>
      <c r="J46" s="989"/>
      <c r="K46" s="989"/>
      <c r="L46" s="989"/>
      <c r="M46" s="989"/>
      <c r="N46" s="989"/>
      <c r="O46" s="990"/>
      <c r="P46" s="990"/>
      <c r="Q46" s="990"/>
      <c r="R46" s="991"/>
      <c r="S46" s="986">
        <f ca="1">ROUND(SUM(S9:S15)+(SUM(S34:S38)*-1)+(S44*-1),2)</f>
        <v>1000</v>
      </c>
      <c r="T46" s="1"/>
      <c r="U46" s="435">
        <f>IF(AND(W46&gt;=$U$1,W46&lt;=$U$2),IF(X46='ESTRATTO CONTO'!$E$2,1+COUNTIF(U$4:U45,"&gt;0"),0),0)</f>
        <v>0</v>
      </c>
      <c r="V46" s="417">
        <f t="shared" si="8"/>
        <v>43</v>
      </c>
      <c r="W46" s="509"/>
      <c r="X46" s="321"/>
      <c r="Y46" s="905"/>
      <c r="Z46" s="508"/>
      <c r="AA46" s="356"/>
      <c r="AB46" s="306" t="str">
        <f t="shared" si="0"/>
        <v/>
      </c>
      <c r="AC46" s="637">
        <f t="shared" ca="1" si="6"/>
        <v>-2.1316282072803006E-13</v>
      </c>
      <c r="AD46" s="935">
        <f>IF(ISERROR(VLOOKUP(AD$2,X47:X$1003,1,FALSE)),IF(X46=AD$2,SUMIF(X$4:X46,AD$2,Z$4:Z46)+$E$9+SUM(AQ$4:AQ$1003)+SUMIF(COSTI!$X$1379:$X$1430,AD$2,COSTI!$Z$1379:$Z$1430),0),0)</f>
        <v>0</v>
      </c>
      <c r="AE46" s="26"/>
      <c r="AF46" s="856" t="e">
        <f>IF(ISERROR(VLOOKUP(AG$2,X47:X$1003,1,FALSE)),IF(X46=AG$2,SUMIF(X$4:X46,AG$2,Z$4:Z46)+VLOOKUP(AF$2,$B$1057:$F$1068,5,FALSE)+SUM(AR$4:AR$1003)+SUMIF(COSTI!$X$1379:$X$1430,AG$2,COSTI!$Z$1379:$Z$1430),0),0)</f>
        <v>#N/A</v>
      </c>
      <c r="AG46" s="859"/>
      <c r="AH46" s="27" t="str">
        <f t="shared" si="1"/>
        <v/>
      </c>
      <c r="AI46" s="152">
        <f ca="1">IF(W47&gt;0,0,IF(AH46=0,(Z46*-1)+BC46+SUM(BB$4:BB45),BC46+SUM(BB$4:BB45)))</f>
        <v>-2.1316282072803006E-13</v>
      </c>
      <c r="AJ46" s="931">
        <f>IF(AND(AL46&gt;=$U$1,AL46&lt;=$U$2),IF(AM46='ESTRATTO CONTO'!$E$2,1+COUNTIF(AJ$4:AJ45,"&gt;0")+U$1015,0),0)</f>
        <v>0</v>
      </c>
      <c r="AK46" s="203">
        <f>IF(AND(OR((AK45+1)&lt;AL$1015,(AK45+1)=AL$1015),MAX(AK$4:AK45)&lt;AL$1015),AK45+1,0)</f>
        <v>0</v>
      </c>
      <c r="AL46" s="309">
        <f>VLOOKUP($AK46,ENTI!$AF$4:AG$1003,2,FALSE)</f>
        <v>0</v>
      </c>
      <c r="AM46" s="224">
        <f>VLOOKUP($AK46,ENTI!$AF$4:AH$1003,3,FALSE)</f>
        <v>0</v>
      </c>
      <c r="AN46" s="224">
        <f>VLOOKUP($AK46,ENTI!$AF$4:AI$1003,4,FALSE)</f>
        <v>0</v>
      </c>
      <c r="AO46" s="781">
        <f>VLOOKUP($AK46,ENTI!$AF$4:AJ$1003,5,FALSE)</f>
        <v>0</v>
      </c>
      <c r="AP46" s="315">
        <f>VLOOKUP($AK46,ENTI!$AF$4:AK$1003,6,FALSE)</f>
        <v>0</v>
      </c>
      <c r="AQ46" s="208">
        <f t="shared" si="13"/>
        <v>0</v>
      </c>
      <c r="AR46" s="152" t="e">
        <f t="shared" si="14"/>
        <v>#N/A</v>
      </c>
      <c r="AS46" s="1"/>
      <c r="AT46" s="88" t="str">
        <f t="shared" si="4"/>
        <v/>
      </c>
      <c r="AU46" s="1"/>
      <c r="AV46" s="175">
        <f>IF(AW46&gt;0,COUNTIF(AV$4:AV45,"&gt;0")+1,0)</f>
        <v>0</v>
      </c>
      <c r="AW46" s="164">
        <f t="shared" si="5"/>
        <v>0</v>
      </c>
      <c r="AX46" s="310">
        <f>IF($AW46=0,0,VLOOKUP(VLOOKUP($X46,$B$34:$T$38,19,FALSE),ENTI!$A$9:$B$13,2,FALSE))</f>
        <v>0</v>
      </c>
      <c r="AY46" s="310">
        <f t="shared" si="9"/>
        <v>0</v>
      </c>
      <c r="AZ46" s="316">
        <f t="shared" si="10"/>
        <v>0</v>
      </c>
      <c r="BA46" s="1"/>
      <c r="BB46" s="152">
        <f t="shared" si="11"/>
        <v>0</v>
      </c>
      <c r="BC46" s="152">
        <f ca="1">SUM(Z$4:Z46)+SUM(BB$4:BB46)+COSTI!S$6-COSTI!L$1076</f>
        <v>-31.760000000000218</v>
      </c>
      <c r="BD46" s="1"/>
    </row>
    <row r="47" spans="1:56" ht="16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435">
        <f>IF(AND(W47&gt;=$U$1,W47&lt;=$U$2),IF(X47='ESTRATTO CONTO'!$E$2,1+COUNTIF(U$4:U46,"&gt;0"),0),0)</f>
        <v>0</v>
      </c>
      <c r="V47" s="417">
        <f t="shared" si="8"/>
        <v>44</v>
      </c>
      <c r="W47" s="509"/>
      <c r="X47" s="321"/>
      <c r="Y47" s="905"/>
      <c r="Z47" s="508"/>
      <c r="AA47" s="356"/>
      <c r="AB47" s="306" t="str">
        <f t="shared" si="0"/>
        <v/>
      </c>
      <c r="AC47" s="637">
        <f t="shared" ca="1" si="6"/>
        <v>-2.1316282072803006E-13</v>
      </c>
      <c r="AD47" s="935">
        <f>IF(ISERROR(VLOOKUP(AD$2,X48:X$1003,1,FALSE)),IF(X47=AD$2,SUMIF(X$4:X47,AD$2,Z$4:Z47)+$E$9+SUM(AQ$4:AQ$1003)+SUMIF(COSTI!$X$1379:$X$1430,AD$2,COSTI!$Z$1379:$Z$1430),0),0)</f>
        <v>0</v>
      </c>
      <c r="AE47" s="26"/>
      <c r="AF47" s="856" t="e">
        <f>IF(ISERROR(VLOOKUP(AG$2,X48:X$1003,1,FALSE)),IF(X47=AG$2,SUMIF(X$4:X47,AG$2,Z$4:Z47)+VLOOKUP(AF$2,$B$1057:$F$1068,5,FALSE)+SUM(AR$4:AR$1003)+SUMIF(COSTI!$X$1379:$X$1430,AG$2,COSTI!$Z$1379:$Z$1430),0),0)</f>
        <v>#N/A</v>
      </c>
      <c r="AG47" s="859"/>
      <c r="AH47" s="27" t="str">
        <f t="shared" si="1"/>
        <v/>
      </c>
      <c r="AI47" s="152">
        <f ca="1">IF(W48&gt;0,0,IF(AH47=0,(Z47*-1)+BC47+SUM(BB$4:BB46),BC47+SUM(BB$4:BB46)))</f>
        <v>-2.1316282072803006E-13</v>
      </c>
      <c r="AJ47" s="931">
        <f>IF(AND(AL47&gt;=$U$1,AL47&lt;=$U$2),IF(AM47='ESTRATTO CONTO'!$E$2,1+COUNTIF(AJ$4:AJ46,"&gt;0")+U$1015,0),0)</f>
        <v>0</v>
      </c>
      <c r="AK47" s="203">
        <f>IF(AND(OR((AK46+1)&lt;AL$1015,(AK46+1)=AL$1015),MAX(AK$4:AK46)&lt;AL$1015),AK46+1,0)</f>
        <v>0</v>
      </c>
      <c r="AL47" s="309">
        <f>VLOOKUP($AK47,ENTI!$AF$4:AG$1003,2,FALSE)</f>
        <v>0</v>
      </c>
      <c r="AM47" s="224">
        <f>VLOOKUP($AK47,ENTI!$AF$4:AH$1003,3,FALSE)</f>
        <v>0</v>
      </c>
      <c r="AN47" s="224">
        <f>VLOOKUP($AK47,ENTI!$AF$4:AI$1003,4,FALSE)</f>
        <v>0</v>
      </c>
      <c r="AO47" s="781">
        <f>VLOOKUP($AK47,ENTI!$AF$4:AJ$1003,5,FALSE)</f>
        <v>0</v>
      </c>
      <c r="AP47" s="315">
        <f>VLOOKUP($AK47,ENTI!$AF$4:AK$1003,6,FALSE)</f>
        <v>0</v>
      </c>
      <c r="AQ47" s="208">
        <f t="shared" si="13"/>
        <v>0</v>
      </c>
      <c r="AR47" s="152" t="e">
        <f t="shared" si="14"/>
        <v>#N/A</v>
      </c>
      <c r="AS47" s="1"/>
      <c r="AT47" s="88" t="str">
        <f t="shared" si="4"/>
        <v/>
      </c>
      <c r="AU47" s="1"/>
      <c r="AV47" s="175">
        <f>IF(AW47&gt;0,COUNTIF(AV$4:AV46,"&gt;0")+1,0)</f>
        <v>0</v>
      </c>
      <c r="AW47" s="164">
        <f t="shared" si="5"/>
        <v>0</v>
      </c>
      <c r="AX47" s="310">
        <f>IF($AW47=0,0,VLOOKUP(VLOOKUP($X47,$B$34:$T$38,19,FALSE),ENTI!$A$9:$B$13,2,FALSE))</f>
        <v>0</v>
      </c>
      <c r="AY47" s="310">
        <f t="shared" si="9"/>
        <v>0</v>
      </c>
      <c r="AZ47" s="316">
        <f t="shared" si="10"/>
        <v>0</v>
      </c>
      <c r="BA47" s="1"/>
      <c r="BB47" s="152">
        <f t="shared" si="11"/>
        <v>0</v>
      </c>
      <c r="BC47" s="152">
        <f ca="1">SUM(Z$4:Z47)+SUM(BB$4:BB47)+COSTI!S$6-COSTI!L$1076</f>
        <v>-31.760000000000218</v>
      </c>
      <c r="BD47" s="1"/>
    </row>
    <row r="48" spans="1:56" ht="16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999" t="str">
        <f ca="1">IF(O48=0,"",IF(K1076&gt;0,C1076,IF(O48=AC1015,C1074,IF(RIPARTIZIONI!T67&lt;&gt;0,C1075,IF(OR(COSTI!K1023&lt;&gt;100,COSTI!Q1023&lt;&gt;1),C1075,C1073)))))</f>
        <v/>
      </c>
      <c r="O48" s="1504">
        <f ca="1">S46-E46</f>
        <v>0</v>
      </c>
      <c r="P48" s="1505"/>
      <c r="Q48" s="835"/>
      <c r="R48" s="1"/>
      <c r="S48" s="1"/>
      <c r="T48" s="1"/>
      <c r="U48" s="435">
        <f>IF(AND(W48&gt;=$U$1,W48&lt;=$U$2),IF(X48='ESTRATTO CONTO'!$E$2,1+COUNTIF(U$4:U47,"&gt;0"),0),0)</f>
        <v>0</v>
      </c>
      <c r="V48" s="417">
        <f t="shared" si="8"/>
        <v>45</v>
      </c>
      <c r="W48" s="509"/>
      <c r="X48" s="321"/>
      <c r="Y48" s="905"/>
      <c r="Z48" s="508"/>
      <c r="AA48" s="356"/>
      <c r="AB48" s="306" t="str">
        <f t="shared" si="0"/>
        <v/>
      </c>
      <c r="AC48" s="637">
        <f t="shared" ca="1" si="6"/>
        <v>-2.1316282072803006E-13</v>
      </c>
      <c r="AD48" s="935">
        <f>IF(ISERROR(VLOOKUP(AD$2,X49:X$1003,1,FALSE)),IF(X48=AD$2,SUMIF(X$4:X48,AD$2,Z$4:Z48)+$E$9+SUM(AQ$4:AQ$1003)+SUMIF(COSTI!$X$1379:$X$1430,AD$2,COSTI!$Z$1379:$Z$1430),0),0)</f>
        <v>0</v>
      </c>
      <c r="AE48" s="26"/>
      <c r="AF48" s="856" t="e">
        <f>IF(ISERROR(VLOOKUP(AG$2,X49:X$1003,1,FALSE)),IF(X48=AG$2,SUMIF(X$4:X48,AG$2,Z$4:Z48)+VLOOKUP(AF$2,$B$1057:$F$1068,5,FALSE)+SUM(AR$4:AR$1003)+SUMIF(COSTI!$X$1379:$X$1430,AG$2,COSTI!$Z$1379:$Z$1430),0),0)</f>
        <v>#N/A</v>
      </c>
      <c r="AG48" s="859"/>
      <c r="AH48" s="27" t="str">
        <f t="shared" si="1"/>
        <v/>
      </c>
      <c r="AI48" s="152">
        <f ca="1">IF(W49&gt;0,0,IF(AH48=0,(Z48*-1)+BC48+SUM(BB$4:BB47),BC48+SUM(BB$4:BB47)))</f>
        <v>-2.1316282072803006E-13</v>
      </c>
      <c r="AJ48" s="931">
        <f>IF(AND(AL48&gt;=$U$1,AL48&lt;=$U$2),IF(AM48='ESTRATTO CONTO'!$E$2,1+COUNTIF(AJ$4:AJ47,"&gt;0")+U$1015,0),0)</f>
        <v>0</v>
      </c>
      <c r="AK48" s="203">
        <f>IF(AND(OR((AK47+1)&lt;AL$1015,(AK47+1)=AL$1015),MAX(AK$4:AK47)&lt;AL$1015),AK47+1,0)</f>
        <v>0</v>
      </c>
      <c r="AL48" s="309">
        <f>VLOOKUP($AK48,ENTI!$AF$4:AG$1003,2,FALSE)</f>
        <v>0</v>
      </c>
      <c r="AM48" s="224">
        <f>VLOOKUP($AK48,ENTI!$AF$4:AH$1003,3,FALSE)</f>
        <v>0</v>
      </c>
      <c r="AN48" s="224">
        <f>VLOOKUP($AK48,ENTI!$AF$4:AI$1003,4,FALSE)</f>
        <v>0</v>
      </c>
      <c r="AO48" s="781">
        <f>VLOOKUP($AK48,ENTI!$AF$4:AJ$1003,5,FALSE)</f>
        <v>0</v>
      </c>
      <c r="AP48" s="315">
        <f>VLOOKUP($AK48,ENTI!$AF$4:AK$1003,6,FALSE)</f>
        <v>0</v>
      </c>
      <c r="AQ48" s="208">
        <f t="shared" si="13"/>
        <v>0</v>
      </c>
      <c r="AR48" s="152" t="e">
        <f t="shared" si="14"/>
        <v>#N/A</v>
      </c>
      <c r="AS48" s="1"/>
      <c r="AT48" s="88" t="str">
        <f t="shared" si="4"/>
        <v/>
      </c>
      <c r="AU48" s="1"/>
      <c r="AV48" s="175">
        <f>IF(AW48&gt;0,COUNTIF(AV$4:AV47,"&gt;0")+1,0)</f>
        <v>0</v>
      </c>
      <c r="AW48" s="164">
        <f t="shared" si="5"/>
        <v>0</v>
      </c>
      <c r="AX48" s="310">
        <f>IF($AW48=0,0,VLOOKUP(VLOOKUP($X48,$B$34:$T$38,19,FALSE),ENTI!$A$9:$B$13,2,FALSE))</f>
        <v>0</v>
      </c>
      <c r="AY48" s="310">
        <f t="shared" si="9"/>
        <v>0</v>
      </c>
      <c r="AZ48" s="316">
        <f t="shared" si="10"/>
        <v>0</v>
      </c>
      <c r="BA48" s="1"/>
      <c r="BB48" s="152">
        <f t="shared" si="11"/>
        <v>0</v>
      </c>
      <c r="BC48" s="152">
        <f ca="1">SUM(Z$4:Z48)+SUM(BB$4:BB48)+COSTI!S$6-COSTI!L$1076</f>
        <v>-31.760000000000218</v>
      </c>
      <c r="BD48" s="1"/>
    </row>
    <row r="49" spans="1:56" ht="16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503" t="s">
        <v>536</v>
      </c>
      <c r="P49" s="1503"/>
      <c r="Q49" s="1"/>
      <c r="R49" s="1"/>
      <c r="S49" s="1"/>
      <c r="T49" s="1"/>
      <c r="U49" s="435">
        <f>IF(AND(W49&gt;=$U$1,W49&lt;=$U$2),IF(X49='ESTRATTO CONTO'!$E$2,1+COUNTIF(U$4:U48,"&gt;0"),0),0)</f>
        <v>0</v>
      </c>
      <c r="V49" s="417">
        <f t="shared" si="8"/>
        <v>46</v>
      </c>
      <c r="W49" s="509"/>
      <c r="X49" s="321"/>
      <c r="Y49" s="905"/>
      <c r="Z49" s="508"/>
      <c r="AA49" s="356"/>
      <c r="AB49" s="306" t="str">
        <f t="shared" si="0"/>
        <v/>
      </c>
      <c r="AC49" s="637">
        <f t="shared" ca="1" si="6"/>
        <v>-2.1316282072803006E-13</v>
      </c>
      <c r="AD49" s="935">
        <f>IF(ISERROR(VLOOKUP(AD$2,X50:X$1003,1,FALSE)),IF(X49=AD$2,SUMIF(X$4:X49,AD$2,Z$4:Z49)+$E$9+SUM(AQ$4:AQ$1003)+SUMIF(COSTI!$X$1379:$X$1430,AD$2,COSTI!$Z$1379:$Z$1430),0),0)</f>
        <v>0</v>
      </c>
      <c r="AE49" s="26"/>
      <c r="AF49" s="856" t="e">
        <f>IF(ISERROR(VLOOKUP(AG$2,X50:X$1003,1,FALSE)),IF(X49=AG$2,SUMIF(X$4:X49,AG$2,Z$4:Z49)+VLOOKUP(AF$2,$B$1057:$F$1068,5,FALSE)+SUM(AR$4:AR$1003)+SUMIF(COSTI!$X$1379:$X$1430,AG$2,COSTI!$Z$1379:$Z$1430),0),0)</f>
        <v>#N/A</v>
      </c>
      <c r="AG49" s="859"/>
      <c r="AH49" s="27" t="str">
        <f t="shared" si="1"/>
        <v/>
      </c>
      <c r="AI49" s="152">
        <f ca="1">IF(W50&gt;0,0,IF(AH49=0,(Z49*-1)+BC49+SUM(BB$4:BB48),BC49+SUM(BB$4:BB48)))</f>
        <v>-2.1316282072803006E-13</v>
      </c>
      <c r="AJ49" s="931">
        <f>IF(AND(AL49&gt;=$U$1,AL49&lt;=$U$2),IF(AM49='ESTRATTO CONTO'!$E$2,1+COUNTIF(AJ$4:AJ48,"&gt;0")+U$1015,0),0)</f>
        <v>0</v>
      </c>
      <c r="AK49" s="203">
        <f>IF(AND(OR((AK48+1)&lt;AL$1015,(AK48+1)=AL$1015),MAX(AK$4:AK48)&lt;AL$1015),AK48+1,0)</f>
        <v>0</v>
      </c>
      <c r="AL49" s="309">
        <f>VLOOKUP($AK49,ENTI!$AF$4:AG$1003,2,FALSE)</f>
        <v>0</v>
      </c>
      <c r="AM49" s="224">
        <f>VLOOKUP($AK49,ENTI!$AF$4:AH$1003,3,FALSE)</f>
        <v>0</v>
      </c>
      <c r="AN49" s="224">
        <f>VLOOKUP($AK49,ENTI!$AF$4:AI$1003,4,FALSE)</f>
        <v>0</v>
      </c>
      <c r="AO49" s="781">
        <f>VLOOKUP($AK49,ENTI!$AF$4:AJ$1003,5,FALSE)</f>
        <v>0</v>
      </c>
      <c r="AP49" s="315">
        <f>VLOOKUP($AK49,ENTI!$AF$4:AK$1003,6,FALSE)</f>
        <v>0</v>
      </c>
      <c r="AQ49" s="208">
        <f t="shared" si="13"/>
        <v>0</v>
      </c>
      <c r="AR49" s="152" t="e">
        <f t="shared" si="14"/>
        <v>#N/A</v>
      </c>
      <c r="AS49" s="1"/>
      <c r="AT49" s="88" t="str">
        <f t="shared" si="4"/>
        <v/>
      </c>
      <c r="AU49" s="1"/>
      <c r="AV49" s="175">
        <f>IF(AW49&gt;0,COUNTIF(AV$4:AV48,"&gt;0")+1,0)</f>
        <v>0</v>
      </c>
      <c r="AW49" s="164">
        <f t="shared" si="5"/>
        <v>0</v>
      </c>
      <c r="AX49" s="310">
        <f>IF($AW49=0,0,VLOOKUP(VLOOKUP($X49,$B$34:$T$38,19,FALSE),ENTI!$A$9:$B$13,2,FALSE))</f>
        <v>0</v>
      </c>
      <c r="AY49" s="310">
        <f t="shared" si="9"/>
        <v>0</v>
      </c>
      <c r="AZ49" s="316">
        <f t="shared" si="10"/>
        <v>0</v>
      </c>
      <c r="BA49" s="1"/>
      <c r="BB49" s="152">
        <f t="shared" si="11"/>
        <v>0</v>
      </c>
      <c r="BC49" s="152">
        <f ca="1">SUM(Z$4:Z49)+SUM(BB$4:BB49)+COSTI!S$6-COSTI!L$1076</f>
        <v>-31.760000000000218</v>
      </c>
      <c r="BD49" s="1"/>
    </row>
    <row r="50" spans="1:56" ht="16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000" t="s">
        <v>537</v>
      </c>
      <c r="O50" s="1517" t="str">
        <f>ENTI!P4</f>
        <v>Totale in sistema</v>
      </c>
      <c r="P50" s="1518"/>
      <c r="Q50" s="998" t="s">
        <v>364</v>
      </c>
      <c r="R50" s="1"/>
      <c r="S50" s="1"/>
      <c r="T50" s="1"/>
      <c r="U50" s="435">
        <f>IF(AND(W50&gt;=$U$1,W50&lt;=$U$2),IF(X50='ESTRATTO CONTO'!$E$2,1+COUNTIF(U$4:U49,"&gt;0"),0),0)</f>
        <v>0</v>
      </c>
      <c r="V50" s="417">
        <f t="shared" si="8"/>
        <v>47</v>
      </c>
      <c r="W50" s="509"/>
      <c r="X50" s="321"/>
      <c r="Y50" s="905"/>
      <c r="Z50" s="508"/>
      <c r="AA50" s="356"/>
      <c r="AB50" s="306" t="str">
        <f t="shared" si="0"/>
        <v/>
      </c>
      <c r="AC50" s="637">
        <f t="shared" ca="1" si="6"/>
        <v>-2.1316282072803006E-13</v>
      </c>
      <c r="AD50" s="935">
        <f>IF(ISERROR(VLOOKUP(AD$2,X51:X$1003,1,FALSE)),IF(X50=AD$2,SUMIF(X$4:X50,AD$2,Z$4:Z50)+$E$9+SUM(AQ$4:AQ$1003)+SUMIF(COSTI!$X$1379:$X$1430,AD$2,COSTI!$Z$1379:$Z$1430),0),0)</f>
        <v>0</v>
      </c>
      <c r="AE50" s="26"/>
      <c r="AF50" s="856" t="e">
        <f>IF(ISERROR(VLOOKUP(AG$2,X51:X$1003,1,FALSE)),IF(X50=AG$2,SUMIF(X$4:X50,AG$2,Z$4:Z50)+VLOOKUP(AF$2,$B$1057:$F$1068,5,FALSE)+SUM(AR$4:AR$1003)+SUMIF(COSTI!$X$1379:$X$1430,AG$2,COSTI!$Z$1379:$Z$1430),0),0)</f>
        <v>#N/A</v>
      </c>
      <c r="AG50" s="859"/>
      <c r="AH50" s="27" t="str">
        <f t="shared" si="1"/>
        <v/>
      </c>
      <c r="AI50" s="152">
        <f ca="1">IF(W51&gt;0,0,IF(AH50=0,(Z50*-1)+BC50+SUM(BB$4:BB49),BC50+SUM(BB$4:BB49)))</f>
        <v>-2.1316282072803006E-13</v>
      </c>
      <c r="AJ50" s="931">
        <f>IF(AND(AL50&gt;=$U$1,AL50&lt;=$U$2),IF(AM50='ESTRATTO CONTO'!$E$2,1+COUNTIF(AJ$4:AJ49,"&gt;0")+U$1015,0),0)</f>
        <v>0</v>
      </c>
      <c r="AK50" s="203">
        <f>IF(AND(OR((AK49+1)&lt;AL$1015,(AK49+1)=AL$1015),MAX(AK$4:AK49)&lt;AL$1015),AK49+1,0)</f>
        <v>0</v>
      </c>
      <c r="AL50" s="309">
        <f>VLOOKUP($AK50,ENTI!$AF$4:AG$1003,2,FALSE)</f>
        <v>0</v>
      </c>
      <c r="AM50" s="224">
        <f>VLOOKUP($AK50,ENTI!$AF$4:AH$1003,3,FALSE)</f>
        <v>0</v>
      </c>
      <c r="AN50" s="224">
        <f>VLOOKUP($AK50,ENTI!$AF$4:AI$1003,4,FALSE)</f>
        <v>0</v>
      </c>
      <c r="AO50" s="781">
        <f>VLOOKUP($AK50,ENTI!$AF$4:AJ$1003,5,FALSE)</f>
        <v>0</v>
      </c>
      <c r="AP50" s="315">
        <f>VLOOKUP($AK50,ENTI!$AF$4:AK$1003,6,FALSE)</f>
        <v>0</v>
      </c>
      <c r="AQ50" s="208">
        <f t="shared" si="13"/>
        <v>0</v>
      </c>
      <c r="AR50" s="152" t="e">
        <f t="shared" si="14"/>
        <v>#N/A</v>
      </c>
      <c r="AS50" s="1"/>
      <c r="AT50" s="88" t="str">
        <f t="shared" si="4"/>
        <v/>
      </c>
      <c r="AU50" s="1"/>
      <c r="AV50" s="175">
        <f>IF(AW50&gt;0,COUNTIF(AV$4:AV49,"&gt;0")+1,0)</f>
        <v>0</v>
      </c>
      <c r="AW50" s="164">
        <f t="shared" si="5"/>
        <v>0</v>
      </c>
      <c r="AX50" s="310">
        <f>IF($AW50=0,0,VLOOKUP(VLOOKUP($X50,$B$34:$T$38,19,FALSE),ENTI!$A$9:$B$13,2,FALSE))</f>
        <v>0</v>
      </c>
      <c r="AY50" s="310">
        <f t="shared" si="9"/>
        <v>0</v>
      </c>
      <c r="AZ50" s="316">
        <f t="shared" si="10"/>
        <v>0</v>
      </c>
      <c r="BA50" s="1"/>
      <c r="BB50" s="152">
        <f t="shared" si="11"/>
        <v>0</v>
      </c>
      <c r="BC50" s="152">
        <f ca="1">SUM(Z$4:Z50)+SUM(BB$4:BB50)+COSTI!S$6-COSTI!L$1076</f>
        <v>-31.760000000000218</v>
      </c>
      <c r="BD50" s="1"/>
    </row>
    <row r="51" spans="1:56" ht="16.5" customHeight="1">
      <c r="A51" s="1"/>
      <c r="B51" s="46"/>
      <c r="C51" s="46"/>
      <c r="D51" s="46"/>
      <c r="E51" s="47"/>
      <c r="F51" s="48"/>
      <c r="G51" s="46"/>
      <c r="H51" s="46"/>
      <c r="I51" s="46"/>
      <c r="J51" s="46"/>
      <c r="K51" s="46"/>
      <c r="L51" s="46"/>
      <c r="M51" s="46"/>
      <c r="N51" s="1001" t="s">
        <v>538</v>
      </c>
      <c r="O51" s="1519" t="str">
        <f>COSTI!P4</f>
        <v>Totale in sistema</v>
      </c>
      <c r="P51" s="1520"/>
      <c r="Q51" s="998" t="s">
        <v>364</v>
      </c>
      <c r="R51" s="46"/>
      <c r="S51" s="46"/>
      <c r="T51" s="1"/>
      <c r="U51" s="435">
        <f>IF(AND(W51&gt;=$U$1,W51&lt;=$U$2),IF(X51='ESTRATTO CONTO'!$E$2,1+COUNTIF(U$4:U50,"&gt;0"),0),0)</f>
        <v>0</v>
      </c>
      <c r="V51" s="417">
        <f t="shared" si="8"/>
        <v>48</v>
      </c>
      <c r="W51" s="509"/>
      <c r="X51" s="321"/>
      <c r="Y51" s="905"/>
      <c r="Z51" s="508"/>
      <c r="AA51" s="356"/>
      <c r="AB51" s="306" t="str">
        <f t="shared" si="0"/>
        <v/>
      </c>
      <c r="AC51" s="637">
        <f t="shared" ca="1" si="6"/>
        <v>-2.1316282072803006E-13</v>
      </c>
      <c r="AD51" s="935">
        <f>IF(ISERROR(VLOOKUP(AD$2,X52:X$1003,1,FALSE)),IF(X51=AD$2,SUMIF(X$4:X51,AD$2,Z$4:Z51)+$E$9+SUM(AQ$4:AQ$1003)+SUMIF(COSTI!$X$1379:$X$1430,AD$2,COSTI!$Z$1379:$Z$1430),0),0)</f>
        <v>0</v>
      </c>
      <c r="AE51" s="26"/>
      <c r="AF51" s="856" t="e">
        <f>IF(ISERROR(VLOOKUP(AG$2,X52:X$1003,1,FALSE)),IF(X51=AG$2,SUMIF(X$4:X51,AG$2,Z$4:Z51)+VLOOKUP(AF$2,$B$1057:$F$1068,5,FALSE)+SUM(AR$4:AR$1003)+SUMIF(COSTI!$X$1379:$X$1430,AG$2,COSTI!$Z$1379:$Z$1430),0),0)</f>
        <v>#N/A</v>
      </c>
      <c r="AG51" s="859"/>
      <c r="AH51" s="27" t="str">
        <f t="shared" si="1"/>
        <v/>
      </c>
      <c r="AI51" s="152">
        <f ca="1">IF(W52&gt;0,0,IF(AH51=0,(Z51*-1)+BC51+SUM(BB$4:BB50),BC51+SUM(BB$4:BB50)))</f>
        <v>-2.1316282072803006E-13</v>
      </c>
      <c r="AJ51" s="931">
        <f>IF(AND(AL51&gt;=$U$1,AL51&lt;=$U$2),IF(AM51='ESTRATTO CONTO'!$E$2,1+COUNTIF(AJ$4:AJ50,"&gt;0")+U$1015,0),0)</f>
        <v>0</v>
      </c>
      <c r="AK51" s="203">
        <f>IF(AND(OR((AK50+1)&lt;AL$1015,(AK50+1)=AL$1015),MAX(AK$4:AK50)&lt;AL$1015),AK50+1,0)</f>
        <v>0</v>
      </c>
      <c r="AL51" s="309">
        <f>VLOOKUP($AK51,ENTI!$AF$4:AG$1003,2,FALSE)</f>
        <v>0</v>
      </c>
      <c r="AM51" s="224">
        <f>VLOOKUP($AK51,ENTI!$AF$4:AH$1003,3,FALSE)</f>
        <v>0</v>
      </c>
      <c r="AN51" s="224">
        <f>VLOOKUP($AK51,ENTI!$AF$4:AI$1003,4,FALSE)</f>
        <v>0</v>
      </c>
      <c r="AO51" s="781">
        <f>VLOOKUP($AK51,ENTI!$AF$4:AJ$1003,5,FALSE)</f>
        <v>0</v>
      </c>
      <c r="AP51" s="315">
        <f>VLOOKUP($AK51,ENTI!$AF$4:AK$1003,6,FALSE)</f>
        <v>0</v>
      </c>
      <c r="AQ51" s="208">
        <f t="shared" si="13"/>
        <v>0</v>
      </c>
      <c r="AR51" s="152" t="e">
        <f t="shared" si="14"/>
        <v>#N/A</v>
      </c>
      <c r="AS51" s="1"/>
      <c r="AT51" s="88" t="str">
        <f t="shared" si="4"/>
        <v/>
      </c>
      <c r="AU51" s="1"/>
      <c r="AV51" s="175">
        <f>IF(AW51&gt;0,COUNTIF(AV$4:AV50,"&gt;0")+1,0)</f>
        <v>0</v>
      </c>
      <c r="AW51" s="164">
        <f t="shared" si="5"/>
        <v>0</v>
      </c>
      <c r="AX51" s="310">
        <f>IF($AW51=0,0,VLOOKUP(VLOOKUP($X51,$B$34:$T$38,19,FALSE),ENTI!$A$9:$B$13,2,FALSE))</f>
        <v>0</v>
      </c>
      <c r="AY51" s="310">
        <f t="shared" si="9"/>
        <v>0</v>
      </c>
      <c r="AZ51" s="316">
        <f t="shared" si="10"/>
        <v>0</v>
      </c>
      <c r="BA51" s="1"/>
      <c r="BB51" s="152">
        <f t="shared" si="11"/>
        <v>0</v>
      </c>
      <c r="BC51" s="152">
        <f ca="1">SUM(Z$4:Z51)+SUM(BB$4:BB51)+COSTI!S$6-COSTI!L$1076</f>
        <v>-31.760000000000218</v>
      </c>
      <c r="BD51" s="1"/>
    </row>
    <row r="52" spans="1:56" ht="16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000" t="s">
        <v>539</v>
      </c>
      <c r="O52" s="1541" t="str">
        <f>P4</f>
        <v>Totale in sistema</v>
      </c>
      <c r="P52" s="1542"/>
      <c r="Q52" s="998" t="s">
        <v>364</v>
      </c>
      <c r="R52" s="1"/>
      <c r="S52" s="1"/>
      <c r="T52" s="1"/>
      <c r="U52" s="435">
        <f>IF(AND(W52&gt;=$U$1,W52&lt;=$U$2),IF(X52='ESTRATTO CONTO'!$E$2,1+COUNTIF(U$4:U51,"&gt;0"),0),0)</f>
        <v>0</v>
      </c>
      <c r="V52" s="417">
        <f t="shared" si="8"/>
        <v>49</v>
      </c>
      <c r="W52" s="509"/>
      <c r="X52" s="321"/>
      <c r="Y52" s="321"/>
      <c r="Z52" s="508"/>
      <c r="AA52" s="356"/>
      <c r="AB52" s="306" t="str">
        <f t="shared" si="0"/>
        <v/>
      </c>
      <c r="AC52" s="637">
        <f t="shared" ca="1" si="6"/>
        <v>-2.1316282072803006E-13</v>
      </c>
      <c r="AD52" s="935">
        <f>IF(ISERROR(VLOOKUP(AD$2,X53:X$1003,1,FALSE)),IF(X52=AD$2,SUMIF(X$4:X52,AD$2,Z$4:Z52)+$E$9+SUM(AQ$4:AQ$1003)+SUMIF(COSTI!$X$1379:$X$1430,AD$2,COSTI!$Z$1379:$Z$1430),0),0)</f>
        <v>0</v>
      </c>
      <c r="AE52" s="26"/>
      <c r="AF52" s="856" t="e">
        <f>IF(ISERROR(VLOOKUP(AG$2,X53:X$1003,1,FALSE)),IF(X52=AG$2,SUMIF(X$4:X52,AG$2,Z$4:Z52)+VLOOKUP(AF$2,$B$1057:$F$1068,5,FALSE)+SUM(AR$4:AR$1003)+SUMIF(COSTI!$X$1379:$X$1430,AG$2,COSTI!$Z$1379:$Z$1430),0),0)</f>
        <v>#N/A</v>
      </c>
      <c r="AG52" s="859"/>
      <c r="AH52" s="27" t="str">
        <f t="shared" si="1"/>
        <v/>
      </c>
      <c r="AI52" s="152">
        <f ca="1">IF(W53&gt;0,0,IF(AH52=0,(Z52*-1)+BC52+SUM(BB$4:BB51),BC52+SUM(BB$4:BB51)))</f>
        <v>-2.1316282072803006E-13</v>
      </c>
      <c r="AJ52" s="931">
        <f>IF(AND(AL52&gt;=$U$1,AL52&lt;=$U$2),IF(AM52='ESTRATTO CONTO'!$E$2,1+COUNTIF(AJ$4:AJ51,"&gt;0")+U$1015,0),0)</f>
        <v>0</v>
      </c>
      <c r="AK52" s="203">
        <f>IF(AND(OR((AK51+1)&lt;AL$1015,(AK51+1)=AL$1015),MAX(AK$4:AK51)&lt;AL$1015),AK51+1,0)</f>
        <v>0</v>
      </c>
      <c r="AL52" s="309">
        <f>VLOOKUP($AK52,ENTI!$AF$4:AG$1003,2,FALSE)</f>
        <v>0</v>
      </c>
      <c r="AM52" s="224">
        <f>VLOOKUP($AK52,ENTI!$AF$4:AH$1003,3,FALSE)</f>
        <v>0</v>
      </c>
      <c r="AN52" s="224">
        <f>VLOOKUP($AK52,ENTI!$AF$4:AI$1003,4,FALSE)</f>
        <v>0</v>
      </c>
      <c r="AO52" s="781">
        <f>VLOOKUP($AK52,ENTI!$AF$4:AJ$1003,5,FALSE)</f>
        <v>0</v>
      </c>
      <c r="AP52" s="315">
        <f>VLOOKUP($AK52,ENTI!$AF$4:AK$1003,6,FALSE)</f>
        <v>0</v>
      </c>
      <c r="AQ52" s="208">
        <f t="shared" si="13"/>
        <v>0</v>
      </c>
      <c r="AR52" s="152" t="e">
        <f t="shared" si="14"/>
        <v>#N/A</v>
      </c>
      <c r="AS52" s="1"/>
      <c r="AT52" s="88" t="str">
        <f t="shared" si="4"/>
        <v/>
      </c>
      <c r="AU52" s="1"/>
      <c r="AV52" s="175">
        <f>IF(AW52&gt;0,COUNTIF(AV$4:AV51,"&gt;0")+1,0)</f>
        <v>0</v>
      </c>
      <c r="AW52" s="164">
        <f t="shared" si="5"/>
        <v>0</v>
      </c>
      <c r="AX52" s="310">
        <f>IF($AW52=0,0,VLOOKUP(VLOOKUP($X52,$B$34:$T$38,19,FALSE),ENTI!$A$9:$B$13,2,FALSE))</f>
        <v>0</v>
      </c>
      <c r="AY52" s="310">
        <f t="shared" si="9"/>
        <v>0</v>
      </c>
      <c r="AZ52" s="316">
        <f t="shared" si="10"/>
        <v>0</v>
      </c>
      <c r="BA52" s="1"/>
      <c r="BB52" s="152">
        <f t="shared" si="11"/>
        <v>0</v>
      </c>
      <c r="BC52" s="152">
        <f ca="1">SUM(Z$4:Z52)+SUM(BB$4:BB52)+COSTI!S$6-COSTI!L$1076</f>
        <v>-31.760000000000218</v>
      </c>
      <c r="BD52" s="1"/>
    </row>
    <row r="53" spans="1:56" ht="16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435">
        <f>IF(AND(W53&gt;=$U$1,W53&lt;=$U$2),IF(X53='ESTRATTO CONTO'!$E$2,1+COUNTIF(U$4:U52,"&gt;0"),0),0)</f>
        <v>0</v>
      </c>
      <c r="V53" s="417">
        <f t="shared" si="8"/>
        <v>50</v>
      </c>
      <c r="W53" s="509"/>
      <c r="X53" s="321"/>
      <c r="Y53" s="321"/>
      <c r="Z53" s="508"/>
      <c r="AA53" s="356"/>
      <c r="AB53" s="306" t="str">
        <f t="shared" si="0"/>
        <v/>
      </c>
      <c r="AC53" s="637">
        <f t="shared" ca="1" si="6"/>
        <v>-2.1316282072803006E-13</v>
      </c>
      <c r="AD53" s="935">
        <f>IF(ISERROR(VLOOKUP(AD$2,X54:X$1003,1,FALSE)),IF(X53=AD$2,SUMIF(X$4:X53,AD$2,Z$4:Z53)+$E$9+SUM(AQ$4:AQ$1003)+SUMIF(COSTI!$X$1379:$X$1430,AD$2,COSTI!$Z$1379:$Z$1430),0),0)</f>
        <v>0</v>
      </c>
      <c r="AE53" s="26"/>
      <c r="AF53" s="856" t="e">
        <f>IF(ISERROR(VLOOKUP(AG$2,X54:X$1003,1,FALSE)),IF(X53=AG$2,SUMIF(X$4:X53,AG$2,Z$4:Z53)+VLOOKUP(AF$2,$B$1057:$F$1068,5,FALSE)+SUM(AR$4:AR$1003)+SUMIF(COSTI!$X$1379:$X$1430,AG$2,COSTI!$Z$1379:$Z$1430),0),0)</f>
        <v>#N/A</v>
      </c>
      <c r="AG53" s="859"/>
      <c r="AH53" s="27" t="str">
        <f t="shared" si="1"/>
        <v/>
      </c>
      <c r="AI53" s="152">
        <f ca="1">IF(W54&gt;0,0,IF(AH53=0,(Z53*-1)+BC53+SUM(BB$4:BB52),BC53+SUM(BB$4:BB52)))</f>
        <v>-2.1316282072803006E-13</v>
      </c>
      <c r="AJ53" s="931">
        <f>IF(AND(AL53&gt;=$U$1,AL53&lt;=$U$2),IF(AM53='ESTRATTO CONTO'!$E$2,1+COUNTIF(AJ$4:AJ52,"&gt;0")+U$1015,0),0)</f>
        <v>0</v>
      </c>
      <c r="AK53" s="203">
        <f>IF(AND(OR((AK52+1)&lt;AL$1015,(AK52+1)=AL$1015),MAX(AK$4:AK52)&lt;AL$1015),AK52+1,0)</f>
        <v>0</v>
      </c>
      <c r="AL53" s="309">
        <f>VLOOKUP($AK53,ENTI!$AF$4:AG$1003,2,FALSE)</f>
        <v>0</v>
      </c>
      <c r="AM53" s="224">
        <f>VLOOKUP($AK53,ENTI!$AF$4:AH$1003,3,FALSE)</f>
        <v>0</v>
      </c>
      <c r="AN53" s="224">
        <f>VLOOKUP($AK53,ENTI!$AF$4:AI$1003,4,FALSE)</f>
        <v>0</v>
      </c>
      <c r="AO53" s="781">
        <f>VLOOKUP($AK53,ENTI!$AF$4:AJ$1003,5,FALSE)</f>
        <v>0</v>
      </c>
      <c r="AP53" s="315">
        <f>VLOOKUP($AK53,ENTI!$AF$4:AK$1003,6,FALSE)</f>
        <v>0</v>
      </c>
      <c r="AQ53" s="208">
        <f t="shared" si="13"/>
        <v>0</v>
      </c>
      <c r="AR53" s="152" t="e">
        <f t="shared" si="14"/>
        <v>#N/A</v>
      </c>
      <c r="AS53" s="1"/>
      <c r="AT53" s="88" t="str">
        <f t="shared" si="4"/>
        <v/>
      </c>
      <c r="AU53" s="1"/>
      <c r="AV53" s="175">
        <f>IF(AW53&gt;0,COUNTIF(AV$4:AV52,"&gt;0")+1,0)</f>
        <v>0</v>
      </c>
      <c r="AW53" s="164">
        <f t="shared" si="5"/>
        <v>0</v>
      </c>
      <c r="AX53" s="310">
        <f>IF($AW53=0,0,VLOOKUP(VLOOKUP($X53,$B$34:$T$38,19,FALSE),ENTI!$A$9:$B$13,2,FALSE))</f>
        <v>0</v>
      </c>
      <c r="AY53" s="310">
        <f t="shared" si="9"/>
        <v>0</v>
      </c>
      <c r="AZ53" s="316">
        <f t="shared" si="10"/>
        <v>0</v>
      </c>
      <c r="BA53" s="1"/>
      <c r="BB53" s="152">
        <f t="shared" si="11"/>
        <v>0</v>
      </c>
      <c r="BC53" s="152">
        <f ca="1">SUM(Z$4:Z53)+SUM(BB$4:BB53)+COSTI!S$6-COSTI!L$1076</f>
        <v>-31.760000000000218</v>
      </c>
      <c r="BD53" s="1"/>
    </row>
    <row r="54" spans="1:56" ht="16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435">
        <f>IF(AND(W54&gt;=$U$1,W54&lt;=$U$2),IF(X54='ESTRATTO CONTO'!$E$2,1+COUNTIF(U$4:U53,"&gt;0"),0),0)</f>
        <v>0</v>
      </c>
      <c r="V54" s="417">
        <f t="shared" si="8"/>
        <v>51</v>
      </c>
      <c r="W54" s="509"/>
      <c r="X54" s="321"/>
      <c r="Y54" s="321"/>
      <c r="Z54" s="508"/>
      <c r="AA54" s="356"/>
      <c r="AB54" s="306" t="str">
        <f t="shared" si="0"/>
        <v/>
      </c>
      <c r="AC54" s="637">
        <f t="shared" ca="1" si="6"/>
        <v>-2.1316282072803006E-13</v>
      </c>
      <c r="AD54" s="935">
        <f>IF(ISERROR(VLOOKUP(AD$2,X55:X$1003,1,FALSE)),IF(X54=AD$2,SUMIF(X$4:X54,AD$2,Z$4:Z54)+$E$9+SUM(AQ$4:AQ$1003)+SUMIF(COSTI!$X$1379:$X$1430,AD$2,COSTI!$Z$1379:$Z$1430),0),0)</f>
        <v>0</v>
      </c>
      <c r="AE54" s="26"/>
      <c r="AF54" s="856" t="e">
        <f>IF(ISERROR(VLOOKUP(AG$2,X55:X$1003,1,FALSE)),IF(X54=AG$2,SUMIF(X$4:X54,AG$2,Z$4:Z54)+VLOOKUP(AF$2,$B$1057:$F$1068,5,FALSE)+SUM(AR$4:AR$1003)+SUMIF(COSTI!$X$1379:$X$1430,AG$2,COSTI!$Z$1379:$Z$1430),0),0)</f>
        <v>#N/A</v>
      </c>
      <c r="AG54" s="859"/>
      <c r="AH54" s="27" t="str">
        <f t="shared" si="1"/>
        <v/>
      </c>
      <c r="AI54" s="152">
        <f ca="1">IF(W55&gt;0,0,IF(AH54=0,(Z54*-1)+BC54+SUM(BB$4:BB53),BC54+SUM(BB$4:BB53)))</f>
        <v>-2.1316282072803006E-13</v>
      </c>
      <c r="AJ54" s="931">
        <f>IF(AND(AL54&gt;=$U$1,AL54&lt;=$U$2),IF(AM54='ESTRATTO CONTO'!$E$2,1+COUNTIF(AJ$4:AJ53,"&gt;0")+U$1015,0),0)</f>
        <v>0</v>
      </c>
      <c r="AK54" s="203">
        <f>IF(AND(OR((AK53+1)&lt;AL$1015,(AK53+1)=AL$1015),MAX(AK$4:AK53)&lt;AL$1015),AK53+1,0)</f>
        <v>0</v>
      </c>
      <c r="AL54" s="309">
        <f>VLOOKUP($AK54,ENTI!$AF$4:AG$1003,2,FALSE)</f>
        <v>0</v>
      </c>
      <c r="AM54" s="224">
        <f>VLOOKUP($AK54,ENTI!$AF$4:AH$1003,3,FALSE)</f>
        <v>0</v>
      </c>
      <c r="AN54" s="224">
        <f>VLOOKUP($AK54,ENTI!$AF$4:AI$1003,4,FALSE)</f>
        <v>0</v>
      </c>
      <c r="AO54" s="781">
        <f>VLOOKUP($AK54,ENTI!$AF$4:AJ$1003,5,FALSE)</f>
        <v>0</v>
      </c>
      <c r="AP54" s="315">
        <f>VLOOKUP($AK54,ENTI!$AF$4:AK$1003,6,FALSE)</f>
        <v>0</v>
      </c>
      <c r="AQ54" s="208">
        <f t="shared" si="13"/>
        <v>0</v>
      </c>
      <c r="AR54" s="152" t="e">
        <f t="shared" si="14"/>
        <v>#N/A</v>
      </c>
      <c r="AS54" s="1"/>
      <c r="AT54" s="88" t="str">
        <f t="shared" si="4"/>
        <v/>
      </c>
      <c r="AU54" s="1"/>
      <c r="AV54" s="175">
        <f>IF(AW54&gt;0,COUNTIF(AV$4:AV53,"&gt;0")+1,0)</f>
        <v>0</v>
      </c>
      <c r="AW54" s="164">
        <f t="shared" si="5"/>
        <v>0</v>
      </c>
      <c r="AX54" s="310">
        <f>IF($AW54=0,0,VLOOKUP(VLOOKUP($X54,$B$34:$T$38,19,FALSE),ENTI!$A$9:$B$13,2,FALSE))</f>
        <v>0</v>
      </c>
      <c r="AY54" s="310">
        <f t="shared" si="9"/>
        <v>0</v>
      </c>
      <c r="AZ54" s="316">
        <f t="shared" si="10"/>
        <v>0</v>
      </c>
      <c r="BA54" s="1"/>
      <c r="BB54" s="152">
        <f t="shared" si="11"/>
        <v>0</v>
      </c>
      <c r="BC54" s="152">
        <f ca="1">SUM(Z$4:Z54)+SUM(BB$4:BB54)+COSTI!S$6-COSTI!L$1076</f>
        <v>-31.760000000000218</v>
      </c>
      <c r="BD54" s="1"/>
    </row>
    <row r="55" spans="1:56" ht="16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435">
        <f>IF(AND(W55&gt;=$U$1,W55&lt;=$U$2),IF(X55='ESTRATTO CONTO'!$E$2,1+COUNTIF(U$4:U54,"&gt;0"),0),0)</f>
        <v>0</v>
      </c>
      <c r="V55" s="417">
        <f t="shared" si="8"/>
        <v>52</v>
      </c>
      <c r="W55" s="509"/>
      <c r="X55" s="321"/>
      <c r="Y55" s="321"/>
      <c r="Z55" s="508"/>
      <c r="AA55" s="356"/>
      <c r="AB55" s="306" t="str">
        <f t="shared" si="0"/>
        <v/>
      </c>
      <c r="AC55" s="637">
        <f t="shared" ca="1" si="6"/>
        <v>-2.1316282072803006E-13</v>
      </c>
      <c r="AD55" s="935">
        <f>IF(ISERROR(VLOOKUP(AD$2,X56:X$1003,1,FALSE)),IF(X55=AD$2,SUMIF(X$4:X55,AD$2,Z$4:Z55)+$E$9+SUM(AQ$4:AQ$1003)+SUMIF(COSTI!$X$1379:$X$1430,AD$2,COSTI!$Z$1379:$Z$1430),0),0)</f>
        <v>0</v>
      </c>
      <c r="AE55" s="26"/>
      <c r="AF55" s="856" t="e">
        <f>IF(ISERROR(VLOOKUP(AG$2,X56:X$1003,1,FALSE)),IF(X55=AG$2,SUMIF(X$4:X55,AG$2,Z$4:Z55)+VLOOKUP(AF$2,$B$1057:$F$1068,5,FALSE)+SUM(AR$4:AR$1003)+SUMIF(COSTI!$X$1379:$X$1430,AG$2,COSTI!$Z$1379:$Z$1430),0),0)</f>
        <v>#N/A</v>
      </c>
      <c r="AG55" s="859"/>
      <c r="AH55" s="27" t="str">
        <f t="shared" si="1"/>
        <v/>
      </c>
      <c r="AI55" s="152">
        <f ca="1">IF(W56&gt;0,0,IF(AH55=0,(Z55*-1)+BC55+SUM(BB$4:BB54),BC55+SUM(BB$4:BB54)))</f>
        <v>-2.1316282072803006E-13</v>
      </c>
      <c r="AJ55" s="931">
        <f>IF(AND(AL55&gt;=$U$1,AL55&lt;=$U$2),IF(AM55='ESTRATTO CONTO'!$E$2,1+COUNTIF(AJ$4:AJ54,"&gt;0")+U$1015,0),0)</f>
        <v>0</v>
      </c>
      <c r="AK55" s="203">
        <f>IF(AND(OR((AK54+1)&lt;AL$1015,(AK54+1)=AL$1015),MAX(AK$4:AK54)&lt;AL$1015),AK54+1,0)</f>
        <v>0</v>
      </c>
      <c r="AL55" s="309">
        <f>VLOOKUP($AK55,ENTI!$AF$4:AG$1003,2,FALSE)</f>
        <v>0</v>
      </c>
      <c r="AM55" s="224">
        <f>VLOOKUP($AK55,ENTI!$AF$4:AH$1003,3,FALSE)</f>
        <v>0</v>
      </c>
      <c r="AN55" s="224">
        <f>VLOOKUP($AK55,ENTI!$AF$4:AI$1003,4,FALSE)</f>
        <v>0</v>
      </c>
      <c r="AO55" s="781">
        <f>VLOOKUP($AK55,ENTI!$AF$4:AJ$1003,5,FALSE)</f>
        <v>0</v>
      </c>
      <c r="AP55" s="315">
        <f>VLOOKUP($AK55,ENTI!$AF$4:AK$1003,6,FALSE)</f>
        <v>0</v>
      </c>
      <c r="AQ55" s="208">
        <f t="shared" si="13"/>
        <v>0</v>
      </c>
      <c r="AR55" s="152" t="e">
        <f t="shared" si="14"/>
        <v>#N/A</v>
      </c>
      <c r="AS55" s="1"/>
      <c r="AT55" s="88" t="str">
        <f t="shared" si="4"/>
        <v/>
      </c>
      <c r="AU55" s="1"/>
      <c r="AV55" s="175">
        <f>IF(AW55&gt;0,COUNTIF(AV$4:AV54,"&gt;0")+1,0)</f>
        <v>0</v>
      </c>
      <c r="AW55" s="164">
        <f t="shared" si="5"/>
        <v>0</v>
      </c>
      <c r="AX55" s="310">
        <f>IF($AW55=0,0,VLOOKUP(VLOOKUP($X55,$B$34:$T$38,19,FALSE),ENTI!$A$9:$B$13,2,FALSE))</f>
        <v>0</v>
      </c>
      <c r="AY55" s="310">
        <f t="shared" si="9"/>
        <v>0</v>
      </c>
      <c r="AZ55" s="316">
        <f t="shared" si="10"/>
        <v>0</v>
      </c>
      <c r="BA55" s="1"/>
      <c r="BB55" s="152">
        <f t="shared" si="11"/>
        <v>0</v>
      </c>
      <c r="BC55" s="152">
        <f ca="1">SUM(Z$4:Z55)+SUM(BB$4:BB55)+COSTI!S$6-COSTI!L$1076</f>
        <v>-31.760000000000218</v>
      </c>
      <c r="BD55" s="1"/>
    </row>
    <row r="56" spans="1:56" ht="16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435">
        <f>IF(AND(W56&gt;=$U$1,W56&lt;=$U$2),IF(X56='ESTRATTO CONTO'!$E$2,1+COUNTIF(U$4:U55,"&gt;0"),0),0)</f>
        <v>0</v>
      </c>
      <c r="V56" s="417">
        <f t="shared" si="8"/>
        <v>53</v>
      </c>
      <c r="W56" s="509"/>
      <c r="X56" s="321"/>
      <c r="Y56" s="321"/>
      <c r="Z56" s="508"/>
      <c r="AA56" s="356"/>
      <c r="AB56" s="306" t="str">
        <f t="shared" si="0"/>
        <v/>
      </c>
      <c r="AC56" s="637">
        <f t="shared" ca="1" si="6"/>
        <v>-2.1316282072803006E-13</v>
      </c>
      <c r="AD56" s="935">
        <f>IF(ISERROR(VLOOKUP(AD$2,X57:X$1003,1,FALSE)),IF(X56=AD$2,SUMIF(X$4:X56,AD$2,Z$4:Z56)+$E$9+SUM(AQ$4:AQ$1003)+SUMIF(COSTI!$X$1379:$X$1430,AD$2,COSTI!$Z$1379:$Z$1430),0),0)</f>
        <v>0</v>
      </c>
      <c r="AE56" s="26"/>
      <c r="AF56" s="856" t="e">
        <f>IF(ISERROR(VLOOKUP(AG$2,X57:X$1003,1,FALSE)),IF(X56=AG$2,SUMIF(X$4:X56,AG$2,Z$4:Z56)+VLOOKUP(AF$2,$B$1057:$F$1068,5,FALSE)+SUM(AR$4:AR$1003)+SUMIF(COSTI!$X$1379:$X$1430,AG$2,COSTI!$Z$1379:$Z$1430),0),0)</f>
        <v>#N/A</v>
      </c>
      <c r="AG56" s="859"/>
      <c r="AH56" s="27" t="str">
        <f t="shared" si="1"/>
        <v/>
      </c>
      <c r="AI56" s="152">
        <f ca="1">IF(W57&gt;0,0,IF(AH56=0,(Z56*-1)+BC56+SUM(BB$4:BB55),BC56+SUM(BB$4:BB55)))</f>
        <v>-2.1316282072803006E-13</v>
      </c>
      <c r="AJ56" s="931">
        <f>IF(AND(AL56&gt;=$U$1,AL56&lt;=$U$2),IF(AM56='ESTRATTO CONTO'!$E$2,1+COUNTIF(AJ$4:AJ55,"&gt;0")+U$1015,0),0)</f>
        <v>0</v>
      </c>
      <c r="AK56" s="203">
        <f>IF(AND(OR((AK55+1)&lt;AL$1015,(AK55+1)=AL$1015),MAX(AK$4:AK55)&lt;AL$1015),AK55+1,0)</f>
        <v>0</v>
      </c>
      <c r="AL56" s="309">
        <f>VLOOKUP($AK56,ENTI!$AF$4:AG$1003,2,FALSE)</f>
        <v>0</v>
      </c>
      <c r="AM56" s="224">
        <f>VLOOKUP($AK56,ENTI!$AF$4:AH$1003,3,FALSE)</f>
        <v>0</v>
      </c>
      <c r="AN56" s="224">
        <f>VLOOKUP($AK56,ENTI!$AF$4:AI$1003,4,FALSE)</f>
        <v>0</v>
      </c>
      <c r="AO56" s="781">
        <f>VLOOKUP($AK56,ENTI!$AF$4:AJ$1003,5,FALSE)</f>
        <v>0</v>
      </c>
      <c r="AP56" s="315">
        <f>VLOOKUP($AK56,ENTI!$AF$4:AK$1003,6,FALSE)</f>
        <v>0</v>
      </c>
      <c r="AQ56" s="208">
        <f t="shared" si="13"/>
        <v>0</v>
      </c>
      <c r="AR56" s="152" t="e">
        <f t="shared" si="14"/>
        <v>#N/A</v>
      </c>
      <c r="AS56" s="1"/>
      <c r="AT56" s="88" t="str">
        <f t="shared" si="4"/>
        <v/>
      </c>
      <c r="AU56" s="1"/>
      <c r="AV56" s="175">
        <f>IF(AW56&gt;0,COUNTIF(AV$4:AV55,"&gt;0")+1,0)</f>
        <v>0</v>
      </c>
      <c r="AW56" s="164">
        <f t="shared" si="5"/>
        <v>0</v>
      </c>
      <c r="AX56" s="310">
        <f>IF($AW56=0,0,VLOOKUP(VLOOKUP($X56,$B$34:$T$38,19,FALSE),ENTI!$A$9:$B$13,2,FALSE))</f>
        <v>0</v>
      </c>
      <c r="AY56" s="310">
        <f t="shared" si="9"/>
        <v>0</v>
      </c>
      <c r="AZ56" s="316">
        <f t="shared" si="10"/>
        <v>0</v>
      </c>
      <c r="BA56" s="1"/>
      <c r="BB56" s="152">
        <f t="shared" si="11"/>
        <v>0</v>
      </c>
      <c r="BC56" s="152">
        <f ca="1">SUM(Z$4:Z56)+SUM(BB$4:BB56)+COSTI!S$6-COSTI!L$1076</f>
        <v>-31.760000000000218</v>
      </c>
      <c r="BD56" s="1"/>
    </row>
    <row r="57" spans="1:56" ht="16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435">
        <f>IF(AND(W57&gt;=$U$1,W57&lt;=$U$2),IF(X57='ESTRATTO CONTO'!$E$2,1+COUNTIF(U$4:U56,"&gt;0"),0),0)</f>
        <v>0</v>
      </c>
      <c r="V57" s="417">
        <f t="shared" si="8"/>
        <v>54</v>
      </c>
      <c r="W57" s="509"/>
      <c r="X57" s="321"/>
      <c r="Y57" s="321"/>
      <c r="Z57" s="508"/>
      <c r="AA57" s="356"/>
      <c r="AB57" s="306" t="str">
        <f t="shared" si="0"/>
        <v/>
      </c>
      <c r="AC57" s="637">
        <f t="shared" ca="1" si="6"/>
        <v>-2.1316282072803006E-13</v>
      </c>
      <c r="AD57" s="935">
        <f>IF(ISERROR(VLOOKUP(AD$2,X58:X$1003,1,FALSE)),IF(X57=AD$2,SUMIF(X$4:X57,AD$2,Z$4:Z57)+$E$9+SUM(AQ$4:AQ$1003)+SUMIF(COSTI!$X$1379:$X$1430,AD$2,COSTI!$Z$1379:$Z$1430),0),0)</f>
        <v>0</v>
      </c>
      <c r="AE57" s="26"/>
      <c r="AF57" s="856" t="e">
        <f>IF(ISERROR(VLOOKUP(AG$2,X58:X$1003,1,FALSE)),IF(X57=AG$2,SUMIF(X$4:X57,AG$2,Z$4:Z57)+VLOOKUP(AF$2,$B$1057:$F$1068,5,FALSE)+SUM(AR$4:AR$1003)+SUMIF(COSTI!$X$1379:$X$1430,AG$2,COSTI!$Z$1379:$Z$1430),0),0)</f>
        <v>#N/A</v>
      </c>
      <c r="AG57" s="859"/>
      <c r="AH57" s="27" t="str">
        <f t="shared" si="1"/>
        <v/>
      </c>
      <c r="AI57" s="152">
        <f ca="1">IF(W58&gt;0,0,IF(AH57=0,(Z57*-1)+BC57+SUM(BB$4:BB56),BC57+SUM(BB$4:BB56)))</f>
        <v>-2.1316282072803006E-13</v>
      </c>
      <c r="AJ57" s="931">
        <f>IF(AND(AL57&gt;=$U$1,AL57&lt;=$U$2),IF(AM57='ESTRATTO CONTO'!$E$2,1+COUNTIF(AJ$4:AJ56,"&gt;0")+U$1015,0),0)</f>
        <v>0</v>
      </c>
      <c r="AK57" s="203">
        <f>IF(AND(OR((AK56+1)&lt;AL$1015,(AK56+1)=AL$1015),MAX(AK$4:AK56)&lt;AL$1015),AK56+1,0)</f>
        <v>0</v>
      </c>
      <c r="AL57" s="309">
        <f>VLOOKUP($AK57,ENTI!$AF$4:AG$1003,2,FALSE)</f>
        <v>0</v>
      </c>
      <c r="AM57" s="224">
        <f>VLOOKUP($AK57,ENTI!$AF$4:AH$1003,3,FALSE)</f>
        <v>0</v>
      </c>
      <c r="AN57" s="224">
        <f>VLOOKUP($AK57,ENTI!$AF$4:AI$1003,4,FALSE)</f>
        <v>0</v>
      </c>
      <c r="AO57" s="781">
        <f>VLOOKUP($AK57,ENTI!$AF$4:AJ$1003,5,FALSE)</f>
        <v>0</v>
      </c>
      <c r="AP57" s="315">
        <f>VLOOKUP($AK57,ENTI!$AF$4:AK$1003,6,FALSE)</f>
        <v>0</v>
      </c>
      <c r="AQ57" s="208">
        <f t="shared" si="13"/>
        <v>0</v>
      </c>
      <c r="AR57" s="152" t="e">
        <f t="shared" si="14"/>
        <v>#N/A</v>
      </c>
      <c r="AS57" s="1"/>
      <c r="AT57" s="88" t="str">
        <f t="shared" si="4"/>
        <v/>
      </c>
      <c r="AU57" s="1"/>
      <c r="AV57" s="175">
        <f>IF(AW57&gt;0,COUNTIF(AV$4:AV56,"&gt;0")+1,0)</f>
        <v>0</v>
      </c>
      <c r="AW57" s="164">
        <f t="shared" si="5"/>
        <v>0</v>
      </c>
      <c r="AX57" s="310">
        <f>IF($AW57=0,0,VLOOKUP(VLOOKUP($X57,$B$34:$T$38,19,FALSE),ENTI!$A$9:$B$13,2,FALSE))</f>
        <v>0</v>
      </c>
      <c r="AY57" s="310">
        <f t="shared" si="9"/>
        <v>0</v>
      </c>
      <c r="AZ57" s="316">
        <f t="shared" si="10"/>
        <v>0</v>
      </c>
      <c r="BA57" s="1"/>
      <c r="BB57" s="152">
        <f t="shared" si="11"/>
        <v>0</v>
      </c>
      <c r="BC57" s="152">
        <f ca="1">SUM(Z$4:Z57)+SUM(BB$4:BB57)+COSTI!S$6-COSTI!L$1076</f>
        <v>-31.760000000000218</v>
      </c>
      <c r="BD57" s="1"/>
    </row>
    <row r="58" spans="1:56" ht="16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435">
        <f>IF(AND(W58&gt;=$U$1,W58&lt;=$U$2),IF(X58='ESTRATTO CONTO'!$E$2,1+COUNTIF(U$4:U57,"&gt;0"),0),0)</f>
        <v>0</v>
      </c>
      <c r="V58" s="417">
        <f t="shared" si="8"/>
        <v>55</v>
      </c>
      <c r="W58" s="509"/>
      <c r="X58" s="321"/>
      <c r="Y58" s="321"/>
      <c r="Z58" s="508"/>
      <c r="AA58" s="356"/>
      <c r="AB58" s="306" t="str">
        <f t="shared" si="0"/>
        <v/>
      </c>
      <c r="AC58" s="637">
        <f t="shared" ca="1" si="6"/>
        <v>-2.1316282072803006E-13</v>
      </c>
      <c r="AD58" s="935">
        <f>IF(ISERROR(VLOOKUP(AD$2,X59:X$1003,1,FALSE)),IF(X58=AD$2,SUMIF(X$4:X58,AD$2,Z$4:Z58)+$E$9+SUM(AQ$4:AQ$1003)+SUMIF(COSTI!$X$1379:$X$1430,AD$2,COSTI!$Z$1379:$Z$1430),0),0)</f>
        <v>0</v>
      </c>
      <c r="AE58" s="26"/>
      <c r="AF58" s="856" t="e">
        <f>IF(ISERROR(VLOOKUP(AG$2,X59:X$1003,1,FALSE)),IF(X58=AG$2,SUMIF(X$4:X58,AG$2,Z$4:Z58)+VLOOKUP(AF$2,$B$1057:$F$1068,5,FALSE)+SUM(AR$4:AR$1003)+SUMIF(COSTI!$X$1379:$X$1430,AG$2,COSTI!$Z$1379:$Z$1430),0),0)</f>
        <v>#N/A</v>
      </c>
      <c r="AG58" s="859"/>
      <c r="AH58" s="27" t="str">
        <f t="shared" si="1"/>
        <v/>
      </c>
      <c r="AI58" s="152">
        <f ca="1">IF(W59&gt;0,0,IF(AH58=0,(Z58*-1)+BC58+SUM(BB$4:BB57),BC58+SUM(BB$4:BB57)))</f>
        <v>-2.1316282072803006E-13</v>
      </c>
      <c r="AJ58" s="931">
        <f>IF(AND(AL58&gt;=$U$1,AL58&lt;=$U$2),IF(AM58='ESTRATTO CONTO'!$E$2,1+COUNTIF(AJ$4:AJ57,"&gt;0")+U$1015,0),0)</f>
        <v>0</v>
      </c>
      <c r="AK58" s="203">
        <f>IF(AND(OR((AK57+1)&lt;AL$1015,(AK57+1)=AL$1015),MAX(AK$4:AK57)&lt;AL$1015),AK57+1,0)</f>
        <v>0</v>
      </c>
      <c r="AL58" s="309">
        <f>VLOOKUP($AK58,ENTI!$AF$4:AG$1003,2,FALSE)</f>
        <v>0</v>
      </c>
      <c r="AM58" s="224">
        <f>VLOOKUP($AK58,ENTI!$AF$4:AH$1003,3,FALSE)</f>
        <v>0</v>
      </c>
      <c r="AN58" s="224">
        <f>VLOOKUP($AK58,ENTI!$AF$4:AI$1003,4,FALSE)</f>
        <v>0</v>
      </c>
      <c r="AO58" s="781">
        <f>VLOOKUP($AK58,ENTI!$AF$4:AJ$1003,5,FALSE)</f>
        <v>0</v>
      </c>
      <c r="AP58" s="315">
        <f>VLOOKUP($AK58,ENTI!$AF$4:AK$1003,6,FALSE)</f>
        <v>0</v>
      </c>
      <c r="AQ58" s="208">
        <f t="shared" si="13"/>
        <v>0</v>
      </c>
      <c r="AR58" s="152" t="e">
        <f t="shared" si="14"/>
        <v>#N/A</v>
      </c>
      <c r="AS58" s="1"/>
      <c r="AT58" s="88" t="str">
        <f t="shared" si="4"/>
        <v/>
      </c>
      <c r="AU58" s="1"/>
      <c r="AV58" s="175">
        <f>IF(AW58&gt;0,COUNTIF(AV$4:AV57,"&gt;0")+1,0)</f>
        <v>0</v>
      </c>
      <c r="AW58" s="164">
        <f t="shared" si="5"/>
        <v>0</v>
      </c>
      <c r="AX58" s="310">
        <f>IF($AW58=0,0,VLOOKUP(VLOOKUP($X58,$B$34:$T$38,19,FALSE),ENTI!$A$9:$B$13,2,FALSE))</f>
        <v>0</v>
      </c>
      <c r="AY58" s="310">
        <f t="shared" si="9"/>
        <v>0</v>
      </c>
      <c r="AZ58" s="316">
        <f t="shared" si="10"/>
        <v>0</v>
      </c>
      <c r="BA58" s="1"/>
      <c r="BB58" s="152">
        <f t="shared" si="11"/>
        <v>0</v>
      </c>
      <c r="BC58" s="152">
        <f ca="1">SUM(Z$4:Z58)+SUM(BB$4:BB58)+COSTI!S$6-COSTI!L$1076</f>
        <v>-31.760000000000218</v>
      </c>
      <c r="BD58" s="1"/>
    </row>
    <row r="59" spans="1:56" ht="16.5" customHeight="1">
      <c r="A59" s="1"/>
      <c r="B59" s="46"/>
      <c r="C59" s="46"/>
      <c r="D59" s="46"/>
      <c r="E59" s="55"/>
      <c r="F59" s="56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46"/>
      <c r="S59" s="121" t="s">
        <v>13</v>
      </c>
      <c r="T59" s="1"/>
      <c r="U59" s="435">
        <f>IF(AND(W59&gt;=$U$1,W59&lt;=$U$2),IF(X59='ESTRATTO CONTO'!$E$2,1+COUNTIF(U$4:U58,"&gt;0"),0),0)</f>
        <v>0</v>
      </c>
      <c r="V59" s="417">
        <f t="shared" si="8"/>
        <v>56</v>
      </c>
      <c r="W59" s="509"/>
      <c r="X59" s="321"/>
      <c r="Y59" s="321"/>
      <c r="Z59" s="508"/>
      <c r="AA59" s="356"/>
      <c r="AB59" s="306" t="str">
        <f t="shared" si="0"/>
        <v/>
      </c>
      <c r="AC59" s="637">
        <f t="shared" ca="1" si="6"/>
        <v>-2.1316282072803006E-13</v>
      </c>
      <c r="AD59" s="935">
        <f>IF(ISERROR(VLOOKUP(AD$2,X60:X$1003,1,FALSE)),IF(X59=AD$2,SUMIF(X$4:X59,AD$2,Z$4:Z59)+$E$9+SUM(AQ$4:AQ$1003)+SUMIF(COSTI!$X$1379:$X$1430,AD$2,COSTI!$Z$1379:$Z$1430),0),0)</f>
        <v>0</v>
      </c>
      <c r="AE59" s="26"/>
      <c r="AF59" s="856" t="e">
        <f>IF(ISERROR(VLOOKUP(AG$2,X60:X$1003,1,FALSE)),IF(X59=AG$2,SUMIF(X$4:X59,AG$2,Z$4:Z59)+VLOOKUP(AF$2,$B$1057:$F$1068,5,FALSE)+SUM(AR$4:AR$1003)+SUMIF(COSTI!$X$1379:$X$1430,AG$2,COSTI!$Z$1379:$Z$1430),0),0)</f>
        <v>#N/A</v>
      </c>
      <c r="AG59" s="859"/>
      <c r="AH59" s="27" t="str">
        <f t="shared" si="1"/>
        <v/>
      </c>
      <c r="AI59" s="152">
        <f ca="1">IF(W60&gt;0,0,IF(AH59=0,(Z59*-1)+BC59+SUM(BB$4:BB58),BC59+SUM(BB$4:BB58)))</f>
        <v>-2.1316282072803006E-13</v>
      </c>
      <c r="AJ59" s="931">
        <f>IF(AND(AL59&gt;=$U$1,AL59&lt;=$U$2),IF(AM59='ESTRATTO CONTO'!$E$2,1+COUNTIF(AJ$4:AJ58,"&gt;0")+U$1015,0),0)</f>
        <v>0</v>
      </c>
      <c r="AK59" s="203">
        <f>IF(AND(OR((AK58+1)&lt;AL$1015,(AK58+1)=AL$1015),MAX(AK$4:AK58)&lt;AL$1015),AK58+1,0)</f>
        <v>0</v>
      </c>
      <c r="AL59" s="309">
        <f>VLOOKUP($AK59,ENTI!$AF$4:AG$1003,2,FALSE)</f>
        <v>0</v>
      </c>
      <c r="AM59" s="224">
        <f>VLOOKUP($AK59,ENTI!$AF$4:AH$1003,3,FALSE)</f>
        <v>0</v>
      </c>
      <c r="AN59" s="224">
        <f>VLOOKUP($AK59,ENTI!$AF$4:AI$1003,4,FALSE)</f>
        <v>0</v>
      </c>
      <c r="AO59" s="781">
        <f>VLOOKUP($AK59,ENTI!$AF$4:AJ$1003,5,FALSE)</f>
        <v>0</v>
      </c>
      <c r="AP59" s="315">
        <f>VLOOKUP($AK59,ENTI!$AF$4:AK$1003,6,FALSE)</f>
        <v>0</v>
      </c>
      <c r="AQ59" s="208">
        <f t="shared" si="13"/>
        <v>0</v>
      </c>
      <c r="AR59" s="152" t="e">
        <f t="shared" si="14"/>
        <v>#N/A</v>
      </c>
      <c r="AS59" s="1"/>
      <c r="AT59" s="88" t="str">
        <f t="shared" si="4"/>
        <v/>
      </c>
      <c r="AU59" s="1"/>
      <c r="AV59" s="175">
        <f>IF(AW59&gt;0,COUNTIF(AV$4:AV58,"&gt;0")+1,0)</f>
        <v>0</v>
      </c>
      <c r="AW59" s="164">
        <f t="shared" si="5"/>
        <v>0</v>
      </c>
      <c r="AX59" s="310">
        <f>IF($AW59=0,0,VLOOKUP(VLOOKUP($X59,$B$34:$T$38,19,FALSE),ENTI!$A$9:$B$13,2,FALSE))</f>
        <v>0</v>
      </c>
      <c r="AY59" s="310">
        <f t="shared" si="9"/>
        <v>0</v>
      </c>
      <c r="AZ59" s="316">
        <f t="shared" si="10"/>
        <v>0</v>
      </c>
      <c r="BA59" s="1"/>
      <c r="BB59" s="152">
        <f t="shared" si="11"/>
        <v>0</v>
      </c>
      <c r="BC59" s="152">
        <f ca="1">SUM(Z$4:Z59)+SUM(BB$4:BB59)+COSTI!S$6-COSTI!L$1076</f>
        <v>-31.760000000000218</v>
      </c>
      <c r="BD59" s="1"/>
    </row>
    <row r="60" spans="1:56" ht="16.5" customHeight="1">
      <c r="A60" s="1"/>
      <c r="B60" s="1220" t="str">
        <f>Presentazione!C25</f>
        <v>CONDOMINIO:</v>
      </c>
      <c r="C60" s="1220"/>
      <c r="D60" s="1220"/>
      <c r="E60" s="1257" t="str">
        <f>Presentazione!C26</f>
        <v>Inserisci qui il NOME</v>
      </c>
      <c r="F60" s="1257"/>
      <c r="G60" s="1257"/>
      <c r="H60" s="1257"/>
      <c r="I60" s="1257"/>
      <c r="J60" s="1257"/>
      <c r="K60" s="1257"/>
      <c r="L60" s="1257"/>
      <c r="M60" s="1257"/>
      <c r="N60" s="1257"/>
      <c r="O60" s="1257"/>
      <c r="P60" s="1257"/>
      <c r="Q60" s="1257"/>
      <c r="R60" s="51"/>
      <c r="S60" s="661">
        <f>Presentazione!J26</f>
        <v>2024</v>
      </c>
      <c r="T60" s="1"/>
      <c r="U60" s="435">
        <f>IF(AND(W60&gt;=$U$1,W60&lt;=$U$2),IF(X60='ESTRATTO CONTO'!$E$2,1+COUNTIF(U$4:U59,"&gt;0"),0),0)</f>
        <v>0</v>
      </c>
      <c r="V60" s="417">
        <f t="shared" si="8"/>
        <v>57</v>
      </c>
      <c r="W60" s="509"/>
      <c r="X60" s="321"/>
      <c r="Y60" s="321"/>
      <c r="Z60" s="508"/>
      <c r="AA60" s="356"/>
      <c r="AB60" s="306" t="str">
        <f t="shared" si="0"/>
        <v/>
      </c>
      <c r="AC60" s="637">
        <f t="shared" ca="1" si="6"/>
        <v>-2.1316282072803006E-13</v>
      </c>
      <c r="AD60" s="935">
        <f>IF(ISERROR(VLOOKUP(AD$2,X61:X$1003,1,FALSE)),IF(X60=AD$2,SUMIF(X$4:X60,AD$2,Z$4:Z60)+$E$9+SUM(AQ$4:AQ$1003)+SUMIF(COSTI!$X$1379:$X$1430,AD$2,COSTI!$Z$1379:$Z$1430),0),0)</f>
        <v>0</v>
      </c>
      <c r="AE60" s="26"/>
      <c r="AF60" s="856" t="e">
        <f>IF(ISERROR(VLOOKUP(AG$2,X61:X$1003,1,FALSE)),IF(X60=AG$2,SUMIF(X$4:X60,AG$2,Z$4:Z60)+VLOOKUP(AF$2,$B$1057:$F$1068,5,FALSE)+SUM(AR$4:AR$1003)+SUMIF(COSTI!$X$1379:$X$1430,AG$2,COSTI!$Z$1379:$Z$1430),0),0)</f>
        <v>#N/A</v>
      </c>
      <c r="AG60" s="859"/>
      <c r="AH60" s="27" t="str">
        <f t="shared" si="1"/>
        <v/>
      </c>
      <c r="AI60" s="152">
        <f ca="1">IF(W61&gt;0,0,IF(AH60=0,(Z60*-1)+BC60+SUM(BB$4:BB59),BC60+SUM(BB$4:BB59)))</f>
        <v>-2.1316282072803006E-13</v>
      </c>
      <c r="AJ60" s="931">
        <f>IF(AND(AL60&gt;=$U$1,AL60&lt;=$U$2),IF(AM60='ESTRATTO CONTO'!$E$2,1+COUNTIF(AJ$4:AJ59,"&gt;0")+U$1015,0),0)</f>
        <v>0</v>
      </c>
      <c r="AK60" s="203">
        <f>IF(AND(OR((AK59+1)&lt;AL$1015,(AK59+1)=AL$1015),MAX(AK$4:AK59)&lt;AL$1015),AK59+1,0)</f>
        <v>0</v>
      </c>
      <c r="AL60" s="309">
        <f>VLOOKUP($AK60,ENTI!$AF$4:AG$1003,2,FALSE)</f>
        <v>0</v>
      </c>
      <c r="AM60" s="224">
        <f>VLOOKUP($AK60,ENTI!$AF$4:AH$1003,3,FALSE)</f>
        <v>0</v>
      </c>
      <c r="AN60" s="224">
        <f>VLOOKUP($AK60,ENTI!$AF$4:AI$1003,4,FALSE)</f>
        <v>0</v>
      </c>
      <c r="AO60" s="781">
        <f>VLOOKUP($AK60,ENTI!$AF$4:AJ$1003,5,FALSE)</f>
        <v>0</v>
      </c>
      <c r="AP60" s="315">
        <f>VLOOKUP($AK60,ENTI!$AF$4:AK$1003,6,FALSE)</f>
        <v>0</v>
      </c>
      <c r="AQ60" s="208">
        <f t="shared" si="13"/>
        <v>0</v>
      </c>
      <c r="AR60" s="152" t="e">
        <f t="shared" si="14"/>
        <v>#N/A</v>
      </c>
      <c r="AS60" s="1"/>
      <c r="AT60" s="88" t="str">
        <f t="shared" si="4"/>
        <v/>
      </c>
      <c r="AU60" s="1"/>
      <c r="AV60" s="175">
        <f>IF(AW60&gt;0,COUNTIF(AV$4:AV59,"&gt;0")+1,0)</f>
        <v>0</v>
      </c>
      <c r="AW60" s="164">
        <f t="shared" si="5"/>
        <v>0</v>
      </c>
      <c r="AX60" s="310">
        <f>IF($AW60=0,0,VLOOKUP(VLOOKUP($X60,$B$34:$T$38,19,FALSE),ENTI!$A$9:$B$13,2,FALSE))</f>
        <v>0</v>
      </c>
      <c r="AY60" s="310">
        <f t="shared" si="9"/>
        <v>0</v>
      </c>
      <c r="AZ60" s="316">
        <f t="shared" si="10"/>
        <v>0</v>
      </c>
      <c r="BA60" s="1"/>
      <c r="BB60" s="152">
        <f t="shared" si="11"/>
        <v>0</v>
      </c>
      <c r="BC60" s="152">
        <f ca="1">SUM(Z$4:Z60)+SUM(BB$4:BB60)+COSTI!S$6-COSTI!L$1076</f>
        <v>-31.760000000000218</v>
      </c>
      <c r="BD60" s="1"/>
    </row>
    <row r="61" spans="1:56" ht="16.5" customHeight="1">
      <c r="A61" s="1"/>
      <c r="B61" s="1"/>
      <c r="C61" s="1"/>
      <c r="D61" s="1"/>
      <c r="E61" s="1"/>
      <c r="F61" s="1"/>
      <c r="G61" s="1"/>
      <c r="H61" s="1"/>
      <c r="I61" s="1258" t="str">
        <f>Presentazione!$F$10</f>
        <v/>
      </c>
      <c r="J61" s="1258"/>
      <c r="K61" s="1258"/>
      <c r="L61" s="1258"/>
      <c r="M61" s="1258"/>
      <c r="N61" s="1258"/>
      <c r="O61" s="1258"/>
      <c r="P61" s="1258"/>
      <c r="Q61" s="1258"/>
      <c r="R61" s="1258"/>
      <c r="S61" s="1258"/>
      <c r="T61" s="1"/>
      <c r="U61" s="435">
        <f>IF(AND(W61&gt;=$U$1,W61&lt;=$U$2),IF(X61='ESTRATTO CONTO'!$E$2,1+COUNTIF(U$4:U60,"&gt;0"),0),0)</f>
        <v>0</v>
      </c>
      <c r="V61" s="417">
        <f t="shared" si="8"/>
        <v>58</v>
      </c>
      <c r="W61" s="509"/>
      <c r="X61" s="321"/>
      <c r="Y61" s="321"/>
      <c r="Z61" s="508"/>
      <c r="AA61" s="356"/>
      <c r="AB61" s="306" t="str">
        <f t="shared" si="0"/>
        <v/>
      </c>
      <c r="AC61" s="637">
        <f t="shared" ca="1" si="6"/>
        <v>-2.1316282072803006E-13</v>
      </c>
      <c r="AD61" s="935">
        <f>IF(ISERROR(VLOOKUP(AD$2,X62:X$1003,1,FALSE)),IF(X61=AD$2,SUMIF(X$4:X61,AD$2,Z$4:Z61)+$E$9+SUM(AQ$4:AQ$1003)+SUMIF(COSTI!$X$1379:$X$1430,AD$2,COSTI!$Z$1379:$Z$1430),0),0)</f>
        <v>0</v>
      </c>
      <c r="AE61" s="26"/>
      <c r="AF61" s="856" t="e">
        <f>IF(ISERROR(VLOOKUP(AG$2,X62:X$1003,1,FALSE)),IF(X61=AG$2,SUMIF(X$4:X61,AG$2,Z$4:Z61)+VLOOKUP(AF$2,$B$1057:$F$1068,5,FALSE)+SUM(AR$4:AR$1003)+SUMIF(COSTI!$X$1379:$X$1430,AG$2,COSTI!$Z$1379:$Z$1430),0),0)</f>
        <v>#N/A</v>
      </c>
      <c r="AG61" s="859"/>
      <c r="AH61" s="27" t="str">
        <f t="shared" si="1"/>
        <v/>
      </c>
      <c r="AI61" s="152">
        <f ca="1">IF(W62&gt;0,0,IF(AH61=0,(Z61*-1)+BC61+SUM(BB$4:BB60),BC61+SUM(BB$4:BB60)))</f>
        <v>-2.1316282072803006E-13</v>
      </c>
      <c r="AJ61" s="931">
        <f>IF(AND(AL61&gt;=$U$1,AL61&lt;=$U$2),IF(AM61='ESTRATTO CONTO'!$E$2,1+COUNTIF(AJ$4:AJ60,"&gt;0")+U$1015,0),0)</f>
        <v>0</v>
      </c>
      <c r="AK61" s="203">
        <f>IF(AND(OR((AK60+1)&lt;AL$1015,(AK60+1)=AL$1015),MAX(AK$4:AK60)&lt;AL$1015),AK60+1,0)</f>
        <v>0</v>
      </c>
      <c r="AL61" s="309">
        <f>VLOOKUP($AK61,ENTI!$AF$4:AG$1003,2,FALSE)</f>
        <v>0</v>
      </c>
      <c r="AM61" s="224">
        <f>VLOOKUP($AK61,ENTI!$AF$4:AH$1003,3,FALSE)</f>
        <v>0</v>
      </c>
      <c r="AN61" s="224">
        <f>VLOOKUP($AK61,ENTI!$AF$4:AI$1003,4,FALSE)</f>
        <v>0</v>
      </c>
      <c r="AO61" s="781">
        <f>VLOOKUP($AK61,ENTI!$AF$4:AJ$1003,5,FALSE)</f>
        <v>0</v>
      </c>
      <c r="AP61" s="315">
        <f>VLOOKUP($AK61,ENTI!$AF$4:AK$1003,6,FALSE)</f>
        <v>0</v>
      </c>
      <c r="AQ61" s="208">
        <f t="shared" si="13"/>
        <v>0</v>
      </c>
      <c r="AR61" s="152" t="e">
        <f t="shared" si="14"/>
        <v>#N/A</v>
      </c>
      <c r="AS61" s="1"/>
      <c r="AT61" s="88" t="str">
        <f t="shared" si="4"/>
        <v/>
      </c>
      <c r="AU61" s="1"/>
      <c r="AV61" s="175">
        <f>IF(AW61&gt;0,COUNTIF(AV$4:AV60,"&gt;0")+1,0)</f>
        <v>0</v>
      </c>
      <c r="AW61" s="164">
        <f t="shared" si="5"/>
        <v>0</v>
      </c>
      <c r="AX61" s="310">
        <f>IF($AW61=0,0,VLOOKUP(VLOOKUP($X61,$B$34:$T$38,19,FALSE),ENTI!$A$9:$B$13,2,FALSE))</f>
        <v>0</v>
      </c>
      <c r="AY61" s="310">
        <f t="shared" si="9"/>
        <v>0</v>
      </c>
      <c r="AZ61" s="316">
        <f t="shared" si="10"/>
        <v>0</v>
      </c>
      <c r="BA61" s="1"/>
      <c r="BB61" s="152">
        <f t="shared" si="11"/>
        <v>0</v>
      </c>
      <c r="BC61" s="152">
        <f ca="1">SUM(Z$4:Z61)+SUM(BB$4:BB61)+COSTI!S$6-COSTI!L$1076</f>
        <v>-31.760000000000218</v>
      </c>
      <c r="BD61" s="1"/>
    </row>
    <row r="62" spans="1:56" ht="16.5" customHeight="1">
      <c r="A62" s="1"/>
      <c r="B62" s="1230" t="str">
        <f>RIPARTIZIONI!C59</f>
        <v>www.marcopiccoli.it - Bilancio Condominiale 4.0.E05 FREE - per EXCEL .xlsx</v>
      </c>
      <c r="C62" s="1230"/>
      <c r="D62" s="1230"/>
      <c r="E62" s="1230"/>
      <c r="F62" s="1230"/>
      <c r="G62" s="1230"/>
      <c r="H62" s="1"/>
      <c r="I62" s="1354" t="str">
        <f>CONCATENATE(Presentazione!$E$93,"   -   ","P.I./C.F ",COSTI!N66)</f>
        <v>Inserisci qui il NOME   -   P.I./C.F codice fiscale condominio</v>
      </c>
      <c r="J62" s="1354"/>
      <c r="K62" s="1354"/>
      <c r="L62" s="1354"/>
      <c r="M62" s="1354"/>
      <c r="N62" s="1354"/>
      <c r="O62" s="1354"/>
      <c r="P62" s="1354"/>
      <c r="Q62" s="1354"/>
      <c r="R62" s="1354"/>
      <c r="S62" s="1354"/>
      <c r="T62" s="1"/>
      <c r="U62" s="435">
        <f>IF(AND(W62&gt;=$U$1,W62&lt;=$U$2),IF(X62='ESTRATTO CONTO'!$E$2,1+COUNTIF(U$4:U61,"&gt;0"),0),0)</f>
        <v>0</v>
      </c>
      <c r="V62" s="417">
        <f t="shared" si="8"/>
        <v>59</v>
      </c>
      <c r="W62" s="509"/>
      <c r="X62" s="321"/>
      <c r="Y62" s="321"/>
      <c r="Z62" s="508"/>
      <c r="AA62" s="356"/>
      <c r="AB62" s="306" t="str">
        <f t="shared" si="0"/>
        <v/>
      </c>
      <c r="AC62" s="637">
        <f t="shared" ca="1" si="6"/>
        <v>-2.1316282072803006E-13</v>
      </c>
      <c r="AD62" s="935">
        <f>IF(ISERROR(VLOOKUP(AD$2,X63:X$1003,1,FALSE)),IF(X62=AD$2,SUMIF(X$4:X62,AD$2,Z$4:Z62)+$E$9+SUM(AQ$4:AQ$1003)+SUMIF(COSTI!$X$1379:$X$1430,AD$2,COSTI!$Z$1379:$Z$1430),0),0)</f>
        <v>0</v>
      </c>
      <c r="AE62" s="26"/>
      <c r="AF62" s="856" t="e">
        <f>IF(ISERROR(VLOOKUP(AG$2,X63:X$1003,1,FALSE)),IF(X62=AG$2,SUMIF(X$4:X62,AG$2,Z$4:Z62)+VLOOKUP(AF$2,$B$1057:$F$1068,5,FALSE)+SUM(AR$4:AR$1003)+SUMIF(COSTI!$X$1379:$X$1430,AG$2,COSTI!$Z$1379:$Z$1430),0),0)</f>
        <v>#N/A</v>
      </c>
      <c r="AG62" s="859"/>
      <c r="AH62" s="27" t="str">
        <f t="shared" si="1"/>
        <v/>
      </c>
      <c r="AI62" s="152">
        <f ca="1">IF(W63&gt;0,0,IF(AH62=0,(Z62*-1)+BC62+SUM(BB$4:BB61),BC62+SUM(BB$4:BB61)))</f>
        <v>-2.1316282072803006E-13</v>
      </c>
      <c r="AJ62" s="931">
        <f>IF(AND(AL62&gt;=$U$1,AL62&lt;=$U$2),IF(AM62='ESTRATTO CONTO'!$E$2,1+COUNTIF(AJ$4:AJ61,"&gt;0")+U$1015,0),0)</f>
        <v>0</v>
      </c>
      <c r="AK62" s="203">
        <f>IF(AND(OR((AK61+1)&lt;AL$1015,(AK61+1)=AL$1015),MAX(AK$4:AK61)&lt;AL$1015),AK61+1,0)</f>
        <v>0</v>
      </c>
      <c r="AL62" s="309">
        <f>VLOOKUP($AK62,ENTI!$AF$4:AG$1003,2,FALSE)</f>
        <v>0</v>
      </c>
      <c r="AM62" s="224">
        <f>VLOOKUP($AK62,ENTI!$AF$4:AH$1003,3,FALSE)</f>
        <v>0</v>
      </c>
      <c r="AN62" s="224">
        <f>VLOOKUP($AK62,ENTI!$AF$4:AI$1003,4,FALSE)</f>
        <v>0</v>
      </c>
      <c r="AO62" s="781">
        <f>VLOOKUP($AK62,ENTI!$AF$4:AJ$1003,5,FALSE)</f>
        <v>0</v>
      </c>
      <c r="AP62" s="315">
        <f>VLOOKUP($AK62,ENTI!$AF$4:AK$1003,6,FALSE)</f>
        <v>0</v>
      </c>
      <c r="AQ62" s="208">
        <f t="shared" si="13"/>
        <v>0</v>
      </c>
      <c r="AR62" s="152" t="e">
        <f t="shared" si="14"/>
        <v>#N/A</v>
      </c>
      <c r="AS62" s="1"/>
      <c r="AT62" s="88" t="str">
        <f t="shared" si="4"/>
        <v/>
      </c>
      <c r="AU62" s="1"/>
      <c r="AV62" s="175">
        <f>IF(AW62&gt;0,COUNTIF(AV$4:AV61,"&gt;0")+1,0)</f>
        <v>0</v>
      </c>
      <c r="AW62" s="164">
        <f t="shared" si="5"/>
        <v>0</v>
      </c>
      <c r="AX62" s="310">
        <f>IF($AW62=0,0,VLOOKUP(VLOOKUP($X62,$B$34:$T$38,19,FALSE),ENTI!$A$9:$B$13,2,FALSE))</f>
        <v>0</v>
      </c>
      <c r="AY62" s="310">
        <f t="shared" si="9"/>
        <v>0</v>
      </c>
      <c r="AZ62" s="316">
        <f t="shared" si="10"/>
        <v>0</v>
      </c>
      <c r="BA62" s="1"/>
      <c r="BB62" s="152">
        <f t="shared" si="11"/>
        <v>0</v>
      </c>
      <c r="BC62" s="152">
        <f ca="1">SUM(Z$4:Z62)+SUM(BB$4:BB62)+COSTI!S$6-COSTI!L$1076</f>
        <v>-31.760000000000218</v>
      </c>
      <c r="BD62" s="1"/>
    </row>
    <row r="63" spans="1:56" ht="16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435">
        <f>IF(AND(W63&gt;=$U$1,W63&lt;=$U$2),IF(X63='ESTRATTO CONTO'!$E$2,1+COUNTIF(U$4:U62,"&gt;0"),0),0)</f>
        <v>0</v>
      </c>
      <c r="V63" s="417">
        <f t="shared" si="8"/>
        <v>60</v>
      </c>
      <c r="W63" s="509"/>
      <c r="X63" s="321"/>
      <c r="Y63" s="321"/>
      <c r="Z63" s="508"/>
      <c r="AA63" s="356"/>
      <c r="AB63" s="306" t="str">
        <f t="shared" si="0"/>
        <v/>
      </c>
      <c r="AC63" s="637">
        <f t="shared" ca="1" si="6"/>
        <v>-2.1316282072803006E-13</v>
      </c>
      <c r="AD63" s="935">
        <f>IF(ISERROR(VLOOKUP(AD$2,X64:X$1003,1,FALSE)),IF(X63=AD$2,SUMIF(X$4:X63,AD$2,Z$4:Z63)+$E$9+SUM(AQ$4:AQ$1003)+SUMIF(COSTI!$X$1379:$X$1430,AD$2,COSTI!$Z$1379:$Z$1430),0),0)</f>
        <v>0</v>
      </c>
      <c r="AE63" s="26"/>
      <c r="AF63" s="856" t="e">
        <f>IF(ISERROR(VLOOKUP(AG$2,X64:X$1003,1,FALSE)),IF(X63=AG$2,SUMIF(X$4:X63,AG$2,Z$4:Z63)+VLOOKUP(AF$2,$B$1057:$F$1068,5,FALSE)+SUM(AR$4:AR$1003)+SUMIF(COSTI!$X$1379:$X$1430,AG$2,COSTI!$Z$1379:$Z$1430),0),0)</f>
        <v>#N/A</v>
      </c>
      <c r="AG63" s="859"/>
      <c r="AH63" s="27" t="str">
        <f t="shared" si="1"/>
        <v/>
      </c>
      <c r="AI63" s="152">
        <f ca="1">IF(W64&gt;0,0,IF(AH63=0,(Z63*-1)+BC63+SUM(BB$4:BB62),BC63+SUM(BB$4:BB62)))</f>
        <v>-2.1316282072803006E-13</v>
      </c>
      <c r="AJ63" s="931">
        <f>IF(AND(AL63&gt;=$U$1,AL63&lt;=$U$2),IF(AM63='ESTRATTO CONTO'!$E$2,1+COUNTIF(AJ$4:AJ62,"&gt;0")+U$1015,0),0)</f>
        <v>0</v>
      </c>
      <c r="AK63" s="203">
        <f>IF(AND(OR((AK62+1)&lt;AL$1015,(AK62+1)=AL$1015),MAX(AK$4:AK62)&lt;AL$1015),AK62+1,0)</f>
        <v>0</v>
      </c>
      <c r="AL63" s="309">
        <f>VLOOKUP($AK63,ENTI!$AF$4:AG$1003,2,FALSE)</f>
        <v>0</v>
      </c>
      <c r="AM63" s="224">
        <f>VLOOKUP($AK63,ENTI!$AF$4:AH$1003,3,FALSE)</f>
        <v>0</v>
      </c>
      <c r="AN63" s="224">
        <f>VLOOKUP($AK63,ENTI!$AF$4:AI$1003,4,FALSE)</f>
        <v>0</v>
      </c>
      <c r="AO63" s="781">
        <f>VLOOKUP($AK63,ENTI!$AF$4:AJ$1003,5,FALSE)</f>
        <v>0</v>
      </c>
      <c r="AP63" s="315">
        <f>VLOOKUP($AK63,ENTI!$AF$4:AK$1003,6,FALSE)</f>
        <v>0</v>
      </c>
      <c r="AQ63" s="208">
        <f t="shared" si="13"/>
        <v>0</v>
      </c>
      <c r="AR63" s="152" t="e">
        <f t="shared" si="14"/>
        <v>#N/A</v>
      </c>
      <c r="AS63" s="1"/>
      <c r="AT63" s="88" t="str">
        <f t="shared" si="4"/>
        <v/>
      </c>
      <c r="AU63" s="1"/>
      <c r="AV63" s="175">
        <f>IF(AW63&gt;0,COUNTIF(AV$4:AV62,"&gt;0")+1,0)</f>
        <v>0</v>
      </c>
      <c r="AW63" s="164">
        <f t="shared" si="5"/>
        <v>0</v>
      </c>
      <c r="AX63" s="310">
        <f>IF($AW63=0,0,VLOOKUP(VLOOKUP($X63,$B$34:$T$38,19,FALSE),ENTI!$A$9:$B$13,2,FALSE))</f>
        <v>0</v>
      </c>
      <c r="AY63" s="310">
        <f t="shared" si="9"/>
        <v>0</v>
      </c>
      <c r="AZ63" s="316">
        <f t="shared" si="10"/>
        <v>0</v>
      </c>
      <c r="BA63" s="1"/>
      <c r="BB63" s="152">
        <f t="shared" si="11"/>
        <v>0</v>
      </c>
      <c r="BC63" s="152">
        <f ca="1">SUM(Z$4:Z63)+SUM(BB$4:BB63)+COSTI!S$6-COSTI!L$1076</f>
        <v>-31.760000000000218</v>
      </c>
      <c r="BD63" s="1"/>
    </row>
    <row r="64" spans="1:56" ht="16.5" customHeight="1">
      <c r="A64" s="1"/>
      <c r="B64" s="1540" t="str">
        <f>Presentazione!$B$85</f>
        <v>Questo file risulta al momento completamente funzionante ed il sistema rileva tutti i suoi fogli.</v>
      </c>
      <c r="C64" s="1540"/>
      <c r="D64" s="1540"/>
      <c r="E64" s="1540"/>
      <c r="F64" s="1540"/>
      <c r="G64" s="1540"/>
      <c r="H64" s="1540"/>
      <c r="I64" s="1540"/>
      <c r="J64" s="1540"/>
      <c r="K64" s="1540"/>
      <c r="L64" s="1540"/>
      <c r="M64" s="1540"/>
      <c r="N64" s="1540"/>
      <c r="O64" s="1540"/>
      <c r="P64" s="1540"/>
      <c r="Q64" s="1540"/>
      <c r="R64" s="1540"/>
      <c r="S64" s="1540"/>
      <c r="T64" s="1"/>
      <c r="U64" s="435">
        <f>IF(AND(W64&gt;=$U$1,W64&lt;=$U$2),IF(X64='ESTRATTO CONTO'!$E$2,1+COUNTIF(U$4:U63,"&gt;0"),0),0)</f>
        <v>0</v>
      </c>
      <c r="V64" s="417">
        <f t="shared" si="8"/>
        <v>61</v>
      </c>
      <c r="W64" s="509"/>
      <c r="X64" s="321"/>
      <c r="Y64" s="321"/>
      <c r="Z64" s="508"/>
      <c r="AA64" s="356"/>
      <c r="AB64" s="306" t="str">
        <f t="shared" si="0"/>
        <v/>
      </c>
      <c r="AC64" s="637">
        <f t="shared" ca="1" si="6"/>
        <v>-2.1316282072803006E-13</v>
      </c>
      <c r="AD64" s="935">
        <f>IF(ISERROR(VLOOKUP(AD$2,X65:X$1003,1,FALSE)),IF(X64=AD$2,SUMIF(X$4:X64,AD$2,Z$4:Z64)+$E$9+SUM(AQ$4:AQ$1003)+SUMIF(COSTI!$X$1379:$X$1430,AD$2,COSTI!$Z$1379:$Z$1430),0),0)</f>
        <v>0</v>
      </c>
      <c r="AE64" s="26"/>
      <c r="AF64" s="856" t="e">
        <f>IF(ISERROR(VLOOKUP(AG$2,X65:X$1003,1,FALSE)),IF(X64=AG$2,SUMIF(X$4:X64,AG$2,Z$4:Z64)+VLOOKUP(AF$2,$B$1057:$F$1068,5,FALSE)+SUM(AR$4:AR$1003)+SUMIF(COSTI!$X$1379:$X$1430,AG$2,COSTI!$Z$1379:$Z$1430),0),0)</f>
        <v>#N/A</v>
      </c>
      <c r="AG64" s="859"/>
      <c r="AH64" s="27" t="str">
        <f t="shared" si="1"/>
        <v/>
      </c>
      <c r="AI64" s="152">
        <f ca="1">IF(W65&gt;0,0,IF(AH64=0,(Z64*-1)+BC64+SUM(BB$4:BB63),BC64+SUM(BB$4:BB63)))</f>
        <v>-2.1316282072803006E-13</v>
      </c>
      <c r="AJ64" s="931">
        <f>IF(AND(AL64&gt;=$U$1,AL64&lt;=$U$2),IF(AM64='ESTRATTO CONTO'!$E$2,1+COUNTIF(AJ$4:AJ63,"&gt;0")+U$1015,0),0)</f>
        <v>0</v>
      </c>
      <c r="AK64" s="203">
        <f>IF(AND(OR((AK63+1)&lt;AL$1015,(AK63+1)=AL$1015),MAX(AK$4:AK63)&lt;AL$1015),AK63+1,0)</f>
        <v>0</v>
      </c>
      <c r="AL64" s="309">
        <f>VLOOKUP($AK64,ENTI!$AF$4:AG$1003,2,FALSE)</f>
        <v>0</v>
      </c>
      <c r="AM64" s="224">
        <f>VLOOKUP($AK64,ENTI!$AF$4:AH$1003,3,FALSE)</f>
        <v>0</v>
      </c>
      <c r="AN64" s="224">
        <f>VLOOKUP($AK64,ENTI!$AF$4:AI$1003,4,FALSE)</f>
        <v>0</v>
      </c>
      <c r="AO64" s="781">
        <f>VLOOKUP($AK64,ENTI!$AF$4:AJ$1003,5,FALSE)</f>
        <v>0</v>
      </c>
      <c r="AP64" s="315">
        <f>VLOOKUP($AK64,ENTI!$AF$4:AK$1003,6,FALSE)</f>
        <v>0</v>
      </c>
      <c r="AQ64" s="208">
        <f t="shared" si="13"/>
        <v>0</v>
      </c>
      <c r="AR64" s="152" t="e">
        <f t="shared" si="14"/>
        <v>#N/A</v>
      </c>
      <c r="AS64" s="1"/>
      <c r="AT64" s="88" t="str">
        <f t="shared" si="4"/>
        <v/>
      </c>
      <c r="AU64" s="1"/>
      <c r="AV64" s="175">
        <f>IF(AW64&gt;0,COUNTIF(AV$4:AV63,"&gt;0")+1,0)</f>
        <v>0</v>
      </c>
      <c r="AW64" s="164">
        <f t="shared" si="5"/>
        <v>0</v>
      </c>
      <c r="AX64" s="310">
        <f>IF($AW64=0,0,VLOOKUP(VLOOKUP($X64,$B$34:$T$38,19,FALSE),ENTI!$A$9:$B$13,2,FALSE))</f>
        <v>0</v>
      </c>
      <c r="AY64" s="310">
        <f t="shared" si="9"/>
        <v>0</v>
      </c>
      <c r="AZ64" s="316">
        <f t="shared" si="10"/>
        <v>0</v>
      </c>
      <c r="BA64" s="1"/>
      <c r="BB64" s="152">
        <f t="shared" si="11"/>
        <v>0</v>
      </c>
      <c r="BC64" s="152">
        <f ca="1">SUM(Z$4:Z64)+SUM(BB$4:BB64)+COSTI!S$6-COSTI!L$1076</f>
        <v>-31.760000000000218</v>
      </c>
      <c r="BD64" s="1"/>
    </row>
    <row r="65" spans="1:56" ht="16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435">
        <f>IF(AND(W65&gt;=$U$1,W65&lt;=$U$2),IF(X65='ESTRATTO CONTO'!$E$2,1+COUNTIF(U$4:U64,"&gt;0"),0),0)</f>
        <v>0</v>
      </c>
      <c r="V65" s="417">
        <f t="shared" si="8"/>
        <v>62</v>
      </c>
      <c r="W65" s="509"/>
      <c r="X65" s="321"/>
      <c r="Y65" s="321"/>
      <c r="Z65" s="508"/>
      <c r="AA65" s="356"/>
      <c r="AB65" s="306" t="str">
        <f t="shared" si="0"/>
        <v/>
      </c>
      <c r="AC65" s="637">
        <f t="shared" ca="1" si="6"/>
        <v>-2.1316282072803006E-13</v>
      </c>
      <c r="AD65" s="935">
        <f>IF(ISERROR(VLOOKUP(AD$2,X66:X$1003,1,FALSE)),IF(X65=AD$2,SUMIF(X$4:X65,AD$2,Z$4:Z65)+$E$9+SUM(AQ$4:AQ$1003)+SUMIF(COSTI!$X$1379:$X$1430,AD$2,COSTI!$Z$1379:$Z$1430),0),0)</f>
        <v>0</v>
      </c>
      <c r="AE65" s="26"/>
      <c r="AF65" s="856" t="e">
        <f>IF(ISERROR(VLOOKUP(AG$2,X66:X$1003,1,FALSE)),IF(X65=AG$2,SUMIF(X$4:X65,AG$2,Z$4:Z65)+VLOOKUP(AF$2,$B$1057:$F$1068,5,FALSE)+SUM(AR$4:AR$1003)+SUMIF(COSTI!$X$1379:$X$1430,AG$2,COSTI!$Z$1379:$Z$1430),0),0)</f>
        <v>#N/A</v>
      </c>
      <c r="AG65" s="859"/>
      <c r="AH65" s="27" t="str">
        <f t="shared" si="1"/>
        <v/>
      </c>
      <c r="AI65" s="152">
        <f ca="1">IF(W66&gt;0,0,IF(AH65=0,(Z65*-1)+BC65+SUM(BB$4:BB64),BC65+SUM(BB$4:BB64)))</f>
        <v>-2.1316282072803006E-13</v>
      </c>
      <c r="AJ65" s="931">
        <f>IF(AND(AL65&gt;=$U$1,AL65&lt;=$U$2),IF(AM65='ESTRATTO CONTO'!$E$2,1+COUNTIF(AJ$4:AJ64,"&gt;0")+U$1015,0),0)</f>
        <v>0</v>
      </c>
      <c r="AK65" s="203">
        <f>IF(AND(OR((AK64+1)&lt;AL$1015,(AK64+1)=AL$1015),MAX(AK$4:AK64)&lt;AL$1015),AK64+1,0)</f>
        <v>0</v>
      </c>
      <c r="AL65" s="309">
        <f>VLOOKUP($AK65,ENTI!$AF$4:AG$1003,2,FALSE)</f>
        <v>0</v>
      </c>
      <c r="AM65" s="224">
        <f>VLOOKUP($AK65,ENTI!$AF$4:AH$1003,3,FALSE)</f>
        <v>0</v>
      </c>
      <c r="AN65" s="224">
        <f>VLOOKUP($AK65,ENTI!$AF$4:AI$1003,4,FALSE)</f>
        <v>0</v>
      </c>
      <c r="AO65" s="781">
        <f>VLOOKUP($AK65,ENTI!$AF$4:AJ$1003,5,FALSE)</f>
        <v>0</v>
      </c>
      <c r="AP65" s="315">
        <f>VLOOKUP($AK65,ENTI!$AF$4:AK$1003,6,FALSE)</f>
        <v>0</v>
      </c>
      <c r="AQ65" s="208">
        <f t="shared" si="13"/>
        <v>0</v>
      </c>
      <c r="AR65" s="152" t="e">
        <f t="shared" si="14"/>
        <v>#N/A</v>
      </c>
      <c r="AS65" s="1"/>
      <c r="AT65" s="88" t="str">
        <f t="shared" si="4"/>
        <v/>
      </c>
      <c r="AU65" s="1"/>
      <c r="AV65" s="175">
        <f>IF(AW65&gt;0,COUNTIF(AV$4:AV64,"&gt;0")+1,0)</f>
        <v>0</v>
      </c>
      <c r="AW65" s="164">
        <f t="shared" si="5"/>
        <v>0</v>
      </c>
      <c r="AX65" s="310">
        <f>IF($AW65=0,0,VLOOKUP(VLOOKUP($X65,$B$34:$T$38,19,FALSE),ENTI!$A$9:$B$13,2,FALSE))</f>
        <v>0</v>
      </c>
      <c r="AY65" s="310">
        <f t="shared" si="9"/>
        <v>0</v>
      </c>
      <c r="AZ65" s="316">
        <f t="shared" si="10"/>
        <v>0</v>
      </c>
      <c r="BA65" s="1"/>
      <c r="BB65" s="152">
        <f t="shared" si="11"/>
        <v>0</v>
      </c>
      <c r="BC65" s="152">
        <f ca="1">SUM(Z$4:Z65)+SUM(BB$4:BB65)+COSTI!S$6-COSTI!L$1076</f>
        <v>-31.760000000000218</v>
      </c>
      <c r="BD65" s="1"/>
    </row>
    <row r="66" spans="1:56" ht="16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435">
        <f>IF(AND(W66&gt;=$U$1,W66&lt;=$U$2),IF(X66='ESTRATTO CONTO'!$E$2,1+COUNTIF(U$4:U65,"&gt;0"),0),0)</f>
        <v>0</v>
      </c>
      <c r="V66" s="417">
        <f t="shared" si="8"/>
        <v>63</v>
      </c>
      <c r="W66" s="509"/>
      <c r="X66" s="321"/>
      <c r="Y66" s="321"/>
      <c r="Z66" s="508"/>
      <c r="AA66" s="356"/>
      <c r="AB66" s="306" t="str">
        <f t="shared" si="0"/>
        <v/>
      </c>
      <c r="AC66" s="637">
        <f t="shared" ca="1" si="6"/>
        <v>-2.1316282072803006E-13</v>
      </c>
      <c r="AD66" s="935">
        <f>IF(ISERROR(VLOOKUP(AD$2,X67:X$1003,1,FALSE)),IF(X66=AD$2,SUMIF(X$4:X66,AD$2,Z$4:Z66)+$E$9+SUM(AQ$4:AQ$1003)+SUMIF(COSTI!$X$1379:$X$1430,AD$2,COSTI!$Z$1379:$Z$1430),0),0)</f>
        <v>0</v>
      </c>
      <c r="AE66" s="26"/>
      <c r="AF66" s="856" t="e">
        <f>IF(ISERROR(VLOOKUP(AG$2,X67:X$1003,1,FALSE)),IF(X66=AG$2,SUMIF(X$4:X66,AG$2,Z$4:Z66)+VLOOKUP(AF$2,$B$1057:$F$1068,5,FALSE)+SUM(AR$4:AR$1003)+SUMIF(COSTI!$X$1379:$X$1430,AG$2,COSTI!$Z$1379:$Z$1430),0),0)</f>
        <v>#N/A</v>
      </c>
      <c r="AG66" s="859"/>
      <c r="AH66" s="27" t="str">
        <f t="shared" si="1"/>
        <v/>
      </c>
      <c r="AI66" s="152">
        <f ca="1">IF(W67&gt;0,0,IF(AH66=0,(Z66*-1)+BC66+SUM(BB$4:BB65),BC66+SUM(BB$4:BB65)))</f>
        <v>-2.1316282072803006E-13</v>
      </c>
      <c r="AJ66" s="931">
        <f>IF(AND(AL66&gt;=$U$1,AL66&lt;=$U$2),IF(AM66='ESTRATTO CONTO'!$E$2,1+COUNTIF(AJ$4:AJ65,"&gt;0")+U$1015,0),0)</f>
        <v>0</v>
      </c>
      <c r="AK66" s="203">
        <f>IF(AND(OR((AK65+1)&lt;AL$1015,(AK65+1)=AL$1015),MAX(AK$4:AK65)&lt;AL$1015),AK65+1,0)</f>
        <v>0</v>
      </c>
      <c r="AL66" s="309">
        <f>VLOOKUP($AK66,ENTI!$AF$4:AG$1003,2,FALSE)</f>
        <v>0</v>
      </c>
      <c r="AM66" s="224">
        <f>VLOOKUP($AK66,ENTI!$AF$4:AH$1003,3,FALSE)</f>
        <v>0</v>
      </c>
      <c r="AN66" s="224">
        <f>VLOOKUP($AK66,ENTI!$AF$4:AI$1003,4,FALSE)</f>
        <v>0</v>
      </c>
      <c r="AO66" s="781">
        <f>VLOOKUP($AK66,ENTI!$AF$4:AJ$1003,5,FALSE)</f>
        <v>0</v>
      </c>
      <c r="AP66" s="315">
        <f>VLOOKUP($AK66,ENTI!$AF$4:AK$1003,6,FALSE)</f>
        <v>0</v>
      </c>
      <c r="AQ66" s="208">
        <f t="shared" si="13"/>
        <v>0</v>
      </c>
      <c r="AR66" s="152" t="e">
        <f t="shared" si="14"/>
        <v>#N/A</v>
      </c>
      <c r="AS66" s="1"/>
      <c r="AT66" s="88" t="str">
        <f t="shared" si="4"/>
        <v/>
      </c>
      <c r="AU66" s="1"/>
      <c r="AV66" s="175">
        <f>IF(AW66&gt;0,COUNTIF(AV$4:AV65,"&gt;0")+1,0)</f>
        <v>0</v>
      </c>
      <c r="AW66" s="164">
        <f t="shared" si="5"/>
        <v>0</v>
      </c>
      <c r="AX66" s="310">
        <f>IF($AW66=0,0,VLOOKUP(VLOOKUP($X66,$B$34:$T$38,19,FALSE),ENTI!$A$9:$B$13,2,FALSE))</f>
        <v>0</v>
      </c>
      <c r="AY66" s="310">
        <f t="shared" si="9"/>
        <v>0</v>
      </c>
      <c r="AZ66" s="316">
        <f t="shared" si="10"/>
        <v>0</v>
      </c>
      <c r="BA66" s="1"/>
      <c r="BB66" s="152">
        <f t="shared" si="11"/>
        <v>0</v>
      </c>
      <c r="BC66" s="152">
        <f ca="1">SUM(Z$4:Z66)+SUM(BB$4:BB66)+COSTI!S$6-COSTI!L$1076</f>
        <v>-31.760000000000218</v>
      </c>
      <c r="BD66" s="1"/>
    </row>
    <row r="67" spans="1:56" ht="16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435">
        <f>IF(AND(W67&gt;=$U$1,W67&lt;=$U$2),IF(X67='ESTRATTO CONTO'!$E$2,1+COUNTIF(U$4:U66,"&gt;0"),0),0)</f>
        <v>0</v>
      </c>
      <c r="V67" s="417">
        <f t="shared" si="8"/>
        <v>64</v>
      </c>
      <c r="W67" s="509"/>
      <c r="X67" s="321"/>
      <c r="Y67" s="321"/>
      <c r="Z67" s="508"/>
      <c r="AA67" s="356"/>
      <c r="AB67" s="306" t="str">
        <f t="shared" si="0"/>
        <v/>
      </c>
      <c r="AC67" s="637">
        <f t="shared" ca="1" si="6"/>
        <v>-2.1316282072803006E-13</v>
      </c>
      <c r="AD67" s="935">
        <f>IF(ISERROR(VLOOKUP(AD$2,X68:X$1003,1,FALSE)),IF(X67=AD$2,SUMIF(X$4:X67,AD$2,Z$4:Z67)+$E$9+SUM(AQ$4:AQ$1003)+SUMIF(COSTI!$X$1379:$X$1430,AD$2,COSTI!$Z$1379:$Z$1430),0),0)</f>
        <v>0</v>
      </c>
      <c r="AE67" s="26"/>
      <c r="AF67" s="856" t="e">
        <f>IF(ISERROR(VLOOKUP(AG$2,X68:X$1003,1,FALSE)),IF(X67=AG$2,SUMIF(X$4:X67,AG$2,Z$4:Z67)+VLOOKUP(AF$2,$B$1057:$F$1068,5,FALSE)+SUM(AR$4:AR$1003)+SUMIF(COSTI!$X$1379:$X$1430,AG$2,COSTI!$Z$1379:$Z$1430),0),0)</f>
        <v>#N/A</v>
      </c>
      <c r="AG67" s="859"/>
      <c r="AH67" s="27" t="str">
        <f t="shared" si="1"/>
        <v/>
      </c>
      <c r="AI67" s="152">
        <f ca="1">IF(W68&gt;0,0,IF(AH67=0,(Z67*-1)+BC67+SUM(BB$4:BB66),BC67+SUM(BB$4:BB66)))</f>
        <v>-2.1316282072803006E-13</v>
      </c>
      <c r="AJ67" s="931">
        <f>IF(AND(AL67&gt;=$U$1,AL67&lt;=$U$2),IF(AM67='ESTRATTO CONTO'!$E$2,1+COUNTIF(AJ$4:AJ66,"&gt;0")+U$1015,0),0)</f>
        <v>0</v>
      </c>
      <c r="AK67" s="203">
        <f>IF(AND(OR((AK66+1)&lt;AL$1015,(AK66+1)=AL$1015),MAX(AK$4:AK66)&lt;AL$1015),AK66+1,0)</f>
        <v>0</v>
      </c>
      <c r="AL67" s="309">
        <f>VLOOKUP($AK67,ENTI!$AF$4:AG$1003,2,FALSE)</f>
        <v>0</v>
      </c>
      <c r="AM67" s="224">
        <f>VLOOKUP($AK67,ENTI!$AF$4:AH$1003,3,FALSE)</f>
        <v>0</v>
      </c>
      <c r="AN67" s="224">
        <f>VLOOKUP($AK67,ENTI!$AF$4:AI$1003,4,FALSE)</f>
        <v>0</v>
      </c>
      <c r="AO67" s="781">
        <f>VLOOKUP($AK67,ENTI!$AF$4:AJ$1003,5,FALSE)</f>
        <v>0</v>
      </c>
      <c r="AP67" s="315">
        <f>VLOOKUP($AK67,ENTI!$AF$4:AK$1003,6,FALSE)</f>
        <v>0</v>
      </c>
      <c r="AQ67" s="208">
        <f t="shared" si="13"/>
        <v>0</v>
      </c>
      <c r="AR67" s="152" t="e">
        <f t="shared" si="14"/>
        <v>#N/A</v>
      </c>
      <c r="AS67" s="1"/>
      <c r="AT67" s="88" t="str">
        <f t="shared" si="4"/>
        <v/>
      </c>
      <c r="AU67" s="1"/>
      <c r="AV67" s="175">
        <f>IF(AW67&gt;0,COUNTIF(AV$4:AV66,"&gt;0")+1,0)</f>
        <v>0</v>
      </c>
      <c r="AW67" s="164">
        <f t="shared" si="5"/>
        <v>0</v>
      </c>
      <c r="AX67" s="310">
        <f>IF($AW67=0,0,VLOOKUP(VLOOKUP($X67,$B$34:$T$38,19,FALSE),ENTI!$A$9:$B$13,2,FALSE))</f>
        <v>0</v>
      </c>
      <c r="AY67" s="310">
        <f t="shared" si="9"/>
        <v>0</v>
      </c>
      <c r="AZ67" s="316">
        <f t="shared" si="10"/>
        <v>0</v>
      </c>
      <c r="BA67" s="1"/>
      <c r="BB67" s="152">
        <f t="shared" si="11"/>
        <v>0</v>
      </c>
      <c r="BC67" s="152">
        <f ca="1">SUM(Z$4:Z67)+SUM(BB$4:BB67)+COSTI!S$6-COSTI!L$1076</f>
        <v>-31.760000000000218</v>
      </c>
      <c r="BD67" s="1"/>
    </row>
    <row r="68" spans="1:56" ht="16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35">
        <f>IF(AND(W68&gt;=$U$1,W68&lt;=$U$2),IF(X68='ESTRATTO CONTO'!$E$2,1+COUNTIF(U$4:U67,"&gt;0"),0),0)</f>
        <v>0</v>
      </c>
      <c r="V68" s="417">
        <f t="shared" si="8"/>
        <v>65</v>
      </c>
      <c r="W68" s="509"/>
      <c r="X68" s="321"/>
      <c r="Y68" s="321"/>
      <c r="Z68" s="508"/>
      <c r="AA68" s="356"/>
      <c r="AB68" s="306" t="str">
        <f t="shared" ref="AB68:AB131" si="28">IF(W68&gt;0,IF(AND(W68&gt;=W$1012,W68&lt;=W$1013),CONCATENATE(MONTH(W68)&amp;X68),0),"")</f>
        <v/>
      </c>
      <c r="AC68" s="637">
        <f t="shared" ca="1" si="6"/>
        <v>-2.1316282072803006E-13</v>
      </c>
      <c r="AD68" s="935">
        <f>IF(ISERROR(VLOOKUP(AD$2,X69:X$1003,1,FALSE)),IF(X68=AD$2,SUMIF(X$4:X68,AD$2,Z$4:Z68)+$E$9+SUM(AQ$4:AQ$1003)+SUMIF(COSTI!$X$1379:$X$1430,AD$2,COSTI!$Z$1379:$Z$1430),0),0)</f>
        <v>0</v>
      </c>
      <c r="AE68" s="26"/>
      <c r="AF68" s="856" t="e">
        <f>IF(ISERROR(VLOOKUP(AG$2,X69:X$1003,1,FALSE)),IF(X68=AG$2,SUMIF(X$4:X68,AG$2,Z$4:Z68)+VLOOKUP(AF$2,$B$1057:$F$1068,5,FALSE)+SUM(AR$4:AR$1003)+SUMIF(COSTI!$X$1379:$X$1430,AG$2,COSTI!$Z$1379:$Z$1430),0),0)</f>
        <v>#N/A</v>
      </c>
      <c r="AG68" s="859"/>
      <c r="AH68" s="27" t="str">
        <f t="shared" ref="AH68:AH131" si="29">IF(ISBLANK(X68),"",IF(ISERROR(VLOOKUP(X68,B$34:B$38,1,FALSE)),1,0))</f>
        <v/>
      </c>
      <c r="AI68" s="152">
        <f ca="1">IF(W69&gt;0,0,IF(AH68=0,(Z68*-1)+BC68+SUM(BB$4:BB67),BC68+SUM(BB$4:BB67)))</f>
        <v>-2.1316282072803006E-13</v>
      </c>
      <c r="AJ68" s="931">
        <f>IF(AND(AL68&gt;=$U$1,AL68&lt;=$U$2),IF(AM68='ESTRATTO CONTO'!$E$2,1+COUNTIF(AJ$4:AJ67,"&gt;0")+U$1015,0),0)</f>
        <v>0</v>
      </c>
      <c r="AK68" s="203">
        <f>IF(AND(OR((AK67+1)&lt;AL$1015,(AK67+1)=AL$1015),MAX(AK$4:AK67)&lt;AL$1015),AK67+1,0)</f>
        <v>0</v>
      </c>
      <c r="AL68" s="309">
        <f>VLOOKUP($AK68,ENTI!$AF$4:AG$1003,2,FALSE)</f>
        <v>0</v>
      </c>
      <c r="AM68" s="224">
        <f>VLOOKUP($AK68,ENTI!$AF$4:AH$1003,3,FALSE)</f>
        <v>0</v>
      </c>
      <c r="AN68" s="224">
        <f>VLOOKUP($AK68,ENTI!$AF$4:AI$1003,4,FALSE)</f>
        <v>0</v>
      </c>
      <c r="AO68" s="781">
        <f>VLOOKUP($AK68,ENTI!$AF$4:AJ$1003,5,FALSE)</f>
        <v>0</v>
      </c>
      <c r="AP68" s="315">
        <f>VLOOKUP($AK68,ENTI!$AF$4:AK$1003,6,FALSE)</f>
        <v>0</v>
      </c>
      <c r="AQ68" s="208">
        <f t="shared" si="13"/>
        <v>0</v>
      </c>
      <c r="AR68" s="152" t="e">
        <f t="shared" si="14"/>
        <v>#N/A</v>
      </c>
      <c r="AS68" s="1"/>
      <c r="AT68" s="88" t="str">
        <f t="shared" ref="AT68:AT131" si="30">IF(AL68&gt;0,IF(AND(AL68&gt;=W$1012,AL68&lt;=W$1013),CONCATENATE(MONTH(AL68)&amp;AM68),0),"")</f>
        <v/>
      </c>
      <c r="AU68" s="1"/>
      <c r="AV68" s="175">
        <f>IF(AW68&gt;0,COUNTIF(AV$4:AV67,"&gt;0")+1,0)</f>
        <v>0</v>
      </c>
      <c r="AW68" s="164">
        <f t="shared" ref="AW68:AW131" si="31">IF(ISERROR(VLOOKUP($X68,$B$34:$B$38,1,FALSE)),0,W68)</f>
        <v>0</v>
      </c>
      <c r="AX68" s="310">
        <f>IF($AW68=0,0,VLOOKUP(VLOOKUP($X68,$B$34:$T$38,19,FALSE),ENTI!$A$9:$B$13,2,FALSE))</f>
        <v>0</v>
      </c>
      <c r="AY68" s="310">
        <f t="shared" si="9"/>
        <v>0</v>
      </c>
      <c r="AZ68" s="316">
        <f t="shared" si="10"/>
        <v>0</v>
      </c>
      <c r="BA68" s="1"/>
      <c r="BB68" s="152">
        <f t="shared" si="11"/>
        <v>0</v>
      </c>
      <c r="BC68" s="152">
        <f ca="1">SUM(Z$4:Z68)+SUM(BB$4:BB68)+COSTI!S$6-COSTI!L$1076</f>
        <v>-31.760000000000218</v>
      </c>
      <c r="BD68" s="1"/>
    </row>
    <row r="69" spans="1:56" ht="16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435">
        <f>IF(AND(W69&gt;=$U$1,W69&lt;=$U$2),IF(X69='ESTRATTO CONTO'!$E$2,1+COUNTIF(U$4:U68,"&gt;0"),0),0)</f>
        <v>0</v>
      </c>
      <c r="V69" s="417">
        <f t="shared" si="8"/>
        <v>66</v>
      </c>
      <c r="W69" s="509"/>
      <c r="X69" s="321"/>
      <c r="Y69" s="321"/>
      <c r="Z69" s="508"/>
      <c r="AA69" s="356"/>
      <c r="AB69" s="306" t="str">
        <f t="shared" si="28"/>
        <v/>
      </c>
      <c r="AC69" s="637">
        <f t="shared" ca="1" si="6"/>
        <v>-2.1316282072803006E-13</v>
      </c>
      <c r="AD69" s="935">
        <f>IF(ISERROR(VLOOKUP(AD$2,X70:X$1003,1,FALSE)),IF(X69=AD$2,SUMIF(X$4:X69,AD$2,Z$4:Z69)+$E$9+SUM(AQ$4:AQ$1003)+SUMIF(COSTI!$X$1379:$X$1430,AD$2,COSTI!$Z$1379:$Z$1430),0),0)</f>
        <v>0</v>
      </c>
      <c r="AE69" s="26"/>
      <c r="AF69" s="856" t="e">
        <f>IF(ISERROR(VLOOKUP(AG$2,X70:X$1003,1,FALSE)),IF(X69=AG$2,SUMIF(X$4:X69,AG$2,Z$4:Z69)+VLOOKUP(AF$2,$B$1057:$F$1068,5,FALSE)+SUM(AR$4:AR$1003)+SUMIF(COSTI!$X$1379:$X$1430,AG$2,COSTI!$Z$1379:$Z$1430),0),0)</f>
        <v>#N/A</v>
      </c>
      <c r="AG69" s="859"/>
      <c r="AH69" s="27" t="str">
        <f t="shared" si="29"/>
        <v/>
      </c>
      <c r="AI69" s="152">
        <f ca="1">IF(W70&gt;0,0,IF(AH69=0,(Z69*-1)+BC69+SUM(BB$4:BB68),BC69+SUM(BB$4:BB68)))</f>
        <v>-2.1316282072803006E-13</v>
      </c>
      <c r="AJ69" s="931">
        <f>IF(AND(AL69&gt;=$U$1,AL69&lt;=$U$2),IF(AM69='ESTRATTO CONTO'!$E$2,1+COUNTIF(AJ$4:AJ68,"&gt;0")+U$1015,0),0)</f>
        <v>0</v>
      </c>
      <c r="AK69" s="203">
        <f>IF(AND(OR((AK68+1)&lt;AL$1015,(AK68+1)=AL$1015),MAX(AK$4:AK68)&lt;AL$1015),AK68+1,0)</f>
        <v>0</v>
      </c>
      <c r="AL69" s="309">
        <f>VLOOKUP($AK69,ENTI!$AF$4:AG$1003,2,FALSE)</f>
        <v>0</v>
      </c>
      <c r="AM69" s="224">
        <f>VLOOKUP($AK69,ENTI!$AF$4:AH$1003,3,FALSE)</f>
        <v>0</v>
      </c>
      <c r="AN69" s="224">
        <f>VLOOKUP($AK69,ENTI!$AF$4:AI$1003,4,FALSE)</f>
        <v>0</v>
      </c>
      <c r="AO69" s="781">
        <f>VLOOKUP($AK69,ENTI!$AF$4:AJ$1003,5,FALSE)</f>
        <v>0</v>
      </c>
      <c r="AP69" s="315">
        <f>VLOOKUP($AK69,ENTI!$AF$4:AK$1003,6,FALSE)</f>
        <v>0</v>
      </c>
      <c r="AQ69" s="208">
        <f t="shared" si="13"/>
        <v>0</v>
      </c>
      <c r="AR69" s="152" t="e">
        <f t="shared" si="14"/>
        <v>#N/A</v>
      </c>
      <c r="AS69" s="1"/>
      <c r="AT69" s="88" t="str">
        <f t="shared" si="30"/>
        <v/>
      </c>
      <c r="AU69" s="1"/>
      <c r="AV69" s="175">
        <f>IF(AW69&gt;0,COUNTIF(AV$4:AV68,"&gt;0")+1,0)</f>
        <v>0</v>
      </c>
      <c r="AW69" s="164">
        <f t="shared" si="31"/>
        <v>0</v>
      </c>
      <c r="AX69" s="310">
        <f>IF($AW69=0,0,VLOOKUP(VLOOKUP($X69,$B$34:$T$38,19,FALSE),ENTI!$A$9:$B$13,2,FALSE))</f>
        <v>0</v>
      </c>
      <c r="AY69" s="310">
        <f t="shared" si="9"/>
        <v>0</v>
      </c>
      <c r="AZ69" s="316">
        <f t="shared" si="10"/>
        <v>0</v>
      </c>
      <c r="BA69" s="1"/>
      <c r="BB69" s="152">
        <f t="shared" si="11"/>
        <v>0</v>
      </c>
      <c r="BC69" s="152">
        <f ca="1">SUM(Z$4:Z69)+SUM(BB$4:BB69)+COSTI!S$6-COSTI!L$1076</f>
        <v>-31.760000000000218</v>
      </c>
      <c r="BD69" s="1"/>
    </row>
    <row r="70" spans="1:56" ht="16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35">
        <f>IF(AND(W70&gt;=$U$1,W70&lt;=$U$2),IF(X70='ESTRATTO CONTO'!$E$2,1+COUNTIF(U$4:U69,"&gt;0"),0),0)</f>
        <v>0</v>
      </c>
      <c r="V70" s="417">
        <f t="shared" ref="V70:V133" si="32">V69+1</f>
        <v>67</v>
      </c>
      <c r="W70" s="509"/>
      <c r="X70" s="321"/>
      <c r="Y70" s="321"/>
      <c r="Z70" s="508"/>
      <c r="AA70" s="356"/>
      <c r="AB70" s="306" t="str">
        <f t="shared" si="28"/>
        <v/>
      </c>
      <c r="AC70" s="637">
        <f t="shared" ca="1" si="6"/>
        <v>-2.1316282072803006E-13</v>
      </c>
      <c r="AD70" s="935">
        <f>IF(ISERROR(VLOOKUP(AD$2,X71:X$1003,1,FALSE)),IF(X70=AD$2,SUMIF(X$4:X70,AD$2,Z$4:Z70)+$E$9+SUM(AQ$4:AQ$1003)+SUMIF(COSTI!$X$1379:$X$1430,AD$2,COSTI!$Z$1379:$Z$1430),0),0)</f>
        <v>0</v>
      </c>
      <c r="AE70" s="26"/>
      <c r="AF70" s="856" t="e">
        <f>IF(ISERROR(VLOOKUP(AG$2,X71:X$1003,1,FALSE)),IF(X70=AG$2,SUMIF(X$4:X70,AG$2,Z$4:Z70)+VLOOKUP(AF$2,$B$1057:$F$1068,5,FALSE)+SUM(AR$4:AR$1003)+SUMIF(COSTI!$X$1379:$X$1430,AG$2,COSTI!$Z$1379:$Z$1430),0),0)</f>
        <v>#N/A</v>
      </c>
      <c r="AG70" s="859"/>
      <c r="AH70" s="27" t="str">
        <f t="shared" si="29"/>
        <v/>
      </c>
      <c r="AI70" s="152">
        <f ca="1">IF(W71&gt;0,0,IF(AH70=0,(Z70*-1)+BC70+SUM(BB$4:BB69),BC70+SUM(BB$4:BB69)))</f>
        <v>-2.1316282072803006E-13</v>
      </c>
      <c r="AJ70" s="931">
        <f>IF(AND(AL70&gt;=$U$1,AL70&lt;=$U$2),IF(AM70='ESTRATTO CONTO'!$E$2,1+COUNTIF(AJ$4:AJ69,"&gt;0")+U$1015,0),0)</f>
        <v>0</v>
      </c>
      <c r="AK70" s="203">
        <f>IF(AND(OR((AK69+1)&lt;AL$1015,(AK69+1)=AL$1015),MAX(AK$4:AK69)&lt;AL$1015),AK69+1,0)</f>
        <v>0</v>
      </c>
      <c r="AL70" s="309">
        <f>VLOOKUP($AK70,ENTI!$AF$4:AG$1003,2,FALSE)</f>
        <v>0</v>
      </c>
      <c r="AM70" s="224">
        <f>VLOOKUP($AK70,ENTI!$AF$4:AH$1003,3,FALSE)</f>
        <v>0</v>
      </c>
      <c r="AN70" s="224">
        <f>VLOOKUP($AK70,ENTI!$AF$4:AI$1003,4,FALSE)</f>
        <v>0</v>
      </c>
      <c r="AO70" s="781">
        <f>VLOOKUP($AK70,ENTI!$AF$4:AJ$1003,5,FALSE)</f>
        <v>0</v>
      </c>
      <c r="AP70" s="315">
        <f>VLOOKUP($AK70,ENTI!$AF$4:AK$1003,6,FALSE)</f>
        <v>0</v>
      </c>
      <c r="AQ70" s="208">
        <f t="shared" si="13"/>
        <v>0</v>
      </c>
      <c r="AR70" s="152" t="e">
        <f t="shared" si="14"/>
        <v>#N/A</v>
      </c>
      <c r="AS70" s="1"/>
      <c r="AT70" s="88" t="str">
        <f t="shared" si="30"/>
        <v/>
      </c>
      <c r="AU70" s="1"/>
      <c r="AV70" s="175">
        <f>IF(AW70&gt;0,COUNTIF(AV$4:AV69,"&gt;0")+1,0)</f>
        <v>0</v>
      </c>
      <c r="AW70" s="164">
        <f t="shared" si="31"/>
        <v>0</v>
      </c>
      <c r="AX70" s="310">
        <f>IF($AW70=0,0,VLOOKUP(VLOOKUP($X70,$B$34:$T$38,19,FALSE),ENTI!$A$9:$B$13,2,FALSE))</f>
        <v>0</v>
      </c>
      <c r="AY70" s="310">
        <f t="shared" ref="AY70:AY133" si="33">IF(AW70=0,0,Y70)</f>
        <v>0</v>
      </c>
      <c r="AZ70" s="316">
        <f t="shared" ref="AZ70:AZ133" si="34">IF(AW70=0,0,Z70)</f>
        <v>0</v>
      </c>
      <c r="BA70" s="1"/>
      <c r="BB70" s="152">
        <f t="shared" ref="BB70:BB133" si="35">IF(ISERROR(VLOOKUP(X70,B$9:D$15,1,FALSE)),Z70*-1,0)</f>
        <v>0</v>
      </c>
      <c r="BC70" s="152">
        <f ca="1">SUM(Z$4:Z70)+SUM(BB$4:BB70)+COSTI!S$6-COSTI!L$1076</f>
        <v>-31.760000000000218</v>
      </c>
      <c r="BD70" s="1"/>
    </row>
    <row r="71" spans="1:56" ht="16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35">
        <f>IF(AND(W71&gt;=$U$1,W71&lt;=$U$2),IF(X71='ESTRATTO CONTO'!$E$2,1+COUNTIF(U$4:U70,"&gt;0"),0),0)</f>
        <v>0</v>
      </c>
      <c r="V71" s="417">
        <f t="shared" si="32"/>
        <v>68</v>
      </c>
      <c r="W71" s="509"/>
      <c r="X71" s="321"/>
      <c r="Y71" s="321"/>
      <c r="Z71" s="508"/>
      <c r="AA71" s="356"/>
      <c r="AB71" s="306" t="str">
        <f t="shared" si="28"/>
        <v/>
      </c>
      <c r="AC71" s="637">
        <f t="shared" ca="1" si="6"/>
        <v>-2.1316282072803006E-13</v>
      </c>
      <c r="AD71" s="935">
        <f>IF(ISERROR(VLOOKUP(AD$2,X72:X$1003,1,FALSE)),IF(X71=AD$2,SUMIF(X$4:X71,AD$2,Z$4:Z71)+$E$9+SUM(AQ$4:AQ$1003)+SUMIF(COSTI!$X$1379:$X$1430,AD$2,COSTI!$Z$1379:$Z$1430),0),0)</f>
        <v>0</v>
      </c>
      <c r="AE71" s="26"/>
      <c r="AF71" s="856" t="e">
        <f>IF(ISERROR(VLOOKUP(AG$2,X72:X$1003,1,FALSE)),IF(X71=AG$2,SUMIF(X$4:X71,AG$2,Z$4:Z71)+VLOOKUP(AF$2,$B$1057:$F$1068,5,FALSE)+SUM(AR$4:AR$1003)+SUMIF(COSTI!$X$1379:$X$1430,AG$2,COSTI!$Z$1379:$Z$1430),0),0)</f>
        <v>#N/A</v>
      </c>
      <c r="AG71" s="859"/>
      <c r="AH71" s="27" t="str">
        <f t="shared" si="29"/>
        <v/>
      </c>
      <c r="AI71" s="152">
        <f ca="1">IF(W72&gt;0,0,IF(AH71=0,(Z71*-1)+BC71+SUM(BB$4:BB70),BC71+SUM(BB$4:BB70)))</f>
        <v>-2.1316282072803006E-13</v>
      </c>
      <c r="AJ71" s="931">
        <f>IF(AND(AL71&gt;=$U$1,AL71&lt;=$U$2),IF(AM71='ESTRATTO CONTO'!$E$2,1+COUNTIF(AJ$4:AJ70,"&gt;0")+U$1015,0),0)</f>
        <v>0</v>
      </c>
      <c r="AK71" s="203">
        <f>IF(AND(OR((AK70+1)&lt;AL$1015,(AK70+1)=AL$1015),MAX(AK$4:AK70)&lt;AL$1015),AK70+1,0)</f>
        <v>0</v>
      </c>
      <c r="AL71" s="309">
        <f>VLOOKUP($AK71,ENTI!$AF$4:AG$1003,2,FALSE)</f>
        <v>0</v>
      </c>
      <c r="AM71" s="224">
        <f>VLOOKUP($AK71,ENTI!$AF$4:AH$1003,3,FALSE)</f>
        <v>0</v>
      </c>
      <c r="AN71" s="224">
        <f>VLOOKUP($AK71,ENTI!$AF$4:AI$1003,4,FALSE)</f>
        <v>0</v>
      </c>
      <c r="AO71" s="781">
        <f>VLOOKUP($AK71,ENTI!$AF$4:AJ$1003,5,FALSE)</f>
        <v>0</v>
      </c>
      <c r="AP71" s="315">
        <f>VLOOKUP($AK71,ENTI!$AF$4:AK$1003,6,FALSE)</f>
        <v>0</v>
      </c>
      <c r="AQ71" s="208">
        <f t="shared" si="13"/>
        <v>0</v>
      </c>
      <c r="AR71" s="152" t="e">
        <f t="shared" si="14"/>
        <v>#N/A</v>
      </c>
      <c r="AS71" s="1"/>
      <c r="AT71" s="88" t="str">
        <f t="shared" si="30"/>
        <v/>
      </c>
      <c r="AU71" s="1"/>
      <c r="AV71" s="175">
        <f>IF(AW71&gt;0,COUNTIF(AV$4:AV70,"&gt;0")+1,0)</f>
        <v>0</v>
      </c>
      <c r="AW71" s="164">
        <f t="shared" si="31"/>
        <v>0</v>
      </c>
      <c r="AX71" s="310">
        <f>IF($AW71=0,0,VLOOKUP(VLOOKUP($X71,$B$34:$T$38,19,FALSE),ENTI!$A$9:$B$13,2,FALSE))</f>
        <v>0</v>
      </c>
      <c r="AY71" s="310">
        <f t="shared" si="33"/>
        <v>0</v>
      </c>
      <c r="AZ71" s="316">
        <f t="shared" si="34"/>
        <v>0</v>
      </c>
      <c r="BA71" s="1"/>
      <c r="BB71" s="152">
        <f t="shared" si="35"/>
        <v>0</v>
      </c>
      <c r="BC71" s="152">
        <f ca="1">SUM(Z$4:Z71)+SUM(BB$4:BB71)+COSTI!S$6-COSTI!L$1076</f>
        <v>-31.760000000000218</v>
      </c>
      <c r="BD71" s="1"/>
    </row>
    <row r="72" spans="1:56" ht="16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435">
        <f>IF(AND(W72&gt;=$U$1,W72&lt;=$U$2),IF(X72='ESTRATTO CONTO'!$E$2,1+COUNTIF(U$4:U71,"&gt;0"),0),0)</f>
        <v>0</v>
      </c>
      <c r="V72" s="417">
        <f t="shared" si="32"/>
        <v>69</v>
      </c>
      <c r="W72" s="509"/>
      <c r="X72" s="321"/>
      <c r="Y72" s="321"/>
      <c r="Z72" s="508"/>
      <c r="AA72" s="356"/>
      <c r="AB72" s="306" t="str">
        <f t="shared" si="28"/>
        <v/>
      </c>
      <c r="AC72" s="637">
        <f t="shared" ca="1" si="6"/>
        <v>-2.1316282072803006E-13</v>
      </c>
      <c r="AD72" s="935">
        <f>IF(ISERROR(VLOOKUP(AD$2,X73:X$1003,1,FALSE)),IF(X72=AD$2,SUMIF(X$4:X72,AD$2,Z$4:Z72)+$E$9+SUM(AQ$4:AQ$1003)+SUMIF(COSTI!$X$1379:$X$1430,AD$2,COSTI!$Z$1379:$Z$1430),0),0)</f>
        <v>0</v>
      </c>
      <c r="AE72" s="26"/>
      <c r="AF72" s="856" t="e">
        <f>IF(ISERROR(VLOOKUP(AG$2,X73:X$1003,1,FALSE)),IF(X72=AG$2,SUMIF(X$4:X72,AG$2,Z$4:Z72)+VLOOKUP(AF$2,$B$1057:$F$1068,5,FALSE)+SUM(AR$4:AR$1003)+SUMIF(COSTI!$X$1379:$X$1430,AG$2,COSTI!$Z$1379:$Z$1430),0),0)</f>
        <v>#N/A</v>
      </c>
      <c r="AG72" s="859"/>
      <c r="AH72" s="27" t="str">
        <f t="shared" si="29"/>
        <v/>
      </c>
      <c r="AI72" s="152">
        <f ca="1">IF(W73&gt;0,0,IF(AH72=0,(Z72*-1)+BC72+SUM(BB$4:BB71),BC72+SUM(BB$4:BB71)))</f>
        <v>-2.1316282072803006E-13</v>
      </c>
      <c r="AJ72" s="931">
        <f>IF(AND(AL72&gt;=$U$1,AL72&lt;=$U$2),IF(AM72='ESTRATTO CONTO'!$E$2,1+COUNTIF(AJ$4:AJ71,"&gt;0")+U$1015,0),0)</f>
        <v>0</v>
      </c>
      <c r="AK72" s="203">
        <f>IF(AND(OR((AK71+1)&lt;AL$1015,(AK71+1)=AL$1015),MAX(AK$4:AK71)&lt;AL$1015),AK71+1,0)</f>
        <v>0</v>
      </c>
      <c r="AL72" s="309">
        <f>VLOOKUP($AK72,ENTI!$AF$4:AG$1003,2,FALSE)</f>
        <v>0</v>
      </c>
      <c r="AM72" s="224">
        <f>VLOOKUP($AK72,ENTI!$AF$4:AH$1003,3,FALSE)</f>
        <v>0</v>
      </c>
      <c r="AN72" s="224">
        <f>VLOOKUP($AK72,ENTI!$AF$4:AI$1003,4,FALSE)</f>
        <v>0</v>
      </c>
      <c r="AO72" s="781">
        <f>VLOOKUP($AK72,ENTI!$AF$4:AJ$1003,5,FALSE)</f>
        <v>0</v>
      </c>
      <c r="AP72" s="315">
        <f>VLOOKUP($AK72,ENTI!$AF$4:AK$1003,6,FALSE)</f>
        <v>0</v>
      </c>
      <c r="AQ72" s="208">
        <f t="shared" si="13"/>
        <v>0</v>
      </c>
      <c r="AR72" s="152" t="e">
        <f t="shared" si="14"/>
        <v>#N/A</v>
      </c>
      <c r="AS72" s="1"/>
      <c r="AT72" s="88" t="str">
        <f t="shared" si="30"/>
        <v/>
      </c>
      <c r="AU72" s="1"/>
      <c r="AV72" s="175">
        <f>IF(AW72&gt;0,COUNTIF(AV$4:AV71,"&gt;0")+1,0)</f>
        <v>0</v>
      </c>
      <c r="AW72" s="164">
        <f t="shared" si="31"/>
        <v>0</v>
      </c>
      <c r="AX72" s="310">
        <f>IF($AW72=0,0,VLOOKUP(VLOOKUP($X72,$B$34:$T$38,19,FALSE),ENTI!$A$9:$B$13,2,FALSE))</f>
        <v>0</v>
      </c>
      <c r="AY72" s="310">
        <f t="shared" si="33"/>
        <v>0</v>
      </c>
      <c r="AZ72" s="316">
        <f t="shared" si="34"/>
        <v>0</v>
      </c>
      <c r="BA72" s="1"/>
      <c r="BB72" s="152">
        <f t="shared" si="35"/>
        <v>0</v>
      </c>
      <c r="BC72" s="152">
        <f ca="1">SUM(Z$4:Z72)+SUM(BB$4:BB72)+COSTI!S$6-COSTI!L$1076</f>
        <v>-31.760000000000218</v>
      </c>
      <c r="BD72" s="1"/>
    </row>
    <row r="73" spans="1:56" ht="16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435">
        <f>IF(AND(W73&gt;=$U$1,W73&lt;=$U$2),IF(X73='ESTRATTO CONTO'!$E$2,1+COUNTIF(U$4:U72,"&gt;0"),0),0)</f>
        <v>0</v>
      </c>
      <c r="V73" s="417">
        <f t="shared" si="32"/>
        <v>70</v>
      </c>
      <c r="W73" s="509"/>
      <c r="X73" s="321"/>
      <c r="Y73" s="321"/>
      <c r="Z73" s="508"/>
      <c r="AA73" s="356"/>
      <c r="AB73" s="306" t="str">
        <f t="shared" si="28"/>
        <v/>
      </c>
      <c r="AC73" s="637">
        <f t="shared" ca="1" si="6"/>
        <v>-2.1316282072803006E-13</v>
      </c>
      <c r="AD73" s="935">
        <f>IF(ISERROR(VLOOKUP(AD$2,X74:X$1003,1,FALSE)),IF(X73=AD$2,SUMIF(X$4:X73,AD$2,Z$4:Z73)+$E$9+SUM(AQ$4:AQ$1003)+SUMIF(COSTI!$X$1379:$X$1430,AD$2,COSTI!$Z$1379:$Z$1430),0),0)</f>
        <v>0</v>
      </c>
      <c r="AE73" s="26"/>
      <c r="AF73" s="856" t="e">
        <f>IF(ISERROR(VLOOKUP(AG$2,X74:X$1003,1,FALSE)),IF(X73=AG$2,SUMIF(X$4:X73,AG$2,Z$4:Z73)+VLOOKUP(AF$2,$B$1057:$F$1068,5,FALSE)+SUM(AR$4:AR$1003)+SUMIF(COSTI!$X$1379:$X$1430,AG$2,COSTI!$Z$1379:$Z$1430),0),0)</f>
        <v>#N/A</v>
      </c>
      <c r="AG73" s="859"/>
      <c r="AH73" s="27" t="str">
        <f t="shared" si="29"/>
        <v/>
      </c>
      <c r="AI73" s="152">
        <f ca="1">IF(W74&gt;0,0,IF(AH73=0,(Z73*-1)+BC73+SUM(BB$4:BB72),BC73+SUM(BB$4:BB72)))</f>
        <v>-2.1316282072803006E-13</v>
      </c>
      <c r="AJ73" s="931">
        <f>IF(AND(AL73&gt;=$U$1,AL73&lt;=$U$2),IF(AM73='ESTRATTO CONTO'!$E$2,1+COUNTIF(AJ$4:AJ72,"&gt;0")+U$1015,0),0)</f>
        <v>0</v>
      </c>
      <c r="AK73" s="203">
        <f>IF(AND(OR((AK72+1)&lt;AL$1015,(AK72+1)=AL$1015),MAX(AK$4:AK72)&lt;AL$1015),AK72+1,0)</f>
        <v>0</v>
      </c>
      <c r="AL73" s="309">
        <f>VLOOKUP($AK73,ENTI!$AF$4:AG$1003,2,FALSE)</f>
        <v>0</v>
      </c>
      <c r="AM73" s="224">
        <f>VLOOKUP($AK73,ENTI!$AF$4:AH$1003,3,FALSE)</f>
        <v>0</v>
      </c>
      <c r="AN73" s="224">
        <f>VLOOKUP($AK73,ENTI!$AF$4:AI$1003,4,FALSE)</f>
        <v>0</v>
      </c>
      <c r="AO73" s="781">
        <f>VLOOKUP($AK73,ENTI!$AF$4:AJ$1003,5,FALSE)</f>
        <v>0</v>
      </c>
      <c r="AP73" s="315">
        <f>VLOOKUP($AK73,ENTI!$AF$4:AK$1003,6,FALSE)</f>
        <v>0</v>
      </c>
      <c r="AQ73" s="208">
        <f t="shared" si="13"/>
        <v>0</v>
      </c>
      <c r="AR73" s="152" t="e">
        <f t="shared" si="14"/>
        <v>#N/A</v>
      </c>
      <c r="AS73" s="1"/>
      <c r="AT73" s="88" t="str">
        <f t="shared" si="30"/>
        <v/>
      </c>
      <c r="AU73" s="1"/>
      <c r="AV73" s="175">
        <f>IF(AW73&gt;0,COUNTIF(AV$4:AV72,"&gt;0")+1,0)</f>
        <v>0</v>
      </c>
      <c r="AW73" s="164">
        <f t="shared" si="31"/>
        <v>0</v>
      </c>
      <c r="AX73" s="310">
        <f>IF($AW73=0,0,VLOOKUP(VLOOKUP($X73,$B$34:$T$38,19,FALSE),ENTI!$A$9:$B$13,2,FALSE))</f>
        <v>0</v>
      </c>
      <c r="AY73" s="310">
        <f t="shared" si="33"/>
        <v>0</v>
      </c>
      <c r="AZ73" s="316">
        <f t="shared" si="34"/>
        <v>0</v>
      </c>
      <c r="BA73" s="1"/>
      <c r="BB73" s="152">
        <f t="shared" si="35"/>
        <v>0</v>
      </c>
      <c r="BC73" s="152">
        <f ca="1">SUM(Z$4:Z73)+SUM(BB$4:BB73)+COSTI!S$6-COSTI!L$1076</f>
        <v>-31.760000000000218</v>
      </c>
      <c r="BD73" s="1"/>
    </row>
    <row r="74" spans="1:56" ht="16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435">
        <f>IF(AND(W74&gt;=$U$1,W74&lt;=$U$2),IF(X74='ESTRATTO CONTO'!$E$2,1+COUNTIF(U$4:U73,"&gt;0"),0),0)</f>
        <v>0</v>
      </c>
      <c r="V74" s="417">
        <f t="shared" si="32"/>
        <v>71</v>
      </c>
      <c r="W74" s="509"/>
      <c r="X74" s="321"/>
      <c r="Y74" s="321"/>
      <c r="Z74" s="508"/>
      <c r="AA74" s="356"/>
      <c r="AB74" s="306" t="str">
        <f t="shared" si="28"/>
        <v/>
      </c>
      <c r="AC74" s="637">
        <f t="shared" ca="1" si="6"/>
        <v>-2.1316282072803006E-13</v>
      </c>
      <c r="AD74" s="935">
        <f>IF(ISERROR(VLOOKUP(AD$2,X75:X$1003,1,FALSE)),IF(X74=AD$2,SUMIF(X$4:X74,AD$2,Z$4:Z74)+$E$9+SUM(AQ$4:AQ$1003)+SUMIF(COSTI!$X$1379:$X$1430,AD$2,COSTI!$Z$1379:$Z$1430),0),0)</f>
        <v>0</v>
      </c>
      <c r="AE74" s="26"/>
      <c r="AF74" s="856" t="e">
        <f>IF(ISERROR(VLOOKUP(AG$2,X75:X$1003,1,FALSE)),IF(X74=AG$2,SUMIF(X$4:X74,AG$2,Z$4:Z74)+VLOOKUP(AF$2,$B$1057:$F$1068,5,FALSE)+SUM(AR$4:AR$1003)+SUMIF(COSTI!$X$1379:$X$1430,AG$2,COSTI!$Z$1379:$Z$1430),0),0)</f>
        <v>#N/A</v>
      </c>
      <c r="AG74" s="859"/>
      <c r="AH74" s="27" t="str">
        <f t="shared" si="29"/>
        <v/>
      </c>
      <c r="AI74" s="152">
        <f ca="1">IF(W75&gt;0,0,IF(AH74=0,(Z74*-1)+BC74+SUM(BB$4:BB73),BC74+SUM(BB$4:BB73)))</f>
        <v>-2.1316282072803006E-13</v>
      </c>
      <c r="AJ74" s="931">
        <f>IF(AND(AL74&gt;=$U$1,AL74&lt;=$U$2),IF(AM74='ESTRATTO CONTO'!$E$2,1+COUNTIF(AJ$4:AJ73,"&gt;0")+U$1015,0),0)</f>
        <v>0</v>
      </c>
      <c r="AK74" s="203">
        <f>IF(AND(OR((AK73+1)&lt;AL$1015,(AK73+1)=AL$1015),MAX(AK$4:AK73)&lt;AL$1015),AK73+1,0)</f>
        <v>0</v>
      </c>
      <c r="AL74" s="309">
        <f>VLOOKUP($AK74,ENTI!$AF$4:AG$1003,2,FALSE)</f>
        <v>0</v>
      </c>
      <c r="AM74" s="224">
        <f>VLOOKUP($AK74,ENTI!$AF$4:AH$1003,3,FALSE)</f>
        <v>0</v>
      </c>
      <c r="AN74" s="224">
        <f>VLOOKUP($AK74,ENTI!$AF$4:AI$1003,4,FALSE)</f>
        <v>0</v>
      </c>
      <c r="AO74" s="781">
        <f>VLOOKUP($AK74,ENTI!$AF$4:AJ$1003,5,FALSE)</f>
        <v>0</v>
      </c>
      <c r="AP74" s="315">
        <f>VLOOKUP($AK74,ENTI!$AF$4:AK$1003,6,FALSE)</f>
        <v>0</v>
      </c>
      <c r="AQ74" s="208">
        <f t="shared" si="13"/>
        <v>0</v>
      </c>
      <c r="AR74" s="152" t="e">
        <f t="shared" si="14"/>
        <v>#N/A</v>
      </c>
      <c r="AS74" s="1"/>
      <c r="AT74" s="88" t="str">
        <f t="shared" si="30"/>
        <v/>
      </c>
      <c r="AU74" s="1"/>
      <c r="AV74" s="175">
        <f>IF(AW74&gt;0,COUNTIF(AV$4:AV73,"&gt;0")+1,0)</f>
        <v>0</v>
      </c>
      <c r="AW74" s="164">
        <f t="shared" si="31"/>
        <v>0</v>
      </c>
      <c r="AX74" s="310">
        <f>IF($AW74=0,0,VLOOKUP(VLOOKUP($X74,$B$34:$T$38,19,FALSE),ENTI!$A$9:$B$13,2,FALSE))</f>
        <v>0</v>
      </c>
      <c r="AY74" s="310">
        <f t="shared" si="33"/>
        <v>0</v>
      </c>
      <c r="AZ74" s="316">
        <f t="shared" si="34"/>
        <v>0</v>
      </c>
      <c r="BA74" s="1"/>
      <c r="BB74" s="152">
        <f t="shared" si="35"/>
        <v>0</v>
      </c>
      <c r="BC74" s="152">
        <f ca="1">SUM(Z$4:Z74)+SUM(BB$4:BB74)+COSTI!S$6-COSTI!L$1076</f>
        <v>-31.760000000000218</v>
      </c>
      <c r="BD74" s="1"/>
    </row>
    <row r="75" spans="1:56" ht="16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35">
        <f>IF(AND(W75&gt;=$U$1,W75&lt;=$U$2),IF(X75='ESTRATTO CONTO'!$E$2,1+COUNTIF(U$4:U74,"&gt;0"),0),0)</f>
        <v>0</v>
      </c>
      <c r="V75" s="417">
        <f t="shared" si="32"/>
        <v>72</v>
      </c>
      <c r="W75" s="509"/>
      <c r="X75" s="321"/>
      <c r="Y75" s="321"/>
      <c r="Z75" s="508"/>
      <c r="AA75" s="356"/>
      <c r="AB75" s="306" t="str">
        <f t="shared" si="28"/>
        <v/>
      </c>
      <c r="AC75" s="637">
        <f t="shared" ca="1" si="6"/>
        <v>-2.1316282072803006E-13</v>
      </c>
      <c r="AD75" s="935">
        <f>IF(ISERROR(VLOOKUP(AD$2,X76:X$1003,1,FALSE)),IF(X75=AD$2,SUMIF(X$4:X75,AD$2,Z$4:Z75)+$E$9+SUM(AQ$4:AQ$1003)+SUMIF(COSTI!$X$1379:$X$1430,AD$2,COSTI!$Z$1379:$Z$1430),0),0)</f>
        <v>0</v>
      </c>
      <c r="AE75" s="26"/>
      <c r="AF75" s="856" t="e">
        <f>IF(ISERROR(VLOOKUP(AG$2,X76:X$1003,1,FALSE)),IF(X75=AG$2,SUMIF(X$4:X75,AG$2,Z$4:Z75)+VLOOKUP(AF$2,$B$1057:$F$1068,5,FALSE)+SUM(AR$4:AR$1003)+SUMIF(COSTI!$X$1379:$X$1430,AG$2,COSTI!$Z$1379:$Z$1430),0),0)</f>
        <v>#N/A</v>
      </c>
      <c r="AG75" s="859"/>
      <c r="AH75" s="27" t="str">
        <f t="shared" si="29"/>
        <v/>
      </c>
      <c r="AI75" s="152">
        <f ca="1">IF(W76&gt;0,0,IF(AH75=0,(Z75*-1)+BC75+SUM(BB$4:BB74),BC75+SUM(BB$4:BB74)))</f>
        <v>-2.1316282072803006E-13</v>
      </c>
      <c r="AJ75" s="931">
        <f>IF(AND(AL75&gt;=$U$1,AL75&lt;=$U$2),IF(AM75='ESTRATTO CONTO'!$E$2,1+COUNTIF(AJ$4:AJ74,"&gt;0")+U$1015,0),0)</f>
        <v>0</v>
      </c>
      <c r="AK75" s="203">
        <f>IF(AND(OR((AK74+1)&lt;AL$1015,(AK74+1)=AL$1015),MAX(AK$4:AK74)&lt;AL$1015),AK74+1,0)</f>
        <v>0</v>
      </c>
      <c r="AL75" s="309">
        <f>VLOOKUP($AK75,ENTI!$AF$4:AG$1003,2,FALSE)</f>
        <v>0</v>
      </c>
      <c r="AM75" s="224">
        <f>VLOOKUP($AK75,ENTI!$AF$4:AH$1003,3,FALSE)</f>
        <v>0</v>
      </c>
      <c r="AN75" s="224">
        <f>VLOOKUP($AK75,ENTI!$AF$4:AI$1003,4,FALSE)</f>
        <v>0</v>
      </c>
      <c r="AO75" s="781">
        <f>VLOOKUP($AK75,ENTI!$AF$4:AJ$1003,5,FALSE)</f>
        <v>0</v>
      </c>
      <c r="AP75" s="315">
        <f>VLOOKUP($AK75,ENTI!$AF$4:AK$1003,6,FALSE)</f>
        <v>0</v>
      </c>
      <c r="AQ75" s="208">
        <f t="shared" si="13"/>
        <v>0</v>
      </c>
      <c r="AR75" s="152" t="e">
        <f t="shared" si="14"/>
        <v>#N/A</v>
      </c>
      <c r="AS75" s="1"/>
      <c r="AT75" s="88" t="str">
        <f t="shared" si="30"/>
        <v/>
      </c>
      <c r="AU75" s="1"/>
      <c r="AV75" s="175">
        <f>IF(AW75&gt;0,COUNTIF(AV$4:AV74,"&gt;0")+1,0)</f>
        <v>0</v>
      </c>
      <c r="AW75" s="164">
        <f t="shared" si="31"/>
        <v>0</v>
      </c>
      <c r="AX75" s="310">
        <f>IF($AW75=0,0,VLOOKUP(VLOOKUP($X75,$B$34:$T$38,19,FALSE),ENTI!$A$9:$B$13,2,FALSE))</f>
        <v>0</v>
      </c>
      <c r="AY75" s="310">
        <f t="shared" si="33"/>
        <v>0</v>
      </c>
      <c r="AZ75" s="316">
        <f t="shared" si="34"/>
        <v>0</v>
      </c>
      <c r="BA75" s="1"/>
      <c r="BB75" s="152">
        <f t="shared" si="35"/>
        <v>0</v>
      </c>
      <c r="BC75" s="152">
        <f ca="1">SUM(Z$4:Z75)+SUM(BB$4:BB75)+COSTI!S$6-COSTI!L$1076</f>
        <v>-31.760000000000218</v>
      </c>
      <c r="BD75" s="1"/>
    </row>
    <row r="76" spans="1:56" ht="16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435">
        <f>IF(AND(W76&gt;=$U$1,W76&lt;=$U$2),IF(X76='ESTRATTO CONTO'!$E$2,1+COUNTIF(U$4:U75,"&gt;0"),0),0)</f>
        <v>0</v>
      </c>
      <c r="V76" s="417">
        <f t="shared" si="32"/>
        <v>73</v>
      </c>
      <c r="W76" s="509"/>
      <c r="X76" s="321"/>
      <c r="Y76" s="321"/>
      <c r="Z76" s="508"/>
      <c r="AA76" s="356"/>
      <c r="AB76" s="306" t="str">
        <f t="shared" si="28"/>
        <v/>
      </c>
      <c r="AC76" s="637">
        <f t="shared" ca="1" si="6"/>
        <v>-2.1316282072803006E-13</v>
      </c>
      <c r="AD76" s="935">
        <f>IF(ISERROR(VLOOKUP(AD$2,X77:X$1003,1,FALSE)),IF(X76=AD$2,SUMIF(X$4:X76,AD$2,Z$4:Z76)+$E$9+SUM(AQ$4:AQ$1003)+SUMIF(COSTI!$X$1379:$X$1430,AD$2,COSTI!$Z$1379:$Z$1430),0),0)</f>
        <v>0</v>
      </c>
      <c r="AE76" s="26"/>
      <c r="AF76" s="856" t="e">
        <f>IF(ISERROR(VLOOKUP(AG$2,X77:X$1003,1,FALSE)),IF(X76=AG$2,SUMIF(X$4:X76,AG$2,Z$4:Z76)+VLOOKUP(AF$2,$B$1057:$F$1068,5,FALSE)+SUM(AR$4:AR$1003)+SUMIF(COSTI!$X$1379:$X$1430,AG$2,COSTI!$Z$1379:$Z$1430),0),0)</f>
        <v>#N/A</v>
      </c>
      <c r="AG76" s="859"/>
      <c r="AH76" s="27" t="str">
        <f t="shared" si="29"/>
        <v/>
      </c>
      <c r="AI76" s="152">
        <f ca="1">IF(W77&gt;0,0,IF(AH76=0,(Z76*-1)+BC76+SUM(BB$4:BB75),BC76+SUM(BB$4:BB75)))</f>
        <v>-2.1316282072803006E-13</v>
      </c>
      <c r="AJ76" s="931">
        <f>IF(AND(AL76&gt;=$U$1,AL76&lt;=$U$2),IF(AM76='ESTRATTO CONTO'!$E$2,1+COUNTIF(AJ$4:AJ75,"&gt;0")+U$1015,0),0)</f>
        <v>0</v>
      </c>
      <c r="AK76" s="203">
        <f>IF(AND(OR((AK75+1)&lt;AL$1015,(AK75+1)=AL$1015),MAX(AK$4:AK75)&lt;AL$1015),AK75+1,0)</f>
        <v>0</v>
      </c>
      <c r="AL76" s="309">
        <f>VLOOKUP($AK76,ENTI!$AF$4:AG$1003,2,FALSE)</f>
        <v>0</v>
      </c>
      <c r="AM76" s="224">
        <f>VLOOKUP($AK76,ENTI!$AF$4:AH$1003,3,FALSE)</f>
        <v>0</v>
      </c>
      <c r="AN76" s="224">
        <f>VLOOKUP($AK76,ENTI!$AF$4:AI$1003,4,FALSE)</f>
        <v>0</v>
      </c>
      <c r="AO76" s="781">
        <f>VLOOKUP($AK76,ENTI!$AF$4:AJ$1003,5,FALSE)</f>
        <v>0</v>
      </c>
      <c r="AP76" s="315">
        <f>VLOOKUP($AK76,ENTI!$AF$4:AK$1003,6,FALSE)</f>
        <v>0</v>
      </c>
      <c r="AQ76" s="208">
        <f t="shared" si="13"/>
        <v>0</v>
      </c>
      <c r="AR76" s="152" t="e">
        <f t="shared" si="14"/>
        <v>#N/A</v>
      </c>
      <c r="AS76" s="1"/>
      <c r="AT76" s="88" t="str">
        <f t="shared" si="30"/>
        <v/>
      </c>
      <c r="AU76" s="1"/>
      <c r="AV76" s="175">
        <f>IF(AW76&gt;0,COUNTIF(AV$4:AV75,"&gt;0")+1,0)</f>
        <v>0</v>
      </c>
      <c r="AW76" s="164">
        <f t="shared" si="31"/>
        <v>0</v>
      </c>
      <c r="AX76" s="310">
        <f>IF($AW76=0,0,VLOOKUP(VLOOKUP($X76,$B$34:$T$38,19,FALSE),ENTI!$A$9:$B$13,2,FALSE))</f>
        <v>0</v>
      </c>
      <c r="AY76" s="310">
        <f t="shared" si="33"/>
        <v>0</v>
      </c>
      <c r="AZ76" s="316">
        <f t="shared" si="34"/>
        <v>0</v>
      </c>
      <c r="BA76" s="1"/>
      <c r="BB76" s="152">
        <f t="shared" si="35"/>
        <v>0</v>
      </c>
      <c r="BC76" s="152">
        <f ca="1">SUM(Z$4:Z76)+SUM(BB$4:BB76)+COSTI!S$6-COSTI!L$1076</f>
        <v>-31.760000000000218</v>
      </c>
      <c r="BD76" s="1"/>
    </row>
    <row r="77" spans="1:56" ht="16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435">
        <f>IF(AND(W77&gt;=$U$1,W77&lt;=$U$2),IF(X77='ESTRATTO CONTO'!$E$2,1+COUNTIF(U$4:U76,"&gt;0"),0),0)</f>
        <v>0</v>
      </c>
      <c r="V77" s="417">
        <f t="shared" si="32"/>
        <v>74</v>
      </c>
      <c r="W77" s="509"/>
      <c r="X77" s="321"/>
      <c r="Y77" s="321"/>
      <c r="Z77" s="508"/>
      <c r="AA77" s="356"/>
      <c r="AB77" s="306" t="str">
        <f t="shared" si="28"/>
        <v/>
      </c>
      <c r="AC77" s="637">
        <f t="shared" ca="1" si="6"/>
        <v>-2.1316282072803006E-13</v>
      </c>
      <c r="AD77" s="935">
        <f>IF(ISERROR(VLOOKUP(AD$2,X78:X$1003,1,FALSE)),IF(X77=AD$2,SUMIF(X$4:X77,AD$2,Z$4:Z77)+$E$9+SUM(AQ$4:AQ$1003)+SUMIF(COSTI!$X$1379:$X$1430,AD$2,COSTI!$Z$1379:$Z$1430),0),0)</f>
        <v>0</v>
      </c>
      <c r="AE77" s="26"/>
      <c r="AF77" s="856" t="e">
        <f>IF(ISERROR(VLOOKUP(AG$2,X78:X$1003,1,FALSE)),IF(X77=AG$2,SUMIF(X$4:X77,AG$2,Z$4:Z77)+VLOOKUP(AF$2,$B$1057:$F$1068,5,FALSE)+SUM(AR$4:AR$1003)+SUMIF(COSTI!$X$1379:$X$1430,AG$2,COSTI!$Z$1379:$Z$1430),0),0)</f>
        <v>#N/A</v>
      </c>
      <c r="AG77" s="859"/>
      <c r="AH77" s="27" t="str">
        <f t="shared" si="29"/>
        <v/>
      </c>
      <c r="AI77" s="152">
        <f ca="1">IF(W78&gt;0,0,IF(AH77=0,(Z77*-1)+BC77+SUM(BB$4:BB76),BC77+SUM(BB$4:BB76)))</f>
        <v>-2.1316282072803006E-13</v>
      </c>
      <c r="AJ77" s="931">
        <f>IF(AND(AL77&gt;=$U$1,AL77&lt;=$U$2),IF(AM77='ESTRATTO CONTO'!$E$2,1+COUNTIF(AJ$4:AJ76,"&gt;0")+U$1015,0),0)</f>
        <v>0</v>
      </c>
      <c r="AK77" s="203">
        <f>IF(AND(OR((AK76+1)&lt;AL$1015,(AK76+1)=AL$1015),MAX(AK$4:AK76)&lt;AL$1015),AK76+1,0)</f>
        <v>0</v>
      </c>
      <c r="AL77" s="309">
        <f>VLOOKUP($AK77,ENTI!$AF$4:AG$1003,2,FALSE)</f>
        <v>0</v>
      </c>
      <c r="AM77" s="224">
        <f>VLOOKUP($AK77,ENTI!$AF$4:AH$1003,3,FALSE)</f>
        <v>0</v>
      </c>
      <c r="AN77" s="224">
        <f>VLOOKUP($AK77,ENTI!$AF$4:AI$1003,4,FALSE)</f>
        <v>0</v>
      </c>
      <c r="AO77" s="781">
        <f>VLOOKUP($AK77,ENTI!$AF$4:AJ$1003,5,FALSE)</f>
        <v>0</v>
      </c>
      <c r="AP77" s="315">
        <f>VLOOKUP($AK77,ENTI!$AF$4:AK$1003,6,FALSE)</f>
        <v>0</v>
      </c>
      <c r="AQ77" s="208">
        <f t="shared" si="13"/>
        <v>0</v>
      </c>
      <c r="AR77" s="152" t="e">
        <f t="shared" si="14"/>
        <v>#N/A</v>
      </c>
      <c r="AS77" s="1"/>
      <c r="AT77" s="88" t="str">
        <f t="shared" si="30"/>
        <v/>
      </c>
      <c r="AU77" s="1"/>
      <c r="AV77" s="175">
        <f>IF(AW77&gt;0,COUNTIF(AV$4:AV76,"&gt;0")+1,0)</f>
        <v>0</v>
      </c>
      <c r="AW77" s="164">
        <f t="shared" si="31"/>
        <v>0</v>
      </c>
      <c r="AX77" s="310">
        <f>IF($AW77=0,0,VLOOKUP(VLOOKUP($X77,$B$34:$T$38,19,FALSE),ENTI!$A$9:$B$13,2,FALSE))</f>
        <v>0</v>
      </c>
      <c r="AY77" s="310">
        <f t="shared" si="33"/>
        <v>0</v>
      </c>
      <c r="AZ77" s="316">
        <f t="shared" si="34"/>
        <v>0</v>
      </c>
      <c r="BA77" s="1"/>
      <c r="BB77" s="152">
        <f t="shared" si="35"/>
        <v>0</v>
      </c>
      <c r="BC77" s="152">
        <f ca="1">SUM(Z$4:Z77)+SUM(BB$4:BB77)+COSTI!S$6-COSTI!L$1076</f>
        <v>-31.760000000000218</v>
      </c>
      <c r="BD77" s="1"/>
    </row>
    <row r="78" spans="1:56" ht="16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435">
        <f>IF(AND(W78&gt;=$U$1,W78&lt;=$U$2),IF(X78='ESTRATTO CONTO'!$E$2,1+COUNTIF(U$4:U77,"&gt;0"),0),0)</f>
        <v>0</v>
      </c>
      <c r="V78" s="417">
        <f t="shared" si="32"/>
        <v>75</v>
      </c>
      <c r="W78" s="509"/>
      <c r="X78" s="321"/>
      <c r="Y78" s="321"/>
      <c r="Z78" s="508"/>
      <c r="AA78" s="356"/>
      <c r="AB78" s="306" t="str">
        <f t="shared" si="28"/>
        <v/>
      </c>
      <c r="AC78" s="637">
        <f t="shared" ca="1" si="6"/>
        <v>-2.1316282072803006E-13</v>
      </c>
      <c r="AD78" s="935">
        <f>IF(ISERROR(VLOOKUP(AD$2,X79:X$1003,1,FALSE)),IF(X78=AD$2,SUMIF(X$4:X78,AD$2,Z$4:Z78)+$E$9+SUM(AQ$4:AQ$1003)+SUMIF(COSTI!$X$1379:$X$1430,AD$2,COSTI!$Z$1379:$Z$1430),0),0)</f>
        <v>0</v>
      </c>
      <c r="AE78" s="26"/>
      <c r="AF78" s="856" t="e">
        <f>IF(ISERROR(VLOOKUP(AG$2,X79:X$1003,1,FALSE)),IF(X78=AG$2,SUMIF(X$4:X78,AG$2,Z$4:Z78)+VLOOKUP(AF$2,$B$1057:$F$1068,5,FALSE)+SUM(AR$4:AR$1003)+SUMIF(COSTI!$X$1379:$X$1430,AG$2,COSTI!$Z$1379:$Z$1430),0),0)</f>
        <v>#N/A</v>
      </c>
      <c r="AG78" s="859"/>
      <c r="AH78" s="27" t="str">
        <f t="shared" si="29"/>
        <v/>
      </c>
      <c r="AI78" s="152">
        <f ca="1">IF(W79&gt;0,0,IF(AH78=0,(Z78*-1)+BC78+SUM(BB$4:BB77),BC78+SUM(BB$4:BB77)))</f>
        <v>-2.1316282072803006E-13</v>
      </c>
      <c r="AJ78" s="931">
        <f>IF(AND(AL78&gt;=$U$1,AL78&lt;=$U$2),IF(AM78='ESTRATTO CONTO'!$E$2,1+COUNTIF(AJ$4:AJ77,"&gt;0")+U$1015,0),0)</f>
        <v>0</v>
      </c>
      <c r="AK78" s="203">
        <f>IF(AND(OR((AK77+1)&lt;AL$1015,(AK77+1)=AL$1015),MAX(AK$4:AK77)&lt;AL$1015),AK77+1,0)</f>
        <v>0</v>
      </c>
      <c r="AL78" s="309">
        <f>VLOOKUP($AK78,ENTI!$AF$4:AG$1003,2,FALSE)</f>
        <v>0</v>
      </c>
      <c r="AM78" s="224">
        <f>VLOOKUP($AK78,ENTI!$AF$4:AH$1003,3,FALSE)</f>
        <v>0</v>
      </c>
      <c r="AN78" s="224">
        <f>VLOOKUP($AK78,ENTI!$AF$4:AI$1003,4,FALSE)</f>
        <v>0</v>
      </c>
      <c r="AO78" s="781">
        <f>VLOOKUP($AK78,ENTI!$AF$4:AJ$1003,5,FALSE)</f>
        <v>0</v>
      </c>
      <c r="AP78" s="315">
        <f>VLOOKUP($AK78,ENTI!$AF$4:AK$1003,6,FALSE)</f>
        <v>0</v>
      </c>
      <c r="AQ78" s="208">
        <f t="shared" si="13"/>
        <v>0</v>
      </c>
      <c r="AR78" s="152" t="e">
        <f t="shared" si="14"/>
        <v>#N/A</v>
      </c>
      <c r="AS78" s="1"/>
      <c r="AT78" s="88" t="str">
        <f t="shared" si="30"/>
        <v/>
      </c>
      <c r="AU78" s="1"/>
      <c r="AV78" s="175">
        <f>IF(AW78&gt;0,COUNTIF(AV$4:AV77,"&gt;0")+1,0)</f>
        <v>0</v>
      </c>
      <c r="AW78" s="164">
        <f t="shared" si="31"/>
        <v>0</v>
      </c>
      <c r="AX78" s="310">
        <f>IF($AW78=0,0,VLOOKUP(VLOOKUP($X78,$B$34:$T$38,19,FALSE),ENTI!$A$9:$B$13,2,FALSE))</f>
        <v>0</v>
      </c>
      <c r="AY78" s="310">
        <f t="shared" si="33"/>
        <v>0</v>
      </c>
      <c r="AZ78" s="316">
        <f t="shared" si="34"/>
        <v>0</v>
      </c>
      <c r="BA78" s="1"/>
      <c r="BB78" s="152">
        <f t="shared" si="35"/>
        <v>0</v>
      </c>
      <c r="BC78" s="152">
        <f ca="1">SUM(Z$4:Z78)+SUM(BB$4:BB78)+COSTI!S$6-COSTI!L$1076</f>
        <v>-31.760000000000218</v>
      </c>
      <c r="BD78" s="1"/>
    </row>
    <row r="79" spans="1:56" ht="16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435">
        <f>IF(AND(W79&gt;=$U$1,W79&lt;=$U$2),IF(X79='ESTRATTO CONTO'!$E$2,1+COUNTIF(U$4:U78,"&gt;0"),0),0)</f>
        <v>0</v>
      </c>
      <c r="V79" s="417">
        <f t="shared" si="32"/>
        <v>76</v>
      </c>
      <c r="W79" s="509"/>
      <c r="X79" s="321"/>
      <c r="Y79" s="321"/>
      <c r="Z79" s="508"/>
      <c r="AA79" s="356"/>
      <c r="AB79" s="306" t="str">
        <f t="shared" si="28"/>
        <v/>
      </c>
      <c r="AC79" s="637">
        <f t="shared" ca="1" si="6"/>
        <v>-2.1316282072803006E-13</v>
      </c>
      <c r="AD79" s="935">
        <f>IF(ISERROR(VLOOKUP(AD$2,X80:X$1003,1,FALSE)),IF(X79=AD$2,SUMIF(X$4:X79,AD$2,Z$4:Z79)+$E$9+SUM(AQ$4:AQ$1003)+SUMIF(COSTI!$X$1379:$X$1430,AD$2,COSTI!$Z$1379:$Z$1430),0),0)</f>
        <v>0</v>
      </c>
      <c r="AE79" s="26"/>
      <c r="AF79" s="856" t="e">
        <f>IF(ISERROR(VLOOKUP(AG$2,X80:X$1003,1,FALSE)),IF(X79=AG$2,SUMIF(X$4:X79,AG$2,Z$4:Z79)+VLOOKUP(AF$2,$B$1057:$F$1068,5,FALSE)+SUM(AR$4:AR$1003)+SUMIF(COSTI!$X$1379:$X$1430,AG$2,COSTI!$Z$1379:$Z$1430),0),0)</f>
        <v>#N/A</v>
      </c>
      <c r="AG79" s="859"/>
      <c r="AH79" s="27" t="str">
        <f t="shared" si="29"/>
        <v/>
      </c>
      <c r="AI79" s="152">
        <f ca="1">IF(W80&gt;0,0,IF(AH79=0,(Z79*-1)+BC79+SUM(BB$4:BB78),BC79+SUM(BB$4:BB78)))</f>
        <v>-2.1316282072803006E-13</v>
      </c>
      <c r="AJ79" s="931">
        <f>IF(AND(AL79&gt;=$U$1,AL79&lt;=$U$2),IF(AM79='ESTRATTO CONTO'!$E$2,1+COUNTIF(AJ$4:AJ78,"&gt;0")+U$1015,0),0)</f>
        <v>0</v>
      </c>
      <c r="AK79" s="203">
        <f>IF(AND(OR((AK78+1)&lt;AL$1015,(AK78+1)=AL$1015),MAX(AK$4:AK78)&lt;AL$1015),AK78+1,0)</f>
        <v>0</v>
      </c>
      <c r="AL79" s="309">
        <f>VLOOKUP($AK79,ENTI!$AF$4:AG$1003,2,FALSE)</f>
        <v>0</v>
      </c>
      <c r="AM79" s="224">
        <f>VLOOKUP($AK79,ENTI!$AF$4:AH$1003,3,FALSE)</f>
        <v>0</v>
      </c>
      <c r="AN79" s="224">
        <f>VLOOKUP($AK79,ENTI!$AF$4:AI$1003,4,FALSE)</f>
        <v>0</v>
      </c>
      <c r="AO79" s="781">
        <f>VLOOKUP($AK79,ENTI!$AF$4:AJ$1003,5,FALSE)</f>
        <v>0</v>
      </c>
      <c r="AP79" s="315">
        <f>VLOOKUP($AK79,ENTI!$AF$4:AK$1003,6,FALSE)</f>
        <v>0</v>
      </c>
      <c r="AQ79" s="208">
        <f t="shared" ref="AQ79:AQ142" si="36">IF(AM79=AQ$2,AO79,0)</f>
        <v>0</v>
      </c>
      <c r="AR79" s="152" t="e">
        <f t="shared" ref="AR79:AR142" si="37">IF(AM79=AR$1,AO79,0)</f>
        <v>#N/A</v>
      </c>
      <c r="AS79" s="1"/>
      <c r="AT79" s="88" t="str">
        <f t="shared" si="30"/>
        <v/>
      </c>
      <c r="AU79" s="1"/>
      <c r="AV79" s="175">
        <f>IF(AW79&gt;0,COUNTIF(AV$4:AV78,"&gt;0")+1,0)</f>
        <v>0</v>
      </c>
      <c r="AW79" s="164">
        <f t="shared" si="31"/>
        <v>0</v>
      </c>
      <c r="AX79" s="310">
        <f>IF($AW79=0,0,VLOOKUP(VLOOKUP($X79,$B$34:$T$38,19,FALSE),ENTI!$A$9:$B$13,2,FALSE))</f>
        <v>0</v>
      </c>
      <c r="AY79" s="310">
        <f t="shared" si="33"/>
        <v>0</v>
      </c>
      <c r="AZ79" s="316">
        <f t="shared" si="34"/>
        <v>0</v>
      </c>
      <c r="BA79" s="1"/>
      <c r="BB79" s="152">
        <f t="shared" si="35"/>
        <v>0</v>
      </c>
      <c r="BC79" s="152">
        <f ca="1">SUM(Z$4:Z79)+SUM(BB$4:BB79)+COSTI!S$6-COSTI!L$1076</f>
        <v>-31.760000000000218</v>
      </c>
      <c r="BD79" s="1"/>
    </row>
    <row r="80" spans="1:56" ht="16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435">
        <f>IF(AND(W80&gt;=$U$1,W80&lt;=$U$2),IF(X80='ESTRATTO CONTO'!$E$2,1+COUNTIF(U$4:U79,"&gt;0"),0),0)</f>
        <v>0</v>
      </c>
      <c r="V80" s="417">
        <f t="shared" si="32"/>
        <v>77</v>
      </c>
      <c r="W80" s="509"/>
      <c r="X80" s="321"/>
      <c r="Y80" s="321"/>
      <c r="Z80" s="508"/>
      <c r="AA80" s="356"/>
      <c r="AB80" s="306" t="str">
        <f t="shared" si="28"/>
        <v/>
      </c>
      <c r="AC80" s="637">
        <f t="shared" ca="1" si="6"/>
        <v>-2.1316282072803006E-13</v>
      </c>
      <c r="AD80" s="935">
        <f>IF(ISERROR(VLOOKUP(AD$2,X81:X$1003,1,FALSE)),IF(X80=AD$2,SUMIF(X$4:X80,AD$2,Z$4:Z80)+$E$9+SUM(AQ$4:AQ$1003)+SUMIF(COSTI!$X$1379:$X$1430,AD$2,COSTI!$Z$1379:$Z$1430),0),0)</f>
        <v>0</v>
      </c>
      <c r="AE80" s="26"/>
      <c r="AF80" s="856" t="e">
        <f>IF(ISERROR(VLOOKUP(AG$2,X81:X$1003,1,FALSE)),IF(X80=AG$2,SUMIF(X$4:X80,AG$2,Z$4:Z80)+VLOOKUP(AF$2,$B$1057:$F$1068,5,FALSE)+SUM(AR$4:AR$1003)+SUMIF(COSTI!$X$1379:$X$1430,AG$2,COSTI!$Z$1379:$Z$1430),0),0)</f>
        <v>#N/A</v>
      </c>
      <c r="AG80" s="859"/>
      <c r="AH80" s="27" t="str">
        <f t="shared" si="29"/>
        <v/>
      </c>
      <c r="AI80" s="152">
        <f ca="1">IF(W81&gt;0,0,IF(AH80=0,(Z80*-1)+BC80+SUM(BB$4:BB79),BC80+SUM(BB$4:BB79)))</f>
        <v>-2.1316282072803006E-13</v>
      </c>
      <c r="AJ80" s="931">
        <f>IF(AND(AL80&gt;=$U$1,AL80&lt;=$U$2),IF(AM80='ESTRATTO CONTO'!$E$2,1+COUNTIF(AJ$4:AJ79,"&gt;0")+U$1015,0),0)</f>
        <v>0</v>
      </c>
      <c r="AK80" s="203">
        <f>IF(AND(OR((AK79+1)&lt;AL$1015,(AK79+1)=AL$1015),MAX(AK$4:AK79)&lt;AL$1015),AK79+1,0)</f>
        <v>0</v>
      </c>
      <c r="AL80" s="309">
        <f>VLOOKUP($AK80,ENTI!$AF$4:AG$1003,2,FALSE)</f>
        <v>0</v>
      </c>
      <c r="AM80" s="224">
        <f>VLOOKUP($AK80,ENTI!$AF$4:AH$1003,3,FALSE)</f>
        <v>0</v>
      </c>
      <c r="AN80" s="224">
        <f>VLOOKUP($AK80,ENTI!$AF$4:AI$1003,4,FALSE)</f>
        <v>0</v>
      </c>
      <c r="AO80" s="781">
        <f>VLOOKUP($AK80,ENTI!$AF$4:AJ$1003,5,FALSE)</f>
        <v>0</v>
      </c>
      <c r="AP80" s="315">
        <f>VLOOKUP($AK80,ENTI!$AF$4:AK$1003,6,FALSE)</f>
        <v>0</v>
      </c>
      <c r="AQ80" s="208">
        <f t="shared" si="36"/>
        <v>0</v>
      </c>
      <c r="AR80" s="152" t="e">
        <f t="shared" si="37"/>
        <v>#N/A</v>
      </c>
      <c r="AS80" s="1"/>
      <c r="AT80" s="88" t="str">
        <f t="shared" si="30"/>
        <v/>
      </c>
      <c r="AU80" s="1"/>
      <c r="AV80" s="175">
        <f>IF(AW80&gt;0,COUNTIF(AV$4:AV79,"&gt;0")+1,0)</f>
        <v>0</v>
      </c>
      <c r="AW80" s="164">
        <f t="shared" si="31"/>
        <v>0</v>
      </c>
      <c r="AX80" s="310">
        <f>IF($AW80=0,0,VLOOKUP(VLOOKUP($X80,$B$34:$T$38,19,FALSE),ENTI!$A$9:$B$13,2,FALSE))</f>
        <v>0</v>
      </c>
      <c r="AY80" s="310">
        <f t="shared" si="33"/>
        <v>0</v>
      </c>
      <c r="AZ80" s="316">
        <f t="shared" si="34"/>
        <v>0</v>
      </c>
      <c r="BA80" s="1"/>
      <c r="BB80" s="152">
        <f t="shared" si="35"/>
        <v>0</v>
      </c>
      <c r="BC80" s="152">
        <f ca="1">SUM(Z$4:Z80)+SUM(BB$4:BB80)+COSTI!S$6-COSTI!L$1076</f>
        <v>-31.760000000000218</v>
      </c>
      <c r="BD80" s="1"/>
    </row>
    <row r="81" spans="1:56" ht="16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435">
        <f>IF(AND(W81&gt;=$U$1,W81&lt;=$U$2),IF(X81='ESTRATTO CONTO'!$E$2,1+COUNTIF(U$4:U80,"&gt;0"),0),0)</f>
        <v>0</v>
      </c>
      <c r="V81" s="417">
        <f t="shared" si="32"/>
        <v>78</v>
      </c>
      <c r="W81" s="509"/>
      <c r="X81" s="321"/>
      <c r="Y81" s="321"/>
      <c r="Z81" s="508"/>
      <c r="AA81" s="356"/>
      <c r="AB81" s="306" t="str">
        <f t="shared" si="28"/>
        <v/>
      </c>
      <c r="AC81" s="637">
        <f t="shared" ca="1" si="6"/>
        <v>-2.1316282072803006E-13</v>
      </c>
      <c r="AD81" s="935">
        <f>IF(ISERROR(VLOOKUP(AD$2,X82:X$1003,1,FALSE)),IF(X81=AD$2,SUMIF(X$4:X81,AD$2,Z$4:Z81)+$E$9+SUM(AQ$4:AQ$1003)+SUMIF(COSTI!$X$1379:$X$1430,AD$2,COSTI!$Z$1379:$Z$1430),0),0)</f>
        <v>0</v>
      </c>
      <c r="AE81" s="26"/>
      <c r="AF81" s="856" t="e">
        <f>IF(ISERROR(VLOOKUP(AG$2,X82:X$1003,1,FALSE)),IF(X81=AG$2,SUMIF(X$4:X81,AG$2,Z$4:Z81)+VLOOKUP(AF$2,$B$1057:$F$1068,5,FALSE)+SUM(AR$4:AR$1003)+SUMIF(COSTI!$X$1379:$X$1430,AG$2,COSTI!$Z$1379:$Z$1430),0),0)</f>
        <v>#N/A</v>
      </c>
      <c r="AG81" s="859"/>
      <c r="AH81" s="27" t="str">
        <f t="shared" si="29"/>
        <v/>
      </c>
      <c r="AI81" s="152">
        <f ca="1">IF(W82&gt;0,0,IF(AH81=0,(Z81*-1)+BC81+SUM(BB$4:BB80),BC81+SUM(BB$4:BB80)))</f>
        <v>-2.1316282072803006E-13</v>
      </c>
      <c r="AJ81" s="931">
        <f>IF(AND(AL81&gt;=$U$1,AL81&lt;=$U$2),IF(AM81='ESTRATTO CONTO'!$E$2,1+COUNTIF(AJ$4:AJ80,"&gt;0")+U$1015,0),0)</f>
        <v>0</v>
      </c>
      <c r="AK81" s="203">
        <f>IF(AND(OR((AK80+1)&lt;AL$1015,(AK80+1)=AL$1015),MAX(AK$4:AK80)&lt;AL$1015),AK80+1,0)</f>
        <v>0</v>
      </c>
      <c r="AL81" s="309">
        <f>VLOOKUP($AK81,ENTI!$AF$4:AG$1003,2,FALSE)</f>
        <v>0</v>
      </c>
      <c r="AM81" s="224">
        <f>VLOOKUP($AK81,ENTI!$AF$4:AH$1003,3,FALSE)</f>
        <v>0</v>
      </c>
      <c r="AN81" s="224">
        <f>VLOOKUP($AK81,ENTI!$AF$4:AI$1003,4,FALSE)</f>
        <v>0</v>
      </c>
      <c r="AO81" s="781">
        <f>VLOOKUP($AK81,ENTI!$AF$4:AJ$1003,5,FALSE)</f>
        <v>0</v>
      </c>
      <c r="AP81" s="315">
        <f>VLOOKUP($AK81,ENTI!$AF$4:AK$1003,6,FALSE)</f>
        <v>0</v>
      </c>
      <c r="AQ81" s="208">
        <f t="shared" si="36"/>
        <v>0</v>
      </c>
      <c r="AR81" s="152" t="e">
        <f t="shared" si="37"/>
        <v>#N/A</v>
      </c>
      <c r="AS81" s="1"/>
      <c r="AT81" s="88" t="str">
        <f t="shared" si="30"/>
        <v/>
      </c>
      <c r="AU81" s="1"/>
      <c r="AV81" s="175">
        <f>IF(AW81&gt;0,COUNTIF(AV$4:AV80,"&gt;0")+1,0)</f>
        <v>0</v>
      </c>
      <c r="AW81" s="164">
        <f t="shared" si="31"/>
        <v>0</v>
      </c>
      <c r="AX81" s="310">
        <f>IF($AW81=0,0,VLOOKUP(VLOOKUP($X81,$B$34:$T$38,19,FALSE),ENTI!$A$9:$B$13,2,FALSE))</f>
        <v>0</v>
      </c>
      <c r="AY81" s="310">
        <f t="shared" si="33"/>
        <v>0</v>
      </c>
      <c r="AZ81" s="316">
        <f t="shared" si="34"/>
        <v>0</v>
      </c>
      <c r="BA81" s="1"/>
      <c r="BB81" s="152">
        <f t="shared" si="35"/>
        <v>0</v>
      </c>
      <c r="BC81" s="152">
        <f ca="1">SUM(Z$4:Z81)+SUM(BB$4:BB81)+COSTI!S$6-COSTI!L$1076</f>
        <v>-31.760000000000218</v>
      </c>
      <c r="BD81" s="1"/>
    </row>
    <row r="82" spans="1:56" ht="16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435">
        <f>IF(AND(W82&gt;=$U$1,W82&lt;=$U$2),IF(X82='ESTRATTO CONTO'!$E$2,1+COUNTIF(U$4:U81,"&gt;0"),0),0)</f>
        <v>0</v>
      </c>
      <c r="V82" s="417">
        <f t="shared" si="32"/>
        <v>79</v>
      </c>
      <c r="W82" s="509"/>
      <c r="X82" s="321"/>
      <c r="Y82" s="321"/>
      <c r="Z82" s="508"/>
      <c r="AA82" s="356"/>
      <c r="AB82" s="306" t="str">
        <f t="shared" si="28"/>
        <v/>
      </c>
      <c r="AC82" s="637">
        <f t="shared" ca="1" si="6"/>
        <v>-2.1316282072803006E-13</v>
      </c>
      <c r="AD82" s="935">
        <f>IF(ISERROR(VLOOKUP(AD$2,X83:X$1003,1,FALSE)),IF(X82=AD$2,SUMIF(X$4:X82,AD$2,Z$4:Z82)+$E$9+SUM(AQ$4:AQ$1003)+SUMIF(COSTI!$X$1379:$X$1430,AD$2,COSTI!$Z$1379:$Z$1430),0),0)</f>
        <v>0</v>
      </c>
      <c r="AE82" s="26"/>
      <c r="AF82" s="856" t="e">
        <f>IF(ISERROR(VLOOKUP(AG$2,X83:X$1003,1,FALSE)),IF(X82=AG$2,SUMIF(X$4:X82,AG$2,Z$4:Z82)+VLOOKUP(AF$2,$B$1057:$F$1068,5,FALSE)+SUM(AR$4:AR$1003)+SUMIF(COSTI!$X$1379:$X$1430,AG$2,COSTI!$Z$1379:$Z$1430),0),0)</f>
        <v>#N/A</v>
      </c>
      <c r="AG82" s="859"/>
      <c r="AH82" s="27" t="str">
        <f t="shared" si="29"/>
        <v/>
      </c>
      <c r="AI82" s="152">
        <f ca="1">IF(W83&gt;0,0,IF(AH82=0,(Z82*-1)+BC82+SUM(BB$4:BB81),BC82+SUM(BB$4:BB81)))</f>
        <v>-2.1316282072803006E-13</v>
      </c>
      <c r="AJ82" s="931">
        <f>IF(AND(AL82&gt;=$U$1,AL82&lt;=$U$2),IF(AM82='ESTRATTO CONTO'!$E$2,1+COUNTIF(AJ$4:AJ81,"&gt;0")+U$1015,0),0)</f>
        <v>0</v>
      </c>
      <c r="AK82" s="203">
        <f>IF(AND(OR((AK81+1)&lt;AL$1015,(AK81+1)=AL$1015),MAX(AK$4:AK81)&lt;AL$1015),AK81+1,0)</f>
        <v>0</v>
      </c>
      <c r="AL82" s="309">
        <f>VLOOKUP($AK82,ENTI!$AF$4:AG$1003,2,FALSE)</f>
        <v>0</v>
      </c>
      <c r="AM82" s="224">
        <f>VLOOKUP($AK82,ENTI!$AF$4:AH$1003,3,FALSE)</f>
        <v>0</v>
      </c>
      <c r="AN82" s="224">
        <f>VLOOKUP($AK82,ENTI!$AF$4:AI$1003,4,FALSE)</f>
        <v>0</v>
      </c>
      <c r="AO82" s="781">
        <f>VLOOKUP($AK82,ENTI!$AF$4:AJ$1003,5,FALSE)</f>
        <v>0</v>
      </c>
      <c r="AP82" s="315">
        <f>VLOOKUP($AK82,ENTI!$AF$4:AK$1003,6,FALSE)</f>
        <v>0</v>
      </c>
      <c r="AQ82" s="208">
        <f t="shared" si="36"/>
        <v>0</v>
      </c>
      <c r="AR82" s="152" t="e">
        <f t="shared" si="37"/>
        <v>#N/A</v>
      </c>
      <c r="AS82" s="1"/>
      <c r="AT82" s="88" t="str">
        <f t="shared" si="30"/>
        <v/>
      </c>
      <c r="AU82" s="1"/>
      <c r="AV82" s="175">
        <f>IF(AW82&gt;0,COUNTIF(AV$4:AV81,"&gt;0")+1,0)</f>
        <v>0</v>
      </c>
      <c r="AW82" s="164">
        <f t="shared" si="31"/>
        <v>0</v>
      </c>
      <c r="AX82" s="310">
        <f>IF($AW82=0,0,VLOOKUP(VLOOKUP($X82,$B$34:$T$38,19,FALSE),ENTI!$A$9:$B$13,2,FALSE))</f>
        <v>0</v>
      </c>
      <c r="AY82" s="310">
        <f t="shared" si="33"/>
        <v>0</v>
      </c>
      <c r="AZ82" s="316">
        <f t="shared" si="34"/>
        <v>0</v>
      </c>
      <c r="BA82" s="1"/>
      <c r="BB82" s="152">
        <f t="shared" si="35"/>
        <v>0</v>
      </c>
      <c r="BC82" s="152">
        <f ca="1">SUM(Z$4:Z82)+SUM(BB$4:BB82)+COSTI!S$6-COSTI!L$1076</f>
        <v>-31.760000000000218</v>
      </c>
      <c r="BD82" s="1"/>
    </row>
    <row r="83" spans="1:56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435">
        <f>IF(AND(W83&gt;=$U$1,W83&lt;=$U$2),IF(X83='ESTRATTO CONTO'!$E$2,1+COUNTIF(U$4:U82,"&gt;0"),0),0)</f>
        <v>0</v>
      </c>
      <c r="V83" s="417">
        <f t="shared" si="32"/>
        <v>80</v>
      </c>
      <c r="W83" s="509"/>
      <c r="X83" s="321"/>
      <c r="Y83" s="321"/>
      <c r="Z83" s="508"/>
      <c r="AA83" s="356"/>
      <c r="AB83" s="306" t="str">
        <f t="shared" si="28"/>
        <v/>
      </c>
      <c r="AC83" s="637">
        <f t="shared" ca="1" si="6"/>
        <v>-2.1316282072803006E-13</v>
      </c>
      <c r="AD83" s="935">
        <f>IF(ISERROR(VLOOKUP(AD$2,X84:X$1003,1,FALSE)),IF(X83=AD$2,SUMIF(X$4:X83,AD$2,Z$4:Z83)+$E$9+SUM(AQ$4:AQ$1003)+SUMIF(COSTI!$X$1379:$X$1430,AD$2,COSTI!$Z$1379:$Z$1430),0),0)</f>
        <v>0</v>
      </c>
      <c r="AE83" s="26"/>
      <c r="AF83" s="856" t="e">
        <f>IF(ISERROR(VLOOKUP(AG$2,X84:X$1003,1,FALSE)),IF(X83=AG$2,SUMIF(X$4:X83,AG$2,Z$4:Z83)+VLOOKUP(AF$2,$B$1057:$F$1068,5,FALSE)+SUM(AR$4:AR$1003)+SUMIF(COSTI!$X$1379:$X$1430,AG$2,COSTI!$Z$1379:$Z$1430),0),0)</f>
        <v>#N/A</v>
      </c>
      <c r="AG83" s="859"/>
      <c r="AH83" s="27" t="str">
        <f t="shared" si="29"/>
        <v/>
      </c>
      <c r="AI83" s="152">
        <f ca="1">IF(W84&gt;0,0,IF(AH83=0,(Z83*-1)+BC83+SUM(BB$4:BB82),BC83+SUM(BB$4:BB82)))</f>
        <v>-2.1316282072803006E-13</v>
      </c>
      <c r="AJ83" s="931">
        <f>IF(AND(AL83&gt;=$U$1,AL83&lt;=$U$2),IF(AM83='ESTRATTO CONTO'!$E$2,1+COUNTIF(AJ$4:AJ82,"&gt;0")+U$1015,0),0)</f>
        <v>0</v>
      </c>
      <c r="AK83" s="203">
        <f>IF(AND(OR((AK82+1)&lt;AL$1015,(AK82+1)=AL$1015),MAX(AK$4:AK82)&lt;AL$1015),AK82+1,0)</f>
        <v>0</v>
      </c>
      <c r="AL83" s="309">
        <f>VLOOKUP($AK83,ENTI!$AF$4:AG$1003,2,FALSE)</f>
        <v>0</v>
      </c>
      <c r="AM83" s="224">
        <f>VLOOKUP($AK83,ENTI!$AF$4:AH$1003,3,FALSE)</f>
        <v>0</v>
      </c>
      <c r="AN83" s="224">
        <f>VLOOKUP($AK83,ENTI!$AF$4:AI$1003,4,FALSE)</f>
        <v>0</v>
      </c>
      <c r="AO83" s="781">
        <f>VLOOKUP($AK83,ENTI!$AF$4:AJ$1003,5,FALSE)</f>
        <v>0</v>
      </c>
      <c r="AP83" s="315">
        <f>VLOOKUP($AK83,ENTI!$AF$4:AK$1003,6,FALSE)</f>
        <v>0</v>
      </c>
      <c r="AQ83" s="208">
        <f t="shared" si="36"/>
        <v>0</v>
      </c>
      <c r="AR83" s="152" t="e">
        <f t="shared" si="37"/>
        <v>#N/A</v>
      </c>
      <c r="AS83" s="1"/>
      <c r="AT83" s="88" t="str">
        <f t="shared" si="30"/>
        <v/>
      </c>
      <c r="AU83" s="1"/>
      <c r="AV83" s="175">
        <f>IF(AW83&gt;0,COUNTIF(AV$4:AV82,"&gt;0")+1,0)</f>
        <v>0</v>
      </c>
      <c r="AW83" s="164">
        <f t="shared" si="31"/>
        <v>0</v>
      </c>
      <c r="AX83" s="310">
        <f>IF($AW83=0,0,VLOOKUP(VLOOKUP($X83,$B$34:$T$38,19,FALSE),ENTI!$A$9:$B$13,2,FALSE))</f>
        <v>0</v>
      </c>
      <c r="AY83" s="310">
        <f t="shared" si="33"/>
        <v>0</v>
      </c>
      <c r="AZ83" s="316">
        <f t="shared" si="34"/>
        <v>0</v>
      </c>
      <c r="BA83" s="1"/>
      <c r="BB83" s="152">
        <f t="shared" si="35"/>
        <v>0</v>
      </c>
      <c r="BC83" s="152">
        <f ca="1">SUM(Z$4:Z83)+SUM(BB$4:BB83)+COSTI!S$6-COSTI!L$1076</f>
        <v>-31.760000000000218</v>
      </c>
      <c r="BD83" s="1"/>
    </row>
    <row r="84" spans="1:56" ht="16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435">
        <f>IF(AND(W84&gt;=$U$1,W84&lt;=$U$2),IF(X84='ESTRATTO CONTO'!$E$2,1+COUNTIF(U$4:U83,"&gt;0"),0),0)</f>
        <v>0</v>
      </c>
      <c r="V84" s="417">
        <f t="shared" si="32"/>
        <v>81</v>
      </c>
      <c r="W84" s="509"/>
      <c r="X84" s="321"/>
      <c r="Y84" s="321"/>
      <c r="Z84" s="508"/>
      <c r="AA84" s="356"/>
      <c r="AB84" s="306" t="str">
        <f t="shared" si="28"/>
        <v/>
      </c>
      <c r="AC84" s="637">
        <f t="shared" ca="1" si="6"/>
        <v>-2.1316282072803006E-13</v>
      </c>
      <c r="AD84" s="935">
        <f>IF(ISERROR(VLOOKUP(AD$2,X85:X$1003,1,FALSE)),IF(X84=AD$2,SUMIF(X$4:X84,AD$2,Z$4:Z84)+$E$9+SUM(AQ$4:AQ$1003)+SUMIF(COSTI!$X$1379:$X$1430,AD$2,COSTI!$Z$1379:$Z$1430),0),0)</f>
        <v>0</v>
      </c>
      <c r="AE84" s="26"/>
      <c r="AF84" s="856" t="e">
        <f>IF(ISERROR(VLOOKUP(AG$2,X85:X$1003,1,FALSE)),IF(X84=AG$2,SUMIF(X$4:X84,AG$2,Z$4:Z84)+VLOOKUP(AF$2,$B$1057:$F$1068,5,FALSE)+SUM(AR$4:AR$1003)+SUMIF(COSTI!$X$1379:$X$1430,AG$2,COSTI!$Z$1379:$Z$1430),0),0)</f>
        <v>#N/A</v>
      </c>
      <c r="AG84" s="859"/>
      <c r="AH84" s="27" t="str">
        <f t="shared" si="29"/>
        <v/>
      </c>
      <c r="AI84" s="152">
        <f ca="1">IF(W85&gt;0,0,IF(AH84=0,(Z84*-1)+BC84+SUM(BB$4:BB83),BC84+SUM(BB$4:BB83)))</f>
        <v>-2.1316282072803006E-13</v>
      </c>
      <c r="AJ84" s="931">
        <f>IF(AND(AL84&gt;=$U$1,AL84&lt;=$U$2),IF(AM84='ESTRATTO CONTO'!$E$2,1+COUNTIF(AJ$4:AJ83,"&gt;0")+U$1015,0),0)</f>
        <v>0</v>
      </c>
      <c r="AK84" s="203">
        <f>IF(AND(OR((AK83+1)&lt;AL$1015,(AK83+1)=AL$1015),MAX(AK$4:AK83)&lt;AL$1015),AK83+1,0)</f>
        <v>0</v>
      </c>
      <c r="AL84" s="309">
        <f>VLOOKUP($AK84,ENTI!$AF$4:AG$1003,2,FALSE)</f>
        <v>0</v>
      </c>
      <c r="AM84" s="224">
        <f>VLOOKUP($AK84,ENTI!$AF$4:AH$1003,3,FALSE)</f>
        <v>0</v>
      </c>
      <c r="AN84" s="224">
        <f>VLOOKUP($AK84,ENTI!$AF$4:AI$1003,4,FALSE)</f>
        <v>0</v>
      </c>
      <c r="AO84" s="781">
        <f>VLOOKUP($AK84,ENTI!$AF$4:AJ$1003,5,FALSE)</f>
        <v>0</v>
      </c>
      <c r="AP84" s="315">
        <f>VLOOKUP($AK84,ENTI!$AF$4:AK$1003,6,FALSE)</f>
        <v>0</v>
      </c>
      <c r="AQ84" s="208">
        <f t="shared" si="36"/>
        <v>0</v>
      </c>
      <c r="AR84" s="152" t="e">
        <f t="shared" si="37"/>
        <v>#N/A</v>
      </c>
      <c r="AS84" s="1"/>
      <c r="AT84" s="88" t="str">
        <f t="shared" si="30"/>
        <v/>
      </c>
      <c r="AU84" s="1"/>
      <c r="AV84" s="175">
        <f>IF(AW84&gt;0,COUNTIF(AV$4:AV83,"&gt;0")+1,0)</f>
        <v>0</v>
      </c>
      <c r="AW84" s="164">
        <f t="shared" si="31"/>
        <v>0</v>
      </c>
      <c r="AX84" s="310">
        <f>IF($AW84=0,0,VLOOKUP(VLOOKUP($X84,$B$34:$T$38,19,FALSE),ENTI!$A$9:$B$13,2,FALSE))</f>
        <v>0</v>
      </c>
      <c r="AY84" s="310">
        <f t="shared" si="33"/>
        <v>0</v>
      </c>
      <c r="AZ84" s="316">
        <f t="shared" si="34"/>
        <v>0</v>
      </c>
      <c r="BA84" s="1"/>
      <c r="BB84" s="152">
        <f t="shared" si="35"/>
        <v>0</v>
      </c>
      <c r="BC84" s="152">
        <f ca="1">SUM(Z$4:Z84)+SUM(BB$4:BB84)+COSTI!S$6-COSTI!L$1076</f>
        <v>-31.760000000000218</v>
      </c>
      <c r="BD84" s="1"/>
    </row>
    <row r="85" spans="1:56" ht="16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435">
        <f>IF(AND(W85&gt;=$U$1,W85&lt;=$U$2),IF(X85='ESTRATTO CONTO'!$E$2,1+COUNTIF(U$4:U84,"&gt;0"),0),0)</f>
        <v>0</v>
      </c>
      <c r="V85" s="417">
        <f t="shared" si="32"/>
        <v>82</v>
      </c>
      <c r="W85" s="509"/>
      <c r="X85" s="321"/>
      <c r="Y85" s="321"/>
      <c r="Z85" s="508"/>
      <c r="AA85" s="356"/>
      <c r="AB85" s="306" t="str">
        <f t="shared" si="28"/>
        <v/>
      </c>
      <c r="AC85" s="637">
        <f t="shared" ca="1" si="6"/>
        <v>-2.1316282072803006E-13</v>
      </c>
      <c r="AD85" s="935">
        <f>IF(ISERROR(VLOOKUP(AD$2,X86:X$1003,1,FALSE)),IF(X85=AD$2,SUMIF(X$4:X85,AD$2,Z$4:Z85)+$E$9+SUM(AQ$4:AQ$1003)+SUMIF(COSTI!$X$1379:$X$1430,AD$2,COSTI!$Z$1379:$Z$1430),0),0)</f>
        <v>0</v>
      </c>
      <c r="AE85" s="26"/>
      <c r="AF85" s="856" t="e">
        <f>IF(ISERROR(VLOOKUP(AG$2,X86:X$1003,1,FALSE)),IF(X85=AG$2,SUMIF(X$4:X85,AG$2,Z$4:Z85)+VLOOKUP(AF$2,$B$1057:$F$1068,5,FALSE)+SUM(AR$4:AR$1003)+SUMIF(COSTI!$X$1379:$X$1430,AG$2,COSTI!$Z$1379:$Z$1430),0),0)</f>
        <v>#N/A</v>
      </c>
      <c r="AG85" s="859"/>
      <c r="AH85" s="27" t="str">
        <f t="shared" si="29"/>
        <v/>
      </c>
      <c r="AI85" s="152">
        <f ca="1">IF(W86&gt;0,0,IF(AH85=0,(Z85*-1)+BC85+SUM(BB$4:BB84),BC85+SUM(BB$4:BB84)))</f>
        <v>-2.1316282072803006E-13</v>
      </c>
      <c r="AJ85" s="931">
        <f>IF(AND(AL85&gt;=$U$1,AL85&lt;=$U$2),IF(AM85='ESTRATTO CONTO'!$E$2,1+COUNTIF(AJ$4:AJ84,"&gt;0")+U$1015,0),0)</f>
        <v>0</v>
      </c>
      <c r="AK85" s="203">
        <f>IF(AND(OR((AK84+1)&lt;AL$1015,(AK84+1)=AL$1015),MAX(AK$4:AK84)&lt;AL$1015),AK84+1,0)</f>
        <v>0</v>
      </c>
      <c r="AL85" s="309">
        <f>VLOOKUP($AK85,ENTI!$AF$4:AG$1003,2,FALSE)</f>
        <v>0</v>
      </c>
      <c r="AM85" s="224">
        <f>VLOOKUP($AK85,ENTI!$AF$4:AH$1003,3,FALSE)</f>
        <v>0</v>
      </c>
      <c r="AN85" s="224">
        <f>VLOOKUP($AK85,ENTI!$AF$4:AI$1003,4,FALSE)</f>
        <v>0</v>
      </c>
      <c r="AO85" s="781">
        <f>VLOOKUP($AK85,ENTI!$AF$4:AJ$1003,5,FALSE)</f>
        <v>0</v>
      </c>
      <c r="AP85" s="315">
        <f>VLOOKUP($AK85,ENTI!$AF$4:AK$1003,6,FALSE)</f>
        <v>0</v>
      </c>
      <c r="AQ85" s="208">
        <f t="shared" si="36"/>
        <v>0</v>
      </c>
      <c r="AR85" s="152" t="e">
        <f t="shared" si="37"/>
        <v>#N/A</v>
      </c>
      <c r="AS85" s="1"/>
      <c r="AT85" s="88" t="str">
        <f t="shared" si="30"/>
        <v/>
      </c>
      <c r="AU85" s="1"/>
      <c r="AV85" s="175">
        <f>IF(AW85&gt;0,COUNTIF(AV$4:AV84,"&gt;0")+1,0)</f>
        <v>0</v>
      </c>
      <c r="AW85" s="164">
        <f t="shared" si="31"/>
        <v>0</v>
      </c>
      <c r="AX85" s="310">
        <f>IF($AW85=0,0,VLOOKUP(VLOOKUP($X85,$B$34:$T$38,19,FALSE),ENTI!$A$9:$B$13,2,FALSE))</f>
        <v>0</v>
      </c>
      <c r="AY85" s="310">
        <f t="shared" si="33"/>
        <v>0</v>
      </c>
      <c r="AZ85" s="316">
        <f t="shared" si="34"/>
        <v>0</v>
      </c>
      <c r="BA85" s="1"/>
      <c r="BB85" s="152">
        <f t="shared" si="35"/>
        <v>0</v>
      </c>
      <c r="BC85" s="152">
        <f ca="1">SUM(Z$4:Z85)+SUM(BB$4:BB85)+COSTI!S$6-COSTI!L$1076</f>
        <v>-31.760000000000218</v>
      </c>
      <c r="BD85" s="1"/>
    </row>
    <row r="86" spans="1:56" ht="16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435">
        <f>IF(AND(W86&gt;=$U$1,W86&lt;=$U$2),IF(X86='ESTRATTO CONTO'!$E$2,1+COUNTIF(U$4:U85,"&gt;0"),0),0)</f>
        <v>0</v>
      </c>
      <c r="V86" s="417">
        <f t="shared" si="32"/>
        <v>83</v>
      </c>
      <c r="W86" s="509"/>
      <c r="X86" s="321"/>
      <c r="Y86" s="321"/>
      <c r="Z86" s="508"/>
      <c r="AA86" s="356"/>
      <c r="AB86" s="306" t="str">
        <f t="shared" si="28"/>
        <v/>
      </c>
      <c r="AC86" s="637">
        <f t="shared" ca="1" si="6"/>
        <v>-2.1316282072803006E-13</v>
      </c>
      <c r="AD86" s="935">
        <f>IF(ISERROR(VLOOKUP(AD$2,X87:X$1003,1,FALSE)),IF(X86=AD$2,SUMIF(X$4:X86,AD$2,Z$4:Z86)+$E$9+SUM(AQ$4:AQ$1003)+SUMIF(COSTI!$X$1379:$X$1430,AD$2,COSTI!$Z$1379:$Z$1430),0),0)</f>
        <v>0</v>
      </c>
      <c r="AE86" s="26"/>
      <c r="AF86" s="856" t="e">
        <f>IF(ISERROR(VLOOKUP(AG$2,X87:X$1003,1,FALSE)),IF(X86=AG$2,SUMIF(X$4:X86,AG$2,Z$4:Z86)+VLOOKUP(AF$2,$B$1057:$F$1068,5,FALSE)+SUM(AR$4:AR$1003)+SUMIF(COSTI!$X$1379:$X$1430,AG$2,COSTI!$Z$1379:$Z$1430),0),0)</f>
        <v>#N/A</v>
      </c>
      <c r="AG86" s="859"/>
      <c r="AH86" s="27" t="str">
        <f t="shared" si="29"/>
        <v/>
      </c>
      <c r="AI86" s="152">
        <f ca="1">IF(W87&gt;0,0,IF(AH86=0,(Z86*-1)+BC86+SUM(BB$4:BB85),BC86+SUM(BB$4:BB85)))</f>
        <v>-2.1316282072803006E-13</v>
      </c>
      <c r="AJ86" s="931">
        <f>IF(AND(AL86&gt;=$U$1,AL86&lt;=$U$2),IF(AM86='ESTRATTO CONTO'!$E$2,1+COUNTIF(AJ$4:AJ85,"&gt;0")+U$1015,0),0)</f>
        <v>0</v>
      </c>
      <c r="AK86" s="203">
        <f>IF(AND(OR((AK85+1)&lt;AL$1015,(AK85+1)=AL$1015),MAX(AK$4:AK85)&lt;AL$1015),AK85+1,0)</f>
        <v>0</v>
      </c>
      <c r="AL86" s="309">
        <f>VLOOKUP($AK86,ENTI!$AF$4:AG$1003,2,FALSE)</f>
        <v>0</v>
      </c>
      <c r="AM86" s="224">
        <f>VLOOKUP($AK86,ENTI!$AF$4:AH$1003,3,FALSE)</f>
        <v>0</v>
      </c>
      <c r="AN86" s="224">
        <f>VLOOKUP($AK86,ENTI!$AF$4:AI$1003,4,FALSE)</f>
        <v>0</v>
      </c>
      <c r="AO86" s="781">
        <f>VLOOKUP($AK86,ENTI!$AF$4:AJ$1003,5,FALSE)</f>
        <v>0</v>
      </c>
      <c r="AP86" s="315">
        <f>VLOOKUP($AK86,ENTI!$AF$4:AK$1003,6,FALSE)</f>
        <v>0</v>
      </c>
      <c r="AQ86" s="208">
        <f t="shared" si="36"/>
        <v>0</v>
      </c>
      <c r="AR86" s="152" t="e">
        <f t="shared" si="37"/>
        <v>#N/A</v>
      </c>
      <c r="AS86" s="1"/>
      <c r="AT86" s="88" t="str">
        <f t="shared" si="30"/>
        <v/>
      </c>
      <c r="AU86" s="1"/>
      <c r="AV86" s="175">
        <f>IF(AW86&gt;0,COUNTIF(AV$4:AV85,"&gt;0")+1,0)</f>
        <v>0</v>
      </c>
      <c r="AW86" s="164">
        <f t="shared" si="31"/>
        <v>0</v>
      </c>
      <c r="AX86" s="310">
        <f>IF($AW86=0,0,VLOOKUP(VLOOKUP($X86,$B$34:$T$38,19,FALSE),ENTI!$A$9:$B$13,2,FALSE))</f>
        <v>0</v>
      </c>
      <c r="AY86" s="310">
        <f t="shared" si="33"/>
        <v>0</v>
      </c>
      <c r="AZ86" s="316">
        <f t="shared" si="34"/>
        <v>0</v>
      </c>
      <c r="BA86" s="1"/>
      <c r="BB86" s="152">
        <f t="shared" si="35"/>
        <v>0</v>
      </c>
      <c r="BC86" s="152">
        <f ca="1">SUM(Z$4:Z86)+SUM(BB$4:BB86)+COSTI!S$6-COSTI!L$1076</f>
        <v>-31.760000000000218</v>
      </c>
      <c r="BD86" s="1"/>
    </row>
    <row r="87" spans="1:56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435">
        <f>IF(AND(W87&gt;=$U$1,W87&lt;=$U$2),IF(X87='ESTRATTO CONTO'!$E$2,1+COUNTIF(U$4:U86,"&gt;0"),0),0)</f>
        <v>0</v>
      </c>
      <c r="V87" s="417">
        <f t="shared" si="32"/>
        <v>84</v>
      </c>
      <c r="W87" s="509"/>
      <c r="X87" s="321"/>
      <c r="Y87" s="321"/>
      <c r="Z87" s="508"/>
      <c r="AA87" s="356"/>
      <c r="AB87" s="306" t="str">
        <f t="shared" si="28"/>
        <v/>
      </c>
      <c r="AC87" s="637">
        <f t="shared" ca="1" si="6"/>
        <v>-2.1316282072803006E-13</v>
      </c>
      <c r="AD87" s="935">
        <f>IF(ISERROR(VLOOKUP(AD$2,X88:X$1003,1,FALSE)),IF(X87=AD$2,SUMIF(X$4:X87,AD$2,Z$4:Z87)+$E$9+SUM(AQ$4:AQ$1003)+SUMIF(COSTI!$X$1379:$X$1430,AD$2,COSTI!$Z$1379:$Z$1430),0),0)</f>
        <v>0</v>
      </c>
      <c r="AE87" s="26"/>
      <c r="AF87" s="856" t="e">
        <f>IF(ISERROR(VLOOKUP(AG$2,X88:X$1003,1,FALSE)),IF(X87=AG$2,SUMIF(X$4:X87,AG$2,Z$4:Z87)+VLOOKUP(AF$2,$B$1057:$F$1068,5,FALSE)+SUM(AR$4:AR$1003)+SUMIF(COSTI!$X$1379:$X$1430,AG$2,COSTI!$Z$1379:$Z$1430),0),0)</f>
        <v>#N/A</v>
      </c>
      <c r="AG87" s="859"/>
      <c r="AH87" s="27" t="str">
        <f t="shared" si="29"/>
        <v/>
      </c>
      <c r="AI87" s="152">
        <f ca="1">IF(W88&gt;0,0,IF(AH87=0,(Z87*-1)+BC87+SUM(BB$4:BB86),BC87+SUM(BB$4:BB86)))</f>
        <v>-2.1316282072803006E-13</v>
      </c>
      <c r="AJ87" s="931">
        <f>IF(AND(AL87&gt;=$U$1,AL87&lt;=$U$2),IF(AM87='ESTRATTO CONTO'!$E$2,1+COUNTIF(AJ$4:AJ86,"&gt;0")+U$1015,0),0)</f>
        <v>0</v>
      </c>
      <c r="AK87" s="203">
        <f>IF(AND(OR((AK86+1)&lt;AL$1015,(AK86+1)=AL$1015),MAX(AK$4:AK86)&lt;AL$1015),AK86+1,0)</f>
        <v>0</v>
      </c>
      <c r="AL87" s="309">
        <f>VLOOKUP($AK87,ENTI!$AF$4:AG$1003,2,FALSE)</f>
        <v>0</v>
      </c>
      <c r="AM87" s="224">
        <f>VLOOKUP($AK87,ENTI!$AF$4:AH$1003,3,FALSE)</f>
        <v>0</v>
      </c>
      <c r="AN87" s="224">
        <f>VLOOKUP($AK87,ENTI!$AF$4:AI$1003,4,FALSE)</f>
        <v>0</v>
      </c>
      <c r="AO87" s="781">
        <f>VLOOKUP($AK87,ENTI!$AF$4:AJ$1003,5,FALSE)</f>
        <v>0</v>
      </c>
      <c r="AP87" s="315">
        <f>VLOOKUP($AK87,ENTI!$AF$4:AK$1003,6,FALSE)</f>
        <v>0</v>
      </c>
      <c r="AQ87" s="208">
        <f t="shared" si="36"/>
        <v>0</v>
      </c>
      <c r="AR87" s="152" t="e">
        <f t="shared" si="37"/>
        <v>#N/A</v>
      </c>
      <c r="AS87" s="1"/>
      <c r="AT87" s="88" t="str">
        <f t="shared" si="30"/>
        <v/>
      </c>
      <c r="AU87" s="1"/>
      <c r="AV87" s="175">
        <f>IF(AW87&gt;0,COUNTIF(AV$4:AV86,"&gt;0")+1,0)</f>
        <v>0</v>
      </c>
      <c r="AW87" s="164">
        <f t="shared" si="31"/>
        <v>0</v>
      </c>
      <c r="AX87" s="310">
        <f>IF($AW87=0,0,VLOOKUP(VLOOKUP($X87,$B$34:$T$38,19,FALSE),ENTI!$A$9:$B$13,2,FALSE))</f>
        <v>0</v>
      </c>
      <c r="AY87" s="310">
        <f t="shared" si="33"/>
        <v>0</v>
      </c>
      <c r="AZ87" s="316">
        <f t="shared" si="34"/>
        <v>0</v>
      </c>
      <c r="BA87" s="1"/>
      <c r="BB87" s="152">
        <f t="shared" si="35"/>
        <v>0</v>
      </c>
      <c r="BC87" s="152">
        <f ca="1">SUM(Z$4:Z87)+SUM(BB$4:BB87)+COSTI!S$6-COSTI!L$1076</f>
        <v>-31.760000000000218</v>
      </c>
      <c r="BD87" s="1"/>
    </row>
    <row r="88" spans="1:56" ht="16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435">
        <f>IF(AND(W88&gt;=$U$1,W88&lt;=$U$2),IF(X88='ESTRATTO CONTO'!$E$2,1+COUNTIF(U$4:U87,"&gt;0"),0),0)</f>
        <v>0</v>
      </c>
      <c r="V88" s="417">
        <f t="shared" si="32"/>
        <v>85</v>
      </c>
      <c r="W88" s="509"/>
      <c r="X88" s="321"/>
      <c r="Y88" s="321"/>
      <c r="Z88" s="508"/>
      <c r="AA88" s="356"/>
      <c r="AB88" s="306" t="str">
        <f t="shared" si="28"/>
        <v/>
      </c>
      <c r="AC88" s="637">
        <f t="shared" ca="1" si="6"/>
        <v>-2.1316282072803006E-13</v>
      </c>
      <c r="AD88" s="935">
        <f>IF(ISERROR(VLOOKUP(AD$2,X89:X$1003,1,FALSE)),IF(X88=AD$2,SUMIF(X$4:X88,AD$2,Z$4:Z88)+$E$9+SUM(AQ$4:AQ$1003)+SUMIF(COSTI!$X$1379:$X$1430,AD$2,COSTI!$Z$1379:$Z$1430),0),0)</f>
        <v>0</v>
      </c>
      <c r="AE88" s="26"/>
      <c r="AF88" s="856" t="e">
        <f>IF(ISERROR(VLOOKUP(AG$2,X89:X$1003,1,FALSE)),IF(X88=AG$2,SUMIF(X$4:X88,AG$2,Z$4:Z88)+VLOOKUP(AF$2,$B$1057:$F$1068,5,FALSE)+SUM(AR$4:AR$1003)+SUMIF(COSTI!$X$1379:$X$1430,AG$2,COSTI!$Z$1379:$Z$1430),0),0)</f>
        <v>#N/A</v>
      </c>
      <c r="AG88" s="859"/>
      <c r="AH88" s="27" t="str">
        <f t="shared" si="29"/>
        <v/>
      </c>
      <c r="AI88" s="152">
        <f ca="1">IF(W89&gt;0,0,IF(AH88=0,(Z88*-1)+BC88+SUM(BB$4:BB87),BC88+SUM(BB$4:BB87)))</f>
        <v>-2.1316282072803006E-13</v>
      </c>
      <c r="AJ88" s="931">
        <f>IF(AND(AL88&gt;=$U$1,AL88&lt;=$U$2),IF(AM88='ESTRATTO CONTO'!$E$2,1+COUNTIF(AJ$4:AJ87,"&gt;0")+U$1015,0),0)</f>
        <v>0</v>
      </c>
      <c r="AK88" s="203">
        <f>IF(AND(OR((AK87+1)&lt;AL$1015,(AK87+1)=AL$1015),MAX(AK$4:AK87)&lt;AL$1015),AK87+1,0)</f>
        <v>0</v>
      </c>
      <c r="AL88" s="309">
        <f>VLOOKUP($AK88,ENTI!$AF$4:AG$1003,2,FALSE)</f>
        <v>0</v>
      </c>
      <c r="AM88" s="224">
        <f>VLOOKUP($AK88,ENTI!$AF$4:AH$1003,3,FALSE)</f>
        <v>0</v>
      </c>
      <c r="AN88" s="224">
        <f>VLOOKUP($AK88,ENTI!$AF$4:AI$1003,4,FALSE)</f>
        <v>0</v>
      </c>
      <c r="AO88" s="781">
        <f>VLOOKUP($AK88,ENTI!$AF$4:AJ$1003,5,FALSE)</f>
        <v>0</v>
      </c>
      <c r="AP88" s="315">
        <f>VLOOKUP($AK88,ENTI!$AF$4:AK$1003,6,FALSE)</f>
        <v>0</v>
      </c>
      <c r="AQ88" s="208">
        <f t="shared" si="36"/>
        <v>0</v>
      </c>
      <c r="AR88" s="152" t="e">
        <f t="shared" si="37"/>
        <v>#N/A</v>
      </c>
      <c r="AS88" s="1"/>
      <c r="AT88" s="88" t="str">
        <f t="shared" si="30"/>
        <v/>
      </c>
      <c r="AU88" s="1"/>
      <c r="AV88" s="175">
        <f>IF(AW88&gt;0,COUNTIF(AV$4:AV87,"&gt;0")+1,0)</f>
        <v>0</v>
      </c>
      <c r="AW88" s="164">
        <f t="shared" si="31"/>
        <v>0</v>
      </c>
      <c r="AX88" s="310">
        <f>IF($AW88=0,0,VLOOKUP(VLOOKUP($X88,$B$34:$T$38,19,FALSE),ENTI!$A$9:$B$13,2,FALSE))</f>
        <v>0</v>
      </c>
      <c r="AY88" s="310">
        <f t="shared" si="33"/>
        <v>0</v>
      </c>
      <c r="AZ88" s="316">
        <f t="shared" si="34"/>
        <v>0</v>
      </c>
      <c r="BA88" s="1"/>
      <c r="BB88" s="152">
        <f t="shared" si="35"/>
        <v>0</v>
      </c>
      <c r="BC88" s="152">
        <f ca="1">SUM(Z$4:Z88)+SUM(BB$4:BB88)+COSTI!S$6-COSTI!L$1076</f>
        <v>-31.760000000000218</v>
      </c>
      <c r="BD88" s="1"/>
    </row>
    <row r="89" spans="1:56" ht="16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435">
        <f>IF(AND(W89&gt;=$U$1,W89&lt;=$U$2),IF(X89='ESTRATTO CONTO'!$E$2,1+COUNTIF(U$4:U88,"&gt;0"),0),0)</f>
        <v>0</v>
      </c>
      <c r="V89" s="417">
        <f t="shared" si="32"/>
        <v>86</v>
      </c>
      <c r="W89" s="509"/>
      <c r="X89" s="321"/>
      <c r="Y89" s="321"/>
      <c r="Z89" s="508"/>
      <c r="AA89" s="356"/>
      <c r="AB89" s="306" t="str">
        <f t="shared" si="28"/>
        <v/>
      </c>
      <c r="AC89" s="637">
        <f t="shared" ca="1" si="6"/>
        <v>-2.1316282072803006E-13</v>
      </c>
      <c r="AD89" s="935">
        <f>IF(ISERROR(VLOOKUP(AD$2,X90:X$1003,1,FALSE)),IF(X89=AD$2,SUMIF(X$4:X89,AD$2,Z$4:Z89)+$E$9+SUM(AQ$4:AQ$1003)+SUMIF(COSTI!$X$1379:$X$1430,AD$2,COSTI!$Z$1379:$Z$1430),0),0)</f>
        <v>0</v>
      </c>
      <c r="AE89" s="26"/>
      <c r="AF89" s="856" t="e">
        <f>IF(ISERROR(VLOOKUP(AG$2,X90:X$1003,1,FALSE)),IF(X89=AG$2,SUMIF(X$4:X89,AG$2,Z$4:Z89)+VLOOKUP(AF$2,$B$1057:$F$1068,5,FALSE)+SUM(AR$4:AR$1003)+SUMIF(COSTI!$X$1379:$X$1430,AG$2,COSTI!$Z$1379:$Z$1430),0),0)</f>
        <v>#N/A</v>
      </c>
      <c r="AG89" s="859"/>
      <c r="AH89" s="27" t="str">
        <f t="shared" si="29"/>
        <v/>
      </c>
      <c r="AI89" s="152">
        <f ca="1">IF(W90&gt;0,0,IF(AH89=0,(Z89*-1)+BC89+SUM(BB$4:BB88),BC89+SUM(BB$4:BB88)))</f>
        <v>-2.1316282072803006E-13</v>
      </c>
      <c r="AJ89" s="931">
        <f>IF(AND(AL89&gt;=$U$1,AL89&lt;=$U$2),IF(AM89='ESTRATTO CONTO'!$E$2,1+COUNTIF(AJ$4:AJ88,"&gt;0")+U$1015,0),0)</f>
        <v>0</v>
      </c>
      <c r="AK89" s="203">
        <f>IF(AND(OR((AK88+1)&lt;AL$1015,(AK88+1)=AL$1015),MAX(AK$4:AK88)&lt;AL$1015),AK88+1,0)</f>
        <v>0</v>
      </c>
      <c r="AL89" s="309">
        <f>VLOOKUP($AK89,ENTI!$AF$4:AG$1003,2,FALSE)</f>
        <v>0</v>
      </c>
      <c r="AM89" s="224">
        <f>VLOOKUP($AK89,ENTI!$AF$4:AH$1003,3,FALSE)</f>
        <v>0</v>
      </c>
      <c r="AN89" s="224">
        <f>VLOOKUP($AK89,ENTI!$AF$4:AI$1003,4,FALSE)</f>
        <v>0</v>
      </c>
      <c r="AO89" s="781">
        <f>VLOOKUP($AK89,ENTI!$AF$4:AJ$1003,5,FALSE)</f>
        <v>0</v>
      </c>
      <c r="AP89" s="315">
        <f>VLOOKUP($AK89,ENTI!$AF$4:AK$1003,6,FALSE)</f>
        <v>0</v>
      </c>
      <c r="AQ89" s="208">
        <f t="shared" si="36"/>
        <v>0</v>
      </c>
      <c r="AR89" s="152" t="e">
        <f t="shared" si="37"/>
        <v>#N/A</v>
      </c>
      <c r="AS89" s="1"/>
      <c r="AT89" s="88" t="str">
        <f t="shared" si="30"/>
        <v/>
      </c>
      <c r="AU89" s="1"/>
      <c r="AV89" s="175">
        <f>IF(AW89&gt;0,COUNTIF(AV$4:AV88,"&gt;0")+1,0)</f>
        <v>0</v>
      </c>
      <c r="AW89" s="164">
        <f t="shared" si="31"/>
        <v>0</v>
      </c>
      <c r="AX89" s="310">
        <f>IF($AW89=0,0,VLOOKUP(VLOOKUP($X89,$B$34:$T$38,19,FALSE),ENTI!$A$9:$B$13,2,FALSE))</f>
        <v>0</v>
      </c>
      <c r="AY89" s="310">
        <f t="shared" si="33"/>
        <v>0</v>
      </c>
      <c r="AZ89" s="316">
        <f t="shared" si="34"/>
        <v>0</v>
      </c>
      <c r="BA89" s="1"/>
      <c r="BB89" s="152">
        <f t="shared" si="35"/>
        <v>0</v>
      </c>
      <c r="BC89" s="152">
        <f ca="1">SUM(Z$4:Z89)+SUM(BB$4:BB89)+COSTI!S$6-COSTI!L$1076</f>
        <v>-31.760000000000218</v>
      </c>
      <c r="BD89" s="1"/>
    </row>
    <row r="90" spans="1:56" ht="16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435">
        <f>IF(AND(W90&gt;=$U$1,W90&lt;=$U$2),IF(X90='ESTRATTO CONTO'!$E$2,1+COUNTIF(U$4:U89,"&gt;0"),0),0)</f>
        <v>0</v>
      </c>
      <c r="V90" s="417">
        <f t="shared" si="32"/>
        <v>87</v>
      </c>
      <c r="W90" s="509"/>
      <c r="X90" s="321"/>
      <c r="Y90" s="321"/>
      <c r="Z90" s="508"/>
      <c r="AA90" s="356"/>
      <c r="AB90" s="306" t="str">
        <f t="shared" si="28"/>
        <v/>
      </c>
      <c r="AC90" s="637">
        <f t="shared" ca="1" si="6"/>
        <v>-2.1316282072803006E-13</v>
      </c>
      <c r="AD90" s="935">
        <f>IF(ISERROR(VLOOKUP(AD$2,X91:X$1003,1,FALSE)),IF(X90=AD$2,SUMIF(X$4:X90,AD$2,Z$4:Z90)+$E$9+SUM(AQ$4:AQ$1003)+SUMIF(COSTI!$X$1379:$X$1430,AD$2,COSTI!$Z$1379:$Z$1430),0),0)</f>
        <v>0</v>
      </c>
      <c r="AE90" s="26"/>
      <c r="AF90" s="856" t="e">
        <f>IF(ISERROR(VLOOKUP(AG$2,X91:X$1003,1,FALSE)),IF(X90=AG$2,SUMIF(X$4:X90,AG$2,Z$4:Z90)+VLOOKUP(AF$2,$B$1057:$F$1068,5,FALSE)+SUM(AR$4:AR$1003)+SUMIF(COSTI!$X$1379:$X$1430,AG$2,COSTI!$Z$1379:$Z$1430),0),0)</f>
        <v>#N/A</v>
      </c>
      <c r="AG90" s="859"/>
      <c r="AH90" s="27" t="str">
        <f t="shared" si="29"/>
        <v/>
      </c>
      <c r="AI90" s="152">
        <f ca="1">IF(W91&gt;0,0,IF(AH90=0,(Z90*-1)+BC90+SUM(BB$4:BB89),BC90+SUM(BB$4:BB89)))</f>
        <v>-2.1316282072803006E-13</v>
      </c>
      <c r="AJ90" s="931">
        <f>IF(AND(AL90&gt;=$U$1,AL90&lt;=$U$2),IF(AM90='ESTRATTO CONTO'!$E$2,1+COUNTIF(AJ$4:AJ89,"&gt;0")+U$1015,0),0)</f>
        <v>0</v>
      </c>
      <c r="AK90" s="203">
        <f>IF(AND(OR((AK89+1)&lt;AL$1015,(AK89+1)=AL$1015),MAX(AK$4:AK89)&lt;AL$1015),AK89+1,0)</f>
        <v>0</v>
      </c>
      <c r="AL90" s="309">
        <f>VLOOKUP($AK90,ENTI!$AF$4:AG$1003,2,FALSE)</f>
        <v>0</v>
      </c>
      <c r="AM90" s="224">
        <f>VLOOKUP($AK90,ENTI!$AF$4:AH$1003,3,FALSE)</f>
        <v>0</v>
      </c>
      <c r="AN90" s="224">
        <f>VLOOKUP($AK90,ENTI!$AF$4:AI$1003,4,FALSE)</f>
        <v>0</v>
      </c>
      <c r="AO90" s="781">
        <f>VLOOKUP($AK90,ENTI!$AF$4:AJ$1003,5,FALSE)</f>
        <v>0</v>
      </c>
      <c r="AP90" s="315">
        <f>VLOOKUP($AK90,ENTI!$AF$4:AK$1003,6,FALSE)</f>
        <v>0</v>
      </c>
      <c r="AQ90" s="208">
        <f t="shared" si="36"/>
        <v>0</v>
      </c>
      <c r="AR90" s="152" t="e">
        <f t="shared" si="37"/>
        <v>#N/A</v>
      </c>
      <c r="AS90" s="1"/>
      <c r="AT90" s="88" t="str">
        <f t="shared" si="30"/>
        <v/>
      </c>
      <c r="AU90" s="1"/>
      <c r="AV90" s="175">
        <f>IF(AW90&gt;0,COUNTIF(AV$4:AV89,"&gt;0")+1,0)</f>
        <v>0</v>
      </c>
      <c r="AW90" s="164">
        <f t="shared" si="31"/>
        <v>0</v>
      </c>
      <c r="AX90" s="310">
        <f>IF($AW90=0,0,VLOOKUP(VLOOKUP($X90,$B$34:$T$38,19,FALSE),ENTI!$A$9:$B$13,2,FALSE))</f>
        <v>0</v>
      </c>
      <c r="AY90" s="310">
        <f t="shared" si="33"/>
        <v>0</v>
      </c>
      <c r="AZ90" s="316">
        <f t="shared" si="34"/>
        <v>0</v>
      </c>
      <c r="BA90" s="1"/>
      <c r="BB90" s="152">
        <f t="shared" si="35"/>
        <v>0</v>
      </c>
      <c r="BC90" s="152">
        <f ca="1">SUM(Z$4:Z90)+SUM(BB$4:BB90)+COSTI!S$6-COSTI!L$1076</f>
        <v>-31.760000000000218</v>
      </c>
      <c r="BD90" s="1"/>
    </row>
    <row r="91" spans="1:56" ht="16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435">
        <f>IF(AND(W91&gt;=$U$1,W91&lt;=$U$2),IF(X91='ESTRATTO CONTO'!$E$2,1+COUNTIF(U$4:U90,"&gt;0"),0),0)</f>
        <v>0</v>
      </c>
      <c r="V91" s="417">
        <f t="shared" si="32"/>
        <v>88</v>
      </c>
      <c r="W91" s="509"/>
      <c r="X91" s="321"/>
      <c r="Y91" s="321"/>
      <c r="Z91" s="508"/>
      <c r="AA91" s="356"/>
      <c r="AB91" s="306" t="str">
        <f t="shared" si="28"/>
        <v/>
      </c>
      <c r="AC91" s="637">
        <f t="shared" ca="1" si="6"/>
        <v>-2.1316282072803006E-13</v>
      </c>
      <c r="AD91" s="935">
        <f>IF(ISERROR(VLOOKUP(AD$2,X92:X$1003,1,FALSE)),IF(X91=AD$2,SUMIF(X$4:X91,AD$2,Z$4:Z91)+$E$9+SUM(AQ$4:AQ$1003)+SUMIF(COSTI!$X$1379:$X$1430,AD$2,COSTI!$Z$1379:$Z$1430),0),0)</f>
        <v>0</v>
      </c>
      <c r="AE91" s="26"/>
      <c r="AF91" s="856" t="e">
        <f>IF(ISERROR(VLOOKUP(AG$2,X92:X$1003,1,FALSE)),IF(X91=AG$2,SUMIF(X$4:X91,AG$2,Z$4:Z91)+VLOOKUP(AF$2,$B$1057:$F$1068,5,FALSE)+SUM(AR$4:AR$1003)+SUMIF(COSTI!$X$1379:$X$1430,AG$2,COSTI!$Z$1379:$Z$1430),0),0)</f>
        <v>#N/A</v>
      </c>
      <c r="AG91" s="859"/>
      <c r="AH91" s="27" t="str">
        <f t="shared" si="29"/>
        <v/>
      </c>
      <c r="AI91" s="152">
        <f ca="1">IF(W92&gt;0,0,IF(AH91=0,(Z91*-1)+BC91+SUM(BB$4:BB90),BC91+SUM(BB$4:BB90)))</f>
        <v>-2.1316282072803006E-13</v>
      </c>
      <c r="AJ91" s="931">
        <f>IF(AND(AL91&gt;=$U$1,AL91&lt;=$U$2),IF(AM91='ESTRATTO CONTO'!$E$2,1+COUNTIF(AJ$4:AJ90,"&gt;0")+U$1015,0),0)</f>
        <v>0</v>
      </c>
      <c r="AK91" s="203">
        <f>IF(AND(OR((AK90+1)&lt;AL$1015,(AK90+1)=AL$1015),MAX(AK$4:AK90)&lt;AL$1015),AK90+1,0)</f>
        <v>0</v>
      </c>
      <c r="AL91" s="309">
        <f>VLOOKUP($AK91,ENTI!$AF$4:AG$1003,2,FALSE)</f>
        <v>0</v>
      </c>
      <c r="AM91" s="224">
        <f>VLOOKUP($AK91,ENTI!$AF$4:AH$1003,3,FALSE)</f>
        <v>0</v>
      </c>
      <c r="AN91" s="224">
        <f>VLOOKUP($AK91,ENTI!$AF$4:AI$1003,4,FALSE)</f>
        <v>0</v>
      </c>
      <c r="AO91" s="781">
        <f>VLOOKUP($AK91,ENTI!$AF$4:AJ$1003,5,FALSE)</f>
        <v>0</v>
      </c>
      <c r="AP91" s="315">
        <f>VLOOKUP($AK91,ENTI!$AF$4:AK$1003,6,FALSE)</f>
        <v>0</v>
      </c>
      <c r="AQ91" s="208">
        <f t="shared" si="36"/>
        <v>0</v>
      </c>
      <c r="AR91" s="152" t="e">
        <f t="shared" si="37"/>
        <v>#N/A</v>
      </c>
      <c r="AS91" s="1"/>
      <c r="AT91" s="88" t="str">
        <f t="shared" si="30"/>
        <v/>
      </c>
      <c r="AU91" s="1"/>
      <c r="AV91" s="175">
        <f>IF(AW91&gt;0,COUNTIF(AV$4:AV90,"&gt;0")+1,0)</f>
        <v>0</v>
      </c>
      <c r="AW91" s="164">
        <f t="shared" si="31"/>
        <v>0</v>
      </c>
      <c r="AX91" s="310">
        <f>IF($AW91=0,0,VLOOKUP(VLOOKUP($X91,$B$34:$T$38,19,FALSE),ENTI!$A$9:$B$13,2,FALSE))</f>
        <v>0</v>
      </c>
      <c r="AY91" s="310">
        <f t="shared" si="33"/>
        <v>0</v>
      </c>
      <c r="AZ91" s="316">
        <f t="shared" si="34"/>
        <v>0</v>
      </c>
      <c r="BA91" s="1"/>
      <c r="BB91" s="152">
        <f t="shared" si="35"/>
        <v>0</v>
      </c>
      <c r="BC91" s="152">
        <f ca="1">SUM(Z$4:Z91)+SUM(BB$4:BB91)+COSTI!S$6-COSTI!L$1076</f>
        <v>-31.760000000000218</v>
      </c>
      <c r="BD91" s="1"/>
    </row>
    <row r="92" spans="1:56" ht="16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435">
        <f>IF(AND(W92&gt;=$U$1,W92&lt;=$U$2),IF(X92='ESTRATTO CONTO'!$E$2,1+COUNTIF(U$4:U91,"&gt;0"),0),0)</f>
        <v>0</v>
      </c>
      <c r="V92" s="417">
        <f t="shared" si="32"/>
        <v>89</v>
      </c>
      <c r="W92" s="509"/>
      <c r="X92" s="321"/>
      <c r="Y92" s="321"/>
      <c r="Z92" s="508"/>
      <c r="AA92" s="356"/>
      <c r="AB92" s="306" t="str">
        <f t="shared" si="28"/>
        <v/>
      </c>
      <c r="AC92" s="637">
        <f t="shared" ca="1" si="6"/>
        <v>-2.1316282072803006E-13</v>
      </c>
      <c r="AD92" s="935">
        <f>IF(ISERROR(VLOOKUP(AD$2,X93:X$1003,1,FALSE)),IF(X92=AD$2,SUMIF(X$4:X92,AD$2,Z$4:Z92)+$E$9+SUM(AQ$4:AQ$1003)+SUMIF(COSTI!$X$1379:$X$1430,AD$2,COSTI!$Z$1379:$Z$1430),0),0)</f>
        <v>0</v>
      </c>
      <c r="AE92" s="26"/>
      <c r="AF92" s="856" t="e">
        <f>IF(ISERROR(VLOOKUP(AG$2,X93:X$1003,1,FALSE)),IF(X92=AG$2,SUMIF(X$4:X92,AG$2,Z$4:Z92)+VLOOKUP(AF$2,$B$1057:$F$1068,5,FALSE)+SUM(AR$4:AR$1003)+SUMIF(COSTI!$X$1379:$X$1430,AG$2,COSTI!$Z$1379:$Z$1430),0),0)</f>
        <v>#N/A</v>
      </c>
      <c r="AG92" s="859"/>
      <c r="AH92" s="27" t="str">
        <f t="shared" si="29"/>
        <v/>
      </c>
      <c r="AI92" s="152">
        <f ca="1">IF(W93&gt;0,0,IF(AH92=0,(Z92*-1)+BC92+SUM(BB$4:BB91),BC92+SUM(BB$4:BB91)))</f>
        <v>-2.1316282072803006E-13</v>
      </c>
      <c r="AJ92" s="931">
        <f>IF(AND(AL92&gt;=$U$1,AL92&lt;=$U$2),IF(AM92='ESTRATTO CONTO'!$E$2,1+COUNTIF(AJ$4:AJ91,"&gt;0")+U$1015,0),0)</f>
        <v>0</v>
      </c>
      <c r="AK92" s="203">
        <f>IF(AND(OR((AK91+1)&lt;AL$1015,(AK91+1)=AL$1015),MAX(AK$4:AK91)&lt;AL$1015),AK91+1,0)</f>
        <v>0</v>
      </c>
      <c r="AL92" s="309">
        <f>VLOOKUP($AK92,ENTI!$AF$4:AG$1003,2,FALSE)</f>
        <v>0</v>
      </c>
      <c r="AM92" s="224">
        <f>VLOOKUP($AK92,ENTI!$AF$4:AH$1003,3,FALSE)</f>
        <v>0</v>
      </c>
      <c r="AN92" s="224">
        <f>VLOOKUP($AK92,ENTI!$AF$4:AI$1003,4,FALSE)</f>
        <v>0</v>
      </c>
      <c r="AO92" s="781">
        <f>VLOOKUP($AK92,ENTI!$AF$4:AJ$1003,5,FALSE)</f>
        <v>0</v>
      </c>
      <c r="AP92" s="315">
        <f>VLOOKUP($AK92,ENTI!$AF$4:AK$1003,6,FALSE)</f>
        <v>0</v>
      </c>
      <c r="AQ92" s="208">
        <f t="shared" si="36"/>
        <v>0</v>
      </c>
      <c r="AR92" s="152" t="e">
        <f t="shared" si="37"/>
        <v>#N/A</v>
      </c>
      <c r="AS92" s="1"/>
      <c r="AT92" s="88" t="str">
        <f t="shared" si="30"/>
        <v/>
      </c>
      <c r="AU92" s="1"/>
      <c r="AV92" s="175">
        <f>IF(AW92&gt;0,COUNTIF(AV$4:AV91,"&gt;0")+1,0)</f>
        <v>0</v>
      </c>
      <c r="AW92" s="164">
        <f t="shared" si="31"/>
        <v>0</v>
      </c>
      <c r="AX92" s="310">
        <f>IF($AW92=0,0,VLOOKUP(VLOOKUP($X92,$B$34:$T$38,19,FALSE),ENTI!$A$9:$B$13,2,FALSE))</f>
        <v>0</v>
      </c>
      <c r="AY92" s="310">
        <f t="shared" si="33"/>
        <v>0</v>
      </c>
      <c r="AZ92" s="316">
        <f t="shared" si="34"/>
        <v>0</v>
      </c>
      <c r="BA92" s="1"/>
      <c r="BB92" s="152">
        <f t="shared" si="35"/>
        <v>0</v>
      </c>
      <c r="BC92" s="152">
        <f ca="1">SUM(Z$4:Z92)+SUM(BB$4:BB92)+COSTI!S$6-COSTI!L$1076</f>
        <v>-31.760000000000218</v>
      </c>
      <c r="BD92" s="1"/>
    </row>
    <row r="93" spans="1:56" ht="16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435">
        <f>IF(AND(W93&gt;=$U$1,W93&lt;=$U$2),IF(X93='ESTRATTO CONTO'!$E$2,1+COUNTIF(U$4:U92,"&gt;0"),0),0)</f>
        <v>0</v>
      </c>
      <c r="V93" s="417">
        <f t="shared" si="32"/>
        <v>90</v>
      </c>
      <c r="W93" s="509"/>
      <c r="X93" s="321"/>
      <c r="Y93" s="321"/>
      <c r="Z93" s="508"/>
      <c r="AA93" s="356"/>
      <c r="AB93" s="306" t="str">
        <f t="shared" si="28"/>
        <v/>
      </c>
      <c r="AC93" s="637">
        <f t="shared" ca="1" si="6"/>
        <v>-2.1316282072803006E-13</v>
      </c>
      <c r="AD93" s="935">
        <f>IF(ISERROR(VLOOKUP(AD$2,X94:X$1003,1,FALSE)),IF(X93=AD$2,SUMIF(X$4:X93,AD$2,Z$4:Z93)+$E$9+SUM(AQ$4:AQ$1003)+SUMIF(COSTI!$X$1379:$X$1430,AD$2,COSTI!$Z$1379:$Z$1430),0),0)</f>
        <v>0</v>
      </c>
      <c r="AE93" s="26"/>
      <c r="AF93" s="856" t="e">
        <f>IF(ISERROR(VLOOKUP(AG$2,X94:X$1003,1,FALSE)),IF(X93=AG$2,SUMIF(X$4:X93,AG$2,Z$4:Z93)+VLOOKUP(AF$2,$B$1057:$F$1068,5,FALSE)+SUM(AR$4:AR$1003)+SUMIF(COSTI!$X$1379:$X$1430,AG$2,COSTI!$Z$1379:$Z$1430),0),0)</f>
        <v>#N/A</v>
      </c>
      <c r="AG93" s="859"/>
      <c r="AH93" s="27" t="str">
        <f t="shared" si="29"/>
        <v/>
      </c>
      <c r="AI93" s="152">
        <f ca="1">IF(W94&gt;0,0,IF(AH93=0,(Z93*-1)+BC93+SUM(BB$4:BB92),BC93+SUM(BB$4:BB92)))</f>
        <v>-2.1316282072803006E-13</v>
      </c>
      <c r="AJ93" s="931">
        <f>IF(AND(AL93&gt;=$U$1,AL93&lt;=$U$2),IF(AM93='ESTRATTO CONTO'!$E$2,1+COUNTIF(AJ$4:AJ92,"&gt;0")+U$1015,0),0)</f>
        <v>0</v>
      </c>
      <c r="AK93" s="203">
        <f>IF(AND(OR((AK92+1)&lt;AL$1015,(AK92+1)=AL$1015),MAX(AK$4:AK92)&lt;AL$1015),AK92+1,0)</f>
        <v>0</v>
      </c>
      <c r="AL93" s="309">
        <f>VLOOKUP($AK93,ENTI!$AF$4:AG$1003,2,FALSE)</f>
        <v>0</v>
      </c>
      <c r="AM93" s="224">
        <f>VLOOKUP($AK93,ENTI!$AF$4:AH$1003,3,FALSE)</f>
        <v>0</v>
      </c>
      <c r="AN93" s="224">
        <f>VLOOKUP($AK93,ENTI!$AF$4:AI$1003,4,FALSE)</f>
        <v>0</v>
      </c>
      <c r="AO93" s="781">
        <f>VLOOKUP($AK93,ENTI!$AF$4:AJ$1003,5,FALSE)</f>
        <v>0</v>
      </c>
      <c r="AP93" s="315">
        <f>VLOOKUP($AK93,ENTI!$AF$4:AK$1003,6,FALSE)</f>
        <v>0</v>
      </c>
      <c r="AQ93" s="208">
        <f t="shared" si="36"/>
        <v>0</v>
      </c>
      <c r="AR93" s="152" t="e">
        <f t="shared" si="37"/>
        <v>#N/A</v>
      </c>
      <c r="AS93" s="1"/>
      <c r="AT93" s="88" t="str">
        <f t="shared" si="30"/>
        <v/>
      </c>
      <c r="AU93" s="1"/>
      <c r="AV93" s="175">
        <f>IF(AW93&gt;0,COUNTIF(AV$4:AV92,"&gt;0")+1,0)</f>
        <v>0</v>
      </c>
      <c r="AW93" s="164">
        <f t="shared" si="31"/>
        <v>0</v>
      </c>
      <c r="AX93" s="310">
        <f>IF($AW93=0,0,VLOOKUP(VLOOKUP($X93,$B$34:$T$38,19,FALSE),ENTI!$A$9:$B$13,2,FALSE))</f>
        <v>0</v>
      </c>
      <c r="AY93" s="310">
        <f t="shared" si="33"/>
        <v>0</v>
      </c>
      <c r="AZ93" s="316">
        <f t="shared" si="34"/>
        <v>0</v>
      </c>
      <c r="BA93" s="1"/>
      <c r="BB93" s="152">
        <f t="shared" si="35"/>
        <v>0</v>
      </c>
      <c r="BC93" s="152">
        <f ca="1">SUM(Z$4:Z93)+SUM(BB$4:BB93)+COSTI!S$6-COSTI!L$1076</f>
        <v>-31.760000000000218</v>
      </c>
      <c r="BD93" s="1"/>
    </row>
    <row r="94" spans="1:56" ht="16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435">
        <f>IF(AND(W94&gt;=$U$1,W94&lt;=$U$2),IF(X94='ESTRATTO CONTO'!$E$2,1+COUNTIF(U$4:U93,"&gt;0"),0),0)</f>
        <v>0</v>
      </c>
      <c r="V94" s="417">
        <f t="shared" si="32"/>
        <v>91</v>
      </c>
      <c r="W94" s="509"/>
      <c r="X94" s="321"/>
      <c r="Y94" s="321"/>
      <c r="Z94" s="508"/>
      <c r="AA94" s="356"/>
      <c r="AB94" s="306" t="str">
        <f t="shared" si="28"/>
        <v/>
      </c>
      <c r="AC94" s="637">
        <f t="shared" ca="1" si="6"/>
        <v>-2.1316282072803006E-13</v>
      </c>
      <c r="AD94" s="935">
        <f>IF(ISERROR(VLOOKUP(AD$2,X95:X$1003,1,FALSE)),IF(X94=AD$2,SUMIF(X$4:X94,AD$2,Z$4:Z94)+$E$9+SUM(AQ$4:AQ$1003)+SUMIF(COSTI!$X$1379:$X$1430,AD$2,COSTI!$Z$1379:$Z$1430),0),0)</f>
        <v>0</v>
      </c>
      <c r="AE94" s="26"/>
      <c r="AF94" s="856" t="e">
        <f>IF(ISERROR(VLOOKUP(AG$2,X95:X$1003,1,FALSE)),IF(X94=AG$2,SUMIF(X$4:X94,AG$2,Z$4:Z94)+VLOOKUP(AF$2,$B$1057:$F$1068,5,FALSE)+SUM(AR$4:AR$1003)+SUMIF(COSTI!$X$1379:$X$1430,AG$2,COSTI!$Z$1379:$Z$1430),0),0)</f>
        <v>#N/A</v>
      </c>
      <c r="AG94" s="859"/>
      <c r="AH94" s="27" t="str">
        <f t="shared" si="29"/>
        <v/>
      </c>
      <c r="AI94" s="152">
        <f ca="1">IF(W95&gt;0,0,IF(AH94=0,(Z94*-1)+BC94+SUM(BB$4:BB93),BC94+SUM(BB$4:BB93)))</f>
        <v>-2.1316282072803006E-13</v>
      </c>
      <c r="AJ94" s="931">
        <f>IF(AND(AL94&gt;=$U$1,AL94&lt;=$U$2),IF(AM94='ESTRATTO CONTO'!$E$2,1+COUNTIF(AJ$4:AJ93,"&gt;0")+U$1015,0),0)</f>
        <v>0</v>
      </c>
      <c r="AK94" s="203">
        <f>IF(AND(OR((AK93+1)&lt;AL$1015,(AK93+1)=AL$1015),MAX(AK$4:AK93)&lt;AL$1015),AK93+1,0)</f>
        <v>0</v>
      </c>
      <c r="AL94" s="309">
        <f>VLOOKUP($AK94,ENTI!$AF$4:AG$1003,2,FALSE)</f>
        <v>0</v>
      </c>
      <c r="AM94" s="224">
        <f>VLOOKUP($AK94,ENTI!$AF$4:AH$1003,3,FALSE)</f>
        <v>0</v>
      </c>
      <c r="AN94" s="224">
        <f>VLOOKUP($AK94,ENTI!$AF$4:AI$1003,4,FALSE)</f>
        <v>0</v>
      </c>
      <c r="AO94" s="781">
        <f>VLOOKUP($AK94,ENTI!$AF$4:AJ$1003,5,FALSE)</f>
        <v>0</v>
      </c>
      <c r="AP94" s="315">
        <f>VLOOKUP($AK94,ENTI!$AF$4:AK$1003,6,FALSE)</f>
        <v>0</v>
      </c>
      <c r="AQ94" s="208">
        <f t="shared" si="36"/>
        <v>0</v>
      </c>
      <c r="AR94" s="152" t="e">
        <f t="shared" si="37"/>
        <v>#N/A</v>
      </c>
      <c r="AS94" s="1"/>
      <c r="AT94" s="88" t="str">
        <f t="shared" si="30"/>
        <v/>
      </c>
      <c r="AU94" s="1"/>
      <c r="AV94" s="175">
        <f>IF(AW94&gt;0,COUNTIF(AV$4:AV93,"&gt;0")+1,0)</f>
        <v>0</v>
      </c>
      <c r="AW94" s="164">
        <f t="shared" si="31"/>
        <v>0</v>
      </c>
      <c r="AX94" s="310">
        <f>IF($AW94=0,0,VLOOKUP(VLOOKUP($X94,$B$34:$T$38,19,FALSE),ENTI!$A$9:$B$13,2,FALSE))</f>
        <v>0</v>
      </c>
      <c r="AY94" s="310">
        <f t="shared" si="33"/>
        <v>0</v>
      </c>
      <c r="AZ94" s="316">
        <f t="shared" si="34"/>
        <v>0</v>
      </c>
      <c r="BA94" s="1"/>
      <c r="BB94" s="152">
        <f t="shared" si="35"/>
        <v>0</v>
      </c>
      <c r="BC94" s="152">
        <f ca="1">SUM(Z$4:Z94)+SUM(BB$4:BB94)+COSTI!S$6-COSTI!L$1076</f>
        <v>-31.760000000000218</v>
      </c>
      <c r="BD94" s="1"/>
    </row>
    <row r="95" spans="1:56" ht="16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435">
        <f>IF(AND(W95&gt;=$U$1,W95&lt;=$U$2),IF(X95='ESTRATTO CONTO'!$E$2,1+COUNTIF(U$4:U94,"&gt;0"),0),0)</f>
        <v>0</v>
      </c>
      <c r="V95" s="417">
        <f t="shared" si="32"/>
        <v>92</v>
      </c>
      <c r="W95" s="509"/>
      <c r="X95" s="321"/>
      <c r="Y95" s="321"/>
      <c r="Z95" s="508"/>
      <c r="AA95" s="356"/>
      <c r="AB95" s="306" t="str">
        <f t="shared" si="28"/>
        <v/>
      </c>
      <c r="AC95" s="637">
        <f t="shared" ca="1" si="6"/>
        <v>-2.1316282072803006E-13</v>
      </c>
      <c r="AD95" s="935">
        <f>IF(ISERROR(VLOOKUP(AD$2,X96:X$1003,1,FALSE)),IF(X95=AD$2,SUMIF(X$4:X95,AD$2,Z$4:Z95)+$E$9+SUM(AQ$4:AQ$1003)+SUMIF(COSTI!$X$1379:$X$1430,AD$2,COSTI!$Z$1379:$Z$1430),0),0)</f>
        <v>0</v>
      </c>
      <c r="AE95" s="26"/>
      <c r="AF95" s="856" t="e">
        <f>IF(ISERROR(VLOOKUP(AG$2,X96:X$1003,1,FALSE)),IF(X95=AG$2,SUMIF(X$4:X95,AG$2,Z$4:Z95)+VLOOKUP(AF$2,$B$1057:$F$1068,5,FALSE)+SUM(AR$4:AR$1003)+SUMIF(COSTI!$X$1379:$X$1430,AG$2,COSTI!$Z$1379:$Z$1430),0),0)</f>
        <v>#N/A</v>
      </c>
      <c r="AG95" s="859"/>
      <c r="AH95" s="27" t="str">
        <f t="shared" si="29"/>
        <v/>
      </c>
      <c r="AI95" s="152">
        <f ca="1">IF(W96&gt;0,0,IF(AH95=0,(Z95*-1)+BC95+SUM(BB$4:BB94),BC95+SUM(BB$4:BB94)))</f>
        <v>-2.1316282072803006E-13</v>
      </c>
      <c r="AJ95" s="931">
        <f>IF(AND(AL95&gt;=$U$1,AL95&lt;=$U$2),IF(AM95='ESTRATTO CONTO'!$E$2,1+COUNTIF(AJ$4:AJ94,"&gt;0")+U$1015,0),0)</f>
        <v>0</v>
      </c>
      <c r="AK95" s="203">
        <f>IF(AND(OR((AK94+1)&lt;AL$1015,(AK94+1)=AL$1015),MAX(AK$4:AK94)&lt;AL$1015),AK94+1,0)</f>
        <v>0</v>
      </c>
      <c r="AL95" s="309">
        <f>VLOOKUP($AK95,ENTI!$AF$4:AG$1003,2,FALSE)</f>
        <v>0</v>
      </c>
      <c r="AM95" s="224">
        <f>VLOOKUP($AK95,ENTI!$AF$4:AH$1003,3,FALSE)</f>
        <v>0</v>
      </c>
      <c r="AN95" s="224">
        <f>VLOOKUP($AK95,ENTI!$AF$4:AI$1003,4,FALSE)</f>
        <v>0</v>
      </c>
      <c r="AO95" s="781">
        <f>VLOOKUP($AK95,ENTI!$AF$4:AJ$1003,5,FALSE)</f>
        <v>0</v>
      </c>
      <c r="AP95" s="315">
        <f>VLOOKUP($AK95,ENTI!$AF$4:AK$1003,6,FALSE)</f>
        <v>0</v>
      </c>
      <c r="AQ95" s="208">
        <f t="shared" si="36"/>
        <v>0</v>
      </c>
      <c r="AR95" s="152" t="e">
        <f t="shared" si="37"/>
        <v>#N/A</v>
      </c>
      <c r="AS95" s="1"/>
      <c r="AT95" s="88" t="str">
        <f t="shared" si="30"/>
        <v/>
      </c>
      <c r="AU95" s="1"/>
      <c r="AV95" s="175">
        <f>IF(AW95&gt;0,COUNTIF(AV$4:AV94,"&gt;0")+1,0)</f>
        <v>0</v>
      </c>
      <c r="AW95" s="164">
        <f t="shared" si="31"/>
        <v>0</v>
      </c>
      <c r="AX95" s="310">
        <f>IF($AW95=0,0,VLOOKUP(VLOOKUP($X95,$B$34:$T$38,19,FALSE),ENTI!$A$9:$B$13,2,FALSE))</f>
        <v>0</v>
      </c>
      <c r="AY95" s="310">
        <f t="shared" si="33"/>
        <v>0</v>
      </c>
      <c r="AZ95" s="316">
        <f t="shared" si="34"/>
        <v>0</v>
      </c>
      <c r="BA95" s="1"/>
      <c r="BB95" s="152">
        <f t="shared" si="35"/>
        <v>0</v>
      </c>
      <c r="BC95" s="152">
        <f ca="1">SUM(Z$4:Z95)+SUM(BB$4:BB95)+COSTI!S$6-COSTI!L$1076</f>
        <v>-31.760000000000218</v>
      </c>
      <c r="BD95" s="1"/>
    </row>
    <row r="96" spans="1:56" ht="16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435">
        <f>IF(AND(W96&gt;=$U$1,W96&lt;=$U$2),IF(X96='ESTRATTO CONTO'!$E$2,1+COUNTIF(U$4:U95,"&gt;0"),0),0)</f>
        <v>0</v>
      </c>
      <c r="V96" s="417">
        <f t="shared" si="32"/>
        <v>93</v>
      </c>
      <c r="W96" s="509"/>
      <c r="X96" s="321"/>
      <c r="Y96" s="321"/>
      <c r="Z96" s="508"/>
      <c r="AA96" s="356"/>
      <c r="AB96" s="306" t="str">
        <f t="shared" si="28"/>
        <v/>
      </c>
      <c r="AC96" s="637">
        <f t="shared" ca="1" si="6"/>
        <v>-2.1316282072803006E-13</v>
      </c>
      <c r="AD96" s="935">
        <f>IF(ISERROR(VLOOKUP(AD$2,X97:X$1003,1,FALSE)),IF(X96=AD$2,SUMIF(X$4:X96,AD$2,Z$4:Z96)+$E$9+SUM(AQ$4:AQ$1003)+SUMIF(COSTI!$X$1379:$X$1430,AD$2,COSTI!$Z$1379:$Z$1430),0),0)</f>
        <v>0</v>
      </c>
      <c r="AE96" s="26"/>
      <c r="AF96" s="856" t="e">
        <f>IF(ISERROR(VLOOKUP(AG$2,X97:X$1003,1,FALSE)),IF(X96=AG$2,SUMIF(X$4:X96,AG$2,Z$4:Z96)+VLOOKUP(AF$2,$B$1057:$F$1068,5,FALSE)+SUM(AR$4:AR$1003)+SUMIF(COSTI!$X$1379:$X$1430,AG$2,COSTI!$Z$1379:$Z$1430),0),0)</f>
        <v>#N/A</v>
      </c>
      <c r="AG96" s="859"/>
      <c r="AH96" s="27" t="str">
        <f t="shared" si="29"/>
        <v/>
      </c>
      <c r="AI96" s="152">
        <f ca="1">IF(W97&gt;0,0,IF(AH96=0,(Z96*-1)+BC96+SUM(BB$4:BB95),BC96+SUM(BB$4:BB95)))</f>
        <v>-2.1316282072803006E-13</v>
      </c>
      <c r="AJ96" s="931">
        <f>IF(AND(AL96&gt;=$U$1,AL96&lt;=$U$2),IF(AM96='ESTRATTO CONTO'!$E$2,1+COUNTIF(AJ$4:AJ95,"&gt;0")+U$1015,0),0)</f>
        <v>0</v>
      </c>
      <c r="AK96" s="203">
        <f>IF(AND(OR((AK95+1)&lt;AL$1015,(AK95+1)=AL$1015),MAX(AK$4:AK95)&lt;AL$1015),AK95+1,0)</f>
        <v>0</v>
      </c>
      <c r="AL96" s="309">
        <f>VLOOKUP($AK96,ENTI!$AF$4:AG$1003,2,FALSE)</f>
        <v>0</v>
      </c>
      <c r="AM96" s="224">
        <f>VLOOKUP($AK96,ENTI!$AF$4:AH$1003,3,FALSE)</f>
        <v>0</v>
      </c>
      <c r="AN96" s="224">
        <f>VLOOKUP($AK96,ENTI!$AF$4:AI$1003,4,FALSE)</f>
        <v>0</v>
      </c>
      <c r="AO96" s="781">
        <f>VLOOKUP($AK96,ENTI!$AF$4:AJ$1003,5,FALSE)</f>
        <v>0</v>
      </c>
      <c r="AP96" s="315">
        <f>VLOOKUP($AK96,ENTI!$AF$4:AK$1003,6,FALSE)</f>
        <v>0</v>
      </c>
      <c r="AQ96" s="208">
        <f t="shared" si="36"/>
        <v>0</v>
      </c>
      <c r="AR96" s="152" t="e">
        <f t="shared" si="37"/>
        <v>#N/A</v>
      </c>
      <c r="AS96" s="1"/>
      <c r="AT96" s="88" t="str">
        <f t="shared" si="30"/>
        <v/>
      </c>
      <c r="AU96" s="1"/>
      <c r="AV96" s="175">
        <f>IF(AW96&gt;0,COUNTIF(AV$4:AV95,"&gt;0")+1,0)</f>
        <v>0</v>
      </c>
      <c r="AW96" s="164">
        <f t="shared" si="31"/>
        <v>0</v>
      </c>
      <c r="AX96" s="310">
        <f>IF($AW96=0,0,VLOOKUP(VLOOKUP($X96,$B$34:$T$38,19,FALSE),ENTI!$A$9:$B$13,2,FALSE))</f>
        <v>0</v>
      </c>
      <c r="AY96" s="310">
        <f t="shared" si="33"/>
        <v>0</v>
      </c>
      <c r="AZ96" s="316">
        <f t="shared" si="34"/>
        <v>0</v>
      </c>
      <c r="BA96" s="1"/>
      <c r="BB96" s="152">
        <f t="shared" si="35"/>
        <v>0</v>
      </c>
      <c r="BC96" s="152">
        <f ca="1">SUM(Z$4:Z96)+SUM(BB$4:BB96)+COSTI!S$6-COSTI!L$1076</f>
        <v>-31.760000000000218</v>
      </c>
      <c r="BD96" s="1"/>
    </row>
    <row r="97" spans="1:56" ht="16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435">
        <f>IF(AND(W97&gt;=$U$1,W97&lt;=$U$2),IF(X97='ESTRATTO CONTO'!$E$2,1+COUNTIF(U$4:U96,"&gt;0"),0),0)</f>
        <v>0</v>
      </c>
      <c r="V97" s="417">
        <f t="shared" si="32"/>
        <v>94</v>
      </c>
      <c r="W97" s="509"/>
      <c r="X97" s="321"/>
      <c r="Y97" s="321"/>
      <c r="Z97" s="508"/>
      <c r="AA97" s="356"/>
      <c r="AB97" s="306" t="str">
        <f t="shared" si="28"/>
        <v/>
      </c>
      <c r="AC97" s="637">
        <f t="shared" ca="1" si="6"/>
        <v>-2.1316282072803006E-13</v>
      </c>
      <c r="AD97" s="935">
        <f>IF(ISERROR(VLOOKUP(AD$2,X98:X$1003,1,FALSE)),IF(X97=AD$2,SUMIF(X$4:X97,AD$2,Z$4:Z97)+$E$9+SUM(AQ$4:AQ$1003)+SUMIF(COSTI!$X$1379:$X$1430,AD$2,COSTI!$Z$1379:$Z$1430),0),0)</f>
        <v>0</v>
      </c>
      <c r="AE97" s="26"/>
      <c r="AF97" s="856" t="e">
        <f>IF(ISERROR(VLOOKUP(AG$2,X98:X$1003,1,FALSE)),IF(X97=AG$2,SUMIF(X$4:X97,AG$2,Z$4:Z97)+VLOOKUP(AF$2,$B$1057:$F$1068,5,FALSE)+SUM(AR$4:AR$1003)+SUMIF(COSTI!$X$1379:$X$1430,AG$2,COSTI!$Z$1379:$Z$1430),0),0)</f>
        <v>#N/A</v>
      </c>
      <c r="AG97" s="859"/>
      <c r="AH97" s="27" t="str">
        <f t="shared" si="29"/>
        <v/>
      </c>
      <c r="AI97" s="152">
        <f ca="1">IF(W98&gt;0,0,IF(AH97=0,(Z97*-1)+BC97+SUM(BB$4:BB96),BC97+SUM(BB$4:BB96)))</f>
        <v>-2.1316282072803006E-13</v>
      </c>
      <c r="AJ97" s="931">
        <f>IF(AND(AL97&gt;=$U$1,AL97&lt;=$U$2),IF(AM97='ESTRATTO CONTO'!$E$2,1+COUNTIF(AJ$4:AJ96,"&gt;0")+U$1015,0),0)</f>
        <v>0</v>
      </c>
      <c r="AK97" s="203">
        <f>IF(AND(OR((AK96+1)&lt;AL$1015,(AK96+1)=AL$1015),MAX(AK$4:AK96)&lt;AL$1015),AK96+1,0)</f>
        <v>0</v>
      </c>
      <c r="AL97" s="309">
        <f>VLOOKUP($AK97,ENTI!$AF$4:AG$1003,2,FALSE)</f>
        <v>0</v>
      </c>
      <c r="AM97" s="224">
        <f>VLOOKUP($AK97,ENTI!$AF$4:AH$1003,3,FALSE)</f>
        <v>0</v>
      </c>
      <c r="AN97" s="224">
        <f>VLOOKUP($AK97,ENTI!$AF$4:AI$1003,4,FALSE)</f>
        <v>0</v>
      </c>
      <c r="AO97" s="781">
        <f>VLOOKUP($AK97,ENTI!$AF$4:AJ$1003,5,FALSE)</f>
        <v>0</v>
      </c>
      <c r="AP97" s="315">
        <f>VLOOKUP($AK97,ENTI!$AF$4:AK$1003,6,FALSE)</f>
        <v>0</v>
      </c>
      <c r="AQ97" s="208">
        <f t="shared" si="36"/>
        <v>0</v>
      </c>
      <c r="AR97" s="152" t="e">
        <f t="shared" si="37"/>
        <v>#N/A</v>
      </c>
      <c r="AS97" s="1"/>
      <c r="AT97" s="88" t="str">
        <f t="shared" si="30"/>
        <v/>
      </c>
      <c r="AU97" s="1"/>
      <c r="AV97" s="175">
        <f>IF(AW97&gt;0,COUNTIF(AV$4:AV96,"&gt;0")+1,0)</f>
        <v>0</v>
      </c>
      <c r="AW97" s="164">
        <f t="shared" si="31"/>
        <v>0</v>
      </c>
      <c r="AX97" s="310">
        <f>IF($AW97=0,0,VLOOKUP(VLOOKUP($X97,$B$34:$T$38,19,FALSE),ENTI!$A$9:$B$13,2,FALSE))</f>
        <v>0</v>
      </c>
      <c r="AY97" s="310">
        <f t="shared" si="33"/>
        <v>0</v>
      </c>
      <c r="AZ97" s="316">
        <f t="shared" si="34"/>
        <v>0</v>
      </c>
      <c r="BA97" s="1"/>
      <c r="BB97" s="152">
        <f t="shared" si="35"/>
        <v>0</v>
      </c>
      <c r="BC97" s="152">
        <f ca="1">SUM(Z$4:Z97)+SUM(BB$4:BB97)+COSTI!S$6-COSTI!L$1076</f>
        <v>-31.760000000000218</v>
      </c>
      <c r="BD97" s="1"/>
    </row>
    <row r="98" spans="1:56" ht="16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435">
        <f>IF(AND(W98&gt;=$U$1,W98&lt;=$U$2),IF(X98='ESTRATTO CONTO'!$E$2,1+COUNTIF(U$4:U97,"&gt;0"),0),0)</f>
        <v>0</v>
      </c>
      <c r="V98" s="417">
        <f t="shared" si="32"/>
        <v>95</v>
      </c>
      <c r="W98" s="509"/>
      <c r="X98" s="321"/>
      <c r="Y98" s="321"/>
      <c r="Z98" s="508"/>
      <c r="AA98" s="356"/>
      <c r="AB98" s="306" t="str">
        <f t="shared" si="28"/>
        <v/>
      </c>
      <c r="AC98" s="637">
        <f t="shared" ca="1" si="6"/>
        <v>-2.1316282072803006E-13</v>
      </c>
      <c r="AD98" s="935">
        <f>IF(ISERROR(VLOOKUP(AD$2,X99:X$1003,1,FALSE)),IF(X98=AD$2,SUMIF(X$4:X98,AD$2,Z$4:Z98)+$E$9+SUM(AQ$4:AQ$1003)+SUMIF(COSTI!$X$1379:$X$1430,AD$2,COSTI!$Z$1379:$Z$1430),0),0)</f>
        <v>0</v>
      </c>
      <c r="AE98" s="26"/>
      <c r="AF98" s="856" t="e">
        <f>IF(ISERROR(VLOOKUP(AG$2,X99:X$1003,1,FALSE)),IF(X98=AG$2,SUMIF(X$4:X98,AG$2,Z$4:Z98)+VLOOKUP(AF$2,$B$1057:$F$1068,5,FALSE)+SUM(AR$4:AR$1003)+SUMIF(COSTI!$X$1379:$X$1430,AG$2,COSTI!$Z$1379:$Z$1430),0),0)</f>
        <v>#N/A</v>
      </c>
      <c r="AG98" s="859"/>
      <c r="AH98" s="27" t="str">
        <f t="shared" si="29"/>
        <v/>
      </c>
      <c r="AI98" s="152">
        <f ca="1">IF(W99&gt;0,0,IF(AH98=0,(Z98*-1)+BC98+SUM(BB$4:BB97),BC98+SUM(BB$4:BB97)))</f>
        <v>-2.1316282072803006E-13</v>
      </c>
      <c r="AJ98" s="931">
        <f>IF(AND(AL98&gt;=$U$1,AL98&lt;=$U$2),IF(AM98='ESTRATTO CONTO'!$E$2,1+COUNTIF(AJ$4:AJ97,"&gt;0")+U$1015,0),0)</f>
        <v>0</v>
      </c>
      <c r="AK98" s="203">
        <f>IF(AND(OR((AK97+1)&lt;AL$1015,(AK97+1)=AL$1015),MAX(AK$4:AK97)&lt;AL$1015),AK97+1,0)</f>
        <v>0</v>
      </c>
      <c r="AL98" s="309">
        <f>VLOOKUP($AK98,ENTI!$AF$4:AG$1003,2,FALSE)</f>
        <v>0</v>
      </c>
      <c r="AM98" s="224">
        <f>VLOOKUP($AK98,ENTI!$AF$4:AH$1003,3,FALSE)</f>
        <v>0</v>
      </c>
      <c r="AN98" s="224">
        <f>VLOOKUP($AK98,ENTI!$AF$4:AI$1003,4,FALSE)</f>
        <v>0</v>
      </c>
      <c r="AO98" s="781">
        <f>VLOOKUP($AK98,ENTI!$AF$4:AJ$1003,5,FALSE)</f>
        <v>0</v>
      </c>
      <c r="AP98" s="315">
        <f>VLOOKUP($AK98,ENTI!$AF$4:AK$1003,6,FALSE)</f>
        <v>0</v>
      </c>
      <c r="AQ98" s="208">
        <f t="shared" si="36"/>
        <v>0</v>
      </c>
      <c r="AR98" s="152" t="e">
        <f t="shared" si="37"/>
        <v>#N/A</v>
      </c>
      <c r="AS98" s="1"/>
      <c r="AT98" s="88" t="str">
        <f t="shared" si="30"/>
        <v/>
      </c>
      <c r="AU98" s="1"/>
      <c r="AV98" s="175">
        <f>IF(AW98&gt;0,COUNTIF(AV$4:AV97,"&gt;0")+1,0)</f>
        <v>0</v>
      </c>
      <c r="AW98" s="164">
        <f t="shared" si="31"/>
        <v>0</v>
      </c>
      <c r="AX98" s="310">
        <f>IF($AW98=0,0,VLOOKUP(VLOOKUP($X98,$B$34:$T$38,19,FALSE),ENTI!$A$9:$B$13,2,FALSE))</f>
        <v>0</v>
      </c>
      <c r="AY98" s="310">
        <f t="shared" si="33"/>
        <v>0</v>
      </c>
      <c r="AZ98" s="316">
        <f t="shared" si="34"/>
        <v>0</v>
      </c>
      <c r="BA98" s="1"/>
      <c r="BB98" s="152">
        <f t="shared" si="35"/>
        <v>0</v>
      </c>
      <c r="BC98" s="152">
        <f ca="1">SUM(Z$4:Z98)+SUM(BB$4:BB98)+COSTI!S$6-COSTI!L$1076</f>
        <v>-31.760000000000218</v>
      </c>
      <c r="BD98" s="1"/>
    </row>
    <row r="99" spans="1:56" ht="16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435">
        <f>IF(AND(W99&gt;=$U$1,W99&lt;=$U$2),IF(X99='ESTRATTO CONTO'!$E$2,1+COUNTIF(U$4:U98,"&gt;0"),0),0)</f>
        <v>0</v>
      </c>
      <c r="V99" s="417">
        <f t="shared" si="32"/>
        <v>96</v>
      </c>
      <c r="W99" s="509"/>
      <c r="X99" s="321"/>
      <c r="Y99" s="321"/>
      <c r="Z99" s="508"/>
      <c r="AA99" s="356"/>
      <c r="AB99" s="306" t="str">
        <f t="shared" si="28"/>
        <v/>
      </c>
      <c r="AC99" s="637">
        <f t="shared" ca="1" si="6"/>
        <v>-2.1316282072803006E-13</v>
      </c>
      <c r="AD99" s="935">
        <f>IF(ISERROR(VLOOKUP(AD$2,X100:X$1003,1,FALSE)),IF(X99=AD$2,SUMIF(X$4:X99,AD$2,Z$4:Z99)+$E$9+SUM(AQ$4:AQ$1003)+SUMIF(COSTI!$X$1379:$X$1430,AD$2,COSTI!$Z$1379:$Z$1430),0),0)</f>
        <v>0</v>
      </c>
      <c r="AE99" s="26"/>
      <c r="AF99" s="856" t="e">
        <f>IF(ISERROR(VLOOKUP(AG$2,X100:X$1003,1,FALSE)),IF(X99=AG$2,SUMIF(X$4:X99,AG$2,Z$4:Z99)+VLOOKUP(AF$2,$B$1057:$F$1068,5,FALSE)+SUM(AR$4:AR$1003)+SUMIF(COSTI!$X$1379:$X$1430,AG$2,COSTI!$Z$1379:$Z$1430),0),0)</f>
        <v>#N/A</v>
      </c>
      <c r="AG99" s="859"/>
      <c r="AH99" s="27" t="str">
        <f t="shared" si="29"/>
        <v/>
      </c>
      <c r="AI99" s="152">
        <f ca="1">IF(W100&gt;0,0,IF(AH99=0,(Z99*-1)+BC99+SUM(BB$4:BB98),BC99+SUM(BB$4:BB98)))</f>
        <v>-2.1316282072803006E-13</v>
      </c>
      <c r="AJ99" s="931">
        <f>IF(AND(AL99&gt;=$U$1,AL99&lt;=$U$2),IF(AM99='ESTRATTO CONTO'!$E$2,1+COUNTIF(AJ$4:AJ98,"&gt;0")+U$1015,0),0)</f>
        <v>0</v>
      </c>
      <c r="AK99" s="203">
        <f>IF(AND(OR((AK98+1)&lt;AL$1015,(AK98+1)=AL$1015),MAX(AK$4:AK98)&lt;AL$1015),AK98+1,0)</f>
        <v>0</v>
      </c>
      <c r="AL99" s="309">
        <f>VLOOKUP($AK99,ENTI!$AF$4:AG$1003,2,FALSE)</f>
        <v>0</v>
      </c>
      <c r="AM99" s="224">
        <f>VLOOKUP($AK99,ENTI!$AF$4:AH$1003,3,FALSE)</f>
        <v>0</v>
      </c>
      <c r="AN99" s="224">
        <f>VLOOKUP($AK99,ENTI!$AF$4:AI$1003,4,FALSE)</f>
        <v>0</v>
      </c>
      <c r="AO99" s="781">
        <f>VLOOKUP($AK99,ENTI!$AF$4:AJ$1003,5,FALSE)</f>
        <v>0</v>
      </c>
      <c r="AP99" s="315">
        <f>VLOOKUP($AK99,ENTI!$AF$4:AK$1003,6,FALSE)</f>
        <v>0</v>
      </c>
      <c r="AQ99" s="208">
        <f t="shared" si="36"/>
        <v>0</v>
      </c>
      <c r="AR99" s="152" t="e">
        <f t="shared" si="37"/>
        <v>#N/A</v>
      </c>
      <c r="AS99" s="1"/>
      <c r="AT99" s="88" t="str">
        <f t="shared" si="30"/>
        <v/>
      </c>
      <c r="AU99" s="1"/>
      <c r="AV99" s="175">
        <f>IF(AW99&gt;0,COUNTIF(AV$4:AV98,"&gt;0")+1,0)</f>
        <v>0</v>
      </c>
      <c r="AW99" s="164">
        <f t="shared" si="31"/>
        <v>0</v>
      </c>
      <c r="AX99" s="310">
        <f>IF($AW99=0,0,VLOOKUP(VLOOKUP($X99,$B$34:$T$38,19,FALSE),ENTI!$A$9:$B$13,2,FALSE))</f>
        <v>0</v>
      </c>
      <c r="AY99" s="310">
        <f t="shared" si="33"/>
        <v>0</v>
      </c>
      <c r="AZ99" s="316">
        <f t="shared" si="34"/>
        <v>0</v>
      </c>
      <c r="BA99" s="1"/>
      <c r="BB99" s="152">
        <f t="shared" si="35"/>
        <v>0</v>
      </c>
      <c r="BC99" s="152">
        <f ca="1">SUM(Z$4:Z99)+SUM(BB$4:BB99)+COSTI!S$6-COSTI!L$1076</f>
        <v>-31.760000000000218</v>
      </c>
      <c r="BD99" s="1"/>
    </row>
    <row r="100" spans="1:56" ht="16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435">
        <f>IF(AND(W100&gt;=$U$1,W100&lt;=$U$2),IF(X100='ESTRATTO CONTO'!$E$2,1+COUNTIF(U$4:U99,"&gt;0"),0),0)</f>
        <v>0</v>
      </c>
      <c r="V100" s="417">
        <f t="shared" si="32"/>
        <v>97</v>
      </c>
      <c r="W100" s="509"/>
      <c r="X100" s="321"/>
      <c r="Y100" s="321"/>
      <c r="Z100" s="508"/>
      <c r="AA100" s="356"/>
      <c r="AB100" s="306" t="str">
        <f t="shared" si="28"/>
        <v/>
      </c>
      <c r="AC100" s="637">
        <f t="shared" ca="1" si="6"/>
        <v>-2.1316282072803006E-13</v>
      </c>
      <c r="AD100" s="935">
        <f>IF(ISERROR(VLOOKUP(AD$2,X101:X$1003,1,FALSE)),IF(X100=AD$2,SUMIF(X$4:X100,AD$2,Z$4:Z100)+$E$9+SUM(AQ$4:AQ$1003)+SUMIF(COSTI!$X$1379:$X$1430,AD$2,COSTI!$Z$1379:$Z$1430),0),0)</f>
        <v>0</v>
      </c>
      <c r="AE100" s="26"/>
      <c r="AF100" s="856" t="e">
        <f>IF(ISERROR(VLOOKUP(AG$2,X101:X$1003,1,FALSE)),IF(X100=AG$2,SUMIF(X$4:X100,AG$2,Z$4:Z100)+VLOOKUP(AF$2,$B$1057:$F$1068,5,FALSE)+SUM(AR$4:AR$1003)+SUMIF(COSTI!$X$1379:$X$1430,AG$2,COSTI!$Z$1379:$Z$1430),0),0)</f>
        <v>#N/A</v>
      </c>
      <c r="AG100" s="859"/>
      <c r="AH100" s="27" t="str">
        <f t="shared" si="29"/>
        <v/>
      </c>
      <c r="AI100" s="152">
        <f ca="1">IF(W101&gt;0,0,IF(AH100=0,(Z100*-1)+BC100+SUM(BB$4:BB99),BC100+SUM(BB$4:BB99)))</f>
        <v>-2.1316282072803006E-13</v>
      </c>
      <c r="AJ100" s="931">
        <f>IF(AND(AL100&gt;=$U$1,AL100&lt;=$U$2),IF(AM100='ESTRATTO CONTO'!$E$2,1+COUNTIF(AJ$4:AJ99,"&gt;0")+U$1015,0),0)</f>
        <v>0</v>
      </c>
      <c r="AK100" s="203">
        <f>IF(AND(OR((AK99+1)&lt;AL$1015,(AK99+1)=AL$1015),MAX(AK$4:AK99)&lt;AL$1015),AK99+1,0)</f>
        <v>0</v>
      </c>
      <c r="AL100" s="309">
        <f>VLOOKUP($AK100,ENTI!$AF$4:AG$1003,2,FALSE)</f>
        <v>0</v>
      </c>
      <c r="AM100" s="224">
        <f>VLOOKUP($AK100,ENTI!$AF$4:AH$1003,3,FALSE)</f>
        <v>0</v>
      </c>
      <c r="AN100" s="224">
        <f>VLOOKUP($AK100,ENTI!$AF$4:AI$1003,4,FALSE)</f>
        <v>0</v>
      </c>
      <c r="AO100" s="781">
        <f>VLOOKUP($AK100,ENTI!$AF$4:AJ$1003,5,FALSE)</f>
        <v>0</v>
      </c>
      <c r="AP100" s="315">
        <f>VLOOKUP($AK100,ENTI!$AF$4:AK$1003,6,FALSE)</f>
        <v>0</v>
      </c>
      <c r="AQ100" s="208">
        <f t="shared" si="36"/>
        <v>0</v>
      </c>
      <c r="AR100" s="152" t="e">
        <f t="shared" si="37"/>
        <v>#N/A</v>
      </c>
      <c r="AS100" s="1"/>
      <c r="AT100" s="88" t="str">
        <f t="shared" si="30"/>
        <v/>
      </c>
      <c r="AU100" s="1"/>
      <c r="AV100" s="175">
        <f>IF(AW100&gt;0,COUNTIF(AV$4:AV99,"&gt;0")+1,0)</f>
        <v>0</v>
      </c>
      <c r="AW100" s="164">
        <f t="shared" si="31"/>
        <v>0</v>
      </c>
      <c r="AX100" s="310">
        <f>IF($AW100=0,0,VLOOKUP(VLOOKUP($X100,$B$34:$T$38,19,FALSE),ENTI!$A$9:$B$13,2,FALSE))</f>
        <v>0</v>
      </c>
      <c r="AY100" s="310">
        <f t="shared" si="33"/>
        <v>0</v>
      </c>
      <c r="AZ100" s="316">
        <f t="shared" si="34"/>
        <v>0</v>
      </c>
      <c r="BA100" s="1"/>
      <c r="BB100" s="152">
        <f t="shared" si="35"/>
        <v>0</v>
      </c>
      <c r="BC100" s="152">
        <f ca="1">SUM(Z$4:Z100)+SUM(BB$4:BB100)+COSTI!S$6-COSTI!L$1076</f>
        <v>-31.760000000000218</v>
      </c>
      <c r="BD100" s="1"/>
    </row>
    <row r="101" spans="1:56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435">
        <f>IF(AND(W101&gt;=$U$1,W101&lt;=$U$2),IF(X101='ESTRATTO CONTO'!$E$2,1+COUNTIF(U$4:U100,"&gt;0"),0),0)</f>
        <v>0</v>
      </c>
      <c r="V101" s="417">
        <f t="shared" si="32"/>
        <v>98</v>
      </c>
      <c r="W101" s="509"/>
      <c r="X101" s="321"/>
      <c r="Y101" s="321"/>
      <c r="Z101" s="508"/>
      <c r="AA101" s="356"/>
      <c r="AB101" s="306" t="str">
        <f t="shared" si="28"/>
        <v/>
      </c>
      <c r="AC101" s="637">
        <f t="shared" ca="1" si="6"/>
        <v>-2.1316282072803006E-13</v>
      </c>
      <c r="AD101" s="935">
        <f>IF(ISERROR(VLOOKUP(AD$2,X102:X$1003,1,FALSE)),IF(X101=AD$2,SUMIF(X$4:X101,AD$2,Z$4:Z101)+$E$9+SUM(AQ$4:AQ$1003)+SUMIF(COSTI!$X$1379:$X$1430,AD$2,COSTI!$Z$1379:$Z$1430),0),0)</f>
        <v>0</v>
      </c>
      <c r="AE101" s="26"/>
      <c r="AF101" s="856" t="e">
        <f>IF(ISERROR(VLOOKUP(AG$2,X102:X$1003,1,FALSE)),IF(X101=AG$2,SUMIF(X$4:X101,AG$2,Z$4:Z101)+VLOOKUP(AF$2,$B$1057:$F$1068,5,FALSE)+SUM(AR$4:AR$1003)+SUMIF(COSTI!$X$1379:$X$1430,AG$2,COSTI!$Z$1379:$Z$1430),0),0)</f>
        <v>#N/A</v>
      </c>
      <c r="AG101" s="859"/>
      <c r="AH101" s="27" t="str">
        <f t="shared" si="29"/>
        <v/>
      </c>
      <c r="AI101" s="152">
        <f ca="1">IF(W102&gt;0,0,IF(AH101=0,(Z101*-1)+BC101+SUM(BB$4:BB100),BC101+SUM(BB$4:BB100)))</f>
        <v>-2.1316282072803006E-13</v>
      </c>
      <c r="AJ101" s="931">
        <f>IF(AND(AL101&gt;=$U$1,AL101&lt;=$U$2),IF(AM101='ESTRATTO CONTO'!$E$2,1+COUNTIF(AJ$4:AJ100,"&gt;0")+U$1015,0),0)</f>
        <v>0</v>
      </c>
      <c r="AK101" s="203">
        <f>IF(AND(OR((AK100+1)&lt;AL$1015,(AK100+1)=AL$1015),MAX(AK$4:AK100)&lt;AL$1015),AK100+1,0)</f>
        <v>0</v>
      </c>
      <c r="AL101" s="309">
        <f>VLOOKUP($AK101,ENTI!$AF$4:AG$1003,2,FALSE)</f>
        <v>0</v>
      </c>
      <c r="AM101" s="224">
        <f>VLOOKUP($AK101,ENTI!$AF$4:AH$1003,3,FALSE)</f>
        <v>0</v>
      </c>
      <c r="AN101" s="224">
        <f>VLOOKUP($AK101,ENTI!$AF$4:AI$1003,4,FALSE)</f>
        <v>0</v>
      </c>
      <c r="AO101" s="781">
        <f>VLOOKUP($AK101,ENTI!$AF$4:AJ$1003,5,FALSE)</f>
        <v>0</v>
      </c>
      <c r="AP101" s="315">
        <f>VLOOKUP($AK101,ENTI!$AF$4:AK$1003,6,FALSE)</f>
        <v>0</v>
      </c>
      <c r="AQ101" s="208">
        <f t="shared" si="36"/>
        <v>0</v>
      </c>
      <c r="AR101" s="152" t="e">
        <f t="shared" si="37"/>
        <v>#N/A</v>
      </c>
      <c r="AS101" s="1"/>
      <c r="AT101" s="88" t="str">
        <f t="shared" si="30"/>
        <v/>
      </c>
      <c r="AU101" s="1"/>
      <c r="AV101" s="175">
        <f>IF(AW101&gt;0,COUNTIF(AV$4:AV100,"&gt;0")+1,0)</f>
        <v>0</v>
      </c>
      <c r="AW101" s="164">
        <f t="shared" si="31"/>
        <v>0</v>
      </c>
      <c r="AX101" s="310">
        <f>IF($AW101=0,0,VLOOKUP(VLOOKUP($X101,$B$34:$T$38,19,FALSE),ENTI!$A$9:$B$13,2,FALSE))</f>
        <v>0</v>
      </c>
      <c r="AY101" s="310">
        <f t="shared" si="33"/>
        <v>0</v>
      </c>
      <c r="AZ101" s="316">
        <f t="shared" si="34"/>
        <v>0</v>
      </c>
      <c r="BA101" s="1"/>
      <c r="BB101" s="152">
        <f t="shared" si="35"/>
        <v>0</v>
      </c>
      <c r="BC101" s="152">
        <f ca="1">SUM(Z$4:Z101)+SUM(BB$4:BB101)+COSTI!S$6-COSTI!L$1076</f>
        <v>-31.760000000000218</v>
      </c>
      <c r="BD101" s="1"/>
    </row>
    <row r="102" spans="1:56" ht="16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435">
        <f>IF(AND(W102&gt;=$U$1,W102&lt;=$U$2),IF(X102='ESTRATTO CONTO'!$E$2,1+COUNTIF(U$4:U101,"&gt;0"),0),0)</f>
        <v>0</v>
      </c>
      <c r="V102" s="417">
        <f t="shared" si="32"/>
        <v>99</v>
      </c>
      <c r="W102" s="509"/>
      <c r="X102" s="321"/>
      <c r="Y102" s="321"/>
      <c r="Z102" s="508"/>
      <c r="AA102" s="356"/>
      <c r="AB102" s="306" t="str">
        <f t="shared" si="28"/>
        <v/>
      </c>
      <c r="AC102" s="637">
        <f t="shared" ca="1" si="6"/>
        <v>-2.1316282072803006E-13</v>
      </c>
      <c r="AD102" s="935">
        <f>IF(ISERROR(VLOOKUP(AD$2,X103:X$1003,1,FALSE)),IF(X102=AD$2,SUMIF(X$4:X102,AD$2,Z$4:Z102)+$E$9+SUM(AQ$4:AQ$1003)+SUMIF(COSTI!$X$1379:$X$1430,AD$2,COSTI!$Z$1379:$Z$1430),0),0)</f>
        <v>0</v>
      </c>
      <c r="AE102" s="26"/>
      <c r="AF102" s="856" t="e">
        <f>IF(ISERROR(VLOOKUP(AG$2,X103:X$1003,1,FALSE)),IF(X102=AG$2,SUMIF(X$4:X102,AG$2,Z$4:Z102)+VLOOKUP(AF$2,$B$1057:$F$1068,5,FALSE)+SUM(AR$4:AR$1003)+SUMIF(COSTI!$X$1379:$X$1430,AG$2,COSTI!$Z$1379:$Z$1430),0),0)</f>
        <v>#N/A</v>
      </c>
      <c r="AG102" s="859"/>
      <c r="AH102" s="27" t="str">
        <f t="shared" si="29"/>
        <v/>
      </c>
      <c r="AI102" s="152">
        <f ca="1">IF(W103&gt;0,0,IF(AH102=0,(Z102*-1)+BC102+SUM(BB$4:BB101),BC102+SUM(BB$4:BB101)))</f>
        <v>-2.1316282072803006E-13</v>
      </c>
      <c r="AJ102" s="931">
        <f>IF(AND(AL102&gt;=$U$1,AL102&lt;=$U$2),IF(AM102='ESTRATTO CONTO'!$E$2,1+COUNTIF(AJ$4:AJ101,"&gt;0")+U$1015,0),0)</f>
        <v>0</v>
      </c>
      <c r="AK102" s="203">
        <f>IF(AND(OR((AK101+1)&lt;AL$1015,(AK101+1)=AL$1015),MAX(AK$4:AK101)&lt;AL$1015),AK101+1,0)</f>
        <v>0</v>
      </c>
      <c r="AL102" s="309">
        <f>VLOOKUP($AK102,ENTI!$AF$4:AG$1003,2,FALSE)</f>
        <v>0</v>
      </c>
      <c r="AM102" s="224">
        <f>VLOOKUP($AK102,ENTI!$AF$4:AH$1003,3,FALSE)</f>
        <v>0</v>
      </c>
      <c r="AN102" s="224">
        <f>VLOOKUP($AK102,ENTI!$AF$4:AI$1003,4,FALSE)</f>
        <v>0</v>
      </c>
      <c r="AO102" s="781">
        <f>VLOOKUP($AK102,ENTI!$AF$4:AJ$1003,5,FALSE)</f>
        <v>0</v>
      </c>
      <c r="AP102" s="315">
        <f>VLOOKUP($AK102,ENTI!$AF$4:AK$1003,6,FALSE)</f>
        <v>0</v>
      </c>
      <c r="AQ102" s="208">
        <f t="shared" si="36"/>
        <v>0</v>
      </c>
      <c r="AR102" s="152" t="e">
        <f t="shared" si="37"/>
        <v>#N/A</v>
      </c>
      <c r="AS102" s="1"/>
      <c r="AT102" s="88" t="str">
        <f t="shared" si="30"/>
        <v/>
      </c>
      <c r="AU102" s="1"/>
      <c r="AV102" s="175">
        <f>IF(AW102&gt;0,COUNTIF(AV$4:AV101,"&gt;0")+1,0)</f>
        <v>0</v>
      </c>
      <c r="AW102" s="164">
        <f t="shared" si="31"/>
        <v>0</v>
      </c>
      <c r="AX102" s="310">
        <f>IF($AW102=0,0,VLOOKUP(VLOOKUP($X102,$B$34:$T$38,19,FALSE),ENTI!$A$9:$B$13,2,FALSE))</f>
        <v>0</v>
      </c>
      <c r="AY102" s="310">
        <f t="shared" si="33"/>
        <v>0</v>
      </c>
      <c r="AZ102" s="316">
        <f t="shared" si="34"/>
        <v>0</v>
      </c>
      <c r="BA102" s="1"/>
      <c r="BB102" s="152">
        <f t="shared" si="35"/>
        <v>0</v>
      </c>
      <c r="BC102" s="152">
        <f ca="1">SUM(Z$4:Z102)+SUM(BB$4:BB102)+COSTI!S$6-COSTI!L$1076</f>
        <v>-31.760000000000218</v>
      </c>
      <c r="BD102" s="1"/>
    </row>
    <row r="103" spans="1:56" ht="16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435">
        <f>IF(AND(W103&gt;=$U$1,W103&lt;=$U$2),IF(X103='ESTRATTO CONTO'!$E$2,1+COUNTIF(U$4:U102,"&gt;0"),0),0)</f>
        <v>0</v>
      </c>
      <c r="V103" s="417">
        <f t="shared" si="32"/>
        <v>100</v>
      </c>
      <c r="W103" s="509"/>
      <c r="X103" s="321"/>
      <c r="Y103" s="321"/>
      <c r="Z103" s="508"/>
      <c r="AA103" s="356"/>
      <c r="AB103" s="306" t="str">
        <f t="shared" si="28"/>
        <v/>
      </c>
      <c r="AC103" s="637">
        <f t="shared" ca="1" si="6"/>
        <v>-2.1316282072803006E-13</v>
      </c>
      <c r="AD103" s="935">
        <f>IF(ISERROR(VLOOKUP(AD$2,X104:X$1003,1,FALSE)),IF(X103=AD$2,SUMIF(X$4:X103,AD$2,Z$4:Z103)+$E$9+SUM(AQ$4:AQ$1003)+SUMIF(COSTI!$X$1379:$X$1430,AD$2,COSTI!$Z$1379:$Z$1430),0),0)</f>
        <v>0</v>
      </c>
      <c r="AE103" s="26"/>
      <c r="AF103" s="856" t="e">
        <f>IF(ISERROR(VLOOKUP(AG$2,X104:X$1003,1,FALSE)),IF(X103=AG$2,SUMIF(X$4:X103,AG$2,Z$4:Z103)+VLOOKUP(AF$2,$B$1057:$F$1068,5,FALSE)+SUM(AR$4:AR$1003)+SUMIF(COSTI!$X$1379:$X$1430,AG$2,COSTI!$Z$1379:$Z$1430),0),0)</f>
        <v>#N/A</v>
      </c>
      <c r="AG103" s="859"/>
      <c r="AH103" s="27" t="str">
        <f t="shared" si="29"/>
        <v/>
      </c>
      <c r="AI103" s="152">
        <f ca="1">IF(W104&gt;0,0,IF(AH103=0,(Z103*-1)+BC103+SUM(BB$4:BB102),BC103+SUM(BB$4:BB102)))</f>
        <v>-2.1316282072803006E-13</v>
      </c>
      <c r="AJ103" s="931">
        <f>IF(AND(AL103&gt;=$U$1,AL103&lt;=$U$2),IF(AM103='ESTRATTO CONTO'!$E$2,1+COUNTIF(AJ$4:AJ102,"&gt;0")+U$1015,0),0)</f>
        <v>0</v>
      </c>
      <c r="AK103" s="203">
        <f>IF(AND(OR((AK102+1)&lt;AL$1015,(AK102+1)=AL$1015),MAX(AK$4:AK102)&lt;AL$1015),AK102+1,0)</f>
        <v>0</v>
      </c>
      <c r="AL103" s="309">
        <f>VLOOKUP($AK103,ENTI!$AF$4:AG$1003,2,FALSE)</f>
        <v>0</v>
      </c>
      <c r="AM103" s="224">
        <f>VLOOKUP($AK103,ENTI!$AF$4:AH$1003,3,FALSE)</f>
        <v>0</v>
      </c>
      <c r="AN103" s="224">
        <f>VLOOKUP($AK103,ENTI!$AF$4:AI$1003,4,FALSE)</f>
        <v>0</v>
      </c>
      <c r="AO103" s="781">
        <f>VLOOKUP($AK103,ENTI!$AF$4:AJ$1003,5,FALSE)</f>
        <v>0</v>
      </c>
      <c r="AP103" s="315">
        <f>VLOOKUP($AK103,ENTI!$AF$4:AK$1003,6,FALSE)</f>
        <v>0</v>
      </c>
      <c r="AQ103" s="208">
        <f t="shared" si="36"/>
        <v>0</v>
      </c>
      <c r="AR103" s="152" t="e">
        <f t="shared" si="37"/>
        <v>#N/A</v>
      </c>
      <c r="AS103" s="1"/>
      <c r="AT103" s="88" t="str">
        <f t="shared" si="30"/>
        <v/>
      </c>
      <c r="AU103" s="1"/>
      <c r="AV103" s="175">
        <f>IF(AW103&gt;0,COUNTIF(AV$4:AV102,"&gt;0")+1,0)</f>
        <v>0</v>
      </c>
      <c r="AW103" s="164">
        <f t="shared" si="31"/>
        <v>0</v>
      </c>
      <c r="AX103" s="310">
        <f>IF($AW103=0,0,VLOOKUP(VLOOKUP($X103,$B$34:$T$38,19,FALSE),ENTI!$A$9:$B$13,2,FALSE))</f>
        <v>0</v>
      </c>
      <c r="AY103" s="310">
        <f t="shared" si="33"/>
        <v>0</v>
      </c>
      <c r="AZ103" s="316">
        <f t="shared" si="34"/>
        <v>0</v>
      </c>
      <c r="BA103" s="1"/>
      <c r="BB103" s="152">
        <f t="shared" si="35"/>
        <v>0</v>
      </c>
      <c r="BC103" s="152">
        <f ca="1">SUM(Z$4:Z103)+SUM(BB$4:BB103)+COSTI!S$6-COSTI!L$1076</f>
        <v>-31.760000000000218</v>
      </c>
      <c r="BD103" s="1"/>
    </row>
    <row r="104" spans="1:56" ht="16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435">
        <f>IF(AND(W104&gt;=$U$1,W104&lt;=$U$2),IF(X104='ESTRATTO CONTO'!$E$2,1+COUNTIF(U$4:U103,"&gt;0"),0),0)</f>
        <v>0</v>
      </c>
      <c r="V104" s="417">
        <f t="shared" si="32"/>
        <v>101</v>
      </c>
      <c r="W104" s="509"/>
      <c r="X104" s="321"/>
      <c r="Y104" s="321"/>
      <c r="Z104" s="508"/>
      <c r="AA104" s="356"/>
      <c r="AB104" s="306" t="str">
        <f t="shared" si="28"/>
        <v/>
      </c>
      <c r="AC104" s="637">
        <f t="shared" ca="1" si="6"/>
        <v>-2.1316282072803006E-13</v>
      </c>
      <c r="AD104" s="935">
        <f>IF(ISERROR(VLOOKUP(AD$2,X105:X$1003,1,FALSE)),IF(X104=AD$2,SUMIF(X$4:X104,AD$2,Z$4:Z104)+$E$9+SUM(AQ$4:AQ$1003)+SUMIF(COSTI!$X$1379:$X$1430,AD$2,COSTI!$Z$1379:$Z$1430),0),0)</f>
        <v>0</v>
      </c>
      <c r="AE104" s="26"/>
      <c r="AF104" s="856" t="e">
        <f>IF(ISERROR(VLOOKUP(AG$2,X105:X$1003,1,FALSE)),IF(X104=AG$2,SUMIF(X$4:X104,AG$2,Z$4:Z104)+VLOOKUP(AF$2,$B$1057:$F$1068,5,FALSE)+SUM(AR$4:AR$1003)+SUMIF(COSTI!$X$1379:$X$1430,AG$2,COSTI!$Z$1379:$Z$1430),0),0)</f>
        <v>#N/A</v>
      </c>
      <c r="AG104" s="859"/>
      <c r="AH104" s="27" t="str">
        <f t="shared" si="29"/>
        <v/>
      </c>
      <c r="AI104" s="152">
        <f ca="1">IF(W105&gt;0,0,IF(AH104=0,(Z104*-1)+BC104+SUM(BB$4:BB103),BC104+SUM(BB$4:BB103)))</f>
        <v>-2.1316282072803006E-13</v>
      </c>
      <c r="AJ104" s="931">
        <f>IF(AND(AL104&gt;=$U$1,AL104&lt;=$U$2),IF(AM104='ESTRATTO CONTO'!$E$2,1+COUNTIF(AJ$4:AJ103,"&gt;0")+U$1015,0),0)</f>
        <v>0</v>
      </c>
      <c r="AK104" s="203">
        <f>IF(AND(OR((AK103+1)&lt;AL$1015,(AK103+1)=AL$1015),MAX(AK$4:AK103)&lt;AL$1015),AK103+1,0)</f>
        <v>0</v>
      </c>
      <c r="AL104" s="309">
        <f>VLOOKUP($AK104,ENTI!$AF$4:AG$1003,2,FALSE)</f>
        <v>0</v>
      </c>
      <c r="AM104" s="224">
        <f>VLOOKUP($AK104,ENTI!$AF$4:AH$1003,3,FALSE)</f>
        <v>0</v>
      </c>
      <c r="AN104" s="224">
        <f>VLOOKUP($AK104,ENTI!$AF$4:AI$1003,4,FALSE)</f>
        <v>0</v>
      </c>
      <c r="AO104" s="781">
        <f>VLOOKUP($AK104,ENTI!$AF$4:AJ$1003,5,FALSE)</f>
        <v>0</v>
      </c>
      <c r="AP104" s="315">
        <f>VLOOKUP($AK104,ENTI!$AF$4:AK$1003,6,FALSE)</f>
        <v>0</v>
      </c>
      <c r="AQ104" s="208">
        <f t="shared" si="36"/>
        <v>0</v>
      </c>
      <c r="AR104" s="152" t="e">
        <f t="shared" si="37"/>
        <v>#N/A</v>
      </c>
      <c r="AS104" s="1"/>
      <c r="AT104" s="88" t="str">
        <f t="shared" si="30"/>
        <v/>
      </c>
      <c r="AU104" s="1"/>
      <c r="AV104" s="175">
        <f>IF(AW104&gt;0,COUNTIF(AV$4:AV103,"&gt;0")+1,0)</f>
        <v>0</v>
      </c>
      <c r="AW104" s="164">
        <f t="shared" si="31"/>
        <v>0</v>
      </c>
      <c r="AX104" s="310">
        <f>IF($AW104=0,0,VLOOKUP(VLOOKUP($X104,$B$34:$T$38,19,FALSE),ENTI!$A$9:$B$13,2,FALSE))</f>
        <v>0</v>
      </c>
      <c r="AY104" s="310">
        <f t="shared" si="33"/>
        <v>0</v>
      </c>
      <c r="AZ104" s="316">
        <f t="shared" si="34"/>
        <v>0</v>
      </c>
      <c r="BA104" s="1"/>
      <c r="BB104" s="152">
        <f t="shared" si="35"/>
        <v>0</v>
      </c>
      <c r="BC104" s="152">
        <f ca="1">SUM(Z$4:Z104)+SUM(BB$4:BB104)+COSTI!S$6-COSTI!L$1076</f>
        <v>-31.760000000000218</v>
      </c>
      <c r="BD104" s="1"/>
    </row>
    <row r="105" spans="1:56" ht="16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435">
        <f>IF(AND(W105&gt;=$U$1,W105&lt;=$U$2),IF(X105='ESTRATTO CONTO'!$E$2,1+COUNTIF(U$4:U104,"&gt;0"),0),0)</f>
        <v>0</v>
      </c>
      <c r="V105" s="417">
        <f t="shared" si="32"/>
        <v>102</v>
      </c>
      <c r="W105" s="509"/>
      <c r="X105" s="321"/>
      <c r="Y105" s="321"/>
      <c r="Z105" s="508"/>
      <c r="AA105" s="356"/>
      <c r="AB105" s="306" t="str">
        <f t="shared" si="28"/>
        <v/>
      </c>
      <c r="AC105" s="637">
        <f t="shared" ca="1" si="6"/>
        <v>-2.1316282072803006E-13</v>
      </c>
      <c r="AD105" s="935">
        <f>IF(ISERROR(VLOOKUP(AD$2,X106:X$1003,1,FALSE)),IF(X105=AD$2,SUMIF(X$4:X105,AD$2,Z$4:Z105)+$E$9+SUM(AQ$4:AQ$1003)+SUMIF(COSTI!$X$1379:$X$1430,AD$2,COSTI!$Z$1379:$Z$1430),0),0)</f>
        <v>0</v>
      </c>
      <c r="AE105" s="26"/>
      <c r="AF105" s="856" t="e">
        <f>IF(ISERROR(VLOOKUP(AG$2,X106:X$1003,1,FALSE)),IF(X105=AG$2,SUMIF(X$4:X105,AG$2,Z$4:Z105)+VLOOKUP(AF$2,$B$1057:$F$1068,5,FALSE)+SUM(AR$4:AR$1003)+SUMIF(COSTI!$X$1379:$X$1430,AG$2,COSTI!$Z$1379:$Z$1430),0),0)</f>
        <v>#N/A</v>
      </c>
      <c r="AG105" s="859"/>
      <c r="AH105" s="27" t="str">
        <f t="shared" si="29"/>
        <v/>
      </c>
      <c r="AI105" s="152">
        <f ca="1">IF(W106&gt;0,0,IF(AH105=0,(Z105*-1)+BC105+SUM(BB$4:BB104),BC105+SUM(BB$4:BB104)))</f>
        <v>-2.1316282072803006E-13</v>
      </c>
      <c r="AJ105" s="931">
        <f>IF(AND(AL105&gt;=$U$1,AL105&lt;=$U$2),IF(AM105='ESTRATTO CONTO'!$E$2,1+COUNTIF(AJ$4:AJ104,"&gt;0")+U$1015,0),0)</f>
        <v>0</v>
      </c>
      <c r="AK105" s="203">
        <f>IF(AND(OR((AK104+1)&lt;AL$1015,(AK104+1)=AL$1015),MAX(AK$4:AK104)&lt;AL$1015),AK104+1,0)</f>
        <v>0</v>
      </c>
      <c r="AL105" s="309">
        <f>VLOOKUP($AK105,ENTI!$AF$4:AG$1003,2,FALSE)</f>
        <v>0</v>
      </c>
      <c r="AM105" s="224">
        <f>VLOOKUP($AK105,ENTI!$AF$4:AH$1003,3,FALSE)</f>
        <v>0</v>
      </c>
      <c r="AN105" s="224">
        <f>VLOOKUP($AK105,ENTI!$AF$4:AI$1003,4,FALSE)</f>
        <v>0</v>
      </c>
      <c r="AO105" s="781">
        <f>VLOOKUP($AK105,ENTI!$AF$4:AJ$1003,5,FALSE)</f>
        <v>0</v>
      </c>
      <c r="AP105" s="315">
        <f>VLOOKUP($AK105,ENTI!$AF$4:AK$1003,6,FALSE)</f>
        <v>0</v>
      </c>
      <c r="AQ105" s="208">
        <f t="shared" si="36"/>
        <v>0</v>
      </c>
      <c r="AR105" s="152" t="e">
        <f t="shared" si="37"/>
        <v>#N/A</v>
      </c>
      <c r="AS105" s="1"/>
      <c r="AT105" s="88" t="str">
        <f t="shared" si="30"/>
        <v/>
      </c>
      <c r="AU105" s="1"/>
      <c r="AV105" s="175">
        <f>IF(AW105&gt;0,COUNTIF(AV$4:AV104,"&gt;0")+1,0)</f>
        <v>0</v>
      </c>
      <c r="AW105" s="164">
        <f t="shared" si="31"/>
        <v>0</v>
      </c>
      <c r="AX105" s="310">
        <f>IF($AW105=0,0,VLOOKUP(VLOOKUP($X105,$B$34:$T$38,19,FALSE),ENTI!$A$9:$B$13,2,FALSE))</f>
        <v>0</v>
      </c>
      <c r="AY105" s="310">
        <f t="shared" si="33"/>
        <v>0</v>
      </c>
      <c r="AZ105" s="316">
        <f t="shared" si="34"/>
        <v>0</v>
      </c>
      <c r="BA105" s="1"/>
      <c r="BB105" s="152">
        <f t="shared" si="35"/>
        <v>0</v>
      </c>
      <c r="BC105" s="152">
        <f ca="1">SUM(Z$4:Z105)+SUM(BB$4:BB105)+COSTI!S$6-COSTI!L$1076</f>
        <v>-31.760000000000218</v>
      </c>
      <c r="BD105" s="1"/>
    </row>
    <row r="106" spans="1:56" ht="16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435">
        <f>IF(AND(W106&gt;=$U$1,W106&lt;=$U$2),IF(X106='ESTRATTO CONTO'!$E$2,1+COUNTIF(U$4:U105,"&gt;0"),0),0)</f>
        <v>0</v>
      </c>
      <c r="V106" s="417">
        <f t="shared" si="32"/>
        <v>103</v>
      </c>
      <c r="W106" s="509"/>
      <c r="X106" s="321"/>
      <c r="Y106" s="321"/>
      <c r="Z106" s="508"/>
      <c r="AA106" s="356"/>
      <c r="AB106" s="306" t="str">
        <f t="shared" si="28"/>
        <v/>
      </c>
      <c r="AC106" s="637">
        <f t="shared" ca="1" si="6"/>
        <v>-2.1316282072803006E-13</v>
      </c>
      <c r="AD106" s="935">
        <f>IF(ISERROR(VLOOKUP(AD$2,X107:X$1003,1,FALSE)),IF(X106=AD$2,SUMIF(X$4:X106,AD$2,Z$4:Z106)+$E$9+SUM(AQ$4:AQ$1003)+SUMIF(COSTI!$X$1379:$X$1430,AD$2,COSTI!$Z$1379:$Z$1430),0),0)</f>
        <v>0</v>
      </c>
      <c r="AE106" s="26"/>
      <c r="AF106" s="856" t="e">
        <f>IF(ISERROR(VLOOKUP(AG$2,X107:X$1003,1,FALSE)),IF(X106=AG$2,SUMIF(X$4:X106,AG$2,Z$4:Z106)+VLOOKUP(AF$2,$B$1057:$F$1068,5,FALSE)+SUM(AR$4:AR$1003)+SUMIF(COSTI!$X$1379:$X$1430,AG$2,COSTI!$Z$1379:$Z$1430),0),0)</f>
        <v>#N/A</v>
      </c>
      <c r="AG106" s="859"/>
      <c r="AH106" s="27" t="str">
        <f t="shared" si="29"/>
        <v/>
      </c>
      <c r="AI106" s="152">
        <f ca="1">IF(W107&gt;0,0,IF(AH106=0,(Z106*-1)+BC106+SUM(BB$4:BB105),BC106+SUM(BB$4:BB105)))</f>
        <v>-2.1316282072803006E-13</v>
      </c>
      <c r="AJ106" s="931">
        <f>IF(AND(AL106&gt;=$U$1,AL106&lt;=$U$2),IF(AM106='ESTRATTO CONTO'!$E$2,1+COUNTIF(AJ$4:AJ105,"&gt;0")+U$1015,0),0)</f>
        <v>0</v>
      </c>
      <c r="AK106" s="203">
        <f>IF(AND(OR((AK105+1)&lt;AL$1015,(AK105+1)=AL$1015),MAX(AK$4:AK105)&lt;AL$1015),AK105+1,0)</f>
        <v>0</v>
      </c>
      <c r="AL106" s="309">
        <f>VLOOKUP($AK106,ENTI!$AF$4:AG$1003,2,FALSE)</f>
        <v>0</v>
      </c>
      <c r="AM106" s="224">
        <f>VLOOKUP($AK106,ENTI!$AF$4:AH$1003,3,FALSE)</f>
        <v>0</v>
      </c>
      <c r="AN106" s="224">
        <f>VLOOKUP($AK106,ENTI!$AF$4:AI$1003,4,FALSE)</f>
        <v>0</v>
      </c>
      <c r="AO106" s="781">
        <f>VLOOKUP($AK106,ENTI!$AF$4:AJ$1003,5,FALSE)</f>
        <v>0</v>
      </c>
      <c r="AP106" s="315">
        <f>VLOOKUP($AK106,ENTI!$AF$4:AK$1003,6,FALSE)</f>
        <v>0</v>
      </c>
      <c r="AQ106" s="208">
        <f t="shared" si="36"/>
        <v>0</v>
      </c>
      <c r="AR106" s="152" t="e">
        <f t="shared" si="37"/>
        <v>#N/A</v>
      </c>
      <c r="AS106" s="1"/>
      <c r="AT106" s="88" t="str">
        <f t="shared" si="30"/>
        <v/>
      </c>
      <c r="AU106" s="1"/>
      <c r="AV106" s="175">
        <f>IF(AW106&gt;0,COUNTIF(AV$4:AV105,"&gt;0")+1,0)</f>
        <v>0</v>
      </c>
      <c r="AW106" s="164">
        <f t="shared" si="31"/>
        <v>0</v>
      </c>
      <c r="AX106" s="310">
        <f>IF($AW106=0,0,VLOOKUP(VLOOKUP($X106,$B$34:$T$38,19,FALSE),ENTI!$A$9:$B$13,2,FALSE))</f>
        <v>0</v>
      </c>
      <c r="AY106" s="310">
        <f t="shared" si="33"/>
        <v>0</v>
      </c>
      <c r="AZ106" s="316">
        <f t="shared" si="34"/>
        <v>0</v>
      </c>
      <c r="BA106" s="1"/>
      <c r="BB106" s="152">
        <f t="shared" si="35"/>
        <v>0</v>
      </c>
      <c r="BC106" s="152">
        <f ca="1">SUM(Z$4:Z106)+SUM(BB$4:BB106)+COSTI!S$6-COSTI!L$1076</f>
        <v>-31.760000000000218</v>
      </c>
      <c r="BD106" s="1"/>
    </row>
    <row r="107" spans="1:56" ht="16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435">
        <f>IF(AND(W107&gt;=$U$1,W107&lt;=$U$2),IF(X107='ESTRATTO CONTO'!$E$2,1+COUNTIF(U$4:U106,"&gt;0"),0),0)</f>
        <v>0</v>
      </c>
      <c r="V107" s="417">
        <f t="shared" si="32"/>
        <v>104</v>
      </c>
      <c r="W107" s="509"/>
      <c r="X107" s="321"/>
      <c r="Y107" s="321"/>
      <c r="Z107" s="508"/>
      <c r="AA107" s="356"/>
      <c r="AB107" s="306" t="str">
        <f t="shared" si="28"/>
        <v/>
      </c>
      <c r="AC107" s="637">
        <f t="shared" ca="1" si="6"/>
        <v>-2.1316282072803006E-13</v>
      </c>
      <c r="AD107" s="935">
        <f>IF(ISERROR(VLOOKUP(AD$2,X108:X$1003,1,FALSE)),IF(X107=AD$2,SUMIF(X$4:X107,AD$2,Z$4:Z107)+$E$9+SUM(AQ$4:AQ$1003)+SUMIF(COSTI!$X$1379:$X$1430,AD$2,COSTI!$Z$1379:$Z$1430),0),0)</f>
        <v>0</v>
      </c>
      <c r="AE107" s="26"/>
      <c r="AF107" s="856" t="e">
        <f>IF(ISERROR(VLOOKUP(AG$2,X108:X$1003,1,FALSE)),IF(X107=AG$2,SUMIF(X$4:X107,AG$2,Z$4:Z107)+VLOOKUP(AF$2,$B$1057:$F$1068,5,FALSE)+SUM(AR$4:AR$1003)+SUMIF(COSTI!$X$1379:$X$1430,AG$2,COSTI!$Z$1379:$Z$1430),0),0)</f>
        <v>#N/A</v>
      </c>
      <c r="AG107" s="859"/>
      <c r="AH107" s="27" t="str">
        <f t="shared" si="29"/>
        <v/>
      </c>
      <c r="AI107" s="152">
        <f ca="1">IF(W108&gt;0,0,IF(AH107=0,(Z107*-1)+BC107+SUM(BB$4:BB106),BC107+SUM(BB$4:BB106)))</f>
        <v>-2.1316282072803006E-13</v>
      </c>
      <c r="AJ107" s="931">
        <f>IF(AND(AL107&gt;=$U$1,AL107&lt;=$U$2),IF(AM107='ESTRATTO CONTO'!$E$2,1+COUNTIF(AJ$4:AJ106,"&gt;0")+U$1015,0),0)</f>
        <v>0</v>
      </c>
      <c r="AK107" s="203">
        <f>IF(AND(OR((AK106+1)&lt;AL$1015,(AK106+1)=AL$1015),MAX(AK$4:AK106)&lt;AL$1015),AK106+1,0)</f>
        <v>0</v>
      </c>
      <c r="AL107" s="309">
        <f>VLOOKUP($AK107,ENTI!$AF$4:AG$1003,2,FALSE)</f>
        <v>0</v>
      </c>
      <c r="AM107" s="224">
        <f>VLOOKUP($AK107,ENTI!$AF$4:AH$1003,3,FALSE)</f>
        <v>0</v>
      </c>
      <c r="AN107" s="224">
        <f>VLOOKUP($AK107,ENTI!$AF$4:AI$1003,4,FALSE)</f>
        <v>0</v>
      </c>
      <c r="AO107" s="781">
        <f>VLOOKUP($AK107,ENTI!$AF$4:AJ$1003,5,FALSE)</f>
        <v>0</v>
      </c>
      <c r="AP107" s="315">
        <f>VLOOKUP($AK107,ENTI!$AF$4:AK$1003,6,FALSE)</f>
        <v>0</v>
      </c>
      <c r="AQ107" s="208">
        <f t="shared" si="36"/>
        <v>0</v>
      </c>
      <c r="AR107" s="152" t="e">
        <f t="shared" si="37"/>
        <v>#N/A</v>
      </c>
      <c r="AS107" s="1"/>
      <c r="AT107" s="88" t="str">
        <f t="shared" si="30"/>
        <v/>
      </c>
      <c r="AU107" s="1"/>
      <c r="AV107" s="175">
        <f>IF(AW107&gt;0,COUNTIF(AV$4:AV106,"&gt;0")+1,0)</f>
        <v>0</v>
      </c>
      <c r="AW107" s="164">
        <f t="shared" si="31"/>
        <v>0</v>
      </c>
      <c r="AX107" s="310">
        <f>IF($AW107=0,0,VLOOKUP(VLOOKUP($X107,$B$34:$T$38,19,FALSE),ENTI!$A$9:$B$13,2,FALSE))</f>
        <v>0</v>
      </c>
      <c r="AY107" s="310">
        <f t="shared" si="33"/>
        <v>0</v>
      </c>
      <c r="AZ107" s="316">
        <f t="shared" si="34"/>
        <v>0</v>
      </c>
      <c r="BA107" s="1"/>
      <c r="BB107" s="152">
        <f t="shared" si="35"/>
        <v>0</v>
      </c>
      <c r="BC107" s="152">
        <f ca="1">SUM(Z$4:Z107)+SUM(BB$4:BB107)+COSTI!S$6-COSTI!L$1076</f>
        <v>-31.760000000000218</v>
      </c>
      <c r="BD107" s="1"/>
    </row>
    <row r="108" spans="1:56" ht="16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435">
        <f>IF(AND(W108&gt;=$U$1,W108&lt;=$U$2),IF(X108='ESTRATTO CONTO'!$E$2,1+COUNTIF(U$4:U107,"&gt;0"),0),0)</f>
        <v>0</v>
      </c>
      <c r="V108" s="417">
        <f t="shared" si="32"/>
        <v>105</v>
      </c>
      <c r="W108" s="509"/>
      <c r="X108" s="321"/>
      <c r="Y108" s="321"/>
      <c r="Z108" s="508"/>
      <c r="AA108" s="356"/>
      <c r="AB108" s="306" t="str">
        <f t="shared" si="28"/>
        <v/>
      </c>
      <c r="AC108" s="637">
        <f t="shared" ca="1" si="6"/>
        <v>-2.1316282072803006E-13</v>
      </c>
      <c r="AD108" s="935">
        <f>IF(ISERROR(VLOOKUP(AD$2,X109:X$1003,1,FALSE)),IF(X108=AD$2,SUMIF(X$4:X108,AD$2,Z$4:Z108)+$E$9+SUM(AQ$4:AQ$1003)+SUMIF(COSTI!$X$1379:$X$1430,AD$2,COSTI!$Z$1379:$Z$1430),0),0)</f>
        <v>0</v>
      </c>
      <c r="AE108" s="26"/>
      <c r="AF108" s="856" t="e">
        <f>IF(ISERROR(VLOOKUP(AG$2,X109:X$1003,1,FALSE)),IF(X108=AG$2,SUMIF(X$4:X108,AG$2,Z$4:Z108)+VLOOKUP(AF$2,$B$1057:$F$1068,5,FALSE)+SUM(AR$4:AR$1003)+SUMIF(COSTI!$X$1379:$X$1430,AG$2,COSTI!$Z$1379:$Z$1430),0),0)</f>
        <v>#N/A</v>
      </c>
      <c r="AG108" s="859"/>
      <c r="AH108" s="27" t="str">
        <f t="shared" si="29"/>
        <v/>
      </c>
      <c r="AI108" s="152">
        <f ca="1">IF(W109&gt;0,0,IF(AH108=0,(Z108*-1)+BC108+SUM(BB$4:BB107),BC108+SUM(BB$4:BB107)))</f>
        <v>-2.1316282072803006E-13</v>
      </c>
      <c r="AJ108" s="931">
        <f>IF(AND(AL108&gt;=$U$1,AL108&lt;=$U$2),IF(AM108='ESTRATTO CONTO'!$E$2,1+COUNTIF(AJ$4:AJ107,"&gt;0")+U$1015,0),0)</f>
        <v>0</v>
      </c>
      <c r="AK108" s="203">
        <f>IF(AND(OR((AK107+1)&lt;AL$1015,(AK107+1)=AL$1015),MAX(AK$4:AK107)&lt;AL$1015),AK107+1,0)</f>
        <v>0</v>
      </c>
      <c r="AL108" s="309">
        <f>VLOOKUP($AK108,ENTI!$AF$4:AG$1003,2,FALSE)</f>
        <v>0</v>
      </c>
      <c r="AM108" s="224">
        <f>VLOOKUP($AK108,ENTI!$AF$4:AH$1003,3,FALSE)</f>
        <v>0</v>
      </c>
      <c r="AN108" s="224">
        <f>VLOOKUP($AK108,ENTI!$AF$4:AI$1003,4,FALSE)</f>
        <v>0</v>
      </c>
      <c r="AO108" s="781">
        <f>VLOOKUP($AK108,ENTI!$AF$4:AJ$1003,5,FALSE)</f>
        <v>0</v>
      </c>
      <c r="AP108" s="315">
        <f>VLOOKUP($AK108,ENTI!$AF$4:AK$1003,6,FALSE)</f>
        <v>0</v>
      </c>
      <c r="AQ108" s="208">
        <f t="shared" si="36"/>
        <v>0</v>
      </c>
      <c r="AR108" s="152" t="e">
        <f t="shared" si="37"/>
        <v>#N/A</v>
      </c>
      <c r="AS108" s="1"/>
      <c r="AT108" s="88" t="str">
        <f t="shared" si="30"/>
        <v/>
      </c>
      <c r="AU108" s="1"/>
      <c r="AV108" s="175">
        <f>IF(AW108&gt;0,COUNTIF(AV$4:AV107,"&gt;0")+1,0)</f>
        <v>0</v>
      </c>
      <c r="AW108" s="164">
        <f t="shared" si="31"/>
        <v>0</v>
      </c>
      <c r="AX108" s="310">
        <f>IF($AW108=0,0,VLOOKUP(VLOOKUP($X108,$B$34:$T$38,19,FALSE),ENTI!$A$9:$B$13,2,FALSE))</f>
        <v>0</v>
      </c>
      <c r="AY108" s="310">
        <f t="shared" si="33"/>
        <v>0</v>
      </c>
      <c r="AZ108" s="316">
        <f t="shared" si="34"/>
        <v>0</v>
      </c>
      <c r="BA108" s="1"/>
      <c r="BB108" s="152">
        <f t="shared" si="35"/>
        <v>0</v>
      </c>
      <c r="BC108" s="152">
        <f ca="1">SUM(Z$4:Z108)+SUM(BB$4:BB108)+COSTI!S$6-COSTI!L$1076</f>
        <v>-31.760000000000218</v>
      </c>
      <c r="BD108" s="1"/>
    </row>
    <row r="109" spans="1:56" ht="16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435">
        <f>IF(AND(W109&gt;=$U$1,W109&lt;=$U$2),IF(X109='ESTRATTO CONTO'!$E$2,1+COUNTIF(U$4:U108,"&gt;0"),0),0)</f>
        <v>0</v>
      </c>
      <c r="V109" s="417">
        <f t="shared" si="32"/>
        <v>106</v>
      </c>
      <c r="W109" s="509"/>
      <c r="X109" s="321"/>
      <c r="Y109" s="321"/>
      <c r="Z109" s="508"/>
      <c r="AA109" s="356"/>
      <c r="AB109" s="306" t="str">
        <f t="shared" si="28"/>
        <v/>
      </c>
      <c r="AC109" s="637">
        <f t="shared" ca="1" si="6"/>
        <v>-2.1316282072803006E-13</v>
      </c>
      <c r="AD109" s="935">
        <f>IF(ISERROR(VLOOKUP(AD$2,X110:X$1003,1,FALSE)),IF(X109=AD$2,SUMIF(X$4:X109,AD$2,Z$4:Z109)+$E$9+SUM(AQ$4:AQ$1003)+SUMIF(COSTI!$X$1379:$X$1430,AD$2,COSTI!$Z$1379:$Z$1430),0),0)</f>
        <v>0</v>
      </c>
      <c r="AE109" s="26"/>
      <c r="AF109" s="856" t="e">
        <f>IF(ISERROR(VLOOKUP(AG$2,X110:X$1003,1,FALSE)),IF(X109=AG$2,SUMIF(X$4:X109,AG$2,Z$4:Z109)+VLOOKUP(AF$2,$B$1057:$F$1068,5,FALSE)+SUM(AR$4:AR$1003)+SUMIF(COSTI!$X$1379:$X$1430,AG$2,COSTI!$Z$1379:$Z$1430),0),0)</f>
        <v>#N/A</v>
      </c>
      <c r="AG109" s="859"/>
      <c r="AH109" s="27" t="str">
        <f t="shared" si="29"/>
        <v/>
      </c>
      <c r="AI109" s="152">
        <f ca="1">IF(W110&gt;0,0,IF(AH109=0,(Z109*-1)+BC109+SUM(BB$4:BB108),BC109+SUM(BB$4:BB108)))</f>
        <v>-2.1316282072803006E-13</v>
      </c>
      <c r="AJ109" s="931">
        <f>IF(AND(AL109&gt;=$U$1,AL109&lt;=$U$2),IF(AM109='ESTRATTO CONTO'!$E$2,1+COUNTIF(AJ$4:AJ108,"&gt;0")+U$1015,0),0)</f>
        <v>0</v>
      </c>
      <c r="AK109" s="203">
        <f>IF(AND(OR((AK108+1)&lt;AL$1015,(AK108+1)=AL$1015),MAX(AK$4:AK108)&lt;AL$1015),AK108+1,0)</f>
        <v>0</v>
      </c>
      <c r="AL109" s="309">
        <f>VLOOKUP($AK109,ENTI!$AF$4:AG$1003,2,FALSE)</f>
        <v>0</v>
      </c>
      <c r="AM109" s="224">
        <f>VLOOKUP($AK109,ENTI!$AF$4:AH$1003,3,FALSE)</f>
        <v>0</v>
      </c>
      <c r="AN109" s="224">
        <f>VLOOKUP($AK109,ENTI!$AF$4:AI$1003,4,FALSE)</f>
        <v>0</v>
      </c>
      <c r="AO109" s="781">
        <f>VLOOKUP($AK109,ENTI!$AF$4:AJ$1003,5,FALSE)</f>
        <v>0</v>
      </c>
      <c r="AP109" s="315">
        <f>VLOOKUP($AK109,ENTI!$AF$4:AK$1003,6,FALSE)</f>
        <v>0</v>
      </c>
      <c r="AQ109" s="208">
        <f t="shared" si="36"/>
        <v>0</v>
      </c>
      <c r="AR109" s="152" t="e">
        <f t="shared" si="37"/>
        <v>#N/A</v>
      </c>
      <c r="AS109" s="1"/>
      <c r="AT109" s="88" t="str">
        <f t="shared" si="30"/>
        <v/>
      </c>
      <c r="AU109" s="1"/>
      <c r="AV109" s="175">
        <f>IF(AW109&gt;0,COUNTIF(AV$4:AV108,"&gt;0")+1,0)</f>
        <v>0</v>
      </c>
      <c r="AW109" s="164">
        <f t="shared" si="31"/>
        <v>0</v>
      </c>
      <c r="AX109" s="310">
        <f>IF($AW109=0,0,VLOOKUP(VLOOKUP($X109,$B$34:$T$38,19,FALSE),ENTI!$A$9:$B$13,2,FALSE))</f>
        <v>0</v>
      </c>
      <c r="AY109" s="310">
        <f t="shared" si="33"/>
        <v>0</v>
      </c>
      <c r="AZ109" s="316">
        <f t="shared" si="34"/>
        <v>0</v>
      </c>
      <c r="BA109" s="1"/>
      <c r="BB109" s="152">
        <f t="shared" si="35"/>
        <v>0</v>
      </c>
      <c r="BC109" s="152">
        <f ca="1">SUM(Z$4:Z109)+SUM(BB$4:BB109)+COSTI!S$6-COSTI!L$1076</f>
        <v>-31.760000000000218</v>
      </c>
      <c r="BD109" s="1"/>
    </row>
    <row r="110" spans="1:56" ht="16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435">
        <f>IF(AND(W110&gt;=$U$1,W110&lt;=$U$2),IF(X110='ESTRATTO CONTO'!$E$2,1+COUNTIF(U$4:U109,"&gt;0"),0),0)</f>
        <v>0</v>
      </c>
      <c r="V110" s="417">
        <f t="shared" si="32"/>
        <v>107</v>
      </c>
      <c r="W110" s="509"/>
      <c r="X110" s="321"/>
      <c r="Y110" s="321"/>
      <c r="Z110" s="508"/>
      <c r="AA110" s="356"/>
      <c r="AB110" s="306" t="str">
        <f t="shared" si="28"/>
        <v/>
      </c>
      <c r="AC110" s="637">
        <f t="shared" ca="1" si="6"/>
        <v>-2.1316282072803006E-13</v>
      </c>
      <c r="AD110" s="935">
        <f>IF(ISERROR(VLOOKUP(AD$2,X111:X$1003,1,FALSE)),IF(X110=AD$2,SUMIF(X$4:X110,AD$2,Z$4:Z110)+$E$9+SUM(AQ$4:AQ$1003)+SUMIF(COSTI!$X$1379:$X$1430,AD$2,COSTI!$Z$1379:$Z$1430),0),0)</f>
        <v>0</v>
      </c>
      <c r="AE110" s="26"/>
      <c r="AF110" s="856" t="e">
        <f>IF(ISERROR(VLOOKUP(AG$2,X111:X$1003,1,FALSE)),IF(X110=AG$2,SUMIF(X$4:X110,AG$2,Z$4:Z110)+VLOOKUP(AF$2,$B$1057:$F$1068,5,FALSE)+SUM(AR$4:AR$1003)+SUMIF(COSTI!$X$1379:$X$1430,AG$2,COSTI!$Z$1379:$Z$1430),0),0)</f>
        <v>#N/A</v>
      </c>
      <c r="AG110" s="859"/>
      <c r="AH110" s="27" t="str">
        <f t="shared" si="29"/>
        <v/>
      </c>
      <c r="AI110" s="152">
        <f ca="1">IF(W111&gt;0,0,IF(AH110=0,(Z110*-1)+BC110+SUM(BB$4:BB109),BC110+SUM(BB$4:BB109)))</f>
        <v>-2.1316282072803006E-13</v>
      </c>
      <c r="AJ110" s="931">
        <f>IF(AND(AL110&gt;=$U$1,AL110&lt;=$U$2),IF(AM110='ESTRATTO CONTO'!$E$2,1+COUNTIF(AJ$4:AJ109,"&gt;0")+U$1015,0),0)</f>
        <v>0</v>
      </c>
      <c r="AK110" s="203">
        <f>IF(AND(OR((AK109+1)&lt;AL$1015,(AK109+1)=AL$1015),MAX(AK$4:AK109)&lt;AL$1015),AK109+1,0)</f>
        <v>0</v>
      </c>
      <c r="AL110" s="309">
        <f>VLOOKUP($AK110,ENTI!$AF$4:AG$1003,2,FALSE)</f>
        <v>0</v>
      </c>
      <c r="AM110" s="224">
        <f>VLOOKUP($AK110,ENTI!$AF$4:AH$1003,3,FALSE)</f>
        <v>0</v>
      </c>
      <c r="AN110" s="224">
        <f>VLOOKUP($AK110,ENTI!$AF$4:AI$1003,4,FALSE)</f>
        <v>0</v>
      </c>
      <c r="AO110" s="781">
        <f>VLOOKUP($AK110,ENTI!$AF$4:AJ$1003,5,FALSE)</f>
        <v>0</v>
      </c>
      <c r="AP110" s="315">
        <f>VLOOKUP($AK110,ENTI!$AF$4:AK$1003,6,FALSE)</f>
        <v>0</v>
      </c>
      <c r="AQ110" s="208">
        <f t="shared" si="36"/>
        <v>0</v>
      </c>
      <c r="AR110" s="152" t="e">
        <f t="shared" si="37"/>
        <v>#N/A</v>
      </c>
      <c r="AS110" s="1"/>
      <c r="AT110" s="88" t="str">
        <f t="shared" si="30"/>
        <v/>
      </c>
      <c r="AU110" s="1"/>
      <c r="AV110" s="175">
        <f>IF(AW110&gt;0,COUNTIF(AV$4:AV109,"&gt;0")+1,0)</f>
        <v>0</v>
      </c>
      <c r="AW110" s="164">
        <f t="shared" si="31"/>
        <v>0</v>
      </c>
      <c r="AX110" s="310">
        <f>IF($AW110=0,0,VLOOKUP(VLOOKUP($X110,$B$34:$T$38,19,FALSE),ENTI!$A$9:$B$13,2,FALSE))</f>
        <v>0</v>
      </c>
      <c r="AY110" s="310">
        <f t="shared" si="33"/>
        <v>0</v>
      </c>
      <c r="AZ110" s="316">
        <f t="shared" si="34"/>
        <v>0</v>
      </c>
      <c r="BA110" s="1"/>
      <c r="BB110" s="152">
        <f t="shared" si="35"/>
        <v>0</v>
      </c>
      <c r="BC110" s="152">
        <f ca="1">SUM(Z$4:Z110)+SUM(BB$4:BB110)+COSTI!S$6-COSTI!L$1076</f>
        <v>-31.760000000000218</v>
      </c>
      <c r="BD110" s="1"/>
    </row>
    <row r="111" spans="1:56" ht="16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435">
        <f>IF(AND(W111&gt;=$U$1,W111&lt;=$U$2),IF(X111='ESTRATTO CONTO'!$E$2,1+COUNTIF(U$4:U110,"&gt;0"),0),0)</f>
        <v>0</v>
      </c>
      <c r="V111" s="417">
        <f t="shared" si="32"/>
        <v>108</v>
      </c>
      <c r="W111" s="509"/>
      <c r="X111" s="321"/>
      <c r="Y111" s="321"/>
      <c r="Z111" s="508"/>
      <c r="AA111" s="356"/>
      <c r="AB111" s="306" t="str">
        <f t="shared" si="28"/>
        <v/>
      </c>
      <c r="AC111" s="637">
        <f t="shared" ca="1" si="6"/>
        <v>-2.1316282072803006E-13</v>
      </c>
      <c r="AD111" s="935">
        <f>IF(ISERROR(VLOOKUP(AD$2,X112:X$1003,1,FALSE)),IF(X111=AD$2,SUMIF(X$4:X111,AD$2,Z$4:Z111)+$E$9+SUM(AQ$4:AQ$1003)+SUMIF(COSTI!$X$1379:$X$1430,AD$2,COSTI!$Z$1379:$Z$1430),0),0)</f>
        <v>0</v>
      </c>
      <c r="AE111" s="26"/>
      <c r="AF111" s="856" t="e">
        <f>IF(ISERROR(VLOOKUP(AG$2,X112:X$1003,1,FALSE)),IF(X111=AG$2,SUMIF(X$4:X111,AG$2,Z$4:Z111)+VLOOKUP(AF$2,$B$1057:$F$1068,5,FALSE)+SUM(AR$4:AR$1003)+SUMIF(COSTI!$X$1379:$X$1430,AG$2,COSTI!$Z$1379:$Z$1430),0),0)</f>
        <v>#N/A</v>
      </c>
      <c r="AG111" s="859"/>
      <c r="AH111" s="27" t="str">
        <f t="shared" si="29"/>
        <v/>
      </c>
      <c r="AI111" s="152">
        <f ca="1">IF(W112&gt;0,0,IF(AH111=0,(Z111*-1)+BC111+SUM(BB$4:BB110),BC111+SUM(BB$4:BB110)))</f>
        <v>-2.1316282072803006E-13</v>
      </c>
      <c r="AJ111" s="931">
        <f>IF(AND(AL111&gt;=$U$1,AL111&lt;=$U$2),IF(AM111='ESTRATTO CONTO'!$E$2,1+COUNTIF(AJ$4:AJ110,"&gt;0")+U$1015,0),0)</f>
        <v>0</v>
      </c>
      <c r="AK111" s="203">
        <f>IF(AND(OR((AK110+1)&lt;AL$1015,(AK110+1)=AL$1015),MAX(AK$4:AK110)&lt;AL$1015),AK110+1,0)</f>
        <v>0</v>
      </c>
      <c r="AL111" s="309">
        <f>VLOOKUP($AK111,ENTI!$AF$4:AG$1003,2,FALSE)</f>
        <v>0</v>
      </c>
      <c r="AM111" s="224">
        <f>VLOOKUP($AK111,ENTI!$AF$4:AH$1003,3,FALSE)</f>
        <v>0</v>
      </c>
      <c r="AN111" s="224">
        <f>VLOOKUP($AK111,ENTI!$AF$4:AI$1003,4,FALSE)</f>
        <v>0</v>
      </c>
      <c r="AO111" s="781">
        <f>VLOOKUP($AK111,ENTI!$AF$4:AJ$1003,5,FALSE)</f>
        <v>0</v>
      </c>
      <c r="AP111" s="315">
        <f>VLOOKUP($AK111,ENTI!$AF$4:AK$1003,6,FALSE)</f>
        <v>0</v>
      </c>
      <c r="AQ111" s="208">
        <f t="shared" si="36"/>
        <v>0</v>
      </c>
      <c r="AR111" s="152" t="e">
        <f t="shared" si="37"/>
        <v>#N/A</v>
      </c>
      <c r="AS111" s="1"/>
      <c r="AT111" s="88" t="str">
        <f t="shared" si="30"/>
        <v/>
      </c>
      <c r="AU111" s="1"/>
      <c r="AV111" s="175">
        <f>IF(AW111&gt;0,COUNTIF(AV$4:AV110,"&gt;0")+1,0)</f>
        <v>0</v>
      </c>
      <c r="AW111" s="164">
        <f t="shared" si="31"/>
        <v>0</v>
      </c>
      <c r="AX111" s="310">
        <f>IF($AW111=0,0,VLOOKUP(VLOOKUP($X111,$B$34:$T$38,19,FALSE),ENTI!$A$9:$B$13,2,FALSE))</f>
        <v>0</v>
      </c>
      <c r="AY111" s="310">
        <f t="shared" si="33"/>
        <v>0</v>
      </c>
      <c r="AZ111" s="316">
        <f t="shared" si="34"/>
        <v>0</v>
      </c>
      <c r="BA111" s="1"/>
      <c r="BB111" s="152">
        <f t="shared" si="35"/>
        <v>0</v>
      </c>
      <c r="BC111" s="152">
        <f ca="1">SUM(Z$4:Z111)+SUM(BB$4:BB111)+COSTI!S$6-COSTI!L$1076</f>
        <v>-31.760000000000218</v>
      </c>
      <c r="BD111" s="1"/>
    </row>
    <row r="112" spans="1:56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435">
        <f>IF(AND(W112&gt;=$U$1,W112&lt;=$U$2),IF(X112='ESTRATTO CONTO'!$E$2,1+COUNTIF(U$4:U111,"&gt;0"),0),0)</f>
        <v>0</v>
      </c>
      <c r="V112" s="417">
        <f t="shared" si="32"/>
        <v>109</v>
      </c>
      <c r="W112" s="509"/>
      <c r="X112" s="321"/>
      <c r="Y112" s="321"/>
      <c r="Z112" s="508"/>
      <c r="AA112" s="356"/>
      <c r="AB112" s="306" t="str">
        <f t="shared" si="28"/>
        <v/>
      </c>
      <c r="AC112" s="637">
        <f t="shared" ca="1" si="6"/>
        <v>-2.1316282072803006E-13</v>
      </c>
      <c r="AD112" s="935">
        <f>IF(ISERROR(VLOOKUP(AD$2,X113:X$1003,1,FALSE)),IF(X112=AD$2,SUMIF(X$4:X112,AD$2,Z$4:Z112)+$E$9+SUM(AQ$4:AQ$1003)+SUMIF(COSTI!$X$1379:$X$1430,AD$2,COSTI!$Z$1379:$Z$1430),0),0)</f>
        <v>0</v>
      </c>
      <c r="AE112" s="26"/>
      <c r="AF112" s="856" t="e">
        <f>IF(ISERROR(VLOOKUP(AG$2,X113:X$1003,1,FALSE)),IF(X112=AG$2,SUMIF(X$4:X112,AG$2,Z$4:Z112)+VLOOKUP(AF$2,$B$1057:$F$1068,5,FALSE)+SUM(AR$4:AR$1003)+SUMIF(COSTI!$X$1379:$X$1430,AG$2,COSTI!$Z$1379:$Z$1430),0),0)</f>
        <v>#N/A</v>
      </c>
      <c r="AG112" s="859"/>
      <c r="AH112" s="27" t="str">
        <f t="shared" si="29"/>
        <v/>
      </c>
      <c r="AI112" s="152">
        <f ca="1">IF(W113&gt;0,0,IF(AH112=0,(Z112*-1)+BC112+SUM(BB$4:BB111),BC112+SUM(BB$4:BB111)))</f>
        <v>-2.1316282072803006E-13</v>
      </c>
      <c r="AJ112" s="931">
        <f>IF(AND(AL112&gt;=$U$1,AL112&lt;=$U$2),IF(AM112='ESTRATTO CONTO'!$E$2,1+COUNTIF(AJ$4:AJ111,"&gt;0")+U$1015,0),0)</f>
        <v>0</v>
      </c>
      <c r="AK112" s="203">
        <f>IF(AND(OR((AK111+1)&lt;AL$1015,(AK111+1)=AL$1015),MAX(AK$4:AK111)&lt;AL$1015),AK111+1,0)</f>
        <v>0</v>
      </c>
      <c r="AL112" s="309">
        <f>VLOOKUP($AK112,ENTI!$AF$4:AG$1003,2,FALSE)</f>
        <v>0</v>
      </c>
      <c r="AM112" s="224">
        <f>VLOOKUP($AK112,ENTI!$AF$4:AH$1003,3,FALSE)</f>
        <v>0</v>
      </c>
      <c r="AN112" s="224">
        <f>VLOOKUP($AK112,ENTI!$AF$4:AI$1003,4,FALSE)</f>
        <v>0</v>
      </c>
      <c r="AO112" s="781">
        <f>VLOOKUP($AK112,ENTI!$AF$4:AJ$1003,5,FALSE)</f>
        <v>0</v>
      </c>
      <c r="AP112" s="315">
        <f>VLOOKUP($AK112,ENTI!$AF$4:AK$1003,6,FALSE)</f>
        <v>0</v>
      </c>
      <c r="AQ112" s="208">
        <f t="shared" si="36"/>
        <v>0</v>
      </c>
      <c r="AR112" s="152" t="e">
        <f t="shared" si="37"/>
        <v>#N/A</v>
      </c>
      <c r="AS112" s="1"/>
      <c r="AT112" s="88" t="str">
        <f t="shared" si="30"/>
        <v/>
      </c>
      <c r="AU112" s="1"/>
      <c r="AV112" s="175">
        <f>IF(AW112&gt;0,COUNTIF(AV$4:AV111,"&gt;0")+1,0)</f>
        <v>0</v>
      </c>
      <c r="AW112" s="164">
        <f t="shared" si="31"/>
        <v>0</v>
      </c>
      <c r="AX112" s="310">
        <f>IF($AW112=0,0,VLOOKUP(VLOOKUP($X112,$B$34:$T$38,19,FALSE),ENTI!$A$9:$B$13,2,FALSE))</f>
        <v>0</v>
      </c>
      <c r="AY112" s="310">
        <f t="shared" si="33"/>
        <v>0</v>
      </c>
      <c r="AZ112" s="316">
        <f t="shared" si="34"/>
        <v>0</v>
      </c>
      <c r="BA112" s="1"/>
      <c r="BB112" s="152">
        <f t="shared" si="35"/>
        <v>0</v>
      </c>
      <c r="BC112" s="152">
        <f ca="1">SUM(Z$4:Z112)+SUM(BB$4:BB112)+COSTI!S$6-COSTI!L$1076</f>
        <v>-31.760000000000218</v>
      </c>
      <c r="BD112" s="1"/>
    </row>
    <row r="113" spans="1:56" ht="16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435">
        <f>IF(AND(W113&gt;=$U$1,W113&lt;=$U$2),IF(X113='ESTRATTO CONTO'!$E$2,1+COUNTIF(U$4:U112,"&gt;0"),0),0)</f>
        <v>0</v>
      </c>
      <c r="V113" s="417">
        <f t="shared" si="32"/>
        <v>110</v>
      </c>
      <c r="W113" s="509"/>
      <c r="X113" s="321"/>
      <c r="Y113" s="321"/>
      <c r="Z113" s="508"/>
      <c r="AA113" s="356"/>
      <c r="AB113" s="306" t="str">
        <f t="shared" si="28"/>
        <v/>
      </c>
      <c r="AC113" s="637">
        <f t="shared" ca="1" si="6"/>
        <v>-2.1316282072803006E-13</v>
      </c>
      <c r="AD113" s="935">
        <f>IF(ISERROR(VLOOKUP(AD$2,X114:X$1003,1,FALSE)),IF(X113=AD$2,SUMIF(X$4:X113,AD$2,Z$4:Z113)+$E$9+SUM(AQ$4:AQ$1003)+SUMIF(COSTI!$X$1379:$X$1430,AD$2,COSTI!$Z$1379:$Z$1430),0),0)</f>
        <v>0</v>
      </c>
      <c r="AE113" s="26"/>
      <c r="AF113" s="856" t="e">
        <f>IF(ISERROR(VLOOKUP(AG$2,X114:X$1003,1,FALSE)),IF(X113=AG$2,SUMIF(X$4:X113,AG$2,Z$4:Z113)+VLOOKUP(AF$2,$B$1057:$F$1068,5,FALSE)+SUM(AR$4:AR$1003)+SUMIF(COSTI!$X$1379:$X$1430,AG$2,COSTI!$Z$1379:$Z$1430),0),0)</f>
        <v>#N/A</v>
      </c>
      <c r="AG113" s="859"/>
      <c r="AH113" s="27" t="str">
        <f t="shared" si="29"/>
        <v/>
      </c>
      <c r="AI113" s="152">
        <f ca="1">IF(W114&gt;0,0,IF(AH113=0,(Z113*-1)+BC113+SUM(BB$4:BB112),BC113+SUM(BB$4:BB112)))</f>
        <v>-2.1316282072803006E-13</v>
      </c>
      <c r="AJ113" s="931">
        <f>IF(AND(AL113&gt;=$U$1,AL113&lt;=$U$2),IF(AM113='ESTRATTO CONTO'!$E$2,1+COUNTIF(AJ$4:AJ112,"&gt;0")+U$1015,0),0)</f>
        <v>0</v>
      </c>
      <c r="AK113" s="203">
        <f>IF(AND(OR((AK112+1)&lt;AL$1015,(AK112+1)=AL$1015),MAX(AK$4:AK112)&lt;AL$1015),AK112+1,0)</f>
        <v>0</v>
      </c>
      <c r="AL113" s="309">
        <f>VLOOKUP($AK113,ENTI!$AF$4:AG$1003,2,FALSE)</f>
        <v>0</v>
      </c>
      <c r="AM113" s="224">
        <f>VLOOKUP($AK113,ENTI!$AF$4:AH$1003,3,FALSE)</f>
        <v>0</v>
      </c>
      <c r="AN113" s="224">
        <f>VLOOKUP($AK113,ENTI!$AF$4:AI$1003,4,FALSE)</f>
        <v>0</v>
      </c>
      <c r="AO113" s="781">
        <f>VLOOKUP($AK113,ENTI!$AF$4:AJ$1003,5,FALSE)</f>
        <v>0</v>
      </c>
      <c r="AP113" s="315">
        <f>VLOOKUP($AK113,ENTI!$AF$4:AK$1003,6,FALSE)</f>
        <v>0</v>
      </c>
      <c r="AQ113" s="208">
        <f t="shared" si="36"/>
        <v>0</v>
      </c>
      <c r="AR113" s="152" t="e">
        <f t="shared" si="37"/>
        <v>#N/A</v>
      </c>
      <c r="AS113" s="1"/>
      <c r="AT113" s="88" t="str">
        <f t="shared" si="30"/>
        <v/>
      </c>
      <c r="AU113" s="1"/>
      <c r="AV113" s="175">
        <f>IF(AW113&gt;0,COUNTIF(AV$4:AV112,"&gt;0")+1,0)</f>
        <v>0</v>
      </c>
      <c r="AW113" s="164">
        <f t="shared" si="31"/>
        <v>0</v>
      </c>
      <c r="AX113" s="310">
        <f>IF($AW113=0,0,VLOOKUP(VLOOKUP($X113,$B$34:$T$38,19,FALSE),ENTI!$A$9:$B$13,2,FALSE))</f>
        <v>0</v>
      </c>
      <c r="AY113" s="310">
        <f t="shared" si="33"/>
        <v>0</v>
      </c>
      <c r="AZ113" s="316">
        <f t="shared" si="34"/>
        <v>0</v>
      </c>
      <c r="BA113" s="1"/>
      <c r="BB113" s="152">
        <f t="shared" si="35"/>
        <v>0</v>
      </c>
      <c r="BC113" s="152">
        <f ca="1">SUM(Z$4:Z113)+SUM(BB$4:BB113)+COSTI!S$6-COSTI!L$1076</f>
        <v>-31.760000000000218</v>
      </c>
      <c r="BD113" s="1"/>
    </row>
    <row r="114" spans="1:56" ht="16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435">
        <f>IF(AND(W114&gt;=$U$1,W114&lt;=$U$2),IF(X114='ESTRATTO CONTO'!$E$2,1+COUNTIF(U$4:U113,"&gt;0"),0),0)</f>
        <v>0</v>
      </c>
      <c r="V114" s="417">
        <f t="shared" si="32"/>
        <v>111</v>
      </c>
      <c r="W114" s="509"/>
      <c r="X114" s="321"/>
      <c r="Y114" s="321"/>
      <c r="Z114" s="508"/>
      <c r="AA114" s="356"/>
      <c r="AB114" s="306" t="str">
        <f t="shared" si="28"/>
        <v/>
      </c>
      <c r="AC114" s="637">
        <f t="shared" ca="1" si="6"/>
        <v>-2.1316282072803006E-13</v>
      </c>
      <c r="AD114" s="935">
        <f>IF(ISERROR(VLOOKUP(AD$2,X115:X$1003,1,FALSE)),IF(X114=AD$2,SUMIF(X$4:X114,AD$2,Z$4:Z114)+$E$9+SUM(AQ$4:AQ$1003)+SUMIF(COSTI!$X$1379:$X$1430,AD$2,COSTI!$Z$1379:$Z$1430),0),0)</f>
        <v>0</v>
      </c>
      <c r="AE114" s="26"/>
      <c r="AF114" s="856" t="e">
        <f>IF(ISERROR(VLOOKUP(AG$2,X115:X$1003,1,FALSE)),IF(X114=AG$2,SUMIF(X$4:X114,AG$2,Z$4:Z114)+VLOOKUP(AF$2,$B$1057:$F$1068,5,FALSE)+SUM(AR$4:AR$1003)+SUMIF(COSTI!$X$1379:$X$1430,AG$2,COSTI!$Z$1379:$Z$1430),0),0)</f>
        <v>#N/A</v>
      </c>
      <c r="AG114" s="859"/>
      <c r="AH114" s="27" t="str">
        <f t="shared" si="29"/>
        <v/>
      </c>
      <c r="AI114" s="152">
        <f ca="1">IF(W115&gt;0,0,IF(AH114=0,(Z114*-1)+BC114+SUM(BB$4:BB113),BC114+SUM(BB$4:BB113)))</f>
        <v>-2.1316282072803006E-13</v>
      </c>
      <c r="AJ114" s="931">
        <f>IF(AND(AL114&gt;=$U$1,AL114&lt;=$U$2),IF(AM114='ESTRATTO CONTO'!$E$2,1+COUNTIF(AJ$4:AJ113,"&gt;0")+U$1015,0),0)</f>
        <v>0</v>
      </c>
      <c r="AK114" s="203">
        <f>IF(AND(OR((AK113+1)&lt;AL$1015,(AK113+1)=AL$1015),MAX(AK$4:AK113)&lt;AL$1015),AK113+1,0)</f>
        <v>0</v>
      </c>
      <c r="AL114" s="309">
        <f>VLOOKUP($AK114,ENTI!$AF$4:AG$1003,2,FALSE)</f>
        <v>0</v>
      </c>
      <c r="AM114" s="224">
        <f>VLOOKUP($AK114,ENTI!$AF$4:AH$1003,3,FALSE)</f>
        <v>0</v>
      </c>
      <c r="AN114" s="224">
        <f>VLOOKUP($AK114,ENTI!$AF$4:AI$1003,4,FALSE)</f>
        <v>0</v>
      </c>
      <c r="AO114" s="781">
        <f>VLOOKUP($AK114,ENTI!$AF$4:AJ$1003,5,FALSE)</f>
        <v>0</v>
      </c>
      <c r="AP114" s="315">
        <f>VLOOKUP($AK114,ENTI!$AF$4:AK$1003,6,FALSE)</f>
        <v>0</v>
      </c>
      <c r="AQ114" s="208">
        <f t="shared" si="36"/>
        <v>0</v>
      </c>
      <c r="AR114" s="152" t="e">
        <f t="shared" si="37"/>
        <v>#N/A</v>
      </c>
      <c r="AS114" s="1"/>
      <c r="AT114" s="88" t="str">
        <f t="shared" si="30"/>
        <v/>
      </c>
      <c r="AU114" s="1"/>
      <c r="AV114" s="175">
        <f>IF(AW114&gt;0,COUNTIF(AV$4:AV113,"&gt;0")+1,0)</f>
        <v>0</v>
      </c>
      <c r="AW114" s="164">
        <f t="shared" si="31"/>
        <v>0</v>
      </c>
      <c r="AX114" s="310">
        <f>IF($AW114=0,0,VLOOKUP(VLOOKUP($X114,$B$34:$T$38,19,FALSE),ENTI!$A$9:$B$13,2,FALSE))</f>
        <v>0</v>
      </c>
      <c r="AY114" s="310">
        <f t="shared" si="33"/>
        <v>0</v>
      </c>
      <c r="AZ114" s="316">
        <f t="shared" si="34"/>
        <v>0</v>
      </c>
      <c r="BA114" s="1"/>
      <c r="BB114" s="152">
        <f t="shared" si="35"/>
        <v>0</v>
      </c>
      <c r="BC114" s="152">
        <f ca="1">SUM(Z$4:Z114)+SUM(BB$4:BB114)+COSTI!S$6-COSTI!L$1076</f>
        <v>-31.760000000000218</v>
      </c>
      <c r="BD114" s="1"/>
    </row>
    <row r="115" spans="1:56" ht="16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435">
        <f>IF(AND(W115&gt;=$U$1,W115&lt;=$U$2),IF(X115='ESTRATTO CONTO'!$E$2,1+COUNTIF(U$4:U114,"&gt;0"),0),0)</f>
        <v>0</v>
      </c>
      <c r="V115" s="417">
        <f t="shared" si="32"/>
        <v>112</v>
      </c>
      <c r="W115" s="509"/>
      <c r="X115" s="321"/>
      <c r="Y115" s="321"/>
      <c r="Z115" s="508"/>
      <c r="AA115" s="356"/>
      <c r="AB115" s="306" t="str">
        <f t="shared" si="28"/>
        <v/>
      </c>
      <c r="AC115" s="637">
        <f t="shared" ca="1" si="6"/>
        <v>-2.1316282072803006E-13</v>
      </c>
      <c r="AD115" s="935">
        <f>IF(ISERROR(VLOOKUP(AD$2,X116:X$1003,1,FALSE)),IF(X115=AD$2,SUMIF(X$4:X115,AD$2,Z$4:Z115)+$E$9+SUM(AQ$4:AQ$1003)+SUMIF(COSTI!$X$1379:$X$1430,AD$2,COSTI!$Z$1379:$Z$1430),0),0)</f>
        <v>0</v>
      </c>
      <c r="AE115" s="26"/>
      <c r="AF115" s="856" t="e">
        <f>IF(ISERROR(VLOOKUP(AG$2,X116:X$1003,1,FALSE)),IF(X115=AG$2,SUMIF(X$4:X115,AG$2,Z$4:Z115)+VLOOKUP(AF$2,$B$1057:$F$1068,5,FALSE)+SUM(AR$4:AR$1003)+SUMIF(COSTI!$X$1379:$X$1430,AG$2,COSTI!$Z$1379:$Z$1430),0),0)</f>
        <v>#N/A</v>
      </c>
      <c r="AG115" s="859"/>
      <c r="AH115" s="27" t="str">
        <f t="shared" si="29"/>
        <v/>
      </c>
      <c r="AI115" s="152">
        <f ca="1">IF(W116&gt;0,0,IF(AH115=0,(Z115*-1)+BC115+SUM(BB$4:BB114),BC115+SUM(BB$4:BB114)))</f>
        <v>-2.1316282072803006E-13</v>
      </c>
      <c r="AJ115" s="931">
        <f>IF(AND(AL115&gt;=$U$1,AL115&lt;=$U$2),IF(AM115='ESTRATTO CONTO'!$E$2,1+COUNTIF(AJ$4:AJ114,"&gt;0")+U$1015,0),0)</f>
        <v>0</v>
      </c>
      <c r="AK115" s="203">
        <f>IF(AND(OR((AK114+1)&lt;AL$1015,(AK114+1)=AL$1015),MAX(AK$4:AK114)&lt;AL$1015),AK114+1,0)</f>
        <v>0</v>
      </c>
      <c r="AL115" s="309">
        <f>VLOOKUP($AK115,ENTI!$AF$4:AG$1003,2,FALSE)</f>
        <v>0</v>
      </c>
      <c r="AM115" s="224">
        <f>VLOOKUP($AK115,ENTI!$AF$4:AH$1003,3,FALSE)</f>
        <v>0</v>
      </c>
      <c r="AN115" s="224">
        <f>VLOOKUP($AK115,ENTI!$AF$4:AI$1003,4,FALSE)</f>
        <v>0</v>
      </c>
      <c r="AO115" s="781">
        <f>VLOOKUP($AK115,ENTI!$AF$4:AJ$1003,5,FALSE)</f>
        <v>0</v>
      </c>
      <c r="AP115" s="315">
        <f>VLOOKUP($AK115,ENTI!$AF$4:AK$1003,6,FALSE)</f>
        <v>0</v>
      </c>
      <c r="AQ115" s="208">
        <f t="shared" si="36"/>
        <v>0</v>
      </c>
      <c r="AR115" s="152" t="e">
        <f t="shared" si="37"/>
        <v>#N/A</v>
      </c>
      <c r="AS115" s="1"/>
      <c r="AT115" s="88" t="str">
        <f t="shared" si="30"/>
        <v/>
      </c>
      <c r="AU115" s="1"/>
      <c r="AV115" s="175">
        <f>IF(AW115&gt;0,COUNTIF(AV$4:AV114,"&gt;0")+1,0)</f>
        <v>0</v>
      </c>
      <c r="AW115" s="164">
        <f t="shared" si="31"/>
        <v>0</v>
      </c>
      <c r="AX115" s="310">
        <f>IF($AW115=0,0,VLOOKUP(VLOOKUP($X115,$B$34:$T$38,19,FALSE),ENTI!$A$9:$B$13,2,FALSE))</f>
        <v>0</v>
      </c>
      <c r="AY115" s="310">
        <f t="shared" si="33"/>
        <v>0</v>
      </c>
      <c r="AZ115" s="316">
        <f t="shared" si="34"/>
        <v>0</v>
      </c>
      <c r="BA115" s="1"/>
      <c r="BB115" s="152">
        <f t="shared" si="35"/>
        <v>0</v>
      </c>
      <c r="BC115" s="152">
        <f ca="1">SUM(Z$4:Z115)+SUM(BB$4:BB115)+COSTI!S$6-COSTI!L$1076</f>
        <v>-31.760000000000218</v>
      </c>
      <c r="BD115" s="1"/>
    </row>
    <row r="116" spans="1:56" ht="16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435">
        <f>IF(AND(W116&gt;=$U$1,W116&lt;=$U$2),IF(X116='ESTRATTO CONTO'!$E$2,1+COUNTIF(U$4:U115,"&gt;0"),0),0)</f>
        <v>0</v>
      </c>
      <c r="V116" s="417">
        <f t="shared" si="32"/>
        <v>113</v>
      </c>
      <c r="W116" s="509"/>
      <c r="X116" s="321"/>
      <c r="Y116" s="321"/>
      <c r="Z116" s="508"/>
      <c r="AA116" s="356"/>
      <c r="AB116" s="306" t="str">
        <f t="shared" si="28"/>
        <v/>
      </c>
      <c r="AC116" s="637">
        <f t="shared" ca="1" si="6"/>
        <v>-2.1316282072803006E-13</v>
      </c>
      <c r="AD116" s="935">
        <f>IF(ISERROR(VLOOKUP(AD$2,X117:X$1003,1,FALSE)),IF(X116=AD$2,SUMIF(X$4:X116,AD$2,Z$4:Z116)+$E$9+SUM(AQ$4:AQ$1003)+SUMIF(COSTI!$X$1379:$X$1430,AD$2,COSTI!$Z$1379:$Z$1430),0),0)</f>
        <v>0</v>
      </c>
      <c r="AE116" s="26"/>
      <c r="AF116" s="856" t="e">
        <f>IF(ISERROR(VLOOKUP(AG$2,X117:X$1003,1,FALSE)),IF(X116=AG$2,SUMIF(X$4:X116,AG$2,Z$4:Z116)+VLOOKUP(AF$2,$B$1057:$F$1068,5,FALSE)+SUM(AR$4:AR$1003)+SUMIF(COSTI!$X$1379:$X$1430,AG$2,COSTI!$Z$1379:$Z$1430),0),0)</f>
        <v>#N/A</v>
      </c>
      <c r="AG116" s="859"/>
      <c r="AH116" s="27" t="str">
        <f t="shared" si="29"/>
        <v/>
      </c>
      <c r="AI116" s="152">
        <f ca="1">IF(W117&gt;0,0,IF(AH116=0,(Z116*-1)+BC116+SUM(BB$4:BB115),BC116+SUM(BB$4:BB115)))</f>
        <v>-2.1316282072803006E-13</v>
      </c>
      <c r="AJ116" s="931">
        <f>IF(AND(AL116&gt;=$U$1,AL116&lt;=$U$2),IF(AM116='ESTRATTO CONTO'!$E$2,1+COUNTIF(AJ$4:AJ115,"&gt;0")+U$1015,0),0)</f>
        <v>0</v>
      </c>
      <c r="AK116" s="203">
        <f>IF(AND(OR((AK115+1)&lt;AL$1015,(AK115+1)=AL$1015),MAX(AK$4:AK115)&lt;AL$1015),AK115+1,0)</f>
        <v>0</v>
      </c>
      <c r="AL116" s="309">
        <f>VLOOKUP($AK116,ENTI!$AF$4:AG$1003,2,FALSE)</f>
        <v>0</v>
      </c>
      <c r="AM116" s="224">
        <f>VLOOKUP($AK116,ENTI!$AF$4:AH$1003,3,FALSE)</f>
        <v>0</v>
      </c>
      <c r="AN116" s="224">
        <f>VLOOKUP($AK116,ENTI!$AF$4:AI$1003,4,FALSE)</f>
        <v>0</v>
      </c>
      <c r="AO116" s="781">
        <f>VLOOKUP($AK116,ENTI!$AF$4:AJ$1003,5,FALSE)</f>
        <v>0</v>
      </c>
      <c r="AP116" s="315">
        <f>VLOOKUP($AK116,ENTI!$AF$4:AK$1003,6,FALSE)</f>
        <v>0</v>
      </c>
      <c r="AQ116" s="208">
        <f t="shared" si="36"/>
        <v>0</v>
      </c>
      <c r="AR116" s="152" t="e">
        <f t="shared" si="37"/>
        <v>#N/A</v>
      </c>
      <c r="AS116" s="1"/>
      <c r="AT116" s="88" t="str">
        <f t="shared" si="30"/>
        <v/>
      </c>
      <c r="AU116" s="1"/>
      <c r="AV116" s="175">
        <f>IF(AW116&gt;0,COUNTIF(AV$4:AV115,"&gt;0")+1,0)</f>
        <v>0</v>
      </c>
      <c r="AW116" s="164">
        <f t="shared" si="31"/>
        <v>0</v>
      </c>
      <c r="AX116" s="310">
        <f>IF($AW116=0,0,VLOOKUP(VLOOKUP($X116,$B$34:$T$38,19,FALSE),ENTI!$A$9:$B$13,2,FALSE))</f>
        <v>0</v>
      </c>
      <c r="AY116" s="310">
        <f t="shared" si="33"/>
        <v>0</v>
      </c>
      <c r="AZ116" s="316">
        <f t="shared" si="34"/>
        <v>0</v>
      </c>
      <c r="BA116" s="1"/>
      <c r="BB116" s="152">
        <f t="shared" si="35"/>
        <v>0</v>
      </c>
      <c r="BC116" s="152">
        <f ca="1">SUM(Z$4:Z116)+SUM(BB$4:BB116)+COSTI!S$6-COSTI!L$1076</f>
        <v>-31.760000000000218</v>
      </c>
      <c r="BD116" s="1"/>
    </row>
    <row r="117" spans="1:56" ht="16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435">
        <f>IF(AND(W117&gt;=$U$1,W117&lt;=$U$2),IF(X117='ESTRATTO CONTO'!$E$2,1+COUNTIF(U$4:U116,"&gt;0"),0),0)</f>
        <v>0</v>
      </c>
      <c r="V117" s="417">
        <f t="shared" si="32"/>
        <v>114</v>
      </c>
      <c r="W117" s="509"/>
      <c r="X117" s="321"/>
      <c r="Y117" s="321"/>
      <c r="Z117" s="508"/>
      <c r="AA117" s="356"/>
      <c r="AB117" s="306" t="str">
        <f t="shared" si="28"/>
        <v/>
      </c>
      <c r="AC117" s="637">
        <f t="shared" ca="1" si="6"/>
        <v>-2.1316282072803006E-13</v>
      </c>
      <c r="AD117" s="935">
        <f>IF(ISERROR(VLOOKUP(AD$2,X118:X$1003,1,FALSE)),IF(X117=AD$2,SUMIF(X$4:X117,AD$2,Z$4:Z117)+$E$9+SUM(AQ$4:AQ$1003)+SUMIF(COSTI!$X$1379:$X$1430,AD$2,COSTI!$Z$1379:$Z$1430),0),0)</f>
        <v>0</v>
      </c>
      <c r="AE117" s="26"/>
      <c r="AF117" s="856" t="e">
        <f>IF(ISERROR(VLOOKUP(AG$2,X118:X$1003,1,FALSE)),IF(X117=AG$2,SUMIF(X$4:X117,AG$2,Z$4:Z117)+VLOOKUP(AF$2,$B$1057:$F$1068,5,FALSE)+SUM(AR$4:AR$1003)+SUMIF(COSTI!$X$1379:$X$1430,AG$2,COSTI!$Z$1379:$Z$1430),0),0)</f>
        <v>#N/A</v>
      </c>
      <c r="AG117" s="859"/>
      <c r="AH117" s="27" t="str">
        <f t="shared" si="29"/>
        <v/>
      </c>
      <c r="AI117" s="152">
        <f ca="1">IF(W118&gt;0,0,IF(AH117=0,(Z117*-1)+BC117+SUM(BB$4:BB116),BC117+SUM(BB$4:BB116)))</f>
        <v>-2.1316282072803006E-13</v>
      </c>
      <c r="AJ117" s="931">
        <f>IF(AND(AL117&gt;=$U$1,AL117&lt;=$U$2),IF(AM117='ESTRATTO CONTO'!$E$2,1+COUNTIF(AJ$4:AJ116,"&gt;0")+U$1015,0),0)</f>
        <v>0</v>
      </c>
      <c r="AK117" s="203">
        <f>IF(AND(OR((AK116+1)&lt;AL$1015,(AK116+1)=AL$1015),MAX(AK$4:AK116)&lt;AL$1015),AK116+1,0)</f>
        <v>0</v>
      </c>
      <c r="AL117" s="309">
        <f>VLOOKUP($AK117,ENTI!$AF$4:AG$1003,2,FALSE)</f>
        <v>0</v>
      </c>
      <c r="AM117" s="224">
        <f>VLOOKUP($AK117,ENTI!$AF$4:AH$1003,3,FALSE)</f>
        <v>0</v>
      </c>
      <c r="AN117" s="224">
        <f>VLOOKUP($AK117,ENTI!$AF$4:AI$1003,4,FALSE)</f>
        <v>0</v>
      </c>
      <c r="AO117" s="781">
        <f>VLOOKUP($AK117,ENTI!$AF$4:AJ$1003,5,FALSE)</f>
        <v>0</v>
      </c>
      <c r="AP117" s="315">
        <f>VLOOKUP($AK117,ENTI!$AF$4:AK$1003,6,FALSE)</f>
        <v>0</v>
      </c>
      <c r="AQ117" s="208">
        <f t="shared" si="36"/>
        <v>0</v>
      </c>
      <c r="AR117" s="152" t="e">
        <f t="shared" si="37"/>
        <v>#N/A</v>
      </c>
      <c r="AS117" s="1"/>
      <c r="AT117" s="88" t="str">
        <f t="shared" si="30"/>
        <v/>
      </c>
      <c r="AU117" s="1"/>
      <c r="AV117" s="175">
        <f>IF(AW117&gt;0,COUNTIF(AV$4:AV116,"&gt;0")+1,0)</f>
        <v>0</v>
      </c>
      <c r="AW117" s="164">
        <f t="shared" si="31"/>
        <v>0</v>
      </c>
      <c r="AX117" s="310">
        <f>IF($AW117=0,0,VLOOKUP(VLOOKUP($X117,$B$34:$T$38,19,FALSE),ENTI!$A$9:$B$13,2,FALSE))</f>
        <v>0</v>
      </c>
      <c r="AY117" s="310">
        <f t="shared" si="33"/>
        <v>0</v>
      </c>
      <c r="AZ117" s="316">
        <f t="shared" si="34"/>
        <v>0</v>
      </c>
      <c r="BA117" s="1"/>
      <c r="BB117" s="152">
        <f t="shared" si="35"/>
        <v>0</v>
      </c>
      <c r="BC117" s="152">
        <f ca="1">SUM(Z$4:Z117)+SUM(BB$4:BB117)+COSTI!S$6-COSTI!L$1076</f>
        <v>-31.760000000000218</v>
      </c>
      <c r="BD117" s="1"/>
    </row>
    <row r="118" spans="1:56" ht="16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435">
        <f>IF(AND(W118&gt;=$U$1,W118&lt;=$U$2),IF(X118='ESTRATTO CONTO'!$E$2,1+COUNTIF(U$4:U117,"&gt;0"),0),0)</f>
        <v>0</v>
      </c>
      <c r="V118" s="417">
        <f t="shared" si="32"/>
        <v>115</v>
      </c>
      <c r="W118" s="509"/>
      <c r="X118" s="321"/>
      <c r="Y118" s="321"/>
      <c r="Z118" s="508"/>
      <c r="AA118" s="356"/>
      <c r="AB118" s="306" t="str">
        <f t="shared" si="28"/>
        <v/>
      </c>
      <c r="AC118" s="637">
        <f t="shared" ca="1" si="6"/>
        <v>-2.1316282072803006E-13</v>
      </c>
      <c r="AD118" s="935">
        <f>IF(ISERROR(VLOOKUP(AD$2,X119:X$1003,1,FALSE)),IF(X118=AD$2,SUMIF(X$4:X118,AD$2,Z$4:Z118)+$E$9+SUM(AQ$4:AQ$1003)+SUMIF(COSTI!$X$1379:$X$1430,AD$2,COSTI!$Z$1379:$Z$1430),0),0)</f>
        <v>0</v>
      </c>
      <c r="AE118" s="26"/>
      <c r="AF118" s="856" t="e">
        <f>IF(ISERROR(VLOOKUP(AG$2,X119:X$1003,1,FALSE)),IF(X118=AG$2,SUMIF(X$4:X118,AG$2,Z$4:Z118)+VLOOKUP(AF$2,$B$1057:$F$1068,5,FALSE)+SUM(AR$4:AR$1003)+SUMIF(COSTI!$X$1379:$X$1430,AG$2,COSTI!$Z$1379:$Z$1430),0),0)</f>
        <v>#N/A</v>
      </c>
      <c r="AG118" s="859"/>
      <c r="AH118" s="27" t="str">
        <f t="shared" si="29"/>
        <v/>
      </c>
      <c r="AI118" s="152">
        <f ca="1">IF(W119&gt;0,0,IF(AH118=0,(Z118*-1)+BC118+SUM(BB$4:BB117),BC118+SUM(BB$4:BB117)))</f>
        <v>-2.1316282072803006E-13</v>
      </c>
      <c r="AJ118" s="931">
        <f>IF(AND(AL118&gt;=$U$1,AL118&lt;=$U$2),IF(AM118='ESTRATTO CONTO'!$E$2,1+COUNTIF(AJ$4:AJ117,"&gt;0")+U$1015,0),0)</f>
        <v>0</v>
      </c>
      <c r="AK118" s="203">
        <f>IF(AND(OR((AK117+1)&lt;AL$1015,(AK117+1)=AL$1015),MAX(AK$4:AK117)&lt;AL$1015),AK117+1,0)</f>
        <v>0</v>
      </c>
      <c r="AL118" s="309">
        <f>VLOOKUP($AK118,ENTI!$AF$4:AG$1003,2,FALSE)</f>
        <v>0</v>
      </c>
      <c r="AM118" s="224">
        <f>VLOOKUP($AK118,ENTI!$AF$4:AH$1003,3,FALSE)</f>
        <v>0</v>
      </c>
      <c r="AN118" s="224">
        <f>VLOOKUP($AK118,ENTI!$AF$4:AI$1003,4,FALSE)</f>
        <v>0</v>
      </c>
      <c r="AO118" s="781">
        <f>VLOOKUP($AK118,ENTI!$AF$4:AJ$1003,5,FALSE)</f>
        <v>0</v>
      </c>
      <c r="AP118" s="315">
        <f>VLOOKUP($AK118,ENTI!$AF$4:AK$1003,6,FALSE)</f>
        <v>0</v>
      </c>
      <c r="AQ118" s="208">
        <f t="shared" si="36"/>
        <v>0</v>
      </c>
      <c r="AR118" s="152" t="e">
        <f t="shared" si="37"/>
        <v>#N/A</v>
      </c>
      <c r="AS118" s="1"/>
      <c r="AT118" s="88" t="str">
        <f t="shared" si="30"/>
        <v/>
      </c>
      <c r="AU118" s="1"/>
      <c r="AV118" s="175">
        <f>IF(AW118&gt;0,COUNTIF(AV$4:AV117,"&gt;0")+1,0)</f>
        <v>0</v>
      </c>
      <c r="AW118" s="164">
        <f t="shared" si="31"/>
        <v>0</v>
      </c>
      <c r="AX118" s="310">
        <f>IF($AW118=0,0,VLOOKUP(VLOOKUP($X118,$B$34:$T$38,19,FALSE),ENTI!$A$9:$B$13,2,FALSE))</f>
        <v>0</v>
      </c>
      <c r="AY118" s="310">
        <f t="shared" si="33"/>
        <v>0</v>
      </c>
      <c r="AZ118" s="316">
        <f t="shared" si="34"/>
        <v>0</v>
      </c>
      <c r="BA118" s="1"/>
      <c r="BB118" s="152">
        <f t="shared" si="35"/>
        <v>0</v>
      </c>
      <c r="BC118" s="152">
        <f ca="1">SUM(Z$4:Z118)+SUM(BB$4:BB118)+COSTI!S$6-COSTI!L$1076</f>
        <v>-31.760000000000218</v>
      </c>
      <c r="BD118" s="1"/>
    </row>
    <row r="119" spans="1:56" ht="16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435">
        <f>IF(AND(W119&gt;=$U$1,W119&lt;=$U$2),IF(X119='ESTRATTO CONTO'!$E$2,1+COUNTIF(U$4:U118,"&gt;0"),0),0)</f>
        <v>0</v>
      </c>
      <c r="V119" s="417">
        <f t="shared" si="32"/>
        <v>116</v>
      </c>
      <c r="W119" s="509"/>
      <c r="X119" s="321"/>
      <c r="Y119" s="321"/>
      <c r="Z119" s="508"/>
      <c r="AA119" s="356"/>
      <c r="AB119" s="306" t="str">
        <f t="shared" si="28"/>
        <v/>
      </c>
      <c r="AC119" s="637">
        <f t="shared" ca="1" si="6"/>
        <v>-2.1316282072803006E-13</v>
      </c>
      <c r="AD119" s="935">
        <f>IF(ISERROR(VLOOKUP(AD$2,X120:X$1003,1,FALSE)),IF(X119=AD$2,SUMIF(X$4:X119,AD$2,Z$4:Z119)+$E$9+SUM(AQ$4:AQ$1003)+SUMIF(COSTI!$X$1379:$X$1430,AD$2,COSTI!$Z$1379:$Z$1430),0),0)</f>
        <v>0</v>
      </c>
      <c r="AE119" s="26"/>
      <c r="AF119" s="856" t="e">
        <f>IF(ISERROR(VLOOKUP(AG$2,X120:X$1003,1,FALSE)),IF(X119=AG$2,SUMIF(X$4:X119,AG$2,Z$4:Z119)+VLOOKUP(AF$2,$B$1057:$F$1068,5,FALSE)+SUM(AR$4:AR$1003)+SUMIF(COSTI!$X$1379:$X$1430,AG$2,COSTI!$Z$1379:$Z$1430),0),0)</f>
        <v>#N/A</v>
      </c>
      <c r="AG119" s="859"/>
      <c r="AH119" s="27" t="str">
        <f t="shared" si="29"/>
        <v/>
      </c>
      <c r="AI119" s="152">
        <f ca="1">IF(W120&gt;0,0,IF(AH119=0,(Z119*-1)+BC119+SUM(BB$4:BB118),BC119+SUM(BB$4:BB118)))</f>
        <v>-2.1316282072803006E-13</v>
      </c>
      <c r="AJ119" s="931">
        <f>IF(AND(AL119&gt;=$U$1,AL119&lt;=$U$2),IF(AM119='ESTRATTO CONTO'!$E$2,1+COUNTIF(AJ$4:AJ118,"&gt;0")+U$1015,0),0)</f>
        <v>0</v>
      </c>
      <c r="AK119" s="203">
        <f>IF(AND(OR((AK118+1)&lt;AL$1015,(AK118+1)=AL$1015),MAX(AK$4:AK118)&lt;AL$1015),AK118+1,0)</f>
        <v>0</v>
      </c>
      <c r="AL119" s="309">
        <f>VLOOKUP($AK119,ENTI!$AF$4:AG$1003,2,FALSE)</f>
        <v>0</v>
      </c>
      <c r="AM119" s="224">
        <f>VLOOKUP($AK119,ENTI!$AF$4:AH$1003,3,FALSE)</f>
        <v>0</v>
      </c>
      <c r="AN119" s="224">
        <f>VLOOKUP($AK119,ENTI!$AF$4:AI$1003,4,FALSE)</f>
        <v>0</v>
      </c>
      <c r="AO119" s="781">
        <f>VLOOKUP($AK119,ENTI!$AF$4:AJ$1003,5,FALSE)</f>
        <v>0</v>
      </c>
      <c r="AP119" s="315">
        <f>VLOOKUP($AK119,ENTI!$AF$4:AK$1003,6,FALSE)</f>
        <v>0</v>
      </c>
      <c r="AQ119" s="208">
        <f t="shared" si="36"/>
        <v>0</v>
      </c>
      <c r="AR119" s="152" t="e">
        <f t="shared" si="37"/>
        <v>#N/A</v>
      </c>
      <c r="AS119" s="1"/>
      <c r="AT119" s="88" t="str">
        <f t="shared" si="30"/>
        <v/>
      </c>
      <c r="AU119" s="1"/>
      <c r="AV119" s="175">
        <f>IF(AW119&gt;0,COUNTIF(AV$4:AV118,"&gt;0")+1,0)</f>
        <v>0</v>
      </c>
      <c r="AW119" s="164">
        <f t="shared" si="31"/>
        <v>0</v>
      </c>
      <c r="AX119" s="310">
        <f>IF($AW119=0,0,VLOOKUP(VLOOKUP($X119,$B$34:$T$38,19,FALSE),ENTI!$A$9:$B$13,2,FALSE))</f>
        <v>0</v>
      </c>
      <c r="AY119" s="310">
        <f t="shared" si="33"/>
        <v>0</v>
      </c>
      <c r="AZ119" s="316">
        <f t="shared" si="34"/>
        <v>0</v>
      </c>
      <c r="BA119" s="1"/>
      <c r="BB119" s="152">
        <f t="shared" si="35"/>
        <v>0</v>
      </c>
      <c r="BC119" s="152">
        <f ca="1">SUM(Z$4:Z119)+SUM(BB$4:BB119)+COSTI!S$6-COSTI!L$1076</f>
        <v>-31.760000000000218</v>
      </c>
      <c r="BD119" s="1"/>
    </row>
    <row r="120" spans="1:56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435">
        <f>IF(AND(W120&gt;=$U$1,W120&lt;=$U$2),IF(X120='ESTRATTO CONTO'!$E$2,1+COUNTIF(U$4:U119,"&gt;0"),0),0)</f>
        <v>0</v>
      </c>
      <c r="V120" s="417">
        <f t="shared" si="32"/>
        <v>117</v>
      </c>
      <c r="W120" s="509"/>
      <c r="X120" s="321"/>
      <c r="Y120" s="321"/>
      <c r="Z120" s="508"/>
      <c r="AA120" s="356"/>
      <c r="AB120" s="306" t="str">
        <f t="shared" si="28"/>
        <v/>
      </c>
      <c r="AC120" s="637">
        <f t="shared" ca="1" si="6"/>
        <v>-2.1316282072803006E-13</v>
      </c>
      <c r="AD120" s="935">
        <f>IF(ISERROR(VLOOKUP(AD$2,X121:X$1003,1,FALSE)),IF(X120=AD$2,SUMIF(X$4:X120,AD$2,Z$4:Z120)+$E$9+SUM(AQ$4:AQ$1003)+SUMIF(COSTI!$X$1379:$X$1430,AD$2,COSTI!$Z$1379:$Z$1430),0),0)</f>
        <v>0</v>
      </c>
      <c r="AE120" s="26"/>
      <c r="AF120" s="856" t="e">
        <f>IF(ISERROR(VLOOKUP(AG$2,X121:X$1003,1,FALSE)),IF(X120=AG$2,SUMIF(X$4:X120,AG$2,Z$4:Z120)+VLOOKUP(AF$2,$B$1057:$F$1068,5,FALSE)+SUM(AR$4:AR$1003)+SUMIF(COSTI!$X$1379:$X$1430,AG$2,COSTI!$Z$1379:$Z$1430),0),0)</f>
        <v>#N/A</v>
      </c>
      <c r="AG120" s="859"/>
      <c r="AH120" s="27" t="str">
        <f t="shared" si="29"/>
        <v/>
      </c>
      <c r="AI120" s="152">
        <f ca="1">IF(W121&gt;0,0,IF(AH120=0,(Z120*-1)+BC120+SUM(BB$4:BB119),BC120+SUM(BB$4:BB119)))</f>
        <v>-2.1316282072803006E-13</v>
      </c>
      <c r="AJ120" s="931">
        <f>IF(AND(AL120&gt;=$U$1,AL120&lt;=$U$2),IF(AM120='ESTRATTO CONTO'!$E$2,1+COUNTIF(AJ$4:AJ119,"&gt;0")+U$1015,0),0)</f>
        <v>0</v>
      </c>
      <c r="AK120" s="203">
        <f>IF(AND(OR((AK119+1)&lt;AL$1015,(AK119+1)=AL$1015),MAX(AK$4:AK119)&lt;AL$1015),AK119+1,0)</f>
        <v>0</v>
      </c>
      <c r="AL120" s="309">
        <f>VLOOKUP($AK120,ENTI!$AF$4:AG$1003,2,FALSE)</f>
        <v>0</v>
      </c>
      <c r="AM120" s="224">
        <f>VLOOKUP($AK120,ENTI!$AF$4:AH$1003,3,FALSE)</f>
        <v>0</v>
      </c>
      <c r="AN120" s="224">
        <f>VLOOKUP($AK120,ENTI!$AF$4:AI$1003,4,FALSE)</f>
        <v>0</v>
      </c>
      <c r="AO120" s="781">
        <f>VLOOKUP($AK120,ENTI!$AF$4:AJ$1003,5,FALSE)</f>
        <v>0</v>
      </c>
      <c r="AP120" s="315">
        <f>VLOOKUP($AK120,ENTI!$AF$4:AK$1003,6,FALSE)</f>
        <v>0</v>
      </c>
      <c r="AQ120" s="208">
        <f t="shared" si="36"/>
        <v>0</v>
      </c>
      <c r="AR120" s="152" t="e">
        <f t="shared" si="37"/>
        <v>#N/A</v>
      </c>
      <c r="AS120" s="1"/>
      <c r="AT120" s="88" t="str">
        <f t="shared" si="30"/>
        <v/>
      </c>
      <c r="AU120" s="1"/>
      <c r="AV120" s="175">
        <f>IF(AW120&gt;0,COUNTIF(AV$4:AV119,"&gt;0")+1,0)</f>
        <v>0</v>
      </c>
      <c r="AW120" s="164">
        <f t="shared" si="31"/>
        <v>0</v>
      </c>
      <c r="AX120" s="310">
        <f>IF($AW120=0,0,VLOOKUP(VLOOKUP($X120,$B$34:$T$38,19,FALSE),ENTI!$A$9:$B$13,2,FALSE))</f>
        <v>0</v>
      </c>
      <c r="AY120" s="310">
        <f t="shared" si="33"/>
        <v>0</v>
      </c>
      <c r="AZ120" s="316">
        <f t="shared" si="34"/>
        <v>0</v>
      </c>
      <c r="BA120" s="1"/>
      <c r="BB120" s="152">
        <f t="shared" si="35"/>
        <v>0</v>
      </c>
      <c r="BC120" s="152">
        <f ca="1">SUM(Z$4:Z120)+SUM(BB$4:BB120)+COSTI!S$6-COSTI!L$1076</f>
        <v>-31.760000000000218</v>
      </c>
      <c r="BD120" s="1"/>
    </row>
    <row r="121" spans="1:56" ht="16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435">
        <f>IF(AND(W121&gt;=$U$1,W121&lt;=$U$2),IF(X121='ESTRATTO CONTO'!$E$2,1+COUNTIF(U$4:U120,"&gt;0"),0),0)</f>
        <v>0</v>
      </c>
      <c r="V121" s="417">
        <f t="shared" si="32"/>
        <v>118</v>
      </c>
      <c r="W121" s="509"/>
      <c r="X121" s="321"/>
      <c r="Y121" s="321"/>
      <c r="Z121" s="508"/>
      <c r="AA121" s="356"/>
      <c r="AB121" s="306" t="str">
        <f t="shared" si="28"/>
        <v/>
      </c>
      <c r="AC121" s="637">
        <f t="shared" ref="AC121:AC184" ca="1" si="38">AI121</f>
        <v>-2.1316282072803006E-13</v>
      </c>
      <c r="AD121" s="935">
        <f>IF(ISERROR(VLOOKUP(AD$2,X122:X$1003,1,FALSE)),IF(X121=AD$2,SUMIF(X$4:X121,AD$2,Z$4:Z121)+$E$9+SUM(AQ$4:AQ$1003)+SUMIF(COSTI!$X$1379:$X$1430,AD$2,COSTI!$Z$1379:$Z$1430),0),0)</f>
        <v>0</v>
      </c>
      <c r="AE121" s="26"/>
      <c r="AF121" s="856" t="e">
        <f>IF(ISERROR(VLOOKUP(AG$2,X122:X$1003,1,FALSE)),IF(X121=AG$2,SUMIF(X$4:X121,AG$2,Z$4:Z121)+VLOOKUP(AF$2,$B$1057:$F$1068,5,FALSE)+SUM(AR$4:AR$1003)+SUMIF(COSTI!$X$1379:$X$1430,AG$2,COSTI!$Z$1379:$Z$1430),0),0)</f>
        <v>#N/A</v>
      </c>
      <c r="AG121" s="859"/>
      <c r="AH121" s="27" t="str">
        <f t="shared" si="29"/>
        <v/>
      </c>
      <c r="AI121" s="152">
        <f ca="1">IF(W122&gt;0,0,IF(AH121=0,(Z121*-1)+BC121+SUM(BB$4:BB120),BC121+SUM(BB$4:BB120)))</f>
        <v>-2.1316282072803006E-13</v>
      </c>
      <c r="AJ121" s="931">
        <f>IF(AND(AL121&gt;=$U$1,AL121&lt;=$U$2),IF(AM121='ESTRATTO CONTO'!$E$2,1+COUNTIF(AJ$4:AJ120,"&gt;0")+U$1015,0),0)</f>
        <v>0</v>
      </c>
      <c r="AK121" s="203">
        <f>IF(AND(OR((AK120+1)&lt;AL$1015,(AK120+1)=AL$1015),MAX(AK$4:AK120)&lt;AL$1015),AK120+1,0)</f>
        <v>0</v>
      </c>
      <c r="AL121" s="309">
        <f>VLOOKUP($AK121,ENTI!$AF$4:AG$1003,2,FALSE)</f>
        <v>0</v>
      </c>
      <c r="AM121" s="224">
        <f>VLOOKUP($AK121,ENTI!$AF$4:AH$1003,3,FALSE)</f>
        <v>0</v>
      </c>
      <c r="AN121" s="224">
        <f>VLOOKUP($AK121,ENTI!$AF$4:AI$1003,4,FALSE)</f>
        <v>0</v>
      </c>
      <c r="AO121" s="781">
        <f>VLOOKUP($AK121,ENTI!$AF$4:AJ$1003,5,FALSE)</f>
        <v>0</v>
      </c>
      <c r="AP121" s="315">
        <f>VLOOKUP($AK121,ENTI!$AF$4:AK$1003,6,FALSE)</f>
        <v>0</v>
      </c>
      <c r="AQ121" s="208">
        <f t="shared" si="36"/>
        <v>0</v>
      </c>
      <c r="AR121" s="152" t="e">
        <f t="shared" si="37"/>
        <v>#N/A</v>
      </c>
      <c r="AS121" s="1"/>
      <c r="AT121" s="88" t="str">
        <f t="shared" si="30"/>
        <v/>
      </c>
      <c r="AU121" s="1"/>
      <c r="AV121" s="175">
        <f>IF(AW121&gt;0,COUNTIF(AV$4:AV120,"&gt;0")+1,0)</f>
        <v>0</v>
      </c>
      <c r="AW121" s="164">
        <f t="shared" si="31"/>
        <v>0</v>
      </c>
      <c r="AX121" s="310">
        <f>IF($AW121=0,0,VLOOKUP(VLOOKUP($X121,$B$34:$T$38,19,FALSE),ENTI!$A$9:$B$13,2,FALSE))</f>
        <v>0</v>
      </c>
      <c r="AY121" s="310">
        <f t="shared" si="33"/>
        <v>0</v>
      </c>
      <c r="AZ121" s="316">
        <f t="shared" si="34"/>
        <v>0</v>
      </c>
      <c r="BA121" s="1"/>
      <c r="BB121" s="152">
        <f t="shared" si="35"/>
        <v>0</v>
      </c>
      <c r="BC121" s="152">
        <f ca="1">SUM(Z$4:Z121)+SUM(BB$4:BB121)+COSTI!S$6-COSTI!L$1076</f>
        <v>-31.760000000000218</v>
      </c>
      <c r="BD121" s="1"/>
    </row>
    <row r="122" spans="1:56" ht="16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435">
        <f>IF(AND(W122&gt;=$U$1,W122&lt;=$U$2),IF(X122='ESTRATTO CONTO'!$E$2,1+COUNTIF(U$4:U121,"&gt;0"),0),0)</f>
        <v>0</v>
      </c>
      <c r="V122" s="417">
        <f t="shared" si="32"/>
        <v>119</v>
      </c>
      <c r="W122" s="509"/>
      <c r="X122" s="321"/>
      <c r="Y122" s="321"/>
      <c r="Z122" s="508"/>
      <c r="AA122" s="356"/>
      <c r="AB122" s="306" t="str">
        <f t="shared" si="28"/>
        <v/>
      </c>
      <c r="AC122" s="637">
        <f t="shared" ca="1" si="38"/>
        <v>-2.1316282072803006E-13</v>
      </c>
      <c r="AD122" s="935">
        <f>IF(ISERROR(VLOOKUP(AD$2,X123:X$1003,1,FALSE)),IF(X122=AD$2,SUMIF(X$4:X122,AD$2,Z$4:Z122)+$E$9+SUM(AQ$4:AQ$1003)+SUMIF(COSTI!$X$1379:$X$1430,AD$2,COSTI!$Z$1379:$Z$1430),0),0)</f>
        <v>0</v>
      </c>
      <c r="AE122" s="26"/>
      <c r="AF122" s="856" t="e">
        <f>IF(ISERROR(VLOOKUP(AG$2,X123:X$1003,1,FALSE)),IF(X122=AG$2,SUMIF(X$4:X122,AG$2,Z$4:Z122)+VLOOKUP(AF$2,$B$1057:$F$1068,5,FALSE)+SUM(AR$4:AR$1003)+SUMIF(COSTI!$X$1379:$X$1430,AG$2,COSTI!$Z$1379:$Z$1430),0),0)</f>
        <v>#N/A</v>
      </c>
      <c r="AG122" s="859"/>
      <c r="AH122" s="27" t="str">
        <f t="shared" si="29"/>
        <v/>
      </c>
      <c r="AI122" s="152">
        <f ca="1">IF(W123&gt;0,0,IF(AH122=0,(Z122*-1)+BC122+SUM(BB$4:BB121),BC122+SUM(BB$4:BB121)))</f>
        <v>-2.1316282072803006E-13</v>
      </c>
      <c r="AJ122" s="931">
        <f>IF(AND(AL122&gt;=$U$1,AL122&lt;=$U$2),IF(AM122='ESTRATTO CONTO'!$E$2,1+COUNTIF(AJ$4:AJ121,"&gt;0")+U$1015,0),0)</f>
        <v>0</v>
      </c>
      <c r="AK122" s="203">
        <f>IF(AND(OR((AK121+1)&lt;AL$1015,(AK121+1)=AL$1015),MAX(AK$4:AK121)&lt;AL$1015),AK121+1,0)</f>
        <v>0</v>
      </c>
      <c r="AL122" s="309">
        <f>VLOOKUP($AK122,ENTI!$AF$4:AG$1003,2,FALSE)</f>
        <v>0</v>
      </c>
      <c r="AM122" s="224">
        <f>VLOOKUP($AK122,ENTI!$AF$4:AH$1003,3,FALSE)</f>
        <v>0</v>
      </c>
      <c r="AN122" s="224">
        <f>VLOOKUP($AK122,ENTI!$AF$4:AI$1003,4,FALSE)</f>
        <v>0</v>
      </c>
      <c r="AO122" s="781">
        <f>VLOOKUP($AK122,ENTI!$AF$4:AJ$1003,5,FALSE)</f>
        <v>0</v>
      </c>
      <c r="AP122" s="315">
        <f>VLOOKUP($AK122,ENTI!$AF$4:AK$1003,6,FALSE)</f>
        <v>0</v>
      </c>
      <c r="AQ122" s="208">
        <f t="shared" si="36"/>
        <v>0</v>
      </c>
      <c r="AR122" s="152" t="e">
        <f t="shared" si="37"/>
        <v>#N/A</v>
      </c>
      <c r="AS122" s="1"/>
      <c r="AT122" s="88" t="str">
        <f t="shared" si="30"/>
        <v/>
      </c>
      <c r="AU122" s="1"/>
      <c r="AV122" s="175">
        <f>IF(AW122&gt;0,COUNTIF(AV$4:AV121,"&gt;0")+1,0)</f>
        <v>0</v>
      </c>
      <c r="AW122" s="164">
        <f t="shared" si="31"/>
        <v>0</v>
      </c>
      <c r="AX122" s="310">
        <f>IF($AW122=0,0,VLOOKUP(VLOOKUP($X122,$B$34:$T$38,19,FALSE),ENTI!$A$9:$B$13,2,FALSE))</f>
        <v>0</v>
      </c>
      <c r="AY122" s="310">
        <f t="shared" si="33"/>
        <v>0</v>
      </c>
      <c r="AZ122" s="316">
        <f t="shared" si="34"/>
        <v>0</v>
      </c>
      <c r="BA122" s="1"/>
      <c r="BB122" s="152">
        <f t="shared" si="35"/>
        <v>0</v>
      </c>
      <c r="BC122" s="152">
        <f ca="1">SUM(Z$4:Z122)+SUM(BB$4:BB122)+COSTI!S$6-COSTI!L$1076</f>
        <v>-31.760000000000218</v>
      </c>
      <c r="BD122" s="1"/>
    </row>
    <row r="123" spans="1:56" ht="16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435">
        <f>IF(AND(W123&gt;=$U$1,W123&lt;=$U$2),IF(X123='ESTRATTO CONTO'!$E$2,1+COUNTIF(U$4:U122,"&gt;0"),0),0)</f>
        <v>0</v>
      </c>
      <c r="V123" s="417">
        <f t="shared" si="32"/>
        <v>120</v>
      </c>
      <c r="W123" s="509"/>
      <c r="X123" s="321"/>
      <c r="Y123" s="321"/>
      <c r="Z123" s="508"/>
      <c r="AA123" s="356"/>
      <c r="AB123" s="306" t="str">
        <f t="shared" si="28"/>
        <v/>
      </c>
      <c r="AC123" s="637">
        <f t="shared" ca="1" si="38"/>
        <v>-2.1316282072803006E-13</v>
      </c>
      <c r="AD123" s="935">
        <f>IF(ISERROR(VLOOKUP(AD$2,X124:X$1003,1,FALSE)),IF(X123=AD$2,SUMIF(X$4:X123,AD$2,Z$4:Z123)+$E$9+SUM(AQ$4:AQ$1003)+SUMIF(COSTI!$X$1379:$X$1430,AD$2,COSTI!$Z$1379:$Z$1430),0),0)</f>
        <v>0</v>
      </c>
      <c r="AE123" s="26"/>
      <c r="AF123" s="856" t="e">
        <f>IF(ISERROR(VLOOKUP(AG$2,X124:X$1003,1,FALSE)),IF(X123=AG$2,SUMIF(X$4:X123,AG$2,Z$4:Z123)+VLOOKUP(AF$2,$B$1057:$F$1068,5,FALSE)+SUM(AR$4:AR$1003)+SUMIF(COSTI!$X$1379:$X$1430,AG$2,COSTI!$Z$1379:$Z$1430),0),0)</f>
        <v>#N/A</v>
      </c>
      <c r="AG123" s="859"/>
      <c r="AH123" s="27" t="str">
        <f t="shared" si="29"/>
        <v/>
      </c>
      <c r="AI123" s="152">
        <f ca="1">IF(W124&gt;0,0,IF(AH123=0,(Z123*-1)+BC123+SUM(BB$4:BB122),BC123+SUM(BB$4:BB122)))</f>
        <v>-2.1316282072803006E-13</v>
      </c>
      <c r="AJ123" s="931">
        <f>IF(AND(AL123&gt;=$U$1,AL123&lt;=$U$2),IF(AM123='ESTRATTO CONTO'!$E$2,1+COUNTIF(AJ$4:AJ122,"&gt;0")+U$1015,0),0)</f>
        <v>0</v>
      </c>
      <c r="AK123" s="203">
        <f>IF(AND(OR((AK122+1)&lt;AL$1015,(AK122+1)=AL$1015),MAX(AK$4:AK122)&lt;AL$1015),AK122+1,0)</f>
        <v>0</v>
      </c>
      <c r="AL123" s="309">
        <f>VLOOKUP($AK123,ENTI!$AF$4:AG$1003,2,FALSE)</f>
        <v>0</v>
      </c>
      <c r="AM123" s="224">
        <f>VLOOKUP($AK123,ENTI!$AF$4:AH$1003,3,FALSE)</f>
        <v>0</v>
      </c>
      <c r="AN123" s="224">
        <f>VLOOKUP($AK123,ENTI!$AF$4:AI$1003,4,FALSE)</f>
        <v>0</v>
      </c>
      <c r="AO123" s="781">
        <f>VLOOKUP($AK123,ENTI!$AF$4:AJ$1003,5,FALSE)</f>
        <v>0</v>
      </c>
      <c r="AP123" s="315">
        <f>VLOOKUP($AK123,ENTI!$AF$4:AK$1003,6,FALSE)</f>
        <v>0</v>
      </c>
      <c r="AQ123" s="208">
        <f t="shared" si="36"/>
        <v>0</v>
      </c>
      <c r="AR123" s="152" t="e">
        <f t="shared" si="37"/>
        <v>#N/A</v>
      </c>
      <c r="AS123" s="1"/>
      <c r="AT123" s="88" t="str">
        <f t="shared" si="30"/>
        <v/>
      </c>
      <c r="AU123" s="1"/>
      <c r="AV123" s="175">
        <f>IF(AW123&gt;0,COUNTIF(AV$4:AV122,"&gt;0")+1,0)</f>
        <v>0</v>
      </c>
      <c r="AW123" s="164">
        <f t="shared" si="31"/>
        <v>0</v>
      </c>
      <c r="AX123" s="310">
        <f>IF($AW123=0,0,VLOOKUP(VLOOKUP($X123,$B$34:$T$38,19,FALSE),ENTI!$A$9:$B$13,2,FALSE))</f>
        <v>0</v>
      </c>
      <c r="AY123" s="310">
        <f t="shared" si="33"/>
        <v>0</v>
      </c>
      <c r="AZ123" s="316">
        <f t="shared" si="34"/>
        <v>0</v>
      </c>
      <c r="BA123" s="1"/>
      <c r="BB123" s="152">
        <f t="shared" si="35"/>
        <v>0</v>
      </c>
      <c r="BC123" s="152">
        <f ca="1">SUM(Z$4:Z123)+SUM(BB$4:BB123)+COSTI!S$6-COSTI!L$1076</f>
        <v>-31.760000000000218</v>
      </c>
      <c r="BD123" s="1"/>
    </row>
    <row r="124" spans="1:56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435">
        <f>IF(AND(W124&gt;=$U$1,W124&lt;=$U$2),IF(X124='ESTRATTO CONTO'!$E$2,1+COUNTIF(U$4:U123,"&gt;0"),0),0)</f>
        <v>0</v>
      </c>
      <c r="V124" s="417">
        <f t="shared" si="32"/>
        <v>121</v>
      </c>
      <c r="W124" s="509"/>
      <c r="X124" s="321"/>
      <c r="Y124" s="321"/>
      <c r="Z124" s="508"/>
      <c r="AA124" s="356"/>
      <c r="AB124" s="306" t="str">
        <f t="shared" si="28"/>
        <v/>
      </c>
      <c r="AC124" s="637">
        <f t="shared" ca="1" si="38"/>
        <v>-2.1316282072803006E-13</v>
      </c>
      <c r="AD124" s="935">
        <f>IF(ISERROR(VLOOKUP(AD$2,X125:X$1003,1,FALSE)),IF(X124=AD$2,SUMIF(X$4:X124,AD$2,Z$4:Z124)+$E$9+SUM(AQ$4:AQ$1003)+SUMIF(COSTI!$X$1379:$X$1430,AD$2,COSTI!$Z$1379:$Z$1430),0),0)</f>
        <v>0</v>
      </c>
      <c r="AE124" s="26"/>
      <c r="AF124" s="856" t="e">
        <f>IF(ISERROR(VLOOKUP(AG$2,X125:X$1003,1,FALSE)),IF(X124=AG$2,SUMIF(X$4:X124,AG$2,Z$4:Z124)+VLOOKUP(AF$2,$B$1057:$F$1068,5,FALSE)+SUM(AR$4:AR$1003)+SUMIF(COSTI!$X$1379:$X$1430,AG$2,COSTI!$Z$1379:$Z$1430),0),0)</f>
        <v>#N/A</v>
      </c>
      <c r="AG124" s="859"/>
      <c r="AH124" s="27" t="str">
        <f t="shared" si="29"/>
        <v/>
      </c>
      <c r="AI124" s="152">
        <f ca="1">IF(W125&gt;0,0,IF(AH124=0,(Z124*-1)+BC124+SUM(BB$4:BB123),BC124+SUM(BB$4:BB123)))</f>
        <v>-2.1316282072803006E-13</v>
      </c>
      <c r="AJ124" s="931">
        <f>IF(AND(AL124&gt;=$U$1,AL124&lt;=$U$2),IF(AM124='ESTRATTO CONTO'!$E$2,1+COUNTIF(AJ$4:AJ123,"&gt;0")+U$1015,0),0)</f>
        <v>0</v>
      </c>
      <c r="AK124" s="203">
        <f>IF(AND(OR((AK123+1)&lt;AL$1015,(AK123+1)=AL$1015),MAX(AK$4:AK123)&lt;AL$1015),AK123+1,0)</f>
        <v>0</v>
      </c>
      <c r="AL124" s="309">
        <f>VLOOKUP($AK124,ENTI!$AF$4:AG$1003,2,FALSE)</f>
        <v>0</v>
      </c>
      <c r="AM124" s="224">
        <f>VLOOKUP($AK124,ENTI!$AF$4:AH$1003,3,FALSE)</f>
        <v>0</v>
      </c>
      <c r="AN124" s="224">
        <f>VLOOKUP($AK124,ENTI!$AF$4:AI$1003,4,FALSE)</f>
        <v>0</v>
      </c>
      <c r="AO124" s="781">
        <f>VLOOKUP($AK124,ENTI!$AF$4:AJ$1003,5,FALSE)</f>
        <v>0</v>
      </c>
      <c r="AP124" s="315">
        <f>VLOOKUP($AK124,ENTI!$AF$4:AK$1003,6,FALSE)</f>
        <v>0</v>
      </c>
      <c r="AQ124" s="208">
        <f t="shared" si="36"/>
        <v>0</v>
      </c>
      <c r="AR124" s="152" t="e">
        <f t="shared" si="37"/>
        <v>#N/A</v>
      </c>
      <c r="AS124" s="1"/>
      <c r="AT124" s="88" t="str">
        <f t="shared" si="30"/>
        <v/>
      </c>
      <c r="AU124" s="1"/>
      <c r="AV124" s="175">
        <f>IF(AW124&gt;0,COUNTIF(AV$4:AV123,"&gt;0")+1,0)</f>
        <v>0</v>
      </c>
      <c r="AW124" s="164">
        <f t="shared" si="31"/>
        <v>0</v>
      </c>
      <c r="AX124" s="310">
        <f>IF($AW124=0,0,VLOOKUP(VLOOKUP($X124,$B$34:$T$38,19,FALSE),ENTI!$A$9:$B$13,2,FALSE))</f>
        <v>0</v>
      </c>
      <c r="AY124" s="310">
        <f t="shared" si="33"/>
        <v>0</v>
      </c>
      <c r="AZ124" s="316">
        <f t="shared" si="34"/>
        <v>0</v>
      </c>
      <c r="BA124" s="1"/>
      <c r="BB124" s="152">
        <f t="shared" si="35"/>
        <v>0</v>
      </c>
      <c r="BC124" s="152">
        <f ca="1">SUM(Z$4:Z124)+SUM(BB$4:BB124)+COSTI!S$6-COSTI!L$1076</f>
        <v>-31.760000000000218</v>
      </c>
      <c r="BD124" s="1"/>
    </row>
    <row r="125" spans="1:56" ht="16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435">
        <f>IF(AND(W125&gt;=$U$1,W125&lt;=$U$2),IF(X125='ESTRATTO CONTO'!$E$2,1+COUNTIF(U$4:U124,"&gt;0"),0),0)</f>
        <v>0</v>
      </c>
      <c r="V125" s="417">
        <f t="shared" si="32"/>
        <v>122</v>
      </c>
      <c r="W125" s="509"/>
      <c r="X125" s="321"/>
      <c r="Y125" s="321"/>
      <c r="Z125" s="508"/>
      <c r="AA125" s="356"/>
      <c r="AB125" s="306" t="str">
        <f t="shared" si="28"/>
        <v/>
      </c>
      <c r="AC125" s="637">
        <f t="shared" ca="1" si="38"/>
        <v>-2.1316282072803006E-13</v>
      </c>
      <c r="AD125" s="935">
        <f>IF(ISERROR(VLOOKUP(AD$2,X126:X$1003,1,FALSE)),IF(X125=AD$2,SUMIF(X$4:X125,AD$2,Z$4:Z125)+$E$9+SUM(AQ$4:AQ$1003)+SUMIF(COSTI!$X$1379:$X$1430,AD$2,COSTI!$Z$1379:$Z$1430),0),0)</f>
        <v>0</v>
      </c>
      <c r="AE125" s="26"/>
      <c r="AF125" s="856" t="e">
        <f>IF(ISERROR(VLOOKUP(AG$2,X126:X$1003,1,FALSE)),IF(X125=AG$2,SUMIF(X$4:X125,AG$2,Z$4:Z125)+VLOOKUP(AF$2,$B$1057:$F$1068,5,FALSE)+SUM(AR$4:AR$1003)+SUMIF(COSTI!$X$1379:$X$1430,AG$2,COSTI!$Z$1379:$Z$1430),0),0)</f>
        <v>#N/A</v>
      </c>
      <c r="AG125" s="859"/>
      <c r="AH125" s="27" t="str">
        <f t="shared" si="29"/>
        <v/>
      </c>
      <c r="AI125" s="152">
        <f ca="1">IF(W126&gt;0,0,IF(AH125=0,(Z125*-1)+BC125+SUM(BB$4:BB124),BC125+SUM(BB$4:BB124)))</f>
        <v>-2.1316282072803006E-13</v>
      </c>
      <c r="AJ125" s="931">
        <f>IF(AND(AL125&gt;=$U$1,AL125&lt;=$U$2),IF(AM125='ESTRATTO CONTO'!$E$2,1+COUNTIF(AJ$4:AJ124,"&gt;0")+U$1015,0),0)</f>
        <v>0</v>
      </c>
      <c r="AK125" s="203">
        <f>IF(AND(OR((AK124+1)&lt;AL$1015,(AK124+1)=AL$1015),MAX(AK$4:AK124)&lt;AL$1015),AK124+1,0)</f>
        <v>0</v>
      </c>
      <c r="AL125" s="309">
        <f>VLOOKUP($AK125,ENTI!$AF$4:AG$1003,2,FALSE)</f>
        <v>0</v>
      </c>
      <c r="AM125" s="224">
        <f>VLOOKUP($AK125,ENTI!$AF$4:AH$1003,3,FALSE)</f>
        <v>0</v>
      </c>
      <c r="AN125" s="224">
        <f>VLOOKUP($AK125,ENTI!$AF$4:AI$1003,4,FALSE)</f>
        <v>0</v>
      </c>
      <c r="AO125" s="781">
        <f>VLOOKUP($AK125,ENTI!$AF$4:AJ$1003,5,FALSE)</f>
        <v>0</v>
      </c>
      <c r="AP125" s="315">
        <f>VLOOKUP($AK125,ENTI!$AF$4:AK$1003,6,FALSE)</f>
        <v>0</v>
      </c>
      <c r="AQ125" s="208">
        <f t="shared" si="36"/>
        <v>0</v>
      </c>
      <c r="AR125" s="152" t="e">
        <f t="shared" si="37"/>
        <v>#N/A</v>
      </c>
      <c r="AS125" s="1"/>
      <c r="AT125" s="88" t="str">
        <f t="shared" si="30"/>
        <v/>
      </c>
      <c r="AU125" s="1"/>
      <c r="AV125" s="175">
        <f>IF(AW125&gt;0,COUNTIF(AV$4:AV124,"&gt;0")+1,0)</f>
        <v>0</v>
      </c>
      <c r="AW125" s="164">
        <f t="shared" si="31"/>
        <v>0</v>
      </c>
      <c r="AX125" s="310">
        <f>IF($AW125=0,0,VLOOKUP(VLOOKUP($X125,$B$34:$T$38,19,FALSE),ENTI!$A$9:$B$13,2,FALSE))</f>
        <v>0</v>
      </c>
      <c r="AY125" s="310">
        <f t="shared" si="33"/>
        <v>0</v>
      </c>
      <c r="AZ125" s="316">
        <f t="shared" si="34"/>
        <v>0</v>
      </c>
      <c r="BA125" s="1"/>
      <c r="BB125" s="152">
        <f t="shared" si="35"/>
        <v>0</v>
      </c>
      <c r="BC125" s="152">
        <f ca="1">SUM(Z$4:Z125)+SUM(BB$4:BB125)+COSTI!S$6-COSTI!L$1076</f>
        <v>-31.760000000000218</v>
      </c>
      <c r="BD125" s="1"/>
    </row>
    <row r="126" spans="1:56" ht="16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435">
        <f>IF(AND(W126&gt;=$U$1,W126&lt;=$U$2),IF(X126='ESTRATTO CONTO'!$E$2,1+COUNTIF(U$4:U125,"&gt;0"),0),0)</f>
        <v>0</v>
      </c>
      <c r="V126" s="417">
        <f t="shared" si="32"/>
        <v>123</v>
      </c>
      <c r="W126" s="509"/>
      <c r="X126" s="321"/>
      <c r="Y126" s="321"/>
      <c r="Z126" s="508"/>
      <c r="AA126" s="356"/>
      <c r="AB126" s="306" t="str">
        <f t="shared" si="28"/>
        <v/>
      </c>
      <c r="AC126" s="637">
        <f t="shared" ca="1" si="38"/>
        <v>-2.1316282072803006E-13</v>
      </c>
      <c r="AD126" s="935">
        <f>IF(ISERROR(VLOOKUP(AD$2,X127:X$1003,1,FALSE)),IF(X126=AD$2,SUMIF(X$4:X126,AD$2,Z$4:Z126)+$E$9+SUM(AQ$4:AQ$1003)+SUMIF(COSTI!$X$1379:$X$1430,AD$2,COSTI!$Z$1379:$Z$1430),0),0)</f>
        <v>0</v>
      </c>
      <c r="AE126" s="26"/>
      <c r="AF126" s="856" t="e">
        <f>IF(ISERROR(VLOOKUP(AG$2,X127:X$1003,1,FALSE)),IF(X126=AG$2,SUMIF(X$4:X126,AG$2,Z$4:Z126)+VLOOKUP(AF$2,$B$1057:$F$1068,5,FALSE)+SUM(AR$4:AR$1003)+SUMIF(COSTI!$X$1379:$X$1430,AG$2,COSTI!$Z$1379:$Z$1430),0),0)</f>
        <v>#N/A</v>
      </c>
      <c r="AG126" s="859"/>
      <c r="AH126" s="27" t="str">
        <f t="shared" si="29"/>
        <v/>
      </c>
      <c r="AI126" s="152">
        <f ca="1">IF(W127&gt;0,0,IF(AH126=0,(Z126*-1)+BC126+SUM(BB$4:BB125),BC126+SUM(BB$4:BB125)))</f>
        <v>-2.1316282072803006E-13</v>
      </c>
      <c r="AJ126" s="931">
        <f>IF(AND(AL126&gt;=$U$1,AL126&lt;=$U$2),IF(AM126='ESTRATTO CONTO'!$E$2,1+COUNTIF(AJ$4:AJ125,"&gt;0")+U$1015,0),0)</f>
        <v>0</v>
      </c>
      <c r="AK126" s="203">
        <f>IF(AND(OR((AK125+1)&lt;AL$1015,(AK125+1)=AL$1015),MAX(AK$4:AK125)&lt;AL$1015),AK125+1,0)</f>
        <v>0</v>
      </c>
      <c r="AL126" s="309">
        <f>VLOOKUP($AK126,ENTI!$AF$4:AG$1003,2,FALSE)</f>
        <v>0</v>
      </c>
      <c r="AM126" s="224">
        <f>VLOOKUP($AK126,ENTI!$AF$4:AH$1003,3,FALSE)</f>
        <v>0</v>
      </c>
      <c r="AN126" s="224">
        <f>VLOOKUP($AK126,ENTI!$AF$4:AI$1003,4,FALSE)</f>
        <v>0</v>
      </c>
      <c r="AO126" s="781">
        <f>VLOOKUP($AK126,ENTI!$AF$4:AJ$1003,5,FALSE)</f>
        <v>0</v>
      </c>
      <c r="AP126" s="315">
        <f>VLOOKUP($AK126,ENTI!$AF$4:AK$1003,6,FALSE)</f>
        <v>0</v>
      </c>
      <c r="AQ126" s="208">
        <f t="shared" si="36"/>
        <v>0</v>
      </c>
      <c r="AR126" s="152" t="e">
        <f t="shared" si="37"/>
        <v>#N/A</v>
      </c>
      <c r="AS126" s="1"/>
      <c r="AT126" s="88" t="str">
        <f t="shared" si="30"/>
        <v/>
      </c>
      <c r="AU126" s="1"/>
      <c r="AV126" s="175">
        <f>IF(AW126&gt;0,COUNTIF(AV$4:AV125,"&gt;0")+1,0)</f>
        <v>0</v>
      </c>
      <c r="AW126" s="164">
        <f t="shared" si="31"/>
        <v>0</v>
      </c>
      <c r="AX126" s="310">
        <f>IF($AW126=0,0,VLOOKUP(VLOOKUP($X126,$B$34:$T$38,19,FALSE),ENTI!$A$9:$B$13,2,FALSE))</f>
        <v>0</v>
      </c>
      <c r="AY126" s="310">
        <f t="shared" si="33"/>
        <v>0</v>
      </c>
      <c r="AZ126" s="316">
        <f t="shared" si="34"/>
        <v>0</v>
      </c>
      <c r="BA126" s="1"/>
      <c r="BB126" s="152">
        <f t="shared" si="35"/>
        <v>0</v>
      </c>
      <c r="BC126" s="152">
        <f ca="1">SUM(Z$4:Z126)+SUM(BB$4:BB126)+COSTI!S$6-COSTI!L$1076</f>
        <v>-31.760000000000218</v>
      </c>
      <c r="BD126" s="1"/>
    </row>
    <row r="127" spans="1:56" ht="16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435">
        <f>IF(AND(W127&gt;=$U$1,W127&lt;=$U$2),IF(X127='ESTRATTO CONTO'!$E$2,1+COUNTIF(U$4:U126,"&gt;0"),0),0)</f>
        <v>0</v>
      </c>
      <c r="V127" s="417">
        <f t="shared" si="32"/>
        <v>124</v>
      </c>
      <c r="W127" s="509"/>
      <c r="X127" s="321"/>
      <c r="Y127" s="321"/>
      <c r="Z127" s="508"/>
      <c r="AA127" s="356"/>
      <c r="AB127" s="306" t="str">
        <f t="shared" si="28"/>
        <v/>
      </c>
      <c r="AC127" s="637">
        <f t="shared" ca="1" si="38"/>
        <v>-2.1316282072803006E-13</v>
      </c>
      <c r="AD127" s="935">
        <f>IF(ISERROR(VLOOKUP(AD$2,X128:X$1003,1,FALSE)),IF(X127=AD$2,SUMIF(X$4:X127,AD$2,Z$4:Z127)+$E$9+SUM(AQ$4:AQ$1003)+SUMIF(COSTI!$X$1379:$X$1430,AD$2,COSTI!$Z$1379:$Z$1430),0),0)</f>
        <v>0</v>
      </c>
      <c r="AE127" s="26"/>
      <c r="AF127" s="856" t="e">
        <f>IF(ISERROR(VLOOKUP(AG$2,X128:X$1003,1,FALSE)),IF(X127=AG$2,SUMIF(X$4:X127,AG$2,Z$4:Z127)+VLOOKUP(AF$2,$B$1057:$F$1068,5,FALSE)+SUM(AR$4:AR$1003)+SUMIF(COSTI!$X$1379:$X$1430,AG$2,COSTI!$Z$1379:$Z$1430),0),0)</f>
        <v>#N/A</v>
      </c>
      <c r="AG127" s="859"/>
      <c r="AH127" s="27" t="str">
        <f t="shared" si="29"/>
        <v/>
      </c>
      <c r="AI127" s="152">
        <f ca="1">IF(W128&gt;0,0,IF(AH127=0,(Z127*-1)+BC127+SUM(BB$4:BB126),BC127+SUM(BB$4:BB126)))</f>
        <v>-2.1316282072803006E-13</v>
      </c>
      <c r="AJ127" s="931">
        <f>IF(AND(AL127&gt;=$U$1,AL127&lt;=$U$2),IF(AM127='ESTRATTO CONTO'!$E$2,1+COUNTIF(AJ$4:AJ126,"&gt;0")+U$1015,0),0)</f>
        <v>0</v>
      </c>
      <c r="AK127" s="203">
        <f>IF(AND(OR((AK126+1)&lt;AL$1015,(AK126+1)=AL$1015),MAX(AK$4:AK126)&lt;AL$1015),AK126+1,0)</f>
        <v>0</v>
      </c>
      <c r="AL127" s="309">
        <f>VLOOKUP($AK127,ENTI!$AF$4:AG$1003,2,FALSE)</f>
        <v>0</v>
      </c>
      <c r="AM127" s="224">
        <f>VLOOKUP($AK127,ENTI!$AF$4:AH$1003,3,FALSE)</f>
        <v>0</v>
      </c>
      <c r="AN127" s="224">
        <f>VLOOKUP($AK127,ENTI!$AF$4:AI$1003,4,FALSE)</f>
        <v>0</v>
      </c>
      <c r="AO127" s="781">
        <f>VLOOKUP($AK127,ENTI!$AF$4:AJ$1003,5,FALSE)</f>
        <v>0</v>
      </c>
      <c r="AP127" s="315">
        <f>VLOOKUP($AK127,ENTI!$AF$4:AK$1003,6,FALSE)</f>
        <v>0</v>
      </c>
      <c r="AQ127" s="208">
        <f t="shared" si="36"/>
        <v>0</v>
      </c>
      <c r="AR127" s="152" t="e">
        <f t="shared" si="37"/>
        <v>#N/A</v>
      </c>
      <c r="AS127" s="1"/>
      <c r="AT127" s="88" t="str">
        <f t="shared" si="30"/>
        <v/>
      </c>
      <c r="AU127" s="1"/>
      <c r="AV127" s="175">
        <f>IF(AW127&gt;0,COUNTIF(AV$4:AV126,"&gt;0")+1,0)</f>
        <v>0</v>
      </c>
      <c r="AW127" s="164">
        <f t="shared" si="31"/>
        <v>0</v>
      </c>
      <c r="AX127" s="310">
        <f>IF($AW127=0,0,VLOOKUP(VLOOKUP($X127,$B$34:$T$38,19,FALSE),ENTI!$A$9:$B$13,2,FALSE))</f>
        <v>0</v>
      </c>
      <c r="AY127" s="310">
        <f t="shared" si="33"/>
        <v>0</v>
      </c>
      <c r="AZ127" s="316">
        <f t="shared" si="34"/>
        <v>0</v>
      </c>
      <c r="BA127" s="1"/>
      <c r="BB127" s="152">
        <f t="shared" si="35"/>
        <v>0</v>
      </c>
      <c r="BC127" s="152">
        <f ca="1">SUM(Z$4:Z127)+SUM(BB$4:BB127)+COSTI!S$6-COSTI!L$1076</f>
        <v>-31.760000000000218</v>
      </c>
      <c r="BD127" s="1"/>
    </row>
    <row r="128" spans="1:56" ht="16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435">
        <f>IF(AND(W128&gt;=$U$1,W128&lt;=$U$2),IF(X128='ESTRATTO CONTO'!$E$2,1+COUNTIF(U$4:U127,"&gt;0"),0),0)</f>
        <v>0</v>
      </c>
      <c r="V128" s="417">
        <f t="shared" si="32"/>
        <v>125</v>
      </c>
      <c r="W128" s="509"/>
      <c r="X128" s="321"/>
      <c r="Y128" s="321"/>
      <c r="Z128" s="508"/>
      <c r="AA128" s="356"/>
      <c r="AB128" s="306" t="str">
        <f t="shared" si="28"/>
        <v/>
      </c>
      <c r="AC128" s="637">
        <f t="shared" ca="1" si="38"/>
        <v>-2.1316282072803006E-13</v>
      </c>
      <c r="AD128" s="935">
        <f>IF(ISERROR(VLOOKUP(AD$2,X129:X$1003,1,FALSE)),IF(X128=AD$2,SUMIF(X$4:X128,AD$2,Z$4:Z128)+$E$9+SUM(AQ$4:AQ$1003)+SUMIF(COSTI!$X$1379:$X$1430,AD$2,COSTI!$Z$1379:$Z$1430),0),0)</f>
        <v>0</v>
      </c>
      <c r="AE128" s="26"/>
      <c r="AF128" s="856" t="e">
        <f>IF(ISERROR(VLOOKUP(AG$2,X129:X$1003,1,FALSE)),IF(X128=AG$2,SUMIF(X$4:X128,AG$2,Z$4:Z128)+VLOOKUP(AF$2,$B$1057:$F$1068,5,FALSE)+SUM(AR$4:AR$1003)+SUMIF(COSTI!$X$1379:$X$1430,AG$2,COSTI!$Z$1379:$Z$1430),0),0)</f>
        <v>#N/A</v>
      </c>
      <c r="AG128" s="859"/>
      <c r="AH128" s="27" t="str">
        <f t="shared" si="29"/>
        <v/>
      </c>
      <c r="AI128" s="152">
        <f ca="1">IF(W129&gt;0,0,IF(AH128=0,(Z128*-1)+BC128+SUM(BB$4:BB127),BC128+SUM(BB$4:BB127)))</f>
        <v>-2.1316282072803006E-13</v>
      </c>
      <c r="AJ128" s="931">
        <f>IF(AND(AL128&gt;=$U$1,AL128&lt;=$U$2),IF(AM128='ESTRATTO CONTO'!$E$2,1+COUNTIF(AJ$4:AJ127,"&gt;0")+U$1015,0),0)</f>
        <v>0</v>
      </c>
      <c r="AK128" s="203">
        <f>IF(AND(OR((AK127+1)&lt;AL$1015,(AK127+1)=AL$1015),MAX(AK$4:AK127)&lt;AL$1015),AK127+1,0)</f>
        <v>0</v>
      </c>
      <c r="AL128" s="309">
        <f>VLOOKUP($AK128,ENTI!$AF$4:AG$1003,2,FALSE)</f>
        <v>0</v>
      </c>
      <c r="AM128" s="224">
        <f>VLOOKUP($AK128,ENTI!$AF$4:AH$1003,3,FALSE)</f>
        <v>0</v>
      </c>
      <c r="AN128" s="224">
        <f>VLOOKUP($AK128,ENTI!$AF$4:AI$1003,4,FALSE)</f>
        <v>0</v>
      </c>
      <c r="AO128" s="781">
        <f>VLOOKUP($AK128,ENTI!$AF$4:AJ$1003,5,FALSE)</f>
        <v>0</v>
      </c>
      <c r="AP128" s="315">
        <f>VLOOKUP($AK128,ENTI!$AF$4:AK$1003,6,FALSE)</f>
        <v>0</v>
      </c>
      <c r="AQ128" s="208">
        <f t="shared" si="36"/>
        <v>0</v>
      </c>
      <c r="AR128" s="152" t="e">
        <f t="shared" si="37"/>
        <v>#N/A</v>
      </c>
      <c r="AS128" s="1"/>
      <c r="AT128" s="88" t="str">
        <f t="shared" si="30"/>
        <v/>
      </c>
      <c r="AU128" s="1"/>
      <c r="AV128" s="175">
        <f>IF(AW128&gt;0,COUNTIF(AV$4:AV127,"&gt;0")+1,0)</f>
        <v>0</v>
      </c>
      <c r="AW128" s="164">
        <f t="shared" si="31"/>
        <v>0</v>
      </c>
      <c r="AX128" s="310">
        <f>IF($AW128=0,0,VLOOKUP(VLOOKUP($X128,$B$34:$T$38,19,FALSE),ENTI!$A$9:$B$13,2,FALSE))</f>
        <v>0</v>
      </c>
      <c r="AY128" s="310">
        <f t="shared" si="33"/>
        <v>0</v>
      </c>
      <c r="AZ128" s="316">
        <f t="shared" si="34"/>
        <v>0</v>
      </c>
      <c r="BA128" s="1"/>
      <c r="BB128" s="152">
        <f t="shared" si="35"/>
        <v>0</v>
      </c>
      <c r="BC128" s="152">
        <f ca="1">SUM(Z$4:Z128)+SUM(BB$4:BB128)+COSTI!S$6-COSTI!L$1076</f>
        <v>-31.760000000000218</v>
      </c>
      <c r="BD128" s="1"/>
    </row>
    <row r="129" spans="1:56" ht="16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435">
        <f>IF(AND(W129&gt;=$U$1,W129&lt;=$U$2),IF(X129='ESTRATTO CONTO'!$E$2,1+COUNTIF(U$4:U128,"&gt;0"),0),0)</f>
        <v>0</v>
      </c>
      <c r="V129" s="417">
        <f t="shared" si="32"/>
        <v>126</v>
      </c>
      <c r="W129" s="509"/>
      <c r="X129" s="321"/>
      <c r="Y129" s="321"/>
      <c r="Z129" s="508"/>
      <c r="AA129" s="356"/>
      <c r="AB129" s="306" t="str">
        <f t="shared" si="28"/>
        <v/>
      </c>
      <c r="AC129" s="637">
        <f t="shared" ca="1" si="38"/>
        <v>-2.1316282072803006E-13</v>
      </c>
      <c r="AD129" s="935">
        <f>IF(ISERROR(VLOOKUP(AD$2,X130:X$1003,1,FALSE)),IF(X129=AD$2,SUMIF(X$4:X129,AD$2,Z$4:Z129)+$E$9+SUM(AQ$4:AQ$1003)+SUMIF(COSTI!$X$1379:$X$1430,AD$2,COSTI!$Z$1379:$Z$1430),0),0)</f>
        <v>0</v>
      </c>
      <c r="AE129" s="26"/>
      <c r="AF129" s="856" t="e">
        <f>IF(ISERROR(VLOOKUP(AG$2,X130:X$1003,1,FALSE)),IF(X129=AG$2,SUMIF(X$4:X129,AG$2,Z$4:Z129)+VLOOKUP(AF$2,$B$1057:$F$1068,5,FALSE)+SUM(AR$4:AR$1003)+SUMIF(COSTI!$X$1379:$X$1430,AG$2,COSTI!$Z$1379:$Z$1430),0),0)</f>
        <v>#N/A</v>
      </c>
      <c r="AG129" s="859"/>
      <c r="AH129" s="27" t="str">
        <f t="shared" si="29"/>
        <v/>
      </c>
      <c r="AI129" s="152">
        <f ca="1">IF(W130&gt;0,0,IF(AH129=0,(Z129*-1)+BC129+SUM(BB$4:BB128),BC129+SUM(BB$4:BB128)))</f>
        <v>-2.1316282072803006E-13</v>
      </c>
      <c r="AJ129" s="931">
        <f>IF(AND(AL129&gt;=$U$1,AL129&lt;=$U$2),IF(AM129='ESTRATTO CONTO'!$E$2,1+COUNTIF(AJ$4:AJ128,"&gt;0")+U$1015,0),0)</f>
        <v>0</v>
      </c>
      <c r="AK129" s="203">
        <f>IF(AND(OR((AK128+1)&lt;AL$1015,(AK128+1)=AL$1015),MAX(AK$4:AK128)&lt;AL$1015),AK128+1,0)</f>
        <v>0</v>
      </c>
      <c r="AL129" s="309">
        <f>VLOOKUP($AK129,ENTI!$AF$4:AG$1003,2,FALSE)</f>
        <v>0</v>
      </c>
      <c r="AM129" s="224">
        <f>VLOOKUP($AK129,ENTI!$AF$4:AH$1003,3,FALSE)</f>
        <v>0</v>
      </c>
      <c r="AN129" s="224">
        <f>VLOOKUP($AK129,ENTI!$AF$4:AI$1003,4,FALSE)</f>
        <v>0</v>
      </c>
      <c r="AO129" s="781">
        <f>VLOOKUP($AK129,ENTI!$AF$4:AJ$1003,5,FALSE)</f>
        <v>0</v>
      </c>
      <c r="AP129" s="315">
        <f>VLOOKUP($AK129,ENTI!$AF$4:AK$1003,6,FALSE)</f>
        <v>0</v>
      </c>
      <c r="AQ129" s="208">
        <f t="shared" si="36"/>
        <v>0</v>
      </c>
      <c r="AR129" s="152" t="e">
        <f t="shared" si="37"/>
        <v>#N/A</v>
      </c>
      <c r="AS129" s="1"/>
      <c r="AT129" s="88" t="str">
        <f t="shared" si="30"/>
        <v/>
      </c>
      <c r="AU129" s="1"/>
      <c r="AV129" s="175">
        <f>IF(AW129&gt;0,COUNTIF(AV$4:AV128,"&gt;0")+1,0)</f>
        <v>0</v>
      </c>
      <c r="AW129" s="164">
        <f t="shared" si="31"/>
        <v>0</v>
      </c>
      <c r="AX129" s="310">
        <f>IF($AW129=0,0,VLOOKUP(VLOOKUP($X129,$B$34:$T$38,19,FALSE),ENTI!$A$9:$B$13,2,FALSE))</f>
        <v>0</v>
      </c>
      <c r="AY129" s="310">
        <f t="shared" si="33"/>
        <v>0</v>
      </c>
      <c r="AZ129" s="316">
        <f t="shared" si="34"/>
        <v>0</v>
      </c>
      <c r="BA129" s="1"/>
      <c r="BB129" s="152">
        <f t="shared" si="35"/>
        <v>0</v>
      </c>
      <c r="BC129" s="152">
        <f ca="1">SUM(Z$4:Z129)+SUM(BB$4:BB129)+COSTI!S$6-COSTI!L$1076</f>
        <v>-31.760000000000218</v>
      </c>
      <c r="BD129" s="1"/>
    </row>
    <row r="130" spans="1:56" ht="16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435">
        <f>IF(AND(W130&gt;=$U$1,W130&lt;=$U$2),IF(X130='ESTRATTO CONTO'!$E$2,1+COUNTIF(U$4:U129,"&gt;0"),0),0)</f>
        <v>0</v>
      </c>
      <c r="V130" s="417">
        <f t="shared" si="32"/>
        <v>127</v>
      </c>
      <c r="W130" s="509"/>
      <c r="X130" s="321"/>
      <c r="Y130" s="321"/>
      <c r="Z130" s="508"/>
      <c r="AA130" s="356"/>
      <c r="AB130" s="306" t="str">
        <f t="shared" si="28"/>
        <v/>
      </c>
      <c r="AC130" s="637">
        <f t="shared" ca="1" si="38"/>
        <v>-2.1316282072803006E-13</v>
      </c>
      <c r="AD130" s="935">
        <f>IF(ISERROR(VLOOKUP(AD$2,X131:X$1003,1,FALSE)),IF(X130=AD$2,SUMIF(X$4:X130,AD$2,Z$4:Z130)+$E$9+SUM(AQ$4:AQ$1003)+SUMIF(COSTI!$X$1379:$X$1430,AD$2,COSTI!$Z$1379:$Z$1430),0),0)</f>
        <v>0</v>
      </c>
      <c r="AE130" s="26"/>
      <c r="AF130" s="856" t="e">
        <f>IF(ISERROR(VLOOKUP(AG$2,X131:X$1003,1,FALSE)),IF(X130=AG$2,SUMIF(X$4:X130,AG$2,Z$4:Z130)+VLOOKUP(AF$2,$B$1057:$F$1068,5,FALSE)+SUM(AR$4:AR$1003)+SUMIF(COSTI!$X$1379:$X$1430,AG$2,COSTI!$Z$1379:$Z$1430),0),0)</f>
        <v>#N/A</v>
      </c>
      <c r="AG130" s="859"/>
      <c r="AH130" s="27" t="str">
        <f t="shared" si="29"/>
        <v/>
      </c>
      <c r="AI130" s="152">
        <f ca="1">IF(W131&gt;0,0,IF(AH130=0,(Z130*-1)+BC130+SUM(BB$4:BB129),BC130+SUM(BB$4:BB129)))</f>
        <v>-2.1316282072803006E-13</v>
      </c>
      <c r="AJ130" s="931">
        <f>IF(AND(AL130&gt;=$U$1,AL130&lt;=$U$2),IF(AM130='ESTRATTO CONTO'!$E$2,1+COUNTIF(AJ$4:AJ129,"&gt;0")+U$1015,0),0)</f>
        <v>0</v>
      </c>
      <c r="AK130" s="203">
        <f>IF(AND(OR((AK129+1)&lt;AL$1015,(AK129+1)=AL$1015),MAX(AK$4:AK129)&lt;AL$1015),AK129+1,0)</f>
        <v>0</v>
      </c>
      <c r="AL130" s="309">
        <f>VLOOKUP($AK130,ENTI!$AF$4:AG$1003,2,FALSE)</f>
        <v>0</v>
      </c>
      <c r="AM130" s="224">
        <f>VLOOKUP($AK130,ENTI!$AF$4:AH$1003,3,FALSE)</f>
        <v>0</v>
      </c>
      <c r="AN130" s="224">
        <f>VLOOKUP($AK130,ENTI!$AF$4:AI$1003,4,FALSE)</f>
        <v>0</v>
      </c>
      <c r="AO130" s="781">
        <f>VLOOKUP($AK130,ENTI!$AF$4:AJ$1003,5,FALSE)</f>
        <v>0</v>
      </c>
      <c r="AP130" s="315">
        <f>VLOOKUP($AK130,ENTI!$AF$4:AK$1003,6,FALSE)</f>
        <v>0</v>
      </c>
      <c r="AQ130" s="208">
        <f t="shared" si="36"/>
        <v>0</v>
      </c>
      <c r="AR130" s="152" t="e">
        <f t="shared" si="37"/>
        <v>#N/A</v>
      </c>
      <c r="AS130" s="1"/>
      <c r="AT130" s="88" t="str">
        <f t="shared" si="30"/>
        <v/>
      </c>
      <c r="AU130" s="1"/>
      <c r="AV130" s="175">
        <f>IF(AW130&gt;0,COUNTIF(AV$4:AV129,"&gt;0")+1,0)</f>
        <v>0</v>
      </c>
      <c r="AW130" s="164">
        <f t="shared" si="31"/>
        <v>0</v>
      </c>
      <c r="AX130" s="310">
        <f>IF($AW130=0,0,VLOOKUP(VLOOKUP($X130,$B$34:$T$38,19,FALSE),ENTI!$A$9:$B$13,2,FALSE))</f>
        <v>0</v>
      </c>
      <c r="AY130" s="310">
        <f t="shared" si="33"/>
        <v>0</v>
      </c>
      <c r="AZ130" s="316">
        <f t="shared" si="34"/>
        <v>0</v>
      </c>
      <c r="BA130" s="1"/>
      <c r="BB130" s="152">
        <f t="shared" si="35"/>
        <v>0</v>
      </c>
      <c r="BC130" s="152">
        <f ca="1">SUM(Z$4:Z130)+SUM(BB$4:BB130)+COSTI!S$6-COSTI!L$1076</f>
        <v>-31.760000000000218</v>
      </c>
      <c r="BD130" s="1"/>
    </row>
    <row r="131" spans="1:56" ht="16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435">
        <f>IF(AND(W131&gt;=$U$1,W131&lt;=$U$2),IF(X131='ESTRATTO CONTO'!$E$2,1+COUNTIF(U$4:U130,"&gt;0"),0),0)</f>
        <v>0</v>
      </c>
      <c r="V131" s="417">
        <f t="shared" si="32"/>
        <v>128</v>
      </c>
      <c r="W131" s="509"/>
      <c r="X131" s="321"/>
      <c r="Y131" s="321"/>
      <c r="Z131" s="508"/>
      <c r="AA131" s="356"/>
      <c r="AB131" s="306" t="str">
        <f t="shared" si="28"/>
        <v/>
      </c>
      <c r="AC131" s="637">
        <f t="shared" ca="1" si="38"/>
        <v>-2.1316282072803006E-13</v>
      </c>
      <c r="AD131" s="935">
        <f>IF(ISERROR(VLOOKUP(AD$2,X132:X$1003,1,FALSE)),IF(X131=AD$2,SUMIF(X$4:X131,AD$2,Z$4:Z131)+$E$9+SUM(AQ$4:AQ$1003)+SUMIF(COSTI!$X$1379:$X$1430,AD$2,COSTI!$Z$1379:$Z$1430),0),0)</f>
        <v>0</v>
      </c>
      <c r="AE131" s="26"/>
      <c r="AF131" s="856" t="e">
        <f>IF(ISERROR(VLOOKUP(AG$2,X132:X$1003,1,FALSE)),IF(X131=AG$2,SUMIF(X$4:X131,AG$2,Z$4:Z131)+VLOOKUP(AF$2,$B$1057:$F$1068,5,FALSE)+SUM(AR$4:AR$1003)+SUMIF(COSTI!$X$1379:$X$1430,AG$2,COSTI!$Z$1379:$Z$1430),0),0)</f>
        <v>#N/A</v>
      </c>
      <c r="AG131" s="859"/>
      <c r="AH131" s="27" t="str">
        <f t="shared" si="29"/>
        <v/>
      </c>
      <c r="AI131" s="152">
        <f ca="1">IF(W132&gt;0,0,IF(AH131=0,(Z131*-1)+BC131+SUM(BB$4:BB130),BC131+SUM(BB$4:BB130)))</f>
        <v>-2.1316282072803006E-13</v>
      </c>
      <c r="AJ131" s="931">
        <f>IF(AND(AL131&gt;=$U$1,AL131&lt;=$U$2),IF(AM131='ESTRATTO CONTO'!$E$2,1+COUNTIF(AJ$4:AJ130,"&gt;0")+U$1015,0),0)</f>
        <v>0</v>
      </c>
      <c r="AK131" s="203">
        <f>IF(AND(OR((AK130+1)&lt;AL$1015,(AK130+1)=AL$1015),MAX(AK$4:AK130)&lt;AL$1015),AK130+1,0)</f>
        <v>0</v>
      </c>
      <c r="AL131" s="309">
        <f>VLOOKUP($AK131,ENTI!$AF$4:AG$1003,2,FALSE)</f>
        <v>0</v>
      </c>
      <c r="AM131" s="224">
        <f>VLOOKUP($AK131,ENTI!$AF$4:AH$1003,3,FALSE)</f>
        <v>0</v>
      </c>
      <c r="AN131" s="224">
        <f>VLOOKUP($AK131,ENTI!$AF$4:AI$1003,4,FALSE)</f>
        <v>0</v>
      </c>
      <c r="AO131" s="781">
        <f>VLOOKUP($AK131,ENTI!$AF$4:AJ$1003,5,FALSE)</f>
        <v>0</v>
      </c>
      <c r="AP131" s="315">
        <f>VLOOKUP($AK131,ENTI!$AF$4:AK$1003,6,FALSE)</f>
        <v>0</v>
      </c>
      <c r="AQ131" s="208">
        <f t="shared" si="36"/>
        <v>0</v>
      </c>
      <c r="AR131" s="152" t="e">
        <f t="shared" si="37"/>
        <v>#N/A</v>
      </c>
      <c r="AS131" s="1"/>
      <c r="AT131" s="88" t="str">
        <f t="shared" si="30"/>
        <v/>
      </c>
      <c r="AU131" s="1"/>
      <c r="AV131" s="175">
        <f>IF(AW131&gt;0,COUNTIF(AV$4:AV130,"&gt;0")+1,0)</f>
        <v>0</v>
      </c>
      <c r="AW131" s="164">
        <f t="shared" si="31"/>
        <v>0</v>
      </c>
      <c r="AX131" s="310">
        <f>IF($AW131=0,0,VLOOKUP(VLOOKUP($X131,$B$34:$T$38,19,FALSE),ENTI!$A$9:$B$13,2,FALSE))</f>
        <v>0</v>
      </c>
      <c r="AY131" s="310">
        <f t="shared" si="33"/>
        <v>0</v>
      </c>
      <c r="AZ131" s="316">
        <f t="shared" si="34"/>
        <v>0</v>
      </c>
      <c r="BA131" s="1"/>
      <c r="BB131" s="152">
        <f t="shared" si="35"/>
        <v>0</v>
      </c>
      <c r="BC131" s="152">
        <f ca="1">SUM(Z$4:Z131)+SUM(BB$4:BB131)+COSTI!S$6-COSTI!L$1076</f>
        <v>-31.760000000000218</v>
      </c>
      <c r="BD131" s="1"/>
    </row>
    <row r="132" spans="1:56" ht="16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435">
        <f>IF(AND(W132&gt;=$U$1,W132&lt;=$U$2),IF(X132='ESTRATTO CONTO'!$E$2,1+COUNTIF(U$4:U131,"&gt;0"),0),0)</f>
        <v>0</v>
      </c>
      <c r="V132" s="417">
        <f t="shared" si="32"/>
        <v>129</v>
      </c>
      <c r="W132" s="509"/>
      <c r="X132" s="321"/>
      <c r="Y132" s="321"/>
      <c r="Z132" s="508"/>
      <c r="AA132" s="356"/>
      <c r="AB132" s="306" t="str">
        <f t="shared" ref="AB132:AB195" si="39">IF(W132&gt;0,IF(AND(W132&gt;=W$1012,W132&lt;=W$1013),CONCATENATE(MONTH(W132)&amp;X132),0),"")</f>
        <v/>
      </c>
      <c r="AC132" s="637">
        <f t="shared" ca="1" si="38"/>
        <v>-2.1316282072803006E-13</v>
      </c>
      <c r="AD132" s="935">
        <f>IF(ISERROR(VLOOKUP(AD$2,X133:X$1003,1,FALSE)),IF(X132=AD$2,SUMIF(X$4:X132,AD$2,Z$4:Z132)+$E$9+SUM(AQ$4:AQ$1003)+SUMIF(COSTI!$X$1379:$X$1430,AD$2,COSTI!$Z$1379:$Z$1430),0),0)</f>
        <v>0</v>
      </c>
      <c r="AE132" s="26"/>
      <c r="AF132" s="856" t="e">
        <f>IF(ISERROR(VLOOKUP(AG$2,X133:X$1003,1,FALSE)),IF(X132=AG$2,SUMIF(X$4:X132,AG$2,Z$4:Z132)+VLOOKUP(AF$2,$B$1057:$F$1068,5,FALSE)+SUM(AR$4:AR$1003)+SUMIF(COSTI!$X$1379:$X$1430,AG$2,COSTI!$Z$1379:$Z$1430),0),0)</f>
        <v>#N/A</v>
      </c>
      <c r="AG132" s="859"/>
      <c r="AH132" s="27" t="str">
        <f t="shared" ref="AH132:AH195" si="40">IF(ISBLANK(X132),"",IF(ISERROR(VLOOKUP(X132,B$34:B$38,1,FALSE)),1,0))</f>
        <v/>
      </c>
      <c r="AI132" s="152">
        <f ca="1">IF(W133&gt;0,0,IF(AH132=0,(Z132*-1)+BC132+SUM(BB$4:BB131),BC132+SUM(BB$4:BB131)))</f>
        <v>-2.1316282072803006E-13</v>
      </c>
      <c r="AJ132" s="931">
        <f>IF(AND(AL132&gt;=$U$1,AL132&lt;=$U$2),IF(AM132='ESTRATTO CONTO'!$E$2,1+COUNTIF(AJ$4:AJ131,"&gt;0")+U$1015,0),0)</f>
        <v>0</v>
      </c>
      <c r="AK132" s="203">
        <f>IF(AND(OR((AK131+1)&lt;AL$1015,(AK131+1)=AL$1015),MAX(AK$4:AK131)&lt;AL$1015),AK131+1,0)</f>
        <v>0</v>
      </c>
      <c r="AL132" s="309">
        <f>VLOOKUP($AK132,ENTI!$AF$4:AG$1003,2,FALSE)</f>
        <v>0</v>
      </c>
      <c r="AM132" s="224">
        <f>VLOOKUP($AK132,ENTI!$AF$4:AH$1003,3,FALSE)</f>
        <v>0</v>
      </c>
      <c r="AN132" s="224">
        <f>VLOOKUP($AK132,ENTI!$AF$4:AI$1003,4,FALSE)</f>
        <v>0</v>
      </c>
      <c r="AO132" s="781">
        <f>VLOOKUP($AK132,ENTI!$AF$4:AJ$1003,5,FALSE)</f>
        <v>0</v>
      </c>
      <c r="AP132" s="315">
        <f>VLOOKUP($AK132,ENTI!$AF$4:AK$1003,6,FALSE)</f>
        <v>0</v>
      </c>
      <c r="AQ132" s="208">
        <f t="shared" si="36"/>
        <v>0</v>
      </c>
      <c r="AR132" s="152" t="e">
        <f t="shared" si="37"/>
        <v>#N/A</v>
      </c>
      <c r="AS132" s="1"/>
      <c r="AT132" s="88" t="str">
        <f t="shared" ref="AT132:AT195" si="41">IF(AL132&gt;0,IF(AND(AL132&gt;=W$1012,AL132&lt;=W$1013),CONCATENATE(MONTH(AL132)&amp;AM132),0),"")</f>
        <v/>
      </c>
      <c r="AU132" s="1"/>
      <c r="AV132" s="175">
        <f>IF(AW132&gt;0,COUNTIF(AV$4:AV131,"&gt;0")+1,0)</f>
        <v>0</v>
      </c>
      <c r="AW132" s="164">
        <f t="shared" ref="AW132:AW195" si="42">IF(ISERROR(VLOOKUP($X132,$B$34:$B$38,1,FALSE)),0,W132)</f>
        <v>0</v>
      </c>
      <c r="AX132" s="310">
        <f>IF($AW132=0,0,VLOOKUP(VLOOKUP($X132,$B$34:$T$38,19,FALSE),ENTI!$A$9:$B$13,2,FALSE))</f>
        <v>0</v>
      </c>
      <c r="AY132" s="310">
        <f t="shared" si="33"/>
        <v>0</v>
      </c>
      <c r="AZ132" s="316">
        <f t="shared" si="34"/>
        <v>0</v>
      </c>
      <c r="BA132" s="1"/>
      <c r="BB132" s="152">
        <f t="shared" si="35"/>
        <v>0</v>
      </c>
      <c r="BC132" s="152">
        <f ca="1">SUM(Z$4:Z132)+SUM(BB$4:BB132)+COSTI!S$6-COSTI!L$1076</f>
        <v>-31.760000000000218</v>
      </c>
      <c r="BD132" s="1"/>
    </row>
    <row r="133" spans="1:56" ht="16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435">
        <f>IF(AND(W133&gt;=$U$1,W133&lt;=$U$2),IF(X133='ESTRATTO CONTO'!$E$2,1+COUNTIF(U$4:U132,"&gt;0"),0),0)</f>
        <v>0</v>
      </c>
      <c r="V133" s="417">
        <f t="shared" si="32"/>
        <v>130</v>
      </c>
      <c r="W133" s="509"/>
      <c r="X133" s="321"/>
      <c r="Y133" s="321"/>
      <c r="Z133" s="508"/>
      <c r="AA133" s="356"/>
      <c r="AB133" s="306" t="str">
        <f t="shared" si="39"/>
        <v/>
      </c>
      <c r="AC133" s="637">
        <f t="shared" ca="1" si="38"/>
        <v>-2.1316282072803006E-13</v>
      </c>
      <c r="AD133" s="935">
        <f>IF(ISERROR(VLOOKUP(AD$2,X134:X$1003,1,FALSE)),IF(X133=AD$2,SUMIF(X$4:X133,AD$2,Z$4:Z133)+$E$9+SUM(AQ$4:AQ$1003)+SUMIF(COSTI!$X$1379:$X$1430,AD$2,COSTI!$Z$1379:$Z$1430),0),0)</f>
        <v>0</v>
      </c>
      <c r="AE133" s="26"/>
      <c r="AF133" s="856" t="e">
        <f>IF(ISERROR(VLOOKUP(AG$2,X134:X$1003,1,FALSE)),IF(X133=AG$2,SUMIF(X$4:X133,AG$2,Z$4:Z133)+VLOOKUP(AF$2,$B$1057:$F$1068,5,FALSE)+SUM(AR$4:AR$1003)+SUMIF(COSTI!$X$1379:$X$1430,AG$2,COSTI!$Z$1379:$Z$1430),0),0)</f>
        <v>#N/A</v>
      </c>
      <c r="AG133" s="859"/>
      <c r="AH133" s="27" t="str">
        <f t="shared" si="40"/>
        <v/>
      </c>
      <c r="AI133" s="152">
        <f ca="1">IF(W134&gt;0,0,IF(AH133=0,(Z133*-1)+BC133+SUM(BB$4:BB132),BC133+SUM(BB$4:BB132)))</f>
        <v>-2.1316282072803006E-13</v>
      </c>
      <c r="AJ133" s="931">
        <f>IF(AND(AL133&gt;=$U$1,AL133&lt;=$U$2),IF(AM133='ESTRATTO CONTO'!$E$2,1+COUNTIF(AJ$4:AJ132,"&gt;0")+U$1015,0),0)</f>
        <v>0</v>
      </c>
      <c r="AK133" s="203">
        <f>IF(AND(OR((AK132+1)&lt;AL$1015,(AK132+1)=AL$1015),MAX(AK$4:AK132)&lt;AL$1015),AK132+1,0)</f>
        <v>0</v>
      </c>
      <c r="AL133" s="309">
        <f>VLOOKUP($AK133,ENTI!$AF$4:AG$1003,2,FALSE)</f>
        <v>0</v>
      </c>
      <c r="AM133" s="224">
        <f>VLOOKUP($AK133,ENTI!$AF$4:AH$1003,3,FALSE)</f>
        <v>0</v>
      </c>
      <c r="AN133" s="224">
        <f>VLOOKUP($AK133,ENTI!$AF$4:AI$1003,4,FALSE)</f>
        <v>0</v>
      </c>
      <c r="AO133" s="781">
        <f>VLOOKUP($AK133,ENTI!$AF$4:AJ$1003,5,FALSE)</f>
        <v>0</v>
      </c>
      <c r="AP133" s="315">
        <f>VLOOKUP($AK133,ENTI!$AF$4:AK$1003,6,FALSE)</f>
        <v>0</v>
      </c>
      <c r="AQ133" s="208">
        <f t="shared" si="36"/>
        <v>0</v>
      </c>
      <c r="AR133" s="152" t="e">
        <f t="shared" si="37"/>
        <v>#N/A</v>
      </c>
      <c r="AS133" s="1"/>
      <c r="AT133" s="88" t="str">
        <f t="shared" si="41"/>
        <v/>
      </c>
      <c r="AU133" s="1"/>
      <c r="AV133" s="175">
        <f>IF(AW133&gt;0,COUNTIF(AV$4:AV132,"&gt;0")+1,0)</f>
        <v>0</v>
      </c>
      <c r="AW133" s="164">
        <f t="shared" si="42"/>
        <v>0</v>
      </c>
      <c r="AX133" s="310">
        <f>IF($AW133=0,0,VLOOKUP(VLOOKUP($X133,$B$34:$T$38,19,FALSE),ENTI!$A$9:$B$13,2,FALSE))</f>
        <v>0</v>
      </c>
      <c r="AY133" s="310">
        <f t="shared" si="33"/>
        <v>0</v>
      </c>
      <c r="AZ133" s="316">
        <f t="shared" si="34"/>
        <v>0</v>
      </c>
      <c r="BA133" s="1"/>
      <c r="BB133" s="152">
        <f t="shared" si="35"/>
        <v>0</v>
      </c>
      <c r="BC133" s="152">
        <f ca="1">SUM(Z$4:Z133)+SUM(BB$4:BB133)+COSTI!S$6-COSTI!L$1076</f>
        <v>-31.760000000000218</v>
      </c>
      <c r="BD133" s="1"/>
    </row>
    <row r="134" spans="1:56" ht="16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435">
        <f>IF(AND(W134&gt;=$U$1,W134&lt;=$U$2),IF(X134='ESTRATTO CONTO'!$E$2,1+COUNTIF(U$4:U133,"&gt;0"),0),0)</f>
        <v>0</v>
      </c>
      <c r="V134" s="417">
        <f t="shared" ref="V134:V197" si="43">V133+1</f>
        <v>131</v>
      </c>
      <c r="W134" s="509"/>
      <c r="X134" s="321"/>
      <c r="Y134" s="321"/>
      <c r="Z134" s="508"/>
      <c r="AA134" s="356"/>
      <c r="AB134" s="306" t="str">
        <f t="shared" si="39"/>
        <v/>
      </c>
      <c r="AC134" s="637">
        <f t="shared" ca="1" si="38"/>
        <v>-2.1316282072803006E-13</v>
      </c>
      <c r="AD134" s="935">
        <f>IF(ISERROR(VLOOKUP(AD$2,X135:X$1003,1,FALSE)),IF(X134=AD$2,SUMIF(X$4:X134,AD$2,Z$4:Z134)+$E$9+SUM(AQ$4:AQ$1003)+SUMIF(COSTI!$X$1379:$X$1430,AD$2,COSTI!$Z$1379:$Z$1430),0),0)</f>
        <v>0</v>
      </c>
      <c r="AE134" s="26"/>
      <c r="AF134" s="856" t="e">
        <f>IF(ISERROR(VLOOKUP(AG$2,X135:X$1003,1,FALSE)),IF(X134=AG$2,SUMIF(X$4:X134,AG$2,Z$4:Z134)+VLOOKUP(AF$2,$B$1057:$F$1068,5,FALSE)+SUM(AR$4:AR$1003)+SUMIF(COSTI!$X$1379:$X$1430,AG$2,COSTI!$Z$1379:$Z$1430),0),0)</f>
        <v>#N/A</v>
      </c>
      <c r="AG134" s="859"/>
      <c r="AH134" s="27" t="str">
        <f t="shared" si="40"/>
        <v/>
      </c>
      <c r="AI134" s="152">
        <f ca="1">IF(W135&gt;0,0,IF(AH134=0,(Z134*-1)+BC134+SUM(BB$4:BB133),BC134+SUM(BB$4:BB133)))</f>
        <v>-2.1316282072803006E-13</v>
      </c>
      <c r="AJ134" s="931">
        <f>IF(AND(AL134&gt;=$U$1,AL134&lt;=$U$2),IF(AM134='ESTRATTO CONTO'!$E$2,1+COUNTIF(AJ$4:AJ133,"&gt;0")+U$1015,0),0)</f>
        <v>0</v>
      </c>
      <c r="AK134" s="203">
        <f>IF(AND(OR((AK133+1)&lt;AL$1015,(AK133+1)=AL$1015),MAX(AK$4:AK133)&lt;AL$1015),AK133+1,0)</f>
        <v>0</v>
      </c>
      <c r="AL134" s="309">
        <f>VLOOKUP($AK134,ENTI!$AF$4:AG$1003,2,FALSE)</f>
        <v>0</v>
      </c>
      <c r="AM134" s="224">
        <f>VLOOKUP($AK134,ENTI!$AF$4:AH$1003,3,FALSE)</f>
        <v>0</v>
      </c>
      <c r="AN134" s="224">
        <f>VLOOKUP($AK134,ENTI!$AF$4:AI$1003,4,FALSE)</f>
        <v>0</v>
      </c>
      <c r="AO134" s="781">
        <f>VLOOKUP($AK134,ENTI!$AF$4:AJ$1003,5,FALSE)</f>
        <v>0</v>
      </c>
      <c r="AP134" s="315">
        <f>VLOOKUP($AK134,ENTI!$AF$4:AK$1003,6,FALSE)</f>
        <v>0</v>
      </c>
      <c r="AQ134" s="208">
        <f t="shared" si="36"/>
        <v>0</v>
      </c>
      <c r="AR134" s="152" t="e">
        <f t="shared" si="37"/>
        <v>#N/A</v>
      </c>
      <c r="AS134" s="1"/>
      <c r="AT134" s="88" t="str">
        <f t="shared" si="41"/>
        <v/>
      </c>
      <c r="AU134" s="1"/>
      <c r="AV134" s="175">
        <f>IF(AW134&gt;0,COUNTIF(AV$4:AV133,"&gt;0")+1,0)</f>
        <v>0</v>
      </c>
      <c r="AW134" s="164">
        <f t="shared" si="42"/>
        <v>0</v>
      </c>
      <c r="AX134" s="310">
        <f>IF($AW134=0,0,VLOOKUP(VLOOKUP($X134,$B$34:$T$38,19,FALSE),ENTI!$A$9:$B$13,2,FALSE))</f>
        <v>0</v>
      </c>
      <c r="AY134" s="310">
        <f t="shared" ref="AY134:AY197" si="44">IF(AW134=0,0,Y134)</f>
        <v>0</v>
      </c>
      <c r="AZ134" s="316">
        <f t="shared" ref="AZ134:AZ197" si="45">IF(AW134=0,0,Z134)</f>
        <v>0</v>
      </c>
      <c r="BA134" s="1"/>
      <c r="BB134" s="152">
        <f t="shared" ref="BB134:BB197" si="46">IF(ISERROR(VLOOKUP(X134,B$9:D$15,1,FALSE)),Z134*-1,0)</f>
        <v>0</v>
      </c>
      <c r="BC134" s="152">
        <f ca="1">SUM(Z$4:Z134)+SUM(BB$4:BB134)+COSTI!S$6-COSTI!L$1076</f>
        <v>-31.760000000000218</v>
      </c>
      <c r="BD134" s="1"/>
    </row>
    <row r="135" spans="1:56" ht="16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435">
        <f>IF(AND(W135&gt;=$U$1,W135&lt;=$U$2),IF(X135='ESTRATTO CONTO'!$E$2,1+COUNTIF(U$4:U134,"&gt;0"),0),0)</f>
        <v>0</v>
      </c>
      <c r="V135" s="417">
        <f t="shared" si="43"/>
        <v>132</v>
      </c>
      <c r="W135" s="509"/>
      <c r="X135" s="321"/>
      <c r="Y135" s="321"/>
      <c r="Z135" s="508"/>
      <c r="AA135" s="356"/>
      <c r="AB135" s="306" t="str">
        <f t="shared" si="39"/>
        <v/>
      </c>
      <c r="AC135" s="637">
        <f t="shared" ca="1" si="38"/>
        <v>-2.1316282072803006E-13</v>
      </c>
      <c r="AD135" s="935">
        <f>IF(ISERROR(VLOOKUP(AD$2,X136:X$1003,1,FALSE)),IF(X135=AD$2,SUMIF(X$4:X135,AD$2,Z$4:Z135)+$E$9+SUM(AQ$4:AQ$1003)+SUMIF(COSTI!$X$1379:$X$1430,AD$2,COSTI!$Z$1379:$Z$1430),0),0)</f>
        <v>0</v>
      </c>
      <c r="AE135" s="26"/>
      <c r="AF135" s="856" t="e">
        <f>IF(ISERROR(VLOOKUP(AG$2,X136:X$1003,1,FALSE)),IF(X135=AG$2,SUMIF(X$4:X135,AG$2,Z$4:Z135)+VLOOKUP(AF$2,$B$1057:$F$1068,5,FALSE)+SUM(AR$4:AR$1003)+SUMIF(COSTI!$X$1379:$X$1430,AG$2,COSTI!$Z$1379:$Z$1430),0),0)</f>
        <v>#N/A</v>
      </c>
      <c r="AG135" s="859"/>
      <c r="AH135" s="27" t="str">
        <f t="shared" si="40"/>
        <v/>
      </c>
      <c r="AI135" s="152">
        <f ca="1">IF(W136&gt;0,0,IF(AH135=0,(Z135*-1)+BC135+SUM(BB$4:BB134),BC135+SUM(BB$4:BB134)))</f>
        <v>-2.1316282072803006E-13</v>
      </c>
      <c r="AJ135" s="931">
        <f>IF(AND(AL135&gt;=$U$1,AL135&lt;=$U$2),IF(AM135='ESTRATTO CONTO'!$E$2,1+COUNTIF(AJ$4:AJ134,"&gt;0")+U$1015,0),0)</f>
        <v>0</v>
      </c>
      <c r="AK135" s="203">
        <f>IF(AND(OR((AK134+1)&lt;AL$1015,(AK134+1)=AL$1015),MAX(AK$4:AK134)&lt;AL$1015),AK134+1,0)</f>
        <v>0</v>
      </c>
      <c r="AL135" s="309">
        <f>VLOOKUP($AK135,ENTI!$AF$4:AG$1003,2,FALSE)</f>
        <v>0</v>
      </c>
      <c r="AM135" s="224">
        <f>VLOOKUP($AK135,ENTI!$AF$4:AH$1003,3,FALSE)</f>
        <v>0</v>
      </c>
      <c r="AN135" s="224">
        <f>VLOOKUP($AK135,ENTI!$AF$4:AI$1003,4,FALSE)</f>
        <v>0</v>
      </c>
      <c r="AO135" s="781">
        <f>VLOOKUP($AK135,ENTI!$AF$4:AJ$1003,5,FALSE)</f>
        <v>0</v>
      </c>
      <c r="AP135" s="315">
        <f>VLOOKUP($AK135,ENTI!$AF$4:AK$1003,6,FALSE)</f>
        <v>0</v>
      </c>
      <c r="AQ135" s="208">
        <f t="shared" si="36"/>
        <v>0</v>
      </c>
      <c r="AR135" s="152" t="e">
        <f t="shared" si="37"/>
        <v>#N/A</v>
      </c>
      <c r="AS135" s="1"/>
      <c r="AT135" s="88" t="str">
        <f t="shared" si="41"/>
        <v/>
      </c>
      <c r="AU135" s="1"/>
      <c r="AV135" s="175">
        <f>IF(AW135&gt;0,COUNTIF(AV$4:AV134,"&gt;0")+1,0)</f>
        <v>0</v>
      </c>
      <c r="AW135" s="164">
        <f t="shared" si="42"/>
        <v>0</v>
      </c>
      <c r="AX135" s="310">
        <f>IF($AW135=0,0,VLOOKUP(VLOOKUP($X135,$B$34:$T$38,19,FALSE),ENTI!$A$9:$B$13,2,FALSE))</f>
        <v>0</v>
      </c>
      <c r="AY135" s="310">
        <f t="shared" si="44"/>
        <v>0</v>
      </c>
      <c r="AZ135" s="316">
        <f t="shared" si="45"/>
        <v>0</v>
      </c>
      <c r="BA135" s="1"/>
      <c r="BB135" s="152">
        <f t="shared" si="46"/>
        <v>0</v>
      </c>
      <c r="BC135" s="152">
        <f ca="1">SUM(Z$4:Z135)+SUM(BB$4:BB135)+COSTI!S$6-COSTI!L$1076</f>
        <v>-31.760000000000218</v>
      </c>
      <c r="BD135" s="1"/>
    </row>
    <row r="136" spans="1:56" ht="16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435">
        <f>IF(AND(W136&gt;=$U$1,W136&lt;=$U$2),IF(X136='ESTRATTO CONTO'!$E$2,1+COUNTIF(U$4:U135,"&gt;0"),0),0)</f>
        <v>0</v>
      </c>
      <c r="V136" s="417">
        <f t="shared" si="43"/>
        <v>133</v>
      </c>
      <c r="W136" s="509"/>
      <c r="X136" s="321"/>
      <c r="Y136" s="321"/>
      <c r="Z136" s="508"/>
      <c r="AA136" s="356"/>
      <c r="AB136" s="306" t="str">
        <f t="shared" si="39"/>
        <v/>
      </c>
      <c r="AC136" s="637">
        <f t="shared" ca="1" si="38"/>
        <v>-2.1316282072803006E-13</v>
      </c>
      <c r="AD136" s="935">
        <f>IF(ISERROR(VLOOKUP(AD$2,X137:X$1003,1,FALSE)),IF(X136=AD$2,SUMIF(X$4:X136,AD$2,Z$4:Z136)+$E$9+SUM(AQ$4:AQ$1003)+SUMIF(COSTI!$X$1379:$X$1430,AD$2,COSTI!$Z$1379:$Z$1430),0),0)</f>
        <v>0</v>
      </c>
      <c r="AE136" s="26"/>
      <c r="AF136" s="856" t="e">
        <f>IF(ISERROR(VLOOKUP(AG$2,X137:X$1003,1,FALSE)),IF(X136=AG$2,SUMIF(X$4:X136,AG$2,Z$4:Z136)+VLOOKUP(AF$2,$B$1057:$F$1068,5,FALSE)+SUM(AR$4:AR$1003)+SUMIF(COSTI!$X$1379:$X$1430,AG$2,COSTI!$Z$1379:$Z$1430),0),0)</f>
        <v>#N/A</v>
      </c>
      <c r="AG136" s="859"/>
      <c r="AH136" s="27" t="str">
        <f t="shared" si="40"/>
        <v/>
      </c>
      <c r="AI136" s="152">
        <f ca="1">IF(W137&gt;0,0,IF(AH136=0,(Z136*-1)+BC136+SUM(BB$4:BB135),BC136+SUM(BB$4:BB135)))</f>
        <v>-2.1316282072803006E-13</v>
      </c>
      <c r="AJ136" s="931">
        <f>IF(AND(AL136&gt;=$U$1,AL136&lt;=$U$2),IF(AM136='ESTRATTO CONTO'!$E$2,1+COUNTIF(AJ$4:AJ135,"&gt;0")+U$1015,0),0)</f>
        <v>0</v>
      </c>
      <c r="AK136" s="203">
        <f>IF(AND(OR((AK135+1)&lt;AL$1015,(AK135+1)=AL$1015),MAX(AK$4:AK135)&lt;AL$1015),AK135+1,0)</f>
        <v>0</v>
      </c>
      <c r="AL136" s="309">
        <f>VLOOKUP($AK136,ENTI!$AF$4:AG$1003,2,FALSE)</f>
        <v>0</v>
      </c>
      <c r="AM136" s="224">
        <f>VLOOKUP($AK136,ENTI!$AF$4:AH$1003,3,FALSE)</f>
        <v>0</v>
      </c>
      <c r="AN136" s="224">
        <f>VLOOKUP($AK136,ENTI!$AF$4:AI$1003,4,FALSE)</f>
        <v>0</v>
      </c>
      <c r="AO136" s="781">
        <f>VLOOKUP($AK136,ENTI!$AF$4:AJ$1003,5,FALSE)</f>
        <v>0</v>
      </c>
      <c r="AP136" s="315">
        <f>VLOOKUP($AK136,ENTI!$AF$4:AK$1003,6,FALSE)</f>
        <v>0</v>
      </c>
      <c r="AQ136" s="208">
        <f t="shared" si="36"/>
        <v>0</v>
      </c>
      <c r="AR136" s="152" t="e">
        <f t="shared" si="37"/>
        <v>#N/A</v>
      </c>
      <c r="AS136" s="1"/>
      <c r="AT136" s="88" t="str">
        <f t="shared" si="41"/>
        <v/>
      </c>
      <c r="AU136" s="1"/>
      <c r="AV136" s="175">
        <f>IF(AW136&gt;0,COUNTIF(AV$4:AV135,"&gt;0")+1,0)</f>
        <v>0</v>
      </c>
      <c r="AW136" s="164">
        <f t="shared" si="42"/>
        <v>0</v>
      </c>
      <c r="AX136" s="310">
        <f>IF($AW136=0,0,VLOOKUP(VLOOKUP($X136,$B$34:$T$38,19,FALSE),ENTI!$A$9:$B$13,2,FALSE))</f>
        <v>0</v>
      </c>
      <c r="AY136" s="310">
        <f t="shared" si="44"/>
        <v>0</v>
      </c>
      <c r="AZ136" s="316">
        <f t="shared" si="45"/>
        <v>0</v>
      </c>
      <c r="BA136" s="1"/>
      <c r="BB136" s="152">
        <f t="shared" si="46"/>
        <v>0</v>
      </c>
      <c r="BC136" s="152">
        <f ca="1">SUM(Z$4:Z136)+SUM(BB$4:BB136)+COSTI!S$6-COSTI!L$1076</f>
        <v>-31.760000000000218</v>
      </c>
      <c r="BD136" s="1"/>
    </row>
    <row r="137" spans="1:56" ht="16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435">
        <f>IF(AND(W137&gt;=$U$1,W137&lt;=$U$2),IF(X137='ESTRATTO CONTO'!$E$2,1+COUNTIF(U$4:U136,"&gt;0"),0),0)</f>
        <v>0</v>
      </c>
      <c r="V137" s="417">
        <f t="shared" si="43"/>
        <v>134</v>
      </c>
      <c r="W137" s="509"/>
      <c r="X137" s="321"/>
      <c r="Y137" s="321"/>
      <c r="Z137" s="508"/>
      <c r="AA137" s="356"/>
      <c r="AB137" s="306" t="str">
        <f t="shared" si="39"/>
        <v/>
      </c>
      <c r="AC137" s="637">
        <f t="shared" ca="1" si="38"/>
        <v>-2.1316282072803006E-13</v>
      </c>
      <c r="AD137" s="935">
        <f>IF(ISERROR(VLOOKUP(AD$2,X138:X$1003,1,FALSE)),IF(X137=AD$2,SUMIF(X$4:X137,AD$2,Z$4:Z137)+$E$9+SUM(AQ$4:AQ$1003)+SUMIF(COSTI!$X$1379:$X$1430,AD$2,COSTI!$Z$1379:$Z$1430),0),0)</f>
        <v>0</v>
      </c>
      <c r="AE137" s="26"/>
      <c r="AF137" s="856" t="e">
        <f>IF(ISERROR(VLOOKUP(AG$2,X138:X$1003,1,FALSE)),IF(X137=AG$2,SUMIF(X$4:X137,AG$2,Z$4:Z137)+VLOOKUP(AF$2,$B$1057:$F$1068,5,FALSE)+SUM(AR$4:AR$1003)+SUMIF(COSTI!$X$1379:$X$1430,AG$2,COSTI!$Z$1379:$Z$1430),0),0)</f>
        <v>#N/A</v>
      </c>
      <c r="AG137" s="859"/>
      <c r="AH137" s="27" t="str">
        <f t="shared" si="40"/>
        <v/>
      </c>
      <c r="AI137" s="152">
        <f ca="1">IF(W138&gt;0,0,IF(AH137=0,(Z137*-1)+BC137+SUM(BB$4:BB136),BC137+SUM(BB$4:BB136)))</f>
        <v>-2.1316282072803006E-13</v>
      </c>
      <c r="AJ137" s="931">
        <f>IF(AND(AL137&gt;=$U$1,AL137&lt;=$U$2),IF(AM137='ESTRATTO CONTO'!$E$2,1+COUNTIF(AJ$4:AJ136,"&gt;0")+U$1015,0),0)</f>
        <v>0</v>
      </c>
      <c r="AK137" s="203">
        <f>IF(AND(OR((AK136+1)&lt;AL$1015,(AK136+1)=AL$1015),MAX(AK$4:AK136)&lt;AL$1015),AK136+1,0)</f>
        <v>0</v>
      </c>
      <c r="AL137" s="309">
        <f>VLOOKUP($AK137,ENTI!$AF$4:AG$1003,2,FALSE)</f>
        <v>0</v>
      </c>
      <c r="AM137" s="224">
        <f>VLOOKUP($AK137,ENTI!$AF$4:AH$1003,3,FALSE)</f>
        <v>0</v>
      </c>
      <c r="AN137" s="224">
        <f>VLOOKUP($AK137,ENTI!$AF$4:AI$1003,4,FALSE)</f>
        <v>0</v>
      </c>
      <c r="AO137" s="781">
        <f>VLOOKUP($AK137,ENTI!$AF$4:AJ$1003,5,FALSE)</f>
        <v>0</v>
      </c>
      <c r="AP137" s="315">
        <f>VLOOKUP($AK137,ENTI!$AF$4:AK$1003,6,FALSE)</f>
        <v>0</v>
      </c>
      <c r="AQ137" s="208">
        <f t="shared" si="36"/>
        <v>0</v>
      </c>
      <c r="AR137" s="152" t="e">
        <f t="shared" si="37"/>
        <v>#N/A</v>
      </c>
      <c r="AS137" s="1"/>
      <c r="AT137" s="88" t="str">
        <f t="shared" si="41"/>
        <v/>
      </c>
      <c r="AU137" s="1"/>
      <c r="AV137" s="175">
        <f>IF(AW137&gt;0,COUNTIF(AV$4:AV136,"&gt;0")+1,0)</f>
        <v>0</v>
      </c>
      <c r="AW137" s="164">
        <f t="shared" si="42"/>
        <v>0</v>
      </c>
      <c r="AX137" s="310">
        <f>IF($AW137=0,0,VLOOKUP(VLOOKUP($X137,$B$34:$T$38,19,FALSE),ENTI!$A$9:$B$13,2,FALSE))</f>
        <v>0</v>
      </c>
      <c r="AY137" s="310">
        <f t="shared" si="44"/>
        <v>0</v>
      </c>
      <c r="AZ137" s="316">
        <f t="shared" si="45"/>
        <v>0</v>
      </c>
      <c r="BA137" s="1"/>
      <c r="BB137" s="152">
        <f t="shared" si="46"/>
        <v>0</v>
      </c>
      <c r="BC137" s="152">
        <f ca="1">SUM(Z$4:Z137)+SUM(BB$4:BB137)+COSTI!S$6-COSTI!L$1076</f>
        <v>-31.760000000000218</v>
      </c>
      <c r="BD137" s="1"/>
    </row>
    <row r="138" spans="1:56" ht="16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435">
        <f>IF(AND(W138&gt;=$U$1,W138&lt;=$U$2),IF(X138='ESTRATTO CONTO'!$E$2,1+COUNTIF(U$4:U137,"&gt;0"),0),0)</f>
        <v>0</v>
      </c>
      <c r="V138" s="417">
        <f t="shared" si="43"/>
        <v>135</v>
      </c>
      <c r="W138" s="509"/>
      <c r="X138" s="321"/>
      <c r="Y138" s="321"/>
      <c r="Z138" s="508"/>
      <c r="AA138" s="356"/>
      <c r="AB138" s="306" t="str">
        <f t="shared" si="39"/>
        <v/>
      </c>
      <c r="AC138" s="637">
        <f t="shared" ca="1" si="38"/>
        <v>-2.1316282072803006E-13</v>
      </c>
      <c r="AD138" s="935">
        <f>IF(ISERROR(VLOOKUP(AD$2,X139:X$1003,1,FALSE)),IF(X138=AD$2,SUMIF(X$4:X138,AD$2,Z$4:Z138)+$E$9+SUM(AQ$4:AQ$1003)+SUMIF(COSTI!$X$1379:$X$1430,AD$2,COSTI!$Z$1379:$Z$1430),0),0)</f>
        <v>0</v>
      </c>
      <c r="AE138" s="26"/>
      <c r="AF138" s="856" t="e">
        <f>IF(ISERROR(VLOOKUP(AG$2,X139:X$1003,1,FALSE)),IF(X138=AG$2,SUMIF(X$4:X138,AG$2,Z$4:Z138)+VLOOKUP(AF$2,$B$1057:$F$1068,5,FALSE)+SUM(AR$4:AR$1003)+SUMIF(COSTI!$X$1379:$X$1430,AG$2,COSTI!$Z$1379:$Z$1430),0),0)</f>
        <v>#N/A</v>
      </c>
      <c r="AG138" s="859"/>
      <c r="AH138" s="27" t="str">
        <f t="shared" si="40"/>
        <v/>
      </c>
      <c r="AI138" s="152">
        <f ca="1">IF(W139&gt;0,0,IF(AH138=0,(Z138*-1)+BC138+SUM(BB$4:BB137),BC138+SUM(BB$4:BB137)))</f>
        <v>-2.1316282072803006E-13</v>
      </c>
      <c r="AJ138" s="931">
        <f>IF(AND(AL138&gt;=$U$1,AL138&lt;=$U$2),IF(AM138='ESTRATTO CONTO'!$E$2,1+COUNTIF(AJ$4:AJ137,"&gt;0")+U$1015,0),0)</f>
        <v>0</v>
      </c>
      <c r="AK138" s="203">
        <f>IF(AND(OR((AK137+1)&lt;AL$1015,(AK137+1)=AL$1015),MAX(AK$4:AK137)&lt;AL$1015),AK137+1,0)</f>
        <v>0</v>
      </c>
      <c r="AL138" s="309">
        <f>VLOOKUP($AK138,ENTI!$AF$4:AG$1003,2,FALSE)</f>
        <v>0</v>
      </c>
      <c r="AM138" s="224">
        <f>VLOOKUP($AK138,ENTI!$AF$4:AH$1003,3,FALSE)</f>
        <v>0</v>
      </c>
      <c r="AN138" s="224">
        <f>VLOOKUP($AK138,ENTI!$AF$4:AI$1003,4,FALSE)</f>
        <v>0</v>
      </c>
      <c r="AO138" s="781">
        <f>VLOOKUP($AK138,ENTI!$AF$4:AJ$1003,5,FALSE)</f>
        <v>0</v>
      </c>
      <c r="AP138" s="315">
        <f>VLOOKUP($AK138,ENTI!$AF$4:AK$1003,6,FALSE)</f>
        <v>0</v>
      </c>
      <c r="AQ138" s="208">
        <f t="shared" si="36"/>
        <v>0</v>
      </c>
      <c r="AR138" s="152" t="e">
        <f t="shared" si="37"/>
        <v>#N/A</v>
      </c>
      <c r="AS138" s="1"/>
      <c r="AT138" s="88" t="str">
        <f t="shared" si="41"/>
        <v/>
      </c>
      <c r="AU138" s="1"/>
      <c r="AV138" s="175">
        <f>IF(AW138&gt;0,COUNTIF(AV$4:AV137,"&gt;0")+1,0)</f>
        <v>0</v>
      </c>
      <c r="AW138" s="164">
        <f t="shared" si="42"/>
        <v>0</v>
      </c>
      <c r="AX138" s="310">
        <f>IF($AW138=0,0,VLOOKUP(VLOOKUP($X138,$B$34:$T$38,19,FALSE),ENTI!$A$9:$B$13,2,FALSE))</f>
        <v>0</v>
      </c>
      <c r="AY138" s="310">
        <f t="shared" si="44"/>
        <v>0</v>
      </c>
      <c r="AZ138" s="316">
        <f t="shared" si="45"/>
        <v>0</v>
      </c>
      <c r="BA138" s="1"/>
      <c r="BB138" s="152">
        <f t="shared" si="46"/>
        <v>0</v>
      </c>
      <c r="BC138" s="152">
        <f ca="1">SUM(Z$4:Z138)+SUM(BB$4:BB138)+COSTI!S$6-COSTI!L$1076</f>
        <v>-31.760000000000218</v>
      </c>
      <c r="BD138" s="1"/>
    </row>
    <row r="139" spans="1:56" ht="16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435">
        <f>IF(AND(W139&gt;=$U$1,W139&lt;=$U$2),IF(X139='ESTRATTO CONTO'!$E$2,1+COUNTIF(U$4:U138,"&gt;0"),0),0)</f>
        <v>0</v>
      </c>
      <c r="V139" s="417">
        <f t="shared" si="43"/>
        <v>136</v>
      </c>
      <c r="W139" s="509"/>
      <c r="X139" s="321"/>
      <c r="Y139" s="321"/>
      <c r="Z139" s="508"/>
      <c r="AA139" s="356"/>
      <c r="AB139" s="306" t="str">
        <f t="shared" si="39"/>
        <v/>
      </c>
      <c r="AC139" s="637">
        <f t="shared" ca="1" si="38"/>
        <v>-2.1316282072803006E-13</v>
      </c>
      <c r="AD139" s="935">
        <f>IF(ISERROR(VLOOKUP(AD$2,X140:X$1003,1,FALSE)),IF(X139=AD$2,SUMIF(X$4:X139,AD$2,Z$4:Z139)+$E$9+SUM(AQ$4:AQ$1003)+SUMIF(COSTI!$X$1379:$X$1430,AD$2,COSTI!$Z$1379:$Z$1430),0),0)</f>
        <v>0</v>
      </c>
      <c r="AE139" s="26"/>
      <c r="AF139" s="856" t="e">
        <f>IF(ISERROR(VLOOKUP(AG$2,X140:X$1003,1,FALSE)),IF(X139=AG$2,SUMIF(X$4:X139,AG$2,Z$4:Z139)+VLOOKUP(AF$2,$B$1057:$F$1068,5,FALSE)+SUM(AR$4:AR$1003)+SUMIF(COSTI!$X$1379:$X$1430,AG$2,COSTI!$Z$1379:$Z$1430),0),0)</f>
        <v>#N/A</v>
      </c>
      <c r="AG139" s="859"/>
      <c r="AH139" s="27" t="str">
        <f t="shared" si="40"/>
        <v/>
      </c>
      <c r="AI139" s="152">
        <f ca="1">IF(W140&gt;0,0,IF(AH139=0,(Z139*-1)+BC139+SUM(BB$4:BB138),BC139+SUM(BB$4:BB138)))</f>
        <v>-2.1316282072803006E-13</v>
      </c>
      <c r="AJ139" s="931">
        <f>IF(AND(AL139&gt;=$U$1,AL139&lt;=$U$2),IF(AM139='ESTRATTO CONTO'!$E$2,1+COUNTIF(AJ$4:AJ138,"&gt;0")+U$1015,0),0)</f>
        <v>0</v>
      </c>
      <c r="AK139" s="203">
        <f>IF(AND(OR((AK138+1)&lt;AL$1015,(AK138+1)=AL$1015),MAX(AK$4:AK138)&lt;AL$1015),AK138+1,0)</f>
        <v>0</v>
      </c>
      <c r="AL139" s="309">
        <f>VLOOKUP($AK139,ENTI!$AF$4:AG$1003,2,FALSE)</f>
        <v>0</v>
      </c>
      <c r="AM139" s="224">
        <f>VLOOKUP($AK139,ENTI!$AF$4:AH$1003,3,FALSE)</f>
        <v>0</v>
      </c>
      <c r="AN139" s="224">
        <f>VLOOKUP($AK139,ENTI!$AF$4:AI$1003,4,FALSE)</f>
        <v>0</v>
      </c>
      <c r="AO139" s="781">
        <f>VLOOKUP($AK139,ENTI!$AF$4:AJ$1003,5,FALSE)</f>
        <v>0</v>
      </c>
      <c r="AP139" s="315">
        <f>VLOOKUP($AK139,ENTI!$AF$4:AK$1003,6,FALSE)</f>
        <v>0</v>
      </c>
      <c r="AQ139" s="208">
        <f t="shared" si="36"/>
        <v>0</v>
      </c>
      <c r="AR139" s="152" t="e">
        <f t="shared" si="37"/>
        <v>#N/A</v>
      </c>
      <c r="AS139" s="1"/>
      <c r="AT139" s="88" t="str">
        <f t="shared" si="41"/>
        <v/>
      </c>
      <c r="AU139" s="1"/>
      <c r="AV139" s="175">
        <f>IF(AW139&gt;0,COUNTIF(AV$4:AV138,"&gt;0")+1,0)</f>
        <v>0</v>
      </c>
      <c r="AW139" s="164">
        <f t="shared" si="42"/>
        <v>0</v>
      </c>
      <c r="AX139" s="310">
        <f>IF($AW139=0,0,VLOOKUP(VLOOKUP($X139,$B$34:$T$38,19,FALSE),ENTI!$A$9:$B$13,2,FALSE))</f>
        <v>0</v>
      </c>
      <c r="AY139" s="310">
        <f t="shared" si="44"/>
        <v>0</v>
      </c>
      <c r="AZ139" s="316">
        <f t="shared" si="45"/>
        <v>0</v>
      </c>
      <c r="BA139" s="1"/>
      <c r="BB139" s="152">
        <f t="shared" si="46"/>
        <v>0</v>
      </c>
      <c r="BC139" s="152">
        <f ca="1">SUM(Z$4:Z139)+SUM(BB$4:BB139)+COSTI!S$6-COSTI!L$1076</f>
        <v>-31.760000000000218</v>
      </c>
      <c r="BD139" s="1"/>
    </row>
    <row r="140" spans="1:56" ht="16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435">
        <f>IF(AND(W140&gt;=$U$1,W140&lt;=$U$2),IF(X140='ESTRATTO CONTO'!$E$2,1+COUNTIF(U$4:U139,"&gt;0"),0),0)</f>
        <v>0</v>
      </c>
      <c r="V140" s="417">
        <f t="shared" si="43"/>
        <v>137</v>
      </c>
      <c r="W140" s="509"/>
      <c r="X140" s="321"/>
      <c r="Y140" s="321"/>
      <c r="Z140" s="508"/>
      <c r="AA140" s="356"/>
      <c r="AB140" s="306" t="str">
        <f t="shared" si="39"/>
        <v/>
      </c>
      <c r="AC140" s="637">
        <f t="shared" ca="1" si="38"/>
        <v>-2.1316282072803006E-13</v>
      </c>
      <c r="AD140" s="935">
        <f>IF(ISERROR(VLOOKUP(AD$2,X141:X$1003,1,FALSE)),IF(X140=AD$2,SUMIF(X$4:X140,AD$2,Z$4:Z140)+$E$9+SUM(AQ$4:AQ$1003)+SUMIF(COSTI!$X$1379:$X$1430,AD$2,COSTI!$Z$1379:$Z$1430),0),0)</f>
        <v>0</v>
      </c>
      <c r="AE140" s="26"/>
      <c r="AF140" s="856" t="e">
        <f>IF(ISERROR(VLOOKUP(AG$2,X141:X$1003,1,FALSE)),IF(X140=AG$2,SUMIF(X$4:X140,AG$2,Z$4:Z140)+VLOOKUP(AF$2,$B$1057:$F$1068,5,FALSE)+SUM(AR$4:AR$1003)+SUMIF(COSTI!$X$1379:$X$1430,AG$2,COSTI!$Z$1379:$Z$1430),0),0)</f>
        <v>#N/A</v>
      </c>
      <c r="AG140" s="859"/>
      <c r="AH140" s="27" t="str">
        <f t="shared" si="40"/>
        <v/>
      </c>
      <c r="AI140" s="152">
        <f ca="1">IF(W141&gt;0,0,IF(AH140=0,(Z140*-1)+BC140+SUM(BB$4:BB139),BC140+SUM(BB$4:BB139)))</f>
        <v>-2.1316282072803006E-13</v>
      </c>
      <c r="AJ140" s="931">
        <f>IF(AND(AL140&gt;=$U$1,AL140&lt;=$U$2),IF(AM140='ESTRATTO CONTO'!$E$2,1+COUNTIF(AJ$4:AJ139,"&gt;0")+U$1015,0),0)</f>
        <v>0</v>
      </c>
      <c r="AK140" s="203">
        <f>IF(AND(OR((AK139+1)&lt;AL$1015,(AK139+1)=AL$1015),MAX(AK$4:AK139)&lt;AL$1015),AK139+1,0)</f>
        <v>0</v>
      </c>
      <c r="AL140" s="309">
        <f>VLOOKUP($AK140,ENTI!$AF$4:AG$1003,2,FALSE)</f>
        <v>0</v>
      </c>
      <c r="AM140" s="224">
        <f>VLOOKUP($AK140,ENTI!$AF$4:AH$1003,3,FALSE)</f>
        <v>0</v>
      </c>
      <c r="AN140" s="224">
        <f>VLOOKUP($AK140,ENTI!$AF$4:AI$1003,4,FALSE)</f>
        <v>0</v>
      </c>
      <c r="AO140" s="781">
        <f>VLOOKUP($AK140,ENTI!$AF$4:AJ$1003,5,FALSE)</f>
        <v>0</v>
      </c>
      <c r="AP140" s="315">
        <f>VLOOKUP($AK140,ENTI!$AF$4:AK$1003,6,FALSE)</f>
        <v>0</v>
      </c>
      <c r="AQ140" s="208">
        <f t="shared" si="36"/>
        <v>0</v>
      </c>
      <c r="AR140" s="152" t="e">
        <f t="shared" si="37"/>
        <v>#N/A</v>
      </c>
      <c r="AS140" s="1"/>
      <c r="AT140" s="88" t="str">
        <f t="shared" si="41"/>
        <v/>
      </c>
      <c r="AU140" s="1"/>
      <c r="AV140" s="175">
        <f>IF(AW140&gt;0,COUNTIF(AV$4:AV139,"&gt;0")+1,0)</f>
        <v>0</v>
      </c>
      <c r="AW140" s="164">
        <f t="shared" si="42"/>
        <v>0</v>
      </c>
      <c r="AX140" s="310">
        <f>IF($AW140=0,0,VLOOKUP(VLOOKUP($X140,$B$34:$T$38,19,FALSE),ENTI!$A$9:$B$13,2,FALSE))</f>
        <v>0</v>
      </c>
      <c r="AY140" s="310">
        <f t="shared" si="44"/>
        <v>0</v>
      </c>
      <c r="AZ140" s="316">
        <f t="shared" si="45"/>
        <v>0</v>
      </c>
      <c r="BA140" s="1"/>
      <c r="BB140" s="152">
        <f t="shared" si="46"/>
        <v>0</v>
      </c>
      <c r="BC140" s="152">
        <f ca="1">SUM(Z$4:Z140)+SUM(BB$4:BB140)+COSTI!S$6-COSTI!L$1076</f>
        <v>-31.760000000000218</v>
      </c>
      <c r="BD140" s="1"/>
    </row>
    <row r="141" spans="1:56" ht="16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435">
        <f>IF(AND(W141&gt;=$U$1,W141&lt;=$U$2),IF(X141='ESTRATTO CONTO'!$E$2,1+COUNTIF(U$4:U140,"&gt;0"),0),0)</f>
        <v>0</v>
      </c>
      <c r="V141" s="417">
        <f t="shared" si="43"/>
        <v>138</v>
      </c>
      <c r="W141" s="509"/>
      <c r="X141" s="321"/>
      <c r="Y141" s="321"/>
      <c r="Z141" s="508"/>
      <c r="AA141" s="356"/>
      <c r="AB141" s="306" t="str">
        <f t="shared" si="39"/>
        <v/>
      </c>
      <c r="AC141" s="637">
        <f t="shared" ca="1" si="38"/>
        <v>-2.1316282072803006E-13</v>
      </c>
      <c r="AD141" s="935">
        <f>IF(ISERROR(VLOOKUP(AD$2,X142:X$1003,1,FALSE)),IF(X141=AD$2,SUMIF(X$4:X141,AD$2,Z$4:Z141)+$E$9+SUM(AQ$4:AQ$1003)+SUMIF(COSTI!$X$1379:$X$1430,AD$2,COSTI!$Z$1379:$Z$1430),0),0)</f>
        <v>0</v>
      </c>
      <c r="AE141" s="26"/>
      <c r="AF141" s="856" t="e">
        <f>IF(ISERROR(VLOOKUP(AG$2,X142:X$1003,1,FALSE)),IF(X141=AG$2,SUMIF(X$4:X141,AG$2,Z$4:Z141)+VLOOKUP(AF$2,$B$1057:$F$1068,5,FALSE)+SUM(AR$4:AR$1003)+SUMIF(COSTI!$X$1379:$X$1430,AG$2,COSTI!$Z$1379:$Z$1430),0),0)</f>
        <v>#N/A</v>
      </c>
      <c r="AG141" s="859"/>
      <c r="AH141" s="27" t="str">
        <f t="shared" si="40"/>
        <v/>
      </c>
      <c r="AI141" s="152">
        <f ca="1">IF(W142&gt;0,0,IF(AH141=0,(Z141*-1)+BC141+SUM(BB$4:BB140),BC141+SUM(BB$4:BB140)))</f>
        <v>-2.1316282072803006E-13</v>
      </c>
      <c r="AJ141" s="931">
        <f>IF(AND(AL141&gt;=$U$1,AL141&lt;=$U$2),IF(AM141='ESTRATTO CONTO'!$E$2,1+COUNTIF(AJ$4:AJ140,"&gt;0")+U$1015,0),0)</f>
        <v>0</v>
      </c>
      <c r="AK141" s="203">
        <f>IF(AND(OR((AK140+1)&lt;AL$1015,(AK140+1)=AL$1015),MAX(AK$4:AK140)&lt;AL$1015),AK140+1,0)</f>
        <v>0</v>
      </c>
      <c r="AL141" s="309">
        <f>VLOOKUP($AK141,ENTI!$AF$4:AG$1003,2,FALSE)</f>
        <v>0</v>
      </c>
      <c r="AM141" s="224">
        <f>VLOOKUP($AK141,ENTI!$AF$4:AH$1003,3,FALSE)</f>
        <v>0</v>
      </c>
      <c r="AN141" s="224">
        <f>VLOOKUP($AK141,ENTI!$AF$4:AI$1003,4,FALSE)</f>
        <v>0</v>
      </c>
      <c r="AO141" s="781">
        <f>VLOOKUP($AK141,ENTI!$AF$4:AJ$1003,5,FALSE)</f>
        <v>0</v>
      </c>
      <c r="AP141" s="315">
        <f>VLOOKUP($AK141,ENTI!$AF$4:AK$1003,6,FALSE)</f>
        <v>0</v>
      </c>
      <c r="AQ141" s="208">
        <f t="shared" si="36"/>
        <v>0</v>
      </c>
      <c r="AR141" s="152" t="e">
        <f t="shared" si="37"/>
        <v>#N/A</v>
      </c>
      <c r="AS141" s="1"/>
      <c r="AT141" s="88" t="str">
        <f t="shared" si="41"/>
        <v/>
      </c>
      <c r="AU141" s="1"/>
      <c r="AV141" s="175">
        <f>IF(AW141&gt;0,COUNTIF(AV$4:AV140,"&gt;0")+1,0)</f>
        <v>0</v>
      </c>
      <c r="AW141" s="164">
        <f t="shared" si="42"/>
        <v>0</v>
      </c>
      <c r="AX141" s="310">
        <f>IF($AW141=0,0,VLOOKUP(VLOOKUP($X141,$B$34:$T$38,19,FALSE),ENTI!$A$9:$B$13,2,FALSE))</f>
        <v>0</v>
      </c>
      <c r="AY141" s="310">
        <f t="shared" si="44"/>
        <v>0</v>
      </c>
      <c r="AZ141" s="316">
        <f t="shared" si="45"/>
        <v>0</v>
      </c>
      <c r="BA141" s="1"/>
      <c r="BB141" s="152">
        <f t="shared" si="46"/>
        <v>0</v>
      </c>
      <c r="BC141" s="152">
        <f ca="1">SUM(Z$4:Z141)+SUM(BB$4:BB141)+COSTI!S$6-COSTI!L$1076</f>
        <v>-31.760000000000218</v>
      </c>
      <c r="BD141" s="1"/>
    </row>
    <row r="142" spans="1:56" ht="16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435">
        <f>IF(AND(W142&gt;=$U$1,W142&lt;=$U$2),IF(X142='ESTRATTO CONTO'!$E$2,1+COUNTIF(U$4:U141,"&gt;0"),0),0)</f>
        <v>0</v>
      </c>
      <c r="V142" s="417">
        <f t="shared" si="43"/>
        <v>139</v>
      </c>
      <c r="W142" s="509"/>
      <c r="X142" s="321"/>
      <c r="Y142" s="321"/>
      <c r="Z142" s="508"/>
      <c r="AA142" s="356"/>
      <c r="AB142" s="306" t="str">
        <f t="shared" si="39"/>
        <v/>
      </c>
      <c r="AC142" s="637">
        <f t="shared" ca="1" si="38"/>
        <v>-2.1316282072803006E-13</v>
      </c>
      <c r="AD142" s="935">
        <f>IF(ISERROR(VLOOKUP(AD$2,X143:X$1003,1,FALSE)),IF(X142=AD$2,SUMIF(X$4:X142,AD$2,Z$4:Z142)+$E$9+SUM(AQ$4:AQ$1003)+SUMIF(COSTI!$X$1379:$X$1430,AD$2,COSTI!$Z$1379:$Z$1430),0),0)</f>
        <v>0</v>
      </c>
      <c r="AE142" s="26"/>
      <c r="AF142" s="856" t="e">
        <f>IF(ISERROR(VLOOKUP(AG$2,X143:X$1003,1,FALSE)),IF(X142=AG$2,SUMIF(X$4:X142,AG$2,Z$4:Z142)+VLOOKUP(AF$2,$B$1057:$F$1068,5,FALSE)+SUM(AR$4:AR$1003)+SUMIF(COSTI!$X$1379:$X$1430,AG$2,COSTI!$Z$1379:$Z$1430),0),0)</f>
        <v>#N/A</v>
      </c>
      <c r="AG142" s="859"/>
      <c r="AH142" s="27" t="str">
        <f t="shared" si="40"/>
        <v/>
      </c>
      <c r="AI142" s="152">
        <f ca="1">IF(W143&gt;0,0,IF(AH142=0,(Z142*-1)+BC142+SUM(BB$4:BB141),BC142+SUM(BB$4:BB141)))</f>
        <v>-2.1316282072803006E-13</v>
      </c>
      <c r="AJ142" s="931">
        <f>IF(AND(AL142&gt;=$U$1,AL142&lt;=$U$2),IF(AM142='ESTRATTO CONTO'!$E$2,1+COUNTIF(AJ$4:AJ141,"&gt;0")+U$1015,0),0)</f>
        <v>0</v>
      </c>
      <c r="AK142" s="203">
        <f>IF(AND(OR((AK141+1)&lt;AL$1015,(AK141+1)=AL$1015),MAX(AK$4:AK141)&lt;AL$1015),AK141+1,0)</f>
        <v>0</v>
      </c>
      <c r="AL142" s="309">
        <f>VLOOKUP($AK142,ENTI!$AF$4:AG$1003,2,FALSE)</f>
        <v>0</v>
      </c>
      <c r="AM142" s="224">
        <f>VLOOKUP($AK142,ENTI!$AF$4:AH$1003,3,FALSE)</f>
        <v>0</v>
      </c>
      <c r="AN142" s="224">
        <f>VLOOKUP($AK142,ENTI!$AF$4:AI$1003,4,FALSE)</f>
        <v>0</v>
      </c>
      <c r="AO142" s="781">
        <f>VLOOKUP($AK142,ENTI!$AF$4:AJ$1003,5,FALSE)</f>
        <v>0</v>
      </c>
      <c r="AP142" s="315">
        <f>VLOOKUP($AK142,ENTI!$AF$4:AK$1003,6,FALSE)</f>
        <v>0</v>
      </c>
      <c r="AQ142" s="208">
        <f t="shared" si="36"/>
        <v>0</v>
      </c>
      <c r="AR142" s="152" t="e">
        <f t="shared" si="37"/>
        <v>#N/A</v>
      </c>
      <c r="AS142" s="1"/>
      <c r="AT142" s="88" t="str">
        <f t="shared" si="41"/>
        <v/>
      </c>
      <c r="AU142" s="1"/>
      <c r="AV142" s="175">
        <f>IF(AW142&gt;0,COUNTIF(AV$4:AV141,"&gt;0")+1,0)</f>
        <v>0</v>
      </c>
      <c r="AW142" s="164">
        <f t="shared" si="42"/>
        <v>0</v>
      </c>
      <c r="AX142" s="310">
        <f>IF($AW142=0,0,VLOOKUP(VLOOKUP($X142,$B$34:$T$38,19,FALSE),ENTI!$A$9:$B$13,2,FALSE))</f>
        <v>0</v>
      </c>
      <c r="AY142" s="310">
        <f t="shared" si="44"/>
        <v>0</v>
      </c>
      <c r="AZ142" s="316">
        <f t="shared" si="45"/>
        <v>0</v>
      </c>
      <c r="BA142" s="1"/>
      <c r="BB142" s="152">
        <f t="shared" si="46"/>
        <v>0</v>
      </c>
      <c r="BC142" s="152">
        <f ca="1">SUM(Z$4:Z142)+SUM(BB$4:BB142)+COSTI!S$6-COSTI!L$1076</f>
        <v>-31.760000000000218</v>
      </c>
      <c r="BD142" s="1"/>
    </row>
    <row r="143" spans="1:56" ht="16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435">
        <f>IF(AND(W143&gt;=$U$1,W143&lt;=$U$2),IF(X143='ESTRATTO CONTO'!$E$2,1+COUNTIF(U$4:U142,"&gt;0"),0),0)</f>
        <v>0</v>
      </c>
      <c r="V143" s="417">
        <f t="shared" si="43"/>
        <v>140</v>
      </c>
      <c r="W143" s="509"/>
      <c r="X143" s="321"/>
      <c r="Y143" s="321"/>
      <c r="Z143" s="508"/>
      <c r="AA143" s="356"/>
      <c r="AB143" s="306" t="str">
        <f t="shared" si="39"/>
        <v/>
      </c>
      <c r="AC143" s="637">
        <f t="shared" ca="1" si="38"/>
        <v>-2.1316282072803006E-13</v>
      </c>
      <c r="AD143" s="935">
        <f>IF(ISERROR(VLOOKUP(AD$2,X144:X$1003,1,FALSE)),IF(X143=AD$2,SUMIF(X$4:X143,AD$2,Z$4:Z143)+$E$9+SUM(AQ$4:AQ$1003)+SUMIF(COSTI!$X$1379:$X$1430,AD$2,COSTI!$Z$1379:$Z$1430),0),0)</f>
        <v>0</v>
      </c>
      <c r="AE143" s="26"/>
      <c r="AF143" s="856" t="e">
        <f>IF(ISERROR(VLOOKUP(AG$2,X144:X$1003,1,FALSE)),IF(X143=AG$2,SUMIF(X$4:X143,AG$2,Z$4:Z143)+VLOOKUP(AF$2,$B$1057:$F$1068,5,FALSE)+SUM(AR$4:AR$1003)+SUMIF(COSTI!$X$1379:$X$1430,AG$2,COSTI!$Z$1379:$Z$1430),0),0)</f>
        <v>#N/A</v>
      </c>
      <c r="AG143" s="859"/>
      <c r="AH143" s="27" t="str">
        <f t="shared" si="40"/>
        <v/>
      </c>
      <c r="AI143" s="152">
        <f ca="1">IF(W144&gt;0,0,IF(AH143=0,(Z143*-1)+BC143+SUM(BB$4:BB142),BC143+SUM(BB$4:BB142)))</f>
        <v>-2.1316282072803006E-13</v>
      </c>
      <c r="AJ143" s="931">
        <f>IF(AND(AL143&gt;=$U$1,AL143&lt;=$U$2),IF(AM143='ESTRATTO CONTO'!$E$2,1+COUNTIF(AJ$4:AJ142,"&gt;0")+U$1015,0),0)</f>
        <v>0</v>
      </c>
      <c r="AK143" s="203">
        <f>IF(AND(OR((AK142+1)&lt;AL$1015,(AK142+1)=AL$1015),MAX(AK$4:AK142)&lt;AL$1015),AK142+1,0)</f>
        <v>0</v>
      </c>
      <c r="AL143" s="309">
        <f>VLOOKUP($AK143,ENTI!$AF$4:AG$1003,2,FALSE)</f>
        <v>0</v>
      </c>
      <c r="AM143" s="224">
        <f>VLOOKUP($AK143,ENTI!$AF$4:AH$1003,3,FALSE)</f>
        <v>0</v>
      </c>
      <c r="AN143" s="224">
        <f>VLOOKUP($AK143,ENTI!$AF$4:AI$1003,4,FALSE)</f>
        <v>0</v>
      </c>
      <c r="AO143" s="781">
        <f>VLOOKUP($AK143,ENTI!$AF$4:AJ$1003,5,FALSE)</f>
        <v>0</v>
      </c>
      <c r="AP143" s="315">
        <f>VLOOKUP($AK143,ENTI!$AF$4:AK$1003,6,FALSE)</f>
        <v>0</v>
      </c>
      <c r="AQ143" s="208">
        <f t="shared" ref="AQ143:AQ206" si="47">IF(AM143=AQ$2,AO143,0)</f>
        <v>0</v>
      </c>
      <c r="AR143" s="152" t="e">
        <f t="shared" ref="AR143:AR206" si="48">IF(AM143=AR$1,AO143,0)</f>
        <v>#N/A</v>
      </c>
      <c r="AS143" s="1"/>
      <c r="AT143" s="88" t="str">
        <f t="shared" si="41"/>
        <v/>
      </c>
      <c r="AU143" s="1"/>
      <c r="AV143" s="175">
        <f>IF(AW143&gt;0,COUNTIF(AV$4:AV142,"&gt;0")+1,0)</f>
        <v>0</v>
      </c>
      <c r="AW143" s="164">
        <f t="shared" si="42"/>
        <v>0</v>
      </c>
      <c r="AX143" s="310">
        <f>IF($AW143=0,0,VLOOKUP(VLOOKUP($X143,$B$34:$T$38,19,FALSE),ENTI!$A$9:$B$13,2,FALSE))</f>
        <v>0</v>
      </c>
      <c r="AY143" s="310">
        <f t="shared" si="44"/>
        <v>0</v>
      </c>
      <c r="AZ143" s="316">
        <f t="shared" si="45"/>
        <v>0</v>
      </c>
      <c r="BA143" s="1"/>
      <c r="BB143" s="152">
        <f t="shared" si="46"/>
        <v>0</v>
      </c>
      <c r="BC143" s="152">
        <f ca="1">SUM(Z$4:Z143)+SUM(BB$4:BB143)+COSTI!S$6-COSTI!L$1076</f>
        <v>-31.760000000000218</v>
      </c>
      <c r="BD143" s="1"/>
    </row>
    <row r="144" spans="1:56" ht="16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435">
        <f>IF(AND(W144&gt;=$U$1,W144&lt;=$U$2),IF(X144='ESTRATTO CONTO'!$E$2,1+COUNTIF(U$4:U143,"&gt;0"),0),0)</f>
        <v>0</v>
      </c>
      <c r="V144" s="417">
        <f t="shared" si="43"/>
        <v>141</v>
      </c>
      <c r="W144" s="509"/>
      <c r="X144" s="321"/>
      <c r="Y144" s="321"/>
      <c r="Z144" s="508"/>
      <c r="AA144" s="356"/>
      <c r="AB144" s="306" t="str">
        <f t="shared" si="39"/>
        <v/>
      </c>
      <c r="AC144" s="637">
        <f t="shared" ca="1" si="38"/>
        <v>-2.1316282072803006E-13</v>
      </c>
      <c r="AD144" s="935">
        <f>IF(ISERROR(VLOOKUP(AD$2,X145:X$1003,1,FALSE)),IF(X144=AD$2,SUMIF(X$4:X144,AD$2,Z$4:Z144)+$E$9+SUM(AQ$4:AQ$1003)+SUMIF(COSTI!$X$1379:$X$1430,AD$2,COSTI!$Z$1379:$Z$1430),0),0)</f>
        <v>0</v>
      </c>
      <c r="AE144" s="26"/>
      <c r="AF144" s="856" t="e">
        <f>IF(ISERROR(VLOOKUP(AG$2,X145:X$1003,1,FALSE)),IF(X144=AG$2,SUMIF(X$4:X144,AG$2,Z$4:Z144)+VLOOKUP(AF$2,$B$1057:$F$1068,5,FALSE)+SUM(AR$4:AR$1003)+SUMIF(COSTI!$X$1379:$X$1430,AG$2,COSTI!$Z$1379:$Z$1430),0),0)</f>
        <v>#N/A</v>
      </c>
      <c r="AG144" s="859"/>
      <c r="AH144" s="27" t="str">
        <f t="shared" si="40"/>
        <v/>
      </c>
      <c r="AI144" s="152">
        <f ca="1">IF(W145&gt;0,0,IF(AH144=0,(Z144*-1)+BC144+SUM(BB$4:BB143),BC144+SUM(BB$4:BB143)))</f>
        <v>-2.1316282072803006E-13</v>
      </c>
      <c r="AJ144" s="931">
        <f>IF(AND(AL144&gt;=$U$1,AL144&lt;=$U$2),IF(AM144='ESTRATTO CONTO'!$E$2,1+COUNTIF(AJ$4:AJ143,"&gt;0")+U$1015,0),0)</f>
        <v>0</v>
      </c>
      <c r="AK144" s="203">
        <f>IF(AND(OR((AK143+1)&lt;AL$1015,(AK143+1)=AL$1015),MAX(AK$4:AK143)&lt;AL$1015),AK143+1,0)</f>
        <v>0</v>
      </c>
      <c r="AL144" s="309">
        <f>VLOOKUP($AK144,ENTI!$AF$4:AG$1003,2,FALSE)</f>
        <v>0</v>
      </c>
      <c r="AM144" s="224">
        <f>VLOOKUP($AK144,ENTI!$AF$4:AH$1003,3,FALSE)</f>
        <v>0</v>
      </c>
      <c r="AN144" s="224">
        <f>VLOOKUP($AK144,ENTI!$AF$4:AI$1003,4,FALSE)</f>
        <v>0</v>
      </c>
      <c r="AO144" s="781">
        <f>VLOOKUP($AK144,ENTI!$AF$4:AJ$1003,5,FALSE)</f>
        <v>0</v>
      </c>
      <c r="AP144" s="315">
        <f>VLOOKUP($AK144,ENTI!$AF$4:AK$1003,6,FALSE)</f>
        <v>0</v>
      </c>
      <c r="AQ144" s="208">
        <f t="shared" si="47"/>
        <v>0</v>
      </c>
      <c r="AR144" s="152" t="e">
        <f t="shared" si="48"/>
        <v>#N/A</v>
      </c>
      <c r="AS144" s="1"/>
      <c r="AT144" s="88" t="str">
        <f t="shared" si="41"/>
        <v/>
      </c>
      <c r="AU144" s="1"/>
      <c r="AV144" s="175">
        <f>IF(AW144&gt;0,COUNTIF(AV$4:AV143,"&gt;0")+1,0)</f>
        <v>0</v>
      </c>
      <c r="AW144" s="164">
        <f t="shared" si="42"/>
        <v>0</v>
      </c>
      <c r="AX144" s="310">
        <f>IF($AW144=0,0,VLOOKUP(VLOOKUP($X144,$B$34:$T$38,19,FALSE),ENTI!$A$9:$B$13,2,FALSE))</f>
        <v>0</v>
      </c>
      <c r="AY144" s="310">
        <f t="shared" si="44"/>
        <v>0</v>
      </c>
      <c r="AZ144" s="316">
        <f t="shared" si="45"/>
        <v>0</v>
      </c>
      <c r="BA144" s="1"/>
      <c r="BB144" s="152">
        <f t="shared" si="46"/>
        <v>0</v>
      </c>
      <c r="BC144" s="152">
        <f ca="1">SUM(Z$4:Z144)+SUM(BB$4:BB144)+COSTI!S$6-COSTI!L$1076</f>
        <v>-31.760000000000218</v>
      </c>
      <c r="BD144" s="1"/>
    </row>
    <row r="145" spans="1:56" ht="16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435">
        <f>IF(AND(W145&gt;=$U$1,W145&lt;=$U$2),IF(X145='ESTRATTO CONTO'!$E$2,1+COUNTIF(U$4:U144,"&gt;0"),0),0)</f>
        <v>0</v>
      </c>
      <c r="V145" s="417">
        <f t="shared" si="43"/>
        <v>142</v>
      </c>
      <c r="W145" s="509"/>
      <c r="X145" s="321"/>
      <c r="Y145" s="321"/>
      <c r="Z145" s="508"/>
      <c r="AA145" s="356"/>
      <c r="AB145" s="306" t="str">
        <f t="shared" si="39"/>
        <v/>
      </c>
      <c r="AC145" s="637">
        <f t="shared" ca="1" si="38"/>
        <v>-2.1316282072803006E-13</v>
      </c>
      <c r="AD145" s="935">
        <f>IF(ISERROR(VLOOKUP(AD$2,X146:X$1003,1,FALSE)),IF(X145=AD$2,SUMIF(X$4:X145,AD$2,Z$4:Z145)+$E$9+SUM(AQ$4:AQ$1003)+SUMIF(COSTI!$X$1379:$X$1430,AD$2,COSTI!$Z$1379:$Z$1430),0),0)</f>
        <v>0</v>
      </c>
      <c r="AE145" s="26"/>
      <c r="AF145" s="856" t="e">
        <f>IF(ISERROR(VLOOKUP(AG$2,X146:X$1003,1,FALSE)),IF(X145=AG$2,SUMIF(X$4:X145,AG$2,Z$4:Z145)+VLOOKUP(AF$2,$B$1057:$F$1068,5,FALSE)+SUM(AR$4:AR$1003)+SUMIF(COSTI!$X$1379:$X$1430,AG$2,COSTI!$Z$1379:$Z$1430),0),0)</f>
        <v>#N/A</v>
      </c>
      <c r="AG145" s="859"/>
      <c r="AH145" s="27" t="str">
        <f t="shared" si="40"/>
        <v/>
      </c>
      <c r="AI145" s="152">
        <f ca="1">IF(W146&gt;0,0,IF(AH145=0,(Z145*-1)+BC145+SUM(BB$4:BB144),BC145+SUM(BB$4:BB144)))</f>
        <v>-2.1316282072803006E-13</v>
      </c>
      <c r="AJ145" s="931">
        <f>IF(AND(AL145&gt;=$U$1,AL145&lt;=$U$2),IF(AM145='ESTRATTO CONTO'!$E$2,1+COUNTIF(AJ$4:AJ144,"&gt;0")+U$1015,0),0)</f>
        <v>0</v>
      </c>
      <c r="AK145" s="203">
        <f>IF(AND(OR((AK144+1)&lt;AL$1015,(AK144+1)=AL$1015),MAX(AK$4:AK144)&lt;AL$1015),AK144+1,0)</f>
        <v>0</v>
      </c>
      <c r="AL145" s="309">
        <f>VLOOKUP($AK145,ENTI!$AF$4:AG$1003,2,FALSE)</f>
        <v>0</v>
      </c>
      <c r="AM145" s="224">
        <f>VLOOKUP($AK145,ENTI!$AF$4:AH$1003,3,FALSE)</f>
        <v>0</v>
      </c>
      <c r="AN145" s="224">
        <f>VLOOKUP($AK145,ENTI!$AF$4:AI$1003,4,FALSE)</f>
        <v>0</v>
      </c>
      <c r="AO145" s="781">
        <f>VLOOKUP($AK145,ENTI!$AF$4:AJ$1003,5,FALSE)</f>
        <v>0</v>
      </c>
      <c r="AP145" s="315">
        <f>VLOOKUP($AK145,ENTI!$AF$4:AK$1003,6,FALSE)</f>
        <v>0</v>
      </c>
      <c r="AQ145" s="208">
        <f t="shared" si="47"/>
        <v>0</v>
      </c>
      <c r="AR145" s="152" t="e">
        <f t="shared" si="48"/>
        <v>#N/A</v>
      </c>
      <c r="AS145" s="1"/>
      <c r="AT145" s="88" t="str">
        <f t="shared" si="41"/>
        <v/>
      </c>
      <c r="AU145" s="1"/>
      <c r="AV145" s="175">
        <f>IF(AW145&gt;0,COUNTIF(AV$4:AV144,"&gt;0")+1,0)</f>
        <v>0</v>
      </c>
      <c r="AW145" s="164">
        <f t="shared" si="42"/>
        <v>0</v>
      </c>
      <c r="AX145" s="310">
        <f>IF($AW145=0,0,VLOOKUP(VLOOKUP($X145,$B$34:$T$38,19,FALSE),ENTI!$A$9:$B$13,2,FALSE))</f>
        <v>0</v>
      </c>
      <c r="AY145" s="310">
        <f t="shared" si="44"/>
        <v>0</v>
      </c>
      <c r="AZ145" s="316">
        <f t="shared" si="45"/>
        <v>0</v>
      </c>
      <c r="BA145" s="1"/>
      <c r="BB145" s="152">
        <f t="shared" si="46"/>
        <v>0</v>
      </c>
      <c r="BC145" s="152">
        <f ca="1">SUM(Z$4:Z145)+SUM(BB$4:BB145)+COSTI!S$6-COSTI!L$1076</f>
        <v>-31.760000000000218</v>
      </c>
      <c r="BD145" s="1"/>
    </row>
    <row r="146" spans="1:56" ht="16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435">
        <f>IF(AND(W146&gt;=$U$1,W146&lt;=$U$2),IF(X146='ESTRATTO CONTO'!$E$2,1+COUNTIF(U$4:U145,"&gt;0"),0),0)</f>
        <v>0</v>
      </c>
      <c r="V146" s="417">
        <f t="shared" si="43"/>
        <v>143</v>
      </c>
      <c r="W146" s="509"/>
      <c r="X146" s="321"/>
      <c r="Y146" s="321"/>
      <c r="Z146" s="508"/>
      <c r="AA146" s="356"/>
      <c r="AB146" s="306" t="str">
        <f t="shared" si="39"/>
        <v/>
      </c>
      <c r="AC146" s="637">
        <f t="shared" ca="1" si="38"/>
        <v>-2.1316282072803006E-13</v>
      </c>
      <c r="AD146" s="935">
        <f>IF(ISERROR(VLOOKUP(AD$2,X147:X$1003,1,FALSE)),IF(X146=AD$2,SUMIF(X$4:X146,AD$2,Z$4:Z146)+$E$9+SUM(AQ$4:AQ$1003)+SUMIF(COSTI!$X$1379:$X$1430,AD$2,COSTI!$Z$1379:$Z$1430),0),0)</f>
        <v>0</v>
      </c>
      <c r="AE146" s="26"/>
      <c r="AF146" s="856" t="e">
        <f>IF(ISERROR(VLOOKUP(AG$2,X147:X$1003,1,FALSE)),IF(X146=AG$2,SUMIF(X$4:X146,AG$2,Z$4:Z146)+VLOOKUP(AF$2,$B$1057:$F$1068,5,FALSE)+SUM(AR$4:AR$1003)+SUMIF(COSTI!$X$1379:$X$1430,AG$2,COSTI!$Z$1379:$Z$1430),0),0)</f>
        <v>#N/A</v>
      </c>
      <c r="AG146" s="859"/>
      <c r="AH146" s="27" t="str">
        <f t="shared" si="40"/>
        <v/>
      </c>
      <c r="AI146" s="152">
        <f ca="1">IF(W147&gt;0,0,IF(AH146=0,(Z146*-1)+BC146+SUM(BB$4:BB145),BC146+SUM(BB$4:BB145)))</f>
        <v>-2.1316282072803006E-13</v>
      </c>
      <c r="AJ146" s="931">
        <f>IF(AND(AL146&gt;=$U$1,AL146&lt;=$U$2),IF(AM146='ESTRATTO CONTO'!$E$2,1+COUNTIF(AJ$4:AJ145,"&gt;0")+U$1015,0),0)</f>
        <v>0</v>
      </c>
      <c r="AK146" s="203">
        <f>IF(AND(OR((AK145+1)&lt;AL$1015,(AK145+1)=AL$1015),MAX(AK$4:AK145)&lt;AL$1015),AK145+1,0)</f>
        <v>0</v>
      </c>
      <c r="AL146" s="309">
        <f>VLOOKUP($AK146,ENTI!$AF$4:AG$1003,2,FALSE)</f>
        <v>0</v>
      </c>
      <c r="AM146" s="224">
        <f>VLOOKUP($AK146,ENTI!$AF$4:AH$1003,3,FALSE)</f>
        <v>0</v>
      </c>
      <c r="AN146" s="224">
        <f>VLOOKUP($AK146,ENTI!$AF$4:AI$1003,4,FALSE)</f>
        <v>0</v>
      </c>
      <c r="AO146" s="781">
        <f>VLOOKUP($AK146,ENTI!$AF$4:AJ$1003,5,FALSE)</f>
        <v>0</v>
      </c>
      <c r="AP146" s="315">
        <f>VLOOKUP($AK146,ENTI!$AF$4:AK$1003,6,FALSE)</f>
        <v>0</v>
      </c>
      <c r="AQ146" s="208">
        <f t="shared" si="47"/>
        <v>0</v>
      </c>
      <c r="AR146" s="152" t="e">
        <f t="shared" si="48"/>
        <v>#N/A</v>
      </c>
      <c r="AS146" s="1"/>
      <c r="AT146" s="88" t="str">
        <f t="shared" si="41"/>
        <v/>
      </c>
      <c r="AU146" s="1"/>
      <c r="AV146" s="175">
        <f>IF(AW146&gt;0,COUNTIF(AV$4:AV145,"&gt;0")+1,0)</f>
        <v>0</v>
      </c>
      <c r="AW146" s="164">
        <f t="shared" si="42"/>
        <v>0</v>
      </c>
      <c r="AX146" s="310">
        <f>IF($AW146=0,0,VLOOKUP(VLOOKUP($X146,$B$34:$T$38,19,FALSE),ENTI!$A$9:$B$13,2,FALSE))</f>
        <v>0</v>
      </c>
      <c r="AY146" s="310">
        <f t="shared" si="44"/>
        <v>0</v>
      </c>
      <c r="AZ146" s="316">
        <f t="shared" si="45"/>
        <v>0</v>
      </c>
      <c r="BA146" s="1"/>
      <c r="BB146" s="152">
        <f t="shared" si="46"/>
        <v>0</v>
      </c>
      <c r="BC146" s="152">
        <f ca="1">SUM(Z$4:Z146)+SUM(BB$4:BB146)+COSTI!S$6-COSTI!L$1076</f>
        <v>-31.760000000000218</v>
      </c>
      <c r="BD146" s="1"/>
    </row>
    <row r="147" spans="1:56" ht="16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435">
        <f>IF(AND(W147&gt;=$U$1,W147&lt;=$U$2),IF(X147='ESTRATTO CONTO'!$E$2,1+COUNTIF(U$4:U146,"&gt;0"),0),0)</f>
        <v>0</v>
      </c>
      <c r="V147" s="417">
        <f t="shared" si="43"/>
        <v>144</v>
      </c>
      <c r="W147" s="509"/>
      <c r="X147" s="321"/>
      <c r="Y147" s="321"/>
      <c r="Z147" s="508"/>
      <c r="AA147" s="356"/>
      <c r="AB147" s="306" t="str">
        <f t="shared" si="39"/>
        <v/>
      </c>
      <c r="AC147" s="637">
        <f t="shared" ca="1" si="38"/>
        <v>-2.1316282072803006E-13</v>
      </c>
      <c r="AD147" s="935">
        <f>IF(ISERROR(VLOOKUP(AD$2,X148:X$1003,1,FALSE)),IF(X147=AD$2,SUMIF(X$4:X147,AD$2,Z$4:Z147)+$E$9+SUM(AQ$4:AQ$1003)+SUMIF(COSTI!$X$1379:$X$1430,AD$2,COSTI!$Z$1379:$Z$1430),0),0)</f>
        <v>0</v>
      </c>
      <c r="AE147" s="26"/>
      <c r="AF147" s="856" t="e">
        <f>IF(ISERROR(VLOOKUP(AG$2,X148:X$1003,1,FALSE)),IF(X147=AG$2,SUMIF(X$4:X147,AG$2,Z$4:Z147)+VLOOKUP(AF$2,$B$1057:$F$1068,5,FALSE)+SUM(AR$4:AR$1003)+SUMIF(COSTI!$X$1379:$X$1430,AG$2,COSTI!$Z$1379:$Z$1430),0),0)</f>
        <v>#N/A</v>
      </c>
      <c r="AG147" s="859"/>
      <c r="AH147" s="27" t="str">
        <f t="shared" si="40"/>
        <v/>
      </c>
      <c r="AI147" s="152">
        <f ca="1">IF(W148&gt;0,0,IF(AH147=0,(Z147*-1)+BC147+SUM(BB$4:BB146),BC147+SUM(BB$4:BB146)))</f>
        <v>-2.1316282072803006E-13</v>
      </c>
      <c r="AJ147" s="931">
        <f>IF(AND(AL147&gt;=$U$1,AL147&lt;=$U$2),IF(AM147='ESTRATTO CONTO'!$E$2,1+COUNTIF(AJ$4:AJ146,"&gt;0")+U$1015,0),0)</f>
        <v>0</v>
      </c>
      <c r="AK147" s="203">
        <f>IF(AND(OR((AK146+1)&lt;AL$1015,(AK146+1)=AL$1015),MAX(AK$4:AK146)&lt;AL$1015),AK146+1,0)</f>
        <v>0</v>
      </c>
      <c r="AL147" s="309">
        <f>VLOOKUP($AK147,ENTI!$AF$4:AG$1003,2,FALSE)</f>
        <v>0</v>
      </c>
      <c r="AM147" s="224">
        <f>VLOOKUP($AK147,ENTI!$AF$4:AH$1003,3,FALSE)</f>
        <v>0</v>
      </c>
      <c r="AN147" s="224">
        <f>VLOOKUP($AK147,ENTI!$AF$4:AI$1003,4,FALSE)</f>
        <v>0</v>
      </c>
      <c r="AO147" s="781">
        <f>VLOOKUP($AK147,ENTI!$AF$4:AJ$1003,5,FALSE)</f>
        <v>0</v>
      </c>
      <c r="AP147" s="315">
        <f>VLOOKUP($AK147,ENTI!$AF$4:AK$1003,6,FALSE)</f>
        <v>0</v>
      </c>
      <c r="AQ147" s="208">
        <f t="shared" si="47"/>
        <v>0</v>
      </c>
      <c r="AR147" s="152" t="e">
        <f t="shared" si="48"/>
        <v>#N/A</v>
      </c>
      <c r="AS147" s="1"/>
      <c r="AT147" s="88" t="str">
        <f t="shared" si="41"/>
        <v/>
      </c>
      <c r="AU147" s="1"/>
      <c r="AV147" s="175">
        <f>IF(AW147&gt;0,COUNTIF(AV$4:AV146,"&gt;0")+1,0)</f>
        <v>0</v>
      </c>
      <c r="AW147" s="164">
        <f t="shared" si="42"/>
        <v>0</v>
      </c>
      <c r="AX147" s="310">
        <f>IF($AW147=0,0,VLOOKUP(VLOOKUP($X147,$B$34:$T$38,19,FALSE),ENTI!$A$9:$B$13,2,FALSE))</f>
        <v>0</v>
      </c>
      <c r="AY147" s="310">
        <f t="shared" si="44"/>
        <v>0</v>
      </c>
      <c r="AZ147" s="316">
        <f t="shared" si="45"/>
        <v>0</v>
      </c>
      <c r="BA147" s="1"/>
      <c r="BB147" s="152">
        <f t="shared" si="46"/>
        <v>0</v>
      </c>
      <c r="BC147" s="152">
        <f ca="1">SUM(Z$4:Z147)+SUM(BB$4:BB147)+COSTI!S$6-COSTI!L$1076</f>
        <v>-31.760000000000218</v>
      </c>
      <c r="BD147" s="1"/>
    </row>
    <row r="148" spans="1:56" ht="16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435">
        <f>IF(AND(W148&gt;=$U$1,W148&lt;=$U$2),IF(X148='ESTRATTO CONTO'!$E$2,1+COUNTIF(U$4:U147,"&gt;0"),0),0)</f>
        <v>0</v>
      </c>
      <c r="V148" s="417">
        <f t="shared" si="43"/>
        <v>145</v>
      </c>
      <c r="W148" s="509"/>
      <c r="X148" s="321"/>
      <c r="Y148" s="321"/>
      <c r="Z148" s="508"/>
      <c r="AA148" s="356"/>
      <c r="AB148" s="306" t="str">
        <f t="shared" si="39"/>
        <v/>
      </c>
      <c r="AC148" s="637">
        <f t="shared" ca="1" si="38"/>
        <v>-2.1316282072803006E-13</v>
      </c>
      <c r="AD148" s="935">
        <f>IF(ISERROR(VLOOKUP(AD$2,X149:X$1003,1,FALSE)),IF(X148=AD$2,SUMIF(X$4:X148,AD$2,Z$4:Z148)+$E$9+SUM(AQ$4:AQ$1003)+SUMIF(COSTI!$X$1379:$X$1430,AD$2,COSTI!$Z$1379:$Z$1430),0),0)</f>
        <v>0</v>
      </c>
      <c r="AE148" s="26"/>
      <c r="AF148" s="856" t="e">
        <f>IF(ISERROR(VLOOKUP(AG$2,X149:X$1003,1,FALSE)),IF(X148=AG$2,SUMIF(X$4:X148,AG$2,Z$4:Z148)+VLOOKUP(AF$2,$B$1057:$F$1068,5,FALSE)+SUM(AR$4:AR$1003)+SUMIF(COSTI!$X$1379:$X$1430,AG$2,COSTI!$Z$1379:$Z$1430),0),0)</f>
        <v>#N/A</v>
      </c>
      <c r="AG148" s="859"/>
      <c r="AH148" s="27" t="str">
        <f t="shared" si="40"/>
        <v/>
      </c>
      <c r="AI148" s="152">
        <f ca="1">IF(W149&gt;0,0,IF(AH148=0,(Z148*-1)+BC148+SUM(BB$4:BB147),BC148+SUM(BB$4:BB147)))</f>
        <v>-2.1316282072803006E-13</v>
      </c>
      <c r="AJ148" s="931">
        <f>IF(AND(AL148&gt;=$U$1,AL148&lt;=$U$2),IF(AM148='ESTRATTO CONTO'!$E$2,1+COUNTIF(AJ$4:AJ147,"&gt;0")+U$1015,0),0)</f>
        <v>0</v>
      </c>
      <c r="AK148" s="203">
        <f>IF(AND(OR((AK147+1)&lt;AL$1015,(AK147+1)=AL$1015),MAX(AK$4:AK147)&lt;AL$1015),AK147+1,0)</f>
        <v>0</v>
      </c>
      <c r="AL148" s="309">
        <f>VLOOKUP($AK148,ENTI!$AF$4:AG$1003,2,FALSE)</f>
        <v>0</v>
      </c>
      <c r="AM148" s="224">
        <f>VLOOKUP($AK148,ENTI!$AF$4:AH$1003,3,FALSE)</f>
        <v>0</v>
      </c>
      <c r="AN148" s="224">
        <f>VLOOKUP($AK148,ENTI!$AF$4:AI$1003,4,FALSE)</f>
        <v>0</v>
      </c>
      <c r="AO148" s="781">
        <f>VLOOKUP($AK148,ENTI!$AF$4:AJ$1003,5,FALSE)</f>
        <v>0</v>
      </c>
      <c r="AP148" s="315">
        <f>VLOOKUP($AK148,ENTI!$AF$4:AK$1003,6,FALSE)</f>
        <v>0</v>
      </c>
      <c r="AQ148" s="208">
        <f t="shared" si="47"/>
        <v>0</v>
      </c>
      <c r="AR148" s="152" t="e">
        <f t="shared" si="48"/>
        <v>#N/A</v>
      </c>
      <c r="AS148" s="1"/>
      <c r="AT148" s="88" t="str">
        <f t="shared" si="41"/>
        <v/>
      </c>
      <c r="AU148" s="1"/>
      <c r="AV148" s="175">
        <f>IF(AW148&gt;0,COUNTIF(AV$4:AV147,"&gt;0")+1,0)</f>
        <v>0</v>
      </c>
      <c r="AW148" s="164">
        <f t="shared" si="42"/>
        <v>0</v>
      </c>
      <c r="AX148" s="310">
        <f>IF($AW148=0,0,VLOOKUP(VLOOKUP($X148,$B$34:$T$38,19,FALSE),ENTI!$A$9:$B$13,2,FALSE))</f>
        <v>0</v>
      </c>
      <c r="AY148" s="310">
        <f t="shared" si="44"/>
        <v>0</v>
      </c>
      <c r="AZ148" s="316">
        <f t="shared" si="45"/>
        <v>0</v>
      </c>
      <c r="BA148" s="1"/>
      <c r="BB148" s="152">
        <f t="shared" si="46"/>
        <v>0</v>
      </c>
      <c r="BC148" s="152">
        <f ca="1">SUM(Z$4:Z148)+SUM(BB$4:BB148)+COSTI!S$6-COSTI!L$1076</f>
        <v>-31.760000000000218</v>
      </c>
      <c r="BD148" s="1"/>
    </row>
    <row r="149" spans="1:56" ht="16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435">
        <f>IF(AND(W149&gt;=$U$1,W149&lt;=$U$2),IF(X149='ESTRATTO CONTO'!$E$2,1+COUNTIF(U$4:U148,"&gt;0"),0),0)</f>
        <v>0</v>
      </c>
      <c r="V149" s="417">
        <f t="shared" si="43"/>
        <v>146</v>
      </c>
      <c r="W149" s="509"/>
      <c r="X149" s="321"/>
      <c r="Y149" s="321"/>
      <c r="Z149" s="508"/>
      <c r="AA149" s="356"/>
      <c r="AB149" s="306" t="str">
        <f t="shared" si="39"/>
        <v/>
      </c>
      <c r="AC149" s="637">
        <f t="shared" ca="1" si="38"/>
        <v>-2.1316282072803006E-13</v>
      </c>
      <c r="AD149" s="935">
        <f>IF(ISERROR(VLOOKUP(AD$2,X150:X$1003,1,FALSE)),IF(X149=AD$2,SUMIF(X$4:X149,AD$2,Z$4:Z149)+$E$9+SUM(AQ$4:AQ$1003)+SUMIF(COSTI!$X$1379:$X$1430,AD$2,COSTI!$Z$1379:$Z$1430),0),0)</f>
        <v>0</v>
      </c>
      <c r="AE149" s="26"/>
      <c r="AF149" s="856" t="e">
        <f>IF(ISERROR(VLOOKUP(AG$2,X150:X$1003,1,FALSE)),IF(X149=AG$2,SUMIF(X$4:X149,AG$2,Z$4:Z149)+VLOOKUP(AF$2,$B$1057:$F$1068,5,FALSE)+SUM(AR$4:AR$1003)+SUMIF(COSTI!$X$1379:$X$1430,AG$2,COSTI!$Z$1379:$Z$1430),0),0)</f>
        <v>#N/A</v>
      </c>
      <c r="AG149" s="859"/>
      <c r="AH149" s="27" t="str">
        <f t="shared" si="40"/>
        <v/>
      </c>
      <c r="AI149" s="152">
        <f ca="1">IF(W150&gt;0,0,IF(AH149=0,(Z149*-1)+BC149+SUM(BB$4:BB148),BC149+SUM(BB$4:BB148)))</f>
        <v>-2.1316282072803006E-13</v>
      </c>
      <c r="AJ149" s="931">
        <f>IF(AND(AL149&gt;=$U$1,AL149&lt;=$U$2),IF(AM149='ESTRATTO CONTO'!$E$2,1+COUNTIF(AJ$4:AJ148,"&gt;0")+U$1015,0),0)</f>
        <v>0</v>
      </c>
      <c r="AK149" s="203">
        <f>IF(AND(OR((AK148+1)&lt;AL$1015,(AK148+1)=AL$1015),MAX(AK$4:AK148)&lt;AL$1015),AK148+1,0)</f>
        <v>0</v>
      </c>
      <c r="AL149" s="309">
        <f>VLOOKUP($AK149,ENTI!$AF$4:AG$1003,2,FALSE)</f>
        <v>0</v>
      </c>
      <c r="AM149" s="224">
        <f>VLOOKUP($AK149,ENTI!$AF$4:AH$1003,3,FALSE)</f>
        <v>0</v>
      </c>
      <c r="AN149" s="224">
        <f>VLOOKUP($AK149,ENTI!$AF$4:AI$1003,4,FALSE)</f>
        <v>0</v>
      </c>
      <c r="AO149" s="781">
        <f>VLOOKUP($AK149,ENTI!$AF$4:AJ$1003,5,FALSE)</f>
        <v>0</v>
      </c>
      <c r="AP149" s="315">
        <f>VLOOKUP($AK149,ENTI!$AF$4:AK$1003,6,FALSE)</f>
        <v>0</v>
      </c>
      <c r="AQ149" s="208">
        <f t="shared" si="47"/>
        <v>0</v>
      </c>
      <c r="AR149" s="152" t="e">
        <f t="shared" si="48"/>
        <v>#N/A</v>
      </c>
      <c r="AS149" s="1"/>
      <c r="AT149" s="88" t="str">
        <f t="shared" si="41"/>
        <v/>
      </c>
      <c r="AU149" s="1"/>
      <c r="AV149" s="175">
        <f>IF(AW149&gt;0,COUNTIF(AV$4:AV148,"&gt;0")+1,0)</f>
        <v>0</v>
      </c>
      <c r="AW149" s="164">
        <f t="shared" si="42"/>
        <v>0</v>
      </c>
      <c r="AX149" s="310">
        <f>IF($AW149=0,0,VLOOKUP(VLOOKUP($X149,$B$34:$T$38,19,FALSE),ENTI!$A$9:$B$13,2,FALSE))</f>
        <v>0</v>
      </c>
      <c r="AY149" s="310">
        <f t="shared" si="44"/>
        <v>0</v>
      </c>
      <c r="AZ149" s="316">
        <f t="shared" si="45"/>
        <v>0</v>
      </c>
      <c r="BA149" s="1"/>
      <c r="BB149" s="152">
        <f t="shared" si="46"/>
        <v>0</v>
      </c>
      <c r="BC149" s="152">
        <f ca="1">SUM(Z$4:Z149)+SUM(BB$4:BB149)+COSTI!S$6-COSTI!L$1076</f>
        <v>-31.760000000000218</v>
      </c>
      <c r="BD149" s="1"/>
    </row>
    <row r="150" spans="1:56" ht="16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435">
        <f>IF(AND(W150&gt;=$U$1,W150&lt;=$U$2),IF(X150='ESTRATTO CONTO'!$E$2,1+COUNTIF(U$4:U149,"&gt;0"),0),0)</f>
        <v>0</v>
      </c>
      <c r="V150" s="417">
        <f t="shared" si="43"/>
        <v>147</v>
      </c>
      <c r="W150" s="509"/>
      <c r="X150" s="321"/>
      <c r="Y150" s="321"/>
      <c r="Z150" s="508"/>
      <c r="AA150" s="356"/>
      <c r="AB150" s="306" t="str">
        <f t="shared" si="39"/>
        <v/>
      </c>
      <c r="AC150" s="637">
        <f t="shared" ca="1" si="38"/>
        <v>-2.1316282072803006E-13</v>
      </c>
      <c r="AD150" s="935">
        <f>IF(ISERROR(VLOOKUP(AD$2,X151:X$1003,1,FALSE)),IF(X150=AD$2,SUMIF(X$4:X150,AD$2,Z$4:Z150)+$E$9+SUM(AQ$4:AQ$1003)+SUMIF(COSTI!$X$1379:$X$1430,AD$2,COSTI!$Z$1379:$Z$1430),0),0)</f>
        <v>0</v>
      </c>
      <c r="AE150" s="26"/>
      <c r="AF150" s="856" t="e">
        <f>IF(ISERROR(VLOOKUP(AG$2,X151:X$1003,1,FALSE)),IF(X150=AG$2,SUMIF(X$4:X150,AG$2,Z$4:Z150)+VLOOKUP(AF$2,$B$1057:$F$1068,5,FALSE)+SUM(AR$4:AR$1003)+SUMIF(COSTI!$X$1379:$X$1430,AG$2,COSTI!$Z$1379:$Z$1430),0),0)</f>
        <v>#N/A</v>
      </c>
      <c r="AG150" s="859"/>
      <c r="AH150" s="27" t="str">
        <f t="shared" si="40"/>
        <v/>
      </c>
      <c r="AI150" s="152">
        <f ca="1">IF(W151&gt;0,0,IF(AH150=0,(Z150*-1)+BC150+SUM(BB$4:BB149),BC150+SUM(BB$4:BB149)))</f>
        <v>-2.1316282072803006E-13</v>
      </c>
      <c r="AJ150" s="931">
        <f>IF(AND(AL150&gt;=$U$1,AL150&lt;=$U$2),IF(AM150='ESTRATTO CONTO'!$E$2,1+COUNTIF(AJ$4:AJ149,"&gt;0")+U$1015,0),0)</f>
        <v>0</v>
      </c>
      <c r="AK150" s="203">
        <f>IF(AND(OR((AK149+1)&lt;AL$1015,(AK149+1)=AL$1015),MAX(AK$4:AK149)&lt;AL$1015),AK149+1,0)</f>
        <v>0</v>
      </c>
      <c r="AL150" s="309">
        <f>VLOOKUP($AK150,ENTI!$AF$4:AG$1003,2,FALSE)</f>
        <v>0</v>
      </c>
      <c r="AM150" s="224">
        <f>VLOOKUP($AK150,ENTI!$AF$4:AH$1003,3,FALSE)</f>
        <v>0</v>
      </c>
      <c r="AN150" s="224">
        <f>VLOOKUP($AK150,ENTI!$AF$4:AI$1003,4,FALSE)</f>
        <v>0</v>
      </c>
      <c r="AO150" s="781">
        <f>VLOOKUP($AK150,ENTI!$AF$4:AJ$1003,5,FALSE)</f>
        <v>0</v>
      </c>
      <c r="AP150" s="315">
        <f>VLOOKUP($AK150,ENTI!$AF$4:AK$1003,6,FALSE)</f>
        <v>0</v>
      </c>
      <c r="AQ150" s="208">
        <f t="shared" si="47"/>
        <v>0</v>
      </c>
      <c r="AR150" s="152" t="e">
        <f t="shared" si="48"/>
        <v>#N/A</v>
      </c>
      <c r="AS150" s="1"/>
      <c r="AT150" s="88" t="str">
        <f t="shared" si="41"/>
        <v/>
      </c>
      <c r="AU150" s="1"/>
      <c r="AV150" s="175">
        <f>IF(AW150&gt;0,COUNTIF(AV$4:AV149,"&gt;0")+1,0)</f>
        <v>0</v>
      </c>
      <c r="AW150" s="164">
        <f t="shared" si="42"/>
        <v>0</v>
      </c>
      <c r="AX150" s="310">
        <f>IF($AW150=0,0,VLOOKUP(VLOOKUP($X150,$B$34:$T$38,19,FALSE),ENTI!$A$9:$B$13,2,FALSE))</f>
        <v>0</v>
      </c>
      <c r="AY150" s="310">
        <f t="shared" si="44"/>
        <v>0</v>
      </c>
      <c r="AZ150" s="316">
        <f t="shared" si="45"/>
        <v>0</v>
      </c>
      <c r="BA150" s="1"/>
      <c r="BB150" s="152">
        <f t="shared" si="46"/>
        <v>0</v>
      </c>
      <c r="BC150" s="152">
        <f ca="1">SUM(Z$4:Z150)+SUM(BB$4:BB150)+COSTI!S$6-COSTI!L$1076</f>
        <v>-31.760000000000218</v>
      </c>
      <c r="BD150" s="1"/>
    </row>
    <row r="151" spans="1:56" ht="16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435">
        <f>IF(AND(W151&gt;=$U$1,W151&lt;=$U$2),IF(X151='ESTRATTO CONTO'!$E$2,1+COUNTIF(U$4:U150,"&gt;0"),0),0)</f>
        <v>0</v>
      </c>
      <c r="V151" s="417">
        <f t="shared" si="43"/>
        <v>148</v>
      </c>
      <c r="W151" s="509"/>
      <c r="X151" s="321"/>
      <c r="Y151" s="321"/>
      <c r="Z151" s="508"/>
      <c r="AA151" s="356"/>
      <c r="AB151" s="306" t="str">
        <f t="shared" si="39"/>
        <v/>
      </c>
      <c r="AC151" s="637">
        <f t="shared" ca="1" si="38"/>
        <v>-2.1316282072803006E-13</v>
      </c>
      <c r="AD151" s="935">
        <f>IF(ISERROR(VLOOKUP(AD$2,X152:X$1003,1,FALSE)),IF(X151=AD$2,SUMIF(X$4:X151,AD$2,Z$4:Z151)+$E$9+SUM(AQ$4:AQ$1003)+SUMIF(COSTI!$X$1379:$X$1430,AD$2,COSTI!$Z$1379:$Z$1430),0),0)</f>
        <v>0</v>
      </c>
      <c r="AE151" s="26"/>
      <c r="AF151" s="856" t="e">
        <f>IF(ISERROR(VLOOKUP(AG$2,X152:X$1003,1,FALSE)),IF(X151=AG$2,SUMIF(X$4:X151,AG$2,Z$4:Z151)+VLOOKUP(AF$2,$B$1057:$F$1068,5,FALSE)+SUM(AR$4:AR$1003)+SUMIF(COSTI!$X$1379:$X$1430,AG$2,COSTI!$Z$1379:$Z$1430),0),0)</f>
        <v>#N/A</v>
      </c>
      <c r="AG151" s="859"/>
      <c r="AH151" s="27" t="str">
        <f t="shared" si="40"/>
        <v/>
      </c>
      <c r="AI151" s="152">
        <f ca="1">IF(W152&gt;0,0,IF(AH151=0,(Z151*-1)+BC151+SUM(BB$4:BB150),BC151+SUM(BB$4:BB150)))</f>
        <v>-2.1316282072803006E-13</v>
      </c>
      <c r="AJ151" s="931">
        <f>IF(AND(AL151&gt;=$U$1,AL151&lt;=$U$2),IF(AM151='ESTRATTO CONTO'!$E$2,1+COUNTIF(AJ$4:AJ150,"&gt;0")+U$1015,0),0)</f>
        <v>0</v>
      </c>
      <c r="AK151" s="203">
        <f>IF(AND(OR((AK150+1)&lt;AL$1015,(AK150+1)=AL$1015),MAX(AK$4:AK150)&lt;AL$1015),AK150+1,0)</f>
        <v>0</v>
      </c>
      <c r="AL151" s="309">
        <f>VLOOKUP($AK151,ENTI!$AF$4:AG$1003,2,FALSE)</f>
        <v>0</v>
      </c>
      <c r="AM151" s="224">
        <f>VLOOKUP($AK151,ENTI!$AF$4:AH$1003,3,FALSE)</f>
        <v>0</v>
      </c>
      <c r="AN151" s="224">
        <f>VLOOKUP($AK151,ENTI!$AF$4:AI$1003,4,FALSE)</f>
        <v>0</v>
      </c>
      <c r="AO151" s="781">
        <f>VLOOKUP($AK151,ENTI!$AF$4:AJ$1003,5,FALSE)</f>
        <v>0</v>
      </c>
      <c r="AP151" s="315">
        <f>VLOOKUP($AK151,ENTI!$AF$4:AK$1003,6,FALSE)</f>
        <v>0</v>
      </c>
      <c r="AQ151" s="208">
        <f t="shared" si="47"/>
        <v>0</v>
      </c>
      <c r="AR151" s="152" t="e">
        <f t="shared" si="48"/>
        <v>#N/A</v>
      </c>
      <c r="AS151" s="1"/>
      <c r="AT151" s="88" t="str">
        <f t="shared" si="41"/>
        <v/>
      </c>
      <c r="AU151" s="1"/>
      <c r="AV151" s="175">
        <f>IF(AW151&gt;0,COUNTIF(AV$4:AV150,"&gt;0")+1,0)</f>
        <v>0</v>
      </c>
      <c r="AW151" s="164">
        <f t="shared" si="42"/>
        <v>0</v>
      </c>
      <c r="AX151" s="310">
        <f>IF($AW151=0,0,VLOOKUP(VLOOKUP($X151,$B$34:$T$38,19,FALSE),ENTI!$A$9:$B$13,2,FALSE))</f>
        <v>0</v>
      </c>
      <c r="AY151" s="310">
        <f t="shared" si="44"/>
        <v>0</v>
      </c>
      <c r="AZ151" s="316">
        <f t="shared" si="45"/>
        <v>0</v>
      </c>
      <c r="BA151" s="1"/>
      <c r="BB151" s="152">
        <f t="shared" si="46"/>
        <v>0</v>
      </c>
      <c r="BC151" s="152">
        <f ca="1">SUM(Z$4:Z151)+SUM(BB$4:BB151)+COSTI!S$6-COSTI!L$1076</f>
        <v>-31.760000000000218</v>
      </c>
      <c r="BD151" s="1"/>
    </row>
    <row r="152" spans="1:56" ht="16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435">
        <f>IF(AND(W152&gt;=$U$1,W152&lt;=$U$2),IF(X152='ESTRATTO CONTO'!$E$2,1+COUNTIF(U$4:U151,"&gt;0"),0),0)</f>
        <v>0</v>
      </c>
      <c r="V152" s="417">
        <f t="shared" si="43"/>
        <v>149</v>
      </c>
      <c r="W152" s="509"/>
      <c r="X152" s="321"/>
      <c r="Y152" s="321"/>
      <c r="Z152" s="508"/>
      <c r="AA152" s="356"/>
      <c r="AB152" s="306" t="str">
        <f t="shared" si="39"/>
        <v/>
      </c>
      <c r="AC152" s="637">
        <f t="shared" ca="1" si="38"/>
        <v>-2.1316282072803006E-13</v>
      </c>
      <c r="AD152" s="935">
        <f>IF(ISERROR(VLOOKUP(AD$2,X153:X$1003,1,FALSE)),IF(X152=AD$2,SUMIF(X$4:X152,AD$2,Z$4:Z152)+$E$9+SUM(AQ$4:AQ$1003)+SUMIF(COSTI!$X$1379:$X$1430,AD$2,COSTI!$Z$1379:$Z$1430),0),0)</f>
        <v>0</v>
      </c>
      <c r="AE152" s="26"/>
      <c r="AF152" s="856" t="e">
        <f>IF(ISERROR(VLOOKUP(AG$2,X153:X$1003,1,FALSE)),IF(X152=AG$2,SUMIF(X$4:X152,AG$2,Z$4:Z152)+VLOOKUP(AF$2,$B$1057:$F$1068,5,FALSE)+SUM(AR$4:AR$1003)+SUMIF(COSTI!$X$1379:$X$1430,AG$2,COSTI!$Z$1379:$Z$1430),0),0)</f>
        <v>#N/A</v>
      </c>
      <c r="AG152" s="859"/>
      <c r="AH152" s="27" t="str">
        <f t="shared" si="40"/>
        <v/>
      </c>
      <c r="AI152" s="152">
        <f ca="1">IF(W153&gt;0,0,IF(AH152=0,(Z152*-1)+BC152+SUM(BB$4:BB151),BC152+SUM(BB$4:BB151)))</f>
        <v>-2.1316282072803006E-13</v>
      </c>
      <c r="AJ152" s="931">
        <f>IF(AND(AL152&gt;=$U$1,AL152&lt;=$U$2),IF(AM152='ESTRATTO CONTO'!$E$2,1+COUNTIF(AJ$4:AJ151,"&gt;0")+U$1015,0),0)</f>
        <v>0</v>
      </c>
      <c r="AK152" s="203">
        <f>IF(AND(OR((AK151+1)&lt;AL$1015,(AK151+1)=AL$1015),MAX(AK$4:AK151)&lt;AL$1015),AK151+1,0)</f>
        <v>0</v>
      </c>
      <c r="AL152" s="309">
        <f>VLOOKUP($AK152,ENTI!$AF$4:AG$1003,2,FALSE)</f>
        <v>0</v>
      </c>
      <c r="AM152" s="224">
        <f>VLOOKUP($AK152,ENTI!$AF$4:AH$1003,3,FALSE)</f>
        <v>0</v>
      </c>
      <c r="AN152" s="224">
        <f>VLOOKUP($AK152,ENTI!$AF$4:AI$1003,4,FALSE)</f>
        <v>0</v>
      </c>
      <c r="AO152" s="781">
        <f>VLOOKUP($AK152,ENTI!$AF$4:AJ$1003,5,FALSE)</f>
        <v>0</v>
      </c>
      <c r="AP152" s="315">
        <f>VLOOKUP($AK152,ENTI!$AF$4:AK$1003,6,FALSE)</f>
        <v>0</v>
      </c>
      <c r="AQ152" s="208">
        <f t="shared" si="47"/>
        <v>0</v>
      </c>
      <c r="AR152" s="152" t="e">
        <f t="shared" si="48"/>
        <v>#N/A</v>
      </c>
      <c r="AS152" s="1"/>
      <c r="AT152" s="88" t="str">
        <f t="shared" si="41"/>
        <v/>
      </c>
      <c r="AU152" s="1"/>
      <c r="AV152" s="175">
        <f>IF(AW152&gt;0,COUNTIF(AV$4:AV151,"&gt;0")+1,0)</f>
        <v>0</v>
      </c>
      <c r="AW152" s="164">
        <f t="shared" si="42"/>
        <v>0</v>
      </c>
      <c r="AX152" s="310">
        <f>IF($AW152=0,0,VLOOKUP(VLOOKUP($X152,$B$34:$T$38,19,FALSE),ENTI!$A$9:$B$13,2,FALSE))</f>
        <v>0</v>
      </c>
      <c r="AY152" s="310">
        <f t="shared" si="44"/>
        <v>0</v>
      </c>
      <c r="AZ152" s="316">
        <f t="shared" si="45"/>
        <v>0</v>
      </c>
      <c r="BA152" s="1"/>
      <c r="BB152" s="152">
        <f t="shared" si="46"/>
        <v>0</v>
      </c>
      <c r="BC152" s="152">
        <f ca="1">SUM(Z$4:Z152)+SUM(BB$4:BB152)+COSTI!S$6-COSTI!L$1076</f>
        <v>-31.760000000000218</v>
      </c>
      <c r="BD152" s="1"/>
    </row>
    <row r="153" spans="1:56" ht="16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435">
        <f>IF(AND(W153&gt;=$U$1,W153&lt;=$U$2),IF(X153='ESTRATTO CONTO'!$E$2,1+COUNTIF(U$4:U152,"&gt;0"),0),0)</f>
        <v>0</v>
      </c>
      <c r="V153" s="417">
        <f t="shared" si="43"/>
        <v>150</v>
      </c>
      <c r="W153" s="509"/>
      <c r="X153" s="321"/>
      <c r="Y153" s="321"/>
      <c r="Z153" s="508"/>
      <c r="AA153" s="356"/>
      <c r="AB153" s="306" t="str">
        <f t="shared" si="39"/>
        <v/>
      </c>
      <c r="AC153" s="637">
        <f t="shared" ca="1" si="38"/>
        <v>-2.1316282072803006E-13</v>
      </c>
      <c r="AD153" s="935">
        <f>IF(ISERROR(VLOOKUP(AD$2,X154:X$1003,1,FALSE)),IF(X153=AD$2,SUMIF(X$4:X153,AD$2,Z$4:Z153)+$E$9+SUM(AQ$4:AQ$1003)+SUMIF(COSTI!$X$1379:$X$1430,AD$2,COSTI!$Z$1379:$Z$1430),0),0)</f>
        <v>0</v>
      </c>
      <c r="AE153" s="26"/>
      <c r="AF153" s="856" t="e">
        <f>IF(ISERROR(VLOOKUP(AG$2,X154:X$1003,1,FALSE)),IF(X153=AG$2,SUMIF(X$4:X153,AG$2,Z$4:Z153)+VLOOKUP(AF$2,$B$1057:$F$1068,5,FALSE)+SUM(AR$4:AR$1003)+SUMIF(COSTI!$X$1379:$X$1430,AG$2,COSTI!$Z$1379:$Z$1430),0),0)</f>
        <v>#N/A</v>
      </c>
      <c r="AG153" s="859"/>
      <c r="AH153" s="27" t="str">
        <f t="shared" si="40"/>
        <v/>
      </c>
      <c r="AI153" s="152">
        <f ca="1">IF(W154&gt;0,0,IF(AH153=0,(Z153*-1)+BC153+SUM(BB$4:BB152),BC153+SUM(BB$4:BB152)))</f>
        <v>-2.1316282072803006E-13</v>
      </c>
      <c r="AJ153" s="931">
        <f>IF(AND(AL153&gt;=$U$1,AL153&lt;=$U$2),IF(AM153='ESTRATTO CONTO'!$E$2,1+COUNTIF(AJ$4:AJ152,"&gt;0")+U$1015,0),0)</f>
        <v>0</v>
      </c>
      <c r="AK153" s="203">
        <f>IF(AND(OR((AK152+1)&lt;AL$1015,(AK152+1)=AL$1015),MAX(AK$4:AK152)&lt;AL$1015),AK152+1,0)</f>
        <v>0</v>
      </c>
      <c r="AL153" s="309">
        <f>VLOOKUP($AK153,ENTI!$AF$4:AG$1003,2,FALSE)</f>
        <v>0</v>
      </c>
      <c r="AM153" s="224">
        <f>VLOOKUP($AK153,ENTI!$AF$4:AH$1003,3,FALSE)</f>
        <v>0</v>
      </c>
      <c r="AN153" s="224">
        <f>VLOOKUP($AK153,ENTI!$AF$4:AI$1003,4,FALSE)</f>
        <v>0</v>
      </c>
      <c r="AO153" s="781">
        <f>VLOOKUP($AK153,ENTI!$AF$4:AJ$1003,5,FALSE)</f>
        <v>0</v>
      </c>
      <c r="AP153" s="315">
        <f>VLOOKUP($AK153,ENTI!$AF$4:AK$1003,6,FALSE)</f>
        <v>0</v>
      </c>
      <c r="AQ153" s="208">
        <f t="shared" si="47"/>
        <v>0</v>
      </c>
      <c r="AR153" s="152" t="e">
        <f t="shared" si="48"/>
        <v>#N/A</v>
      </c>
      <c r="AS153" s="1"/>
      <c r="AT153" s="88" t="str">
        <f t="shared" si="41"/>
        <v/>
      </c>
      <c r="AU153" s="1"/>
      <c r="AV153" s="175">
        <f>IF(AW153&gt;0,COUNTIF(AV$4:AV152,"&gt;0")+1,0)</f>
        <v>0</v>
      </c>
      <c r="AW153" s="164">
        <f t="shared" si="42"/>
        <v>0</v>
      </c>
      <c r="AX153" s="310">
        <f>IF($AW153=0,0,VLOOKUP(VLOOKUP($X153,$B$34:$T$38,19,FALSE),ENTI!$A$9:$B$13,2,FALSE))</f>
        <v>0</v>
      </c>
      <c r="AY153" s="310">
        <f t="shared" si="44"/>
        <v>0</v>
      </c>
      <c r="AZ153" s="316">
        <f t="shared" si="45"/>
        <v>0</v>
      </c>
      <c r="BA153" s="1"/>
      <c r="BB153" s="152">
        <f t="shared" si="46"/>
        <v>0</v>
      </c>
      <c r="BC153" s="152">
        <f ca="1">SUM(Z$4:Z153)+SUM(BB$4:BB153)+COSTI!S$6-COSTI!L$1076</f>
        <v>-31.760000000000218</v>
      </c>
      <c r="BD153" s="1"/>
    </row>
    <row r="154" spans="1:56" ht="16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435">
        <f>IF(AND(W154&gt;=$U$1,W154&lt;=$U$2),IF(X154='ESTRATTO CONTO'!$E$2,1+COUNTIF(U$4:U153,"&gt;0"),0),0)</f>
        <v>0</v>
      </c>
      <c r="V154" s="417">
        <f t="shared" si="43"/>
        <v>151</v>
      </c>
      <c r="W154" s="509"/>
      <c r="X154" s="321"/>
      <c r="Y154" s="321"/>
      <c r="Z154" s="508"/>
      <c r="AA154" s="356"/>
      <c r="AB154" s="306" t="str">
        <f t="shared" si="39"/>
        <v/>
      </c>
      <c r="AC154" s="637">
        <f t="shared" ca="1" si="38"/>
        <v>-2.1316282072803006E-13</v>
      </c>
      <c r="AD154" s="935">
        <f>IF(ISERROR(VLOOKUP(AD$2,X155:X$1003,1,FALSE)),IF(X154=AD$2,SUMIF(X$4:X154,AD$2,Z$4:Z154)+$E$9+SUM(AQ$4:AQ$1003)+SUMIF(COSTI!$X$1379:$X$1430,AD$2,COSTI!$Z$1379:$Z$1430),0),0)</f>
        <v>0</v>
      </c>
      <c r="AE154" s="26"/>
      <c r="AF154" s="856" t="e">
        <f>IF(ISERROR(VLOOKUP(AG$2,X155:X$1003,1,FALSE)),IF(X154=AG$2,SUMIF(X$4:X154,AG$2,Z$4:Z154)+VLOOKUP(AF$2,$B$1057:$F$1068,5,FALSE)+SUM(AR$4:AR$1003)+SUMIF(COSTI!$X$1379:$X$1430,AG$2,COSTI!$Z$1379:$Z$1430),0),0)</f>
        <v>#N/A</v>
      </c>
      <c r="AG154" s="859"/>
      <c r="AH154" s="27" t="str">
        <f t="shared" si="40"/>
        <v/>
      </c>
      <c r="AI154" s="152">
        <f ca="1">IF(W155&gt;0,0,IF(AH154=0,(Z154*-1)+BC154+SUM(BB$4:BB153),BC154+SUM(BB$4:BB153)))</f>
        <v>-2.1316282072803006E-13</v>
      </c>
      <c r="AJ154" s="931">
        <f>IF(AND(AL154&gt;=$U$1,AL154&lt;=$U$2),IF(AM154='ESTRATTO CONTO'!$E$2,1+COUNTIF(AJ$4:AJ153,"&gt;0")+U$1015,0),0)</f>
        <v>0</v>
      </c>
      <c r="AK154" s="203">
        <f>IF(AND(OR((AK153+1)&lt;AL$1015,(AK153+1)=AL$1015),MAX(AK$4:AK153)&lt;AL$1015),AK153+1,0)</f>
        <v>0</v>
      </c>
      <c r="AL154" s="309">
        <f>VLOOKUP($AK154,ENTI!$AF$4:AG$1003,2,FALSE)</f>
        <v>0</v>
      </c>
      <c r="AM154" s="224">
        <f>VLOOKUP($AK154,ENTI!$AF$4:AH$1003,3,FALSE)</f>
        <v>0</v>
      </c>
      <c r="AN154" s="224">
        <f>VLOOKUP($AK154,ENTI!$AF$4:AI$1003,4,FALSE)</f>
        <v>0</v>
      </c>
      <c r="AO154" s="781">
        <f>VLOOKUP($AK154,ENTI!$AF$4:AJ$1003,5,FALSE)</f>
        <v>0</v>
      </c>
      <c r="AP154" s="315">
        <f>VLOOKUP($AK154,ENTI!$AF$4:AK$1003,6,FALSE)</f>
        <v>0</v>
      </c>
      <c r="AQ154" s="208">
        <f t="shared" si="47"/>
        <v>0</v>
      </c>
      <c r="AR154" s="152" t="e">
        <f t="shared" si="48"/>
        <v>#N/A</v>
      </c>
      <c r="AS154" s="1"/>
      <c r="AT154" s="88" t="str">
        <f t="shared" si="41"/>
        <v/>
      </c>
      <c r="AU154" s="1"/>
      <c r="AV154" s="175">
        <f>IF(AW154&gt;0,COUNTIF(AV$4:AV153,"&gt;0")+1,0)</f>
        <v>0</v>
      </c>
      <c r="AW154" s="164">
        <f t="shared" si="42"/>
        <v>0</v>
      </c>
      <c r="AX154" s="310">
        <f>IF($AW154=0,0,VLOOKUP(VLOOKUP($X154,$B$34:$T$38,19,FALSE),ENTI!$A$9:$B$13,2,FALSE))</f>
        <v>0</v>
      </c>
      <c r="AY154" s="310">
        <f t="shared" si="44"/>
        <v>0</v>
      </c>
      <c r="AZ154" s="316">
        <f t="shared" si="45"/>
        <v>0</v>
      </c>
      <c r="BA154" s="1"/>
      <c r="BB154" s="152">
        <f t="shared" si="46"/>
        <v>0</v>
      </c>
      <c r="BC154" s="152">
        <f ca="1">SUM(Z$4:Z154)+SUM(BB$4:BB154)+COSTI!S$6-COSTI!L$1076</f>
        <v>-31.760000000000218</v>
      </c>
      <c r="BD154" s="1"/>
    </row>
    <row r="155" spans="1:56" ht="16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435">
        <f>IF(AND(W155&gt;=$U$1,W155&lt;=$U$2),IF(X155='ESTRATTO CONTO'!$E$2,1+COUNTIF(U$4:U154,"&gt;0"),0),0)</f>
        <v>0</v>
      </c>
      <c r="V155" s="417">
        <f t="shared" si="43"/>
        <v>152</v>
      </c>
      <c r="W155" s="509"/>
      <c r="X155" s="321"/>
      <c r="Y155" s="321"/>
      <c r="Z155" s="508"/>
      <c r="AA155" s="356"/>
      <c r="AB155" s="306" t="str">
        <f t="shared" si="39"/>
        <v/>
      </c>
      <c r="AC155" s="637">
        <f t="shared" ca="1" si="38"/>
        <v>-2.1316282072803006E-13</v>
      </c>
      <c r="AD155" s="935">
        <f>IF(ISERROR(VLOOKUP(AD$2,X156:X$1003,1,FALSE)),IF(X155=AD$2,SUMIF(X$4:X155,AD$2,Z$4:Z155)+$E$9+SUM(AQ$4:AQ$1003)+SUMIF(COSTI!$X$1379:$X$1430,AD$2,COSTI!$Z$1379:$Z$1430),0),0)</f>
        <v>0</v>
      </c>
      <c r="AE155" s="26"/>
      <c r="AF155" s="856" t="e">
        <f>IF(ISERROR(VLOOKUP(AG$2,X156:X$1003,1,FALSE)),IF(X155=AG$2,SUMIF(X$4:X155,AG$2,Z$4:Z155)+VLOOKUP(AF$2,$B$1057:$F$1068,5,FALSE)+SUM(AR$4:AR$1003)+SUMIF(COSTI!$X$1379:$X$1430,AG$2,COSTI!$Z$1379:$Z$1430),0),0)</f>
        <v>#N/A</v>
      </c>
      <c r="AG155" s="859"/>
      <c r="AH155" s="27" t="str">
        <f t="shared" si="40"/>
        <v/>
      </c>
      <c r="AI155" s="152">
        <f ca="1">IF(W156&gt;0,0,IF(AH155=0,(Z155*-1)+BC155+SUM(BB$4:BB154),BC155+SUM(BB$4:BB154)))</f>
        <v>-2.1316282072803006E-13</v>
      </c>
      <c r="AJ155" s="931">
        <f>IF(AND(AL155&gt;=$U$1,AL155&lt;=$U$2),IF(AM155='ESTRATTO CONTO'!$E$2,1+COUNTIF(AJ$4:AJ154,"&gt;0")+U$1015,0),0)</f>
        <v>0</v>
      </c>
      <c r="AK155" s="203">
        <f>IF(AND(OR((AK154+1)&lt;AL$1015,(AK154+1)=AL$1015),MAX(AK$4:AK154)&lt;AL$1015),AK154+1,0)</f>
        <v>0</v>
      </c>
      <c r="AL155" s="309">
        <f>VLOOKUP($AK155,ENTI!$AF$4:AG$1003,2,FALSE)</f>
        <v>0</v>
      </c>
      <c r="AM155" s="224">
        <f>VLOOKUP($AK155,ENTI!$AF$4:AH$1003,3,FALSE)</f>
        <v>0</v>
      </c>
      <c r="AN155" s="224">
        <f>VLOOKUP($AK155,ENTI!$AF$4:AI$1003,4,FALSE)</f>
        <v>0</v>
      </c>
      <c r="AO155" s="781">
        <f>VLOOKUP($AK155,ENTI!$AF$4:AJ$1003,5,FALSE)</f>
        <v>0</v>
      </c>
      <c r="AP155" s="315">
        <f>VLOOKUP($AK155,ENTI!$AF$4:AK$1003,6,FALSE)</f>
        <v>0</v>
      </c>
      <c r="AQ155" s="208">
        <f t="shared" si="47"/>
        <v>0</v>
      </c>
      <c r="AR155" s="152" t="e">
        <f t="shared" si="48"/>
        <v>#N/A</v>
      </c>
      <c r="AS155" s="1"/>
      <c r="AT155" s="88" t="str">
        <f t="shared" si="41"/>
        <v/>
      </c>
      <c r="AU155" s="1"/>
      <c r="AV155" s="175">
        <f>IF(AW155&gt;0,COUNTIF(AV$4:AV154,"&gt;0")+1,0)</f>
        <v>0</v>
      </c>
      <c r="AW155" s="164">
        <f t="shared" si="42"/>
        <v>0</v>
      </c>
      <c r="AX155" s="310">
        <f>IF($AW155=0,0,VLOOKUP(VLOOKUP($X155,$B$34:$T$38,19,FALSE),ENTI!$A$9:$B$13,2,FALSE))</f>
        <v>0</v>
      </c>
      <c r="AY155" s="310">
        <f t="shared" si="44"/>
        <v>0</v>
      </c>
      <c r="AZ155" s="316">
        <f t="shared" si="45"/>
        <v>0</v>
      </c>
      <c r="BA155" s="1"/>
      <c r="BB155" s="152">
        <f t="shared" si="46"/>
        <v>0</v>
      </c>
      <c r="BC155" s="152">
        <f ca="1">SUM(Z$4:Z155)+SUM(BB$4:BB155)+COSTI!S$6-COSTI!L$1076</f>
        <v>-31.760000000000218</v>
      </c>
      <c r="BD155" s="1"/>
    </row>
    <row r="156" spans="1:56" ht="16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435">
        <f>IF(AND(W156&gt;=$U$1,W156&lt;=$U$2),IF(X156='ESTRATTO CONTO'!$E$2,1+COUNTIF(U$4:U155,"&gt;0"),0),0)</f>
        <v>0</v>
      </c>
      <c r="V156" s="417">
        <f t="shared" si="43"/>
        <v>153</v>
      </c>
      <c r="W156" s="509"/>
      <c r="X156" s="321"/>
      <c r="Y156" s="321"/>
      <c r="Z156" s="508"/>
      <c r="AA156" s="356"/>
      <c r="AB156" s="306" t="str">
        <f t="shared" si="39"/>
        <v/>
      </c>
      <c r="AC156" s="637">
        <f t="shared" ca="1" si="38"/>
        <v>-2.1316282072803006E-13</v>
      </c>
      <c r="AD156" s="935">
        <f>IF(ISERROR(VLOOKUP(AD$2,X157:X$1003,1,FALSE)),IF(X156=AD$2,SUMIF(X$4:X156,AD$2,Z$4:Z156)+$E$9+SUM(AQ$4:AQ$1003)+SUMIF(COSTI!$X$1379:$X$1430,AD$2,COSTI!$Z$1379:$Z$1430),0),0)</f>
        <v>0</v>
      </c>
      <c r="AE156" s="26"/>
      <c r="AF156" s="856" t="e">
        <f>IF(ISERROR(VLOOKUP(AG$2,X157:X$1003,1,FALSE)),IF(X156=AG$2,SUMIF(X$4:X156,AG$2,Z$4:Z156)+VLOOKUP(AF$2,$B$1057:$F$1068,5,FALSE)+SUM(AR$4:AR$1003)+SUMIF(COSTI!$X$1379:$X$1430,AG$2,COSTI!$Z$1379:$Z$1430),0),0)</f>
        <v>#N/A</v>
      </c>
      <c r="AG156" s="859"/>
      <c r="AH156" s="27" t="str">
        <f t="shared" si="40"/>
        <v/>
      </c>
      <c r="AI156" s="152">
        <f ca="1">IF(W157&gt;0,0,IF(AH156=0,(Z156*-1)+BC156+SUM(BB$4:BB155),BC156+SUM(BB$4:BB155)))</f>
        <v>-2.1316282072803006E-13</v>
      </c>
      <c r="AJ156" s="931">
        <f>IF(AND(AL156&gt;=$U$1,AL156&lt;=$U$2),IF(AM156='ESTRATTO CONTO'!$E$2,1+COUNTIF(AJ$4:AJ155,"&gt;0")+U$1015,0),0)</f>
        <v>0</v>
      </c>
      <c r="AK156" s="203">
        <f>IF(AND(OR((AK155+1)&lt;AL$1015,(AK155+1)=AL$1015),MAX(AK$4:AK155)&lt;AL$1015),AK155+1,0)</f>
        <v>0</v>
      </c>
      <c r="AL156" s="309">
        <f>VLOOKUP($AK156,ENTI!$AF$4:AG$1003,2,FALSE)</f>
        <v>0</v>
      </c>
      <c r="AM156" s="224">
        <f>VLOOKUP($AK156,ENTI!$AF$4:AH$1003,3,FALSE)</f>
        <v>0</v>
      </c>
      <c r="AN156" s="224">
        <f>VLOOKUP($AK156,ENTI!$AF$4:AI$1003,4,FALSE)</f>
        <v>0</v>
      </c>
      <c r="AO156" s="781">
        <f>VLOOKUP($AK156,ENTI!$AF$4:AJ$1003,5,FALSE)</f>
        <v>0</v>
      </c>
      <c r="AP156" s="315">
        <f>VLOOKUP($AK156,ENTI!$AF$4:AK$1003,6,FALSE)</f>
        <v>0</v>
      </c>
      <c r="AQ156" s="208">
        <f t="shared" si="47"/>
        <v>0</v>
      </c>
      <c r="AR156" s="152" t="e">
        <f t="shared" si="48"/>
        <v>#N/A</v>
      </c>
      <c r="AS156" s="1"/>
      <c r="AT156" s="88" t="str">
        <f t="shared" si="41"/>
        <v/>
      </c>
      <c r="AU156" s="1"/>
      <c r="AV156" s="175">
        <f>IF(AW156&gt;0,COUNTIF(AV$4:AV155,"&gt;0")+1,0)</f>
        <v>0</v>
      </c>
      <c r="AW156" s="164">
        <f t="shared" si="42"/>
        <v>0</v>
      </c>
      <c r="AX156" s="310">
        <f>IF($AW156=0,0,VLOOKUP(VLOOKUP($X156,$B$34:$T$38,19,FALSE),ENTI!$A$9:$B$13,2,FALSE))</f>
        <v>0</v>
      </c>
      <c r="AY156" s="310">
        <f t="shared" si="44"/>
        <v>0</v>
      </c>
      <c r="AZ156" s="316">
        <f t="shared" si="45"/>
        <v>0</v>
      </c>
      <c r="BA156" s="1"/>
      <c r="BB156" s="152">
        <f t="shared" si="46"/>
        <v>0</v>
      </c>
      <c r="BC156" s="152">
        <f ca="1">SUM(Z$4:Z156)+SUM(BB$4:BB156)+COSTI!S$6-COSTI!L$1076</f>
        <v>-31.760000000000218</v>
      </c>
      <c r="BD156" s="1"/>
    </row>
    <row r="157" spans="1:56" ht="16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435">
        <f>IF(AND(W157&gt;=$U$1,W157&lt;=$U$2),IF(X157='ESTRATTO CONTO'!$E$2,1+COUNTIF(U$4:U156,"&gt;0"),0),0)</f>
        <v>0</v>
      </c>
      <c r="V157" s="417">
        <f t="shared" si="43"/>
        <v>154</v>
      </c>
      <c r="W157" s="509"/>
      <c r="X157" s="321"/>
      <c r="Y157" s="321"/>
      <c r="Z157" s="508"/>
      <c r="AA157" s="356"/>
      <c r="AB157" s="306" t="str">
        <f t="shared" si="39"/>
        <v/>
      </c>
      <c r="AC157" s="637">
        <f t="shared" ca="1" si="38"/>
        <v>-2.1316282072803006E-13</v>
      </c>
      <c r="AD157" s="935">
        <f>IF(ISERROR(VLOOKUP(AD$2,X158:X$1003,1,FALSE)),IF(X157=AD$2,SUMIF(X$4:X157,AD$2,Z$4:Z157)+$E$9+SUM(AQ$4:AQ$1003)+SUMIF(COSTI!$X$1379:$X$1430,AD$2,COSTI!$Z$1379:$Z$1430),0),0)</f>
        <v>0</v>
      </c>
      <c r="AE157" s="26"/>
      <c r="AF157" s="856" t="e">
        <f>IF(ISERROR(VLOOKUP(AG$2,X158:X$1003,1,FALSE)),IF(X157=AG$2,SUMIF(X$4:X157,AG$2,Z$4:Z157)+VLOOKUP(AF$2,$B$1057:$F$1068,5,FALSE)+SUM(AR$4:AR$1003)+SUMIF(COSTI!$X$1379:$X$1430,AG$2,COSTI!$Z$1379:$Z$1430),0),0)</f>
        <v>#N/A</v>
      </c>
      <c r="AG157" s="859"/>
      <c r="AH157" s="27" t="str">
        <f t="shared" si="40"/>
        <v/>
      </c>
      <c r="AI157" s="152">
        <f ca="1">IF(W158&gt;0,0,IF(AH157=0,(Z157*-1)+BC157+SUM(BB$4:BB156),BC157+SUM(BB$4:BB156)))</f>
        <v>-2.1316282072803006E-13</v>
      </c>
      <c r="AJ157" s="931">
        <f>IF(AND(AL157&gt;=$U$1,AL157&lt;=$U$2),IF(AM157='ESTRATTO CONTO'!$E$2,1+COUNTIF(AJ$4:AJ156,"&gt;0")+U$1015,0),0)</f>
        <v>0</v>
      </c>
      <c r="AK157" s="203">
        <f>IF(AND(OR((AK156+1)&lt;AL$1015,(AK156+1)=AL$1015),MAX(AK$4:AK156)&lt;AL$1015),AK156+1,0)</f>
        <v>0</v>
      </c>
      <c r="AL157" s="309">
        <f>VLOOKUP($AK157,ENTI!$AF$4:AG$1003,2,FALSE)</f>
        <v>0</v>
      </c>
      <c r="AM157" s="224">
        <f>VLOOKUP($AK157,ENTI!$AF$4:AH$1003,3,FALSE)</f>
        <v>0</v>
      </c>
      <c r="AN157" s="224">
        <f>VLOOKUP($AK157,ENTI!$AF$4:AI$1003,4,FALSE)</f>
        <v>0</v>
      </c>
      <c r="AO157" s="781">
        <f>VLOOKUP($AK157,ENTI!$AF$4:AJ$1003,5,FALSE)</f>
        <v>0</v>
      </c>
      <c r="AP157" s="315">
        <f>VLOOKUP($AK157,ENTI!$AF$4:AK$1003,6,FALSE)</f>
        <v>0</v>
      </c>
      <c r="AQ157" s="208">
        <f t="shared" si="47"/>
        <v>0</v>
      </c>
      <c r="AR157" s="152" t="e">
        <f t="shared" si="48"/>
        <v>#N/A</v>
      </c>
      <c r="AS157" s="1"/>
      <c r="AT157" s="88" t="str">
        <f t="shared" si="41"/>
        <v/>
      </c>
      <c r="AU157" s="1"/>
      <c r="AV157" s="175">
        <f>IF(AW157&gt;0,COUNTIF(AV$4:AV156,"&gt;0")+1,0)</f>
        <v>0</v>
      </c>
      <c r="AW157" s="164">
        <f t="shared" si="42"/>
        <v>0</v>
      </c>
      <c r="AX157" s="310">
        <f>IF($AW157=0,0,VLOOKUP(VLOOKUP($X157,$B$34:$T$38,19,FALSE),ENTI!$A$9:$B$13,2,FALSE))</f>
        <v>0</v>
      </c>
      <c r="AY157" s="310">
        <f t="shared" si="44"/>
        <v>0</v>
      </c>
      <c r="AZ157" s="316">
        <f t="shared" si="45"/>
        <v>0</v>
      </c>
      <c r="BA157" s="1"/>
      <c r="BB157" s="152">
        <f t="shared" si="46"/>
        <v>0</v>
      </c>
      <c r="BC157" s="152">
        <f ca="1">SUM(Z$4:Z157)+SUM(BB$4:BB157)+COSTI!S$6-COSTI!L$1076</f>
        <v>-31.760000000000218</v>
      </c>
      <c r="BD157" s="1"/>
    </row>
    <row r="158" spans="1:56" ht="16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435">
        <f>IF(AND(W158&gt;=$U$1,W158&lt;=$U$2),IF(X158='ESTRATTO CONTO'!$E$2,1+COUNTIF(U$4:U157,"&gt;0"),0),0)</f>
        <v>0</v>
      </c>
      <c r="V158" s="417">
        <f t="shared" si="43"/>
        <v>155</v>
      </c>
      <c r="W158" s="509"/>
      <c r="X158" s="321"/>
      <c r="Y158" s="321"/>
      <c r="Z158" s="508"/>
      <c r="AA158" s="356"/>
      <c r="AB158" s="306" t="str">
        <f t="shared" si="39"/>
        <v/>
      </c>
      <c r="AC158" s="637">
        <f t="shared" ca="1" si="38"/>
        <v>-2.1316282072803006E-13</v>
      </c>
      <c r="AD158" s="935">
        <f>IF(ISERROR(VLOOKUP(AD$2,X159:X$1003,1,FALSE)),IF(X158=AD$2,SUMIF(X$4:X158,AD$2,Z$4:Z158)+$E$9+SUM(AQ$4:AQ$1003)+SUMIF(COSTI!$X$1379:$X$1430,AD$2,COSTI!$Z$1379:$Z$1430),0),0)</f>
        <v>0</v>
      </c>
      <c r="AE158" s="26"/>
      <c r="AF158" s="856" t="e">
        <f>IF(ISERROR(VLOOKUP(AG$2,X159:X$1003,1,FALSE)),IF(X158=AG$2,SUMIF(X$4:X158,AG$2,Z$4:Z158)+VLOOKUP(AF$2,$B$1057:$F$1068,5,FALSE)+SUM(AR$4:AR$1003)+SUMIF(COSTI!$X$1379:$X$1430,AG$2,COSTI!$Z$1379:$Z$1430),0),0)</f>
        <v>#N/A</v>
      </c>
      <c r="AG158" s="859"/>
      <c r="AH158" s="27" t="str">
        <f t="shared" si="40"/>
        <v/>
      </c>
      <c r="AI158" s="152">
        <f ca="1">IF(W159&gt;0,0,IF(AH158=0,(Z158*-1)+BC158+SUM(BB$4:BB157),BC158+SUM(BB$4:BB157)))</f>
        <v>-2.1316282072803006E-13</v>
      </c>
      <c r="AJ158" s="931">
        <f>IF(AND(AL158&gt;=$U$1,AL158&lt;=$U$2),IF(AM158='ESTRATTO CONTO'!$E$2,1+COUNTIF(AJ$4:AJ157,"&gt;0")+U$1015,0),0)</f>
        <v>0</v>
      </c>
      <c r="AK158" s="203">
        <f>IF(AND(OR((AK157+1)&lt;AL$1015,(AK157+1)=AL$1015),MAX(AK$4:AK157)&lt;AL$1015),AK157+1,0)</f>
        <v>0</v>
      </c>
      <c r="AL158" s="309">
        <f>VLOOKUP($AK158,ENTI!$AF$4:AG$1003,2,FALSE)</f>
        <v>0</v>
      </c>
      <c r="AM158" s="224">
        <f>VLOOKUP($AK158,ENTI!$AF$4:AH$1003,3,FALSE)</f>
        <v>0</v>
      </c>
      <c r="AN158" s="224">
        <f>VLOOKUP($AK158,ENTI!$AF$4:AI$1003,4,FALSE)</f>
        <v>0</v>
      </c>
      <c r="AO158" s="781">
        <f>VLOOKUP($AK158,ENTI!$AF$4:AJ$1003,5,FALSE)</f>
        <v>0</v>
      </c>
      <c r="AP158" s="315">
        <f>VLOOKUP($AK158,ENTI!$AF$4:AK$1003,6,FALSE)</f>
        <v>0</v>
      </c>
      <c r="AQ158" s="208">
        <f t="shared" si="47"/>
        <v>0</v>
      </c>
      <c r="AR158" s="152" t="e">
        <f t="shared" si="48"/>
        <v>#N/A</v>
      </c>
      <c r="AS158" s="1"/>
      <c r="AT158" s="88" t="str">
        <f t="shared" si="41"/>
        <v/>
      </c>
      <c r="AU158" s="1"/>
      <c r="AV158" s="175">
        <f>IF(AW158&gt;0,COUNTIF(AV$4:AV157,"&gt;0")+1,0)</f>
        <v>0</v>
      </c>
      <c r="AW158" s="164">
        <f t="shared" si="42"/>
        <v>0</v>
      </c>
      <c r="AX158" s="310">
        <f>IF($AW158=0,0,VLOOKUP(VLOOKUP($X158,$B$34:$T$38,19,FALSE),ENTI!$A$9:$B$13,2,FALSE))</f>
        <v>0</v>
      </c>
      <c r="AY158" s="310">
        <f t="shared" si="44"/>
        <v>0</v>
      </c>
      <c r="AZ158" s="316">
        <f t="shared" si="45"/>
        <v>0</v>
      </c>
      <c r="BA158" s="1"/>
      <c r="BB158" s="152">
        <f t="shared" si="46"/>
        <v>0</v>
      </c>
      <c r="BC158" s="152">
        <f ca="1">SUM(Z$4:Z158)+SUM(BB$4:BB158)+COSTI!S$6-COSTI!L$1076</f>
        <v>-31.760000000000218</v>
      </c>
      <c r="BD158" s="1"/>
    </row>
    <row r="159" spans="1:56" ht="16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435">
        <f>IF(AND(W159&gt;=$U$1,W159&lt;=$U$2),IF(X159='ESTRATTO CONTO'!$E$2,1+COUNTIF(U$4:U158,"&gt;0"),0),0)</f>
        <v>0</v>
      </c>
      <c r="V159" s="417">
        <f t="shared" si="43"/>
        <v>156</v>
      </c>
      <c r="W159" s="509"/>
      <c r="X159" s="321"/>
      <c r="Y159" s="321"/>
      <c r="Z159" s="508"/>
      <c r="AA159" s="356"/>
      <c r="AB159" s="306" t="str">
        <f t="shared" si="39"/>
        <v/>
      </c>
      <c r="AC159" s="637">
        <f t="shared" ca="1" si="38"/>
        <v>-2.1316282072803006E-13</v>
      </c>
      <c r="AD159" s="935">
        <f>IF(ISERROR(VLOOKUP(AD$2,X160:X$1003,1,FALSE)),IF(X159=AD$2,SUMIF(X$4:X159,AD$2,Z$4:Z159)+$E$9+SUM(AQ$4:AQ$1003)+SUMIF(COSTI!$X$1379:$X$1430,AD$2,COSTI!$Z$1379:$Z$1430),0),0)</f>
        <v>0</v>
      </c>
      <c r="AE159" s="26"/>
      <c r="AF159" s="856" t="e">
        <f>IF(ISERROR(VLOOKUP(AG$2,X160:X$1003,1,FALSE)),IF(X159=AG$2,SUMIF(X$4:X159,AG$2,Z$4:Z159)+VLOOKUP(AF$2,$B$1057:$F$1068,5,FALSE)+SUM(AR$4:AR$1003)+SUMIF(COSTI!$X$1379:$X$1430,AG$2,COSTI!$Z$1379:$Z$1430),0),0)</f>
        <v>#N/A</v>
      </c>
      <c r="AG159" s="859"/>
      <c r="AH159" s="27" t="str">
        <f t="shared" si="40"/>
        <v/>
      </c>
      <c r="AI159" s="152">
        <f ca="1">IF(W160&gt;0,0,IF(AH159=0,(Z159*-1)+BC159+SUM(BB$4:BB158),BC159+SUM(BB$4:BB158)))</f>
        <v>-2.1316282072803006E-13</v>
      </c>
      <c r="AJ159" s="931">
        <f>IF(AND(AL159&gt;=$U$1,AL159&lt;=$U$2),IF(AM159='ESTRATTO CONTO'!$E$2,1+COUNTIF(AJ$4:AJ158,"&gt;0")+U$1015,0),0)</f>
        <v>0</v>
      </c>
      <c r="AK159" s="203">
        <f>IF(AND(OR((AK158+1)&lt;AL$1015,(AK158+1)=AL$1015),MAX(AK$4:AK158)&lt;AL$1015),AK158+1,0)</f>
        <v>0</v>
      </c>
      <c r="AL159" s="309">
        <f>VLOOKUP($AK159,ENTI!$AF$4:AG$1003,2,FALSE)</f>
        <v>0</v>
      </c>
      <c r="AM159" s="224">
        <f>VLOOKUP($AK159,ENTI!$AF$4:AH$1003,3,FALSE)</f>
        <v>0</v>
      </c>
      <c r="AN159" s="224">
        <f>VLOOKUP($AK159,ENTI!$AF$4:AI$1003,4,FALSE)</f>
        <v>0</v>
      </c>
      <c r="AO159" s="781">
        <f>VLOOKUP($AK159,ENTI!$AF$4:AJ$1003,5,FALSE)</f>
        <v>0</v>
      </c>
      <c r="AP159" s="315">
        <f>VLOOKUP($AK159,ENTI!$AF$4:AK$1003,6,FALSE)</f>
        <v>0</v>
      </c>
      <c r="AQ159" s="208">
        <f t="shared" si="47"/>
        <v>0</v>
      </c>
      <c r="AR159" s="152" t="e">
        <f t="shared" si="48"/>
        <v>#N/A</v>
      </c>
      <c r="AS159" s="1"/>
      <c r="AT159" s="88" t="str">
        <f t="shared" si="41"/>
        <v/>
      </c>
      <c r="AU159" s="1"/>
      <c r="AV159" s="175">
        <f>IF(AW159&gt;0,COUNTIF(AV$4:AV158,"&gt;0")+1,0)</f>
        <v>0</v>
      </c>
      <c r="AW159" s="164">
        <f t="shared" si="42"/>
        <v>0</v>
      </c>
      <c r="AX159" s="310">
        <f>IF($AW159=0,0,VLOOKUP(VLOOKUP($X159,$B$34:$T$38,19,FALSE),ENTI!$A$9:$B$13,2,FALSE))</f>
        <v>0</v>
      </c>
      <c r="AY159" s="310">
        <f t="shared" si="44"/>
        <v>0</v>
      </c>
      <c r="AZ159" s="316">
        <f t="shared" si="45"/>
        <v>0</v>
      </c>
      <c r="BA159" s="1"/>
      <c r="BB159" s="152">
        <f t="shared" si="46"/>
        <v>0</v>
      </c>
      <c r="BC159" s="152">
        <f ca="1">SUM(Z$4:Z159)+SUM(BB$4:BB159)+COSTI!S$6-COSTI!L$1076</f>
        <v>-31.760000000000218</v>
      </c>
      <c r="BD159" s="1"/>
    </row>
    <row r="160" spans="1:56" ht="16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435">
        <f>IF(AND(W160&gt;=$U$1,W160&lt;=$U$2),IF(X160='ESTRATTO CONTO'!$E$2,1+COUNTIF(U$4:U159,"&gt;0"),0),0)</f>
        <v>0</v>
      </c>
      <c r="V160" s="417">
        <f t="shared" si="43"/>
        <v>157</v>
      </c>
      <c r="W160" s="509"/>
      <c r="X160" s="321"/>
      <c r="Y160" s="321"/>
      <c r="Z160" s="508"/>
      <c r="AA160" s="356"/>
      <c r="AB160" s="306" t="str">
        <f t="shared" si="39"/>
        <v/>
      </c>
      <c r="AC160" s="637">
        <f t="shared" ca="1" si="38"/>
        <v>-2.1316282072803006E-13</v>
      </c>
      <c r="AD160" s="935">
        <f>IF(ISERROR(VLOOKUP(AD$2,X161:X$1003,1,FALSE)),IF(X160=AD$2,SUMIF(X$4:X160,AD$2,Z$4:Z160)+$E$9+SUM(AQ$4:AQ$1003)+SUMIF(COSTI!$X$1379:$X$1430,AD$2,COSTI!$Z$1379:$Z$1430),0),0)</f>
        <v>0</v>
      </c>
      <c r="AE160" s="26"/>
      <c r="AF160" s="856" t="e">
        <f>IF(ISERROR(VLOOKUP(AG$2,X161:X$1003,1,FALSE)),IF(X160=AG$2,SUMIF(X$4:X160,AG$2,Z$4:Z160)+VLOOKUP(AF$2,$B$1057:$F$1068,5,FALSE)+SUM(AR$4:AR$1003)+SUMIF(COSTI!$X$1379:$X$1430,AG$2,COSTI!$Z$1379:$Z$1430),0),0)</f>
        <v>#N/A</v>
      </c>
      <c r="AG160" s="859"/>
      <c r="AH160" s="27" t="str">
        <f t="shared" si="40"/>
        <v/>
      </c>
      <c r="AI160" s="152">
        <f ca="1">IF(W161&gt;0,0,IF(AH160=0,(Z160*-1)+BC160+SUM(BB$4:BB159),BC160+SUM(BB$4:BB159)))</f>
        <v>-2.1316282072803006E-13</v>
      </c>
      <c r="AJ160" s="931">
        <f>IF(AND(AL160&gt;=$U$1,AL160&lt;=$U$2),IF(AM160='ESTRATTO CONTO'!$E$2,1+COUNTIF(AJ$4:AJ159,"&gt;0")+U$1015,0),0)</f>
        <v>0</v>
      </c>
      <c r="AK160" s="203">
        <f>IF(AND(OR((AK159+1)&lt;AL$1015,(AK159+1)=AL$1015),MAX(AK$4:AK159)&lt;AL$1015),AK159+1,0)</f>
        <v>0</v>
      </c>
      <c r="AL160" s="309">
        <f>VLOOKUP($AK160,ENTI!$AF$4:AG$1003,2,FALSE)</f>
        <v>0</v>
      </c>
      <c r="AM160" s="224">
        <f>VLOOKUP($AK160,ENTI!$AF$4:AH$1003,3,FALSE)</f>
        <v>0</v>
      </c>
      <c r="AN160" s="224">
        <f>VLOOKUP($AK160,ENTI!$AF$4:AI$1003,4,FALSE)</f>
        <v>0</v>
      </c>
      <c r="AO160" s="781">
        <f>VLOOKUP($AK160,ENTI!$AF$4:AJ$1003,5,FALSE)</f>
        <v>0</v>
      </c>
      <c r="AP160" s="315">
        <f>VLOOKUP($AK160,ENTI!$AF$4:AK$1003,6,FALSE)</f>
        <v>0</v>
      </c>
      <c r="AQ160" s="208">
        <f t="shared" si="47"/>
        <v>0</v>
      </c>
      <c r="AR160" s="152" t="e">
        <f t="shared" si="48"/>
        <v>#N/A</v>
      </c>
      <c r="AS160" s="1"/>
      <c r="AT160" s="88" t="str">
        <f t="shared" si="41"/>
        <v/>
      </c>
      <c r="AU160" s="1"/>
      <c r="AV160" s="175">
        <f>IF(AW160&gt;0,COUNTIF(AV$4:AV159,"&gt;0")+1,0)</f>
        <v>0</v>
      </c>
      <c r="AW160" s="164">
        <f t="shared" si="42"/>
        <v>0</v>
      </c>
      <c r="AX160" s="310">
        <f>IF($AW160=0,0,VLOOKUP(VLOOKUP($X160,$B$34:$T$38,19,FALSE),ENTI!$A$9:$B$13,2,FALSE))</f>
        <v>0</v>
      </c>
      <c r="AY160" s="310">
        <f t="shared" si="44"/>
        <v>0</v>
      </c>
      <c r="AZ160" s="316">
        <f t="shared" si="45"/>
        <v>0</v>
      </c>
      <c r="BA160" s="1"/>
      <c r="BB160" s="152">
        <f t="shared" si="46"/>
        <v>0</v>
      </c>
      <c r="BC160" s="152">
        <f ca="1">SUM(Z$4:Z160)+SUM(BB$4:BB160)+COSTI!S$6-COSTI!L$1076</f>
        <v>-31.760000000000218</v>
      </c>
      <c r="BD160" s="1"/>
    </row>
    <row r="161" spans="1:56" ht="16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435">
        <f>IF(AND(W161&gt;=$U$1,W161&lt;=$U$2),IF(X161='ESTRATTO CONTO'!$E$2,1+COUNTIF(U$4:U160,"&gt;0"),0),0)</f>
        <v>0</v>
      </c>
      <c r="V161" s="417">
        <f t="shared" si="43"/>
        <v>158</v>
      </c>
      <c r="W161" s="509"/>
      <c r="X161" s="321"/>
      <c r="Y161" s="321"/>
      <c r="Z161" s="508"/>
      <c r="AA161" s="356"/>
      <c r="AB161" s="306" t="str">
        <f t="shared" si="39"/>
        <v/>
      </c>
      <c r="AC161" s="637">
        <f t="shared" ca="1" si="38"/>
        <v>-2.1316282072803006E-13</v>
      </c>
      <c r="AD161" s="935">
        <f>IF(ISERROR(VLOOKUP(AD$2,X162:X$1003,1,FALSE)),IF(X161=AD$2,SUMIF(X$4:X161,AD$2,Z$4:Z161)+$E$9+SUM(AQ$4:AQ$1003)+SUMIF(COSTI!$X$1379:$X$1430,AD$2,COSTI!$Z$1379:$Z$1430),0),0)</f>
        <v>0</v>
      </c>
      <c r="AE161" s="26"/>
      <c r="AF161" s="856" t="e">
        <f>IF(ISERROR(VLOOKUP(AG$2,X162:X$1003,1,FALSE)),IF(X161=AG$2,SUMIF(X$4:X161,AG$2,Z$4:Z161)+VLOOKUP(AF$2,$B$1057:$F$1068,5,FALSE)+SUM(AR$4:AR$1003)+SUMIF(COSTI!$X$1379:$X$1430,AG$2,COSTI!$Z$1379:$Z$1430),0),0)</f>
        <v>#N/A</v>
      </c>
      <c r="AG161" s="859"/>
      <c r="AH161" s="27" t="str">
        <f t="shared" si="40"/>
        <v/>
      </c>
      <c r="AI161" s="152">
        <f ca="1">IF(W162&gt;0,0,IF(AH161=0,(Z161*-1)+BC161+SUM(BB$4:BB160),BC161+SUM(BB$4:BB160)))</f>
        <v>-2.1316282072803006E-13</v>
      </c>
      <c r="AJ161" s="931">
        <f>IF(AND(AL161&gt;=$U$1,AL161&lt;=$U$2),IF(AM161='ESTRATTO CONTO'!$E$2,1+COUNTIF(AJ$4:AJ160,"&gt;0")+U$1015,0),0)</f>
        <v>0</v>
      </c>
      <c r="AK161" s="203">
        <f>IF(AND(OR((AK160+1)&lt;AL$1015,(AK160+1)=AL$1015),MAX(AK$4:AK160)&lt;AL$1015),AK160+1,0)</f>
        <v>0</v>
      </c>
      <c r="AL161" s="309">
        <f>VLOOKUP($AK161,ENTI!$AF$4:AG$1003,2,FALSE)</f>
        <v>0</v>
      </c>
      <c r="AM161" s="224">
        <f>VLOOKUP($AK161,ENTI!$AF$4:AH$1003,3,FALSE)</f>
        <v>0</v>
      </c>
      <c r="AN161" s="224">
        <f>VLOOKUP($AK161,ENTI!$AF$4:AI$1003,4,FALSE)</f>
        <v>0</v>
      </c>
      <c r="AO161" s="781">
        <f>VLOOKUP($AK161,ENTI!$AF$4:AJ$1003,5,FALSE)</f>
        <v>0</v>
      </c>
      <c r="AP161" s="315">
        <f>VLOOKUP($AK161,ENTI!$AF$4:AK$1003,6,FALSE)</f>
        <v>0</v>
      </c>
      <c r="AQ161" s="208">
        <f t="shared" si="47"/>
        <v>0</v>
      </c>
      <c r="AR161" s="152" t="e">
        <f t="shared" si="48"/>
        <v>#N/A</v>
      </c>
      <c r="AS161" s="1"/>
      <c r="AT161" s="88" t="str">
        <f t="shared" si="41"/>
        <v/>
      </c>
      <c r="AU161" s="1"/>
      <c r="AV161" s="175">
        <f>IF(AW161&gt;0,COUNTIF(AV$4:AV160,"&gt;0")+1,0)</f>
        <v>0</v>
      </c>
      <c r="AW161" s="164">
        <f t="shared" si="42"/>
        <v>0</v>
      </c>
      <c r="AX161" s="310">
        <f>IF($AW161=0,0,VLOOKUP(VLOOKUP($X161,$B$34:$T$38,19,FALSE),ENTI!$A$9:$B$13,2,FALSE))</f>
        <v>0</v>
      </c>
      <c r="AY161" s="310">
        <f t="shared" si="44"/>
        <v>0</v>
      </c>
      <c r="AZ161" s="316">
        <f t="shared" si="45"/>
        <v>0</v>
      </c>
      <c r="BA161" s="1"/>
      <c r="BB161" s="152">
        <f t="shared" si="46"/>
        <v>0</v>
      </c>
      <c r="BC161" s="152">
        <f ca="1">SUM(Z$4:Z161)+SUM(BB$4:BB161)+COSTI!S$6-COSTI!L$1076</f>
        <v>-31.760000000000218</v>
      </c>
      <c r="BD161" s="1"/>
    </row>
    <row r="162" spans="1:56" ht="16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435">
        <f>IF(AND(W162&gt;=$U$1,W162&lt;=$U$2),IF(X162='ESTRATTO CONTO'!$E$2,1+COUNTIF(U$4:U161,"&gt;0"),0),0)</f>
        <v>0</v>
      </c>
      <c r="V162" s="417">
        <f t="shared" si="43"/>
        <v>159</v>
      </c>
      <c r="W162" s="509"/>
      <c r="X162" s="321"/>
      <c r="Y162" s="321"/>
      <c r="Z162" s="508"/>
      <c r="AA162" s="356"/>
      <c r="AB162" s="306" t="str">
        <f t="shared" si="39"/>
        <v/>
      </c>
      <c r="AC162" s="637">
        <f t="shared" ca="1" si="38"/>
        <v>-2.1316282072803006E-13</v>
      </c>
      <c r="AD162" s="935">
        <f>IF(ISERROR(VLOOKUP(AD$2,X163:X$1003,1,FALSE)),IF(X162=AD$2,SUMIF(X$4:X162,AD$2,Z$4:Z162)+$E$9+SUM(AQ$4:AQ$1003)+SUMIF(COSTI!$X$1379:$X$1430,AD$2,COSTI!$Z$1379:$Z$1430),0),0)</f>
        <v>0</v>
      </c>
      <c r="AE162" s="26"/>
      <c r="AF162" s="856" t="e">
        <f>IF(ISERROR(VLOOKUP(AG$2,X163:X$1003,1,FALSE)),IF(X162=AG$2,SUMIF(X$4:X162,AG$2,Z$4:Z162)+VLOOKUP(AF$2,$B$1057:$F$1068,5,FALSE)+SUM(AR$4:AR$1003)+SUMIF(COSTI!$X$1379:$X$1430,AG$2,COSTI!$Z$1379:$Z$1430),0),0)</f>
        <v>#N/A</v>
      </c>
      <c r="AG162" s="859"/>
      <c r="AH162" s="27" t="str">
        <f t="shared" si="40"/>
        <v/>
      </c>
      <c r="AI162" s="152">
        <f ca="1">IF(W163&gt;0,0,IF(AH162=0,(Z162*-1)+BC162+SUM(BB$4:BB161),BC162+SUM(BB$4:BB161)))</f>
        <v>-2.1316282072803006E-13</v>
      </c>
      <c r="AJ162" s="931">
        <f>IF(AND(AL162&gt;=$U$1,AL162&lt;=$U$2),IF(AM162='ESTRATTO CONTO'!$E$2,1+COUNTIF(AJ$4:AJ161,"&gt;0")+U$1015,0),0)</f>
        <v>0</v>
      </c>
      <c r="AK162" s="203">
        <f>IF(AND(OR((AK161+1)&lt;AL$1015,(AK161+1)=AL$1015),MAX(AK$4:AK161)&lt;AL$1015),AK161+1,0)</f>
        <v>0</v>
      </c>
      <c r="AL162" s="309">
        <f>VLOOKUP($AK162,ENTI!$AF$4:AG$1003,2,FALSE)</f>
        <v>0</v>
      </c>
      <c r="AM162" s="224">
        <f>VLOOKUP($AK162,ENTI!$AF$4:AH$1003,3,FALSE)</f>
        <v>0</v>
      </c>
      <c r="AN162" s="224">
        <f>VLOOKUP($AK162,ENTI!$AF$4:AI$1003,4,FALSE)</f>
        <v>0</v>
      </c>
      <c r="AO162" s="781">
        <f>VLOOKUP($AK162,ENTI!$AF$4:AJ$1003,5,FALSE)</f>
        <v>0</v>
      </c>
      <c r="AP162" s="315">
        <f>VLOOKUP($AK162,ENTI!$AF$4:AK$1003,6,FALSE)</f>
        <v>0</v>
      </c>
      <c r="AQ162" s="208">
        <f t="shared" si="47"/>
        <v>0</v>
      </c>
      <c r="AR162" s="152" t="e">
        <f t="shared" si="48"/>
        <v>#N/A</v>
      </c>
      <c r="AS162" s="1"/>
      <c r="AT162" s="88" t="str">
        <f t="shared" si="41"/>
        <v/>
      </c>
      <c r="AU162" s="1"/>
      <c r="AV162" s="175">
        <f>IF(AW162&gt;0,COUNTIF(AV$4:AV161,"&gt;0")+1,0)</f>
        <v>0</v>
      </c>
      <c r="AW162" s="164">
        <f t="shared" si="42"/>
        <v>0</v>
      </c>
      <c r="AX162" s="310">
        <f>IF($AW162=0,0,VLOOKUP(VLOOKUP($X162,$B$34:$T$38,19,FALSE),ENTI!$A$9:$B$13,2,FALSE))</f>
        <v>0</v>
      </c>
      <c r="AY162" s="310">
        <f t="shared" si="44"/>
        <v>0</v>
      </c>
      <c r="AZ162" s="316">
        <f t="shared" si="45"/>
        <v>0</v>
      </c>
      <c r="BA162" s="1"/>
      <c r="BB162" s="152">
        <f t="shared" si="46"/>
        <v>0</v>
      </c>
      <c r="BC162" s="152">
        <f ca="1">SUM(Z$4:Z162)+SUM(BB$4:BB162)+COSTI!S$6-COSTI!L$1076</f>
        <v>-31.760000000000218</v>
      </c>
      <c r="BD162" s="1"/>
    </row>
    <row r="163" spans="1:56" ht="16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435">
        <f>IF(AND(W163&gt;=$U$1,W163&lt;=$U$2),IF(X163='ESTRATTO CONTO'!$E$2,1+COUNTIF(U$4:U162,"&gt;0"),0),0)</f>
        <v>0</v>
      </c>
      <c r="V163" s="417">
        <f t="shared" si="43"/>
        <v>160</v>
      </c>
      <c r="W163" s="509"/>
      <c r="X163" s="321"/>
      <c r="Y163" s="321"/>
      <c r="Z163" s="508"/>
      <c r="AA163" s="356"/>
      <c r="AB163" s="306" t="str">
        <f t="shared" si="39"/>
        <v/>
      </c>
      <c r="AC163" s="637">
        <f t="shared" ca="1" si="38"/>
        <v>-2.1316282072803006E-13</v>
      </c>
      <c r="AD163" s="935">
        <f>IF(ISERROR(VLOOKUP(AD$2,X164:X$1003,1,FALSE)),IF(X163=AD$2,SUMIF(X$4:X163,AD$2,Z$4:Z163)+$E$9+SUM(AQ$4:AQ$1003)+SUMIF(COSTI!$X$1379:$X$1430,AD$2,COSTI!$Z$1379:$Z$1430),0),0)</f>
        <v>0</v>
      </c>
      <c r="AE163" s="26"/>
      <c r="AF163" s="856" t="e">
        <f>IF(ISERROR(VLOOKUP(AG$2,X164:X$1003,1,FALSE)),IF(X163=AG$2,SUMIF(X$4:X163,AG$2,Z$4:Z163)+VLOOKUP(AF$2,$B$1057:$F$1068,5,FALSE)+SUM(AR$4:AR$1003)+SUMIF(COSTI!$X$1379:$X$1430,AG$2,COSTI!$Z$1379:$Z$1430),0),0)</f>
        <v>#N/A</v>
      </c>
      <c r="AG163" s="859"/>
      <c r="AH163" s="27" t="str">
        <f t="shared" si="40"/>
        <v/>
      </c>
      <c r="AI163" s="152">
        <f ca="1">IF(W164&gt;0,0,IF(AH163=0,(Z163*-1)+BC163+SUM(BB$4:BB162),BC163+SUM(BB$4:BB162)))</f>
        <v>-2.1316282072803006E-13</v>
      </c>
      <c r="AJ163" s="931">
        <f>IF(AND(AL163&gt;=$U$1,AL163&lt;=$U$2),IF(AM163='ESTRATTO CONTO'!$E$2,1+COUNTIF(AJ$4:AJ162,"&gt;0")+U$1015,0),0)</f>
        <v>0</v>
      </c>
      <c r="AK163" s="203">
        <f>IF(AND(OR((AK162+1)&lt;AL$1015,(AK162+1)=AL$1015),MAX(AK$4:AK162)&lt;AL$1015),AK162+1,0)</f>
        <v>0</v>
      </c>
      <c r="AL163" s="309">
        <f>VLOOKUP($AK163,ENTI!$AF$4:AG$1003,2,FALSE)</f>
        <v>0</v>
      </c>
      <c r="AM163" s="224">
        <f>VLOOKUP($AK163,ENTI!$AF$4:AH$1003,3,FALSE)</f>
        <v>0</v>
      </c>
      <c r="AN163" s="224">
        <f>VLOOKUP($AK163,ENTI!$AF$4:AI$1003,4,FALSE)</f>
        <v>0</v>
      </c>
      <c r="AO163" s="781">
        <f>VLOOKUP($AK163,ENTI!$AF$4:AJ$1003,5,FALSE)</f>
        <v>0</v>
      </c>
      <c r="AP163" s="315">
        <f>VLOOKUP($AK163,ENTI!$AF$4:AK$1003,6,FALSE)</f>
        <v>0</v>
      </c>
      <c r="AQ163" s="208">
        <f t="shared" si="47"/>
        <v>0</v>
      </c>
      <c r="AR163" s="152" t="e">
        <f t="shared" si="48"/>
        <v>#N/A</v>
      </c>
      <c r="AS163" s="1"/>
      <c r="AT163" s="88" t="str">
        <f t="shared" si="41"/>
        <v/>
      </c>
      <c r="AU163" s="1"/>
      <c r="AV163" s="175">
        <f>IF(AW163&gt;0,COUNTIF(AV$4:AV162,"&gt;0")+1,0)</f>
        <v>0</v>
      </c>
      <c r="AW163" s="164">
        <f t="shared" si="42"/>
        <v>0</v>
      </c>
      <c r="AX163" s="310">
        <f>IF($AW163=0,0,VLOOKUP(VLOOKUP($X163,$B$34:$T$38,19,FALSE),ENTI!$A$9:$B$13,2,FALSE))</f>
        <v>0</v>
      </c>
      <c r="AY163" s="310">
        <f t="shared" si="44"/>
        <v>0</v>
      </c>
      <c r="AZ163" s="316">
        <f t="shared" si="45"/>
        <v>0</v>
      </c>
      <c r="BA163" s="1"/>
      <c r="BB163" s="152">
        <f t="shared" si="46"/>
        <v>0</v>
      </c>
      <c r="BC163" s="152">
        <f ca="1">SUM(Z$4:Z163)+SUM(BB$4:BB163)+COSTI!S$6-COSTI!L$1076</f>
        <v>-31.760000000000218</v>
      </c>
      <c r="BD163" s="1"/>
    </row>
    <row r="164" spans="1:56" ht="16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435">
        <f>IF(AND(W164&gt;=$U$1,W164&lt;=$U$2),IF(X164='ESTRATTO CONTO'!$E$2,1+COUNTIF(U$4:U163,"&gt;0"),0),0)</f>
        <v>0</v>
      </c>
      <c r="V164" s="417">
        <f t="shared" si="43"/>
        <v>161</v>
      </c>
      <c r="W164" s="509"/>
      <c r="X164" s="321"/>
      <c r="Y164" s="321"/>
      <c r="Z164" s="508"/>
      <c r="AA164" s="356"/>
      <c r="AB164" s="306" t="str">
        <f t="shared" si="39"/>
        <v/>
      </c>
      <c r="AC164" s="637">
        <f t="shared" ca="1" si="38"/>
        <v>-2.1316282072803006E-13</v>
      </c>
      <c r="AD164" s="935">
        <f>IF(ISERROR(VLOOKUP(AD$2,X165:X$1003,1,FALSE)),IF(X164=AD$2,SUMIF(X$4:X164,AD$2,Z$4:Z164)+$E$9+SUM(AQ$4:AQ$1003)+SUMIF(COSTI!$X$1379:$X$1430,AD$2,COSTI!$Z$1379:$Z$1430),0),0)</f>
        <v>0</v>
      </c>
      <c r="AE164" s="26"/>
      <c r="AF164" s="856" t="e">
        <f>IF(ISERROR(VLOOKUP(AG$2,X165:X$1003,1,FALSE)),IF(X164=AG$2,SUMIF(X$4:X164,AG$2,Z$4:Z164)+VLOOKUP(AF$2,$B$1057:$F$1068,5,FALSE)+SUM(AR$4:AR$1003)+SUMIF(COSTI!$X$1379:$X$1430,AG$2,COSTI!$Z$1379:$Z$1430),0),0)</f>
        <v>#N/A</v>
      </c>
      <c r="AG164" s="859"/>
      <c r="AH164" s="27" t="str">
        <f t="shared" si="40"/>
        <v/>
      </c>
      <c r="AI164" s="152">
        <f ca="1">IF(W165&gt;0,0,IF(AH164=0,(Z164*-1)+BC164+SUM(BB$4:BB163),BC164+SUM(BB$4:BB163)))</f>
        <v>-2.1316282072803006E-13</v>
      </c>
      <c r="AJ164" s="931">
        <f>IF(AND(AL164&gt;=$U$1,AL164&lt;=$U$2),IF(AM164='ESTRATTO CONTO'!$E$2,1+COUNTIF(AJ$4:AJ163,"&gt;0")+U$1015,0),0)</f>
        <v>0</v>
      </c>
      <c r="AK164" s="203">
        <f>IF(AND(OR((AK163+1)&lt;AL$1015,(AK163+1)=AL$1015),MAX(AK$4:AK163)&lt;AL$1015),AK163+1,0)</f>
        <v>0</v>
      </c>
      <c r="AL164" s="309">
        <f>VLOOKUP($AK164,ENTI!$AF$4:AG$1003,2,FALSE)</f>
        <v>0</v>
      </c>
      <c r="AM164" s="224">
        <f>VLOOKUP($AK164,ENTI!$AF$4:AH$1003,3,FALSE)</f>
        <v>0</v>
      </c>
      <c r="AN164" s="224">
        <f>VLOOKUP($AK164,ENTI!$AF$4:AI$1003,4,FALSE)</f>
        <v>0</v>
      </c>
      <c r="AO164" s="781">
        <f>VLOOKUP($AK164,ENTI!$AF$4:AJ$1003,5,FALSE)</f>
        <v>0</v>
      </c>
      <c r="AP164" s="315">
        <f>VLOOKUP($AK164,ENTI!$AF$4:AK$1003,6,FALSE)</f>
        <v>0</v>
      </c>
      <c r="AQ164" s="208">
        <f t="shared" si="47"/>
        <v>0</v>
      </c>
      <c r="AR164" s="152" t="e">
        <f t="shared" si="48"/>
        <v>#N/A</v>
      </c>
      <c r="AS164" s="1"/>
      <c r="AT164" s="88" t="str">
        <f t="shared" si="41"/>
        <v/>
      </c>
      <c r="AU164" s="1"/>
      <c r="AV164" s="175">
        <f>IF(AW164&gt;0,COUNTIF(AV$4:AV163,"&gt;0")+1,0)</f>
        <v>0</v>
      </c>
      <c r="AW164" s="164">
        <f t="shared" si="42"/>
        <v>0</v>
      </c>
      <c r="AX164" s="310">
        <f>IF($AW164=0,0,VLOOKUP(VLOOKUP($X164,$B$34:$T$38,19,FALSE),ENTI!$A$9:$B$13,2,FALSE))</f>
        <v>0</v>
      </c>
      <c r="AY164" s="310">
        <f t="shared" si="44"/>
        <v>0</v>
      </c>
      <c r="AZ164" s="316">
        <f t="shared" si="45"/>
        <v>0</v>
      </c>
      <c r="BA164" s="1"/>
      <c r="BB164" s="152">
        <f t="shared" si="46"/>
        <v>0</v>
      </c>
      <c r="BC164" s="152">
        <f ca="1">SUM(Z$4:Z164)+SUM(BB$4:BB164)+COSTI!S$6-COSTI!L$1076</f>
        <v>-31.760000000000218</v>
      </c>
      <c r="BD164" s="1"/>
    </row>
    <row r="165" spans="1:56" ht="16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435">
        <f>IF(AND(W165&gt;=$U$1,W165&lt;=$U$2),IF(X165='ESTRATTO CONTO'!$E$2,1+COUNTIF(U$4:U164,"&gt;0"),0),0)</f>
        <v>0</v>
      </c>
      <c r="V165" s="417">
        <f t="shared" si="43"/>
        <v>162</v>
      </c>
      <c r="W165" s="509"/>
      <c r="X165" s="321"/>
      <c r="Y165" s="321"/>
      <c r="Z165" s="508"/>
      <c r="AA165" s="356"/>
      <c r="AB165" s="306" t="str">
        <f t="shared" si="39"/>
        <v/>
      </c>
      <c r="AC165" s="637">
        <f t="shared" ca="1" si="38"/>
        <v>-2.1316282072803006E-13</v>
      </c>
      <c r="AD165" s="935">
        <f>IF(ISERROR(VLOOKUP(AD$2,X166:X$1003,1,FALSE)),IF(X165=AD$2,SUMIF(X$4:X165,AD$2,Z$4:Z165)+$E$9+SUM(AQ$4:AQ$1003)+SUMIF(COSTI!$X$1379:$X$1430,AD$2,COSTI!$Z$1379:$Z$1430),0),0)</f>
        <v>0</v>
      </c>
      <c r="AE165" s="26"/>
      <c r="AF165" s="856" t="e">
        <f>IF(ISERROR(VLOOKUP(AG$2,X166:X$1003,1,FALSE)),IF(X165=AG$2,SUMIF(X$4:X165,AG$2,Z$4:Z165)+VLOOKUP(AF$2,$B$1057:$F$1068,5,FALSE)+SUM(AR$4:AR$1003)+SUMIF(COSTI!$X$1379:$X$1430,AG$2,COSTI!$Z$1379:$Z$1430),0),0)</f>
        <v>#N/A</v>
      </c>
      <c r="AG165" s="859"/>
      <c r="AH165" s="27" t="str">
        <f t="shared" si="40"/>
        <v/>
      </c>
      <c r="AI165" s="152">
        <f ca="1">IF(W166&gt;0,0,IF(AH165=0,(Z165*-1)+BC165+SUM(BB$4:BB164),BC165+SUM(BB$4:BB164)))</f>
        <v>-2.1316282072803006E-13</v>
      </c>
      <c r="AJ165" s="931">
        <f>IF(AND(AL165&gt;=$U$1,AL165&lt;=$U$2),IF(AM165='ESTRATTO CONTO'!$E$2,1+COUNTIF(AJ$4:AJ164,"&gt;0")+U$1015,0),0)</f>
        <v>0</v>
      </c>
      <c r="AK165" s="203">
        <f>IF(AND(OR((AK164+1)&lt;AL$1015,(AK164+1)=AL$1015),MAX(AK$4:AK164)&lt;AL$1015),AK164+1,0)</f>
        <v>0</v>
      </c>
      <c r="AL165" s="309">
        <f>VLOOKUP($AK165,ENTI!$AF$4:AG$1003,2,FALSE)</f>
        <v>0</v>
      </c>
      <c r="AM165" s="224">
        <f>VLOOKUP($AK165,ENTI!$AF$4:AH$1003,3,FALSE)</f>
        <v>0</v>
      </c>
      <c r="AN165" s="224">
        <f>VLOOKUP($AK165,ENTI!$AF$4:AI$1003,4,FALSE)</f>
        <v>0</v>
      </c>
      <c r="AO165" s="781">
        <f>VLOOKUP($AK165,ENTI!$AF$4:AJ$1003,5,FALSE)</f>
        <v>0</v>
      </c>
      <c r="AP165" s="315">
        <f>VLOOKUP($AK165,ENTI!$AF$4:AK$1003,6,FALSE)</f>
        <v>0</v>
      </c>
      <c r="AQ165" s="208">
        <f t="shared" si="47"/>
        <v>0</v>
      </c>
      <c r="AR165" s="152" t="e">
        <f t="shared" si="48"/>
        <v>#N/A</v>
      </c>
      <c r="AS165" s="1"/>
      <c r="AT165" s="88" t="str">
        <f t="shared" si="41"/>
        <v/>
      </c>
      <c r="AU165" s="1"/>
      <c r="AV165" s="175">
        <f>IF(AW165&gt;0,COUNTIF(AV$4:AV164,"&gt;0")+1,0)</f>
        <v>0</v>
      </c>
      <c r="AW165" s="164">
        <f t="shared" si="42"/>
        <v>0</v>
      </c>
      <c r="AX165" s="310">
        <f>IF($AW165=0,0,VLOOKUP(VLOOKUP($X165,$B$34:$T$38,19,FALSE),ENTI!$A$9:$B$13,2,FALSE))</f>
        <v>0</v>
      </c>
      <c r="AY165" s="310">
        <f t="shared" si="44"/>
        <v>0</v>
      </c>
      <c r="AZ165" s="316">
        <f t="shared" si="45"/>
        <v>0</v>
      </c>
      <c r="BA165" s="1"/>
      <c r="BB165" s="152">
        <f t="shared" si="46"/>
        <v>0</v>
      </c>
      <c r="BC165" s="152">
        <f ca="1">SUM(Z$4:Z165)+SUM(BB$4:BB165)+COSTI!S$6-COSTI!L$1076</f>
        <v>-31.760000000000218</v>
      </c>
      <c r="BD165" s="1"/>
    </row>
    <row r="166" spans="1:56" ht="16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435">
        <f>IF(AND(W166&gt;=$U$1,W166&lt;=$U$2),IF(X166='ESTRATTO CONTO'!$E$2,1+COUNTIF(U$4:U165,"&gt;0"),0),0)</f>
        <v>0</v>
      </c>
      <c r="V166" s="417">
        <f t="shared" si="43"/>
        <v>163</v>
      </c>
      <c r="W166" s="509"/>
      <c r="X166" s="321"/>
      <c r="Y166" s="321"/>
      <c r="Z166" s="508"/>
      <c r="AA166" s="356"/>
      <c r="AB166" s="306" t="str">
        <f t="shared" si="39"/>
        <v/>
      </c>
      <c r="AC166" s="637">
        <f t="shared" ca="1" si="38"/>
        <v>-2.1316282072803006E-13</v>
      </c>
      <c r="AD166" s="935">
        <f>IF(ISERROR(VLOOKUP(AD$2,X167:X$1003,1,FALSE)),IF(X166=AD$2,SUMIF(X$4:X166,AD$2,Z$4:Z166)+$E$9+SUM(AQ$4:AQ$1003)+SUMIF(COSTI!$X$1379:$X$1430,AD$2,COSTI!$Z$1379:$Z$1430),0),0)</f>
        <v>0</v>
      </c>
      <c r="AE166" s="26"/>
      <c r="AF166" s="856" t="e">
        <f>IF(ISERROR(VLOOKUP(AG$2,X167:X$1003,1,FALSE)),IF(X166=AG$2,SUMIF(X$4:X166,AG$2,Z$4:Z166)+VLOOKUP(AF$2,$B$1057:$F$1068,5,FALSE)+SUM(AR$4:AR$1003)+SUMIF(COSTI!$X$1379:$X$1430,AG$2,COSTI!$Z$1379:$Z$1430),0),0)</f>
        <v>#N/A</v>
      </c>
      <c r="AG166" s="859"/>
      <c r="AH166" s="27" t="str">
        <f t="shared" si="40"/>
        <v/>
      </c>
      <c r="AI166" s="152">
        <f ca="1">IF(W167&gt;0,0,IF(AH166=0,(Z166*-1)+BC166+SUM(BB$4:BB165),BC166+SUM(BB$4:BB165)))</f>
        <v>-2.1316282072803006E-13</v>
      </c>
      <c r="AJ166" s="931">
        <f>IF(AND(AL166&gt;=$U$1,AL166&lt;=$U$2),IF(AM166='ESTRATTO CONTO'!$E$2,1+COUNTIF(AJ$4:AJ165,"&gt;0")+U$1015,0),0)</f>
        <v>0</v>
      </c>
      <c r="AK166" s="203">
        <f>IF(AND(OR((AK165+1)&lt;AL$1015,(AK165+1)=AL$1015),MAX(AK$4:AK165)&lt;AL$1015),AK165+1,0)</f>
        <v>0</v>
      </c>
      <c r="AL166" s="309">
        <f>VLOOKUP($AK166,ENTI!$AF$4:AG$1003,2,FALSE)</f>
        <v>0</v>
      </c>
      <c r="AM166" s="224">
        <f>VLOOKUP($AK166,ENTI!$AF$4:AH$1003,3,FALSE)</f>
        <v>0</v>
      </c>
      <c r="AN166" s="224">
        <f>VLOOKUP($AK166,ENTI!$AF$4:AI$1003,4,FALSE)</f>
        <v>0</v>
      </c>
      <c r="AO166" s="781">
        <f>VLOOKUP($AK166,ENTI!$AF$4:AJ$1003,5,FALSE)</f>
        <v>0</v>
      </c>
      <c r="AP166" s="315">
        <f>VLOOKUP($AK166,ENTI!$AF$4:AK$1003,6,FALSE)</f>
        <v>0</v>
      </c>
      <c r="AQ166" s="208">
        <f t="shared" si="47"/>
        <v>0</v>
      </c>
      <c r="AR166" s="152" t="e">
        <f t="shared" si="48"/>
        <v>#N/A</v>
      </c>
      <c r="AS166" s="1"/>
      <c r="AT166" s="88" t="str">
        <f t="shared" si="41"/>
        <v/>
      </c>
      <c r="AU166" s="1"/>
      <c r="AV166" s="175">
        <f>IF(AW166&gt;0,COUNTIF(AV$4:AV165,"&gt;0")+1,0)</f>
        <v>0</v>
      </c>
      <c r="AW166" s="164">
        <f t="shared" si="42"/>
        <v>0</v>
      </c>
      <c r="AX166" s="310">
        <f>IF($AW166=0,0,VLOOKUP(VLOOKUP($X166,$B$34:$T$38,19,FALSE),ENTI!$A$9:$B$13,2,FALSE))</f>
        <v>0</v>
      </c>
      <c r="AY166" s="310">
        <f t="shared" si="44"/>
        <v>0</v>
      </c>
      <c r="AZ166" s="316">
        <f t="shared" si="45"/>
        <v>0</v>
      </c>
      <c r="BA166" s="1"/>
      <c r="BB166" s="152">
        <f t="shared" si="46"/>
        <v>0</v>
      </c>
      <c r="BC166" s="152">
        <f ca="1">SUM(Z$4:Z166)+SUM(BB$4:BB166)+COSTI!S$6-COSTI!L$1076</f>
        <v>-31.760000000000218</v>
      </c>
      <c r="BD166" s="1"/>
    </row>
    <row r="167" spans="1:56" ht="16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435">
        <f>IF(AND(W167&gt;=$U$1,W167&lt;=$U$2),IF(X167='ESTRATTO CONTO'!$E$2,1+COUNTIF(U$4:U166,"&gt;0"),0),0)</f>
        <v>0</v>
      </c>
      <c r="V167" s="417">
        <f t="shared" si="43"/>
        <v>164</v>
      </c>
      <c r="W167" s="509"/>
      <c r="X167" s="321"/>
      <c r="Y167" s="321"/>
      <c r="Z167" s="508"/>
      <c r="AA167" s="356"/>
      <c r="AB167" s="306" t="str">
        <f t="shared" si="39"/>
        <v/>
      </c>
      <c r="AC167" s="637">
        <f t="shared" ca="1" si="38"/>
        <v>-2.1316282072803006E-13</v>
      </c>
      <c r="AD167" s="935">
        <f>IF(ISERROR(VLOOKUP(AD$2,X168:X$1003,1,FALSE)),IF(X167=AD$2,SUMIF(X$4:X167,AD$2,Z$4:Z167)+$E$9+SUM(AQ$4:AQ$1003)+SUMIF(COSTI!$X$1379:$X$1430,AD$2,COSTI!$Z$1379:$Z$1430),0),0)</f>
        <v>0</v>
      </c>
      <c r="AE167" s="26"/>
      <c r="AF167" s="856" t="e">
        <f>IF(ISERROR(VLOOKUP(AG$2,X168:X$1003,1,FALSE)),IF(X167=AG$2,SUMIF(X$4:X167,AG$2,Z$4:Z167)+VLOOKUP(AF$2,$B$1057:$F$1068,5,FALSE)+SUM(AR$4:AR$1003)+SUMIF(COSTI!$X$1379:$X$1430,AG$2,COSTI!$Z$1379:$Z$1430),0),0)</f>
        <v>#N/A</v>
      </c>
      <c r="AG167" s="859"/>
      <c r="AH167" s="27" t="str">
        <f t="shared" si="40"/>
        <v/>
      </c>
      <c r="AI167" s="152">
        <f ca="1">IF(W168&gt;0,0,IF(AH167=0,(Z167*-1)+BC167+SUM(BB$4:BB166),BC167+SUM(BB$4:BB166)))</f>
        <v>-2.1316282072803006E-13</v>
      </c>
      <c r="AJ167" s="931">
        <f>IF(AND(AL167&gt;=$U$1,AL167&lt;=$U$2),IF(AM167='ESTRATTO CONTO'!$E$2,1+COUNTIF(AJ$4:AJ166,"&gt;0")+U$1015,0),0)</f>
        <v>0</v>
      </c>
      <c r="AK167" s="203">
        <f>IF(AND(OR((AK166+1)&lt;AL$1015,(AK166+1)=AL$1015),MAX(AK$4:AK166)&lt;AL$1015),AK166+1,0)</f>
        <v>0</v>
      </c>
      <c r="AL167" s="309">
        <f>VLOOKUP($AK167,ENTI!$AF$4:AG$1003,2,FALSE)</f>
        <v>0</v>
      </c>
      <c r="AM167" s="224">
        <f>VLOOKUP($AK167,ENTI!$AF$4:AH$1003,3,FALSE)</f>
        <v>0</v>
      </c>
      <c r="AN167" s="224">
        <f>VLOOKUP($AK167,ENTI!$AF$4:AI$1003,4,FALSE)</f>
        <v>0</v>
      </c>
      <c r="AO167" s="781">
        <f>VLOOKUP($AK167,ENTI!$AF$4:AJ$1003,5,FALSE)</f>
        <v>0</v>
      </c>
      <c r="AP167" s="315">
        <f>VLOOKUP($AK167,ENTI!$AF$4:AK$1003,6,FALSE)</f>
        <v>0</v>
      </c>
      <c r="AQ167" s="208">
        <f t="shared" si="47"/>
        <v>0</v>
      </c>
      <c r="AR167" s="152" t="e">
        <f t="shared" si="48"/>
        <v>#N/A</v>
      </c>
      <c r="AS167" s="1"/>
      <c r="AT167" s="88" t="str">
        <f t="shared" si="41"/>
        <v/>
      </c>
      <c r="AU167" s="1"/>
      <c r="AV167" s="175">
        <f>IF(AW167&gt;0,COUNTIF(AV$4:AV166,"&gt;0")+1,0)</f>
        <v>0</v>
      </c>
      <c r="AW167" s="164">
        <f t="shared" si="42"/>
        <v>0</v>
      </c>
      <c r="AX167" s="310">
        <f>IF($AW167=0,0,VLOOKUP(VLOOKUP($X167,$B$34:$T$38,19,FALSE),ENTI!$A$9:$B$13,2,FALSE))</f>
        <v>0</v>
      </c>
      <c r="AY167" s="310">
        <f t="shared" si="44"/>
        <v>0</v>
      </c>
      <c r="AZ167" s="316">
        <f t="shared" si="45"/>
        <v>0</v>
      </c>
      <c r="BA167" s="1"/>
      <c r="BB167" s="152">
        <f t="shared" si="46"/>
        <v>0</v>
      </c>
      <c r="BC167" s="152">
        <f ca="1">SUM(Z$4:Z167)+SUM(BB$4:BB167)+COSTI!S$6-COSTI!L$1076</f>
        <v>-31.760000000000218</v>
      </c>
      <c r="BD167" s="1"/>
    </row>
    <row r="168" spans="1:56" ht="16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435">
        <f>IF(AND(W168&gt;=$U$1,W168&lt;=$U$2),IF(X168='ESTRATTO CONTO'!$E$2,1+COUNTIF(U$4:U167,"&gt;0"),0),0)</f>
        <v>0</v>
      </c>
      <c r="V168" s="417">
        <f t="shared" si="43"/>
        <v>165</v>
      </c>
      <c r="W168" s="509"/>
      <c r="X168" s="321"/>
      <c r="Y168" s="321"/>
      <c r="Z168" s="508"/>
      <c r="AA168" s="356"/>
      <c r="AB168" s="306" t="str">
        <f t="shared" si="39"/>
        <v/>
      </c>
      <c r="AC168" s="637">
        <f t="shared" ca="1" si="38"/>
        <v>-2.1316282072803006E-13</v>
      </c>
      <c r="AD168" s="935">
        <f>IF(ISERROR(VLOOKUP(AD$2,X169:X$1003,1,FALSE)),IF(X168=AD$2,SUMIF(X$4:X168,AD$2,Z$4:Z168)+$E$9+SUM(AQ$4:AQ$1003)+SUMIF(COSTI!$X$1379:$X$1430,AD$2,COSTI!$Z$1379:$Z$1430),0),0)</f>
        <v>0</v>
      </c>
      <c r="AE168" s="26"/>
      <c r="AF168" s="856" t="e">
        <f>IF(ISERROR(VLOOKUP(AG$2,X169:X$1003,1,FALSE)),IF(X168=AG$2,SUMIF(X$4:X168,AG$2,Z$4:Z168)+VLOOKUP(AF$2,$B$1057:$F$1068,5,FALSE)+SUM(AR$4:AR$1003)+SUMIF(COSTI!$X$1379:$X$1430,AG$2,COSTI!$Z$1379:$Z$1430),0),0)</f>
        <v>#N/A</v>
      </c>
      <c r="AG168" s="859"/>
      <c r="AH168" s="27" t="str">
        <f t="shared" si="40"/>
        <v/>
      </c>
      <c r="AI168" s="152">
        <f ca="1">IF(W169&gt;0,0,IF(AH168=0,(Z168*-1)+BC168+SUM(BB$4:BB167),BC168+SUM(BB$4:BB167)))</f>
        <v>-2.1316282072803006E-13</v>
      </c>
      <c r="AJ168" s="931">
        <f>IF(AND(AL168&gt;=$U$1,AL168&lt;=$U$2),IF(AM168='ESTRATTO CONTO'!$E$2,1+COUNTIF(AJ$4:AJ167,"&gt;0")+U$1015,0),0)</f>
        <v>0</v>
      </c>
      <c r="AK168" s="203">
        <f>IF(AND(OR((AK167+1)&lt;AL$1015,(AK167+1)=AL$1015),MAX(AK$4:AK167)&lt;AL$1015),AK167+1,0)</f>
        <v>0</v>
      </c>
      <c r="AL168" s="309">
        <f>VLOOKUP($AK168,ENTI!$AF$4:AG$1003,2,FALSE)</f>
        <v>0</v>
      </c>
      <c r="AM168" s="224">
        <f>VLOOKUP($AK168,ENTI!$AF$4:AH$1003,3,FALSE)</f>
        <v>0</v>
      </c>
      <c r="AN168" s="224">
        <f>VLOOKUP($AK168,ENTI!$AF$4:AI$1003,4,FALSE)</f>
        <v>0</v>
      </c>
      <c r="AO168" s="781">
        <f>VLOOKUP($AK168,ENTI!$AF$4:AJ$1003,5,FALSE)</f>
        <v>0</v>
      </c>
      <c r="AP168" s="315">
        <f>VLOOKUP($AK168,ENTI!$AF$4:AK$1003,6,FALSE)</f>
        <v>0</v>
      </c>
      <c r="AQ168" s="208">
        <f t="shared" si="47"/>
        <v>0</v>
      </c>
      <c r="AR168" s="152" t="e">
        <f t="shared" si="48"/>
        <v>#N/A</v>
      </c>
      <c r="AS168" s="1"/>
      <c r="AT168" s="88" t="str">
        <f t="shared" si="41"/>
        <v/>
      </c>
      <c r="AU168" s="1"/>
      <c r="AV168" s="175">
        <f>IF(AW168&gt;0,COUNTIF(AV$4:AV167,"&gt;0")+1,0)</f>
        <v>0</v>
      </c>
      <c r="AW168" s="164">
        <f t="shared" si="42"/>
        <v>0</v>
      </c>
      <c r="AX168" s="310">
        <f>IF($AW168=0,0,VLOOKUP(VLOOKUP($X168,$B$34:$T$38,19,FALSE),ENTI!$A$9:$B$13,2,FALSE))</f>
        <v>0</v>
      </c>
      <c r="AY168" s="310">
        <f t="shared" si="44"/>
        <v>0</v>
      </c>
      <c r="AZ168" s="316">
        <f t="shared" si="45"/>
        <v>0</v>
      </c>
      <c r="BA168" s="1"/>
      <c r="BB168" s="152">
        <f t="shared" si="46"/>
        <v>0</v>
      </c>
      <c r="BC168" s="152">
        <f ca="1">SUM(Z$4:Z168)+SUM(BB$4:BB168)+COSTI!S$6-COSTI!L$1076</f>
        <v>-31.760000000000218</v>
      </c>
      <c r="BD168" s="1"/>
    </row>
    <row r="169" spans="1:56" ht="16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435">
        <f>IF(AND(W169&gt;=$U$1,W169&lt;=$U$2),IF(X169='ESTRATTO CONTO'!$E$2,1+COUNTIF(U$4:U168,"&gt;0"),0),0)</f>
        <v>0</v>
      </c>
      <c r="V169" s="417">
        <f t="shared" si="43"/>
        <v>166</v>
      </c>
      <c r="W169" s="509"/>
      <c r="X169" s="321"/>
      <c r="Y169" s="321"/>
      <c r="Z169" s="508"/>
      <c r="AA169" s="356"/>
      <c r="AB169" s="306" t="str">
        <f t="shared" si="39"/>
        <v/>
      </c>
      <c r="AC169" s="637">
        <f t="shared" ca="1" si="38"/>
        <v>-2.1316282072803006E-13</v>
      </c>
      <c r="AD169" s="935">
        <f>IF(ISERROR(VLOOKUP(AD$2,X170:X$1003,1,FALSE)),IF(X169=AD$2,SUMIF(X$4:X169,AD$2,Z$4:Z169)+$E$9+SUM(AQ$4:AQ$1003)+SUMIF(COSTI!$X$1379:$X$1430,AD$2,COSTI!$Z$1379:$Z$1430),0),0)</f>
        <v>0</v>
      </c>
      <c r="AE169" s="26"/>
      <c r="AF169" s="856" t="e">
        <f>IF(ISERROR(VLOOKUP(AG$2,X170:X$1003,1,FALSE)),IF(X169=AG$2,SUMIF(X$4:X169,AG$2,Z$4:Z169)+VLOOKUP(AF$2,$B$1057:$F$1068,5,FALSE)+SUM(AR$4:AR$1003)+SUMIF(COSTI!$X$1379:$X$1430,AG$2,COSTI!$Z$1379:$Z$1430),0),0)</f>
        <v>#N/A</v>
      </c>
      <c r="AG169" s="859"/>
      <c r="AH169" s="27" t="str">
        <f t="shared" si="40"/>
        <v/>
      </c>
      <c r="AI169" s="152">
        <f ca="1">IF(W170&gt;0,0,IF(AH169=0,(Z169*-1)+BC169+SUM(BB$4:BB168),BC169+SUM(BB$4:BB168)))</f>
        <v>-2.1316282072803006E-13</v>
      </c>
      <c r="AJ169" s="931">
        <f>IF(AND(AL169&gt;=$U$1,AL169&lt;=$U$2),IF(AM169='ESTRATTO CONTO'!$E$2,1+COUNTIF(AJ$4:AJ168,"&gt;0")+U$1015,0),0)</f>
        <v>0</v>
      </c>
      <c r="AK169" s="203">
        <f>IF(AND(OR((AK168+1)&lt;AL$1015,(AK168+1)=AL$1015),MAX(AK$4:AK168)&lt;AL$1015),AK168+1,0)</f>
        <v>0</v>
      </c>
      <c r="AL169" s="309">
        <f>VLOOKUP($AK169,ENTI!$AF$4:AG$1003,2,FALSE)</f>
        <v>0</v>
      </c>
      <c r="AM169" s="224">
        <f>VLOOKUP($AK169,ENTI!$AF$4:AH$1003,3,FALSE)</f>
        <v>0</v>
      </c>
      <c r="AN169" s="224">
        <f>VLOOKUP($AK169,ENTI!$AF$4:AI$1003,4,FALSE)</f>
        <v>0</v>
      </c>
      <c r="AO169" s="781">
        <f>VLOOKUP($AK169,ENTI!$AF$4:AJ$1003,5,FALSE)</f>
        <v>0</v>
      </c>
      <c r="AP169" s="315">
        <f>VLOOKUP($AK169,ENTI!$AF$4:AK$1003,6,FALSE)</f>
        <v>0</v>
      </c>
      <c r="AQ169" s="208">
        <f t="shared" si="47"/>
        <v>0</v>
      </c>
      <c r="AR169" s="152" t="e">
        <f t="shared" si="48"/>
        <v>#N/A</v>
      </c>
      <c r="AS169" s="1"/>
      <c r="AT169" s="88" t="str">
        <f t="shared" si="41"/>
        <v/>
      </c>
      <c r="AU169" s="1"/>
      <c r="AV169" s="175">
        <f>IF(AW169&gt;0,COUNTIF(AV$4:AV168,"&gt;0")+1,0)</f>
        <v>0</v>
      </c>
      <c r="AW169" s="164">
        <f t="shared" si="42"/>
        <v>0</v>
      </c>
      <c r="AX169" s="310">
        <f>IF($AW169=0,0,VLOOKUP(VLOOKUP($X169,$B$34:$T$38,19,FALSE),ENTI!$A$9:$B$13,2,FALSE))</f>
        <v>0</v>
      </c>
      <c r="AY169" s="310">
        <f t="shared" si="44"/>
        <v>0</v>
      </c>
      <c r="AZ169" s="316">
        <f t="shared" si="45"/>
        <v>0</v>
      </c>
      <c r="BA169" s="1"/>
      <c r="BB169" s="152">
        <f t="shared" si="46"/>
        <v>0</v>
      </c>
      <c r="BC169" s="152">
        <f ca="1">SUM(Z$4:Z169)+SUM(BB$4:BB169)+COSTI!S$6-COSTI!L$1076</f>
        <v>-31.760000000000218</v>
      </c>
      <c r="BD169" s="1"/>
    </row>
    <row r="170" spans="1:56" ht="16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435">
        <f>IF(AND(W170&gt;=$U$1,W170&lt;=$U$2),IF(X170='ESTRATTO CONTO'!$E$2,1+COUNTIF(U$4:U169,"&gt;0"),0),0)</f>
        <v>0</v>
      </c>
      <c r="V170" s="417">
        <f t="shared" si="43"/>
        <v>167</v>
      </c>
      <c r="W170" s="509"/>
      <c r="X170" s="321"/>
      <c r="Y170" s="321"/>
      <c r="Z170" s="508"/>
      <c r="AA170" s="356"/>
      <c r="AB170" s="306" t="str">
        <f t="shared" si="39"/>
        <v/>
      </c>
      <c r="AC170" s="637">
        <f t="shared" ca="1" si="38"/>
        <v>-2.1316282072803006E-13</v>
      </c>
      <c r="AD170" s="935">
        <f>IF(ISERROR(VLOOKUP(AD$2,X171:X$1003,1,FALSE)),IF(X170=AD$2,SUMIF(X$4:X170,AD$2,Z$4:Z170)+$E$9+SUM(AQ$4:AQ$1003)+SUMIF(COSTI!$X$1379:$X$1430,AD$2,COSTI!$Z$1379:$Z$1430),0),0)</f>
        <v>0</v>
      </c>
      <c r="AE170" s="26"/>
      <c r="AF170" s="856" t="e">
        <f>IF(ISERROR(VLOOKUP(AG$2,X171:X$1003,1,FALSE)),IF(X170=AG$2,SUMIF(X$4:X170,AG$2,Z$4:Z170)+VLOOKUP(AF$2,$B$1057:$F$1068,5,FALSE)+SUM(AR$4:AR$1003)+SUMIF(COSTI!$X$1379:$X$1430,AG$2,COSTI!$Z$1379:$Z$1430),0),0)</f>
        <v>#N/A</v>
      </c>
      <c r="AG170" s="859"/>
      <c r="AH170" s="27" t="str">
        <f t="shared" si="40"/>
        <v/>
      </c>
      <c r="AI170" s="152">
        <f ca="1">IF(W171&gt;0,0,IF(AH170=0,(Z170*-1)+BC170+SUM(BB$4:BB169),BC170+SUM(BB$4:BB169)))</f>
        <v>-2.1316282072803006E-13</v>
      </c>
      <c r="AJ170" s="931">
        <f>IF(AND(AL170&gt;=$U$1,AL170&lt;=$U$2),IF(AM170='ESTRATTO CONTO'!$E$2,1+COUNTIF(AJ$4:AJ169,"&gt;0")+U$1015,0),0)</f>
        <v>0</v>
      </c>
      <c r="AK170" s="203">
        <f>IF(AND(OR((AK169+1)&lt;AL$1015,(AK169+1)=AL$1015),MAX(AK$4:AK169)&lt;AL$1015),AK169+1,0)</f>
        <v>0</v>
      </c>
      <c r="AL170" s="309">
        <f>VLOOKUP($AK170,ENTI!$AF$4:AG$1003,2,FALSE)</f>
        <v>0</v>
      </c>
      <c r="AM170" s="224">
        <f>VLOOKUP($AK170,ENTI!$AF$4:AH$1003,3,FALSE)</f>
        <v>0</v>
      </c>
      <c r="AN170" s="224">
        <f>VLOOKUP($AK170,ENTI!$AF$4:AI$1003,4,FALSE)</f>
        <v>0</v>
      </c>
      <c r="AO170" s="781">
        <f>VLOOKUP($AK170,ENTI!$AF$4:AJ$1003,5,FALSE)</f>
        <v>0</v>
      </c>
      <c r="AP170" s="315">
        <f>VLOOKUP($AK170,ENTI!$AF$4:AK$1003,6,FALSE)</f>
        <v>0</v>
      </c>
      <c r="AQ170" s="208">
        <f t="shared" si="47"/>
        <v>0</v>
      </c>
      <c r="AR170" s="152" t="e">
        <f t="shared" si="48"/>
        <v>#N/A</v>
      </c>
      <c r="AS170" s="1"/>
      <c r="AT170" s="88" t="str">
        <f t="shared" si="41"/>
        <v/>
      </c>
      <c r="AU170" s="1"/>
      <c r="AV170" s="175">
        <f>IF(AW170&gt;0,COUNTIF(AV$4:AV169,"&gt;0")+1,0)</f>
        <v>0</v>
      </c>
      <c r="AW170" s="164">
        <f t="shared" si="42"/>
        <v>0</v>
      </c>
      <c r="AX170" s="310">
        <f>IF($AW170=0,0,VLOOKUP(VLOOKUP($X170,$B$34:$T$38,19,FALSE),ENTI!$A$9:$B$13,2,FALSE))</f>
        <v>0</v>
      </c>
      <c r="AY170" s="310">
        <f t="shared" si="44"/>
        <v>0</v>
      </c>
      <c r="AZ170" s="316">
        <f t="shared" si="45"/>
        <v>0</v>
      </c>
      <c r="BA170" s="1"/>
      <c r="BB170" s="152">
        <f t="shared" si="46"/>
        <v>0</v>
      </c>
      <c r="BC170" s="152">
        <f ca="1">SUM(Z$4:Z170)+SUM(BB$4:BB170)+COSTI!S$6-COSTI!L$1076</f>
        <v>-31.760000000000218</v>
      </c>
      <c r="BD170" s="1"/>
    </row>
    <row r="171" spans="1:56" ht="16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435">
        <f>IF(AND(W171&gt;=$U$1,W171&lt;=$U$2),IF(X171='ESTRATTO CONTO'!$E$2,1+COUNTIF(U$4:U170,"&gt;0"),0),0)</f>
        <v>0</v>
      </c>
      <c r="V171" s="417">
        <f t="shared" si="43"/>
        <v>168</v>
      </c>
      <c r="W171" s="509"/>
      <c r="X171" s="321"/>
      <c r="Y171" s="321"/>
      <c r="Z171" s="508"/>
      <c r="AA171" s="356"/>
      <c r="AB171" s="306" t="str">
        <f t="shared" si="39"/>
        <v/>
      </c>
      <c r="AC171" s="637">
        <f t="shared" ca="1" si="38"/>
        <v>-2.1316282072803006E-13</v>
      </c>
      <c r="AD171" s="935">
        <f>IF(ISERROR(VLOOKUP(AD$2,X172:X$1003,1,FALSE)),IF(X171=AD$2,SUMIF(X$4:X171,AD$2,Z$4:Z171)+$E$9+SUM(AQ$4:AQ$1003)+SUMIF(COSTI!$X$1379:$X$1430,AD$2,COSTI!$Z$1379:$Z$1430),0),0)</f>
        <v>0</v>
      </c>
      <c r="AE171" s="26"/>
      <c r="AF171" s="856" t="e">
        <f>IF(ISERROR(VLOOKUP(AG$2,X172:X$1003,1,FALSE)),IF(X171=AG$2,SUMIF(X$4:X171,AG$2,Z$4:Z171)+VLOOKUP(AF$2,$B$1057:$F$1068,5,FALSE)+SUM(AR$4:AR$1003)+SUMIF(COSTI!$X$1379:$X$1430,AG$2,COSTI!$Z$1379:$Z$1430),0),0)</f>
        <v>#N/A</v>
      </c>
      <c r="AG171" s="859"/>
      <c r="AH171" s="27" t="str">
        <f t="shared" si="40"/>
        <v/>
      </c>
      <c r="AI171" s="152">
        <f ca="1">IF(W172&gt;0,0,IF(AH171=0,(Z171*-1)+BC171+SUM(BB$4:BB170),BC171+SUM(BB$4:BB170)))</f>
        <v>-2.1316282072803006E-13</v>
      </c>
      <c r="AJ171" s="931">
        <f>IF(AND(AL171&gt;=$U$1,AL171&lt;=$U$2),IF(AM171='ESTRATTO CONTO'!$E$2,1+COUNTIF(AJ$4:AJ170,"&gt;0")+U$1015,0),0)</f>
        <v>0</v>
      </c>
      <c r="AK171" s="203">
        <f>IF(AND(OR((AK170+1)&lt;AL$1015,(AK170+1)=AL$1015),MAX(AK$4:AK170)&lt;AL$1015),AK170+1,0)</f>
        <v>0</v>
      </c>
      <c r="AL171" s="309">
        <f>VLOOKUP($AK171,ENTI!$AF$4:AG$1003,2,FALSE)</f>
        <v>0</v>
      </c>
      <c r="AM171" s="224">
        <f>VLOOKUP($AK171,ENTI!$AF$4:AH$1003,3,FALSE)</f>
        <v>0</v>
      </c>
      <c r="AN171" s="224">
        <f>VLOOKUP($AK171,ENTI!$AF$4:AI$1003,4,FALSE)</f>
        <v>0</v>
      </c>
      <c r="AO171" s="781">
        <f>VLOOKUP($AK171,ENTI!$AF$4:AJ$1003,5,FALSE)</f>
        <v>0</v>
      </c>
      <c r="AP171" s="315">
        <f>VLOOKUP($AK171,ENTI!$AF$4:AK$1003,6,FALSE)</f>
        <v>0</v>
      </c>
      <c r="AQ171" s="208">
        <f t="shared" si="47"/>
        <v>0</v>
      </c>
      <c r="AR171" s="152" t="e">
        <f t="shared" si="48"/>
        <v>#N/A</v>
      </c>
      <c r="AS171" s="1"/>
      <c r="AT171" s="88" t="str">
        <f t="shared" si="41"/>
        <v/>
      </c>
      <c r="AU171" s="1"/>
      <c r="AV171" s="175">
        <f>IF(AW171&gt;0,COUNTIF(AV$4:AV170,"&gt;0")+1,0)</f>
        <v>0</v>
      </c>
      <c r="AW171" s="164">
        <f t="shared" si="42"/>
        <v>0</v>
      </c>
      <c r="AX171" s="310">
        <f>IF($AW171=0,0,VLOOKUP(VLOOKUP($X171,$B$34:$T$38,19,FALSE),ENTI!$A$9:$B$13,2,FALSE))</f>
        <v>0</v>
      </c>
      <c r="AY171" s="310">
        <f t="shared" si="44"/>
        <v>0</v>
      </c>
      <c r="AZ171" s="316">
        <f t="shared" si="45"/>
        <v>0</v>
      </c>
      <c r="BA171" s="1"/>
      <c r="BB171" s="152">
        <f t="shared" si="46"/>
        <v>0</v>
      </c>
      <c r="BC171" s="152">
        <f ca="1">SUM(Z$4:Z171)+SUM(BB$4:BB171)+COSTI!S$6-COSTI!L$1076</f>
        <v>-31.760000000000218</v>
      </c>
      <c r="BD171" s="1"/>
    </row>
    <row r="172" spans="1:56" ht="16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435">
        <f>IF(AND(W172&gt;=$U$1,W172&lt;=$U$2),IF(X172='ESTRATTO CONTO'!$E$2,1+COUNTIF(U$4:U171,"&gt;0"),0),0)</f>
        <v>0</v>
      </c>
      <c r="V172" s="417">
        <f t="shared" si="43"/>
        <v>169</v>
      </c>
      <c r="W172" s="509"/>
      <c r="X172" s="321"/>
      <c r="Y172" s="321"/>
      <c r="Z172" s="508"/>
      <c r="AA172" s="356"/>
      <c r="AB172" s="306" t="str">
        <f t="shared" si="39"/>
        <v/>
      </c>
      <c r="AC172" s="637">
        <f t="shared" ca="1" si="38"/>
        <v>-2.1316282072803006E-13</v>
      </c>
      <c r="AD172" s="935">
        <f>IF(ISERROR(VLOOKUP(AD$2,X173:X$1003,1,FALSE)),IF(X172=AD$2,SUMIF(X$4:X172,AD$2,Z$4:Z172)+$E$9+SUM(AQ$4:AQ$1003)+SUMIF(COSTI!$X$1379:$X$1430,AD$2,COSTI!$Z$1379:$Z$1430),0),0)</f>
        <v>0</v>
      </c>
      <c r="AE172" s="26"/>
      <c r="AF172" s="856" t="e">
        <f>IF(ISERROR(VLOOKUP(AG$2,X173:X$1003,1,FALSE)),IF(X172=AG$2,SUMIF(X$4:X172,AG$2,Z$4:Z172)+VLOOKUP(AF$2,$B$1057:$F$1068,5,FALSE)+SUM(AR$4:AR$1003)+SUMIF(COSTI!$X$1379:$X$1430,AG$2,COSTI!$Z$1379:$Z$1430),0),0)</f>
        <v>#N/A</v>
      </c>
      <c r="AG172" s="859"/>
      <c r="AH172" s="27" t="str">
        <f t="shared" si="40"/>
        <v/>
      </c>
      <c r="AI172" s="152">
        <f ca="1">IF(W173&gt;0,0,IF(AH172=0,(Z172*-1)+BC172+SUM(BB$4:BB171),BC172+SUM(BB$4:BB171)))</f>
        <v>-2.1316282072803006E-13</v>
      </c>
      <c r="AJ172" s="931">
        <f>IF(AND(AL172&gt;=$U$1,AL172&lt;=$U$2),IF(AM172='ESTRATTO CONTO'!$E$2,1+COUNTIF(AJ$4:AJ171,"&gt;0")+U$1015,0),0)</f>
        <v>0</v>
      </c>
      <c r="AK172" s="203">
        <f>IF(AND(OR((AK171+1)&lt;AL$1015,(AK171+1)=AL$1015),MAX(AK$4:AK171)&lt;AL$1015),AK171+1,0)</f>
        <v>0</v>
      </c>
      <c r="AL172" s="309">
        <f>VLOOKUP($AK172,ENTI!$AF$4:AG$1003,2,FALSE)</f>
        <v>0</v>
      </c>
      <c r="AM172" s="224">
        <f>VLOOKUP($AK172,ENTI!$AF$4:AH$1003,3,FALSE)</f>
        <v>0</v>
      </c>
      <c r="AN172" s="224">
        <f>VLOOKUP($AK172,ENTI!$AF$4:AI$1003,4,FALSE)</f>
        <v>0</v>
      </c>
      <c r="AO172" s="781">
        <f>VLOOKUP($AK172,ENTI!$AF$4:AJ$1003,5,FALSE)</f>
        <v>0</v>
      </c>
      <c r="AP172" s="315">
        <f>VLOOKUP($AK172,ENTI!$AF$4:AK$1003,6,FALSE)</f>
        <v>0</v>
      </c>
      <c r="AQ172" s="208">
        <f t="shared" si="47"/>
        <v>0</v>
      </c>
      <c r="AR172" s="152" t="e">
        <f t="shared" si="48"/>
        <v>#N/A</v>
      </c>
      <c r="AS172" s="1"/>
      <c r="AT172" s="88" t="str">
        <f t="shared" si="41"/>
        <v/>
      </c>
      <c r="AU172" s="1"/>
      <c r="AV172" s="175">
        <f>IF(AW172&gt;0,COUNTIF(AV$4:AV171,"&gt;0")+1,0)</f>
        <v>0</v>
      </c>
      <c r="AW172" s="164">
        <f t="shared" si="42"/>
        <v>0</v>
      </c>
      <c r="AX172" s="310">
        <f>IF($AW172=0,0,VLOOKUP(VLOOKUP($X172,$B$34:$T$38,19,FALSE),ENTI!$A$9:$B$13,2,FALSE))</f>
        <v>0</v>
      </c>
      <c r="AY172" s="310">
        <f t="shared" si="44"/>
        <v>0</v>
      </c>
      <c r="AZ172" s="316">
        <f t="shared" si="45"/>
        <v>0</v>
      </c>
      <c r="BA172" s="1"/>
      <c r="BB172" s="152">
        <f t="shared" si="46"/>
        <v>0</v>
      </c>
      <c r="BC172" s="152">
        <f ca="1">SUM(Z$4:Z172)+SUM(BB$4:BB172)+COSTI!S$6-COSTI!L$1076</f>
        <v>-31.760000000000218</v>
      </c>
      <c r="BD172" s="1"/>
    </row>
    <row r="173" spans="1:56" ht="16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435">
        <f>IF(AND(W173&gt;=$U$1,W173&lt;=$U$2),IF(X173='ESTRATTO CONTO'!$E$2,1+COUNTIF(U$4:U172,"&gt;0"),0),0)</f>
        <v>0</v>
      </c>
      <c r="V173" s="417">
        <f t="shared" si="43"/>
        <v>170</v>
      </c>
      <c r="W173" s="509"/>
      <c r="X173" s="321"/>
      <c r="Y173" s="321"/>
      <c r="Z173" s="508"/>
      <c r="AA173" s="356"/>
      <c r="AB173" s="306" t="str">
        <f t="shared" si="39"/>
        <v/>
      </c>
      <c r="AC173" s="637">
        <f t="shared" ca="1" si="38"/>
        <v>-2.1316282072803006E-13</v>
      </c>
      <c r="AD173" s="935">
        <f>IF(ISERROR(VLOOKUP(AD$2,X174:X$1003,1,FALSE)),IF(X173=AD$2,SUMIF(X$4:X173,AD$2,Z$4:Z173)+$E$9+SUM(AQ$4:AQ$1003)+SUMIF(COSTI!$X$1379:$X$1430,AD$2,COSTI!$Z$1379:$Z$1430),0),0)</f>
        <v>0</v>
      </c>
      <c r="AE173" s="26"/>
      <c r="AF173" s="856" t="e">
        <f>IF(ISERROR(VLOOKUP(AG$2,X174:X$1003,1,FALSE)),IF(X173=AG$2,SUMIF(X$4:X173,AG$2,Z$4:Z173)+VLOOKUP(AF$2,$B$1057:$F$1068,5,FALSE)+SUM(AR$4:AR$1003)+SUMIF(COSTI!$X$1379:$X$1430,AG$2,COSTI!$Z$1379:$Z$1430),0),0)</f>
        <v>#N/A</v>
      </c>
      <c r="AG173" s="859"/>
      <c r="AH173" s="27" t="str">
        <f t="shared" si="40"/>
        <v/>
      </c>
      <c r="AI173" s="152">
        <f ca="1">IF(W174&gt;0,0,IF(AH173=0,(Z173*-1)+BC173+SUM(BB$4:BB172),BC173+SUM(BB$4:BB172)))</f>
        <v>-2.1316282072803006E-13</v>
      </c>
      <c r="AJ173" s="931">
        <f>IF(AND(AL173&gt;=$U$1,AL173&lt;=$U$2),IF(AM173='ESTRATTO CONTO'!$E$2,1+COUNTIF(AJ$4:AJ172,"&gt;0")+U$1015,0),0)</f>
        <v>0</v>
      </c>
      <c r="AK173" s="203">
        <f>IF(AND(OR((AK172+1)&lt;AL$1015,(AK172+1)=AL$1015),MAX(AK$4:AK172)&lt;AL$1015),AK172+1,0)</f>
        <v>0</v>
      </c>
      <c r="AL173" s="309">
        <f>VLOOKUP($AK173,ENTI!$AF$4:AG$1003,2,FALSE)</f>
        <v>0</v>
      </c>
      <c r="AM173" s="224">
        <f>VLOOKUP($AK173,ENTI!$AF$4:AH$1003,3,FALSE)</f>
        <v>0</v>
      </c>
      <c r="AN173" s="224">
        <f>VLOOKUP($AK173,ENTI!$AF$4:AI$1003,4,FALSE)</f>
        <v>0</v>
      </c>
      <c r="AO173" s="781">
        <f>VLOOKUP($AK173,ENTI!$AF$4:AJ$1003,5,FALSE)</f>
        <v>0</v>
      </c>
      <c r="AP173" s="315">
        <f>VLOOKUP($AK173,ENTI!$AF$4:AK$1003,6,FALSE)</f>
        <v>0</v>
      </c>
      <c r="AQ173" s="208">
        <f t="shared" si="47"/>
        <v>0</v>
      </c>
      <c r="AR173" s="152" t="e">
        <f t="shared" si="48"/>
        <v>#N/A</v>
      </c>
      <c r="AS173" s="1"/>
      <c r="AT173" s="88" t="str">
        <f t="shared" si="41"/>
        <v/>
      </c>
      <c r="AU173" s="1"/>
      <c r="AV173" s="175">
        <f>IF(AW173&gt;0,COUNTIF(AV$4:AV172,"&gt;0")+1,0)</f>
        <v>0</v>
      </c>
      <c r="AW173" s="164">
        <f t="shared" si="42"/>
        <v>0</v>
      </c>
      <c r="AX173" s="310">
        <f>IF($AW173=0,0,VLOOKUP(VLOOKUP($X173,$B$34:$T$38,19,FALSE),ENTI!$A$9:$B$13,2,FALSE))</f>
        <v>0</v>
      </c>
      <c r="AY173" s="310">
        <f t="shared" si="44"/>
        <v>0</v>
      </c>
      <c r="AZ173" s="316">
        <f t="shared" si="45"/>
        <v>0</v>
      </c>
      <c r="BA173" s="1"/>
      <c r="BB173" s="152">
        <f t="shared" si="46"/>
        <v>0</v>
      </c>
      <c r="BC173" s="152">
        <f ca="1">SUM(Z$4:Z173)+SUM(BB$4:BB173)+COSTI!S$6-COSTI!L$1076</f>
        <v>-31.760000000000218</v>
      </c>
      <c r="BD173" s="1"/>
    </row>
    <row r="174" spans="1:56" ht="16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435">
        <f>IF(AND(W174&gt;=$U$1,W174&lt;=$U$2),IF(X174='ESTRATTO CONTO'!$E$2,1+COUNTIF(U$4:U173,"&gt;0"),0),0)</f>
        <v>0</v>
      </c>
      <c r="V174" s="417">
        <f t="shared" si="43"/>
        <v>171</v>
      </c>
      <c r="W174" s="509"/>
      <c r="X174" s="321"/>
      <c r="Y174" s="321"/>
      <c r="Z174" s="508"/>
      <c r="AA174" s="356"/>
      <c r="AB174" s="306" t="str">
        <f t="shared" si="39"/>
        <v/>
      </c>
      <c r="AC174" s="637">
        <f t="shared" ca="1" si="38"/>
        <v>-2.1316282072803006E-13</v>
      </c>
      <c r="AD174" s="935">
        <f>IF(ISERROR(VLOOKUP(AD$2,X175:X$1003,1,FALSE)),IF(X174=AD$2,SUMIF(X$4:X174,AD$2,Z$4:Z174)+$E$9+SUM(AQ$4:AQ$1003)+SUMIF(COSTI!$X$1379:$X$1430,AD$2,COSTI!$Z$1379:$Z$1430),0),0)</f>
        <v>0</v>
      </c>
      <c r="AE174" s="26"/>
      <c r="AF174" s="856" t="e">
        <f>IF(ISERROR(VLOOKUP(AG$2,X175:X$1003,1,FALSE)),IF(X174=AG$2,SUMIF(X$4:X174,AG$2,Z$4:Z174)+VLOOKUP(AF$2,$B$1057:$F$1068,5,FALSE)+SUM(AR$4:AR$1003)+SUMIF(COSTI!$X$1379:$X$1430,AG$2,COSTI!$Z$1379:$Z$1430),0),0)</f>
        <v>#N/A</v>
      </c>
      <c r="AG174" s="859"/>
      <c r="AH174" s="27" t="str">
        <f t="shared" si="40"/>
        <v/>
      </c>
      <c r="AI174" s="152">
        <f ca="1">IF(W175&gt;0,0,IF(AH174=0,(Z174*-1)+BC174+SUM(BB$4:BB173),BC174+SUM(BB$4:BB173)))</f>
        <v>-2.1316282072803006E-13</v>
      </c>
      <c r="AJ174" s="931">
        <f>IF(AND(AL174&gt;=$U$1,AL174&lt;=$U$2),IF(AM174='ESTRATTO CONTO'!$E$2,1+COUNTIF(AJ$4:AJ173,"&gt;0")+U$1015,0),0)</f>
        <v>0</v>
      </c>
      <c r="AK174" s="203">
        <f>IF(AND(OR((AK173+1)&lt;AL$1015,(AK173+1)=AL$1015),MAX(AK$4:AK173)&lt;AL$1015),AK173+1,0)</f>
        <v>0</v>
      </c>
      <c r="AL174" s="309">
        <f>VLOOKUP($AK174,ENTI!$AF$4:AG$1003,2,FALSE)</f>
        <v>0</v>
      </c>
      <c r="AM174" s="224">
        <f>VLOOKUP($AK174,ENTI!$AF$4:AH$1003,3,FALSE)</f>
        <v>0</v>
      </c>
      <c r="AN174" s="224">
        <f>VLOOKUP($AK174,ENTI!$AF$4:AI$1003,4,FALSE)</f>
        <v>0</v>
      </c>
      <c r="AO174" s="781">
        <f>VLOOKUP($AK174,ENTI!$AF$4:AJ$1003,5,FALSE)</f>
        <v>0</v>
      </c>
      <c r="AP174" s="315">
        <f>VLOOKUP($AK174,ENTI!$AF$4:AK$1003,6,FALSE)</f>
        <v>0</v>
      </c>
      <c r="AQ174" s="208">
        <f t="shared" si="47"/>
        <v>0</v>
      </c>
      <c r="AR174" s="152" t="e">
        <f t="shared" si="48"/>
        <v>#N/A</v>
      </c>
      <c r="AS174" s="1"/>
      <c r="AT174" s="88" t="str">
        <f t="shared" si="41"/>
        <v/>
      </c>
      <c r="AU174" s="1"/>
      <c r="AV174" s="175">
        <f>IF(AW174&gt;0,COUNTIF(AV$4:AV173,"&gt;0")+1,0)</f>
        <v>0</v>
      </c>
      <c r="AW174" s="164">
        <f t="shared" si="42"/>
        <v>0</v>
      </c>
      <c r="AX174" s="310">
        <f>IF($AW174=0,0,VLOOKUP(VLOOKUP($X174,$B$34:$T$38,19,FALSE),ENTI!$A$9:$B$13,2,FALSE))</f>
        <v>0</v>
      </c>
      <c r="AY174" s="310">
        <f t="shared" si="44"/>
        <v>0</v>
      </c>
      <c r="AZ174" s="316">
        <f t="shared" si="45"/>
        <v>0</v>
      </c>
      <c r="BA174" s="1"/>
      <c r="BB174" s="152">
        <f t="shared" si="46"/>
        <v>0</v>
      </c>
      <c r="BC174" s="152">
        <f ca="1">SUM(Z$4:Z174)+SUM(BB$4:BB174)+COSTI!S$6-COSTI!L$1076</f>
        <v>-31.760000000000218</v>
      </c>
      <c r="BD174" s="1"/>
    </row>
    <row r="175" spans="1:56" ht="16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435">
        <f>IF(AND(W175&gt;=$U$1,W175&lt;=$U$2),IF(X175='ESTRATTO CONTO'!$E$2,1+COUNTIF(U$4:U174,"&gt;0"),0),0)</f>
        <v>0</v>
      </c>
      <c r="V175" s="417">
        <f t="shared" si="43"/>
        <v>172</v>
      </c>
      <c r="W175" s="509"/>
      <c r="X175" s="321"/>
      <c r="Y175" s="321"/>
      <c r="Z175" s="508"/>
      <c r="AA175" s="356"/>
      <c r="AB175" s="306" t="str">
        <f t="shared" si="39"/>
        <v/>
      </c>
      <c r="AC175" s="637">
        <f t="shared" ca="1" si="38"/>
        <v>-2.1316282072803006E-13</v>
      </c>
      <c r="AD175" s="935">
        <f>IF(ISERROR(VLOOKUP(AD$2,X176:X$1003,1,FALSE)),IF(X175=AD$2,SUMIF(X$4:X175,AD$2,Z$4:Z175)+$E$9+SUM(AQ$4:AQ$1003)+SUMIF(COSTI!$X$1379:$X$1430,AD$2,COSTI!$Z$1379:$Z$1430),0),0)</f>
        <v>0</v>
      </c>
      <c r="AE175" s="26"/>
      <c r="AF175" s="856" t="e">
        <f>IF(ISERROR(VLOOKUP(AG$2,X176:X$1003,1,FALSE)),IF(X175=AG$2,SUMIF(X$4:X175,AG$2,Z$4:Z175)+VLOOKUP(AF$2,$B$1057:$F$1068,5,FALSE)+SUM(AR$4:AR$1003)+SUMIF(COSTI!$X$1379:$X$1430,AG$2,COSTI!$Z$1379:$Z$1430),0),0)</f>
        <v>#N/A</v>
      </c>
      <c r="AG175" s="859"/>
      <c r="AH175" s="27" t="str">
        <f t="shared" si="40"/>
        <v/>
      </c>
      <c r="AI175" s="152">
        <f ca="1">IF(W176&gt;0,0,IF(AH175=0,(Z175*-1)+BC175+SUM(BB$4:BB174),BC175+SUM(BB$4:BB174)))</f>
        <v>-2.1316282072803006E-13</v>
      </c>
      <c r="AJ175" s="931">
        <f>IF(AND(AL175&gt;=$U$1,AL175&lt;=$U$2),IF(AM175='ESTRATTO CONTO'!$E$2,1+COUNTIF(AJ$4:AJ174,"&gt;0")+U$1015,0),0)</f>
        <v>0</v>
      </c>
      <c r="AK175" s="203">
        <f>IF(AND(OR((AK174+1)&lt;AL$1015,(AK174+1)=AL$1015),MAX(AK$4:AK174)&lt;AL$1015),AK174+1,0)</f>
        <v>0</v>
      </c>
      <c r="AL175" s="309">
        <f>VLOOKUP($AK175,ENTI!$AF$4:AG$1003,2,FALSE)</f>
        <v>0</v>
      </c>
      <c r="AM175" s="224">
        <f>VLOOKUP($AK175,ENTI!$AF$4:AH$1003,3,FALSE)</f>
        <v>0</v>
      </c>
      <c r="AN175" s="224">
        <f>VLOOKUP($AK175,ENTI!$AF$4:AI$1003,4,FALSE)</f>
        <v>0</v>
      </c>
      <c r="AO175" s="781">
        <f>VLOOKUP($AK175,ENTI!$AF$4:AJ$1003,5,FALSE)</f>
        <v>0</v>
      </c>
      <c r="AP175" s="315">
        <f>VLOOKUP($AK175,ENTI!$AF$4:AK$1003,6,FALSE)</f>
        <v>0</v>
      </c>
      <c r="AQ175" s="208">
        <f t="shared" si="47"/>
        <v>0</v>
      </c>
      <c r="AR175" s="152" t="e">
        <f t="shared" si="48"/>
        <v>#N/A</v>
      </c>
      <c r="AS175" s="1"/>
      <c r="AT175" s="88" t="str">
        <f t="shared" si="41"/>
        <v/>
      </c>
      <c r="AU175" s="1"/>
      <c r="AV175" s="175">
        <f>IF(AW175&gt;0,COUNTIF(AV$4:AV174,"&gt;0")+1,0)</f>
        <v>0</v>
      </c>
      <c r="AW175" s="164">
        <f t="shared" si="42"/>
        <v>0</v>
      </c>
      <c r="AX175" s="310">
        <f>IF($AW175=0,0,VLOOKUP(VLOOKUP($X175,$B$34:$T$38,19,FALSE),ENTI!$A$9:$B$13,2,FALSE))</f>
        <v>0</v>
      </c>
      <c r="AY175" s="310">
        <f t="shared" si="44"/>
        <v>0</v>
      </c>
      <c r="AZ175" s="316">
        <f t="shared" si="45"/>
        <v>0</v>
      </c>
      <c r="BA175" s="1"/>
      <c r="BB175" s="152">
        <f t="shared" si="46"/>
        <v>0</v>
      </c>
      <c r="BC175" s="152">
        <f ca="1">SUM(Z$4:Z175)+SUM(BB$4:BB175)+COSTI!S$6-COSTI!L$1076</f>
        <v>-31.760000000000218</v>
      </c>
      <c r="BD175" s="1"/>
    </row>
    <row r="176" spans="1:56" ht="16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435">
        <f>IF(AND(W176&gt;=$U$1,W176&lt;=$U$2),IF(X176='ESTRATTO CONTO'!$E$2,1+COUNTIF(U$4:U175,"&gt;0"),0),0)</f>
        <v>0</v>
      </c>
      <c r="V176" s="417">
        <f t="shared" si="43"/>
        <v>173</v>
      </c>
      <c r="W176" s="509"/>
      <c r="X176" s="321"/>
      <c r="Y176" s="321"/>
      <c r="Z176" s="508"/>
      <c r="AA176" s="356"/>
      <c r="AB176" s="306" t="str">
        <f t="shared" si="39"/>
        <v/>
      </c>
      <c r="AC176" s="637">
        <f t="shared" ca="1" si="38"/>
        <v>-2.1316282072803006E-13</v>
      </c>
      <c r="AD176" s="935">
        <f>IF(ISERROR(VLOOKUP(AD$2,X177:X$1003,1,FALSE)),IF(X176=AD$2,SUMIF(X$4:X176,AD$2,Z$4:Z176)+$E$9+SUM(AQ$4:AQ$1003)+SUMIF(COSTI!$X$1379:$X$1430,AD$2,COSTI!$Z$1379:$Z$1430),0),0)</f>
        <v>0</v>
      </c>
      <c r="AE176" s="26"/>
      <c r="AF176" s="856" t="e">
        <f>IF(ISERROR(VLOOKUP(AG$2,X177:X$1003,1,FALSE)),IF(X176=AG$2,SUMIF(X$4:X176,AG$2,Z$4:Z176)+VLOOKUP(AF$2,$B$1057:$F$1068,5,FALSE)+SUM(AR$4:AR$1003)+SUMIF(COSTI!$X$1379:$X$1430,AG$2,COSTI!$Z$1379:$Z$1430),0),0)</f>
        <v>#N/A</v>
      </c>
      <c r="AG176" s="859"/>
      <c r="AH176" s="27" t="str">
        <f t="shared" si="40"/>
        <v/>
      </c>
      <c r="AI176" s="152">
        <f ca="1">IF(W177&gt;0,0,IF(AH176=0,(Z176*-1)+BC176+SUM(BB$4:BB175),BC176+SUM(BB$4:BB175)))</f>
        <v>-2.1316282072803006E-13</v>
      </c>
      <c r="AJ176" s="931">
        <f>IF(AND(AL176&gt;=$U$1,AL176&lt;=$U$2),IF(AM176='ESTRATTO CONTO'!$E$2,1+COUNTIF(AJ$4:AJ175,"&gt;0")+U$1015,0),0)</f>
        <v>0</v>
      </c>
      <c r="AK176" s="203">
        <f>IF(AND(OR((AK175+1)&lt;AL$1015,(AK175+1)=AL$1015),MAX(AK$4:AK175)&lt;AL$1015),AK175+1,0)</f>
        <v>0</v>
      </c>
      <c r="AL176" s="309">
        <f>VLOOKUP($AK176,ENTI!$AF$4:AG$1003,2,FALSE)</f>
        <v>0</v>
      </c>
      <c r="AM176" s="224">
        <f>VLOOKUP($AK176,ENTI!$AF$4:AH$1003,3,FALSE)</f>
        <v>0</v>
      </c>
      <c r="AN176" s="224">
        <f>VLOOKUP($AK176,ENTI!$AF$4:AI$1003,4,FALSE)</f>
        <v>0</v>
      </c>
      <c r="AO176" s="781">
        <f>VLOOKUP($AK176,ENTI!$AF$4:AJ$1003,5,FALSE)</f>
        <v>0</v>
      </c>
      <c r="AP176" s="315">
        <f>VLOOKUP($AK176,ENTI!$AF$4:AK$1003,6,FALSE)</f>
        <v>0</v>
      </c>
      <c r="AQ176" s="208">
        <f t="shared" si="47"/>
        <v>0</v>
      </c>
      <c r="AR176" s="152" t="e">
        <f t="shared" si="48"/>
        <v>#N/A</v>
      </c>
      <c r="AS176" s="1"/>
      <c r="AT176" s="88" t="str">
        <f t="shared" si="41"/>
        <v/>
      </c>
      <c r="AU176" s="1"/>
      <c r="AV176" s="175">
        <f>IF(AW176&gt;0,COUNTIF(AV$4:AV175,"&gt;0")+1,0)</f>
        <v>0</v>
      </c>
      <c r="AW176" s="164">
        <f t="shared" si="42"/>
        <v>0</v>
      </c>
      <c r="AX176" s="310">
        <f>IF($AW176=0,0,VLOOKUP(VLOOKUP($X176,$B$34:$T$38,19,FALSE),ENTI!$A$9:$B$13,2,FALSE))</f>
        <v>0</v>
      </c>
      <c r="AY176" s="310">
        <f t="shared" si="44"/>
        <v>0</v>
      </c>
      <c r="AZ176" s="316">
        <f t="shared" si="45"/>
        <v>0</v>
      </c>
      <c r="BA176" s="1"/>
      <c r="BB176" s="152">
        <f t="shared" si="46"/>
        <v>0</v>
      </c>
      <c r="BC176" s="152">
        <f ca="1">SUM(Z$4:Z176)+SUM(BB$4:BB176)+COSTI!S$6-COSTI!L$1076</f>
        <v>-31.760000000000218</v>
      </c>
      <c r="BD176" s="1"/>
    </row>
    <row r="177" spans="1:56" ht="16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435">
        <f>IF(AND(W177&gt;=$U$1,W177&lt;=$U$2),IF(X177='ESTRATTO CONTO'!$E$2,1+COUNTIF(U$4:U176,"&gt;0"),0),0)</f>
        <v>0</v>
      </c>
      <c r="V177" s="417">
        <f t="shared" si="43"/>
        <v>174</v>
      </c>
      <c r="W177" s="509"/>
      <c r="X177" s="321"/>
      <c r="Y177" s="321"/>
      <c r="Z177" s="508"/>
      <c r="AA177" s="356"/>
      <c r="AB177" s="306" t="str">
        <f t="shared" si="39"/>
        <v/>
      </c>
      <c r="AC177" s="637">
        <f t="shared" ca="1" si="38"/>
        <v>-2.1316282072803006E-13</v>
      </c>
      <c r="AD177" s="935">
        <f>IF(ISERROR(VLOOKUP(AD$2,X178:X$1003,1,FALSE)),IF(X177=AD$2,SUMIF(X$4:X177,AD$2,Z$4:Z177)+$E$9+SUM(AQ$4:AQ$1003)+SUMIF(COSTI!$X$1379:$X$1430,AD$2,COSTI!$Z$1379:$Z$1430),0),0)</f>
        <v>0</v>
      </c>
      <c r="AE177" s="26"/>
      <c r="AF177" s="856" t="e">
        <f>IF(ISERROR(VLOOKUP(AG$2,X178:X$1003,1,FALSE)),IF(X177=AG$2,SUMIF(X$4:X177,AG$2,Z$4:Z177)+VLOOKUP(AF$2,$B$1057:$F$1068,5,FALSE)+SUM(AR$4:AR$1003)+SUMIF(COSTI!$X$1379:$X$1430,AG$2,COSTI!$Z$1379:$Z$1430),0),0)</f>
        <v>#N/A</v>
      </c>
      <c r="AG177" s="859"/>
      <c r="AH177" s="27" t="str">
        <f t="shared" si="40"/>
        <v/>
      </c>
      <c r="AI177" s="152">
        <f ca="1">IF(W178&gt;0,0,IF(AH177=0,(Z177*-1)+BC177+SUM(BB$4:BB176),BC177+SUM(BB$4:BB176)))</f>
        <v>-2.1316282072803006E-13</v>
      </c>
      <c r="AJ177" s="931">
        <f>IF(AND(AL177&gt;=$U$1,AL177&lt;=$U$2),IF(AM177='ESTRATTO CONTO'!$E$2,1+COUNTIF(AJ$4:AJ176,"&gt;0")+U$1015,0),0)</f>
        <v>0</v>
      </c>
      <c r="AK177" s="203">
        <f>IF(AND(OR((AK176+1)&lt;AL$1015,(AK176+1)=AL$1015),MAX(AK$4:AK176)&lt;AL$1015),AK176+1,0)</f>
        <v>0</v>
      </c>
      <c r="AL177" s="309">
        <f>VLOOKUP($AK177,ENTI!$AF$4:AG$1003,2,FALSE)</f>
        <v>0</v>
      </c>
      <c r="AM177" s="224">
        <f>VLOOKUP($AK177,ENTI!$AF$4:AH$1003,3,FALSE)</f>
        <v>0</v>
      </c>
      <c r="AN177" s="224">
        <f>VLOOKUP($AK177,ENTI!$AF$4:AI$1003,4,FALSE)</f>
        <v>0</v>
      </c>
      <c r="AO177" s="781">
        <f>VLOOKUP($AK177,ENTI!$AF$4:AJ$1003,5,FALSE)</f>
        <v>0</v>
      </c>
      <c r="AP177" s="315">
        <f>VLOOKUP($AK177,ENTI!$AF$4:AK$1003,6,FALSE)</f>
        <v>0</v>
      </c>
      <c r="AQ177" s="208">
        <f t="shared" si="47"/>
        <v>0</v>
      </c>
      <c r="AR177" s="152" t="e">
        <f t="shared" si="48"/>
        <v>#N/A</v>
      </c>
      <c r="AS177" s="1"/>
      <c r="AT177" s="88" t="str">
        <f t="shared" si="41"/>
        <v/>
      </c>
      <c r="AU177" s="1"/>
      <c r="AV177" s="175">
        <f>IF(AW177&gt;0,COUNTIF(AV$4:AV176,"&gt;0")+1,0)</f>
        <v>0</v>
      </c>
      <c r="AW177" s="164">
        <f t="shared" si="42"/>
        <v>0</v>
      </c>
      <c r="AX177" s="310">
        <f>IF($AW177=0,0,VLOOKUP(VLOOKUP($X177,$B$34:$T$38,19,FALSE),ENTI!$A$9:$B$13,2,FALSE))</f>
        <v>0</v>
      </c>
      <c r="AY177" s="310">
        <f t="shared" si="44"/>
        <v>0</v>
      </c>
      <c r="AZ177" s="316">
        <f t="shared" si="45"/>
        <v>0</v>
      </c>
      <c r="BA177" s="1"/>
      <c r="BB177" s="152">
        <f t="shared" si="46"/>
        <v>0</v>
      </c>
      <c r="BC177" s="152">
        <f ca="1">SUM(Z$4:Z177)+SUM(BB$4:BB177)+COSTI!S$6-COSTI!L$1076</f>
        <v>-31.760000000000218</v>
      </c>
      <c r="BD177" s="1"/>
    </row>
    <row r="178" spans="1:56" ht="16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435">
        <f>IF(AND(W178&gt;=$U$1,W178&lt;=$U$2),IF(X178='ESTRATTO CONTO'!$E$2,1+COUNTIF(U$4:U177,"&gt;0"),0),0)</f>
        <v>0</v>
      </c>
      <c r="V178" s="417">
        <f t="shared" si="43"/>
        <v>175</v>
      </c>
      <c r="W178" s="509"/>
      <c r="X178" s="321"/>
      <c r="Y178" s="321"/>
      <c r="Z178" s="508"/>
      <c r="AA178" s="356"/>
      <c r="AB178" s="306" t="str">
        <f t="shared" si="39"/>
        <v/>
      </c>
      <c r="AC178" s="637">
        <f t="shared" ca="1" si="38"/>
        <v>-2.1316282072803006E-13</v>
      </c>
      <c r="AD178" s="935">
        <f>IF(ISERROR(VLOOKUP(AD$2,X179:X$1003,1,FALSE)),IF(X178=AD$2,SUMIF(X$4:X178,AD$2,Z$4:Z178)+$E$9+SUM(AQ$4:AQ$1003)+SUMIF(COSTI!$X$1379:$X$1430,AD$2,COSTI!$Z$1379:$Z$1430),0),0)</f>
        <v>0</v>
      </c>
      <c r="AE178" s="26"/>
      <c r="AF178" s="856" t="e">
        <f>IF(ISERROR(VLOOKUP(AG$2,X179:X$1003,1,FALSE)),IF(X178=AG$2,SUMIF(X$4:X178,AG$2,Z$4:Z178)+VLOOKUP(AF$2,$B$1057:$F$1068,5,FALSE)+SUM(AR$4:AR$1003)+SUMIF(COSTI!$X$1379:$X$1430,AG$2,COSTI!$Z$1379:$Z$1430),0),0)</f>
        <v>#N/A</v>
      </c>
      <c r="AG178" s="859"/>
      <c r="AH178" s="27" t="str">
        <f t="shared" si="40"/>
        <v/>
      </c>
      <c r="AI178" s="152">
        <f ca="1">IF(W179&gt;0,0,IF(AH178=0,(Z178*-1)+BC178+SUM(BB$4:BB177),BC178+SUM(BB$4:BB177)))</f>
        <v>-2.1316282072803006E-13</v>
      </c>
      <c r="AJ178" s="931">
        <f>IF(AND(AL178&gt;=$U$1,AL178&lt;=$U$2),IF(AM178='ESTRATTO CONTO'!$E$2,1+COUNTIF(AJ$4:AJ177,"&gt;0")+U$1015,0),0)</f>
        <v>0</v>
      </c>
      <c r="AK178" s="203">
        <f>IF(AND(OR((AK177+1)&lt;AL$1015,(AK177+1)=AL$1015),MAX(AK$4:AK177)&lt;AL$1015),AK177+1,0)</f>
        <v>0</v>
      </c>
      <c r="AL178" s="309">
        <f>VLOOKUP($AK178,ENTI!$AF$4:AG$1003,2,FALSE)</f>
        <v>0</v>
      </c>
      <c r="AM178" s="224">
        <f>VLOOKUP($AK178,ENTI!$AF$4:AH$1003,3,FALSE)</f>
        <v>0</v>
      </c>
      <c r="AN178" s="224">
        <f>VLOOKUP($AK178,ENTI!$AF$4:AI$1003,4,FALSE)</f>
        <v>0</v>
      </c>
      <c r="AO178" s="781">
        <f>VLOOKUP($AK178,ENTI!$AF$4:AJ$1003,5,FALSE)</f>
        <v>0</v>
      </c>
      <c r="AP178" s="315">
        <f>VLOOKUP($AK178,ENTI!$AF$4:AK$1003,6,FALSE)</f>
        <v>0</v>
      </c>
      <c r="AQ178" s="208">
        <f t="shared" si="47"/>
        <v>0</v>
      </c>
      <c r="AR178" s="152" t="e">
        <f t="shared" si="48"/>
        <v>#N/A</v>
      </c>
      <c r="AS178" s="1"/>
      <c r="AT178" s="88" t="str">
        <f t="shared" si="41"/>
        <v/>
      </c>
      <c r="AU178" s="1"/>
      <c r="AV178" s="175">
        <f>IF(AW178&gt;0,COUNTIF(AV$4:AV177,"&gt;0")+1,0)</f>
        <v>0</v>
      </c>
      <c r="AW178" s="164">
        <f t="shared" si="42"/>
        <v>0</v>
      </c>
      <c r="AX178" s="310">
        <f>IF($AW178=0,0,VLOOKUP(VLOOKUP($X178,$B$34:$T$38,19,FALSE),ENTI!$A$9:$B$13,2,FALSE))</f>
        <v>0</v>
      </c>
      <c r="AY178" s="310">
        <f t="shared" si="44"/>
        <v>0</v>
      </c>
      <c r="AZ178" s="316">
        <f t="shared" si="45"/>
        <v>0</v>
      </c>
      <c r="BA178" s="1"/>
      <c r="BB178" s="152">
        <f t="shared" si="46"/>
        <v>0</v>
      </c>
      <c r="BC178" s="152">
        <f ca="1">SUM(Z$4:Z178)+SUM(BB$4:BB178)+COSTI!S$6-COSTI!L$1076</f>
        <v>-31.760000000000218</v>
      </c>
      <c r="BD178" s="1"/>
    </row>
    <row r="179" spans="1:56" ht="16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435">
        <f>IF(AND(W179&gt;=$U$1,W179&lt;=$U$2),IF(X179='ESTRATTO CONTO'!$E$2,1+COUNTIF(U$4:U178,"&gt;0"),0),0)</f>
        <v>0</v>
      </c>
      <c r="V179" s="417">
        <f t="shared" si="43"/>
        <v>176</v>
      </c>
      <c r="W179" s="509"/>
      <c r="X179" s="321"/>
      <c r="Y179" s="321"/>
      <c r="Z179" s="508"/>
      <c r="AA179" s="356"/>
      <c r="AB179" s="306" t="str">
        <f t="shared" si="39"/>
        <v/>
      </c>
      <c r="AC179" s="637">
        <f t="shared" ca="1" si="38"/>
        <v>-2.1316282072803006E-13</v>
      </c>
      <c r="AD179" s="935">
        <f>IF(ISERROR(VLOOKUP(AD$2,X180:X$1003,1,FALSE)),IF(X179=AD$2,SUMIF(X$4:X179,AD$2,Z$4:Z179)+$E$9+SUM(AQ$4:AQ$1003)+SUMIF(COSTI!$X$1379:$X$1430,AD$2,COSTI!$Z$1379:$Z$1430),0),0)</f>
        <v>0</v>
      </c>
      <c r="AE179" s="26"/>
      <c r="AF179" s="856" t="e">
        <f>IF(ISERROR(VLOOKUP(AG$2,X180:X$1003,1,FALSE)),IF(X179=AG$2,SUMIF(X$4:X179,AG$2,Z$4:Z179)+VLOOKUP(AF$2,$B$1057:$F$1068,5,FALSE)+SUM(AR$4:AR$1003)+SUMIF(COSTI!$X$1379:$X$1430,AG$2,COSTI!$Z$1379:$Z$1430),0),0)</f>
        <v>#N/A</v>
      </c>
      <c r="AG179" s="859"/>
      <c r="AH179" s="27" t="str">
        <f t="shared" si="40"/>
        <v/>
      </c>
      <c r="AI179" s="152">
        <f ca="1">IF(W180&gt;0,0,IF(AH179=0,(Z179*-1)+BC179+SUM(BB$4:BB178),BC179+SUM(BB$4:BB178)))</f>
        <v>-2.1316282072803006E-13</v>
      </c>
      <c r="AJ179" s="931">
        <f>IF(AND(AL179&gt;=$U$1,AL179&lt;=$U$2),IF(AM179='ESTRATTO CONTO'!$E$2,1+COUNTIF(AJ$4:AJ178,"&gt;0")+U$1015,0),0)</f>
        <v>0</v>
      </c>
      <c r="AK179" s="203">
        <f>IF(AND(OR((AK178+1)&lt;AL$1015,(AK178+1)=AL$1015),MAX(AK$4:AK178)&lt;AL$1015),AK178+1,0)</f>
        <v>0</v>
      </c>
      <c r="AL179" s="309">
        <f>VLOOKUP($AK179,ENTI!$AF$4:AG$1003,2,FALSE)</f>
        <v>0</v>
      </c>
      <c r="AM179" s="224">
        <f>VLOOKUP($AK179,ENTI!$AF$4:AH$1003,3,FALSE)</f>
        <v>0</v>
      </c>
      <c r="AN179" s="224">
        <f>VLOOKUP($AK179,ENTI!$AF$4:AI$1003,4,FALSE)</f>
        <v>0</v>
      </c>
      <c r="AO179" s="781">
        <f>VLOOKUP($AK179,ENTI!$AF$4:AJ$1003,5,FALSE)</f>
        <v>0</v>
      </c>
      <c r="AP179" s="315">
        <f>VLOOKUP($AK179,ENTI!$AF$4:AK$1003,6,FALSE)</f>
        <v>0</v>
      </c>
      <c r="AQ179" s="208">
        <f t="shared" si="47"/>
        <v>0</v>
      </c>
      <c r="AR179" s="152" t="e">
        <f t="shared" si="48"/>
        <v>#N/A</v>
      </c>
      <c r="AS179" s="1"/>
      <c r="AT179" s="88" t="str">
        <f t="shared" si="41"/>
        <v/>
      </c>
      <c r="AU179" s="1"/>
      <c r="AV179" s="175">
        <f>IF(AW179&gt;0,COUNTIF(AV$4:AV178,"&gt;0")+1,0)</f>
        <v>0</v>
      </c>
      <c r="AW179" s="164">
        <f t="shared" si="42"/>
        <v>0</v>
      </c>
      <c r="AX179" s="310">
        <f>IF($AW179=0,0,VLOOKUP(VLOOKUP($X179,$B$34:$T$38,19,FALSE),ENTI!$A$9:$B$13,2,FALSE))</f>
        <v>0</v>
      </c>
      <c r="AY179" s="310">
        <f t="shared" si="44"/>
        <v>0</v>
      </c>
      <c r="AZ179" s="316">
        <f t="shared" si="45"/>
        <v>0</v>
      </c>
      <c r="BA179" s="1"/>
      <c r="BB179" s="152">
        <f t="shared" si="46"/>
        <v>0</v>
      </c>
      <c r="BC179" s="152">
        <f ca="1">SUM(Z$4:Z179)+SUM(BB$4:BB179)+COSTI!S$6-COSTI!L$1076</f>
        <v>-31.760000000000218</v>
      </c>
      <c r="BD179" s="1"/>
    </row>
    <row r="180" spans="1:56" ht="16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435">
        <f>IF(AND(W180&gt;=$U$1,W180&lt;=$U$2),IF(X180='ESTRATTO CONTO'!$E$2,1+COUNTIF(U$4:U179,"&gt;0"),0),0)</f>
        <v>0</v>
      </c>
      <c r="V180" s="417">
        <f t="shared" si="43"/>
        <v>177</v>
      </c>
      <c r="W180" s="509"/>
      <c r="X180" s="321"/>
      <c r="Y180" s="321"/>
      <c r="Z180" s="508"/>
      <c r="AA180" s="356"/>
      <c r="AB180" s="306" t="str">
        <f t="shared" si="39"/>
        <v/>
      </c>
      <c r="AC180" s="637">
        <f t="shared" ca="1" si="38"/>
        <v>-2.1316282072803006E-13</v>
      </c>
      <c r="AD180" s="935">
        <f>IF(ISERROR(VLOOKUP(AD$2,X181:X$1003,1,FALSE)),IF(X180=AD$2,SUMIF(X$4:X180,AD$2,Z$4:Z180)+$E$9+SUM(AQ$4:AQ$1003)+SUMIF(COSTI!$X$1379:$X$1430,AD$2,COSTI!$Z$1379:$Z$1430),0),0)</f>
        <v>0</v>
      </c>
      <c r="AE180" s="26"/>
      <c r="AF180" s="856" t="e">
        <f>IF(ISERROR(VLOOKUP(AG$2,X181:X$1003,1,FALSE)),IF(X180=AG$2,SUMIF(X$4:X180,AG$2,Z$4:Z180)+VLOOKUP(AF$2,$B$1057:$F$1068,5,FALSE)+SUM(AR$4:AR$1003)+SUMIF(COSTI!$X$1379:$X$1430,AG$2,COSTI!$Z$1379:$Z$1430),0),0)</f>
        <v>#N/A</v>
      </c>
      <c r="AG180" s="859"/>
      <c r="AH180" s="27" t="str">
        <f t="shared" si="40"/>
        <v/>
      </c>
      <c r="AI180" s="152">
        <f ca="1">IF(W181&gt;0,0,IF(AH180=0,(Z180*-1)+BC180+SUM(BB$4:BB179),BC180+SUM(BB$4:BB179)))</f>
        <v>-2.1316282072803006E-13</v>
      </c>
      <c r="AJ180" s="931">
        <f>IF(AND(AL180&gt;=$U$1,AL180&lt;=$U$2),IF(AM180='ESTRATTO CONTO'!$E$2,1+COUNTIF(AJ$4:AJ179,"&gt;0")+U$1015,0),0)</f>
        <v>0</v>
      </c>
      <c r="AK180" s="203">
        <f>IF(AND(OR((AK179+1)&lt;AL$1015,(AK179+1)=AL$1015),MAX(AK$4:AK179)&lt;AL$1015),AK179+1,0)</f>
        <v>0</v>
      </c>
      <c r="AL180" s="309">
        <f>VLOOKUP($AK180,ENTI!$AF$4:AG$1003,2,FALSE)</f>
        <v>0</v>
      </c>
      <c r="AM180" s="224">
        <f>VLOOKUP($AK180,ENTI!$AF$4:AH$1003,3,FALSE)</f>
        <v>0</v>
      </c>
      <c r="AN180" s="224">
        <f>VLOOKUP($AK180,ENTI!$AF$4:AI$1003,4,FALSE)</f>
        <v>0</v>
      </c>
      <c r="AO180" s="781">
        <f>VLOOKUP($AK180,ENTI!$AF$4:AJ$1003,5,FALSE)</f>
        <v>0</v>
      </c>
      <c r="AP180" s="315">
        <f>VLOOKUP($AK180,ENTI!$AF$4:AK$1003,6,FALSE)</f>
        <v>0</v>
      </c>
      <c r="AQ180" s="208">
        <f t="shared" si="47"/>
        <v>0</v>
      </c>
      <c r="AR180" s="152" t="e">
        <f t="shared" si="48"/>
        <v>#N/A</v>
      </c>
      <c r="AS180" s="1"/>
      <c r="AT180" s="88" t="str">
        <f t="shared" si="41"/>
        <v/>
      </c>
      <c r="AU180" s="1"/>
      <c r="AV180" s="175">
        <f>IF(AW180&gt;0,COUNTIF(AV$4:AV179,"&gt;0")+1,0)</f>
        <v>0</v>
      </c>
      <c r="AW180" s="164">
        <f t="shared" si="42"/>
        <v>0</v>
      </c>
      <c r="AX180" s="310">
        <f>IF($AW180=0,0,VLOOKUP(VLOOKUP($X180,$B$34:$T$38,19,FALSE),ENTI!$A$9:$B$13,2,FALSE))</f>
        <v>0</v>
      </c>
      <c r="AY180" s="310">
        <f t="shared" si="44"/>
        <v>0</v>
      </c>
      <c r="AZ180" s="316">
        <f t="shared" si="45"/>
        <v>0</v>
      </c>
      <c r="BA180" s="1"/>
      <c r="BB180" s="152">
        <f t="shared" si="46"/>
        <v>0</v>
      </c>
      <c r="BC180" s="152">
        <f ca="1">SUM(Z$4:Z180)+SUM(BB$4:BB180)+COSTI!S$6-COSTI!L$1076</f>
        <v>-31.760000000000218</v>
      </c>
      <c r="BD180" s="1"/>
    </row>
    <row r="181" spans="1:56" ht="16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435">
        <f>IF(AND(W181&gt;=$U$1,W181&lt;=$U$2),IF(X181='ESTRATTO CONTO'!$E$2,1+COUNTIF(U$4:U180,"&gt;0"),0),0)</f>
        <v>0</v>
      </c>
      <c r="V181" s="417">
        <f t="shared" si="43"/>
        <v>178</v>
      </c>
      <c r="W181" s="509"/>
      <c r="X181" s="321"/>
      <c r="Y181" s="321"/>
      <c r="Z181" s="508"/>
      <c r="AA181" s="356"/>
      <c r="AB181" s="306" t="str">
        <f t="shared" si="39"/>
        <v/>
      </c>
      <c r="AC181" s="637">
        <f t="shared" ca="1" si="38"/>
        <v>-2.1316282072803006E-13</v>
      </c>
      <c r="AD181" s="935">
        <f>IF(ISERROR(VLOOKUP(AD$2,X182:X$1003,1,FALSE)),IF(X181=AD$2,SUMIF(X$4:X181,AD$2,Z$4:Z181)+$E$9+SUM(AQ$4:AQ$1003)+SUMIF(COSTI!$X$1379:$X$1430,AD$2,COSTI!$Z$1379:$Z$1430),0),0)</f>
        <v>0</v>
      </c>
      <c r="AE181" s="26"/>
      <c r="AF181" s="856" t="e">
        <f>IF(ISERROR(VLOOKUP(AG$2,X182:X$1003,1,FALSE)),IF(X181=AG$2,SUMIF(X$4:X181,AG$2,Z$4:Z181)+VLOOKUP(AF$2,$B$1057:$F$1068,5,FALSE)+SUM(AR$4:AR$1003)+SUMIF(COSTI!$X$1379:$X$1430,AG$2,COSTI!$Z$1379:$Z$1430),0),0)</f>
        <v>#N/A</v>
      </c>
      <c r="AG181" s="859"/>
      <c r="AH181" s="27" t="str">
        <f t="shared" si="40"/>
        <v/>
      </c>
      <c r="AI181" s="152">
        <f ca="1">IF(W182&gt;0,0,IF(AH181=0,(Z181*-1)+BC181+SUM(BB$4:BB180),BC181+SUM(BB$4:BB180)))</f>
        <v>-2.1316282072803006E-13</v>
      </c>
      <c r="AJ181" s="931">
        <f>IF(AND(AL181&gt;=$U$1,AL181&lt;=$U$2),IF(AM181='ESTRATTO CONTO'!$E$2,1+COUNTIF(AJ$4:AJ180,"&gt;0")+U$1015,0),0)</f>
        <v>0</v>
      </c>
      <c r="AK181" s="203">
        <f>IF(AND(OR((AK180+1)&lt;AL$1015,(AK180+1)=AL$1015),MAX(AK$4:AK180)&lt;AL$1015),AK180+1,0)</f>
        <v>0</v>
      </c>
      <c r="AL181" s="309">
        <f>VLOOKUP($AK181,ENTI!$AF$4:AG$1003,2,FALSE)</f>
        <v>0</v>
      </c>
      <c r="AM181" s="224">
        <f>VLOOKUP($AK181,ENTI!$AF$4:AH$1003,3,FALSE)</f>
        <v>0</v>
      </c>
      <c r="AN181" s="224">
        <f>VLOOKUP($AK181,ENTI!$AF$4:AI$1003,4,FALSE)</f>
        <v>0</v>
      </c>
      <c r="AO181" s="781">
        <f>VLOOKUP($AK181,ENTI!$AF$4:AJ$1003,5,FALSE)</f>
        <v>0</v>
      </c>
      <c r="AP181" s="315">
        <f>VLOOKUP($AK181,ENTI!$AF$4:AK$1003,6,FALSE)</f>
        <v>0</v>
      </c>
      <c r="AQ181" s="208">
        <f t="shared" si="47"/>
        <v>0</v>
      </c>
      <c r="AR181" s="152" t="e">
        <f t="shared" si="48"/>
        <v>#N/A</v>
      </c>
      <c r="AS181" s="1"/>
      <c r="AT181" s="88" t="str">
        <f t="shared" si="41"/>
        <v/>
      </c>
      <c r="AU181" s="1"/>
      <c r="AV181" s="175">
        <f>IF(AW181&gt;0,COUNTIF(AV$4:AV180,"&gt;0")+1,0)</f>
        <v>0</v>
      </c>
      <c r="AW181" s="164">
        <f t="shared" si="42"/>
        <v>0</v>
      </c>
      <c r="AX181" s="310">
        <f>IF($AW181=0,0,VLOOKUP(VLOOKUP($X181,$B$34:$T$38,19,FALSE),ENTI!$A$9:$B$13,2,FALSE))</f>
        <v>0</v>
      </c>
      <c r="AY181" s="310">
        <f t="shared" si="44"/>
        <v>0</v>
      </c>
      <c r="AZ181" s="316">
        <f t="shared" si="45"/>
        <v>0</v>
      </c>
      <c r="BA181" s="1"/>
      <c r="BB181" s="152">
        <f t="shared" si="46"/>
        <v>0</v>
      </c>
      <c r="BC181" s="152">
        <f ca="1">SUM(Z$4:Z181)+SUM(BB$4:BB181)+COSTI!S$6-COSTI!L$1076</f>
        <v>-31.760000000000218</v>
      </c>
      <c r="BD181" s="1"/>
    </row>
    <row r="182" spans="1:56" ht="16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435">
        <f>IF(AND(W182&gt;=$U$1,W182&lt;=$U$2),IF(X182='ESTRATTO CONTO'!$E$2,1+COUNTIF(U$4:U181,"&gt;0"),0),0)</f>
        <v>0</v>
      </c>
      <c r="V182" s="417">
        <f t="shared" si="43"/>
        <v>179</v>
      </c>
      <c r="W182" s="509"/>
      <c r="X182" s="321"/>
      <c r="Y182" s="321"/>
      <c r="Z182" s="508"/>
      <c r="AA182" s="356"/>
      <c r="AB182" s="306" t="str">
        <f t="shared" si="39"/>
        <v/>
      </c>
      <c r="AC182" s="637">
        <f t="shared" ca="1" si="38"/>
        <v>-2.1316282072803006E-13</v>
      </c>
      <c r="AD182" s="935">
        <f>IF(ISERROR(VLOOKUP(AD$2,X183:X$1003,1,FALSE)),IF(X182=AD$2,SUMIF(X$4:X182,AD$2,Z$4:Z182)+$E$9+SUM(AQ$4:AQ$1003)+SUMIF(COSTI!$X$1379:$X$1430,AD$2,COSTI!$Z$1379:$Z$1430),0),0)</f>
        <v>0</v>
      </c>
      <c r="AE182" s="26"/>
      <c r="AF182" s="856" t="e">
        <f>IF(ISERROR(VLOOKUP(AG$2,X183:X$1003,1,FALSE)),IF(X182=AG$2,SUMIF(X$4:X182,AG$2,Z$4:Z182)+VLOOKUP(AF$2,$B$1057:$F$1068,5,FALSE)+SUM(AR$4:AR$1003)+SUMIF(COSTI!$X$1379:$X$1430,AG$2,COSTI!$Z$1379:$Z$1430),0),0)</f>
        <v>#N/A</v>
      </c>
      <c r="AG182" s="859"/>
      <c r="AH182" s="27" t="str">
        <f t="shared" si="40"/>
        <v/>
      </c>
      <c r="AI182" s="152">
        <f ca="1">IF(W183&gt;0,0,IF(AH182=0,(Z182*-1)+BC182+SUM(BB$4:BB181),BC182+SUM(BB$4:BB181)))</f>
        <v>-2.1316282072803006E-13</v>
      </c>
      <c r="AJ182" s="931">
        <f>IF(AND(AL182&gt;=$U$1,AL182&lt;=$U$2),IF(AM182='ESTRATTO CONTO'!$E$2,1+COUNTIF(AJ$4:AJ181,"&gt;0")+U$1015,0),0)</f>
        <v>0</v>
      </c>
      <c r="AK182" s="203">
        <f>IF(AND(OR((AK181+1)&lt;AL$1015,(AK181+1)=AL$1015),MAX(AK$4:AK181)&lt;AL$1015),AK181+1,0)</f>
        <v>0</v>
      </c>
      <c r="AL182" s="309">
        <f>VLOOKUP($AK182,ENTI!$AF$4:AG$1003,2,FALSE)</f>
        <v>0</v>
      </c>
      <c r="AM182" s="224">
        <f>VLOOKUP($AK182,ENTI!$AF$4:AH$1003,3,FALSE)</f>
        <v>0</v>
      </c>
      <c r="AN182" s="224">
        <f>VLOOKUP($AK182,ENTI!$AF$4:AI$1003,4,FALSE)</f>
        <v>0</v>
      </c>
      <c r="AO182" s="781">
        <f>VLOOKUP($AK182,ENTI!$AF$4:AJ$1003,5,FALSE)</f>
        <v>0</v>
      </c>
      <c r="AP182" s="315">
        <f>VLOOKUP($AK182,ENTI!$AF$4:AK$1003,6,FALSE)</f>
        <v>0</v>
      </c>
      <c r="AQ182" s="208">
        <f t="shared" si="47"/>
        <v>0</v>
      </c>
      <c r="AR182" s="152" t="e">
        <f t="shared" si="48"/>
        <v>#N/A</v>
      </c>
      <c r="AS182" s="1"/>
      <c r="AT182" s="88" t="str">
        <f t="shared" si="41"/>
        <v/>
      </c>
      <c r="AU182" s="1"/>
      <c r="AV182" s="175">
        <f>IF(AW182&gt;0,COUNTIF(AV$4:AV181,"&gt;0")+1,0)</f>
        <v>0</v>
      </c>
      <c r="AW182" s="164">
        <f t="shared" si="42"/>
        <v>0</v>
      </c>
      <c r="AX182" s="310">
        <f>IF($AW182=0,0,VLOOKUP(VLOOKUP($X182,$B$34:$T$38,19,FALSE),ENTI!$A$9:$B$13,2,FALSE))</f>
        <v>0</v>
      </c>
      <c r="AY182" s="310">
        <f t="shared" si="44"/>
        <v>0</v>
      </c>
      <c r="AZ182" s="316">
        <f t="shared" si="45"/>
        <v>0</v>
      </c>
      <c r="BA182" s="1"/>
      <c r="BB182" s="152">
        <f t="shared" si="46"/>
        <v>0</v>
      </c>
      <c r="BC182" s="152">
        <f ca="1">SUM(Z$4:Z182)+SUM(BB$4:BB182)+COSTI!S$6-COSTI!L$1076</f>
        <v>-31.760000000000218</v>
      </c>
      <c r="BD182" s="1"/>
    </row>
    <row r="183" spans="1:56" ht="16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435">
        <f>IF(AND(W183&gt;=$U$1,W183&lt;=$U$2),IF(X183='ESTRATTO CONTO'!$E$2,1+COUNTIF(U$4:U182,"&gt;0"),0),0)</f>
        <v>0</v>
      </c>
      <c r="V183" s="417">
        <f t="shared" si="43"/>
        <v>180</v>
      </c>
      <c r="W183" s="509"/>
      <c r="X183" s="321"/>
      <c r="Y183" s="321"/>
      <c r="Z183" s="508"/>
      <c r="AA183" s="356"/>
      <c r="AB183" s="306" t="str">
        <f t="shared" si="39"/>
        <v/>
      </c>
      <c r="AC183" s="637">
        <f t="shared" ca="1" si="38"/>
        <v>-2.1316282072803006E-13</v>
      </c>
      <c r="AD183" s="935">
        <f>IF(ISERROR(VLOOKUP(AD$2,X184:X$1003,1,FALSE)),IF(X183=AD$2,SUMIF(X$4:X183,AD$2,Z$4:Z183)+$E$9+SUM(AQ$4:AQ$1003)+SUMIF(COSTI!$X$1379:$X$1430,AD$2,COSTI!$Z$1379:$Z$1430),0),0)</f>
        <v>0</v>
      </c>
      <c r="AE183" s="26"/>
      <c r="AF183" s="856" t="e">
        <f>IF(ISERROR(VLOOKUP(AG$2,X184:X$1003,1,FALSE)),IF(X183=AG$2,SUMIF(X$4:X183,AG$2,Z$4:Z183)+VLOOKUP(AF$2,$B$1057:$F$1068,5,FALSE)+SUM(AR$4:AR$1003)+SUMIF(COSTI!$X$1379:$X$1430,AG$2,COSTI!$Z$1379:$Z$1430),0),0)</f>
        <v>#N/A</v>
      </c>
      <c r="AG183" s="859"/>
      <c r="AH183" s="27" t="str">
        <f t="shared" si="40"/>
        <v/>
      </c>
      <c r="AI183" s="152">
        <f ca="1">IF(W184&gt;0,0,IF(AH183=0,(Z183*-1)+BC183+SUM(BB$4:BB182),BC183+SUM(BB$4:BB182)))</f>
        <v>-2.1316282072803006E-13</v>
      </c>
      <c r="AJ183" s="931">
        <f>IF(AND(AL183&gt;=$U$1,AL183&lt;=$U$2),IF(AM183='ESTRATTO CONTO'!$E$2,1+COUNTIF(AJ$4:AJ182,"&gt;0")+U$1015,0),0)</f>
        <v>0</v>
      </c>
      <c r="AK183" s="203">
        <f>IF(AND(OR((AK182+1)&lt;AL$1015,(AK182+1)=AL$1015),MAX(AK$4:AK182)&lt;AL$1015),AK182+1,0)</f>
        <v>0</v>
      </c>
      <c r="AL183" s="309">
        <f>VLOOKUP($AK183,ENTI!$AF$4:AG$1003,2,FALSE)</f>
        <v>0</v>
      </c>
      <c r="AM183" s="224">
        <f>VLOOKUP($AK183,ENTI!$AF$4:AH$1003,3,FALSE)</f>
        <v>0</v>
      </c>
      <c r="AN183" s="224">
        <f>VLOOKUP($AK183,ENTI!$AF$4:AI$1003,4,FALSE)</f>
        <v>0</v>
      </c>
      <c r="AO183" s="781">
        <f>VLOOKUP($AK183,ENTI!$AF$4:AJ$1003,5,FALSE)</f>
        <v>0</v>
      </c>
      <c r="AP183" s="315">
        <f>VLOOKUP($AK183,ENTI!$AF$4:AK$1003,6,FALSE)</f>
        <v>0</v>
      </c>
      <c r="AQ183" s="208">
        <f t="shared" si="47"/>
        <v>0</v>
      </c>
      <c r="AR183" s="152" t="e">
        <f t="shared" si="48"/>
        <v>#N/A</v>
      </c>
      <c r="AS183" s="1"/>
      <c r="AT183" s="88" t="str">
        <f t="shared" si="41"/>
        <v/>
      </c>
      <c r="AU183" s="1"/>
      <c r="AV183" s="175">
        <f>IF(AW183&gt;0,COUNTIF(AV$4:AV182,"&gt;0")+1,0)</f>
        <v>0</v>
      </c>
      <c r="AW183" s="164">
        <f t="shared" si="42"/>
        <v>0</v>
      </c>
      <c r="AX183" s="310">
        <f>IF($AW183=0,0,VLOOKUP(VLOOKUP($X183,$B$34:$T$38,19,FALSE),ENTI!$A$9:$B$13,2,FALSE))</f>
        <v>0</v>
      </c>
      <c r="AY183" s="310">
        <f t="shared" si="44"/>
        <v>0</v>
      </c>
      <c r="AZ183" s="316">
        <f t="shared" si="45"/>
        <v>0</v>
      </c>
      <c r="BA183" s="1"/>
      <c r="BB183" s="152">
        <f t="shared" si="46"/>
        <v>0</v>
      </c>
      <c r="BC183" s="152">
        <f ca="1">SUM(Z$4:Z183)+SUM(BB$4:BB183)+COSTI!S$6-COSTI!L$1076</f>
        <v>-31.760000000000218</v>
      </c>
      <c r="BD183" s="1"/>
    </row>
    <row r="184" spans="1:56" ht="16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435">
        <f>IF(AND(W184&gt;=$U$1,W184&lt;=$U$2),IF(X184='ESTRATTO CONTO'!$E$2,1+COUNTIF(U$4:U183,"&gt;0"),0),0)</f>
        <v>0</v>
      </c>
      <c r="V184" s="417">
        <f t="shared" si="43"/>
        <v>181</v>
      </c>
      <c r="W184" s="509"/>
      <c r="X184" s="321"/>
      <c r="Y184" s="321"/>
      <c r="Z184" s="508"/>
      <c r="AA184" s="356"/>
      <c r="AB184" s="306" t="str">
        <f t="shared" si="39"/>
        <v/>
      </c>
      <c r="AC184" s="637">
        <f t="shared" ca="1" si="38"/>
        <v>-2.1316282072803006E-13</v>
      </c>
      <c r="AD184" s="935">
        <f>IF(ISERROR(VLOOKUP(AD$2,X185:X$1003,1,FALSE)),IF(X184=AD$2,SUMIF(X$4:X184,AD$2,Z$4:Z184)+$E$9+SUM(AQ$4:AQ$1003)+SUMIF(COSTI!$X$1379:$X$1430,AD$2,COSTI!$Z$1379:$Z$1430),0),0)</f>
        <v>0</v>
      </c>
      <c r="AE184" s="26"/>
      <c r="AF184" s="856" t="e">
        <f>IF(ISERROR(VLOOKUP(AG$2,X185:X$1003,1,FALSE)),IF(X184=AG$2,SUMIF(X$4:X184,AG$2,Z$4:Z184)+VLOOKUP(AF$2,$B$1057:$F$1068,5,FALSE)+SUM(AR$4:AR$1003)+SUMIF(COSTI!$X$1379:$X$1430,AG$2,COSTI!$Z$1379:$Z$1430),0),0)</f>
        <v>#N/A</v>
      </c>
      <c r="AG184" s="859"/>
      <c r="AH184" s="27" t="str">
        <f t="shared" si="40"/>
        <v/>
      </c>
      <c r="AI184" s="152">
        <f ca="1">IF(W185&gt;0,0,IF(AH184=0,(Z184*-1)+BC184+SUM(BB$4:BB183),BC184+SUM(BB$4:BB183)))</f>
        <v>-2.1316282072803006E-13</v>
      </c>
      <c r="AJ184" s="931">
        <f>IF(AND(AL184&gt;=$U$1,AL184&lt;=$U$2),IF(AM184='ESTRATTO CONTO'!$E$2,1+COUNTIF(AJ$4:AJ183,"&gt;0")+U$1015,0),0)</f>
        <v>0</v>
      </c>
      <c r="AK184" s="203">
        <f>IF(AND(OR((AK183+1)&lt;AL$1015,(AK183+1)=AL$1015),MAX(AK$4:AK183)&lt;AL$1015),AK183+1,0)</f>
        <v>0</v>
      </c>
      <c r="AL184" s="309">
        <f>VLOOKUP($AK184,ENTI!$AF$4:AG$1003,2,FALSE)</f>
        <v>0</v>
      </c>
      <c r="AM184" s="224">
        <f>VLOOKUP($AK184,ENTI!$AF$4:AH$1003,3,FALSE)</f>
        <v>0</v>
      </c>
      <c r="AN184" s="224">
        <f>VLOOKUP($AK184,ENTI!$AF$4:AI$1003,4,FALSE)</f>
        <v>0</v>
      </c>
      <c r="AO184" s="781">
        <f>VLOOKUP($AK184,ENTI!$AF$4:AJ$1003,5,FALSE)</f>
        <v>0</v>
      </c>
      <c r="AP184" s="315">
        <f>VLOOKUP($AK184,ENTI!$AF$4:AK$1003,6,FALSE)</f>
        <v>0</v>
      </c>
      <c r="AQ184" s="208">
        <f t="shared" si="47"/>
        <v>0</v>
      </c>
      <c r="AR184" s="152" t="e">
        <f t="shared" si="48"/>
        <v>#N/A</v>
      </c>
      <c r="AS184" s="1"/>
      <c r="AT184" s="88" t="str">
        <f t="shared" si="41"/>
        <v/>
      </c>
      <c r="AU184" s="1"/>
      <c r="AV184" s="175">
        <f>IF(AW184&gt;0,COUNTIF(AV$4:AV183,"&gt;0")+1,0)</f>
        <v>0</v>
      </c>
      <c r="AW184" s="164">
        <f t="shared" si="42"/>
        <v>0</v>
      </c>
      <c r="AX184" s="310">
        <f>IF($AW184=0,0,VLOOKUP(VLOOKUP($X184,$B$34:$T$38,19,FALSE),ENTI!$A$9:$B$13,2,FALSE))</f>
        <v>0</v>
      </c>
      <c r="AY184" s="310">
        <f t="shared" si="44"/>
        <v>0</v>
      </c>
      <c r="AZ184" s="316">
        <f t="shared" si="45"/>
        <v>0</v>
      </c>
      <c r="BA184" s="1"/>
      <c r="BB184" s="152">
        <f t="shared" si="46"/>
        <v>0</v>
      </c>
      <c r="BC184" s="152">
        <f ca="1">SUM(Z$4:Z184)+SUM(BB$4:BB184)+COSTI!S$6-COSTI!L$1076</f>
        <v>-31.760000000000218</v>
      </c>
      <c r="BD184" s="1"/>
    </row>
    <row r="185" spans="1:56" ht="16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435">
        <f>IF(AND(W185&gt;=$U$1,W185&lt;=$U$2),IF(X185='ESTRATTO CONTO'!$E$2,1+COUNTIF(U$4:U184,"&gt;0"),0),0)</f>
        <v>0</v>
      </c>
      <c r="V185" s="417">
        <f t="shared" si="43"/>
        <v>182</v>
      </c>
      <c r="W185" s="509"/>
      <c r="X185" s="321"/>
      <c r="Y185" s="321"/>
      <c r="Z185" s="508"/>
      <c r="AA185" s="356"/>
      <c r="AB185" s="306" t="str">
        <f t="shared" si="39"/>
        <v/>
      </c>
      <c r="AC185" s="637">
        <f t="shared" ref="AC185:AC248" ca="1" si="49">AI185</f>
        <v>-2.1316282072803006E-13</v>
      </c>
      <c r="AD185" s="935">
        <f>IF(ISERROR(VLOOKUP(AD$2,X186:X$1003,1,FALSE)),IF(X185=AD$2,SUMIF(X$4:X185,AD$2,Z$4:Z185)+$E$9+SUM(AQ$4:AQ$1003)+SUMIF(COSTI!$X$1379:$X$1430,AD$2,COSTI!$Z$1379:$Z$1430),0),0)</f>
        <v>0</v>
      </c>
      <c r="AE185" s="26"/>
      <c r="AF185" s="856" t="e">
        <f>IF(ISERROR(VLOOKUP(AG$2,X186:X$1003,1,FALSE)),IF(X185=AG$2,SUMIF(X$4:X185,AG$2,Z$4:Z185)+VLOOKUP(AF$2,$B$1057:$F$1068,5,FALSE)+SUM(AR$4:AR$1003)+SUMIF(COSTI!$X$1379:$X$1430,AG$2,COSTI!$Z$1379:$Z$1430),0),0)</f>
        <v>#N/A</v>
      </c>
      <c r="AG185" s="859"/>
      <c r="AH185" s="27" t="str">
        <f t="shared" si="40"/>
        <v/>
      </c>
      <c r="AI185" s="152">
        <f ca="1">IF(W186&gt;0,0,IF(AH185=0,(Z185*-1)+BC185+SUM(BB$4:BB184),BC185+SUM(BB$4:BB184)))</f>
        <v>-2.1316282072803006E-13</v>
      </c>
      <c r="AJ185" s="931">
        <f>IF(AND(AL185&gt;=$U$1,AL185&lt;=$U$2),IF(AM185='ESTRATTO CONTO'!$E$2,1+COUNTIF(AJ$4:AJ184,"&gt;0")+U$1015,0),0)</f>
        <v>0</v>
      </c>
      <c r="AK185" s="203">
        <f>IF(AND(OR((AK184+1)&lt;AL$1015,(AK184+1)=AL$1015),MAX(AK$4:AK184)&lt;AL$1015),AK184+1,0)</f>
        <v>0</v>
      </c>
      <c r="AL185" s="309">
        <f>VLOOKUP($AK185,ENTI!$AF$4:AG$1003,2,FALSE)</f>
        <v>0</v>
      </c>
      <c r="AM185" s="224">
        <f>VLOOKUP($AK185,ENTI!$AF$4:AH$1003,3,FALSE)</f>
        <v>0</v>
      </c>
      <c r="AN185" s="224">
        <f>VLOOKUP($AK185,ENTI!$AF$4:AI$1003,4,FALSE)</f>
        <v>0</v>
      </c>
      <c r="AO185" s="781">
        <f>VLOOKUP($AK185,ENTI!$AF$4:AJ$1003,5,FALSE)</f>
        <v>0</v>
      </c>
      <c r="AP185" s="315">
        <f>VLOOKUP($AK185,ENTI!$AF$4:AK$1003,6,FALSE)</f>
        <v>0</v>
      </c>
      <c r="AQ185" s="208">
        <f t="shared" si="47"/>
        <v>0</v>
      </c>
      <c r="AR185" s="152" t="e">
        <f t="shared" si="48"/>
        <v>#N/A</v>
      </c>
      <c r="AS185" s="1"/>
      <c r="AT185" s="88" t="str">
        <f t="shared" si="41"/>
        <v/>
      </c>
      <c r="AU185" s="1"/>
      <c r="AV185" s="175">
        <f>IF(AW185&gt;0,COUNTIF(AV$4:AV184,"&gt;0")+1,0)</f>
        <v>0</v>
      </c>
      <c r="AW185" s="164">
        <f t="shared" si="42"/>
        <v>0</v>
      </c>
      <c r="AX185" s="310">
        <f>IF($AW185=0,0,VLOOKUP(VLOOKUP($X185,$B$34:$T$38,19,FALSE),ENTI!$A$9:$B$13,2,FALSE))</f>
        <v>0</v>
      </c>
      <c r="AY185" s="310">
        <f t="shared" si="44"/>
        <v>0</v>
      </c>
      <c r="AZ185" s="316">
        <f t="shared" si="45"/>
        <v>0</v>
      </c>
      <c r="BA185" s="1"/>
      <c r="BB185" s="152">
        <f t="shared" si="46"/>
        <v>0</v>
      </c>
      <c r="BC185" s="152">
        <f ca="1">SUM(Z$4:Z185)+SUM(BB$4:BB185)+COSTI!S$6-COSTI!L$1076</f>
        <v>-31.760000000000218</v>
      </c>
      <c r="BD185" s="1"/>
    </row>
    <row r="186" spans="1:56" ht="16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435">
        <f>IF(AND(W186&gt;=$U$1,W186&lt;=$U$2),IF(X186='ESTRATTO CONTO'!$E$2,1+COUNTIF(U$4:U185,"&gt;0"),0),0)</f>
        <v>0</v>
      </c>
      <c r="V186" s="417">
        <f t="shared" si="43"/>
        <v>183</v>
      </c>
      <c r="W186" s="509"/>
      <c r="X186" s="321"/>
      <c r="Y186" s="321"/>
      <c r="Z186" s="508"/>
      <c r="AA186" s="356"/>
      <c r="AB186" s="306" t="str">
        <f t="shared" si="39"/>
        <v/>
      </c>
      <c r="AC186" s="637">
        <f t="shared" ca="1" si="49"/>
        <v>-2.1316282072803006E-13</v>
      </c>
      <c r="AD186" s="935">
        <f>IF(ISERROR(VLOOKUP(AD$2,X187:X$1003,1,FALSE)),IF(X186=AD$2,SUMIF(X$4:X186,AD$2,Z$4:Z186)+$E$9+SUM(AQ$4:AQ$1003)+SUMIF(COSTI!$X$1379:$X$1430,AD$2,COSTI!$Z$1379:$Z$1430),0),0)</f>
        <v>0</v>
      </c>
      <c r="AE186" s="26"/>
      <c r="AF186" s="856" t="e">
        <f>IF(ISERROR(VLOOKUP(AG$2,X187:X$1003,1,FALSE)),IF(X186=AG$2,SUMIF(X$4:X186,AG$2,Z$4:Z186)+VLOOKUP(AF$2,$B$1057:$F$1068,5,FALSE)+SUM(AR$4:AR$1003)+SUMIF(COSTI!$X$1379:$X$1430,AG$2,COSTI!$Z$1379:$Z$1430),0),0)</f>
        <v>#N/A</v>
      </c>
      <c r="AG186" s="859"/>
      <c r="AH186" s="27" t="str">
        <f t="shared" si="40"/>
        <v/>
      </c>
      <c r="AI186" s="152">
        <f ca="1">IF(W187&gt;0,0,IF(AH186=0,(Z186*-1)+BC186+SUM(BB$4:BB185),BC186+SUM(BB$4:BB185)))</f>
        <v>-2.1316282072803006E-13</v>
      </c>
      <c r="AJ186" s="931">
        <f>IF(AND(AL186&gt;=$U$1,AL186&lt;=$U$2),IF(AM186='ESTRATTO CONTO'!$E$2,1+COUNTIF(AJ$4:AJ185,"&gt;0")+U$1015,0),0)</f>
        <v>0</v>
      </c>
      <c r="AK186" s="203">
        <f>IF(AND(OR((AK185+1)&lt;AL$1015,(AK185+1)=AL$1015),MAX(AK$4:AK185)&lt;AL$1015),AK185+1,0)</f>
        <v>0</v>
      </c>
      <c r="AL186" s="309">
        <f>VLOOKUP($AK186,ENTI!$AF$4:AG$1003,2,FALSE)</f>
        <v>0</v>
      </c>
      <c r="AM186" s="224">
        <f>VLOOKUP($AK186,ENTI!$AF$4:AH$1003,3,FALSE)</f>
        <v>0</v>
      </c>
      <c r="AN186" s="224">
        <f>VLOOKUP($AK186,ENTI!$AF$4:AI$1003,4,FALSE)</f>
        <v>0</v>
      </c>
      <c r="AO186" s="781">
        <f>VLOOKUP($AK186,ENTI!$AF$4:AJ$1003,5,FALSE)</f>
        <v>0</v>
      </c>
      <c r="AP186" s="315">
        <f>VLOOKUP($AK186,ENTI!$AF$4:AK$1003,6,FALSE)</f>
        <v>0</v>
      </c>
      <c r="AQ186" s="208">
        <f t="shared" si="47"/>
        <v>0</v>
      </c>
      <c r="AR186" s="152" t="e">
        <f t="shared" si="48"/>
        <v>#N/A</v>
      </c>
      <c r="AS186" s="1"/>
      <c r="AT186" s="88" t="str">
        <f t="shared" si="41"/>
        <v/>
      </c>
      <c r="AU186" s="1"/>
      <c r="AV186" s="175">
        <f>IF(AW186&gt;0,COUNTIF(AV$4:AV185,"&gt;0")+1,0)</f>
        <v>0</v>
      </c>
      <c r="AW186" s="164">
        <f t="shared" si="42"/>
        <v>0</v>
      </c>
      <c r="AX186" s="310">
        <f>IF($AW186=0,0,VLOOKUP(VLOOKUP($X186,$B$34:$T$38,19,FALSE),ENTI!$A$9:$B$13,2,FALSE))</f>
        <v>0</v>
      </c>
      <c r="AY186" s="310">
        <f t="shared" si="44"/>
        <v>0</v>
      </c>
      <c r="AZ186" s="316">
        <f t="shared" si="45"/>
        <v>0</v>
      </c>
      <c r="BA186" s="1"/>
      <c r="BB186" s="152">
        <f t="shared" si="46"/>
        <v>0</v>
      </c>
      <c r="BC186" s="152">
        <f ca="1">SUM(Z$4:Z186)+SUM(BB$4:BB186)+COSTI!S$6-COSTI!L$1076</f>
        <v>-31.760000000000218</v>
      </c>
      <c r="BD186" s="1"/>
    </row>
    <row r="187" spans="1:56" ht="16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435">
        <f>IF(AND(W187&gt;=$U$1,W187&lt;=$U$2),IF(X187='ESTRATTO CONTO'!$E$2,1+COUNTIF(U$4:U186,"&gt;0"),0),0)</f>
        <v>0</v>
      </c>
      <c r="V187" s="417">
        <f t="shared" si="43"/>
        <v>184</v>
      </c>
      <c r="W187" s="509"/>
      <c r="X187" s="321"/>
      <c r="Y187" s="321"/>
      <c r="Z187" s="508"/>
      <c r="AA187" s="356"/>
      <c r="AB187" s="306" t="str">
        <f t="shared" si="39"/>
        <v/>
      </c>
      <c r="AC187" s="637">
        <f t="shared" ca="1" si="49"/>
        <v>-2.1316282072803006E-13</v>
      </c>
      <c r="AD187" s="935">
        <f>IF(ISERROR(VLOOKUP(AD$2,X188:X$1003,1,FALSE)),IF(X187=AD$2,SUMIF(X$4:X187,AD$2,Z$4:Z187)+$E$9+SUM(AQ$4:AQ$1003)+SUMIF(COSTI!$X$1379:$X$1430,AD$2,COSTI!$Z$1379:$Z$1430),0),0)</f>
        <v>0</v>
      </c>
      <c r="AE187" s="26"/>
      <c r="AF187" s="856" t="e">
        <f>IF(ISERROR(VLOOKUP(AG$2,X188:X$1003,1,FALSE)),IF(X187=AG$2,SUMIF(X$4:X187,AG$2,Z$4:Z187)+VLOOKUP(AF$2,$B$1057:$F$1068,5,FALSE)+SUM(AR$4:AR$1003)+SUMIF(COSTI!$X$1379:$X$1430,AG$2,COSTI!$Z$1379:$Z$1430),0),0)</f>
        <v>#N/A</v>
      </c>
      <c r="AG187" s="859"/>
      <c r="AH187" s="27" t="str">
        <f t="shared" si="40"/>
        <v/>
      </c>
      <c r="AI187" s="152">
        <f ca="1">IF(W188&gt;0,0,IF(AH187=0,(Z187*-1)+BC187+SUM(BB$4:BB186),BC187+SUM(BB$4:BB186)))</f>
        <v>-2.1316282072803006E-13</v>
      </c>
      <c r="AJ187" s="931">
        <f>IF(AND(AL187&gt;=$U$1,AL187&lt;=$U$2),IF(AM187='ESTRATTO CONTO'!$E$2,1+COUNTIF(AJ$4:AJ186,"&gt;0")+U$1015,0),0)</f>
        <v>0</v>
      </c>
      <c r="AK187" s="203">
        <f>IF(AND(OR((AK186+1)&lt;AL$1015,(AK186+1)=AL$1015),MAX(AK$4:AK186)&lt;AL$1015),AK186+1,0)</f>
        <v>0</v>
      </c>
      <c r="AL187" s="309">
        <f>VLOOKUP($AK187,ENTI!$AF$4:AG$1003,2,FALSE)</f>
        <v>0</v>
      </c>
      <c r="AM187" s="224">
        <f>VLOOKUP($AK187,ENTI!$AF$4:AH$1003,3,FALSE)</f>
        <v>0</v>
      </c>
      <c r="AN187" s="224">
        <f>VLOOKUP($AK187,ENTI!$AF$4:AI$1003,4,FALSE)</f>
        <v>0</v>
      </c>
      <c r="AO187" s="781">
        <f>VLOOKUP($AK187,ENTI!$AF$4:AJ$1003,5,FALSE)</f>
        <v>0</v>
      </c>
      <c r="AP187" s="315">
        <f>VLOOKUP($AK187,ENTI!$AF$4:AK$1003,6,FALSE)</f>
        <v>0</v>
      </c>
      <c r="AQ187" s="208">
        <f t="shared" si="47"/>
        <v>0</v>
      </c>
      <c r="AR187" s="152" t="e">
        <f t="shared" si="48"/>
        <v>#N/A</v>
      </c>
      <c r="AS187" s="1"/>
      <c r="AT187" s="88" t="str">
        <f t="shared" si="41"/>
        <v/>
      </c>
      <c r="AU187" s="1"/>
      <c r="AV187" s="175">
        <f>IF(AW187&gt;0,COUNTIF(AV$4:AV186,"&gt;0")+1,0)</f>
        <v>0</v>
      </c>
      <c r="AW187" s="164">
        <f t="shared" si="42"/>
        <v>0</v>
      </c>
      <c r="AX187" s="310">
        <f>IF($AW187=0,0,VLOOKUP(VLOOKUP($X187,$B$34:$T$38,19,FALSE),ENTI!$A$9:$B$13,2,FALSE))</f>
        <v>0</v>
      </c>
      <c r="AY187" s="310">
        <f t="shared" si="44"/>
        <v>0</v>
      </c>
      <c r="AZ187" s="316">
        <f t="shared" si="45"/>
        <v>0</v>
      </c>
      <c r="BA187" s="1"/>
      <c r="BB187" s="152">
        <f t="shared" si="46"/>
        <v>0</v>
      </c>
      <c r="BC187" s="152">
        <f ca="1">SUM(Z$4:Z187)+SUM(BB$4:BB187)+COSTI!S$6-COSTI!L$1076</f>
        <v>-31.760000000000218</v>
      </c>
      <c r="BD187" s="1"/>
    </row>
    <row r="188" spans="1:56" ht="16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435">
        <f>IF(AND(W188&gt;=$U$1,W188&lt;=$U$2),IF(X188='ESTRATTO CONTO'!$E$2,1+COUNTIF(U$4:U187,"&gt;0"),0),0)</f>
        <v>0</v>
      </c>
      <c r="V188" s="417">
        <f t="shared" si="43"/>
        <v>185</v>
      </c>
      <c r="W188" s="509"/>
      <c r="X188" s="321"/>
      <c r="Y188" s="321"/>
      <c r="Z188" s="508"/>
      <c r="AA188" s="356"/>
      <c r="AB188" s="306" t="str">
        <f t="shared" si="39"/>
        <v/>
      </c>
      <c r="AC188" s="637">
        <f t="shared" ca="1" si="49"/>
        <v>-2.1316282072803006E-13</v>
      </c>
      <c r="AD188" s="935">
        <f>IF(ISERROR(VLOOKUP(AD$2,X189:X$1003,1,FALSE)),IF(X188=AD$2,SUMIF(X$4:X188,AD$2,Z$4:Z188)+$E$9+SUM(AQ$4:AQ$1003)+SUMIF(COSTI!$X$1379:$X$1430,AD$2,COSTI!$Z$1379:$Z$1430),0),0)</f>
        <v>0</v>
      </c>
      <c r="AE188" s="26"/>
      <c r="AF188" s="856" t="e">
        <f>IF(ISERROR(VLOOKUP(AG$2,X189:X$1003,1,FALSE)),IF(X188=AG$2,SUMIF(X$4:X188,AG$2,Z$4:Z188)+VLOOKUP(AF$2,$B$1057:$F$1068,5,FALSE)+SUM(AR$4:AR$1003)+SUMIF(COSTI!$X$1379:$X$1430,AG$2,COSTI!$Z$1379:$Z$1430),0),0)</f>
        <v>#N/A</v>
      </c>
      <c r="AG188" s="859"/>
      <c r="AH188" s="27" t="str">
        <f t="shared" si="40"/>
        <v/>
      </c>
      <c r="AI188" s="152">
        <f ca="1">IF(W189&gt;0,0,IF(AH188=0,(Z188*-1)+BC188+SUM(BB$4:BB187),BC188+SUM(BB$4:BB187)))</f>
        <v>-2.1316282072803006E-13</v>
      </c>
      <c r="AJ188" s="931">
        <f>IF(AND(AL188&gt;=$U$1,AL188&lt;=$U$2),IF(AM188='ESTRATTO CONTO'!$E$2,1+COUNTIF(AJ$4:AJ187,"&gt;0")+U$1015,0),0)</f>
        <v>0</v>
      </c>
      <c r="AK188" s="203">
        <f>IF(AND(OR((AK187+1)&lt;AL$1015,(AK187+1)=AL$1015),MAX(AK$4:AK187)&lt;AL$1015),AK187+1,0)</f>
        <v>0</v>
      </c>
      <c r="AL188" s="309">
        <f>VLOOKUP($AK188,ENTI!$AF$4:AG$1003,2,FALSE)</f>
        <v>0</v>
      </c>
      <c r="AM188" s="224">
        <f>VLOOKUP($AK188,ENTI!$AF$4:AH$1003,3,FALSE)</f>
        <v>0</v>
      </c>
      <c r="AN188" s="224">
        <f>VLOOKUP($AK188,ENTI!$AF$4:AI$1003,4,FALSE)</f>
        <v>0</v>
      </c>
      <c r="AO188" s="781">
        <f>VLOOKUP($AK188,ENTI!$AF$4:AJ$1003,5,FALSE)</f>
        <v>0</v>
      </c>
      <c r="AP188" s="315">
        <f>VLOOKUP($AK188,ENTI!$AF$4:AK$1003,6,FALSE)</f>
        <v>0</v>
      </c>
      <c r="AQ188" s="208">
        <f t="shared" si="47"/>
        <v>0</v>
      </c>
      <c r="AR188" s="152" t="e">
        <f t="shared" si="48"/>
        <v>#N/A</v>
      </c>
      <c r="AS188" s="1"/>
      <c r="AT188" s="88" t="str">
        <f t="shared" si="41"/>
        <v/>
      </c>
      <c r="AU188" s="1"/>
      <c r="AV188" s="175">
        <f>IF(AW188&gt;0,COUNTIF(AV$4:AV187,"&gt;0")+1,0)</f>
        <v>0</v>
      </c>
      <c r="AW188" s="164">
        <f t="shared" si="42"/>
        <v>0</v>
      </c>
      <c r="AX188" s="310">
        <f>IF($AW188=0,0,VLOOKUP(VLOOKUP($X188,$B$34:$T$38,19,FALSE),ENTI!$A$9:$B$13,2,FALSE))</f>
        <v>0</v>
      </c>
      <c r="AY188" s="310">
        <f t="shared" si="44"/>
        <v>0</v>
      </c>
      <c r="AZ188" s="316">
        <f t="shared" si="45"/>
        <v>0</v>
      </c>
      <c r="BA188" s="1"/>
      <c r="BB188" s="152">
        <f t="shared" si="46"/>
        <v>0</v>
      </c>
      <c r="BC188" s="152">
        <f ca="1">SUM(Z$4:Z188)+SUM(BB$4:BB188)+COSTI!S$6-COSTI!L$1076</f>
        <v>-31.760000000000218</v>
      </c>
      <c r="BD188" s="1"/>
    </row>
    <row r="189" spans="1:56" ht="16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435">
        <f>IF(AND(W189&gt;=$U$1,W189&lt;=$U$2),IF(X189='ESTRATTO CONTO'!$E$2,1+COUNTIF(U$4:U188,"&gt;0"),0),0)</f>
        <v>0</v>
      </c>
      <c r="V189" s="417">
        <f t="shared" si="43"/>
        <v>186</v>
      </c>
      <c r="W189" s="509"/>
      <c r="X189" s="321"/>
      <c r="Y189" s="321"/>
      <c r="Z189" s="508"/>
      <c r="AA189" s="356"/>
      <c r="AB189" s="306" t="str">
        <f t="shared" si="39"/>
        <v/>
      </c>
      <c r="AC189" s="637">
        <f t="shared" ca="1" si="49"/>
        <v>-2.1316282072803006E-13</v>
      </c>
      <c r="AD189" s="935">
        <f>IF(ISERROR(VLOOKUP(AD$2,X190:X$1003,1,FALSE)),IF(X189=AD$2,SUMIF(X$4:X189,AD$2,Z$4:Z189)+$E$9+SUM(AQ$4:AQ$1003)+SUMIF(COSTI!$X$1379:$X$1430,AD$2,COSTI!$Z$1379:$Z$1430),0),0)</f>
        <v>0</v>
      </c>
      <c r="AE189" s="26"/>
      <c r="AF189" s="856" t="e">
        <f>IF(ISERROR(VLOOKUP(AG$2,X190:X$1003,1,FALSE)),IF(X189=AG$2,SUMIF(X$4:X189,AG$2,Z$4:Z189)+VLOOKUP(AF$2,$B$1057:$F$1068,5,FALSE)+SUM(AR$4:AR$1003)+SUMIF(COSTI!$X$1379:$X$1430,AG$2,COSTI!$Z$1379:$Z$1430),0),0)</f>
        <v>#N/A</v>
      </c>
      <c r="AG189" s="859"/>
      <c r="AH189" s="27" t="str">
        <f t="shared" si="40"/>
        <v/>
      </c>
      <c r="AI189" s="152">
        <f ca="1">IF(W190&gt;0,0,IF(AH189=0,(Z189*-1)+BC189+SUM(BB$4:BB188),BC189+SUM(BB$4:BB188)))</f>
        <v>-2.1316282072803006E-13</v>
      </c>
      <c r="AJ189" s="931">
        <f>IF(AND(AL189&gt;=$U$1,AL189&lt;=$U$2),IF(AM189='ESTRATTO CONTO'!$E$2,1+COUNTIF(AJ$4:AJ188,"&gt;0")+U$1015,0),0)</f>
        <v>0</v>
      </c>
      <c r="AK189" s="203">
        <f>IF(AND(OR((AK188+1)&lt;AL$1015,(AK188+1)=AL$1015),MAX(AK$4:AK188)&lt;AL$1015),AK188+1,0)</f>
        <v>0</v>
      </c>
      <c r="AL189" s="309">
        <f>VLOOKUP($AK189,ENTI!$AF$4:AG$1003,2,FALSE)</f>
        <v>0</v>
      </c>
      <c r="AM189" s="224">
        <f>VLOOKUP($AK189,ENTI!$AF$4:AH$1003,3,FALSE)</f>
        <v>0</v>
      </c>
      <c r="AN189" s="224">
        <f>VLOOKUP($AK189,ENTI!$AF$4:AI$1003,4,FALSE)</f>
        <v>0</v>
      </c>
      <c r="AO189" s="781">
        <f>VLOOKUP($AK189,ENTI!$AF$4:AJ$1003,5,FALSE)</f>
        <v>0</v>
      </c>
      <c r="AP189" s="315">
        <f>VLOOKUP($AK189,ENTI!$AF$4:AK$1003,6,FALSE)</f>
        <v>0</v>
      </c>
      <c r="AQ189" s="208">
        <f t="shared" si="47"/>
        <v>0</v>
      </c>
      <c r="AR189" s="152" t="e">
        <f t="shared" si="48"/>
        <v>#N/A</v>
      </c>
      <c r="AS189" s="1"/>
      <c r="AT189" s="88" t="str">
        <f t="shared" si="41"/>
        <v/>
      </c>
      <c r="AU189" s="1"/>
      <c r="AV189" s="175">
        <f>IF(AW189&gt;0,COUNTIF(AV$4:AV188,"&gt;0")+1,0)</f>
        <v>0</v>
      </c>
      <c r="AW189" s="164">
        <f t="shared" si="42"/>
        <v>0</v>
      </c>
      <c r="AX189" s="310">
        <f>IF($AW189=0,0,VLOOKUP(VLOOKUP($X189,$B$34:$T$38,19,FALSE),ENTI!$A$9:$B$13,2,FALSE))</f>
        <v>0</v>
      </c>
      <c r="AY189" s="310">
        <f t="shared" si="44"/>
        <v>0</v>
      </c>
      <c r="AZ189" s="316">
        <f t="shared" si="45"/>
        <v>0</v>
      </c>
      <c r="BA189" s="1"/>
      <c r="BB189" s="152">
        <f t="shared" si="46"/>
        <v>0</v>
      </c>
      <c r="BC189" s="152">
        <f ca="1">SUM(Z$4:Z189)+SUM(BB$4:BB189)+COSTI!S$6-COSTI!L$1076</f>
        <v>-31.760000000000218</v>
      </c>
      <c r="BD189" s="1"/>
    </row>
    <row r="190" spans="1:56" ht="16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435">
        <f>IF(AND(W190&gt;=$U$1,W190&lt;=$U$2),IF(X190='ESTRATTO CONTO'!$E$2,1+COUNTIF(U$4:U189,"&gt;0"),0),0)</f>
        <v>0</v>
      </c>
      <c r="V190" s="417">
        <f t="shared" si="43"/>
        <v>187</v>
      </c>
      <c r="W190" s="509"/>
      <c r="X190" s="321"/>
      <c r="Y190" s="321"/>
      <c r="Z190" s="508"/>
      <c r="AA190" s="356"/>
      <c r="AB190" s="306" t="str">
        <f t="shared" si="39"/>
        <v/>
      </c>
      <c r="AC190" s="637">
        <f t="shared" ca="1" si="49"/>
        <v>-2.1316282072803006E-13</v>
      </c>
      <c r="AD190" s="935">
        <f>IF(ISERROR(VLOOKUP(AD$2,X191:X$1003,1,FALSE)),IF(X190=AD$2,SUMIF(X$4:X190,AD$2,Z$4:Z190)+$E$9+SUM(AQ$4:AQ$1003)+SUMIF(COSTI!$X$1379:$X$1430,AD$2,COSTI!$Z$1379:$Z$1430),0),0)</f>
        <v>0</v>
      </c>
      <c r="AE190" s="26"/>
      <c r="AF190" s="856" t="e">
        <f>IF(ISERROR(VLOOKUP(AG$2,X191:X$1003,1,FALSE)),IF(X190=AG$2,SUMIF(X$4:X190,AG$2,Z$4:Z190)+VLOOKUP(AF$2,$B$1057:$F$1068,5,FALSE)+SUM(AR$4:AR$1003)+SUMIF(COSTI!$X$1379:$X$1430,AG$2,COSTI!$Z$1379:$Z$1430),0),0)</f>
        <v>#N/A</v>
      </c>
      <c r="AG190" s="859"/>
      <c r="AH190" s="27" t="str">
        <f t="shared" si="40"/>
        <v/>
      </c>
      <c r="AI190" s="152">
        <f ca="1">IF(W191&gt;0,0,IF(AH190=0,(Z190*-1)+BC190+SUM(BB$4:BB189),BC190+SUM(BB$4:BB189)))</f>
        <v>-2.1316282072803006E-13</v>
      </c>
      <c r="AJ190" s="931">
        <f>IF(AND(AL190&gt;=$U$1,AL190&lt;=$U$2),IF(AM190='ESTRATTO CONTO'!$E$2,1+COUNTIF(AJ$4:AJ189,"&gt;0")+U$1015,0),0)</f>
        <v>0</v>
      </c>
      <c r="AK190" s="203">
        <f>IF(AND(OR((AK189+1)&lt;AL$1015,(AK189+1)=AL$1015),MAX(AK$4:AK189)&lt;AL$1015),AK189+1,0)</f>
        <v>0</v>
      </c>
      <c r="AL190" s="309">
        <f>VLOOKUP($AK190,ENTI!$AF$4:AG$1003,2,FALSE)</f>
        <v>0</v>
      </c>
      <c r="AM190" s="224">
        <f>VLOOKUP($AK190,ENTI!$AF$4:AH$1003,3,FALSE)</f>
        <v>0</v>
      </c>
      <c r="AN190" s="224">
        <f>VLOOKUP($AK190,ENTI!$AF$4:AI$1003,4,FALSE)</f>
        <v>0</v>
      </c>
      <c r="AO190" s="781">
        <f>VLOOKUP($AK190,ENTI!$AF$4:AJ$1003,5,FALSE)</f>
        <v>0</v>
      </c>
      <c r="AP190" s="315">
        <f>VLOOKUP($AK190,ENTI!$AF$4:AK$1003,6,FALSE)</f>
        <v>0</v>
      </c>
      <c r="AQ190" s="208">
        <f t="shared" si="47"/>
        <v>0</v>
      </c>
      <c r="AR190" s="152" t="e">
        <f t="shared" si="48"/>
        <v>#N/A</v>
      </c>
      <c r="AS190" s="1"/>
      <c r="AT190" s="88" t="str">
        <f t="shared" si="41"/>
        <v/>
      </c>
      <c r="AU190" s="1"/>
      <c r="AV190" s="175">
        <f>IF(AW190&gt;0,COUNTIF(AV$4:AV189,"&gt;0")+1,0)</f>
        <v>0</v>
      </c>
      <c r="AW190" s="164">
        <f t="shared" si="42"/>
        <v>0</v>
      </c>
      <c r="AX190" s="310">
        <f>IF($AW190=0,0,VLOOKUP(VLOOKUP($X190,$B$34:$T$38,19,FALSE),ENTI!$A$9:$B$13,2,FALSE))</f>
        <v>0</v>
      </c>
      <c r="AY190" s="310">
        <f t="shared" si="44"/>
        <v>0</v>
      </c>
      <c r="AZ190" s="316">
        <f t="shared" si="45"/>
        <v>0</v>
      </c>
      <c r="BA190" s="1"/>
      <c r="BB190" s="152">
        <f t="shared" si="46"/>
        <v>0</v>
      </c>
      <c r="BC190" s="152">
        <f ca="1">SUM(Z$4:Z190)+SUM(BB$4:BB190)+COSTI!S$6-COSTI!L$1076</f>
        <v>-31.760000000000218</v>
      </c>
      <c r="BD190" s="1"/>
    </row>
    <row r="191" spans="1:56" ht="16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435">
        <f>IF(AND(W191&gt;=$U$1,W191&lt;=$U$2),IF(X191='ESTRATTO CONTO'!$E$2,1+COUNTIF(U$4:U190,"&gt;0"),0),0)</f>
        <v>0</v>
      </c>
      <c r="V191" s="417">
        <f t="shared" si="43"/>
        <v>188</v>
      </c>
      <c r="W191" s="509"/>
      <c r="X191" s="321"/>
      <c r="Y191" s="321"/>
      <c r="Z191" s="508"/>
      <c r="AA191" s="356"/>
      <c r="AB191" s="306" t="str">
        <f t="shared" si="39"/>
        <v/>
      </c>
      <c r="AC191" s="637">
        <f t="shared" ca="1" si="49"/>
        <v>-2.1316282072803006E-13</v>
      </c>
      <c r="AD191" s="935">
        <f>IF(ISERROR(VLOOKUP(AD$2,X192:X$1003,1,FALSE)),IF(X191=AD$2,SUMIF(X$4:X191,AD$2,Z$4:Z191)+$E$9+SUM(AQ$4:AQ$1003)+SUMIF(COSTI!$X$1379:$X$1430,AD$2,COSTI!$Z$1379:$Z$1430),0),0)</f>
        <v>0</v>
      </c>
      <c r="AE191" s="26"/>
      <c r="AF191" s="856" t="e">
        <f>IF(ISERROR(VLOOKUP(AG$2,X192:X$1003,1,FALSE)),IF(X191=AG$2,SUMIF(X$4:X191,AG$2,Z$4:Z191)+VLOOKUP(AF$2,$B$1057:$F$1068,5,FALSE)+SUM(AR$4:AR$1003)+SUMIF(COSTI!$X$1379:$X$1430,AG$2,COSTI!$Z$1379:$Z$1430),0),0)</f>
        <v>#N/A</v>
      </c>
      <c r="AG191" s="859"/>
      <c r="AH191" s="27" t="str">
        <f t="shared" si="40"/>
        <v/>
      </c>
      <c r="AI191" s="152">
        <f ca="1">IF(W192&gt;0,0,IF(AH191=0,(Z191*-1)+BC191+SUM(BB$4:BB190),BC191+SUM(BB$4:BB190)))</f>
        <v>-2.1316282072803006E-13</v>
      </c>
      <c r="AJ191" s="931">
        <f>IF(AND(AL191&gt;=$U$1,AL191&lt;=$U$2),IF(AM191='ESTRATTO CONTO'!$E$2,1+COUNTIF(AJ$4:AJ190,"&gt;0")+U$1015,0),0)</f>
        <v>0</v>
      </c>
      <c r="AK191" s="203">
        <f>IF(AND(OR((AK190+1)&lt;AL$1015,(AK190+1)=AL$1015),MAX(AK$4:AK190)&lt;AL$1015),AK190+1,0)</f>
        <v>0</v>
      </c>
      <c r="AL191" s="309">
        <f>VLOOKUP($AK191,ENTI!$AF$4:AG$1003,2,FALSE)</f>
        <v>0</v>
      </c>
      <c r="AM191" s="224">
        <f>VLOOKUP($AK191,ENTI!$AF$4:AH$1003,3,FALSE)</f>
        <v>0</v>
      </c>
      <c r="AN191" s="224">
        <f>VLOOKUP($AK191,ENTI!$AF$4:AI$1003,4,FALSE)</f>
        <v>0</v>
      </c>
      <c r="AO191" s="781">
        <f>VLOOKUP($AK191,ENTI!$AF$4:AJ$1003,5,FALSE)</f>
        <v>0</v>
      </c>
      <c r="AP191" s="315">
        <f>VLOOKUP($AK191,ENTI!$AF$4:AK$1003,6,FALSE)</f>
        <v>0</v>
      </c>
      <c r="AQ191" s="208">
        <f t="shared" si="47"/>
        <v>0</v>
      </c>
      <c r="AR191" s="152" t="e">
        <f t="shared" si="48"/>
        <v>#N/A</v>
      </c>
      <c r="AS191" s="1"/>
      <c r="AT191" s="88" t="str">
        <f t="shared" si="41"/>
        <v/>
      </c>
      <c r="AU191" s="1"/>
      <c r="AV191" s="175">
        <f>IF(AW191&gt;0,COUNTIF(AV$4:AV190,"&gt;0")+1,0)</f>
        <v>0</v>
      </c>
      <c r="AW191" s="164">
        <f t="shared" si="42"/>
        <v>0</v>
      </c>
      <c r="AX191" s="310">
        <f>IF($AW191=0,0,VLOOKUP(VLOOKUP($X191,$B$34:$T$38,19,FALSE),ENTI!$A$9:$B$13,2,FALSE))</f>
        <v>0</v>
      </c>
      <c r="AY191" s="310">
        <f t="shared" si="44"/>
        <v>0</v>
      </c>
      <c r="AZ191" s="316">
        <f t="shared" si="45"/>
        <v>0</v>
      </c>
      <c r="BA191" s="1"/>
      <c r="BB191" s="152">
        <f t="shared" si="46"/>
        <v>0</v>
      </c>
      <c r="BC191" s="152">
        <f ca="1">SUM(Z$4:Z191)+SUM(BB$4:BB191)+COSTI!S$6-COSTI!L$1076</f>
        <v>-31.760000000000218</v>
      </c>
      <c r="BD191" s="1"/>
    </row>
    <row r="192" spans="1:56" ht="16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435">
        <f>IF(AND(W192&gt;=$U$1,W192&lt;=$U$2),IF(X192='ESTRATTO CONTO'!$E$2,1+COUNTIF(U$4:U191,"&gt;0"),0),0)</f>
        <v>0</v>
      </c>
      <c r="V192" s="417">
        <f t="shared" si="43"/>
        <v>189</v>
      </c>
      <c r="W192" s="509"/>
      <c r="X192" s="321"/>
      <c r="Y192" s="321"/>
      <c r="Z192" s="508"/>
      <c r="AA192" s="356"/>
      <c r="AB192" s="306" t="str">
        <f t="shared" si="39"/>
        <v/>
      </c>
      <c r="AC192" s="637">
        <f t="shared" ca="1" si="49"/>
        <v>-2.1316282072803006E-13</v>
      </c>
      <c r="AD192" s="935">
        <f>IF(ISERROR(VLOOKUP(AD$2,X193:X$1003,1,FALSE)),IF(X192=AD$2,SUMIF(X$4:X192,AD$2,Z$4:Z192)+$E$9+SUM(AQ$4:AQ$1003)+SUMIF(COSTI!$X$1379:$X$1430,AD$2,COSTI!$Z$1379:$Z$1430),0),0)</f>
        <v>0</v>
      </c>
      <c r="AE192" s="26"/>
      <c r="AF192" s="856" t="e">
        <f>IF(ISERROR(VLOOKUP(AG$2,X193:X$1003,1,FALSE)),IF(X192=AG$2,SUMIF(X$4:X192,AG$2,Z$4:Z192)+VLOOKUP(AF$2,$B$1057:$F$1068,5,FALSE)+SUM(AR$4:AR$1003)+SUMIF(COSTI!$X$1379:$X$1430,AG$2,COSTI!$Z$1379:$Z$1430),0),0)</f>
        <v>#N/A</v>
      </c>
      <c r="AG192" s="859"/>
      <c r="AH192" s="27" t="str">
        <f t="shared" si="40"/>
        <v/>
      </c>
      <c r="AI192" s="152">
        <f ca="1">IF(W193&gt;0,0,IF(AH192=0,(Z192*-1)+BC192+SUM(BB$4:BB191),BC192+SUM(BB$4:BB191)))</f>
        <v>-2.1316282072803006E-13</v>
      </c>
      <c r="AJ192" s="931">
        <f>IF(AND(AL192&gt;=$U$1,AL192&lt;=$U$2),IF(AM192='ESTRATTO CONTO'!$E$2,1+COUNTIF(AJ$4:AJ191,"&gt;0")+U$1015,0),0)</f>
        <v>0</v>
      </c>
      <c r="AK192" s="203">
        <f>IF(AND(OR((AK191+1)&lt;AL$1015,(AK191+1)=AL$1015),MAX(AK$4:AK191)&lt;AL$1015),AK191+1,0)</f>
        <v>0</v>
      </c>
      <c r="AL192" s="309">
        <f>VLOOKUP($AK192,ENTI!$AF$4:AG$1003,2,FALSE)</f>
        <v>0</v>
      </c>
      <c r="AM192" s="224">
        <f>VLOOKUP($AK192,ENTI!$AF$4:AH$1003,3,FALSE)</f>
        <v>0</v>
      </c>
      <c r="AN192" s="224">
        <f>VLOOKUP($AK192,ENTI!$AF$4:AI$1003,4,FALSE)</f>
        <v>0</v>
      </c>
      <c r="AO192" s="781">
        <f>VLOOKUP($AK192,ENTI!$AF$4:AJ$1003,5,FALSE)</f>
        <v>0</v>
      </c>
      <c r="AP192" s="315">
        <f>VLOOKUP($AK192,ENTI!$AF$4:AK$1003,6,FALSE)</f>
        <v>0</v>
      </c>
      <c r="AQ192" s="208">
        <f t="shared" si="47"/>
        <v>0</v>
      </c>
      <c r="AR192" s="152" t="e">
        <f t="shared" si="48"/>
        <v>#N/A</v>
      </c>
      <c r="AS192" s="1"/>
      <c r="AT192" s="88" t="str">
        <f t="shared" si="41"/>
        <v/>
      </c>
      <c r="AU192" s="1"/>
      <c r="AV192" s="175">
        <f>IF(AW192&gt;0,COUNTIF(AV$4:AV191,"&gt;0")+1,0)</f>
        <v>0</v>
      </c>
      <c r="AW192" s="164">
        <f t="shared" si="42"/>
        <v>0</v>
      </c>
      <c r="AX192" s="310">
        <f>IF($AW192=0,0,VLOOKUP(VLOOKUP($X192,$B$34:$T$38,19,FALSE),ENTI!$A$9:$B$13,2,FALSE))</f>
        <v>0</v>
      </c>
      <c r="AY192" s="310">
        <f t="shared" si="44"/>
        <v>0</v>
      </c>
      <c r="AZ192" s="316">
        <f t="shared" si="45"/>
        <v>0</v>
      </c>
      <c r="BA192" s="1"/>
      <c r="BB192" s="152">
        <f t="shared" si="46"/>
        <v>0</v>
      </c>
      <c r="BC192" s="152">
        <f ca="1">SUM(Z$4:Z192)+SUM(BB$4:BB192)+COSTI!S$6-COSTI!L$1076</f>
        <v>-31.760000000000218</v>
      </c>
      <c r="BD192" s="1"/>
    </row>
    <row r="193" spans="1:56" ht="16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435">
        <f>IF(AND(W193&gt;=$U$1,W193&lt;=$U$2),IF(X193='ESTRATTO CONTO'!$E$2,1+COUNTIF(U$4:U192,"&gt;0"),0),0)</f>
        <v>0</v>
      </c>
      <c r="V193" s="417">
        <f t="shared" si="43"/>
        <v>190</v>
      </c>
      <c r="W193" s="509"/>
      <c r="X193" s="321"/>
      <c r="Y193" s="321"/>
      <c r="Z193" s="508"/>
      <c r="AA193" s="356"/>
      <c r="AB193" s="306" t="str">
        <f t="shared" si="39"/>
        <v/>
      </c>
      <c r="AC193" s="637">
        <f t="shared" ca="1" si="49"/>
        <v>-2.1316282072803006E-13</v>
      </c>
      <c r="AD193" s="935">
        <f>IF(ISERROR(VLOOKUP(AD$2,X194:X$1003,1,FALSE)),IF(X193=AD$2,SUMIF(X$4:X193,AD$2,Z$4:Z193)+$E$9+SUM(AQ$4:AQ$1003)+SUMIF(COSTI!$X$1379:$X$1430,AD$2,COSTI!$Z$1379:$Z$1430),0),0)</f>
        <v>0</v>
      </c>
      <c r="AE193" s="26"/>
      <c r="AF193" s="856" t="e">
        <f>IF(ISERROR(VLOOKUP(AG$2,X194:X$1003,1,FALSE)),IF(X193=AG$2,SUMIF(X$4:X193,AG$2,Z$4:Z193)+VLOOKUP(AF$2,$B$1057:$F$1068,5,FALSE)+SUM(AR$4:AR$1003)+SUMIF(COSTI!$X$1379:$X$1430,AG$2,COSTI!$Z$1379:$Z$1430),0),0)</f>
        <v>#N/A</v>
      </c>
      <c r="AG193" s="859"/>
      <c r="AH193" s="27" t="str">
        <f t="shared" si="40"/>
        <v/>
      </c>
      <c r="AI193" s="152">
        <f ca="1">IF(W194&gt;0,0,IF(AH193=0,(Z193*-1)+BC193+SUM(BB$4:BB192),BC193+SUM(BB$4:BB192)))</f>
        <v>-2.1316282072803006E-13</v>
      </c>
      <c r="AJ193" s="931">
        <f>IF(AND(AL193&gt;=$U$1,AL193&lt;=$U$2),IF(AM193='ESTRATTO CONTO'!$E$2,1+COUNTIF(AJ$4:AJ192,"&gt;0")+U$1015,0),0)</f>
        <v>0</v>
      </c>
      <c r="AK193" s="203">
        <f>IF(AND(OR((AK192+1)&lt;AL$1015,(AK192+1)=AL$1015),MAX(AK$4:AK192)&lt;AL$1015),AK192+1,0)</f>
        <v>0</v>
      </c>
      <c r="AL193" s="309">
        <f>VLOOKUP($AK193,ENTI!$AF$4:AG$1003,2,FALSE)</f>
        <v>0</v>
      </c>
      <c r="AM193" s="224">
        <f>VLOOKUP($AK193,ENTI!$AF$4:AH$1003,3,FALSE)</f>
        <v>0</v>
      </c>
      <c r="AN193" s="224">
        <f>VLOOKUP($AK193,ENTI!$AF$4:AI$1003,4,FALSE)</f>
        <v>0</v>
      </c>
      <c r="AO193" s="781">
        <f>VLOOKUP($AK193,ENTI!$AF$4:AJ$1003,5,FALSE)</f>
        <v>0</v>
      </c>
      <c r="AP193" s="315">
        <f>VLOOKUP($AK193,ENTI!$AF$4:AK$1003,6,FALSE)</f>
        <v>0</v>
      </c>
      <c r="AQ193" s="208">
        <f t="shared" si="47"/>
        <v>0</v>
      </c>
      <c r="AR193" s="152" t="e">
        <f t="shared" si="48"/>
        <v>#N/A</v>
      </c>
      <c r="AS193" s="1"/>
      <c r="AT193" s="88" t="str">
        <f t="shared" si="41"/>
        <v/>
      </c>
      <c r="AU193" s="1"/>
      <c r="AV193" s="175">
        <f>IF(AW193&gt;0,COUNTIF(AV$4:AV192,"&gt;0")+1,0)</f>
        <v>0</v>
      </c>
      <c r="AW193" s="164">
        <f t="shared" si="42"/>
        <v>0</v>
      </c>
      <c r="AX193" s="310">
        <f>IF($AW193=0,0,VLOOKUP(VLOOKUP($X193,$B$34:$T$38,19,FALSE),ENTI!$A$9:$B$13,2,FALSE))</f>
        <v>0</v>
      </c>
      <c r="AY193" s="310">
        <f t="shared" si="44"/>
        <v>0</v>
      </c>
      <c r="AZ193" s="316">
        <f t="shared" si="45"/>
        <v>0</v>
      </c>
      <c r="BA193" s="1"/>
      <c r="BB193" s="152">
        <f t="shared" si="46"/>
        <v>0</v>
      </c>
      <c r="BC193" s="152">
        <f ca="1">SUM(Z$4:Z193)+SUM(BB$4:BB193)+COSTI!S$6-COSTI!L$1076</f>
        <v>-31.760000000000218</v>
      </c>
      <c r="BD193" s="1"/>
    </row>
    <row r="194" spans="1:56" ht="16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435">
        <f>IF(AND(W194&gt;=$U$1,W194&lt;=$U$2),IF(X194='ESTRATTO CONTO'!$E$2,1+COUNTIF(U$4:U193,"&gt;0"),0),0)</f>
        <v>0</v>
      </c>
      <c r="V194" s="417">
        <f t="shared" si="43"/>
        <v>191</v>
      </c>
      <c r="W194" s="509"/>
      <c r="X194" s="321"/>
      <c r="Y194" s="321"/>
      <c r="Z194" s="508"/>
      <c r="AA194" s="356"/>
      <c r="AB194" s="306" t="str">
        <f t="shared" si="39"/>
        <v/>
      </c>
      <c r="AC194" s="637">
        <f t="shared" ca="1" si="49"/>
        <v>-2.1316282072803006E-13</v>
      </c>
      <c r="AD194" s="935">
        <f>IF(ISERROR(VLOOKUP(AD$2,X195:X$1003,1,FALSE)),IF(X194=AD$2,SUMIF(X$4:X194,AD$2,Z$4:Z194)+$E$9+SUM(AQ$4:AQ$1003)+SUMIF(COSTI!$X$1379:$X$1430,AD$2,COSTI!$Z$1379:$Z$1430),0),0)</f>
        <v>0</v>
      </c>
      <c r="AE194" s="26"/>
      <c r="AF194" s="856" t="e">
        <f>IF(ISERROR(VLOOKUP(AG$2,X195:X$1003,1,FALSE)),IF(X194=AG$2,SUMIF(X$4:X194,AG$2,Z$4:Z194)+VLOOKUP(AF$2,$B$1057:$F$1068,5,FALSE)+SUM(AR$4:AR$1003)+SUMIF(COSTI!$X$1379:$X$1430,AG$2,COSTI!$Z$1379:$Z$1430),0),0)</f>
        <v>#N/A</v>
      </c>
      <c r="AG194" s="859"/>
      <c r="AH194" s="27" t="str">
        <f t="shared" si="40"/>
        <v/>
      </c>
      <c r="AI194" s="152">
        <f ca="1">IF(W195&gt;0,0,IF(AH194=0,(Z194*-1)+BC194+SUM(BB$4:BB193),BC194+SUM(BB$4:BB193)))</f>
        <v>-2.1316282072803006E-13</v>
      </c>
      <c r="AJ194" s="931">
        <f>IF(AND(AL194&gt;=$U$1,AL194&lt;=$U$2),IF(AM194='ESTRATTO CONTO'!$E$2,1+COUNTIF(AJ$4:AJ193,"&gt;0")+U$1015,0),0)</f>
        <v>0</v>
      </c>
      <c r="AK194" s="203">
        <f>IF(AND(OR((AK193+1)&lt;AL$1015,(AK193+1)=AL$1015),MAX(AK$4:AK193)&lt;AL$1015),AK193+1,0)</f>
        <v>0</v>
      </c>
      <c r="AL194" s="309">
        <f>VLOOKUP($AK194,ENTI!$AF$4:AG$1003,2,FALSE)</f>
        <v>0</v>
      </c>
      <c r="AM194" s="224">
        <f>VLOOKUP($AK194,ENTI!$AF$4:AH$1003,3,FALSE)</f>
        <v>0</v>
      </c>
      <c r="AN194" s="224">
        <f>VLOOKUP($AK194,ENTI!$AF$4:AI$1003,4,FALSE)</f>
        <v>0</v>
      </c>
      <c r="AO194" s="781">
        <f>VLOOKUP($AK194,ENTI!$AF$4:AJ$1003,5,FALSE)</f>
        <v>0</v>
      </c>
      <c r="AP194" s="315">
        <f>VLOOKUP($AK194,ENTI!$AF$4:AK$1003,6,FALSE)</f>
        <v>0</v>
      </c>
      <c r="AQ194" s="208">
        <f t="shared" si="47"/>
        <v>0</v>
      </c>
      <c r="AR194" s="152" t="e">
        <f t="shared" si="48"/>
        <v>#N/A</v>
      </c>
      <c r="AS194" s="1"/>
      <c r="AT194" s="88" t="str">
        <f t="shared" si="41"/>
        <v/>
      </c>
      <c r="AU194" s="1"/>
      <c r="AV194" s="175">
        <f>IF(AW194&gt;0,COUNTIF(AV$4:AV193,"&gt;0")+1,0)</f>
        <v>0</v>
      </c>
      <c r="AW194" s="164">
        <f t="shared" si="42"/>
        <v>0</v>
      </c>
      <c r="AX194" s="310">
        <f>IF($AW194=0,0,VLOOKUP(VLOOKUP($X194,$B$34:$T$38,19,FALSE),ENTI!$A$9:$B$13,2,FALSE))</f>
        <v>0</v>
      </c>
      <c r="AY194" s="310">
        <f t="shared" si="44"/>
        <v>0</v>
      </c>
      <c r="AZ194" s="316">
        <f t="shared" si="45"/>
        <v>0</v>
      </c>
      <c r="BA194" s="1"/>
      <c r="BB194" s="152">
        <f t="shared" si="46"/>
        <v>0</v>
      </c>
      <c r="BC194" s="152">
        <f ca="1">SUM(Z$4:Z194)+SUM(BB$4:BB194)+COSTI!S$6-COSTI!L$1076</f>
        <v>-31.760000000000218</v>
      </c>
      <c r="BD194" s="1"/>
    </row>
    <row r="195" spans="1:56" ht="16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435">
        <f>IF(AND(W195&gt;=$U$1,W195&lt;=$U$2),IF(X195='ESTRATTO CONTO'!$E$2,1+COUNTIF(U$4:U194,"&gt;0"),0),0)</f>
        <v>0</v>
      </c>
      <c r="V195" s="417">
        <f t="shared" si="43"/>
        <v>192</v>
      </c>
      <c r="W195" s="509"/>
      <c r="X195" s="321"/>
      <c r="Y195" s="321"/>
      <c r="Z195" s="508"/>
      <c r="AA195" s="356"/>
      <c r="AB195" s="306" t="str">
        <f t="shared" si="39"/>
        <v/>
      </c>
      <c r="AC195" s="637">
        <f t="shared" ca="1" si="49"/>
        <v>-2.1316282072803006E-13</v>
      </c>
      <c r="AD195" s="935">
        <f>IF(ISERROR(VLOOKUP(AD$2,X196:X$1003,1,FALSE)),IF(X195=AD$2,SUMIF(X$4:X195,AD$2,Z$4:Z195)+$E$9+SUM(AQ$4:AQ$1003)+SUMIF(COSTI!$X$1379:$X$1430,AD$2,COSTI!$Z$1379:$Z$1430),0),0)</f>
        <v>0</v>
      </c>
      <c r="AE195" s="26"/>
      <c r="AF195" s="856" t="e">
        <f>IF(ISERROR(VLOOKUP(AG$2,X196:X$1003,1,FALSE)),IF(X195=AG$2,SUMIF(X$4:X195,AG$2,Z$4:Z195)+VLOOKUP(AF$2,$B$1057:$F$1068,5,FALSE)+SUM(AR$4:AR$1003)+SUMIF(COSTI!$X$1379:$X$1430,AG$2,COSTI!$Z$1379:$Z$1430),0),0)</f>
        <v>#N/A</v>
      </c>
      <c r="AG195" s="859"/>
      <c r="AH195" s="27" t="str">
        <f t="shared" si="40"/>
        <v/>
      </c>
      <c r="AI195" s="152">
        <f ca="1">IF(W196&gt;0,0,IF(AH195=0,(Z195*-1)+BC195+SUM(BB$4:BB194),BC195+SUM(BB$4:BB194)))</f>
        <v>-2.1316282072803006E-13</v>
      </c>
      <c r="AJ195" s="931">
        <f>IF(AND(AL195&gt;=$U$1,AL195&lt;=$U$2),IF(AM195='ESTRATTO CONTO'!$E$2,1+COUNTIF(AJ$4:AJ194,"&gt;0")+U$1015,0),0)</f>
        <v>0</v>
      </c>
      <c r="AK195" s="203">
        <f>IF(AND(OR((AK194+1)&lt;AL$1015,(AK194+1)=AL$1015),MAX(AK$4:AK194)&lt;AL$1015),AK194+1,0)</f>
        <v>0</v>
      </c>
      <c r="AL195" s="309">
        <f>VLOOKUP($AK195,ENTI!$AF$4:AG$1003,2,FALSE)</f>
        <v>0</v>
      </c>
      <c r="AM195" s="224">
        <f>VLOOKUP($AK195,ENTI!$AF$4:AH$1003,3,FALSE)</f>
        <v>0</v>
      </c>
      <c r="AN195" s="224">
        <f>VLOOKUP($AK195,ENTI!$AF$4:AI$1003,4,FALSE)</f>
        <v>0</v>
      </c>
      <c r="AO195" s="781">
        <f>VLOOKUP($AK195,ENTI!$AF$4:AJ$1003,5,FALSE)</f>
        <v>0</v>
      </c>
      <c r="AP195" s="315">
        <f>VLOOKUP($AK195,ENTI!$AF$4:AK$1003,6,FALSE)</f>
        <v>0</v>
      </c>
      <c r="AQ195" s="208">
        <f t="shared" si="47"/>
        <v>0</v>
      </c>
      <c r="AR195" s="152" t="e">
        <f t="shared" si="48"/>
        <v>#N/A</v>
      </c>
      <c r="AS195" s="1"/>
      <c r="AT195" s="88" t="str">
        <f t="shared" si="41"/>
        <v/>
      </c>
      <c r="AU195" s="1"/>
      <c r="AV195" s="175">
        <f>IF(AW195&gt;0,COUNTIF(AV$4:AV194,"&gt;0")+1,0)</f>
        <v>0</v>
      </c>
      <c r="AW195" s="164">
        <f t="shared" si="42"/>
        <v>0</v>
      </c>
      <c r="AX195" s="310">
        <f>IF($AW195=0,0,VLOOKUP(VLOOKUP($X195,$B$34:$T$38,19,FALSE),ENTI!$A$9:$B$13,2,FALSE))</f>
        <v>0</v>
      </c>
      <c r="AY195" s="310">
        <f t="shared" si="44"/>
        <v>0</v>
      </c>
      <c r="AZ195" s="316">
        <f t="shared" si="45"/>
        <v>0</v>
      </c>
      <c r="BA195" s="1"/>
      <c r="BB195" s="152">
        <f t="shared" si="46"/>
        <v>0</v>
      </c>
      <c r="BC195" s="152">
        <f ca="1">SUM(Z$4:Z195)+SUM(BB$4:BB195)+COSTI!S$6-COSTI!L$1076</f>
        <v>-31.760000000000218</v>
      </c>
      <c r="BD195" s="1"/>
    </row>
    <row r="196" spans="1:56" ht="16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435">
        <f>IF(AND(W196&gt;=$U$1,W196&lt;=$U$2),IF(X196='ESTRATTO CONTO'!$E$2,1+COUNTIF(U$4:U195,"&gt;0"),0),0)</f>
        <v>0</v>
      </c>
      <c r="V196" s="417">
        <f t="shared" si="43"/>
        <v>193</v>
      </c>
      <c r="W196" s="509"/>
      <c r="X196" s="321"/>
      <c r="Y196" s="321"/>
      <c r="Z196" s="508"/>
      <c r="AA196" s="356"/>
      <c r="AB196" s="306" t="str">
        <f t="shared" ref="AB196:AB259" si="50">IF(W196&gt;0,IF(AND(W196&gt;=W$1012,W196&lt;=W$1013),CONCATENATE(MONTH(W196)&amp;X196),0),"")</f>
        <v/>
      </c>
      <c r="AC196" s="637">
        <f t="shared" ca="1" si="49"/>
        <v>-2.1316282072803006E-13</v>
      </c>
      <c r="AD196" s="935">
        <f>IF(ISERROR(VLOOKUP(AD$2,X197:X$1003,1,FALSE)),IF(X196=AD$2,SUMIF(X$4:X196,AD$2,Z$4:Z196)+$E$9+SUM(AQ$4:AQ$1003)+SUMIF(COSTI!$X$1379:$X$1430,AD$2,COSTI!$Z$1379:$Z$1430),0),0)</f>
        <v>0</v>
      </c>
      <c r="AE196" s="26"/>
      <c r="AF196" s="856" t="e">
        <f>IF(ISERROR(VLOOKUP(AG$2,X197:X$1003,1,FALSE)),IF(X196=AG$2,SUMIF(X$4:X196,AG$2,Z$4:Z196)+VLOOKUP(AF$2,$B$1057:$F$1068,5,FALSE)+SUM(AR$4:AR$1003)+SUMIF(COSTI!$X$1379:$X$1430,AG$2,COSTI!$Z$1379:$Z$1430),0),0)</f>
        <v>#N/A</v>
      </c>
      <c r="AG196" s="859"/>
      <c r="AH196" s="27" t="str">
        <f t="shared" ref="AH196:AH259" si="51">IF(ISBLANK(X196),"",IF(ISERROR(VLOOKUP(X196,B$34:B$38,1,FALSE)),1,0))</f>
        <v/>
      </c>
      <c r="AI196" s="152">
        <f ca="1">IF(W197&gt;0,0,IF(AH196=0,(Z196*-1)+BC196+SUM(BB$4:BB195),BC196+SUM(BB$4:BB195)))</f>
        <v>-2.1316282072803006E-13</v>
      </c>
      <c r="AJ196" s="931">
        <f>IF(AND(AL196&gt;=$U$1,AL196&lt;=$U$2),IF(AM196='ESTRATTO CONTO'!$E$2,1+COUNTIF(AJ$4:AJ195,"&gt;0")+U$1015,0),0)</f>
        <v>0</v>
      </c>
      <c r="AK196" s="203">
        <f>IF(AND(OR((AK195+1)&lt;AL$1015,(AK195+1)=AL$1015),MAX(AK$4:AK195)&lt;AL$1015),AK195+1,0)</f>
        <v>0</v>
      </c>
      <c r="AL196" s="309">
        <f>VLOOKUP($AK196,ENTI!$AF$4:AG$1003,2,FALSE)</f>
        <v>0</v>
      </c>
      <c r="AM196" s="224">
        <f>VLOOKUP($AK196,ENTI!$AF$4:AH$1003,3,FALSE)</f>
        <v>0</v>
      </c>
      <c r="AN196" s="224">
        <f>VLOOKUP($AK196,ENTI!$AF$4:AI$1003,4,FALSE)</f>
        <v>0</v>
      </c>
      <c r="AO196" s="781">
        <f>VLOOKUP($AK196,ENTI!$AF$4:AJ$1003,5,FALSE)</f>
        <v>0</v>
      </c>
      <c r="AP196" s="315">
        <f>VLOOKUP($AK196,ENTI!$AF$4:AK$1003,6,FALSE)</f>
        <v>0</v>
      </c>
      <c r="AQ196" s="208">
        <f t="shared" si="47"/>
        <v>0</v>
      </c>
      <c r="AR196" s="152" t="e">
        <f t="shared" si="48"/>
        <v>#N/A</v>
      </c>
      <c r="AS196" s="1"/>
      <c r="AT196" s="88" t="str">
        <f t="shared" ref="AT196:AT259" si="52">IF(AL196&gt;0,IF(AND(AL196&gt;=W$1012,AL196&lt;=W$1013),CONCATENATE(MONTH(AL196)&amp;AM196),0),"")</f>
        <v/>
      </c>
      <c r="AU196" s="1"/>
      <c r="AV196" s="175">
        <f>IF(AW196&gt;0,COUNTIF(AV$4:AV195,"&gt;0")+1,0)</f>
        <v>0</v>
      </c>
      <c r="AW196" s="164">
        <f t="shared" ref="AW196:AW259" si="53">IF(ISERROR(VLOOKUP($X196,$B$34:$B$38,1,FALSE)),0,W196)</f>
        <v>0</v>
      </c>
      <c r="AX196" s="310">
        <f>IF($AW196=0,0,VLOOKUP(VLOOKUP($X196,$B$34:$T$38,19,FALSE),ENTI!$A$9:$B$13,2,FALSE))</f>
        <v>0</v>
      </c>
      <c r="AY196" s="310">
        <f t="shared" si="44"/>
        <v>0</v>
      </c>
      <c r="AZ196" s="316">
        <f t="shared" si="45"/>
        <v>0</v>
      </c>
      <c r="BA196" s="1"/>
      <c r="BB196" s="152">
        <f t="shared" si="46"/>
        <v>0</v>
      </c>
      <c r="BC196" s="152">
        <f ca="1">SUM(Z$4:Z196)+SUM(BB$4:BB196)+COSTI!S$6-COSTI!L$1076</f>
        <v>-31.760000000000218</v>
      </c>
      <c r="BD196" s="1"/>
    </row>
    <row r="197" spans="1:56" ht="16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435">
        <f>IF(AND(W197&gt;=$U$1,W197&lt;=$U$2),IF(X197='ESTRATTO CONTO'!$E$2,1+COUNTIF(U$4:U196,"&gt;0"),0),0)</f>
        <v>0</v>
      </c>
      <c r="V197" s="417">
        <f t="shared" si="43"/>
        <v>194</v>
      </c>
      <c r="W197" s="509"/>
      <c r="X197" s="321"/>
      <c r="Y197" s="321"/>
      <c r="Z197" s="508"/>
      <c r="AA197" s="356"/>
      <c r="AB197" s="306" t="str">
        <f t="shared" si="50"/>
        <v/>
      </c>
      <c r="AC197" s="637">
        <f t="shared" ca="1" si="49"/>
        <v>-2.1316282072803006E-13</v>
      </c>
      <c r="AD197" s="935">
        <f>IF(ISERROR(VLOOKUP(AD$2,X198:X$1003,1,FALSE)),IF(X197=AD$2,SUMIF(X$4:X197,AD$2,Z$4:Z197)+$E$9+SUM(AQ$4:AQ$1003)+SUMIF(COSTI!$X$1379:$X$1430,AD$2,COSTI!$Z$1379:$Z$1430),0),0)</f>
        <v>0</v>
      </c>
      <c r="AE197" s="26"/>
      <c r="AF197" s="856" t="e">
        <f>IF(ISERROR(VLOOKUP(AG$2,X198:X$1003,1,FALSE)),IF(X197=AG$2,SUMIF(X$4:X197,AG$2,Z$4:Z197)+VLOOKUP(AF$2,$B$1057:$F$1068,5,FALSE)+SUM(AR$4:AR$1003)+SUMIF(COSTI!$X$1379:$X$1430,AG$2,COSTI!$Z$1379:$Z$1430),0),0)</f>
        <v>#N/A</v>
      </c>
      <c r="AG197" s="859"/>
      <c r="AH197" s="27" t="str">
        <f t="shared" si="51"/>
        <v/>
      </c>
      <c r="AI197" s="152">
        <f ca="1">IF(W198&gt;0,0,IF(AH197=0,(Z197*-1)+BC197+SUM(BB$4:BB196),BC197+SUM(BB$4:BB196)))</f>
        <v>-2.1316282072803006E-13</v>
      </c>
      <c r="AJ197" s="931">
        <f>IF(AND(AL197&gt;=$U$1,AL197&lt;=$U$2),IF(AM197='ESTRATTO CONTO'!$E$2,1+COUNTIF(AJ$4:AJ196,"&gt;0")+U$1015,0),0)</f>
        <v>0</v>
      </c>
      <c r="AK197" s="203">
        <f>IF(AND(OR((AK196+1)&lt;AL$1015,(AK196+1)=AL$1015),MAX(AK$4:AK196)&lt;AL$1015),AK196+1,0)</f>
        <v>0</v>
      </c>
      <c r="AL197" s="309">
        <f>VLOOKUP($AK197,ENTI!$AF$4:AG$1003,2,FALSE)</f>
        <v>0</v>
      </c>
      <c r="AM197" s="224">
        <f>VLOOKUP($AK197,ENTI!$AF$4:AH$1003,3,FALSE)</f>
        <v>0</v>
      </c>
      <c r="AN197" s="224">
        <f>VLOOKUP($AK197,ENTI!$AF$4:AI$1003,4,FALSE)</f>
        <v>0</v>
      </c>
      <c r="AO197" s="781">
        <f>VLOOKUP($AK197,ENTI!$AF$4:AJ$1003,5,FALSE)</f>
        <v>0</v>
      </c>
      <c r="AP197" s="315">
        <f>VLOOKUP($AK197,ENTI!$AF$4:AK$1003,6,FALSE)</f>
        <v>0</v>
      </c>
      <c r="AQ197" s="208">
        <f t="shared" si="47"/>
        <v>0</v>
      </c>
      <c r="AR197" s="152" t="e">
        <f t="shared" si="48"/>
        <v>#N/A</v>
      </c>
      <c r="AS197" s="1"/>
      <c r="AT197" s="88" t="str">
        <f t="shared" si="52"/>
        <v/>
      </c>
      <c r="AU197" s="1"/>
      <c r="AV197" s="175">
        <f>IF(AW197&gt;0,COUNTIF(AV$4:AV196,"&gt;0")+1,0)</f>
        <v>0</v>
      </c>
      <c r="AW197" s="164">
        <f t="shared" si="53"/>
        <v>0</v>
      </c>
      <c r="AX197" s="310">
        <f>IF($AW197=0,0,VLOOKUP(VLOOKUP($X197,$B$34:$T$38,19,FALSE),ENTI!$A$9:$B$13,2,FALSE))</f>
        <v>0</v>
      </c>
      <c r="AY197" s="310">
        <f t="shared" si="44"/>
        <v>0</v>
      </c>
      <c r="AZ197" s="316">
        <f t="shared" si="45"/>
        <v>0</v>
      </c>
      <c r="BA197" s="1"/>
      <c r="BB197" s="152">
        <f t="shared" si="46"/>
        <v>0</v>
      </c>
      <c r="BC197" s="152">
        <f ca="1">SUM(Z$4:Z197)+SUM(BB$4:BB197)+COSTI!S$6-COSTI!L$1076</f>
        <v>-31.760000000000218</v>
      </c>
      <c r="BD197" s="1"/>
    </row>
    <row r="198" spans="1:56" ht="16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435">
        <f>IF(AND(W198&gt;=$U$1,W198&lt;=$U$2),IF(X198='ESTRATTO CONTO'!$E$2,1+COUNTIF(U$4:U197,"&gt;0"),0),0)</f>
        <v>0</v>
      </c>
      <c r="V198" s="417">
        <f t="shared" ref="V198:V261" si="54">V197+1</f>
        <v>195</v>
      </c>
      <c r="W198" s="509"/>
      <c r="X198" s="321"/>
      <c r="Y198" s="321"/>
      <c r="Z198" s="508"/>
      <c r="AA198" s="356"/>
      <c r="AB198" s="306" t="str">
        <f t="shared" si="50"/>
        <v/>
      </c>
      <c r="AC198" s="637">
        <f t="shared" ca="1" si="49"/>
        <v>-2.1316282072803006E-13</v>
      </c>
      <c r="AD198" s="935">
        <f>IF(ISERROR(VLOOKUP(AD$2,X199:X$1003,1,FALSE)),IF(X198=AD$2,SUMIF(X$4:X198,AD$2,Z$4:Z198)+$E$9+SUM(AQ$4:AQ$1003)+SUMIF(COSTI!$X$1379:$X$1430,AD$2,COSTI!$Z$1379:$Z$1430),0),0)</f>
        <v>0</v>
      </c>
      <c r="AE198" s="26"/>
      <c r="AF198" s="856" t="e">
        <f>IF(ISERROR(VLOOKUP(AG$2,X199:X$1003,1,FALSE)),IF(X198=AG$2,SUMIF(X$4:X198,AG$2,Z$4:Z198)+VLOOKUP(AF$2,$B$1057:$F$1068,5,FALSE)+SUM(AR$4:AR$1003)+SUMIF(COSTI!$X$1379:$X$1430,AG$2,COSTI!$Z$1379:$Z$1430),0),0)</f>
        <v>#N/A</v>
      </c>
      <c r="AG198" s="859"/>
      <c r="AH198" s="27" t="str">
        <f t="shared" si="51"/>
        <v/>
      </c>
      <c r="AI198" s="152">
        <f ca="1">IF(W199&gt;0,0,IF(AH198=0,(Z198*-1)+BC198+SUM(BB$4:BB197),BC198+SUM(BB$4:BB197)))</f>
        <v>-2.1316282072803006E-13</v>
      </c>
      <c r="AJ198" s="931">
        <f>IF(AND(AL198&gt;=$U$1,AL198&lt;=$U$2),IF(AM198='ESTRATTO CONTO'!$E$2,1+COUNTIF(AJ$4:AJ197,"&gt;0")+U$1015,0),0)</f>
        <v>0</v>
      </c>
      <c r="AK198" s="203">
        <f>IF(AND(OR((AK197+1)&lt;AL$1015,(AK197+1)=AL$1015),MAX(AK$4:AK197)&lt;AL$1015),AK197+1,0)</f>
        <v>0</v>
      </c>
      <c r="AL198" s="309">
        <f>VLOOKUP($AK198,ENTI!$AF$4:AG$1003,2,FALSE)</f>
        <v>0</v>
      </c>
      <c r="AM198" s="224">
        <f>VLOOKUP($AK198,ENTI!$AF$4:AH$1003,3,FALSE)</f>
        <v>0</v>
      </c>
      <c r="AN198" s="224">
        <f>VLOOKUP($AK198,ENTI!$AF$4:AI$1003,4,FALSE)</f>
        <v>0</v>
      </c>
      <c r="AO198" s="781">
        <f>VLOOKUP($AK198,ENTI!$AF$4:AJ$1003,5,FALSE)</f>
        <v>0</v>
      </c>
      <c r="AP198" s="315">
        <f>VLOOKUP($AK198,ENTI!$AF$4:AK$1003,6,FALSE)</f>
        <v>0</v>
      </c>
      <c r="AQ198" s="208">
        <f t="shared" si="47"/>
        <v>0</v>
      </c>
      <c r="AR198" s="152" t="e">
        <f t="shared" si="48"/>
        <v>#N/A</v>
      </c>
      <c r="AS198" s="1"/>
      <c r="AT198" s="88" t="str">
        <f t="shared" si="52"/>
        <v/>
      </c>
      <c r="AU198" s="1"/>
      <c r="AV198" s="175">
        <f>IF(AW198&gt;0,COUNTIF(AV$4:AV197,"&gt;0")+1,0)</f>
        <v>0</v>
      </c>
      <c r="AW198" s="164">
        <f t="shared" si="53"/>
        <v>0</v>
      </c>
      <c r="AX198" s="310">
        <f>IF($AW198=0,0,VLOOKUP(VLOOKUP($X198,$B$34:$T$38,19,FALSE),ENTI!$A$9:$B$13,2,FALSE))</f>
        <v>0</v>
      </c>
      <c r="AY198" s="310">
        <f t="shared" ref="AY198:AY261" si="55">IF(AW198=0,0,Y198)</f>
        <v>0</v>
      </c>
      <c r="AZ198" s="316">
        <f t="shared" ref="AZ198:AZ261" si="56">IF(AW198=0,0,Z198)</f>
        <v>0</v>
      </c>
      <c r="BA198" s="1"/>
      <c r="BB198" s="152">
        <f t="shared" ref="BB198:BB261" si="57">IF(ISERROR(VLOOKUP(X198,B$9:D$15,1,FALSE)),Z198*-1,0)</f>
        <v>0</v>
      </c>
      <c r="BC198" s="152">
        <f ca="1">SUM(Z$4:Z198)+SUM(BB$4:BB198)+COSTI!S$6-COSTI!L$1076</f>
        <v>-31.760000000000218</v>
      </c>
      <c r="BD198" s="1"/>
    </row>
    <row r="199" spans="1:56" ht="16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435">
        <f>IF(AND(W199&gt;=$U$1,W199&lt;=$U$2),IF(X199='ESTRATTO CONTO'!$E$2,1+COUNTIF(U$4:U198,"&gt;0"),0),0)</f>
        <v>0</v>
      </c>
      <c r="V199" s="417">
        <f t="shared" si="54"/>
        <v>196</v>
      </c>
      <c r="W199" s="509"/>
      <c r="X199" s="321"/>
      <c r="Y199" s="321"/>
      <c r="Z199" s="508"/>
      <c r="AA199" s="356"/>
      <c r="AB199" s="306" t="str">
        <f t="shared" si="50"/>
        <v/>
      </c>
      <c r="AC199" s="637">
        <f t="shared" ca="1" si="49"/>
        <v>-2.1316282072803006E-13</v>
      </c>
      <c r="AD199" s="935">
        <f>IF(ISERROR(VLOOKUP(AD$2,X200:X$1003,1,FALSE)),IF(X199=AD$2,SUMIF(X$4:X199,AD$2,Z$4:Z199)+$E$9+SUM(AQ$4:AQ$1003)+SUMIF(COSTI!$X$1379:$X$1430,AD$2,COSTI!$Z$1379:$Z$1430),0),0)</f>
        <v>0</v>
      </c>
      <c r="AE199" s="26"/>
      <c r="AF199" s="856" t="e">
        <f>IF(ISERROR(VLOOKUP(AG$2,X200:X$1003,1,FALSE)),IF(X199=AG$2,SUMIF(X$4:X199,AG$2,Z$4:Z199)+VLOOKUP(AF$2,$B$1057:$F$1068,5,FALSE)+SUM(AR$4:AR$1003)+SUMIF(COSTI!$X$1379:$X$1430,AG$2,COSTI!$Z$1379:$Z$1430),0),0)</f>
        <v>#N/A</v>
      </c>
      <c r="AG199" s="859"/>
      <c r="AH199" s="27" t="str">
        <f t="shared" si="51"/>
        <v/>
      </c>
      <c r="AI199" s="152">
        <f ca="1">IF(W200&gt;0,0,IF(AH199=0,(Z199*-1)+BC199+SUM(BB$4:BB198),BC199+SUM(BB$4:BB198)))</f>
        <v>-2.1316282072803006E-13</v>
      </c>
      <c r="AJ199" s="931">
        <f>IF(AND(AL199&gt;=$U$1,AL199&lt;=$U$2),IF(AM199='ESTRATTO CONTO'!$E$2,1+COUNTIF(AJ$4:AJ198,"&gt;0")+U$1015,0),0)</f>
        <v>0</v>
      </c>
      <c r="AK199" s="203">
        <f>IF(AND(OR((AK198+1)&lt;AL$1015,(AK198+1)=AL$1015),MAX(AK$4:AK198)&lt;AL$1015),AK198+1,0)</f>
        <v>0</v>
      </c>
      <c r="AL199" s="309">
        <f>VLOOKUP($AK199,ENTI!$AF$4:AG$1003,2,FALSE)</f>
        <v>0</v>
      </c>
      <c r="AM199" s="224">
        <f>VLOOKUP($AK199,ENTI!$AF$4:AH$1003,3,FALSE)</f>
        <v>0</v>
      </c>
      <c r="AN199" s="224">
        <f>VLOOKUP($AK199,ENTI!$AF$4:AI$1003,4,FALSE)</f>
        <v>0</v>
      </c>
      <c r="AO199" s="781">
        <f>VLOOKUP($AK199,ENTI!$AF$4:AJ$1003,5,FALSE)</f>
        <v>0</v>
      </c>
      <c r="AP199" s="315">
        <f>VLOOKUP($AK199,ENTI!$AF$4:AK$1003,6,FALSE)</f>
        <v>0</v>
      </c>
      <c r="AQ199" s="208">
        <f t="shared" si="47"/>
        <v>0</v>
      </c>
      <c r="AR199" s="152" t="e">
        <f t="shared" si="48"/>
        <v>#N/A</v>
      </c>
      <c r="AS199" s="1"/>
      <c r="AT199" s="88" t="str">
        <f t="shared" si="52"/>
        <v/>
      </c>
      <c r="AU199" s="1"/>
      <c r="AV199" s="175">
        <f>IF(AW199&gt;0,COUNTIF(AV$4:AV198,"&gt;0")+1,0)</f>
        <v>0</v>
      </c>
      <c r="AW199" s="164">
        <f t="shared" si="53"/>
        <v>0</v>
      </c>
      <c r="AX199" s="310">
        <f>IF($AW199=0,0,VLOOKUP(VLOOKUP($X199,$B$34:$T$38,19,FALSE),ENTI!$A$9:$B$13,2,FALSE))</f>
        <v>0</v>
      </c>
      <c r="AY199" s="310">
        <f t="shared" si="55"/>
        <v>0</v>
      </c>
      <c r="AZ199" s="316">
        <f t="shared" si="56"/>
        <v>0</v>
      </c>
      <c r="BA199" s="1"/>
      <c r="BB199" s="152">
        <f t="shared" si="57"/>
        <v>0</v>
      </c>
      <c r="BC199" s="152">
        <f ca="1">SUM(Z$4:Z199)+SUM(BB$4:BB199)+COSTI!S$6-COSTI!L$1076</f>
        <v>-31.760000000000218</v>
      </c>
      <c r="BD199" s="1"/>
    </row>
    <row r="200" spans="1:56" ht="16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435">
        <f>IF(AND(W200&gt;=$U$1,W200&lt;=$U$2),IF(X200='ESTRATTO CONTO'!$E$2,1+COUNTIF(U$4:U199,"&gt;0"),0),0)</f>
        <v>0</v>
      </c>
      <c r="V200" s="417">
        <f t="shared" si="54"/>
        <v>197</v>
      </c>
      <c r="W200" s="509"/>
      <c r="X200" s="321"/>
      <c r="Y200" s="321"/>
      <c r="Z200" s="508"/>
      <c r="AA200" s="356"/>
      <c r="AB200" s="306" t="str">
        <f t="shared" si="50"/>
        <v/>
      </c>
      <c r="AC200" s="637">
        <f t="shared" ca="1" si="49"/>
        <v>-2.1316282072803006E-13</v>
      </c>
      <c r="AD200" s="935">
        <f>IF(ISERROR(VLOOKUP(AD$2,X201:X$1003,1,FALSE)),IF(X200=AD$2,SUMIF(X$4:X200,AD$2,Z$4:Z200)+$E$9+SUM(AQ$4:AQ$1003)+SUMIF(COSTI!$X$1379:$X$1430,AD$2,COSTI!$Z$1379:$Z$1430),0),0)</f>
        <v>0</v>
      </c>
      <c r="AE200" s="26"/>
      <c r="AF200" s="856" t="e">
        <f>IF(ISERROR(VLOOKUP(AG$2,X201:X$1003,1,FALSE)),IF(X200=AG$2,SUMIF(X$4:X200,AG$2,Z$4:Z200)+VLOOKUP(AF$2,$B$1057:$F$1068,5,FALSE)+SUM(AR$4:AR$1003)+SUMIF(COSTI!$X$1379:$X$1430,AG$2,COSTI!$Z$1379:$Z$1430),0),0)</f>
        <v>#N/A</v>
      </c>
      <c r="AG200" s="859"/>
      <c r="AH200" s="27" t="str">
        <f t="shared" si="51"/>
        <v/>
      </c>
      <c r="AI200" s="152">
        <f ca="1">IF(W201&gt;0,0,IF(AH200=0,(Z200*-1)+BC200+SUM(BB$4:BB199),BC200+SUM(BB$4:BB199)))</f>
        <v>-2.1316282072803006E-13</v>
      </c>
      <c r="AJ200" s="931">
        <f>IF(AND(AL200&gt;=$U$1,AL200&lt;=$U$2),IF(AM200='ESTRATTO CONTO'!$E$2,1+COUNTIF(AJ$4:AJ199,"&gt;0")+U$1015,0),0)</f>
        <v>0</v>
      </c>
      <c r="AK200" s="203">
        <f>IF(AND(OR((AK199+1)&lt;AL$1015,(AK199+1)=AL$1015),MAX(AK$4:AK199)&lt;AL$1015),AK199+1,0)</f>
        <v>0</v>
      </c>
      <c r="AL200" s="309">
        <f>VLOOKUP($AK200,ENTI!$AF$4:AG$1003,2,FALSE)</f>
        <v>0</v>
      </c>
      <c r="AM200" s="224">
        <f>VLOOKUP($AK200,ENTI!$AF$4:AH$1003,3,FALSE)</f>
        <v>0</v>
      </c>
      <c r="AN200" s="224">
        <f>VLOOKUP($AK200,ENTI!$AF$4:AI$1003,4,FALSE)</f>
        <v>0</v>
      </c>
      <c r="AO200" s="781">
        <f>VLOOKUP($AK200,ENTI!$AF$4:AJ$1003,5,FALSE)</f>
        <v>0</v>
      </c>
      <c r="AP200" s="315">
        <f>VLOOKUP($AK200,ENTI!$AF$4:AK$1003,6,FALSE)</f>
        <v>0</v>
      </c>
      <c r="AQ200" s="208">
        <f t="shared" si="47"/>
        <v>0</v>
      </c>
      <c r="AR200" s="152" t="e">
        <f t="shared" si="48"/>
        <v>#N/A</v>
      </c>
      <c r="AS200" s="1"/>
      <c r="AT200" s="88" t="str">
        <f t="shared" si="52"/>
        <v/>
      </c>
      <c r="AU200" s="1"/>
      <c r="AV200" s="175">
        <f>IF(AW200&gt;0,COUNTIF(AV$4:AV199,"&gt;0")+1,0)</f>
        <v>0</v>
      </c>
      <c r="AW200" s="164">
        <f t="shared" si="53"/>
        <v>0</v>
      </c>
      <c r="AX200" s="310">
        <f>IF($AW200=0,0,VLOOKUP(VLOOKUP($X200,$B$34:$T$38,19,FALSE),ENTI!$A$9:$B$13,2,FALSE))</f>
        <v>0</v>
      </c>
      <c r="AY200" s="310">
        <f t="shared" si="55"/>
        <v>0</v>
      </c>
      <c r="AZ200" s="316">
        <f t="shared" si="56"/>
        <v>0</v>
      </c>
      <c r="BA200" s="1"/>
      <c r="BB200" s="152">
        <f t="shared" si="57"/>
        <v>0</v>
      </c>
      <c r="BC200" s="152">
        <f ca="1">SUM(Z$4:Z200)+SUM(BB$4:BB200)+COSTI!S$6-COSTI!L$1076</f>
        <v>-31.760000000000218</v>
      </c>
      <c r="BD200" s="1"/>
    </row>
    <row r="201" spans="1:56" ht="16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435">
        <f>IF(AND(W201&gt;=$U$1,W201&lt;=$U$2),IF(X201='ESTRATTO CONTO'!$E$2,1+COUNTIF(U$4:U200,"&gt;0"),0),0)</f>
        <v>0</v>
      </c>
      <c r="V201" s="417">
        <f t="shared" si="54"/>
        <v>198</v>
      </c>
      <c r="W201" s="509"/>
      <c r="X201" s="321"/>
      <c r="Y201" s="321"/>
      <c r="Z201" s="508"/>
      <c r="AA201" s="356"/>
      <c r="AB201" s="306" t="str">
        <f t="shared" si="50"/>
        <v/>
      </c>
      <c r="AC201" s="637">
        <f t="shared" ca="1" si="49"/>
        <v>-2.1316282072803006E-13</v>
      </c>
      <c r="AD201" s="935">
        <f>IF(ISERROR(VLOOKUP(AD$2,X202:X$1003,1,FALSE)),IF(X201=AD$2,SUMIF(X$4:X201,AD$2,Z$4:Z201)+$E$9+SUM(AQ$4:AQ$1003)+SUMIF(COSTI!$X$1379:$X$1430,AD$2,COSTI!$Z$1379:$Z$1430),0),0)</f>
        <v>0</v>
      </c>
      <c r="AE201" s="26"/>
      <c r="AF201" s="856" t="e">
        <f>IF(ISERROR(VLOOKUP(AG$2,X202:X$1003,1,FALSE)),IF(X201=AG$2,SUMIF(X$4:X201,AG$2,Z$4:Z201)+VLOOKUP(AF$2,$B$1057:$F$1068,5,FALSE)+SUM(AR$4:AR$1003)+SUMIF(COSTI!$X$1379:$X$1430,AG$2,COSTI!$Z$1379:$Z$1430),0),0)</f>
        <v>#N/A</v>
      </c>
      <c r="AG201" s="859"/>
      <c r="AH201" s="27" t="str">
        <f t="shared" si="51"/>
        <v/>
      </c>
      <c r="AI201" s="152">
        <f ca="1">IF(W202&gt;0,0,IF(AH201=0,(Z201*-1)+BC201+SUM(BB$4:BB200),BC201+SUM(BB$4:BB200)))</f>
        <v>-2.1316282072803006E-13</v>
      </c>
      <c r="AJ201" s="931">
        <f>IF(AND(AL201&gt;=$U$1,AL201&lt;=$U$2),IF(AM201='ESTRATTO CONTO'!$E$2,1+COUNTIF(AJ$4:AJ200,"&gt;0")+U$1015,0),0)</f>
        <v>0</v>
      </c>
      <c r="AK201" s="203">
        <f>IF(AND(OR((AK200+1)&lt;AL$1015,(AK200+1)=AL$1015),MAX(AK$4:AK200)&lt;AL$1015),AK200+1,0)</f>
        <v>0</v>
      </c>
      <c r="AL201" s="309">
        <f>VLOOKUP($AK201,ENTI!$AF$4:AG$1003,2,FALSE)</f>
        <v>0</v>
      </c>
      <c r="AM201" s="224">
        <f>VLOOKUP($AK201,ENTI!$AF$4:AH$1003,3,FALSE)</f>
        <v>0</v>
      </c>
      <c r="AN201" s="224">
        <f>VLOOKUP($AK201,ENTI!$AF$4:AI$1003,4,FALSE)</f>
        <v>0</v>
      </c>
      <c r="AO201" s="781">
        <f>VLOOKUP($AK201,ENTI!$AF$4:AJ$1003,5,FALSE)</f>
        <v>0</v>
      </c>
      <c r="AP201" s="315">
        <f>VLOOKUP($AK201,ENTI!$AF$4:AK$1003,6,FALSE)</f>
        <v>0</v>
      </c>
      <c r="AQ201" s="208">
        <f t="shared" si="47"/>
        <v>0</v>
      </c>
      <c r="AR201" s="152" t="e">
        <f t="shared" si="48"/>
        <v>#N/A</v>
      </c>
      <c r="AS201" s="1"/>
      <c r="AT201" s="88" t="str">
        <f t="shared" si="52"/>
        <v/>
      </c>
      <c r="AU201" s="1"/>
      <c r="AV201" s="175">
        <f>IF(AW201&gt;0,COUNTIF(AV$4:AV200,"&gt;0")+1,0)</f>
        <v>0</v>
      </c>
      <c r="AW201" s="164">
        <f t="shared" si="53"/>
        <v>0</v>
      </c>
      <c r="AX201" s="310">
        <f>IF($AW201=0,0,VLOOKUP(VLOOKUP($X201,$B$34:$T$38,19,FALSE),ENTI!$A$9:$B$13,2,FALSE))</f>
        <v>0</v>
      </c>
      <c r="AY201" s="310">
        <f t="shared" si="55"/>
        <v>0</v>
      </c>
      <c r="AZ201" s="316">
        <f t="shared" si="56"/>
        <v>0</v>
      </c>
      <c r="BA201" s="1"/>
      <c r="BB201" s="152">
        <f t="shared" si="57"/>
        <v>0</v>
      </c>
      <c r="BC201" s="152">
        <f ca="1">SUM(Z$4:Z201)+SUM(BB$4:BB201)+COSTI!S$6-COSTI!L$1076</f>
        <v>-31.760000000000218</v>
      </c>
      <c r="BD201" s="1"/>
    </row>
    <row r="202" spans="1:56" ht="16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435">
        <f>IF(AND(W202&gt;=$U$1,W202&lt;=$U$2),IF(X202='ESTRATTO CONTO'!$E$2,1+COUNTIF(U$4:U201,"&gt;0"),0),0)</f>
        <v>0</v>
      </c>
      <c r="V202" s="417">
        <f t="shared" si="54"/>
        <v>199</v>
      </c>
      <c r="W202" s="509"/>
      <c r="X202" s="321"/>
      <c r="Y202" s="321"/>
      <c r="Z202" s="508"/>
      <c r="AA202" s="356"/>
      <c r="AB202" s="306" t="str">
        <f t="shared" si="50"/>
        <v/>
      </c>
      <c r="AC202" s="637">
        <f t="shared" ca="1" si="49"/>
        <v>-2.1316282072803006E-13</v>
      </c>
      <c r="AD202" s="935">
        <f>IF(ISERROR(VLOOKUP(AD$2,X203:X$1003,1,FALSE)),IF(X202=AD$2,SUMIF(X$4:X202,AD$2,Z$4:Z202)+$E$9+SUM(AQ$4:AQ$1003)+SUMIF(COSTI!$X$1379:$X$1430,AD$2,COSTI!$Z$1379:$Z$1430),0),0)</f>
        <v>0</v>
      </c>
      <c r="AE202" s="26"/>
      <c r="AF202" s="856" t="e">
        <f>IF(ISERROR(VLOOKUP(AG$2,X203:X$1003,1,FALSE)),IF(X202=AG$2,SUMIF(X$4:X202,AG$2,Z$4:Z202)+VLOOKUP(AF$2,$B$1057:$F$1068,5,FALSE)+SUM(AR$4:AR$1003)+SUMIF(COSTI!$X$1379:$X$1430,AG$2,COSTI!$Z$1379:$Z$1430),0),0)</f>
        <v>#N/A</v>
      </c>
      <c r="AG202" s="859"/>
      <c r="AH202" s="27" t="str">
        <f t="shared" si="51"/>
        <v/>
      </c>
      <c r="AI202" s="152">
        <f ca="1">IF(W203&gt;0,0,IF(AH202=0,(Z202*-1)+BC202+SUM(BB$4:BB201),BC202+SUM(BB$4:BB201)))</f>
        <v>-2.1316282072803006E-13</v>
      </c>
      <c r="AJ202" s="931">
        <f>IF(AND(AL202&gt;=$U$1,AL202&lt;=$U$2),IF(AM202='ESTRATTO CONTO'!$E$2,1+COUNTIF(AJ$4:AJ201,"&gt;0")+U$1015,0),0)</f>
        <v>0</v>
      </c>
      <c r="AK202" s="203">
        <f>IF(AND(OR((AK201+1)&lt;AL$1015,(AK201+1)=AL$1015),MAX(AK$4:AK201)&lt;AL$1015),AK201+1,0)</f>
        <v>0</v>
      </c>
      <c r="AL202" s="309">
        <f>VLOOKUP($AK202,ENTI!$AF$4:AG$1003,2,FALSE)</f>
        <v>0</v>
      </c>
      <c r="AM202" s="224">
        <f>VLOOKUP($AK202,ENTI!$AF$4:AH$1003,3,FALSE)</f>
        <v>0</v>
      </c>
      <c r="AN202" s="224">
        <f>VLOOKUP($AK202,ENTI!$AF$4:AI$1003,4,FALSE)</f>
        <v>0</v>
      </c>
      <c r="AO202" s="781">
        <f>VLOOKUP($AK202,ENTI!$AF$4:AJ$1003,5,FALSE)</f>
        <v>0</v>
      </c>
      <c r="AP202" s="315">
        <f>VLOOKUP($AK202,ENTI!$AF$4:AK$1003,6,FALSE)</f>
        <v>0</v>
      </c>
      <c r="AQ202" s="208">
        <f t="shared" si="47"/>
        <v>0</v>
      </c>
      <c r="AR202" s="152" t="e">
        <f t="shared" si="48"/>
        <v>#N/A</v>
      </c>
      <c r="AS202" s="1"/>
      <c r="AT202" s="88" t="str">
        <f t="shared" si="52"/>
        <v/>
      </c>
      <c r="AU202" s="1"/>
      <c r="AV202" s="175">
        <f>IF(AW202&gt;0,COUNTIF(AV$4:AV201,"&gt;0")+1,0)</f>
        <v>0</v>
      </c>
      <c r="AW202" s="164">
        <f t="shared" si="53"/>
        <v>0</v>
      </c>
      <c r="AX202" s="310">
        <f>IF($AW202=0,0,VLOOKUP(VLOOKUP($X202,$B$34:$T$38,19,FALSE),ENTI!$A$9:$B$13,2,FALSE))</f>
        <v>0</v>
      </c>
      <c r="AY202" s="310">
        <f t="shared" si="55"/>
        <v>0</v>
      </c>
      <c r="AZ202" s="316">
        <f t="shared" si="56"/>
        <v>0</v>
      </c>
      <c r="BA202" s="1"/>
      <c r="BB202" s="152">
        <f t="shared" si="57"/>
        <v>0</v>
      </c>
      <c r="BC202" s="152">
        <f ca="1">SUM(Z$4:Z202)+SUM(BB$4:BB202)+COSTI!S$6-COSTI!L$1076</f>
        <v>-31.760000000000218</v>
      </c>
      <c r="BD202" s="1"/>
    </row>
    <row r="203" spans="1:56" ht="16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435">
        <f>IF(AND(W203&gt;=$U$1,W203&lt;=$U$2),IF(X203='ESTRATTO CONTO'!$E$2,1+COUNTIF(U$4:U202,"&gt;0"),0),0)</f>
        <v>0</v>
      </c>
      <c r="V203" s="417">
        <f t="shared" si="54"/>
        <v>200</v>
      </c>
      <c r="W203" s="509"/>
      <c r="X203" s="321"/>
      <c r="Y203" s="321"/>
      <c r="Z203" s="508"/>
      <c r="AA203" s="356"/>
      <c r="AB203" s="306" t="str">
        <f t="shared" si="50"/>
        <v/>
      </c>
      <c r="AC203" s="637">
        <f t="shared" ca="1" si="49"/>
        <v>-2.1316282072803006E-13</v>
      </c>
      <c r="AD203" s="935">
        <f>IF(ISERROR(VLOOKUP(AD$2,X204:X$1003,1,FALSE)),IF(X203=AD$2,SUMIF(X$4:X203,AD$2,Z$4:Z203)+$E$9+SUM(AQ$4:AQ$1003)+SUMIF(COSTI!$X$1379:$X$1430,AD$2,COSTI!$Z$1379:$Z$1430),0),0)</f>
        <v>0</v>
      </c>
      <c r="AE203" s="26"/>
      <c r="AF203" s="856" t="e">
        <f>IF(ISERROR(VLOOKUP(AG$2,X204:X$1003,1,FALSE)),IF(X203=AG$2,SUMIF(X$4:X203,AG$2,Z$4:Z203)+VLOOKUP(AF$2,$B$1057:$F$1068,5,FALSE)+SUM(AR$4:AR$1003)+SUMIF(COSTI!$X$1379:$X$1430,AG$2,COSTI!$Z$1379:$Z$1430),0),0)</f>
        <v>#N/A</v>
      </c>
      <c r="AG203" s="859"/>
      <c r="AH203" s="27" t="str">
        <f t="shared" si="51"/>
        <v/>
      </c>
      <c r="AI203" s="152">
        <f ca="1">IF(W204&gt;0,0,IF(AH203=0,(Z203*-1)+BC203+SUM(BB$4:BB202),BC203+SUM(BB$4:BB202)))</f>
        <v>-2.1316282072803006E-13</v>
      </c>
      <c r="AJ203" s="931">
        <f>IF(AND(AL203&gt;=$U$1,AL203&lt;=$U$2),IF(AM203='ESTRATTO CONTO'!$E$2,1+COUNTIF(AJ$4:AJ202,"&gt;0")+U$1015,0),0)</f>
        <v>0</v>
      </c>
      <c r="AK203" s="203">
        <f>IF(AND(OR((AK202+1)&lt;AL$1015,(AK202+1)=AL$1015),MAX(AK$4:AK202)&lt;AL$1015),AK202+1,0)</f>
        <v>0</v>
      </c>
      <c r="AL203" s="309">
        <f>VLOOKUP($AK203,ENTI!$AF$4:AG$1003,2,FALSE)</f>
        <v>0</v>
      </c>
      <c r="AM203" s="224">
        <f>VLOOKUP($AK203,ENTI!$AF$4:AH$1003,3,FALSE)</f>
        <v>0</v>
      </c>
      <c r="AN203" s="224">
        <f>VLOOKUP($AK203,ENTI!$AF$4:AI$1003,4,FALSE)</f>
        <v>0</v>
      </c>
      <c r="AO203" s="781">
        <f>VLOOKUP($AK203,ENTI!$AF$4:AJ$1003,5,FALSE)</f>
        <v>0</v>
      </c>
      <c r="AP203" s="315">
        <f>VLOOKUP($AK203,ENTI!$AF$4:AK$1003,6,FALSE)</f>
        <v>0</v>
      </c>
      <c r="AQ203" s="208">
        <f t="shared" si="47"/>
        <v>0</v>
      </c>
      <c r="AR203" s="152" t="e">
        <f t="shared" si="48"/>
        <v>#N/A</v>
      </c>
      <c r="AS203" s="1"/>
      <c r="AT203" s="88" t="str">
        <f t="shared" si="52"/>
        <v/>
      </c>
      <c r="AU203" s="1"/>
      <c r="AV203" s="175">
        <f>IF(AW203&gt;0,COUNTIF(AV$4:AV202,"&gt;0")+1,0)</f>
        <v>0</v>
      </c>
      <c r="AW203" s="164">
        <f t="shared" si="53"/>
        <v>0</v>
      </c>
      <c r="AX203" s="310">
        <f>IF($AW203=0,0,VLOOKUP(VLOOKUP($X203,$B$34:$T$38,19,FALSE),ENTI!$A$9:$B$13,2,FALSE))</f>
        <v>0</v>
      </c>
      <c r="AY203" s="310">
        <f t="shared" si="55"/>
        <v>0</v>
      </c>
      <c r="AZ203" s="316">
        <f t="shared" si="56"/>
        <v>0</v>
      </c>
      <c r="BA203" s="1"/>
      <c r="BB203" s="152">
        <f t="shared" si="57"/>
        <v>0</v>
      </c>
      <c r="BC203" s="152">
        <f ca="1">SUM(Z$4:Z203)+SUM(BB$4:BB203)+COSTI!S$6-COSTI!L$1076</f>
        <v>-31.760000000000218</v>
      </c>
      <c r="BD203" s="1"/>
    </row>
    <row r="204" spans="1:56" ht="16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435">
        <f>IF(AND(W204&gt;=$U$1,W204&lt;=$U$2),IF(X204='ESTRATTO CONTO'!$E$2,1+COUNTIF(U$4:U203,"&gt;0"),0),0)</f>
        <v>0</v>
      </c>
      <c r="V204" s="417">
        <f t="shared" si="54"/>
        <v>201</v>
      </c>
      <c r="W204" s="509"/>
      <c r="X204" s="321"/>
      <c r="Y204" s="321"/>
      <c r="Z204" s="508"/>
      <c r="AA204" s="356"/>
      <c r="AB204" s="306" t="str">
        <f t="shared" si="50"/>
        <v/>
      </c>
      <c r="AC204" s="637">
        <f t="shared" ca="1" si="49"/>
        <v>-2.1316282072803006E-13</v>
      </c>
      <c r="AD204" s="935">
        <f>IF(ISERROR(VLOOKUP(AD$2,X205:X$1003,1,FALSE)),IF(X204=AD$2,SUMIF(X$4:X204,AD$2,Z$4:Z204)+$E$9+SUM(AQ$4:AQ$1003)+SUMIF(COSTI!$X$1379:$X$1430,AD$2,COSTI!$Z$1379:$Z$1430),0),0)</f>
        <v>0</v>
      </c>
      <c r="AE204" s="26"/>
      <c r="AF204" s="856" t="e">
        <f>IF(ISERROR(VLOOKUP(AG$2,X205:X$1003,1,FALSE)),IF(X204=AG$2,SUMIF(X$4:X204,AG$2,Z$4:Z204)+VLOOKUP(AF$2,$B$1057:$F$1068,5,FALSE)+SUM(AR$4:AR$1003)+SUMIF(COSTI!$X$1379:$X$1430,AG$2,COSTI!$Z$1379:$Z$1430),0),0)</f>
        <v>#N/A</v>
      </c>
      <c r="AG204" s="859"/>
      <c r="AH204" s="27" t="str">
        <f t="shared" si="51"/>
        <v/>
      </c>
      <c r="AI204" s="152">
        <f ca="1">IF(W205&gt;0,0,IF(AH204=0,(Z204*-1)+BC204+SUM(BB$4:BB203),BC204+SUM(BB$4:BB203)))</f>
        <v>-2.1316282072803006E-13</v>
      </c>
      <c r="AJ204" s="931">
        <f>IF(AND(AL204&gt;=$U$1,AL204&lt;=$U$2),IF(AM204='ESTRATTO CONTO'!$E$2,1+COUNTIF(AJ$4:AJ203,"&gt;0")+U$1015,0),0)</f>
        <v>0</v>
      </c>
      <c r="AK204" s="203">
        <f>IF(AND(OR((AK203+1)&lt;AL$1015,(AK203+1)=AL$1015),MAX(AK$4:AK203)&lt;AL$1015),AK203+1,0)</f>
        <v>0</v>
      </c>
      <c r="AL204" s="309">
        <f>VLOOKUP($AK204,ENTI!$AF$4:AG$1003,2,FALSE)</f>
        <v>0</v>
      </c>
      <c r="AM204" s="224">
        <f>VLOOKUP($AK204,ENTI!$AF$4:AH$1003,3,FALSE)</f>
        <v>0</v>
      </c>
      <c r="AN204" s="224">
        <f>VLOOKUP($AK204,ENTI!$AF$4:AI$1003,4,FALSE)</f>
        <v>0</v>
      </c>
      <c r="AO204" s="781">
        <f>VLOOKUP($AK204,ENTI!$AF$4:AJ$1003,5,FALSE)</f>
        <v>0</v>
      </c>
      <c r="AP204" s="315">
        <f>VLOOKUP($AK204,ENTI!$AF$4:AK$1003,6,FALSE)</f>
        <v>0</v>
      </c>
      <c r="AQ204" s="208">
        <f t="shared" si="47"/>
        <v>0</v>
      </c>
      <c r="AR204" s="152" t="e">
        <f t="shared" si="48"/>
        <v>#N/A</v>
      </c>
      <c r="AS204" s="1"/>
      <c r="AT204" s="88" t="str">
        <f t="shared" si="52"/>
        <v/>
      </c>
      <c r="AU204" s="1"/>
      <c r="AV204" s="175">
        <f>IF(AW204&gt;0,COUNTIF(AV$4:AV203,"&gt;0")+1,0)</f>
        <v>0</v>
      </c>
      <c r="AW204" s="164">
        <f t="shared" si="53"/>
        <v>0</v>
      </c>
      <c r="AX204" s="310">
        <f>IF($AW204=0,0,VLOOKUP(VLOOKUP($X204,$B$34:$T$38,19,FALSE),ENTI!$A$9:$B$13,2,FALSE))</f>
        <v>0</v>
      </c>
      <c r="AY204" s="310">
        <f t="shared" si="55"/>
        <v>0</v>
      </c>
      <c r="AZ204" s="316">
        <f t="shared" si="56"/>
        <v>0</v>
      </c>
      <c r="BA204" s="1"/>
      <c r="BB204" s="152">
        <f t="shared" si="57"/>
        <v>0</v>
      </c>
      <c r="BC204" s="152">
        <f ca="1">SUM(Z$4:Z204)+SUM(BB$4:BB204)+COSTI!S$6-COSTI!L$1076</f>
        <v>-31.760000000000218</v>
      </c>
      <c r="BD204" s="1"/>
    </row>
    <row r="205" spans="1:56" ht="16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435">
        <f>IF(AND(W205&gt;=$U$1,W205&lt;=$U$2),IF(X205='ESTRATTO CONTO'!$E$2,1+COUNTIF(U$4:U204,"&gt;0"),0),0)</f>
        <v>0</v>
      </c>
      <c r="V205" s="417">
        <f t="shared" si="54"/>
        <v>202</v>
      </c>
      <c r="W205" s="509"/>
      <c r="X205" s="321"/>
      <c r="Y205" s="321"/>
      <c r="Z205" s="508"/>
      <c r="AA205" s="356"/>
      <c r="AB205" s="306" t="str">
        <f t="shared" si="50"/>
        <v/>
      </c>
      <c r="AC205" s="637">
        <f t="shared" ca="1" si="49"/>
        <v>-2.1316282072803006E-13</v>
      </c>
      <c r="AD205" s="935">
        <f>IF(ISERROR(VLOOKUP(AD$2,X206:X$1003,1,FALSE)),IF(X205=AD$2,SUMIF(X$4:X205,AD$2,Z$4:Z205)+$E$9+SUM(AQ$4:AQ$1003)+SUMIF(COSTI!$X$1379:$X$1430,AD$2,COSTI!$Z$1379:$Z$1430),0),0)</f>
        <v>0</v>
      </c>
      <c r="AE205" s="26"/>
      <c r="AF205" s="856" t="e">
        <f>IF(ISERROR(VLOOKUP(AG$2,X206:X$1003,1,FALSE)),IF(X205=AG$2,SUMIF(X$4:X205,AG$2,Z$4:Z205)+VLOOKUP(AF$2,$B$1057:$F$1068,5,FALSE)+SUM(AR$4:AR$1003)+SUMIF(COSTI!$X$1379:$X$1430,AG$2,COSTI!$Z$1379:$Z$1430),0),0)</f>
        <v>#N/A</v>
      </c>
      <c r="AG205" s="859"/>
      <c r="AH205" s="27" t="str">
        <f t="shared" si="51"/>
        <v/>
      </c>
      <c r="AI205" s="152">
        <f ca="1">IF(W206&gt;0,0,IF(AH205=0,(Z205*-1)+BC205+SUM(BB$4:BB204),BC205+SUM(BB$4:BB204)))</f>
        <v>-2.1316282072803006E-13</v>
      </c>
      <c r="AJ205" s="931">
        <f>IF(AND(AL205&gt;=$U$1,AL205&lt;=$U$2),IF(AM205='ESTRATTO CONTO'!$E$2,1+COUNTIF(AJ$4:AJ204,"&gt;0")+U$1015,0),0)</f>
        <v>0</v>
      </c>
      <c r="AK205" s="203">
        <f>IF(AND(OR((AK204+1)&lt;AL$1015,(AK204+1)=AL$1015),MAX(AK$4:AK204)&lt;AL$1015),AK204+1,0)</f>
        <v>0</v>
      </c>
      <c r="AL205" s="309">
        <f>VLOOKUP($AK205,ENTI!$AF$4:AG$1003,2,FALSE)</f>
        <v>0</v>
      </c>
      <c r="AM205" s="224">
        <f>VLOOKUP($AK205,ENTI!$AF$4:AH$1003,3,FALSE)</f>
        <v>0</v>
      </c>
      <c r="AN205" s="224">
        <f>VLOOKUP($AK205,ENTI!$AF$4:AI$1003,4,FALSE)</f>
        <v>0</v>
      </c>
      <c r="AO205" s="781">
        <f>VLOOKUP($AK205,ENTI!$AF$4:AJ$1003,5,FALSE)</f>
        <v>0</v>
      </c>
      <c r="AP205" s="315">
        <f>VLOOKUP($AK205,ENTI!$AF$4:AK$1003,6,FALSE)</f>
        <v>0</v>
      </c>
      <c r="AQ205" s="208">
        <f t="shared" si="47"/>
        <v>0</v>
      </c>
      <c r="AR205" s="152" t="e">
        <f t="shared" si="48"/>
        <v>#N/A</v>
      </c>
      <c r="AS205" s="1"/>
      <c r="AT205" s="88" t="str">
        <f t="shared" si="52"/>
        <v/>
      </c>
      <c r="AU205" s="1"/>
      <c r="AV205" s="175">
        <f>IF(AW205&gt;0,COUNTIF(AV$4:AV204,"&gt;0")+1,0)</f>
        <v>0</v>
      </c>
      <c r="AW205" s="164">
        <f t="shared" si="53"/>
        <v>0</v>
      </c>
      <c r="AX205" s="310">
        <f>IF($AW205=0,0,VLOOKUP(VLOOKUP($X205,$B$34:$T$38,19,FALSE),ENTI!$A$9:$B$13,2,FALSE))</f>
        <v>0</v>
      </c>
      <c r="AY205" s="310">
        <f t="shared" si="55"/>
        <v>0</v>
      </c>
      <c r="AZ205" s="316">
        <f t="shared" si="56"/>
        <v>0</v>
      </c>
      <c r="BA205" s="1"/>
      <c r="BB205" s="152">
        <f t="shared" si="57"/>
        <v>0</v>
      </c>
      <c r="BC205" s="152">
        <f ca="1">SUM(Z$4:Z205)+SUM(BB$4:BB205)+COSTI!S$6-COSTI!L$1076</f>
        <v>-31.760000000000218</v>
      </c>
      <c r="BD205" s="1"/>
    </row>
    <row r="206" spans="1:56" ht="16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435">
        <f>IF(AND(W206&gt;=$U$1,W206&lt;=$U$2),IF(X206='ESTRATTO CONTO'!$E$2,1+COUNTIF(U$4:U205,"&gt;0"),0),0)</f>
        <v>0</v>
      </c>
      <c r="V206" s="417">
        <f t="shared" si="54"/>
        <v>203</v>
      </c>
      <c r="W206" s="509"/>
      <c r="X206" s="321"/>
      <c r="Y206" s="321"/>
      <c r="Z206" s="508"/>
      <c r="AA206" s="356"/>
      <c r="AB206" s="306" t="str">
        <f t="shared" si="50"/>
        <v/>
      </c>
      <c r="AC206" s="637">
        <f t="shared" ca="1" si="49"/>
        <v>-2.1316282072803006E-13</v>
      </c>
      <c r="AD206" s="935">
        <f>IF(ISERROR(VLOOKUP(AD$2,X207:X$1003,1,FALSE)),IF(X206=AD$2,SUMIF(X$4:X206,AD$2,Z$4:Z206)+$E$9+SUM(AQ$4:AQ$1003)+SUMIF(COSTI!$X$1379:$X$1430,AD$2,COSTI!$Z$1379:$Z$1430),0),0)</f>
        <v>0</v>
      </c>
      <c r="AE206" s="26"/>
      <c r="AF206" s="856" t="e">
        <f>IF(ISERROR(VLOOKUP(AG$2,X207:X$1003,1,FALSE)),IF(X206=AG$2,SUMIF(X$4:X206,AG$2,Z$4:Z206)+VLOOKUP(AF$2,$B$1057:$F$1068,5,FALSE)+SUM(AR$4:AR$1003)+SUMIF(COSTI!$X$1379:$X$1430,AG$2,COSTI!$Z$1379:$Z$1430),0),0)</f>
        <v>#N/A</v>
      </c>
      <c r="AG206" s="859"/>
      <c r="AH206" s="27" t="str">
        <f t="shared" si="51"/>
        <v/>
      </c>
      <c r="AI206" s="152">
        <f ca="1">IF(W207&gt;0,0,IF(AH206=0,(Z206*-1)+BC206+SUM(BB$4:BB205),BC206+SUM(BB$4:BB205)))</f>
        <v>-2.1316282072803006E-13</v>
      </c>
      <c r="AJ206" s="931">
        <f>IF(AND(AL206&gt;=$U$1,AL206&lt;=$U$2),IF(AM206='ESTRATTO CONTO'!$E$2,1+COUNTIF(AJ$4:AJ205,"&gt;0")+U$1015,0),0)</f>
        <v>0</v>
      </c>
      <c r="AK206" s="203">
        <f>IF(AND(OR((AK205+1)&lt;AL$1015,(AK205+1)=AL$1015),MAX(AK$4:AK205)&lt;AL$1015),AK205+1,0)</f>
        <v>0</v>
      </c>
      <c r="AL206" s="309">
        <f>VLOOKUP($AK206,ENTI!$AF$4:AG$1003,2,FALSE)</f>
        <v>0</v>
      </c>
      <c r="AM206" s="224">
        <f>VLOOKUP($AK206,ENTI!$AF$4:AH$1003,3,FALSE)</f>
        <v>0</v>
      </c>
      <c r="AN206" s="224">
        <f>VLOOKUP($AK206,ENTI!$AF$4:AI$1003,4,FALSE)</f>
        <v>0</v>
      </c>
      <c r="AO206" s="781">
        <f>VLOOKUP($AK206,ENTI!$AF$4:AJ$1003,5,FALSE)</f>
        <v>0</v>
      </c>
      <c r="AP206" s="315">
        <f>VLOOKUP($AK206,ENTI!$AF$4:AK$1003,6,FALSE)</f>
        <v>0</v>
      </c>
      <c r="AQ206" s="208">
        <f t="shared" si="47"/>
        <v>0</v>
      </c>
      <c r="AR206" s="152" t="e">
        <f t="shared" si="48"/>
        <v>#N/A</v>
      </c>
      <c r="AS206" s="1"/>
      <c r="AT206" s="88" t="str">
        <f t="shared" si="52"/>
        <v/>
      </c>
      <c r="AU206" s="1"/>
      <c r="AV206" s="175">
        <f>IF(AW206&gt;0,COUNTIF(AV$4:AV205,"&gt;0")+1,0)</f>
        <v>0</v>
      </c>
      <c r="AW206" s="164">
        <f t="shared" si="53"/>
        <v>0</v>
      </c>
      <c r="AX206" s="310">
        <f>IF($AW206=0,0,VLOOKUP(VLOOKUP($X206,$B$34:$T$38,19,FALSE),ENTI!$A$9:$B$13,2,FALSE))</f>
        <v>0</v>
      </c>
      <c r="AY206" s="310">
        <f t="shared" si="55"/>
        <v>0</v>
      </c>
      <c r="AZ206" s="316">
        <f t="shared" si="56"/>
        <v>0</v>
      </c>
      <c r="BA206" s="1"/>
      <c r="BB206" s="152">
        <f t="shared" si="57"/>
        <v>0</v>
      </c>
      <c r="BC206" s="152">
        <f ca="1">SUM(Z$4:Z206)+SUM(BB$4:BB206)+COSTI!S$6-COSTI!L$1076</f>
        <v>-31.760000000000218</v>
      </c>
      <c r="BD206" s="1"/>
    </row>
    <row r="207" spans="1:56" ht="16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435">
        <f>IF(AND(W207&gt;=$U$1,W207&lt;=$U$2),IF(X207='ESTRATTO CONTO'!$E$2,1+COUNTIF(U$4:U206,"&gt;0"),0),0)</f>
        <v>0</v>
      </c>
      <c r="V207" s="417">
        <f t="shared" si="54"/>
        <v>204</v>
      </c>
      <c r="W207" s="509"/>
      <c r="X207" s="321"/>
      <c r="Y207" s="321"/>
      <c r="Z207" s="508"/>
      <c r="AA207" s="356"/>
      <c r="AB207" s="306" t="str">
        <f t="shared" si="50"/>
        <v/>
      </c>
      <c r="AC207" s="637">
        <f t="shared" ca="1" si="49"/>
        <v>-2.1316282072803006E-13</v>
      </c>
      <c r="AD207" s="935">
        <f>IF(ISERROR(VLOOKUP(AD$2,X208:X$1003,1,FALSE)),IF(X207=AD$2,SUMIF(X$4:X207,AD$2,Z$4:Z207)+$E$9+SUM(AQ$4:AQ$1003)+SUMIF(COSTI!$X$1379:$X$1430,AD$2,COSTI!$Z$1379:$Z$1430),0),0)</f>
        <v>0</v>
      </c>
      <c r="AE207" s="26"/>
      <c r="AF207" s="856" t="e">
        <f>IF(ISERROR(VLOOKUP(AG$2,X208:X$1003,1,FALSE)),IF(X207=AG$2,SUMIF(X$4:X207,AG$2,Z$4:Z207)+VLOOKUP(AF$2,$B$1057:$F$1068,5,FALSE)+SUM(AR$4:AR$1003)+SUMIF(COSTI!$X$1379:$X$1430,AG$2,COSTI!$Z$1379:$Z$1430),0),0)</f>
        <v>#N/A</v>
      </c>
      <c r="AG207" s="859"/>
      <c r="AH207" s="27" t="str">
        <f t="shared" si="51"/>
        <v/>
      </c>
      <c r="AI207" s="152">
        <f ca="1">IF(W208&gt;0,0,IF(AH207=0,(Z207*-1)+BC207+SUM(BB$4:BB206),BC207+SUM(BB$4:BB206)))</f>
        <v>-2.1316282072803006E-13</v>
      </c>
      <c r="AJ207" s="931">
        <f>IF(AND(AL207&gt;=$U$1,AL207&lt;=$U$2),IF(AM207='ESTRATTO CONTO'!$E$2,1+COUNTIF(AJ$4:AJ206,"&gt;0")+U$1015,0),0)</f>
        <v>0</v>
      </c>
      <c r="AK207" s="203">
        <f>IF(AND(OR((AK206+1)&lt;AL$1015,(AK206+1)=AL$1015),MAX(AK$4:AK206)&lt;AL$1015),AK206+1,0)</f>
        <v>0</v>
      </c>
      <c r="AL207" s="309">
        <f>VLOOKUP($AK207,ENTI!$AF$4:AG$1003,2,FALSE)</f>
        <v>0</v>
      </c>
      <c r="AM207" s="224">
        <f>VLOOKUP($AK207,ENTI!$AF$4:AH$1003,3,FALSE)</f>
        <v>0</v>
      </c>
      <c r="AN207" s="224">
        <f>VLOOKUP($AK207,ENTI!$AF$4:AI$1003,4,FALSE)</f>
        <v>0</v>
      </c>
      <c r="AO207" s="781">
        <f>VLOOKUP($AK207,ENTI!$AF$4:AJ$1003,5,FALSE)</f>
        <v>0</v>
      </c>
      <c r="AP207" s="315">
        <f>VLOOKUP($AK207,ENTI!$AF$4:AK$1003,6,FALSE)</f>
        <v>0</v>
      </c>
      <c r="AQ207" s="208">
        <f t="shared" ref="AQ207:AQ270" si="58">IF(AM207=AQ$2,AO207,0)</f>
        <v>0</v>
      </c>
      <c r="AR207" s="152" t="e">
        <f t="shared" ref="AR207:AR270" si="59">IF(AM207=AR$1,AO207,0)</f>
        <v>#N/A</v>
      </c>
      <c r="AS207" s="1"/>
      <c r="AT207" s="88" t="str">
        <f t="shared" si="52"/>
        <v/>
      </c>
      <c r="AU207" s="1"/>
      <c r="AV207" s="175">
        <f>IF(AW207&gt;0,COUNTIF(AV$4:AV206,"&gt;0")+1,0)</f>
        <v>0</v>
      </c>
      <c r="AW207" s="164">
        <f t="shared" si="53"/>
        <v>0</v>
      </c>
      <c r="AX207" s="310">
        <f>IF($AW207=0,0,VLOOKUP(VLOOKUP($X207,$B$34:$T$38,19,FALSE),ENTI!$A$9:$B$13,2,FALSE))</f>
        <v>0</v>
      </c>
      <c r="AY207" s="310">
        <f t="shared" si="55"/>
        <v>0</v>
      </c>
      <c r="AZ207" s="316">
        <f t="shared" si="56"/>
        <v>0</v>
      </c>
      <c r="BA207" s="1"/>
      <c r="BB207" s="152">
        <f t="shared" si="57"/>
        <v>0</v>
      </c>
      <c r="BC207" s="152">
        <f ca="1">SUM(Z$4:Z207)+SUM(BB$4:BB207)+COSTI!S$6-COSTI!L$1076</f>
        <v>-31.760000000000218</v>
      </c>
      <c r="BD207" s="1"/>
    </row>
    <row r="208" spans="1:56" ht="16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435">
        <f>IF(AND(W208&gt;=$U$1,W208&lt;=$U$2),IF(X208='ESTRATTO CONTO'!$E$2,1+COUNTIF(U$4:U207,"&gt;0"),0),0)</f>
        <v>0</v>
      </c>
      <c r="V208" s="417">
        <f t="shared" si="54"/>
        <v>205</v>
      </c>
      <c r="W208" s="509"/>
      <c r="X208" s="321"/>
      <c r="Y208" s="321"/>
      <c r="Z208" s="508"/>
      <c r="AA208" s="356"/>
      <c r="AB208" s="306" t="str">
        <f t="shared" si="50"/>
        <v/>
      </c>
      <c r="AC208" s="637">
        <f t="shared" ca="1" si="49"/>
        <v>-2.1316282072803006E-13</v>
      </c>
      <c r="AD208" s="935">
        <f>IF(ISERROR(VLOOKUP(AD$2,X209:X$1003,1,FALSE)),IF(X208=AD$2,SUMIF(X$4:X208,AD$2,Z$4:Z208)+$E$9+SUM(AQ$4:AQ$1003)+SUMIF(COSTI!$X$1379:$X$1430,AD$2,COSTI!$Z$1379:$Z$1430),0),0)</f>
        <v>0</v>
      </c>
      <c r="AE208" s="26"/>
      <c r="AF208" s="856" t="e">
        <f>IF(ISERROR(VLOOKUP(AG$2,X209:X$1003,1,FALSE)),IF(X208=AG$2,SUMIF(X$4:X208,AG$2,Z$4:Z208)+VLOOKUP(AF$2,$B$1057:$F$1068,5,FALSE)+SUM(AR$4:AR$1003)+SUMIF(COSTI!$X$1379:$X$1430,AG$2,COSTI!$Z$1379:$Z$1430),0),0)</f>
        <v>#N/A</v>
      </c>
      <c r="AG208" s="859"/>
      <c r="AH208" s="27" t="str">
        <f t="shared" si="51"/>
        <v/>
      </c>
      <c r="AI208" s="152">
        <f ca="1">IF(W209&gt;0,0,IF(AH208=0,(Z208*-1)+BC208+SUM(BB$4:BB207),BC208+SUM(BB$4:BB207)))</f>
        <v>-2.1316282072803006E-13</v>
      </c>
      <c r="AJ208" s="931">
        <f>IF(AND(AL208&gt;=$U$1,AL208&lt;=$U$2),IF(AM208='ESTRATTO CONTO'!$E$2,1+COUNTIF(AJ$4:AJ207,"&gt;0")+U$1015,0),0)</f>
        <v>0</v>
      </c>
      <c r="AK208" s="203">
        <f>IF(AND(OR((AK207+1)&lt;AL$1015,(AK207+1)=AL$1015),MAX(AK$4:AK207)&lt;AL$1015),AK207+1,0)</f>
        <v>0</v>
      </c>
      <c r="AL208" s="309">
        <f>VLOOKUP($AK208,ENTI!$AF$4:AG$1003,2,FALSE)</f>
        <v>0</v>
      </c>
      <c r="AM208" s="224">
        <f>VLOOKUP($AK208,ENTI!$AF$4:AH$1003,3,FALSE)</f>
        <v>0</v>
      </c>
      <c r="AN208" s="224">
        <f>VLOOKUP($AK208,ENTI!$AF$4:AI$1003,4,FALSE)</f>
        <v>0</v>
      </c>
      <c r="AO208" s="781">
        <f>VLOOKUP($AK208,ENTI!$AF$4:AJ$1003,5,FALSE)</f>
        <v>0</v>
      </c>
      <c r="AP208" s="315">
        <f>VLOOKUP($AK208,ENTI!$AF$4:AK$1003,6,FALSE)</f>
        <v>0</v>
      </c>
      <c r="AQ208" s="208">
        <f t="shared" si="58"/>
        <v>0</v>
      </c>
      <c r="AR208" s="152" t="e">
        <f t="shared" si="59"/>
        <v>#N/A</v>
      </c>
      <c r="AS208" s="1"/>
      <c r="AT208" s="88" t="str">
        <f t="shared" si="52"/>
        <v/>
      </c>
      <c r="AU208" s="1"/>
      <c r="AV208" s="175">
        <f>IF(AW208&gt;0,COUNTIF(AV$4:AV207,"&gt;0")+1,0)</f>
        <v>0</v>
      </c>
      <c r="AW208" s="164">
        <f t="shared" si="53"/>
        <v>0</v>
      </c>
      <c r="AX208" s="310">
        <f>IF($AW208=0,0,VLOOKUP(VLOOKUP($X208,$B$34:$T$38,19,FALSE),ENTI!$A$9:$B$13,2,FALSE))</f>
        <v>0</v>
      </c>
      <c r="AY208" s="310">
        <f t="shared" si="55"/>
        <v>0</v>
      </c>
      <c r="AZ208" s="316">
        <f t="shared" si="56"/>
        <v>0</v>
      </c>
      <c r="BA208" s="1"/>
      <c r="BB208" s="152">
        <f t="shared" si="57"/>
        <v>0</v>
      </c>
      <c r="BC208" s="152">
        <f ca="1">SUM(Z$4:Z208)+SUM(BB$4:BB208)+COSTI!S$6-COSTI!L$1076</f>
        <v>-31.760000000000218</v>
      </c>
      <c r="BD208" s="1"/>
    </row>
    <row r="209" spans="1:56" ht="16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435">
        <f>IF(AND(W209&gt;=$U$1,W209&lt;=$U$2),IF(X209='ESTRATTO CONTO'!$E$2,1+COUNTIF(U$4:U208,"&gt;0"),0),0)</f>
        <v>0</v>
      </c>
      <c r="V209" s="417">
        <f t="shared" si="54"/>
        <v>206</v>
      </c>
      <c r="W209" s="509"/>
      <c r="X209" s="321"/>
      <c r="Y209" s="321"/>
      <c r="Z209" s="508"/>
      <c r="AA209" s="356"/>
      <c r="AB209" s="306" t="str">
        <f t="shared" si="50"/>
        <v/>
      </c>
      <c r="AC209" s="637">
        <f t="shared" ca="1" si="49"/>
        <v>-2.1316282072803006E-13</v>
      </c>
      <c r="AD209" s="935">
        <f>IF(ISERROR(VLOOKUP(AD$2,X210:X$1003,1,FALSE)),IF(X209=AD$2,SUMIF(X$4:X209,AD$2,Z$4:Z209)+$E$9+SUM(AQ$4:AQ$1003)+SUMIF(COSTI!$X$1379:$X$1430,AD$2,COSTI!$Z$1379:$Z$1430),0),0)</f>
        <v>0</v>
      </c>
      <c r="AE209" s="26"/>
      <c r="AF209" s="856" t="e">
        <f>IF(ISERROR(VLOOKUP(AG$2,X210:X$1003,1,FALSE)),IF(X209=AG$2,SUMIF(X$4:X209,AG$2,Z$4:Z209)+VLOOKUP(AF$2,$B$1057:$F$1068,5,FALSE)+SUM(AR$4:AR$1003)+SUMIF(COSTI!$X$1379:$X$1430,AG$2,COSTI!$Z$1379:$Z$1430),0),0)</f>
        <v>#N/A</v>
      </c>
      <c r="AG209" s="859"/>
      <c r="AH209" s="27" t="str">
        <f t="shared" si="51"/>
        <v/>
      </c>
      <c r="AI209" s="152">
        <f ca="1">IF(W210&gt;0,0,IF(AH209=0,(Z209*-1)+BC209+SUM(BB$4:BB208),BC209+SUM(BB$4:BB208)))</f>
        <v>-2.1316282072803006E-13</v>
      </c>
      <c r="AJ209" s="931">
        <f>IF(AND(AL209&gt;=$U$1,AL209&lt;=$U$2),IF(AM209='ESTRATTO CONTO'!$E$2,1+COUNTIF(AJ$4:AJ208,"&gt;0")+U$1015,0),0)</f>
        <v>0</v>
      </c>
      <c r="AK209" s="203">
        <f>IF(AND(OR((AK208+1)&lt;AL$1015,(AK208+1)=AL$1015),MAX(AK$4:AK208)&lt;AL$1015),AK208+1,0)</f>
        <v>0</v>
      </c>
      <c r="AL209" s="309">
        <f>VLOOKUP($AK209,ENTI!$AF$4:AG$1003,2,FALSE)</f>
        <v>0</v>
      </c>
      <c r="AM209" s="224">
        <f>VLOOKUP($AK209,ENTI!$AF$4:AH$1003,3,FALSE)</f>
        <v>0</v>
      </c>
      <c r="AN209" s="224">
        <f>VLOOKUP($AK209,ENTI!$AF$4:AI$1003,4,FALSE)</f>
        <v>0</v>
      </c>
      <c r="AO209" s="781">
        <f>VLOOKUP($AK209,ENTI!$AF$4:AJ$1003,5,FALSE)</f>
        <v>0</v>
      </c>
      <c r="AP209" s="315">
        <f>VLOOKUP($AK209,ENTI!$AF$4:AK$1003,6,FALSE)</f>
        <v>0</v>
      </c>
      <c r="AQ209" s="208">
        <f t="shared" si="58"/>
        <v>0</v>
      </c>
      <c r="AR209" s="152" t="e">
        <f t="shared" si="59"/>
        <v>#N/A</v>
      </c>
      <c r="AS209" s="1"/>
      <c r="AT209" s="88" t="str">
        <f t="shared" si="52"/>
        <v/>
      </c>
      <c r="AU209" s="1"/>
      <c r="AV209" s="175">
        <f>IF(AW209&gt;0,COUNTIF(AV$4:AV208,"&gt;0")+1,0)</f>
        <v>0</v>
      </c>
      <c r="AW209" s="164">
        <f t="shared" si="53"/>
        <v>0</v>
      </c>
      <c r="AX209" s="310">
        <f>IF($AW209=0,0,VLOOKUP(VLOOKUP($X209,$B$34:$T$38,19,FALSE),ENTI!$A$9:$B$13,2,FALSE))</f>
        <v>0</v>
      </c>
      <c r="AY209" s="310">
        <f t="shared" si="55"/>
        <v>0</v>
      </c>
      <c r="AZ209" s="316">
        <f t="shared" si="56"/>
        <v>0</v>
      </c>
      <c r="BA209" s="1"/>
      <c r="BB209" s="152">
        <f t="shared" si="57"/>
        <v>0</v>
      </c>
      <c r="BC209" s="152">
        <f ca="1">SUM(Z$4:Z209)+SUM(BB$4:BB209)+COSTI!S$6-COSTI!L$1076</f>
        <v>-31.760000000000218</v>
      </c>
      <c r="BD209" s="1"/>
    </row>
    <row r="210" spans="1:56" ht="16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435">
        <f>IF(AND(W210&gt;=$U$1,W210&lt;=$U$2),IF(X210='ESTRATTO CONTO'!$E$2,1+COUNTIF(U$4:U209,"&gt;0"),0),0)</f>
        <v>0</v>
      </c>
      <c r="V210" s="417">
        <f t="shared" si="54"/>
        <v>207</v>
      </c>
      <c r="W210" s="509"/>
      <c r="X210" s="321"/>
      <c r="Y210" s="321"/>
      <c r="Z210" s="508"/>
      <c r="AA210" s="356"/>
      <c r="AB210" s="306" t="str">
        <f t="shared" si="50"/>
        <v/>
      </c>
      <c r="AC210" s="637">
        <f t="shared" ca="1" si="49"/>
        <v>-2.1316282072803006E-13</v>
      </c>
      <c r="AD210" s="935">
        <f>IF(ISERROR(VLOOKUP(AD$2,X211:X$1003,1,FALSE)),IF(X210=AD$2,SUMIF(X$4:X210,AD$2,Z$4:Z210)+$E$9+SUM(AQ$4:AQ$1003)+SUMIF(COSTI!$X$1379:$X$1430,AD$2,COSTI!$Z$1379:$Z$1430),0),0)</f>
        <v>0</v>
      </c>
      <c r="AE210" s="26"/>
      <c r="AF210" s="856" t="e">
        <f>IF(ISERROR(VLOOKUP(AG$2,X211:X$1003,1,FALSE)),IF(X210=AG$2,SUMIF(X$4:X210,AG$2,Z$4:Z210)+VLOOKUP(AF$2,$B$1057:$F$1068,5,FALSE)+SUM(AR$4:AR$1003)+SUMIF(COSTI!$X$1379:$X$1430,AG$2,COSTI!$Z$1379:$Z$1430),0),0)</f>
        <v>#N/A</v>
      </c>
      <c r="AG210" s="859"/>
      <c r="AH210" s="27" t="str">
        <f t="shared" si="51"/>
        <v/>
      </c>
      <c r="AI210" s="152">
        <f ca="1">IF(W211&gt;0,0,IF(AH210=0,(Z210*-1)+BC210+SUM(BB$4:BB209),BC210+SUM(BB$4:BB209)))</f>
        <v>-2.1316282072803006E-13</v>
      </c>
      <c r="AJ210" s="931">
        <f>IF(AND(AL210&gt;=$U$1,AL210&lt;=$U$2),IF(AM210='ESTRATTO CONTO'!$E$2,1+COUNTIF(AJ$4:AJ209,"&gt;0")+U$1015,0),0)</f>
        <v>0</v>
      </c>
      <c r="AK210" s="203">
        <f>IF(AND(OR((AK209+1)&lt;AL$1015,(AK209+1)=AL$1015),MAX(AK$4:AK209)&lt;AL$1015),AK209+1,0)</f>
        <v>0</v>
      </c>
      <c r="AL210" s="309">
        <f>VLOOKUP($AK210,ENTI!$AF$4:AG$1003,2,FALSE)</f>
        <v>0</v>
      </c>
      <c r="AM210" s="224">
        <f>VLOOKUP($AK210,ENTI!$AF$4:AH$1003,3,FALSE)</f>
        <v>0</v>
      </c>
      <c r="AN210" s="224">
        <f>VLOOKUP($AK210,ENTI!$AF$4:AI$1003,4,FALSE)</f>
        <v>0</v>
      </c>
      <c r="AO210" s="781">
        <f>VLOOKUP($AK210,ENTI!$AF$4:AJ$1003,5,FALSE)</f>
        <v>0</v>
      </c>
      <c r="AP210" s="315">
        <f>VLOOKUP($AK210,ENTI!$AF$4:AK$1003,6,FALSE)</f>
        <v>0</v>
      </c>
      <c r="AQ210" s="208">
        <f t="shared" si="58"/>
        <v>0</v>
      </c>
      <c r="AR210" s="152" t="e">
        <f t="shared" si="59"/>
        <v>#N/A</v>
      </c>
      <c r="AS210" s="1"/>
      <c r="AT210" s="88" t="str">
        <f t="shared" si="52"/>
        <v/>
      </c>
      <c r="AU210" s="1"/>
      <c r="AV210" s="175">
        <f>IF(AW210&gt;0,COUNTIF(AV$4:AV209,"&gt;0")+1,0)</f>
        <v>0</v>
      </c>
      <c r="AW210" s="164">
        <f t="shared" si="53"/>
        <v>0</v>
      </c>
      <c r="AX210" s="310">
        <f>IF($AW210=0,0,VLOOKUP(VLOOKUP($X210,$B$34:$T$38,19,FALSE),ENTI!$A$9:$B$13,2,FALSE))</f>
        <v>0</v>
      </c>
      <c r="AY210" s="310">
        <f t="shared" si="55"/>
        <v>0</v>
      </c>
      <c r="AZ210" s="316">
        <f t="shared" si="56"/>
        <v>0</v>
      </c>
      <c r="BA210" s="1"/>
      <c r="BB210" s="152">
        <f t="shared" si="57"/>
        <v>0</v>
      </c>
      <c r="BC210" s="152">
        <f ca="1">SUM(Z$4:Z210)+SUM(BB$4:BB210)+COSTI!S$6-COSTI!L$1076</f>
        <v>-31.760000000000218</v>
      </c>
      <c r="BD210" s="1"/>
    </row>
    <row r="211" spans="1:56" ht="16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435">
        <f>IF(AND(W211&gt;=$U$1,W211&lt;=$U$2),IF(X211='ESTRATTO CONTO'!$E$2,1+COUNTIF(U$4:U210,"&gt;0"),0),0)</f>
        <v>0</v>
      </c>
      <c r="V211" s="417">
        <f t="shared" si="54"/>
        <v>208</v>
      </c>
      <c r="W211" s="509"/>
      <c r="X211" s="321"/>
      <c r="Y211" s="321"/>
      <c r="Z211" s="508"/>
      <c r="AA211" s="356"/>
      <c r="AB211" s="306" t="str">
        <f t="shared" si="50"/>
        <v/>
      </c>
      <c r="AC211" s="637">
        <f t="shared" ca="1" si="49"/>
        <v>-2.1316282072803006E-13</v>
      </c>
      <c r="AD211" s="935">
        <f>IF(ISERROR(VLOOKUP(AD$2,X212:X$1003,1,FALSE)),IF(X211=AD$2,SUMIF(X$4:X211,AD$2,Z$4:Z211)+$E$9+SUM(AQ$4:AQ$1003)+SUMIF(COSTI!$X$1379:$X$1430,AD$2,COSTI!$Z$1379:$Z$1430),0),0)</f>
        <v>0</v>
      </c>
      <c r="AE211" s="26"/>
      <c r="AF211" s="856" t="e">
        <f>IF(ISERROR(VLOOKUP(AG$2,X212:X$1003,1,FALSE)),IF(X211=AG$2,SUMIF(X$4:X211,AG$2,Z$4:Z211)+VLOOKUP(AF$2,$B$1057:$F$1068,5,FALSE)+SUM(AR$4:AR$1003)+SUMIF(COSTI!$X$1379:$X$1430,AG$2,COSTI!$Z$1379:$Z$1430),0),0)</f>
        <v>#N/A</v>
      </c>
      <c r="AG211" s="859"/>
      <c r="AH211" s="27" t="str">
        <f t="shared" si="51"/>
        <v/>
      </c>
      <c r="AI211" s="152">
        <f ca="1">IF(W212&gt;0,0,IF(AH211=0,(Z211*-1)+BC211+SUM(BB$4:BB210),BC211+SUM(BB$4:BB210)))</f>
        <v>-2.1316282072803006E-13</v>
      </c>
      <c r="AJ211" s="931">
        <f>IF(AND(AL211&gt;=$U$1,AL211&lt;=$U$2),IF(AM211='ESTRATTO CONTO'!$E$2,1+COUNTIF(AJ$4:AJ210,"&gt;0")+U$1015,0),0)</f>
        <v>0</v>
      </c>
      <c r="AK211" s="203">
        <f>IF(AND(OR((AK210+1)&lt;AL$1015,(AK210+1)=AL$1015),MAX(AK$4:AK210)&lt;AL$1015),AK210+1,0)</f>
        <v>0</v>
      </c>
      <c r="AL211" s="309">
        <f>VLOOKUP($AK211,ENTI!$AF$4:AG$1003,2,FALSE)</f>
        <v>0</v>
      </c>
      <c r="AM211" s="224">
        <f>VLOOKUP($AK211,ENTI!$AF$4:AH$1003,3,FALSE)</f>
        <v>0</v>
      </c>
      <c r="AN211" s="224">
        <f>VLOOKUP($AK211,ENTI!$AF$4:AI$1003,4,FALSE)</f>
        <v>0</v>
      </c>
      <c r="AO211" s="781">
        <f>VLOOKUP($AK211,ENTI!$AF$4:AJ$1003,5,FALSE)</f>
        <v>0</v>
      </c>
      <c r="AP211" s="315">
        <f>VLOOKUP($AK211,ENTI!$AF$4:AK$1003,6,FALSE)</f>
        <v>0</v>
      </c>
      <c r="AQ211" s="208">
        <f t="shared" si="58"/>
        <v>0</v>
      </c>
      <c r="AR211" s="152" t="e">
        <f t="shared" si="59"/>
        <v>#N/A</v>
      </c>
      <c r="AS211" s="1"/>
      <c r="AT211" s="88" t="str">
        <f t="shared" si="52"/>
        <v/>
      </c>
      <c r="AU211" s="1"/>
      <c r="AV211" s="175">
        <f>IF(AW211&gt;0,COUNTIF(AV$4:AV210,"&gt;0")+1,0)</f>
        <v>0</v>
      </c>
      <c r="AW211" s="164">
        <f t="shared" si="53"/>
        <v>0</v>
      </c>
      <c r="AX211" s="310">
        <f>IF($AW211=0,0,VLOOKUP(VLOOKUP($X211,$B$34:$T$38,19,FALSE),ENTI!$A$9:$B$13,2,FALSE))</f>
        <v>0</v>
      </c>
      <c r="AY211" s="310">
        <f t="shared" si="55"/>
        <v>0</v>
      </c>
      <c r="AZ211" s="316">
        <f t="shared" si="56"/>
        <v>0</v>
      </c>
      <c r="BA211" s="1"/>
      <c r="BB211" s="152">
        <f t="shared" si="57"/>
        <v>0</v>
      </c>
      <c r="BC211" s="152">
        <f ca="1">SUM(Z$4:Z211)+SUM(BB$4:BB211)+COSTI!S$6-COSTI!L$1076</f>
        <v>-31.760000000000218</v>
      </c>
      <c r="BD211" s="1"/>
    </row>
    <row r="212" spans="1:56" ht="16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435">
        <f>IF(AND(W212&gt;=$U$1,W212&lt;=$U$2),IF(X212='ESTRATTO CONTO'!$E$2,1+COUNTIF(U$4:U211,"&gt;0"),0),0)</f>
        <v>0</v>
      </c>
      <c r="V212" s="417">
        <f t="shared" si="54"/>
        <v>209</v>
      </c>
      <c r="W212" s="509"/>
      <c r="X212" s="321"/>
      <c r="Y212" s="321"/>
      <c r="Z212" s="508"/>
      <c r="AA212" s="356"/>
      <c r="AB212" s="306" t="str">
        <f t="shared" si="50"/>
        <v/>
      </c>
      <c r="AC212" s="637">
        <f t="shared" ca="1" si="49"/>
        <v>-2.1316282072803006E-13</v>
      </c>
      <c r="AD212" s="935">
        <f>IF(ISERROR(VLOOKUP(AD$2,X213:X$1003,1,FALSE)),IF(X212=AD$2,SUMIF(X$4:X212,AD$2,Z$4:Z212)+$E$9+SUM(AQ$4:AQ$1003)+SUMIF(COSTI!$X$1379:$X$1430,AD$2,COSTI!$Z$1379:$Z$1430),0),0)</f>
        <v>0</v>
      </c>
      <c r="AE212" s="26"/>
      <c r="AF212" s="856" t="e">
        <f>IF(ISERROR(VLOOKUP(AG$2,X213:X$1003,1,FALSE)),IF(X212=AG$2,SUMIF(X$4:X212,AG$2,Z$4:Z212)+VLOOKUP(AF$2,$B$1057:$F$1068,5,FALSE)+SUM(AR$4:AR$1003)+SUMIF(COSTI!$X$1379:$X$1430,AG$2,COSTI!$Z$1379:$Z$1430),0),0)</f>
        <v>#N/A</v>
      </c>
      <c r="AG212" s="859"/>
      <c r="AH212" s="27" t="str">
        <f t="shared" si="51"/>
        <v/>
      </c>
      <c r="AI212" s="152">
        <f ca="1">IF(W213&gt;0,0,IF(AH212=0,(Z212*-1)+BC212+SUM(BB$4:BB211),BC212+SUM(BB$4:BB211)))</f>
        <v>-2.1316282072803006E-13</v>
      </c>
      <c r="AJ212" s="931">
        <f>IF(AND(AL212&gt;=$U$1,AL212&lt;=$U$2),IF(AM212='ESTRATTO CONTO'!$E$2,1+COUNTIF(AJ$4:AJ211,"&gt;0")+U$1015,0),0)</f>
        <v>0</v>
      </c>
      <c r="AK212" s="203">
        <f>IF(AND(OR((AK211+1)&lt;AL$1015,(AK211+1)=AL$1015),MAX(AK$4:AK211)&lt;AL$1015),AK211+1,0)</f>
        <v>0</v>
      </c>
      <c r="AL212" s="309">
        <f>VLOOKUP($AK212,ENTI!$AF$4:AG$1003,2,FALSE)</f>
        <v>0</v>
      </c>
      <c r="AM212" s="224">
        <f>VLOOKUP($AK212,ENTI!$AF$4:AH$1003,3,FALSE)</f>
        <v>0</v>
      </c>
      <c r="AN212" s="224">
        <f>VLOOKUP($AK212,ENTI!$AF$4:AI$1003,4,FALSE)</f>
        <v>0</v>
      </c>
      <c r="AO212" s="781">
        <f>VLOOKUP($AK212,ENTI!$AF$4:AJ$1003,5,FALSE)</f>
        <v>0</v>
      </c>
      <c r="AP212" s="315">
        <f>VLOOKUP($AK212,ENTI!$AF$4:AK$1003,6,FALSE)</f>
        <v>0</v>
      </c>
      <c r="AQ212" s="208">
        <f t="shared" si="58"/>
        <v>0</v>
      </c>
      <c r="AR212" s="152" t="e">
        <f t="shared" si="59"/>
        <v>#N/A</v>
      </c>
      <c r="AS212" s="1"/>
      <c r="AT212" s="88" t="str">
        <f t="shared" si="52"/>
        <v/>
      </c>
      <c r="AU212" s="1"/>
      <c r="AV212" s="175">
        <f>IF(AW212&gt;0,COUNTIF(AV$4:AV211,"&gt;0")+1,0)</f>
        <v>0</v>
      </c>
      <c r="AW212" s="164">
        <f t="shared" si="53"/>
        <v>0</v>
      </c>
      <c r="AX212" s="310">
        <f>IF($AW212=0,0,VLOOKUP(VLOOKUP($X212,$B$34:$T$38,19,FALSE),ENTI!$A$9:$B$13,2,FALSE))</f>
        <v>0</v>
      </c>
      <c r="AY212" s="310">
        <f t="shared" si="55"/>
        <v>0</v>
      </c>
      <c r="AZ212" s="316">
        <f t="shared" si="56"/>
        <v>0</v>
      </c>
      <c r="BA212" s="1"/>
      <c r="BB212" s="152">
        <f t="shared" si="57"/>
        <v>0</v>
      </c>
      <c r="BC212" s="152">
        <f ca="1">SUM(Z$4:Z212)+SUM(BB$4:BB212)+COSTI!S$6-COSTI!L$1076</f>
        <v>-31.760000000000218</v>
      </c>
      <c r="BD212" s="1"/>
    </row>
    <row r="213" spans="1:56" ht="16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435">
        <f>IF(AND(W213&gt;=$U$1,W213&lt;=$U$2),IF(X213='ESTRATTO CONTO'!$E$2,1+COUNTIF(U$4:U212,"&gt;0"),0),0)</f>
        <v>0</v>
      </c>
      <c r="V213" s="417">
        <f t="shared" si="54"/>
        <v>210</v>
      </c>
      <c r="W213" s="509"/>
      <c r="X213" s="321"/>
      <c r="Y213" s="321"/>
      <c r="Z213" s="508"/>
      <c r="AA213" s="356"/>
      <c r="AB213" s="306" t="str">
        <f t="shared" si="50"/>
        <v/>
      </c>
      <c r="AC213" s="637">
        <f t="shared" ca="1" si="49"/>
        <v>-2.1316282072803006E-13</v>
      </c>
      <c r="AD213" s="935">
        <f>IF(ISERROR(VLOOKUP(AD$2,X214:X$1003,1,FALSE)),IF(X213=AD$2,SUMIF(X$4:X213,AD$2,Z$4:Z213)+$E$9+SUM(AQ$4:AQ$1003)+SUMIF(COSTI!$X$1379:$X$1430,AD$2,COSTI!$Z$1379:$Z$1430),0),0)</f>
        <v>0</v>
      </c>
      <c r="AE213" s="26"/>
      <c r="AF213" s="856" t="e">
        <f>IF(ISERROR(VLOOKUP(AG$2,X214:X$1003,1,FALSE)),IF(X213=AG$2,SUMIF(X$4:X213,AG$2,Z$4:Z213)+VLOOKUP(AF$2,$B$1057:$F$1068,5,FALSE)+SUM(AR$4:AR$1003)+SUMIF(COSTI!$X$1379:$X$1430,AG$2,COSTI!$Z$1379:$Z$1430),0),0)</f>
        <v>#N/A</v>
      </c>
      <c r="AG213" s="859"/>
      <c r="AH213" s="27" t="str">
        <f t="shared" si="51"/>
        <v/>
      </c>
      <c r="AI213" s="152">
        <f ca="1">IF(W214&gt;0,0,IF(AH213=0,(Z213*-1)+BC213+SUM(BB$4:BB212),BC213+SUM(BB$4:BB212)))</f>
        <v>-2.1316282072803006E-13</v>
      </c>
      <c r="AJ213" s="931">
        <f>IF(AND(AL213&gt;=$U$1,AL213&lt;=$U$2),IF(AM213='ESTRATTO CONTO'!$E$2,1+COUNTIF(AJ$4:AJ212,"&gt;0")+U$1015,0),0)</f>
        <v>0</v>
      </c>
      <c r="AK213" s="203">
        <f>IF(AND(OR((AK212+1)&lt;AL$1015,(AK212+1)=AL$1015),MAX(AK$4:AK212)&lt;AL$1015),AK212+1,0)</f>
        <v>0</v>
      </c>
      <c r="AL213" s="309">
        <f>VLOOKUP($AK213,ENTI!$AF$4:AG$1003,2,FALSE)</f>
        <v>0</v>
      </c>
      <c r="AM213" s="224">
        <f>VLOOKUP($AK213,ENTI!$AF$4:AH$1003,3,FALSE)</f>
        <v>0</v>
      </c>
      <c r="AN213" s="224">
        <f>VLOOKUP($AK213,ENTI!$AF$4:AI$1003,4,FALSE)</f>
        <v>0</v>
      </c>
      <c r="AO213" s="781">
        <f>VLOOKUP($AK213,ENTI!$AF$4:AJ$1003,5,FALSE)</f>
        <v>0</v>
      </c>
      <c r="AP213" s="315">
        <f>VLOOKUP($AK213,ENTI!$AF$4:AK$1003,6,FALSE)</f>
        <v>0</v>
      </c>
      <c r="AQ213" s="208">
        <f t="shared" si="58"/>
        <v>0</v>
      </c>
      <c r="AR213" s="152" t="e">
        <f t="shared" si="59"/>
        <v>#N/A</v>
      </c>
      <c r="AS213" s="1"/>
      <c r="AT213" s="88" t="str">
        <f t="shared" si="52"/>
        <v/>
      </c>
      <c r="AU213" s="1"/>
      <c r="AV213" s="175">
        <f>IF(AW213&gt;0,COUNTIF(AV$4:AV212,"&gt;0")+1,0)</f>
        <v>0</v>
      </c>
      <c r="AW213" s="164">
        <f t="shared" si="53"/>
        <v>0</v>
      </c>
      <c r="AX213" s="310">
        <f>IF($AW213=0,0,VLOOKUP(VLOOKUP($X213,$B$34:$T$38,19,FALSE),ENTI!$A$9:$B$13,2,FALSE))</f>
        <v>0</v>
      </c>
      <c r="AY213" s="310">
        <f t="shared" si="55"/>
        <v>0</v>
      </c>
      <c r="AZ213" s="316">
        <f t="shared" si="56"/>
        <v>0</v>
      </c>
      <c r="BA213" s="1"/>
      <c r="BB213" s="152">
        <f t="shared" si="57"/>
        <v>0</v>
      </c>
      <c r="BC213" s="152">
        <f ca="1">SUM(Z$4:Z213)+SUM(BB$4:BB213)+COSTI!S$6-COSTI!L$1076</f>
        <v>-31.760000000000218</v>
      </c>
      <c r="BD213" s="1"/>
    </row>
    <row r="214" spans="1:56" ht="16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435">
        <f>IF(AND(W214&gt;=$U$1,W214&lt;=$U$2),IF(X214='ESTRATTO CONTO'!$E$2,1+COUNTIF(U$4:U213,"&gt;0"),0),0)</f>
        <v>0</v>
      </c>
      <c r="V214" s="417">
        <f t="shared" si="54"/>
        <v>211</v>
      </c>
      <c r="W214" s="509"/>
      <c r="X214" s="321"/>
      <c r="Y214" s="321"/>
      <c r="Z214" s="508"/>
      <c r="AA214" s="356"/>
      <c r="AB214" s="306" t="str">
        <f t="shared" si="50"/>
        <v/>
      </c>
      <c r="AC214" s="637">
        <f t="shared" ca="1" si="49"/>
        <v>-2.1316282072803006E-13</v>
      </c>
      <c r="AD214" s="935">
        <f>IF(ISERROR(VLOOKUP(AD$2,X215:X$1003,1,FALSE)),IF(X214=AD$2,SUMIF(X$4:X214,AD$2,Z$4:Z214)+$E$9+SUM(AQ$4:AQ$1003)+SUMIF(COSTI!$X$1379:$X$1430,AD$2,COSTI!$Z$1379:$Z$1430),0),0)</f>
        <v>0</v>
      </c>
      <c r="AE214" s="26"/>
      <c r="AF214" s="856" t="e">
        <f>IF(ISERROR(VLOOKUP(AG$2,X215:X$1003,1,FALSE)),IF(X214=AG$2,SUMIF(X$4:X214,AG$2,Z$4:Z214)+VLOOKUP(AF$2,$B$1057:$F$1068,5,FALSE)+SUM(AR$4:AR$1003)+SUMIF(COSTI!$X$1379:$X$1430,AG$2,COSTI!$Z$1379:$Z$1430),0),0)</f>
        <v>#N/A</v>
      </c>
      <c r="AG214" s="859"/>
      <c r="AH214" s="27" t="str">
        <f t="shared" si="51"/>
        <v/>
      </c>
      <c r="AI214" s="152">
        <f ca="1">IF(W215&gt;0,0,IF(AH214=0,(Z214*-1)+BC214+SUM(BB$4:BB213),BC214+SUM(BB$4:BB213)))</f>
        <v>-2.1316282072803006E-13</v>
      </c>
      <c r="AJ214" s="931">
        <f>IF(AND(AL214&gt;=$U$1,AL214&lt;=$U$2),IF(AM214='ESTRATTO CONTO'!$E$2,1+COUNTIF(AJ$4:AJ213,"&gt;0")+U$1015,0),0)</f>
        <v>0</v>
      </c>
      <c r="AK214" s="203">
        <f>IF(AND(OR((AK213+1)&lt;AL$1015,(AK213+1)=AL$1015),MAX(AK$4:AK213)&lt;AL$1015),AK213+1,0)</f>
        <v>0</v>
      </c>
      <c r="AL214" s="309">
        <f>VLOOKUP($AK214,ENTI!$AF$4:AG$1003,2,FALSE)</f>
        <v>0</v>
      </c>
      <c r="AM214" s="224">
        <f>VLOOKUP($AK214,ENTI!$AF$4:AH$1003,3,FALSE)</f>
        <v>0</v>
      </c>
      <c r="AN214" s="224">
        <f>VLOOKUP($AK214,ENTI!$AF$4:AI$1003,4,FALSE)</f>
        <v>0</v>
      </c>
      <c r="AO214" s="781">
        <f>VLOOKUP($AK214,ENTI!$AF$4:AJ$1003,5,FALSE)</f>
        <v>0</v>
      </c>
      <c r="AP214" s="315">
        <f>VLOOKUP($AK214,ENTI!$AF$4:AK$1003,6,FALSE)</f>
        <v>0</v>
      </c>
      <c r="AQ214" s="208">
        <f t="shared" si="58"/>
        <v>0</v>
      </c>
      <c r="AR214" s="152" t="e">
        <f t="shared" si="59"/>
        <v>#N/A</v>
      </c>
      <c r="AS214" s="1"/>
      <c r="AT214" s="88" t="str">
        <f t="shared" si="52"/>
        <v/>
      </c>
      <c r="AU214" s="1"/>
      <c r="AV214" s="175">
        <f>IF(AW214&gt;0,COUNTIF(AV$4:AV213,"&gt;0")+1,0)</f>
        <v>0</v>
      </c>
      <c r="AW214" s="164">
        <f t="shared" si="53"/>
        <v>0</v>
      </c>
      <c r="AX214" s="310">
        <f>IF($AW214=0,0,VLOOKUP(VLOOKUP($X214,$B$34:$T$38,19,FALSE),ENTI!$A$9:$B$13,2,FALSE))</f>
        <v>0</v>
      </c>
      <c r="AY214" s="310">
        <f t="shared" si="55"/>
        <v>0</v>
      </c>
      <c r="AZ214" s="316">
        <f t="shared" si="56"/>
        <v>0</v>
      </c>
      <c r="BA214" s="1"/>
      <c r="BB214" s="152">
        <f t="shared" si="57"/>
        <v>0</v>
      </c>
      <c r="BC214" s="152">
        <f ca="1">SUM(Z$4:Z214)+SUM(BB$4:BB214)+COSTI!S$6-COSTI!L$1076</f>
        <v>-31.760000000000218</v>
      </c>
      <c r="BD214" s="1"/>
    </row>
    <row r="215" spans="1:56" ht="16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435">
        <f>IF(AND(W215&gt;=$U$1,W215&lt;=$U$2),IF(X215='ESTRATTO CONTO'!$E$2,1+COUNTIF(U$4:U214,"&gt;0"),0),0)</f>
        <v>0</v>
      </c>
      <c r="V215" s="417">
        <f t="shared" si="54"/>
        <v>212</v>
      </c>
      <c r="W215" s="509"/>
      <c r="X215" s="321"/>
      <c r="Y215" s="321"/>
      <c r="Z215" s="508"/>
      <c r="AA215" s="356"/>
      <c r="AB215" s="306" t="str">
        <f t="shared" si="50"/>
        <v/>
      </c>
      <c r="AC215" s="637">
        <f t="shared" ca="1" si="49"/>
        <v>-2.1316282072803006E-13</v>
      </c>
      <c r="AD215" s="935">
        <f>IF(ISERROR(VLOOKUP(AD$2,X216:X$1003,1,FALSE)),IF(X215=AD$2,SUMIF(X$4:X215,AD$2,Z$4:Z215)+$E$9+SUM(AQ$4:AQ$1003)+SUMIF(COSTI!$X$1379:$X$1430,AD$2,COSTI!$Z$1379:$Z$1430),0),0)</f>
        <v>0</v>
      </c>
      <c r="AE215" s="26"/>
      <c r="AF215" s="856" t="e">
        <f>IF(ISERROR(VLOOKUP(AG$2,X216:X$1003,1,FALSE)),IF(X215=AG$2,SUMIF(X$4:X215,AG$2,Z$4:Z215)+VLOOKUP(AF$2,$B$1057:$F$1068,5,FALSE)+SUM(AR$4:AR$1003)+SUMIF(COSTI!$X$1379:$X$1430,AG$2,COSTI!$Z$1379:$Z$1430),0),0)</f>
        <v>#N/A</v>
      </c>
      <c r="AG215" s="859"/>
      <c r="AH215" s="27" t="str">
        <f t="shared" si="51"/>
        <v/>
      </c>
      <c r="AI215" s="152">
        <f ca="1">IF(W216&gt;0,0,IF(AH215=0,(Z215*-1)+BC215+SUM(BB$4:BB214),BC215+SUM(BB$4:BB214)))</f>
        <v>-2.1316282072803006E-13</v>
      </c>
      <c r="AJ215" s="931">
        <f>IF(AND(AL215&gt;=$U$1,AL215&lt;=$U$2),IF(AM215='ESTRATTO CONTO'!$E$2,1+COUNTIF(AJ$4:AJ214,"&gt;0")+U$1015,0),0)</f>
        <v>0</v>
      </c>
      <c r="AK215" s="203">
        <f>IF(AND(OR((AK214+1)&lt;AL$1015,(AK214+1)=AL$1015),MAX(AK$4:AK214)&lt;AL$1015),AK214+1,0)</f>
        <v>0</v>
      </c>
      <c r="AL215" s="309">
        <f>VLOOKUP($AK215,ENTI!$AF$4:AG$1003,2,FALSE)</f>
        <v>0</v>
      </c>
      <c r="AM215" s="224">
        <f>VLOOKUP($AK215,ENTI!$AF$4:AH$1003,3,FALSE)</f>
        <v>0</v>
      </c>
      <c r="AN215" s="224">
        <f>VLOOKUP($AK215,ENTI!$AF$4:AI$1003,4,FALSE)</f>
        <v>0</v>
      </c>
      <c r="AO215" s="781">
        <f>VLOOKUP($AK215,ENTI!$AF$4:AJ$1003,5,FALSE)</f>
        <v>0</v>
      </c>
      <c r="AP215" s="315">
        <f>VLOOKUP($AK215,ENTI!$AF$4:AK$1003,6,FALSE)</f>
        <v>0</v>
      </c>
      <c r="AQ215" s="208">
        <f t="shared" si="58"/>
        <v>0</v>
      </c>
      <c r="AR215" s="152" t="e">
        <f t="shared" si="59"/>
        <v>#N/A</v>
      </c>
      <c r="AS215" s="1"/>
      <c r="AT215" s="88" t="str">
        <f t="shared" si="52"/>
        <v/>
      </c>
      <c r="AU215" s="1"/>
      <c r="AV215" s="175">
        <f>IF(AW215&gt;0,COUNTIF(AV$4:AV214,"&gt;0")+1,0)</f>
        <v>0</v>
      </c>
      <c r="AW215" s="164">
        <f t="shared" si="53"/>
        <v>0</v>
      </c>
      <c r="AX215" s="310">
        <f>IF($AW215=0,0,VLOOKUP(VLOOKUP($X215,$B$34:$T$38,19,FALSE),ENTI!$A$9:$B$13,2,FALSE))</f>
        <v>0</v>
      </c>
      <c r="AY215" s="310">
        <f t="shared" si="55"/>
        <v>0</v>
      </c>
      <c r="AZ215" s="316">
        <f t="shared" si="56"/>
        <v>0</v>
      </c>
      <c r="BA215" s="1"/>
      <c r="BB215" s="152">
        <f t="shared" si="57"/>
        <v>0</v>
      </c>
      <c r="BC215" s="152">
        <f ca="1">SUM(Z$4:Z215)+SUM(BB$4:BB215)+COSTI!S$6-COSTI!L$1076</f>
        <v>-31.760000000000218</v>
      </c>
      <c r="BD215" s="1"/>
    </row>
    <row r="216" spans="1:56" ht="16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435">
        <f>IF(AND(W216&gt;=$U$1,W216&lt;=$U$2),IF(X216='ESTRATTO CONTO'!$E$2,1+COUNTIF(U$4:U215,"&gt;0"),0),0)</f>
        <v>0</v>
      </c>
      <c r="V216" s="417">
        <f t="shared" si="54"/>
        <v>213</v>
      </c>
      <c r="W216" s="509"/>
      <c r="X216" s="321"/>
      <c r="Y216" s="321"/>
      <c r="Z216" s="508"/>
      <c r="AA216" s="356"/>
      <c r="AB216" s="306" t="str">
        <f t="shared" si="50"/>
        <v/>
      </c>
      <c r="AC216" s="637">
        <f t="shared" ca="1" si="49"/>
        <v>-2.1316282072803006E-13</v>
      </c>
      <c r="AD216" s="935">
        <f>IF(ISERROR(VLOOKUP(AD$2,X217:X$1003,1,FALSE)),IF(X216=AD$2,SUMIF(X$4:X216,AD$2,Z$4:Z216)+$E$9+SUM(AQ$4:AQ$1003)+SUMIF(COSTI!$X$1379:$X$1430,AD$2,COSTI!$Z$1379:$Z$1430),0),0)</f>
        <v>0</v>
      </c>
      <c r="AE216" s="26"/>
      <c r="AF216" s="856" t="e">
        <f>IF(ISERROR(VLOOKUP(AG$2,X217:X$1003,1,FALSE)),IF(X216=AG$2,SUMIF(X$4:X216,AG$2,Z$4:Z216)+VLOOKUP(AF$2,$B$1057:$F$1068,5,FALSE)+SUM(AR$4:AR$1003)+SUMIF(COSTI!$X$1379:$X$1430,AG$2,COSTI!$Z$1379:$Z$1430),0),0)</f>
        <v>#N/A</v>
      </c>
      <c r="AG216" s="859"/>
      <c r="AH216" s="27" t="str">
        <f t="shared" si="51"/>
        <v/>
      </c>
      <c r="AI216" s="152">
        <f ca="1">IF(W217&gt;0,0,IF(AH216=0,(Z216*-1)+BC216+SUM(BB$4:BB215),BC216+SUM(BB$4:BB215)))</f>
        <v>-2.1316282072803006E-13</v>
      </c>
      <c r="AJ216" s="931">
        <f>IF(AND(AL216&gt;=$U$1,AL216&lt;=$U$2),IF(AM216='ESTRATTO CONTO'!$E$2,1+COUNTIF(AJ$4:AJ215,"&gt;0")+U$1015,0),0)</f>
        <v>0</v>
      </c>
      <c r="AK216" s="203">
        <f>IF(AND(OR((AK215+1)&lt;AL$1015,(AK215+1)=AL$1015),MAX(AK$4:AK215)&lt;AL$1015),AK215+1,0)</f>
        <v>0</v>
      </c>
      <c r="AL216" s="309">
        <f>VLOOKUP($AK216,ENTI!$AF$4:AG$1003,2,FALSE)</f>
        <v>0</v>
      </c>
      <c r="AM216" s="224">
        <f>VLOOKUP($AK216,ENTI!$AF$4:AH$1003,3,FALSE)</f>
        <v>0</v>
      </c>
      <c r="AN216" s="224">
        <f>VLOOKUP($AK216,ENTI!$AF$4:AI$1003,4,FALSE)</f>
        <v>0</v>
      </c>
      <c r="AO216" s="781">
        <f>VLOOKUP($AK216,ENTI!$AF$4:AJ$1003,5,FALSE)</f>
        <v>0</v>
      </c>
      <c r="AP216" s="315">
        <f>VLOOKUP($AK216,ENTI!$AF$4:AK$1003,6,FALSE)</f>
        <v>0</v>
      </c>
      <c r="AQ216" s="208">
        <f t="shared" si="58"/>
        <v>0</v>
      </c>
      <c r="AR216" s="152" t="e">
        <f t="shared" si="59"/>
        <v>#N/A</v>
      </c>
      <c r="AS216" s="1"/>
      <c r="AT216" s="88" t="str">
        <f t="shared" si="52"/>
        <v/>
      </c>
      <c r="AU216" s="1"/>
      <c r="AV216" s="175">
        <f>IF(AW216&gt;0,COUNTIF(AV$4:AV215,"&gt;0")+1,0)</f>
        <v>0</v>
      </c>
      <c r="AW216" s="164">
        <f t="shared" si="53"/>
        <v>0</v>
      </c>
      <c r="AX216" s="310">
        <f>IF($AW216=0,0,VLOOKUP(VLOOKUP($X216,$B$34:$T$38,19,FALSE),ENTI!$A$9:$B$13,2,FALSE))</f>
        <v>0</v>
      </c>
      <c r="AY216" s="310">
        <f t="shared" si="55"/>
        <v>0</v>
      </c>
      <c r="AZ216" s="316">
        <f t="shared" si="56"/>
        <v>0</v>
      </c>
      <c r="BA216" s="1"/>
      <c r="BB216" s="152">
        <f t="shared" si="57"/>
        <v>0</v>
      </c>
      <c r="BC216" s="152">
        <f ca="1">SUM(Z$4:Z216)+SUM(BB$4:BB216)+COSTI!S$6-COSTI!L$1076</f>
        <v>-31.760000000000218</v>
      </c>
      <c r="BD216" s="1"/>
    </row>
    <row r="217" spans="1:56" ht="16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435">
        <f>IF(AND(W217&gt;=$U$1,W217&lt;=$U$2),IF(X217='ESTRATTO CONTO'!$E$2,1+COUNTIF(U$4:U216,"&gt;0"),0),0)</f>
        <v>0</v>
      </c>
      <c r="V217" s="417">
        <f t="shared" si="54"/>
        <v>214</v>
      </c>
      <c r="W217" s="509"/>
      <c r="X217" s="321"/>
      <c r="Y217" s="321"/>
      <c r="Z217" s="508"/>
      <c r="AA217" s="356"/>
      <c r="AB217" s="306" t="str">
        <f t="shared" si="50"/>
        <v/>
      </c>
      <c r="AC217" s="637">
        <f t="shared" ca="1" si="49"/>
        <v>-2.1316282072803006E-13</v>
      </c>
      <c r="AD217" s="935">
        <f>IF(ISERROR(VLOOKUP(AD$2,X218:X$1003,1,FALSE)),IF(X217=AD$2,SUMIF(X$4:X217,AD$2,Z$4:Z217)+$E$9+SUM(AQ$4:AQ$1003)+SUMIF(COSTI!$X$1379:$X$1430,AD$2,COSTI!$Z$1379:$Z$1430),0),0)</f>
        <v>0</v>
      </c>
      <c r="AE217" s="26"/>
      <c r="AF217" s="856" t="e">
        <f>IF(ISERROR(VLOOKUP(AG$2,X218:X$1003,1,FALSE)),IF(X217=AG$2,SUMIF(X$4:X217,AG$2,Z$4:Z217)+VLOOKUP(AF$2,$B$1057:$F$1068,5,FALSE)+SUM(AR$4:AR$1003)+SUMIF(COSTI!$X$1379:$X$1430,AG$2,COSTI!$Z$1379:$Z$1430),0),0)</f>
        <v>#N/A</v>
      </c>
      <c r="AG217" s="859"/>
      <c r="AH217" s="27" t="str">
        <f t="shared" si="51"/>
        <v/>
      </c>
      <c r="AI217" s="152">
        <f ca="1">IF(W218&gt;0,0,IF(AH217=0,(Z217*-1)+BC217+SUM(BB$4:BB216),BC217+SUM(BB$4:BB216)))</f>
        <v>-2.1316282072803006E-13</v>
      </c>
      <c r="AJ217" s="931">
        <f>IF(AND(AL217&gt;=$U$1,AL217&lt;=$U$2),IF(AM217='ESTRATTO CONTO'!$E$2,1+COUNTIF(AJ$4:AJ216,"&gt;0")+U$1015,0),0)</f>
        <v>0</v>
      </c>
      <c r="AK217" s="203">
        <f>IF(AND(OR((AK216+1)&lt;AL$1015,(AK216+1)=AL$1015),MAX(AK$4:AK216)&lt;AL$1015),AK216+1,0)</f>
        <v>0</v>
      </c>
      <c r="AL217" s="309">
        <f>VLOOKUP($AK217,ENTI!$AF$4:AG$1003,2,FALSE)</f>
        <v>0</v>
      </c>
      <c r="AM217" s="224">
        <f>VLOOKUP($AK217,ENTI!$AF$4:AH$1003,3,FALSE)</f>
        <v>0</v>
      </c>
      <c r="AN217" s="224">
        <f>VLOOKUP($AK217,ENTI!$AF$4:AI$1003,4,FALSE)</f>
        <v>0</v>
      </c>
      <c r="AO217" s="781">
        <f>VLOOKUP($AK217,ENTI!$AF$4:AJ$1003,5,FALSE)</f>
        <v>0</v>
      </c>
      <c r="AP217" s="315">
        <f>VLOOKUP($AK217,ENTI!$AF$4:AK$1003,6,FALSE)</f>
        <v>0</v>
      </c>
      <c r="AQ217" s="208">
        <f t="shared" si="58"/>
        <v>0</v>
      </c>
      <c r="AR217" s="152" t="e">
        <f t="shared" si="59"/>
        <v>#N/A</v>
      </c>
      <c r="AS217" s="1"/>
      <c r="AT217" s="88" t="str">
        <f t="shared" si="52"/>
        <v/>
      </c>
      <c r="AU217" s="1"/>
      <c r="AV217" s="175">
        <f>IF(AW217&gt;0,COUNTIF(AV$4:AV216,"&gt;0")+1,0)</f>
        <v>0</v>
      </c>
      <c r="AW217" s="164">
        <f t="shared" si="53"/>
        <v>0</v>
      </c>
      <c r="AX217" s="310">
        <f>IF($AW217=0,0,VLOOKUP(VLOOKUP($X217,$B$34:$T$38,19,FALSE),ENTI!$A$9:$B$13,2,FALSE))</f>
        <v>0</v>
      </c>
      <c r="AY217" s="310">
        <f t="shared" si="55"/>
        <v>0</v>
      </c>
      <c r="AZ217" s="316">
        <f t="shared" si="56"/>
        <v>0</v>
      </c>
      <c r="BA217" s="1"/>
      <c r="BB217" s="152">
        <f t="shared" si="57"/>
        <v>0</v>
      </c>
      <c r="BC217" s="152">
        <f ca="1">SUM(Z$4:Z217)+SUM(BB$4:BB217)+COSTI!S$6-COSTI!L$1076</f>
        <v>-31.760000000000218</v>
      </c>
      <c r="BD217" s="1"/>
    </row>
    <row r="218" spans="1:56" ht="16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435">
        <f>IF(AND(W218&gt;=$U$1,W218&lt;=$U$2),IF(X218='ESTRATTO CONTO'!$E$2,1+COUNTIF(U$4:U217,"&gt;0"),0),0)</f>
        <v>0</v>
      </c>
      <c r="V218" s="417">
        <f t="shared" si="54"/>
        <v>215</v>
      </c>
      <c r="W218" s="509"/>
      <c r="X218" s="321"/>
      <c r="Y218" s="321"/>
      <c r="Z218" s="508"/>
      <c r="AA218" s="356"/>
      <c r="AB218" s="306" t="str">
        <f t="shared" si="50"/>
        <v/>
      </c>
      <c r="AC218" s="637">
        <f t="shared" ca="1" si="49"/>
        <v>-2.1316282072803006E-13</v>
      </c>
      <c r="AD218" s="935">
        <f>IF(ISERROR(VLOOKUP(AD$2,X219:X$1003,1,FALSE)),IF(X218=AD$2,SUMIF(X$4:X218,AD$2,Z$4:Z218)+$E$9+SUM(AQ$4:AQ$1003)+SUMIF(COSTI!$X$1379:$X$1430,AD$2,COSTI!$Z$1379:$Z$1430),0),0)</f>
        <v>0</v>
      </c>
      <c r="AE218" s="26"/>
      <c r="AF218" s="856" t="e">
        <f>IF(ISERROR(VLOOKUP(AG$2,X219:X$1003,1,FALSE)),IF(X218=AG$2,SUMIF(X$4:X218,AG$2,Z$4:Z218)+VLOOKUP(AF$2,$B$1057:$F$1068,5,FALSE)+SUM(AR$4:AR$1003)+SUMIF(COSTI!$X$1379:$X$1430,AG$2,COSTI!$Z$1379:$Z$1430),0),0)</f>
        <v>#N/A</v>
      </c>
      <c r="AG218" s="859"/>
      <c r="AH218" s="27" t="str">
        <f t="shared" si="51"/>
        <v/>
      </c>
      <c r="AI218" s="152">
        <f ca="1">IF(W219&gt;0,0,IF(AH218=0,(Z218*-1)+BC218+SUM(BB$4:BB217),BC218+SUM(BB$4:BB217)))</f>
        <v>-2.1316282072803006E-13</v>
      </c>
      <c r="AJ218" s="931">
        <f>IF(AND(AL218&gt;=$U$1,AL218&lt;=$U$2),IF(AM218='ESTRATTO CONTO'!$E$2,1+COUNTIF(AJ$4:AJ217,"&gt;0")+U$1015,0),0)</f>
        <v>0</v>
      </c>
      <c r="AK218" s="203">
        <f>IF(AND(OR((AK217+1)&lt;AL$1015,(AK217+1)=AL$1015),MAX(AK$4:AK217)&lt;AL$1015),AK217+1,0)</f>
        <v>0</v>
      </c>
      <c r="AL218" s="309">
        <f>VLOOKUP($AK218,ENTI!$AF$4:AG$1003,2,FALSE)</f>
        <v>0</v>
      </c>
      <c r="AM218" s="224">
        <f>VLOOKUP($AK218,ENTI!$AF$4:AH$1003,3,FALSE)</f>
        <v>0</v>
      </c>
      <c r="AN218" s="224">
        <f>VLOOKUP($AK218,ENTI!$AF$4:AI$1003,4,FALSE)</f>
        <v>0</v>
      </c>
      <c r="AO218" s="781">
        <f>VLOOKUP($AK218,ENTI!$AF$4:AJ$1003,5,FALSE)</f>
        <v>0</v>
      </c>
      <c r="AP218" s="315">
        <f>VLOOKUP($AK218,ENTI!$AF$4:AK$1003,6,FALSE)</f>
        <v>0</v>
      </c>
      <c r="AQ218" s="208">
        <f t="shared" si="58"/>
        <v>0</v>
      </c>
      <c r="AR218" s="152" t="e">
        <f t="shared" si="59"/>
        <v>#N/A</v>
      </c>
      <c r="AS218" s="1"/>
      <c r="AT218" s="88" t="str">
        <f t="shared" si="52"/>
        <v/>
      </c>
      <c r="AU218" s="1"/>
      <c r="AV218" s="175">
        <f>IF(AW218&gt;0,COUNTIF(AV$4:AV217,"&gt;0")+1,0)</f>
        <v>0</v>
      </c>
      <c r="AW218" s="164">
        <f t="shared" si="53"/>
        <v>0</v>
      </c>
      <c r="AX218" s="310">
        <f>IF($AW218=0,0,VLOOKUP(VLOOKUP($X218,$B$34:$T$38,19,FALSE),ENTI!$A$9:$B$13,2,FALSE))</f>
        <v>0</v>
      </c>
      <c r="AY218" s="310">
        <f t="shared" si="55"/>
        <v>0</v>
      </c>
      <c r="AZ218" s="316">
        <f t="shared" si="56"/>
        <v>0</v>
      </c>
      <c r="BA218" s="1"/>
      <c r="BB218" s="152">
        <f t="shared" si="57"/>
        <v>0</v>
      </c>
      <c r="BC218" s="152">
        <f ca="1">SUM(Z$4:Z218)+SUM(BB$4:BB218)+COSTI!S$6-COSTI!L$1076</f>
        <v>-31.760000000000218</v>
      </c>
      <c r="BD218" s="1"/>
    </row>
    <row r="219" spans="1:56" ht="16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435">
        <f>IF(AND(W219&gt;=$U$1,W219&lt;=$U$2),IF(X219='ESTRATTO CONTO'!$E$2,1+COUNTIF(U$4:U218,"&gt;0"),0),0)</f>
        <v>0</v>
      </c>
      <c r="V219" s="417">
        <f t="shared" si="54"/>
        <v>216</v>
      </c>
      <c r="W219" s="509"/>
      <c r="X219" s="321"/>
      <c r="Y219" s="321"/>
      <c r="Z219" s="508"/>
      <c r="AA219" s="356"/>
      <c r="AB219" s="306" t="str">
        <f t="shared" si="50"/>
        <v/>
      </c>
      <c r="AC219" s="637">
        <f t="shared" ca="1" si="49"/>
        <v>-2.1316282072803006E-13</v>
      </c>
      <c r="AD219" s="935">
        <f>IF(ISERROR(VLOOKUP(AD$2,X220:X$1003,1,FALSE)),IF(X219=AD$2,SUMIF(X$4:X219,AD$2,Z$4:Z219)+$E$9+SUM(AQ$4:AQ$1003)+SUMIF(COSTI!$X$1379:$X$1430,AD$2,COSTI!$Z$1379:$Z$1430),0),0)</f>
        <v>0</v>
      </c>
      <c r="AE219" s="26"/>
      <c r="AF219" s="856" t="e">
        <f>IF(ISERROR(VLOOKUP(AG$2,X220:X$1003,1,FALSE)),IF(X219=AG$2,SUMIF(X$4:X219,AG$2,Z$4:Z219)+VLOOKUP(AF$2,$B$1057:$F$1068,5,FALSE)+SUM(AR$4:AR$1003)+SUMIF(COSTI!$X$1379:$X$1430,AG$2,COSTI!$Z$1379:$Z$1430),0),0)</f>
        <v>#N/A</v>
      </c>
      <c r="AG219" s="859"/>
      <c r="AH219" s="27" t="str">
        <f t="shared" si="51"/>
        <v/>
      </c>
      <c r="AI219" s="152">
        <f ca="1">IF(W220&gt;0,0,IF(AH219=0,(Z219*-1)+BC219+SUM(BB$4:BB218),BC219+SUM(BB$4:BB218)))</f>
        <v>-2.1316282072803006E-13</v>
      </c>
      <c r="AJ219" s="931">
        <f>IF(AND(AL219&gt;=$U$1,AL219&lt;=$U$2),IF(AM219='ESTRATTO CONTO'!$E$2,1+COUNTIF(AJ$4:AJ218,"&gt;0")+U$1015,0),0)</f>
        <v>0</v>
      </c>
      <c r="AK219" s="203">
        <f>IF(AND(OR((AK218+1)&lt;AL$1015,(AK218+1)=AL$1015),MAX(AK$4:AK218)&lt;AL$1015),AK218+1,0)</f>
        <v>0</v>
      </c>
      <c r="AL219" s="309">
        <f>VLOOKUP($AK219,ENTI!$AF$4:AG$1003,2,FALSE)</f>
        <v>0</v>
      </c>
      <c r="AM219" s="224">
        <f>VLOOKUP($AK219,ENTI!$AF$4:AH$1003,3,FALSE)</f>
        <v>0</v>
      </c>
      <c r="AN219" s="224">
        <f>VLOOKUP($AK219,ENTI!$AF$4:AI$1003,4,FALSE)</f>
        <v>0</v>
      </c>
      <c r="AO219" s="781">
        <f>VLOOKUP($AK219,ENTI!$AF$4:AJ$1003,5,FALSE)</f>
        <v>0</v>
      </c>
      <c r="AP219" s="315">
        <f>VLOOKUP($AK219,ENTI!$AF$4:AK$1003,6,FALSE)</f>
        <v>0</v>
      </c>
      <c r="AQ219" s="208">
        <f t="shared" si="58"/>
        <v>0</v>
      </c>
      <c r="AR219" s="152" t="e">
        <f t="shared" si="59"/>
        <v>#N/A</v>
      </c>
      <c r="AS219" s="1"/>
      <c r="AT219" s="88" t="str">
        <f t="shared" si="52"/>
        <v/>
      </c>
      <c r="AU219" s="1"/>
      <c r="AV219" s="175">
        <f>IF(AW219&gt;0,COUNTIF(AV$4:AV218,"&gt;0")+1,0)</f>
        <v>0</v>
      </c>
      <c r="AW219" s="164">
        <f t="shared" si="53"/>
        <v>0</v>
      </c>
      <c r="AX219" s="310">
        <f>IF($AW219=0,0,VLOOKUP(VLOOKUP($X219,$B$34:$T$38,19,FALSE),ENTI!$A$9:$B$13,2,FALSE))</f>
        <v>0</v>
      </c>
      <c r="AY219" s="310">
        <f t="shared" si="55"/>
        <v>0</v>
      </c>
      <c r="AZ219" s="316">
        <f t="shared" si="56"/>
        <v>0</v>
      </c>
      <c r="BA219" s="1"/>
      <c r="BB219" s="152">
        <f t="shared" si="57"/>
        <v>0</v>
      </c>
      <c r="BC219" s="152">
        <f ca="1">SUM(Z$4:Z219)+SUM(BB$4:BB219)+COSTI!S$6-COSTI!L$1076</f>
        <v>-31.760000000000218</v>
      </c>
      <c r="BD219" s="1"/>
    </row>
    <row r="220" spans="1:56" ht="16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435">
        <f>IF(AND(W220&gt;=$U$1,W220&lt;=$U$2),IF(X220='ESTRATTO CONTO'!$E$2,1+COUNTIF(U$4:U219,"&gt;0"),0),0)</f>
        <v>0</v>
      </c>
      <c r="V220" s="417">
        <f t="shared" si="54"/>
        <v>217</v>
      </c>
      <c r="W220" s="509"/>
      <c r="X220" s="321"/>
      <c r="Y220" s="321"/>
      <c r="Z220" s="508"/>
      <c r="AA220" s="356"/>
      <c r="AB220" s="306" t="str">
        <f t="shared" si="50"/>
        <v/>
      </c>
      <c r="AC220" s="637">
        <f t="shared" ca="1" si="49"/>
        <v>-2.1316282072803006E-13</v>
      </c>
      <c r="AD220" s="935">
        <f>IF(ISERROR(VLOOKUP(AD$2,X221:X$1003,1,FALSE)),IF(X220=AD$2,SUMIF(X$4:X220,AD$2,Z$4:Z220)+$E$9+SUM(AQ$4:AQ$1003)+SUMIF(COSTI!$X$1379:$X$1430,AD$2,COSTI!$Z$1379:$Z$1430),0),0)</f>
        <v>0</v>
      </c>
      <c r="AE220" s="26"/>
      <c r="AF220" s="856" t="e">
        <f>IF(ISERROR(VLOOKUP(AG$2,X221:X$1003,1,FALSE)),IF(X220=AG$2,SUMIF(X$4:X220,AG$2,Z$4:Z220)+VLOOKUP(AF$2,$B$1057:$F$1068,5,FALSE)+SUM(AR$4:AR$1003)+SUMIF(COSTI!$X$1379:$X$1430,AG$2,COSTI!$Z$1379:$Z$1430),0),0)</f>
        <v>#N/A</v>
      </c>
      <c r="AG220" s="859"/>
      <c r="AH220" s="27" t="str">
        <f t="shared" si="51"/>
        <v/>
      </c>
      <c r="AI220" s="152">
        <f ca="1">IF(W221&gt;0,0,IF(AH220=0,(Z220*-1)+BC220+SUM(BB$4:BB219),BC220+SUM(BB$4:BB219)))</f>
        <v>-2.1316282072803006E-13</v>
      </c>
      <c r="AJ220" s="931">
        <f>IF(AND(AL220&gt;=$U$1,AL220&lt;=$U$2),IF(AM220='ESTRATTO CONTO'!$E$2,1+COUNTIF(AJ$4:AJ219,"&gt;0")+U$1015,0),0)</f>
        <v>0</v>
      </c>
      <c r="AK220" s="203">
        <f>IF(AND(OR((AK219+1)&lt;AL$1015,(AK219+1)=AL$1015),MAX(AK$4:AK219)&lt;AL$1015),AK219+1,0)</f>
        <v>0</v>
      </c>
      <c r="AL220" s="309">
        <f>VLOOKUP($AK220,ENTI!$AF$4:AG$1003,2,FALSE)</f>
        <v>0</v>
      </c>
      <c r="AM220" s="224">
        <f>VLOOKUP($AK220,ENTI!$AF$4:AH$1003,3,FALSE)</f>
        <v>0</v>
      </c>
      <c r="AN220" s="224">
        <f>VLOOKUP($AK220,ENTI!$AF$4:AI$1003,4,FALSE)</f>
        <v>0</v>
      </c>
      <c r="AO220" s="781">
        <f>VLOOKUP($AK220,ENTI!$AF$4:AJ$1003,5,FALSE)</f>
        <v>0</v>
      </c>
      <c r="AP220" s="315">
        <f>VLOOKUP($AK220,ENTI!$AF$4:AK$1003,6,FALSE)</f>
        <v>0</v>
      </c>
      <c r="AQ220" s="208">
        <f t="shared" si="58"/>
        <v>0</v>
      </c>
      <c r="AR220" s="152" t="e">
        <f t="shared" si="59"/>
        <v>#N/A</v>
      </c>
      <c r="AS220" s="1"/>
      <c r="AT220" s="88" t="str">
        <f t="shared" si="52"/>
        <v/>
      </c>
      <c r="AU220" s="1"/>
      <c r="AV220" s="175">
        <f>IF(AW220&gt;0,COUNTIF(AV$4:AV219,"&gt;0")+1,0)</f>
        <v>0</v>
      </c>
      <c r="AW220" s="164">
        <f t="shared" si="53"/>
        <v>0</v>
      </c>
      <c r="AX220" s="310">
        <f>IF($AW220=0,0,VLOOKUP(VLOOKUP($X220,$B$34:$T$38,19,FALSE),ENTI!$A$9:$B$13,2,FALSE))</f>
        <v>0</v>
      </c>
      <c r="AY220" s="310">
        <f t="shared" si="55"/>
        <v>0</v>
      </c>
      <c r="AZ220" s="316">
        <f t="shared" si="56"/>
        <v>0</v>
      </c>
      <c r="BA220" s="1"/>
      <c r="BB220" s="152">
        <f t="shared" si="57"/>
        <v>0</v>
      </c>
      <c r="BC220" s="152">
        <f ca="1">SUM(Z$4:Z220)+SUM(BB$4:BB220)+COSTI!S$6-COSTI!L$1076</f>
        <v>-31.760000000000218</v>
      </c>
      <c r="BD220" s="1"/>
    </row>
    <row r="221" spans="1:56" ht="16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435">
        <f>IF(AND(W221&gt;=$U$1,W221&lt;=$U$2),IF(X221='ESTRATTO CONTO'!$E$2,1+COUNTIF(U$4:U220,"&gt;0"),0),0)</f>
        <v>0</v>
      </c>
      <c r="V221" s="417">
        <f t="shared" si="54"/>
        <v>218</v>
      </c>
      <c r="W221" s="509"/>
      <c r="X221" s="321"/>
      <c r="Y221" s="321"/>
      <c r="Z221" s="508"/>
      <c r="AA221" s="356"/>
      <c r="AB221" s="306" t="str">
        <f t="shared" si="50"/>
        <v/>
      </c>
      <c r="AC221" s="637">
        <f t="shared" ca="1" si="49"/>
        <v>-2.1316282072803006E-13</v>
      </c>
      <c r="AD221" s="935">
        <f>IF(ISERROR(VLOOKUP(AD$2,X222:X$1003,1,FALSE)),IF(X221=AD$2,SUMIF(X$4:X221,AD$2,Z$4:Z221)+$E$9+SUM(AQ$4:AQ$1003)+SUMIF(COSTI!$X$1379:$X$1430,AD$2,COSTI!$Z$1379:$Z$1430),0),0)</f>
        <v>0</v>
      </c>
      <c r="AE221" s="26"/>
      <c r="AF221" s="856" t="e">
        <f>IF(ISERROR(VLOOKUP(AG$2,X222:X$1003,1,FALSE)),IF(X221=AG$2,SUMIF(X$4:X221,AG$2,Z$4:Z221)+VLOOKUP(AF$2,$B$1057:$F$1068,5,FALSE)+SUM(AR$4:AR$1003)+SUMIF(COSTI!$X$1379:$X$1430,AG$2,COSTI!$Z$1379:$Z$1430),0),0)</f>
        <v>#N/A</v>
      </c>
      <c r="AG221" s="859"/>
      <c r="AH221" s="27" t="str">
        <f t="shared" si="51"/>
        <v/>
      </c>
      <c r="AI221" s="152">
        <f ca="1">IF(W222&gt;0,0,IF(AH221=0,(Z221*-1)+BC221+SUM(BB$4:BB220),BC221+SUM(BB$4:BB220)))</f>
        <v>-2.1316282072803006E-13</v>
      </c>
      <c r="AJ221" s="931">
        <f>IF(AND(AL221&gt;=$U$1,AL221&lt;=$U$2),IF(AM221='ESTRATTO CONTO'!$E$2,1+COUNTIF(AJ$4:AJ220,"&gt;0")+U$1015,0),0)</f>
        <v>0</v>
      </c>
      <c r="AK221" s="203">
        <f>IF(AND(OR((AK220+1)&lt;AL$1015,(AK220+1)=AL$1015),MAX(AK$4:AK220)&lt;AL$1015),AK220+1,0)</f>
        <v>0</v>
      </c>
      <c r="AL221" s="309">
        <f>VLOOKUP($AK221,ENTI!$AF$4:AG$1003,2,FALSE)</f>
        <v>0</v>
      </c>
      <c r="AM221" s="224">
        <f>VLOOKUP($AK221,ENTI!$AF$4:AH$1003,3,FALSE)</f>
        <v>0</v>
      </c>
      <c r="AN221" s="224">
        <f>VLOOKUP($AK221,ENTI!$AF$4:AI$1003,4,FALSE)</f>
        <v>0</v>
      </c>
      <c r="AO221" s="781">
        <f>VLOOKUP($AK221,ENTI!$AF$4:AJ$1003,5,FALSE)</f>
        <v>0</v>
      </c>
      <c r="AP221" s="315">
        <f>VLOOKUP($AK221,ENTI!$AF$4:AK$1003,6,FALSE)</f>
        <v>0</v>
      </c>
      <c r="AQ221" s="208">
        <f t="shared" si="58"/>
        <v>0</v>
      </c>
      <c r="AR221" s="152" t="e">
        <f t="shared" si="59"/>
        <v>#N/A</v>
      </c>
      <c r="AS221" s="1"/>
      <c r="AT221" s="88" t="str">
        <f t="shared" si="52"/>
        <v/>
      </c>
      <c r="AU221" s="1"/>
      <c r="AV221" s="175">
        <f>IF(AW221&gt;0,COUNTIF(AV$4:AV220,"&gt;0")+1,0)</f>
        <v>0</v>
      </c>
      <c r="AW221" s="164">
        <f t="shared" si="53"/>
        <v>0</v>
      </c>
      <c r="AX221" s="310">
        <f>IF($AW221=0,0,VLOOKUP(VLOOKUP($X221,$B$34:$T$38,19,FALSE),ENTI!$A$9:$B$13,2,FALSE))</f>
        <v>0</v>
      </c>
      <c r="AY221" s="310">
        <f t="shared" si="55"/>
        <v>0</v>
      </c>
      <c r="AZ221" s="316">
        <f t="shared" si="56"/>
        <v>0</v>
      </c>
      <c r="BA221" s="1"/>
      <c r="BB221" s="152">
        <f t="shared" si="57"/>
        <v>0</v>
      </c>
      <c r="BC221" s="152">
        <f ca="1">SUM(Z$4:Z221)+SUM(BB$4:BB221)+COSTI!S$6-COSTI!L$1076</f>
        <v>-31.760000000000218</v>
      </c>
      <c r="BD221" s="1"/>
    </row>
    <row r="222" spans="1:56" ht="16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435">
        <f>IF(AND(W222&gt;=$U$1,W222&lt;=$U$2),IF(X222='ESTRATTO CONTO'!$E$2,1+COUNTIF(U$4:U221,"&gt;0"),0),0)</f>
        <v>0</v>
      </c>
      <c r="V222" s="417">
        <f t="shared" si="54"/>
        <v>219</v>
      </c>
      <c r="W222" s="509"/>
      <c r="X222" s="321"/>
      <c r="Y222" s="321"/>
      <c r="Z222" s="508"/>
      <c r="AA222" s="356"/>
      <c r="AB222" s="306" t="str">
        <f t="shared" si="50"/>
        <v/>
      </c>
      <c r="AC222" s="637">
        <f t="shared" ca="1" si="49"/>
        <v>-2.1316282072803006E-13</v>
      </c>
      <c r="AD222" s="935">
        <f>IF(ISERROR(VLOOKUP(AD$2,X223:X$1003,1,FALSE)),IF(X222=AD$2,SUMIF(X$4:X222,AD$2,Z$4:Z222)+$E$9+SUM(AQ$4:AQ$1003)+SUMIF(COSTI!$X$1379:$X$1430,AD$2,COSTI!$Z$1379:$Z$1430),0),0)</f>
        <v>0</v>
      </c>
      <c r="AE222" s="26"/>
      <c r="AF222" s="856" t="e">
        <f>IF(ISERROR(VLOOKUP(AG$2,X223:X$1003,1,FALSE)),IF(X222=AG$2,SUMIF(X$4:X222,AG$2,Z$4:Z222)+VLOOKUP(AF$2,$B$1057:$F$1068,5,FALSE)+SUM(AR$4:AR$1003)+SUMIF(COSTI!$X$1379:$X$1430,AG$2,COSTI!$Z$1379:$Z$1430),0),0)</f>
        <v>#N/A</v>
      </c>
      <c r="AG222" s="859"/>
      <c r="AH222" s="27" t="str">
        <f t="shared" si="51"/>
        <v/>
      </c>
      <c r="AI222" s="152">
        <f ca="1">IF(W223&gt;0,0,IF(AH222=0,(Z222*-1)+BC222+SUM(BB$4:BB221),BC222+SUM(BB$4:BB221)))</f>
        <v>-2.1316282072803006E-13</v>
      </c>
      <c r="AJ222" s="931">
        <f>IF(AND(AL222&gt;=$U$1,AL222&lt;=$U$2),IF(AM222='ESTRATTO CONTO'!$E$2,1+COUNTIF(AJ$4:AJ221,"&gt;0")+U$1015,0),0)</f>
        <v>0</v>
      </c>
      <c r="AK222" s="203">
        <f>IF(AND(OR((AK221+1)&lt;AL$1015,(AK221+1)=AL$1015),MAX(AK$4:AK221)&lt;AL$1015),AK221+1,0)</f>
        <v>0</v>
      </c>
      <c r="AL222" s="309">
        <f>VLOOKUP($AK222,ENTI!$AF$4:AG$1003,2,FALSE)</f>
        <v>0</v>
      </c>
      <c r="AM222" s="224">
        <f>VLOOKUP($AK222,ENTI!$AF$4:AH$1003,3,FALSE)</f>
        <v>0</v>
      </c>
      <c r="AN222" s="224">
        <f>VLOOKUP($AK222,ENTI!$AF$4:AI$1003,4,FALSE)</f>
        <v>0</v>
      </c>
      <c r="AO222" s="781">
        <f>VLOOKUP($AK222,ENTI!$AF$4:AJ$1003,5,FALSE)</f>
        <v>0</v>
      </c>
      <c r="AP222" s="315">
        <f>VLOOKUP($AK222,ENTI!$AF$4:AK$1003,6,FALSE)</f>
        <v>0</v>
      </c>
      <c r="AQ222" s="208">
        <f t="shared" si="58"/>
        <v>0</v>
      </c>
      <c r="AR222" s="152" t="e">
        <f t="shared" si="59"/>
        <v>#N/A</v>
      </c>
      <c r="AS222" s="1"/>
      <c r="AT222" s="88" t="str">
        <f t="shared" si="52"/>
        <v/>
      </c>
      <c r="AU222" s="1"/>
      <c r="AV222" s="175">
        <f>IF(AW222&gt;0,COUNTIF(AV$4:AV221,"&gt;0")+1,0)</f>
        <v>0</v>
      </c>
      <c r="AW222" s="164">
        <f t="shared" si="53"/>
        <v>0</v>
      </c>
      <c r="AX222" s="310">
        <f>IF($AW222=0,0,VLOOKUP(VLOOKUP($X222,$B$34:$T$38,19,FALSE),ENTI!$A$9:$B$13,2,FALSE))</f>
        <v>0</v>
      </c>
      <c r="AY222" s="310">
        <f t="shared" si="55"/>
        <v>0</v>
      </c>
      <c r="AZ222" s="316">
        <f t="shared" si="56"/>
        <v>0</v>
      </c>
      <c r="BA222" s="1"/>
      <c r="BB222" s="152">
        <f t="shared" si="57"/>
        <v>0</v>
      </c>
      <c r="BC222" s="152">
        <f ca="1">SUM(Z$4:Z222)+SUM(BB$4:BB222)+COSTI!S$6-COSTI!L$1076</f>
        <v>-31.760000000000218</v>
      </c>
      <c r="BD222" s="1"/>
    </row>
    <row r="223" spans="1:56" ht="16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435">
        <f>IF(AND(W223&gt;=$U$1,W223&lt;=$U$2),IF(X223='ESTRATTO CONTO'!$E$2,1+COUNTIF(U$4:U222,"&gt;0"),0),0)</f>
        <v>0</v>
      </c>
      <c r="V223" s="417">
        <f t="shared" si="54"/>
        <v>220</v>
      </c>
      <c r="W223" s="509"/>
      <c r="X223" s="321"/>
      <c r="Y223" s="321"/>
      <c r="Z223" s="508"/>
      <c r="AA223" s="356"/>
      <c r="AB223" s="306" t="str">
        <f t="shared" si="50"/>
        <v/>
      </c>
      <c r="AC223" s="637">
        <f t="shared" ca="1" si="49"/>
        <v>-2.1316282072803006E-13</v>
      </c>
      <c r="AD223" s="935">
        <f>IF(ISERROR(VLOOKUP(AD$2,X224:X$1003,1,FALSE)),IF(X223=AD$2,SUMIF(X$4:X223,AD$2,Z$4:Z223)+$E$9+SUM(AQ$4:AQ$1003)+SUMIF(COSTI!$X$1379:$X$1430,AD$2,COSTI!$Z$1379:$Z$1430),0),0)</f>
        <v>0</v>
      </c>
      <c r="AE223" s="26"/>
      <c r="AF223" s="856" t="e">
        <f>IF(ISERROR(VLOOKUP(AG$2,X224:X$1003,1,FALSE)),IF(X223=AG$2,SUMIF(X$4:X223,AG$2,Z$4:Z223)+VLOOKUP(AF$2,$B$1057:$F$1068,5,FALSE)+SUM(AR$4:AR$1003)+SUMIF(COSTI!$X$1379:$X$1430,AG$2,COSTI!$Z$1379:$Z$1430),0),0)</f>
        <v>#N/A</v>
      </c>
      <c r="AG223" s="859"/>
      <c r="AH223" s="27" t="str">
        <f t="shared" si="51"/>
        <v/>
      </c>
      <c r="AI223" s="152">
        <f ca="1">IF(W224&gt;0,0,IF(AH223=0,(Z223*-1)+BC223+SUM(BB$4:BB222),BC223+SUM(BB$4:BB222)))</f>
        <v>-2.1316282072803006E-13</v>
      </c>
      <c r="AJ223" s="931">
        <f>IF(AND(AL223&gt;=$U$1,AL223&lt;=$U$2),IF(AM223='ESTRATTO CONTO'!$E$2,1+COUNTIF(AJ$4:AJ222,"&gt;0")+U$1015,0),0)</f>
        <v>0</v>
      </c>
      <c r="AK223" s="203">
        <f>IF(AND(OR((AK222+1)&lt;AL$1015,(AK222+1)=AL$1015),MAX(AK$4:AK222)&lt;AL$1015),AK222+1,0)</f>
        <v>0</v>
      </c>
      <c r="AL223" s="309">
        <f>VLOOKUP($AK223,ENTI!$AF$4:AG$1003,2,FALSE)</f>
        <v>0</v>
      </c>
      <c r="AM223" s="224">
        <f>VLOOKUP($AK223,ENTI!$AF$4:AH$1003,3,FALSE)</f>
        <v>0</v>
      </c>
      <c r="AN223" s="224">
        <f>VLOOKUP($AK223,ENTI!$AF$4:AI$1003,4,FALSE)</f>
        <v>0</v>
      </c>
      <c r="AO223" s="781">
        <f>VLOOKUP($AK223,ENTI!$AF$4:AJ$1003,5,FALSE)</f>
        <v>0</v>
      </c>
      <c r="AP223" s="315">
        <f>VLOOKUP($AK223,ENTI!$AF$4:AK$1003,6,FALSE)</f>
        <v>0</v>
      </c>
      <c r="AQ223" s="208">
        <f t="shared" si="58"/>
        <v>0</v>
      </c>
      <c r="AR223" s="152" t="e">
        <f t="shared" si="59"/>
        <v>#N/A</v>
      </c>
      <c r="AS223" s="1"/>
      <c r="AT223" s="88" t="str">
        <f t="shared" si="52"/>
        <v/>
      </c>
      <c r="AU223" s="1"/>
      <c r="AV223" s="175">
        <f>IF(AW223&gt;0,COUNTIF(AV$4:AV222,"&gt;0")+1,0)</f>
        <v>0</v>
      </c>
      <c r="AW223" s="164">
        <f t="shared" si="53"/>
        <v>0</v>
      </c>
      <c r="AX223" s="310">
        <f>IF($AW223=0,0,VLOOKUP(VLOOKUP($X223,$B$34:$T$38,19,FALSE),ENTI!$A$9:$B$13,2,FALSE))</f>
        <v>0</v>
      </c>
      <c r="AY223" s="310">
        <f t="shared" si="55"/>
        <v>0</v>
      </c>
      <c r="AZ223" s="316">
        <f t="shared" si="56"/>
        <v>0</v>
      </c>
      <c r="BA223" s="1"/>
      <c r="BB223" s="152">
        <f t="shared" si="57"/>
        <v>0</v>
      </c>
      <c r="BC223" s="152">
        <f ca="1">SUM(Z$4:Z223)+SUM(BB$4:BB223)+COSTI!S$6-COSTI!L$1076</f>
        <v>-31.760000000000218</v>
      </c>
      <c r="BD223" s="1"/>
    </row>
    <row r="224" spans="1:56" ht="16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435">
        <f>IF(AND(W224&gt;=$U$1,W224&lt;=$U$2),IF(X224='ESTRATTO CONTO'!$E$2,1+COUNTIF(U$4:U223,"&gt;0"),0),0)</f>
        <v>0</v>
      </c>
      <c r="V224" s="417">
        <f t="shared" si="54"/>
        <v>221</v>
      </c>
      <c r="W224" s="509"/>
      <c r="X224" s="321"/>
      <c r="Y224" s="321"/>
      <c r="Z224" s="508"/>
      <c r="AA224" s="356"/>
      <c r="AB224" s="306" t="str">
        <f t="shared" si="50"/>
        <v/>
      </c>
      <c r="AC224" s="637">
        <f t="shared" ca="1" si="49"/>
        <v>-2.1316282072803006E-13</v>
      </c>
      <c r="AD224" s="935">
        <f>IF(ISERROR(VLOOKUP(AD$2,X225:X$1003,1,FALSE)),IF(X224=AD$2,SUMIF(X$4:X224,AD$2,Z$4:Z224)+$E$9+SUM(AQ$4:AQ$1003)+SUMIF(COSTI!$X$1379:$X$1430,AD$2,COSTI!$Z$1379:$Z$1430),0),0)</f>
        <v>0</v>
      </c>
      <c r="AE224" s="26"/>
      <c r="AF224" s="856" t="e">
        <f>IF(ISERROR(VLOOKUP(AG$2,X225:X$1003,1,FALSE)),IF(X224=AG$2,SUMIF(X$4:X224,AG$2,Z$4:Z224)+VLOOKUP(AF$2,$B$1057:$F$1068,5,FALSE)+SUM(AR$4:AR$1003)+SUMIF(COSTI!$X$1379:$X$1430,AG$2,COSTI!$Z$1379:$Z$1430),0),0)</f>
        <v>#N/A</v>
      </c>
      <c r="AG224" s="859"/>
      <c r="AH224" s="27" t="str">
        <f t="shared" si="51"/>
        <v/>
      </c>
      <c r="AI224" s="152">
        <f ca="1">IF(W225&gt;0,0,IF(AH224=0,(Z224*-1)+BC224+SUM(BB$4:BB223),BC224+SUM(BB$4:BB223)))</f>
        <v>-2.1316282072803006E-13</v>
      </c>
      <c r="AJ224" s="931">
        <f>IF(AND(AL224&gt;=$U$1,AL224&lt;=$U$2),IF(AM224='ESTRATTO CONTO'!$E$2,1+COUNTIF(AJ$4:AJ223,"&gt;0")+U$1015,0),0)</f>
        <v>0</v>
      </c>
      <c r="AK224" s="203">
        <f>IF(AND(OR((AK223+1)&lt;AL$1015,(AK223+1)=AL$1015),MAX(AK$4:AK223)&lt;AL$1015),AK223+1,0)</f>
        <v>0</v>
      </c>
      <c r="AL224" s="309">
        <f>VLOOKUP($AK224,ENTI!$AF$4:AG$1003,2,FALSE)</f>
        <v>0</v>
      </c>
      <c r="AM224" s="224">
        <f>VLOOKUP($AK224,ENTI!$AF$4:AH$1003,3,FALSE)</f>
        <v>0</v>
      </c>
      <c r="AN224" s="224">
        <f>VLOOKUP($AK224,ENTI!$AF$4:AI$1003,4,FALSE)</f>
        <v>0</v>
      </c>
      <c r="AO224" s="781">
        <f>VLOOKUP($AK224,ENTI!$AF$4:AJ$1003,5,FALSE)</f>
        <v>0</v>
      </c>
      <c r="AP224" s="315">
        <f>VLOOKUP($AK224,ENTI!$AF$4:AK$1003,6,FALSE)</f>
        <v>0</v>
      </c>
      <c r="AQ224" s="208">
        <f t="shared" si="58"/>
        <v>0</v>
      </c>
      <c r="AR224" s="152" t="e">
        <f t="shared" si="59"/>
        <v>#N/A</v>
      </c>
      <c r="AS224" s="1"/>
      <c r="AT224" s="88" t="str">
        <f t="shared" si="52"/>
        <v/>
      </c>
      <c r="AU224" s="1"/>
      <c r="AV224" s="175">
        <f>IF(AW224&gt;0,COUNTIF(AV$4:AV223,"&gt;0")+1,0)</f>
        <v>0</v>
      </c>
      <c r="AW224" s="164">
        <f t="shared" si="53"/>
        <v>0</v>
      </c>
      <c r="AX224" s="310">
        <f>IF($AW224=0,0,VLOOKUP(VLOOKUP($X224,$B$34:$T$38,19,FALSE),ENTI!$A$9:$B$13,2,FALSE))</f>
        <v>0</v>
      </c>
      <c r="AY224" s="310">
        <f t="shared" si="55"/>
        <v>0</v>
      </c>
      <c r="AZ224" s="316">
        <f t="shared" si="56"/>
        <v>0</v>
      </c>
      <c r="BA224" s="1"/>
      <c r="BB224" s="152">
        <f t="shared" si="57"/>
        <v>0</v>
      </c>
      <c r="BC224" s="152">
        <f ca="1">SUM(Z$4:Z224)+SUM(BB$4:BB224)+COSTI!S$6-COSTI!L$1076</f>
        <v>-31.760000000000218</v>
      </c>
      <c r="BD224" s="1"/>
    </row>
    <row r="225" spans="1:56" ht="16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435">
        <f>IF(AND(W225&gt;=$U$1,W225&lt;=$U$2),IF(X225='ESTRATTO CONTO'!$E$2,1+COUNTIF(U$4:U224,"&gt;0"),0),0)</f>
        <v>0</v>
      </c>
      <c r="V225" s="417">
        <f t="shared" si="54"/>
        <v>222</v>
      </c>
      <c r="W225" s="509"/>
      <c r="X225" s="321"/>
      <c r="Y225" s="321"/>
      <c r="Z225" s="508"/>
      <c r="AA225" s="356"/>
      <c r="AB225" s="306" t="str">
        <f t="shared" si="50"/>
        <v/>
      </c>
      <c r="AC225" s="637">
        <f t="shared" ca="1" si="49"/>
        <v>-2.1316282072803006E-13</v>
      </c>
      <c r="AD225" s="935">
        <f>IF(ISERROR(VLOOKUP(AD$2,X226:X$1003,1,FALSE)),IF(X225=AD$2,SUMIF(X$4:X225,AD$2,Z$4:Z225)+$E$9+SUM(AQ$4:AQ$1003)+SUMIF(COSTI!$X$1379:$X$1430,AD$2,COSTI!$Z$1379:$Z$1430),0),0)</f>
        <v>0</v>
      </c>
      <c r="AE225" s="26"/>
      <c r="AF225" s="856" t="e">
        <f>IF(ISERROR(VLOOKUP(AG$2,X226:X$1003,1,FALSE)),IF(X225=AG$2,SUMIF(X$4:X225,AG$2,Z$4:Z225)+VLOOKUP(AF$2,$B$1057:$F$1068,5,FALSE)+SUM(AR$4:AR$1003)+SUMIF(COSTI!$X$1379:$X$1430,AG$2,COSTI!$Z$1379:$Z$1430),0),0)</f>
        <v>#N/A</v>
      </c>
      <c r="AG225" s="859"/>
      <c r="AH225" s="27" t="str">
        <f t="shared" si="51"/>
        <v/>
      </c>
      <c r="AI225" s="152">
        <f ca="1">IF(W226&gt;0,0,IF(AH225=0,(Z225*-1)+BC225+SUM(BB$4:BB224),BC225+SUM(BB$4:BB224)))</f>
        <v>-2.1316282072803006E-13</v>
      </c>
      <c r="AJ225" s="931">
        <f>IF(AND(AL225&gt;=$U$1,AL225&lt;=$U$2),IF(AM225='ESTRATTO CONTO'!$E$2,1+COUNTIF(AJ$4:AJ224,"&gt;0")+U$1015,0),0)</f>
        <v>0</v>
      </c>
      <c r="AK225" s="203">
        <f>IF(AND(OR((AK224+1)&lt;AL$1015,(AK224+1)=AL$1015),MAX(AK$4:AK224)&lt;AL$1015),AK224+1,0)</f>
        <v>0</v>
      </c>
      <c r="AL225" s="309">
        <f>VLOOKUP($AK225,ENTI!$AF$4:AG$1003,2,FALSE)</f>
        <v>0</v>
      </c>
      <c r="AM225" s="224">
        <f>VLOOKUP($AK225,ENTI!$AF$4:AH$1003,3,FALSE)</f>
        <v>0</v>
      </c>
      <c r="AN225" s="224">
        <f>VLOOKUP($AK225,ENTI!$AF$4:AI$1003,4,FALSE)</f>
        <v>0</v>
      </c>
      <c r="AO225" s="781">
        <f>VLOOKUP($AK225,ENTI!$AF$4:AJ$1003,5,FALSE)</f>
        <v>0</v>
      </c>
      <c r="AP225" s="315">
        <f>VLOOKUP($AK225,ENTI!$AF$4:AK$1003,6,FALSE)</f>
        <v>0</v>
      </c>
      <c r="AQ225" s="208">
        <f t="shared" si="58"/>
        <v>0</v>
      </c>
      <c r="AR225" s="152" t="e">
        <f t="shared" si="59"/>
        <v>#N/A</v>
      </c>
      <c r="AS225" s="1"/>
      <c r="AT225" s="88" t="str">
        <f t="shared" si="52"/>
        <v/>
      </c>
      <c r="AU225" s="1"/>
      <c r="AV225" s="175">
        <f>IF(AW225&gt;0,COUNTIF(AV$4:AV224,"&gt;0")+1,0)</f>
        <v>0</v>
      </c>
      <c r="AW225" s="164">
        <f t="shared" si="53"/>
        <v>0</v>
      </c>
      <c r="AX225" s="310">
        <f>IF($AW225=0,0,VLOOKUP(VLOOKUP($X225,$B$34:$T$38,19,FALSE),ENTI!$A$9:$B$13,2,FALSE))</f>
        <v>0</v>
      </c>
      <c r="AY225" s="310">
        <f t="shared" si="55"/>
        <v>0</v>
      </c>
      <c r="AZ225" s="316">
        <f t="shared" si="56"/>
        <v>0</v>
      </c>
      <c r="BA225" s="1"/>
      <c r="BB225" s="152">
        <f t="shared" si="57"/>
        <v>0</v>
      </c>
      <c r="BC225" s="152">
        <f ca="1">SUM(Z$4:Z225)+SUM(BB$4:BB225)+COSTI!S$6-COSTI!L$1076</f>
        <v>-31.760000000000218</v>
      </c>
      <c r="BD225" s="1"/>
    </row>
    <row r="226" spans="1:56" ht="16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435">
        <f>IF(AND(W226&gt;=$U$1,W226&lt;=$U$2),IF(X226='ESTRATTO CONTO'!$E$2,1+COUNTIF(U$4:U225,"&gt;0"),0),0)</f>
        <v>0</v>
      </c>
      <c r="V226" s="417">
        <f t="shared" si="54"/>
        <v>223</v>
      </c>
      <c r="W226" s="509"/>
      <c r="X226" s="321"/>
      <c r="Y226" s="321"/>
      <c r="Z226" s="508"/>
      <c r="AA226" s="356"/>
      <c r="AB226" s="306" t="str">
        <f t="shared" si="50"/>
        <v/>
      </c>
      <c r="AC226" s="637">
        <f t="shared" ca="1" si="49"/>
        <v>-2.1316282072803006E-13</v>
      </c>
      <c r="AD226" s="935">
        <f>IF(ISERROR(VLOOKUP(AD$2,X227:X$1003,1,FALSE)),IF(X226=AD$2,SUMIF(X$4:X226,AD$2,Z$4:Z226)+$E$9+SUM(AQ$4:AQ$1003)+SUMIF(COSTI!$X$1379:$X$1430,AD$2,COSTI!$Z$1379:$Z$1430),0),0)</f>
        <v>0</v>
      </c>
      <c r="AE226" s="26"/>
      <c r="AF226" s="856" t="e">
        <f>IF(ISERROR(VLOOKUP(AG$2,X227:X$1003,1,FALSE)),IF(X226=AG$2,SUMIF(X$4:X226,AG$2,Z$4:Z226)+VLOOKUP(AF$2,$B$1057:$F$1068,5,FALSE)+SUM(AR$4:AR$1003)+SUMIF(COSTI!$X$1379:$X$1430,AG$2,COSTI!$Z$1379:$Z$1430),0),0)</f>
        <v>#N/A</v>
      </c>
      <c r="AG226" s="859"/>
      <c r="AH226" s="27" t="str">
        <f t="shared" si="51"/>
        <v/>
      </c>
      <c r="AI226" s="152">
        <f ca="1">IF(W227&gt;0,0,IF(AH226=0,(Z226*-1)+BC226+SUM(BB$4:BB225),BC226+SUM(BB$4:BB225)))</f>
        <v>-2.1316282072803006E-13</v>
      </c>
      <c r="AJ226" s="931">
        <f>IF(AND(AL226&gt;=$U$1,AL226&lt;=$U$2),IF(AM226='ESTRATTO CONTO'!$E$2,1+COUNTIF(AJ$4:AJ225,"&gt;0")+U$1015,0),0)</f>
        <v>0</v>
      </c>
      <c r="AK226" s="203">
        <f>IF(AND(OR((AK225+1)&lt;AL$1015,(AK225+1)=AL$1015),MAX(AK$4:AK225)&lt;AL$1015),AK225+1,0)</f>
        <v>0</v>
      </c>
      <c r="AL226" s="309">
        <f>VLOOKUP($AK226,ENTI!$AF$4:AG$1003,2,FALSE)</f>
        <v>0</v>
      </c>
      <c r="AM226" s="224">
        <f>VLOOKUP($AK226,ENTI!$AF$4:AH$1003,3,FALSE)</f>
        <v>0</v>
      </c>
      <c r="AN226" s="224">
        <f>VLOOKUP($AK226,ENTI!$AF$4:AI$1003,4,FALSE)</f>
        <v>0</v>
      </c>
      <c r="AO226" s="781">
        <f>VLOOKUP($AK226,ENTI!$AF$4:AJ$1003,5,FALSE)</f>
        <v>0</v>
      </c>
      <c r="AP226" s="315">
        <f>VLOOKUP($AK226,ENTI!$AF$4:AK$1003,6,FALSE)</f>
        <v>0</v>
      </c>
      <c r="AQ226" s="208">
        <f t="shared" si="58"/>
        <v>0</v>
      </c>
      <c r="AR226" s="152" t="e">
        <f t="shared" si="59"/>
        <v>#N/A</v>
      </c>
      <c r="AS226" s="1"/>
      <c r="AT226" s="88" t="str">
        <f t="shared" si="52"/>
        <v/>
      </c>
      <c r="AU226" s="1"/>
      <c r="AV226" s="175">
        <f>IF(AW226&gt;0,COUNTIF(AV$4:AV225,"&gt;0")+1,0)</f>
        <v>0</v>
      </c>
      <c r="AW226" s="164">
        <f t="shared" si="53"/>
        <v>0</v>
      </c>
      <c r="AX226" s="310">
        <f>IF($AW226=0,0,VLOOKUP(VLOOKUP($X226,$B$34:$T$38,19,FALSE),ENTI!$A$9:$B$13,2,FALSE))</f>
        <v>0</v>
      </c>
      <c r="AY226" s="310">
        <f t="shared" si="55"/>
        <v>0</v>
      </c>
      <c r="AZ226" s="316">
        <f t="shared" si="56"/>
        <v>0</v>
      </c>
      <c r="BA226" s="1"/>
      <c r="BB226" s="152">
        <f t="shared" si="57"/>
        <v>0</v>
      </c>
      <c r="BC226" s="152">
        <f ca="1">SUM(Z$4:Z226)+SUM(BB$4:BB226)+COSTI!S$6-COSTI!L$1076</f>
        <v>-31.760000000000218</v>
      </c>
      <c r="BD226" s="1"/>
    </row>
    <row r="227" spans="1:56" ht="16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435">
        <f>IF(AND(W227&gt;=$U$1,W227&lt;=$U$2),IF(X227='ESTRATTO CONTO'!$E$2,1+COUNTIF(U$4:U226,"&gt;0"),0),0)</f>
        <v>0</v>
      </c>
      <c r="V227" s="417">
        <f t="shared" si="54"/>
        <v>224</v>
      </c>
      <c r="W227" s="509"/>
      <c r="X227" s="321"/>
      <c r="Y227" s="321"/>
      <c r="Z227" s="508"/>
      <c r="AA227" s="356"/>
      <c r="AB227" s="306" t="str">
        <f t="shared" si="50"/>
        <v/>
      </c>
      <c r="AC227" s="637">
        <f t="shared" ca="1" si="49"/>
        <v>-2.1316282072803006E-13</v>
      </c>
      <c r="AD227" s="935">
        <f>IF(ISERROR(VLOOKUP(AD$2,X228:X$1003,1,FALSE)),IF(X227=AD$2,SUMIF(X$4:X227,AD$2,Z$4:Z227)+$E$9+SUM(AQ$4:AQ$1003)+SUMIF(COSTI!$X$1379:$X$1430,AD$2,COSTI!$Z$1379:$Z$1430),0),0)</f>
        <v>0</v>
      </c>
      <c r="AE227" s="26"/>
      <c r="AF227" s="856" t="e">
        <f>IF(ISERROR(VLOOKUP(AG$2,X228:X$1003,1,FALSE)),IF(X227=AG$2,SUMIF(X$4:X227,AG$2,Z$4:Z227)+VLOOKUP(AF$2,$B$1057:$F$1068,5,FALSE)+SUM(AR$4:AR$1003)+SUMIF(COSTI!$X$1379:$X$1430,AG$2,COSTI!$Z$1379:$Z$1430),0),0)</f>
        <v>#N/A</v>
      </c>
      <c r="AG227" s="859"/>
      <c r="AH227" s="27" t="str">
        <f t="shared" si="51"/>
        <v/>
      </c>
      <c r="AI227" s="152">
        <f ca="1">IF(W228&gt;0,0,IF(AH227=0,(Z227*-1)+BC227+SUM(BB$4:BB226),BC227+SUM(BB$4:BB226)))</f>
        <v>-2.1316282072803006E-13</v>
      </c>
      <c r="AJ227" s="931">
        <f>IF(AND(AL227&gt;=$U$1,AL227&lt;=$U$2),IF(AM227='ESTRATTO CONTO'!$E$2,1+COUNTIF(AJ$4:AJ226,"&gt;0")+U$1015,0),0)</f>
        <v>0</v>
      </c>
      <c r="AK227" s="203">
        <f>IF(AND(OR((AK226+1)&lt;AL$1015,(AK226+1)=AL$1015),MAX(AK$4:AK226)&lt;AL$1015),AK226+1,0)</f>
        <v>0</v>
      </c>
      <c r="AL227" s="309">
        <f>VLOOKUP($AK227,ENTI!$AF$4:AG$1003,2,FALSE)</f>
        <v>0</v>
      </c>
      <c r="AM227" s="224">
        <f>VLOOKUP($AK227,ENTI!$AF$4:AH$1003,3,FALSE)</f>
        <v>0</v>
      </c>
      <c r="AN227" s="224">
        <f>VLOOKUP($AK227,ENTI!$AF$4:AI$1003,4,FALSE)</f>
        <v>0</v>
      </c>
      <c r="AO227" s="781">
        <f>VLOOKUP($AK227,ENTI!$AF$4:AJ$1003,5,FALSE)</f>
        <v>0</v>
      </c>
      <c r="AP227" s="315">
        <f>VLOOKUP($AK227,ENTI!$AF$4:AK$1003,6,FALSE)</f>
        <v>0</v>
      </c>
      <c r="AQ227" s="208">
        <f t="shared" si="58"/>
        <v>0</v>
      </c>
      <c r="AR227" s="152" t="e">
        <f t="shared" si="59"/>
        <v>#N/A</v>
      </c>
      <c r="AS227" s="1"/>
      <c r="AT227" s="88" t="str">
        <f t="shared" si="52"/>
        <v/>
      </c>
      <c r="AU227" s="1"/>
      <c r="AV227" s="175">
        <f>IF(AW227&gt;0,COUNTIF(AV$4:AV226,"&gt;0")+1,0)</f>
        <v>0</v>
      </c>
      <c r="AW227" s="164">
        <f t="shared" si="53"/>
        <v>0</v>
      </c>
      <c r="AX227" s="310">
        <f>IF($AW227=0,0,VLOOKUP(VLOOKUP($X227,$B$34:$T$38,19,FALSE),ENTI!$A$9:$B$13,2,FALSE))</f>
        <v>0</v>
      </c>
      <c r="AY227" s="310">
        <f t="shared" si="55"/>
        <v>0</v>
      </c>
      <c r="AZ227" s="316">
        <f t="shared" si="56"/>
        <v>0</v>
      </c>
      <c r="BA227" s="1"/>
      <c r="BB227" s="152">
        <f t="shared" si="57"/>
        <v>0</v>
      </c>
      <c r="BC227" s="152">
        <f ca="1">SUM(Z$4:Z227)+SUM(BB$4:BB227)+COSTI!S$6-COSTI!L$1076</f>
        <v>-31.760000000000218</v>
      </c>
      <c r="BD227" s="1"/>
    </row>
    <row r="228" spans="1:56" ht="16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435">
        <f>IF(AND(W228&gt;=$U$1,W228&lt;=$U$2),IF(X228='ESTRATTO CONTO'!$E$2,1+COUNTIF(U$4:U227,"&gt;0"),0),0)</f>
        <v>0</v>
      </c>
      <c r="V228" s="417">
        <f t="shared" si="54"/>
        <v>225</v>
      </c>
      <c r="W228" s="509"/>
      <c r="X228" s="321"/>
      <c r="Y228" s="321"/>
      <c r="Z228" s="508"/>
      <c r="AA228" s="356"/>
      <c r="AB228" s="306" t="str">
        <f t="shared" si="50"/>
        <v/>
      </c>
      <c r="AC228" s="637">
        <f t="shared" ca="1" si="49"/>
        <v>-2.1316282072803006E-13</v>
      </c>
      <c r="AD228" s="935">
        <f>IF(ISERROR(VLOOKUP(AD$2,X229:X$1003,1,FALSE)),IF(X228=AD$2,SUMIF(X$4:X228,AD$2,Z$4:Z228)+$E$9+SUM(AQ$4:AQ$1003)+SUMIF(COSTI!$X$1379:$X$1430,AD$2,COSTI!$Z$1379:$Z$1430),0),0)</f>
        <v>0</v>
      </c>
      <c r="AE228" s="26"/>
      <c r="AF228" s="856" t="e">
        <f>IF(ISERROR(VLOOKUP(AG$2,X229:X$1003,1,FALSE)),IF(X228=AG$2,SUMIF(X$4:X228,AG$2,Z$4:Z228)+VLOOKUP(AF$2,$B$1057:$F$1068,5,FALSE)+SUM(AR$4:AR$1003)+SUMIF(COSTI!$X$1379:$X$1430,AG$2,COSTI!$Z$1379:$Z$1430),0),0)</f>
        <v>#N/A</v>
      </c>
      <c r="AG228" s="859"/>
      <c r="AH228" s="27" t="str">
        <f t="shared" si="51"/>
        <v/>
      </c>
      <c r="AI228" s="152">
        <f ca="1">IF(W229&gt;0,0,IF(AH228=0,(Z228*-1)+BC228+SUM(BB$4:BB227),BC228+SUM(BB$4:BB227)))</f>
        <v>-2.1316282072803006E-13</v>
      </c>
      <c r="AJ228" s="931">
        <f>IF(AND(AL228&gt;=$U$1,AL228&lt;=$U$2),IF(AM228='ESTRATTO CONTO'!$E$2,1+COUNTIF(AJ$4:AJ227,"&gt;0")+U$1015,0),0)</f>
        <v>0</v>
      </c>
      <c r="AK228" s="203">
        <f>IF(AND(OR((AK227+1)&lt;AL$1015,(AK227+1)=AL$1015),MAX(AK$4:AK227)&lt;AL$1015),AK227+1,0)</f>
        <v>0</v>
      </c>
      <c r="AL228" s="309">
        <f>VLOOKUP($AK228,ENTI!$AF$4:AG$1003,2,FALSE)</f>
        <v>0</v>
      </c>
      <c r="AM228" s="224">
        <f>VLOOKUP($AK228,ENTI!$AF$4:AH$1003,3,FALSE)</f>
        <v>0</v>
      </c>
      <c r="AN228" s="224">
        <f>VLOOKUP($AK228,ENTI!$AF$4:AI$1003,4,FALSE)</f>
        <v>0</v>
      </c>
      <c r="AO228" s="781">
        <f>VLOOKUP($AK228,ENTI!$AF$4:AJ$1003,5,FALSE)</f>
        <v>0</v>
      </c>
      <c r="AP228" s="315">
        <f>VLOOKUP($AK228,ENTI!$AF$4:AK$1003,6,FALSE)</f>
        <v>0</v>
      </c>
      <c r="AQ228" s="208">
        <f t="shared" si="58"/>
        <v>0</v>
      </c>
      <c r="AR228" s="152" t="e">
        <f t="shared" si="59"/>
        <v>#N/A</v>
      </c>
      <c r="AS228" s="1"/>
      <c r="AT228" s="88" t="str">
        <f t="shared" si="52"/>
        <v/>
      </c>
      <c r="AU228" s="1"/>
      <c r="AV228" s="175">
        <f>IF(AW228&gt;0,COUNTIF(AV$4:AV227,"&gt;0")+1,0)</f>
        <v>0</v>
      </c>
      <c r="AW228" s="164">
        <f t="shared" si="53"/>
        <v>0</v>
      </c>
      <c r="AX228" s="310">
        <f>IF($AW228=0,0,VLOOKUP(VLOOKUP($X228,$B$34:$T$38,19,FALSE),ENTI!$A$9:$B$13,2,FALSE))</f>
        <v>0</v>
      </c>
      <c r="AY228" s="310">
        <f t="shared" si="55"/>
        <v>0</v>
      </c>
      <c r="AZ228" s="316">
        <f t="shared" si="56"/>
        <v>0</v>
      </c>
      <c r="BA228" s="1"/>
      <c r="BB228" s="152">
        <f t="shared" si="57"/>
        <v>0</v>
      </c>
      <c r="BC228" s="152">
        <f ca="1">SUM(Z$4:Z228)+SUM(BB$4:BB228)+COSTI!S$6-COSTI!L$1076</f>
        <v>-31.760000000000218</v>
      </c>
      <c r="BD228" s="1"/>
    </row>
    <row r="229" spans="1:56" ht="16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435">
        <f>IF(AND(W229&gt;=$U$1,W229&lt;=$U$2),IF(X229='ESTRATTO CONTO'!$E$2,1+COUNTIF(U$4:U228,"&gt;0"),0),0)</f>
        <v>0</v>
      </c>
      <c r="V229" s="417">
        <f t="shared" si="54"/>
        <v>226</v>
      </c>
      <c r="W229" s="509"/>
      <c r="X229" s="321"/>
      <c r="Y229" s="321"/>
      <c r="Z229" s="508"/>
      <c r="AA229" s="356"/>
      <c r="AB229" s="306" t="str">
        <f t="shared" si="50"/>
        <v/>
      </c>
      <c r="AC229" s="637">
        <f t="shared" ca="1" si="49"/>
        <v>-2.1316282072803006E-13</v>
      </c>
      <c r="AD229" s="935">
        <f>IF(ISERROR(VLOOKUP(AD$2,X230:X$1003,1,FALSE)),IF(X229=AD$2,SUMIF(X$4:X229,AD$2,Z$4:Z229)+$E$9+SUM(AQ$4:AQ$1003)+SUMIF(COSTI!$X$1379:$X$1430,AD$2,COSTI!$Z$1379:$Z$1430),0),0)</f>
        <v>0</v>
      </c>
      <c r="AE229" s="26"/>
      <c r="AF229" s="856" t="e">
        <f>IF(ISERROR(VLOOKUP(AG$2,X230:X$1003,1,FALSE)),IF(X229=AG$2,SUMIF(X$4:X229,AG$2,Z$4:Z229)+VLOOKUP(AF$2,$B$1057:$F$1068,5,FALSE)+SUM(AR$4:AR$1003)+SUMIF(COSTI!$X$1379:$X$1430,AG$2,COSTI!$Z$1379:$Z$1430),0),0)</f>
        <v>#N/A</v>
      </c>
      <c r="AG229" s="859"/>
      <c r="AH229" s="27" t="str">
        <f t="shared" si="51"/>
        <v/>
      </c>
      <c r="AI229" s="152">
        <f ca="1">IF(W230&gt;0,0,IF(AH229=0,(Z229*-1)+BC229+SUM(BB$4:BB228),BC229+SUM(BB$4:BB228)))</f>
        <v>-2.1316282072803006E-13</v>
      </c>
      <c r="AJ229" s="931">
        <f>IF(AND(AL229&gt;=$U$1,AL229&lt;=$U$2),IF(AM229='ESTRATTO CONTO'!$E$2,1+COUNTIF(AJ$4:AJ228,"&gt;0")+U$1015,0),0)</f>
        <v>0</v>
      </c>
      <c r="AK229" s="203">
        <f>IF(AND(OR((AK228+1)&lt;AL$1015,(AK228+1)=AL$1015),MAX(AK$4:AK228)&lt;AL$1015),AK228+1,0)</f>
        <v>0</v>
      </c>
      <c r="AL229" s="309">
        <f>VLOOKUP($AK229,ENTI!$AF$4:AG$1003,2,FALSE)</f>
        <v>0</v>
      </c>
      <c r="AM229" s="224">
        <f>VLOOKUP($AK229,ENTI!$AF$4:AH$1003,3,FALSE)</f>
        <v>0</v>
      </c>
      <c r="AN229" s="224">
        <f>VLOOKUP($AK229,ENTI!$AF$4:AI$1003,4,FALSE)</f>
        <v>0</v>
      </c>
      <c r="AO229" s="781">
        <f>VLOOKUP($AK229,ENTI!$AF$4:AJ$1003,5,FALSE)</f>
        <v>0</v>
      </c>
      <c r="AP229" s="315">
        <f>VLOOKUP($AK229,ENTI!$AF$4:AK$1003,6,FALSE)</f>
        <v>0</v>
      </c>
      <c r="AQ229" s="208">
        <f t="shared" si="58"/>
        <v>0</v>
      </c>
      <c r="AR229" s="152" t="e">
        <f t="shared" si="59"/>
        <v>#N/A</v>
      </c>
      <c r="AS229" s="1"/>
      <c r="AT229" s="88" t="str">
        <f t="shared" si="52"/>
        <v/>
      </c>
      <c r="AU229" s="1"/>
      <c r="AV229" s="175">
        <f>IF(AW229&gt;0,COUNTIF(AV$4:AV228,"&gt;0")+1,0)</f>
        <v>0</v>
      </c>
      <c r="AW229" s="164">
        <f t="shared" si="53"/>
        <v>0</v>
      </c>
      <c r="AX229" s="310">
        <f>IF($AW229=0,0,VLOOKUP(VLOOKUP($X229,$B$34:$T$38,19,FALSE),ENTI!$A$9:$B$13,2,FALSE))</f>
        <v>0</v>
      </c>
      <c r="AY229" s="310">
        <f t="shared" si="55"/>
        <v>0</v>
      </c>
      <c r="AZ229" s="316">
        <f t="shared" si="56"/>
        <v>0</v>
      </c>
      <c r="BA229" s="1"/>
      <c r="BB229" s="152">
        <f t="shared" si="57"/>
        <v>0</v>
      </c>
      <c r="BC229" s="152">
        <f ca="1">SUM(Z$4:Z229)+SUM(BB$4:BB229)+COSTI!S$6-COSTI!L$1076</f>
        <v>-31.760000000000218</v>
      </c>
      <c r="BD229" s="1"/>
    </row>
    <row r="230" spans="1:56" ht="16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435">
        <f>IF(AND(W230&gt;=$U$1,W230&lt;=$U$2),IF(X230='ESTRATTO CONTO'!$E$2,1+COUNTIF(U$4:U229,"&gt;0"),0),0)</f>
        <v>0</v>
      </c>
      <c r="V230" s="417">
        <f t="shared" si="54"/>
        <v>227</v>
      </c>
      <c r="W230" s="509"/>
      <c r="X230" s="321"/>
      <c r="Y230" s="321"/>
      <c r="Z230" s="508"/>
      <c r="AA230" s="356"/>
      <c r="AB230" s="306" t="str">
        <f t="shared" si="50"/>
        <v/>
      </c>
      <c r="AC230" s="637">
        <f t="shared" ca="1" si="49"/>
        <v>-2.1316282072803006E-13</v>
      </c>
      <c r="AD230" s="935">
        <f>IF(ISERROR(VLOOKUP(AD$2,X231:X$1003,1,FALSE)),IF(X230=AD$2,SUMIF(X$4:X230,AD$2,Z$4:Z230)+$E$9+SUM(AQ$4:AQ$1003)+SUMIF(COSTI!$X$1379:$X$1430,AD$2,COSTI!$Z$1379:$Z$1430),0),0)</f>
        <v>0</v>
      </c>
      <c r="AE230" s="26"/>
      <c r="AF230" s="856" t="e">
        <f>IF(ISERROR(VLOOKUP(AG$2,X231:X$1003,1,FALSE)),IF(X230=AG$2,SUMIF(X$4:X230,AG$2,Z$4:Z230)+VLOOKUP(AF$2,$B$1057:$F$1068,5,FALSE)+SUM(AR$4:AR$1003)+SUMIF(COSTI!$X$1379:$X$1430,AG$2,COSTI!$Z$1379:$Z$1430),0),0)</f>
        <v>#N/A</v>
      </c>
      <c r="AG230" s="859"/>
      <c r="AH230" s="27" t="str">
        <f t="shared" si="51"/>
        <v/>
      </c>
      <c r="AI230" s="152">
        <f ca="1">IF(W231&gt;0,0,IF(AH230=0,(Z230*-1)+BC230+SUM(BB$4:BB229),BC230+SUM(BB$4:BB229)))</f>
        <v>-2.1316282072803006E-13</v>
      </c>
      <c r="AJ230" s="931">
        <f>IF(AND(AL230&gt;=$U$1,AL230&lt;=$U$2),IF(AM230='ESTRATTO CONTO'!$E$2,1+COUNTIF(AJ$4:AJ229,"&gt;0")+U$1015,0),0)</f>
        <v>0</v>
      </c>
      <c r="AK230" s="203">
        <f>IF(AND(OR((AK229+1)&lt;AL$1015,(AK229+1)=AL$1015),MAX(AK$4:AK229)&lt;AL$1015),AK229+1,0)</f>
        <v>0</v>
      </c>
      <c r="AL230" s="309">
        <f>VLOOKUP($AK230,ENTI!$AF$4:AG$1003,2,FALSE)</f>
        <v>0</v>
      </c>
      <c r="AM230" s="224">
        <f>VLOOKUP($AK230,ENTI!$AF$4:AH$1003,3,FALSE)</f>
        <v>0</v>
      </c>
      <c r="AN230" s="224">
        <f>VLOOKUP($AK230,ENTI!$AF$4:AI$1003,4,FALSE)</f>
        <v>0</v>
      </c>
      <c r="AO230" s="781">
        <f>VLOOKUP($AK230,ENTI!$AF$4:AJ$1003,5,FALSE)</f>
        <v>0</v>
      </c>
      <c r="AP230" s="315">
        <f>VLOOKUP($AK230,ENTI!$AF$4:AK$1003,6,FALSE)</f>
        <v>0</v>
      </c>
      <c r="AQ230" s="208">
        <f t="shared" si="58"/>
        <v>0</v>
      </c>
      <c r="AR230" s="152" t="e">
        <f t="shared" si="59"/>
        <v>#N/A</v>
      </c>
      <c r="AS230" s="1"/>
      <c r="AT230" s="88" t="str">
        <f t="shared" si="52"/>
        <v/>
      </c>
      <c r="AU230" s="1"/>
      <c r="AV230" s="175">
        <f>IF(AW230&gt;0,COUNTIF(AV$4:AV229,"&gt;0")+1,0)</f>
        <v>0</v>
      </c>
      <c r="AW230" s="164">
        <f t="shared" si="53"/>
        <v>0</v>
      </c>
      <c r="AX230" s="310">
        <f>IF($AW230=0,0,VLOOKUP(VLOOKUP($X230,$B$34:$T$38,19,FALSE),ENTI!$A$9:$B$13,2,FALSE))</f>
        <v>0</v>
      </c>
      <c r="AY230" s="310">
        <f t="shared" si="55"/>
        <v>0</v>
      </c>
      <c r="AZ230" s="316">
        <f t="shared" si="56"/>
        <v>0</v>
      </c>
      <c r="BA230" s="1"/>
      <c r="BB230" s="152">
        <f t="shared" si="57"/>
        <v>0</v>
      </c>
      <c r="BC230" s="152">
        <f ca="1">SUM(Z$4:Z230)+SUM(BB$4:BB230)+COSTI!S$6-COSTI!L$1076</f>
        <v>-31.760000000000218</v>
      </c>
      <c r="BD230" s="1"/>
    </row>
    <row r="231" spans="1:56" ht="16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435">
        <f>IF(AND(W231&gt;=$U$1,W231&lt;=$U$2),IF(X231='ESTRATTO CONTO'!$E$2,1+COUNTIF(U$4:U230,"&gt;0"),0),0)</f>
        <v>0</v>
      </c>
      <c r="V231" s="417">
        <f t="shared" si="54"/>
        <v>228</v>
      </c>
      <c r="W231" s="509"/>
      <c r="X231" s="321"/>
      <c r="Y231" s="321"/>
      <c r="Z231" s="508"/>
      <c r="AA231" s="356"/>
      <c r="AB231" s="306" t="str">
        <f t="shared" si="50"/>
        <v/>
      </c>
      <c r="AC231" s="637">
        <f t="shared" ca="1" si="49"/>
        <v>-2.1316282072803006E-13</v>
      </c>
      <c r="AD231" s="935">
        <f>IF(ISERROR(VLOOKUP(AD$2,X232:X$1003,1,FALSE)),IF(X231=AD$2,SUMIF(X$4:X231,AD$2,Z$4:Z231)+$E$9+SUM(AQ$4:AQ$1003)+SUMIF(COSTI!$X$1379:$X$1430,AD$2,COSTI!$Z$1379:$Z$1430),0),0)</f>
        <v>0</v>
      </c>
      <c r="AE231" s="26"/>
      <c r="AF231" s="856" t="e">
        <f>IF(ISERROR(VLOOKUP(AG$2,X232:X$1003,1,FALSE)),IF(X231=AG$2,SUMIF(X$4:X231,AG$2,Z$4:Z231)+VLOOKUP(AF$2,$B$1057:$F$1068,5,FALSE)+SUM(AR$4:AR$1003)+SUMIF(COSTI!$X$1379:$X$1430,AG$2,COSTI!$Z$1379:$Z$1430),0),0)</f>
        <v>#N/A</v>
      </c>
      <c r="AG231" s="859"/>
      <c r="AH231" s="27" t="str">
        <f t="shared" si="51"/>
        <v/>
      </c>
      <c r="AI231" s="152">
        <f ca="1">IF(W232&gt;0,0,IF(AH231=0,(Z231*-1)+BC231+SUM(BB$4:BB230),BC231+SUM(BB$4:BB230)))</f>
        <v>-2.1316282072803006E-13</v>
      </c>
      <c r="AJ231" s="931">
        <f>IF(AND(AL231&gt;=$U$1,AL231&lt;=$U$2),IF(AM231='ESTRATTO CONTO'!$E$2,1+COUNTIF(AJ$4:AJ230,"&gt;0")+U$1015,0),0)</f>
        <v>0</v>
      </c>
      <c r="AK231" s="203">
        <f>IF(AND(OR((AK230+1)&lt;AL$1015,(AK230+1)=AL$1015),MAX(AK$4:AK230)&lt;AL$1015),AK230+1,0)</f>
        <v>0</v>
      </c>
      <c r="AL231" s="309">
        <f>VLOOKUP($AK231,ENTI!$AF$4:AG$1003,2,FALSE)</f>
        <v>0</v>
      </c>
      <c r="AM231" s="224">
        <f>VLOOKUP($AK231,ENTI!$AF$4:AH$1003,3,FALSE)</f>
        <v>0</v>
      </c>
      <c r="AN231" s="224">
        <f>VLOOKUP($AK231,ENTI!$AF$4:AI$1003,4,FALSE)</f>
        <v>0</v>
      </c>
      <c r="AO231" s="781">
        <f>VLOOKUP($AK231,ENTI!$AF$4:AJ$1003,5,FALSE)</f>
        <v>0</v>
      </c>
      <c r="AP231" s="315">
        <f>VLOOKUP($AK231,ENTI!$AF$4:AK$1003,6,FALSE)</f>
        <v>0</v>
      </c>
      <c r="AQ231" s="208">
        <f t="shared" si="58"/>
        <v>0</v>
      </c>
      <c r="AR231" s="152" t="e">
        <f t="shared" si="59"/>
        <v>#N/A</v>
      </c>
      <c r="AS231" s="1"/>
      <c r="AT231" s="88" t="str">
        <f t="shared" si="52"/>
        <v/>
      </c>
      <c r="AU231" s="1"/>
      <c r="AV231" s="175">
        <f>IF(AW231&gt;0,COUNTIF(AV$4:AV230,"&gt;0")+1,0)</f>
        <v>0</v>
      </c>
      <c r="AW231" s="164">
        <f t="shared" si="53"/>
        <v>0</v>
      </c>
      <c r="AX231" s="310">
        <f>IF($AW231=0,0,VLOOKUP(VLOOKUP($X231,$B$34:$T$38,19,FALSE),ENTI!$A$9:$B$13,2,FALSE))</f>
        <v>0</v>
      </c>
      <c r="AY231" s="310">
        <f t="shared" si="55"/>
        <v>0</v>
      </c>
      <c r="AZ231" s="316">
        <f t="shared" si="56"/>
        <v>0</v>
      </c>
      <c r="BA231" s="1"/>
      <c r="BB231" s="152">
        <f t="shared" si="57"/>
        <v>0</v>
      </c>
      <c r="BC231" s="152">
        <f ca="1">SUM(Z$4:Z231)+SUM(BB$4:BB231)+COSTI!S$6-COSTI!L$1076</f>
        <v>-31.760000000000218</v>
      </c>
      <c r="BD231" s="1"/>
    </row>
    <row r="232" spans="1:56" ht="16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435">
        <f>IF(AND(W232&gt;=$U$1,W232&lt;=$U$2),IF(X232='ESTRATTO CONTO'!$E$2,1+COUNTIF(U$4:U231,"&gt;0"),0),0)</f>
        <v>0</v>
      </c>
      <c r="V232" s="417">
        <f t="shared" si="54"/>
        <v>229</v>
      </c>
      <c r="W232" s="509"/>
      <c r="X232" s="321"/>
      <c r="Y232" s="321"/>
      <c r="Z232" s="508"/>
      <c r="AA232" s="356"/>
      <c r="AB232" s="306" t="str">
        <f t="shared" si="50"/>
        <v/>
      </c>
      <c r="AC232" s="637">
        <f t="shared" ca="1" si="49"/>
        <v>-2.1316282072803006E-13</v>
      </c>
      <c r="AD232" s="935">
        <f>IF(ISERROR(VLOOKUP(AD$2,X233:X$1003,1,FALSE)),IF(X232=AD$2,SUMIF(X$4:X232,AD$2,Z$4:Z232)+$E$9+SUM(AQ$4:AQ$1003)+SUMIF(COSTI!$X$1379:$X$1430,AD$2,COSTI!$Z$1379:$Z$1430),0),0)</f>
        <v>0</v>
      </c>
      <c r="AE232" s="26"/>
      <c r="AF232" s="856" t="e">
        <f>IF(ISERROR(VLOOKUP(AG$2,X233:X$1003,1,FALSE)),IF(X232=AG$2,SUMIF(X$4:X232,AG$2,Z$4:Z232)+VLOOKUP(AF$2,$B$1057:$F$1068,5,FALSE)+SUM(AR$4:AR$1003)+SUMIF(COSTI!$X$1379:$X$1430,AG$2,COSTI!$Z$1379:$Z$1430),0),0)</f>
        <v>#N/A</v>
      </c>
      <c r="AG232" s="859"/>
      <c r="AH232" s="27" t="str">
        <f t="shared" si="51"/>
        <v/>
      </c>
      <c r="AI232" s="152">
        <f ca="1">IF(W233&gt;0,0,IF(AH232=0,(Z232*-1)+BC232+SUM(BB$4:BB231),BC232+SUM(BB$4:BB231)))</f>
        <v>-2.1316282072803006E-13</v>
      </c>
      <c r="AJ232" s="931">
        <f>IF(AND(AL232&gt;=$U$1,AL232&lt;=$U$2),IF(AM232='ESTRATTO CONTO'!$E$2,1+COUNTIF(AJ$4:AJ231,"&gt;0")+U$1015,0),0)</f>
        <v>0</v>
      </c>
      <c r="AK232" s="203">
        <f>IF(AND(OR((AK231+1)&lt;AL$1015,(AK231+1)=AL$1015),MAX(AK$4:AK231)&lt;AL$1015),AK231+1,0)</f>
        <v>0</v>
      </c>
      <c r="AL232" s="309">
        <f>VLOOKUP($AK232,ENTI!$AF$4:AG$1003,2,FALSE)</f>
        <v>0</v>
      </c>
      <c r="AM232" s="224">
        <f>VLOOKUP($AK232,ENTI!$AF$4:AH$1003,3,FALSE)</f>
        <v>0</v>
      </c>
      <c r="AN232" s="224">
        <f>VLOOKUP($AK232,ENTI!$AF$4:AI$1003,4,FALSE)</f>
        <v>0</v>
      </c>
      <c r="AO232" s="781">
        <f>VLOOKUP($AK232,ENTI!$AF$4:AJ$1003,5,FALSE)</f>
        <v>0</v>
      </c>
      <c r="AP232" s="315">
        <f>VLOOKUP($AK232,ENTI!$AF$4:AK$1003,6,FALSE)</f>
        <v>0</v>
      </c>
      <c r="AQ232" s="208">
        <f t="shared" si="58"/>
        <v>0</v>
      </c>
      <c r="AR232" s="152" t="e">
        <f t="shared" si="59"/>
        <v>#N/A</v>
      </c>
      <c r="AS232" s="1"/>
      <c r="AT232" s="88" t="str">
        <f t="shared" si="52"/>
        <v/>
      </c>
      <c r="AU232" s="1"/>
      <c r="AV232" s="175">
        <f>IF(AW232&gt;0,COUNTIF(AV$4:AV231,"&gt;0")+1,0)</f>
        <v>0</v>
      </c>
      <c r="AW232" s="164">
        <f t="shared" si="53"/>
        <v>0</v>
      </c>
      <c r="AX232" s="310">
        <f>IF($AW232=0,0,VLOOKUP(VLOOKUP($X232,$B$34:$T$38,19,FALSE),ENTI!$A$9:$B$13,2,FALSE))</f>
        <v>0</v>
      </c>
      <c r="AY232" s="310">
        <f t="shared" si="55"/>
        <v>0</v>
      </c>
      <c r="AZ232" s="316">
        <f t="shared" si="56"/>
        <v>0</v>
      </c>
      <c r="BA232" s="1"/>
      <c r="BB232" s="152">
        <f t="shared" si="57"/>
        <v>0</v>
      </c>
      <c r="BC232" s="152">
        <f ca="1">SUM(Z$4:Z232)+SUM(BB$4:BB232)+COSTI!S$6-COSTI!L$1076</f>
        <v>-31.760000000000218</v>
      </c>
      <c r="BD232" s="1"/>
    </row>
    <row r="233" spans="1:56" ht="16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435">
        <f>IF(AND(W233&gt;=$U$1,W233&lt;=$U$2),IF(X233='ESTRATTO CONTO'!$E$2,1+COUNTIF(U$4:U232,"&gt;0"),0),0)</f>
        <v>0</v>
      </c>
      <c r="V233" s="417">
        <f t="shared" si="54"/>
        <v>230</v>
      </c>
      <c r="W233" s="509"/>
      <c r="X233" s="321"/>
      <c r="Y233" s="321"/>
      <c r="Z233" s="508"/>
      <c r="AA233" s="356"/>
      <c r="AB233" s="306" t="str">
        <f t="shared" si="50"/>
        <v/>
      </c>
      <c r="AC233" s="637">
        <f t="shared" ca="1" si="49"/>
        <v>-2.1316282072803006E-13</v>
      </c>
      <c r="AD233" s="935">
        <f>IF(ISERROR(VLOOKUP(AD$2,X234:X$1003,1,FALSE)),IF(X233=AD$2,SUMIF(X$4:X233,AD$2,Z$4:Z233)+$E$9+SUM(AQ$4:AQ$1003)+SUMIF(COSTI!$X$1379:$X$1430,AD$2,COSTI!$Z$1379:$Z$1430),0),0)</f>
        <v>0</v>
      </c>
      <c r="AE233" s="26"/>
      <c r="AF233" s="856" t="e">
        <f>IF(ISERROR(VLOOKUP(AG$2,X234:X$1003,1,FALSE)),IF(X233=AG$2,SUMIF(X$4:X233,AG$2,Z$4:Z233)+VLOOKUP(AF$2,$B$1057:$F$1068,5,FALSE)+SUM(AR$4:AR$1003)+SUMIF(COSTI!$X$1379:$X$1430,AG$2,COSTI!$Z$1379:$Z$1430),0),0)</f>
        <v>#N/A</v>
      </c>
      <c r="AG233" s="859"/>
      <c r="AH233" s="27" t="str">
        <f t="shared" si="51"/>
        <v/>
      </c>
      <c r="AI233" s="152">
        <f ca="1">IF(W234&gt;0,0,IF(AH233=0,(Z233*-1)+BC233+SUM(BB$4:BB232),BC233+SUM(BB$4:BB232)))</f>
        <v>-2.1316282072803006E-13</v>
      </c>
      <c r="AJ233" s="931">
        <f>IF(AND(AL233&gt;=$U$1,AL233&lt;=$U$2),IF(AM233='ESTRATTO CONTO'!$E$2,1+COUNTIF(AJ$4:AJ232,"&gt;0")+U$1015,0),0)</f>
        <v>0</v>
      </c>
      <c r="AK233" s="203">
        <f>IF(AND(OR((AK232+1)&lt;AL$1015,(AK232+1)=AL$1015),MAX(AK$4:AK232)&lt;AL$1015),AK232+1,0)</f>
        <v>0</v>
      </c>
      <c r="AL233" s="309">
        <f>VLOOKUP($AK233,ENTI!$AF$4:AG$1003,2,FALSE)</f>
        <v>0</v>
      </c>
      <c r="AM233" s="224">
        <f>VLOOKUP($AK233,ENTI!$AF$4:AH$1003,3,FALSE)</f>
        <v>0</v>
      </c>
      <c r="AN233" s="224">
        <f>VLOOKUP($AK233,ENTI!$AF$4:AI$1003,4,FALSE)</f>
        <v>0</v>
      </c>
      <c r="AO233" s="781">
        <f>VLOOKUP($AK233,ENTI!$AF$4:AJ$1003,5,FALSE)</f>
        <v>0</v>
      </c>
      <c r="AP233" s="315">
        <f>VLOOKUP($AK233,ENTI!$AF$4:AK$1003,6,FALSE)</f>
        <v>0</v>
      </c>
      <c r="AQ233" s="208">
        <f t="shared" si="58"/>
        <v>0</v>
      </c>
      <c r="AR233" s="152" t="e">
        <f t="shared" si="59"/>
        <v>#N/A</v>
      </c>
      <c r="AS233" s="1"/>
      <c r="AT233" s="88" t="str">
        <f t="shared" si="52"/>
        <v/>
      </c>
      <c r="AU233" s="1"/>
      <c r="AV233" s="175">
        <f>IF(AW233&gt;0,COUNTIF(AV$4:AV232,"&gt;0")+1,0)</f>
        <v>0</v>
      </c>
      <c r="AW233" s="164">
        <f t="shared" si="53"/>
        <v>0</v>
      </c>
      <c r="AX233" s="310">
        <f>IF($AW233=0,0,VLOOKUP(VLOOKUP($X233,$B$34:$T$38,19,FALSE),ENTI!$A$9:$B$13,2,FALSE))</f>
        <v>0</v>
      </c>
      <c r="AY233" s="310">
        <f t="shared" si="55"/>
        <v>0</v>
      </c>
      <c r="AZ233" s="316">
        <f t="shared" si="56"/>
        <v>0</v>
      </c>
      <c r="BA233" s="1"/>
      <c r="BB233" s="152">
        <f t="shared" si="57"/>
        <v>0</v>
      </c>
      <c r="BC233" s="152">
        <f ca="1">SUM(Z$4:Z233)+SUM(BB$4:BB233)+COSTI!S$6-COSTI!L$1076</f>
        <v>-31.760000000000218</v>
      </c>
      <c r="BD233" s="1"/>
    </row>
    <row r="234" spans="1:56" ht="16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435">
        <f>IF(AND(W234&gt;=$U$1,W234&lt;=$U$2),IF(X234='ESTRATTO CONTO'!$E$2,1+COUNTIF(U$4:U233,"&gt;0"),0),0)</f>
        <v>0</v>
      </c>
      <c r="V234" s="417">
        <f t="shared" si="54"/>
        <v>231</v>
      </c>
      <c r="W234" s="509"/>
      <c r="X234" s="321"/>
      <c r="Y234" s="321"/>
      <c r="Z234" s="508"/>
      <c r="AA234" s="356"/>
      <c r="AB234" s="306" t="str">
        <f t="shared" si="50"/>
        <v/>
      </c>
      <c r="AC234" s="637">
        <f t="shared" ca="1" si="49"/>
        <v>-2.1316282072803006E-13</v>
      </c>
      <c r="AD234" s="935">
        <f>IF(ISERROR(VLOOKUP(AD$2,X235:X$1003,1,FALSE)),IF(X234=AD$2,SUMIF(X$4:X234,AD$2,Z$4:Z234)+$E$9+SUM(AQ$4:AQ$1003)+SUMIF(COSTI!$X$1379:$X$1430,AD$2,COSTI!$Z$1379:$Z$1430),0),0)</f>
        <v>0</v>
      </c>
      <c r="AE234" s="26"/>
      <c r="AF234" s="856" t="e">
        <f>IF(ISERROR(VLOOKUP(AG$2,X235:X$1003,1,FALSE)),IF(X234=AG$2,SUMIF(X$4:X234,AG$2,Z$4:Z234)+VLOOKUP(AF$2,$B$1057:$F$1068,5,FALSE)+SUM(AR$4:AR$1003)+SUMIF(COSTI!$X$1379:$X$1430,AG$2,COSTI!$Z$1379:$Z$1430),0),0)</f>
        <v>#N/A</v>
      </c>
      <c r="AG234" s="859"/>
      <c r="AH234" s="27" t="str">
        <f t="shared" si="51"/>
        <v/>
      </c>
      <c r="AI234" s="152">
        <f ca="1">IF(W235&gt;0,0,IF(AH234=0,(Z234*-1)+BC234+SUM(BB$4:BB233),BC234+SUM(BB$4:BB233)))</f>
        <v>-2.1316282072803006E-13</v>
      </c>
      <c r="AJ234" s="931">
        <f>IF(AND(AL234&gt;=$U$1,AL234&lt;=$U$2),IF(AM234='ESTRATTO CONTO'!$E$2,1+COUNTIF(AJ$4:AJ233,"&gt;0")+U$1015,0),0)</f>
        <v>0</v>
      </c>
      <c r="AK234" s="203">
        <f>IF(AND(OR((AK233+1)&lt;AL$1015,(AK233+1)=AL$1015),MAX(AK$4:AK233)&lt;AL$1015),AK233+1,0)</f>
        <v>0</v>
      </c>
      <c r="AL234" s="309">
        <f>VLOOKUP($AK234,ENTI!$AF$4:AG$1003,2,FALSE)</f>
        <v>0</v>
      </c>
      <c r="AM234" s="224">
        <f>VLOOKUP($AK234,ENTI!$AF$4:AH$1003,3,FALSE)</f>
        <v>0</v>
      </c>
      <c r="AN234" s="224">
        <f>VLOOKUP($AK234,ENTI!$AF$4:AI$1003,4,FALSE)</f>
        <v>0</v>
      </c>
      <c r="AO234" s="781">
        <f>VLOOKUP($AK234,ENTI!$AF$4:AJ$1003,5,FALSE)</f>
        <v>0</v>
      </c>
      <c r="AP234" s="315">
        <f>VLOOKUP($AK234,ENTI!$AF$4:AK$1003,6,FALSE)</f>
        <v>0</v>
      </c>
      <c r="AQ234" s="208">
        <f t="shared" si="58"/>
        <v>0</v>
      </c>
      <c r="AR234" s="152" t="e">
        <f t="shared" si="59"/>
        <v>#N/A</v>
      </c>
      <c r="AS234" s="1"/>
      <c r="AT234" s="88" t="str">
        <f t="shared" si="52"/>
        <v/>
      </c>
      <c r="AU234" s="1"/>
      <c r="AV234" s="175">
        <f>IF(AW234&gt;0,COUNTIF(AV$4:AV233,"&gt;0")+1,0)</f>
        <v>0</v>
      </c>
      <c r="AW234" s="164">
        <f t="shared" si="53"/>
        <v>0</v>
      </c>
      <c r="AX234" s="310">
        <f>IF($AW234=0,0,VLOOKUP(VLOOKUP($X234,$B$34:$T$38,19,FALSE),ENTI!$A$9:$B$13,2,FALSE))</f>
        <v>0</v>
      </c>
      <c r="AY234" s="310">
        <f t="shared" si="55"/>
        <v>0</v>
      </c>
      <c r="AZ234" s="316">
        <f t="shared" si="56"/>
        <v>0</v>
      </c>
      <c r="BA234" s="1"/>
      <c r="BB234" s="152">
        <f t="shared" si="57"/>
        <v>0</v>
      </c>
      <c r="BC234" s="152">
        <f ca="1">SUM(Z$4:Z234)+SUM(BB$4:BB234)+COSTI!S$6-COSTI!L$1076</f>
        <v>-31.760000000000218</v>
      </c>
      <c r="BD234" s="1"/>
    </row>
    <row r="235" spans="1:56" ht="16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435">
        <f>IF(AND(W235&gt;=$U$1,W235&lt;=$U$2),IF(X235='ESTRATTO CONTO'!$E$2,1+COUNTIF(U$4:U234,"&gt;0"),0),0)</f>
        <v>0</v>
      </c>
      <c r="V235" s="417">
        <f t="shared" si="54"/>
        <v>232</v>
      </c>
      <c r="W235" s="509"/>
      <c r="X235" s="321"/>
      <c r="Y235" s="321"/>
      <c r="Z235" s="508"/>
      <c r="AA235" s="356"/>
      <c r="AB235" s="306" t="str">
        <f t="shared" si="50"/>
        <v/>
      </c>
      <c r="AC235" s="637">
        <f t="shared" ca="1" si="49"/>
        <v>-2.1316282072803006E-13</v>
      </c>
      <c r="AD235" s="935">
        <f>IF(ISERROR(VLOOKUP(AD$2,X236:X$1003,1,FALSE)),IF(X235=AD$2,SUMIF(X$4:X235,AD$2,Z$4:Z235)+$E$9+SUM(AQ$4:AQ$1003)+SUMIF(COSTI!$X$1379:$X$1430,AD$2,COSTI!$Z$1379:$Z$1430),0),0)</f>
        <v>0</v>
      </c>
      <c r="AE235" s="26"/>
      <c r="AF235" s="856" t="e">
        <f>IF(ISERROR(VLOOKUP(AG$2,X236:X$1003,1,FALSE)),IF(X235=AG$2,SUMIF(X$4:X235,AG$2,Z$4:Z235)+VLOOKUP(AF$2,$B$1057:$F$1068,5,FALSE)+SUM(AR$4:AR$1003)+SUMIF(COSTI!$X$1379:$X$1430,AG$2,COSTI!$Z$1379:$Z$1430),0),0)</f>
        <v>#N/A</v>
      </c>
      <c r="AG235" s="859"/>
      <c r="AH235" s="27" t="str">
        <f t="shared" si="51"/>
        <v/>
      </c>
      <c r="AI235" s="152">
        <f ca="1">IF(W236&gt;0,0,IF(AH235=0,(Z235*-1)+BC235+SUM(BB$4:BB234),BC235+SUM(BB$4:BB234)))</f>
        <v>-2.1316282072803006E-13</v>
      </c>
      <c r="AJ235" s="931">
        <f>IF(AND(AL235&gt;=$U$1,AL235&lt;=$U$2),IF(AM235='ESTRATTO CONTO'!$E$2,1+COUNTIF(AJ$4:AJ234,"&gt;0")+U$1015,0),0)</f>
        <v>0</v>
      </c>
      <c r="AK235" s="203">
        <f>IF(AND(OR((AK234+1)&lt;AL$1015,(AK234+1)=AL$1015),MAX(AK$4:AK234)&lt;AL$1015),AK234+1,0)</f>
        <v>0</v>
      </c>
      <c r="AL235" s="309">
        <f>VLOOKUP($AK235,ENTI!$AF$4:AG$1003,2,FALSE)</f>
        <v>0</v>
      </c>
      <c r="AM235" s="224">
        <f>VLOOKUP($AK235,ENTI!$AF$4:AH$1003,3,FALSE)</f>
        <v>0</v>
      </c>
      <c r="AN235" s="224">
        <f>VLOOKUP($AK235,ENTI!$AF$4:AI$1003,4,FALSE)</f>
        <v>0</v>
      </c>
      <c r="AO235" s="781">
        <f>VLOOKUP($AK235,ENTI!$AF$4:AJ$1003,5,FALSE)</f>
        <v>0</v>
      </c>
      <c r="AP235" s="315">
        <f>VLOOKUP($AK235,ENTI!$AF$4:AK$1003,6,FALSE)</f>
        <v>0</v>
      </c>
      <c r="AQ235" s="208">
        <f t="shared" si="58"/>
        <v>0</v>
      </c>
      <c r="AR235" s="152" t="e">
        <f t="shared" si="59"/>
        <v>#N/A</v>
      </c>
      <c r="AS235" s="1"/>
      <c r="AT235" s="88" t="str">
        <f t="shared" si="52"/>
        <v/>
      </c>
      <c r="AU235" s="1"/>
      <c r="AV235" s="175">
        <f>IF(AW235&gt;0,COUNTIF(AV$4:AV234,"&gt;0")+1,0)</f>
        <v>0</v>
      </c>
      <c r="AW235" s="164">
        <f t="shared" si="53"/>
        <v>0</v>
      </c>
      <c r="AX235" s="310">
        <f>IF($AW235=0,0,VLOOKUP(VLOOKUP($X235,$B$34:$T$38,19,FALSE),ENTI!$A$9:$B$13,2,FALSE))</f>
        <v>0</v>
      </c>
      <c r="AY235" s="310">
        <f t="shared" si="55"/>
        <v>0</v>
      </c>
      <c r="AZ235" s="316">
        <f t="shared" si="56"/>
        <v>0</v>
      </c>
      <c r="BA235" s="1"/>
      <c r="BB235" s="152">
        <f t="shared" si="57"/>
        <v>0</v>
      </c>
      <c r="BC235" s="152">
        <f ca="1">SUM(Z$4:Z235)+SUM(BB$4:BB235)+COSTI!S$6-COSTI!L$1076</f>
        <v>-31.760000000000218</v>
      </c>
      <c r="BD235" s="1"/>
    </row>
    <row r="236" spans="1:56" ht="16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435">
        <f>IF(AND(W236&gt;=$U$1,W236&lt;=$U$2),IF(X236='ESTRATTO CONTO'!$E$2,1+COUNTIF(U$4:U235,"&gt;0"),0),0)</f>
        <v>0</v>
      </c>
      <c r="V236" s="417">
        <f t="shared" si="54"/>
        <v>233</v>
      </c>
      <c r="W236" s="509"/>
      <c r="X236" s="321"/>
      <c r="Y236" s="321"/>
      <c r="Z236" s="508"/>
      <c r="AA236" s="356"/>
      <c r="AB236" s="306" t="str">
        <f t="shared" si="50"/>
        <v/>
      </c>
      <c r="AC236" s="637">
        <f t="shared" ca="1" si="49"/>
        <v>-2.1316282072803006E-13</v>
      </c>
      <c r="AD236" s="935">
        <f>IF(ISERROR(VLOOKUP(AD$2,X237:X$1003,1,FALSE)),IF(X236=AD$2,SUMIF(X$4:X236,AD$2,Z$4:Z236)+$E$9+SUM(AQ$4:AQ$1003)+SUMIF(COSTI!$X$1379:$X$1430,AD$2,COSTI!$Z$1379:$Z$1430),0),0)</f>
        <v>0</v>
      </c>
      <c r="AE236" s="26"/>
      <c r="AF236" s="856" t="e">
        <f>IF(ISERROR(VLOOKUP(AG$2,X237:X$1003,1,FALSE)),IF(X236=AG$2,SUMIF(X$4:X236,AG$2,Z$4:Z236)+VLOOKUP(AF$2,$B$1057:$F$1068,5,FALSE)+SUM(AR$4:AR$1003)+SUMIF(COSTI!$X$1379:$X$1430,AG$2,COSTI!$Z$1379:$Z$1430),0),0)</f>
        <v>#N/A</v>
      </c>
      <c r="AG236" s="859"/>
      <c r="AH236" s="27" t="str">
        <f t="shared" si="51"/>
        <v/>
      </c>
      <c r="AI236" s="152">
        <f ca="1">IF(W237&gt;0,0,IF(AH236=0,(Z236*-1)+BC236+SUM(BB$4:BB235),BC236+SUM(BB$4:BB235)))</f>
        <v>-2.1316282072803006E-13</v>
      </c>
      <c r="AJ236" s="931">
        <f>IF(AND(AL236&gt;=$U$1,AL236&lt;=$U$2),IF(AM236='ESTRATTO CONTO'!$E$2,1+COUNTIF(AJ$4:AJ235,"&gt;0")+U$1015,0),0)</f>
        <v>0</v>
      </c>
      <c r="AK236" s="203">
        <f>IF(AND(OR((AK235+1)&lt;AL$1015,(AK235+1)=AL$1015),MAX(AK$4:AK235)&lt;AL$1015),AK235+1,0)</f>
        <v>0</v>
      </c>
      <c r="AL236" s="309">
        <f>VLOOKUP($AK236,ENTI!$AF$4:AG$1003,2,FALSE)</f>
        <v>0</v>
      </c>
      <c r="AM236" s="224">
        <f>VLOOKUP($AK236,ENTI!$AF$4:AH$1003,3,FALSE)</f>
        <v>0</v>
      </c>
      <c r="AN236" s="224">
        <f>VLOOKUP($AK236,ENTI!$AF$4:AI$1003,4,FALSE)</f>
        <v>0</v>
      </c>
      <c r="AO236" s="781">
        <f>VLOOKUP($AK236,ENTI!$AF$4:AJ$1003,5,FALSE)</f>
        <v>0</v>
      </c>
      <c r="AP236" s="315">
        <f>VLOOKUP($AK236,ENTI!$AF$4:AK$1003,6,FALSE)</f>
        <v>0</v>
      </c>
      <c r="AQ236" s="208">
        <f t="shared" si="58"/>
        <v>0</v>
      </c>
      <c r="AR236" s="152" t="e">
        <f t="shared" si="59"/>
        <v>#N/A</v>
      </c>
      <c r="AS236" s="1"/>
      <c r="AT236" s="88" t="str">
        <f t="shared" si="52"/>
        <v/>
      </c>
      <c r="AU236" s="1"/>
      <c r="AV236" s="175">
        <f>IF(AW236&gt;0,COUNTIF(AV$4:AV235,"&gt;0")+1,0)</f>
        <v>0</v>
      </c>
      <c r="AW236" s="164">
        <f t="shared" si="53"/>
        <v>0</v>
      </c>
      <c r="AX236" s="310">
        <f>IF($AW236=0,0,VLOOKUP(VLOOKUP($X236,$B$34:$T$38,19,FALSE),ENTI!$A$9:$B$13,2,FALSE))</f>
        <v>0</v>
      </c>
      <c r="AY236" s="310">
        <f t="shared" si="55"/>
        <v>0</v>
      </c>
      <c r="AZ236" s="316">
        <f t="shared" si="56"/>
        <v>0</v>
      </c>
      <c r="BA236" s="1"/>
      <c r="BB236" s="152">
        <f t="shared" si="57"/>
        <v>0</v>
      </c>
      <c r="BC236" s="152">
        <f ca="1">SUM(Z$4:Z236)+SUM(BB$4:BB236)+COSTI!S$6-COSTI!L$1076</f>
        <v>-31.760000000000218</v>
      </c>
      <c r="BD236" s="1"/>
    </row>
    <row r="237" spans="1:56" ht="16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435">
        <f>IF(AND(W237&gt;=$U$1,W237&lt;=$U$2),IF(X237='ESTRATTO CONTO'!$E$2,1+COUNTIF(U$4:U236,"&gt;0"),0),0)</f>
        <v>0</v>
      </c>
      <c r="V237" s="417">
        <f t="shared" si="54"/>
        <v>234</v>
      </c>
      <c r="W237" s="509"/>
      <c r="X237" s="321"/>
      <c r="Y237" s="321"/>
      <c r="Z237" s="508"/>
      <c r="AA237" s="356"/>
      <c r="AB237" s="306" t="str">
        <f t="shared" si="50"/>
        <v/>
      </c>
      <c r="AC237" s="637">
        <f t="shared" ca="1" si="49"/>
        <v>-2.1316282072803006E-13</v>
      </c>
      <c r="AD237" s="935">
        <f>IF(ISERROR(VLOOKUP(AD$2,X238:X$1003,1,FALSE)),IF(X237=AD$2,SUMIF(X$4:X237,AD$2,Z$4:Z237)+$E$9+SUM(AQ$4:AQ$1003)+SUMIF(COSTI!$X$1379:$X$1430,AD$2,COSTI!$Z$1379:$Z$1430),0),0)</f>
        <v>0</v>
      </c>
      <c r="AE237" s="26"/>
      <c r="AF237" s="856" t="e">
        <f>IF(ISERROR(VLOOKUP(AG$2,X238:X$1003,1,FALSE)),IF(X237=AG$2,SUMIF(X$4:X237,AG$2,Z$4:Z237)+VLOOKUP(AF$2,$B$1057:$F$1068,5,FALSE)+SUM(AR$4:AR$1003)+SUMIF(COSTI!$X$1379:$X$1430,AG$2,COSTI!$Z$1379:$Z$1430),0),0)</f>
        <v>#N/A</v>
      </c>
      <c r="AG237" s="859"/>
      <c r="AH237" s="27" t="str">
        <f t="shared" si="51"/>
        <v/>
      </c>
      <c r="AI237" s="152">
        <f ca="1">IF(W238&gt;0,0,IF(AH237=0,(Z237*-1)+BC237+SUM(BB$4:BB236),BC237+SUM(BB$4:BB236)))</f>
        <v>-2.1316282072803006E-13</v>
      </c>
      <c r="AJ237" s="931">
        <f>IF(AND(AL237&gt;=$U$1,AL237&lt;=$U$2),IF(AM237='ESTRATTO CONTO'!$E$2,1+COUNTIF(AJ$4:AJ236,"&gt;0")+U$1015,0),0)</f>
        <v>0</v>
      </c>
      <c r="AK237" s="203">
        <f>IF(AND(OR((AK236+1)&lt;AL$1015,(AK236+1)=AL$1015),MAX(AK$4:AK236)&lt;AL$1015),AK236+1,0)</f>
        <v>0</v>
      </c>
      <c r="AL237" s="309">
        <f>VLOOKUP($AK237,ENTI!$AF$4:AG$1003,2,FALSE)</f>
        <v>0</v>
      </c>
      <c r="AM237" s="224">
        <f>VLOOKUP($AK237,ENTI!$AF$4:AH$1003,3,FALSE)</f>
        <v>0</v>
      </c>
      <c r="AN237" s="224">
        <f>VLOOKUP($AK237,ENTI!$AF$4:AI$1003,4,FALSE)</f>
        <v>0</v>
      </c>
      <c r="AO237" s="781">
        <f>VLOOKUP($AK237,ENTI!$AF$4:AJ$1003,5,FALSE)</f>
        <v>0</v>
      </c>
      <c r="AP237" s="315">
        <f>VLOOKUP($AK237,ENTI!$AF$4:AK$1003,6,FALSE)</f>
        <v>0</v>
      </c>
      <c r="AQ237" s="208">
        <f t="shared" si="58"/>
        <v>0</v>
      </c>
      <c r="AR237" s="152" t="e">
        <f t="shared" si="59"/>
        <v>#N/A</v>
      </c>
      <c r="AS237" s="1"/>
      <c r="AT237" s="88" t="str">
        <f t="shared" si="52"/>
        <v/>
      </c>
      <c r="AU237" s="1"/>
      <c r="AV237" s="175">
        <f>IF(AW237&gt;0,COUNTIF(AV$4:AV236,"&gt;0")+1,0)</f>
        <v>0</v>
      </c>
      <c r="AW237" s="164">
        <f t="shared" si="53"/>
        <v>0</v>
      </c>
      <c r="AX237" s="310">
        <f>IF($AW237=0,0,VLOOKUP(VLOOKUP($X237,$B$34:$T$38,19,FALSE),ENTI!$A$9:$B$13,2,FALSE))</f>
        <v>0</v>
      </c>
      <c r="AY237" s="310">
        <f t="shared" si="55"/>
        <v>0</v>
      </c>
      <c r="AZ237" s="316">
        <f t="shared" si="56"/>
        <v>0</v>
      </c>
      <c r="BA237" s="1"/>
      <c r="BB237" s="152">
        <f t="shared" si="57"/>
        <v>0</v>
      </c>
      <c r="BC237" s="152">
        <f ca="1">SUM(Z$4:Z237)+SUM(BB$4:BB237)+COSTI!S$6-COSTI!L$1076</f>
        <v>-31.760000000000218</v>
      </c>
      <c r="BD237" s="1"/>
    </row>
    <row r="238" spans="1:56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435">
        <f>IF(AND(W238&gt;=$U$1,W238&lt;=$U$2),IF(X238='ESTRATTO CONTO'!$E$2,1+COUNTIF(U$4:U237,"&gt;0"),0),0)</f>
        <v>0</v>
      </c>
      <c r="V238" s="417">
        <f t="shared" si="54"/>
        <v>235</v>
      </c>
      <c r="W238" s="509"/>
      <c r="X238" s="321"/>
      <c r="Y238" s="321"/>
      <c r="Z238" s="508"/>
      <c r="AA238" s="356"/>
      <c r="AB238" s="306" t="str">
        <f t="shared" si="50"/>
        <v/>
      </c>
      <c r="AC238" s="637">
        <f t="shared" ca="1" si="49"/>
        <v>-2.1316282072803006E-13</v>
      </c>
      <c r="AD238" s="935">
        <f>IF(ISERROR(VLOOKUP(AD$2,X239:X$1003,1,FALSE)),IF(X238=AD$2,SUMIF(X$4:X238,AD$2,Z$4:Z238)+$E$9+SUM(AQ$4:AQ$1003)+SUMIF(COSTI!$X$1379:$X$1430,AD$2,COSTI!$Z$1379:$Z$1430),0),0)</f>
        <v>0</v>
      </c>
      <c r="AE238" s="26"/>
      <c r="AF238" s="856" t="e">
        <f>IF(ISERROR(VLOOKUP(AG$2,X239:X$1003,1,FALSE)),IF(X238=AG$2,SUMIF(X$4:X238,AG$2,Z$4:Z238)+VLOOKUP(AF$2,$B$1057:$F$1068,5,FALSE)+SUM(AR$4:AR$1003)+SUMIF(COSTI!$X$1379:$X$1430,AG$2,COSTI!$Z$1379:$Z$1430),0),0)</f>
        <v>#N/A</v>
      </c>
      <c r="AG238" s="859"/>
      <c r="AH238" s="27" t="str">
        <f t="shared" si="51"/>
        <v/>
      </c>
      <c r="AI238" s="152">
        <f ca="1">IF(W239&gt;0,0,IF(AH238=0,(Z238*-1)+BC238+SUM(BB$4:BB237),BC238+SUM(BB$4:BB237)))</f>
        <v>-2.1316282072803006E-13</v>
      </c>
      <c r="AJ238" s="931">
        <f>IF(AND(AL238&gt;=$U$1,AL238&lt;=$U$2),IF(AM238='ESTRATTO CONTO'!$E$2,1+COUNTIF(AJ$4:AJ237,"&gt;0")+U$1015,0),0)</f>
        <v>0</v>
      </c>
      <c r="AK238" s="203">
        <f>IF(AND(OR((AK237+1)&lt;AL$1015,(AK237+1)=AL$1015),MAX(AK$4:AK237)&lt;AL$1015),AK237+1,0)</f>
        <v>0</v>
      </c>
      <c r="AL238" s="309">
        <f>VLOOKUP($AK238,ENTI!$AF$4:AG$1003,2,FALSE)</f>
        <v>0</v>
      </c>
      <c r="AM238" s="224">
        <f>VLOOKUP($AK238,ENTI!$AF$4:AH$1003,3,FALSE)</f>
        <v>0</v>
      </c>
      <c r="AN238" s="224">
        <f>VLOOKUP($AK238,ENTI!$AF$4:AI$1003,4,FALSE)</f>
        <v>0</v>
      </c>
      <c r="AO238" s="781">
        <f>VLOOKUP($AK238,ENTI!$AF$4:AJ$1003,5,FALSE)</f>
        <v>0</v>
      </c>
      <c r="AP238" s="315">
        <f>VLOOKUP($AK238,ENTI!$AF$4:AK$1003,6,FALSE)</f>
        <v>0</v>
      </c>
      <c r="AQ238" s="208">
        <f t="shared" si="58"/>
        <v>0</v>
      </c>
      <c r="AR238" s="152" t="e">
        <f t="shared" si="59"/>
        <v>#N/A</v>
      </c>
      <c r="AS238" s="1"/>
      <c r="AT238" s="88" t="str">
        <f t="shared" si="52"/>
        <v/>
      </c>
      <c r="AU238" s="1"/>
      <c r="AV238" s="175">
        <f>IF(AW238&gt;0,COUNTIF(AV$4:AV237,"&gt;0")+1,0)</f>
        <v>0</v>
      </c>
      <c r="AW238" s="164">
        <f t="shared" si="53"/>
        <v>0</v>
      </c>
      <c r="AX238" s="310">
        <f>IF($AW238=0,0,VLOOKUP(VLOOKUP($X238,$B$34:$T$38,19,FALSE),ENTI!$A$9:$B$13,2,FALSE))</f>
        <v>0</v>
      </c>
      <c r="AY238" s="310">
        <f t="shared" si="55"/>
        <v>0</v>
      </c>
      <c r="AZ238" s="316">
        <f t="shared" si="56"/>
        <v>0</v>
      </c>
      <c r="BA238" s="1"/>
      <c r="BB238" s="152">
        <f t="shared" si="57"/>
        <v>0</v>
      </c>
      <c r="BC238" s="152">
        <f ca="1">SUM(Z$4:Z238)+SUM(BB$4:BB238)+COSTI!S$6-COSTI!L$1076</f>
        <v>-31.760000000000218</v>
      </c>
      <c r="BD238" s="1"/>
    </row>
    <row r="239" spans="1:56" ht="16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435">
        <f>IF(AND(W239&gt;=$U$1,W239&lt;=$U$2),IF(X239='ESTRATTO CONTO'!$E$2,1+COUNTIF(U$4:U238,"&gt;0"),0),0)</f>
        <v>0</v>
      </c>
      <c r="V239" s="417">
        <f t="shared" si="54"/>
        <v>236</v>
      </c>
      <c r="W239" s="509"/>
      <c r="X239" s="321"/>
      <c r="Y239" s="321"/>
      <c r="Z239" s="508"/>
      <c r="AA239" s="356"/>
      <c r="AB239" s="306" t="str">
        <f t="shared" si="50"/>
        <v/>
      </c>
      <c r="AC239" s="637">
        <f t="shared" ca="1" si="49"/>
        <v>-2.1316282072803006E-13</v>
      </c>
      <c r="AD239" s="935">
        <f>IF(ISERROR(VLOOKUP(AD$2,X240:X$1003,1,FALSE)),IF(X239=AD$2,SUMIF(X$4:X239,AD$2,Z$4:Z239)+$E$9+SUM(AQ$4:AQ$1003)+SUMIF(COSTI!$X$1379:$X$1430,AD$2,COSTI!$Z$1379:$Z$1430),0),0)</f>
        <v>0</v>
      </c>
      <c r="AE239" s="26"/>
      <c r="AF239" s="856" t="e">
        <f>IF(ISERROR(VLOOKUP(AG$2,X240:X$1003,1,FALSE)),IF(X239=AG$2,SUMIF(X$4:X239,AG$2,Z$4:Z239)+VLOOKUP(AF$2,$B$1057:$F$1068,5,FALSE)+SUM(AR$4:AR$1003)+SUMIF(COSTI!$X$1379:$X$1430,AG$2,COSTI!$Z$1379:$Z$1430),0),0)</f>
        <v>#N/A</v>
      </c>
      <c r="AG239" s="859"/>
      <c r="AH239" s="27" t="str">
        <f t="shared" si="51"/>
        <v/>
      </c>
      <c r="AI239" s="152">
        <f ca="1">IF(W240&gt;0,0,IF(AH239=0,(Z239*-1)+BC239+SUM(BB$4:BB238),BC239+SUM(BB$4:BB238)))</f>
        <v>-2.1316282072803006E-13</v>
      </c>
      <c r="AJ239" s="931">
        <f>IF(AND(AL239&gt;=$U$1,AL239&lt;=$U$2),IF(AM239='ESTRATTO CONTO'!$E$2,1+COUNTIF(AJ$4:AJ238,"&gt;0")+U$1015,0),0)</f>
        <v>0</v>
      </c>
      <c r="AK239" s="203">
        <f>IF(AND(OR((AK238+1)&lt;AL$1015,(AK238+1)=AL$1015),MAX(AK$4:AK238)&lt;AL$1015),AK238+1,0)</f>
        <v>0</v>
      </c>
      <c r="AL239" s="309">
        <f>VLOOKUP($AK239,ENTI!$AF$4:AG$1003,2,FALSE)</f>
        <v>0</v>
      </c>
      <c r="AM239" s="224">
        <f>VLOOKUP($AK239,ENTI!$AF$4:AH$1003,3,FALSE)</f>
        <v>0</v>
      </c>
      <c r="AN239" s="224">
        <f>VLOOKUP($AK239,ENTI!$AF$4:AI$1003,4,FALSE)</f>
        <v>0</v>
      </c>
      <c r="AO239" s="781">
        <f>VLOOKUP($AK239,ENTI!$AF$4:AJ$1003,5,FALSE)</f>
        <v>0</v>
      </c>
      <c r="AP239" s="315">
        <f>VLOOKUP($AK239,ENTI!$AF$4:AK$1003,6,FALSE)</f>
        <v>0</v>
      </c>
      <c r="AQ239" s="208">
        <f t="shared" si="58"/>
        <v>0</v>
      </c>
      <c r="AR239" s="152" t="e">
        <f t="shared" si="59"/>
        <v>#N/A</v>
      </c>
      <c r="AS239" s="1"/>
      <c r="AT239" s="88" t="str">
        <f t="shared" si="52"/>
        <v/>
      </c>
      <c r="AU239" s="1"/>
      <c r="AV239" s="175">
        <f>IF(AW239&gt;0,COUNTIF(AV$4:AV238,"&gt;0")+1,0)</f>
        <v>0</v>
      </c>
      <c r="AW239" s="164">
        <f t="shared" si="53"/>
        <v>0</v>
      </c>
      <c r="AX239" s="310">
        <f>IF($AW239=0,0,VLOOKUP(VLOOKUP($X239,$B$34:$T$38,19,FALSE),ENTI!$A$9:$B$13,2,FALSE))</f>
        <v>0</v>
      </c>
      <c r="AY239" s="310">
        <f t="shared" si="55"/>
        <v>0</v>
      </c>
      <c r="AZ239" s="316">
        <f t="shared" si="56"/>
        <v>0</v>
      </c>
      <c r="BA239" s="1"/>
      <c r="BB239" s="152">
        <f t="shared" si="57"/>
        <v>0</v>
      </c>
      <c r="BC239" s="152">
        <f ca="1">SUM(Z$4:Z239)+SUM(BB$4:BB239)+COSTI!S$6-COSTI!L$1076</f>
        <v>-31.760000000000218</v>
      </c>
      <c r="BD239" s="1"/>
    </row>
    <row r="240" spans="1:56" ht="16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435">
        <f>IF(AND(W240&gt;=$U$1,W240&lt;=$U$2),IF(X240='ESTRATTO CONTO'!$E$2,1+COUNTIF(U$4:U239,"&gt;0"),0),0)</f>
        <v>0</v>
      </c>
      <c r="V240" s="417">
        <f t="shared" si="54"/>
        <v>237</v>
      </c>
      <c r="W240" s="509"/>
      <c r="X240" s="321"/>
      <c r="Y240" s="321"/>
      <c r="Z240" s="508"/>
      <c r="AA240" s="356"/>
      <c r="AB240" s="306" t="str">
        <f t="shared" si="50"/>
        <v/>
      </c>
      <c r="AC240" s="637">
        <f t="shared" ca="1" si="49"/>
        <v>-2.1316282072803006E-13</v>
      </c>
      <c r="AD240" s="935">
        <f>IF(ISERROR(VLOOKUP(AD$2,X241:X$1003,1,FALSE)),IF(X240=AD$2,SUMIF(X$4:X240,AD$2,Z$4:Z240)+$E$9+SUM(AQ$4:AQ$1003)+SUMIF(COSTI!$X$1379:$X$1430,AD$2,COSTI!$Z$1379:$Z$1430),0),0)</f>
        <v>0</v>
      </c>
      <c r="AE240" s="26"/>
      <c r="AF240" s="856" t="e">
        <f>IF(ISERROR(VLOOKUP(AG$2,X241:X$1003,1,FALSE)),IF(X240=AG$2,SUMIF(X$4:X240,AG$2,Z$4:Z240)+VLOOKUP(AF$2,$B$1057:$F$1068,5,FALSE)+SUM(AR$4:AR$1003)+SUMIF(COSTI!$X$1379:$X$1430,AG$2,COSTI!$Z$1379:$Z$1430),0),0)</f>
        <v>#N/A</v>
      </c>
      <c r="AG240" s="859"/>
      <c r="AH240" s="27" t="str">
        <f t="shared" si="51"/>
        <v/>
      </c>
      <c r="AI240" s="152">
        <f ca="1">IF(W241&gt;0,0,IF(AH240=0,(Z240*-1)+BC240+SUM(BB$4:BB239),BC240+SUM(BB$4:BB239)))</f>
        <v>-2.1316282072803006E-13</v>
      </c>
      <c r="AJ240" s="931">
        <f>IF(AND(AL240&gt;=$U$1,AL240&lt;=$U$2),IF(AM240='ESTRATTO CONTO'!$E$2,1+COUNTIF(AJ$4:AJ239,"&gt;0")+U$1015,0),0)</f>
        <v>0</v>
      </c>
      <c r="AK240" s="203">
        <f>IF(AND(OR((AK239+1)&lt;AL$1015,(AK239+1)=AL$1015),MAX(AK$4:AK239)&lt;AL$1015),AK239+1,0)</f>
        <v>0</v>
      </c>
      <c r="AL240" s="309">
        <f>VLOOKUP($AK240,ENTI!$AF$4:AG$1003,2,FALSE)</f>
        <v>0</v>
      </c>
      <c r="AM240" s="224">
        <f>VLOOKUP($AK240,ENTI!$AF$4:AH$1003,3,FALSE)</f>
        <v>0</v>
      </c>
      <c r="AN240" s="224">
        <f>VLOOKUP($AK240,ENTI!$AF$4:AI$1003,4,FALSE)</f>
        <v>0</v>
      </c>
      <c r="AO240" s="781">
        <f>VLOOKUP($AK240,ENTI!$AF$4:AJ$1003,5,FALSE)</f>
        <v>0</v>
      </c>
      <c r="AP240" s="315">
        <f>VLOOKUP($AK240,ENTI!$AF$4:AK$1003,6,FALSE)</f>
        <v>0</v>
      </c>
      <c r="AQ240" s="208">
        <f t="shared" si="58"/>
        <v>0</v>
      </c>
      <c r="AR240" s="152" t="e">
        <f t="shared" si="59"/>
        <v>#N/A</v>
      </c>
      <c r="AS240" s="1"/>
      <c r="AT240" s="88" t="str">
        <f t="shared" si="52"/>
        <v/>
      </c>
      <c r="AU240" s="1"/>
      <c r="AV240" s="175">
        <f>IF(AW240&gt;0,COUNTIF(AV$4:AV239,"&gt;0")+1,0)</f>
        <v>0</v>
      </c>
      <c r="AW240" s="164">
        <f t="shared" si="53"/>
        <v>0</v>
      </c>
      <c r="AX240" s="310">
        <f>IF($AW240=0,0,VLOOKUP(VLOOKUP($X240,$B$34:$T$38,19,FALSE),ENTI!$A$9:$B$13,2,FALSE))</f>
        <v>0</v>
      </c>
      <c r="AY240" s="310">
        <f t="shared" si="55"/>
        <v>0</v>
      </c>
      <c r="AZ240" s="316">
        <f t="shared" si="56"/>
        <v>0</v>
      </c>
      <c r="BA240" s="1"/>
      <c r="BB240" s="152">
        <f t="shared" si="57"/>
        <v>0</v>
      </c>
      <c r="BC240" s="152">
        <f ca="1">SUM(Z$4:Z240)+SUM(BB$4:BB240)+COSTI!S$6-COSTI!L$1076</f>
        <v>-31.760000000000218</v>
      </c>
      <c r="BD240" s="1"/>
    </row>
    <row r="241" spans="1:56" ht="16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435">
        <f>IF(AND(W241&gt;=$U$1,W241&lt;=$U$2),IF(X241='ESTRATTO CONTO'!$E$2,1+COUNTIF(U$4:U240,"&gt;0"),0),0)</f>
        <v>0</v>
      </c>
      <c r="V241" s="417">
        <f t="shared" si="54"/>
        <v>238</v>
      </c>
      <c r="W241" s="509"/>
      <c r="X241" s="321"/>
      <c r="Y241" s="321"/>
      <c r="Z241" s="508"/>
      <c r="AA241" s="356"/>
      <c r="AB241" s="306" t="str">
        <f t="shared" si="50"/>
        <v/>
      </c>
      <c r="AC241" s="637">
        <f t="shared" ca="1" si="49"/>
        <v>-2.1316282072803006E-13</v>
      </c>
      <c r="AD241" s="935">
        <f>IF(ISERROR(VLOOKUP(AD$2,X242:X$1003,1,FALSE)),IF(X241=AD$2,SUMIF(X$4:X241,AD$2,Z$4:Z241)+$E$9+SUM(AQ$4:AQ$1003)+SUMIF(COSTI!$X$1379:$X$1430,AD$2,COSTI!$Z$1379:$Z$1430),0),0)</f>
        <v>0</v>
      </c>
      <c r="AE241" s="26"/>
      <c r="AF241" s="856" t="e">
        <f>IF(ISERROR(VLOOKUP(AG$2,X242:X$1003,1,FALSE)),IF(X241=AG$2,SUMIF(X$4:X241,AG$2,Z$4:Z241)+VLOOKUP(AF$2,$B$1057:$F$1068,5,FALSE)+SUM(AR$4:AR$1003)+SUMIF(COSTI!$X$1379:$X$1430,AG$2,COSTI!$Z$1379:$Z$1430),0),0)</f>
        <v>#N/A</v>
      </c>
      <c r="AG241" s="859"/>
      <c r="AH241" s="27" t="str">
        <f t="shared" si="51"/>
        <v/>
      </c>
      <c r="AI241" s="152">
        <f ca="1">IF(W242&gt;0,0,IF(AH241=0,(Z241*-1)+BC241+SUM(BB$4:BB240),BC241+SUM(BB$4:BB240)))</f>
        <v>-2.1316282072803006E-13</v>
      </c>
      <c r="AJ241" s="931">
        <f>IF(AND(AL241&gt;=$U$1,AL241&lt;=$U$2),IF(AM241='ESTRATTO CONTO'!$E$2,1+COUNTIF(AJ$4:AJ240,"&gt;0")+U$1015,0),0)</f>
        <v>0</v>
      </c>
      <c r="AK241" s="203">
        <f>IF(AND(OR((AK240+1)&lt;AL$1015,(AK240+1)=AL$1015),MAX(AK$4:AK240)&lt;AL$1015),AK240+1,0)</f>
        <v>0</v>
      </c>
      <c r="AL241" s="309">
        <f>VLOOKUP($AK241,ENTI!$AF$4:AG$1003,2,FALSE)</f>
        <v>0</v>
      </c>
      <c r="AM241" s="224">
        <f>VLOOKUP($AK241,ENTI!$AF$4:AH$1003,3,FALSE)</f>
        <v>0</v>
      </c>
      <c r="AN241" s="224">
        <f>VLOOKUP($AK241,ENTI!$AF$4:AI$1003,4,FALSE)</f>
        <v>0</v>
      </c>
      <c r="AO241" s="781">
        <f>VLOOKUP($AK241,ENTI!$AF$4:AJ$1003,5,FALSE)</f>
        <v>0</v>
      </c>
      <c r="AP241" s="315">
        <f>VLOOKUP($AK241,ENTI!$AF$4:AK$1003,6,FALSE)</f>
        <v>0</v>
      </c>
      <c r="AQ241" s="208">
        <f t="shared" si="58"/>
        <v>0</v>
      </c>
      <c r="AR241" s="152" t="e">
        <f t="shared" si="59"/>
        <v>#N/A</v>
      </c>
      <c r="AS241" s="1"/>
      <c r="AT241" s="88" t="str">
        <f t="shared" si="52"/>
        <v/>
      </c>
      <c r="AU241" s="1"/>
      <c r="AV241" s="175">
        <f>IF(AW241&gt;0,COUNTIF(AV$4:AV240,"&gt;0")+1,0)</f>
        <v>0</v>
      </c>
      <c r="AW241" s="164">
        <f t="shared" si="53"/>
        <v>0</v>
      </c>
      <c r="AX241" s="310">
        <f>IF($AW241=0,0,VLOOKUP(VLOOKUP($X241,$B$34:$T$38,19,FALSE),ENTI!$A$9:$B$13,2,FALSE))</f>
        <v>0</v>
      </c>
      <c r="AY241" s="310">
        <f t="shared" si="55"/>
        <v>0</v>
      </c>
      <c r="AZ241" s="316">
        <f t="shared" si="56"/>
        <v>0</v>
      </c>
      <c r="BA241" s="1"/>
      <c r="BB241" s="152">
        <f t="shared" si="57"/>
        <v>0</v>
      </c>
      <c r="BC241" s="152">
        <f ca="1">SUM(Z$4:Z241)+SUM(BB$4:BB241)+COSTI!S$6-COSTI!L$1076</f>
        <v>-31.760000000000218</v>
      </c>
      <c r="BD241" s="1"/>
    </row>
    <row r="242" spans="1:56" ht="16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435">
        <f>IF(AND(W242&gt;=$U$1,W242&lt;=$U$2),IF(X242='ESTRATTO CONTO'!$E$2,1+COUNTIF(U$4:U241,"&gt;0"),0),0)</f>
        <v>0</v>
      </c>
      <c r="V242" s="417">
        <f t="shared" si="54"/>
        <v>239</v>
      </c>
      <c r="W242" s="509"/>
      <c r="X242" s="321"/>
      <c r="Y242" s="321"/>
      <c r="Z242" s="508"/>
      <c r="AA242" s="356"/>
      <c r="AB242" s="306" t="str">
        <f t="shared" si="50"/>
        <v/>
      </c>
      <c r="AC242" s="637">
        <f t="shared" ca="1" si="49"/>
        <v>-2.1316282072803006E-13</v>
      </c>
      <c r="AD242" s="935">
        <f>IF(ISERROR(VLOOKUP(AD$2,X243:X$1003,1,FALSE)),IF(X242=AD$2,SUMIF(X$4:X242,AD$2,Z$4:Z242)+$E$9+SUM(AQ$4:AQ$1003)+SUMIF(COSTI!$X$1379:$X$1430,AD$2,COSTI!$Z$1379:$Z$1430),0),0)</f>
        <v>0</v>
      </c>
      <c r="AE242" s="26"/>
      <c r="AF242" s="856" t="e">
        <f>IF(ISERROR(VLOOKUP(AG$2,X243:X$1003,1,FALSE)),IF(X242=AG$2,SUMIF(X$4:X242,AG$2,Z$4:Z242)+VLOOKUP(AF$2,$B$1057:$F$1068,5,FALSE)+SUM(AR$4:AR$1003)+SUMIF(COSTI!$X$1379:$X$1430,AG$2,COSTI!$Z$1379:$Z$1430),0),0)</f>
        <v>#N/A</v>
      </c>
      <c r="AG242" s="859"/>
      <c r="AH242" s="27" t="str">
        <f t="shared" si="51"/>
        <v/>
      </c>
      <c r="AI242" s="152">
        <f ca="1">IF(W243&gt;0,0,IF(AH242=0,(Z242*-1)+BC242+SUM(BB$4:BB241),BC242+SUM(BB$4:BB241)))</f>
        <v>-2.1316282072803006E-13</v>
      </c>
      <c r="AJ242" s="931">
        <f>IF(AND(AL242&gt;=$U$1,AL242&lt;=$U$2),IF(AM242='ESTRATTO CONTO'!$E$2,1+COUNTIF(AJ$4:AJ241,"&gt;0")+U$1015,0),0)</f>
        <v>0</v>
      </c>
      <c r="AK242" s="203">
        <f>IF(AND(OR((AK241+1)&lt;AL$1015,(AK241+1)=AL$1015),MAX(AK$4:AK241)&lt;AL$1015),AK241+1,0)</f>
        <v>0</v>
      </c>
      <c r="AL242" s="309">
        <f>VLOOKUP($AK242,ENTI!$AF$4:AG$1003,2,FALSE)</f>
        <v>0</v>
      </c>
      <c r="AM242" s="224">
        <f>VLOOKUP($AK242,ENTI!$AF$4:AH$1003,3,FALSE)</f>
        <v>0</v>
      </c>
      <c r="AN242" s="224">
        <f>VLOOKUP($AK242,ENTI!$AF$4:AI$1003,4,FALSE)</f>
        <v>0</v>
      </c>
      <c r="AO242" s="781">
        <f>VLOOKUP($AK242,ENTI!$AF$4:AJ$1003,5,FALSE)</f>
        <v>0</v>
      </c>
      <c r="AP242" s="315">
        <f>VLOOKUP($AK242,ENTI!$AF$4:AK$1003,6,FALSE)</f>
        <v>0</v>
      </c>
      <c r="AQ242" s="208">
        <f t="shared" si="58"/>
        <v>0</v>
      </c>
      <c r="AR242" s="152" t="e">
        <f t="shared" si="59"/>
        <v>#N/A</v>
      </c>
      <c r="AS242" s="1"/>
      <c r="AT242" s="88" t="str">
        <f t="shared" si="52"/>
        <v/>
      </c>
      <c r="AU242" s="1"/>
      <c r="AV242" s="175">
        <f>IF(AW242&gt;0,COUNTIF(AV$4:AV241,"&gt;0")+1,0)</f>
        <v>0</v>
      </c>
      <c r="AW242" s="164">
        <f t="shared" si="53"/>
        <v>0</v>
      </c>
      <c r="AX242" s="310">
        <f>IF($AW242=0,0,VLOOKUP(VLOOKUP($X242,$B$34:$T$38,19,FALSE),ENTI!$A$9:$B$13,2,FALSE))</f>
        <v>0</v>
      </c>
      <c r="AY242" s="310">
        <f t="shared" si="55"/>
        <v>0</v>
      </c>
      <c r="AZ242" s="316">
        <f t="shared" si="56"/>
        <v>0</v>
      </c>
      <c r="BA242" s="1"/>
      <c r="BB242" s="152">
        <f t="shared" si="57"/>
        <v>0</v>
      </c>
      <c r="BC242" s="152">
        <f ca="1">SUM(Z$4:Z242)+SUM(BB$4:BB242)+COSTI!S$6-COSTI!L$1076</f>
        <v>-31.760000000000218</v>
      </c>
      <c r="BD242" s="1"/>
    </row>
    <row r="243" spans="1:56" ht="16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435">
        <f>IF(AND(W243&gt;=$U$1,W243&lt;=$U$2),IF(X243='ESTRATTO CONTO'!$E$2,1+COUNTIF(U$4:U242,"&gt;0"),0),0)</f>
        <v>0</v>
      </c>
      <c r="V243" s="417">
        <f t="shared" si="54"/>
        <v>240</v>
      </c>
      <c r="W243" s="509"/>
      <c r="X243" s="321"/>
      <c r="Y243" s="321"/>
      <c r="Z243" s="508"/>
      <c r="AA243" s="356"/>
      <c r="AB243" s="306" t="str">
        <f t="shared" si="50"/>
        <v/>
      </c>
      <c r="AC243" s="637">
        <f t="shared" ca="1" si="49"/>
        <v>-2.1316282072803006E-13</v>
      </c>
      <c r="AD243" s="935">
        <f>IF(ISERROR(VLOOKUP(AD$2,X244:X$1003,1,FALSE)),IF(X243=AD$2,SUMIF(X$4:X243,AD$2,Z$4:Z243)+$E$9+SUM(AQ$4:AQ$1003)+SUMIF(COSTI!$X$1379:$X$1430,AD$2,COSTI!$Z$1379:$Z$1430),0),0)</f>
        <v>0</v>
      </c>
      <c r="AE243" s="26"/>
      <c r="AF243" s="856" t="e">
        <f>IF(ISERROR(VLOOKUP(AG$2,X244:X$1003,1,FALSE)),IF(X243=AG$2,SUMIF(X$4:X243,AG$2,Z$4:Z243)+VLOOKUP(AF$2,$B$1057:$F$1068,5,FALSE)+SUM(AR$4:AR$1003)+SUMIF(COSTI!$X$1379:$X$1430,AG$2,COSTI!$Z$1379:$Z$1430),0),0)</f>
        <v>#N/A</v>
      </c>
      <c r="AG243" s="859"/>
      <c r="AH243" s="27" t="str">
        <f t="shared" si="51"/>
        <v/>
      </c>
      <c r="AI243" s="152">
        <f ca="1">IF(W244&gt;0,0,IF(AH243=0,(Z243*-1)+BC243+SUM(BB$4:BB242),BC243+SUM(BB$4:BB242)))</f>
        <v>-2.1316282072803006E-13</v>
      </c>
      <c r="AJ243" s="931">
        <f>IF(AND(AL243&gt;=$U$1,AL243&lt;=$U$2),IF(AM243='ESTRATTO CONTO'!$E$2,1+COUNTIF(AJ$4:AJ242,"&gt;0")+U$1015,0),0)</f>
        <v>0</v>
      </c>
      <c r="AK243" s="203">
        <f>IF(AND(OR((AK242+1)&lt;AL$1015,(AK242+1)=AL$1015),MAX(AK$4:AK242)&lt;AL$1015),AK242+1,0)</f>
        <v>0</v>
      </c>
      <c r="AL243" s="309">
        <f>VLOOKUP($AK243,ENTI!$AF$4:AG$1003,2,FALSE)</f>
        <v>0</v>
      </c>
      <c r="AM243" s="224">
        <f>VLOOKUP($AK243,ENTI!$AF$4:AH$1003,3,FALSE)</f>
        <v>0</v>
      </c>
      <c r="AN243" s="224">
        <f>VLOOKUP($AK243,ENTI!$AF$4:AI$1003,4,FALSE)</f>
        <v>0</v>
      </c>
      <c r="AO243" s="781">
        <f>VLOOKUP($AK243,ENTI!$AF$4:AJ$1003,5,FALSE)</f>
        <v>0</v>
      </c>
      <c r="AP243" s="315">
        <f>VLOOKUP($AK243,ENTI!$AF$4:AK$1003,6,FALSE)</f>
        <v>0</v>
      </c>
      <c r="AQ243" s="208">
        <f t="shared" si="58"/>
        <v>0</v>
      </c>
      <c r="AR243" s="152" t="e">
        <f t="shared" si="59"/>
        <v>#N/A</v>
      </c>
      <c r="AS243" s="1"/>
      <c r="AT243" s="88" t="str">
        <f t="shared" si="52"/>
        <v/>
      </c>
      <c r="AU243" s="1"/>
      <c r="AV243" s="175">
        <f>IF(AW243&gt;0,COUNTIF(AV$4:AV242,"&gt;0")+1,0)</f>
        <v>0</v>
      </c>
      <c r="AW243" s="164">
        <f t="shared" si="53"/>
        <v>0</v>
      </c>
      <c r="AX243" s="310">
        <f>IF($AW243=0,0,VLOOKUP(VLOOKUP($X243,$B$34:$T$38,19,FALSE),ENTI!$A$9:$B$13,2,FALSE))</f>
        <v>0</v>
      </c>
      <c r="AY243" s="310">
        <f t="shared" si="55"/>
        <v>0</v>
      </c>
      <c r="AZ243" s="316">
        <f t="shared" si="56"/>
        <v>0</v>
      </c>
      <c r="BA243" s="1"/>
      <c r="BB243" s="152">
        <f t="shared" si="57"/>
        <v>0</v>
      </c>
      <c r="BC243" s="152">
        <f ca="1">SUM(Z$4:Z243)+SUM(BB$4:BB243)+COSTI!S$6-COSTI!L$1076</f>
        <v>-31.760000000000218</v>
      </c>
      <c r="BD243" s="1"/>
    </row>
    <row r="244" spans="1:56" ht="16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435">
        <f>IF(AND(W244&gt;=$U$1,W244&lt;=$U$2),IF(X244='ESTRATTO CONTO'!$E$2,1+COUNTIF(U$4:U243,"&gt;0"),0),0)</f>
        <v>0</v>
      </c>
      <c r="V244" s="417">
        <f t="shared" si="54"/>
        <v>241</v>
      </c>
      <c r="W244" s="509"/>
      <c r="X244" s="321"/>
      <c r="Y244" s="321"/>
      <c r="Z244" s="508"/>
      <c r="AA244" s="356"/>
      <c r="AB244" s="306" t="str">
        <f t="shared" si="50"/>
        <v/>
      </c>
      <c r="AC244" s="637">
        <f t="shared" ca="1" si="49"/>
        <v>-2.1316282072803006E-13</v>
      </c>
      <c r="AD244" s="935">
        <f>IF(ISERROR(VLOOKUP(AD$2,X245:X$1003,1,FALSE)),IF(X244=AD$2,SUMIF(X$4:X244,AD$2,Z$4:Z244)+$E$9+SUM(AQ$4:AQ$1003)+SUMIF(COSTI!$X$1379:$X$1430,AD$2,COSTI!$Z$1379:$Z$1430),0),0)</f>
        <v>0</v>
      </c>
      <c r="AE244" s="26"/>
      <c r="AF244" s="856" t="e">
        <f>IF(ISERROR(VLOOKUP(AG$2,X245:X$1003,1,FALSE)),IF(X244=AG$2,SUMIF(X$4:X244,AG$2,Z$4:Z244)+VLOOKUP(AF$2,$B$1057:$F$1068,5,FALSE)+SUM(AR$4:AR$1003)+SUMIF(COSTI!$X$1379:$X$1430,AG$2,COSTI!$Z$1379:$Z$1430),0),0)</f>
        <v>#N/A</v>
      </c>
      <c r="AG244" s="859"/>
      <c r="AH244" s="27" t="str">
        <f t="shared" si="51"/>
        <v/>
      </c>
      <c r="AI244" s="152">
        <f ca="1">IF(W245&gt;0,0,IF(AH244=0,(Z244*-1)+BC244+SUM(BB$4:BB243),BC244+SUM(BB$4:BB243)))</f>
        <v>-2.1316282072803006E-13</v>
      </c>
      <c r="AJ244" s="931">
        <f>IF(AND(AL244&gt;=$U$1,AL244&lt;=$U$2),IF(AM244='ESTRATTO CONTO'!$E$2,1+COUNTIF(AJ$4:AJ243,"&gt;0")+U$1015,0),0)</f>
        <v>0</v>
      </c>
      <c r="AK244" s="203">
        <f>IF(AND(OR((AK243+1)&lt;AL$1015,(AK243+1)=AL$1015),MAX(AK$4:AK243)&lt;AL$1015),AK243+1,0)</f>
        <v>0</v>
      </c>
      <c r="AL244" s="309">
        <f>VLOOKUP($AK244,ENTI!$AF$4:AG$1003,2,FALSE)</f>
        <v>0</v>
      </c>
      <c r="AM244" s="224">
        <f>VLOOKUP($AK244,ENTI!$AF$4:AH$1003,3,FALSE)</f>
        <v>0</v>
      </c>
      <c r="AN244" s="224">
        <f>VLOOKUP($AK244,ENTI!$AF$4:AI$1003,4,FALSE)</f>
        <v>0</v>
      </c>
      <c r="AO244" s="781">
        <f>VLOOKUP($AK244,ENTI!$AF$4:AJ$1003,5,FALSE)</f>
        <v>0</v>
      </c>
      <c r="AP244" s="315">
        <f>VLOOKUP($AK244,ENTI!$AF$4:AK$1003,6,FALSE)</f>
        <v>0</v>
      </c>
      <c r="AQ244" s="208">
        <f t="shared" si="58"/>
        <v>0</v>
      </c>
      <c r="AR244" s="152" t="e">
        <f t="shared" si="59"/>
        <v>#N/A</v>
      </c>
      <c r="AS244" s="1"/>
      <c r="AT244" s="88" t="str">
        <f t="shared" si="52"/>
        <v/>
      </c>
      <c r="AU244" s="1"/>
      <c r="AV244" s="175">
        <f>IF(AW244&gt;0,COUNTIF(AV$4:AV243,"&gt;0")+1,0)</f>
        <v>0</v>
      </c>
      <c r="AW244" s="164">
        <f t="shared" si="53"/>
        <v>0</v>
      </c>
      <c r="AX244" s="310">
        <f>IF($AW244=0,0,VLOOKUP(VLOOKUP($X244,$B$34:$T$38,19,FALSE),ENTI!$A$9:$B$13,2,FALSE))</f>
        <v>0</v>
      </c>
      <c r="AY244" s="310">
        <f t="shared" si="55"/>
        <v>0</v>
      </c>
      <c r="AZ244" s="316">
        <f t="shared" si="56"/>
        <v>0</v>
      </c>
      <c r="BA244" s="1"/>
      <c r="BB244" s="152">
        <f t="shared" si="57"/>
        <v>0</v>
      </c>
      <c r="BC244" s="152">
        <f ca="1">SUM(Z$4:Z244)+SUM(BB$4:BB244)+COSTI!S$6-COSTI!L$1076</f>
        <v>-31.760000000000218</v>
      </c>
      <c r="BD244" s="1"/>
    </row>
    <row r="245" spans="1:56" ht="16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435">
        <f>IF(AND(W245&gt;=$U$1,W245&lt;=$U$2),IF(X245='ESTRATTO CONTO'!$E$2,1+COUNTIF(U$4:U244,"&gt;0"),0),0)</f>
        <v>0</v>
      </c>
      <c r="V245" s="417">
        <f t="shared" si="54"/>
        <v>242</v>
      </c>
      <c r="W245" s="509"/>
      <c r="X245" s="321"/>
      <c r="Y245" s="321"/>
      <c r="Z245" s="508"/>
      <c r="AA245" s="356"/>
      <c r="AB245" s="306" t="str">
        <f t="shared" si="50"/>
        <v/>
      </c>
      <c r="AC245" s="637">
        <f t="shared" ca="1" si="49"/>
        <v>-2.1316282072803006E-13</v>
      </c>
      <c r="AD245" s="935">
        <f>IF(ISERROR(VLOOKUP(AD$2,X246:X$1003,1,FALSE)),IF(X245=AD$2,SUMIF(X$4:X245,AD$2,Z$4:Z245)+$E$9+SUM(AQ$4:AQ$1003)+SUMIF(COSTI!$X$1379:$X$1430,AD$2,COSTI!$Z$1379:$Z$1430),0),0)</f>
        <v>0</v>
      </c>
      <c r="AE245" s="26"/>
      <c r="AF245" s="856" t="e">
        <f>IF(ISERROR(VLOOKUP(AG$2,X246:X$1003,1,FALSE)),IF(X245=AG$2,SUMIF(X$4:X245,AG$2,Z$4:Z245)+VLOOKUP(AF$2,$B$1057:$F$1068,5,FALSE)+SUM(AR$4:AR$1003)+SUMIF(COSTI!$X$1379:$X$1430,AG$2,COSTI!$Z$1379:$Z$1430),0),0)</f>
        <v>#N/A</v>
      </c>
      <c r="AG245" s="859"/>
      <c r="AH245" s="27" t="str">
        <f t="shared" si="51"/>
        <v/>
      </c>
      <c r="AI245" s="152">
        <f ca="1">IF(W246&gt;0,0,IF(AH245=0,(Z245*-1)+BC245+SUM(BB$4:BB244),BC245+SUM(BB$4:BB244)))</f>
        <v>-2.1316282072803006E-13</v>
      </c>
      <c r="AJ245" s="931">
        <f>IF(AND(AL245&gt;=$U$1,AL245&lt;=$U$2),IF(AM245='ESTRATTO CONTO'!$E$2,1+COUNTIF(AJ$4:AJ244,"&gt;0")+U$1015,0),0)</f>
        <v>0</v>
      </c>
      <c r="AK245" s="203">
        <f>IF(AND(OR((AK244+1)&lt;AL$1015,(AK244+1)=AL$1015),MAX(AK$4:AK244)&lt;AL$1015),AK244+1,0)</f>
        <v>0</v>
      </c>
      <c r="AL245" s="309">
        <f>VLOOKUP($AK245,ENTI!$AF$4:AG$1003,2,FALSE)</f>
        <v>0</v>
      </c>
      <c r="AM245" s="224">
        <f>VLOOKUP($AK245,ENTI!$AF$4:AH$1003,3,FALSE)</f>
        <v>0</v>
      </c>
      <c r="AN245" s="224">
        <f>VLOOKUP($AK245,ENTI!$AF$4:AI$1003,4,FALSE)</f>
        <v>0</v>
      </c>
      <c r="AO245" s="781">
        <f>VLOOKUP($AK245,ENTI!$AF$4:AJ$1003,5,FALSE)</f>
        <v>0</v>
      </c>
      <c r="AP245" s="315">
        <f>VLOOKUP($AK245,ENTI!$AF$4:AK$1003,6,FALSE)</f>
        <v>0</v>
      </c>
      <c r="AQ245" s="208">
        <f t="shared" si="58"/>
        <v>0</v>
      </c>
      <c r="AR245" s="152" t="e">
        <f t="shared" si="59"/>
        <v>#N/A</v>
      </c>
      <c r="AS245" s="1"/>
      <c r="AT245" s="88" t="str">
        <f t="shared" si="52"/>
        <v/>
      </c>
      <c r="AU245" s="1"/>
      <c r="AV245" s="175">
        <f>IF(AW245&gt;0,COUNTIF(AV$4:AV244,"&gt;0")+1,0)</f>
        <v>0</v>
      </c>
      <c r="AW245" s="164">
        <f t="shared" si="53"/>
        <v>0</v>
      </c>
      <c r="AX245" s="310">
        <f>IF($AW245=0,0,VLOOKUP(VLOOKUP($X245,$B$34:$T$38,19,FALSE),ENTI!$A$9:$B$13,2,FALSE))</f>
        <v>0</v>
      </c>
      <c r="AY245" s="310">
        <f t="shared" si="55"/>
        <v>0</v>
      </c>
      <c r="AZ245" s="316">
        <f t="shared" si="56"/>
        <v>0</v>
      </c>
      <c r="BA245" s="1"/>
      <c r="BB245" s="152">
        <f t="shared" si="57"/>
        <v>0</v>
      </c>
      <c r="BC245" s="152">
        <f ca="1">SUM(Z$4:Z245)+SUM(BB$4:BB245)+COSTI!S$6-COSTI!L$1076</f>
        <v>-31.760000000000218</v>
      </c>
      <c r="BD245" s="1"/>
    </row>
    <row r="246" spans="1:56" ht="16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435">
        <f>IF(AND(W246&gt;=$U$1,W246&lt;=$U$2),IF(X246='ESTRATTO CONTO'!$E$2,1+COUNTIF(U$4:U245,"&gt;0"),0),0)</f>
        <v>0</v>
      </c>
      <c r="V246" s="417">
        <f t="shared" si="54"/>
        <v>243</v>
      </c>
      <c r="W246" s="509"/>
      <c r="X246" s="321"/>
      <c r="Y246" s="321"/>
      <c r="Z246" s="508"/>
      <c r="AA246" s="356"/>
      <c r="AB246" s="306" t="str">
        <f t="shared" si="50"/>
        <v/>
      </c>
      <c r="AC246" s="637">
        <f t="shared" ca="1" si="49"/>
        <v>-2.1316282072803006E-13</v>
      </c>
      <c r="AD246" s="935">
        <f>IF(ISERROR(VLOOKUP(AD$2,X247:X$1003,1,FALSE)),IF(X246=AD$2,SUMIF(X$4:X246,AD$2,Z$4:Z246)+$E$9+SUM(AQ$4:AQ$1003)+SUMIF(COSTI!$X$1379:$X$1430,AD$2,COSTI!$Z$1379:$Z$1430),0),0)</f>
        <v>0</v>
      </c>
      <c r="AE246" s="26"/>
      <c r="AF246" s="856" t="e">
        <f>IF(ISERROR(VLOOKUP(AG$2,X247:X$1003,1,FALSE)),IF(X246=AG$2,SUMIF(X$4:X246,AG$2,Z$4:Z246)+VLOOKUP(AF$2,$B$1057:$F$1068,5,FALSE)+SUM(AR$4:AR$1003)+SUMIF(COSTI!$X$1379:$X$1430,AG$2,COSTI!$Z$1379:$Z$1430),0),0)</f>
        <v>#N/A</v>
      </c>
      <c r="AG246" s="859"/>
      <c r="AH246" s="27" t="str">
        <f t="shared" si="51"/>
        <v/>
      </c>
      <c r="AI246" s="152">
        <f ca="1">IF(W247&gt;0,0,IF(AH246=0,(Z246*-1)+BC246+SUM(BB$4:BB245),BC246+SUM(BB$4:BB245)))</f>
        <v>-2.1316282072803006E-13</v>
      </c>
      <c r="AJ246" s="931">
        <f>IF(AND(AL246&gt;=$U$1,AL246&lt;=$U$2),IF(AM246='ESTRATTO CONTO'!$E$2,1+COUNTIF(AJ$4:AJ245,"&gt;0")+U$1015,0),0)</f>
        <v>0</v>
      </c>
      <c r="AK246" s="203">
        <f>IF(AND(OR((AK245+1)&lt;AL$1015,(AK245+1)=AL$1015),MAX(AK$4:AK245)&lt;AL$1015),AK245+1,0)</f>
        <v>0</v>
      </c>
      <c r="AL246" s="309">
        <f>VLOOKUP($AK246,ENTI!$AF$4:AG$1003,2,FALSE)</f>
        <v>0</v>
      </c>
      <c r="AM246" s="224">
        <f>VLOOKUP($AK246,ENTI!$AF$4:AH$1003,3,FALSE)</f>
        <v>0</v>
      </c>
      <c r="AN246" s="224">
        <f>VLOOKUP($AK246,ENTI!$AF$4:AI$1003,4,FALSE)</f>
        <v>0</v>
      </c>
      <c r="AO246" s="781">
        <f>VLOOKUP($AK246,ENTI!$AF$4:AJ$1003,5,FALSE)</f>
        <v>0</v>
      </c>
      <c r="AP246" s="315">
        <f>VLOOKUP($AK246,ENTI!$AF$4:AK$1003,6,FALSE)</f>
        <v>0</v>
      </c>
      <c r="AQ246" s="208">
        <f t="shared" si="58"/>
        <v>0</v>
      </c>
      <c r="AR246" s="152" t="e">
        <f t="shared" si="59"/>
        <v>#N/A</v>
      </c>
      <c r="AS246" s="1"/>
      <c r="AT246" s="88" t="str">
        <f t="shared" si="52"/>
        <v/>
      </c>
      <c r="AU246" s="1"/>
      <c r="AV246" s="175">
        <f>IF(AW246&gt;0,COUNTIF(AV$4:AV245,"&gt;0")+1,0)</f>
        <v>0</v>
      </c>
      <c r="AW246" s="164">
        <f t="shared" si="53"/>
        <v>0</v>
      </c>
      <c r="AX246" s="310">
        <f>IF($AW246=0,0,VLOOKUP(VLOOKUP($X246,$B$34:$T$38,19,FALSE),ENTI!$A$9:$B$13,2,FALSE))</f>
        <v>0</v>
      </c>
      <c r="AY246" s="310">
        <f t="shared" si="55"/>
        <v>0</v>
      </c>
      <c r="AZ246" s="316">
        <f t="shared" si="56"/>
        <v>0</v>
      </c>
      <c r="BA246" s="1"/>
      <c r="BB246" s="152">
        <f t="shared" si="57"/>
        <v>0</v>
      </c>
      <c r="BC246" s="152">
        <f ca="1">SUM(Z$4:Z246)+SUM(BB$4:BB246)+COSTI!S$6-COSTI!L$1076</f>
        <v>-31.760000000000218</v>
      </c>
      <c r="BD246" s="1"/>
    </row>
    <row r="247" spans="1:56" ht="16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435">
        <f>IF(AND(W247&gt;=$U$1,W247&lt;=$U$2),IF(X247='ESTRATTO CONTO'!$E$2,1+COUNTIF(U$4:U246,"&gt;0"),0),0)</f>
        <v>0</v>
      </c>
      <c r="V247" s="417">
        <f t="shared" si="54"/>
        <v>244</v>
      </c>
      <c r="W247" s="509"/>
      <c r="X247" s="321"/>
      <c r="Y247" s="321"/>
      <c r="Z247" s="508"/>
      <c r="AA247" s="356"/>
      <c r="AB247" s="306" t="str">
        <f t="shared" si="50"/>
        <v/>
      </c>
      <c r="AC247" s="637">
        <f t="shared" ca="1" si="49"/>
        <v>-2.1316282072803006E-13</v>
      </c>
      <c r="AD247" s="935">
        <f>IF(ISERROR(VLOOKUP(AD$2,X248:X$1003,1,FALSE)),IF(X247=AD$2,SUMIF(X$4:X247,AD$2,Z$4:Z247)+$E$9+SUM(AQ$4:AQ$1003)+SUMIF(COSTI!$X$1379:$X$1430,AD$2,COSTI!$Z$1379:$Z$1430),0),0)</f>
        <v>0</v>
      </c>
      <c r="AE247" s="26"/>
      <c r="AF247" s="856" t="e">
        <f>IF(ISERROR(VLOOKUP(AG$2,X248:X$1003,1,FALSE)),IF(X247=AG$2,SUMIF(X$4:X247,AG$2,Z$4:Z247)+VLOOKUP(AF$2,$B$1057:$F$1068,5,FALSE)+SUM(AR$4:AR$1003)+SUMIF(COSTI!$X$1379:$X$1430,AG$2,COSTI!$Z$1379:$Z$1430),0),0)</f>
        <v>#N/A</v>
      </c>
      <c r="AG247" s="859"/>
      <c r="AH247" s="27" t="str">
        <f t="shared" si="51"/>
        <v/>
      </c>
      <c r="AI247" s="152">
        <f ca="1">IF(W248&gt;0,0,IF(AH247=0,(Z247*-1)+BC247+SUM(BB$4:BB246),BC247+SUM(BB$4:BB246)))</f>
        <v>-2.1316282072803006E-13</v>
      </c>
      <c r="AJ247" s="931">
        <f>IF(AND(AL247&gt;=$U$1,AL247&lt;=$U$2),IF(AM247='ESTRATTO CONTO'!$E$2,1+COUNTIF(AJ$4:AJ246,"&gt;0")+U$1015,0),0)</f>
        <v>0</v>
      </c>
      <c r="AK247" s="203">
        <f>IF(AND(OR((AK246+1)&lt;AL$1015,(AK246+1)=AL$1015),MAX(AK$4:AK246)&lt;AL$1015),AK246+1,0)</f>
        <v>0</v>
      </c>
      <c r="AL247" s="309">
        <f>VLOOKUP($AK247,ENTI!$AF$4:AG$1003,2,FALSE)</f>
        <v>0</v>
      </c>
      <c r="AM247" s="224">
        <f>VLOOKUP($AK247,ENTI!$AF$4:AH$1003,3,FALSE)</f>
        <v>0</v>
      </c>
      <c r="AN247" s="224">
        <f>VLOOKUP($AK247,ENTI!$AF$4:AI$1003,4,FALSE)</f>
        <v>0</v>
      </c>
      <c r="AO247" s="781">
        <f>VLOOKUP($AK247,ENTI!$AF$4:AJ$1003,5,FALSE)</f>
        <v>0</v>
      </c>
      <c r="AP247" s="315">
        <f>VLOOKUP($AK247,ENTI!$AF$4:AK$1003,6,FALSE)</f>
        <v>0</v>
      </c>
      <c r="AQ247" s="208">
        <f t="shared" si="58"/>
        <v>0</v>
      </c>
      <c r="AR247" s="152" t="e">
        <f t="shared" si="59"/>
        <v>#N/A</v>
      </c>
      <c r="AS247" s="1"/>
      <c r="AT247" s="88" t="str">
        <f t="shared" si="52"/>
        <v/>
      </c>
      <c r="AU247" s="1"/>
      <c r="AV247" s="175">
        <f>IF(AW247&gt;0,COUNTIF(AV$4:AV246,"&gt;0")+1,0)</f>
        <v>0</v>
      </c>
      <c r="AW247" s="164">
        <f t="shared" si="53"/>
        <v>0</v>
      </c>
      <c r="AX247" s="310">
        <f>IF($AW247=0,0,VLOOKUP(VLOOKUP($X247,$B$34:$T$38,19,FALSE),ENTI!$A$9:$B$13,2,FALSE))</f>
        <v>0</v>
      </c>
      <c r="AY247" s="310">
        <f t="shared" si="55"/>
        <v>0</v>
      </c>
      <c r="AZ247" s="316">
        <f t="shared" si="56"/>
        <v>0</v>
      </c>
      <c r="BA247" s="1"/>
      <c r="BB247" s="152">
        <f t="shared" si="57"/>
        <v>0</v>
      </c>
      <c r="BC247" s="152">
        <f ca="1">SUM(Z$4:Z247)+SUM(BB$4:BB247)+COSTI!S$6-COSTI!L$1076</f>
        <v>-31.760000000000218</v>
      </c>
      <c r="BD247" s="1"/>
    </row>
    <row r="248" spans="1:56" ht="16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435">
        <f>IF(AND(W248&gt;=$U$1,W248&lt;=$U$2),IF(X248='ESTRATTO CONTO'!$E$2,1+COUNTIF(U$4:U247,"&gt;0"),0),0)</f>
        <v>0</v>
      </c>
      <c r="V248" s="417">
        <f t="shared" si="54"/>
        <v>245</v>
      </c>
      <c r="W248" s="509"/>
      <c r="X248" s="321"/>
      <c r="Y248" s="321"/>
      <c r="Z248" s="508"/>
      <c r="AA248" s="356"/>
      <c r="AB248" s="306" t="str">
        <f t="shared" si="50"/>
        <v/>
      </c>
      <c r="AC248" s="637">
        <f t="shared" ca="1" si="49"/>
        <v>-2.1316282072803006E-13</v>
      </c>
      <c r="AD248" s="935">
        <f>IF(ISERROR(VLOOKUP(AD$2,X249:X$1003,1,FALSE)),IF(X248=AD$2,SUMIF(X$4:X248,AD$2,Z$4:Z248)+$E$9+SUM(AQ$4:AQ$1003)+SUMIF(COSTI!$X$1379:$X$1430,AD$2,COSTI!$Z$1379:$Z$1430),0),0)</f>
        <v>0</v>
      </c>
      <c r="AE248" s="26"/>
      <c r="AF248" s="856" t="e">
        <f>IF(ISERROR(VLOOKUP(AG$2,X249:X$1003,1,FALSE)),IF(X248=AG$2,SUMIF(X$4:X248,AG$2,Z$4:Z248)+VLOOKUP(AF$2,$B$1057:$F$1068,5,FALSE)+SUM(AR$4:AR$1003)+SUMIF(COSTI!$X$1379:$X$1430,AG$2,COSTI!$Z$1379:$Z$1430),0),0)</f>
        <v>#N/A</v>
      </c>
      <c r="AG248" s="859"/>
      <c r="AH248" s="27" t="str">
        <f t="shared" si="51"/>
        <v/>
      </c>
      <c r="AI248" s="152">
        <f ca="1">IF(W249&gt;0,0,IF(AH248=0,(Z248*-1)+BC248+SUM(BB$4:BB247),BC248+SUM(BB$4:BB247)))</f>
        <v>-2.1316282072803006E-13</v>
      </c>
      <c r="AJ248" s="931">
        <f>IF(AND(AL248&gt;=$U$1,AL248&lt;=$U$2),IF(AM248='ESTRATTO CONTO'!$E$2,1+COUNTIF(AJ$4:AJ247,"&gt;0")+U$1015,0),0)</f>
        <v>0</v>
      </c>
      <c r="AK248" s="203">
        <f>IF(AND(OR((AK247+1)&lt;AL$1015,(AK247+1)=AL$1015),MAX(AK$4:AK247)&lt;AL$1015),AK247+1,0)</f>
        <v>0</v>
      </c>
      <c r="AL248" s="309">
        <f>VLOOKUP($AK248,ENTI!$AF$4:AG$1003,2,FALSE)</f>
        <v>0</v>
      </c>
      <c r="AM248" s="224">
        <f>VLOOKUP($AK248,ENTI!$AF$4:AH$1003,3,FALSE)</f>
        <v>0</v>
      </c>
      <c r="AN248" s="224">
        <f>VLOOKUP($AK248,ENTI!$AF$4:AI$1003,4,FALSE)</f>
        <v>0</v>
      </c>
      <c r="AO248" s="781">
        <f>VLOOKUP($AK248,ENTI!$AF$4:AJ$1003,5,FALSE)</f>
        <v>0</v>
      </c>
      <c r="AP248" s="315">
        <f>VLOOKUP($AK248,ENTI!$AF$4:AK$1003,6,FALSE)</f>
        <v>0</v>
      </c>
      <c r="AQ248" s="208">
        <f t="shared" si="58"/>
        <v>0</v>
      </c>
      <c r="AR248" s="152" t="e">
        <f t="shared" si="59"/>
        <v>#N/A</v>
      </c>
      <c r="AS248" s="1"/>
      <c r="AT248" s="88" t="str">
        <f t="shared" si="52"/>
        <v/>
      </c>
      <c r="AU248" s="1"/>
      <c r="AV248" s="175">
        <f>IF(AW248&gt;0,COUNTIF(AV$4:AV247,"&gt;0")+1,0)</f>
        <v>0</v>
      </c>
      <c r="AW248" s="164">
        <f t="shared" si="53"/>
        <v>0</v>
      </c>
      <c r="AX248" s="310">
        <f>IF($AW248=0,0,VLOOKUP(VLOOKUP($X248,$B$34:$T$38,19,FALSE),ENTI!$A$9:$B$13,2,FALSE))</f>
        <v>0</v>
      </c>
      <c r="AY248" s="310">
        <f t="shared" si="55"/>
        <v>0</v>
      </c>
      <c r="AZ248" s="316">
        <f t="shared" si="56"/>
        <v>0</v>
      </c>
      <c r="BA248" s="1"/>
      <c r="BB248" s="152">
        <f t="shared" si="57"/>
        <v>0</v>
      </c>
      <c r="BC248" s="152">
        <f ca="1">SUM(Z$4:Z248)+SUM(BB$4:BB248)+COSTI!S$6-COSTI!L$1076</f>
        <v>-31.760000000000218</v>
      </c>
      <c r="BD248" s="1"/>
    </row>
    <row r="249" spans="1:56" ht="16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435">
        <f>IF(AND(W249&gt;=$U$1,W249&lt;=$U$2),IF(X249='ESTRATTO CONTO'!$E$2,1+COUNTIF(U$4:U248,"&gt;0"),0),0)</f>
        <v>0</v>
      </c>
      <c r="V249" s="417">
        <f t="shared" si="54"/>
        <v>246</v>
      </c>
      <c r="W249" s="509"/>
      <c r="X249" s="321"/>
      <c r="Y249" s="321"/>
      <c r="Z249" s="508"/>
      <c r="AA249" s="356"/>
      <c r="AB249" s="306" t="str">
        <f t="shared" si="50"/>
        <v/>
      </c>
      <c r="AC249" s="637">
        <f t="shared" ref="AC249:AC312" ca="1" si="60">AI249</f>
        <v>-2.1316282072803006E-13</v>
      </c>
      <c r="AD249" s="935">
        <f>IF(ISERROR(VLOOKUP(AD$2,X250:X$1003,1,FALSE)),IF(X249=AD$2,SUMIF(X$4:X249,AD$2,Z$4:Z249)+$E$9+SUM(AQ$4:AQ$1003)+SUMIF(COSTI!$X$1379:$X$1430,AD$2,COSTI!$Z$1379:$Z$1430),0),0)</f>
        <v>0</v>
      </c>
      <c r="AE249" s="26"/>
      <c r="AF249" s="856" t="e">
        <f>IF(ISERROR(VLOOKUP(AG$2,X250:X$1003,1,FALSE)),IF(X249=AG$2,SUMIF(X$4:X249,AG$2,Z$4:Z249)+VLOOKUP(AF$2,$B$1057:$F$1068,5,FALSE)+SUM(AR$4:AR$1003)+SUMIF(COSTI!$X$1379:$X$1430,AG$2,COSTI!$Z$1379:$Z$1430),0),0)</f>
        <v>#N/A</v>
      </c>
      <c r="AG249" s="859"/>
      <c r="AH249" s="27" t="str">
        <f t="shared" si="51"/>
        <v/>
      </c>
      <c r="AI249" s="152">
        <f ca="1">IF(W250&gt;0,0,IF(AH249=0,(Z249*-1)+BC249+SUM(BB$4:BB248),BC249+SUM(BB$4:BB248)))</f>
        <v>-2.1316282072803006E-13</v>
      </c>
      <c r="AJ249" s="931">
        <f>IF(AND(AL249&gt;=$U$1,AL249&lt;=$U$2),IF(AM249='ESTRATTO CONTO'!$E$2,1+COUNTIF(AJ$4:AJ248,"&gt;0")+U$1015,0),0)</f>
        <v>0</v>
      </c>
      <c r="AK249" s="203">
        <f>IF(AND(OR((AK248+1)&lt;AL$1015,(AK248+1)=AL$1015),MAX(AK$4:AK248)&lt;AL$1015),AK248+1,0)</f>
        <v>0</v>
      </c>
      <c r="AL249" s="309">
        <f>VLOOKUP($AK249,ENTI!$AF$4:AG$1003,2,FALSE)</f>
        <v>0</v>
      </c>
      <c r="AM249" s="224">
        <f>VLOOKUP($AK249,ENTI!$AF$4:AH$1003,3,FALSE)</f>
        <v>0</v>
      </c>
      <c r="AN249" s="224">
        <f>VLOOKUP($AK249,ENTI!$AF$4:AI$1003,4,FALSE)</f>
        <v>0</v>
      </c>
      <c r="AO249" s="781">
        <f>VLOOKUP($AK249,ENTI!$AF$4:AJ$1003,5,FALSE)</f>
        <v>0</v>
      </c>
      <c r="AP249" s="315">
        <f>VLOOKUP($AK249,ENTI!$AF$4:AK$1003,6,FALSE)</f>
        <v>0</v>
      </c>
      <c r="AQ249" s="208">
        <f t="shared" si="58"/>
        <v>0</v>
      </c>
      <c r="AR249" s="152" t="e">
        <f t="shared" si="59"/>
        <v>#N/A</v>
      </c>
      <c r="AS249" s="1"/>
      <c r="AT249" s="88" t="str">
        <f t="shared" si="52"/>
        <v/>
      </c>
      <c r="AU249" s="1"/>
      <c r="AV249" s="175">
        <f>IF(AW249&gt;0,COUNTIF(AV$4:AV248,"&gt;0")+1,0)</f>
        <v>0</v>
      </c>
      <c r="AW249" s="164">
        <f t="shared" si="53"/>
        <v>0</v>
      </c>
      <c r="AX249" s="310">
        <f>IF($AW249=0,0,VLOOKUP(VLOOKUP($X249,$B$34:$T$38,19,FALSE),ENTI!$A$9:$B$13,2,FALSE))</f>
        <v>0</v>
      </c>
      <c r="AY249" s="310">
        <f t="shared" si="55"/>
        <v>0</v>
      </c>
      <c r="AZ249" s="316">
        <f t="shared" si="56"/>
        <v>0</v>
      </c>
      <c r="BA249" s="1"/>
      <c r="BB249" s="152">
        <f t="shared" si="57"/>
        <v>0</v>
      </c>
      <c r="BC249" s="152">
        <f ca="1">SUM(Z$4:Z249)+SUM(BB$4:BB249)+COSTI!S$6-COSTI!L$1076</f>
        <v>-31.760000000000218</v>
      </c>
      <c r="BD249" s="1"/>
    </row>
    <row r="250" spans="1:56" ht="16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435">
        <f>IF(AND(W250&gt;=$U$1,W250&lt;=$U$2),IF(X250='ESTRATTO CONTO'!$E$2,1+COUNTIF(U$4:U249,"&gt;0"),0),0)</f>
        <v>0</v>
      </c>
      <c r="V250" s="417">
        <f t="shared" si="54"/>
        <v>247</v>
      </c>
      <c r="W250" s="509"/>
      <c r="X250" s="321"/>
      <c r="Y250" s="321"/>
      <c r="Z250" s="508"/>
      <c r="AA250" s="356"/>
      <c r="AB250" s="306" t="str">
        <f t="shared" si="50"/>
        <v/>
      </c>
      <c r="AC250" s="637">
        <f t="shared" ca="1" si="60"/>
        <v>-2.1316282072803006E-13</v>
      </c>
      <c r="AD250" s="935">
        <f>IF(ISERROR(VLOOKUP(AD$2,X251:X$1003,1,FALSE)),IF(X250=AD$2,SUMIF(X$4:X250,AD$2,Z$4:Z250)+$E$9+SUM(AQ$4:AQ$1003)+SUMIF(COSTI!$X$1379:$X$1430,AD$2,COSTI!$Z$1379:$Z$1430),0),0)</f>
        <v>0</v>
      </c>
      <c r="AE250" s="26"/>
      <c r="AF250" s="856" t="e">
        <f>IF(ISERROR(VLOOKUP(AG$2,X251:X$1003,1,FALSE)),IF(X250=AG$2,SUMIF(X$4:X250,AG$2,Z$4:Z250)+VLOOKUP(AF$2,$B$1057:$F$1068,5,FALSE)+SUM(AR$4:AR$1003)+SUMIF(COSTI!$X$1379:$X$1430,AG$2,COSTI!$Z$1379:$Z$1430),0),0)</f>
        <v>#N/A</v>
      </c>
      <c r="AG250" s="859"/>
      <c r="AH250" s="27" t="str">
        <f t="shared" si="51"/>
        <v/>
      </c>
      <c r="AI250" s="152">
        <f ca="1">IF(W251&gt;0,0,IF(AH250=0,(Z250*-1)+BC250+SUM(BB$4:BB249),BC250+SUM(BB$4:BB249)))</f>
        <v>-2.1316282072803006E-13</v>
      </c>
      <c r="AJ250" s="931">
        <f>IF(AND(AL250&gt;=$U$1,AL250&lt;=$U$2),IF(AM250='ESTRATTO CONTO'!$E$2,1+COUNTIF(AJ$4:AJ249,"&gt;0")+U$1015,0),0)</f>
        <v>0</v>
      </c>
      <c r="AK250" s="203">
        <f>IF(AND(OR((AK249+1)&lt;AL$1015,(AK249+1)=AL$1015),MAX(AK$4:AK249)&lt;AL$1015),AK249+1,0)</f>
        <v>0</v>
      </c>
      <c r="AL250" s="309">
        <f>VLOOKUP($AK250,ENTI!$AF$4:AG$1003,2,FALSE)</f>
        <v>0</v>
      </c>
      <c r="AM250" s="224">
        <f>VLOOKUP($AK250,ENTI!$AF$4:AH$1003,3,FALSE)</f>
        <v>0</v>
      </c>
      <c r="AN250" s="224">
        <f>VLOOKUP($AK250,ENTI!$AF$4:AI$1003,4,FALSE)</f>
        <v>0</v>
      </c>
      <c r="AO250" s="781">
        <f>VLOOKUP($AK250,ENTI!$AF$4:AJ$1003,5,FALSE)</f>
        <v>0</v>
      </c>
      <c r="AP250" s="315">
        <f>VLOOKUP($AK250,ENTI!$AF$4:AK$1003,6,FALSE)</f>
        <v>0</v>
      </c>
      <c r="AQ250" s="208">
        <f t="shared" si="58"/>
        <v>0</v>
      </c>
      <c r="AR250" s="152" t="e">
        <f t="shared" si="59"/>
        <v>#N/A</v>
      </c>
      <c r="AS250" s="1"/>
      <c r="AT250" s="88" t="str">
        <f t="shared" si="52"/>
        <v/>
      </c>
      <c r="AU250" s="1"/>
      <c r="AV250" s="175">
        <f>IF(AW250&gt;0,COUNTIF(AV$4:AV249,"&gt;0")+1,0)</f>
        <v>0</v>
      </c>
      <c r="AW250" s="164">
        <f t="shared" si="53"/>
        <v>0</v>
      </c>
      <c r="AX250" s="310">
        <f>IF($AW250=0,0,VLOOKUP(VLOOKUP($X250,$B$34:$T$38,19,FALSE),ENTI!$A$9:$B$13,2,FALSE))</f>
        <v>0</v>
      </c>
      <c r="AY250" s="310">
        <f t="shared" si="55"/>
        <v>0</v>
      </c>
      <c r="AZ250" s="316">
        <f t="shared" si="56"/>
        <v>0</v>
      </c>
      <c r="BA250" s="1"/>
      <c r="BB250" s="152">
        <f t="shared" si="57"/>
        <v>0</v>
      </c>
      <c r="BC250" s="152">
        <f ca="1">SUM(Z$4:Z250)+SUM(BB$4:BB250)+COSTI!S$6-COSTI!L$1076</f>
        <v>-31.760000000000218</v>
      </c>
      <c r="BD250" s="1"/>
    </row>
    <row r="251" spans="1:56" ht="16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435">
        <f>IF(AND(W251&gt;=$U$1,W251&lt;=$U$2),IF(X251='ESTRATTO CONTO'!$E$2,1+COUNTIF(U$4:U250,"&gt;0"),0),0)</f>
        <v>0</v>
      </c>
      <c r="V251" s="417">
        <f t="shared" si="54"/>
        <v>248</v>
      </c>
      <c r="W251" s="509"/>
      <c r="X251" s="321"/>
      <c r="Y251" s="321"/>
      <c r="Z251" s="508"/>
      <c r="AA251" s="356"/>
      <c r="AB251" s="306" t="str">
        <f t="shared" si="50"/>
        <v/>
      </c>
      <c r="AC251" s="637">
        <f t="shared" ca="1" si="60"/>
        <v>-2.1316282072803006E-13</v>
      </c>
      <c r="AD251" s="935">
        <f>IF(ISERROR(VLOOKUP(AD$2,X252:X$1003,1,FALSE)),IF(X251=AD$2,SUMIF(X$4:X251,AD$2,Z$4:Z251)+$E$9+SUM(AQ$4:AQ$1003)+SUMIF(COSTI!$X$1379:$X$1430,AD$2,COSTI!$Z$1379:$Z$1430),0),0)</f>
        <v>0</v>
      </c>
      <c r="AE251" s="26"/>
      <c r="AF251" s="856" t="e">
        <f>IF(ISERROR(VLOOKUP(AG$2,X252:X$1003,1,FALSE)),IF(X251=AG$2,SUMIF(X$4:X251,AG$2,Z$4:Z251)+VLOOKUP(AF$2,$B$1057:$F$1068,5,FALSE)+SUM(AR$4:AR$1003)+SUMIF(COSTI!$X$1379:$X$1430,AG$2,COSTI!$Z$1379:$Z$1430),0),0)</f>
        <v>#N/A</v>
      </c>
      <c r="AG251" s="859"/>
      <c r="AH251" s="27" t="str">
        <f t="shared" si="51"/>
        <v/>
      </c>
      <c r="AI251" s="152">
        <f ca="1">IF(W252&gt;0,0,IF(AH251=0,(Z251*-1)+BC251+SUM(BB$4:BB250),BC251+SUM(BB$4:BB250)))</f>
        <v>-2.1316282072803006E-13</v>
      </c>
      <c r="AJ251" s="931">
        <f>IF(AND(AL251&gt;=$U$1,AL251&lt;=$U$2),IF(AM251='ESTRATTO CONTO'!$E$2,1+COUNTIF(AJ$4:AJ250,"&gt;0")+U$1015,0),0)</f>
        <v>0</v>
      </c>
      <c r="AK251" s="203">
        <f>IF(AND(OR((AK250+1)&lt;AL$1015,(AK250+1)=AL$1015),MAX(AK$4:AK250)&lt;AL$1015),AK250+1,0)</f>
        <v>0</v>
      </c>
      <c r="AL251" s="309">
        <f>VLOOKUP($AK251,ENTI!$AF$4:AG$1003,2,FALSE)</f>
        <v>0</v>
      </c>
      <c r="AM251" s="224">
        <f>VLOOKUP($AK251,ENTI!$AF$4:AH$1003,3,FALSE)</f>
        <v>0</v>
      </c>
      <c r="AN251" s="224">
        <f>VLOOKUP($AK251,ENTI!$AF$4:AI$1003,4,FALSE)</f>
        <v>0</v>
      </c>
      <c r="AO251" s="781">
        <f>VLOOKUP($AK251,ENTI!$AF$4:AJ$1003,5,FALSE)</f>
        <v>0</v>
      </c>
      <c r="AP251" s="315">
        <f>VLOOKUP($AK251,ENTI!$AF$4:AK$1003,6,FALSE)</f>
        <v>0</v>
      </c>
      <c r="AQ251" s="208">
        <f t="shared" si="58"/>
        <v>0</v>
      </c>
      <c r="AR251" s="152" t="e">
        <f t="shared" si="59"/>
        <v>#N/A</v>
      </c>
      <c r="AS251" s="1"/>
      <c r="AT251" s="88" t="str">
        <f t="shared" si="52"/>
        <v/>
      </c>
      <c r="AU251" s="1"/>
      <c r="AV251" s="175">
        <f>IF(AW251&gt;0,COUNTIF(AV$4:AV250,"&gt;0")+1,0)</f>
        <v>0</v>
      </c>
      <c r="AW251" s="164">
        <f t="shared" si="53"/>
        <v>0</v>
      </c>
      <c r="AX251" s="310">
        <f>IF($AW251=0,0,VLOOKUP(VLOOKUP($X251,$B$34:$T$38,19,FALSE),ENTI!$A$9:$B$13,2,FALSE))</f>
        <v>0</v>
      </c>
      <c r="AY251" s="310">
        <f t="shared" si="55"/>
        <v>0</v>
      </c>
      <c r="AZ251" s="316">
        <f t="shared" si="56"/>
        <v>0</v>
      </c>
      <c r="BA251" s="1"/>
      <c r="BB251" s="152">
        <f t="shared" si="57"/>
        <v>0</v>
      </c>
      <c r="BC251" s="152">
        <f ca="1">SUM(Z$4:Z251)+SUM(BB$4:BB251)+COSTI!S$6-COSTI!L$1076</f>
        <v>-31.760000000000218</v>
      </c>
      <c r="BD251" s="1"/>
    </row>
    <row r="252" spans="1:56" ht="16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435">
        <f>IF(AND(W252&gt;=$U$1,W252&lt;=$U$2),IF(X252='ESTRATTO CONTO'!$E$2,1+COUNTIF(U$4:U251,"&gt;0"),0),0)</f>
        <v>0</v>
      </c>
      <c r="V252" s="417">
        <f t="shared" si="54"/>
        <v>249</v>
      </c>
      <c r="W252" s="509"/>
      <c r="X252" s="321"/>
      <c r="Y252" s="321"/>
      <c r="Z252" s="508"/>
      <c r="AA252" s="356"/>
      <c r="AB252" s="306" t="str">
        <f t="shared" si="50"/>
        <v/>
      </c>
      <c r="AC252" s="637">
        <f t="shared" ca="1" si="60"/>
        <v>-2.1316282072803006E-13</v>
      </c>
      <c r="AD252" s="935">
        <f>IF(ISERROR(VLOOKUP(AD$2,X253:X$1003,1,FALSE)),IF(X252=AD$2,SUMIF(X$4:X252,AD$2,Z$4:Z252)+$E$9+SUM(AQ$4:AQ$1003)+SUMIF(COSTI!$X$1379:$X$1430,AD$2,COSTI!$Z$1379:$Z$1430),0),0)</f>
        <v>0</v>
      </c>
      <c r="AE252" s="26"/>
      <c r="AF252" s="856" t="e">
        <f>IF(ISERROR(VLOOKUP(AG$2,X253:X$1003,1,FALSE)),IF(X252=AG$2,SUMIF(X$4:X252,AG$2,Z$4:Z252)+VLOOKUP(AF$2,$B$1057:$F$1068,5,FALSE)+SUM(AR$4:AR$1003)+SUMIF(COSTI!$X$1379:$X$1430,AG$2,COSTI!$Z$1379:$Z$1430),0),0)</f>
        <v>#N/A</v>
      </c>
      <c r="AG252" s="859"/>
      <c r="AH252" s="27" t="str">
        <f t="shared" si="51"/>
        <v/>
      </c>
      <c r="AI252" s="152">
        <f ca="1">IF(W253&gt;0,0,IF(AH252=0,(Z252*-1)+BC252+SUM(BB$4:BB251),BC252+SUM(BB$4:BB251)))</f>
        <v>-2.1316282072803006E-13</v>
      </c>
      <c r="AJ252" s="931">
        <f>IF(AND(AL252&gt;=$U$1,AL252&lt;=$U$2),IF(AM252='ESTRATTO CONTO'!$E$2,1+COUNTIF(AJ$4:AJ251,"&gt;0")+U$1015,0),0)</f>
        <v>0</v>
      </c>
      <c r="AK252" s="203">
        <f>IF(AND(OR((AK251+1)&lt;AL$1015,(AK251+1)=AL$1015),MAX(AK$4:AK251)&lt;AL$1015),AK251+1,0)</f>
        <v>0</v>
      </c>
      <c r="AL252" s="309">
        <f>VLOOKUP($AK252,ENTI!$AF$4:AG$1003,2,FALSE)</f>
        <v>0</v>
      </c>
      <c r="AM252" s="224">
        <f>VLOOKUP($AK252,ENTI!$AF$4:AH$1003,3,FALSE)</f>
        <v>0</v>
      </c>
      <c r="AN252" s="224">
        <f>VLOOKUP($AK252,ENTI!$AF$4:AI$1003,4,FALSE)</f>
        <v>0</v>
      </c>
      <c r="AO252" s="781">
        <f>VLOOKUP($AK252,ENTI!$AF$4:AJ$1003,5,FALSE)</f>
        <v>0</v>
      </c>
      <c r="AP252" s="315">
        <f>VLOOKUP($AK252,ENTI!$AF$4:AK$1003,6,FALSE)</f>
        <v>0</v>
      </c>
      <c r="AQ252" s="208">
        <f t="shared" si="58"/>
        <v>0</v>
      </c>
      <c r="AR252" s="152" t="e">
        <f t="shared" si="59"/>
        <v>#N/A</v>
      </c>
      <c r="AS252" s="1"/>
      <c r="AT252" s="88" t="str">
        <f t="shared" si="52"/>
        <v/>
      </c>
      <c r="AU252" s="1"/>
      <c r="AV252" s="175">
        <f>IF(AW252&gt;0,COUNTIF(AV$4:AV251,"&gt;0")+1,0)</f>
        <v>0</v>
      </c>
      <c r="AW252" s="164">
        <f t="shared" si="53"/>
        <v>0</v>
      </c>
      <c r="AX252" s="310">
        <f>IF($AW252=0,0,VLOOKUP(VLOOKUP($X252,$B$34:$T$38,19,FALSE),ENTI!$A$9:$B$13,2,FALSE))</f>
        <v>0</v>
      </c>
      <c r="AY252" s="310">
        <f t="shared" si="55"/>
        <v>0</v>
      </c>
      <c r="AZ252" s="316">
        <f t="shared" si="56"/>
        <v>0</v>
      </c>
      <c r="BA252" s="1"/>
      <c r="BB252" s="152">
        <f t="shared" si="57"/>
        <v>0</v>
      </c>
      <c r="BC252" s="152">
        <f ca="1">SUM(Z$4:Z252)+SUM(BB$4:BB252)+COSTI!S$6-COSTI!L$1076</f>
        <v>-31.760000000000218</v>
      </c>
      <c r="BD252" s="1"/>
    </row>
    <row r="253" spans="1:56" ht="16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435">
        <f>IF(AND(W253&gt;=$U$1,W253&lt;=$U$2),IF(X253='ESTRATTO CONTO'!$E$2,1+COUNTIF(U$4:U252,"&gt;0"),0),0)</f>
        <v>0</v>
      </c>
      <c r="V253" s="417">
        <f t="shared" si="54"/>
        <v>250</v>
      </c>
      <c r="W253" s="509"/>
      <c r="X253" s="321"/>
      <c r="Y253" s="321"/>
      <c r="Z253" s="508"/>
      <c r="AA253" s="356"/>
      <c r="AB253" s="306" t="str">
        <f t="shared" si="50"/>
        <v/>
      </c>
      <c r="AC253" s="637">
        <f t="shared" ca="1" si="60"/>
        <v>-2.1316282072803006E-13</v>
      </c>
      <c r="AD253" s="935">
        <f>IF(ISERROR(VLOOKUP(AD$2,X254:X$1003,1,FALSE)),IF(X253=AD$2,SUMIF(X$4:X253,AD$2,Z$4:Z253)+$E$9+SUM(AQ$4:AQ$1003)+SUMIF(COSTI!$X$1379:$X$1430,AD$2,COSTI!$Z$1379:$Z$1430),0),0)</f>
        <v>0</v>
      </c>
      <c r="AE253" s="26"/>
      <c r="AF253" s="856" t="e">
        <f>IF(ISERROR(VLOOKUP(AG$2,X254:X$1003,1,FALSE)),IF(X253=AG$2,SUMIF(X$4:X253,AG$2,Z$4:Z253)+VLOOKUP(AF$2,$B$1057:$F$1068,5,FALSE)+SUM(AR$4:AR$1003)+SUMIF(COSTI!$X$1379:$X$1430,AG$2,COSTI!$Z$1379:$Z$1430),0),0)</f>
        <v>#N/A</v>
      </c>
      <c r="AG253" s="859"/>
      <c r="AH253" s="27" t="str">
        <f t="shared" si="51"/>
        <v/>
      </c>
      <c r="AI253" s="152">
        <f ca="1">IF(W254&gt;0,0,IF(AH253=0,(Z253*-1)+BC253+SUM(BB$4:BB252),BC253+SUM(BB$4:BB252)))</f>
        <v>-2.1316282072803006E-13</v>
      </c>
      <c r="AJ253" s="931">
        <f>IF(AND(AL253&gt;=$U$1,AL253&lt;=$U$2),IF(AM253='ESTRATTO CONTO'!$E$2,1+COUNTIF(AJ$4:AJ252,"&gt;0")+U$1015,0),0)</f>
        <v>0</v>
      </c>
      <c r="AK253" s="203">
        <f>IF(AND(OR((AK252+1)&lt;AL$1015,(AK252+1)=AL$1015),MAX(AK$4:AK252)&lt;AL$1015),AK252+1,0)</f>
        <v>0</v>
      </c>
      <c r="AL253" s="309">
        <f>VLOOKUP($AK253,ENTI!$AF$4:AG$1003,2,FALSE)</f>
        <v>0</v>
      </c>
      <c r="AM253" s="224">
        <f>VLOOKUP($AK253,ENTI!$AF$4:AH$1003,3,FALSE)</f>
        <v>0</v>
      </c>
      <c r="AN253" s="224">
        <f>VLOOKUP($AK253,ENTI!$AF$4:AI$1003,4,FALSE)</f>
        <v>0</v>
      </c>
      <c r="AO253" s="781">
        <f>VLOOKUP($AK253,ENTI!$AF$4:AJ$1003,5,FALSE)</f>
        <v>0</v>
      </c>
      <c r="AP253" s="315">
        <f>VLOOKUP($AK253,ENTI!$AF$4:AK$1003,6,FALSE)</f>
        <v>0</v>
      </c>
      <c r="AQ253" s="208">
        <f t="shared" si="58"/>
        <v>0</v>
      </c>
      <c r="AR253" s="152" t="e">
        <f t="shared" si="59"/>
        <v>#N/A</v>
      </c>
      <c r="AS253" s="1"/>
      <c r="AT253" s="88" t="str">
        <f t="shared" si="52"/>
        <v/>
      </c>
      <c r="AU253" s="1"/>
      <c r="AV253" s="175">
        <f>IF(AW253&gt;0,COUNTIF(AV$4:AV252,"&gt;0")+1,0)</f>
        <v>0</v>
      </c>
      <c r="AW253" s="164">
        <f t="shared" si="53"/>
        <v>0</v>
      </c>
      <c r="AX253" s="310">
        <f>IF($AW253=0,0,VLOOKUP(VLOOKUP($X253,$B$34:$T$38,19,FALSE),ENTI!$A$9:$B$13,2,FALSE))</f>
        <v>0</v>
      </c>
      <c r="AY253" s="310">
        <f t="shared" si="55"/>
        <v>0</v>
      </c>
      <c r="AZ253" s="316">
        <f t="shared" si="56"/>
        <v>0</v>
      </c>
      <c r="BA253" s="1"/>
      <c r="BB253" s="152">
        <f t="shared" si="57"/>
        <v>0</v>
      </c>
      <c r="BC253" s="152">
        <f ca="1">SUM(Z$4:Z253)+SUM(BB$4:BB253)+COSTI!S$6-COSTI!L$1076</f>
        <v>-31.760000000000218</v>
      </c>
      <c r="BD253" s="1"/>
    </row>
    <row r="254" spans="1:56" ht="16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435">
        <f>IF(AND(W254&gt;=$U$1,W254&lt;=$U$2),IF(X254='ESTRATTO CONTO'!$E$2,1+COUNTIF(U$4:U253,"&gt;0"),0),0)</f>
        <v>0</v>
      </c>
      <c r="V254" s="417">
        <f t="shared" si="54"/>
        <v>251</v>
      </c>
      <c r="W254" s="509"/>
      <c r="X254" s="321"/>
      <c r="Y254" s="321"/>
      <c r="Z254" s="508"/>
      <c r="AA254" s="356"/>
      <c r="AB254" s="306" t="str">
        <f t="shared" si="50"/>
        <v/>
      </c>
      <c r="AC254" s="637">
        <f t="shared" ca="1" si="60"/>
        <v>-2.1316282072803006E-13</v>
      </c>
      <c r="AD254" s="935">
        <f>IF(ISERROR(VLOOKUP(AD$2,X255:X$1003,1,FALSE)),IF(X254=AD$2,SUMIF(X$4:X254,AD$2,Z$4:Z254)+$E$9+SUM(AQ$4:AQ$1003)+SUMIF(COSTI!$X$1379:$X$1430,AD$2,COSTI!$Z$1379:$Z$1430),0),0)</f>
        <v>0</v>
      </c>
      <c r="AE254" s="26"/>
      <c r="AF254" s="856" t="e">
        <f>IF(ISERROR(VLOOKUP(AG$2,X255:X$1003,1,FALSE)),IF(X254=AG$2,SUMIF(X$4:X254,AG$2,Z$4:Z254)+VLOOKUP(AF$2,$B$1057:$F$1068,5,FALSE)+SUM(AR$4:AR$1003)+SUMIF(COSTI!$X$1379:$X$1430,AG$2,COSTI!$Z$1379:$Z$1430),0),0)</f>
        <v>#N/A</v>
      </c>
      <c r="AG254" s="859"/>
      <c r="AH254" s="27" t="str">
        <f t="shared" si="51"/>
        <v/>
      </c>
      <c r="AI254" s="152">
        <f ca="1">IF(W255&gt;0,0,IF(AH254=0,(Z254*-1)+BC254+SUM(BB$4:BB253),BC254+SUM(BB$4:BB253)))</f>
        <v>-2.1316282072803006E-13</v>
      </c>
      <c r="AJ254" s="931">
        <f>IF(AND(AL254&gt;=$U$1,AL254&lt;=$U$2),IF(AM254='ESTRATTO CONTO'!$E$2,1+COUNTIF(AJ$4:AJ253,"&gt;0")+U$1015,0),0)</f>
        <v>0</v>
      </c>
      <c r="AK254" s="203">
        <f>IF(AND(OR((AK253+1)&lt;AL$1015,(AK253+1)=AL$1015),MAX(AK$4:AK253)&lt;AL$1015),AK253+1,0)</f>
        <v>0</v>
      </c>
      <c r="AL254" s="309">
        <f>VLOOKUP($AK254,ENTI!$AF$4:AG$1003,2,FALSE)</f>
        <v>0</v>
      </c>
      <c r="AM254" s="224">
        <f>VLOOKUP($AK254,ENTI!$AF$4:AH$1003,3,FALSE)</f>
        <v>0</v>
      </c>
      <c r="AN254" s="224">
        <f>VLOOKUP($AK254,ENTI!$AF$4:AI$1003,4,FALSE)</f>
        <v>0</v>
      </c>
      <c r="AO254" s="781">
        <f>VLOOKUP($AK254,ENTI!$AF$4:AJ$1003,5,FALSE)</f>
        <v>0</v>
      </c>
      <c r="AP254" s="315">
        <f>VLOOKUP($AK254,ENTI!$AF$4:AK$1003,6,FALSE)</f>
        <v>0</v>
      </c>
      <c r="AQ254" s="208">
        <f t="shared" si="58"/>
        <v>0</v>
      </c>
      <c r="AR254" s="152" t="e">
        <f t="shared" si="59"/>
        <v>#N/A</v>
      </c>
      <c r="AS254" s="1"/>
      <c r="AT254" s="88" t="str">
        <f t="shared" si="52"/>
        <v/>
      </c>
      <c r="AU254" s="1"/>
      <c r="AV254" s="175">
        <f>IF(AW254&gt;0,COUNTIF(AV$4:AV253,"&gt;0")+1,0)</f>
        <v>0</v>
      </c>
      <c r="AW254" s="164">
        <f t="shared" si="53"/>
        <v>0</v>
      </c>
      <c r="AX254" s="310">
        <f>IF($AW254=0,0,VLOOKUP(VLOOKUP($X254,$B$34:$T$38,19,FALSE),ENTI!$A$9:$B$13,2,FALSE))</f>
        <v>0</v>
      </c>
      <c r="AY254" s="310">
        <f t="shared" si="55"/>
        <v>0</v>
      </c>
      <c r="AZ254" s="316">
        <f t="shared" si="56"/>
        <v>0</v>
      </c>
      <c r="BA254" s="1"/>
      <c r="BB254" s="152">
        <f t="shared" si="57"/>
        <v>0</v>
      </c>
      <c r="BC254" s="152">
        <f ca="1">SUM(Z$4:Z254)+SUM(BB$4:BB254)+COSTI!S$6-COSTI!L$1076</f>
        <v>-31.760000000000218</v>
      </c>
      <c r="BD254" s="1"/>
    </row>
    <row r="255" spans="1:56" ht="16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435">
        <f>IF(AND(W255&gt;=$U$1,W255&lt;=$U$2),IF(X255='ESTRATTO CONTO'!$E$2,1+COUNTIF(U$4:U254,"&gt;0"),0),0)</f>
        <v>0</v>
      </c>
      <c r="V255" s="417">
        <f t="shared" si="54"/>
        <v>252</v>
      </c>
      <c r="W255" s="509"/>
      <c r="X255" s="321"/>
      <c r="Y255" s="321"/>
      <c r="Z255" s="508"/>
      <c r="AA255" s="356"/>
      <c r="AB255" s="306" t="str">
        <f t="shared" si="50"/>
        <v/>
      </c>
      <c r="AC255" s="637">
        <f t="shared" ca="1" si="60"/>
        <v>-2.1316282072803006E-13</v>
      </c>
      <c r="AD255" s="935">
        <f>IF(ISERROR(VLOOKUP(AD$2,X256:X$1003,1,FALSE)),IF(X255=AD$2,SUMIF(X$4:X255,AD$2,Z$4:Z255)+$E$9+SUM(AQ$4:AQ$1003)+SUMIF(COSTI!$X$1379:$X$1430,AD$2,COSTI!$Z$1379:$Z$1430),0),0)</f>
        <v>0</v>
      </c>
      <c r="AE255" s="26"/>
      <c r="AF255" s="856" t="e">
        <f>IF(ISERROR(VLOOKUP(AG$2,X256:X$1003,1,FALSE)),IF(X255=AG$2,SUMIF(X$4:X255,AG$2,Z$4:Z255)+VLOOKUP(AF$2,$B$1057:$F$1068,5,FALSE)+SUM(AR$4:AR$1003)+SUMIF(COSTI!$X$1379:$X$1430,AG$2,COSTI!$Z$1379:$Z$1430),0),0)</f>
        <v>#N/A</v>
      </c>
      <c r="AG255" s="859"/>
      <c r="AH255" s="27" t="str">
        <f t="shared" si="51"/>
        <v/>
      </c>
      <c r="AI255" s="152">
        <f ca="1">IF(W256&gt;0,0,IF(AH255=0,(Z255*-1)+BC255+SUM(BB$4:BB254),BC255+SUM(BB$4:BB254)))</f>
        <v>-2.1316282072803006E-13</v>
      </c>
      <c r="AJ255" s="931">
        <f>IF(AND(AL255&gt;=$U$1,AL255&lt;=$U$2),IF(AM255='ESTRATTO CONTO'!$E$2,1+COUNTIF(AJ$4:AJ254,"&gt;0")+U$1015,0),0)</f>
        <v>0</v>
      </c>
      <c r="AK255" s="203">
        <f>IF(AND(OR((AK254+1)&lt;AL$1015,(AK254+1)=AL$1015),MAX(AK$4:AK254)&lt;AL$1015),AK254+1,0)</f>
        <v>0</v>
      </c>
      <c r="AL255" s="309">
        <f>VLOOKUP($AK255,ENTI!$AF$4:AG$1003,2,FALSE)</f>
        <v>0</v>
      </c>
      <c r="AM255" s="224">
        <f>VLOOKUP($AK255,ENTI!$AF$4:AH$1003,3,FALSE)</f>
        <v>0</v>
      </c>
      <c r="AN255" s="224">
        <f>VLOOKUP($AK255,ENTI!$AF$4:AI$1003,4,FALSE)</f>
        <v>0</v>
      </c>
      <c r="AO255" s="781">
        <f>VLOOKUP($AK255,ENTI!$AF$4:AJ$1003,5,FALSE)</f>
        <v>0</v>
      </c>
      <c r="AP255" s="315">
        <f>VLOOKUP($AK255,ENTI!$AF$4:AK$1003,6,FALSE)</f>
        <v>0</v>
      </c>
      <c r="AQ255" s="208">
        <f t="shared" si="58"/>
        <v>0</v>
      </c>
      <c r="AR255" s="152" t="e">
        <f t="shared" si="59"/>
        <v>#N/A</v>
      </c>
      <c r="AS255" s="1"/>
      <c r="AT255" s="88" t="str">
        <f t="shared" si="52"/>
        <v/>
      </c>
      <c r="AU255" s="1"/>
      <c r="AV255" s="175">
        <f>IF(AW255&gt;0,COUNTIF(AV$4:AV254,"&gt;0")+1,0)</f>
        <v>0</v>
      </c>
      <c r="AW255" s="164">
        <f t="shared" si="53"/>
        <v>0</v>
      </c>
      <c r="AX255" s="310">
        <f>IF($AW255=0,0,VLOOKUP(VLOOKUP($X255,$B$34:$T$38,19,FALSE),ENTI!$A$9:$B$13,2,FALSE))</f>
        <v>0</v>
      </c>
      <c r="AY255" s="310">
        <f t="shared" si="55"/>
        <v>0</v>
      </c>
      <c r="AZ255" s="316">
        <f t="shared" si="56"/>
        <v>0</v>
      </c>
      <c r="BA255" s="1"/>
      <c r="BB255" s="152">
        <f t="shared" si="57"/>
        <v>0</v>
      </c>
      <c r="BC255" s="152">
        <f ca="1">SUM(Z$4:Z255)+SUM(BB$4:BB255)+COSTI!S$6-COSTI!L$1076</f>
        <v>-31.760000000000218</v>
      </c>
      <c r="BD255" s="1"/>
    </row>
    <row r="256" spans="1:56" ht="16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435">
        <f>IF(AND(W256&gt;=$U$1,W256&lt;=$U$2),IF(X256='ESTRATTO CONTO'!$E$2,1+COUNTIF(U$4:U255,"&gt;0"),0),0)</f>
        <v>0</v>
      </c>
      <c r="V256" s="417">
        <f t="shared" si="54"/>
        <v>253</v>
      </c>
      <c r="W256" s="509"/>
      <c r="X256" s="321"/>
      <c r="Y256" s="321"/>
      <c r="Z256" s="508"/>
      <c r="AA256" s="356"/>
      <c r="AB256" s="306" t="str">
        <f t="shared" si="50"/>
        <v/>
      </c>
      <c r="AC256" s="637">
        <f t="shared" ca="1" si="60"/>
        <v>-2.1316282072803006E-13</v>
      </c>
      <c r="AD256" s="935">
        <f>IF(ISERROR(VLOOKUP(AD$2,X257:X$1003,1,FALSE)),IF(X256=AD$2,SUMIF(X$4:X256,AD$2,Z$4:Z256)+$E$9+SUM(AQ$4:AQ$1003)+SUMIF(COSTI!$X$1379:$X$1430,AD$2,COSTI!$Z$1379:$Z$1430),0),0)</f>
        <v>0</v>
      </c>
      <c r="AE256" s="26"/>
      <c r="AF256" s="856" t="e">
        <f>IF(ISERROR(VLOOKUP(AG$2,X257:X$1003,1,FALSE)),IF(X256=AG$2,SUMIF(X$4:X256,AG$2,Z$4:Z256)+VLOOKUP(AF$2,$B$1057:$F$1068,5,FALSE)+SUM(AR$4:AR$1003)+SUMIF(COSTI!$X$1379:$X$1430,AG$2,COSTI!$Z$1379:$Z$1430),0),0)</f>
        <v>#N/A</v>
      </c>
      <c r="AG256" s="859"/>
      <c r="AH256" s="27" t="str">
        <f t="shared" si="51"/>
        <v/>
      </c>
      <c r="AI256" s="152">
        <f ca="1">IF(W257&gt;0,0,IF(AH256=0,(Z256*-1)+BC256+SUM(BB$4:BB255),BC256+SUM(BB$4:BB255)))</f>
        <v>-2.1316282072803006E-13</v>
      </c>
      <c r="AJ256" s="931">
        <f>IF(AND(AL256&gt;=$U$1,AL256&lt;=$U$2),IF(AM256='ESTRATTO CONTO'!$E$2,1+COUNTIF(AJ$4:AJ255,"&gt;0")+U$1015,0),0)</f>
        <v>0</v>
      </c>
      <c r="AK256" s="203">
        <f>IF(AND(OR((AK255+1)&lt;AL$1015,(AK255+1)=AL$1015),MAX(AK$4:AK255)&lt;AL$1015),AK255+1,0)</f>
        <v>0</v>
      </c>
      <c r="AL256" s="309">
        <f>VLOOKUP($AK256,ENTI!$AF$4:AG$1003,2,FALSE)</f>
        <v>0</v>
      </c>
      <c r="AM256" s="224">
        <f>VLOOKUP($AK256,ENTI!$AF$4:AH$1003,3,FALSE)</f>
        <v>0</v>
      </c>
      <c r="AN256" s="224">
        <f>VLOOKUP($AK256,ENTI!$AF$4:AI$1003,4,FALSE)</f>
        <v>0</v>
      </c>
      <c r="AO256" s="781">
        <f>VLOOKUP($AK256,ENTI!$AF$4:AJ$1003,5,FALSE)</f>
        <v>0</v>
      </c>
      <c r="AP256" s="315">
        <f>VLOOKUP($AK256,ENTI!$AF$4:AK$1003,6,FALSE)</f>
        <v>0</v>
      </c>
      <c r="AQ256" s="208">
        <f t="shared" si="58"/>
        <v>0</v>
      </c>
      <c r="AR256" s="152" t="e">
        <f t="shared" si="59"/>
        <v>#N/A</v>
      </c>
      <c r="AS256" s="1"/>
      <c r="AT256" s="88" t="str">
        <f t="shared" si="52"/>
        <v/>
      </c>
      <c r="AU256" s="1"/>
      <c r="AV256" s="175">
        <f>IF(AW256&gt;0,COUNTIF(AV$4:AV255,"&gt;0")+1,0)</f>
        <v>0</v>
      </c>
      <c r="AW256" s="164">
        <f t="shared" si="53"/>
        <v>0</v>
      </c>
      <c r="AX256" s="310">
        <f>IF($AW256=0,0,VLOOKUP(VLOOKUP($X256,$B$34:$T$38,19,FALSE),ENTI!$A$9:$B$13,2,FALSE))</f>
        <v>0</v>
      </c>
      <c r="AY256" s="310">
        <f t="shared" si="55"/>
        <v>0</v>
      </c>
      <c r="AZ256" s="316">
        <f t="shared" si="56"/>
        <v>0</v>
      </c>
      <c r="BA256" s="1"/>
      <c r="BB256" s="152">
        <f t="shared" si="57"/>
        <v>0</v>
      </c>
      <c r="BC256" s="152">
        <f ca="1">SUM(Z$4:Z256)+SUM(BB$4:BB256)+COSTI!S$6-COSTI!L$1076</f>
        <v>-31.760000000000218</v>
      </c>
      <c r="BD256" s="1"/>
    </row>
    <row r="257" spans="1:56" ht="16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435">
        <f>IF(AND(W257&gt;=$U$1,W257&lt;=$U$2),IF(X257='ESTRATTO CONTO'!$E$2,1+COUNTIF(U$4:U256,"&gt;0"),0),0)</f>
        <v>0</v>
      </c>
      <c r="V257" s="417">
        <f t="shared" si="54"/>
        <v>254</v>
      </c>
      <c r="W257" s="509"/>
      <c r="X257" s="321"/>
      <c r="Y257" s="321"/>
      <c r="Z257" s="508"/>
      <c r="AA257" s="356"/>
      <c r="AB257" s="306" t="str">
        <f t="shared" si="50"/>
        <v/>
      </c>
      <c r="AC257" s="637">
        <f t="shared" ca="1" si="60"/>
        <v>-2.1316282072803006E-13</v>
      </c>
      <c r="AD257" s="935">
        <f>IF(ISERROR(VLOOKUP(AD$2,X258:X$1003,1,FALSE)),IF(X257=AD$2,SUMIF(X$4:X257,AD$2,Z$4:Z257)+$E$9+SUM(AQ$4:AQ$1003)+SUMIF(COSTI!$X$1379:$X$1430,AD$2,COSTI!$Z$1379:$Z$1430),0),0)</f>
        <v>0</v>
      </c>
      <c r="AE257" s="26"/>
      <c r="AF257" s="856" t="e">
        <f>IF(ISERROR(VLOOKUP(AG$2,X258:X$1003,1,FALSE)),IF(X257=AG$2,SUMIF(X$4:X257,AG$2,Z$4:Z257)+VLOOKUP(AF$2,$B$1057:$F$1068,5,FALSE)+SUM(AR$4:AR$1003)+SUMIF(COSTI!$X$1379:$X$1430,AG$2,COSTI!$Z$1379:$Z$1430),0),0)</f>
        <v>#N/A</v>
      </c>
      <c r="AG257" s="859"/>
      <c r="AH257" s="27" t="str">
        <f t="shared" si="51"/>
        <v/>
      </c>
      <c r="AI257" s="152">
        <f ca="1">IF(W258&gt;0,0,IF(AH257=0,(Z257*-1)+BC257+SUM(BB$4:BB256),BC257+SUM(BB$4:BB256)))</f>
        <v>-2.1316282072803006E-13</v>
      </c>
      <c r="AJ257" s="931">
        <f>IF(AND(AL257&gt;=$U$1,AL257&lt;=$U$2),IF(AM257='ESTRATTO CONTO'!$E$2,1+COUNTIF(AJ$4:AJ256,"&gt;0")+U$1015,0),0)</f>
        <v>0</v>
      </c>
      <c r="AK257" s="203">
        <f>IF(AND(OR((AK256+1)&lt;AL$1015,(AK256+1)=AL$1015),MAX(AK$4:AK256)&lt;AL$1015),AK256+1,0)</f>
        <v>0</v>
      </c>
      <c r="AL257" s="309">
        <f>VLOOKUP($AK257,ENTI!$AF$4:AG$1003,2,FALSE)</f>
        <v>0</v>
      </c>
      <c r="AM257" s="224">
        <f>VLOOKUP($AK257,ENTI!$AF$4:AH$1003,3,FALSE)</f>
        <v>0</v>
      </c>
      <c r="AN257" s="224">
        <f>VLOOKUP($AK257,ENTI!$AF$4:AI$1003,4,FALSE)</f>
        <v>0</v>
      </c>
      <c r="AO257" s="781">
        <f>VLOOKUP($AK257,ENTI!$AF$4:AJ$1003,5,FALSE)</f>
        <v>0</v>
      </c>
      <c r="AP257" s="315">
        <f>VLOOKUP($AK257,ENTI!$AF$4:AK$1003,6,FALSE)</f>
        <v>0</v>
      </c>
      <c r="AQ257" s="208">
        <f t="shared" si="58"/>
        <v>0</v>
      </c>
      <c r="AR257" s="152" t="e">
        <f t="shared" si="59"/>
        <v>#N/A</v>
      </c>
      <c r="AS257" s="1"/>
      <c r="AT257" s="88" t="str">
        <f t="shared" si="52"/>
        <v/>
      </c>
      <c r="AU257" s="1"/>
      <c r="AV257" s="175">
        <f>IF(AW257&gt;0,COUNTIF(AV$4:AV256,"&gt;0")+1,0)</f>
        <v>0</v>
      </c>
      <c r="AW257" s="164">
        <f t="shared" si="53"/>
        <v>0</v>
      </c>
      <c r="AX257" s="310">
        <f>IF($AW257=0,0,VLOOKUP(VLOOKUP($X257,$B$34:$T$38,19,FALSE),ENTI!$A$9:$B$13,2,FALSE))</f>
        <v>0</v>
      </c>
      <c r="AY257" s="310">
        <f t="shared" si="55"/>
        <v>0</v>
      </c>
      <c r="AZ257" s="316">
        <f t="shared" si="56"/>
        <v>0</v>
      </c>
      <c r="BA257" s="1"/>
      <c r="BB257" s="152">
        <f t="shared" si="57"/>
        <v>0</v>
      </c>
      <c r="BC257" s="152">
        <f ca="1">SUM(Z$4:Z257)+SUM(BB$4:BB257)+COSTI!S$6-COSTI!L$1076</f>
        <v>-31.760000000000218</v>
      </c>
      <c r="BD257" s="1"/>
    </row>
    <row r="258" spans="1:56" ht="16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435">
        <f>IF(AND(W258&gt;=$U$1,W258&lt;=$U$2),IF(X258='ESTRATTO CONTO'!$E$2,1+COUNTIF(U$4:U257,"&gt;0"),0),0)</f>
        <v>0</v>
      </c>
      <c r="V258" s="417">
        <f t="shared" si="54"/>
        <v>255</v>
      </c>
      <c r="W258" s="509"/>
      <c r="X258" s="321"/>
      <c r="Y258" s="321"/>
      <c r="Z258" s="508"/>
      <c r="AA258" s="356"/>
      <c r="AB258" s="306" t="str">
        <f t="shared" si="50"/>
        <v/>
      </c>
      <c r="AC258" s="637">
        <f t="shared" ca="1" si="60"/>
        <v>-2.1316282072803006E-13</v>
      </c>
      <c r="AD258" s="935">
        <f>IF(ISERROR(VLOOKUP(AD$2,X259:X$1003,1,FALSE)),IF(X258=AD$2,SUMIF(X$4:X258,AD$2,Z$4:Z258)+$E$9+SUM(AQ$4:AQ$1003)+SUMIF(COSTI!$X$1379:$X$1430,AD$2,COSTI!$Z$1379:$Z$1430),0),0)</f>
        <v>0</v>
      </c>
      <c r="AE258" s="26"/>
      <c r="AF258" s="856" t="e">
        <f>IF(ISERROR(VLOOKUP(AG$2,X259:X$1003,1,FALSE)),IF(X258=AG$2,SUMIF(X$4:X258,AG$2,Z$4:Z258)+VLOOKUP(AF$2,$B$1057:$F$1068,5,FALSE)+SUM(AR$4:AR$1003)+SUMIF(COSTI!$X$1379:$X$1430,AG$2,COSTI!$Z$1379:$Z$1430),0),0)</f>
        <v>#N/A</v>
      </c>
      <c r="AG258" s="859"/>
      <c r="AH258" s="27" t="str">
        <f t="shared" si="51"/>
        <v/>
      </c>
      <c r="AI258" s="152">
        <f ca="1">IF(W259&gt;0,0,IF(AH258=0,(Z258*-1)+BC258+SUM(BB$4:BB257),BC258+SUM(BB$4:BB257)))</f>
        <v>-2.1316282072803006E-13</v>
      </c>
      <c r="AJ258" s="931">
        <f>IF(AND(AL258&gt;=$U$1,AL258&lt;=$U$2),IF(AM258='ESTRATTO CONTO'!$E$2,1+COUNTIF(AJ$4:AJ257,"&gt;0")+U$1015,0),0)</f>
        <v>0</v>
      </c>
      <c r="AK258" s="203">
        <f>IF(AND(OR((AK257+1)&lt;AL$1015,(AK257+1)=AL$1015),MAX(AK$4:AK257)&lt;AL$1015),AK257+1,0)</f>
        <v>0</v>
      </c>
      <c r="AL258" s="309">
        <f>VLOOKUP($AK258,ENTI!$AF$4:AG$1003,2,FALSE)</f>
        <v>0</v>
      </c>
      <c r="AM258" s="224">
        <f>VLOOKUP($AK258,ENTI!$AF$4:AH$1003,3,FALSE)</f>
        <v>0</v>
      </c>
      <c r="AN258" s="224">
        <f>VLOOKUP($AK258,ENTI!$AF$4:AI$1003,4,FALSE)</f>
        <v>0</v>
      </c>
      <c r="AO258" s="781">
        <f>VLOOKUP($AK258,ENTI!$AF$4:AJ$1003,5,FALSE)</f>
        <v>0</v>
      </c>
      <c r="AP258" s="315">
        <f>VLOOKUP($AK258,ENTI!$AF$4:AK$1003,6,FALSE)</f>
        <v>0</v>
      </c>
      <c r="AQ258" s="208">
        <f t="shared" si="58"/>
        <v>0</v>
      </c>
      <c r="AR258" s="152" t="e">
        <f t="shared" si="59"/>
        <v>#N/A</v>
      </c>
      <c r="AS258" s="1"/>
      <c r="AT258" s="88" t="str">
        <f t="shared" si="52"/>
        <v/>
      </c>
      <c r="AU258" s="1"/>
      <c r="AV258" s="175">
        <f>IF(AW258&gt;0,COUNTIF(AV$4:AV257,"&gt;0")+1,0)</f>
        <v>0</v>
      </c>
      <c r="AW258" s="164">
        <f t="shared" si="53"/>
        <v>0</v>
      </c>
      <c r="AX258" s="310">
        <f>IF($AW258=0,0,VLOOKUP(VLOOKUP($X258,$B$34:$T$38,19,FALSE),ENTI!$A$9:$B$13,2,FALSE))</f>
        <v>0</v>
      </c>
      <c r="AY258" s="310">
        <f t="shared" si="55"/>
        <v>0</v>
      </c>
      <c r="AZ258" s="316">
        <f t="shared" si="56"/>
        <v>0</v>
      </c>
      <c r="BA258" s="1"/>
      <c r="BB258" s="152">
        <f t="shared" si="57"/>
        <v>0</v>
      </c>
      <c r="BC258" s="152">
        <f ca="1">SUM(Z$4:Z258)+SUM(BB$4:BB258)+COSTI!S$6-COSTI!L$1076</f>
        <v>-31.760000000000218</v>
      </c>
      <c r="BD258" s="1"/>
    </row>
    <row r="259" spans="1:56" ht="16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435">
        <f>IF(AND(W259&gt;=$U$1,W259&lt;=$U$2),IF(X259='ESTRATTO CONTO'!$E$2,1+COUNTIF(U$4:U258,"&gt;0"),0),0)</f>
        <v>0</v>
      </c>
      <c r="V259" s="417">
        <f t="shared" si="54"/>
        <v>256</v>
      </c>
      <c r="W259" s="509"/>
      <c r="X259" s="321"/>
      <c r="Y259" s="321"/>
      <c r="Z259" s="508"/>
      <c r="AA259" s="356"/>
      <c r="AB259" s="306" t="str">
        <f t="shared" si="50"/>
        <v/>
      </c>
      <c r="AC259" s="637">
        <f t="shared" ca="1" si="60"/>
        <v>-2.1316282072803006E-13</v>
      </c>
      <c r="AD259" s="935">
        <f>IF(ISERROR(VLOOKUP(AD$2,X260:X$1003,1,FALSE)),IF(X259=AD$2,SUMIF(X$4:X259,AD$2,Z$4:Z259)+$E$9+SUM(AQ$4:AQ$1003)+SUMIF(COSTI!$X$1379:$X$1430,AD$2,COSTI!$Z$1379:$Z$1430),0),0)</f>
        <v>0</v>
      </c>
      <c r="AE259" s="26"/>
      <c r="AF259" s="856" t="e">
        <f>IF(ISERROR(VLOOKUP(AG$2,X260:X$1003,1,FALSE)),IF(X259=AG$2,SUMIF(X$4:X259,AG$2,Z$4:Z259)+VLOOKUP(AF$2,$B$1057:$F$1068,5,FALSE)+SUM(AR$4:AR$1003)+SUMIF(COSTI!$X$1379:$X$1430,AG$2,COSTI!$Z$1379:$Z$1430),0),0)</f>
        <v>#N/A</v>
      </c>
      <c r="AG259" s="859"/>
      <c r="AH259" s="27" t="str">
        <f t="shared" si="51"/>
        <v/>
      </c>
      <c r="AI259" s="152">
        <f ca="1">IF(W260&gt;0,0,IF(AH259=0,(Z259*-1)+BC259+SUM(BB$4:BB258),BC259+SUM(BB$4:BB258)))</f>
        <v>-2.1316282072803006E-13</v>
      </c>
      <c r="AJ259" s="931">
        <f>IF(AND(AL259&gt;=$U$1,AL259&lt;=$U$2),IF(AM259='ESTRATTO CONTO'!$E$2,1+COUNTIF(AJ$4:AJ258,"&gt;0")+U$1015,0),0)</f>
        <v>0</v>
      </c>
      <c r="AK259" s="203">
        <f>IF(AND(OR((AK258+1)&lt;AL$1015,(AK258+1)=AL$1015),MAX(AK$4:AK258)&lt;AL$1015),AK258+1,0)</f>
        <v>0</v>
      </c>
      <c r="AL259" s="309">
        <f>VLOOKUP($AK259,ENTI!$AF$4:AG$1003,2,FALSE)</f>
        <v>0</v>
      </c>
      <c r="AM259" s="224">
        <f>VLOOKUP($AK259,ENTI!$AF$4:AH$1003,3,FALSE)</f>
        <v>0</v>
      </c>
      <c r="AN259" s="224">
        <f>VLOOKUP($AK259,ENTI!$AF$4:AI$1003,4,FALSE)</f>
        <v>0</v>
      </c>
      <c r="AO259" s="781">
        <f>VLOOKUP($AK259,ENTI!$AF$4:AJ$1003,5,FALSE)</f>
        <v>0</v>
      </c>
      <c r="AP259" s="315">
        <f>VLOOKUP($AK259,ENTI!$AF$4:AK$1003,6,FALSE)</f>
        <v>0</v>
      </c>
      <c r="AQ259" s="208">
        <f t="shared" si="58"/>
        <v>0</v>
      </c>
      <c r="AR259" s="152" t="e">
        <f t="shared" si="59"/>
        <v>#N/A</v>
      </c>
      <c r="AS259" s="1"/>
      <c r="AT259" s="88" t="str">
        <f t="shared" si="52"/>
        <v/>
      </c>
      <c r="AU259" s="1"/>
      <c r="AV259" s="175">
        <f>IF(AW259&gt;0,COUNTIF(AV$4:AV258,"&gt;0")+1,0)</f>
        <v>0</v>
      </c>
      <c r="AW259" s="164">
        <f t="shared" si="53"/>
        <v>0</v>
      </c>
      <c r="AX259" s="310">
        <f>IF($AW259=0,0,VLOOKUP(VLOOKUP($X259,$B$34:$T$38,19,FALSE),ENTI!$A$9:$B$13,2,FALSE))</f>
        <v>0</v>
      </c>
      <c r="AY259" s="310">
        <f t="shared" si="55"/>
        <v>0</v>
      </c>
      <c r="AZ259" s="316">
        <f t="shared" si="56"/>
        <v>0</v>
      </c>
      <c r="BA259" s="1"/>
      <c r="BB259" s="152">
        <f t="shared" si="57"/>
        <v>0</v>
      </c>
      <c r="BC259" s="152">
        <f ca="1">SUM(Z$4:Z259)+SUM(BB$4:BB259)+COSTI!S$6-COSTI!L$1076</f>
        <v>-31.760000000000218</v>
      </c>
      <c r="BD259" s="1"/>
    </row>
    <row r="260" spans="1:56" ht="16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435">
        <f>IF(AND(W260&gt;=$U$1,W260&lt;=$U$2),IF(X260='ESTRATTO CONTO'!$E$2,1+COUNTIF(U$4:U259,"&gt;0"),0),0)</f>
        <v>0</v>
      </c>
      <c r="V260" s="417">
        <f t="shared" si="54"/>
        <v>257</v>
      </c>
      <c r="W260" s="509"/>
      <c r="X260" s="321"/>
      <c r="Y260" s="321"/>
      <c r="Z260" s="508"/>
      <c r="AA260" s="356"/>
      <c r="AB260" s="306" t="str">
        <f t="shared" ref="AB260:AB323" si="61">IF(W260&gt;0,IF(AND(W260&gt;=W$1012,W260&lt;=W$1013),CONCATENATE(MONTH(W260)&amp;X260),0),"")</f>
        <v/>
      </c>
      <c r="AC260" s="637">
        <f t="shared" ca="1" si="60"/>
        <v>-2.1316282072803006E-13</v>
      </c>
      <c r="AD260" s="935">
        <f>IF(ISERROR(VLOOKUP(AD$2,X261:X$1003,1,FALSE)),IF(X260=AD$2,SUMIF(X$4:X260,AD$2,Z$4:Z260)+$E$9+SUM(AQ$4:AQ$1003)+SUMIF(COSTI!$X$1379:$X$1430,AD$2,COSTI!$Z$1379:$Z$1430),0),0)</f>
        <v>0</v>
      </c>
      <c r="AE260" s="26"/>
      <c r="AF260" s="856" t="e">
        <f>IF(ISERROR(VLOOKUP(AG$2,X261:X$1003,1,FALSE)),IF(X260=AG$2,SUMIF(X$4:X260,AG$2,Z$4:Z260)+VLOOKUP(AF$2,$B$1057:$F$1068,5,FALSE)+SUM(AR$4:AR$1003)+SUMIF(COSTI!$X$1379:$X$1430,AG$2,COSTI!$Z$1379:$Z$1430),0),0)</f>
        <v>#N/A</v>
      </c>
      <c r="AG260" s="859"/>
      <c r="AH260" s="27" t="str">
        <f t="shared" ref="AH260:AH323" si="62">IF(ISBLANK(X260),"",IF(ISERROR(VLOOKUP(X260,B$34:B$38,1,FALSE)),1,0))</f>
        <v/>
      </c>
      <c r="AI260" s="152">
        <f ca="1">IF(W261&gt;0,0,IF(AH260=0,(Z260*-1)+BC260+SUM(BB$4:BB259),BC260+SUM(BB$4:BB259)))</f>
        <v>-2.1316282072803006E-13</v>
      </c>
      <c r="AJ260" s="931">
        <f>IF(AND(AL260&gt;=$U$1,AL260&lt;=$U$2),IF(AM260='ESTRATTO CONTO'!$E$2,1+COUNTIF(AJ$4:AJ259,"&gt;0")+U$1015,0),0)</f>
        <v>0</v>
      </c>
      <c r="AK260" s="203">
        <f>IF(AND(OR((AK259+1)&lt;AL$1015,(AK259+1)=AL$1015),MAX(AK$4:AK259)&lt;AL$1015),AK259+1,0)</f>
        <v>0</v>
      </c>
      <c r="AL260" s="309">
        <f>VLOOKUP($AK260,ENTI!$AF$4:AG$1003,2,FALSE)</f>
        <v>0</v>
      </c>
      <c r="AM260" s="224">
        <f>VLOOKUP($AK260,ENTI!$AF$4:AH$1003,3,FALSE)</f>
        <v>0</v>
      </c>
      <c r="AN260" s="224">
        <f>VLOOKUP($AK260,ENTI!$AF$4:AI$1003,4,FALSE)</f>
        <v>0</v>
      </c>
      <c r="AO260" s="781">
        <f>VLOOKUP($AK260,ENTI!$AF$4:AJ$1003,5,FALSE)</f>
        <v>0</v>
      </c>
      <c r="AP260" s="315">
        <f>VLOOKUP($AK260,ENTI!$AF$4:AK$1003,6,FALSE)</f>
        <v>0</v>
      </c>
      <c r="AQ260" s="208">
        <f t="shared" si="58"/>
        <v>0</v>
      </c>
      <c r="AR260" s="152" t="e">
        <f t="shared" si="59"/>
        <v>#N/A</v>
      </c>
      <c r="AS260" s="1"/>
      <c r="AT260" s="88" t="str">
        <f t="shared" ref="AT260:AT323" si="63">IF(AL260&gt;0,IF(AND(AL260&gt;=W$1012,AL260&lt;=W$1013),CONCATENATE(MONTH(AL260)&amp;AM260),0),"")</f>
        <v/>
      </c>
      <c r="AU260" s="1"/>
      <c r="AV260" s="175">
        <f>IF(AW260&gt;0,COUNTIF(AV$4:AV259,"&gt;0")+1,0)</f>
        <v>0</v>
      </c>
      <c r="AW260" s="164">
        <f t="shared" ref="AW260:AW323" si="64">IF(ISERROR(VLOOKUP($X260,$B$34:$B$38,1,FALSE)),0,W260)</f>
        <v>0</v>
      </c>
      <c r="AX260" s="310">
        <f>IF($AW260=0,0,VLOOKUP(VLOOKUP($X260,$B$34:$T$38,19,FALSE),ENTI!$A$9:$B$13,2,FALSE))</f>
        <v>0</v>
      </c>
      <c r="AY260" s="310">
        <f t="shared" si="55"/>
        <v>0</v>
      </c>
      <c r="AZ260" s="316">
        <f t="shared" si="56"/>
        <v>0</v>
      </c>
      <c r="BA260" s="1"/>
      <c r="BB260" s="152">
        <f t="shared" si="57"/>
        <v>0</v>
      </c>
      <c r="BC260" s="152">
        <f ca="1">SUM(Z$4:Z260)+SUM(BB$4:BB260)+COSTI!S$6-COSTI!L$1076</f>
        <v>-31.760000000000218</v>
      </c>
      <c r="BD260" s="1"/>
    </row>
    <row r="261" spans="1:56" ht="16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435">
        <f>IF(AND(W261&gt;=$U$1,W261&lt;=$U$2),IF(X261='ESTRATTO CONTO'!$E$2,1+COUNTIF(U$4:U260,"&gt;0"),0),0)</f>
        <v>0</v>
      </c>
      <c r="V261" s="417">
        <f t="shared" si="54"/>
        <v>258</v>
      </c>
      <c r="W261" s="509"/>
      <c r="X261" s="321"/>
      <c r="Y261" s="321"/>
      <c r="Z261" s="508"/>
      <c r="AA261" s="356"/>
      <c r="AB261" s="306" t="str">
        <f t="shared" si="61"/>
        <v/>
      </c>
      <c r="AC261" s="637">
        <f t="shared" ca="1" si="60"/>
        <v>-2.1316282072803006E-13</v>
      </c>
      <c r="AD261" s="935">
        <f>IF(ISERROR(VLOOKUP(AD$2,X262:X$1003,1,FALSE)),IF(X261=AD$2,SUMIF(X$4:X261,AD$2,Z$4:Z261)+$E$9+SUM(AQ$4:AQ$1003)+SUMIF(COSTI!$X$1379:$X$1430,AD$2,COSTI!$Z$1379:$Z$1430),0),0)</f>
        <v>0</v>
      </c>
      <c r="AE261" s="26"/>
      <c r="AF261" s="856" t="e">
        <f>IF(ISERROR(VLOOKUP(AG$2,X262:X$1003,1,FALSE)),IF(X261=AG$2,SUMIF(X$4:X261,AG$2,Z$4:Z261)+VLOOKUP(AF$2,$B$1057:$F$1068,5,FALSE)+SUM(AR$4:AR$1003)+SUMIF(COSTI!$X$1379:$X$1430,AG$2,COSTI!$Z$1379:$Z$1430),0),0)</f>
        <v>#N/A</v>
      </c>
      <c r="AG261" s="859"/>
      <c r="AH261" s="27" t="str">
        <f t="shared" si="62"/>
        <v/>
      </c>
      <c r="AI261" s="152">
        <f ca="1">IF(W262&gt;0,0,IF(AH261=0,(Z261*-1)+BC261+SUM(BB$4:BB260),BC261+SUM(BB$4:BB260)))</f>
        <v>-2.1316282072803006E-13</v>
      </c>
      <c r="AJ261" s="931">
        <f>IF(AND(AL261&gt;=$U$1,AL261&lt;=$U$2),IF(AM261='ESTRATTO CONTO'!$E$2,1+COUNTIF(AJ$4:AJ260,"&gt;0")+U$1015,0),0)</f>
        <v>0</v>
      </c>
      <c r="AK261" s="203">
        <f>IF(AND(OR((AK260+1)&lt;AL$1015,(AK260+1)=AL$1015),MAX(AK$4:AK260)&lt;AL$1015),AK260+1,0)</f>
        <v>0</v>
      </c>
      <c r="AL261" s="309">
        <f>VLOOKUP($AK261,ENTI!$AF$4:AG$1003,2,FALSE)</f>
        <v>0</v>
      </c>
      <c r="AM261" s="224">
        <f>VLOOKUP($AK261,ENTI!$AF$4:AH$1003,3,FALSE)</f>
        <v>0</v>
      </c>
      <c r="AN261" s="224">
        <f>VLOOKUP($AK261,ENTI!$AF$4:AI$1003,4,FALSE)</f>
        <v>0</v>
      </c>
      <c r="AO261" s="781">
        <f>VLOOKUP($AK261,ENTI!$AF$4:AJ$1003,5,FALSE)</f>
        <v>0</v>
      </c>
      <c r="AP261" s="315">
        <f>VLOOKUP($AK261,ENTI!$AF$4:AK$1003,6,FALSE)</f>
        <v>0</v>
      </c>
      <c r="AQ261" s="208">
        <f t="shared" si="58"/>
        <v>0</v>
      </c>
      <c r="AR261" s="152" t="e">
        <f t="shared" si="59"/>
        <v>#N/A</v>
      </c>
      <c r="AS261" s="1"/>
      <c r="AT261" s="88" t="str">
        <f t="shared" si="63"/>
        <v/>
      </c>
      <c r="AU261" s="1"/>
      <c r="AV261" s="175">
        <f>IF(AW261&gt;0,COUNTIF(AV$4:AV260,"&gt;0")+1,0)</f>
        <v>0</v>
      </c>
      <c r="AW261" s="164">
        <f t="shared" si="64"/>
        <v>0</v>
      </c>
      <c r="AX261" s="310">
        <f>IF($AW261=0,0,VLOOKUP(VLOOKUP($X261,$B$34:$T$38,19,FALSE),ENTI!$A$9:$B$13,2,FALSE))</f>
        <v>0</v>
      </c>
      <c r="AY261" s="310">
        <f t="shared" si="55"/>
        <v>0</v>
      </c>
      <c r="AZ261" s="316">
        <f t="shared" si="56"/>
        <v>0</v>
      </c>
      <c r="BA261" s="1"/>
      <c r="BB261" s="152">
        <f t="shared" si="57"/>
        <v>0</v>
      </c>
      <c r="BC261" s="152">
        <f ca="1">SUM(Z$4:Z261)+SUM(BB$4:BB261)+COSTI!S$6-COSTI!L$1076</f>
        <v>-31.760000000000218</v>
      </c>
      <c r="BD261" s="1"/>
    </row>
    <row r="262" spans="1:56" ht="16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435">
        <f>IF(AND(W262&gt;=$U$1,W262&lt;=$U$2),IF(X262='ESTRATTO CONTO'!$E$2,1+COUNTIF(U$4:U261,"&gt;0"),0),0)</f>
        <v>0</v>
      </c>
      <c r="V262" s="417">
        <f t="shared" ref="V262:V325" si="65">V261+1</f>
        <v>259</v>
      </c>
      <c r="W262" s="509"/>
      <c r="X262" s="321"/>
      <c r="Y262" s="321"/>
      <c r="Z262" s="508"/>
      <c r="AA262" s="356"/>
      <c r="AB262" s="306" t="str">
        <f t="shared" si="61"/>
        <v/>
      </c>
      <c r="AC262" s="637">
        <f t="shared" ca="1" si="60"/>
        <v>-2.1316282072803006E-13</v>
      </c>
      <c r="AD262" s="935">
        <f>IF(ISERROR(VLOOKUP(AD$2,X263:X$1003,1,FALSE)),IF(X262=AD$2,SUMIF(X$4:X262,AD$2,Z$4:Z262)+$E$9+SUM(AQ$4:AQ$1003)+SUMIF(COSTI!$X$1379:$X$1430,AD$2,COSTI!$Z$1379:$Z$1430),0),0)</f>
        <v>0</v>
      </c>
      <c r="AE262" s="26"/>
      <c r="AF262" s="856" t="e">
        <f>IF(ISERROR(VLOOKUP(AG$2,X263:X$1003,1,FALSE)),IF(X262=AG$2,SUMIF(X$4:X262,AG$2,Z$4:Z262)+VLOOKUP(AF$2,$B$1057:$F$1068,5,FALSE)+SUM(AR$4:AR$1003)+SUMIF(COSTI!$X$1379:$X$1430,AG$2,COSTI!$Z$1379:$Z$1430),0),0)</f>
        <v>#N/A</v>
      </c>
      <c r="AG262" s="859"/>
      <c r="AH262" s="27" t="str">
        <f t="shared" si="62"/>
        <v/>
      </c>
      <c r="AI262" s="152">
        <f ca="1">IF(W263&gt;0,0,IF(AH262=0,(Z262*-1)+BC262+SUM(BB$4:BB261),BC262+SUM(BB$4:BB261)))</f>
        <v>-2.1316282072803006E-13</v>
      </c>
      <c r="AJ262" s="931">
        <f>IF(AND(AL262&gt;=$U$1,AL262&lt;=$U$2),IF(AM262='ESTRATTO CONTO'!$E$2,1+COUNTIF(AJ$4:AJ261,"&gt;0")+U$1015,0),0)</f>
        <v>0</v>
      </c>
      <c r="AK262" s="203">
        <f>IF(AND(OR((AK261+1)&lt;AL$1015,(AK261+1)=AL$1015),MAX(AK$4:AK261)&lt;AL$1015),AK261+1,0)</f>
        <v>0</v>
      </c>
      <c r="AL262" s="309">
        <f>VLOOKUP($AK262,ENTI!$AF$4:AG$1003,2,FALSE)</f>
        <v>0</v>
      </c>
      <c r="AM262" s="224">
        <f>VLOOKUP($AK262,ENTI!$AF$4:AH$1003,3,FALSE)</f>
        <v>0</v>
      </c>
      <c r="AN262" s="224">
        <f>VLOOKUP($AK262,ENTI!$AF$4:AI$1003,4,FALSE)</f>
        <v>0</v>
      </c>
      <c r="AO262" s="781">
        <f>VLOOKUP($AK262,ENTI!$AF$4:AJ$1003,5,FALSE)</f>
        <v>0</v>
      </c>
      <c r="AP262" s="315">
        <f>VLOOKUP($AK262,ENTI!$AF$4:AK$1003,6,FALSE)</f>
        <v>0</v>
      </c>
      <c r="AQ262" s="208">
        <f t="shared" si="58"/>
        <v>0</v>
      </c>
      <c r="AR262" s="152" t="e">
        <f t="shared" si="59"/>
        <v>#N/A</v>
      </c>
      <c r="AS262" s="1"/>
      <c r="AT262" s="88" t="str">
        <f t="shared" si="63"/>
        <v/>
      </c>
      <c r="AU262" s="1"/>
      <c r="AV262" s="175">
        <f>IF(AW262&gt;0,COUNTIF(AV$4:AV261,"&gt;0")+1,0)</f>
        <v>0</v>
      </c>
      <c r="AW262" s="164">
        <f t="shared" si="64"/>
        <v>0</v>
      </c>
      <c r="AX262" s="310">
        <f>IF($AW262=0,0,VLOOKUP(VLOOKUP($X262,$B$34:$T$38,19,FALSE),ENTI!$A$9:$B$13,2,FALSE))</f>
        <v>0</v>
      </c>
      <c r="AY262" s="310">
        <f t="shared" ref="AY262:AY325" si="66">IF(AW262=0,0,Y262)</f>
        <v>0</v>
      </c>
      <c r="AZ262" s="316">
        <f t="shared" ref="AZ262:AZ325" si="67">IF(AW262=0,0,Z262)</f>
        <v>0</v>
      </c>
      <c r="BA262" s="1"/>
      <c r="BB262" s="152">
        <f t="shared" ref="BB262:BB325" si="68">IF(ISERROR(VLOOKUP(X262,B$9:D$15,1,FALSE)),Z262*-1,0)</f>
        <v>0</v>
      </c>
      <c r="BC262" s="152">
        <f ca="1">SUM(Z$4:Z262)+SUM(BB$4:BB262)+COSTI!S$6-COSTI!L$1076</f>
        <v>-31.760000000000218</v>
      </c>
      <c r="BD262" s="1"/>
    </row>
    <row r="263" spans="1:56" ht="16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435">
        <f>IF(AND(W263&gt;=$U$1,W263&lt;=$U$2),IF(X263='ESTRATTO CONTO'!$E$2,1+COUNTIF(U$4:U262,"&gt;0"),0),0)</f>
        <v>0</v>
      </c>
      <c r="V263" s="417">
        <f t="shared" si="65"/>
        <v>260</v>
      </c>
      <c r="W263" s="509"/>
      <c r="X263" s="321"/>
      <c r="Y263" s="321"/>
      <c r="Z263" s="508"/>
      <c r="AA263" s="356"/>
      <c r="AB263" s="306" t="str">
        <f t="shared" si="61"/>
        <v/>
      </c>
      <c r="AC263" s="637">
        <f t="shared" ca="1" si="60"/>
        <v>-2.1316282072803006E-13</v>
      </c>
      <c r="AD263" s="935">
        <f>IF(ISERROR(VLOOKUP(AD$2,X264:X$1003,1,FALSE)),IF(X263=AD$2,SUMIF(X$4:X263,AD$2,Z$4:Z263)+$E$9+SUM(AQ$4:AQ$1003)+SUMIF(COSTI!$X$1379:$X$1430,AD$2,COSTI!$Z$1379:$Z$1430),0),0)</f>
        <v>0</v>
      </c>
      <c r="AE263" s="26"/>
      <c r="AF263" s="856" t="e">
        <f>IF(ISERROR(VLOOKUP(AG$2,X264:X$1003,1,FALSE)),IF(X263=AG$2,SUMIF(X$4:X263,AG$2,Z$4:Z263)+VLOOKUP(AF$2,$B$1057:$F$1068,5,FALSE)+SUM(AR$4:AR$1003)+SUMIF(COSTI!$X$1379:$X$1430,AG$2,COSTI!$Z$1379:$Z$1430),0),0)</f>
        <v>#N/A</v>
      </c>
      <c r="AG263" s="859"/>
      <c r="AH263" s="27" t="str">
        <f t="shared" si="62"/>
        <v/>
      </c>
      <c r="AI263" s="152">
        <f ca="1">IF(W264&gt;0,0,IF(AH263=0,(Z263*-1)+BC263+SUM(BB$4:BB262),BC263+SUM(BB$4:BB262)))</f>
        <v>-2.1316282072803006E-13</v>
      </c>
      <c r="AJ263" s="931">
        <f>IF(AND(AL263&gt;=$U$1,AL263&lt;=$U$2),IF(AM263='ESTRATTO CONTO'!$E$2,1+COUNTIF(AJ$4:AJ262,"&gt;0")+U$1015,0),0)</f>
        <v>0</v>
      </c>
      <c r="AK263" s="203">
        <f>IF(AND(OR((AK262+1)&lt;AL$1015,(AK262+1)=AL$1015),MAX(AK$4:AK262)&lt;AL$1015),AK262+1,0)</f>
        <v>0</v>
      </c>
      <c r="AL263" s="309">
        <f>VLOOKUP($AK263,ENTI!$AF$4:AG$1003,2,FALSE)</f>
        <v>0</v>
      </c>
      <c r="AM263" s="224">
        <f>VLOOKUP($AK263,ENTI!$AF$4:AH$1003,3,FALSE)</f>
        <v>0</v>
      </c>
      <c r="AN263" s="224">
        <f>VLOOKUP($AK263,ENTI!$AF$4:AI$1003,4,FALSE)</f>
        <v>0</v>
      </c>
      <c r="AO263" s="781">
        <f>VLOOKUP($AK263,ENTI!$AF$4:AJ$1003,5,FALSE)</f>
        <v>0</v>
      </c>
      <c r="AP263" s="315">
        <f>VLOOKUP($AK263,ENTI!$AF$4:AK$1003,6,FALSE)</f>
        <v>0</v>
      </c>
      <c r="AQ263" s="208">
        <f t="shared" si="58"/>
        <v>0</v>
      </c>
      <c r="AR263" s="152" t="e">
        <f t="shared" si="59"/>
        <v>#N/A</v>
      </c>
      <c r="AS263" s="1"/>
      <c r="AT263" s="88" t="str">
        <f t="shared" si="63"/>
        <v/>
      </c>
      <c r="AU263" s="1"/>
      <c r="AV263" s="175">
        <f>IF(AW263&gt;0,COUNTIF(AV$4:AV262,"&gt;0")+1,0)</f>
        <v>0</v>
      </c>
      <c r="AW263" s="164">
        <f t="shared" si="64"/>
        <v>0</v>
      </c>
      <c r="AX263" s="310">
        <f>IF($AW263=0,0,VLOOKUP(VLOOKUP($X263,$B$34:$T$38,19,FALSE),ENTI!$A$9:$B$13,2,FALSE))</f>
        <v>0</v>
      </c>
      <c r="AY263" s="310">
        <f t="shared" si="66"/>
        <v>0</v>
      </c>
      <c r="AZ263" s="316">
        <f t="shared" si="67"/>
        <v>0</v>
      </c>
      <c r="BA263" s="1"/>
      <c r="BB263" s="152">
        <f t="shared" si="68"/>
        <v>0</v>
      </c>
      <c r="BC263" s="152">
        <f ca="1">SUM(Z$4:Z263)+SUM(BB$4:BB263)+COSTI!S$6-COSTI!L$1076</f>
        <v>-31.760000000000218</v>
      </c>
      <c r="BD263" s="1"/>
    </row>
    <row r="264" spans="1:56" ht="16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435">
        <f>IF(AND(W264&gt;=$U$1,W264&lt;=$U$2),IF(X264='ESTRATTO CONTO'!$E$2,1+COUNTIF(U$4:U263,"&gt;0"),0),0)</f>
        <v>0</v>
      </c>
      <c r="V264" s="417">
        <f t="shared" si="65"/>
        <v>261</v>
      </c>
      <c r="W264" s="509"/>
      <c r="X264" s="321"/>
      <c r="Y264" s="321"/>
      <c r="Z264" s="508"/>
      <c r="AA264" s="356"/>
      <c r="AB264" s="306" t="str">
        <f t="shared" si="61"/>
        <v/>
      </c>
      <c r="AC264" s="637">
        <f t="shared" ca="1" si="60"/>
        <v>-2.1316282072803006E-13</v>
      </c>
      <c r="AD264" s="935">
        <f>IF(ISERROR(VLOOKUP(AD$2,X265:X$1003,1,FALSE)),IF(X264=AD$2,SUMIF(X$4:X264,AD$2,Z$4:Z264)+$E$9+SUM(AQ$4:AQ$1003)+SUMIF(COSTI!$X$1379:$X$1430,AD$2,COSTI!$Z$1379:$Z$1430),0),0)</f>
        <v>0</v>
      </c>
      <c r="AE264" s="26"/>
      <c r="AF264" s="856" t="e">
        <f>IF(ISERROR(VLOOKUP(AG$2,X265:X$1003,1,FALSE)),IF(X264=AG$2,SUMIF(X$4:X264,AG$2,Z$4:Z264)+VLOOKUP(AF$2,$B$1057:$F$1068,5,FALSE)+SUM(AR$4:AR$1003)+SUMIF(COSTI!$X$1379:$X$1430,AG$2,COSTI!$Z$1379:$Z$1430),0),0)</f>
        <v>#N/A</v>
      </c>
      <c r="AG264" s="859"/>
      <c r="AH264" s="27" t="str">
        <f t="shared" si="62"/>
        <v/>
      </c>
      <c r="AI264" s="152">
        <f ca="1">IF(W265&gt;0,0,IF(AH264=0,(Z264*-1)+BC264+SUM(BB$4:BB263),BC264+SUM(BB$4:BB263)))</f>
        <v>-2.1316282072803006E-13</v>
      </c>
      <c r="AJ264" s="931">
        <f>IF(AND(AL264&gt;=$U$1,AL264&lt;=$U$2),IF(AM264='ESTRATTO CONTO'!$E$2,1+COUNTIF(AJ$4:AJ263,"&gt;0")+U$1015,0),0)</f>
        <v>0</v>
      </c>
      <c r="AK264" s="203">
        <f>IF(AND(OR((AK263+1)&lt;AL$1015,(AK263+1)=AL$1015),MAX(AK$4:AK263)&lt;AL$1015),AK263+1,0)</f>
        <v>0</v>
      </c>
      <c r="AL264" s="309">
        <f>VLOOKUP($AK264,ENTI!$AF$4:AG$1003,2,FALSE)</f>
        <v>0</v>
      </c>
      <c r="AM264" s="224">
        <f>VLOOKUP($AK264,ENTI!$AF$4:AH$1003,3,FALSE)</f>
        <v>0</v>
      </c>
      <c r="AN264" s="224">
        <f>VLOOKUP($AK264,ENTI!$AF$4:AI$1003,4,FALSE)</f>
        <v>0</v>
      </c>
      <c r="AO264" s="781">
        <f>VLOOKUP($AK264,ENTI!$AF$4:AJ$1003,5,FALSE)</f>
        <v>0</v>
      </c>
      <c r="AP264" s="315">
        <f>VLOOKUP($AK264,ENTI!$AF$4:AK$1003,6,FALSE)</f>
        <v>0</v>
      </c>
      <c r="AQ264" s="208">
        <f t="shared" si="58"/>
        <v>0</v>
      </c>
      <c r="AR264" s="152" t="e">
        <f t="shared" si="59"/>
        <v>#N/A</v>
      </c>
      <c r="AS264" s="1"/>
      <c r="AT264" s="88" t="str">
        <f t="shared" si="63"/>
        <v/>
      </c>
      <c r="AU264" s="1"/>
      <c r="AV264" s="175">
        <f>IF(AW264&gt;0,COUNTIF(AV$4:AV263,"&gt;0")+1,0)</f>
        <v>0</v>
      </c>
      <c r="AW264" s="164">
        <f t="shared" si="64"/>
        <v>0</v>
      </c>
      <c r="AX264" s="310">
        <f>IF($AW264=0,0,VLOOKUP(VLOOKUP($X264,$B$34:$T$38,19,FALSE),ENTI!$A$9:$B$13,2,FALSE))</f>
        <v>0</v>
      </c>
      <c r="AY264" s="310">
        <f t="shared" si="66"/>
        <v>0</v>
      </c>
      <c r="AZ264" s="316">
        <f t="shared" si="67"/>
        <v>0</v>
      </c>
      <c r="BA264" s="1"/>
      <c r="BB264" s="152">
        <f t="shared" si="68"/>
        <v>0</v>
      </c>
      <c r="BC264" s="152">
        <f ca="1">SUM(Z$4:Z264)+SUM(BB$4:BB264)+COSTI!S$6-COSTI!L$1076</f>
        <v>-31.760000000000218</v>
      </c>
      <c r="BD264" s="1"/>
    </row>
    <row r="265" spans="1:56" ht="16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435">
        <f>IF(AND(W265&gt;=$U$1,W265&lt;=$U$2),IF(X265='ESTRATTO CONTO'!$E$2,1+COUNTIF(U$4:U264,"&gt;0"),0),0)</f>
        <v>0</v>
      </c>
      <c r="V265" s="417">
        <f t="shared" si="65"/>
        <v>262</v>
      </c>
      <c r="W265" s="509"/>
      <c r="X265" s="321"/>
      <c r="Y265" s="321"/>
      <c r="Z265" s="508"/>
      <c r="AA265" s="356"/>
      <c r="AB265" s="306" t="str">
        <f t="shared" si="61"/>
        <v/>
      </c>
      <c r="AC265" s="637">
        <f t="shared" ca="1" si="60"/>
        <v>-2.1316282072803006E-13</v>
      </c>
      <c r="AD265" s="935">
        <f>IF(ISERROR(VLOOKUP(AD$2,X266:X$1003,1,FALSE)),IF(X265=AD$2,SUMIF(X$4:X265,AD$2,Z$4:Z265)+$E$9+SUM(AQ$4:AQ$1003)+SUMIF(COSTI!$X$1379:$X$1430,AD$2,COSTI!$Z$1379:$Z$1430),0),0)</f>
        <v>0</v>
      </c>
      <c r="AE265" s="26"/>
      <c r="AF265" s="856" t="e">
        <f>IF(ISERROR(VLOOKUP(AG$2,X266:X$1003,1,FALSE)),IF(X265=AG$2,SUMIF(X$4:X265,AG$2,Z$4:Z265)+VLOOKUP(AF$2,$B$1057:$F$1068,5,FALSE)+SUM(AR$4:AR$1003)+SUMIF(COSTI!$X$1379:$X$1430,AG$2,COSTI!$Z$1379:$Z$1430),0),0)</f>
        <v>#N/A</v>
      </c>
      <c r="AG265" s="859"/>
      <c r="AH265" s="27" t="str">
        <f t="shared" si="62"/>
        <v/>
      </c>
      <c r="AI265" s="152">
        <f ca="1">IF(W266&gt;0,0,IF(AH265=0,(Z265*-1)+BC265+SUM(BB$4:BB264),BC265+SUM(BB$4:BB264)))</f>
        <v>-2.1316282072803006E-13</v>
      </c>
      <c r="AJ265" s="931">
        <f>IF(AND(AL265&gt;=$U$1,AL265&lt;=$U$2),IF(AM265='ESTRATTO CONTO'!$E$2,1+COUNTIF(AJ$4:AJ264,"&gt;0")+U$1015,0),0)</f>
        <v>0</v>
      </c>
      <c r="AK265" s="203">
        <f>IF(AND(OR((AK264+1)&lt;AL$1015,(AK264+1)=AL$1015),MAX(AK$4:AK264)&lt;AL$1015),AK264+1,0)</f>
        <v>0</v>
      </c>
      <c r="AL265" s="309">
        <f>VLOOKUP($AK265,ENTI!$AF$4:AG$1003,2,FALSE)</f>
        <v>0</v>
      </c>
      <c r="AM265" s="224">
        <f>VLOOKUP($AK265,ENTI!$AF$4:AH$1003,3,FALSE)</f>
        <v>0</v>
      </c>
      <c r="AN265" s="224">
        <f>VLOOKUP($AK265,ENTI!$AF$4:AI$1003,4,FALSE)</f>
        <v>0</v>
      </c>
      <c r="AO265" s="781">
        <f>VLOOKUP($AK265,ENTI!$AF$4:AJ$1003,5,FALSE)</f>
        <v>0</v>
      </c>
      <c r="AP265" s="315">
        <f>VLOOKUP($AK265,ENTI!$AF$4:AK$1003,6,FALSE)</f>
        <v>0</v>
      </c>
      <c r="AQ265" s="208">
        <f t="shared" si="58"/>
        <v>0</v>
      </c>
      <c r="AR265" s="152" t="e">
        <f t="shared" si="59"/>
        <v>#N/A</v>
      </c>
      <c r="AS265" s="1"/>
      <c r="AT265" s="88" t="str">
        <f t="shared" si="63"/>
        <v/>
      </c>
      <c r="AU265" s="1"/>
      <c r="AV265" s="175">
        <f>IF(AW265&gt;0,COUNTIF(AV$4:AV264,"&gt;0")+1,0)</f>
        <v>0</v>
      </c>
      <c r="AW265" s="164">
        <f t="shared" si="64"/>
        <v>0</v>
      </c>
      <c r="AX265" s="310">
        <f>IF($AW265=0,0,VLOOKUP(VLOOKUP($X265,$B$34:$T$38,19,FALSE),ENTI!$A$9:$B$13,2,FALSE))</f>
        <v>0</v>
      </c>
      <c r="AY265" s="310">
        <f t="shared" si="66"/>
        <v>0</v>
      </c>
      <c r="AZ265" s="316">
        <f t="shared" si="67"/>
        <v>0</v>
      </c>
      <c r="BA265" s="1"/>
      <c r="BB265" s="152">
        <f t="shared" si="68"/>
        <v>0</v>
      </c>
      <c r="BC265" s="152">
        <f ca="1">SUM(Z$4:Z265)+SUM(BB$4:BB265)+COSTI!S$6-COSTI!L$1076</f>
        <v>-31.760000000000218</v>
      </c>
      <c r="BD265" s="1"/>
    </row>
    <row r="266" spans="1:56" ht="16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435">
        <f>IF(AND(W266&gt;=$U$1,W266&lt;=$U$2),IF(X266='ESTRATTO CONTO'!$E$2,1+COUNTIF(U$4:U265,"&gt;0"),0),0)</f>
        <v>0</v>
      </c>
      <c r="V266" s="417">
        <f t="shared" si="65"/>
        <v>263</v>
      </c>
      <c r="W266" s="509"/>
      <c r="X266" s="321"/>
      <c r="Y266" s="321"/>
      <c r="Z266" s="508"/>
      <c r="AA266" s="356"/>
      <c r="AB266" s="306" t="str">
        <f t="shared" si="61"/>
        <v/>
      </c>
      <c r="AC266" s="637">
        <f t="shared" ca="1" si="60"/>
        <v>-2.1316282072803006E-13</v>
      </c>
      <c r="AD266" s="935">
        <f>IF(ISERROR(VLOOKUP(AD$2,X267:X$1003,1,FALSE)),IF(X266=AD$2,SUMIF(X$4:X266,AD$2,Z$4:Z266)+$E$9+SUM(AQ$4:AQ$1003)+SUMIF(COSTI!$X$1379:$X$1430,AD$2,COSTI!$Z$1379:$Z$1430),0),0)</f>
        <v>0</v>
      </c>
      <c r="AE266" s="26"/>
      <c r="AF266" s="856" t="e">
        <f>IF(ISERROR(VLOOKUP(AG$2,X267:X$1003,1,FALSE)),IF(X266=AG$2,SUMIF(X$4:X266,AG$2,Z$4:Z266)+VLOOKUP(AF$2,$B$1057:$F$1068,5,FALSE)+SUM(AR$4:AR$1003)+SUMIF(COSTI!$X$1379:$X$1430,AG$2,COSTI!$Z$1379:$Z$1430),0),0)</f>
        <v>#N/A</v>
      </c>
      <c r="AG266" s="859"/>
      <c r="AH266" s="27" t="str">
        <f t="shared" si="62"/>
        <v/>
      </c>
      <c r="AI266" s="152">
        <f ca="1">IF(W267&gt;0,0,IF(AH266=0,(Z266*-1)+BC266+SUM(BB$4:BB265),BC266+SUM(BB$4:BB265)))</f>
        <v>-2.1316282072803006E-13</v>
      </c>
      <c r="AJ266" s="931">
        <f>IF(AND(AL266&gt;=$U$1,AL266&lt;=$U$2),IF(AM266='ESTRATTO CONTO'!$E$2,1+COUNTIF(AJ$4:AJ265,"&gt;0")+U$1015,0),0)</f>
        <v>0</v>
      </c>
      <c r="AK266" s="203">
        <f>IF(AND(OR((AK265+1)&lt;AL$1015,(AK265+1)=AL$1015),MAX(AK$4:AK265)&lt;AL$1015),AK265+1,0)</f>
        <v>0</v>
      </c>
      <c r="AL266" s="309">
        <f>VLOOKUP($AK266,ENTI!$AF$4:AG$1003,2,FALSE)</f>
        <v>0</v>
      </c>
      <c r="AM266" s="224">
        <f>VLOOKUP($AK266,ENTI!$AF$4:AH$1003,3,FALSE)</f>
        <v>0</v>
      </c>
      <c r="AN266" s="224">
        <f>VLOOKUP($AK266,ENTI!$AF$4:AI$1003,4,FALSE)</f>
        <v>0</v>
      </c>
      <c r="AO266" s="781">
        <f>VLOOKUP($AK266,ENTI!$AF$4:AJ$1003,5,FALSE)</f>
        <v>0</v>
      </c>
      <c r="AP266" s="315">
        <f>VLOOKUP($AK266,ENTI!$AF$4:AK$1003,6,FALSE)</f>
        <v>0</v>
      </c>
      <c r="AQ266" s="208">
        <f t="shared" si="58"/>
        <v>0</v>
      </c>
      <c r="AR266" s="152" t="e">
        <f t="shared" si="59"/>
        <v>#N/A</v>
      </c>
      <c r="AS266" s="1"/>
      <c r="AT266" s="88" t="str">
        <f t="shared" si="63"/>
        <v/>
      </c>
      <c r="AU266" s="1"/>
      <c r="AV266" s="175">
        <f>IF(AW266&gt;0,COUNTIF(AV$4:AV265,"&gt;0")+1,0)</f>
        <v>0</v>
      </c>
      <c r="AW266" s="164">
        <f t="shared" si="64"/>
        <v>0</v>
      </c>
      <c r="AX266" s="310">
        <f>IF($AW266=0,0,VLOOKUP(VLOOKUP($X266,$B$34:$T$38,19,FALSE),ENTI!$A$9:$B$13,2,FALSE))</f>
        <v>0</v>
      </c>
      <c r="AY266" s="310">
        <f t="shared" si="66"/>
        <v>0</v>
      </c>
      <c r="AZ266" s="316">
        <f t="shared" si="67"/>
        <v>0</v>
      </c>
      <c r="BA266" s="1"/>
      <c r="BB266" s="152">
        <f t="shared" si="68"/>
        <v>0</v>
      </c>
      <c r="BC266" s="152">
        <f ca="1">SUM(Z$4:Z266)+SUM(BB$4:BB266)+COSTI!S$6-COSTI!L$1076</f>
        <v>-31.760000000000218</v>
      </c>
      <c r="BD266" s="1"/>
    </row>
    <row r="267" spans="1:56" ht="16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435">
        <f>IF(AND(W267&gt;=$U$1,W267&lt;=$U$2),IF(X267='ESTRATTO CONTO'!$E$2,1+COUNTIF(U$4:U266,"&gt;0"),0),0)</f>
        <v>0</v>
      </c>
      <c r="V267" s="417">
        <f t="shared" si="65"/>
        <v>264</v>
      </c>
      <c r="W267" s="509"/>
      <c r="X267" s="321"/>
      <c r="Y267" s="321"/>
      <c r="Z267" s="508"/>
      <c r="AA267" s="356"/>
      <c r="AB267" s="306" t="str">
        <f t="shared" si="61"/>
        <v/>
      </c>
      <c r="AC267" s="637">
        <f t="shared" ca="1" si="60"/>
        <v>-2.1316282072803006E-13</v>
      </c>
      <c r="AD267" s="935">
        <f>IF(ISERROR(VLOOKUP(AD$2,X268:X$1003,1,FALSE)),IF(X267=AD$2,SUMIF(X$4:X267,AD$2,Z$4:Z267)+$E$9+SUM(AQ$4:AQ$1003)+SUMIF(COSTI!$X$1379:$X$1430,AD$2,COSTI!$Z$1379:$Z$1430),0),0)</f>
        <v>0</v>
      </c>
      <c r="AE267" s="26"/>
      <c r="AF267" s="856" t="e">
        <f>IF(ISERROR(VLOOKUP(AG$2,X268:X$1003,1,FALSE)),IF(X267=AG$2,SUMIF(X$4:X267,AG$2,Z$4:Z267)+VLOOKUP(AF$2,$B$1057:$F$1068,5,FALSE)+SUM(AR$4:AR$1003)+SUMIF(COSTI!$X$1379:$X$1430,AG$2,COSTI!$Z$1379:$Z$1430),0),0)</f>
        <v>#N/A</v>
      </c>
      <c r="AG267" s="859"/>
      <c r="AH267" s="27" t="str">
        <f t="shared" si="62"/>
        <v/>
      </c>
      <c r="AI267" s="152">
        <f ca="1">IF(W268&gt;0,0,IF(AH267=0,(Z267*-1)+BC267+SUM(BB$4:BB266),BC267+SUM(BB$4:BB266)))</f>
        <v>-2.1316282072803006E-13</v>
      </c>
      <c r="AJ267" s="931">
        <f>IF(AND(AL267&gt;=$U$1,AL267&lt;=$U$2),IF(AM267='ESTRATTO CONTO'!$E$2,1+COUNTIF(AJ$4:AJ266,"&gt;0")+U$1015,0),0)</f>
        <v>0</v>
      </c>
      <c r="AK267" s="203">
        <f>IF(AND(OR((AK266+1)&lt;AL$1015,(AK266+1)=AL$1015),MAX(AK$4:AK266)&lt;AL$1015),AK266+1,0)</f>
        <v>0</v>
      </c>
      <c r="AL267" s="309">
        <f>VLOOKUP($AK267,ENTI!$AF$4:AG$1003,2,FALSE)</f>
        <v>0</v>
      </c>
      <c r="AM267" s="224">
        <f>VLOOKUP($AK267,ENTI!$AF$4:AH$1003,3,FALSE)</f>
        <v>0</v>
      </c>
      <c r="AN267" s="224">
        <f>VLOOKUP($AK267,ENTI!$AF$4:AI$1003,4,FALSE)</f>
        <v>0</v>
      </c>
      <c r="AO267" s="781">
        <f>VLOOKUP($AK267,ENTI!$AF$4:AJ$1003,5,FALSE)</f>
        <v>0</v>
      </c>
      <c r="AP267" s="315">
        <f>VLOOKUP($AK267,ENTI!$AF$4:AK$1003,6,FALSE)</f>
        <v>0</v>
      </c>
      <c r="AQ267" s="208">
        <f t="shared" si="58"/>
        <v>0</v>
      </c>
      <c r="AR267" s="152" t="e">
        <f t="shared" si="59"/>
        <v>#N/A</v>
      </c>
      <c r="AS267" s="1"/>
      <c r="AT267" s="88" t="str">
        <f t="shared" si="63"/>
        <v/>
      </c>
      <c r="AU267" s="1"/>
      <c r="AV267" s="175">
        <f>IF(AW267&gt;0,COUNTIF(AV$4:AV266,"&gt;0")+1,0)</f>
        <v>0</v>
      </c>
      <c r="AW267" s="164">
        <f t="shared" si="64"/>
        <v>0</v>
      </c>
      <c r="AX267" s="310">
        <f>IF($AW267=0,0,VLOOKUP(VLOOKUP($X267,$B$34:$T$38,19,FALSE),ENTI!$A$9:$B$13,2,FALSE))</f>
        <v>0</v>
      </c>
      <c r="AY267" s="310">
        <f t="shared" si="66"/>
        <v>0</v>
      </c>
      <c r="AZ267" s="316">
        <f t="shared" si="67"/>
        <v>0</v>
      </c>
      <c r="BA267" s="1"/>
      <c r="BB267" s="152">
        <f t="shared" si="68"/>
        <v>0</v>
      </c>
      <c r="BC267" s="152">
        <f ca="1">SUM(Z$4:Z267)+SUM(BB$4:BB267)+COSTI!S$6-COSTI!L$1076</f>
        <v>-31.760000000000218</v>
      </c>
      <c r="BD267" s="1"/>
    </row>
    <row r="268" spans="1:56" ht="16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435">
        <f>IF(AND(W268&gt;=$U$1,W268&lt;=$U$2),IF(X268='ESTRATTO CONTO'!$E$2,1+COUNTIF(U$4:U267,"&gt;0"),0),0)</f>
        <v>0</v>
      </c>
      <c r="V268" s="417">
        <f t="shared" si="65"/>
        <v>265</v>
      </c>
      <c r="W268" s="509"/>
      <c r="X268" s="321"/>
      <c r="Y268" s="321"/>
      <c r="Z268" s="508"/>
      <c r="AA268" s="356"/>
      <c r="AB268" s="306" t="str">
        <f t="shared" si="61"/>
        <v/>
      </c>
      <c r="AC268" s="637">
        <f t="shared" ca="1" si="60"/>
        <v>-2.1316282072803006E-13</v>
      </c>
      <c r="AD268" s="935">
        <f>IF(ISERROR(VLOOKUP(AD$2,X269:X$1003,1,FALSE)),IF(X268=AD$2,SUMIF(X$4:X268,AD$2,Z$4:Z268)+$E$9+SUM(AQ$4:AQ$1003)+SUMIF(COSTI!$X$1379:$X$1430,AD$2,COSTI!$Z$1379:$Z$1430),0),0)</f>
        <v>0</v>
      </c>
      <c r="AE268" s="26"/>
      <c r="AF268" s="856" t="e">
        <f>IF(ISERROR(VLOOKUP(AG$2,X269:X$1003,1,FALSE)),IF(X268=AG$2,SUMIF(X$4:X268,AG$2,Z$4:Z268)+VLOOKUP(AF$2,$B$1057:$F$1068,5,FALSE)+SUM(AR$4:AR$1003)+SUMIF(COSTI!$X$1379:$X$1430,AG$2,COSTI!$Z$1379:$Z$1430),0),0)</f>
        <v>#N/A</v>
      </c>
      <c r="AG268" s="859"/>
      <c r="AH268" s="27" t="str">
        <f t="shared" si="62"/>
        <v/>
      </c>
      <c r="AI268" s="152">
        <f ca="1">IF(W269&gt;0,0,IF(AH268=0,(Z268*-1)+BC268+SUM(BB$4:BB267),BC268+SUM(BB$4:BB267)))</f>
        <v>-2.1316282072803006E-13</v>
      </c>
      <c r="AJ268" s="931">
        <f>IF(AND(AL268&gt;=$U$1,AL268&lt;=$U$2),IF(AM268='ESTRATTO CONTO'!$E$2,1+COUNTIF(AJ$4:AJ267,"&gt;0")+U$1015,0),0)</f>
        <v>0</v>
      </c>
      <c r="AK268" s="203">
        <f>IF(AND(OR((AK267+1)&lt;AL$1015,(AK267+1)=AL$1015),MAX(AK$4:AK267)&lt;AL$1015),AK267+1,0)</f>
        <v>0</v>
      </c>
      <c r="AL268" s="309">
        <f>VLOOKUP($AK268,ENTI!$AF$4:AG$1003,2,FALSE)</f>
        <v>0</v>
      </c>
      <c r="AM268" s="224">
        <f>VLOOKUP($AK268,ENTI!$AF$4:AH$1003,3,FALSE)</f>
        <v>0</v>
      </c>
      <c r="AN268" s="224">
        <f>VLOOKUP($AK268,ENTI!$AF$4:AI$1003,4,FALSE)</f>
        <v>0</v>
      </c>
      <c r="AO268" s="781">
        <f>VLOOKUP($AK268,ENTI!$AF$4:AJ$1003,5,FALSE)</f>
        <v>0</v>
      </c>
      <c r="AP268" s="315">
        <f>VLOOKUP($AK268,ENTI!$AF$4:AK$1003,6,FALSE)</f>
        <v>0</v>
      </c>
      <c r="AQ268" s="208">
        <f t="shared" si="58"/>
        <v>0</v>
      </c>
      <c r="AR268" s="152" t="e">
        <f t="shared" si="59"/>
        <v>#N/A</v>
      </c>
      <c r="AS268" s="1"/>
      <c r="AT268" s="88" t="str">
        <f t="shared" si="63"/>
        <v/>
      </c>
      <c r="AU268" s="1"/>
      <c r="AV268" s="175">
        <f>IF(AW268&gt;0,COUNTIF(AV$4:AV267,"&gt;0")+1,0)</f>
        <v>0</v>
      </c>
      <c r="AW268" s="164">
        <f t="shared" si="64"/>
        <v>0</v>
      </c>
      <c r="AX268" s="310">
        <f>IF($AW268=0,0,VLOOKUP(VLOOKUP($X268,$B$34:$T$38,19,FALSE),ENTI!$A$9:$B$13,2,FALSE))</f>
        <v>0</v>
      </c>
      <c r="AY268" s="310">
        <f t="shared" si="66"/>
        <v>0</v>
      </c>
      <c r="AZ268" s="316">
        <f t="shared" si="67"/>
        <v>0</v>
      </c>
      <c r="BA268" s="1"/>
      <c r="BB268" s="152">
        <f t="shared" si="68"/>
        <v>0</v>
      </c>
      <c r="BC268" s="152">
        <f ca="1">SUM(Z$4:Z268)+SUM(BB$4:BB268)+COSTI!S$6-COSTI!L$1076</f>
        <v>-31.760000000000218</v>
      </c>
      <c r="BD268" s="1"/>
    </row>
    <row r="269" spans="1:56" ht="16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435">
        <f>IF(AND(W269&gt;=$U$1,W269&lt;=$U$2),IF(X269='ESTRATTO CONTO'!$E$2,1+COUNTIF(U$4:U268,"&gt;0"),0),0)</f>
        <v>0</v>
      </c>
      <c r="V269" s="417">
        <f t="shared" si="65"/>
        <v>266</v>
      </c>
      <c r="W269" s="509"/>
      <c r="X269" s="321"/>
      <c r="Y269" s="321"/>
      <c r="Z269" s="508"/>
      <c r="AA269" s="356"/>
      <c r="AB269" s="306" t="str">
        <f t="shared" si="61"/>
        <v/>
      </c>
      <c r="AC269" s="637">
        <f t="shared" ca="1" si="60"/>
        <v>-2.1316282072803006E-13</v>
      </c>
      <c r="AD269" s="935">
        <f>IF(ISERROR(VLOOKUP(AD$2,X270:X$1003,1,FALSE)),IF(X269=AD$2,SUMIF(X$4:X269,AD$2,Z$4:Z269)+$E$9+SUM(AQ$4:AQ$1003)+SUMIF(COSTI!$X$1379:$X$1430,AD$2,COSTI!$Z$1379:$Z$1430),0),0)</f>
        <v>0</v>
      </c>
      <c r="AE269" s="26"/>
      <c r="AF269" s="856" t="e">
        <f>IF(ISERROR(VLOOKUP(AG$2,X270:X$1003,1,FALSE)),IF(X269=AG$2,SUMIF(X$4:X269,AG$2,Z$4:Z269)+VLOOKUP(AF$2,$B$1057:$F$1068,5,FALSE)+SUM(AR$4:AR$1003)+SUMIF(COSTI!$X$1379:$X$1430,AG$2,COSTI!$Z$1379:$Z$1430),0),0)</f>
        <v>#N/A</v>
      </c>
      <c r="AG269" s="859"/>
      <c r="AH269" s="27" t="str">
        <f t="shared" si="62"/>
        <v/>
      </c>
      <c r="AI269" s="152">
        <f ca="1">IF(W270&gt;0,0,IF(AH269=0,(Z269*-1)+BC269+SUM(BB$4:BB268),BC269+SUM(BB$4:BB268)))</f>
        <v>-2.1316282072803006E-13</v>
      </c>
      <c r="AJ269" s="931">
        <f>IF(AND(AL269&gt;=$U$1,AL269&lt;=$U$2),IF(AM269='ESTRATTO CONTO'!$E$2,1+COUNTIF(AJ$4:AJ268,"&gt;0")+U$1015,0),0)</f>
        <v>0</v>
      </c>
      <c r="AK269" s="203">
        <f>IF(AND(OR((AK268+1)&lt;AL$1015,(AK268+1)=AL$1015),MAX(AK$4:AK268)&lt;AL$1015),AK268+1,0)</f>
        <v>0</v>
      </c>
      <c r="AL269" s="309">
        <f>VLOOKUP($AK269,ENTI!$AF$4:AG$1003,2,FALSE)</f>
        <v>0</v>
      </c>
      <c r="AM269" s="224">
        <f>VLOOKUP($AK269,ENTI!$AF$4:AH$1003,3,FALSE)</f>
        <v>0</v>
      </c>
      <c r="AN269" s="224">
        <f>VLOOKUP($AK269,ENTI!$AF$4:AI$1003,4,FALSE)</f>
        <v>0</v>
      </c>
      <c r="AO269" s="781">
        <f>VLOOKUP($AK269,ENTI!$AF$4:AJ$1003,5,FALSE)</f>
        <v>0</v>
      </c>
      <c r="AP269" s="315">
        <f>VLOOKUP($AK269,ENTI!$AF$4:AK$1003,6,FALSE)</f>
        <v>0</v>
      </c>
      <c r="AQ269" s="208">
        <f t="shared" si="58"/>
        <v>0</v>
      </c>
      <c r="AR269" s="152" t="e">
        <f t="shared" si="59"/>
        <v>#N/A</v>
      </c>
      <c r="AS269" s="1"/>
      <c r="AT269" s="88" t="str">
        <f t="shared" si="63"/>
        <v/>
      </c>
      <c r="AU269" s="1"/>
      <c r="AV269" s="175">
        <f>IF(AW269&gt;0,COUNTIF(AV$4:AV268,"&gt;0")+1,0)</f>
        <v>0</v>
      </c>
      <c r="AW269" s="164">
        <f t="shared" si="64"/>
        <v>0</v>
      </c>
      <c r="AX269" s="310">
        <f>IF($AW269=0,0,VLOOKUP(VLOOKUP($X269,$B$34:$T$38,19,FALSE),ENTI!$A$9:$B$13,2,FALSE))</f>
        <v>0</v>
      </c>
      <c r="AY269" s="310">
        <f t="shared" si="66"/>
        <v>0</v>
      </c>
      <c r="AZ269" s="316">
        <f t="shared" si="67"/>
        <v>0</v>
      </c>
      <c r="BA269" s="1"/>
      <c r="BB269" s="152">
        <f t="shared" si="68"/>
        <v>0</v>
      </c>
      <c r="BC269" s="152">
        <f ca="1">SUM(Z$4:Z269)+SUM(BB$4:BB269)+COSTI!S$6-COSTI!L$1076</f>
        <v>-31.760000000000218</v>
      </c>
      <c r="BD269" s="1"/>
    </row>
    <row r="270" spans="1:56" ht="16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435">
        <f>IF(AND(W270&gt;=$U$1,W270&lt;=$U$2),IF(X270='ESTRATTO CONTO'!$E$2,1+COUNTIF(U$4:U269,"&gt;0"),0),0)</f>
        <v>0</v>
      </c>
      <c r="V270" s="417">
        <f t="shared" si="65"/>
        <v>267</v>
      </c>
      <c r="W270" s="509"/>
      <c r="X270" s="321"/>
      <c r="Y270" s="321"/>
      <c r="Z270" s="508"/>
      <c r="AA270" s="356"/>
      <c r="AB270" s="306" t="str">
        <f t="shared" si="61"/>
        <v/>
      </c>
      <c r="AC270" s="637">
        <f t="shared" ca="1" si="60"/>
        <v>-2.1316282072803006E-13</v>
      </c>
      <c r="AD270" s="935">
        <f>IF(ISERROR(VLOOKUP(AD$2,X271:X$1003,1,FALSE)),IF(X270=AD$2,SUMIF(X$4:X270,AD$2,Z$4:Z270)+$E$9+SUM(AQ$4:AQ$1003)+SUMIF(COSTI!$X$1379:$X$1430,AD$2,COSTI!$Z$1379:$Z$1430),0),0)</f>
        <v>0</v>
      </c>
      <c r="AE270" s="26"/>
      <c r="AF270" s="856" t="e">
        <f>IF(ISERROR(VLOOKUP(AG$2,X271:X$1003,1,FALSE)),IF(X270=AG$2,SUMIF(X$4:X270,AG$2,Z$4:Z270)+VLOOKUP(AF$2,$B$1057:$F$1068,5,FALSE)+SUM(AR$4:AR$1003)+SUMIF(COSTI!$X$1379:$X$1430,AG$2,COSTI!$Z$1379:$Z$1430),0),0)</f>
        <v>#N/A</v>
      </c>
      <c r="AG270" s="859"/>
      <c r="AH270" s="27" t="str">
        <f t="shared" si="62"/>
        <v/>
      </c>
      <c r="AI270" s="152">
        <f ca="1">IF(W271&gt;0,0,IF(AH270=0,(Z270*-1)+BC270+SUM(BB$4:BB269),BC270+SUM(BB$4:BB269)))</f>
        <v>-2.1316282072803006E-13</v>
      </c>
      <c r="AJ270" s="931">
        <f>IF(AND(AL270&gt;=$U$1,AL270&lt;=$U$2),IF(AM270='ESTRATTO CONTO'!$E$2,1+COUNTIF(AJ$4:AJ269,"&gt;0")+U$1015,0),0)</f>
        <v>0</v>
      </c>
      <c r="AK270" s="203">
        <f>IF(AND(OR((AK269+1)&lt;AL$1015,(AK269+1)=AL$1015),MAX(AK$4:AK269)&lt;AL$1015),AK269+1,0)</f>
        <v>0</v>
      </c>
      <c r="AL270" s="309">
        <f>VLOOKUP($AK270,ENTI!$AF$4:AG$1003,2,FALSE)</f>
        <v>0</v>
      </c>
      <c r="AM270" s="224">
        <f>VLOOKUP($AK270,ENTI!$AF$4:AH$1003,3,FALSE)</f>
        <v>0</v>
      </c>
      <c r="AN270" s="224">
        <f>VLOOKUP($AK270,ENTI!$AF$4:AI$1003,4,FALSE)</f>
        <v>0</v>
      </c>
      <c r="AO270" s="781">
        <f>VLOOKUP($AK270,ENTI!$AF$4:AJ$1003,5,FALSE)</f>
        <v>0</v>
      </c>
      <c r="AP270" s="315">
        <f>VLOOKUP($AK270,ENTI!$AF$4:AK$1003,6,FALSE)</f>
        <v>0</v>
      </c>
      <c r="AQ270" s="208">
        <f t="shared" si="58"/>
        <v>0</v>
      </c>
      <c r="AR270" s="152" t="e">
        <f t="shared" si="59"/>
        <v>#N/A</v>
      </c>
      <c r="AS270" s="1"/>
      <c r="AT270" s="88" t="str">
        <f t="shared" si="63"/>
        <v/>
      </c>
      <c r="AU270" s="1"/>
      <c r="AV270" s="175">
        <f>IF(AW270&gt;0,COUNTIF(AV$4:AV269,"&gt;0")+1,0)</f>
        <v>0</v>
      </c>
      <c r="AW270" s="164">
        <f t="shared" si="64"/>
        <v>0</v>
      </c>
      <c r="AX270" s="310">
        <f>IF($AW270=0,0,VLOOKUP(VLOOKUP($X270,$B$34:$T$38,19,FALSE),ENTI!$A$9:$B$13,2,FALSE))</f>
        <v>0</v>
      </c>
      <c r="AY270" s="310">
        <f t="shared" si="66"/>
        <v>0</v>
      </c>
      <c r="AZ270" s="316">
        <f t="shared" si="67"/>
        <v>0</v>
      </c>
      <c r="BA270" s="1"/>
      <c r="BB270" s="152">
        <f t="shared" si="68"/>
        <v>0</v>
      </c>
      <c r="BC270" s="152">
        <f ca="1">SUM(Z$4:Z270)+SUM(BB$4:BB270)+COSTI!S$6-COSTI!L$1076</f>
        <v>-31.760000000000218</v>
      </c>
      <c r="BD270" s="1"/>
    </row>
    <row r="271" spans="1:56" ht="16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435">
        <f>IF(AND(W271&gt;=$U$1,W271&lt;=$U$2),IF(X271='ESTRATTO CONTO'!$E$2,1+COUNTIF(U$4:U270,"&gt;0"),0),0)</f>
        <v>0</v>
      </c>
      <c r="V271" s="417">
        <f t="shared" si="65"/>
        <v>268</v>
      </c>
      <c r="W271" s="509"/>
      <c r="X271" s="321"/>
      <c r="Y271" s="321"/>
      <c r="Z271" s="508"/>
      <c r="AA271" s="356"/>
      <c r="AB271" s="306" t="str">
        <f t="shared" si="61"/>
        <v/>
      </c>
      <c r="AC271" s="637">
        <f t="shared" ca="1" si="60"/>
        <v>-2.1316282072803006E-13</v>
      </c>
      <c r="AD271" s="935">
        <f>IF(ISERROR(VLOOKUP(AD$2,X272:X$1003,1,FALSE)),IF(X271=AD$2,SUMIF(X$4:X271,AD$2,Z$4:Z271)+$E$9+SUM(AQ$4:AQ$1003)+SUMIF(COSTI!$X$1379:$X$1430,AD$2,COSTI!$Z$1379:$Z$1430),0),0)</f>
        <v>0</v>
      </c>
      <c r="AE271" s="26"/>
      <c r="AF271" s="856" t="e">
        <f>IF(ISERROR(VLOOKUP(AG$2,X272:X$1003,1,FALSE)),IF(X271=AG$2,SUMIF(X$4:X271,AG$2,Z$4:Z271)+VLOOKUP(AF$2,$B$1057:$F$1068,5,FALSE)+SUM(AR$4:AR$1003)+SUMIF(COSTI!$X$1379:$X$1430,AG$2,COSTI!$Z$1379:$Z$1430),0),0)</f>
        <v>#N/A</v>
      </c>
      <c r="AG271" s="859"/>
      <c r="AH271" s="27" t="str">
        <f t="shared" si="62"/>
        <v/>
      </c>
      <c r="AI271" s="152">
        <f ca="1">IF(W272&gt;0,0,IF(AH271=0,(Z271*-1)+BC271+SUM(BB$4:BB270),BC271+SUM(BB$4:BB270)))</f>
        <v>-2.1316282072803006E-13</v>
      </c>
      <c r="AJ271" s="931">
        <f>IF(AND(AL271&gt;=$U$1,AL271&lt;=$U$2),IF(AM271='ESTRATTO CONTO'!$E$2,1+COUNTIF(AJ$4:AJ270,"&gt;0")+U$1015,0),0)</f>
        <v>0</v>
      </c>
      <c r="AK271" s="203">
        <f>IF(AND(OR((AK270+1)&lt;AL$1015,(AK270+1)=AL$1015),MAX(AK$4:AK270)&lt;AL$1015),AK270+1,0)</f>
        <v>0</v>
      </c>
      <c r="AL271" s="309">
        <f>VLOOKUP($AK271,ENTI!$AF$4:AG$1003,2,FALSE)</f>
        <v>0</v>
      </c>
      <c r="AM271" s="224">
        <f>VLOOKUP($AK271,ENTI!$AF$4:AH$1003,3,FALSE)</f>
        <v>0</v>
      </c>
      <c r="AN271" s="224">
        <f>VLOOKUP($AK271,ENTI!$AF$4:AI$1003,4,FALSE)</f>
        <v>0</v>
      </c>
      <c r="AO271" s="781">
        <f>VLOOKUP($AK271,ENTI!$AF$4:AJ$1003,5,FALSE)</f>
        <v>0</v>
      </c>
      <c r="AP271" s="315">
        <f>VLOOKUP($AK271,ENTI!$AF$4:AK$1003,6,FALSE)</f>
        <v>0</v>
      </c>
      <c r="AQ271" s="208">
        <f t="shared" ref="AQ271:AQ334" si="69">IF(AM271=AQ$2,AO271,0)</f>
        <v>0</v>
      </c>
      <c r="AR271" s="152" t="e">
        <f t="shared" ref="AR271:AR334" si="70">IF(AM271=AR$1,AO271,0)</f>
        <v>#N/A</v>
      </c>
      <c r="AS271" s="1"/>
      <c r="AT271" s="88" t="str">
        <f t="shared" si="63"/>
        <v/>
      </c>
      <c r="AU271" s="1"/>
      <c r="AV271" s="175">
        <f>IF(AW271&gt;0,COUNTIF(AV$4:AV270,"&gt;0")+1,0)</f>
        <v>0</v>
      </c>
      <c r="AW271" s="164">
        <f t="shared" si="64"/>
        <v>0</v>
      </c>
      <c r="AX271" s="310">
        <f>IF($AW271=0,0,VLOOKUP(VLOOKUP($X271,$B$34:$T$38,19,FALSE),ENTI!$A$9:$B$13,2,FALSE))</f>
        <v>0</v>
      </c>
      <c r="AY271" s="310">
        <f t="shared" si="66"/>
        <v>0</v>
      </c>
      <c r="AZ271" s="316">
        <f t="shared" si="67"/>
        <v>0</v>
      </c>
      <c r="BA271" s="1"/>
      <c r="BB271" s="152">
        <f t="shared" si="68"/>
        <v>0</v>
      </c>
      <c r="BC271" s="152">
        <f ca="1">SUM(Z$4:Z271)+SUM(BB$4:BB271)+COSTI!S$6-COSTI!L$1076</f>
        <v>-31.760000000000218</v>
      </c>
      <c r="BD271" s="1"/>
    </row>
    <row r="272" spans="1:56" ht="16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435">
        <f>IF(AND(W272&gt;=$U$1,W272&lt;=$U$2),IF(X272='ESTRATTO CONTO'!$E$2,1+COUNTIF(U$4:U271,"&gt;0"),0),0)</f>
        <v>0</v>
      </c>
      <c r="V272" s="417">
        <f t="shared" si="65"/>
        <v>269</v>
      </c>
      <c r="W272" s="509"/>
      <c r="X272" s="321"/>
      <c r="Y272" s="321"/>
      <c r="Z272" s="508"/>
      <c r="AA272" s="356"/>
      <c r="AB272" s="306" t="str">
        <f t="shared" si="61"/>
        <v/>
      </c>
      <c r="AC272" s="637">
        <f t="shared" ca="1" si="60"/>
        <v>-2.1316282072803006E-13</v>
      </c>
      <c r="AD272" s="935">
        <f>IF(ISERROR(VLOOKUP(AD$2,X273:X$1003,1,FALSE)),IF(X272=AD$2,SUMIF(X$4:X272,AD$2,Z$4:Z272)+$E$9+SUM(AQ$4:AQ$1003)+SUMIF(COSTI!$X$1379:$X$1430,AD$2,COSTI!$Z$1379:$Z$1430),0),0)</f>
        <v>0</v>
      </c>
      <c r="AE272" s="26"/>
      <c r="AF272" s="856" t="e">
        <f>IF(ISERROR(VLOOKUP(AG$2,X273:X$1003,1,FALSE)),IF(X272=AG$2,SUMIF(X$4:X272,AG$2,Z$4:Z272)+VLOOKUP(AF$2,$B$1057:$F$1068,5,FALSE)+SUM(AR$4:AR$1003)+SUMIF(COSTI!$X$1379:$X$1430,AG$2,COSTI!$Z$1379:$Z$1430),0),0)</f>
        <v>#N/A</v>
      </c>
      <c r="AG272" s="859"/>
      <c r="AH272" s="27" t="str">
        <f t="shared" si="62"/>
        <v/>
      </c>
      <c r="AI272" s="152">
        <f ca="1">IF(W273&gt;0,0,IF(AH272=0,(Z272*-1)+BC272+SUM(BB$4:BB271),BC272+SUM(BB$4:BB271)))</f>
        <v>-2.1316282072803006E-13</v>
      </c>
      <c r="AJ272" s="931">
        <f>IF(AND(AL272&gt;=$U$1,AL272&lt;=$U$2),IF(AM272='ESTRATTO CONTO'!$E$2,1+COUNTIF(AJ$4:AJ271,"&gt;0")+U$1015,0),0)</f>
        <v>0</v>
      </c>
      <c r="AK272" s="203">
        <f>IF(AND(OR((AK271+1)&lt;AL$1015,(AK271+1)=AL$1015),MAX(AK$4:AK271)&lt;AL$1015),AK271+1,0)</f>
        <v>0</v>
      </c>
      <c r="AL272" s="309">
        <f>VLOOKUP($AK272,ENTI!$AF$4:AG$1003,2,FALSE)</f>
        <v>0</v>
      </c>
      <c r="AM272" s="224">
        <f>VLOOKUP($AK272,ENTI!$AF$4:AH$1003,3,FALSE)</f>
        <v>0</v>
      </c>
      <c r="AN272" s="224">
        <f>VLOOKUP($AK272,ENTI!$AF$4:AI$1003,4,FALSE)</f>
        <v>0</v>
      </c>
      <c r="AO272" s="781">
        <f>VLOOKUP($AK272,ENTI!$AF$4:AJ$1003,5,FALSE)</f>
        <v>0</v>
      </c>
      <c r="AP272" s="315">
        <f>VLOOKUP($AK272,ENTI!$AF$4:AK$1003,6,FALSE)</f>
        <v>0</v>
      </c>
      <c r="AQ272" s="208">
        <f t="shared" si="69"/>
        <v>0</v>
      </c>
      <c r="AR272" s="152" t="e">
        <f t="shared" si="70"/>
        <v>#N/A</v>
      </c>
      <c r="AS272" s="1"/>
      <c r="AT272" s="88" t="str">
        <f t="shared" si="63"/>
        <v/>
      </c>
      <c r="AU272" s="1"/>
      <c r="AV272" s="175">
        <f>IF(AW272&gt;0,COUNTIF(AV$4:AV271,"&gt;0")+1,0)</f>
        <v>0</v>
      </c>
      <c r="AW272" s="164">
        <f t="shared" si="64"/>
        <v>0</v>
      </c>
      <c r="AX272" s="310">
        <f>IF($AW272=0,0,VLOOKUP(VLOOKUP($X272,$B$34:$T$38,19,FALSE),ENTI!$A$9:$B$13,2,FALSE))</f>
        <v>0</v>
      </c>
      <c r="AY272" s="310">
        <f t="shared" si="66"/>
        <v>0</v>
      </c>
      <c r="AZ272" s="316">
        <f t="shared" si="67"/>
        <v>0</v>
      </c>
      <c r="BA272" s="1"/>
      <c r="BB272" s="152">
        <f t="shared" si="68"/>
        <v>0</v>
      </c>
      <c r="BC272" s="152">
        <f ca="1">SUM(Z$4:Z272)+SUM(BB$4:BB272)+COSTI!S$6-COSTI!L$1076</f>
        <v>-31.760000000000218</v>
      </c>
      <c r="BD272" s="1"/>
    </row>
    <row r="273" spans="1:56" ht="16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435">
        <f>IF(AND(W273&gt;=$U$1,W273&lt;=$U$2),IF(X273='ESTRATTO CONTO'!$E$2,1+COUNTIF(U$4:U272,"&gt;0"),0),0)</f>
        <v>0</v>
      </c>
      <c r="V273" s="417">
        <f t="shared" si="65"/>
        <v>270</v>
      </c>
      <c r="W273" s="509"/>
      <c r="X273" s="321"/>
      <c r="Y273" s="321"/>
      <c r="Z273" s="508"/>
      <c r="AA273" s="356"/>
      <c r="AB273" s="306" t="str">
        <f t="shared" si="61"/>
        <v/>
      </c>
      <c r="AC273" s="637">
        <f t="shared" ca="1" si="60"/>
        <v>-2.1316282072803006E-13</v>
      </c>
      <c r="AD273" s="935">
        <f>IF(ISERROR(VLOOKUP(AD$2,X274:X$1003,1,FALSE)),IF(X273=AD$2,SUMIF(X$4:X273,AD$2,Z$4:Z273)+$E$9+SUM(AQ$4:AQ$1003)+SUMIF(COSTI!$X$1379:$X$1430,AD$2,COSTI!$Z$1379:$Z$1430),0),0)</f>
        <v>0</v>
      </c>
      <c r="AE273" s="26"/>
      <c r="AF273" s="856" t="e">
        <f>IF(ISERROR(VLOOKUP(AG$2,X274:X$1003,1,FALSE)),IF(X273=AG$2,SUMIF(X$4:X273,AG$2,Z$4:Z273)+VLOOKUP(AF$2,$B$1057:$F$1068,5,FALSE)+SUM(AR$4:AR$1003)+SUMIF(COSTI!$X$1379:$X$1430,AG$2,COSTI!$Z$1379:$Z$1430),0),0)</f>
        <v>#N/A</v>
      </c>
      <c r="AG273" s="859"/>
      <c r="AH273" s="27" t="str">
        <f t="shared" si="62"/>
        <v/>
      </c>
      <c r="AI273" s="152">
        <f ca="1">IF(W274&gt;0,0,IF(AH273=0,(Z273*-1)+BC273+SUM(BB$4:BB272),BC273+SUM(BB$4:BB272)))</f>
        <v>-2.1316282072803006E-13</v>
      </c>
      <c r="AJ273" s="931">
        <f>IF(AND(AL273&gt;=$U$1,AL273&lt;=$U$2),IF(AM273='ESTRATTO CONTO'!$E$2,1+COUNTIF(AJ$4:AJ272,"&gt;0")+U$1015,0),0)</f>
        <v>0</v>
      </c>
      <c r="AK273" s="203">
        <f>IF(AND(OR((AK272+1)&lt;AL$1015,(AK272+1)=AL$1015),MAX(AK$4:AK272)&lt;AL$1015),AK272+1,0)</f>
        <v>0</v>
      </c>
      <c r="AL273" s="309">
        <f>VLOOKUP($AK273,ENTI!$AF$4:AG$1003,2,FALSE)</f>
        <v>0</v>
      </c>
      <c r="AM273" s="224">
        <f>VLOOKUP($AK273,ENTI!$AF$4:AH$1003,3,FALSE)</f>
        <v>0</v>
      </c>
      <c r="AN273" s="224">
        <f>VLOOKUP($AK273,ENTI!$AF$4:AI$1003,4,FALSE)</f>
        <v>0</v>
      </c>
      <c r="AO273" s="781">
        <f>VLOOKUP($AK273,ENTI!$AF$4:AJ$1003,5,FALSE)</f>
        <v>0</v>
      </c>
      <c r="AP273" s="315">
        <f>VLOOKUP($AK273,ENTI!$AF$4:AK$1003,6,FALSE)</f>
        <v>0</v>
      </c>
      <c r="AQ273" s="208">
        <f t="shared" si="69"/>
        <v>0</v>
      </c>
      <c r="AR273" s="152" t="e">
        <f t="shared" si="70"/>
        <v>#N/A</v>
      </c>
      <c r="AS273" s="1"/>
      <c r="AT273" s="88" t="str">
        <f t="shared" si="63"/>
        <v/>
      </c>
      <c r="AU273" s="1"/>
      <c r="AV273" s="175">
        <f>IF(AW273&gt;0,COUNTIF(AV$4:AV272,"&gt;0")+1,0)</f>
        <v>0</v>
      </c>
      <c r="AW273" s="164">
        <f t="shared" si="64"/>
        <v>0</v>
      </c>
      <c r="AX273" s="310">
        <f>IF($AW273=0,0,VLOOKUP(VLOOKUP($X273,$B$34:$T$38,19,FALSE),ENTI!$A$9:$B$13,2,FALSE))</f>
        <v>0</v>
      </c>
      <c r="AY273" s="310">
        <f t="shared" si="66"/>
        <v>0</v>
      </c>
      <c r="AZ273" s="316">
        <f t="shared" si="67"/>
        <v>0</v>
      </c>
      <c r="BA273" s="1"/>
      <c r="BB273" s="152">
        <f t="shared" si="68"/>
        <v>0</v>
      </c>
      <c r="BC273" s="152">
        <f ca="1">SUM(Z$4:Z273)+SUM(BB$4:BB273)+COSTI!S$6-COSTI!L$1076</f>
        <v>-31.760000000000218</v>
      </c>
      <c r="BD273" s="1"/>
    </row>
    <row r="274" spans="1:56" ht="16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435">
        <f>IF(AND(W274&gt;=$U$1,W274&lt;=$U$2),IF(X274='ESTRATTO CONTO'!$E$2,1+COUNTIF(U$4:U273,"&gt;0"),0),0)</f>
        <v>0</v>
      </c>
      <c r="V274" s="417">
        <f t="shared" si="65"/>
        <v>271</v>
      </c>
      <c r="W274" s="509"/>
      <c r="X274" s="321"/>
      <c r="Y274" s="321"/>
      <c r="Z274" s="508"/>
      <c r="AA274" s="356"/>
      <c r="AB274" s="306" t="str">
        <f t="shared" si="61"/>
        <v/>
      </c>
      <c r="AC274" s="637">
        <f t="shared" ca="1" si="60"/>
        <v>-2.1316282072803006E-13</v>
      </c>
      <c r="AD274" s="935">
        <f>IF(ISERROR(VLOOKUP(AD$2,X275:X$1003,1,FALSE)),IF(X274=AD$2,SUMIF(X$4:X274,AD$2,Z$4:Z274)+$E$9+SUM(AQ$4:AQ$1003)+SUMIF(COSTI!$X$1379:$X$1430,AD$2,COSTI!$Z$1379:$Z$1430),0),0)</f>
        <v>0</v>
      </c>
      <c r="AE274" s="26"/>
      <c r="AF274" s="856" t="e">
        <f>IF(ISERROR(VLOOKUP(AG$2,X275:X$1003,1,FALSE)),IF(X274=AG$2,SUMIF(X$4:X274,AG$2,Z$4:Z274)+VLOOKUP(AF$2,$B$1057:$F$1068,5,FALSE)+SUM(AR$4:AR$1003)+SUMIF(COSTI!$X$1379:$X$1430,AG$2,COSTI!$Z$1379:$Z$1430),0),0)</f>
        <v>#N/A</v>
      </c>
      <c r="AG274" s="859"/>
      <c r="AH274" s="27" t="str">
        <f t="shared" si="62"/>
        <v/>
      </c>
      <c r="AI274" s="152">
        <f ca="1">IF(W275&gt;0,0,IF(AH274=0,(Z274*-1)+BC274+SUM(BB$4:BB273),BC274+SUM(BB$4:BB273)))</f>
        <v>-2.1316282072803006E-13</v>
      </c>
      <c r="AJ274" s="931">
        <f>IF(AND(AL274&gt;=$U$1,AL274&lt;=$U$2),IF(AM274='ESTRATTO CONTO'!$E$2,1+COUNTIF(AJ$4:AJ273,"&gt;0")+U$1015,0),0)</f>
        <v>0</v>
      </c>
      <c r="AK274" s="203">
        <f>IF(AND(OR((AK273+1)&lt;AL$1015,(AK273+1)=AL$1015),MAX(AK$4:AK273)&lt;AL$1015),AK273+1,0)</f>
        <v>0</v>
      </c>
      <c r="AL274" s="309">
        <f>VLOOKUP($AK274,ENTI!$AF$4:AG$1003,2,FALSE)</f>
        <v>0</v>
      </c>
      <c r="AM274" s="224">
        <f>VLOOKUP($AK274,ENTI!$AF$4:AH$1003,3,FALSE)</f>
        <v>0</v>
      </c>
      <c r="AN274" s="224">
        <f>VLOOKUP($AK274,ENTI!$AF$4:AI$1003,4,FALSE)</f>
        <v>0</v>
      </c>
      <c r="AO274" s="781">
        <f>VLOOKUP($AK274,ENTI!$AF$4:AJ$1003,5,FALSE)</f>
        <v>0</v>
      </c>
      <c r="AP274" s="315">
        <f>VLOOKUP($AK274,ENTI!$AF$4:AK$1003,6,FALSE)</f>
        <v>0</v>
      </c>
      <c r="AQ274" s="208">
        <f t="shared" si="69"/>
        <v>0</v>
      </c>
      <c r="AR274" s="152" t="e">
        <f t="shared" si="70"/>
        <v>#N/A</v>
      </c>
      <c r="AS274" s="1"/>
      <c r="AT274" s="88" t="str">
        <f t="shared" si="63"/>
        <v/>
      </c>
      <c r="AU274" s="1"/>
      <c r="AV274" s="175">
        <f>IF(AW274&gt;0,COUNTIF(AV$4:AV273,"&gt;0")+1,0)</f>
        <v>0</v>
      </c>
      <c r="AW274" s="164">
        <f t="shared" si="64"/>
        <v>0</v>
      </c>
      <c r="AX274" s="310">
        <f>IF($AW274=0,0,VLOOKUP(VLOOKUP($X274,$B$34:$T$38,19,FALSE),ENTI!$A$9:$B$13,2,FALSE))</f>
        <v>0</v>
      </c>
      <c r="AY274" s="310">
        <f t="shared" si="66"/>
        <v>0</v>
      </c>
      <c r="AZ274" s="316">
        <f t="shared" si="67"/>
        <v>0</v>
      </c>
      <c r="BA274" s="1"/>
      <c r="BB274" s="152">
        <f t="shared" si="68"/>
        <v>0</v>
      </c>
      <c r="BC274" s="152">
        <f ca="1">SUM(Z$4:Z274)+SUM(BB$4:BB274)+COSTI!S$6-COSTI!L$1076</f>
        <v>-31.760000000000218</v>
      </c>
      <c r="BD274" s="1"/>
    </row>
    <row r="275" spans="1:56" ht="16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435">
        <f>IF(AND(W275&gt;=$U$1,W275&lt;=$U$2),IF(X275='ESTRATTO CONTO'!$E$2,1+COUNTIF(U$4:U274,"&gt;0"),0),0)</f>
        <v>0</v>
      </c>
      <c r="V275" s="417">
        <f t="shared" si="65"/>
        <v>272</v>
      </c>
      <c r="W275" s="509"/>
      <c r="X275" s="321"/>
      <c r="Y275" s="321"/>
      <c r="Z275" s="508"/>
      <c r="AA275" s="356"/>
      <c r="AB275" s="306" t="str">
        <f t="shared" si="61"/>
        <v/>
      </c>
      <c r="AC275" s="637">
        <f t="shared" ca="1" si="60"/>
        <v>-2.1316282072803006E-13</v>
      </c>
      <c r="AD275" s="935">
        <f>IF(ISERROR(VLOOKUP(AD$2,X276:X$1003,1,FALSE)),IF(X275=AD$2,SUMIF(X$4:X275,AD$2,Z$4:Z275)+$E$9+SUM(AQ$4:AQ$1003)+SUMIF(COSTI!$X$1379:$X$1430,AD$2,COSTI!$Z$1379:$Z$1430),0),0)</f>
        <v>0</v>
      </c>
      <c r="AE275" s="26"/>
      <c r="AF275" s="856" t="e">
        <f>IF(ISERROR(VLOOKUP(AG$2,X276:X$1003,1,FALSE)),IF(X275=AG$2,SUMIF(X$4:X275,AG$2,Z$4:Z275)+VLOOKUP(AF$2,$B$1057:$F$1068,5,FALSE)+SUM(AR$4:AR$1003)+SUMIF(COSTI!$X$1379:$X$1430,AG$2,COSTI!$Z$1379:$Z$1430),0),0)</f>
        <v>#N/A</v>
      </c>
      <c r="AG275" s="859"/>
      <c r="AH275" s="27" t="str">
        <f t="shared" si="62"/>
        <v/>
      </c>
      <c r="AI275" s="152">
        <f ca="1">IF(W276&gt;0,0,IF(AH275=0,(Z275*-1)+BC275+SUM(BB$4:BB274),BC275+SUM(BB$4:BB274)))</f>
        <v>-2.1316282072803006E-13</v>
      </c>
      <c r="AJ275" s="931">
        <f>IF(AND(AL275&gt;=$U$1,AL275&lt;=$U$2),IF(AM275='ESTRATTO CONTO'!$E$2,1+COUNTIF(AJ$4:AJ274,"&gt;0")+U$1015,0),0)</f>
        <v>0</v>
      </c>
      <c r="AK275" s="203">
        <f>IF(AND(OR((AK274+1)&lt;AL$1015,(AK274+1)=AL$1015),MAX(AK$4:AK274)&lt;AL$1015),AK274+1,0)</f>
        <v>0</v>
      </c>
      <c r="AL275" s="309">
        <f>VLOOKUP($AK275,ENTI!$AF$4:AG$1003,2,FALSE)</f>
        <v>0</v>
      </c>
      <c r="AM275" s="224">
        <f>VLOOKUP($AK275,ENTI!$AF$4:AH$1003,3,FALSE)</f>
        <v>0</v>
      </c>
      <c r="AN275" s="224">
        <f>VLOOKUP($AK275,ENTI!$AF$4:AI$1003,4,FALSE)</f>
        <v>0</v>
      </c>
      <c r="AO275" s="781">
        <f>VLOOKUP($AK275,ENTI!$AF$4:AJ$1003,5,FALSE)</f>
        <v>0</v>
      </c>
      <c r="AP275" s="315">
        <f>VLOOKUP($AK275,ENTI!$AF$4:AK$1003,6,FALSE)</f>
        <v>0</v>
      </c>
      <c r="AQ275" s="208">
        <f t="shared" si="69"/>
        <v>0</v>
      </c>
      <c r="AR275" s="152" t="e">
        <f t="shared" si="70"/>
        <v>#N/A</v>
      </c>
      <c r="AS275" s="1"/>
      <c r="AT275" s="88" t="str">
        <f t="shared" si="63"/>
        <v/>
      </c>
      <c r="AU275" s="1"/>
      <c r="AV275" s="175">
        <f>IF(AW275&gt;0,COUNTIF(AV$4:AV274,"&gt;0")+1,0)</f>
        <v>0</v>
      </c>
      <c r="AW275" s="164">
        <f t="shared" si="64"/>
        <v>0</v>
      </c>
      <c r="AX275" s="310">
        <f>IF($AW275=0,0,VLOOKUP(VLOOKUP($X275,$B$34:$T$38,19,FALSE),ENTI!$A$9:$B$13,2,FALSE))</f>
        <v>0</v>
      </c>
      <c r="AY275" s="310">
        <f t="shared" si="66"/>
        <v>0</v>
      </c>
      <c r="AZ275" s="316">
        <f t="shared" si="67"/>
        <v>0</v>
      </c>
      <c r="BA275" s="1"/>
      <c r="BB275" s="152">
        <f t="shared" si="68"/>
        <v>0</v>
      </c>
      <c r="BC275" s="152">
        <f ca="1">SUM(Z$4:Z275)+SUM(BB$4:BB275)+COSTI!S$6-COSTI!L$1076</f>
        <v>-31.760000000000218</v>
      </c>
      <c r="BD275" s="1"/>
    </row>
    <row r="276" spans="1:56" ht="16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435">
        <f>IF(AND(W276&gt;=$U$1,W276&lt;=$U$2),IF(X276='ESTRATTO CONTO'!$E$2,1+COUNTIF(U$4:U275,"&gt;0"),0),0)</f>
        <v>0</v>
      </c>
      <c r="V276" s="417">
        <f t="shared" si="65"/>
        <v>273</v>
      </c>
      <c r="W276" s="509"/>
      <c r="X276" s="321"/>
      <c r="Y276" s="321"/>
      <c r="Z276" s="508"/>
      <c r="AA276" s="356"/>
      <c r="AB276" s="306" t="str">
        <f t="shared" si="61"/>
        <v/>
      </c>
      <c r="AC276" s="637">
        <f t="shared" ca="1" si="60"/>
        <v>-2.1316282072803006E-13</v>
      </c>
      <c r="AD276" s="935">
        <f>IF(ISERROR(VLOOKUP(AD$2,X277:X$1003,1,FALSE)),IF(X276=AD$2,SUMIF(X$4:X276,AD$2,Z$4:Z276)+$E$9+SUM(AQ$4:AQ$1003)+SUMIF(COSTI!$X$1379:$X$1430,AD$2,COSTI!$Z$1379:$Z$1430),0),0)</f>
        <v>0</v>
      </c>
      <c r="AE276" s="26"/>
      <c r="AF276" s="856" t="e">
        <f>IF(ISERROR(VLOOKUP(AG$2,X277:X$1003,1,FALSE)),IF(X276=AG$2,SUMIF(X$4:X276,AG$2,Z$4:Z276)+VLOOKUP(AF$2,$B$1057:$F$1068,5,FALSE)+SUM(AR$4:AR$1003)+SUMIF(COSTI!$X$1379:$X$1430,AG$2,COSTI!$Z$1379:$Z$1430),0),0)</f>
        <v>#N/A</v>
      </c>
      <c r="AG276" s="859"/>
      <c r="AH276" s="27" t="str">
        <f t="shared" si="62"/>
        <v/>
      </c>
      <c r="AI276" s="152">
        <f ca="1">IF(W277&gt;0,0,IF(AH276=0,(Z276*-1)+BC276+SUM(BB$4:BB275),BC276+SUM(BB$4:BB275)))</f>
        <v>-2.1316282072803006E-13</v>
      </c>
      <c r="AJ276" s="931">
        <f>IF(AND(AL276&gt;=$U$1,AL276&lt;=$U$2),IF(AM276='ESTRATTO CONTO'!$E$2,1+COUNTIF(AJ$4:AJ275,"&gt;0")+U$1015,0),0)</f>
        <v>0</v>
      </c>
      <c r="AK276" s="203">
        <f>IF(AND(OR((AK275+1)&lt;AL$1015,(AK275+1)=AL$1015),MAX(AK$4:AK275)&lt;AL$1015),AK275+1,0)</f>
        <v>0</v>
      </c>
      <c r="AL276" s="309">
        <f>VLOOKUP($AK276,ENTI!$AF$4:AG$1003,2,FALSE)</f>
        <v>0</v>
      </c>
      <c r="AM276" s="224">
        <f>VLOOKUP($AK276,ENTI!$AF$4:AH$1003,3,FALSE)</f>
        <v>0</v>
      </c>
      <c r="AN276" s="224">
        <f>VLOOKUP($AK276,ENTI!$AF$4:AI$1003,4,FALSE)</f>
        <v>0</v>
      </c>
      <c r="AO276" s="781">
        <f>VLOOKUP($AK276,ENTI!$AF$4:AJ$1003,5,FALSE)</f>
        <v>0</v>
      </c>
      <c r="AP276" s="315">
        <f>VLOOKUP($AK276,ENTI!$AF$4:AK$1003,6,FALSE)</f>
        <v>0</v>
      </c>
      <c r="AQ276" s="208">
        <f t="shared" si="69"/>
        <v>0</v>
      </c>
      <c r="AR276" s="152" t="e">
        <f t="shared" si="70"/>
        <v>#N/A</v>
      </c>
      <c r="AS276" s="1"/>
      <c r="AT276" s="88" t="str">
        <f t="shared" si="63"/>
        <v/>
      </c>
      <c r="AU276" s="1"/>
      <c r="AV276" s="175">
        <f>IF(AW276&gt;0,COUNTIF(AV$4:AV275,"&gt;0")+1,0)</f>
        <v>0</v>
      </c>
      <c r="AW276" s="164">
        <f t="shared" si="64"/>
        <v>0</v>
      </c>
      <c r="AX276" s="310">
        <f>IF($AW276=0,0,VLOOKUP(VLOOKUP($X276,$B$34:$T$38,19,FALSE),ENTI!$A$9:$B$13,2,FALSE))</f>
        <v>0</v>
      </c>
      <c r="AY276" s="310">
        <f t="shared" si="66"/>
        <v>0</v>
      </c>
      <c r="AZ276" s="316">
        <f t="shared" si="67"/>
        <v>0</v>
      </c>
      <c r="BA276" s="1"/>
      <c r="BB276" s="152">
        <f t="shared" si="68"/>
        <v>0</v>
      </c>
      <c r="BC276" s="152">
        <f ca="1">SUM(Z$4:Z276)+SUM(BB$4:BB276)+COSTI!S$6-COSTI!L$1076</f>
        <v>-31.760000000000218</v>
      </c>
      <c r="BD276" s="1"/>
    </row>
    <row r="277" spans="1:56" ht="16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435">
        <f>IF(AND(W277&gt;=$U$1,W277&lt;=$U$2),IF(X277='ESTRATTO CONTO'!$E$2,1+COUNTIF(U$4:U276,"&gt;0"),0),0)</f>
        <v>0</v>
      </c>
      <c r="V277" s="417">
        <f t="shared" si="65"/>
        <v>274</v>
      </c>
      <c r="W277" s="509"/>
      <c r="X277" s="321"/>
      <c r="Y277" s="321"/>
      <c r="Z277" s="508"/>
      <c r="AA277" s="356"/>
      <c r="AB277" s="306" t="str">
        <f t="shared" si="61"/>
        <v/>
      </c>
      <c r="AC277" s="637">
        <f t="shared" ca="1" si="60"/>
        <v>-2.1316282072803006E-13</v>
      </c>
      <c r="AD277" s="935">
        <f>IF(ISERROR(VLOOKUP(AD$2,X278:X$1003,1,FALSE)),IF(X277=AD$2,SUMIF(X$4:X277,AD$2,Z$4:Z277)+$E$9+SUM(AQ$4:AQ$1003)+SUMIF(COSTI!$X$1379:$X$1430,AD$2,COSTI!$Z$1379:$Z$1430),0),0)</f>
        <v>0</v>
      </c>
      <c r="AE277" s="26"/>
      <c r="AF277" s="856" t="e">
        <f>IF(ISERROR(VLOOKUP(AG$2,X278:X$1003,1,FALSE)),IF(X277=AG$2,SUMIF(X$4:X277,AG$2,Z$4:Z277)+VLOOKUP(AF$2,$B$1057:$F$1068,5,FALSE)+SUM(AR$4:AR$1003)+SUMIF(COSTI!$X$1379:$X$1430,AG$2,COSTI!$Z$1379:$Z$1430),0),0)</f>
        <v>#N/A</v>
      </c>
      <c r="AG277" s="859"/>
      <c r="AH277" s="27" t="str">
        <f t="shared" si="62"/>
        <v/>
      </c>
      <c r="AI277" s="152">
        <f ca="1">IF(W278&gt;0,0,IF(AH277=0,(Z277*-1)+BC277+SUM(BB$4:BB276),BC277+SUM(BB$4:BB276)))</f>
        <v>-2.1316282072803006E-13</v>
      </c>
      <c r="AJ277" s="931">
        <f>IF(AND(AL277&gt;=$U$1,AL277&lt;=$U$2),IF(AM277='ESTRATTO CONTO'!$E$2,1+COUNTIF(AJ$4:AJ276,"&gt;0")+U$1015,0),0)</f>
        <v>0</v>
      </c>
      <c r="AK277" s="203">
        <f>IF(AND(OR((AK276+1)&lt;AL$1015,(AK276+1)=AL$1015),MAX(AK$4:AK276)&lt;AL$1015),AK276+1,0)</f>
        <v>0</v>
      </c>
      <c r="AL277" s="309">
        <f>VLOOKUP($AK277,ENTI!$AF$4:AG$1003,2,FALSE)</f>
        <v>0</v>
      </c>
      <c r="AM277" s="224">
        <f>VLOOKUP($AK277,ENTI!$AF$4:AH$1003,3,FALSE)</f>
        <v>0</v>
      </c>
      <c r="AN277" s="224">
        <f>VLOOKUP($AK277,ENTI!$AF$4:AI$1003,4,FALSE)</f>
        <v>0</v>
      </c>
      <c r="AO277" s="781">
        <f>VLOOKUP($AK277,ENTI!$AF$4:AJ$1003,5,FALSE)</f>
        <v>0</v>
      </c>
      <c r="AP277" s="315">
        <f>VLOOKUP($AK277,ENTI!$AF$4:AK$1003,6,FALSE)</f>
        <v>0</v>
      </c>
      <c r="AQ277" s="208">
        <f t="shared" si="69"/>
        <v>0</v>
      </c>
      <c r="AR277" s="152" t="e">
        <f t="shared" si="70"/>
        <v>#N/A</v>
      </c>
      <c r="AS277" s="1"/>
      <c r="AT277" s="88" t="str">
        <f t="shared" si="63"/>
        <v/>
      </c>
      <c r="AU277" s="1"/>
      <c r="AV277" s="175">
        <f>IF(AW277&gt;0,COUNTIF(AV$4:AV276,"&gt;0")+1,0)</f>
        <v>0</v>
      </c>
      <c r="AW277" s="164">
        <f t="shared" si="64"/>
        <v>0</v>
      </c>
      <c r="AX277" s="310">
        <f>IF($AW277=0,0,VLOOKUP(VLOOKUP($X277,$B$34:$T$38,19,FALSE),ENTI!$A$9:$B$13,2,FALSE))</f>
        <v>0</v>
      </c>
      <c r="AY277" s="310">
        <f t="shared" si="66"/>
        <v>0</v>
      </c>
      <c r="AZ277" s="316">
        <f t="shared" si="67"/>
        <v>0</v>
      </c>
      <c r="BA277" s="1"/>
      <c r="BB277" s="152">
        <f t="shared" si="68"/>
        <v>0</v>
      </c>
      <c r="BC277" s="152">
        <f ca="1">SUM(Z$4:Z277)+SUM(BB$4:BB277)+COSTI!S$6-COSTI!L$1076</f>
        <v>-31.760000000000218</v>
      </c>
      <c r="BD277" s="1"/>
    </row>
    <row r="278" spans="1:56" ht="16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435">
        <f>IF(AND(W278&gt;=$U$1,W278&lt;=$U$2),IF(X278='ESTRATTO CONTO'!$E$2,1+COUNTIF(U$4:U277,"&gt;0"),0),0)</f>
        <v>0</v>
      </c>
      <c r="V278" s="417">
        <f t="shared" si="65"/>
        <v>275</v>
      </c>
      <c r="W278" s="509"/>
      <c r="X278" s="321"/>
      <c r="Y278" s="321"/>
      <c r="Z278" s="508"/>
      <c r="AA278" s="356"/>
      <c r="AB278" s="306" t="str">
        <f t="shared" si="61"/>
        <v/>
      </c>
      <c r="AC278" s="637">
        <f t="shared" ca="1" si="60"/>
        <v>-2.1316282072803006E-13</v>
      </c>
      <c r="AD278" s="935">
        <f>IF(ISERROR(VLOOKUP(AD$2,X279:X$1003,1,FALSE)),IF(X278=AD$2,SUMIF(X$4:X278,AD$2,Z$4:Z278)+$E$9+SUM(AQ$4:AQ$1003)+SUMIF(COSTI!$X$1379:$X$1430,AD$2,COSTI!$Z$1379:$Z$1430),0),0)</f>
        <v>0</v>
      </c>
      <c r="AE278" s="26"/>
      <c r="AF278" s="856" t="e">
        <f>IF(ISERROR(VLOOKUP(AG$2,X279:X$1003,1,FALSE)),IF(X278=AG$2,SUMIF(X$4:X278,AG$2,Z$4:Z278)+VLOOKUP(AF$2,$B$1057:$F$1068,5,FALSE)+SUM(AR$4:AR$1003)+SUMIF(COSTI!$X$1379:$X$1430,AG$2,COSTI!$Z$1379:$Z$1430),0),0)</f>
        <v>#N/A</v>
      </c>
      <c r="AG278" s="859"/>
      <c r="AH278" s="27" t="str">
        <f t="shared" si="62"/>
        <v/>
      </c>
      <c r="AI278" s="152">
        <f ca="1">IF(W279&gt;0,0,IF(AH278=0,(Z278*-1)+BC278+SUM(BB$4:BB277),BC278+SUM(BB$4:BB277)))</f>
        <v>-2.1316282072803006E-13</v>
      </c>
      <c r="AJ278" s="931">
        <f>IF(AND(AL278&gt;=$U$1,AL278&lt;=$U$2),IF(AM278='ESTRATTO CONTO'!$E$2,1+COUNTIF(AJ$4:AJ277,"&gt;0")+U$1015,0),0)</f>
        <v>0</v>
      </c>
      <c r="AK278" s="203">
        <f>IF(AND(OR((AK277+1)&lt;AL$1015,(AK277+1)=AL$1015),MAX(AK$4:AK277)&lt;AL$1015),AK277+1,0)</f>
        <v>0</v>
      </c>
      <c r="AL278" s="309">
        <f>VLOOKUP($AK278,ENTI!$AF$4:AG$1003,2,FALSE)</f>
        <v>0</v>
      </c>
      <c r="AM278" s="224">
        <f>VLOOKUP($AK278,ENTI!$AF$4:AH$1003,3,FALSE)</f>
        <v>0</v>
      </c>
      <c r="AN278" s="224">
        <f>VLOOKUP($AK278,ENTI!$AF$4:AI$1003,4,FALSE)</f>
        <v>0</v>
      </c>
      <c r="AO278" s="781">
        <f>VLOOKUP($AK278,ENTI!$AF$4:AJ$1003,5,FALSE)</f>
        <v>0</v>
      </c>
      <c r="AP278" s="315">
        <f>VLOOKUP($AK278,ENTI!$AF$4:AK$1003,6,FALSE)</f>
        <v>0</v>
      </c>
      <c r="AQ278" s="208">
        <f t="shared" si="69"/>
        <v>0</v>
      </c>
      <c r="AR278" s="152" t="e">
        <f t="shared" si="70"/>
        <v>#N/A</v>
      </c>
      <c r="AS278" s="1"/>
      <c r="AT278" s="88" t="str">
        <f t="shared" si="63"/>
        <v/>
      </c>
      <c r="AU278" s="1"/>
      <c r="AV278" s="175">
        <f>IF(AW278&gt;0,COUNTIF(AV$4:AV277,"&gt;0")+1,0)</f>
        <v>0</v>
      </c>
      <c r="AW278" s="164">
        <f t="shared" si="64"/>
        <v>0</v>
      </c>
      <c r="AX278" s="310">
        <f>IF($AW278=0,0,VLOOKUP(VLOOKUP($X278,$B$34:$T$38,19,FALSE),ENTI!$A$9:$B$13,2,FALSE))</f>
        <v>0</v>
      </c>
      <c r="AY278" s="310">
        <f t="shared" si="66"/>
        <v>0</v>
      </c>
      <c r="AZ278" s="316">
        <f t="shared" si="67"/>
        <v>0</v>
      </c>
      <c r="BA278" s="1"/>
      <c r="BB278" s="152">
        <f t="shared" si="68"/>
        <v>0</v>
      </c>
      <c r="BC278" s="152">
        <f ca="1">SUM(Z$4:Z278)+SUM(BB$4:BB278)+COSTI!S$6-COSTI!L$1076</f>
        <v>-31.760000000000218</v>
      </c>
      <c r="BD278" s="1"/>
    </row>
    <row r="279" spans="1:56" ht="16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435">
        <f>IF(AND(W279&gt;=$U$1,W279&lt;=$U$2),IF(X279='ESTRATTO CONTO'!$E$2,1+COUNTIF(U$4:U278,"&gt;0"),0),0)</f>
        <v>0</v>
      </c>
      <c r="V279" s="417">
        <f t="shared" si="65"/>
        <v>276</v>
      </c>
      <c r="W279" s="509"/>
      <c r="X279" s="321"/>
      <c r="Y279" s="321"/>
      <c r="Z279" s="508"/>
      <c r="AA279" s="356"/>
      <c r="AB279" s="306" t="str">
        <f t="shared" si="61"/>
        <v/>
      </c>
      <c r="AC279" s="637">
        <f t="shared" ca="1" si="60"/>
        <v>-2.1316282072803006E-13</v>
      </c>
      <c r="AD279" s="935">
        <f>IF(ISERROR(VLOOKUP(AD$2,X280:X$1003,1,FALSE)),IF(X279=AD$2,SUMIF(X$4:X279,AD$2,Z$4:Z279)+$E$9+SUM(AQ$4:AQ$1003)+SUMIF(COSTI!$X$1379:$X$1430,AD$2,COSTI!$Z$1379:$Z$1430),0),0)</f>
        <v>0</v>
      </c>
      <c r="AE279" s="26"/>
      <c r="AF279" s="856" t="e">
        <f>IF(ISERROR(VLOOKUP(AG$2,X280:X$1003,1,FALSE)),IF(X279=AG$2,SUMIF(X$4:X279,AG$2,Z$4:Z279)+VLOOKUP(AF$2,$B$1057:$F$1068,5,FALSE)+SUM(AR$4:AR$1003)+SUMIF(COSTI!$X$1379:$X$1430,AG$2,COSTI!$Z$1379:$Z$1430),0),0)</f>
        <v>#N/A</v>
      </c>
      <c r="AG279" s="859"/>
      <c r="AH279" s="27" t="str">
        <f t="shared" si="62"/>
        <v/>
      </c>
      <c r="AI279" s="152">
        <f ca="1">IF(W280&gt;0,0,IF(AH279=0,(Z279*-1)+BC279+SUM(BB$4:BB278),BC279+SUM(BB$4:BB278)))</f>
        <v>-2.1316282072803006E-13</v>
      </c>
      <c r="AJ279" s="931">
        <f>IF(AND(AL279&gt;=$U$1,AL279&lt;=$U$2),IF(AM279='ESTRATTO CONTO'!$E$2,1+COUNTIF(AJ$4:AJ278,"&gt;0")+U$1015,0),0)</f>
        <v>0</v>
      </c>
      <c r="AK279" s="203">
        <f>IF(AND(OR((AK278+1)&lt;AL$1015,(AK278+1)=AL$1015),MAX(AK$4:AK278)&lt;AL$1015),AK278+1,0)</f>
        <v>0</v>
      </c>
      <c r="AL279" s="309">
        <f>VLOOKUP($AK279,ENTI!$AF$4:AG$1003,2,FALSE)</f>
        <v>0</v>
      </c>
      <c r="AM279" s="224">
        <f>VLOOKUP($AK279,ENTI!$AF$4:AH$1003,3,FALSE)</f>
        <v>0</v>
      </c>
      <c r="AN279" s="224">
        <f>VLOOKUP($AK279,ENTI!$AF$4:AI$1003,4,FALSE)</f>
        <v>0</v>
      </c>
      <c r="AO279" s="781">
        <f>VLOOKUP($AK279,ENTI!$AF$4:AJ$1003,5,FALSE)</f>
        <v>0</v>
      </c>
      <c r="AP279" s="315">
        <f>VLOOKUP($AK279,ENTI!$AF$4:AK$1003,6,FALSE)</f>
        <v>0</v>
      </c>
      <c r="AQ279" s="208">
        <f t="shared" si="69"/>
        <v>0</v>
      </c>
      <c r="AR279" s="152" t="e">
        <f t="shared" si="70"/>
        <v>#N/A</v>
      </c>
      <c r="AS279" s="1"/>
      <c r="AT279" s="88" t="str">
        <f t="shared" si="63"/>
        <v/>
      </c>
      <c r="AU279" s="1"/>
      <c r="AV279" s="175">
        <f>IF(AW279&gt;0,COUNTIF(AV$4:AV278,"&gt;0")+1,0)</f>
        <v>0</v>
      </c>
      <c r="AW279" s="164">
        <f t="shared" si="64"/>
        <v>0</v>
      </c>
      <c r="AX279" s="310">
        <f>IF($AW279=0,0,VLOOKUP(VLOOKUP($X279,$B$34:$T$38,19,FALSE),ENTI!$A$9:$B$13,2,FALSE))</f>
        <v>0</v>
      </c>
      <c r="AY279" s="310">
        <f t="shared" si="66"/>
        <v>0</v>
      </c>
      <c r="AZ279" s="316">
        <f t="shared" si="67"/>
        <v>0</v>
      </c>
      <c r="BA279" s="1"/>
      <c r="BB279" s="152">
        <f t="shared" si="68"/>
        <v>0</v>
      </c>
      <c r="BC279" s="152">
        <f ca="1">SUM(Z$4:Z279)+SUM(BB$4:BB279)+COSTI!S$6-COSTI!L$1076</f>
        <v>-31.760000000000218</v>
      </c>
      <c r="BD279" s="1"/>
    </row>
    <row r="280" spans="1:56" ht="16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435">
        <f>IF(AND(W280&gt;=$U$1,W280&lt;=$U$2),IF(X280='ESTRATTO CONTO'!$E$2,1+COUNTIF(U$4:U279,"&gt;0"),0),0)</f>
        <v>0</v>
      </c>
      <c r="V280" s="417">
        <f t="shared" si="65"/>
        <v>277</v>
      </c>
      <c r="W280" s="509"/>
      <c r="X280" s="321"/>
      <c r="Y280" s="321"/>
      <c r="Z280" s="508"/>
      <c r="AA280" s="356"/>
      <c r="AB280" s="306" t="str">
        <f t="shared" si="61"/>
        <v/>
      </c>
      <c r="AC280" s="637">
        <f t="shared" ca="1" si="60"/>
        <v>-2.1316282072803006E-13</v>
      </c>
      <c r="AD280" s="935">
        <f>IF(ISERROR(VLOOKUP(AD$2,X281:X$1003,1,FALSE)),IF(X280=AD$2,SUMIF(X$4:X280,AD$2,Z$4:Z280)+$E$9+SUM(AQ$4:AQ$1003)+SUMIF(COSTI!$X$1379:$X$1430,AD$2,COSTI!$Z$1379:$Z$1430),0),0)</f>
        <v>0</v>
      </c>
      <c r="AE280" s="26"/>
      <c r="AF280" s="856" t="e">
        <f>IF(ISERROR(VLOOKUP(AG$2,X281:X$1003,1,FALSE)),IF(X280=AG$2,SUMIF(X$4:X280,AG$2,Z$4:Z280)+VLOOKUP(AF$2,$B$1057:$F$1068,5,FALSE)+SUM(AR$4:AR$1003)+SUMIF(COSTI!$X$1379:$X$1430,AG$2,COSTI!$Z$1379:$Z$1430),0),0)</f>
        <v>#N/A</v>
      </c>
      <c r="AG280" s="859"/>
      <c r="AH280" s="27" t="str">
        <f t="shared" si="62"/>
        <v/>
      </c>
      <c r="AI280" s="152">
        <f ca="1">IF(W281&gt;0,0,IF(AH280=0,(Z280*-1)+BC280+SUM(BB$4:BB279),BC280+SUM(BB$4:BB279)))</f>
        <v>-2.1316282072803006E-13</v>
      </c>
      <c r="AJ280" s="931">
        <f>IF(AND(AL280&gt;=$U$1,AL280&lt;=$U$2),IF(AM280='ESTRATTO CONTO'!$E$2,1+COUNTIF(AJ$4:AJ279,"&gt;0")+U$1015,0),0)</f>
        <v>0</v>
      </c>
      <c r="AK280" s="203">
        <f>IF(AND(OR((AK279+1)&lt;AL$1015,(AK279+1)=AL$1015),MAX(AK$4:AK279)&lt;AL$1015),AK279+1,0)</f>
        <v>0</v>
      </c>
      <c r="AL280" s="309">
        <f>VLOOKUP($AK280,ENTI!$AF$4:AG$1003,2,FALSE)</f>
        <v>0</v>
      </c>
      <c r="AM280" s="224">
        <f>VLOOKUP($AK280,ENTI!$AF$4:AH$1003,3,FALSE)</f>
        <v>0</v>
      </c>
      <c r="AN280" s="224">
        <f>VLOOKUP($AK280,ENTI!$AF$4:AI$1003,4,FALSE)</f>
        <v>0</v>
      </c>
      <c r="AO280" s="781">
        <f>VLOOKUP($AK280,ENTI!$AF$4:AJ$1003,5,FALSE)</f>
        <v>0</v>
      </c>
      <c r="AP280" s="315">
        <f>VLOOKUP($AK280,ENTI!$AF$4:AK$1003,6,FALSE)</f>
        <v>0</v>
      </c>
      <c r="AQ280" s="208">
        <f t="shared" si="69"/>
        <v>0</v>
      </c>
      <c r="AR280" s="152" t="e">
        <f t="shared" si="70"/>
        <v>#N/A</v>
      </c>
      <c r="AS280" s="1"/>
      <c r="AT280" s="88" t="str">
        <f t="shared" si="63"/>
        <v/>
      </c>
      <c r="AU280" s="1"/>
      <c r="AV280" s="175">
        <f>IF(AW280&gt;0,COUNTIF(AV$4:AV279,"&gt;0")+1,0)</f>
        <v>0</v>
      </c>
      <c r="AW280" s="164">
        <f t="shared" si="64"/>
        <v>0</v>
      </c>
      <c r="AX280" s="310">
        <f>IF($AW280=0,0,VLOOKUP(VLOOKUP($X280,$B$34:$T$38,19,FALSE),ENTI!$A$9:$B$13,2,FALSE))</f>
        <v>0</v>
      </c>
      <c r="AY280" s="310">
        <f t="shared" si="66"/>
        <v>0</v>
      </c>
      <c r="AZ280" s="316">
        <f t="shared" si="67"/>
        <v>0</v>
      </c>
      <c r="BA280" s="1"/>
      <c r="BB280" s="152">
        <f t="shared" si="68"/>
        <v>0</v>
      </c>
      <c r="BC280" s="152">
        <f ca="1">SUM(Z$4:Z280)+SUM(BB$4:BB280)+COSTI!S$6-COSTI!L$1076</f>
        <v>-31.760000000000218</v>
      </c>
      <c r="BD280" s="1"/>
    </row>
    <row r="281" spans="1:56" ht="16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435">
        <f>IF(AND(W281&gt;=$U$1,W281&lt;=$U$2),IF(X281='ESTRATTO CONTO'!$E$2,1+COUNTIF(U$4:U280,"&gt;0"),0),0)</f>
        <v>0</v>
      </c>
      <c r="V281" s="417">
        <f t="shared" si="65"/>
        <v>278</v>
      </c>
      <c r="W281" s="509"/>
      <c r="X281" s="321"/>
      <c r="Y281" s="321"/>
      <c r="Z281" s="508"/>
      <c r="AA281" s="356"/>
      <c r="AB281" s="306" t="str">
        <f t="shared" si="61"/>
        <v/>
      </c>
      <c r="AC281" s="637">
        <f t="shared" ca="1" si="60"/>
        <v>-2.1316282072803006E-13</v>
      </c>
      <c r="AD281" s="935">
        <f>IF(ISERROR(VLOOKUP(AD$2,X282:X$1003,1,FALSE)),IF(X281=AD$2,SUMIF(X$4:X281,AD$2,Z$4:Z281)+$E$9+SUM(AQ$4:AQ$1003)+SUMIF(COSTI!$X$1379:$X$1430,AD$2,COSTI!$Z$1379:$Z$1430),0),0)</f>
        <v>0</v>
      </c>
      <c r="AE281" s="26"/>
      <c r="AF281" s="856" t="e">
        <f>IF(ISERROR(VLOOKUP(AG$2,X282:X$1003,1,FALSE)),IF(X281=AG$2,SUMIF(X$4:X281,AG$2,Z$4:Z281)+VLOOKUP(AF$2,$B$1057:$F$1068,5,FALSE)+SUM(AR$4:AR$1003)+SUMIF(COSTI!$X$1379:$X$1430,AG$2,COSTI!$Z$1379:$Z$1430),0),0)</f>
        <v>#N/A</v>
      </c>
      <c r="AG281" s="859"/>
      <c r="AH281" s="27" t="str">
        <f t="shared" si="62"/>
        <v/>
      </c>
      <c r="AI281" s="152">
        <f ca="1">IF(W282&gt;0,0,IF(AH281=0,(Z281*-1)+BC281+SUM(BB$4:BB280),BC281+SUM(BB$4:BB280)))</f>
        <v>-2.1316282072803006E-13</v>
      </c>
      <c r="AJ281" s="931">
        <f>IF(AND(AL281&gt;=$U$1,AL281&lt;=$U$2),IF(AM281='ESTRATTO CONTO'!$E$2,1+COUNTIF(AJ$4:AJ280,"&gt;0")+U$1015,0),0)</f>
        <v>0</v>
      </c>
      <c r="AK281" s="203">
        <f>IF(AND(OR((AK280+1)&lt;AL$1015,(AK280+1)=AL$1015),MAX(AK$4:AK280)&lt;AL$1015),AK280+1,0)</f>
        <v>0</v>
      </c>
      <c r="AL281" s="309">
        <f>VLOOKUP($AK281,ENTI!$AF$4:AG$1003,2,FALSE)</f>
        <v>0</v>
      </c>
      <c r="AM281" s="224">
        <f>VLOOKUP($AK281,ENTI!$AF$4:AH$1003,3,FALSE)</f>
        <v>0</v>
      </c>
      <c r="AN281" s="224">
        <f>VLOOKUP($AK281,ENTI!$AF$4:AI$1003,4,FALSE)</f>
        <v>0</v>
      </c>
      <c r="AO281" s="781">
        <f>VLOOKUP($AK281,ENTI!$AF$4:AJ$1003,5,FALSE)</f>
        <v>0</v>
      </c>
      <c r="AP281" s="315">
        <f>VLOOKUP($AK281,ENTI!$AF$4:AK$1003,6,FALSE)</f>
        <v>0</v>
      </c>
      <c r="AQ281" s="208">
        <f t="shared" si="69"/>
        <v>0</v>
      </c>
      <c r="AR281" s="152" t="e">
        <f t="shared" si="70"/>
        <v>#N/A</v>
      </c>
      <c r="AS281" s="1"/>
      <c r="AT281" s="88" t="str">
        <f t="shared" si="63"/>
        <v/>
      </c>
      <c r="AU281" s="1"/>
      <c r="AV281" s="175">
        <f>IF(AW281&gt;0,COUNTIF(AV$4:AV280,"&gt;0")+1,0)</f>
        <v>0</v>
      </c>
      <c r="AW281" s="164">
        <f t="shared" si="64"/>
        <v>0</v>
      </c>
      <c r="AX281" s="310">
        <f>IF($AW281=0,0,VLOOKUP(VLOOKUP($X281,$B$34:$T$38,19,FALSE),ENTI!$A$9:$B$13,2,FALSE))</f>
        <v>0</v>
      </c>
      <c r="AY281" s="310">
        <f t="shared" si="66"/>
        <v>0</v>
      </c>
      <c r="AZ281" s="316">
        <f t="shared" si="67"/>
        <v>0</v>
      </c>
      <c r="BA281" s="1"/>
      <c r="BB281" s="152">
        <f t="shared" si="68"/>
        <v>0</v>
      </c>
      <c r="BC281" s="152">
        <f ca="1">SUM(Z$4:Z281)+SUM(BB$4:BB281)+COSTI!S$6-COSTI!L$1076</f>
        <v>-31.760000000000218</v>
      </c>
      <c r="BD281" s="1"/>
    </row>
    <row r="282" spans="1:56" ht="16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435">
        <f>IF(AND(W282&gt;=$U$1,W282&lt;=$U$2),IF(X282='ESTRATTO CONTO'!$E$2,1+COUNTIF(U$4:U281,"&gt;0"),0),0)</f>
        <v>0</v>
      </c>
      <c r="V282" s="417">
        <f t="shared" si="65"/>
        <v>279</v>
      </c>
      <c r="W282" s="509"/>
      <c r="X282" s="321"/>
      <c r="Y282" s="321"/>
      <c r="Z282" s="508"/>
      <c r="AA282" s="356"/>
      <c r="AB282" s="306" t="str">
        <f t="shared" si="61"/>
        <v/>
      </c>
      <c r="AC282" s="637">
        <f t="shared" ca="1" si="60"/>
        <v>-2.1316282072803006E-13</v>
      </c>
      <c r="AD282" s="935">
        <f>IF(ISERROR(VLOOKUP(AD$2,X283:X$1003,1,FALSE)),IF(X282=AD$2,SUMIF(X$4:X282,AD$2,Z$4:Z282)+$E$9+SUM(AQ$4:AQ$1003)+SUMIF(COSTI!$X$1379:$X$1430,AD$2,COSTI!$Z$1379:$Z$1430),0),0)</f>
        <v>0</v>
      </c>
      <c r="AE282" s="26"/>
      <c r="AF282" s="856" t="e">
        <f>IF(ISERROR(VLOOKUP(AG$2,X283:X$1003,1,FALSE)),IF(X282=AG$2,SUMIF(X$4:X282,AG$2,Z$4:Z282)+VLOOKUP(AF$2,$B$1057:$F$1068,5,FALSE)+SUM(AR$4:AR$1003)+SUMIF(COSTI!$X$1379:$X$1430,AG$2,COSTI!$Z$1379:$Z$1430),0),0)</f>
        <v>#N/A</v>
      </c>
      <c r="AG282" s="859"/>
      <c r="AH282" s="27" t="str">
        <f t="shared" si="62"/>
        <v/>
      </c>
      <c r="AI282" s="152">
        <f ca="1">IF(W283&gt;0,0,IF(AH282=0,(Z282*-1)+BC282+SUM(BB$4:BB281),BC282+SUM(BB$4:BB281)))</f>
        <v>-2.1316282072803006E-13</v>
      </c>
      <c r="AJ282" s="931">
        <f>IF(AND(AL282&gt;=$U$1,AL282&lt;=$U$2),IF(AM282='ESTRATTO CONTO'!$E$2,1+COUNTIF(AJ$4:AJ281,"&gt;0")+U$1015,0),0)</f>
        <v>0</v>
      </c>
      <c r="AK282" s="203">
        <f>IF(AND(OR((AK281+1)&lt;AL$1015,(AK281+1)=AL$1015),MAX(AK$4:AK281)&lt;AL$1015),AK281+1,0)</f>
        <v>0</v>
      </c>
      <c r="AL282" s="309">
        <f>VLOOKUP($AK282,ENTI!$AF$4:AG$1003,2,FALSE)</f>
        <v>0</v>
      </c>
      <c r="AM282" s="224">
        <f>VLOOKUP($AK282,ENTI!$AF$4:AH$1003,3,FALSE)</f>
        <v>0</v>
      </c>
      <c r="AN282" s="224">
        <f>VLOOKUP($AK282,ENTI!$AF$4:AI$1003,4,FALSE)</f>
        <v>0</v>
      </c>
      <c r="AO282" s="781">
        <f>VLOOKUP($AK282,ENTI!$AF$4:AJ$1003,5,FALSE)</f>
        <v>0</v>
      </c>
      <c r="AP282" s="315">
        <f>VLOOKUP($AK282,ENTI!$AF$4:AK$1003,6,FALSE)</f>
        <v>0</v>
      </c>
      <c r="AQ282" s="208">
        <f t="shared" si="69"/>
        <v>0</v>
      </c>
      <c r="AR282" s="152" t="e">
        <f t="shared" si="70"/>
        <v>#N/A</v>
      </c>
      <c r="AS282" s="1"/>
      <c r="AT282" s="88" t="str">
        <f t="shared" si="63"/>
        <v/>
      </c>
      <c r="AU282" s="1"/>
      <c r="AV282" s="175">
        <f>IF(AW282&gt;0,COUNTIF(AV$4:AV281,"&gt;0")+1,0)</f>
        <v>0</v>
      </c>
      <c r="AW282" s="164">
        <f t="shared" si="64"/>
        <v>0</v>
      </c>
      <c r="AX282" s="310">
        <f>IF($AW282=0,0,VLOOKUP(VLOOKUP($X282,$B$34:$T$38,19,FALSE),ENTI!$A$9:$B$13,2,FALSE))</f>
        <v>0</v>
      </c>
      <c r="AY282" s="310">
        <f t="shared" si="66"/>
        <v>0</v>
      </c>
      <c r="AZ282" s="316">
        <f t="shared" si="67"/>
        <v>0</v>
      </c>
      <c r="BA282" s="1"/>
      <c r="BB282" s="152">
        <f t="shared" si="68"/>
        <v>0</v>
      </c>
      <c r="BC282" s="152">
        <f ca="1">SUM(Z$4:Z282)+SUM(BB$4:BB282)+COSTI!S$6-COSTI!L$1076</f>
        <v>-31.760000000000218</v>
      </c>
      <c r="BD282" s="1"/>
    </row>
    <row r="283" spans="1:56" ht="16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435">
        <f>IF(AND(W283&gt;=$U$1,W283&lt;=$U$2),IF(X283='ESTRATTO CONTO'!$E$2,1+COUNTIF(U$4:U282,"&gt;0"),0),0)</f>
        <v>0</v>
      </c>
      <c r="V283" s="417">
        <f t="shared" si="65"/>
        <v>280</v>
      </c>
      <c r="W283" s="509"/>
      <c r="X283" s="321"/>
      <c r="Y283" s="321"/>
      <c r="Z283" s="508"/>
      <c r="AA283" s="356"/>
      <c r="AB283" s="306" t="str">
        <f t="shared" si="61"/>
        <v/>
      </c>
      <c r="AC283" s="637">
        <f t="shared" ca="1" si="60"/>
        <v>-2.1316282072803006E-13</v>
      </c>
      <c r="AD283" s="935">
        <f>IF(ISERROR(VLOOKUP(AD$2,X284:X$1003,1,FALSE)),IF(X283=AD$2,SUMIF(X$4:X283,AD$2,Z$4:Z283)+$E$9+SUM(AQ$4:AQ$1003)+SUMIF(COSTI!$X$1379:$X$1430,AD$2,COSTI!$Z$1379:$Z$1430),0),0)</f>
        <v>0</v>
      </c>
      <c r="AE283" s="26"/>
      <c r="AF283" s="856" t="e">
        <f>IF(ISERROR(VLOOKUP(AG$2,X284:X$1003,1,FALSE)),IF(X283=AG$2,SUMIF(X$4:X283,AG$2,Z$4:Z283)+VLOOKUP(AF$2,$B$1057:$F$1068,5,FALSE)+SUM(AR$4:AR$1003)+SUMIF(COSTI!$X$1379:$X$1430,AG$2,COSTI!$Z$1379:$Z$1430),0),0)</f>
        <v>#N/A</v>
      </c>
      <c r="AG283" s="859"/>
      <c r="AH283" s="27" t="str">
        <f t="shared" si="62"/>
        <v/>
      </c>
      <c r="AI283" s="152">
        <f ca="1">IF(W284&gt;0,0,IF(AH283=0,(Z283*-1)+BC283+SUM(BB$4:BB282),BC283+SUM(BB$4:BB282)))</f>
        <v>-2.1316282072803006E-13</v>
      </c>
      <c r="AJ283" s="931">
        <f>IF(AND(AL283&gt;=$U$1,AL283&lt;=$U$2),IF(AM283='ESTRATTO CONTO'!$E$2,1+COUNTIF(AJ$4:AJ282,"&gt;0")+U$1015,0),0)</f>
        <v>0</v>
      </c>
      <c r="AK283" s="203">
        <f>IF(AND(OR((AK282+1)&lt;AL$1015,(AK282+1)=AL$1015),MAX(AK$4:AK282)&lt;AL$1015),AK282+1,0)</f>
        <v>0</v>
      </c>
      <c r="AL283" s="309">
        <f>VLOOKUP($AK283,ENTI!$AF$4:AG$1003,2,FALSE)</f>
        <v>0</v>
      </c>
      <c r="AM283" s="224">
        <f>VLOOKUP($AK283,ENTI!$AF$4:AH$1003,3,FALSE)</f>
        <v>0</v>
      </c>
      <c r="AN283" s="224">
        <f>VLOOKUP($AK283,ENTI!$AF$4:AI$1003,4,FALSE)</f>
        <v>0</v>
      </c>
      <c r="AO283" s="781">
        <f>VLOOKUP($AK283,ENTI!$AF$4:AJ$1003,5,FALSE)</f>
        <v>0</v>
      </c>
      <c r="AP283" s="315">
        <f>VLOOKUP($AK283,ENTI!$AF$4:AK$1003,6,FALSE)</f>
        <v>0</v>
      </c>
      <c r="AQ283" s="208">
        <f t="shared" si="69"/>
        <v>0</v>
      </c>
      <c r="AR283" s="152" t="e">
        <f t="shared" si="70"/>
        <v>#N/A</v>
      </c>
      <c r="AS283" s="1"/>
      <c r="AT283" s="88" t="str">
        <f t="shared" si="63"/>
        <v/>
      </c>
      <c r="AU283" s="1"/>
      <c r="AV283" s="175">
        <f>IF(AW283&gt;0,COUNTIF(AV$4:AV282,"&gt;0")+1,0)</f>
        <v>0</v>
      </c>
      <c r="AW283" s="164">
        <f t="shared" si="64"/>
        <v>0</v>
      </c>
      <c r="AX283" s="310">
        <f>IF($AW283=0,0,VLOOKUP(VLOOKUP($X283,$B$34:$T$38,19,FALSE),ENTI!$A$9:$B$13,2,FALSE))</f>
        <v>0</v>
      </c>
      <c r="AY283" s="310">
        <f t="shared" si="66"/>
        <v>0</v>
      </c>
      <c r="AZ283" s="316">
        <f t="shared" si="67"/>
        <v>0</v>
      </c>
      <c r="BA283" s="1"/>
      <c r="BB283" s="152">
        <f t="shared" si="68"/>
        <v>0</v>
      </c>
      <c r="BC283" s="152">
        <f ca="1">SUM(Z$4:Z283)+SUM(BB$4:BB283)+COSTI!S$6-COSTI!L$1076</f>
        <v>-31.760000000000218</v>
      </c>
      <c r="BD283" s="1"/>
    </row>
    <row r="284" spans="1:56" ht="16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435">
        <f>IF(AND(W284&gt;=$U$1,W284&lt;=$U$2),IF(X284='ESTRATTO CONTO'!$E$2,1+COUNTIF(U$4:U283,"&gt;0"),0),0)</f>
        <v>0</v>
      </c>
      <c r="V284" s="417">
        <f t="shared" si="65"/>
        <v>281</v>
      </c>
      <c r="W284" s="509"/>
      <c r="X284" s="321"/>
      <c r="Y284" s="321"/>
      <c r="Z284" s="508"/>
      <c r="AA284" s="356"/>
      <c r="AB284" s="306" t="str">
        <f t="shared" si="61"/>
        <v/>
      </c>
      <c r="AC284" s="637">
        <f t="shared" ca="1" si="60"/>
        <v>-2.1316282072803006E-13</v>
      </c>
      <c r="AD284" s="935">
        <f>IF(ISERROR(VLOOKUP(AD$2,X285:X$1003,1,FALSE)),IF(X284=AD$2,SUMIF(X$4:X284,AD$2,Z$4:Z284)+$E$9+SUM(AQ$4:AQ$1003)+SUMIF(COSTI!$X$1379:$X$1430,AD$2,COSTI!$Z$1379:$Z$1430),0),0)</f>
        <v>0</v>
      </c>
      <c r="AE284" s="26"/>
      <c r="AF284" s="856" t="e">
        <f>IF(ISERROR(VLOOKUP(AG$2,X285:X$1003,1,FALSE)),IF(X284=AG$2,SUMIF(X$4:X284,AG$2,Z$4:Z284)+VLOOKUP(AF$2,$B$1057:$F$1068,5,FALSE)+SUM(AR$4:AR$1003)+SUMIF(COSTI!$X$1379:$X$1430,AG$2,COSTI!$Z$1379:$Z$1430),0),0)</f>
        <v>#N/A</v>
      </c>
      <c r="AG284" s="859"/>
      <c r="AH284" s="27" t="str">
        <f t="shared" si="62"/>
        <v/>
      </c>
      <c r="AI284" s="152">
        <f ca="1">IF(W285&gt;0,0,IF(AH284=0,(Z284*-1)+BC284+SUM(BB$4:BB283),BC284+SUM(BB$4:BB283)))</f>
        <v>-2.1316282072803006E-13</v>
      </c>
      <c r="AJ284" s="931">
        <f>IF(AND(AL284&gt;=$U$1,AL284&lt;=$U$2),IF(AM284='ESTRATTO CONTO'!$E$2,1+COUNTIF(AJ$4:AJ283,"&gt;0")+U$1015,0),0)</f>
        <v>0</v>
      </c>
      <c r="AK284" s="203">
        <f>IF(AND(OR((AK283+1)&lt;AL$1015,(AK283+1)=AL$1015),MAX(AK$4:AK283)&lt;AL$1015),AK283+1,0)</f>
        <v>0</v>
      </c>
      <c r="AL284" s="309">
        <f>VLOOKUP($AK284,ENTI!$AF$4:AG$1003,2,FALSE)</f>
        <v>0</v>
      </c>
      <c r="AM284" s="224">
        <f>VLOOKUP($AK284,ENTI!$AF$4:AH$1003,3,FALSE)</f>
        <v>0</v>
      </c>
      <c r="AN284" s="224">
        <f>VLOOKUP($AK284,ENTI!$AF$4:AI$1003,4,FALSE)</f>
        <v>0</v>
      </c>
      <c r="AO284" s="781">
        <f>VLOOKUP($AK284,ENTI!$AF$4:AJ$1003,5,FALSE)</f>
        <v>0</v>
      </c>
      <c r="AP284" s="315">
        <f>VLOOKUP($AK284,ENTI!$AF$4:AK$1003,6,FALSE)</f>
        <v>0</v>
      </c>
      <c r="AQ284" s="208">
        <f t="shared" si="69"/>
        <v>0</v>
      </c>
      <c r="AR284" s="152" t="e">
        <f t="shared" si="70"/>
        <v>#N/A</v>
      </c>
      <c r="AS284" s="1"/>
      <c r="AT284" s="88" t="str">
        <f t="shared" si="63"/>
        <v/>
      </c>
      <c r="AU284" s="1"/>
      <c r="AV284" s="175">
        <f>IF(AW284&gt;0,COUNTIF(AV$4:AV283,"&gt;0")+1,0)</f>
        <v>0</v>
      </c>
      <c r="AW284" s="164">
        <f t="shared" si="64"/>
        <v>0</v>
      </c>
      <c r="AX284" s="310">
        <f>IF($AW284=0,0,VLOOKUP(VLOOKUP($X284,$B$34:$T$38,19,FALSE),ENTI!$A$9:$B$13,2,FALSE))</f>
        <v>0</v>
      </c>
      <c r="AY284" s="310">
        <f t="shared" si="66"/>
        <v>0</v>
      </c>
      <c r="AZ284" s="316">
        <f t="shared" si="67"/>
        <v>0</v>
      </c>
      <c r="BA284" s="1"/>
      <c r="BB284" s="152">
        <f t="shared" si="68"/>
        <v>0</v>
      </c>
      <c r="BC284" s="152">
        <f ca="1">SUM(Z$4:Z284)+SUM(BB$4:BB284)+COSTI!S$6-COSTI!L$1076</f>
        <v>-31.760000000000218</v>
      </c>
      <c r="BD284" s="1"/>
    </row>
    <row r="285" spans="1:56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435">
        <f>IF(AND(W285&gt;=$U$1,W285&lt;=$U$2),IF(X285='ESTRATTO CONTO'!$E$2,1+COUNTIF(U$4:U284,"&gt;0"),0),0)</f>
        <v>0</v>
      </c>
      <c r="V285" s="417">
        <f t="shared" si="65"/>
        <v>282</v>
      </c>
      <c r="W285" s="509"/>
      <c r="X285" s="321"/>
      <c r="Y285" s="321"/>
      <c r="Z285" s="508"/>
      <c r="AA285" s="356"/>
      <c r="AB285" s="306" t="str">
        <f t="shared" si="61"/>
        <v/>
      </c>
      <c r="AC285" s="637">
        <f t="shared" ca="1" si="60"/>
        <v>-2.1316282072803006E-13</v>
      </c>
      <c r="AD285" s="935">
        <f>IF(ISERROR(VLOOKUP(AD$2,X286:X$1003,1,FALSE)),IF(X285=AD$2,SUMIF(X$4:X285,AD$2,Z$4:Z285)+$E$9+SUM(AQ$4:AQ$1003)+SUMIF(COSTI!$X$1379:$X$1430,AD$2,COSTI!$Z$1379:$Z$1430),0),0)</f>
        <v>0</v>
      </c>
      <c r="AE285" s="26"/>
      <c r="AF285" s="856" t="e">
        <f>IF(ISERROR(VLOOKUP(AG$2,X286:X$1003,1,FALSE)),IF(X285=AG$2,SUMIF(X$4:X285,AG$2,Z$4:Z285)+VLOOKUP(AF$2,$B$1057:$F$1068,5,FALSE)+SUM(AR$4:AR$1003)+SUMIF(COSTI!$X$1379:$X$1430,AG$2,COSTI!$Z$1379:$Z$1430),0),0)</f>
        <v>#N/A</v>
      </c>
      <c r="AG285" s="859"/>
      <c r="AH285" s="27" t="str">
        <f t="shared" si="62"/>
        <v/>
      </c>
      <c r="AI285" s="152">
        <f ca="1">IF(W286&gt;0,0,IF(AH285=0,(Z285*-1)+BC285+SUM(BB$4:BB284),BC285+SUM(BB$4:BB284)))</f>
        <v>-2.1316282072803006E-13</v>
      </c>
      <c r="AJ285" s="931">
        <f>IF(AND(AL285&gt;=$U$1,AL285&lt;=$U$2),IF(AM285='ESTRATTO CONTO'!$E$2,1+COUNTIF(AJ$4:AJ284,"&gt;0")+U$1015,0),0)</f>
        <v>0</v>
      </c>
      <c r="AK285" s="203">
        <f>IF(AND(OR((AK284+1)&lt;AL$1015,(AK284+1)=AL$1015),MAX(AK$4:AK284)&lt;AL$1015),AK284+1,0)</f>
        <v>0</v>
      </c>
      <c r="AL285" s="309">
        <f>VLOOKUP($AK285,ENTI!$AF$4:AG$1003,2,FALSE)</f>
        <v>0</v>
      </c>
      <c r="AM285" s="224">
        <f>VLOOKUP($AK285,ENTI!$AF$4:AH$1003,3,FALSE)</f>
        <v>0</v>
      </c>
      <c r="AN285" s="224">
        <f>VLOOKUP($AK285,ENTI!$AF$4:AI$1003,4,FALSE)</f>
        <v>0</v>
      </c>
      <c r="AO285" s="781">
        <f>VLOOKUP($AK285,ENTI!$AF$4:AJ$1003,5,FALSE)</f>
        <v>0</v>
      </c>
      <c r="AP285" s="315">
        <f>VLOOKUP($AK285,ENTI!$AF$4:AK$1003,6,FALSE)</f>
        <v>0</v>
      </c>
      <c r="AQ285" s="208">
        <f t="shared" si="69"/>
        <v>0</v>
      </c>
      <c r="AR285" s="152" t="e">
        <f t="shared" si="70"/>
        <v>#N/A</v>
      </c>
      <c r="AS285" s="1"/>
      <c r="AT285" s="88" t="str">
        <f t="shared" si="63"/>
        <v/>
      </c>
      <c r="AU285" s="1"/>
      <c r="AV285" s="175">
        <f>IF(AW285&gt;0,COUNTIF(AV$4:AV284,"&gt;0")+1,0)</f>
        <v>0</v>
      </c>
      <c r="AW285" s="164">
        <f t="shared" si="64"/>
        <v>0</v>
      </c>
      <c r="AX285" s="310">
        <f>IF($AW285=0,0,VLOOKUP(VLOOKUP($X285,$B$34:$T$38,19,FALSE),ENTI!$A$9:$B$13,2,FALSE))</f>
        <v>0</v>
      </c>
      <c r="AY285" s="310">
        <f t="shared" si="66"/>
        <v>0</v>
      </c>
      <c r="AZ285" s="316">
        <f t="shared" si="67"/>
        <v>0</v>
      </c>
      <c r="BA285" s="1"/>
      <c r="BB285" s="152">
        <f t="shared" si="68"/>
        <v>0</v>
      </c>
      <c r="BC285" s="152">
        <f ca="1">SUM(Z$4:Z285)+SUM(BB$4:BB285)+COSTI!S$6-COSTI!L$1076</f>
        <v>-31.760000000000218</v>
      </c>
      <c r="BD285" s="1"/>
    </row>
    <row r="286" spans="1:56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435">
        <f>IF(AND(W286&gt;=$U$1,W286&lt;=$U$2),IF(X286='ESTRATTO CONTO'!$E$2,1+COUNTIF(U$4:U285,"&gt;0"),0),0)</f>
        <v>0</v>
      </c>
      <c r="V286" s="417">
        <f t="shared" si="65"/>
        <v>283</v>
      </c>
      <c r="W286" s="509"/>
      <c r="X286" s="321"/>
      <c r="Y286" s="321"/>
      <c r="Z286" s="508"/>
      <c r="AA286" s="356"/>
      <c r="AB286" s="306" t="str">
        <f t="shared" si="61"/>
        <v/>
      </c>
      <c r="AC286" s="637">
        <f t="shared" ca="1" si="60"/>
        <v>-2.1316282072803006E-13</v>
      </c>
      <c r="AD286" s="935">
        <f>IF(ISERROR(VLOOKUP(AD$2,X287:X$1003,1,FALSE)),IF(X286=AD$2,SUMIF(X$4:X286,AD$2,Z$4:Z286)+$E$9+SUM(AQ$4:AQ$1003)+SUMIF(COSTI!$X$1379:$X$1430,AD$2,COSTI!$Z$1379:$Z$1430),0),0)</f>
        <v>0</v>
      </c>
      <c r="AE286" s="26"/>
      <c r="AF286" s="856" t="e">
        <f>IF(ISERROR(VLOOKUP(AG$2,X287:X$1003,1,FALSE)),IF(X286=AG$2,SUMIF(X$4:X286,AG$2,Z$4:Z286)+VLOOKUP(AF$2,$B$1057:$F$1068,5,FALSE)+SUM(AR$4:AR$1003)+SUMIF(COSTI!$X$1379:$X$1430,AG$2,COSTI!$Z$1379:$Z$1430),0),0)</f>
        <v>#N/A</v>
      </c>
      <c r="AG286" s="859"/>
      <c r="AH286" s="27" t="str">
        <f t="shared" si="62"/>
        <v/>
      </c>
      <c r="AI286" s="152">
        <f ca="1">IF(W287&gt;0,0,IF(AH286=0,(Z286*-1)+BC286+SUM(BB$4:BB285),BC286+SUM(BB$4:BB285)))</f>
        <v>-2.1316282072803006E-13</v>
      </c>
      <c r="AJ286" s="931">
        <f>IF(AND(AL286&gt;=$U$1,AL286&lt;=$U$2),IF(AM286='ESTRATTO CONTO'!$E$2,1+COUNTIF(AJ$4:AJ285,"&gt;0")+U$1015,0),0)</f>
        <v>0</v>
      </c>
      <c r="AK286" s="203">
        <f>IF(AND(OR((AK285+1)&lt;AL$1015,(AK285+1)=AL$1015),MAX(AK$4:AK285)&lt;AL$1015),AK285+1,0)</f>
        <v>0</v>
      </c>
      <c r="AL286" s="309">
        <f>VLOOKUP($AK286,ENTI!$AF$4:AG$1003,2,FALSE)</f>
        <v>0</v>
      </c>
      <c r="AM286" s="224">
        <f>VLOOKUP($AK286,ENTI!$AF$4:AH$1003,3,FALSE)</f>
        <v>0</v>
      </c>
      <c r="AN286" s="224">
        <f>VLOOKUP($AK286,ENTI!$AF$4:AI$1003,4,FALSE)</f>
        <v>0</v>
      </c>
      <c r="AO286" s="781">
        <f>VLOOKUP($AK286,ENTI!$AF$4:AJ$1003,5,FALSE)</f>
        <v>0</v>
      </c>
      <c r="AP286" s="315">
        <f>VLOOKUP($AK286,ENTI!$AF$4:AK$1003,6,FALSE)</f>
        <v>0</v>
      </c>
      <c r="AQ286" s="208">
        <f t="shared" si="69"/>
        <v>0</v>
      </c>
      <c r="AR286" s="152" t="e">
        <f t="shared" si="70"/>
        <v>#N/A</v>
      </c>
      <c r="AS286" s="1"/>
      <c r="AT286" s="88" t="str">
        <f t="shared" si="63"/>
        <v/>
      </c>
      <c r="AU286" s="1"/>
      <c r="AV286" s="175">
        <f>IF(AW286&gt;0,COUNTIF(AV$4:AV285,"&gt;0")+1,0)</f>
        <v>0</v>
      </c>
      <c r="AW286" s="164">
        <f t="shared" si="64"/>
        <v>0</v>
      </c>
      <c r="AX286" s="310">
        <f>IF($AW286=0,0,VLOOKUP(VLOOKUP($X286,$B$34:$T$38,19,FALSE),ENTI!$A$9:$B$13,2,FALSE))</f>
        <v>0</v>
      </c>
      <c r="AY286" s="310">
        <f t="shared" si="66"/>
        <v>0</v>
      </c>
      <c r="AZ286" s="316">
        <f t="shared" si="67"/>
        <v>0</v>
      </c>
      <c r="BA286" s="1"/>
      <c r="BB286" s="152">
        <f t="shared" si="68"/>
        <v>0</v>
      </c>
      <c r="BC286" s="152">
        <f ca="1">SUM(Z$4:Z286)+SUM(BB$4:BB286)+COSTI!S$6-COSTI!L$1076</f>
        <v>-31.760000000000218</v>
      </c>
      <c r="BD286" s="1"/>
    </row>
    <row r="287" spans="1:56" ht="16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435">
        <f>IF(AND(W287&gt;=$U$1,W287&lt;=$U$2),IF(X287='ESTRATTO CONTO'!$E$2,1+COUNTIF(U$4:U286,"&gt;0"),0),0)</f>
        <v>0</v>
      </c>
      <c r="V287" s="417">
        <f t="shared" si="65"/>
        <v>284</v>
      </c>
      <c r="W287" s="509"/>
      <c r="X287" s="321"/>
      <c r="Y287" s="321"/>
      <c r="Z287" s="508"/>
      <c r="AA287" s="356"/>
      <c r="AB287" s="306" t="str">
        <f t="shared" si="61"/>
        <v/>
      </c>
      <c r="AC287" s="637">
        <f t="shared" ca="1" si="60"/>
        <v>-2.1316282072803006E-13</v>
      </c>
      <c r="AD287" s="935">
        <f>IF(ISERROR(VLOOKUP(AD$2,X288:X$1003,1,FALSE)),IF(X287=AD$2,SUMIF(X$4:X287,AD$2,Z$4:Z287)+$E$9+SUM(AQ$4:AQ$1003)+SUMIF(COSTI!$X$1379:$X$1430,AD$2,COSTI!$Z$1379:$Z$1430),0),0)</f>
        <v>0</v>
      </c>
      <c r="AE287" s="26"/>
      <c r="AF287" s="856" t="e">
        <f>IF(ISERROR(VLOOKUP(AG$2,X288:X$1003,1,FALSE)),IF(X287=AG$2,SUMIF(X$4:X287,AG$2,Z$4:Z287)+VLOOKUP(AF$2,$B$1057:$F$1068,5,FALSE)+SUM(AR$4:AR$1003)+SUMIF(COSTI!$X$1379:$X$1430,AG$2,COSTI!$Z$1379:$Z$1430),0),0)</f>
        <v>#N/A</v>
      </c>
      <c r="AG287" s="859"/>
      <c r="AH287" s="27" t="str">
        <f t="shared" si="62"/>
        <v/>
      </c>
      <c r="AI287" s="152">
        <f ca="1">IF(W288&gt;0,0,IF(AH287=0,(Z287*-1)+BC287+SUM(BB$4:BB286),BC287+SUM(BB$4:BB286)))</f>
        <v>-2.1316282072803006E-13</v>
      </c>
      <c r="AJ287" s="931">
        <f>IF(AND(AL287&gt;=$U$1,AL287&lt;=$U$2),IF(AM287='ESTRATTO CONTO'!$E$2,1+COUNTIF(AJ$4:AJ286,"&gt;0")+U$1015,0),0)</f>
        <v>0</v>
      </c>
      <c r="AK287" s="203">
        <f>IF(AND(OR((AK286+1)&lt;AL$1015,(AK286+1)=AL$1015),MAX(AK$4:AK286)&lt;AL$1015),AK286+1,0)</f>
        <v>0</v>
      </c>
      <c r="AL287" s="309">
        <f>VLOOKUP($AK287,ENTI!$AF$4:AG$1003,2,FALSE)</f>
        <v>0</v>
      </c>
      <c r="AM287" s="224">
        <f>VLOOKUP($AK287,ENTI!$AF$4:AH$1003,3,FALSE)</f>
        <v>0</v>
      </c>
      <c r="AN287" s="224">
        <f>VLOOKUP($AK287,ENTI!$AF$4:AI$1003,4,FALSE)</f>
        <v>0</v>
      </c>
      <c r="AO287" s="781">
        <f>VLOOKUP($AK287,ENTI!$AF$4:AJ$1003,5,FALSE)</f>
        <v>0</v>
      </c>
      <c r="AP287" s="315">
        <f>VLOOKUP($AK287,ENTI!$AF$4:AK$1003,6,FALSE)</f>
        <v>0</v>
      </c>
      <c r="AQ287" s="208">
        <f t="shared" si="69"/>
        <v>0</v>
      </c>
      <c r="AR287" s="152" t="e">
        <f t="shared" si="70"/>
        <v>#N/A</v>
      </c>
      <c r="AS287" s="1"/>
      <c r="AT287" s="88" t="str">
        <f t="shared" si="63"/>
        <v/>
      </c>
      <c r="AU287" s="1"/>
      <c r="AV287" s="175">
        <f>IF(AW287&gt;0,COUNTIF(AV$4:AV286,"&gt;0")+1,0)</f>
        <v>0</v>
      </c>
      <c r="AW287" s="164">
        <f t="shared" si="64"/>
        <v>0</v>
      </c>
      <c r="AX287" s="310">
        <f>IF($AW287=0,0,VLOOKUP(VLOOKUP($X287,$B$34:$T$38,19,FALSE),ENTI!$A$9:$B$13,2,FALSE))</f>
        <v>0</v>
      </c>
      <c r="AY287" s="310">
        <f t="shared" si="66"/>
        <v>0</v>
      </c>
      <c r="AZ287" s="316">
        <f t="shared" si="67"/>
        <v>0</v>
      </c>
      <c r="BA287" s="1"/>
      <c r="BB287" s="152">
        <f t="shared" si="68"/>
        <v>0</v>
      </c>
      <c r="BC287" s="152">
        <f ca="1">SUM(Z$4:Z287)+SUM(BB$4:BB287)+COSTI!S$6-COSTI!L$1076</f>
        <v>-31.760000000000218</v>
      </c>
      <c r="BD287" s="1"/>
    </row>
    <row r="288" spans="1:56" ht="16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435">
        <f>IF(AND(W288&gt;=$U$1,W288&lt;=$U$2),IF(X288='ESTRATTO CONTO'!$E$2,1+COUNTIF(U$4:U287,"&gt;0"),0),0)</f>
        <v>0</v>
      </c>
      <c r="V288" s="417">
        <f t="shared" si="65"/>
        <v>285</v>
      </c>
      <c r="W288" s="509"/>
      <c r="X288" s="321"/>
      <c r="Y288" s="321"/>
      <c r="Z288" s="508"/>
      <c r="AA288" s="356"/>
      <c r="AB288" s="306" t="str">
        <f t="shared" si="61"/>
        <v/>
      </c>
      <c r="AC288" s="637">
        <f t="shared" ca="1" si="60"/>
        <v>-2.1316282072803006E-13</v>
      </c>
      <c r="AD288" s="935">
        <f>IF(ISERROR(VLOOKUP(AD$2,X289:X$1003,1,FALSE)),IF(X288=AD$2,SUMIF(X$4:X288,AD$2,Z$4:Z288)+$E$9+SUM(AQ$4:AQ$1003)+SUMIF(COSTI!$X$1379:$X$1430,AD$2,COSTI!$Z$1379:$Z$1430),0),0)</f>
        <v>0</v>
      </c>
      <c r="AE288" s="26"/>
      <c r="AF288" s="856" t="e">
        <f>IF(ISERROR(VLOOKUP(AG$2,X289:X$1003,1,FALSE)),IF(X288=AG$2,SUMIF(X$4:X288,AG$2,Z$4:Z288)+VLOOKUP(AF$2,$B$1057:$F$1068,5,FALSE)+SUM(AR$4:AR$1003)+SUMIF(COSTI!$X$1379:$X$1430,AG$2,COSTI!$Z$1379:$Z$1430),0),0)</f>
        <v>#N/A</v>
      </c>
      <c r="AG288" s="859"/>
      <c r="AH288" s="27" t="str">
        <f t="shared" si="62"/>
        <v/>
      </c>
      <c r="AI288" s="152">
        <f ca="1">IF(W289&gt;0,0,IF(AH288=0,(Z288*-1)+BC288+SUM(BB$4:BB287),BC288+SUM(BB$4:BB287)))</f>
        <v>-2.1316282072803006E-13</v>
      </c>
      <c r="AJ288" s="931">
        <f>IF(AND(AL288&gt;=$U$1,AL288&lt;=$U$2),IF(AM288='ESTRATTO CONTO'!$E$2,1+COUNTIF(AJ$4:AJ287,"&gt;0")+U$1015,0),0)</f>
        <v>0</v>
      </c>
      <c r="AK288" s="203">
        <f>IF(AND(OR((AK287+1)&lt;AL$1015,(AK287+1)=AL$1015),MAX(AK$4:AK287)&lt;AL$1015),AK287+1,0)</f>
        <v>0</v>
      </c>
      <c r="AL288" s="309">
        <f>VLOOKUP($AK288,ENTI!$AF$4:AG$1003,2,FALSE)</f>
        <v>0</v>
      </c>
      <c r="AM288" s="224">
        <f>VLOOKUP($AK288,ENTI!$AF$4:AH$1003,3,FALSE)</f>
        <v>0</v>
      </c>
      <c r="AN288" s="224">
        <f>VLOOKUP($AK288,ENTI!$AF$4:AI$1003,4,FALSE)</f>
        <v>0</v>
      </c>
      <c r="AO288" s="781">
        <f>VLOOKUP($AK288,ENTI!$AF$4:AJ$1003,5,FALSE)</f>
        <v>0</v>
      </c>
      <c r="AP288" s="315">
        <f>VLOOKUP($AK288,ENTI!$AF$4:AK$1003,6,FALSE)</f>
        <v>0</v>
      </c>
      <c r="AQ288" s="208">
        <f t="shared" si="69"/>
        <v>0</v>
      </c>
      <c r="AR288" s="152" t="e">
        <f t="shared" si="70"/>
        <v>#N/A</v>
      </c>
      <c r="AS288" s="1"/>
      <c r="AT288" s="88" t="str">
        <f t="shared" si="63"/>
        <v/>
      </c>
      <c r="AU288" s="1"/>
      <c r="AV288" s="175">
        <f>IF(AW288&gt;0,COUNTIF(AV$4:AV287,"&gt;0")+1,0)</f>
        <v>0</v>
      </c>
      <c r="AW288" s="164">
        <f t="shared" si="64"/>
        <v>0</v>
      </c>
      <c r="AX288" s="310">
        <f>IF($AW288=0,0,VLOOKUP(VLOOKUP($X288,$B$34:$T$38,19,FALSE),ENTI!$A$9:$B$13,2,FALSE))</f>
        <v>0</v>
      </c>
      <c r="AY288" s="310">
        <f t="shared" si="66"/>
        <v>0</v>
      </c>
      <c r="AZ288" s="316">
        <f t="shared" si="67"/>
        <v>0</v>
      </c>
      <c r="BA288" s="1"/>
      <c r="BB288" s="152">
        <f t="shared" si="68"/>
        <v>0</v>
      </c>
      <c r="BC288" s="152">
        <f ca="1">SUM(Z$4:Z288)+SUM(BB$4:BB288)+COSTI!S$6-COSTI!L$1076</f>
        <v>-31.760000000000218</v>
      </c>
      <c r="BD288" s="1"/>
    </row>
    <row r="289" spans="1:56" ht="16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435">
        <f>IF(AND(W289&gt;=$U$1,W289&lt;=$U$2),IF(X289='ESTRATTO CONTO'!$E$2,1+COUNTIF(U$4:U288,"&gt;0"),0),0)</f>
        <v>0</v>
      </c>
      <c r="V289" s="417">
        <f t="shared" si="65"/>
        <v>286</v>
      </c>
      <c r="W289" s="509"/>
      <c r="X289" s="321"/>
      <c r="Y289" s="321"/>
      <c r="Z289" s="508"/>
      <c r="AA289" s="356"/>
      <c r="AB289" s="306" t="str">
        <f t="shared" si="61"/>
        <v/>
      </c>
      <c r="AC289" s="637">
        <f t="shared" ca="1" si="60"/>
        <v>-2.1316282072803006E-13</v>
      </c>
      <c r="AD289" s="935">
        <f>IF(ISERROR(VLOOKUP(AD$2,X290:X$1003,1,FALSE)),IF(X289=AD$2,SUMIF(X$4:X289,AD$2,Z$4:Z289)+$E$9+SUM(AQ$4:AQ$1003)+SUMIF(COSTI!$X$1379:$X$1430,AD$2,COSTI!$Z$1379:$Z$1430),0),0)</f>
        <v>0</v>
      </c>
      <c r="AE289" s="26"/>
      <c r="AF289" s="856" t="e">
        <f>IF(ISERROR(VLOOKUP(AG$2,X290:X$1003,1,FALSE)),IF(X289=AG$2,SUMIF(X$4:X289,AG$2,Z$4:Z289)+VLOOKUP(AF$2,$B$1057:$F$1068,5,FALSE)+SUM(AR$4:AR$1003)+SUMIF(COSTI!$X$1379:$X$1430,AG$2,COSTI!$Z$1379:$Z$1430),0),0)</f>
        <v>#N/A</v>
      </c>
      <c r="AG289" s="859"/>
      <c r="AH289" s="27" t="str">
        <f t="shared" si="62"/>
        <v/>
      </c>
      <c r="AI289" s="152">
        <f ca="1">IF(W290&gt;0,0,IF(AH289=0,(Z289*-1)+BC289+SUM(BB$4:BB288),BC289+SUM(BB$4:BB288)))</f>
        <v>-2.1316282072803006E-13</v>
      </c>
      <c r="AJ289" s="931">
        <f>IF(AND(AL289&gt;=$U$1,AL289&lt;=$U$2),IF(AM289='ESTRATTO CONTO'!$E$2,1+COUNTIF(AJ$4:AJ288,"&gt;0")+U$1015,0),0)</f>
        <v>0</v>
      </c>
      <c r="AK289" s="203">
        <f>IF(AND(OR((AK288+1)&lt;AL$1015,(AK288+1)=AL$1015),MAX(AK$4:AK288)&lt;AL$1015),AK288+1,0)</f>
        <v>0</v>
      </c>
      <c r="AL289" s="309">
        <f>VLOOKUP($AK289,ENTI!$AF$4:AG$1003,2,FALSE)</f>
        <v>0</v>
      </c>
      <c r="AM289" s="224">
        <f>VLOOKUP($AK289,ENTI!$AF$4:AH$1003,3,FALSE)</f>
        <v>0</v>
      </c>
      <c r="AN289" s="224">
        <f>VLOOKUP($AK289,ENTI!$AF$4:AI$1003,4,FALSE)</f>
        <v>0</v>
      </c>
      <c r="AO289" s="781">
        <f>VLOOKUP($AK289,ENTI!$AF$4:AJ$1003,5,FALSE)</f>
        <v>0</v>
      </c>
      <c r="AP289" s="315">
        <f>VLOOKUP($AK289,ENTI!$AF$4:AK$1003,6,FALSE)</f>
        <v>0</v>
      </c>
      <c r="AQ289" s="208">
        <f t="shared" si="69"/>
        <v>0</v>
      </c>
      <c r="AR289" s="152" t="e">
        <f t="shared" si="70"/>
        <v>#N/A</v>
      </c>
      <c r="AS289" s="1"/>
      <c r="AT289" s="88" t="str">
        <f t="shared" si="63"/>
        <v/>
      </c>
      <c r="AU289" s="1"/>
      <c r="AV289" s="175">
        <f>IF(AW289&gt;0,COUNTIF(AV$4:AV288,"&gt;0")+1,0)</f>
        <v>0</v>
      </c>
      <c r="AW289" s="164">
        <f t="shared" si="64"/>
        <v>0</v>
      </c>
      <c r="AX289" s="310">
        <f>IF($AW289=0,0,VLOOKUP(VLOOKUP($X289,$B$34:$T$38,19,FALSE),ENTI!$A$9:$B$13,2,FALSE))</f>
        <v>0</v>
      </c>
      <c r="AY289" s="310">
        <f t="shared" si="66"/>
        <v>0</v>
      </c>
      <c r="AZ289" s="316">
        <f t="shared" si="67"/>
        <v>0</v>
      </c>
      <c r="BA289" s="1"/>
      <c r="BB289" s="152">
        <f t="shared" si="68"/>
        <v>0</v>
      </c>
      <c r="BC289" s="152">
        <f ca="1">SUM(Z$4:Z289)+SUM(BB$4:BB289)+COSTI!S$6-COSTI!L$1076</f>
        <v>-31.760000000000218</v>
      </c>
      <c r="BD289" s="1"/>
    </row>
    <row r="290" spans="1:56" ht="16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435">
        <f>IF(AND(W290&gt;=$U$1,W290&lt;=$U$2),IF(X290='ESTRATTO CONTO'!$E$2,1+COUNTIF(U$4:U289,"&gt;0"),0),0)</f>
        <v>0</v>
      </c>
      <c r="V290" s="417">
        <f t="shared" si="65"/>
        <v>287</v>
      </c>
      <c r="W290" s="509"/>
      <c r="X290" s="321"/>
      <c r="Y290" s="321"/>
      <c r="Z290" s="508"/>
      <c r="AA290" s="356"/>
      <c r="AB290" s="306" t="str">
        <f t="shared" si="61"/>
        <v/>
      </c>
      <c r="AC290" s="637">
        <f t="shared" ca="1" si="60"/>
        <v>-2.1316282072803006E-13</v>
      </c>
      <c r="AD290" s="935">
        <f>IF(ISERROR(VLOOKUP(AD$2,X291:X$1003,1,FALSE)),IF(X290=AD$2,SUMIF(X$4:X290,AD$2,Z$4:Z290)+$E$9+SUM(AQ$4:AQ$1003)+SUMIF(COSTI!$X$1379:$X$1430,AD$2,COSTI!$Z$1379:$Z$1430),0),0)</f>
        <v>0</v>
      </c>
      <c r="AE290" s="26"/>
      <c r="AF290" s="856" t="e">
        <f>IF(ISERROR(VLOOKUP(AG$2,X291:X$1003,1,FALSE)),IF(X290=AG$2,SUMIF(X$4:X290,AG$2,Z$4:Z290)+VLOOKUP(AF$2,$B$1057:$F$1068,5,FALSE)+SUM(AR$4:AR$1003)+SUMIF(COSTI!$X$1379:$X$1430,AG$2,COSTI!$Z$1379:$Z$1430),0),0)</f>
        <v>#N/A</v>
      </c>
      <c r="AG290" s="859"/>
      <c r="AH290" s="27" t="str">
        <f t="shared" si="62"/>
        <v/>
      </c>
      <c r="AI290" s="152">
        <f ca="1">IF(W291&gt;0,0,IF(AH290=0,(Z290*-1)+BC290+SUM(BB$4:BB289),BC290+SUM(BB$4:BB289)))</f>
        <v>-2.1316282072803006E-13</v>
      </c>
      <c r="AJ290" s="931">
        <f>IF(AND(AL290&gt;=$U$1,AL290&lt;=$U$2),IF(AM290='ESTRATTO CONTO'!$E$2,1+COUNTIF(AJ$4:AJ289,"&gt;0")+U$1015,0),0)</f>
        <v>0</v>
      </c>
      <c r="AK290" s="203">
        <f>IF(AND(OR((AK289+1)&lt;AL$1015,(AK289+1)=AL$1015),MAX(AK$4:AK289)&lt;AL$1015),AK289+1,0)</f>
        <v>0</v>
      </c>
      <c r="AL290" s="309">
        <f>VLOOKUP($AK290,ENTI!$AF$4:AG$1003,2,FALSE)</f>
        <v>0</v>
      </c>
      <c r="AM290" s="224">
        <f>VLOOKUP($AK290,ENTI!$AF$4:AH$1003,3,FALSE)</f>
        <v>0</v>
      </c>
      <c r="AN290" s="224">
        <f>VLOOKUP($AK290,ENTI!$AF$4:AI$1003,4,FALSE)</f>
        <v>0</v>
      </c>
      <c r="AO290" s="781">
        <f>VLOOKUP($AK290,ENTI!$AF$4:AJ$1003,5,FALSE)</f>
        <v>0</v>
      </c>
      <c r="AP290" s="315">
        <f>VLOOKUP($AK290,ENTI!$AF$4:AK$1003,6,FALSE)</f>
        <v>0</v>
      </c>
      <c r="AQ290" s="208">
        <f t="shared" si="69"/>
        <v>0</v>
      </c>
      <c r="AR290" s="152" t="e">
        <f t="shared" si="70"/>
        <v>#N/A</v>
      </c>
      <c r="AS290" s="1"/>
      <c r="AT290" s="88" t="str">
        <f t="shared" si="63"/>
        <v/>
      </c>
      <c r="AU290" s="1"/>
      <c r="AV290" s="175">
        <f>IF(AW290&gt;0,COUNTIF(AV$4:AV289,"&gt;0")+1,0)</f>
        <v>0</v>
      </c>
      <c r="AW290" s="164">
        <f t="shared" si="64"/>
        <v>0</v>
      </c>
      <c r="AX290" s="310">
        <f>IF($AW290=0,0,VLOOKUP(VLOOKUP($X290,$B$34:$T$38,19,FALSE),ENTI!$A$9:$B$13,2,FALSE))</f>
        <v>0</v>
      </c>
      <c r="AY290" s="310">
        <f t="shared" si="66"/>
        <v>0</v>
      </c>
      <c r="AZ290" s="316">
        <f t="shared" si="67"/>
        <v>0</v>
      </c>
      <c r="BA290" s="1"/>
      <c r="BB290" s="152">
        <f t="shared" si="68"/>
        <v>0</v>
      </c>
      <c r="BC290" s="152">
        <f ca="1">SUM(Z$4:Z290)+SUM(BB$4:BB290)+COSTI!S$6-COSTI!L$1076</f>
        <v>-31.760000000000218</v>
      </c>
      <c r="BD290" s="1"/>
    </row>
    <row r="291" spans="1:56" ht="16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435">
        <f>IF(AND(W291&gt;=$U$1,W291&lt;=$U$2),IF(X291='ESTRATTO CONTO'!$E$2,1+COUNTIF(U$4:U290,"&gt;0"),0),0)</f>
        <v>0</v>
      </c>
      <c r="V291" s="417">
        <f t="shared" si="65"/>
        <v>288</v>
      </c>
      <c r="W291" s="509"/>
      <c r="X291" s="321"/>
      <c r="Y291" s="321"/>
      <c r="Z291" s="508"/>
      <c r="AA291" s="356"/>
      <c r="AB291" s="306" t="str">
        <f t="shared" si="61"/>
        <v/>
      </c>
      <c r="AC291" s="637">
        <f t="shared" ca="1" si="60"/>
        <v>-2.1316282072803006E-13</v>
      </c>
      <c r="AD291" s="935">
        <f>IF(ISERROR(VLOOKUP(AD$2,X292:X$1003,1,FALSE)),IF(X291=AD$2,SUMIF(X$4:X291,AD$2,Z$4:Z291)+$E$9+SUM(AQ$4:AQ$1003)+SUMIF(COSTI!$X$1379:$X$1430,AD$2,COSTI!$Z$1379:$Z$1430),0),0)</f>
        <v>0</v>
      </c>
      <c r="AE291" s="26"/>
      <c r="AF291" s="856" t="e">
        <f>IF(ISERROR(VLOOKUP(AG$2,X292:X$1003,1,FALSE)),IF(X291=AG$2,SUMIF(X$4:X291,AG$2,Z$4:Z291)+VLOOKUP(AF$2,$B$1057:$F$1068,5,FALSE)+SUM(AR$4:AR$1003)+SUMIF(COSTI!$X$1379:$X$1430,AG$2,COSTI!$Z$1379:$Z$1430),0),0)</f>
        <v>#N/A</v>
      </c>
      <c r="AG291" s="859"/>
      <c r="AH291" s="27" t="str">
        <f t="shared" si="62"/>
        <v/>
      </c>
      <c r="AI291" s="152">
        <f ca="1">IF(W292&gt;0,0,IF(AH291=0,(Z291*-1)+BC291+SUM(BB$4:BB290),BC291+SUM(BB$4:BB290)))</f>
        <v>-2.1316282072803006E-13</v>
      </c>
      <c r="AJ291" s="931">
        <f>IF(AND(AL291&gt;=$U$1,AL291&lt;=$U$2),IF(AM291='ESTRATTO CONTO'!$E$2,1+COUNTIF(AJ$4:AJ290,"&gt;0")+U$1015,0),0)</f>
        <v>0</v>
      </c>
      <c r="AK291" s="203">
        <f>IF(AND(OR((AK290+1)&lt;AL$1015,(AK290+1)=AL$1015),MAX(AK$4:AK290)&lt;AL$1015),AK290+1,0)</f>
        <v>0</v>
      </c>
      <c r="AL291" s="309">
        <f>VLOOKUP($AK291,ENTI!$AF$4:AG$1003,2,FALSE)</f>
        <v>0</v>
      </c>
      <c r="AM291" s="224">
        <f>VLOOKUP($AK291,ENTI!$AF$4:AH$1003,3,FALSE)</f>
        <v>0</v>
      </c>
      <c r="AN291" s="224">
        <f>VLOOKUP($AK291,ENTI!$AF$4:AI$1003,4,FALSE)</f>
        <v>0</v>
      </c>
      <c r="AO291" s="781">
        <f>VLOOKUP($AK291,ENTI!$AF$4:AJ$1003,5,FALSE)</f>
        <v>0</v>
      </c>
      <c r="AP291" s="315">
        <f>VLOOKUP($AK291,ENTI!$AF$4:AK$1003,6,FALSE)</f>
        <v>0</v>
      </c>
      <c r="AQ291" s="208">
        <f t="shared" si="69"/>
        <v>0</v>
      </c>
      <c r="AR291" s="152" t="e">
        <f t="shared" si="70"/>
        <v>#N/A</v>
      </c>
      <c r="AS291" s="1"/>
      <c r="AT291" s="88" t="str">
        <f t="shared" si="63"/>
        <v/>
      </c>
      <c r="AU291" s="1"/>
      <c r="AV291" s="175">
        <f>IF(AW291&gt;0,COUNTIF(AV$4:AV290,"&gt;0")+1,0)</f>
        <v>0</v>
      </c>
      <c r="AW291" s="164">
        <f t="shared" si="64"/>
        <v>0</v>
      </c>
      <c r="AX291" s="310">
        <f>IF($AW291=0,0,VLOOKUP(VLOOKUP($X291,$B$34:$T$38,19,FALSE),ENTI!$A$9:$B$13,2,FALSE))</f>
        <v>0</v>
      </c>
      <c r="AY291" s="310">
        <f t="shared" si="66"/>
        <v>0</v>
      </c>
      <c r="AZ291" s="316">
        <f t="shared" si="67"/>
        <v>0</v>
      </c>
      <c r="BA291" s="1"/>
      <c r="BB291" s="152">
        <f t="shared" si="68"/>
        <v>0</v>
      </c>
      <c r="BC291" s="152">
        <f ca="1">SUM(Z$4:Z291)+SUM(BB$4:BB291)+COSTI!S$6-COSTI!L$1076</f>
        <v>-31.760000000000218</v>
      </c>
      <c r="BD291" s="1"/>
    </row>
    <row r="292" spans="1:56" ht="16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435">
        <f>IF(AND(W292&gt;=$U$1,W292&lt;=$U$2),IF(X292='ESTRATTO CONTO'!$E$2,1+COUNTIF(U$4:U291,"&gt;0"),0),0)</f>
        <v>0</v>
      </c>
      <c r="V292" s="417">
        <f t="shared" si="65"/>
        <v>289</v>
      </c>
      <c r="W292" s="509"/>
      <c r="X292" s="321"/>
      <c r="Y292" s="321"/>
      <c r="Z292" s="508"/>
      <c r="AA292" s="356"/>
      <c r="AB292" s="306" t="str">
        <f t="shared" si="61"/>
        <v/>
      </c>
      <c r="AC292" s="637">
        <f t="shared" ca="1" si="60"/>
        <v>-2.1316282072803006E-13</v>
      </c>
      <c r="AD292" s="935">
        <f>IF(ISERROR(VLOOKUP(AD$2,X293:X$1003,1,FALSE)),IF(X292=AD$2,SUMIF(X$4:X292,AD$2,Z$4:Z292)+$E$9+SUM(AQ$4:AQ$1003)+SUMIF(COSTI!$X$1379:$X$1430,AD$2,COSTI!$Z$1379:$Z$1430),0),0)</f>
        <v>0</v>
      </c>
      <c r="AE292" s="26"/>
      <c r="AF292" s="856" t="e">
        <f>IF(ISERROR(VLOOKUP(AG$2,X293:X$1003,1,FALSE)),IF(X292=AG$2,SUMIF(X$4:X292,AG$2,Z$4:Z292)+VLOOKUP(AF$2,$B$1057:$F$1068,5,FALSE)+SUM(AR$4:AR$1003)+SUMIF(COSTI!$X$1379:$X$1430,AG$2,COSTI!$Z$1379:$Z$1430),0),0)</f>
        <v>#N/A</v>
      </c>
      <c r="AG292" s="859"/>
      <c r="AH292" s="27" t="str">
        <f t="shared" si="62"/>
        <v/>
      </c>
      <c r="AI292" s="152">
        <f ca="1">IF(W293&gt;0,0,IF(AH292=0,(Z292*-1)+BC292+SUM(BB$4:BB291),BC292+SUM(BB$4:BB291)))</f>
        <v>-2.1316282072803006E-13</v>
      </c>
      <c r="AJ292" s="931">
        <f>IF(AND(AL292&gt;=$U$1,AL292&lt;=$U$2),IF(AM292='ESTRATTO CONTO'!$E$2,1+COUNTIF(AJ$4:AJ291,"&gt;0")+U$1015,0),0)</f>
        <v>0</v>
      </c>
      <c r="AK292" s="203">
        <f>IF(AND(OR((AK291+1)&lt;AL$1015,(AK291+1)=AL$1015),MAX(AK$4:AK291)&lt;AL$1015),AK291+1,0)</f>
        <v>0</v>
      </c>
      <c r="AL292" s="309">
        <f>VLOOKUP($AK292,ENTI!$AF$4:AG$1003,2,FALSE)</f>
        <v>0</v>
      </c>
      <c r="AM292" s="224">
        <f>VLOOKUP($AK292,ENTI!$AF$4:AH$1003,3,FALSE)</f>
        <v>0</v>
      </c>
      <c r="AN292" s="224">
        <f>VLOOKUP($AK292,ENTI!$AF$4:AI$1003,4,FALSE)</f>
        <v>0</v>
      </c>
      <c r="AO292" s="781">
        <f>VLOOKUP($AK292,ENTI!$AF$4:AJ$1003,5,FALSE)</f>
        <v>0</v>
      </c>
      <c r="AP292" s="315">
        <f>VLOOKUP($AK292,ENTI!$AF$4:AK$1003,6,FALSE)</f>
        <v>0</v>
      </c>
      <c r="AQ292" s="208">
        <f t="shared" si="69"/>
        <v>0</v>
      </c>
      <c r="AR292" s="152" t="e">
        <f t="shared" si="70"/>
        <v>#N/A</v>
      </c>
      <c r="AS292" s="1"/>
      <c r="AT292" s="88" t="str">
        <f t="shared" si="63"/>
        <v/>
      </c>
      <c r="AU292" s="1"/>
      <c r="AV292" s="175">
        <f>IF(AW292&gt;0,COUNTIF(AV$4:AV291,"&gt;0")+1,0)</f>
        <v>0</v>
      </c>
      <c r="AW292" s="164">
        <f t="shared" si="64"/>
        <v>0</v>
      </c>
      <c r="AX292" s="310">
        <f>IF($AW292=0,0,VLOOKUP(VLOOKUP($X292,$B$34:$T$38,19,FALSE),ENTI!$A$9:$B$13,2,FALSE))</f>
        <v>0</v>
      </c>
      <c r="AY292" s="310">
        <f t="shared" si="66"/>
        <v>0</v>
      </c>
      <c r="AZ292" s="316">
        <f t="shared" si="67"/>
        <v>0</v>
      </c>
      <c r="BA292" s="1"/>
      <c r="BB292" s="152">
        <f t="shared" si="68"/>
        <v>0</v>
      </c>
      <c r="BC292" s="152">
        <f ca="1">SUM(Z$4:Z292)+SUM(BB$4:BB292)+COSTI!S$6-COSTI!L$1076</f>
        <v>-31.760000000000218</v>
      </c>
      <c r="BD292" s="1"/>
    </row>
    <row r="293" spans="1:56" ht="16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435">
        <f>IF(AND(W293&gt;=$U$1,W293&lt;=$U$2),IF(X293='ESTRATTO CONTO'!$E$2,1+COUNTIF(U$4:U292,"&gt;0"),0),0)</f>
        <v>0</v>
      </c>
      <c r="V293" s="417">
        <f t="shared" si="65"/>
        <v>290</v>
      </c>
      <c r="W293" s="509"/>
      <c r="X293" s="321"/>
      <c r="Y293" s="321"/>
      <c r="Z293" s="508"/>
      <c r="AA293" s="356"/>
      <c r="AB293" s="306" t="str">
        <f t="shared" si="61"/>
        <v/>
      </c>
      <c r="AC293" s="637">
        <f t="shared" ca="1" si="60"/>
        <v>-2.1316282072803006E-13</v>
      </c>
      <c r="AD293" s="935">
        <f>IF(ISERROR(VLOOKUP(AD$2,X294:X$1003,1,FALSE)),IF(X293=AD$2,SUMIF(X$4:X293,AD$2,Z$4:Z293)+$E$9+SUM(AQ$4:AQ$1003)+SUMIF(COSTI!$X$1379:$X$1430,AD$2,COSTI!$Z$1379:$Z$1430),0),0)</f>
        <v>0</v>
      </c>
      <c r="AE293" s="26"/>
      <c r="AF293" s="856" t="e">
        <f>IF(ISERROR(VLOOKUP(AG$2,X294:X$1003,1,FALSE)),IF(X293=AG$2,SUMIF(X$4:X293,AG$2,Z$4:Z293)+VLOOKUP(AF$2,$B$1057:$F$1068,5,FALSE)+SUM(AR$4:AR$1003)+SUMIF(COSTI!$X$1379:$X$1430,AG$2,COSTI!$Z$1379:$Z$1430),0),0)</f>
        <v>#N/A</v>
      </c>
      <c r="AG293" s="859"/>
      <c r="AH293" s="27" t="str">
        <f t="shared" si="62"/>
        <v/>
      </c>
      <c r="AI293" s="152">
        <f ca="1">IF(W294&gt;0,0,IF(AH293=0,(Z293*-1)+BC293+SUM(BB$4:BB292),BC293+SUM(BB$4:BB292)))</f>
        <v>-2.1316282072803006E-13</v>
      </c>
      <c r="AJ293" s="931">
        <f>IF(AND(AL293&gt;=$U$1,AL293&lt;=$U$2),IF(AM293='ESTRATTO CONTO'!$E$2,1+COUNTIF(AJ$4:AJ292,"&gt;0")+U$1015,0),0)</f>
        <v>0</v>
      </c>
      <c r="AK293" s="203">
        <f>IF(AND(OR((AK292+1)&lt;AL$1015,(AK292+1)=AL$1015),MAX(AK$4:AK292)&lt;AL$1015),AK292+1,0)</f>
        <v>0</v>
      </c>
      <c r="AL293" s="309">
        <f>VLOOKUP($AK293,ENTI!$AF$4:AG$1003,2,FALSE)</f>
        <v>0</v>
      </c>
      <c r="AM293" s="224">
        <f>VLOOKUP($AK293,ENTI!$AF$4:AH$1003,3,FALSE)</f>
        <v>0</v>
      </c>
      <c r="AN293" s="224">
        <f>VLOOKUP($AK293,ENTI!$AF$4:AI$1003,4,FALSE)</f>
        <v>0</v>
      </c>
      <c r="AO293" s="781">
        <f>VLOOKUP($AK293,ENTI!$AF$4:AJ$1003,5,FALSE)</f>
        <v>0</v>
      </c>
      <c r="AP293" s="315">
        <f>VLOOKUP($AK293,ENTI!$AF$4:AK$1003,6,FALSE)</f>
        <v>0</v>
      </c>
      <c r="AQ293" s="208">
        <f t="shared" si="69"/>
        <v>0</v>
      </c>
      <c r="AR293" s="152" t="e">
        <f t="shared" si="70"/>
        <v>#N/A</v>
      </c>
      <c r="AS293" s="1"/>
      <c r="AT293" s="88" t="str">
        <f t="shared" si="63"/>
        <v/>
      </c>
      <c r="AU293" s="1"/>
      <c r="AV293" s="175">
        <f>IF(AW293&gt;0,COUNTIF(AV$4:AV292,"&gt;0")+1,0)</f>
        <v>0</v>
      </c>
      <c r="AW293" s="164">
        <f t="shared" si="64"/>
        <v>0</v>
      </c>
      <c r="AX293" s="310">
        <f>IF($AW293=0,0,VLOOKUP(VLOOKUP($X293,$B$34:$T$38,19,FALSE),ENTI!$A$9:$B$13,2,FALSE))</f>
        <v>0</v>
      </c>
      <c r="AY293" s="310">
        <f t="shared" si="66"/>
        <v>0</v>
      </c>
      <c r="AZ293" s="316">
        <f t="shared" si="67"/>
        <v>0</v>
      </c>
      <c r="BA293" s="1"/>
      <c r="BB293" s="152">
        <f t="shared" si="68"/>
        <v>0</v>
      </c>
      <c r="BC293" s="152">
        <f ca="1">SUM(Z$4:Z293)+SUM(BB$4:BB293)+COSTI!S$6-COSTI!L$1076</f>
        <v>-31.760000000000218</v>
      </c>
      <c r="BD293" s="1"/>
    </row>
    <row r="294" spans="1:56" ht="16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435">
        <f>IF(AND(W294&gt;=$U$1,W294&lt;=$U$2),IF(X294='ESTRATTO CONTO'!$E$2,1+COUNTIF(U$4:U293,"&gt;0"),0),0)</f>
        <v>0</v>
      </c>
      <c r="V294" s="417">
        <f t="shared" si="65"/>
        <v>291</v>
      </c>
      <c r="W294" s="509"/>
      <c r="X294" s="321"/>
      <c r="Y294" s="321"/>
      <c r="Z294" s="508"/>
      <c r="AA294" s="356"/>
      <c r="AB294" s="306" t="str">
        <f t="shared" si="61"/>
        <v/>
      </c>
      <c r="AC294" s="637">
        <f t="shared" ca="1" si="60"/>
        <v>-2.1316282072803006E-13</v>
      </c>
      <c r="AD294" s="935">
        <f>IF(ISERROR(VLOOKUP(AD$2,X295:X$1003,1,FALSE)),IF(X294=AD$2,SUMIF(X$4:X294,AD$2,Z$4:Z294)+$E$9+SUM(AQ$4:AQ$1003)+SUMIF(COSTI!$X$1379:$X$1430,AD$2,COSTI!$Z$1379:$Z$1430),0),0)</f>
        <v>0</v>
      </c>
      <c r="AE294" s="26"/>
      <c r="AF294" s="856" t="e">
        <f>IF(ISERROR(VLOOKUP(AG$2,X295:X$1003,1,FALSE)),IF(X294=AG$2,SUMIF(X$4:X294,AG$2,Z$4:Z294)+VLOOKUP(AF$2,$B$1057:$F$1068,5,FALSE)+SUM(AR$4:AR$1003)+SUMIF(COSTI!$X$1379:$X$1430,AG$2,COSTI!$Z$1379:$Z$1430),0),0)</f>
        <v>#N/A</v>
      </c>
      <c r="AG294" s="859"/>
      <c r="AH294" s="27" t="str">
        <f t="shared" si="62"/>
        <v/>
      </c>
      <c r="AI294" s="152">
        <f ca="1">IF(W295&gt;0,0,IF(AH294=0,(Z294*-1)+BC294+SUM(BB$4:BB293),BC294+SUM(BB$4:BB293)))</f>
        <v>-2.1316282072803006E-13</v>
      </c>
      <c r="AJ294" s="931">
        <f>IF(AND(AL294&gt;=$U$1,AL294&lt;=$U$2),IF(AM294='ESTRATTO CONTO'!$E$2,1+COUNTIF(AJ$4:AJ293,"&gt;0")+U$1015,0),0)</f>
        <v>0</v>
      </c>
      <c r="AK294" s="203">
        <f>IF(AND(OR((AK293+1)&lt;AL$1015,(AK293+1)=AL$1015),MAX(AK$4:AK293)&lt;AL$1015),AK293+1,0)</f>
        <v>0</v>
      </c>
      <c r="AL294" s="309">
        <f>VLOOKUP($AK294,ENTI!$AF$4:AG$1003,2,FALSE)</f>
        <v>0</v>
      </c>
      <c r="AM294" s="224">
        <f>VLOOKUP($AK294,ENTI!$AF$4:AH$1003,3,FALSE)</f>
        <v>0</v>
      </c>
      <c r="AN294" s="224">
        <f>VLOOKUP($AK294,ENTI!$AF$4:AI$1003,4,FALSE)</f>
        <v>0</v>
      </c>
      <c r="AO294" s="781">
        <f>VLOOKUP($AK294,ENTI!$AF$4:AJ$1003,5,FALSE)</f>
        <v>0</v>
      </c>
      <c r="AP294" s="315">
        <f>VLOOKUP($AK294,ENTI!$AF$4:AK$1003,6,FALSE)</f>
        <v>0</v>
      </c>
      <c r="AQ294" s="208">
        <f t="shared" si="69"/>
        <v>0</v>
      </c>
      <c r="AR294" s="152" t="e">
        <f t="shared" si="70"/>
        <v>#N/A</v>
      </c>
      <c r="AS294" s="1"/>
      <c r="AT294" s="88" t="str">
        <f t="shared" si="63"/>
        <v/>
      </c>
      <c r="AU294" s="1"/>
      <c r="AV294" s="175">
        <f>IF(AW294&gt;0,COUNTIF(AV$4:AV293,"&gt;0")+1,0)</f>
        <v>0</v>
      </c>
      <c r="AW294" s="164">
        <f t="shared" si="64"/>
        <v>0</v>
      </c>
      <c r="AX294" s="310">
        <f>IF($AW294=0,0,VLOOKUP(VLOOKUP($X294,$B$34:$T$38,19,FALSE),ENTI!$A$9:$B$13,2,FALSE))</f>
        <v>0</v>
      </c>
      <c r="AY294" s="310">
        <f t="shared" si="66"/>
        <v>0</v>
      </c>
      <c r="AZ294" s="316">
        <f t="shared" si="67"/>
        <v>0</v>
      </c>
      <c r="BA294" s="1"/>
      <c r="BB294" s="152">
        <f t="shared" si="68"/>
        <v>0</v>
      </c>
      <c r="BC294" s="152">
        <f ca="1">SUM(Z$4:Z294)+SUM(BB$4:BB294)+COSTI!S$6-COSTI!L$1076</f>
        <v>-31.760000000000218</v>
      </c>
      <c r="BD294" s="1"/>
    </row>
    <row r="295" spans="1:56" ht="16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435">
        <f>IF(AND(W295&gt;=$U$1,W295&lt;=$U$2),IF(X295='ESTRATTO CONTO'!$E$2,1+COUNTIF(U$4:U294,"&gt;0"),0),0)</f>
        <v>0</v>
      </c>
      <c r="V295" s="417">
        <f t="shared" si="65"/>
        <v>292</v>
      </c>
      <c r="W295" s="509"/>
      <c r="X295" s="321"/>
      <c r="Y295" s="321"/>
      <c r="Z295" s="508"/>
      <c r="AA295" s="356"/>
      <c r="AB295" s="306" t="str">
        <f t="shared" si="61"/>
        <v/>
      </c>
      <c r="AC295" s="637">
        <f t="shared" ca="1" si="60"/>
        <v>-2.1316282072803006E-13</v>
      </c>
      <c r="AD295" s="935">
        <f>IF(ISERROR(VLOOKUP(AD$2,X296:X$1003,1,FALSE)),IF(X295=AD$2,SUMIF(X$4:X295,AD$2,Z$4:Z295)+$E$9+SUM(AQ$4:AQ$1003)+SUMIF(COSTI!$X$1379:$X$1430,AD$2,COSTI!$Z$1379:$Z$1430),0),0)</f>
        <v>0</v>
      </c>
      <c r="AE295" s="26"/>
      <c r="AF295" s="856" t="e">
        <f>IF(ISERROR(VLOOKUP(AG$2,X296:X$1003,1,FALSE)),IF(X295=AG$2,SUMIF(X$4:X295,AG$2,Z$4:Z295)+VLOOKUP(AF$2,$B$1057:$F$1068,5,FALSE)+SUM(AR$4:AR$1003)+SUMIF(COSTI!$X$1379:$X$1430,AG$2,COSTI!$Z$1379:$Z$1430),0),0)</f>
        <v>#N/A</v>
      </c>
      <c r="AG295" s="859"/>
      <c r="AH295" s="27" t="str">
        <f t="shared" si="62"/>
        <v/>
      </c>
      <c r="AI295" s="152">
        <f ca="1">IF(W296&gt;0,0,IF(AH295=0,(Z295*-1)+BC295+SUM(BB$4:BB294),BC295+SUM(BB$4:BB294)))</f>
        <v>-2.1316282072803006E-13</v>
      </c>
      <c r="AJ295" s="931">
        <f>IF(AND(AL295&gt;=$U$1,AL295&lt;=$U$2),IF(AM295='ESTRATTO CONTO'!$E$2,1+COUNTIF(AJ$4:AJ294,"&gt;0")+U$1015,0),0)</f>
        <v>0</v>
      </c>
      <c r="AK295" s="203">
        <f>IF(AND(OR((AK294+1)&lt;AL$1015,(AK294+1)=AL$1015),MAX(AK$4:AK294)&lt;AL$1015),AK294+1,0)</f>
        <v>0</v>
      </c>
      <c r="AL295" s="309">
        <f>VLOOKUP($AK295,ENTI!$AF$4:AG$1003,2,FALSE)</f>
        <v>0</v>
      </c>
      <c r="AM295" s="224">
        <f>VLOOKUP($AK295,ENTI!$AF$4:AH$1003,3,FALSE)</f>
        <v>0</v>
      </c>
      <c r="AN295" s="224">
        <f>VLOOKUP($AK295,ENTI!$AF$4:AI$1003,4,FALSE)</f>
        <v>0</v>
      </c>
      <c r="AO295" s="781">
        <f>VLOOKUP($AK295,ENTI!$AF$4:AJ$1003,5,FALSE)</f>
        <v>0</v>
      </c>
      <c r="AP295" s="315">
        <f>VLOOKUP($AK295,ENTI!$AF$4:AK$1003,6,FALSE)</f>
        <v>0</v>
      </c>
      <c r="AQ295" s="208">
        <f t="shared" si="69"/>
        <v>0</v>
      </c>
      <c r="AR295" s="152" t="e">
        <f t="shared" si="70"/>
        <v>#N/A</v>
      </c>
      <c r="AS295" s="1"/>
      <c r="AT295" s="88" t="str">
        <f t="shared" si="63"/>
        <v/>
      </c>
      <c r="AU295" s="1"/>
      <c r="AV295" s="175">
        <f>IF(AW295&gt;0,COUNTIF(AV$4:AV294,"&gt;0")+1,0)</f>
        <v>0</v>
      </c>
      <c r="AW295" s="164">
        <f t="shared" si="64"/>
        <v>0</v>
      </c>
      <c r="AX295" s="310">
        <f>IF($AW295=0,0,VLOOKUP(VLOOKUP($X295,$B$34:$T$38,19,FALSE),ENTI!$A$9:$B$13,2,FALSE))</f>
        <v>0</v>
      </c>
      <c r="AY295" s="310">
        <f t="shared" si="66"/>
        <v>0</v>
      </c>
      <c r="AZ295" s="316">
        <f t="shared" si="67"/>
        <v>0</v>
      </c>
      <c r="BA295" s="1"/>
      <c r="BB295" s="152">
        <f t="shared" si="68"/>
        <v>0</v>
      </c>
      <c r="BC295" s="152">
        <f ca="1">SUM(Z$4:Z295)+SUM(BB$4:BB295)+COSTI!S$6-COSTI!L$1076</f>
        <v>-31.760000000000218</v>
      </c>
      <c r="BD295" s="1"/>
    </row>
    <row r="296" spans="1:56" ht="16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435">
        <f>IF(AND(W296&gt;=$U$1,W296&lt;=$U$2),IF(X296='ESTRATTO CONTO'!$E$2,1+COUNTIF(U$4:U295,"&gt;0"),0),0)</f>
        <v>0</v>
      </c>
      <c r="V296" s="417">
        <f t="shared" si="65"/>
        <v>293</v>
      </c>
      <c r="W296" s="509"/>
      <c r="X296" s="321"/>
      <c r="Y296" s="321"/>
      <c r="Z296" s="508"/>
      <c r="AA296" s="356"/>
      <c r="AB296" s="306" t="str">
        <f t="shared" si="61"/>
        <v/>
      </c>
      <c r="AC296" s="637">
        <f t="shared" ca="1" si="60"/>
        <v>-2.1316282072803006E-13</v>
      </c>
      <c r="AD296" s="935">
        <f>IF(ISERROR(VLOOKUP(AD$2,X297:X$1003,1,FALSE)),IF(X296=AD$2,SUMIF(X$4:X296,AD$2,Z$4:Z296)+$E$9+SUM(AQ$4:AQ$1003)+SUMIF(COSTI!$X$1379:$X$1430,AD$2,COSTI!$Z$1379:$Z$1430),0),0)</f>
        <v>0</v>
      </c>
      <c r="AE296" s="26"/>
      <c r="AF296" s="856" t="e">
        <f>IF(ISERROR(VLOOKUP(AG$2,X297:X$1003,1,FALSE)),IF(X296=AG$2,SUMIF(X$4:X296,AG$2,Z$4:Z296)+VLOOKUP(AF$2,$B$1057:$F$1068,5,FALSE)+SUM(AR$4:AR$1003)+SUMIF(COSTI!$X$1379:$X$1430,AG$2,COSTI!$Z$1379:$Z$1430),0),0)</f>
        <v>#N/A</v>
      </c>
      <c r="AG296" s="859"/>
      <c r="AH296" s="27" t="str">
        <f t="shared" si="62"/>
        <v/>
      </c>
      <c r="AI296" s="152">
        <f ca="1">IF(W297&gt;0,0,IF(AH296=0,(Z296*-1)+BC296+SUM(BB$4:BB295),BC296+SUM(BB$4:BB295)))</f>
        <v>-2.1316282072803006E-13</v>
      </c>
      <c r="AJ296" s="931">
        <f>IF(AND(AL296&gt;=$U$1,AL296&lt;=$U$2),IF(AM296='ESTRATTO CONTO'!$E$2,1+COUNTIF(AJ$4:AJ295,"&gt;0")+U$1015,0),0)</f>
        <v>0</v>
      </c>
      <c r="AK296" s="203">
        <f>IF(AND(OR((AK295+1)&lt;AL$1015,(AK295+1)=AL$1015),MAX(AK$4:AK295)&lt;AL$1015),AK295+1,0)</f>
        <v>0</v>
      </c>
      <c r="AL296" s="309">
        <f>VLOOKUP($AK296,ENTI!$AF$4:AG$1003,2,FALSE)</f>
        <v>0</v>
      </c>
      <c r="AM296" s="224">
        <f>VLOOKUP($AK296,ENTI!$AF$4:AH$1003,3,FALSE)</f>
        <v>0</v>
      </c>
      <c r="AN296" s="224">
        <f>VLOOKUP($AK296,ENTI!$AF$4:AI$1003,4,FALSE)</f>
        <v>0</v>
      </c>
      <c r="AO296" s="781">
        <f>VLOOKUP($AK296,ENTI!$AF$4:AJ$1003,5,FALSE)</f>
        <v>0</v>
      </c>
      <c r="AP296" s="315">
        <f>VLOOKUP($AK296,ENTI!$AF$4:AK$1003,6,FALSE)</f>
        <v>0</v>
      </c>
      <c r="AQ296" s="208">
        <f t="shared" si="69"/>
        <v>0</v>
      </c>
      <c r="AR296" s="152" t="e">
        <f t="shared" si="70"/>
        <v>#N/A</v>
      </c>
      <c r="AS296" s="1"/>
      <c r="AT296" s="88" t="str">
        <f t="shared" si="63"/>
        <v/>
      </c>
      <c r="AU296" s="1"/>
      <c r="AV296" s="175">
        <f>IF(AW296&gt;0,COUNTIF(AV$4:AV295,"&gt;0")+1,0)</f>
        <v>0</v>
      </c>
      <c r="AW296" s="164">
        <f t="shared" si="64"/>
        <v>0</v>
      </c>
      <c r="AX296" s="310">
        <f>IF($AW296=0,0,VLOOKUP(VLOOKUP($X296,$B$34:$T$38,19,FALSE),ENTI!$A$9:$B$13,2,FALSE))</f>
        <v>0</v>
      </c>
      <c r="AY296" s="310">
        <f t="shared" si="66"/>
        <v>0</v>
      </c>
      <c r="AZ296" s="316">
        <f t="shared" si="67"/>
        <v>0</v>
      </c>
      <c r="BA296" s="1"/>
      <c r="BB296" s="152">
        <f t="shared" si="68"/>
        <v>0</v>
      </c>
      <c r="BC296" s="152">
        <f ca="1">SUM(Z$4:Z296)+SUM(BB$4:BB296)+COSTI!S$6-COSTI!L$1076</f>
        <v>-31.760000000000218</v>
      </c>
      <c r="BD296" s="1"/>
    </row>
    <row r="297" spans="1:56" ht="16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435">
        <f>IF(AND(W297&gt;=$U$1,W297&lt;=$U$2),IF(X297='ESTRATTO CONTO'!$E$2,1+COUNTIF(U$4:U296,"&gt;0"),0),0)</f>
        <v>0</v>
      </c>
      <c r="V297" s="417">
        <f t="shared" si="65"/>
        <v>294</v>
      </c>
      <c r="W297" s="509"/>
      <c r="X297" s="321"/>
      <c r="Y297" s="321"/>
      <c r="Z297" s="508"/>
      <c r="AA297" s="356"/>
      <c r="AB297" s="306" t="str">
        <f t="shared" si="61"/>
        <v/>
      </c>
      <c r="AC297" s="637">
        <f t="shared" ca="1" si="60"/>
        <v>-2.1316282072803006E-13</v>
      </c>
      <c r="AD297" s="935">
        <f>IF(ISERROR(VLOOKUP(AD$2,X298:X$1003,1,FALSE)),IF(X297=AD$2,SUMIF(X$4:X297,AD$2,Z$4:Z297)+$E$9+SUM(AQ$4:AQ$1003)+SUMIF(COSTI!$X$1379:$X$1430,AD$2,COSTI!$Z$1379:$Z$1430),0),0)</f>
        <v>0</v>
      </c>
      <c r="AE297" s="26"/>
      <c r="AF297" s="856" t="e">
        <f>IF(ISERROR(VLOOKUP(AG$2,X298:X$1003,1,FALSE)),IF(X297=AG$2,SUMIF(X$4:X297,AG$2,Z$4:Z297)+VLOOKUP(AF$2,$B$1057:$F$1068,5,FALSE)+SUM(AR$4:AR$1003)+SUMIF(COSTI!$X$1379:$X$1430,AG$2,COSTI!$Z$1379:$Z$1430),0),0)</f>
        <v>#N/A</v>
      </c>
      <c r="AG297" s="859"/>
      <c r="AH297" s="27" t="str">
        <f t="shared" si="62"/>
        <v/>
      </c>
      <c r="AI297" s="152">
        <f ca="1">IF(W298&gt;0,0,IF(AH297=0,(Z297*-1)+BC297+SUM(BB$4:BB296),BC297+SUM(BB$4:BB296)))</f>
        <v>-2.1316282072803006E-13</v>
      </c>
      <c r="AJ297" s="931">
        <f>IF(AND(AL297&gt;=$U$1,AL297&lt;=$U$2),IF(AM297='ESTRATTO CONTO'!$E$2,1+COUNTIF(AJ$4:AJ296,"&gt;0")+U$1015,0),0)</f>
        <v>0</v>
      </c>
      <c r="AK297" s="203">
        <f>IF(AND(OR((AK296+1)&lt;AL$1015,(AK296+1)=AL$1015),MAX(AK$4:AK296)&lt;AL$1015),AK296+1,0)</f>
        <v>0</v>
      </c>
      <c r="AL297" s="309">
        <f>VLOOKUP($AK297,ENTI!$AF$4:AG$1003,2,FALSE)</f>
        <v>0</v>
      </c>
      <c r="AM297" s="224">
        <f>VLOOKUP($AK297,ENTI!$AF$4:AH$1003,3,FALSE)</f>
        <v>0</v>
      </c>
      <c r="AN297" s="224">
        <f>VLOOKUP($AK297,ENTI!$AF$4:AI$1003,4,FALSE)</f>
        <v>0</v>
      </c>
      <c r="AO297" s="781">
        <f>VLOOKUP($AK297,ENTI!$AF$4:AJ$1003,5,FALSE)</f>
        <v>0</v>
      </c>
      <c r="AP297" s="315">
        <f>VLOOKUP($AK297,ENTI!$AF$4:AK$1003,6,FALSE)</f>
        <v>0</v>
      </c>
      <c r="AQ297" s="208">
        <f t="shared" si="69"/>
        <v>0</v>
      </c>
      <c r="AR297" s="152" t="e">
        <f t="shared" si="70"/>
        <v>#N/A</v>
      </c>
      <c r="AS297" s="1"/>
      <c r="AT297" s="88" t="str">
        <f t="shared" si="63"/>
        <v/>
      </c>
      <c r="AU297" s="1"/>
      <c r="AV297" s="175">
        <f>IF(AW297&gt;0,COUNTIF(AV$4:AV296,"&gt;0")+1,0)</f>
        <v>0</v>
      </c>
      <c r="AW297" s="164">
        <f t="shared" si="64"/>
        <v>0</v>
      </c>
      <c r="AX297" s="310">
        <f>IF($AW297=0,0,VLOOKUP(VLOOKUP($X297,$B$34:$T$38,19,FALSE),ENTI!$A$9:$B$13,2,FALSE))</f>
        <v>0</v>
      </c>
      <c r="AY297" s="310">
        <f t="shared" si="66"/>
        <v>0</v>
      </c>
      <c r="AZ297" s="316">
        <f t="shared" si="67"/>
        <v>0</v>
      </c>
      <c r="BA297" s="1"/>
      <c r="BB297" s="152">
        <f t="shared" si="68"/>
        <v>0</v>
      </c>
      <c r="BC297" s="152">
        <f ca="1">SUM(Z$4:Z297)+SUM(BB$4:BB297)+COSTI!S$6-COSTI!L$1076</f>
        <v>-31.760000000000218</v>
      </c>
      <c r="BD297" s="1"/>
    </row>
    <row r="298" spans="1:56" ht="16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435">
        <f>IF(AND(W298&gt;=$U$1,W298&lt;=$U$2),IF(X298='ESTRATTO CONTO'!$E$2,1+COUNTIF(U$4:U297,"&gt;0"),0),0)</f>
        <v>0</v>
      </c>
      <c r="V298" s="417">
        <f t="shared" si="65"/>
        <v>295</v>
      </c>
      <c r="W298" s="509"/>
      <c r="X298" s="321"/>
      <c r="Y298" s="321"/>
      <c r="Z298" s="508"/>
      <c r="AA298" s="356"/>
      <c r="AB298" s="306" t="str">
        <f t="shared" si="61"/>
        <v/>
      </c>
      <c r="AC298" s="637">
        <f t="shared" ca="1" si="60"/>
        <v>-2.1316282072803006E-13</v>
      </c>
      <c r="AD298" s="935">
        <f>IF(ISERROR(VLOOKUP(AD$2,X299:X$1003,1,FALSE)),IF(X298=AD$2,SUMIF(X$4:X298,AD$2,Z$4:Z298)+$E$9+SUM(AQ$4:AQ$1003)+SUMIF(COSTI!$X$1379:$X$1430,AD$2,COSTI!$Z$1379:$Z$1430),0),0)</f>
        <v>0</v>
      </c>
      <c r="AE298" s="26"/>
      <c r="AF298" s="856" t="e">
        <f>IF(ISERROR(VLOOKUP(AG$2,X299:X$1003,1,FALSE)),IF(X298=AG$2,SUMIF(X$4:X298,AG$2,Z$4:Z298)+VLOOKUP(AF$2,$B$1057:$F$1068,5,FALSE)+SUM(AR$4:AR$1003)+SUMIF(COSTI!$X$1379:$X$1430,AG$2,COSTI!$Z$1379:$Z$1430),0),0)</f>
        <v>#N/A</v>
      </c>
      <c r="AG298" s="859"/>
      <c r="AH298" s="27" t="str">
        <f t="shared" si="62"/>
        <v/>
      </c>
      <c r="AI298" s="152">
        <f ca="1">IF(W299&gt;0,0,IF(AH298=0,(Z298*-1)+BC298+SUM(BB$4:BB297),BC298+SUM(BB$4:BB297)))</f>
        <v>-2.1316282072803006E-13</v>
      </c>
      <c r="AJ298" s="931">
        <f>IF(AND(AL298&gt;=$U$1,AL298&lt;=$U$2),IF(AM298='ESTRATTO CONTO'!$E$2,1+COUNTIF(AJ$4:AJ297,"&gt;0")+U$1015,0),0)</f>
        <v>0</v>
      </c>
      <c r="AK298" s="203">
        <f>IF(AND(OR((AK297+1)&lt;AL$1015,(AK297+1)=AL$1015),MAX(AK$4:AK297)&lt;AL$1015),AK297+1,0)</f>
        <v>0</v>
      </c>
      <c r="AL298" s="309">
        <f>VLOOKUP($AK298,ENTI!$AF$4:AG$1003,2,FALSE)</f>
        <v>0</v>
      </c>
      <c r="AM298" s="224">
        <f>VLOOKUP($AK298,ENTI!$AF$4:AH$1003,3,FALSE)</f>
        <v>0</v>
      </c>
      <c r="AN298" s="224">
        <f>VLOOKUP($AK298,ENTI!$AF$4:AI$1003,4,FALSE)</f>
        <v>0</v>
      </c>
      <c r="AO298" s="781">
        <f>VLOOKUP($AK298,ENTI!$AF$4:AJ$1003,5,FALSE)</f>
        <v>0</v>
      </c>
      <c r="AP298" s="315">
        <f>VLOOKUP($AK298,ENTI!$AF$4:AK$1003,6,FALSE)</f>
        <v>0</v>
      </c>
      <c r="AQ298" s="208">
        <f t="shared" si="69"/>
        <v>0</v>
      </c>
      <c r="AR298" s="152" t="e">
        <f t="shared" si="70"/>
        <v>#N/A</v>
      </c>
      <c r="AS298" s="1"/>
      <c r="AT298" s="88" t="str">
        <f t="shared" si="63"/>
        <v/>
      </c>
      <c r="AU298" s="1"/>
      <c r="AV298" s="175">
        <f>IF(AW298&gt;0,COUNTIF(AV$4:AV297,"&gt;0")+1,0)</f>
        <v>0</v>
      </c>
      <c r="AW298" s="164">
        <f t="shared" si="64"/>
        <v>0</v>
      </c>
      <c r="AX298" s="310">
        <f>IF($AW298=0,0,VLOOKUP(VLOOKUP($X298,$B$34:$T$38,19,FALSE),ENTI!$A$9:$B$13,2,FALSE))</f>
        <v>0</v>
      </c>
      <c r="AY298" s="310">
        <f t="shared" si="66"/>
        <v>0</v>
      </c>
      <c r="AZ298" s="316">
        <f t="shared" si="67"/>
        <v>0</v>
      </c>
      <c r="BA298" s="1"/>
      <c r="BB298" s="152">
        <f t="shared" si="68"/>
        <v>0</v>
      </c>
      <c r="BC298" s="152">
        <f ca="1">SUM(Z$4:Z298)+SUM(BB$4:BB298)+COSTI!S$6-COSTI!L$1076</f>
        <v>-31.760000000000218</v>
      </c>
      <c r="BD298" s="1"/>
    </row>
    <row r="299" spans="1:56" ht="16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435">
        <f>IF(AND(W299&gt;=$U$1,W299&lt;=$U$2),IF(X299='ESTRATTO CONTO'!$E$2,1+COUNTIF(U$4:U298,"&gt;0"),0),0)</f>
        <v>0</v>
      </c>
      <c r="V299" s="417">
        <f t="shared" si="65"/>
        <v>296</v>
      </c>
      <c r="W299" s="509"/>
      <c r="X299" s="321"/>
      <c r="Y299" s="321"/>
      <c r="Z299" s="508"/>
      <c r="AA299" s="356"/>
      <c r="AB299" s="306" t="str">
        <f t="shared" si="61"/>
        <v/>
      </c>
      <c r="AC299" s="637">
        <f t="shared" ca="1" si="60"/>
        <v>-2.1316282072803006E-13</v>
      </c>
      <c r="AD299" s="935">
        <f>IF(ISERROR(VLOOKUP(AD$2,X300:X$1003,1,FALSE)),IF(X299=AD$2,SUMIF(X$4:X299,AD$2,Z$4:Z299)+$E$9+SUM(AQ$4:AQ$1003)+SUMIF(COSTI!$X$1379:$X$1430,AD$2,COSTI!$Z$1379:$Z$1430),0),0)</f>
        <v>0</v>
      </c>
      <c r="AE299" s="26"/>
      <c r="AF299" s="856" t="e">
        <f>IF(ISERROR(VLOOKUP(AG$2,X300:X$1003,1,FALSE)),IF(X299=AG$2,SUMIF(X$4:X299,AG$2,Z$4:Z299)+VLOOKUP(AF$2,$B$1057:$F$1068,5,FALSE)+SUM(AR$4:AR$1003)+SUMIF(COSTI!$X$1379:$X$1430,AG$2,COSTI!$Z$1379:$Z$1430),0),0)</f>
        <v>#N/A</v>
      </c>
      <c r="AG299" s="859"/>
      <c r="AH299" s="27" t="str">
        <f t="shared" si="62"/>
        <v/>
      </c>
      <c r="AI299" s="152">
        <f ca="1">IF(W300&gt;0,0,IF(AH299=0,(Z299*-1)+BC299+SUM(BB$4:BB298),BC299+SUM(BB$4:BB298)))</f>
        <v>-2.1316282072803006E-13</v>
      </c>
      <c r="AJ299" s="931">
        <f>IF(AND(AL299&gt;=$U$1,AL299&lt;=$U$2),IF(AM299='ESTRATTO CONTO'!$E$2,1+COUNTIF(AJ$4:AJ298,"&gt;0")+U$1015,0),0)</f>
        <v>0</v>
      </c>
      <c r="AK299" s="203">
        <f>IF(AND(OR((AK298+1)&lt;AL$1015,(AK298+1)=AL$1015),MAX(AK$4:AK298)&lt;AL$1015),AK298+1,0)</f>
        <v>0</v>
      </c>
      <c r="AL299" s="309">
        <f>VLOOKUP($AK299,ENTI!$AF$4:AG$1003,2,FALSE)</f>
        <v>0</v>
      </c>
      <c r="AM299" s="224">
        <f>VLOOKUP($AK299,ENTI!$AF$4:AH$1003,3,FALSE)</f>
        <v>0</v>
      </c>
      <c r="AN299" s="224">
        <f>VLOOKUP($AK299,ENTI!$AF$4:AI$1003,4,FALSE)</f>
        <v>0</v>
      </c>
      <c r="AO299" s="781">
        <f>VLOOKUP($AK299,ENTI!$AF$4:AJ$1003,5,FALSE)</f>
        <v>0</v>
      </c>
      <c r="AP299" s="315">
        <f>VLOOKUP($AK299,ENTI!$AF$4:AK$1003,6,FALSE)</f>
        <v>0</v>
      </c>
      <c r="AQ299" s="208">
        <f t="shared" si="69"/>
        <v>0</v>
      </c>
      <c r="AR299" s="152" t="e">
        <f t="shared" si="70"/>
        <v>#N/A</v>
      </c>
      <c r="AS299" s="1"/>
      <c r="AT299" s="88" t="str">
        <f t="shared" si="63"/>
        <v/>
      </c>
      <c r="AU299" s="1"/>
      <c r="AV299" s="175">
        <f>IF(AW299&gt;0,COUNTIF(AV$4:AV298,"&gt;0")+1,0)</f>
        <v>0</v>
      </c>
      <c r="AW299" s="164">
        <f t="shared" si="64"/>
        <v>0</v>
      </c>
      <c r="AX299" s="310">
        <f>IF($AW299=0,0,VLOOKUP(VLOOKUP($X299,$B$34:$T$38,19,FALSE),ENTI!$A$9:$B$13,2,FALSE))</f>
        <v>0</v>
      </c>
      <c r="AY299" s="310">
        <f t="shared" si="66"/>
        <v>0</v>
      </c>
      <c r="AZ299" s="316">
        <f t="shared" si="67"/>
        <v>0</v>
      </c>
      <c r="BA299" s="1"/>
      <c r="BB299" s="152">
        <f t="shared" si="68"/>
        <v>0</v>
      </c>
      <c r="BC299" s="152">
        <f ca="1">SUM(Z$4:Z299)+SUM(BB$4:BB299)+COSTI!S$6-COSTI!L$1076</f>
        <v>-31.760000000000218</v>
      </c>
      <c r="BD299" s="1"/>
    </row>
    <row r="300" spans="1:56" ht="16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435">
        <f>IF(AND(W300&gt;=$U$1,W300&lt;=$U$2),IF(X300='ESTRATTO CONTO'!$E$2,1+COUNTIF(U$4:U299,"&gt;0"),0),0)</f>
        <v>0</v>
      </c>
      <c r="V300" s="417">
        <f t="shared" si="65"/>
        <v>297</v>
      </c>
      <c r="W300" s="509"/>
      <c r="X300" s="321"/>
      <c r="Y300" s="321"/>
      <c r="Z300" s="508"/>
      <c r="AA300" s="356"/>
      <c r="AB300" s="306" t="str">
        <f t="shared" si="61"/>
        <v/>
      </c>
      <c r="AC300" s="637">
        <f t="shared" ca="1" si="60"/>
        <v>-2.1316282072803006E-13</v>
      </c>
      <c r="AD300" s="935">
        <f>IF(ISERROR(VLOOKUP(AD$2,X301:X$1003,1,FALSE)),IF(X300=AD$2,SUMIF(X$4:X300,AD$2,Z$4:Z300)+$E$9+SUM(AQ$4:AQ$1003)+SUMIF(COSTI!$X$1379:$X$1430,AD$2,COSTI!$Z$1379:$Z$1430),0),0)</f>
        <v>0</v>
      </c>
      <c r="AE300" s="26"/>
      <c r="AF300" s="856" t="e">
        <f>IF(ISERROR(VLOOKUP(AG$2,X301:X$1003,1,FALSE)),IF(X300=AG$2,SUMIF(X$4:X300,AG$2,Z$4:Z300)+VLOOKUP(AF$2,$B$1057:$F$1068,5,FALSE)+SUM(AR$4:AR$1003)+SUMIF(COSTI!$X$1379:$X$1430,AG$2,COSTI!$Z$1379:$Z$1430),0),0)</f>
        <v>#N/A</v>
      </c>
      <c r="AG300" s="859"/>
      <c r="AH300" s="27" t="str">
        <f t="shared" si="62"/>
        <v/>
      </c>
      <c r="AI300" s="152">
        <f ca="1">IF(W301&gt;0,0,IF(AH300=0,(Z300*-1)+BC300+SUM(BB$4:BB299),BC300+SUM(BB$4:BB299)))</f>
        <v>-2.1316282072803006E-13</v>
      </c>
      <c r="AJ300" s="931">
        <f>IF(AND(AL300&gt;=$U$1,AL300&lt;=$U$2),IF(AM300='ESTRATTO CONTO'!$E$2,1+COUNTIF(AJ$4:AJ299,"&gt;0")+U$1015,0),0)</f>
        <v>0</v>
      </c>
      <c r="AK300" s="203">
        <f>IF(AND(OR((AK299+1)&lt;AL$1015,(AK299+1)=AL$1015),MAX(AK$4:AK299)&lt;AL$1015),AK299+1,0)</f>
        <v>0</v>
      </c>
      <c r="AL300" s="309">
        <f>VLOOKUP($AK300,ENTI!$AF$4:AG$1003,2,FALSE)</f>
        <v>0</v>
      </c>
      <c r="AM300" s="224">
        <f>VLOOKUP($AK300,ENTI!$AF$4:AH$1003,3,FALSE)</f>
        <v>0</v>
      </c>
      <c r="AN300" s="224">
        <f>VLOOKUP($AK300,ENTI!$AF$4:AI$1003,4,FALSE)</f>
        <v>0</v>
      </c>
      <c r="AO300" s="781">
        <f>VLOOKUP($AK300,ENTI!$AF$4:AJ$1003,5,FALSE)</f>
        <v>0</v>
      </c>
      <c r="AP300" s="315">
        <f>VLOOKUP($AK300,ENTI!$AF$4:AK$1003,6,FALSE)</f>
        <v>0</v>
      </c>
      <c r="AQ300" s="208">
        <f t="shared" si="69"/>
        <v>0</v>
      </c>
      <c r="AR300" s="152" t="e">
        <f t="shared" si="70"/>
        <v>#N/A</v>
      </c>
      <c r="AS300" s="1"/>
      <c r="AT300" s="88" t="str">
        <f t="shared" si="63"/>
        <v/>
      </c>
      <c r="AU300" s="1"/>
      <c r="AV300" s="175">
        <f>IF(AW300&gt;0,COUNTIF(AV$4:AV299,"&gt;0")+1,0)</f>
        <v>0</v>
      </c>
      <c r="AW300" s="164">
        <f t="shared" si="64"/>
        <v>0</v>
      </c>
      <c r="AX300" s="310">
        <f>IF($AW300=0,0,VLOOKUP(VLOOKUP($X300,$B$34:$T$38,19,FALSE),ENTI!$A$9:$B$13,2,FALSE))</f>
        <v>0</v>
      </c>
      <c r="AY300" s="310">
        <f t="shared" si="66"/>
        <v>0</v>
      </c>
      <c r="AZ300" s="316">
        <f t="shared" si="67"/>
        <v>0</v>
      </c>
      <c r="BA300" s="1"/>
      <c r="BB300" s="152">
        <f t="shared" si="68"/>
        <v>0</v>
      </c>
      <c r="BC300" s="152">
        <f ca="1">SUM(Z$4:Z300)+SUM(BB$4:BB300)+COSTI!S$6-COSTI!L$1076</f>
        <v>-31.760000000000218</v>
      </c>
      <c r="BD300" s="1"/>
    </row>
    <row r="301" spans="1:56" ht="16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435">
        <f>IF(AND(W301&gt;=$U$1,W301&lt;=$U$2),IF(X301='ESTRATTO CONTO'!$E$2,1+COUNTIF(U$4:U300,"&gt;0"),0),0)</f>
        <v>0</v>
      </c>
      <c r="V301" s="417">
        <f t="shared" si="65"/>
        <v>298</v>
      </c>
      <c r="W301" s="509"/>
      <c r="X301" s="321"/>
      <c r="Y301" s="321"/>
      <c r="Z301" s="508"/>
      <c r="AA301" s="356"/>
      <c r="AB301" s="306" t="str">
        <f t="shared" si="61"/>
        <v/>
      </c>
      <c r="AC301" s="637">
        <f t="shared" ca="1" si="60"/>
        <v>-2.1316282072803006E-13</v>
      </c>
      <c r="AD301" s="935">
        <f>IF(ISERROR(VLOOKUP(AD$2,X302:X$1003,1,FALSE)),IF(X301=AD$2,SUMIF(X$4:X301,AD$2,Z$4:Z301)+$E$9+SUM(AQ$4:AQ$1003)+SUMIF(COSTI!$X$1379:$X$1430,AD$2,COSTI!$Z$1379:$Z$1430),0),0)</f>
        <v>0</v>
      </c>
      <c r="AE301" s="26"/>
      <c r="AF301" s="856" t="e">
        <f>IF(ISERROR(VLOOKUP(AG$2,X302:X$1003,1,FALSE)),IF(X301=AG$2,SUMIF(X$4:X301,AG$2,Z$4:Z301)+VLOOKUP(AF$2,$B$1057:$F$1068,5,FALSE)+SUM(AR$4:AR$1003)+SUMIF(COSTI!$X$1379:$X$1430,AG$2,COSTI!$Z$1379:$Z$1430),0),0)</f>
        <v>#N/A</v>
      </c>
      <c r="AG301" s="859"/>
      <c r="AH301" s="27" t="str">
        <f t="shared" si="62"/>
        <v/>
      </c>
      <c r="AI301" s="152">
        <f ca="1">IF(W302&gt;0,0,IF(AH301=0,(Z301*-1)+BC301+SUM(BB$4:BB300),BC301+SUM(BB$4:BB300)))</f>
        <v>-2.1316282072803006E-13</v>
      </c>
      <c r="AJ301" s="931">
        <f>IF(AND(AL301&gt;=$U$1,AL301&lt;=$U$2),IF(AM301='ESTRATTO CONTO'!$E$2,1+COUNTIF(AJ$4:AJ300,"&gt;0")+U$1015,0),0)</f>
        <v>0</v>
      </c>
      <c r="AK301" s="203">
        <f>IF(AND(OR((AK300+1)&lt;AL$1015,(AK300+1)=AL$1015),MAX(AK$4:AK300)&lt;AL$1015),AK300+1,0)</f>
        <v>0</v>
      </c>
      <c r="AL301" s="309">
        <f>VLOOKUP($AK301,ENTI!$AF$4:AG$1003,2,FALSE)</f>
        <v>0</v>
      </c>
      <c r="AM301" s="224">
        <f>VLOOKUP($AK301,ENTI!$AF$4:AH$1003,3,FALSE)</f>
        <v>0</v>
      </c>
      <c r="AN301" s="224">
        <f>VLOOKUP($AK301,ENTI!$AF$4:AI$1003,4,FALSE)</f>
        <v>0</v>
      </c>
      <c r="AO301" s="781">
        <f>VLOOKUP($AK301,ENTI!$AF$4:AJ$1003,5,FALSE)</f>
        <v>0</v>
      </c>
      <c r="AP301" s="315">
        <f>VLOOKUP($AK301,ENTI!$AF$4:AK$1003,6,FALSE)</f>
        <v>0</v>
      </c>
      <c r="AQ301" s="208">
        <f t="shared" si="69"/>
        <v>0</v>
      </c>
      <c r="AR301" s="152" t="e">
        <f t="shared" si="70"/>
        <v>#N/A</v>
      </c>
      <c r="AS301" s="1"/>
      <c r="AT301" s="88" t="str">
        <f t="shared" si="63"/>
        <v/>
      </c>
      <c r="AU301" s="1"/>
      <c r="AV301" s="175">
        <f>IF(AW301&gt;0,COUNTIF(AV$4:AV300,"&gt;0")+1,0)</f>
        <v>0</v>
      </c>
      <c r="AW301" s="164">
        <f t="shared" si="64"/>
        <v>0</v>
      </c>
      <c r="AX301" s="310">
        <f>IF($AW301=0,0,VLOOKUP(VLOOKUP($X301,$B$34:$T$38,19,FALSE),ENTI!$A$9:$B$13,2,FALSE))</f>
        <v>0</v>
      </c>
      <c r="AY301" s="310">
        <f t="shared" si="66"/>
        <v>0</v>
      </c>
      <c r="AZ301" s="316">
        <f t="shared" si="67"/>
        <v>0</v>
      </c>
      <c r="BA301" s="1"/>
      <c r="BB301" s="152">
        <f t="shared" si="68"/>
        <v>0</v>
      </c>
      <c r="BC301" s="152">
        <f ca="1">SUM(Z$4:Z301)+SUM(BB$4:BB301)+COSTI!S$6-COSTI!L$1076</f>
        <v>-31.760000000000218</v>
      </c>
      <c r="BD301" s="1"/>
    </row>
    <row r="302" spans="1:56" ht="16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435">
        <f>IF(AND(W302&gt;=$U$1,W302&lt;=$U$2),IF(X302='ESTRATTO CONTO'!$E$2,1+COUNTIF(U$4:U301,"&gt;0"),0),0)</f>
        <v>0</v>
      </c>
      <c r="V302" s="417">
        <f t="shared" si="65"/>
        <v>299</v>
      </c>
      <c r="W302" s="509"/>
      <c r="X302" s="321"/>
      <c r="Y302" s="321"/>
      <c r="Z302" s="508"/>
      <c r="AA302" s="356"/>
      <c r="AB302" s="306" t="str">
        <f t="shared" si="61"/>
        <v/>
      </c>
      <c r="AC302" s="637">
        <f t="shared" ca="1" si="60"/>
        <v>-2.1316282072803006E-13</v>
      </c>
      <c r="AD302" s="935">
        <f>IF(ISERROR(VLOOKUP(AD$2,X303:X$1003,1,FALSE)),IF(X302=AD$2,SUMIF(X$4:X302,AD$2,Z$4:Z302)+$E$9+SUM(AQ$4:AQ$1003)+SUMIF(COSTI!$X$1379:$X$1430,AD$2,COSTI!$Z$1379:$Z$1430),0),0)</f>
        <v>0</v>
      </c>
      <c r="AE302" s="26"/>
      <c r="AF302" s="856" t="e">
        <f>IF(ISERROR(VLOOKUP(AG$2,X303:X$1003,1,FALSE)),IF(X302=AG$2,SUMIF(X$4:X302,AG$2,Z$4:Z302)+VLOOKUP(AF$2,$B$1057:$F$1068,5,FALSE)+SUM(AR$4:AR$1003)+SUMIF(COSTI!$X$1379:$X$1430,AG$2,COSTI!$Z$1379:$Z$1430),0),0)</f>
        <v>#N/A</v>
      </c>
      <c r="AG302" s="859"/>
      <c r="AH302" s="27" t="str">
        <f t="shared" si="62"/>
        <v/>
      </c>
      <c r="AI302" s="152">
        <f ca="1">IF(W303&gt;0,0,IF(AH302=0,(Z302*-1)+BC302+SUM(BB$4:BB301),BC302+SUM(BB$4:BB301)))</f>
        <v>-2.1316282072803006E-13</v>
      </c>
      <c r="AJ302" s="931">
        <f>IF(AND(AL302&gt;=$U$1,AL302&lt;=$U$2),IF(AM302='ESTRATTO CONTO'!$E$2,1+COUNTIF(AJ$4:AJ301,"&gt;0")+U$1015,0),0)</f>
        <v>0</v>
      </c>
      <c r="AK302" s="203">
        <f>IF(AND(OR((AK301+1)&lt;AL$1015,(AK301+1)=AL$1015),MAX(AK$4:AK301)&lt;AL$1015),AK301+1,0)</f>
        <v>0</v>
      </c>
      <c r="AL302" s="309">
        <f>VLOOKUP($AK302,ENTI!$AF$4:AG$1003,2,FALSE)</f>
        <v>0</v>
      </c>
      <c r="AM302" s="224">
        <f>VLOOKUP($AK302,ENTI!$AF$4:AH$1003,3,FALSE)</f>
        <v>0</v>
      </c>
      <c r="AN302" s="224">
        <f>VLOOKUP($AK302,ENTI!$AF$4:AI$1003,4,FALSE)</f>
        <v>0</v>
      </c>
      <c r="AO302" s="781">
        <f>VLOOKUP($AK302,ENTI!$AF$4:AJ$1003,5,FALSE)</f>
        <v>0</v>
      </c>
      <c r="AP302" s="315">
        <f>VLOOKUP($AK302,ENTI!$AF$4:AK$1003,6,FALSE)</f>
        <v>0</v>
      </c>
      <c r="AQ302" s="208">
        <f t="shared" si="69"/>
        <v>0</v>
      </c>
      <c r="AR302" s="152" t="e">
        <f t="shared" si="70"/>
        <v>#N/A</v>
      </c>
      <c r="AS302" s="1"/>
      <c r="AT302" s="88" t="str">
        <f t="shared" si="63"/>
        <v/>
      </c>
      <c r="AU302" s="1"/>
      <c r="AV302" s="175">
        <f>IF(AW302&gt;0,COUNTIF(AV$4:AV301,"&gt;0")+1,0)</f>
        <v>0</v>
      </c>
      <c r="AW302" s="164">
        <f t="shared" si="64"/>
        <v>0</v>
      </c>
      <c r="AX302" s="310">
        <f>IF($AW302=0,0,VLOOKUP(VLOOKUP($X302,$B$34:$T$38,19,FALSE),ENTI!$A$9:$B$13,2,FALSE))</f>
        <v>0</v>
      </c>
      <c r="AY302" s="310">
        <f t="shared" si="66"/>
        <v>0</v>
      </c>
      <c r="AZ302" s="316">
        <f t="shared" si="67"/>
        <v>0</v>
      </c>
      <c r="BA302" s="1"/>
      <c r="BB302" s="152">
        <f t="shared" si="68"/>
        <v>0</v>
      </c>
      <c r="BC302" s="152">
        <f ca="1">SUM(Z$4:Z302)+SUM(BB$4:BB302)+COSTI!S$6-COSTI!L$1076</f>
        <v>-31.760000000000218</v>
      </c>
      <c r="BD302" s="1"/>
    </row>
    <row r="303" spans="1:56" ht="16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435">
        <f>IF(AND(W303&gt;=$U$1,W303&lt;=$U$2),IF(X303='ESTRATTO CONTO'!$E$2,1+COUNTIF(U$4:U302,"&gt;0"),0),0)</f>
        <v>0</v>
      </c>
      <c r="V303" s="417">
        <f t="shared" si="65"/>
        <v>300</v>
      </c>
      <c r="W303" s="509"/>
      <c r="X303" s="321"/>
      <c r="Y303" s="321"/>
      <c r="Z303" s="508"/>
      <c r="AA303" s="356"/>
      <c r="AB303" s="306" t="str">
        <f t="shared" si="61"/>
        <v/>
      </c>
      <c r="AC303" s="637">
        <f t="shared" ca="1" si="60"/>
        <v>-2.1316282072803006E-13</v>
      </c>
      <c r="AD303" s="935">
        <f>IF(ISERROR(VLOOKUP(AD$2,X304:X$1003,1,FALSE)),IF(X303=AD$2,SUMIF(X$4:X303,AD$2,Z$4:Z303)+$E$9+SUM(AQ$4:AQ$1003)+SUMIF(COSTI!$X$1379:$X$1430,AD$2,COSTI!$Z$1379:$Z$1430),0),0)</f>
        <v>0</v>
      </c>
      <c r="AE303" s="26"/>
      <c r="AF303" s="856" t="e">
        <f>IF(ISERROR(VLOOKUP(AG$2,X304:X$1003,1,FALSE)),IF(X303=AG$2,SUMIF(X$4:X303,AG$2,Z$4:Z303)+VLOOKUP(AF$2,$B$1057:$F$1068,5,FALSE)+SUM(AR$4:AR$1003)+SUMIF(COSTI!$X$1379:$X$1430,AG$2,COSTI!$Z$1379:$Z$1430),0),0)</f>
        <v>#N/A</v>
      </c>
      <c r="AG303" s="859"/>
      <c r="AH303" s="27" t="str">
        <f t="shared" si="62"/>
        <v/>
      </c>
      <c r="AI303" s="152">
        <f ca="1">IF(W304&gt;0,0,IF(AH303=0,(Z303*-1)+BC303+SUM(BB$4:BB302),BC303+SUM(BB$4:BB302)))</f>
        <v>-2.1316282072803006E-13</v>
      </c>
      <c r="AJ303" s="931">
        <f>IF(AND(AL303&gt;=$U$1,AL303&lt;=$U$2),IF(AM303='ESTRATTO CONTO'!$E$2,1+COUNTIF(AJ$4:AJ302,"&gt;0")+U$1015,0),0)</f>
        <v>0</v>
      </c>
      <c r="AK303" s="203">
        <f>IF(AND(OR((AK302+1)&lt;AL$1015,(AK302+1)=AL$1015),MAX(AK$4:AK302)&lt;AL$1015),AK302+1,0)</f>
        <v>0</v>
      </c>
      <c r="AL303" s="309">
        <f>VLOOKUP($AK303,ENTI!$AF$4:AG$1003,2,FALSE)</f>
        <v>0</v>
      </c>
      <c r="AM303" s="224">
        <f>VLOOKUP($AK303,ENTI!$AF$4:AH$1003,3,FALSE)</f>
        <v>0</v>
      </c>
      <c r="AN303" s="224">
        <f>VLOOKUP($AK303,ENTI!$AF$4:AI$1003,4,FALSE)</f>
        <v>0</v>
      </c>
      <c r="AO303" s="781">
        <f>VLOOKUP($AK303,ENTI!$AF$4:AJ$1003,5,FALSE)</f>
        <v>0</v>
      </c>
      <c r="AP303" s="315">
        <f>VLOOKUP($AK303,ENTI!$AF$4:AK$1003,6,FALSE)</f>
        <v>0</v>
      </c>
      <c r="AQ303" s="208">
        <f t="shared" si="69"/>
        <v>0</v>
      </c>
      <c r="AR303" s="152" t="e">
        <f t="shared" si="70"/>
        <v>#N/A</v>
      </c>
      <c r="AS303" s="1"/>
      <c r="AT303" s="88" t="str">
        <f t="shared" si="63"/>
        <v/>
      </c>
      <c r="AU303" s="1"/>
      <c r="AV303" s="175">
        <f>IF(AW303&gt;0,COUNTIF(AV$4:AV302,"&gt;0")+1,0)</f>
        <v>0</v>
      </c>
      <c r="AW303" s="164">
        <f t="shared" si="64"/>
        <v>0</v>
      </c>
      <c r="AX303" s="310">
        <f>IF($AW303=0,0,VLOOKUP(VLOOKUP($X303,$B$34:$T$38,19,FALSE),ENTI!$A$9:$B$13,2,FALSE))</f>
        <v>0</v>
      </c>
      <c r="AY303" s="310">
        <f t="shared" si="66"/>
        <v>0</v>
      </c>
      <c r="AZ303" s="316">
        <f t="shared" si="67"/>
        <v>0</v>
      </c>
      <c r="BA303" s="1"/>
      <c r="BB303" s="152">
        <f t="shared" si="68"/>
        <v>0</v>
      </c>
      <c r="BC303" s="152">
        <f ca="1">SUM(Z$4:Z303)+SUM(BB$4:BB303)+COSTI!S$6-COSTI!L$1076</f>
        <v>-31.760000000000218</v>
      </c>
      <c r="BD303" s="1"/>
    </row>
    <row r="304" spans="1:56" ht="16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435">
        <f>IF(AND(W304&gt;=$U$1,W304&lt;=$U$2),IF(X304='ESTRATTO CONTO'!$E$2,1+COUNTIF(U$4:U303,"&gt;0"),0),0)</f>
        <v>0</v>
      </c>
      <c r="V304" s="417">
        <f t="shared" si="65"/>
        <v>301</v>
      </c>
      <c r="W304" s="509"/>
      <c r="X304" s="321"/>
      <c r="Y304" s="321"/>
      <c r="Z304" s="508"/>
      <c r="AA304" s="356"/>
      <c r="AB304" s="306" t="str">
        <f t="shared" si="61"/>
        <v/>
      </c>
      <c r="AC304" s="637">
        <f t="shared" ca="1" si="60"/>
        <v>-2.1316282072803006E-13</v>
      </c>
      <c r="AD304" s="935">
        <f>IF(ISERROR(VLOOKUP(AD$2,X305:X$1003,1,FALSE)),IF(X304=AD$2,SUMIF(X$4:X304,AD$2,Z$4:Z304)+$E$9+SUM(AQ$4:AQ$1003)+SUMIF(COSTI!$X$1379:$X$1430,AD$2,COSTI!$Z$1379:$Z$1430),0),0)</f>
        <v>0</v>
      </c>
      <c r="AE304" s="26"/>
      <c r="AF304" s="856" t="e">
        <f>IF(ISERROR(VLOOKUP(AG$2,X305:X$1003,1,FALSE)),IF(X304=AG$2,SUMIF(X$4:X304,AG$2,Z$4:Z304)+VLOOKUP(AF$2,$B$1057:$F$1068,5,FALSE)+SUM(AR$4:AR$1003)+SUMIF(COSTI!$X$1379:$X$1430,AG$2,COSTI!$Z$1379:$Z$1430),0),0)</f>
        <v>#N/A</v>
      </c>
      <c r="AG304" s="859"/>
      <c r="AH304" s="27" t="str">
        <f t="shared" si="62"/>
        <v/>
      </c>
      <c r="AI304" s="152">
        <f ca="1">IF(W305&gt;0,0,IF(AH304=0,(Z304*-1)+BC304+SUM(BB$4:BB303),BC304+SUM(BB$4:BB303)))</f>
        <v>-2.1316282072803006E-13</v>
      </c>
      <c r="AJ304" s="931">
        <f>IF(AND(AL304&gt;=$U$1,AL304&lt;=$U$2),IF(AM304='ESTRATTO CONTO'!$E$2,1+COUNTIF(AJ$4:AJ303,"&gt;0")+U$1015,0),0)</f>
        <v>0</v>
      </c>
      <c r="AK304" s="203">
        <f>IF(AND(OR((AK303+1)&lt;AL$1015,(AK303+1)=AL$1015),MAX(AK$4:AK303)&lt;AL$1015),AK303+1,0)</f>
        <v>0</v>
      </c>
      <c r="AL304" s="309">
        <f>VLOOKUP($AK304,ENTI!$AF$4:AG$1003,2,FALSE)</f>
        <v>0</v>
      </c>
      <c r="AM304" s="224">
        <f>VLOOKUP($AK304,ENTI!$AF$4:AH$1003,3,FALSE)</f>
        <v>0</v>
      </c>
      <c r="AN304" s="224">
        <f>VLOOKUP($AK304,ENTI!$AF$4:AI$1003,4,FALSE)</f>
        <v>0</v>
      </c>
      <c r="AO304" s="781">
        <f>VLOOKUP($AK304,ENTI!$AF$4:AJ$1003,5,FALSE)</f>
        <v>0</v>
      </c>
      <c r="AP304" s="315">
        <f>VLOOKUP($AK304,ENTI!$AF$4:AK$1003,6,FALSE)</f>
        <v>0</v>
      </c>
      <c r="AQ304" s="208">
        <f t="shared" si="69"/>
        <v>0</v>
      </c>
      <c r="AR304" s="152" t="e">
        <f t="shared" si="70"/>
        <v>#N/A</v>
      </c>
      <c r="AS304" s="1"/>
      <c r="AT304" s="88" t="str">
        <f t="shared" si="63"/>
        <v/>
      </c>
      <c r="AU304" s="1"/>
      <c r="AV304" s="175">
        <f>IF(AW304&gt;0,COUNTIF(AV$4:AV303,"&gt;0")+1,0)</f>
        <v>0</v>
      </c>
      <c r="AW304" s="164">
        <f t="shared" si="64"/>
        <v>0</v>
      </c>
      <c r="AX304" s="310">
        <f>IF($AW304=0,0,VLOOKUP(VLOOKUP($X304,$B$34:$T$38,19,FALSE),ENTI!$A$9:$B$13,2,FALSE))</f>
        <v>0</v>
      </c>
      <c r="AY304" s="310">
        <f t="shared" si="66"/>
        <v>0</v>
      </c>
      <c r="AZ304" s="316">
        <f t="shared" si="67"/>
        <v>0</v>
      </c>
      <c r="BA304" s="1"/>
      <c r="BB304" s="152">
        <f t="shared" si="68"/>
        <v>0</v>
      </c>
      <c r="BC304" s="152">
        <f ca="1">SUM(Z$4:Z304)+SUM(BB$4:BB304)+COSTI!S$6-COSTI!L$1076</f>
        <v>-31.760000000000218</v>
      </c>
      <c r="BD304" s="1"/>
    </row>
    <row r="305" spans="1:56" ht="16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435">
        <f>IF(AND(W305&gt;=$U$1,W305&lt;=$U$2),IF(X305='ESTRATTO CONTO'!$E$2,1+COUNTIF(U$4:U304,"&gt;0"),0),0)</f>
        <v>0</v>
      </c>
      <c r="V305" s="417">
        <f t="shared" si="65"/>
        <v>302</v>
      </c>
      <c r="W305" s="509"/>
      <c r="X305" s="321"/>
      <c r="Y305" s="321"/>
      <c r="Z305" s="508"/>
      <c r="AA305" s="356"/>
      <c r="AB305" s="306" t="str">
        <f t="shared" si="61"/>
        <v/>
      </c>
      <c r="AC305" s="637">
        <f t="shared" ca="1" si="60"/>
        <v>-2.1316282072803006E-13</v>
      </c>
      <c r="AD305" s="935">
        <f>IF(ISERROR(VLOOKUP(AD$2,X306:X$1003,1,FALSE)),IF(X305=AD$2,SUMIF(X$4:X305,AD$2,Z$4:Z305)+$E$9+SUM(AQ$4:AQ$1003)+SUMIF(COSTI!$X$1379:$X$1430,AD$2,COSTI!$Z$1379:$Z$1430),0),0)</f>
        <v>0</v>
      </c>
      <c r="AE305" s="26"/>
      <c r="AF305" s="856" t="e">
        <f>IF(ISERROR(VLOOKUP(AG$2,X306:X$1003,1,FALSE)),IF(X305=AG$2,SUMIF(X$4:X305,AG$2,Z$4:Z305)+VLOOKUP(AF$2,$B$1057:$F$1068,5,FALSE)+SUM(AR$4:AR$1003)+SUMIF(COSTI!$X$1379:$X$1430,AG$2,COSTI!$Z$1379:$Z$1430),0),0)</f>
        <v>#N/A</v>
      </c>
      <c r="AG305" s="859"/>
      <c r="AH305" s="27" t="str">
        <f t="shared" si="62"/>
        <v/>
      </c>
      <c r="AI305" s="152">
        <f ca="1">IF(W306&gt;0,0,IF(AH305=0,(Z305*-1)+BC305+SUM(BB$4:BB304),BC305+SUM(BB$4:BB304)))</f>
        <v>-2.1316282072803006E-13</v>
      </c>
      <c r="AJ305" s="931">
        <f>IF(AND(AL305&gt;=$U$1,AL305&lt;=$U$2),IF(AM305='ESTRATTO CONTO'!$E$2,1+COUNTIF(AJ$4:AJ304,"&gt;0")+U$1015,0),0)</f>
        <v>0</v>
      </c>
      <c r="AK305" s="203">
        <f>IF(AND(OR((AK304+1)&lt;AL$1015,(AK304+1)=AL$1015),MAX(AK$4:AK304)&lt;AL$1015),AK304+1,0)</f>
        <v>0</v>
      </c>
      <c r="AL305" s="309">
        <f>VLOOKUP($AK305,ENTI!$AF$4:AG$1003,2,FALSE)</f>
        <v>0</v>
      </c>
      <c r="AM305" s="224">
        <f>VLOOKUP($AK305,ENTI!$AF$4:AH$1003,3,FALSE)</f>
        <v>0</v>
      </c>
      <c r="AN305" s="224">
        <f>VLOOKUP($AK305,ENTI!$AF$4:AI$1003,4,FALSE)</f>
        <v>0</v>
      </c>
      <c r="AO305" s="781">
        <f>VLOOKUP($AK305,ENTI!$AF$4:AJ$1003,5,FALSE)</f>
        <v>0</v>
      </c>
      <c r="AP305" s="315">
        <f>VLOOKUP($AK305,ENTI!$AF$4:AK$1003,6,FALSE)</f>
        <v>0</v>
      </c>
      <c r="AQ305" s="208">
        <f t="shared" si="69"/>
        <v>0</v>
      </c>
      <c r="AR305" s="152" t="e">
        <f t="shared" si="70"/>
        <v>#N/A</v>
      </c>
      <c r="AS305" s="1"/>
      <c r="AT305" s="88" t="str">
        <f t="shared" si="63"/>
        <v/>
      </c>
      <c r="AU305" s="1"/>
      <c r="AV305" s="175">
        <f>IF(AW305&gt;0,COUNTIF(AV$4:AV304,"&gt;0")+1,0)</f>
        <v>0</v>
      </c>
      <c r="AW305" s="164">
        <f t="shared" si="64"/>
        <v>0</v>
      </c>
      <c r="AX305" s="310">
        <f>IF($AW305=0,0,VLOOKUP(VLOOKUP($X305,$B$34:$T$38,19,FALSE),ENTI!$A$9:$B$13,2,FALSE))</f>
        <v>0</v>
      </c>
      <c r="AY305" s="310">
        <f t="shared" si="66"/>
        <v>0</v>
      </c>
      <c r="AZ305" s="316">
        <f t="shared" si="67"/>
        <v>0</v>
      </c>
      <c r="BA305" s="1"/>
      <c r="BB305" s="152">
        <f t="shared" si="68"/>
        <v>0</v>
      </c>
      <c r="BC305" s="152">
        <f ca="1">SUM(Z$4:Z305)+SUM(BB$4:BB305)+COSTI!S$6-COSTI!L$1076</f>
        <v>-31.760000000000218</v>
      </c>
      <c r="BD305" s="1"/>
    </row>
    <row r="306" spans="1:56" ht="16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435">
        <f>IF(AND(W306&gt;=$U$1,W306&lt;=$U$2),IF(X306='ESTRATTO CONTO'!$E$2,1+COUNTIF(U$4:U305,"&gt;0"),0),0)</f>
        <v>0</v>
      </c>
      <c r="V306" s="417">
        <f t="shared" si="65"/>
        <v>303</v>
      </c>
      <c r="W306" s="509"/>
      <c r="X306" s="321"/>
      <c r="Y306" s="321"/>
      <c r="Z306" s="508"/>
      <c r="AA306" s="356"/>
      <c r="AB306" s="306" t="str">
        <f t="shared" si="61"/>
        <v/>
      </c>
      <c r="AC306" s="637">
        <f t="shared" ca="1" si="60"/>
        <v>-2.1316282072803006E-13</v>
      </c>
      <c r="AD306" s="935">
        <f>IF(ISERROR(VLOOKUP(AD$2,X307:X$1003,1,FALSE)),IF(X306=AD$2,SUMIF(X$4:X306,AD$2,Z$4:Z306)+$E$9+SUM(AQ$4:AQ$1003)+SUMIF(COSTI!$X$1379:$X$1430,AD$2,COSTI!$Z$1379:$Z$1430),0),0)</f>
        <v>0</v>
      </c>
      <c r="AE306" s="26"/>
      <c r="AF306" s="856" t="e">
        <f>IF(ISERROR(VLOOKUP(AG$2,X307:X$1003,1,FALSE)),IF(X306=AG$2,SUMIF(X$4:X306,AG$2,Z$4:Z306)+VLOOKUP(AF$2,$B$1057:$F$1068,5,FALSE)+SUM(AR$4:AR$1003)+SUMIF(COSTI!$X$1379:$X$1430,AG$2,COSTI!$Z$1379:$Z$1430),0),0)</f>
        <v>#N/A</v>
      </c>
      <c r="AG306" s="859"/>
      <c r="AH306" s="27" t="str">
        <f t="shared" si="62"/>
        <v/>
      </c>
      <c r="AI306" s="152">
        <f ca="1">IF(W307&gt;0,0,IF(AH306=0,(Z306*-1)+BC306+SUM(BB$4:BB305),BC306+SUM(BB$4:BB305)))</f>
        <v>-2.1316282072803006E-13</v>
      </c>
      <c r="AJ306" s="931">
        <f>IF(AND(AL306&gt;=$U$1,AL306&lt;=$U$2),IF(AM306='ESTRATTO CONTO'!$E$2,1+COUNTIF(AJ$4:AJ305,"&gt;0")+U$1015,0),0)</f>
        <v>0</v>
      </c>
      <c r="AK306" s="203">
        <f>IF(AND(OR((AK305+1)&lt;AL$1015,(AK305+1)=AL$1015),MAX(AK$4:AK305)&lt;AL$1015),AK305+1,0)</f>
        <v>0</v>
      </c>
      <c r="AL306" s="309">
        <f>VLOOKUP($AK306,ENTI!$AF$4:AG$1003,2,FALSE)</f>
        <v>0</v>
      </c>
      <c r="AM306" s="224">
        <f>VLOOKUP($AK306,ENTI!$AF$4:AH$1003,3,FALSE)</f>
        <v>0</v>
      </c>
      <c r="AN306" s="224">
        <f>VLOOKUP($AK306,ENTI!$AF$4:AI$1003,4,FALSE)</f>
        <v>0</v>
      </c>
      <c r="AO306" s="781">
        <f>VLOOKUP($AK306,ENTI!$AF$4:AJ$1003,5,FALSE)</f>
        <v>0</v>
      </c>
      <c r="AP306" s="315">
        <f>VLOOKUP($AK306,ENTI!$AF$4:AK$1003,6,FALSE)</f>
        <v>0</v>
      </c>
      <c r="AQ306" s="208">
        <f t="shared" si="69"/>
        <v>0</v>
      </c>
      <c r="AR306" s="152" t="e">
        <f t="shared" si="70"/>
        <v>#N/A</v>
      </c>
      <c r="AS306" s="1"/>
      <c r="AT306" s="88" t="str">
        <f t="shared" si="63"/>
        <v/>
      </c>
      <c r="AU306" s="1"/>
      <c r="AV306" s="175">
        <f>IF(AW306&gt;0,COUNTIF(AV$4:AV305,"&gt;0")+1,0)</f>
        <v>0</v>
      </c>
      <c r="AW306" s="164">
        <f t="shared" si="64"/>
        <v>0</v>
      </c>
      <c r="AX306" s="310">
        <f>IF($AW306=0,0,VLOOKUP(VLOOKUP($X306,$B$34:$T$38,19,FALSE),ENTI!$A$9:$B$13,2,FALSE))</f>
        <v>0</v>
      </c>
      <c r="AY306" s="310">
        <f t="shared" si="66"/>
        <v>0</v>
      </c>
      <c r="AZ306" s="316">
        <f t="shared" si="67"/>
        <v>0</v>
      </c>
      <c r="BA306" s="1"/>
      <c r="BB306" s="152">
        <f t="shared" si="68"/>
        <v>0</v>
      </c>
      <c r="BC306" s="152">
        <f ca="1">SUM(Z$4:Z306)+SUM(BB$4:BB306)+COSTI!S$6-COSTI!L$1076</f>
        <v>-31.760000000000218</v>
      </c>
      <c r="BD306" s="1"/>
    </row>
    <row r="307" spans="1:56" ht="16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435">
        <f>IF(AND(W307&gt;=$U$1,W307&lt;=$U$2),IF(X307='ESTRATTO CONTO'!$E$2,1+COUNTIF(U$4:U306,"&gt;0"),0),0)</f>
        <v>0</v>
      </c>
      <c r="V307" s="417">
        <f t="shared" si="65"/>
        <v>304</v>
      </c>
      <c r="W307" s="509"/>
      <c r="X307" s="321"/>
      <c r="Y307" s="321"/>
      <c r="Z307" s="508"/>
      <c r="AA307" s="356"/>
      <c r="AB307" s="306" t="str">
        <f t="shared" si="61"/>
        <v/>
      </c>
      <c r="AC307" s="637">
        <f t="shared" ca="1" si="60"/>
        <v>-2.1316282072803006E-13</v>
      </c>
      <c r="AD307" s="935">
        <f>IF(ISERROR(VLOOKUP(AD$2,X308:X$1003,1,FALSE)),IF(X307=AD$2,SUMIF(X$4:X307,AD$2,Z$4:Z307)+$E$9+SUM(AQ$4:AQ$1003)+SUMIF(COSTI!$X$1379:$X$1430,AD$2,COSTI!$Z$1379:$Z$1430),0),0)</f>
        <v>0</v>
      </c>
      <c r="AE307" s="26"/>
      <c r="AF307" s="856" t="e">
        <f>IF(ISERROR(VLOOKUP(AG$2,X308:X$1003,1,FALSE)),IF(X307=AG$2,SUMIF(X$4:X307,AG$2,Z$4:Z307)+VLOOKUP(AF$2,$B$1057:$F$1068,5,FALSE)+SUM(AR$4:AR$1003)+SUMIF(COSTI!$X$1379:$X$1430,AG$2,COSTI!$Z$1379:$Z$1430),0),0)</f>
        <v>#N/A</v>
      </c>
      <c r="AG307" s="859"/>
      <c r="AH307" s="27" t="str">
        <f t="shared" si="62"/>
        <v/>
      </c>
      <c r="AI307" s="152">
        <f ca="1">IF(W308&gt;0,0,IF(AH307=0,(Z307*-1)+BC307+SUM(BB$4:BB306),BC307+SUM(BB$4:BB306)))</f>
        <v>-2.1316282072803006E-13</v>
      </c>
      <c r="AJ307" s="931">
        <f>IF(AND(AL307&gt;=$U$1,AL307&lt;=$U$2),IF(AM307='ESTRATTO CONTO'!$E$2,1+COUNTIF(AJ$4:AJ306,"&gt;0")+U$1015,0),0)</f>
        <v>0</v>
      </c>
      <c r="AK307" s="203">
        <f>IF(AND(OR((AK306+1)&lt;AL$1015,(AK306+1)=AL$1015),MAX(AK$4:AK306)&lt;AL$1015),AK306+1,0)</f>
        <v>0</v>
      </c>
      <c r="AL307" s="309">
        <f>VLOOKUP($AK307,ENTI!$AF$4:AG$1003,2,FALSE)</f>
        <v>0</v>
      </c>
      <c r="AM307" s="224">
        <f>VLOOKUP($AK307,ENTI!$AF$4:AH$1003,3,FALSE)</f>
        <v>0</v>
      </c>
      <c r="AN307" s="224">
        <f>VLOOKUP($AK307,ENTI!$AF$4:AI$1003,4,FALSE)</f>
        <v>0</v>
      </c>
      <c r="AO307" s="781">
        <f>VLOOKUP($AK307,ENTI!$AF$4:AJ$1003,5,FALSE)</f>
        <v>0</v>
      </c>
      <c r="AP307" s="315">
        <f>VLOOKUP($AK307,ENTI!$AF$4:AK$1003,6,FALSE)</f>
        <v>0</v>
      </c>
      <c r="AQ307" s="208">
        <f t="shared" si="69"/>
        <v>0</v>
      </c>
      <c r="AR307" s="152" t="e">
        <f t="shared" si="70"/>
        <v>#N/A</v>
      </c>
      <c r="AS307" s="1"/>
      <c r="AT307" s="88" t="str">
        <f t="shared" si="63"/>
        <v/>
      </c>
      <c r="AU307" s="1"/>
      <c r="AV307" s="175">
        <f>IF(AW307&gt;0,COUNTIF(AV$4:AV306,"&gt;0")+1,0)</f>
        <v>0</v>
      </c>
      <c r="AW307" s="164">
        <f t="shared" si="64"/>
        <v>0</v>
      </c>
      <c r="AX307" s="310">
        <f>IF($AW307=0,0,VLOOKUP(VLOOKUP($X307,$B$34:$T$38,19,FALSE),ENTI!$A$9:$B$13,2,FALSE))</f>
        <v>0</v>
      </c>
      <c r="AY307" s="310">
        <f t="shared" si="66"/>
        <v>0</v>
      </c>
      <c r="AZ307" s="316">
        <f t="shared" si="67"/>
        <v>0</v>
      </c>
      <c r="BA307" s="1"/>
      <c r="BB307" s="152">
        <f t="shared" si="68"/>
        <v>0</v>
      </c>
      <c r="BC307" s="152">
        <f ca="1">SUM(Z$4:Z307)+SUM(BB$4:BB307)+COSTI!S$6-COSTI!L$1076</f>
        <v>-31.760000000000218</v>
      </c>
      <c r="BD307" s="1"/>
    </row>
    <row r="308" spans="1:56" ht="16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435">
        <f>IF(AND(W308&gt;=$U$1,W308&lt;=$U$2),IF(X308='ESTRATTO CONTO'!$E$2,1+COUNTIF(U$4:U307,"&gt;0"),0),0)</f>
        <v>0</v>
      </c>
      <c r="V308" s="417">
        <f t="shared" si="65"/>
        <v>305</v>
      </c>
      <c r="W308" s="509"/>
      <c r="X308" s="321"/>
      <c r="Y308" s="321"/>
      <c r="Z308" s="508"/>
      <c r="AA308" s="356"/>
      <c r="AB308" s="306" t="str">
        <f t="shared" si="61"/>
        <v/>
      </c>
      <c r="AC308" s="637">
        <f t="shared" ca="1" si="60"/>
        <v>-2.1316282072803006E-13</v>
      </c>
      <c r="AD308" s="935">
        <f>IF(ISERROR(VLOOKUP(AD$2,X309:X$1003,1,FALSE)),IF(X308=AD$2,SUMIF(X$4:X308,AD$2,Z$4:Z308)+$E$9+SUM(AQ$4:AQ$1003)+SUMIF(COSTI!$X$1379:$X$1430,AD$2,COSTI!$Z$1379:$Z$1430),0),0)</f>
        <v>0</v>
      </c>
      <c r="AE308" s="26"/>
      <c r="AF308" s="856" t="e">
        <f>IF(ISERROR(VLOOKUP(AG$2,X309:X$1003,1,FALSE)),IF(X308=AG$2,SUMIF(X$4:X308,AG$2,Z$4:Z308)+VLOOKUP(AF$2,$B$1057:$F$1068,5,FALSE)+SUM(AR$4:AR$1003)+SUMIF(COSTI!$X$1379:$X$1430,AG$2,COSTI!$Z$1379:$Z$1430),0),0)</f>
        <v>#N/A</v>
      </c>
      <c r="AG308" s="859"/>
      <c r="AH308" s="27" t="str">
        <f t="shared" si="62"/>
        <v/>
      </c>
      <c r="AI308" s="152">
        <f ca="1">IF(W309&gt;0,0,IF(AH308=0,(Z308*-1)+BC308+SUM(BB$4:BB307),BC308+SUM(BB$4:BB307)))</f>
        <v>-2.1316282072803006E-13</v>
      </c>
      <c r="AJ308" s="931">
        <f>IF(AND(AL308&gt;=$U$1,AL308&lt;=$U$2),IF(AM308='ESTRATTO CONTO'!$E$2,1+COUNTIF(AJ$4:AJ307,"&gt;0")+U$1015,0),0)</f>
        <v>0</v>
      </c>
      <c r="AK308" s="203">
        <f>IF(AND(OR((AK307+1)&lt;AL$1015,(AK307+1)=AL$1015),MAX(AK$4:AK307)&lt;AL$1015),AK307+1,0)</f>
        <v>0</v>
      </c>
      <c r="AL308" s="309">
        <f>VLOOKUP($AK308,ENTI!$AF$4:AG$1003,2,FALSE)</f>
        <v>0</v>
      </c>
      <c r="AM308" s="224">
        <f>VLOOKUP($AK308,ENTI!$AF$4:AH$1003,3,FALSE)</f>
        <v>0</v>
      </c>
      <c r="AN308" s="224">
        <f>VLOOKUP($AK308,ENTI!$AF$4:AI$1003,4,FALSE)</f>
        <v>0</v>
      </c>
      <c r="AO308" s="781">
        <f>VLOOKUP($AK308,ENTI!$AF$4:AJ$1003,5,FALSE)</f>
        <v>0</v>
      </c>
      <c r="AP308" s="315">
        <f>VLOOKUP($AK308,ENTI!$AF$4:AK$1003,6,FALSE)</f>
        <v>0</v>
      </c>
      <c r="AQ308" s="208">
        <f t="shared" si="69"/>
        <v>0</v>
      </c>
      <c r="AR308" s="152" t="e">
        <f t="shared" si="70"/>
        <v>#N/A</v>
      </c>
      <c r="AS308" s="1"/>
      <c r="AT308" s="88" t="str">
        <f t="shared" si="63"/>
        <v/>
      </c>
      <c r="AU308" s="1"/>
      <c r="AV308" s="175">
        <f>IF(AW308&gt;0,COUNTIF(AV$4:AV307,"&gt;0")+1,0)</f>
        <v>0</v>
      </c>
      <c r="AW308" s="164">
        <f t="shared" si="64"/>
        <v>0</v>
      </c>
      <c r="AX308" s="310">
        <f>IF($AW308=0,0,VLOOKUP(VLOOKUP($X308,$B$34:$T$38,19,FALSE),ENTI!$A$9:$B$13,2,FALSE))</f>
        <v>0</v>
      </c>
      <c r="AY308" s="310">
        <f t="shared" si="66"/>
        <v>0</v>
      </c>
      <c r="AZ308" s="316">
        <f t="shared" si="67"/>
        <v>0</v>
      </c>
      <c r="BA308" s="1"/>
      <c r="BB308" s="152">
        <f t="shared" si="68"/>
        <v>0</v>
      </c>
      <c r="BC308" s="152">
        <f ca="1">SUM(Z$4:Z308)+SUM(BB$4:BB308)+COSTI!S$6-COSTI!L$1076</f>
        <v>-31.760000000000218</v>
      </c>
      <c r="BD308" s="1"/>
    </row>
    <row r="309" spans="1:56" ht="16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435">
        <f>IF(AND(W309&gt;=$U$1,W309&lt;=$U$2),IF(X309='ESTRATTO CONTO'!$E$2,1+COUNTIF(U$4:U308,"&gt;0"),0),0)</f>
        <v>0</v>
      </c>
      <c r="V309" s="417">
        <f t="shared" si="65"/>
        <v>306</v>
      </c>
      <c r="W309" s="509"/>
      <c r="X309" s="321"/>
      <c r="Y309" s="321"/>
      <c r="Z309" s="508"/>
      <c r="AA309" s="356"/>
      <c r="AB309" s="306" t="str">
        <f t="shared" si="61"/>
        <v/>
      </c>
      <c r="AC309" s="637">
        <f t="shared" ca="1" si="60"/>
        <v>-2.1316282072803006E-13</v>
      </c>
      <c r="AD309" s="935">
        <f>IF(ISERROR(VLOOKUP(AD$2,X310:X$1003,1,FALSE)),IF(X309=AD$2,SUMIF(X$4:X309,AD$2,Z$4:Z309)+$E$9+SUM(AQ$4:AQ$1003)+SUMIF(COSTI!$X$1379:$X$1430,AD$2,COSTI!$Z$1379:$Z$1430),0),0)</f>
        <v>0</v>
      </c>
      <c r="AE309" s="26"/>
      <c r="AF309" s="856" t="e">
        <f>IF(ISERROR(VLOOKUP(AG$2,X310:X$1003,1,FALSE)),IF(X309=AG$2,SUMIF(X$4:X309,AG$2,Z$4:Z309)+VLOOKUP(AF$2,$B$1057:$F$1068,5,FALSE)+SUM(AR$4:AR$1003)+SUMIF(COSTI!$X$1379:$X$1430,AG$2,COSTI!$Z$1379:$Z$1430),0),0)</f>
        <v>#N/A</v>
      </c>
      <c r="AG309" s="859"/>
      <c r="AH309" s="27" t="str">
        <f t="shared" si="62"/>
        <v/>
      </c>
      <c r="AI309" s="152">
        <f ca="1">IF(W310&gt;0,0,IF(AH309=0,(Z309*-1)+BC309+SUM(BB$4:BB308),BC309+SUM(BB$4:BB308)))</f>
        <v>-2.1316282072803006E-13</v>
      </c>
      <c r="AJ309" s="931">
        <f>IF(AND(AL309&gt;=$U$1,AL309&lt;=$U$2),IF(AM309='ESTRATTO CONTO'!$E$2,1+COUNTIF(AJ$4:AJ308,"&gt;0")+U$1015,0),0)</f>
        <v>0</v>
      </c>
      <c r="AK309" s="203">
        <f>IF(AND(OR((AK308+1)&lt;AL$1015,(AK308+1)=AL$1015),MAX(AK$4:AK308)&lt;AL$1015),AK308+1,0)</f>
        <v>0</v>
      </c>
      <c r="AL309" s="309">
        <f>VLOOKUP($AK309,ENTI!$AF$4:AG$1003,2,FALSE)</f>
        <v>0</v>
      </c>
      <c r="AM309" s="224">
        <f>VLOOKUP($AK309,ENTI!$AF$4:AH$1003,3,FALSE)</f>
        <v>0</v>
      </c>
      <c r="AN309" s="224">
        <f>VLOOKUP($AK309,ENTI!$AF$4:AI$1003,4,FALSE)</f>
        <v>0</v>
      </c>
      <c r="AO309" s="781">
        <f>VLOOKUP($AK309,ENTI!$AF$4:AJ$1003,5,FALSE)</f>
        <v>0</v>
      </c>
      <c r="AP309" s="315">
        <f>VLOOKUP($AK309,ENTI!$AF$4:AK$1003,6,FALSE)</f>
        <v>0</v>
      </c>
      <c r="AQ309" s="208">
        <f t="shared" si="69"/>
        <v>0</v>
      </c>
      <c r="AR309" s="152" t="e">
        <f t="shared" si="70"/>
        <v>#N/A</v>
      </c>
      <c r="AS309" s="1"/>
      <c r="AT309" s="88" t="str">
        <f t="shared" si="63"/>
        <v/>
      </c>
      <c r="AU309" s="1"/>
      <c r="AV309" s="175">
        <f>IF(AW309&gt;0,COUNTIF(AV$4:AV308,"&gt;0")+1,0)</f>
        <v>0</v>
      </c>
      <c r="AW309" s="164">
        <f t="shared" si="64"/>
        <v>0</v>
      </c>
      <c r="AX309" s="310">
        <f>IF($AW309=0,0,VLOOKUP(VLOOKUP($X309,$B$34:$T$38,19,FALSE),ENTI!$A$9:$B$13,2,FALSE))</f>
        <v>0</v>
      </c>
      <c r="AY309" s="310">
        <f t="shared" si="66"/>
        <v>0</v>
      </c>
      <c r="AZ309" s="316">
        <f t="shared" si="67"/>
        <v>0</v>
      </c>
      <c r="BA309" s="1"/>
      <c r="BB309" s="152">
        <f t="shared" si="68"/>
        <v>0</v>
      </c>
      <c r="BC309" s="152">
        <f ca="1">SUM(Z$4:Z309)+SUM(BB$4:BB309)+COSTI!S$6-COSTI!L$1076</f>
        <v>-31.760000000000218</v>
      </c>
      <c r="BD309" s="1"/>
    </row>
    <row r="310" spans="1:56" ht="16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435">
        <f>IF(AND(W310&gt;=$U$1,W310&lt;=$U$2),IF(X310='ESTRATTO CONTO'!$E$2,1+COUNTIF(U$4:U309,"&gt;0"),0),0)</f>
        <v>0</v>
      </c>
      <c r="V310" s="417">
        <f t="shared" si="65"/>
        <v>307</v>
      </c>
      <c r="W310" s="509"/>
      <c r="X310" s="321"/>
      <c r="Y310" s="321"/>
      <c r="Z310" s="508"/>
      <c r="AA310" s="356"/>
      <c r="AB310" s="306" t="str">
        <f t="shared" si="61"/>
        <v/>
      </c>
      <c r="AC310" s="637">
        <f t="shared" ca="1" si="60"/>
        <v>-2.1316282072803006E-13</v>
      </c>
      <c r="AD310" s="935">
        <f>IF(ISERROR(VLOOKUP(AD$2,X311:X$1003,1,FALSE)),IF(X310=AD$2,SUMIF(X$4:X310,AD$2,Z$4:Z310)+$E$9+SUM(AQ$4:AQ$1003)+SUMIF(COSTI!$X$1379:$X$1430,AD$2,COSTI!$Z$1379:$Z$1430),0),0)</f>
        <v>0</v>
      </c>
      <c r="AE310" s="26"/>
      <c r="AF310" s="856" t="e">
        <f>IF(ISERROR(VLOOKUP(AG$2,X311:X$1003,1,FALSE)),IF(X310=AG$2,SUMIF(X$4:X310,AG$2,Z$4:Z310)+VLOOKUP(AF$2,$B$1057:$F$1068,5,FALSE)+SUM(AR$4:AR$1003)+SUMIF(COSTI!$X$1379:$X$1430,AG$2,COSTI!$Z$1379:$Z$1430),0),0)</f>
        <v>#N/A</v>
      </c>
      <c r="AG310" s="859"/>
      <c r="AH310" s="27" t="str">
        <f t="shared" si="62"/>
        <v/>
      </c>
      <c r="AI310" s="152">
        <f ca="1">IF(W311&gt;0,0,IF(AH310=0,(Z310*-1)+BC310+SUM(BB$4:BB309),BC310+SUM(BB$4:BB309)))</f>
        <v>-2.1316282072803006E-13</v>
      </c>
      <c r="AJ310" s="931">
        <f>IF(AND(AL310&gt;=$U$1,AL310&lt;=$U$2),IF(AM310='ESTRATTO CONTO'!$E$2,1+COUNTIF(AJ$4:AJ309,"&gt;0")+U$1015,0),0)</f>
        <v>0</v>
      </c>
      <c r="AK310" s="203">
        <f>IF(AND(OR((AK309+1)&lt;AL$1015,(AK309+1)=AL$1015),MAX(AK$4:AK309)&lt;AL$1015),AK309+1,0)</f>
        <v>0</v>
      </c>
      <c r="AL310" s="309">
        <f>VLOOKUP($AK310,ENTI!$AF$4:AG$1003,2,FALSE)</f>
        <v>0</v>
      </c>
      <c r="AM310" s="224">
        <f>VLOOKUP($AK310,ENTI!$AF$4:AH$1003,3,FALSE)</f>
        <v>0</v>
      </c>
      <c r="AN310" s="224">
        <f>VLOOKUP($AK310,ENTI!$AF$4:AI$1003,4,FALSE)</f>
        <v>0</v>
      </c>
      <c r="AO310" s="781">
        <f>VLOOKUP($AK310,ENTI!$AF$4:AJ$1003,5,FALSE)</f>
        <v>0</v>
      </c>
      <c r="AP310" s="315">
        <f>VLOOKUP($AK310,ENTI!$AF$4:AK$1003,6,FALSE)</f>
        <v>0</v>
      </c>
      <c r="AQ310" s="208">
        <f t="shared" si="69"/>
        <v>0</v>
      </c>
      <c r="AR310" s="152" t="e">
        <f t="shared" si="70"/>
        <v>#N/A</v>
      </c>
      <c r="AS310" s="1"/>
      <c r="AT310" s="88" t="str">
        <f t="shared" si="63"/>
        <v/>
      </c>
      <c r="AU310" s="1"/>
      <c r="AV310" s="175">
        <f>IF(AW310&gt;0,COUNTIF(AV$4:AV309,"&gt;0")+1,0)</f>
        <v>0</v>
      </c>
      <c r="AW310" s="164">
        <f t="shared" si="64"/>
        <v>0</v>
      </c>
      <c r="AX310" s="310">
        <f>IF($AW310=0,0,VLOOKUP(VLOOKUP($X310,$B$34:$T$38,19,FALSE),ENTI!$A$9:$B$13,2,FALSE))</f>
        <v>0</v>
      </c>
      <c r="AY310" s="310">
        <f t="shared" si="66"/>
        <v>0</v>
      </c>
      <c r="AZ310" s="316">
        <f t="shared" si="67"/>
        <v>0</v>
      </c>
      <c r="BA310" s="1"/>
      <c r="BB310" s="152">
        <f t="shared" si="68"/>
        <v>0</v>
      </c>
      <c r="BC310" s="152">
        <f ca="1">SUM(Z$4:Z310)+SUM(BB$4:BB310)+COSTI!S$6-COSTI!L$1076</f>
        <v>-31.760000000000218</v>
      </c>
      <c r="BD310" s="1"/>
    </row>
    <row r="311" spans="1:56" ht="16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435">
        <f>IF(AND(W311&gt;=$U$1,W311&lt;=$U$2),IF(X311='ESTRATTO CONTO'!$E$2,1+COUNTIF(U$4:U310,"&gt;0"),0),0)</f>
        <v>0</v>
      </c>
      <c r="V311" s="417">
        <f t="shared" si="65"/>
        <v>308</v>
      </c>
      <c r="W311" s="509"/>
      <c r="X311" s="321"/>
      <c r="Y311" s="321"/>
      <c r="Z311" s="508"/>
      <c r="AA311" s="356"/>
      <c r="AB311" s="306" t="str">
        <f t="shared" si="61"/>
        <v/>
      </c>
      <c r="AC311" s="637">
        <f t="shared" ca="1" si="60"/>
        <v>-2.1316282072803006E-13</v>
      </c>
      <c r="AD311" s="935">
        <f>IF(ISERROR(VLOOKUP(AD$2,X312:X$1003,1,FALSE)),IF(X311=AD$2,SUMIF(X$4:X311,AD$2,Z$4:Z311)+$E$9+SUM(AQ$4:AQ$1003)+SUMIF(COSTI!$X$1379:$X$1430,AD$2,COSTI!$Z$1379:$Z$1430),0),0)</f>
        <v>0</v>
      </c>
      <c r="AE311" s="26"/>
      <c r="AF311" s="856" t="e">
        <f>IF(ISERROR(VLOOKUP(AG$2,X312:X$1003,1,FALSE)),IF(X311=AG$2,SUMIF(X$4:X311,AG$2,Z$4:Z311)+VLOOKUP(AF$2,$B$1057:$F$1068,5,FALSE)+SUM(AR$4:AR$1003)+SUMIF(COSTI!$X$1379:$X$1430,AG$2,COSTI!$Z$1379:$Z$1430),0),0)</f>
        <v>#N/A</v>
      </c>
      <c r="AG311" s="859"/>
      <c r="AH311" s="27" t="str">
        <f t="shared" si="62"/>
        <v/>
      </c>
      <c r="AI311" s="152">
        <f ca="1">IF(W312&gt;0,0,IF(AH311=0,(Z311*-1)+BC311+SUM(BB$4:BB310),BC311+SUM(BB$4:BB310)))</f>
        <v>-2.1316282072803006E-13</v>
      </c>
      <c r="AJ311" s="931">
        <f>IF(AND(AL311&gt;=$U$1,AL311&lt;=$U$2),IF(AM311='ESTRATTO CONTO'!$E$2,1+COUNTIF(AJ$4:AJ310,"&gt;0")+U$1015,0),0)</f>
        <v>0</v>
      </c>
      <c r="AK311" s="203">
        <f>IF(AND(OR((AK310+1)&lt;AL$1015,(AK310+1)=AL$1015),MAX(AK$4:AK310)&lt;AL$1015),AK310+1,0)</f>
        <v>0</v>
      </c>
      <c r="AL311" s="309">
        <f>VLOOKUP($AK311,ENTI!$AF$4:AG$1003,2,FALSE)</f>
        <v>0</v>
      </c>
      <c r="AM311" s="224">
        <f>VLOOKUP($AK311,ENTI!$AF$4:AH$1003,3,FALSE)</f>
        <v>0</v>
      </c>
      <c r="AN311" s="224">
        <f>VLOOKUP($AK311,ENTI!$AF$4:AI$1003,4,FALSE)</f>
        <v>0</v>
      </c>
      <c r="AO311" s="781">
        <f>VLOOKUP($AK311,ENTI!$AF$4:AJ$1003,5,FALSE)</f>
        <v>0</v>
      </c>
      <c r="AP311" s="315">
        <f>VLOOKUP($AK311,ENTI!$AF$4:AK$1003,6,FALSE)</f>
        <v>0</v>
      </c>
      <c r="AQ311" s="208">
        <f t="shared" si="69"/>
        <v>0</v>
      </c>
      <c r="AR311" s="152" t="e">
        <f t="shared" si="70"/>
        <v>#N/A</v>
      </c>
      <c r="AS311" s="1"/>
      <c r="AT311" s="88" t="str">
        <f t="shared" si="63"/>
        <v/>
      </c>
      <c r="AU311" s="1"/>
      <c r="AV311" s="175">
        <f>IF(AW311&gt;0,COUNTIF(AV$4:AV310,"&gt;0")+1,0)</f>
        <v>0</v>
      </c>
      <c r="AW311" s="164">
        <f t="shared" si="64"/>
        <v>0</v>
      </c>
      <c r="AX311" s="310">
        <f>IF($AW311=0,0,VLOOKUP(VLOOKUP($X311,$B$34:$T$38,19,FALSE),ENTI!$A$9:$B$13,2,FALSE))</f>
        <v>0</v>
      </c>
      <c r="AY311" s="310">
        <f t="shared" si="66"/>
        <v>0</v>
      </c>
      <c r="AZ311" s="316">
        <f t="shared" si="67"/>
        <v>0</v>
      </c>
      <c r="BA311" s="1"/>
      <c r="BB311" s="152">
        <f t="shared" si="68"/>
        <v>0</v>
      </c>
      <c r="BC311" s="152">
        <f ca="1">SUM(Z$4:Z311)+SUM(BB$4:BB311)+COSTI!S$6-COSTI!L$1076</f>
        <v>-31.760000000000218</v>
      </c>
      <c r="BD311" s="1"/>
    </row>
    <row r="312" spans="1:56" ht="16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435">
        <f>IF(AND(W312&gt;=$U$1,W312&lt;=$U$2),IF(X312='ESTRATTO CONTO'!$E$2,1+COUNTIF(U$4:U311,"&gt;0"),0),0)</f>
        <v>0</v>
      </c>
      <c r="V312" s="417">
        <f t="shared" si="65"/>
        <v>309</v>
      </c>
      <c r="W312" s="509"/>
      <c r="X312" s="321"/>
      <c r="Y312" s="321"/>
      <c r="Z312" s="508"/>
      <c r="AA312" s="356"/>
      <c r="AB312" s="306" t="str">
        <f t="shared" si="61"/>
        <v/>
      </c>
      <c r="AC312" s="637">
        <f t="shared" ca="1" si="60"/>
        <v>-2.1316282072803006E-13</v>
      </c>
      <c r="AD312" s="935">
        <f>IF(ISERROR(VLOOKUP(AD$2,X313:X$1003,1,FALSE)),IF(X312=AD$2,SUMIF(X$4:X312,AD$2,Z$4:Z312)+$E$9+SUM(AQ$4:AQ$1003)+SUMIF(COSTI!$X$1379:$X$1430,AD$2,COSTI!$Z$1379:$Z$1430),0),0)</f>
        <v>0</v>
      </c>
      <c r="AE312" s="26"/>
      <c r="AF312" s="856" t="e">
        <f>IF(ISERROR(VLOOKUP(AG$2,X313:X$1003,1,FALSE)),IF(X312=AG$2,SUMIF(X$4:X312,AG$2,Z$4:Z312)+VLOOKUP(AF$2,$B$1057:$F$1068,5,FALSE)+SUM(AR$4:AR$1003)+SUMIF(COSTI!$X$1379:$X$1430,AG$2,COSTI!$Z$1379:$Z$1430),0),0)</f>
        <v>#N/A</v>
      </c>
      <c r="AG312" s="859"/>
      <c r="AH312" s="27" t="str">
        <f t="shared" si="62"/>
        <v/>
      </c>
      <c r="AI312" s="152">
        <f ca="1">IF(W313&gt;0,0,IF(AH312=0,(Z312*-1)+BC312+SUM(BB$4:BB311),BC312+SUM(BB$4:BB311)))</f>
        <v>-2.1316282072803006E-13</v>
      </c>
      <c r="AJ312" s="931">
        <f>IF(AND(AL312&gt;=$U$1,AL312&lt;=$U$2),IF(AM312='ESTRATTO CONTO'!$E$2,1+COUNTIF(AJ$4:AJ311,"&gt;0")+U$1015,0),0)</f>
        <v>0</v>
      </c>
      <c r="AK312" s="203">
        <f>IF(AND(OR((AK311+1)&lt;AL$1015,(AK311+1)=AL$1015),MAX(AK$4:AK311)&lt;AL$1015),AK311+1,0)</f>
        <v>0</v>
      </c>
      <c r="AL312" s="309">
        <f>VLOOKUP($AK312,ENTI!$AF$4:AG$1003,2,FALSE)</f>
        <v>0</v>
      </c>
      <c r="AM312" s="224">
        <f>VLOOKUP($AK312,ENTI!$AF$4:AH$1003,3,FALSE)</f>
        <v>0</v>
      </c>
      <c r="AN312" s="224">
        <f>VLOOKUP($AK312,ENTI!$AF$4:AI$1003,4,FALSE)</f>
        <v>0</v>
      </c>
      <c r="AO312" s="781">
        <f>VLOOKUP($AK312,ENTI!$AF$4:AJ$1003,5,FALSE)</f>
        <v>0</v>
      </c>
      <c r="AP312" s="315">
        <f>VLOOKUP($AK312,ENTI!$AF$4:AK$1003,6,FALSE)</f>
        <v>0</v>
      </c>
      <c r="AQ312" s="208">
        <f t="shared" si="69"/>
        <v>0</v>
      </c>
      <c r="AR312" s="152" t="e">
        <f t="shared" si="70"/>
        <v>#N/A</v>
      </c>
      <c r="AS312" s="1"/>
      <c r="AT312" s="88" t="str">
        <f t="shared" si="63"/>
        <v/>
      </c>
      <c r="AU312" s="1"/>
      <c r="AV312" s="175">
        <f>IF(AW312&gt;0,COUNTIF(AV$4:AV311,"&gt;0")+1,0)</f>
        <v>0</v>
      </c>
      <c r="AW312" s="164">
        <f t="shared" si="64"/>
        <v>0</v>
      </c>
      <c r="AX312" s="310">
        <f>IF($AW312=0,0,VLOOKUP(VLOOKUP($X312,$B$34:$T$38,19,FALSE),ENTI!$A$9:$B$13,2,FALSE))</f>
        <v>0</v>
      </c>
      <c r="AY312" s="310">
        <f t="shared" si="66"/>
        <v>0</v>
      </c>
      <c r="AZ312" s="316">
        <f t="shared" si="67"/>
        <v>0</v>
      </c>
      <c r="BA312" s="1"/>
      <c r="BB312" s="152">
        <f t="shared" si="68"/>
        <v>0</v>
      </c>
      <c r="BC312" s="152">
        <f ca="1">SUM(Z$4:Z312)+SUM(BB$4:BB312)+COSTI!S$6-COSTI!L$1076</f>
        <v>-31.760000000000218</v>
      </c>
      <c r="BD312" s="1"/>
    </row>
    <row r="313" spans="1:56" ht="16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435">
        <f>IF(AND(W313&gt;=$U$1,W313&lt;=$U$2),IF(X313='ESTRATTO CONTO'!$E$2,1+COUNTIF(U$4:U312,"&gt;0"),0),0)</f>
        <v>0</v>
      </c>
      <c r="V313" s="417">
        <f t="shared" si="65"/>
        <v>310</v>
      </c>
      <c r="W313" s="509"/>
      <c r="X313" s="321"/>
      <c r="Y313" s="321"/>
      <c r="Z313" s="508"/>
      <c r="AA313" s="356"/>
      <c r="AB313" s="306" t="str">
        <f t="shared" si="61"/>
        <v/>
      </c>
      <c r="AC313" s="637">
        <f t="shared" ref="AC313:AC376" ca="1" si="71">AI313</f>
        <v>-2.1316282072803006E-13</v>
      </c>
      <c r="AD313" s="935">
        <f>IF(ISERROR(VLOOKUP(AD$2,X314:X$1003,1,FALSE)),IF(X313=AD$2,SUMIF(X$4:X313,AD$2,Z$4:Z313)+$E$9+SUM(AQ$4:AQ$1003)+SUMIF(COSTI!$X$1379:$X$1430,AD$2,COSTI!$Z$1379:$Z$1430),0),0)</f>
        <v>0</v>
      </c>
      <c r="AE313" s="26"/>
      <c r="AF313" s="856" t="e">
        <f>IF(ISERROR(VLOOKUP(AG$2,X314:X$1003,1,FALSE)),IF(X313=AG$2,SUMIF(X$4:X313,AG$2,Z$4:Z313)+VLOOKUP(AF$2,$B$1057:$F$1068,5,FALSE)+SUM(AR$4:AR$1003)+SUMIF(COSTI!$X$1379:$X$1430,AG$2,COSTI!$Z$1379:$Z$1430),0),0)</f>
        <v>#N/A</v>
      </c>
      <c r="AG313" s="859"/>
      <c r="AH313" s="27" t="str">
        <f t="shared" si="62"/>
        <v/>
      </c>
      <c r="AI313" s="152">
        <f ca="1">IF(W314&gt;0,0,IF(AH313=0,(Z313*-1)+BC313+SUM(BB$4:BB312),BC313+SUM(BB$4:BB312)))</f>
        <v>-2.1316282072803006E-13</v>
      </c>
      <c r="AJ313" s="931">
        <f>IF(AND(AL313&gt;=$U$1,AL313&lt;=$U$2),IF(AM313='ESTRATTO CONTO'!$E$2,1+COUNTIF(AJ$4:AJ312,"&gt;0")+U$1015,0),0)</f>
        <v>0</v>
      </c>
      <c r="AK313" s="203">
        <f>IF(AND(OR((AK312+1)&lt;AL$1015,(AK312+1)=AL$1015),MAX(AK$4:AK312)&lt;AL$1015),AK312+1,0)</f>
        <v>0</v>
      </c>
      <c r="AL313" s="309">
        <f>VLOOKUP($AK313,ENTI!$AF$4:AG$1003,2,FALSE)</f>
        <v>0</v>
      </c>
      <c r="AM313" s="224">
        <f>VLOOKUP($AK313,ENTI!$AF$4:AH$1003,3,FALSE)</f>
        <v>0</v>
      </c>
      <c r="AN313" s="224">
        <f>VLOOKUP($AK313,ENTI!$AF$4:AI$1003,4,FALSE)</f>
        <v>0</v>
      </c>
      <c r="AO313" s="781">
        <f>VLOOKUP($AK313,ENTI!$AF$4:AJ$1003,5,FALSE)</f>
        <v>0</v>
      </c>
      <c r="AP313" s="315">
        <f>VLOOKUP($AK313,ENTI!$AF$4:AK$1003,6,FALSE)</f>
        <v>0</v>
      </c>
      <c r="AQ313" s="208">
        <f t="shared" si="69"/>
        <v>0</v>
      </c>
      <c r="AR313" s="152" t="e">
        <f t="shared" si="70"/>
        <v>#N/A</v>
      </c>
      <c r="AS313" s="1"/>
      <c r="AT313" s="88" t="str">
        <f t="shared" si="63"/>
        <v/>
      </c>
      <c r="AU313" s="1"/>
      <c r="AV313" s="175">
        <f>IF(AW313&gt;0,COUNTIF(AV$4:AV312,"&gt;0")+1,0)</f>
        <v>0</v>
      </c>
      <c r="AW313" s="164">
        <f t="shared" si="64"/>
        <v>0</v>
      </c>
      <c r="AX313" s="310">
        <f>IF($AW313=0,0,VLOOKUP(VLOOKUP($X313,$B$34:$T$38,19,FALSE),ENTI!$A$9:$B$13,2,FALSE))</f>
        <v>0</v>
      </c>
      <c r="AY313" s="310">
        <f t="shared" si="66"/>
        <v>0</v>
      </c>
      <c r="AZ313" s="316">
        <f t="shared" si="67"/>
        <v>0</v>
      </c>
      <c r="BA313" s="1"/>
      <c r="BB313" s="152">
        <f t="shared" si="68"/>
        <v>0</v>
      </c>
      <c r="BC313" s="152">
        <f ca="1">SUM(Z$4:Z313)+SUM(BB$4:BB313)+COSTI!S$6-COSTI!L$1076</f>
        <v>-31.760000000000218</v>
      </c>
      <c r="BD313" s="1"/>
    </row>
    <row r="314" spans="1:56" ht="16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435">
        <f>IF(AND(W314&gt;=$U$1,W314&lt;=$U$2),IF(X314='ESTRATTO CONTO'!$E$2,1+COUNTIF(U$4:U313,"&gt;0"),0),0)</f>
        <v>0</v>
      </c>
      <c r="V314" s="417">
        <f t="shared" si="65"/>
        <v>311</v>
      </c>
      <c r="W314" s="509"/>
      <c r="X314" s="321"/>
      <c r="Y314" s="321"/>
      <c r="Z314" s="508"/>
      <c r="AA314" s="356"/>
      <c r="AB314" s="306" t="str">
        <f t="shared" si="61"/>
        <v/>
      </c>
      <c r="AC314" s="637">
        <f t="shared" ca="1" si="71"/>
        <v>-2.1316282072803006E-13</v>
      </c>
      <c r="AD314" s="935">
        <f>IF(ISERROR(VLOOKUP(AD$2,X315:X$1003,1,FALSE)),IF(X314=AD$2,SUMIF(X$4:X314,AD$2,Z$4:Z314)+$E$9+SUM(AQ$4:AQ$1003)+SUMIF(COSTI!$X$1379:$X$1430,AD$2,COSTI!$Z$1379:$Z$1430),0),0)</f>
        <v>0</v>
      </c>
      <c r="AE314" s="26"/>
      <c r="AF314" s="856" t="e">
        <f>IF(ISERROR(VLOOKUP(AG$2,X315:X$1003,1,FALSE)),IF(X314=AG$2,SUMIF(X$4:X314,AG$2,Z$4:Z314)+VLOOKUP(AF$2,$B$1057:$F$1068,5,FALSE)+SUM(AR$4:AR$1003)+SUMIF(COSTI!$X$1379:$X$1430,AG$2,COSTI!$Z$1379:$Z$1430),0),0)</f>
        <v>#N/A</v>
      </c>
      <c r="AG314" s="859"/>
      <c r="AH314" s="27" t="str">
        <f t="shared" si="62"/>
        <v/>
      </c>
      <c r="AI314" s="152">
        <f ca="1">IF(W315&gt;0,0,IF(AH314=0,(Z314*-1)+BC314+SUM(BB$4:BB313),BC314+SUM(BB$4:BB313)))</f>
        <v>-2.1316282072803006E-13</v>
      </c>
      <c r="AJ314" s="931">
        <f>IF(AND(AL314&gt;=$U$1,AL314&lt;=$U$2),IF(AM314='ESTRATTO CONTO'!$E$2,1+COUNTIF(AJ$4:AJ313,"&gt;0")+U$1015,0),0)</f>
        <v>0</v>
      </c>
      <c r="AK314" s="203">
        <f>IF(AND(OR((AK313+1)&lt;AL$1015,(AK313+1)=AL$1015),MAX(AK$4:AK313)&lt;AL$1015),AK313+1,0)</f>
        <v>0</v>
      </c>
      <c r="AL314" s="309">
        <f>VLOOKUP($AK314,ENTI!$AF$4:AG$1003,2,FALSE)</f>
        <v>0</v>
      </c>
      <c r="AM314" s="224">
        <f>VLOOKUP($AK314,ENTI!$AF$4:AH$1003,3,FALSE)</f>
        <v>0</v>
      </c>
      <c r="AN314" s="224">
        <f>VLOOKUP($AK314,ENTI!$AF$4:AI$1003,4,FALSE)</f>
        <v>0</v>
      </c>
      <c r="AO314" s="781">
        <f>VLOOKUP($AK314,ENTI!$AF$4:AJ$1003,5,FALSE)</f>
        <v>0</v>
      </c>
      <c r="AP314" s="315">
        <f>VLOOKUP($AK314,ENTI!$AF$4:AK$1003,6,FALSE)</f>
        <v>0</v>
      </c>
      <c r="AQ314" s="208">
        <f t="shared" si="69"/>
        <v>0</v>
      </c>
      <c r="AR314" s="152" t="e">
        <f t="shared" si="70"/>
        <v>#N/A</v>
      </c>
      <c r="AS314" s="1"/>
      <c r="AT314" s="88" t="str">
        <f t="shared" si="63"/>
        <v/>
      </c>
      <c r="AU314" s="1"/>
      <c r="AV314" s="175">
        <f>IF(AW314&gt;0,COUNTIF(AV$4:AV313,"&gt;0")+1,0)</f>
        <v>0</v>
      </c>
      <c r="AW314" s="164">
        <f t="shared" si="64"/>
        <v>0</v>
      </c>
      <c r="AX314" s="310">
        <f>IF($AW314=0,0,VLOOKUP(VLOOKUP($X314,$B$34:$T$38,19,FALSE),ENTI!$A$9:$B$13,2,FALSE))</f>
        <v>0</v>
      </c>
      <c r="AY314" s="310">
        <f t="shared" si="66"/>
        <v>0</v>
      </c>
      <c r="AZ314" s="316">
        <f t="shared" si="67"/>
        <v>0</v>
      </c>
      <c r="BA314" s="1"/>
      <c r="BB314" s="152">
        <f t="shared" si="68"/>
        <v>0</v>
      </c>
      <c r="BC314" s="152">
        <f ca="1">SUM(Z$4:Z314)+SUM(BB$4:BB314)+COSTI!S$6-COSTI!L$1076</f>
        <v>-31.760000000000218</v>
      </c>
      <c r="BD314" s="1"/>
    </row>
    <row r="315" spans="1:56" ht="16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435">
        <f>IF(AND(W315&gt;=$U$1,W315&lt;=$U$2),IF(X315='ESTRATTO CONTO'!$E$2,1+COUNTIF(U$4:U314,"&gt;0"),0),0)</f>
        <v>0</v>
      </c>
      <c r="V315" s="417">
        <f t="shared" si="65"/>
        <v>312</v>
      </c>
      <c r="W315" s="509"/>
      <c r="X315" s="321"/>
      <c r="Y315" s="321"/>
      <c r="Z315" s="508"/>
      <c r="AA315" s="356"/>
      <c r="AB315" s="306" t="str">
        <f t="shared" si="61"/>
        <v/>
      </c>
      <c r="AC315" s="637">
        <f t="shared" ca="1" si="71"/>
        <v>-2.1316282072803006E-13</v>
      </c>
      <c r="AD315" s="935">
        <f>IF(ISERROR(VLOOKUP(AD$2,X316:X$1003,1,FALSE)),IF(X315=AD$2,SUMIF(X$4:X315,AD$2,Z$4:Z315)+$E$9+SUM(AQ$4:AQ$1003)+SUMIF(COSTI!$X$1379:$X$1430,AD$2,COSTI!$Z$1379:$Z$1430),0),0)</f>
        <v>0</v>
      </c>
      <c r="AE315" s="26"/>
      <c r="AF315" s="856" t="e">
        <f>IF(ISERROR(VLOOKUP(AG$2,X316:X$1003,1,FALSE)),IF(X315=AG$2,SUMIF(X$4:X315,AG$2,Z$4:Z315)+VLOOKUP(AF$2,$B$1057:$F$1068,5,FALSE)+SUM(AR$4:AR$1003)+SUMIF(COSTI!$X$1379:$X$1430,AG$2,COSTI!$Z$1379:$Z$1430),0),0)</f>
        <v>#N/A</v>
      </c>
      <c r="AG315" s="859"/>
      <c r="AH315" s="27" t="str">
        <f t="shared" si="62"/>
        <v/>
      </c>
      <c r="AI315" s="152">
        <f ca="1">IF(W316&gt;0,0,IF(AH315=0,(Z315*-1)+BC315+SUM(BB$4:BB314),BC315+SUM(BB$4:BB314)))</f>
        <v>-2.1316282072803006E-13</v>
      </c>
      <c r="AJ315" s="931">
        <f>IF(AND(AL315&gt;=$U$1,AL315&lt;=$U$2),IF(AM315='ESTRATTO CONTO'!$E$2,1+COUNTIF(AJ$4:AJ314,"&gt;0")+U$1015,0),0)</f>
        <v>0</v>
      </c>
      <c r="AK315" s="203">
        <f>IF(AND(OR((AK314+1)&lt;AL$1015,(AK314+1)=AL$1015),MAX(AK$4:AK314)&lt;AL$1015),AK314+1,0)</f>
        <v>0</v>
      </c>
      <c r="AL315" s="309">
        <f>VLOOKUP($AK315,ENTI!$AF$4:AG$1003,2,FALSE)</f>
        <v>0</v>
      </c>
      <c r="AM315" s="224">
        <f>VLOOKUP($AK315,ENTI!$AF$4:AH$1003,3,FALSE)</f>
        <v>0</v>
      </c>
      <c r="AN315" s="224">
        <f>VLOOKUP($AK315,ENTI!$AF$4:AI$1003,4,FALSE)</f>
        <v>0</v>
      </c>
      <c r="AO315" s="781">
        <f>VLOOKUP($AK315,ENTI!$AF$4:AJ$1003,5,FALSE)</f>
        <v>0</v>
      </c>
      <c r="AP315" s="315">
        <f>VLOOKUP($AK315,ENTI!$AF$4:AK$1003,6,FALSE)</f>
        <v>0</v>
      </c>
      <c r="AQ315" s="208">
        <f t="shared" si="69"/>
        <v>0</v>
      </c>
      <c r="AR315" s="152" t="e">
        <f t="shared" si="70"/>
        <v>#N/A</v>
      </c>
      <c r="AS315" s="1"/>
      <c r="AT315" s="88" t="str">
        <f t="shared" si="63"/>
        <v/>
      </c>
      <c r="AU315" s="1"/>
      <c r="AV315" s="175">
        <f>IF(AW315&gt;0,COUNTIF(AV$4:AV314,"&gt;0")+1,0)</f>
        <v>0</v>
      </c>
      <c r="AW315" s="164">
        <f t="shared" si="64"/>
        <v>0</v>
      </c>
      <c r="AX315" s="310">
        <f>IF($AW315=0,0,VLOOKUP(VLOOKUP($X315,$B$34:$T$38,19,FALSE),ENTI!$A$9:$B$13,2,FALSE))</f>
        <v>0</v>
      </c>
      <c r="AY315" s="310">
        <f t="shared" si="66"/>
        <v>0</v>
      </c>
      <c r="AZ315" s="316">
        <f t="shared" si="67"/>
        <v>0</v>
      </c>
      <c r="BA315" s="1"/>
      <c r="BB315" s="152">
        <f t="shared" si="68"/>
        <v>0</v>
      </c>
      <c r="BC315" s="152">
        <f ca="1">SUM(Z$4:Z315)+SUM(BB$4:BB315)+COSTI!S$6-COSTI!L$1076</f>
        <v>-31.760000000000218</v>
      </c>
      <c r="BD315" s="1"/>
    </row>
    <row r="316" spans="1:56" ht="16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435">
        <f>IF(AND(W316&gt;=$U$1,W316&lt;=$U$2),IF(X316='ESTRATTO CONTO'!$E$2,1+COUNTIF(U$4:U315,"&gt;0"),0),0)</f>
        <v>0</v>
      </c>
      <c r="V316" s="417">
        <f t="shared" si="65"/>
        <v>313</v>
      </c>
      <c r="W316" s="509"/>
      <c r="X316" s="321"/>
      <c r="Y316" s="321"/>
      <c r="Z316" s="508"/>
      <c r="AA316" s="356"/>
      <c r="AB316" s="306" t="str">
        <f t="shared" si="61"/>
        <v/>
      </c>
      <c r="AC316" s="637">
        <f t="shared" ca="1" si="71"/>
        <v>-2.1316282072803006E-13</v>
      </c>
      <c r="AD316" s="935">
        <f>IF(ISERROR(VLOOKUP(AD$2,X317:X$1003,1,FALSE)),IF(X316=AD$2,SUMIF(X$4:X316,AD$2,Z$4:Z316)+$E$9+SUM(AQ$4:AQ$1003)+SUMIF(COSTI!$X$1379:$X$1430,AD$2,COSTI!$Z$1379:$Z$1430),0),0)</f>
        <v>0</v>
      </c>
      <c r="AE316" s="26"/>
      <c r="AF316" s="856" t="e">
        <f>IF(ISERROR(VLOOKUP(AG$2,X317:X$1003,1,FALSE)),IF(X316=AG$2,SUMIF(X$4:X316,AG$2,Z$4:Z316)+VLOOKUP(AF$2,$B$1057:$F$1068,5,FALSE)+SUM(AR$4:AR$1003)+SUMIF(COSTI!$X$1379:$X$1430,AG$2,COSTI!$Z$1379:$Z$1430),0),0)</f>
        <v>#N/A</v>
      </c>
      <c r="AG316" s="859"/>
      <c r="AH316" s="27" t="str">
        <f t="shared" si="62"/>
        <v/>
      </c>
      <c r="AI316" s="152">
        <f ca="1">IF(W317&gt;0,0,IF(AH316=0,(Z316*-1)+BC316+SUM(BB$4:BB315),BC316+SUM(BB$4:BB315)))</f>
        <v>-2.1316282072803006E-13</v>
      </c>
      <c r="AJ316" s="931">
        <f>IF(AND(AL316&gt;=$U$1,AL316&lt;=$U$2),IF(AM316='ESTRATTO CONTO'!$E$2,1+COUNTIF(AJ$4:AJ315,"&gt;0")+U$1015,0),0)</f>
        <v>0</v>
      </c>
      <c r="AK316" s="203">
        <f>IF(AND(OR((AK315+1)&lt;AL$1015,(AK315+1)=AL$1015),MAX(AK$4:AK315)&lt;AL$1015),AK315+1,0)</f>
        <v>0</v>
      </c>
      <c r="AL316" s="309">
        <f>VLOOKUP($AK316,ENTI!$AF$4:AG$1003,2,FALSE)</f>
        <v>0</v>
      </c>
      <c r="AM316" s="224">
        <f>VLOOKUP($AK316,ENTI!$AF$4:AH$1003,3,FALSE)</f>
        <v>0</v>
      </c>
      <c r="AN316" s="224">
        <f>VLOOKUP($AK316,ENTI!$AF$4:AI$1003,4,FALSE)</f>
        <v>0</v>
      </c>
      <c r="AO316" s="781">
        <f>VLOOKUP($AK316,ENTI!$AF$4:AJ$1003,5,FALSE)</f>
        <v>0</v>
      </c>
      <c r="AP316" s="315">
        <f>VLOOKUP($AK316,ENTI!$AF$4:AK$1003,6,FALSE)</f>
        <v>0</v>
      </c>
      <c r="AQ316" s="208">
        <f t="shared" si="69"/>
        <v>0</v>
      </c>
      <c r="AR316" s="152" t="e">
        <f t="shared" si="70"/>
        <v>#N/A</v>
      </c>
      <c r="AS316" s="1"/>
      <c r="AT316" s="88" t="str">
        <f t="shared" si="63"/>
        <v/>
      </c>
      <c r="AU316" s="1"/>
      <c r="AV316" s="175">
        <f>IF(AW316&gt;0,COUNTIF(AV$4:AV315,"&gt;0")+1,0)</f>
        <v>0</v>
      </c>
      <c r="AW316" s="164">
        <f t="shared" si="64"/>
        <v>0</v>
      </c>
      <c r="AX316" s="310">
        <f>IF($AW316=0,0,VLOOKUP(VLOOKUP($X316,$B$34:$T$38,19,FALSE),ENTI!$A$9:$B$13,2,FALSE))</f>
        <v>0</v>
      </c>
      <c r="AY316" s="310">
        <f t="shared" si="66"/>
        <v>0</v>
      </c>
      <c r="AZ316" s="316">
        <f t="shared" si="67"/>
        <v>0</v>
      </c>
      <c r="BA316" s="1"/>
      <c r="BB316" s="152">
        <f t="shared" si="68"/>
        <v>0</v>
      </c>
      <c r="BC316" s="152">
        <f ca="1">SUM(Z$4:Z316)+SUM(BB$4:BB316)+COSTI!S$6-COSTI!L$1076</f>
        <v>-31.760000000000218</v>
      </c>
      <c r="BD316" s="1"/>
    </row>
    <row r="317" spans="1:56" ht="16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435">
        <f>IF(AND(W317&gt;=$U$1,W317&lt;=$U$2),IF(X317='ESTRATTO CONTO'!$E$2,1+COUNTIF(U$4:U316,"&gt;0"),0),0)</f>
        <v>0</v>
      </c>
      <c r="V317" s="417">
        <f t="shared" si="65"/>
        <v>314</v>
      </c>
      <c r="W317" s="509"/>
      <c r="X317" s="321"/>
      <c r="Y317" s="321"/>
      <c r="Z317" s="508"/>
      <c r="AA317" s="356"/>
      <c r="AB317" s="306" t="str">
        <f t="shared" si="61"/>
        <v/>
      </c>
      <c r="AC317" s="637">
        <f t="shared" ca="1" si="71"/>
        <v>-2.1316282072803006E-13</v>
      </c>
      <c r="AD317" s="935">
        <f>IF(ISERROR(VLOOKUP(AD$2,X318:X$1003,1,FALSE)),IF(X317=AD$2,SUMIF(X$4:X317,AD$2,Z$4:Z317)+$E$9+SUM(AQ$4:AQ$1003)+SUMIF(COSTI!$X$1379:$X$1430,AD$2,COSTI!$Z$1379:$Z$1430),0),0)</f>
        <v>0</v>
      </c>
      <c r="AE317" s="26"/>
      <c r="AF317" s="856" t="e">
        <f>IF(ISERROR(VLOOKUP(AG$2,X318:X$1003,1,FALSE)),IF(X317=AG$2,SUMIF(X$4:X317,AG$2,Z$4:Z317)+VLOOKUP(AF$2,$B$1057:$F$1068,5,FALSE)+SUM(AR$4:AR$1003)+SUMIF(COSTI!$X$1379:$X$1430,AG$2,COSTI!$Z$1379:$Z$1430),0),0)</f>
        <v>#N/A</v>
      </c>
      <c r="AG317" s="859"/>
      <c r="AH317" s="27" t="str">
        <f t="shared" si="62"/>
        <v/>
      </c>
      <c r="AI317" s="152">
        <f ca="1">IF(W318&gt;0,0,IF(AH317=0,(Z317*-1)+BC317+SUM(BB$4:BB316),BC317+SUM(BB$4:BB316)))</f>
        <v>-2.1316282072803006E-13</v>
      </c>
      <c r="AJ317" s="931">
        <f>IF(AND(AL317&gt;=$U$1,AL317&lt;=$U$2),IF(AM317='ESTRATTO CONTO'!$E$2,1+COUNTIF(AJ$4:AJ316,"&gt;0")+U$1015,0),0)</f>
        <v>0</v>
      </c>
      <c r="AK317" s="203">
        <f>IF(AND(OR((AK316+1)&lt;AL$1015,(AK316+1)=AL$1015),MAX(AK$4:AK316)&lt;AL$1015),AK316+1,0)</f>
        <v>0</v>
      </c>
      <c r="AL317" s="309">
        <f>VLOOKUP($AK317,ENTI!$AF$4:AG$1003,2,FALSE)</f>
        <v>0</v>
      </c>
      <c r="AM317" s="224">
        <f>VLOOKUP($AK317,ENTI!$AF$4:AH$1003,3,FALSE)</f>
        <v>0</v>
      </c>
      <c r="AN317" s="224">
        <f>VLOOKUP($AK317,ENTI!$AF$4:AI$1003,4,FALSE)</f>
        <v>0</v>
      </c>
      <c r="AO317" s="781">
        <f>VLOOKUP($AK317,ENTI!$AF$4:AJ$1003,5,FALSE)</f>
        <v>0</v>
      </c>
      <c r="AP317" s="315">
        <f>VLOOKUP($AK317,ENTI!$AF$4:AK$1003,6,FALSE)</f>
        <v>0</v>
      </c>
      <c r="AQ317" s="208">
        <f t="shared" si="69"/>
        <v>0</v>
      </c>
      <c r="AR317" s="152" t="e">
        <f t="shared" si="70"/>
        <v>#N/A</v>
      </c>
      <c r="AS317" s="1"/>
      <c r="AT317" s="88" t="str">
        <f t="shared" si="63"/>
        <v/>
      </c>
      <c r="AU317" s="1"/>
      <c r="AV317" s="175">
        <f>IF(AW317&gt;0,COUNTIF(AV$4:AV316,"&gt;0")+1,0)</f>
        <v>0</v>
      </c>
      <c r="AW317" s="164">
        <f t="shared" si="64"/>
        <v>0</v>
      </c>
      <c r="AX317" s="310">
        <f>IF($AW317=0,0,VLOOKUP(VLOOKUP($X317,$B$34:$T$38,19,FALSE),ENTI!$A$9:$B$13,2,FALSE))</f>
        <v>0</v>
      </c>
      <c r="AY317" s="310">
        <f t="shared" si="66"/>
        <v>0</v>
      </c>
      <c r="AZ317" s="316">
        <f t="shared" si="67"/>
        <v>0</v>
      </c>
      <c r="BA317" s="1"/>
      <c r="BB317" s="152">
        <f t="shared" si="68"/>
        <v>0</v>
      </c>
      <c r="BC317" s="152">
        <f ca="1">SUM(Z$4:Z317)+SUM(BB$4:BB317)+COSTI!S$6-COSTI!L$1076</f>
        <v>-31.760000000000218</v>
      </c>
      <c r="BD317" s="1"/>
    </row>
    <row r="318" spans="1:56" ht="16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435">
        <f>IF(AND(W318&gt;=$U$1,W318&lt;=$U$2),IF(X318='ESTRATTO CONTO'!$E$2,1+COUNTIF(U$4:U317,"&gt;0"),0),0)</f>
        <v>0</v>
      </c>
      <c r="V318" s="417">
        <f t="shared" si="65"/>
        <v>315</v>
      </c>
      <c r="W318" s="509"/>
      <c r="X318" s="321"/>
      <c r="Y318" s="321"/>
      <c r="Z318" s="508"/>
      <c r="AA318" s="356"/>
      <c r="AB318" s="306" t="str">
        <f t="shared" si="61"/>
        <v/>
      </c>
      <c r="AC318" s="637">
        <f t="shared" ca="1" si="71"/>
        <v>-2.1316282072803006E-13</v>
      </c>
      <c r="AD318" s="935">
        <f>IF(ISERROR(VLOOKUP(AD$2,X319:X$1003,1,FALSE)),IF(X318=AD$2,SUMIF(X$4:X318,AD$2,Z$4:Z318)+$E$9+SUM(AQ$4:AQ$1003)+SUMIF(COSTI!$X$1379:$X$1430,AD$2,COSTI!$Z$1379:$Z$1430),0),0)</f>
        <v>0</v>
      </c>
      <c r="AE318" s="26"/>
      <c r="AF318" s="856" t="e">
        <f>IF(ISERROR(VLOOKUP(AG$2,X319:X$1003,1,FALSE)),IF(X318=AG$2,SUMIF(X$4:X318,AG$2,Z$4:Z318)+VLOOKUP(AF$2,$B$1057:$F$1068,5,FALSE)+SUM(AR$4:AR$1003)+SUMIF(COSTI!$X$1379:$X$1430,AG$2,COSTI!$Z$1379:$Z$1430),0),0)</f>
        <v>#N/A</v>
      </c>
      <c r="AG318" s="859"/>
      <c r="AH318" s="27" t="str">
        <f t="shared" si="62"/>
        <v/>
      </c>
      <c r="AI318" s="152">
        <f ca="1">IF(W319&gt;0,0,IF(AH318=0,(Z318*-1)+BC318+SUM(BB$4:BB317),BC318+SUM(BB$4:BB317)))</f>
        <v>-2.1316282072803006E-13</v>
      </c>
      <c r="AJ318" s="931">
        <f>IF(AND(AL318&gt;=$U$1,AL318&lt;=$U$2),IF(AM318='ESTRATTO CONTO'!$E$2,1+COUNTIF(AJ$4:AJ317,"&gt;0")+U$1015,0),0)</f>
        <v>0</v>
      </c>
      <c r="AK318" s="203">
        <f>IF(AND(OR((AK317+1)&lt;AL$1015,(AK317+1)=AL$1015),MAX(AK$4:AK317)&lt;AL$1015),AK317+1,0)</f>
        <v>0</v>
      </c>
      <c r="AL318" s="309">
        <f>VLOOKUP($AK318,ENTI!$AF$4:AG$1003,2,FALSE)</f>
        <v>0</v>
      </c>
      <c r="AM318" s="224">
        <f>VLOOKUP($AK318,ENTI!$AF$4:AH$1003,3,FALSE)</f>
        <v>0</v>
      </c>
      <c r="AN318" s="224">
        <f>VLOOKUP($AK318,ENTI!$AF$4:AI$1003,4,FALSE)</f>
        <v>0</v>
      </c>
      <c r="AO318" s="781">
        <f>VLOOKUP($AK318,ENTI!$AF$4:AJ$1003,5,FALSE)</f>
        <v>0</v>
      </c>
      <c r="AP318" s="315">
        <f>VLOOKUP($AK318,ENTI!$AF$4:AK$1003,6,FALSE)</f>
        <v>0</v>
      </c>
      <c r="AQ318" s="208">
        <f t="shared" si="69"/>
        <v>0</v>
      </c>
      <c r="AR318" s="152" t="e">
        <f t="shared" si="70"/>
        <v>#N/A</v>
      </c>
      <c r="AS318" s="1"/>
      <c r="AT318" s="88" t="str">
        <f t="shared" si="63"/>
        <v/>
      </c>
      <c r="AU318" s="1"/>
      <c r="AV318" s="175">
        <f>IF(AW318&gt;0,COUNTIF(AV$4:AV317,"&gt;0")+1,0)</f>
        <v>0</v>
      </c>
      <c r="AW318" s="164">
        <f t="shared" si="64"/>
        <v>0</v>
      </c>
      <c r="AX318" s="310">
        <f>IF($AW318=0,0,VLOOKUP(VLOOKUP($X318,$B$34:$T$38,19,FALSE),ENTI!$A$9:$B$13,2,FALSE))</f>
        <v>0</v>
      </c>
      <c r="AY318" s="310">
        <f t="shared" si="66"/>
        <v>0</v>
      </c>
      <c r="AZ318" s="316">
        <f t="shared" si="67"/>
        <v>0</v>
      </c>
      <c r="BA318" s="1"/>
      <c r="BB318" s="152">
        <f t="shared" si="68"/>
        <v>0</v>
      </c>
      <c r="BC318" s="152">
        <f ca="1">SUM(Z$4:Z318)+SUM(BB$4:BB318)+COSTI!S$6-COSTI!L$1076</f>
        <v>-31.760000000000218</v>
      </c>
      <c r="BD318" s="1"/>
    </row>
    <row r="319" spans="1:56" ht="16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435">
        <f>IF(AND(W319&gt;=$U$1,W319&lt;=$U$2),IF(X319='ESTRATTO CONTO'!$E$2,1+COUNTIF(U$4:U318,"&gt;0"),0),0)</f>
        <v>0</v>
      </c>
      <c r="V319" s="417">
        <f t="shared" si="65"/>
        <v>316</v>
      </c>
      <c r="W319" s="509"/>
      <c r="X319" s="321"/>
      <c r="Y319" s="321"/>
      <c r="Z319" s="508"/>
      <c r="AA319" s="356"/>
      <c r="AB319" s="306" t="str">
        <f t="shared" si="61"/>
        <v/>
      </c>
      <c r="AC319" s="637">
        <f t="shared" ca="1" si="71"/>
        <v>-2.1316282072803006E-13</v>
      </c>
      <c r="AD319" s="935">
        <f>IF(ISERROR(VLOOKUP(AD$2,X320:X$1003,1,FALSE)),IF(X319=AD$2,SUMIF(X$4:X319,AD$2,Z$4:Z319)+$E$9+SUM(AQ$4:AQ$1003)+SUMIF(COSTI!$X$1379:$X$1430,AD$2,COSTI!$Z$1379:$Z$1430),0),0)</f>
        <v>0</v>
      </c>
      <c r="AE319" s="26"/>
      <c r="AF319" s="856" t="e">
        <f>IF(ISERROR(VLOOKUP(AG$2,X320:X$1003,1,FALSE)),IF(X319=AG$2,SUMIF(X$4:X319,AG$2,Z$4:Z319)+VLOOKUP(AF$2,$B$1057:$F$1068,5,FALSE)+SUM(AR$4:AR$1003)+SUMIF(COSTI!$X$1379:$X$1430,AG$2,COSTI!$Z$1379:$Z$1430),0),0)</f>
        <v>#N/A</v>
      </c>
      <c r="AG319" s="859"/>
      <c r="AH319" s="27" t="str">
        <f t="shared" si="62"/>
        <v/>
      </c>
      <c r="AI319" s="152">
        <f ca="1">IF(W320&gt;0,0,IF(AH319=0,(Z319*-1)+BC319+SUM(BB$4:BB318),BC319+SUM(BB$4:BB318)))</f>
        <v>-2.1316282072803006E-13</v>
      </c>
      <c r="AJ319" s="931">
        <f>IF(AND(AL319&gt;=$U$1,AL319&lt;=$U$2),IF(AM319='ESTRATTO CONTO'!$E$2,1+COUNTIF(AJ$4:AJ318,"&gt;0")+U$1015,0),0)</f>
        <v>0</v>
      </c>
      <c r="AK319" s="203">
        <f>IF(AND(OR((AK318+1)&lt;AL$1015,(AK318+1)=AL$1015),MAX(AK$4:AK318)&lt;AL$1015),AK318+1,0)</f>
        <v>0</v>
      </c>
      <c r="AL319" s="309">
        <f>VLOOKUP($AK319,ENTI!$AF$4:AG$1003,2,FALSE)</f>
        <v>0</v>
      </c>
      <c r="AM319" s="224">
        <f>VLOOKUP($AK319,ENTI!$AF$4:AH$1003,3,FALSE)</f>
        <v>0</v>
      </c>
      <c r="AN319" s="224">
        <f>VLOOKUP($AK319,ENTI!$AF$4:AI$1003,4,FALSE)</f>
        <v>0</v>
      </c>
      <c r="AO319" s="781">
        <f>VLOOKUP($AK319,ENTI!$AF$4:AJ$1003,5,FALSE)</f>
        <v>0</v>
      </c>
      <c r="AP319" s="315">
        <f>VLOOKUP($AK319,ENTI!$AF$4:AK$1003,6,FALSE)</f>
        <v>0</v>
      </c>
      <c r="AQ319" s="208">
        <f t="shared" si="69"/>
        <v>0</v>
      </c>
      <c r="AR319" s="152" t="e">
        <f t="shared" si="70"/>
        <v>#N/A</v>
      </c>
      <c r="AS319" s="1"/>
      <c r="AT319" s="88" t="str">
        <f t="shared" si="63"/>
        <v/>
      </c>
      <c r="AU319" s="1"/>
      <c r="AV319" s="175">
        <f>IF(AW319&gt;0,COUNTIF(AV$4:AV318,"&gt;0")+1,0)</f>
        <v>0</v>
      </c>
      <c r="AW319" s="164">
        <f t="shared" si="64"/>
        <v>0</v>
      </c>
      <c r="AX319" s="310">
        <f>IF($AW319=0,0,VLOOKUP(VLOOKUP($X319,$B$34:$T$38,19,FALSE),ENTI!$A$9:$B$13,2,FALSE))</f>
        <v>0</v>
      </c>
      <c r="AY319" s="310">
        <f t="shared" si="66"/>
        <v>0</v>
      </c>
      <c r="AZ319" s="316">
        <f t="shared" si="67"/>
        <v>0</v>
      </c>
      <c r="BA319" s="1"/>
      <c r="BB319" s="152">
        <f t="shared" si="68"/>
        <v>0</v>
      </c>
      <c r="BC319" s="152">
        <f ca="1">SUM(Z$4:Z319)+SUM(BB$4:BB319)+COSTI!S$6-COSTI!L$1076</f>
        <v>-31.760000000000218</v>
      </c>
      <c r="BD319" s="1"/>
    </row>
    <row r="320" spans="1:56" ht="16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435">
        <f>IF(AND(W320&gt;=$U$1,W320&lt;=$U$2),IF(X320='ESTRATTO CONTO'!$E$2,1+COUNTIF(U$4:U319,"&gt;0"),0),0)</f>
        <v>0</v>
      </c>
      <c r="V320" s="417">
        <f t="shared" si="65"/>
        <v>317</v>
      </c>
      <c r="W320" s="509"/>
      <c r="X320" s="321"/>
      <c r="Y320" s="321"/>
      <c r="Z320" s="508"/>
      <c r="AA320" s="356"/>
      <c r="AB320" s="306" t="str">
        <f t="shared" si="61"/>
        <v/>
      </c>
      <c r="AC320" s="637">
        <f t="shared" ca="1" si="71"/>
        <v>-2.1316282072803006E-13</v>
      </c>
      <c r="AD320" s="935">
        <f>IF(ISERROR(VLOOKUP(AD$2,X321:X$1003,1,FALSE)),IF(X320=AD$2,SUMIF(X$4:X320,AD$2,Z$4:Z320)+$E$9+SUM(AQ$4:AQ$1003)+SUMIF(COSTI!$X$1379:$X$1430,AD$2,COSTI!$Z$1379:$Z$1430),0),0)</f>
        <v>0</v>
      </c>
      <c r="AE320" s="26"/>
      <c r="AF320" s="856" t="e">
        <f>IF(ISERROR(VLOOKUP(AG$2,X321:X$1003,1,FALSE)),IF(X320=AG$2,SUMIF(X$4:X320,AG$2,Z$4:Z320)+VLOOKUP(AF$2,$B$1057:$F$1068,5,FALSE)+SUM(AR$4:AR$1003)+SUMIF(COSTI!$X$1379:$X$1430,AG$2,COSTI!$Z$1379:$Z$1430),0),0)</f>
        <v>#N/A</v>
      </c>
      <c r="AG320" s="859"/>
      <c r="AH320" s="27" t="str">
        <f t="shared" si="62"/>
        <v/>
      </c>
      <c r="AI320" s="152">
        <f ca="1">IF(W321&gt;0,0,IF(AH320=0,(Z320*-1)+BC320+SUM(BB$4:BB319),BC320+SUM(BB$4:BB319)))</f>
        <v>-2.1316282072803006E-13</v>
      </c>
      <c r="AJ320" s="931">
        <f>IF(AND(AL320&gt;=$U$1,AL320&lt;=$U$2),IF(AM320='ESTRATTO CONTO'!$E$2,1+COUNTIF(AJ$4:AJ319,"&gt;0")+U$1015,0),0)</f>
        <v>0</v>
      </c>
      <c r="AK320" s="203">
        <f>IF(AND(OR((AK319+1)&lt;AL$1015,(AK319+1)=AL$1015),MAX(AK$4:AK319)&lt;AL$1015),AK319+1,0)</f>
        <v>0</v>
      </c>
      <c r="AL320" s="309">
        <f>VLOOKUP($AK320,ENTI!$AF$4:AG$1003,2,FALSE)</f>
        <v>0</v>
      </c>
      <c r="AM320" s="224">
        <f>VLOOKUP($AK320,ENTI!$AF$4:AH$1003,3,FALSE)</f>
        <v>0</v>
      </c>
      <c r="AN320" s="224">
        <f>VLOOKUP($AK320,ENTI!$AF$4:AI$1003,4,FALSE)</f>
        <v>0</v>
      </c>
      <c r="AO320" s="781">
        <f>VLOOKUP($AK320,ENTI!$AF$4:AJ$1003,5,FALSE)</f>
        <v>0</v>
      </c>
      <c r="AP320" s="315">
        <f>VLOOKUP($AK320,ENTI!$AF$4:AK$1003,6,FALSE)</f>
        <v>0</v>
      </c>
      <c r="AQ320" s="208">
        <f t="shared" si="69"/>
        <v>0</v>
      </c>
      <c r="AR320" s="152" t="e">
        <f t="shared" si="70"/>
        <v>#N/A</v>
      </c>
      <c r="AS320" s="1"/>
      <c r="AT320" s="88" t="str">
        <f t="shared" si="63"/>
        <v/>
      </c>
      <c r="AU320" s="1"/>
      <c r="AV320" s="175">
        <f>IF(AW320&gt;0,COUNTIF(AV$4:AV319,"&gt;0")+1,0)</f>
        <v>0</v>
      </c>
      <c r="AW320" s="164">
        <f t="shared" si="64"/>
        <v>0</v>
      </c>
      <c r="AX320" s="310">
        <f>IF($AW320=0,0,VLOOKUP(VLOOKUP($X320,$B$34:$T$38,19,FALSE),ENTI!$A$9:$B$13,2,FALSE))</f>
        <v>0</v>
      </c>
      <c r="AY320" s="310">
        <f t="shared" si="66"/>
        <v>0</v>
      </c>
      <c r="AZ320" s="316">
        <f t="shared" si="67"/>
        <v>0</v>
      </c>
      <c r="BA320" s="1"/>
      <c r="BB320" s="152">
        <f t="shared" si="68"/>
        <v>0</v>
      </c>
      <c r="BC320" s="152">
        <f ca="1">SUM(Z$4:Z320)+SUM(BB$4:BB320)+COSTI!S$6-COSTI!L$1076</f>
        <v>-31.760000000000218</v>
      </c>
      <c r="BD320" s="1"/>
    </row>
    <row r="321" spans="1:56" ht="16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435">
        <f>IF(AND(W321&gt;=$U$1,W321&lt;=$U$2),IF(X321='ESTRATTO CONTO'!$E$2,1+COUNTIF(U$4:U320,"&gt;0"),0),0)</f>
        <v>0</v>
      </c>
      <c r="V321" s="417">
        <f t="shared" si="65"/>
        <v>318</v>
      </c>
      <c r="W321" s="509"/>
      <c r="X321" s="321"/>
      <c r="Y321" s="321"/>
      <c r="Z321" s="508"/>
      <c r="AA321" s="356"/>
      <c r="AB321" s="306" t="str">
        <f t="shared" si="61"/>
        <v/>
      </c>
      <c r="AC321" s="637">
        <f t="shared" ca="1" si="71"/>
        <v>-2.1316282072803006E-13</v>
      </c>
      <c r="AD321" s="935">
        <f>IF(ISERROR(VLOOKUP(AD$2,X322:X$1003,1,FALSE)),IF(X321=AD$2,SUMIF(X$4:X321,AD$2,Z$4:Z321)+$E$9+SUM(AQ$4:AQ$1003)+SUMIF(COSTI!$X$1379:$X$1430,AD$2,COSTI!$Z$1379:$Z$1430),0),0)</f>
        <v>0</v>
      </c>
      <c r="AE321" s="26"/>
      <c r="AF321" s="856" t="e">
        <f>IF(ISERROR(VLOOKUP(AG$2,X322:X$1003,1,FALSE)),IF(X321=AG$2,SUMIF(X$4:X321,AG$2,Z$4:Z321)+VLOOKUP(AF$2,$B$1057:$F$1068,5,FALSE)+SUM(AR$4:AR$1003)+SUMIF(COSTI!$X$1379:$X$1430,AG$2,COSTI!$Z$1379:$Z$1430),0),0)</f>
        <v>#N/A</v>
      </c>
      <c r="AG321" s="859"/>
      <c r="AH321" s="27" t="str">
        <f t="shared" si="62"/>
        <v/>
      </c>
      <c r="AI321" s="152">
        <f ca="1">IF(W322&gt;0,0,IF(AH321=0,(Z321*-1)+BC321+SUM(BB$4:BB320),BC321+SUM(BB$4:BB320)))</f>
        <v>-2.1316282072803006E-13</v>
      </c>
      <c r="AJ321" s="931">
        <f>IF(AND(AL321&gt;=$U$1,AL321&lt;=$U$2),IF(AM321='ESTRATTO CONTO'!$E$2,1+COUNTIF(AJ$4:AJ320,"&gt;0")+U$1015,0),0)</f>
        <v>0</v>
      </c>
      <c r="AK321" s="203">
        <f>IF(AND(OR((AK320+1)&lt;AL$1015,(AK320+1)=AL$1015),MAX(AK$4:AK320)&lt;AL$1015),AK320+1,0)</f>
        <v>0</v>
      </c>
      <c r="AL321" s="309">
        <f>VLOOKUP($AK321,ENTI!$AF$4:AG$1003,2,FALSE)</f>
        <v>0</v>
      </c>
      <c r="AM321" s="224">
        <f>VLOOKUP($AK321,ENTI!$AF$4:AH$1003,3,FALSE)</f>
        <v>0</v>
      </c>
      <c r="AN321" s="224">
        <f>VLOOKUP($AK321,ENTI!$AF$4:AI$1003,4,FALSE)</f>
        <v>0</v>
      </c>
      <c r="AO321" s="781">
        <f>VLOOKUP($AK321,ENTI!$AF$4:AJ$1003,5,FALSE)</f>
        <v>0</v>
      </c>
      <c r="AP321" s="315">
        <f>VLOOKUP($AK321,ENTI!$AF$4:AK$1003,6,FALSE)</f>
        <v>0</v>
      </c>
      <c r="AQ321" s="208">
        <f t="shared" si="69"/>
        <v>0</v>
      </c>
      <c r="AR321" s="152" t="e">
        <f t="shared" si="70"/>
        <v>#N/A</v>
      </c>
      <c r="AS321" s="1"/>
      <c r="AT321" s="88" t="str">
        <f t="shared" si="63"/>
        <v/>
      </c>
      <c r="AU321" s="1"/>
      <c r="AV321" s="175">
        <f>IF(AW321&gt;0,COUNTIF(AV$4:AV320,"&gt;0")+1,0)</f>
        <v>0</v>
      </c>
      <c r="AW321" s="164">
        <f t="shared" si="64"/>
        <v>0</v>
      </c>
      <c r="AX321" s="310">
        <f>IF($AW321=0,0,VLOOKUP(VLOOKUP($X321,$B$34:$T$38,19,FALSE),ENTI!$A$9:$B$13,2,FALSE))</f>
        <v>0</v>
      </c>
      <c r="AY321" s="310">
        <f t="shared" si="66"/>
        <v>0</v>
      </c>
      <c r="AZ321" s="316">
        <f t="shared" si="67"/>
        <v>0</v>
      </c>
      <c r="BA321" s="1"/>
      <c r="BB321" s="152">
        <f t="shared" si="68"/>
        <v>0</v>
      </c>
      <c r="BC321" s="152">
        <f ca="1">SUM(Z$4:Z321)+SUM(BB$4:BB321)+COSTI!S$6-COSTI!L$1076</f>
        <v>-31.760000000000218</v>
      </c>
      <c r="BD321" s="1"/>
    </row>
    <row r="322" spans="1:56" ht="16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435">
        <f>IF(AND(W322&gt;=$U$1,W322&lt;=$U$2),IF(X322='ESTRATTO CONTO'!$E$2,1+COUNTIF(U$4:U321,"&gt;0"),0),0)</f>
        <v>0</v>
      </c>
      <c r="V322" s="417">
        <f t="shared" si="65"/>
        <v>319</v>
      </c>
      <c r="W322" s="509"/>
      <c r="X322" s="321"/>
      <c r="Y322" s="321"/>
      <c r="Z322" s="508"/>
      <c r="AA322" s="356"/>
      <c r="AB322" s="306" t="str">
        <f t="shared" si="61"/>
        <v/>
      </c>
      <c r="AC322" s="637">
        <f t="shared" ca="1" si="71"/>
        <v>-2.1316282072803006E-13</v>
      </c>
      <c r="AD322" s="935">
        <f>IF(ISERROR(VLOOKUP(AD$2,X323:X$1003,1,FALSE)),IF(X322=AD$2,SUMIF(X$4:X322,AD$2,Z$4:Z322)+$E$9+SUM(AQ$4:AQ$1003)+SUMIF(COSTI!$X$1379:$X$1430,AD$2,COSTI!$Z$1379:$Z$1430),0),0)</f>
        <v>0</v>
      </c>
      <c r="AE322" s="26"/>
      <c r="AF322" s="856" t="e">
        <f>IF(ISERROR(VLOOKUP(AG$2,X323:X$1003,1,FALSE)),IF(X322=AG$2,SUMIF(X$4:X322,AG$2,Z$4:Z322)+VLOOKUP(AF$2,$B$1057:$F$1068,5,FALSE)+SUM(AR$4:AR$1003)+SUMIF(COSTI!$X$1379:$X$1430,AG$2,COSTI!$Z$1379:$Z$1430),0),0)</f>
        <v>#N/A</v>
      </c>
      <c r="AG322" s="859"/>
      <c r="AH322" s="27" t="str">
        <f t="shared" si="62"/>
        <v/>
      </c>
      <c r="AI322" s="152">
        <f ca="1">IF(W323&gt;0,0,IF(AH322=0,(Z322*-1)+BC322+SUM(BB$4:BB321),BC322+SUM(BB$4:BB321)))</f>
        <v>-2.1316282072803006E-13</v>
      </c>
      <c r="AJ322" s="931">
        <f>IF(AND(AL322&gt;=$U$1,AL322&lt;=$U$2),IF(AM322='ESTRATTO CONTO'!$E$2,1+COUNTIF(AJ$4:AJ321,"&gt;0")+U$1015,0),0)</f>
        <v>0</v>
      </c>
      <c r="AK322" s="203">
        <f>IF(AND(OR((AK321+1)&lt;AL$1015,(AK321+1)=AL$1015),MAX(AK$4:AK321)&lt;AL$1015),AK321+1,0)</f>
        <v>0</v>
      </c>
      <c r="AL322" s="309">
        <f>VLOOKUP($AK322,ENTI!$AF$4:AG$1003,2,FALSE)</f>
        <v>0</v>
      </c>
      <c r="AM322" s="224">
        <f>VLOOKUP($AK322,ENTI!$AF$4:AH$1003,3,FALSE)</f>
        <v>0</v>
      </c>
      <c r="AN322" s="224">
        <f>VLOOKUP($AK322,ENTI!$AF$4:AI$1003,4,FALSE)</f>
        <v>0</v>
      </c>
      <c r="AO322" s="781">
        <f>VLOOKUP($AK322,ENTI!$AF$4:AJ$1003,5,FALSE)</f>
        <v>0</v>
      </c>
      <c r="AP322" s="315">
        <f>VLOOKUP($AK322,ENTI!$AF$4:AK$1003,6,FALSE)</f>
        <v>0</v>
      </c>
      <c r="AQ322" s="208">
        <f t="shared" si="69"/>
        <v>0</v>
      </c>
      <c r="AR322" s="152" t="e">
        <f t="shared" si="70"/>
        <v>#N/A</v>
      </c>
      <c r="AS322" s="1"/>
      <c r="AT322" s="88" t="str">
        <f t="shared" si="63"/>
        <v/>
      </c>
      <c r="AU322" s="1"/>
      <c r="AV322" s="175">
        <f>IF(AW322&gt;0,COUNTIF(AV$4:AV321,"&gt;0")+1,0)</f>
        <v>0</v>
      </c>
      <c r="AW322" s="164">
        <f t="shared" si="64"/>
        <v>0</v>
      </c>
      <c r="AX322" s="310">
        <f>IF($AW322=0,0,VLOOKUP(VLOOKUP($X322,$B$34:$T$38,19,FALSE),ENTI!$A$9:$B$13,2,FALSE))</f>
        <v>0</v>
      </c>
      <c r="AY322" s="310">
        <f t="shared" si="66"/>
        <v>0</v>
      </c>
      <c r="AZ322" s="316">
        <f t="shared" si="67"/>
        <v>0</v>
      </c>
      <c r="BA322" s="1"/>
      <c r="BB322" s="152">
        <f t="shared" si="68"/>
        <v>0</v>
      </c>
      <c r="BC322" s="152">
        <f ca="1">SUM(Z$4:Z322)+SUM(BB$4:BB322)+COSTI!S$6-COSTI!L$1076</f>
        <v>-31.760000000000218</v>
      </c>
      <c r="BD322" s="1"/>
    </row>
    <row r="323" spans="1:56" ht="16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435">
        <f>IF(AND(W323&gt;=$U$1,W323&lt;=$U$2),IF(X323='ESTRATTO CONTO'!$E$2,1+COUNTIF(U$4:U322,"&gt;0"),0),0)</f>
        <v>0</v>
      </c>
      <c r="V323" s="417">
        <f t="shared" si="65"/>
        <v>320</v>
      </c>
      <c r="W323" s="509"/>
      <c r="X323" s="321"/>
      <c r="Y323" s="321"/>
      <c r="Z323" s="508"/>
      <c r="AA323" s="356"/>
      <c r="AB323" s="306" t="str">
        <f t="shared" si="61"/>
        <v/>
      </c>
      <c r="AC323" s="637">
        <f t="shared" ca="1" si="71"/>
        <v>-2.1316282072803006E-13</v>
      </c>
      <c r="AD323" s="935">
        <f>IF(ISERROR(VLOOKUP(AD$2,X324:X$1003,1,FALSE)),IF(X323=AD$2,SUMIF(X$4:X323,AD$2,Z$4:Z323)+$E$9+SUM(AQ$4:AQ$1003)+SUMIF(COSTI!$X$1379:$X$1430,AD$2,COSTI!$Z$1379:$Z$1430),0),0)</f>
        <v>0</v>
      </c>
      <c r="AE323" s="26"/>
      <c r="AF323" s="856" t="e">
        <f>IF(ISERROR(VLOOKUP(AG$2,X324:X$1003,1,FALSE)),IF(X323=AG$2,SUMIF(X$4:X323,AG$2,Z$4:Z323)+VLOOKUP(AF$2,$B$1057:$F$1068,5,FALSE)+SUM(AR$4:AR$1003)+SUMIF(COSTI!$X$1379:$X$1430,AG$2,COSTI!$Z$1379:$Z$1430),0),0)</f>
        <v>#N/A</v>
      </c>
      <c r="AG323" s="859"/>
      <c r="AH323" s="27" t="str">
        <f t="shared" si="62"/>
        <v/>
      </c>
      <c r="AI323" s="152">
        <f ca="1">IF(W324&gt;0,0,IF(AH323=0,(Z323*-1)+BC323+SUM(BB$4:BB322),BC323+SUM(BB$4:BB322)))</f>
        <v>-2.1316282072803006E-13</v>
      </c>
      <c r="AJ323" s="931">
        <f>IF(AND(AL323&gt;=$U$1,AL323&lt;=$U$2),IF(AM323='ESTRATTO CONTO'!$E$2,1+COUNTIF(AJ$4:AJ322,"&gt;0")+U$1015,0),0)</f>
        <v>0</v>
      </c>
      <c r="AK323" s="203">
        <f>IF(AND(OR((AK322+1)&lt;AL$1015,(AK322+1)=AL$1015),MAX(AK$4:AK322)&lt;AL$1015),AK322+1,0)</f>
        <v>0</v>
      </c>
      <c r="AL323" s="309">
        <f>VLOOKUP($AK323,ENTI!$AF$4:AG$1003,2,FALSE)</f>
        <v>0</v>
      </c>
      <c r="AM323" s="224">
        <f>VLOOKUP($AK323,ENTI!$AF$4:AH$1003,3,FALSE)</f>
        <v>0</v>
      </c>
      <c r="AN323" s="224">
        <f>VLOOKUP($AK323,ENTI!$AF$4:AI$1003,4,FALSE)</f>
        <v>0</v>
      </c>
      <c r="AO323" s="781">
        <f>VLOOKUP($AK323,ENTI!$AF$4:AJ$1003,5,FALSE)</f>
        <v>0</v>
      </c>
      <c r="AP323" s="315">
        <f>VLOOKUP($AK323,ENTI!$AF$4:AK$1003,6,FALSE)</f>
        <v>0</v>
      </c>
      <c r="AQ323" s="208">
        <f t="shared" si="69"/>
        <v>0</v>
      </c>
      <c r="AR323" s="152" t="e">
        <f t="shared" si="70"/>
        <v>#N/A</v>
      </c>
      <c r="AS323" s="1"/>
      <c r="AT323" s="88" t="str">
        <f t="shared" si="63"/>
        <v/>
      </c>
      <c r="AU323" s="1"/>
      <c r="AV323" s="175">
        <f>IF(AW323&gt;0,COUNTIF(AV$4:AV322,"&gt;0")+1,0)</f>
        <v>0</v>
      </c>
      <c r="AW323" s="164">
        <f t="shared" si="64"/>
        <v>0</v>
      </c>
      <c r="AX323" s="310">
        <f>IF($AW323=0,0,VLOOKUP(VLOOKUP($X323,$B$34:$T$38,19,FALSE),ENTI!$A$9:$B$13,2,FALSE))</f>
        <v>0</v>
      </c>
      <c r="AY323" s="310">
        <f t="shared" si="66"/>
        <v>0</v>
      </c>
      <c r="AZ323" s="316">
        <f t="shared" si="67"/>
        <v>0</v>
      </c>
      <c r="BA323" s="1"/>
      <c r="BB323" s="152">
        <f t="shared" si="68"/>
        <v>0</v>
      </c>
      <c r="BC323" s="152">
        <f ca="1">SUM(Z$4:Z323)+SUM(BB$4:BB323)+COSTI!S$6-COSTI!L$1076</f>
        <v>-31.760000000000218</v>
      </c>
      <c r="BD323" s="1"/>
    </row>
    <row r="324" spans="1:56" ht="16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435">
        <f>IF(AND(W324&gt;=$U$1,W324&lt;=$U$2),IF(X324='ESTRATTO CONTO'!$E$2,1+COUNTIF(U$4:U323,"&gt;0"),0),0)</f>
        <v>0</v>
      </c>
      <c r="V324" s="417">
        <f t="shared" si="65"/>
        <v>321</v>
      </c>
      <c r="W324" s="509"/>
      <c r="X324" s="321"/>
      <c r="Y324" s="321"/>
      <c r="Z324" s="508"/>
      <c r="AA324" s="356"/>
      <c r="AB324" s="306" t="str">
        <f t="shared" ref="AB324:AB387" si="72">IF(W324&gt;0,IF(AND(W324&gt;=W$1012,W324&lt;=W$1013),CONCATENATE(MONTH(W324)&amp;X324),0),"")</f>
        <v/>
      </c>
      <c r="AC324" s="637">
        <f t="shared" ca="1" si="71"/>
        <v>-2.1316282072803006E-13</v>
      </c>
      <c r="AD324" s="935">
        <f>IF(ISERROR(VLOOKUP(AD$2,X325:X$1003,1,FALSE)),IF(X324=AD$2,SUMIF(X$4:X324,AD$2,Z$4:Z324)+$E$9+SUM(AQ$4:AQ$1003)+SUMIF(COSTI!$X$1379:$X$1430,AD$2,COSTI!$Z$1379:$Z$1430),0),0)</f>
        <v>0</v>
      </c>
      <c r="AE324" s="26"/>
      <c r="AF324" s="856" t="e">
        <f>IF(ISERROR(VLOOKUP(AG$2,X325:X$1003,1,FALSE)),IF(X324=AG$2,SUMIF(X$4:X324,AG$2,Z$4:Z324)+VLOOKUP(AF$2,$B$1057:$F$1068,5,FALSE)+SUM(AR$4:AR$1003)+SUMIF(COSTI!$X$1379:$X$1430,AG$2,COSTI!$Z$1379:$Z$1430),0),0)</f>
        <v>#N/A</v>
      </c>
      <c r="AG324" s="859"/>
      <c r="AH324" s="27" t="str">
        <f t="shared" ref="AH324:AH387" si="73">IF(ISBLANK(X324),"",IF(ISERROR(VLOOKUP(X324,B$34:B$38,1,FALSE)),1,0))</f>
        <v/>
      </c>
      <c r="AI324" s="152">
        <f ca="1">IF(W325&gt;0,0,IF(AH324=0,(Z324*-1)+BC324+SUM(BB$4:BB323),BC324+SUM(BB$4:BB323)))</f>
        <v>-2.1316282072803006E-13</v>
      </c>
      <c r="AJ324" s="931">
        <f>IF(AND(AL324&gt;=$U$1,AL324&lt;=$U$2),IF(AM324='ESTRATTO CONTO'!$E$2,1+COUNTIF(AJ$4:AJ323,"&gt;0")+U$1015,0),0)</f>
        <v>0</v>
      </c>
      <c r="AK324" s="203">
        <f>IF(AND(OR((AK323+1)&lt;AL$1015,(AK323+1)=AL$1015),MAX(AK$4:AK323)&lt;AL$1015),AK323+1,0)</f>
        <v>0</v>
      </c>
      <c r="AL324" s="309">
        <f>VLOOKUP($AK324,ENTI!$AF$4:AG$1003,2,FALSE)</f>
        <v>0</v>
      </c>
      <c r="AM324" s="224">
        <f>VLOOKUP($AK324,ENTI!$AF$4:AH$1003,3,FALSE)</f>
        <v>0</v>
      </c>
      <c r="AN324" s="224">
        <f>VLOOKUP($AK324,ENTI!$AF$4:AI$1003,4,FALSE)</f>
        <v>0</v>
      </c>
      <c r="AO324" s="781">
        <f>VLOOKUP($AK324,ENTI!$AF$4:AJ$1003,5,FALSE)</f>
        <v>0</v>
      </c>
      <c r="AP324" s="315">
        <f>VLOOKUP($AK324,ENTI!$AF$4:AK$1003,6,FALSE)</f>
        <v>0</v>
      </c>
      <c r="AQ324" s="208">
        <f t="shared" si="69"/>
        <v>0</v>
      </c>
      <c r="AR324" s="152" t="e">
        <f t="shared" si="70"/>
        <v>#N/A</v>
      </c>
      <c r="AS324" s="1"/>
      <c r="AT324" s="88" t="str">
        <f t="shared" ref="AT324:AT387" si="74">IF(AL324&gt;0,IF(AND(AL324&gt;=W$1012,AL324&lt;=W$1013),CONCATENATE(MONTH(AL324)&amp;AM324),0),"")</f>
        <v/>
      </c>
      <c r="AU324" s="1"/>
      <c r="AV324" s="175">
        <f>IF(AW324&gt;0,COUNTIF(AV$4:AV323,"&gt;0")+1,0)</f>
        <v>0</v>
      </c>
      <c r="AW324" s="164">
        <f t="shared" ref="AW324:AW387" si="75">IF(ISERROR(VLOOKUP($X324,$B$34:$B$38,1,FALSE)),0,W324)</f>
        <v>0</v>
      </c>
      <c r="AX324" s="310">
        <f>IF($AW324=0,0,VLOOKUP(VLOOKUP($X324,$B$34:$T$38,19,FALSE),ENTI!$A$9:$B$13,2,FALSE))</f>
        <v>0</v>
      </c>
      <c r="AY324" s="310">
        <f t="shared" si="66"/>
        <v>0</v>
      </c>
      <c r="AZ324" s="316">
        <f t="shared" si="67"/>
        <v>0</v>
      </c>
      <c r="BA324" s="1"/>
      <c r="BB324" s="152">
        <f t="shared" si="68"/>
        <v>0</v>
      </c>
      <c r="BC324" s="152">
        <f ca="1">SUM(Z$4:Z324)+SUM(BB$4:BB324)+COSTI!S$6-COSTI!L$1076</f>
        <v>-31.760000000000218</v>
      </c>
      <c r="BD324" s="1"/>
    </row>
    <row r="325" spans="1:56" ht="16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435">
        <f>IF(AND(W325&gt;=$U$1,W325&lt;=$U$2),IF(X325='ESTRATTO CONTO'!$E$2,1+COUNTIF(U$4:U324,"&gt;0"),0),0)</f>
        <v>0</v>
      </c>
      <c r="V325" s="417">
        <f t="shared" si="65"/>
        <v>322</v>
      </c>
      <c r="W325" s="509"/>
      <c r="X325" s="321"/>
      <c r="Y325" s="321"/>
      <c r="Z325" s="508"/>
      <c r="AA325" s="356"/>
      <c r="AB325" s="306" t="str">
        <f t="shared" si="72"/>
        <v/>
      </c>
      <c r="AC325" s="637">
        <f t="shared" ca="1" si="71"/>
        <v>-2.1316282072803006E-13</v>
      </c>
      <c r="AD325" s="935">
        <f>IF(ISERROR(VLOOKUP(AD$2,X326:X$1003,1,FALSE)),IF(X325=AD$2,SUMIF(X$4:X325,AD$2,Z$4:Z325)+$E$9+SUM(AQ$4:AQ$1003)+SUMIF(COSTI!$X$1379:$X$1430,AD$2,COSTI!$Z$1379:$Z$1430),0),0)</f>
        <v>0</v>
      </c>
      <c r="AE325" s="26"/>
      <c r="AF325" s="856" t="e">
        <f>IF(ISERROR(VLOOKUP(AG$2,X326:X$1003,1,FALSE)),IF(X325=AG$2,SUMIF(X$4:X325,AG$2,Z$4:Z325)+VLOOKUP(AF$2,$B$1057:$F$1068,5,FALSE)+SUM(AR$4:AR$1003)+SUMIF(COSTI!$X$1379:$X$1430,AG$2,COSTI!$Z$1379:$Z$1430),0),0)</f>
        <v>#N/A</v>
      </c>
      <c r="AG325" s="859"/>
      <c r="AH325" s="27" t="str">
        <f t="shared" si="73"/>
        <v/>
      </c>
      <c r="AI325" s="152">
        <f ca="1">IF(W326&gt;0,0,IF(AH325=0,(Z325*-1)+BC325+SUM(BB$4:BB324),BC325+SUM(BB$4:BB324)))</f>
        <v>-2.1316282072803006E-13</v>
      </c>
      <c r="AJ325" s="931">
        <f>IF(AND(AL325&gt;=$U$1,AL325&lt;=$U$2),IF(AM325='ESTRATTO CONTO'!$E$2,1+COUNTIF(AJ$4:AJ324,"&gt;0")+U$1015,0),0)</f>
        <v>0</v>
      </c>
      <c r="AK325" s="203">
        <f>IF(AND(OR((AK324+1)&lt;AL$1015,(AK324+1)=AL$1015),MAX(AK$4:AK324)&lt;AL$1015),AK324+1,0)</f>
        <v>0</v>
      </c>
      <c r="AL325" s="309">
        <f>VLOOKUP($AK325,ENTI!$AF$4:AG$1003,2,FALSE)</f>
        <v>0</v>
      </c>
      <c r="AM325" s="224">
        <f>VLOOKUP($AK325,ENTI!$AF$4:AH$1003,3,FALSE)</f>
        <v>0</v>
      </c>
      <c r="AN325" s="224">
        <f>VLOOKUP($AK325,ENTI!$AF$4:AI$1003,4,FALSE)</f>
        <v>0</v>
      </c>
      <c r="AO325" s="781">
        <f>VLOOKUP($AK325,ENTI!$AF$4:AJ$1003,5,FALSE)</f>
        <v>0</v>
      </c>
      <c r="AP325" s="315">
        <f>VLOOKUP($AK325,ENTI!$AF$4:AK$1003,6,FALSE)</f>
        <v>0</v>
      </c>
      <c r="AQ325" s="208">
        <f t="shared" si="69"/>
        <v>0</v>
      </c>
      <c r="AR325" s="152" t="e">
        <f t="shared" si="70"/>
        <v>#N/A</v>
      </c>
      <c r="AS325" s="1"/>
      <c r="AT325" s="88" t="str">
        <f t="shared" si="74"/>
        <v/>
      </c>
      <c r="AU325" s="1"/>
      <c r="AV325" s="175">
        <f>IF(AW325&gt;0,COUNTIF(AV$4:AV324,"&gt;0")+1,0)</f>
        <v>0</v>
      </c>
      <c r="AW325" s="164">
        <f t="shared" si="75"/>
        <v>0</v>
      </c>
      <c r="AX325" s="310">
        <f>IF($AW325=0,0,VLOOKUP(VLOOKUP($X325,$B$34:$T$38,19,FALSE),ENTI!$A$9:$B$13,2,FALSE))</f>
        <v>0</v>
      </c>
      <c r="AY325" s="310">
        <f t="shared" si="66"/>
        <v>0</v>
      </c>
      <c r="AZ325" s="316">
        <f t="shared" si="67"/>
        <v>0</v>
      </c>
      <c r="BA325" s="1"/>
      <c r="BB325" s="152">
        <f t="shared" si="68"/>
        <v>0</v>
      </c>
      <c r="BC325" s="152">
        <f ca="1">SUM(Z$4:Z325)+SUM(BB$4:BB325)+COSTI!S$6-COSTI!L$1076</f>
        <v>-31.760000000000218</v>
      </c>
      <c r="BD325" s="1"/>
    </row>
    <row r="326" spans="1:56" ht="16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435">
        <f>IF(AND(W326&gt;=$U$1,W326&lt;=$U$2),IF(X326='ESTRATTO CONTO'!$E$2,1+COUNTIF(U$4:U325,"&gt;0"),0),0)</f>
        <v>0</v>
      </c>
      <c r="V326" s="417">
        <f t="shared" ref="V326:V389" si="76">V325+1</f>
        <v>323</v>
      </c>
      <c r="W326" s="509"/>
      <c r="X326" s="321"/>
      <c r="Y326" s="321"/>
      <c r="Z326" s="508"/>
      <c r="AA326" s="356"/>
      <c r="AB326" s="306" t="str">
        <f t="shared" si="72"/>
        <v/>
      </c>
      <c r="AC326" s="637">
        <f t="shared" ca="1" si="71"/>
        <v>-2.1316282072803006E-13</v>
      </c>
      <c r="AD326" s="935">
        <f>IF(ISERROR(VLOOKUP(AD$2,X327:X$1003,1,FALSE)),IF(X326=AD$2,SUMIF(X$4:X326,AD$2,Z$4:Z326)+$E$9+SUM(AQ$4:AQ$1003)+SUMIF(COSTI!$X$1379:$X$1430,AD$2,COSTI!$Z$1379:$Z$1430),0),0)</f>
        <v>0</v>
      </c>
      <c r="AE326" s="26"/>
      <c r="AF326" s="856" t="e">
        <f>IF(ISERROR(VLOOKUP(AG$2,X327:X$1003,1,FALSE)),IF(X326=AG$2,SUMIF(X$4:X326,AG$2,Z$4:Z326)+VLOOKUP(AF$2,$B$1057:$F$1068,5,FALSE)+SUM(AR$4:AR$1003)+SUMIF(COSTI!$X$1379:$X$1430,AG$2,COSTI!$Z$1379:$Z$1430),0),0)</f>
        <v>#N/A</v>
      </c>
      <c r="AG326" s="859"/>
      <c r="AH326" s="27" t="str">
        <f t="shared" si="73"/>
        <v/>
      </c>
      <c r="AI326" s="152">
        <f ca="1">IF(W327&gt;0,0,IF(AH326=0,(Z326*-1)+BC326+SUM(BB$4:BB325),BC326+SUM(BB$4:BB325)))</f>
        <v>-2.1316282072803006E-13</v>
      </c>
      <c r="AJ326" s="931">
        <f>IF(AND(AL326&gt;=$U$1,AL326&lt;=$U$2),IF(AM326='ESTRATTO CONTO'!$E$2,1+COUNTIF(AJ$4:AJ325,"&gt;0")+U$1015,0),0)</f>
        <v>0</v>
      </c>
      <c r="AK326" s="203">
        <f>IF(AND(OR((AK325+1)&lt;AL$1015,(AK325+1)=AL$1015),MAX(AK$4:AK325)&lt;AL$1015),AK325+1,0)</f>
        <v>0</v>
      </c>
      <c r="AL326" s="309">
        <f>VLOOKUP($AK326,ENTI!$AF$4:AG$1003,2,FALSE)</f>
        <v>0</v>
      </c>
      <c r="AM326" s="224">
        <f>VLOOKUP($AK326,ENTI!$AF$4:AH$1003,3,FALSE)</f>
        <v>0</v>
      </c>
      <c r="AN326" s="224">
        <f>VLOOKUP($AK326,ENTI!$AF$4:AI$1003,4,FALSE)</f>
        <v>0</v>
      </c>
      <c r="AO326" s="781">
        <f>VLOOKUP($AK326,ENTI!$AF$4:AJ$1003,5,FALSE)</f>
        <v>0</v>
      </c>
      <c r="AP326" s="315">
        <f>VLOOKUP($AK326,ENTI!$AF$4:AK$1003,6,FALSE)</f>
        <v>0</v>
      </c>
      <c r="AQ326" s="208">
        <f t="shared" si="69"/>
        <v>0</v>
      </c>
      <c r="AR326" s="152" t="e">
        <f t="shared" si="70"/>
        <v>#N/A</v>
      </c>
      <c r="AS326" s="1"/>
      <c r="AT326" s="88" t="str">
        <f t="shared" si="74"/>
        <v/>
      </c>
      <c r="AU326" s="1"/>
      <c r="AV326" s="175">
        <f>IF(AW326&gt;0,COUNTIF(AV$4:AV325,"&gt;0")+1,0)</f>
        <v>0</v>
      </c>
      <c r="AW326" s="164">
        <f t="shared" si="75"/>
        <v>0</v>
      </c>
      <c r="AX326" s="310">
        <f>IF($AW326=0,0,VLOOKUP(VLOOKUP($X326,$B$34:$T$38,19,FALSE),ENTI!$A$9:$B$13,2,FALSE))</f>
        <v>0</v>
      </c>
      <c r="AY326" s="310">
        <f t="shared" ref="AY326:AY389" si="77">IF(AW326=0,0,Y326)</f>
        <v>0</v>
      </c>
      <c r="AZ326" s="316">
        <f t="shared" ref="AZ326:AZ389" si="78">IF(AW326=0,0,Z326)</f>
        <v>0</v>
      </c>
      <c r="BA326" s="1"/>
      <c r="BB326" s="152">
        <f t="shared" ref="BB326:BB389" si="79">IF(ISERROR(VLOOKUP(X326,B$9:D$15,1,FALSE)),Z326*-1,0)</f>
        <v>0</v>
      </c>
      <c r="BC326" s="152">
        <f ca="1">SUM(Z$4:Z326)+SUM(BB$4:BB326)+COSTI!S$6-COSTI!L$1076</f>
        <v>-31.760000000000218</v>
      </c>
      <c r="BD326" s="1"/>
    </row>
    <row r="327" spans="1:56" ht="16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435">
        <f>IF(AND(W327&gt;=$U$1,W327&lt;=$U$2),IF(X327='ESTRATTO CONTO'!$E$2,1+COUNTIF(U$4:U326,"&gt;0"),0),0)</f>
        <v>0</v>
      </c>
      <c r="V327" s="417">
        <f t="shared" si="76"/>
        <v>324</v>
      </c>
      <c r="W327" s="509"/>
      <c r="X327" s="321"/>
      <c r="Y327" s="321"/>
      <c r="Z327" s="508"/>
      <c r="AA327" s="356"/>
      <c r="AB327" s="306" t="str">
        <f t="shared" si="72"/>
        <v/>
      </c>
      <c r="AC327" s="637">
        <f t="shared" ca="1" si="71"/>
        <v>-2.1316282072803006E-13</v>
      </c>
      <c r="AD327" s="935">
        <f>IF(ISERROR(VLOOKUP(AD$2,X328:X$1003,1,FALSE)),IF(X327=AD$2,SUMIF(X$4:X327,AD$2,Z$4:Z327)+$E$9+SUM(AQ$4:AQ$1003)+SUMIF(COSTI!$X$1379:$X$1430,AD$2,COSTI!$Z$1379:$Z$1430),0),0)</f>
        <v>0</v>
      </c>
      <c r="AE327" s="26"/>
      <c r="AF327" s="856" t="e">
        <f>IF(ISERROR(VLOOKUP(AG$2,X328:X$1003,1,FALSE)),IF(X327=AG$2,SUMIF(X$4:X327,AG$2,Z$4:Z327)+VLOOKUP(AF$2,$B$1057:$F$1068,5,FALSE)+SUM(AR$4:AR$1003)+SUMIF(COSTI!$X$1379:$X$1430,AG$2,COSTI!$Z$1379:$Z$1430),0),0)</f>
        <v>#N/A</v>
      </c>
      <c r="AG327" s="859"/>
      <c r="AH327" s="27" t="str">
        <f t="shared" si="73"/>
        <v/>
      </c>
      <c r="AI327" s="152">
        <f ca="1">IF(W328&gt;0,0,IF(AH327=0,(Z327*-1)+BC327+SUM(BB$4:BB326),BC327+SUM(BB$4:BB326)))</f>
        <v>-2.1316282072803006E-13</v>
      </c>
      <c r="AJ327" s="931">
        <f>IF(AND(AL327&gt;=$U$1,AL327&lt;=$U$2),IF(AM327='ESTRATTO CONTO'!$E$2,1+COUNTIF(AJ$4:AJ326,"&gt;0")+U$1015,0),0)</f>
        <v>0</v>
      </c>
      <c r="AK327" s="203">
        <f>IF(AND(OR((AK326+1)&lt;AL$1015,(AK326+1)=AL$1015),MAX(AK$4:AK326)&lt;AL$1015),AK326+1,0)</f>
        <v>0</v>
      </c>
      <c r="AL327" s="309">
        <f>VLOOKUP($AK327,ENTI!$AF$4:AG$1003,2,FALSE)</f>
        <v>0</v>
      </c>
      <c r="AM327" s="224">
        <f>VLOOKUP($AK327,ENTI!$AF$4:AH$1003,3,FALSE)</f>
        <v>0</v>
      </c>
      <c r="AN327" s="224">
        <f>VLOOKUP($AK327,ENTI!$AF$4:AI$1003,4,FALSE)</f>
        <v>0</v>
      </c>
      <c r="AO327" s="781">
        <f>VLOOKUP($AK327,ENTI!$AF$4:AJ$1003,5,FALSE)</f>
        <v>0</v>
      </c>
      <c r="AP327" s="315">
        <f>VLOOKUP($AK327,ENTI!$AF$4:AK$1003,6,FALSE)</f>
        <v>0</v>
      </c>
      <c r="AQ327" s="208">
        <f t="shared" si="69"/>
        <v>0</v>
      </c>
      <c r="AR327" s="152" t="e">
        <f t="shared" si="70"/>
        <v>#N/A</v>
      </c>
      <c r="AS327" s="1"/>
      <c r="AT327" s="88" t="str">
        <f t="shared" si="74"/>
        <v/>
      </c>
      <c r="AU327" s="1"/>
      <c r="AV327" s="175">
        <f>IF(AW327&gt;0,COUNTIF(AV$4:AV326,"&gt;0")+1,0)</f>
        <v>0</v>
      </c>
      <c r="AW327" s="164">
        <f t="shared" si="75"/>
        <v>0</v>
      </c>
      <c r="AX327" s="310">
        <f>IF($AW327=0,0,VLOOKUP(VLOOKUP($X327,$B$34:$T$38,19,FALSE),ENTI!$A$9:$B$13,2,FALSE))</f>
        <v>0</v>
      </c>
      <c r="AY327" s="310">
        <f t="shared" si="77"/>
        <v>0</v>
      </c>
      <c r="AZ327" s="316">
        <f t="shared" si="78"/>
        <v>0</v>
      </c>
      <c r="BA327" s="1"/>
      <c r="BB327" s="152">
        <f t="shared" si="79"/>
        <v>0</v>
      </c>
      <c r="BC327" s="152">
        <f ca="1">SUM(Z$4:Z327)+SUM(BB$4:BB327)+COSTI!S$6-COSTI!L$1076</f>
        <v>-31.760000000000218</v>
      </c>
      <c r="BD327" s="1"/>
    </row>
    <row r="328" spans="1:56" ht="16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435">
        <f>IF(AND(W328&gt;=$U$1,W328&lt;=$U$2),IF(X328='ESTRATTO CONTO'!$E$2,1+COUNTIF(U$4:U327,"&gt;0"),0),0)</f>
        <v>0</v>
      </c>
      <c r="V328" s="417">
        <f t="shared" si="76"/>
        <v>325</v>
      </c>
      <c r="W328" s="509"/>
      <c r="X328" s="321"/>
      <c r="Y328" s="321"/>
      <c r="Z328" s="508"/>
      <c r="AA328" s="356"/>
      <c r="AB328" s="306" t="str">
        <f t="shared" si="72"/>
        <v/>
      </c>
      <c r="AC328" s="637">
        <f t="shared" ca="1" si="71"/>
        <v>-2.1316282072803006E-13</v>
      </c>
      <c r="AD328" s="935">
        <f>IF(ISERROR(VLOOKUP(AD$2,X329:X$1003,1,FALSE)),IF(X328=AD$2,SUMIF(X$4:X328,AD$2,Z$4:Z328)+$E$9+SUM(AQ$4:AQ$1003)+SUMIF(COSTI!$X$1379:$X$1430,AD$2,COSTI!$Z$1379:$Z$1430),0),0)</f>
        <v>0</v>
      </c>
      <c r="AE328" s="26"/>
      <c r="AF328" s="856" t="e">
        <f>IF(ISERROR(VLOOKUP(AG$2,X329:X$1003,1,FALSE)),IF(X328=AG$2,SUMIF(X$4:X328,AG$2,Z$4:Z328)+VLOOKUP(AF$2,$B$1057:$F$1068,5,FALSE)+SUM(AR$4:AR$1003)+SUMIF(COSTI!$X$1379:$X$1430,AG$2,COSTI!$Z$1379:$Z$1430),0),0)</f>
        <v>#N/A</v>
      </c>
      <c r="AG328" s="859"/>
      <c r="AH328" s="27" t="str">
        <f t="shared" si="73"/>
        <v/>
      </c>
      <c r="AI328" s="152">
        <f ca="1">IF(W329&gt;0,0,IF(AH328=0,(Z328*-1)+BC328+SUM(BB$4:BB327),BC328+SUM(BB$4:BB327)))</f>
        <v>-2.1316282072803006E-13</v>
      </c>
      <c r="AJ328" s="931">
        <f>IF(AND(AL328&gt;=$U$1,AL328&lt;=$U$2),IF(AM328='ESTRATTO CONTO'!$E$2,1+COUNTIF(AJ$4:AJ327,"&gt;0")+U$1015,0),0)</f>
        <v>0</v>
      </c>
      <c r="AK328" s="203">
        <f>IF(AND(OR((AK327+1)&lt;AL$1015,(AK327+1)=AL$1015),MAX(AK$4:AK327)&lt;AL$1015),AK327+1,0)</f>
        <v>0</v>
      </c>
      <c r="AL328" s="309">
        <f>VLOOKUP($AK328,ENTI!$AF$4:AG$1003,2,FALSE)</f>
        <v>0</v>
      </c>
      <c r="AM328" s="224">
        <f>VLOOKUP($AK328,ENTI!$AF$4:AH$1003,3,FALSE)</f>
        <v>0</v>
      </c>
      <c r="AN328" s="224">
        <f>VLOOKUP($AK328,ENTI!$AF$4:AI$1003,4,FALSE)</f>
        <v>0</v>
      </c>
      <c r="AO328" s="781">
        <f>VLOOKUP($AK328,ENTI!$AF$4:AJ$1003,5,FALSE)</f>
        <v>0</v>
      </c>
      <c r="AP328" s="315">
        <f>VLOOKUP($AK328,ENTI!$AF$4:AK$1003,6,FALSE)</f>
        <v>0</v>
      </c>
      <c r="AQ328" s="208">
        <f t="shared" si="69"/>
        <v>0</v>
      </c>
      <c r="AR328" s="152" t="e">
        <f t="shared" si="70"/>
        <v>#N/A</v>
      </c>
      <c r="AS328" s="1"/>
      <c r="AT328" s="88" t="str">
        <f t="shared" si="74"/>
        <v/>
      </c>
      <c r="AU328" s="1"/>
      <c r="AV328" s="175">
        <f>IF(AW328&gt;0,COUNTIF(AV$4:AV327,"&gt;0")+1,0)</f>
        <v>0</v>
      </c>
      <c r="AW328" s="164">
        <f t="shared" si="75"/>
        <v>0</v>
      </c>
      <c r="AX328" s="310">
        <f>IF($AW328=0,0,VLOOKUP(VLOOKUP($X328,$B$34:$T$38,19,FALSE),ENTI!$A$9:$B$13,2,FALSE))</f>
        <v>0</v>
      </c>
      <c r="AY328" s="310">
        <f t="shared" si="77"/>
        <v>0</v>
      </c>
      <c r="AZ328" s="316">
        <f t="shared" si="78"/>
        <v>0</v>
      </c>
      <c r="BA328" s="1"/>
      <c r="BB328" s="152">
        <f t="shared" si="79"/>
        <v>0</v>
      </c>
      <c r="BC328" s="152">
        <f ca="1">SUM(Z$4:Z328)+SUM(BB$4:BB328)+COSTI!S$6-COSTI!L$1076</f>
        <v>-31.760000000000218</v>
      </c>
      <c r="BD328" s="1"/>
    </row>
    <row r="329" spans="1:56" ht="16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435">
        <f>IF(AND(W329&gt;=$U$1,W329&lt;=$U$2),IF(X329='ESTRATTO CONTO'!$E$2,1+COUNTIF(U$4:U328,"&gt;0"),0),0)</f>
        <v>0</v>
      </c>
      <c r="V329" s="417">
        <f t="shared" si="76"/>
        <v>326</v>
      </c>
      <c r="W329" s="509"/>
      <c r="X329" s="321"/>
      <c r="Y329" s="321"/>
      <c r="Z329" s="508"/>
      <c r="AA329" s="356"/>
      <c r="AB329" s="306" t="str">
        <f t="shared" si="72"/>
        <v/>
      </c>
      <c r="AC329" s="637">
        <f t="shared" ca="1" si="71"/>
        <v>-2.1316282072803006E-13</v>
      </c>
      <c r="AD329" s="935">
        <f>IF(ISERROR(VLOOKUP(AD$2,X330:X$1003,1,FALSE)),IF(X329=AD$2,SUMIF(X$4:X329,AD$2,Z$4:Z329)+$E$9+SUM(AQ$4:AQ$1003)+SUMIF(COSTI!$X$1379:$X$1430,AD$2,COSTI!$Z$1379:$Z$1430),0),0)</f>
        <v>0</v>
      </c>
      <c r="AE329" s="26"/>
      <c r="AF329" s="856" t="e">
        <f>IF(ISERROR(VLOOKUP(AG$2,X330:X$1003,1,FALSE)),IF(X329=AG$2,SUMIF(X$4:X329,AG$2,Z$4:Z329)+VLOOKUP(AF$2,$B$1057:$F$1068,5,FALSE)+SUM(AR$4:AR$1003)+SUMIF(COSTI!$X$1379:$X$1430,AG$2,COSTI!$Z$1379:$Z$1430),0),0)</f>
        <v>#N/A</v>
      </c>
      <c r="AG329" s="859"/>
      <c r="AH329" s="27" t="str">
        <f t="shared" si="73"/>
        <v/>
      </c>
      <c r="AI329" s="152">
        <f ca="1">IF(W330&gt;0,0,IF(AH329=0,(Z329*-1)+BC329+SUM(BB$4:BB328),BC329+SUM(BB$4:BB328)))</f>
        <v>-2.1316282072803006E-13</v>
      </c>
      <c r="AJ329" s="931">
        <f>IF(AND(AL329&gt;=$U$1,AL329&lt;=$U$2),IF(AM329='ESTRATTO CONTO'!$E$2,1+COUNTIF(AJ$4:AJ328,"&gt;0")+U$1015,0),0)</f>
        <v>0</v>
      </c>
      <c r="AK329" s="203">
        <f>IF(AND(OR((AK328+1)&lt;AL$1015,(AK328+1)=AL$1015),MAX(AK$4:AK328)&lt;AL$1015),AK328+1,0)</f>
        <v>0</v>
      </c>
      <c r="AL329" s="309">
        <f>VLOOKUP($AK329,ENTI!$AF$4:AG$1003,2,FALSE)</f>
        <v>0</v>
      </c>
      <c r="AM329" s="224">
        <f>VLOOKUP($AK329,ENTI!$AF$4:AH$1003,3,FALSE)</f>
        <v>0</v>
      </c>
      <c r="AN329" s="224">
        <f>VLOOKUP($AK329,ENTI!$AF$4:AI$1003,4,FALSE)</f>
        <v>0</v>
      </c>
      <c r="AO329" s="781">
        <f>VLOOKUP($AK329,ENTI!$AF$4:AJ$1003,5,FALSE)</f>
        <v>0</v>
      </c>
      <c r="AP329" s="315">
        <f>VLOOKUP($AK329,ENTI!$AF$4:AK$1003,6,FALSE)</f>
        <v>0</v>
      </c>
      <c r="AQ329" s="208">
        <f t="shared" si="69"/>
        <v>0</v>
      </c>
      <c r="AR329" s="152" t="e">
        <f t="shared" si="70"/>
        <v>#N/A</v>
      </c>
      <c r="AS329" s="1"/>
      <c r="AT329" s="88" t="str">
        <f t="shared" si="74"/>
        <v/>
      </c>
      <c r="AU329" s="1"/>
      <c r="AV329" s="175">
        <f>IF(AW329&gt;0,COUNTIF(AV$4:AV328,"&gt;0")+1,0)</f>
        <v>0</v>
      </c>
      <c r="AW329" s="164">
        <f t="shared" si="75"/>
        <v>0</v>
      </c>
      <c r="AX329" s="310">
        <f>IF($AW329=0,0,VLOOKUP(VLOOKUP($X329,$B$34:$T$38,19,FALSE),ENTI!$A$9:$B$13,2,FALSE))</f>
        <v>0</v>
      </c>
      <c r="AY329" s="310">
        <f t="shared" si="77"/>
        <v>0</v>
      </c>
      <c r="AZ329" s="316">
        <f t="shared" si="78"/>
        <v>0</v>
      </c>
      <c r="BA329" s="1"/>
      <c r="BB329" s="152">
        <f t="shared" si="79"/>
        <v>0</v>
      </c>
      <c r="BC329" s="152">
        <f ca="1">SUM(Z$4:Z329)+SUM(BB$4:BB329)+COSTI!S$6-COSTI!L$1076</f>
        <v>-31.760000000000218</v>
      </c>
      <c r="BD329" s="1"/>
    </row>
    <row r="330" spans="1:56" ht="16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435">
        <f>IF(AND(W330&gt;=$U$1,W330&lt;=$U$2),IF(X330='ESTRATTO CONTO'!$E$2,1+COUNTIF(U$4:U329,"&gt;0"),0),0)</f>
        <v>0</v>
      </c>
      <c r="V330" s="417">
        <f t="shared" si="76"/>
        <v>327</v>
      </c>
      <c r="W330" s="509"/>
      <c r="X330" s="321"/>
      <c r="Y330" s="321"/>
      <c r="Z330" s="508"/>
      <c r="AA330" s="356"/>
      <c r="AB330" s="306" t="str">
        <f t="shared" si="72"/>
        <v/>
      </c>
      <c r="AC330" s="637">
        <f t="shared" ca="1" si="71"/>
        <v>-2.1316282072803006E-13</v>
      </c>
      <c r="AD330" s="935">
        <f>IF(ISERROR(VLOOKUP(AD$2,X331:X$1003,1,FALSE)),IF(X330=AD$2,SUMIF(X$4:X330,AD$2,Z$4:Z330)+$E$9+SUM(AQ$4:AQ$1003)+SUMIF(COSTI!$X$1379:$X$1430,AD$2,COSTI!$Z$1379:$Z$1430),0),0)</f>
        <v>0</v>
      </c>
      <c r="AE330" s="26"/>
      <c r="AF330" s="856" t="e">
        <f>IF(ISERROR(VLOOKUP(AG$2,X331:X$1003,1,FALSE)),IF(X330=AG$2,SUMIF(X$4:X330,AG$2,Z$4:Z330)+VLOOKUP(AF$2,$B$1057:$F$1068,5,FALSE)+SUM(AR$4:AR$1003)+SUMIF(COSTI!$X$1379:$X$1430,AG$2,COSTI!$Z$1379:$Z$1430),0),0)</f>
        <v>#N/A</v>
      </c>
      <c r="AG330" s="859"/>
      <c r="AH330" s="27" t="str">
        <f t="shared" si="73"/>
        <v/>
      </c>
      <c r="AI330" s="152">
        <f ca="1">IF(W331&gt;0,0,IF(AH330=0,(Z330*-1)+BC330+SUM(BB$4:BB329),BC330+SUM(BB$4:BB329)))</f>
        <v>-2.1316282072803006E-13</v>
      </c>
      <c r="AJ330" s="931">
        <f>IF(AND(AL330&gt;=$U$1,AL330&lt;=$U$2),IF(AM330='ESTRATTO CONTO'!$E$2,1+COUNTIF(AJ$4:AJ329,"&gt;0")+U$1015,0),0)</f>
        <v>0</v>
      </c>
      <c r="AK330" s="203">
        <f>IF(AND(OR((AK329+1)&lt;AL$1015,(AK329+1)=AL$1015),MAX(AK$4:AK329)&lt;AL$1015),AK329+1,0)</f>
        <v>0</v>
      </c>
      <c r="AL330" s="309">
        <f>VLOOKUP($AK330,ENTI!$AF$4:AG$1003,2,FALSE)</f>
        <v>0</v>
      </c>
      <c r="AM330" s="224">
        <f>VLOOKUP($AK330,ENTI!$AF$4:AH$1003,3,FALSE)</f>
        <v>0</v>
      </c>
      <c r="AN330" s="224">
        <f>VLOOKUP($AK330,ENTI!$AF$4:AI$1003,4,FALSE)</f>
        <v>0</v>
      </c>
      <c r="AO330" s="781">
        <f>VLOOKUP($AK330,ENTI!$AF$4:AJ$1003,5,FALSE)</f>
        <v>0</v>
      </c>
      <c r="AP330" s="315">
        <f>VLOOKUP($AK330,ENTI!$AF$4:AK$1003,6,FALSE)</f>
        <v>0</v>
      </c>
      <c r="AQ330" s="208">
        <f t="shared" si="69"/>
        <v>0</v>
      </c>
      <c r="AR330" s="152" t="e">
        <f t="shared" si="70"/>
        <v>#N/A</v>
      </c>
      <c r="AS330" s="1"/>
      <c r="AT330" s="88" t="str">
        <f t="shared" si="74"/>
        <v/>
      </c>
      <c r="AU330" s="1"/>
      <c r="AV330" s="175">
        <f>IF(AW330&gt;0,COUNTIF(AV$4:AV329,"&gt;0")+1,0)</f>
        <v>0</v>
      </c>
      <c r="AW330" s="164">
        <f t="shared" si="75"/>
        <v>0</v>
      </c>
      <c r="AX330" s="310">
        <f>IF($AW330=0,0,VLOOKUP(VLOOKUP($X330,$B$34:$T$38,19,FALSE),ENTI!$A$9:$B$13,2,FALSE))</f>
        <v>0</v>
      </c>
      <c r="AY330" s="310">
        <f t="shared" si="77"/>
        <v>0</v>
      </c>
      <c r="AZ330" s="316">
        <f t="shared" si="78"/>
        <v>0</v>
      </c>
      <c r="BA330" s="1"/>
      <c r="BB330" s="152">
        <f t="shared" si="79"/>
        <v>0</v>
      </c>
      <c r="BC330" s="152">
        <f ca="1">SUM(Z$4:Z330)+SUM(BB$4:BB330)+COSTI!S$6-COSTI!L$1076</f>
        <v>-31.760000000000218</v>
      </c>
      <c r="BD330" s="1"/>
    </row>
    <row r="331" spans="1:56" ht="16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435">
        <f>IF(AND(W331&gt;=$U$1,W331&lt;=$U$2),IF(X331='ESTRATTO CONTO'!$E$2,1+COUNTIF(U$4:U330,"&gt;0"),0),0)</f>
        <v>0</v>
      </c>
      <c r="V331" s="417">
        <f t="shared" si="76"/>
        <v>328</v>
      </c>
      <c r="W331" s="509"/>
      <c r="X331" s="321"/>
      <c r="Y331" s="321"/>
      <c r="Z331" s="508"/>
      <c r="AA331" s="356"/>
      <c r="AB331" s="306" t="str">
        <f t="shared" si="72"/>
        <v/>
      </c>
      <c r="AC331" s="637">
        <f t="shared" ca="1" si="71"/>
        <v>-2.1316282072803006E-13</v>
      </c>
      <c r="AD331" s="935">
        <f>IF(ISERROR(VLOOKUP(AD$2,X332:X$1003,1,FALSE)),IF(X331=AD$2,SUMIF(X$4:X331,AD$2,Z$4:Z331)+$E$9+SUM(AQ$4:AQ$1003)+SUMIF(COSTI!$X$1379:$X$1430,AD$2,COSTI!$Z$1379:$Z$1430),0),0)</f>
        <v>0</v>
      </c>
      <c r="AE331" s="26"/>
      <c r="AF331" s="856" t="e">
        <f>IF(ISERROR(VLOOKUP(AG$2,X332:X$1003,1,FALSE)),IF(X331=AG$2,SUMIF(X$4:X331,AG$2,Z$4:Z331)+VLOOKUP(AF$2,$B$1057:$F$1068,5,FALSE)+SUM(AR$4:AR$1003)+SUMIF(COSTI!$X$1379:$X$1430,AG$2,COSTI!$Z$1379:$Z$1430),0),0)</f>
        <v>#N/A</v>
      </c>
      <c r="AG331" s="859"/>
      <c r="AH331" s="27" t="str">
        <f t="shared" si="73"/>
        <v/>
      </c>
      <c r="AI331" s="152">
        <f ca="1">IF(W332&gt;0,0,IF(AH331=0,(Z331*-1)+BC331+SUM(BB$4:BB330),BC331+SUM(BB$4:BB330)))</f>
        <v>-2.1316282072803006E-13</v>
      </c>
      <c r="AJ331" s="931">
        <f>IF(AND(AL331&gt;=$U$1,AL331&lt;=$U$2),IF(AM331='ESTRATTO CONTO'!$E$2,1+COUNTIF(AJ$4:AJ330,"&gt;0")+U$1015,0),0)</f>
        <v>0</v>
      </c>
      <c r="AK331" s="203">
        <f>IF(AND(OR((AK330+1)&lt;AL$1015,(AK330+1)=AL$1015),MAX(AK$4:AK330)&lt;AL$1015),AK330+1,0)</f>
        <v>0</v>
      </c>
      <c r="AL331" s="309">
        <f>VLOOKUP($AK331,ENTI!$AF$4:AG$1003,2,FALSE)</f>
        <v>0</v>
      </c>
      <c r="AM331" s="224">
        <f>VLOOKUP($AK331,ENTI!$AF$4:AH$1003,3,FALSE)</f>
        <v>0</v>
      </c>
      <c r="AN331" s="224">
        <f>VLOOKUP($AK331,ENTI!$AF$4:AI$1003,4,FALSE)</f>
        <v>0</v>
      </c>
      <c r="AO331" s="781">
        <f>VLOOKUP($AK331,ENTI!$AF$4:AJ$1003,5,FALSE)</f>
        <v>0</v>
      </c>
      <c r="AP331" s="315">
        <f>VLOOKUP($AK331,ENTI!$AF$4:AK$1003,6,FALSE)</f>
        <v>0</v>
      </c>
      <c r="AQ331" s="208">
        <f t="shared" si="69"/>
        <v>0</v>
      </c>
      <c r="AR331" s="152" t="e">
        <f t="shared" si="70"/>
        <v>#N/A</v>
      </c>
      <c r="AS331" s="1"/>
      <c r="AT331" s="88" t="str">
        <f t="shared" si="74"/>
        <v/>
      </c>
      <c r="AU331" s="1"/>
      <c r="AV331" s="175">
        <f>IF(AW331&gt;0,COUNTIF(AV$4:AV330,"&gt;0")+1,0)</f>
        <v>0</v>
      </c>
      <c r="AW331" s="164">
        <f t="shared" si="75"/>
        <v>0</v>
      </c>
      <c r="AX331" s="310">
        <f>IF($AW331=0,0,VLOOKUP(VLOOKUP($X331,$B$34:$T$38,19,FALSE),ENTI!$A$9:$B$13,2,FALSE))</f>
        <v>0</v>
      </c>
      <c r="AY331" s="310">
        <f t="shared" si="77"/>
        <v>0</v>
      </c>
      <c r="AZ331" s="316">
        <f t="shared" si="78"/>
        <v>0</v>
      </c>
      <c r="BA331" s="1"/>
      <c r="BB331" s="152">
        <f t="shared" si="79"/>
        <v>0</v>
      </c>
      <c r="BC331" s="152">
        <f ca="1">SUM(Z$4:Z331)+SUM(BB$4:BB331)+COSTI!S$6-COSTI!L$1076</f>
        <v>-31.760000000000218</v>
      </c>
      <c r="BD331" s="1"/>
    </row>
    <row r="332" spans="1:56" ht="16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435">
        <f>IF(AND(W332&gt;=$U$1,W332&lt;=$U$2),IF(X332='ESTRATTO CONTO'!$E$2,1+COUNTIF(U$4:U331,"&gt;0"),0),0)</f>
        <v>0</v>
      </c>
      <c r="V332" s="417">
        <f t="shared" si="76"/>
        <v>329</v>
      </c>
      <c r="W332" s="509"/>
      <c r="X332" s="321"/>
      <c r="Y332" s="321"/>
      <c r="Z332" s="508"/>
      <c r="AA332" s="356"/>
      <c r="AB332" s="306" t="str">
        <f t="shared" si="72"/>
        <v/>
      </c>
      <c r="AC332" s="637">
        <f t="shared" ca="1" si="71"/>
        <v>-2.1316282072803006E-13</v>
      </c>
      <c r="AD332" s="935">
        <f>IF(ISERROR(VLOOKUP(AD$2,X333:X$1003,1,FALSE)),IF(X332=AD$2,SUMIF(X$4:X332,AD$2,Z$4:Z332)+$E$9+SUM(AQ$4:AQ$1003)+SUMIF(COSTI!$X$1379:$X$1430,AD$2,COSTI!$Z$1379:$Z$1430),0),0)</f>
        <v>0</v>
      </c>
      <c r="AE332" s="26"/>
      <c r="AF332" s="856" t="e">
        <f>IF(ISERROR(VLOOKUP(AG$2,X333:X$1003,1,FALSE)),IF(X332=AG$2,SUMIF(X$4:X332,AG$2,Z$4:Z332)+VLOOKUP(AF$2,$B$1057:$F$1068,5,FALSE)+SUM(AR$4:AR$1003)+SUMIF(COSTI!$X$1379:$X$1430,AG$2,COSTI!$Z$1379:$Z$1430),0),0)</f>
        <v>#N/A</v>
      </c>
      <c r="AG332" s="859"/>
      <c r="AH332" s="27" t="str">
        <f t="shared" si="73"/>
        <v/>
      </c>
      <c r="AI332" s="152">
        <f ca="1">IF(W333&gt;0,0,IF(AH332=0,(Z332*-1)+BC332+SUM(BB$4:BB331),BC332+SUM(BB$4:BB331)))</f>
        <v>-2.1316282072803006E-13</v>
      </c>
      <c r="AJ332" s="931">
        <f>IF(AND(AL332&gt;=$U$1,AL332&lt;=$U$2),IF(AM332='ESTRATTO CONTO'!$E$2,1+COUNTIF(AJ$4:AJ331,"&gt;0")+U$1015,0),0)</f>
        <v>0</v>
      </c>
      <c r="AK332" s="203">
        <f>IF(AND(OR((AK331+1)&lt;AL$1015,(AK331+1)=AL$1015),MAX(AK$4:AK331)&lt;AL$1015),AK331+1,0)</f>
        <v>0</v>
      </c>
      <c r="AL332" s="309">
        <f>VLOOKUP($AK332,ENTI!$AF$4:AG$1003,2,FALSE)</f>
        <v>0</v>
      </c>
      <c r="AM332" s="224">
        <f>VLOOKUP($AK332,ENTI!$AF$4:AH$1003,3,FALSE)</f>
        <v>0</v>
      </c>
      <c r="AN332" s="224">
        <f>VLOOKUP($AK332,ENTI!$AF$4:AI$1003,4,FALSE)</f>
        <v>0</v>
      </c>
      <c r="AO332" s="781">
        <f>VLOOKUP($AK332,ENTI!$AF$4:AJ$1003,5,FALSE)</f>
        <v>0</v>
      </c>
      <c r="AP332" s="315">
        <f>VLOOKUP($AK332,ENTI!$AF$4:AK$1003,6,FALSE)</f>
        <v>0</v>
      </c>
      <c r="AQ332" s="208">
        <f t="shared" si="69"/>
        <v>0</v>
      </c>
      <c r="AR332" s="152" t="e">
        <f t="shared" si="70"/>
        <v>#N/A</v>
      </c>
      <c r="AS332" s="1"/>
      <c r="AT332" s="88" t="str">
        <f t="shared" si="74"/>
        <v/>
      </c>
      <c r="AU332" s="1"/>
      <c r="AV332" s="175">
        <f>IF(AW332&gt;0,COUNTIF(AV$4:AV331,"&gt;0")+1,0)</f>
        <v>0</v>
      </c>
      <c r="AW332" s="164">
        <f t="shared" si="75"/>
        <v>0</v>
      </c>
      <c r="AX332" s="310">
        <f>IF($AW332=0,0,VLOOKUP(VLOOKUP($X332,$B$34:$T$38,19,FALSE),ENTI!$A$9:$B$13,2,FALSE))</f>
        <v>0</v>
      </c>
      <c r="AY332" s="310">
        <f t="shared" si="77"/>
        <v>0</v>
      </c>
      <c r="AZ332" s="316">
        <f t="shared" si="78"/>
        <v>0</v>
      </c>
      <c r="BA332" s="1"/>
      <c r="BB332" s="152">
        <f t="shared" si="79"/>
        <v>0</v>
      </c>
      <c r="BC332" s="152">
        <f ca="1">SUM(Z$4:Z332)+SUM(BB$4:BB332)+COSTI!S$6-COSTI!L$1076</f>
        <v>-31.760000000000218</v>
      </c>
      <c r="BD332" s="1"/>
    </row>
    <row r="333" spans="1:56" ht="16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435">
        <f>IF(AND(W333&gt;=$U$1,W333&lt;=$U$2),IF(X333='ESTRATTO CONTO'!$E$2,1+COUNTIF(U$4:U332,"&gt;0"),0),0)</f>
        <v>0</v>
      </c>
      <c r="V333" s="417">
        <f t="shared" si="76"/>
        <v>330</v>
      </c>
      <c r="W333" s="509"/>
      <c r="X333" s="321"/>
      <c r="Y333" s="321"/>
      <c r="Z333" s="508"/>
      <c r="AA333" s="356"/>
      <c r="AB333" s="306" t="str">
        <f t="shared" si="72"/>
        <v/>
      </c>
      <c r="AC333" s="637">
        <f t="shared" ca="1" si="71"/>
        <v>-2.1316282072803006E-13</v>
      </c>
      <c r="AD333" s="935">
        <f>IF(ISERROR(VLOOKUP(AD$2,X334:X$1003,1,FALSE)),IF(X333=AD$2,SUMIF(X$4:X333,AD$2,Z$4:Z333)+$E$9+SUM(AQ$4:AQ$1003)+SUMIF(COSTI!$X$1379:$X$1430,AD$2,COSTI!$Z$1379:$Z$1430),0),0)</f>
        <v>0</v>
      </c>
      <c r="AE333" s="26"/>
      <c r="AF333" s="856" t="e">
        <f>IF(ISERROR(VLOOKUP(AG$2,X334:X$1003,1,FALSE)),IF(X333=AG$2,SUMIF(X$4:X333,AG$2,Z$4:Z333)+VLOOKUP(AF$2,$B$1057:$F$1068,5,FALSE)+SUM(AR$4:AR$1003)+SUMIF(COSTI!$X$1379:$X$1430,AG$2,COSTI!$Z$1379:$Z$1430),0),0)</f>
        <v>#N/A</v>
      </c>
      <c r="AG333" s="859"/>
      <c r="AH333" s="27" t="str">
        <f t="shared" si="73"/>
        <v/>
      </c>
      <c r="AI333" s="152">
        <f ca="1">IF(W334&gt;0,0,IF(AH333=0,(Z333*-1)+BC333+SUM(BB$4:BB332),BC333+SUM(BB$4:BB332)))</f>
        <v>-2.1316282072803006E-13</v>
      </c>
      <c r="AJ333" s="931">
        <f>IF(AND(AL333&gt;=$U$1,AL333&lt;=$U$2),IF(AM333='ESTRATTO CONTO'!$E$2,1+COUNTIF(AJ$4:AJ332,"&gt;0")+U$1015,0),0)</f>
        <v>0</v>
      </c>
      <c r="AK333" s="203">
        <f>IF(AND(OR((AK332+1)&lt;AL$1015,(AK332+1)=AL$1015),MAX(AK$4:AK332)&lt;AL$1015),AK332+1,0)</f>
        <v>0</v>
      </c>
      <c r="AL333" s="309">
        <f>VLOOKUP($AK333,ENTI!$AF$4:AG$1003,2,FALSE)</f>
        <v>0</v>
      </c>
      <c r="AM333" s="224">
        <f>VLOOKUP($AK333,ENTI!$AF$4:AH$1003,3,FALSE)</f>
        <v>0</v>
      </c>
      <c r="AN333" s="224">
        <f>VLOOKUP($AK333,ENTI!$AF$4:AI$1003,4,FALSE)</f>
        <v>0</v>
      </c>
      <c r="AO333" s="781">
        <f>VLOOKUP($AK333,ENTI!$AF$4:AJ$1003,5,FALSE)</f>
        <v>0</v>
      </c>
      <c r="AP333" s="315">
        <f>VLOOKUP($AK333,ENTI!$AF$4:AK$1003,6,FALSE)</f>
        <v>0</v>
      </c>
      <c r="AQ333" s="208">
        <f t="shared" si="69"/>
        <v>0</v>
      </c>
      <c r="AR333" s="152" t="e">
        <f t="shared" si="70"/>
        <v>#N/A</v>
      </c>
      <c r="AS333" s="1"/>
      <c r="AT333" s="88" t="str">
        <f t="shared" si="74"/>
        <v/>
      </c>
      <c r="AU333" s="1"/>
      <c r="AV333" s="175">
        <f>IF(AW333&gt;0,COUNTIF(AV$4:AV332,"&gt;0")+1,0)</f>
        <v>0</v>
      </c>
      <c r="AW333" s="164">
        <f t="shared" si="75"/>
        <v>0</v>
      </c>
      <c r="AX333" s="310">
        <f>IF($AW333=0,0,VLOOKUP(VLOOKUP($X333,$B$34:$T$38,19,FALSE),ENTI!$A$9:$B$13,2,FALSE))</f>
        <v>0</v>
      </c>
      <c r="AY333" s="310">
        <f t="shared" si="77"/>
        <v>0</v>
      </c>
      <c r="AZ333" s="316">
        <f t="shared" si="78"/>
        <v>0</v>
      </c>
      <c r="BA333" s="1"/>
      <c r="BB333" s="152">
        <f t="shared" si="79"/>
        <v>0</v>
      </c>
      <c r="BC333" s="152">
        <f ca="1">SUM(Z$4:Z333)+SUM(BB$4:BB333)+COSTI!S$6-COSTI!L$1076</f>
        <v>-31.760000000000218</v>
      </c>
      <c r="BD333" s="1"/>
    </row>
    <row r="334" spans="1:56" ht="16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435">
        <f>IF(AND(W334&gt;=$U$1,W334&lt;=$U$2),IF(X334='ESTRATTO CONTO'!$E$2,1+COUNTIF(U$4:U333,"&gt;0"),0),0)</f>
        <v>0</v>
      </c>
      <c r="V334" s="417">
        <f t="shared" si="76"/>
        <v>331</v>
      </c>
      <c r="W334" s="509"/>
      <c r="X334" s="321"/>
      <c r="Y334" s="321"/>
      <c r="Z334" s="508"/>
      <c r="AA334" s="356"/>
      <c r="AB334" s="306" t="str">
        <f t="shared" si="72"/>
        <v/>
      </c>
      <c r="AC334" s="637">
        <f t="shared" ca="1" si="71"/>
        <v>-2.1316282072803006E-13</v>
      </c>
      <c r="AD334" s="935">
        <f>IF(ISERROR(VLOOKUP(AD$2,X335:X$1003,1,FALSE)),IF(X334=AD$2,SUMIF(X$4:X334,AD$2,Z$4:Z334)+$E$9+SUM(AQ$4:AQ$1003)+SUMIF(COSTI!$X$1379:$X$1430,AD$2,COSTI!$Z$1379:$Z$1430),0),0)</f>
        <v>0</v>
      </c>
      <c r="AE334" s="26"/>
      <c r="AF334" s="856" t="e">
        <f>IF(ISERROR(VLOOKUP(AG$2,X335:X$1003,1,FALSE)),IF(X334=AG$2,SUMIF(X$4:X334,AG$2,Z$4:Z334)+VLOOKUP(AF$2,$B$1057:$F$1068,5,FALSE)+SUM(AR$4:AR$1003)+SUMIF(COSTI!$X$1379:$X$1430,AG$2,COSTI!$Z$1379:$Z$1430),0),0)</f>
        <v>#N/A</v>
      </c>
      <c r="AG334" s="859"/>
      <c r="AH334" s="27" t="str">
        <f t="shared" si="73"/>
        <v/>
      </c>
      <c r="AI334" s="152">
        <f ca="1">IF(W335&gt;0,0,IF(AH334=0,(Z334*-1)+BC334+SUM(BB$4:BB333),BC334+SUM(BB$4:BB333)))</f>
        <v>-2.1316282072803006E-13</v>
      </c>
      <c r="AJ334" s="931">
        <f>IF(AND(AL334&gt;=$U$1,AL334&lt;=$U$2),IF(AM334='ESTRATTO CONTO'!$E$2,1+COUNTIF(AJ$4:AJ333,"&gt;0")+U$1015,0),0)</f>
        <v>0</v>
      </c>
      <c r="AK334" s="203">
        <f>IF(AND(OR((AK333+1)&lt;AL$1015,(AK333+1)=AL$1015),MAX(AK$4:AK333)&lt;AL$1015),AK333+1,0)</f>
        <v>0</v>
      </c>
      <c r="AL334" s="309">
        <f>VLOOKUP($AK334,ENTI!$AF$4:AG$1003,2,FALSE)</f>
        <v>0</v>
      </c>
      <c r="AM334" s="224">
        <f>VLOOKUP($AK334,ENTI!$AF$4:AH$1003,3,FALSE)</f>
        <v>0</v>
      </c>
      <c r="AN334" s="224">
        <f>VLOOKUP($AK334,ENTI!$AF$4:AI$1003,4,FALSE)</f>
        <v>0</v>
      </c>
      <c r="AO334" s="781">
        <f>VLOOKUP($AK334,ENTI!$AF$4:AJ$1003,5,FALSE)</f>
        <v>0</v>
      </c>
      <c r="AP334" s="315">
        <f>VLOOKUP($AK334,ENTI!$AF$4:AK$1003,6,FALSE)</f>
        <v>0</v>
      </c>
      <c r="AQ334" s="208">
        <f t="shared" si="69"/>
        <v>0</v>
      </c>
      <c r="AR334" s="152" t="e">
        <f t="shared" si="70"/>
        <v>#N/A</v>
      </c>
      <c r="AS334" s="1"/>
      <c r="AT334" s="88" t="str">
        <f t="shared" si="74"/>
        <v/>
      </c>
      <c r="AU334" s="1"/>
      <c r="AV334" s="175">
        <f>IF(AW334&gt;0,COUNTIF(AV$4:AV333,"&gt;0")+1,0)</f>
        <v>0</v>
      </c>
      <c r="AW334" s="164">
        <f t="shared" si="75"/>
        <v>0</v>
      </c>
      <c r="AX334" s="310">
        <f>IF($AW334=0,0,VLOOKUP(VLOOKUP($X334,$B$34:$T$38,19,FALSE),ENTI!$A$9:$B$13,2,FALSE))</f>
        <v>0</v>
      </c>
      <c r="AY334" s="310">
        <f t="shared" si="77"/>
        <v>0</v>
      </c>
      <c r="AZ334" s="316">
        <f t="shared" si="78"/>
        <v>0</v>
      </c>
      <c r="BA334" s="1"/>
      <c r="BB334" s="152">
        <f t="shared" si="79"/>
        <v>0</v>
      </c>
      <c r="BC334" s="152">
        <f ca="1">SUM(Z$4:Z334)+SUM(BB$4:BB334)+COSTI!S$6-COSTI!L$1076</f>
        <v>-31.760000000000218</v>
      </c>
      <c r="BD334" s="1"/>
    </row>
    <row r="335" spans="1:56" ht="16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435">
        <f>IF(AND(W335&gt;=$U$1,W335&lt;=$U$2),IF(X335='ESTRATTO CONTO'!$E$2,1+COUNTIF(U$4:U334,"&gt;0"),0),0)</f>
        <v>0</v>
      </c>
      <c r="V335" s="417">
        <f t="shared" si="76"/>
        <v>332</v>
      </c>
      <c r="W335" s="509"/>
      <c r="X335" s="321"/>
      <c r="Y335" s="321"/>
      <c r="Z335" s="508"/>
      <c r="AA335" s="356"/>
      <c r="AB335" s="306" t="str">
        <f t="shared" si="72"/>
        <v/>
      </c>
      <c r="AC335" s="637">
        <f t="shared" ca="1" si="71"/>
        <v>-2.1316282072803006E-13</v>
      </c>
      <c r="AD335" s="935">
        <f>IF(ISERROR(VLOOKUP(AD$2,X336:X$1003,1,FALSE)),IF(X335=AD$2,SUMIF(X$4:X335,AD$2,Z$4:Z335)+$E$9+SUM(AQ$4:AQ$1003)+SUMIF(COSTI!$X$1379:$X$1430,AD$2,COSTI!$Z$1379:$Z$1430),0),0)</f>
        <v>0</v>
      </c>
      <c r="AE335" s="26"/>
      <c r="AF335" s="856" t="e">
        <f>IF(ISERROR(VLOOKUP(AG$2,X336:X$1003,1,FALSE)),IF(X335=AG$2,SUMIF(X$4:X335,AG$2,Z$4:Z335)+VLOOKUP(AF$2,$B$1057:$F$1068,5,FALSE)+SUM(AR$4:AR$1003)+SUMIF(COSTI!$X$1379:$X$1430,AG$2,COSTI!$Z$1379:$Z$1430),0),0)</f>
        <v>#N/A</v>
      </c>
      <c r="AG335" s="859"/>
      <c r="AH335" s="27" t="str">
        <f t="shared" si="73"/>
        <v/>
      </c>
      <c r="AI335" s="152">
        <f ca="1">IF(W336&gt;0,0,IF(AH335=0,(Z335*-1)+BC335+SUM(BB$4:BB334),BC335+SUM(BB$4:BB334)))</f>
        <v>-2.1316282072803006E-13</v>
      </c>
      <c r="AJ335" s="931">
        <f>IF(AND(AL335&gt;=$U$1,AL335&lt;=$U$2),IF(AM335='ESTRATTO CONTO'!$E$2,1+COUNTIF(AJ$4:AJ334,"&gt;0")+U$1015,0),0)</f>
        <v>0</v>
      </c>
      <c r="AK335" s="203">
        <f>IF(AND(OR((AK334+1)&lt;AL$1015,(AK334+1)=AL$1015),MAX(AK$4:AK334)&lt;AL$1015),AK334+1,0)</f>
        <v>0</v>
      </c>
      <c r="AL335" s="309">
        <f>VLOOKUP($AK335,ENTI!$AF$4:AG$1003,2,FALSE)</f>
        <v>0</v>
      </c>
      <c r="AM335" s="224">
        <f>VLOOKUP($AK335,ENTI!$AF$4:AH$1003,3,FALSE)</f>
        <v>0</v>
      </c>
      <c r="AN335" s="224">
        <f>VLOOKUP($AK335,ENTI!$AF$4:AI$1003,4,FALSE)</f>
        <v>0</v>
      </c>
      <c r="AO335" s="781">
        <f>VLOOKUP($AK335,ENTI!$AF$4:AJ$1003,5,FALSE)</f>
        <v>0</v>
      </c>
      <c r="AP335" s="315">
        <f>VLOOKUP($AK335,ENTI!$AF$4:AK$1003,6,FALSE)</f>
        <v>0</v>
      </c>
      <c r="AQ335" s="208">
        <f t="shared" ref="AQ335:AQ398" si="80">IF(AM335=AQ$2,AO335,0)</f>
        <v>0</v>
      </c>
      <c r="AR335" s="152" t="e">
        <f t="shared" ref="AR335:AR398" si="81">IF(AM335=AR$1,AO335,0)</f>
        <v>#N/A</v>
      </c>
      <c r="AS335" s="1"/>
      <c r="AT335" s="88" t="str">
        <f t="shared" si="74"/>
        <v/>
      </c>
      <c r="AU335" s="1"/>
      <c r="AV335" s="175">
        <f>IF(AW335&gt;0,COUNTIF(AV$4:AV334,"&gt;0")+1,0)</f>
        <v>0</v>
      </c>
      <c r="AW335" s="164">
        <f t="shared" si="75"/>
        <v>0</v>
      </c>
      <c r="AX335" s="310">
        <f>IF($AW335=0,0,VLOOKUP(VLOOKUP($X335,$B$34:$T$38,19,FALSE),ENTI!$A$9:$B$13,2,FALSE))</f>
        <v>0</v>
      </c>
      <c r="AY335" s="310">
        <f t="shared" si="77"/>
        <v>0</v>
      </c>
      <c r="AZ335" s="316">
        <f t="shared" si="78"/>
        <v>0</v>
      </c>
      <c r="BA335" s="1"/>
      <c r="BB335" s="152">
        <f t="shared" si="79"/>
        <v>0</v>
      </c>
      <c r="BC335" s="152">
        <f ca="1">SUM(Z$4:Z335)+SUM(BB$4:BB335)+COSTI!S$6-COSTI!L$1076</f>
        <v>-31.760000000000218</v>
      </c>
      <c r="BD335" s="1"/>
    </row>
    <row r="336" spans="1:56" ht="16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435">
        <f>IF(AND(W336&gt;=$U$1,W336&lt;=$U$2),IF(X336='ESTRATTO CONTO'!$E$2,1+COUNTIF(U$4:U335,"&gt;0"),0),0)</f>
        <v>0</v>
      </c>
      <c r="V336" s="417">
        <f t="shared" si="76"/>
        <v>333</v>
      </c>
      <c r="W336" s="509"/>
      <c r="X336" s="321"/>
      <c r="Y336" s="321"/>
      <c r="Z336" s="508"/>
      <c r="AA336" s="356"/>
      <c r="AB336" s="306" t="str">
        <f t="shared" si="72"/>
        <v/>
      </c>
      <c r="AC336" s="637">
        <f t="shared" ca="1" si="71"/>
        <v>-2.1316282072803006E-13</v>
      </c>
      <c r="AD336" s="935">
        <f>IF(ISERROR(VLOOKUP(AD$2,X337:X$1003,1,FALSE)),IF(X336=AD$2,SUMIF(X$4:X336,AD$2,Z$4:Z336)+$E$9+SUM(AQ$4:AQ$1003)+SUMIF(COSTI!$X$1379:$X$1430,AD$2,COSTI!$Z$1379:$Z$1430),0),0)</f>
        <v>0</v>
      </c>
      <c r="AE336" s="26"/>
      <c r="AF336" s="856" t="e">
        <f>IF(ISERROR(VLOOKUP(AG$2,X337:X$1003,1,FALSE)),IF(X336=AG$2,SUMIF(X$4:X336,AG$2,Z$4:Z336)+VLOOKUP(AF$2,$B$1057:$F$1068,5,FALSE)+SUM(AR$4:AR$1003)+SUMIF(COSTI!$X$1379:$X$1430,AG$2,COSTI!$Z$1379:$Z$1430),0),0)</f>
        <v>#N/A</v>
      </c>
      <c r="AG336" s="859"/>
      <c r="AH336" s="27" t="str">
        <f t="shared" si="73"/>
        <v/>
      </c>
      <c r="AI336" s="152">
        <f ca="1">IF(W337&gt;0,0,IF(AH336=0,(Z336*-1)+BC336+SUM(BB$4:BB335),BC336+SUM(BB$4:BB335)))</f>
        <v>-2.1316282072803006E-13</v>
      </c>
      <c r="AJ336" s="931">
        <f>IF(AND(AL336&gt;=$U$1,AL336&lt;=$U$2),IF(AM336='ESTRATTO CONTO'!$E$2,1+COUNTIF(AJ$4:AJ335,"&gt;0")+U$1015,0),0)</f>
        <v>0</v>
      </c>
      <c r="AK336" s="203">
        <f>IF(AND(OR((AK335+1)&lt;AL$1015,(AK335+1)=AL$1015),MAX(AK$4:AK335)&lt;AL$1015),AK335+1,0)</f>
        <v>0</v>
      </c>
      <c r="AL336" s="309">
        <f>VLOOKUP($AK336,ENTI!$AF$4:AG$1003,2,FALSE)</f>
        <v>0</v>
      </c>
      <c r="AM336" s="224">
        <f>VLOOKUP($AK336,ENTI!$AF$4:AH$1003,3,FALSE)</f>
        <v>0</v>
      </c>
      <c r="AN336" s="224">
        <f>VLOOKUP($AK336,ENTI!$AF$4:AI$1003,4,FALSE)</f>
        <v>0</v>
      </c>
      <c r="AO336" s="781">
        <f>VLOOKUP($AK336,ENTI!$AF$4:AJ$1003,5,FALSE)</f>
        <v>0</v>
      </c>
      <c r="AP336" s="315">
        <f>VLOOKUP($AK336,ENTI!$AF$4:AK$1003,6,FALSE)</f>
        <v>0</v>
      </c>
      <c r="AQ336" s="208">
        <f t="shared" si="80"/>
        <v>0</v>
      </c>
      <c r="AR336" s="152" t="e">
        <f t="shared" si="81"/>
        <v>#N/A</v>
      </c>
      <c r="AS336" s="1"/>
      <c r="AT336" s="88" t="str">
        <f t="shared" si="74"/>
        <v/>
      </c>
      <c r="AU336" s="1"/>
      <c r="AV336" s="175">
        <f>IF(AW336&gt;0,COUNTIF(AV$4:AV335,"&gt;0")+1,0)</f>
        <v>0</v>
      </c>
      <c r="AW336" s="164">
        <f t="shared" si="75"/>
        <v>0</v>
      </c>
      <c r="AX336" s="310">
        <f>IF($AW336=0,0,VLOOKUP(VLOOKUP($X336,$B$34:$T$38,19,FALSE),ENTI!$A$9:$B$13,2,FALSE))</f>
        <v>0</v>
      </c>
      <c r="AY336" s="310">
        <f t="shared" si="77"/>
        <v>0</v>
      </c>
      <c r="AZ336" s="316">
        <f t="shared" si="78"/>
        <v>0</v>
      </c>
      <c r="BA336" s="1"/>
      <c r="BB336" s="152">
        <f t="shared" si="79"/>
        <v>0</v>
      </c>
      <c r="BC336" s="152">
        <f ca="1">SUM(Z$4:Z336)+SUM(BB$4:BB336)+COSTI!S$6-COSTI!L$1076</f>
        <v>-31.760000000000218</v>
      </c>
      <c r="BD336" s="1"/>
    </row>
    <row r="337" spans="1:56" ht="16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435">
        <f>IF(AND(W337&gt;=$U$1,W337&lt;=$U$2),IF(X337='ESTRATTO CONTO'!$E$2,1+COUNTIF(U$4:U336,"&gt;0"),0),0)</f>
        <v>0</v>
      </c>
      <c r="V337" s="417">
        <f t="shared" si="76"/>
        <v>334</v>
      </c>
      <c r="W337" s="509"/>
      <c r="X337" s="321"/>
      <c r="Y337" s="321"/>
      <c r="Z337" s="508"/>
      <c r="AA337" s="356"/>
      <c r="AB337" s="306" t="str">
        <f t="shared" si="72"/>
        <v/>
      </c>
      <c r="AC337" s="637">
        <f t="shared" ca="1" si="71"/>
        <v>-2.1316282072803006E-13</v>
      </c>
      <c r="AD337" s="935">
        <f>IF(ISERROR(VLOOKUP(AD$2,X338:X$1003,1,FALSE)),IF(X337=AD$2,SUMIF(X$4:X337,AD$2,Z$4:Z337)+$E$9+SUM(AQ$4:AQ$1003)+SUMIF(COSTI!$X$1379:$X$1430,AD$2,COSTI!$Z$1379:$Z$1430),0),0)</f>
        <v>0</v>
      </c>
      <c r="AE337" s="26"/>
      <c r="AF337" s="856" t="e">
        <f>IF(ISERROR(VLOOKUP(AG$2,X338:X$1003,1,FALSE)),IF(X337=AG$2,SUMIF(X$4:X337,AG$2,Z$4:Z337)+VLOOKUP(AF$2,$B$1057:$F$1068,5,FALSE)+SUM(AR$4:AR$1003)+SUMIF(COSTI!$X$1379:$X$1430,AG$2,COSTI!$Z$1379:$Z$1430),0),0)</f>
        <v>#N/A</v>
      </c>
      <c r="AG337" s="859"/>
      <c r="AH337" s="27" t="str">
        <f t="shared" si="73"/>
        <v/>
      </c>
      <c r="AI337" s="152">
        <f ca="1">IF(W338&gt;0,0,IF(AH337=0,(Z337*-1)+BC337+SUM(BB$4:BB336),BC337+SUM(BB$4:BB336)))</f>
        <v>-2.1316282072803006E-13</v>
      </c>
      <c r="AJ337" s="931">
        <f>IF(AND(AL337&gt;=$U$1,AL337&lt;=$U$2),IF(AM337='ESTRATTO CONTO'!$E$2,1+COUNTIF(AJ$4:AJ336,"&gt;0")+U$1015,0),0)</f>
        <v>0</v>
      </c>
      <c r="AK337" s="203">
        <f>IF(AND(OR((AK336+1)&lt;AL$1015,(AK336+1)=AL$1015),MAX(AK$4:AK336)&lt;AL$1015),AK336+1,0)</f>
        <v>0</v>
      </c>
      <c r="AL337" s="309">
        <f>VLOOKUP($AK337,ENTI!$AF$4:AG$1003,2,FALSE)</f>
        <v>0</v>
      </c>
      <c r="AM337" s="224">
        <f>VLOOKUP($AK337,ENTI!$AF$4:AH$1003,3,FALSE)</f>
        <v>0</v>
      </c>
      <c r="AN337" s="224">
        <f>VLOOKUP($AK337,ENTI!$AF$4:AI$1003,4,FALSE)</f>
        <v>0</v>
      </c>
      <c r="AO337" s="781">
        <f>VLOOKUP($AK337,ENTI!$AF$4:AJ$1003,5,FALSE)</f>
        <v>0</v>
      </c>
      <c r="AP337" s="315">
        <f>VLOOKUP($AK337,ENTI!$AF$4:AK$1003,6,FALSE)</f>
        <v>0</v>
      </c>
      <c r="AQ337" s="208">
        <f t="shared" si="80"/>
        <v>0</v>
      </c>
      <c r="AR337" s="152" t="e">
        <f t="shared" si="81"/>
        <v>#N/A</v>
      </c>
      <c r="AS337" s="1"/>
      <c r="AT337" s="88" t="str">
        <f t="shared" si="74"/>
        <v/>
      </c>
      <c r="AU337" s="1"/>
      <c r="AV337" s="175">
        <f>IF(AW337&gt;0,COUNTIF(AV$4:AV336,"&gt;0")+1,0)</f>
        <v>0</v>
      </c>
      <c r="AW337" s="164">
        <f t="shared" si="75"/>
        <v>0</v>
      </c>
      <c r="AX337" s="310">
        <f>IF($AW337=0,0,VLOOKUP(VLOOKUP($X337,$B$34:$T$38,19,FALSE),ENTI!$A$9:$B$13,2,FALSE))</f>
        <v>0</v>
      </c>
      <c r="AY337" s="310">
        <f t="shared" si="77"/>
        <v>0</v>
      </c>
      <c r="AZ337" s="316">
        <f t="shared" si="78"/>
        <v>0</v>
      </c>
      <c r="BA337" s="1"/>
      <c r="BB337" s="152">
        <f t="shared" si="79"/>
        <v>0</v>
      </c>
      <c r="BC337" s="152">
        <f ca="1">SUM(Z$4:Z337)+SUM(BB$4:BB337)+COSTI!S$6-COSTI!L$1076</f>
        <v>-31.760000000000218</v>
      </c>
      <c r="BD337" s="1"/>
    </row>
    <row r="338" spans="1:56" ht="16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435">
        <f>IF(AND(W338&gt;=$U$1,W338&lt;=$U$2),IF(X338='ESTRATTO CONTO'!$E$2,1+COUNTIF(U$4:U337,"&gt;0"),0),0)</f>
        <v>0</v>
      </c>
      <c r="V338" s="417">
        <f t="shared" si="76"/>
        <v>335</v>
      </c>
      <c r="W338" s="509"/>
      <c r="X338" s="321"/>
      <c r="Y338" s="321"/>
      <c r="Z338" s="508"/>
      <c r="AA338" s="356"/>
      <c r="AB338" s="306" t="str">
        <f t="shared" si="72"/>
        <v/>
      </c>
      <c r="AC338" s="637">
        <f t="shared" ca="1" si="71"/>
        <v>-2.1316282072803006E-13</v>
      </c>
      <c r="AD338" s="935">
        <f>IF(ISERROR(VLOOKUP(AD$2,X339:X$1003,1,FALSE)),IF(X338=AD$2,SUMIF(X$4:X338,AD$2,Z$4:Z338)+$E$9+SUM(AQ$4:AQ$1003)+SUMIF(COSTI!$X$1379:$X$1430,AD$2,COSTI!$Z$1379:$Z$1430),0),0)</f>
        <v>0</v>
      </c>
      <c r="AE338" s="26"/>
      <c r="AF338" s="856" t="e">
        <f>IF(ISERROR(VLOOKUP(AG$2,X339:X$1003,1,FALSE)),IF(X338=AG$2,SUMIF(X$4:X338,AG$2,Z$4:Z338)+VLOOKUP(AF$2,$B$1057:$F$1068,5,FALSE)+SUM(AR$4:AR$1003)+SUMIF(COSTI!$X$1379:$X$1430,AG$2,COSTI!$Z$1379:$Z$1430),0),0)</f>
        <v>#N/A</v>
      </c>
      <c r="AG338" s="859"/>
      <c r="AH338" s="27" t="str">
        <f t="shared" si="73"/>
        <v/>
      </c>
      <c r="AI338" s="152">
        <f ca="1">IF(W339&gt;0,0,IF(AH338=0,(Z338*-1)+BC338+SUM(BB$4:BB337),BC338+SUM(BB$4:BB337)))</f>
        <v>-2.1316282072803006E-13</v>
      </c>
      <c r="AJ338" s="931">
        <f>IF(AND(AL338&gt;=$U$1,AL338&lt;=$U$2),IF(AM338='ESTRATTO CONTO'!$E$2,1+COUNTIF(AJ$4:AJ337,"&gt;0")+U$1015,0),0)</f>
        <v>0</v>
      </c>
      <c r="AK338" s="203">
        <f>IF(AND(OR((AK337+1)&lt;AL$1015,(AK337+1)=AL$1015),MAX(AK$4:AK337)&lt;AL$1015),AK337+1,0)</f>
        <v>0</v>
      </c>
      <c r="AL338" s="309">
        <f>VLOOKUP($AK338,ENTI!$AF$4:AG$1003,2,FALSE)</f>
        <v>0</v>
      </c>
      <c r="AM338" s="224">
        <f>VLOOKUP($AK338,ENTI!$AF$4:AH$1003,3,FALSE)</f>
        <v>0</v>
      </c>
      <c r="AN338" s="224">
        <f>VLOOKUP($AK338,ENTI!$AF$4:AI$1003,4,FALSE)</f>
        <v>0</v>
      </c>
      <c r="AO338" s="781">
        <f>VLOOKUP($AK338,ENTI!$AF$4:AJ$1003,5,FALSE)</f>
        <v>0</v>
      </c>
      <c r="AP338" s="315">
        <f>VLOOKUP($AK338,ENTI!$AF$4:AK$1003,6,FALSE)</f>
        <v>0</v>
      </c>
      <c r="AQ338" s="208">
        <f t="shared" si="80"/>
        <v>0</v>
      </c>
      <c r="AR338" s="152" t="e">
        <f t="shared" si="81"/>
        <v>#N/A</v>
      </c>
      <c r="AS338" s="1"/>
      <c r="AT338" s="88" t="str">
        <f t="shared" si="74"/>
        <v/>
      </c>
      <c r="AU338" s="1"/>
      <c r="AV338" s="175">
        <f>IF(AW338&gt;0,COUNTIF(AV$4:AV337,"&gt;0")+1,0)</f>
        <v>0</v>
      </c>
      <c r="AW338" s="164">
        <f t="shared" si="75"/>
        <v>0</v>
      </c>
      <c r="AX338" s="310">
        <f>IF($AW338=0,0,VLOOKUP(VLOOKUP($X338,$B$34:$T$38,19,FALSE),ENTI!$A$9:$B$13,2,FALSE))</f>
        <v>0</v>
      </c>
      <c r="AY338" s="310">
        <f t="shared" si="77"/>
        <v>0</v>
      </c>
      <c r="AZ338" s="316">
        <f t="shared" si="78"/>
        <v>0</v>
      </c>
      <c r="BA338" s="1"/>
      <c r="BB338" s="152">
        <f t="shared" si="79"/>
        <v>0</v>
      </c>
      <c r="BC338" s="152">
        <f ca="1">SUM(Z$4:Z338)+SUM(BB$4:BB338)+COSTI!S$6-COSTI!L$1076</f>
        <v>-31.760000000000218</v>
      </c>
      <c r="BD338" s="1"/>
    </row>
    <row r="339" spans="1:56" ht="16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435">
        <f>IF(AND(W339&gt;=$U$1,W339&lt;=$U$2),IF(X339='ESTRATTO CONTO'!$E$2,1+COUNTIF(U$4:U338,"&gt;0"),0),0)</f>
        <v>0</v>
      </c>
      <c r="V339" s="417">
        <f t="shared" si="76"/>
        <v>336</v>
      </c>
      <c r="W339" s="509"/>
      <c r="X339" s="321"/>
      <c r="Y339" s="321"/>
      <c r="Z339" s="508"/>
      <c r="AA339" s="356"/>
      <c r="AB339" s="306" t="str">
        <f t="shared" si="72"/>
        <v/>
      </c>
      <c r="AC339" s="637">
        <f t="shared" ca="1" si="71"/>
        <v>-2.1316282072803006E-13</v>
      </c>
      <c r="AD339" s="935">
        <f>IF(ISERROR(VLOOKUP(AD$2,X340:X$1003,1,FALSE)),IF(X339=AD$2,SUMIF(X$4:X339,AD$2,Z$4:Z339)+$E$9+SUM(AQ$4:AQ$1003)+SUMIF(COSTI!$X$1379:$X$1430,AD$2,COSTI!$Z$1379:$Z$1430),0),0)</f>
        <v>0</v>
      </c>
      <c r="AE339" s="26"/>
      <c r="AF339" s="856" t="e">
        <f>IF(ISERROR(VLOOKUP(AG$2,X340:X$1003,1,FALSE)),IF(X339=AG$2,SUMIF(X$4:X339,AG$2,Z$4:Z339)+VLOOKUP(AF$2,$B$1057:$F$1068,5,FALSE)+SUM(AR$4:AR$1003)+SUMIF(COSTI!$X$1379:$X$1430,AG$2,COSTI!$Z$1379:$Z$1430),0),0)</f>
        <v>#N/A</v>
      </c>
      <c r="AG339" s="859"/>
      <c r="AH339" s="27" t="str">
        <f t="shared" si="73"/>
        <v/>
      </c>
      <c r="AI339" s="152">
        <f ca="1">IF(W340&gt;0,0,IF(AH339=0,(Z339*-1)+BC339+SUM(BB$4:BB338),BC339+SUM(BB$4:BB338)))</f>
        <v>-2.1316282072803006E-13</v>
      </c>
      <c r="AJ339" s="931">
        <f>IF(AND(AL339&gt;=$U$1,AL339&lt;=$U$2),IF(AM339='ESTRATTO CONTO'!$E$2,1+COUNTIF(AJ$4:AJ338,"&gt;0")+U$1015,0),0)</f>
        <v>0</v>
      </c>
      <c r="AK339" s="203">
        <f>IF(AND(OR((AK338+1)&lt;AL$1015,(AK338+1)=AL$1015),MAX(AK$4:AK338)&lt;AL$1015),AK338+1,0)</f>
        <v>0</v>
      </c>
      <c r="AL339" s="309">
        <f>VLOOKUP($AK339,ENTI!$AF$4:AG$1003,2,FALSE)</f>
        <v>0</v>
      </c>
      <c r="AM339" s="224">
        <f>VLOOKUP($AK339,ENTI!$AF$4:AH$1003,3,FALSE)</f>
        <v>0</v>
      </c>
      <c r="AN339" s="224">
        <f>VLOOKUP($AK339,ENTI!$AF$4:AI$1003,4,FALSE)</f>
        <v>0</v>
      </c>
      <c r="AO339" s="781">
        <f>VLOOKUP($AK339,ENTI!$AF$4:AJ$1003,5,FALSE)</f>
        <v>0</v>
      </c>
      <c r="AP339" s="315">
        <f>VLOOKUP($AK339,ENTI!$AF$4:AK$1003,6,FALSE)</f>
        <v>0</v>
      </c>
      <c r="AQ339" s="208">
        <f t="shared" si="80"/>
        <v>0</v>
      </c>
      <c r="AR339" s="152" t="e">
        <f t="shared" si="81"/>
        <v>#N/A</v>
      </c>
      <c r="AS339" s="1"/>
      <c r="AT339" s="88" t="str">
        <f t="shared" si="74"/>
        <v/>
      </c>
      <c r="AU339" s="1"/>
      <c r="AV339" s="175">
        <f>IF(AW339&gt;0,COUNTIF(AV$4:AV338,"&gt;0")+1,0)</f>
        <v>0</v>
      </c>
      <c r="AW339" s="164">
        <f t="shared" si="75"/>
        <v>0</v>
      </c>
      <c r="AX339" s="310">
        <f>IF($AW339=0,0,VLOOKUP(VLOOKUP($X339,$B$34:$T$38,19,FALSE),ENTI!$A$9:$B$13,2,FALSE))</f>
        <v>0</v>
      </c>
      <c r="AY339" s="310">
        <f t="shared" si="77"/>
        <v>0</v>
      </c>
      <c r="AZ339" s="316">
        <f t="shared" si="78"/>
        <v>0</v>
      </c>
      <c r="BA339" s="1"/>
      <c r="BB339" s="152">
        <f t="shared" si="79"/>
        <v>0</v>
      </c>
      <c r="BC339" s="152">
        <f ca="1">SUM(Z$4:Z339)+SUM(BB$4:BB339)+COSTI!S$6-COSTI!L$1076</f>
        <v>-31.760000000000218</v>
      </c>
      <c r="BD339" s="1"/>
    </row>
    <row r="340" spans="1:56" ht="16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435">
        <f>IF(AND(W340&gt;=$U$1,W340&lt;=$U$2),IF(X340='ESTRATTO CONTO'!$E$2,1+COUNTIF(U$4:U339,"&gt;0"),0),0)</f>
        <v>0</v>
      </c>
      <c r="V340" s="417">
        <f t="shared" si="76"/>
        <v>337</v>
      </c>
      <c r="W340" s="509"/>
      <c r="X340" s="321"/>
      <c r="Y340" s="321"/>
      <c r="Z340" s="508"/>
      <c r="AA340" s="356"/>
      <c r="AB340" s="306" t="str">
        <f t="shared" si="72"/>
        <v/>
      </c>
      <c r="AC340" s="637">
        <f t="shared" ca="1" si="71"/>
        <v>-2.1316282072803006E-13</v>
      </c>
      <c r="AD340" s="935">
        <f>IF(ISERROR(VLOOKUP(AD$2,X341:X$1003,1,FALSE)),IF(X340=AD$2,SUMIF(X$4:X340,AD$2,Z$4:Z340)+$E$9+SUM(AQ$4:AQ$1003)+SUMIF(COSTI!$X$1379:$X$1430,AD$2,COSTI!$Z$1379:$Z$1430),0),0)</f>
        <v>0</v>
      </c>
      <c r="AE340" s="26"/>
      <c r="AF340" s="856" t="e">
        <f>IF(ISERROR(VLOOKUP(AG$2,X341:X$1003,1,FALSE)),IF(X340=AG$2,SUMIF(X$4:X340,AG$2,Z$4:Z340)+VLOOKUP(AF$2,$B$1057:$F$1068,5,FALSE)+SUM(AR$4:AR$1003)+SUMIF(COSTI!$X$1379:$X$1430,AG$2,COSTI!$Z$1379:$Z$1430),0),0)</f>
        <v>#N/A</v>
      </c>
      <c r="AG340" s="859"/>
      <c r="AH340" s="27" t="str">
        <f t="shared" si="73"/>
        <v/>
      </c>
      <c r="AI340" s="152">
        <f ca="1">IF(W341&gt;0,0,IF(AH340=0,(Z340*-1)+BC340+SUM(BB$4:BB339),BC340+SUM(BB$4:BB339)))</f>
        <v>-2.1316282072803006E-13</v>
      </c>
      <c r="AJ340" s="931">
        <f>IF(AND(AL340&gt;=$U$1,AL340&lt;=$U$2),IF(AM340='ESTRATTO CONTO'!$E$2,1+COUNTIF(AJ$4:AJ339,"&gt;0")+U$1015,0),0)</f>
        <v>0</v>
      </c>
      <c r="AK340" s="203">
        <f>IF(AND(OR((AK339+1)&lt;AL$1015,(AK339+1)=AL$1015),MAX(AK$4:AK339)&lt;AL$1015),AK339+1,0)</f>
        <v>0</v>
      </c>
      <c r="AL340" s="309">
        <f>VLOOKUP($AK340,ENTI!$AF$4:AG$1003,2,FALSE)</f>
        <v>0</v>
      </c>
      <c r="AM340" s="224">
        <f>VLOOKUP($AK340,ENTI!$AF$4:AH$1003,3,FALSE)</f>
        <v>0</v>
      </c>
      <c r="AN340" s="224">
        <f>VLOOKUP($AK340,ENTI!$AF$4:AI$1003,4,FALSE)</f>
        <v>0</v>
      </c>
      <c r="AO340" s="781">
        <f>VLOOKUP($AK340,ENTI!$AF$4:AJ$1003,5,FALSE)</f>
        <v>0</v>
      </c>
      <c r="AP340" s="315">
        <f>VLOOKUP($AK340,ENTI!$AF$4:AK$1003,6,FALSE)</f>
        <v>0</v>
      </c>
      <c r="AQ340" s="208">
        <f t="shared" si="80"/>
        <v>0</v>
      </c>
      <c r="AR340" s="152" t="e">
        <f t="shared" si="81"/>
        <v>#N/A</v>
      </c>
      <c r="AS340" s="1"/>
      <c r="AT340" s="88" t="str">
        <f t="shared" si="74"/>
        <v/>
      </c>
      <c r="AU340" s="1"/>
      <c r="AV340" s="175">
        <f>IF(AW340&gt;0,COUNTIF(AV$4:AV339,"&gt;0")+1,0)</f>
        <v>0</v>
      </c>
      <c r="AW340" s="164">
        <f t="shared" si="75"/>
        <v>0</v>
      </c>
      <c r="AX340" s="310">
        <f>IF($AW340=0,0,VLOOKUP(VLOOKUP($X340,$B$34:$T$38,19,FALSE),ENTI!$A$9:$B$13,2,FALSE))</f>
        <v>0</v>
      </c>
      <c r="AY340" s="310">
        <f t="shared" si="77"/>
        <v>0</v>
      </c>
      <c r="AZ340" s="316">
        <f t="shared" si="78"/>
        <v>0</v>
      </c>
      <c r="BA340" s="1"/>
      <c r="BB340" s="152">
        <f t="shared" si="79"/>
        <v>0</v>
      </c>
      <c r="BC340" s="152">
        <f ca="1">SUM(Z$4:Z340)+SUM(BB$4:BB340)+COSTI!S$6-COSTI!L$1076</f>
        <v>-31.760000000000218</v>
      </c>
      <c r="BD340" s="1"/>
    </row>
    <row r="341" spans="1:56" ht="16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435">
        <f>IF(AND(W341&gt;=$U$1,W341&lt;=$U$2),IF(X341='ESTRATTO CONTO'!$E$2,1+COUNTIF(U$4:U340,"&gt;0"),0),0)</f>
        <v>0</v>
      </c>
      <c r="V341" s="417">
        <f t="shared" si="76"/>
        <v>338</v>
      </c>
      <c r="W341" s="509"/>
      <c r="X341" s="321"/>
      <c r="Y341" s="321"/>
      <c r="Z341" s="508"/>
      <c r="AA341" s="356"/>
      <c r="AB341" s="306" t="str">
        <f t="shared" si="72"/>
        <v/>
      </c>
      <c r="AC341" s="637">
        <f t="shared" ca="1" si="71"/>
        <v>-2.1316282072803006E-13</v>
      </c>
      <c r="AD341" s="935">
        <f>IF(ISERROR(VLOOKUP(AD$2,X342:X$1003,1,FALSE)),IF(X341=AD$2,SUMIF(X$4:X341,AD$2,Z$4:Z341)+$E$9+SUM(AQ$4:AQ$1003)+SUMIF(COSTI!$X$1379:$X$1430,AD$2,COSTI!$Z$1379:$Z$1430),0),0)</f>
        <v>0</v>
      </c>
      <c r="AE341" s="26"/>
      <c r="AF341" s="856" t="e">
        <f>IF(ISERROR(VLOOKUP(AG$2,X342:X$1003,1,FALSE)),IF(X341=AG$2,SUMIF(X$4:X341,AG$2,Z$4:Z341)+VLOOKUP(AF$2,$B$1057:$F$1068,5,FALSE)+SUM(AR$4:AR$1003)+SUMIF(COSTI!$X$1379:$X$1430,AG$2,COSTI!$Z$1379:$Z$1430),0),0)</f>
        <v>#N/A</v>
      </c>
      <c r="AG341" s="859"/>
      <c r="AH341" s="27" t="str">
        <f t="shared" si="73"/>
        <v/>
      </c>
      <c r="AI341" s="152">
        <f ca="1">IF(W342&gt;0,0,IF(AH341=0,(Z341*-1)+BC341+SUM(BB$4:BB340),BC341+SUM(BB$4:BB340)))</f>
        <v>-2.1316282072803006E-13</v>
      </c>
      <c r="AJ341" s="931">
        <f>IF(AND(AL341&gt;=$U$1,AL341&lt;=$U$2),IF(AM341='ESTRATTO CONTO'!$E$2,1+COUNTIF(AJ$4:AJ340,"&gt;0")+U$1015,0),0)</f>
        <v>0</v>
      </c>
      <c r="AK341" s="203">
        <f>IF(AND(OR((AK340+1)&lt;AL$1015,(AK340+1)=AL$1015),MAX(AK$4:AK340)&lt;AL$1015),AK340+1,0)</f>
        <v>0</v>
      </c>
      <c r="AL341" s="309">
        <f>VLOOKUP($AK341,ENTI!$AF$4:AG$1003,2,FALSE)</f>
        <v>0</v>
      </c>
      <c r="AM341" s="224">
        <f>VLOOKUP($AK341,ENTI!$AF$4:AH$1003,3,FALSE)</f>
        <v>0</v>
      </c>
      <c r="AN341" s="224">
        <f>VLOOKUP($AK341,ENTI!$AF$4:AI$1003,4,FALSE)</f>
        <v>0</v>
      </c>
      <c r="AO341" s="781">
        <f>VLOOKUP($AK341,ENTI!$AF$4:AJ$1003,5,FALSE)</f>
        <v>0</v>
      </c>
      <c r="AP341" s="315">
        <f>VLOOKUP($AK341,ENTI!$AF$4:AK$1003,6,FALSE)</f>
        <v>0</v>
      </c>
      <c r="AQ341" s="208">
        <f t="shared" si="80"/>
        <v>0</v>
      </c>
      <c r="AR341" s="152" t="e">
        <f t="shared" si="81"/>
        <v>#N/A</v>
      </c>
      <c r="AS341" s="1"/>
      <c r="AT341" s="88" t="str">
        <f t="shared" si="74"/>
        <v/>
      </c>
      <c r="AU341" s="1"/>
      <c r="AV341" s="175">
        <f>IF(AW341&gt;0,COUNTIF(AV$4:AV340,"&gt;0")+1,0)</f>
        <v>0</v>
      </c>
      <c r="AW341" s="164">
        <f t="shared" si="75"/>
        <v>0</v>
      </c>
      <c r="AX341" s="310">
        <f>IF($AW341=0,0,VLOOKUP(VLOOKUP($X341,$B$34:$T$38,19,FALSE),ENTI!$A$9:$B$13,2,FALSE))</f>
        <v>0</v>
      </c>
      <c r="AY341" s="310">
        <f t="shared" si="77"/>
        <v>0</v>
      </c>
      <c r="AZ341" s="316">
        <f t="shared" si="78"/>
        <v>0</v>
      </c>
      <c r="BA341" s="1"/>
      <c r="BB341" s="152">
        <f t="shared" si="79"/>
        <v>0</v>
      </c>
      <c r="BC341" s="152">
        <f ca="1">SUM(Z$4:Z341)+SUM(BB$4:BB341)+COSTI!S$6-COSTI!L$1076</f>
        <v>-31.760000000000218</v>
      </c>
      <c r="BD341" s="1"/>
    </row>
    <row r="342" spans="1:56" ht="16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435">
        <f>IF(AND(W342&gt;=$U$1,W342&lt;=$U$2),IF(X342='ESTRATTO CONTO'!$E$2,1+COUNTIF(U$4:U341,"&gt;0"),0),0)</f>
        <v>0</v>
      </c>
      <c r="V342" s="417">
        <f t="shared" si="76"/>
        <v>339</v>
      </c>
      <c r="W342" s="509"/>
      <c r="X342" s="321"/>
      <c r="Y342" s="321"/>
      <c r="Z342" s="508"/>
      <c r="AA342" s="356"/>
      <c r="AB342" s="306" t="str">
        <f t="shared" si="72"/>
        <v/>
      </c>
      <c r="AC342" s="637">
        <f t="shared" ca="1" si="71"/>
        <v>-2.1316282072803006E-13</v>
      </c>
      <c r="AD342" s="935">
        <f>IF(ISERROR(VLOOKUP(AD$2,X343:X$1003,1,FALSE)),IF(X342=AD$2,SUMIF(X$4:X342,AD$2,Z$4:Z342)+$E$9+SUM(AQ$4:AQ$1003)+SUMIF(COSTI!$X$1379:$X$1430,AD$2,COSTI!$Z$1379:$Z$1430),0),0)</f>
        <v>0</v>
      </c>
      <c r="AE342" s="26"/>
      <c r="AF342" s="856" t="e">
        <f>IF(ISERROR(VLOOKUP(AG$2,X343:X$1003,1,FALSE)),IF(X342=AG$2,SUMIF(X$4:X342,AG$2,Z$4:Z342)+VLOOKUP(AF$2,$B$1057:$F$1068,5,FALSE)+SUM(AR$4:AR$1003)+SUMIF(COSTI!$X$1379:$X$1430,AG$2,COSTI!$Z$1379:$Z$1430),0),0)</f>
        <v>#N/A</v>
      </c>
      <c r="AG342" s="859"/>
      <c r="AH342" s="27" t="str">
        <f t="shared" si="73"/>
        <v/>
      </c>
      <c r="AI342" s="152">
        <f ca="1">IF(W343&gt;0,0,IF(AH342=0,(Z342*-1)+BC342+SUM(BB$4:BB341),BC342+SUM(BB$4:BB341)))</f>
        <v>-2.1316282072803006E-13</v>
      </c>
      <c r="AJ342" s="931">
        <f>IF(AND(AL342&gt;=$U$1,AL342&lt;=$U$2),IF(AM342='ESTRATTO CONTO'!$E$2,1+COUNTIF(AJ$4:AJ341,"&gt;0")+U$1015,0),0)</f>
        <v>0</v>
      </c>
      <c r="AK342" s="203">
        <f>IF(AND(OR((AK341+1)&lt;AL$1015,(AK341+1)=AL$1015),MAX(AK$4:AK341)&lt;AL$1015),AK341+1,0)</f>
        <v>0</v>
      </c>
      <c r="AL342" s="309">
        <f>VLOOKUP($AK342,ENTI!$AF$4:AG$1003,2,FALSE)</f>
        <v>0</v>
      </c>
      <c r="AM342" s="224">
        <f>VLOOKUP($AK342,ENTI!$AF$4:AH$1003,3,FALSE)</f>
        <v>0</v>
      </c>
      <c r="AN342" s="224">
        <f>VLOOKUP($AK342,ENTI!$AF$4:AI$1003,4,FALSE)</f>
        <v>0</v>
      </c>
      <c r="AO342" s="781">
        <f>VLOOKUP($AK342,ENTI!$AF$4:AJ$1003,5,FALSE)</f>
        <v>0</v>
      </c>
      <c r="AP342" s="315">
        <f>VLOOKUP($AK342,ENTI!$AF$4:AK$1003,6,FALSE)</f>
        <v>0</v>
      </c>
      <c r="AQ342" s="208">
        <f t="shared" si="80"/>
        <v>0</v>
      </c>
      <c r="AR342" s="152" t="e">
        <f t="shared" si="81"/>
        <v>#N/A</v>
      </c>
      <c r="AS342" s="1"/>
      <c r="AT342" s="88" t="str">
        <f t="shared" si="74"/>
        <v/>
      </c>
      <c r="AU342" s="1"/>
      <c r="AV342" s="175">
        <f>IF(AW342&gt;0,COUNTIF(AV$4:AV341,"&gt;0")+1,0)</f>
        <v>0</v>
      </c>
      <c r="AW342" s="164">
        <f t="shared" si="75"/>
        <v>0</v>
      </c>
      <c r="AX342" s="310">
        <f>IF($AW342=0,0,VLOOKUP(VLOOKUP($X342,$B$34:$T$38,19,FALSE),ENTI!$A$9:$B$13,2,FALSE))</f>
        <v>0</v>
      </c>
      <c r="AY342" s="310">
        <f t="shared" si="77"/>
        <v>0</v>
      </c>
      <c r="AZ342" s="316">
        <f t="shared" si="78"/>
        <v>0</v>
      </c>
      <c r="BA342" s="1"/>
      <c r="BB342" s="152">
        <f t="shared" si="79"/>
        <v>0</v>
      </c>
      <c r="BC342" s="152">
        <f ca="1">SUM(Z$4:Z342)+SUM(BB$4:BB342)+COSTI!S$6-COSTI!L$1076</f>
        <v>-31.760000000000218</v>
      </c>
      <c r="BD342" s="1"/>
    </row>
    <row r="343" spans="1:56" ht="16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435">
        <f>IF(AND(W343&gt;=$U$1,W343&lt;=$U$2),IF(X343='ESTRATTO CONTO'!$E$2,1+COUNTIF(U$4:U342,"&gt;0"),0),0)</f>
        <v>0</v>
      </c>
      <c r="V343" s="417">
        <f t="shared" si="76"/>
        <v>340</v>
      </c>
      <c r="W343" s="509"/>
      <c r="X343" s="321"/>
      <c r="Y343" s="321"/>
      <c r="Z343" s="508"/>
      <c r="AA343" s="356"/>
      <c r="AB343" s="306" t="str">
        <f t="shared" si="72"/>
        <v/>
      </c>
      <c r="AC343" s="637">
        <f t="shared" ca="1" si="71"/>
        <v>-2.1316282072803006E-13</v>
      </c>
      <c r="AD343" s="935">
        <f>IF(ISERROR(VLOOKUP(AD$2,X344:X$1003,1,FALSE)),IF(X343=AD$2,SUMIF(X$4:X343,AD$2,Z$4:Z343)+$E$9+SUM(AQ$4:AQ$1003)+SUMIF(COSTI!$X$1379:$X$1430,AD$2,COSTI!$Z$1379:$Z$1430),0),0)</f>
        <v>0</v>
      </c>
      <c r="AE343" s="26"/>
      <c r="AF343" s="856" t="e">
        <f>IF(ISERROR(VLOOKUP(AG$2,X344:X$1003,1,FALSE)),IF(X343=AG$2,SUMIF(X$4:X343,AG$2,Z$4:Z343)+VLOOKUP(AF$2,$B$1057:$F$1068,5,FALSE)+SUM(AR$4:AR$1003)+SUMIF(COSTI!$X$1379:$X$1430,AG$2,COSTI!$Z$1379:$Z$1430),0),0)</f>
        <v>#N/A</v>
      </c>
      <c r="AG343" s="859"/>
      <c r="AH343" s="27" t="str">
        <f t="shared" si="73"/>
        <v/>
      </c>
      <c r="AI343" s="152">
        <f ca="1">IF(W344&gt;0,0,IF(AH343=0,(Z343*-1)+BC343+SUM(BB$4:BB342),BC343+SUM(BB$4:BB342)))</f>
        <v>-2.1316282072803006E-13</v>
      </c>
      <c r="AJ343" s="931">
        <f>IF(AND(AL343&gt;=$U$1,AL343&lt;=$U$2),IF(AM343='ESTRATTO CONTO'!$E$2,1+COUNTIF(AJ$4:AJ342,"&gt;0")+U$1015,0),0)</f>
        <v>0</v>
      </c>
      <c r="AK343" s="203">
        <f>IF(AND(OR((AK342+1)&lt;AL$1015,(AK342+1)=AL$1015),MAX(AK$4:AK342)&lt;AL$1015),AK342+1,0)</f>
        <v>0</v>
      </c>
      <c r="AL343" s="309">
        <f>VLOOKUP($AK343,ENTI!$AF$4:AG$1003,2,FALSE)</f>
        <v>0</v>
      </c>
      <c r="AM343" s="224">
        <f>VLOOKUP($AK343,ENTI!$AF$4:AH$1003,3,FALSE)</f>
        <v>0</v>
      </c>
      <c r="AN343" s="224">
        <f>VLOOKUP($AK343,ENTI!$AF$4:AI$1003,4,FALSE)</f>
        <v>0</v>
      </c>
      <c r="AO343" s="781">
        <f>VLOOKUP($AK343,ENTI!$AF$4:AJ$1003,5,FALSE)</f>
        <v>0</v>
      </c>
      <c r="AP343" s="315">
        <f>VLOOKUP($AK343,ENTI!$AF$4:AK$1003,6,FALSE)</f>
        <v>0</v>
      </c>
      <c r="AQ343" s="208">
        <f t="shared" si="80"/>
        <v>0</v>
      </c>
      <c r="AR343" s="152" t="e">
        <f t="shared" si="81"/>
        <v>#N/A</v>
      </c>
      <c r="AS343" s="1"/>
      <c r="AT343" s="88" t="str">
        <f t="shared" si="74"/>
        <v/>
      </c>
      <c r="AU343" s="1"/>
      <c r="AV343" s="175">
        <f>IF(AW343&gt;0,COUNTIF(AV$4:AV342,"&gt;0")+1,0)</f>
        <v>0</v>
      </c>
      <c r="AW343" s="164">
        <f t="shared" si="75"/>
        <v>0</v>
      </c>
      <c r="AX343" s="310">
        <f>IF($AW343=0,0,VLOOKUP(VLOOKUP($X343,$B$34:$T$38,19,FALSE),ENTI!$A$9:$B$13,2,FALSE))</f>
        <v>0</v>
      </c>
      <c r="AY343" s="310">
        <f t="shared" si="77"/>
        <v>0</v>
      </c>
      <c r="AZ343" s="316">
        <f t="shared" si="78"/>
        <v>0</v>
      </c>
      <c r="BA343" s="1"/>
      <c r="BB343" s="152">
        <f t="shared" si="79"/>
        <v>0</v>
      </c>
      <c r="BC343" s="152">
        <f ca="1">SUM(Z$4:Z343)+SUM(BB$4:BB343)+COSTI!S$6-COSTI!L$1076</f>
        <v>-31.760000000000218</v>
      </c>
      <c r="BD343" s="1"/>
    </row>
    <row r="344" spans="1:56" ht="16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435">
        <f>IF(AND(W344&gt;=$U$1,W344&lt;=$U$2),IF(X344='ESTRATTO CONTO'!$E$2,1+COUNTIF(U$4:U343,"&gt;0"),0),0)</f>
        <v>0</v>
      </c>
      <c r="V344" s="417">
        <f t="shared" si="76"/>
        <v>341</v>
      </c>
      <c r="W344" s="509"/>
      <c r="X344" s="321"/>
      <c r="Y344" s="321"/>
      <c r="Z344" s="508"/>
      <c r="AA344" s="356"/>
      <c r="AB344" s="306" t="str">
        <f t="shared" si="72"/>
        <v/>
      </c>
      <c r="AC344" s="637">
        <f t="shared" ca="1" si="71"/>
        <v>-2.1316282072803006E-13</v>
      </c>
      <c r="AD344" s="935">
        <f>IF(ISERROR(VLOOKUP(AD$2,X345:X$1003,1,FALSE)),IF(X344=AD$2,SUMIF(X$4:X344,AD$2,Z$4:Z344)+$E$9+SUM(AQ$4:AQ$1003)+SUMIF(COSTI!$X$1379:$X$1430,AD$2,COSTI!$Z$1379:$Z$1430),0),0)</f>
        <v>0</v>
      </c>
      <c r="AE344" s="26"/>
      <c r="AF344" s="856" t="e">
        <f>IF(ISERROR(VLOOKUP(AG$2,X345:X$1003,1,FALSE)),IF(X344=AG$2,SUMIF(X$4:X344,AG$2,Z$4:Z344)+VLOOKUP(AF$2,$B$1057:$F$1068,5,FALSE)+SUM(AR$4:AR$1003)+SUMIF(COSTI!$X$1379:$X$1430,AG$2,COSTI!$Z$1379:$Z$1430),0),0)</f>
        <v>#N/A</v>
      </c>
      <c r="AG344" s="859"/>
      <c r="AH344" s="27" t="str">
        <f t="shared" si="73"/>
        <v/>
      </c>
      <c r="AI344" s="152">
        <f ca="1">IF(W345&gt;0,0,IF(AH344=0,(Z344*-1)+BC344+SUM(BB$4:BB343),BC344+SUM(BB$4:BB343)))</f>
        <v>-2.1316282072803006E-13</v>
      </c>
      <c r="AJ344" s="931">
        <f>IF(AND(AL344&gt;=$U$1,AL344&lt;=$U$2),IF(AM344='ESTRATTO CONTO'!$E$2,1+COUNTIF(AJ$4:AJ343,"&gt;0")+U$1015,0),0)</f>
        <v>0</v>
      </c>
      <c r="AK344" s="203">
        <f>IF(AND(OR((AK343+1)&lt;AL$1015,(AK343+1)=AL$1015),MAX(AK$4:AK343)&lt;AL$1015),AK343+1,0)</f>
        <v>0</v>
      </c>
      <c r="AL344" s="309">
        <f>VLOOKUP($AK344,ENTI!$AF$4:AG$1003,2,FALSE)</f>
        <v>0</v>
      </c>
      <c r="AM344" s="224">
        <f>VLOOKUP($AK344,ENTI!$AF$4:AH$1003,3,FALSE)</f>
        <v>0</v>
      </c>
      <c r="AN344" s="224">
        <f>VLOOKUP($AK344,ENTI!$AF$4:AI$1003,4,FALSE)</f>
        <v>0</v>
      </c>
      <c r="AO344" s="781">
        <f>VLOOKUP($AK344,ENTI!$AF$4:AJ$1003,5,FALSE)</f>
        <v>0</v>
      </c>
      <c r="AP344" s="315">
        <f>VLOOKUP($AK344,ENTI!$AF$4:AK$1003,6,FALSE)</f>
        <v>0</v>
      </c>
      <c r="AQ344" s="208">
        <f t="shared" si="80"/>
        <v>0</v>
      </c>
      <c r="AR344" s="152" t="e">
        <f t="shared" si="81"/>
        <v>#N/A</v>
      </c>
      <c r="AS344" s="1"/>
      <c r="AT344" s="88" t="str">
        <f t="shared" si="74"/>
        <v/>
      </c>
      <c r="AU344" s="1"/>
      <c r="AV344" s="175">
        <f>IF(AW344&gt;0,COUNTIF(AV$4:AV343,"&gt;0")+1,0)</f>
        <v>0</v>
      </c>
      <c r="AW344" s="164">
        <f t="shared" si="75"/>
        <v>0</v>
      </c>
      <c r="AX344" s="310">
        <f>IF($AW344=0,0,VLOOKUP(VLOOKUP($X344,$B$34:$T$38,19,FALSE),ENTI!$A$9:$B$13,2,FALSE))</f>
        <v>0</v>
      </c>
      <c r="AY344" s="310">
        <f t="shared" si="77"/>
        <v>0</v>
      </c>
      <c r="AZ344" s="316">
        <f t="shared" si="78"/>
        <v>0</v>
      </c>
      <c r="BA344" s="1"/>
      <c r="BB344" s="152">
        <f t="shared" si="79"/>
        <v>0</v>
      </c>
      <c r="BC344" s="152">
        <f ca="1">SUM(Z$4:Z344)+SUM(BB$4:BB344)+COSTI!S$6-COSTI!L$1076</f>
        <v>-31.760000000000218</v>
      </c>
      <c r="BD344" s="1"/>
    </row>
    <row r="345" spans="1:56" ht="16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435">
        <f>IF(AND(W345&gt;=$U$1,W345&lt;=$U$2),IF(X345='ESTRATTO CONTO'!$E$2,1+COUNTIF(U$4:U344,"&gt;0"),0),0)</f>
        <v>0</v>
      </c>
      <c r="V345" s="417">
        <f t="shared" si="76"/>
        <v>342</v>
      </c>
      <c r="W345" s="509"/>
      <c r="X345" s="321"/>
      <c r="Y345" s="321"/>
      <c r="Z345" s="508"/>
      <c r="AA345" s="356"/>
      <c r="AB345" s="306" t="str">
        <f t="shared" si="72"/>
        <v/>
      </c>
      <c r="AC345" s="637">
        <f t="shared" ca="1" si="71"/>
        <v>-2.1316282072803006E-13</v>
      </c>
      <c r="AD345" s="935">
        <f>IF(ISERROR(VLOOKUP(AD$2,X346:X$1003,1,FALSE)),IF(X345=AD$2,SUMIF(X$4:X345,AD$2,Z$4:Z345)+$E$9+SUM(AQ$4:AQ$1003)+SUMIF(COSTI!$X$1379:$X$1430,AD$2,COSTI!$Z$1379:$Z$1430),0),0)</f>
        <v>0</v>
      </c>
      <c r="AE345" s="26"/>
      <c r="AF345" s="856" t="e">
        <f>IF(ISERROR(VLOOKUP(AG$2,X346:X$1003,1,FALSE)),IF(X345=AG$2,SUMIF(X$4:X345,AG$2,Z$4:Z345)+VLOOKUP(AF$2,$B$1057:$F$1068,5,FALSE)+SUM(AR$4:AR$1003)+SUMIF(COSTI!$X$1379:$X$1430,AG$2,COSTI!$Z$1379:$Z$1430),0),0)</f>
        <v>#N/A</v>
      </c>
      <c r="AG345" s="859"/>
      <c r="AH345" s="27" t="str">
        <f t="shared" si="73"/>
        <v/>
      </c>
      <c r="AI345" s="152">
        <f ca="1">IF(W346&gt;0,0,IF(AH345=0,(Z345*-1)+BC345+SUM(BB$4:BB344),BC345+SUM(BB$4:BB344)))</f>
        <v>-2.1316282072803006E-13</v>
      </c>
      <c r="AJ345" s="931">
        <f>IF(AND(AL345&gt;=$U$1,AL345&lt;=$U$2),IF(AM345='ESTRATTO CONTO'!$E$2,1+COUNTIF(AJ$4:AJ344,"&gt;0")+U$1015,0),0)</f>
        <v>0</v>
      </c>
      <c r="AK345" s="203">
        <f>IF(AND(OR((AK344+1)&lt;AL$1015,(AK344+1)=AL$1015),MAX(AK$4:AK344)&lt;AL$1015),AK344+1,0)</f>
        <v>0</v>
      </c>
      <c r="AL345" s="309">
        <f>VLOOKUP($AK345,ENTI!$AF$4:AG$1003,2,FALSE)</f>
        <v>0</v>
      </c>
      <c r="AM345" s="224">
        <f>VLOOKUP($AK345,ENTI!$AF$4:AH$1003,3,FALSE)</f>
        <v>0</v>
      </c>
      <c r="AN345" s="224">
        <f>VLOOKUP($AK345,ENTI!$AF$4:AI$1003,4,FALSE)</f>
        <v>0</v>
      </c>
      <c r="AO345" s="781">
        <f>VLOOKUP($AK345,ENTI!$AF$4:AJ$1003,5,FALSE)</f>
        <v>0</v>
      </c>
      <c r="AP345" s="315">
        <f>VLOOKUP($AK345,ENTI!$AF$4:AK$1003,6,FALSE)</f>
        <v>0</v>
      </c>
      <c r="AQ345" s="208">
        <f t="shared" si="80"/>
        <v>0</v>
      </c>
      <c r="AR345" s="152" t="e">
        <f t="shared" si="81"/>
        <v>#N/A</v>
      </c>
      <c r="AS345" s="1"/>
      <c r="AT345" s="88" t="str">
        <f t="shared" si="74"/>
        <v/>
      </c>
      <c r="AU345" s="1"/>
      <c r="AV345" s="175">
        <f>IF(AW345&gt;0,COUNTIF(AV$4:AV344,"&gt;0")+1,0)</f>
        <v>0</v>
      </c>
      <c r="AW345" s="164">
        <f t="shared" si="75"/>
        <v>0</v>
      </c>
      <c r="AX345" s="310">
        <f>IF($AW345=0,0,VLOOKUP(VLOOKUP($X345,$B$34:$T$38,19,FALSE),ENTI!$A$9:$B$13,2,FALSE))</f>
        <v>0</v>
      </c>
      <c r="AY345" s="310">
        <f t="shared" si="77"/>
        <v>0</v>
      </c>
      <c r="AZ345" s="316">
        <f t="shared" si="78"/>
        <v>0</v>
      </c>
      <c r="BA345" s="1"/>
      <c r="BB345" s="152">
        <f t="shared" si="79"/>
        <v>0</v>
      </c>
      <c r="BC345" s="152">
        <f ca="1">SUM(Z$4:Z345)+SUM(BB$4:BB345)+COSTI!S$6-COSTI!L$1076</f>
        <v>-31.760000000000218</v>
      </c>
      <c r="BD345" s="1"/>
    </row>
    <row r="346" spans="1:56" ht="16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435">
        <f>IF(AND(W346&gt;=$U$1,W346&lt;=$U$2),IF(X346='ESTRATTO CONTO'!$E$2,1+COUNTIF(U$4:U345,"&gt;0"),0),0)</f>
        <v>0</v>
      </c>
      <c r="V346" s="417">
        <f t="shared" si="76"/>
        <v>343</v>
      </c>
      <c r="W346" s="509"/>
      <c r="X346" s="321"/>
      <c r="Y346" s="321"/>
      <c r="Z346" s="508"/>
      <c r="AA346" s="356"/>
      <c r="AB346" s="306" t="str">
        <f t="shared" si="72"/>
        <v/>
      </c>
      <c r="AC346" s="637">
        <f t="shared" ca="1" si="71"/>
        <v>-2.1316282072803006E-13</v>
      </c>
      <c r="AD346" s="935">
        <f>IF(ISERROR(VLOOKUP(AD$2,X347:X$1003,1,FALSE)),IF(X346=AD$2,SUMIF(X$4:X346,AD$2,Z$4:Z346)+$E$9+SUM(AQ$4:AQ$1003)+SUMIF(COSTI!$X$1379:$X$1430,AD$2,COSTI!$Z$1379:$Z$1430),0),0)</f>
        <v>0</v>
      </c>
      <c r="AE346" s="26"/>
      <c r="AF346" s="856" t="e">
        <f>IF(ISERROR(VLOOKUP(AG$2,X347:X$1003,1,FALSE)),IF(X346=AG$2,SUMIF(X$4:X346,AG$2,Z$4:Z346)+VLOOKUP(AF$2,$B$1057:$F$1068,5,FALSE)+SUM(AR$4:AR$1003)+SUMIF(COSTI!$X$1379:$X$1430,AG$2,COSTI!$Z$1379:$Z$1430),0),0)</f>
        <v>#N/A</v>
      </c>
      <c r="AG346" s="859"/>
      <c r="AH346" s="27" t="str">
        <f t="shared" si="73"/>
        <v/>
      </c>
      <c r="AI346" s="152">
        <f ca="1">IF(W347&gt;0,0,IF(AH346=0,(Z346*-1)+BC346+SUM(BB$4:BB345),BC346+SUM(BB$4:BB345)))</f>
        <v>-2.1316282072803006E-13</v>
      </c>
      <c r="AJ346" s="931">
        <f>IF(AND(AL346&gt;=$U$1,AL346&lt;=$U$2),IF(AM346='ESTRATTO CONTO'!$E$2,1+COUNTIF(AJ$4:AJ345,"&gt;0")+U$1015,0),0)</f>
        <v>0</v>
      </c>
      <c r="AK346" s="203">
        <f>IF(AND(OR((AK345+1)&lt;AL$1015,(AK345+1)=AL$1015),MAX(AK$4:AK345)&lt;AL$1015),AK345+1,0)</f>
        <v>0</v>
      </c>
      <c r="AL346" s="309">
        <f>VLOOKUP($AK346,ENTI!$AF$4:AG$1003,2,FALSE)</f>
        <v>0</v>
      </c>
      <c r="AM346" s="224">
        <f>VLOOKUP($AK346,ENTI!$AF$4:AH$1003,3,FALSE)</f>
        <v>0</v>
      </c>
      <c r="AN346" s="224">
        <f>VLOOKUP($AK346,ENTI!$AF$4:AI$1003,4,FALSE)</f>
        <v>0</v>
      </c>
      <c r="AO346" s="781">
        <f>VLOOKUP($AK346,ENTI!$AF$4:AJ$1003,5,FALSE)</f>
        <v>0</v>
      </c>
      <c r="AP346" s="315">
        <f>VLOOKUP($AK346,ENTI!$AF$4:AK$1003,6,FALSE)</f>
        <v>0</v>
      </c>
      <c r="AQ346" s="208">
        <f t="shared" si="80"/>
        <v>0</v>
      </c>
      <c r="AR346" s="152" t="e">
        <f t="shared" si="81"/>
        <v>#N/A</v>
      </c>
      <c r="AS346" s="1"/>
      <c r="AT346" s="88" t="str">
        <f t="shared" si="74"/>
        <v/>
      </c>
      <c r="AU346" s="1"/>
      <c r="AV346" s="175">
        <f>IF(AW346&gt;0,COUNTIF(AV$4:AV345,"&gt;0")+1,0)</f>
        <v>0</v>
      </c>
      <c r="AW346" s="164">
        <f t="shared" si="75"/>
        <v>0</v>
      </c>
      <c r="AX346" s="310">
        <f>IF($AW346=0,0,VLOOKUP(VLOOKUP($X346,$B$34:$T$38,19,FALSE),ENTI!$A$9:$B$13,2,FALSE))</f>
        <v>0</v>
      </c>
      <c r="AY346" s="310">
        <f t="shared" si="77"/>
        <v>0</v>
      </c>
      <c r="AZ346" s="316">
        <f t="shared" si="78"/>
        <v>0</v>
      </c>
      <c r="BA346" s="1"/>
      <c r="BB346" s="152">
        <f t="shared" si="79"/>
        <v>0</v>
      </c>
      <c r="BC346" s="152">
        <f ca="1">SUM(Z$4:Z346)+SUM(BB$4:BB346)+COSTI!S$6-COSTI!L$1076</f>
        <v>-31.760000000000218</v>
      </c>
      <c r="BD346" s="1"/>
    </row>
    <row r="347" spans="1:56" ht="16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435">
        <f>IF(AND(W347&gt;=$U$1,W347&lt;=$U$2),IF(X347='ESTRATTO CONTO'!$E$2,1+COUNTIF(U$4:U346,"&gt;0"),0),0)</f>
        <v>0</v>
      </c>
      <c r="V347" s="417">
        <f t="shared" si="76"/>
        <v>344</v>
      </c>
      <c r="W347" s="509"/>
      <c r="X347" s="321"/>
      <c r="Y347" s="321"/>
      <c r="Z347" s="508"/>
      <c r="AA347" s="356"/>
      <c r="AB347" s="306" t="str">
        <f t="shared" si="72"/>
        <v/>
      </c>
      <c r="AC347" s="637">
        <f t="shared" ca="1" si="71"/>
        <v>-2.1316282072803006E-13</v>
      </c>
      <c r="AD347" s="935">
        <f>IF(ISERROR(VLOOKUP(AD$2,X348:X$1003,1,FALSE)),IF(X347=AD$2,SUMIF(X$4:X347,AD$2,Z$4:Z347)+$E$9+SUM(AQ$4:AQ$1003)+SUMIF(COSTI!$X$1379:$X$1430,AD$2,COSTI!$Z$1379:$Z$1430),0),0)</f>
        <v>0</v>
      </c>
      <c r="AE347" s="26"/>
      <c r="AF347" s="856" t="e">
        <f>IF(ISERROR(VLOOKUP(AG$2,X348:X$1003,1,FALSE)),IF(X347=AG$2,SUMIF(X$4:X347,AG$2,Z$4:Z347)+VLOOKUP(AF$2,$B$1057:$F$1068,5,FALSE)+SUM(AR$4:AR$1003)+SUMIF(COSTI!$X$1379:$X$1430,AG$2,COSTI!$Z$1379:$Z$1430),0),0)</f>
        <v>#N/A</v>
      </c>
      <c r="AG347" s="859"/>
      <c r="AH347" s="27" t="str">
        <f t="shared" si="73"/>
        <v/>
      </c>
      <c r="AI347" s="152">
        <f ca="1">IF(W348&gt;0,0,IF(AH347=0,(Z347*-1)+BC347+SUM(BB$4:BB346),BC347+SUM(BB$4:BB346)))</f>
        <v>-2.1316282072803006E-13</v>
      </c>
      <c r="AJ347" s="931">
        <f>IF(AND(AL347&gt;=$U$1,AL347&lt;=$U$2),IF(AM347='ESTRATTO CONTO'!$E$2,1+COUNTIF(AJ$4:AJ346,"&gt;0")+U$1015,0),0)</f>
        <v>0</v>
      </c>
      <c r="AK347" s="203">
        <f>IF(AND(OR((AK346+1)&lt;AL$1015,(AK346+1)=AL$1015),MAX(AK$4:AK346)&lt;AL$1015),AK346+1,0)</f>
        <v>0</v>
      </c>
      <c r="AL347" s="309">
        <f>VLOOKUP($AK347,ENTI!$AF$4:AG$1003,2,FALSE)</f>
        <v>0</v>
      </c>
      <c r="AM347" s="224">
        <f>VLOOKUP($AK347,ENTI!$AF$4:AH$1003,3,FALSE)</f>
        <v>0</v>
      </c>
      <c r="AN347" s="224">
        <f>VLOOKUP($AK347,ENTI!$AF$4:AI$1003,4,FALSE)</f>
        <v>0</v>
      </c>
      <c r="AO347" s="781">
        <f>VLOOKUP($AK347,ENTI!$AF$4:AJ$1003,5,FALSE)</f>
        <v>0</v>
      </c>
      <c r="AP347" s="315">
        <f>VLOOKUP($AK347,ENTI!$AF$4:AK$1003,6,FALSE)</f>
        <v>0</v>
      </c>
      <c r="AQ347" s="208">
        <f t="shared" si="80"/>
        <v>0</v>
      </c>
      <c r="AR347" s="152" t="e">
        <f t="shared" si="81"/>
        <v>#N/A</v>
      </c>
      <c r="AS347" s="1"/>
      <c r="AT347" s="88" t="str">
        <f t="shared" si="74"/>
        <v/>
      </c>
      <c r="AU347" s="1"/>
      <c r="AV347" s="175">
        <f>IF(AW347&gt;0,COUNTIF(AV$4:AV346,"&gt;0")+1,0)</f>
        <v>0</v>
      </c>
      <c r="AW347" s="164">
        <f t="shared" si="75"/>
        <v>0</v>
      </c>
      <c r="AX347" s="310">
        <f>IF($AW347=0,0,VLOOKUP(VLOOKUP($X347,$B$34:$T$38,19,FALSE),ENTI!$A$9:$B$13,2,FALSE))</f>
        <v>0</v>
      </c>
      <c r="AY347" s="310">
        <f t="shared" si="77"/>
        <v>0</v>
      </c>
      <c r="AZ347" s="316">
        <f t="shared" si="78"/>
        <v>0</v>
      </c>
      <c r="BA347" s="1"/>
      <c r="BB347" s="152">
        <f t="shared" si="79"/>
        <v>0</v>
      </c>
      <c r="BC347" s="152">
        <f ca="1">SUM(Z$4:Z347)+SUM(BB$4:BB347)+COSTI!S$6-COSTI!L$1076</f>
        <v>-31.760000000000218</v>
      </c>
      <c r="BD347" s="1"/>
    </row>
    <row r="348" spans="1:56" ht="16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435">
        <f>IF(AND(W348&gt;=$U$1,W348&lt;=$U$2),IF(X348='ESTRATTO CONTO'!$E$2,1+COUNTIF(U$4:U347,"&gt;0"),0),0)</f>
        <v>0</v>
      </c>
      <c r="V348" s="417">
        <f t="shared" si="76"/>
        <v>345</v>
      </c>
      <c r="W348" s="509"/>
      <c r="X348" s="321"/>
      <c r="Y348" s="321"/>
      <c r="Z348" s="508"/>
      <c r="AA348" s="356"/>
      <c r="AB348" s="306" t="str">
        <f t="shared" si="72"/>
        <v/>
      </c>
      <c r="AC348" s="637">
        <f t="shared" ca="1" si="71"/>
        <v>-2.1316282072803006E-13</v>
      </c>
      <c r="AD348" s="935">
        <f>IF(ISERROR(VLOOKUP(AD$2,X349:X$1003,1,FALSE)),IF(X348=AD$2,SUMIF(X$4:X348,AD$2,Z$4:Z348)+$E$9+SUM(AQ$4:AQ$1003)+SUMIF(COSTI!$X$1379:$X$1430,AD$2,COSTI!$Z$1379:$Z$1430),0),0)</f>
        <v>0</v>
      </c>
      <c r="AE348" s="26"/>
      <c r="AF348" s="856" t="e">
        <f>IF(ISERROR(VLOOKUP(AG$2,X349:X$1003,1,FALSE)),IF(X348=AG$2,SUMIF(X$4:X348,AG$2,Z$4:Z348)+VLOOKUP(AF$2,$B$1057:$F$1068,5,FALSE)+SUM(AR$4:AR$1003)+SUMIF(COSTI!$X$1379:$X$1430,AG$2,COSTI!$Z$1379:$Z$1430),0),0)</f>
        <v>#N/A</v>
      </c>
      <c r="AG348" s="859"/>
      <c r="AH348" s="27" t="str">
        <f t="shared" si="73"/>
        <v/>
      </c>
      <c r="AI348" s="152">
        <f ca="1">IF(W349&gt;0,0,IF(AH348=0,(Z348*-1)+BC348+SUM(BB$4:BB347),BC348+SUM(BB$4:BB347)))</f>
        <v>-2.1316282072803006E-13</v>
      </c>
      <c r="AJ348" s="931">
        <f>IF(AND(AL348&gt;=$U$1,AL348&lt;=$U$2),IF(AM348='ESTRATTO CONTO'!$E$2,1+COUNTIF(AJ$4:AJ347,"&gt;0")+U$1015,0),0)</f>
        <v>0</v>
      </c>
      <c r="AK348" s="203">
        <f>IF(AND(OR((AK347+1)&lt;AL$1015,(AK347+1)=AL$1015),MAX(AK$4:AK347)&lt;AL$1015),AK347+1,0)</f>
        <v>0</v>
      </c>
      <c r="AL348" s="309">
        <f>VLOOKUP($AK348,ENTI!$AF$4:AG$1003,2,FALSE)</f>
        <v>0</v>
      </c>
      <c r="AM348" s="224">
        <f>VLOOKUP($AK348,ENTI!$AF$4:AH$1003,3,FALSE)</f>
        <v>0</v>
      </c>
      <c r="AN348" s="224">
        <f>VLOOKUP($AK348,ENTI!$AF$4:AI$1003,4,FALSE)</f>
        <v>0</v>
      </c>
      <c r="AO348" s="781">
        <f>VLOOKUP($AK348,ENTI!$AF$4:AJ$1003,5,FALSE)</f>
        <v>0</v>
      </c>
      <c r="AP348" s="315">
        <f>VLOOKUP($AK348,ENTI!$AF$4:AK$1003,6,FALSE)</f>
        <v>0</v>
      </c>
      <c r="AQ348" s="208">
        <f t="shared" si="80"/>
        <v>0</v>
      </c>
      <c r="AR348" s="152" t="e">
        <f t="shared" si="81"/>
        <v>#N/A</v>
      </c>
      <c r="AS348" s="1"/>
      <c r="AT348" s="88" t="str">
        <f t="shared" si="74"/>
        <v/>
      </c>
      <c r="AU348" s="1"/>
      <c r="AV348" s="175">
        <f>IF(AW348&gt;0,COUNTIF(AV$4:AV347,"&gt;0")+1,0)</f>
        <v>0</v>
      </c>
      <c r="AW348" s="164">
        <f t="shared" si="75"/>
        <v>0</v>
      </c>
      <c r="AX348" s="310">
        <f>IF($AW348=0,0,VLOOKUP(VLOOKUP($X348,$B$34:$T$38,19,FALSE),ENTI!$A$9:$B$13,2,FALSE))</f>
        <v>0</v>
      </c>
      <c r="AY348" s="310">
        <f t="shared" si="77"/>
        <v>0</v>
      </c>
      <c r="AZ348" s="316">
        <f t="shared" si="78"/>
        <v>0</v>
      </c>
      <c r="BA348" s="1"/>
      <c r="BB348" s="152">
        <f t="shared" si="79"/>
        <v>0</v>
      </c>
      <c r="BC348" s="152">
        <f ca="1">SUM(Z$4:Z348)+SUM(BB$4:BB348)+COSTI!S$6-COSTI!L$1076</f>
        <v>-31.760000000000218</v>
      </c>
      <c r="BD348" s="1"/>
    </row>
    <row r="349" spans="1:56" ht="16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435">
        <f>IF(AND(W349&gt;=$U$1,W349&lt;=$U$2),IF(X349='ESTRATTO CONTO'!$E$2,1+COUNTIF(U$4:U348,"&gt;0"),0),0)</f>
        <v>0</v>
      </c>
      <c r="V349" s="417">
        <f t="shared" si="76"/>
        <v>346</v>
      </c>
      <c r="W349" s="509"/>
      <c r="X349" s="321"/>
      <c r="Y349" s="321"/>
      <c r="Z349" s="508"/>
      <c r="AA349" s="356"/>
      <c r="AB349" s="306" t="str">
        <f t="shared" si="72"/>
        <v/>
      </c>
      <c r="AC349" s="637">
        <f t="shared" ca="1" si="71"/>
        <v>-2.1316282072803006E-13</v>
      </c>
      <c r="AD349" s="935">
        <f>IF(ISERROR(VLOOKUP(AD$2,X350:X$1003,1,FALSE)),IF(X349=AD$2,SUMIF(X$4:X349,AD$2,Z$4:Z349)+$E$9+SUM(AQ$4:AQ$1003)+SUMIF(COSTI!$X$1379:$X$1430,AD$2,COSTI!$Z$1379:$Z$1430),0),0)</f>
        <v>0</v>
      </c>
      <c r="AE349" s="26"/>
      <c r="AF349" s="856" t="e">
        <f>IF(ISERROR(VLOOKUP(AG$2,X350:X$1003,1,FALSE)),IF(X349=AG$2,SUMIF(X$4:X349,AG$2,Z$4:Z349)+VLOOKUP(AF$2,$B$1057:$F$1068,5,FALSE)+SUM(AR$4:AR$1003)+SUMIF(COSTI!$X$1379:$X$1430,AG$2,COSTI!$Z$1379:$Z$1430),0),0)</f>
        <v>#N/A</v>
      </c>
      <c r="AG349" s="859"/>
      <c r="AH349" s="27" t="str">
        <f t="shared" si="73"/>
        <v/>
      </c>
      <c r="AI349" s="152">
        <f ca="1">IF(W350&gt;0,0,IF(AH349=0,(Z349*-1)+BC349+SUM(BB$4:BB348),BC349+SUM(BB$4:BB348)))</f>
        <v>-2.1316282072803006E-13</v>
      </c>
      <c r="AJ349" s="931">
        <f>IF(AND(AL349&gt;=$U$1,AL349&lt;=$U$2),IF(AM349='ESTRATTO CONTO'!$E$2,1+COUNTIF(AJ$4:AJ348,"&gt;0")+U$1015,0),0)</f>
        <v>0</v>
      </c>
      <c r="AK349" s="203">
        <f>IF(AND(OR((AK348+1)&lt;AL$1015,(AK348+1)=AL$1015),MAX(AK$4:AK348)&lt;AL$1015),AK348+1,0)</f>
        <v>0</v>
      </c>
      <c r="AL349" s="309">
        <f>VLOOKUP($AK349,ENTI!$AF$4:AG$1003,2,FALSE)</f>
        <v>0</v>
      </c>
      <c r="AM349" s="224">
        <f>VLOOKUP($AK349,ENTI!$AF$4:AH$1003,3,FALSE)</f>
        <v>0</v>
      </c>
      <c r="AN349" s="224">
        <f>VLOOKUP($AK349,ENTI!$AF$4:AI$1003,4,FALSE)</f>
        <v>0</v>
      </c>
      <c r="AO349" s="781">
        <f>VLOOKUP($AK349,ENTI!$AF$4:AJ$1003,5,FALSE)</f>
        <v>0</v>
      </c>
      <c r="AP349" s="315">
        <f>VLOOKUP($AK349,ENTI!$AF$4:AK$1003,6,FALSE)</f>
        <v>0</v>
      </c>
      <c r="AQ349" s="208">
        <f t="shared" si="80"/>
        <v>0</v>
      </c>
      <c r="AR349" s="152" t="e">
        <f t="shared" si="81"/>
        <v>#N/A</v>
      </c>
      <c r="AS349" s="1"/>
      <c r="AT349" s="88" t="str">
        <f t="shared" si="74"/>
        <v/>
      </c>
      <c r="AU349" s="1"/>
      <c r="AV349" s="175">
        <f>IF(AW349&gt;0,COUNTIF(AV$4:AV348,"&gt;0")+1,0)</f>
        <v>0</v>
      </c>
      <c r="AW349" s="164">
        <f t="shared" si="75"/>
        <v>0</v>
      </c>
      <c r="AX349" s="310">
        <f>IF($AW349=0,0,VLOOKUP(VLOOKUP($X349,$B$34:$T$38,19,FALSE),ENTI!$A$9:$B$13,2,FALSE))</f>
        <v>0</v>
      </c>
      <c r="AY349" s="310">
        <f t="shared" si="77"/>
        <v>0</v>
      </c>
      <c r="AZ349" s="316">
        <f t="shared" si="78"/>
        <v>0</v>
      </c>
      <c r="BA349" s="1"/>
      <c r="BB349" s="152">
        <f t="shared" si="79"/>
        <v>0</v>
      </c>
      <c r="BC349" s="152">
        <f ca="1">SUM(Z$4:Z349)+SUM(BB$4:BB349)+COSTI!S$6-COSTI!L$1076</f>
        <v>-31.760000000000218</v>
      </c>
      <c r="BD349" s="1"/>
    </row>
    <row r="350" spans="1:56" ht="16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435">
        <f>IF(AND(W350&gt;=$U$1,W350&lt;=$U$2),IF(X350='ESTRATTO CONTO'!$E$2,1+COUNTIF(U$4:U349,"&gt;0"),0),0)</f>
        <v>0</v>
      </c>
      <c r="V350" s="417">
        <f t="shared" si="76"/>
        <v>347</v>
      </c>
      <c r="W350" s="509"/>
      <c r="X350" s="321"/>
      <c r="Y350" s="321"/>
      <c r="Z350" s="508"/>
      <c r="AA350" s="356"/>
      <c r="AB350" s="306" t="str">
        <f t="shared" si="72"/>
        <v/>
      </c>
      <c r="AC350" s="637">
        <f t="shared" ca="1" si="71"/>
        <v>-2.1316282072803006E-13</v>
      </c>
      <c r="AD350" s="935">
        <f>IF(ISERROR(VLOOKUP(AD$2,X351:X$1003,1,FALSE)),IF(X350=AD$2,SUMIF(X$4:X350,AD$2,Z$4:Z350)+$E$9+SUM(AQ$4:AQ$1003)+SUMIF(COSTI!$X$1379:$X$1430,AD$2,COSTI!$Z$1379:$Z$1430),0),0)</f>
        <v>0</v>
      </c>
      <c r="AE350" s="26"/>
      <c r="AF350" s="856" t="e">
        <f>IF(ISERROR(VLOOKUP(AG$2,X351:X$1003,1,FALSE)),IF(X350=AG$2,SUMIF(X$4:X350,AG$2,Z$4:Z350)+VLOOKUP(AF$2,$B$1057:$F$1068,5,FALSE)+SUM(AR$4:AR$1003)+SUMIF(COSTI!$X$1379:$X$1430,AG$2,COSTI!$Z$1379:$Z$1430),0),0)</f>
        <v>#N/A</v>
      </c>
      <c r="AG350" s="859"/>
      <c r="AH350" s="27" t="str">
        <f t="shared" si="73"/>
        <v/>
      </c>
      <c r="AI350" s="152">
        <f ca="1">IF(W351&gt;0,0,IF(AH350=0,(Z350*-1)+BC350+SUM(BB$4:BB349),BC350+SUM(BB$4:BB349)))</f>
        <v>-2.1316282072803006E-13</v>
      </c>
      <c r="AJ350" s="931">
        <f>IF(AND(AL350&gt;=$U$1,AL350&lt;=$U$2),IF(AM350='ESTRATTO CONTO'!$E$2,1+COUNTIF(AJ$4:AJ349,"&gt;0")+U$1015,0),0)</f>
        <v>0</v>
      </c>
      <c r="AK350" s="203">
        <f>IF(AND(OR((AK349+1)&lt;AL$1015,(AK349+1)=AL$1015),MAX(AK$4:AK349)&lt;AL$1015),AK349+1,0)</f>
        <v>0</v>
      </c>
      <c r="AL350" s="309">
        <f>VLOOKUP($AK350,ENTI!$AF$4:AG$1003,2,FALSE)</f>
        <v>0</v>
      </c>
      <c r="AM350" s="224">
        <f>VLOOKUP($AK350,ENTI!$AF$4:AH$1003,3,FALSE)</f>
        <v>0</v>
      </c>
      <c r="AN350" s="224">
        <f>VLOOKUP($AK350,ENTI!$AF$4:AI$1003,4,FALSE)</f>
        <v>0</v>
      </c>
      <c r="AO350" s="781">
        <f>VLOOKUP($AK350,ENTI!$AF$4:AJ$1003,5,FALSE)</f>
        <v>0</v>
      </c>
      <c r="AP350" s="315">
        <f>VLOOKUP($AK350,ENTI!$AF$4:AK$1003,6,FALSE)</f>
        <v>0</v>
      </c>
      <c r="AQ350" s="208">
        <f t="shared" si="80"/>
        <v>0</v>
      </c>
      <c r="AR350" s="152" t="e">
        <f t="shared" si="81"/>
        <v>#N/A</v>
      </c>
      <c r="AS350" s="1"/>
      <c r="AT350" s="88" t="str">
        <f t="shared" si="74"/>
        <v/>
      </c>
      <c r="AU350" s="1"/>
      <c r="AV350" s="175">
        <f>IF(AW350&gt;0,COUNTIF(AV$4:AV349,"&gt;0")+1,0)</f>
        <v>0</v>
      </c>
      <c r="AW350" s="164">
        <f t="shared" si="75"/>
        <v>0</v>
      </c>
      <c r="AX350" s="310">
        <f>IF($AW350=0,0,VLOOKUP(VLOOKUP($X350,$B$34:$T$38,19,FALSE),ENTI!$A$9:$B$13,2,FALSE))</f>
        <v>0</v>
      </c>
      <c r="AY350" s="310">
        <f t="shared" si="77"/>
        <v>0</v>
      </c>
      <c r="AZ350" s="316">
        <f t="shared" si="78"/>
        <v>0</v>
      </c>
      <c r="BA350" s="1"/>
      <c r="BB350" s="152">
        <f t="shared" si="79"/>
        <v>0</v>
      </c>
      <c r="BC350" s="152">
        <f ca="1">SUM(Z$4:Z350)+SUM(BB$4:BB350)+COSTI!S$6-COSTI!L$1076</f>
        <v>-31.760000000000218</v>
      </c>
      <c r="BD350" s="1"/>
    </row>
    <row r="351" spans="1:56" ht="16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435">
        <f>IF(AND(W351&gt;=$U$1,W351&lt;=$U$2),IF(X351='ESTRATTO CONTO'!$E$2,1+COUNTIF(U$4:U350,"&gt;0"),0),0)</f>
        <v>0</v>
      </c>
      <c r="V351" s="417">
        <f t="shared" si="76"/>
        <v>348</v>
      </c>
      <c r="W351" s="509"/>
      <c r="X351" s="321"/>
      <c r="Y351" s="321"/>
      <c r="Z351" s="508"/>
      <c r="AA351" s="356"/>
      <c r="AB351" s="306" t="str">
        <f t="shared" si="72"/>
        <v/>
      </c>
      <c r="AC351" s="637">
        <f t="shared" ca="1" si="71"/>
        <v>-2.1316282072803006E-13</v>
      </c>
      <c r="AD351" s="935">
        <f>IF(ISERROR(VLOOKUP(AD$2,X352:X$1003,1,FALSE)),IF(X351=AD$2,SUMIF(X$4:X351,AD$2,Z$4:Z351)+$E$9+SUM(AQ$4:AQ$1003)+SUMIF(COSTI!$X$1379:$X$1430,AD$2,COSTI!$Z$1379:$Z$1430),0),0)</f>
        <v>0</v>
      </c>
      <c r="AE351" s="26"/>
      <c r="AF351" s="856" t="e">
        <f>IF(ISERROR(VLOOKUP(AG$2,X352:X$1003,1,FALSE)),IF(X351=AG$2,SUMIF(X$4:X351,AG$2,Z$4:Z351)+VLOOKUP(AF$2,$B$1057:$F$1068,5,FALSE)+SUM(AR$4:AR$1003)+SUMIF(COSTI!$X$1379:$X$1430,AG$2,COSTI!$Z$1379:$Z$1430),0),0)</f>
        <v>#N/A</v>
      </c>
      <c r="AG351" s="859"/>
      <c r="AH351" s="27" t="str">
        <f t="shared" si="73"/>
        <v/>
      </c>
      <c r="AI351" s="152">
        <f ca="1">IF(W352&gt;0,0,IF(AH351=0,(Z351*-1)+BC351+SUM(BB$4:BB350),BC351+SUM(BB$4:BB350)))</f>
        <v>-2.1316282072803006E-13</v>
      </c>
      <c r="AJ351" s="931">
        <f>IF(AND(AL351&gt;=$U$1,AL351&lt;=$U$2),IF(AM351='ESTRATTO CONTO'!$E$2,1+COUNTIF(AJ$4:AJ350,"&gt;0")+U$1015,0),0)</f>
        <v>0</v>
      </c>
      <c r="AK351" s="203">
        <f>IF(AND(OR((AK350+1)&lt;AL$1015,(AK350+1)=AL$1015),MAX(AK$4:AK350)&lt;AL$1015),AK350+1,0)</f>
        <v>0</v>
      </c>
      <c r="AL351" s="309">
        <f>VLOOKUP($AK351,ENTI!$AF$4:AG$1003,2,FALSE)</f>
        <v>0</v>
      </c>
      <c r="AM351" s="224">
        <f>VLOOKUP($AK351,ENTI!$AF$4:AH$1003,3,FALSE)</f>
        <v>0</v>
      </c>
      <c r="AN351" s="224">
        <f>VLOOKUP($AK351,ENTI!$AF$4:AI$1003,4,FALSE)</f>
        <v>0</v>
      </c>
      <c r="AO351" s="781">
        <f>VLOOKUP($AK351,ENTI!$AF$4:AJ$1003,5,FALSE)</f>
        <v>0</v>
      </c>
      <c r="AP351" s="315">
        <f>VLOOKUP($AK351,ENTI!$AF$4:AK$1003,6,FALSE)</f>
        <v>0</v>
      </c>
      <c r="AQ351" s="208">
        <f t="shared" si="80"/>
        <v>0</v>
      </c>
      <c r="AR351" s="152" t="e">
        <f t="shared" si="81"/>
        <v>#N/A</v>
      </c>
      <c r="AS351" s="1"/>
      <c r="AT351" s="88" t="str">
        <f t="shared" si="74"/>
        <v/>
      </c>
      <c r="AU351" s="1"/>
      <c r="AV351" s="175">
        <f>IF(AW351&gt;0,COUNTIF(AV$4:AV350,"&gt;0")+1,0)</f>
        <v>0</v>
      </c>
      <c r="AW351" s="164">
        <f t="shared" si="75"/>
        <v>0</v>
      </c>
      <c r="AX351" s="310">
        <f>IF($AW351=0,0,VLOOKUP(VLOOKUP($X351,$B$34:$T$38,19,FALSE),ENTI!$A$9:$B$13,2,FALSE))</f>
        <v>0</v>
      </c>
      <c r="AY351" s="310">
        <f t="shared" si="77"/>
        <v>0</v>
      </c>
      <c r="AZ351" s="316">
        <f t="shared" si="78"/>
        <v>0</v>
      </c>
      <c r="BA351" s="1"/>
      <c r="BB351" s="152">
        <f t="shared" si="79"/>
        <v>0</v>
      </c>
      <c r="BC351" s="152">
        <f ca="1">SUM(Z$4:Z351)+SUM(BB$4:BB351)+COSTI!S$6-COSTI!L$1076</f>
        <v>-31.760000000000218</v>
      </c>
      <c r="BD351" s="1"/>
    </row>
    <row r="352" spans="1:56" ht="16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435">
        <f>IF(AND(W352&gt;=$U$1,W352&lt;=$U$2),IF(X352='ESTRATTO CONTO'!$E$2,1+COUNTIF(U$4:U351,"&gt;0"),0),0)</f>
        <v>0</v>
      </c>
      <c r="V352" s="417">
        <f t="shared" si="76"/>
        <v>349</v>
      </c>
      <c r="W352" s="509"/>
      <c r="X352" s="321"/>
      <c r="Y352" s="321"/>
      <c r="Z352" s="508"/>
      <c r="AA352" s="356"/>
      <c r="AB352" s="306" t="str">
        <f t="shared" si="72"/>
        <v/>
      </c>
      <c r="AC352" s="637">
        <f t="shared" ca="1" si="71"/>
        <v>-2.1316282072803006E-13</v>
      </c>
      <c r="AD352" s="935">
        <f>IF(ISERROR(VLOOKUP(AD$2,X353:X$1003,1,FALSE)),IF(X352=AD$2,SUMIF(X$4:X352,AD$2,Z$4:Z352)+$E$9+SUM(AQ$4:AQ$1003)+SUMIF(COSTI!$X$1379:$X$1430,AD$2,COSTI!$Z$1379:$Z$1430),0),0)</f>
        <v>0</v>
      </c>
      <c r="AE352" s="26"/>
      <c r="AF352" s="856" t="e">
        <f>IF(ISERROR(VLOOKUP(AG$2,X353:X$1003,1,FALSE)),IF(X352=AG$2,SUMIF(X$4:X352,AG$2,Z$4:Z352)+VLOOKUP(AF$2,$B$1057:$F$1068,5,FALSE)+SUM(AR$4:AR$1003)+SUMIF(COSTI!$X$1379:$X$1430,AG$2,COSTI!$Z$1379:$Z$1430),0),0)</f>
        <v>#N/A</v>
      </c>
      <c r="AG352" s="859"/>
      <c r="AH352" s="27" t="str">
        <f t="shared" si="73"/>
        <v/>
      </c>
      <c r="AI352" s="152">
        <f ca="1">IF(W353&gt;0,0,IF(AH352=0,(Z352*-1)+BC352+SUM(BB$4:BB351),BC352+SUM(BB$4:BB351)))</f>
        <v>-2.1316282072803006E-13</v>
      </c>
      <c r="AJ352" s="931">
        <f>IF(AND(AL352&gt;=$U$1,AL352&lt;=$U$2),IF(AM352='ESTRATTO CONTO'!$E$2,1+COUNTIF(AJ$4:AJ351,"&gt;0")+U$1015,0),0)</f>
        <v>0</v>
      </c>
      <c r="AK352" s="203">
        <f>IF(AND(OR((AK351+1)&lt;AL$1015,(AK351+1)=AL$1015),MAX(AK$4:AK351)&lt;AL$1015),AK351+1,0)</f>
        <v>0</v>
      </c>
      <c r="AL352" s="309">
        <f>VLOOKUP($AK352,ENTI!$AF$4:AG$1003,2,FALSE)</f>
        <v>0</v>
      </c>
      <c r="AM352" s="224">
        <f>VLOOKUP($AK352,ENTI!$AF$4:AH$1003,3,FALSE)</f>
        <v>0</v>
      </c>
      <c r="AN352" s="224">
        <f>VLOOKUP($AK352,ENTI!$AF$4:AI$1003,4,FALSE)</f>
        <v>0</v>
      </c>
      <c r="AO352" s="781">
        <f>VLOOKUP($AK352,ENTI!$AF$4:AJ$1003,5,FALSE)</f>
        <v>0</v>
      </c>
      <c r="AP352" s="315">
        <f>VLOOKUP($AK352,ENTI!$AF$4:AK$1003,6,FALSE)</f>
        <v>0</v>
      </c>
      <c r="AQ352" s="208">
        <f t="shared" si="80"/>
        <v>0</v>
      </c>
      <c r="AR352" s="152" t="e">
        <f t="shared" si="81"/>
        <v>#N/A</v>
      </c>
      <c r="AS352" s="1"/>
      <c r="AT352" s="88" t="str">
        <f t="shared" si="74"/>
        <v/>
      </c>
      <c r="AU352" s="1"/>
      <c r="AV352" s="175">
        <f>IF(AW352&gt;0,COUNTIF(AV$4:AV351,"&gt;0")+1,0)</f>
        <v>0</v>
      </c>
      <c r="AW352" s="164">
        <f t="shared" si="75"/>
        <v>0</v>
      </c>
      <c r="AX352" s="310">
        <f>IF($AW352=0,0,VLOOKUP(VLOOKUP($X352,$B$34:$T$38,19,FALSE),ENTI!$A$9:$B$13,2,FALSE))</f>
        <v>0</v>
      </c>
      <c r="AY352" s="310">
        <f t="shared" si="77"/>
        <v>0</v>
      </c>
      <c r="AZ352" s="316">
        <f t="shared" si="78"/>
        <v>0</v>
      </c>
      <c r="BA352" s="1"/>
      <c r="BB352" s="152">
        <f t="shared" si="79"/>
        <v>0</v>
      </c>
      <c r="BC352" s="152">
        <f ca="1">SUM(Z$4:Z352)+SUM(BB$4:BB352)+COSTI!S$6-COSTI!L$1076</f>
        <v>-31.760000000000218</v>
      </c>
      <c r="BD352" s="1"/>
    </row>
    <row r="353" spans="1:56" ht="16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435">
        <f>IF(AND(W353&gt;=$U$1,W353&lt;=$U$2),IF(X353='ESTRATTO CONTO'!$E$2,1+COUNTIF(U$4:U352,"&gt;0"),0),0)</f>
        <v>0</v>
      </c>
      <c r="V353" s="417">
        <f t="shared" si="76"/>
        <v>350</v>
      </c>
      <c r="W353" s="509"/>
      <c r="X353" s="321"/>
      <c r="Y353" s="321"/>
      <c r="Z353" s="508"/>
      <c r="AA353" s="356"/>
      <c r="AB353" s="306" t="str">
        <f t="shared" si="72"/>
        <v/>
      </c>
      <c r="AC353" s="637">
        <f t="shared" ca="1" si="71"/>
        <v>-2.1316282072803006E-13</v>
      </c>
      <c r="AD353" s="935">
        <f>IF(ISERROR(VLOOKUP(AD$2,X354:X$1003,1,FALSE)),IF(X353=AD$2,SUMIF(X$4:X353,AD$2,Z$4:Z353)+$E$9+SUM(AQ$4:AQ$1003)+SUMIF(COSTI!$X$1379:$X$1430,AD$2,COSTI!$Z$1379:$Z$1430),0),0)</f>
        <v>0</v>
      </c>
      <c r="AE353" s="26"/>
      <c r="AF353" s="856" t="e">
        <f>IF(ISERROR(VLOOKUP(AG$2,X354:X$1003,1,FALSE)),IF(X353=AG$2,SUMIF(X$4:X353,AG$2,Z$4:Z353)+VLOOKUP(AF$2,$B$1057:$F$1068,5,FALSE)+SUM(AR$4:AR$1003)+SUMIF(COSTI!$X$1379:$X$1430,AG$2,COSTI!$Z$1379:$Z$1430),0),0)</f>
        <v>#N/A</v>
      </c>
      <c r="AG353" s="859"/>
      <c r="AH353" s="27" t="str">
        <f t="shared" si="73"/>
        <v/>
      </c>
      <c r="AI353" s="152">
        <f ca="1">IF(W354&gt;0,0,IF(AH353=0,(Z353*-1)+BC353+SUM(BB$4:BB352),BC353+SUM(BB$4:BB352)))</f>
        <v>-2.1316282072803006E-13</v>
      </c>
      <c r="AJ353" s="931">
        <f>IF(AND(AL353&gt;=$U$1,AL353&lt;=$U$2),IF(AM353='ESTRATTO CONTO'!$E$2,1+COUNTIF(AJ$4:AJ352,"&gt;0")+U$1015,0),0)</f>
        <v>0</v>
      </c>
      <c r="AK353" s="203">
        <f>IF(AND(OR((AK352+1)&lt;AL$1015,(AK352+1)=AL$1015),MAX(AK$4:AK352)&lt;AL$1015),AK352+1,0)</f>
        <v>0</v>
      </c>
      <c r="AL353" s="309">
        <f>VLOOKUP($AK353,ENTI!$AF$4:AG$1003,2,FALSE)</f>
        <v>0</v>
      </c>
      <c r="AM353" s="224">
        <f>VLOOKUP($AK353,ENTI!$AF$4:AH$1003,3,FALSE)</f>
        <v>0</v>
      </c>
      <c r="AN353" s="224">
        <f>VLOOKUP($AK353,ENTI!$AF$4:AI$1003,4,FALSE)</f>
        <v>0</v>
      </c>
      <c r="AO353" s="781">
        <f>VLOOKUP($AK353,ENTI!$AF$4:AJ$1003,5,FALSE)</f>
        <v>0</v>
      </c>
      <c r="AP353" s="315">
        <f>VLOOKUP($AK353,ENTI!$AF$4:AK$1003,6,FALSE)</f>
        <v>0</v>
      </c>
      <c r="AQ353" s="208">
        <f t="shared" si="80"/>
        <v>0</v>
      </c>
      <c r="AR353" s="152" t="e">
        <f t="shared" si="81"/>
        <v>#N/A</v>
      </c>
      <c r="AS353" s="1"/>
      <c r="AT353" s="88" t="str">
        <f t="shared" si="74"/>
        <v/>
      </c>
      <c r="AU353" s="1"/>
      <c r="AV353" s="175">
        <f>IF(AW353&gt;0,COUNTIF(AV$4:AV352,"&gt;0")+1,0)</f>
        <v>0</v>
      </c>
      <c r="AW353" s="164">
        <f t="shared" si="75"/>
        <v>0</v>
      </c>
      <c r="AX353" s="310">
        <f>IF($AW353=0,0,VLOOKUP(VLOOKUP($X353,$B$34:$T$38,19,FALSE),ENTI!$A$9:$B$13,2,FALSE))</f>
        <v>0</v>
      </c>
      <c r="AY353" s="310">
        <f t="shared" si="77"/>
        <v>0</v>
      </c>
      <c r="AZ353" s="316">
        <f t="shared" si="78"/>
        <v>0</v>
      </c>
      <c r="BA353" s="1"/>
      <c r="BB353" s="152">
        <f t="shared" si="79"/>
        <v>0</v>
      </c>
      <c r="BC353" s="152">
        <f ca="1">SUM(Z$4:Z353)+SUM(BB$4:BB353)+COSTI!S$6-COSTI!L$1076</f>
        <v>-31.760000000000218</v>
      </c>
      <c r="BD353" s="1"/>
    </row>
    <row r="354" spans="1:56" ht="16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435">
        <f>IF(AND(W354&gt;=$U$1,W354&lt;=$U$2),IF(X354='ESTRATTO CONTO'!$E$2,1+COUNTIF(U$4:U353,"&gt;0"),0),0)</f>
        <v>0</v>
      </c>
      <c r="V354" s="417">
        <f t="shared" si="76"/>
        <v>351</v>
      </c>
      <c r="W354" s="509"/>
      <c r="X354" s="321"/>
      <c r="Y354" s="321"/>
      <c r="Z354" s="508"/>
      <c r="AA354" s="356"/>
      <c r="AB354" s="306" t="str">
        <f t="shared" si="72"/>
        <v/>
      </c>
      <c r="AC354" s="637">
        <f t="shared" ca="1" si="71"/>
        <v>-2.1316282072803006E-13</v>
      </c>
      <c r="AD354" s="935">
        <f>IF(ISERROR(VLOOKUP(AD$2,X355:X$1003,1,FALSE)),IF(X354=AD$2,SUMIF(X$4:X354,AD$2,Z$4:Z354)+$E$9+SUM(AQ$4:AQ$1003)+SUMIF(COSTI!$X$1379:$X$1430,AD$2,COSTI!$Z$1379:$Z$1430),0),0)</f>
        <v>0</v>
      </c>
      <c r="AE354" s="26"/>
      <c r="AF354" s="856" t="e">
        <f>IF(ISERROR(VLOOKUP(AG$2,X355:X$1003,1,FALSE)),IF(X354=AG$2,SUMIF(X$4:X354,AG$2,Z$4:Z354)+VLOOKUP(AF$2,$B$1057:$F$1068,5,FALSE)+SUM(AR$4:AR$1003)+SUMIF(COSTI!$X$1379:$X$1430,AG$2,COSTI!$Z$1379:$Z$1430),0),0)</f>
        <v>#N/A</v>
      </c>
      <c r="AG354" s="859"/>
      <c r="AH354" s="27" t="str">
        <f t="shared" si="73"/>
        <v/>
      </c>
      <c r="AI354" s="152">
        <f ca="1">IF(W355&gt;0,0,IF(AH354=0,(Z354*-1)+BC354+SUM(BB$4:BB353),BC354+SUM(BB$4:BB353)))</f>
        <v>-2.1316282072803006E-13</v>
      </c>
      <c r="AJ354" s="931">
        <f>IF(AND(AL354&gt;=$U$1,AL354&lt;=$U$2),IF(AM354='ESTRATTO CONTO'!$E$2,1+COUNTIF(AJ$4:AJ353,"&gt;0")+U$1015,0),0)</f>
        <v>0</v>
      </c>
      <c r="AK354" s="203">
        <f>IF(AND(OR((AK353+1)&lt;AL$1015,(AK353+1)=AL$1015),MAX(AK$4:AK353)&lt;AL$1015),AK353+1,0)</f>
        <v>0</v>
      </c>
      <c r="AL354" s="309">
        <f>VLOOKUP($AK354,ENTI!$AF$4:AG$1003,2,FALSE)</f>
        <v>0</v>
      </c>
      <c r="AM354" s="224">
        <f>VLOOKUP($AK354,ENTI!$AF$4:AH$1003,3,FALSE)</f>
        <v>0</v>
      </c>
      <c r="AN354" s="224">
        <f>VLOOKUP($AK354,ENTI!$AF$4:AI$1003,4,FALSE)</f>
        <v>0</v>
      </c>
      <c r="AO354" s="781">
        <f>VLOOKUP($AK354,ENTI!$AF$4:AJ$1003,5,FALSE)</f>
        <v>0</v>
      </c>
      <c r="AP354" s="315">
        <f>VLOOKUP($AK354,ENTI!$AF$4:AK$1003,6,FALSE)</f>
        <v>0</v>
      </c>
      <c r="AQ354" s="208">
        <f t="shared" si="80"/>
        <v>0</v>
      </c>
      <c r="AR354" s="152" t="e">
        <f t="shared" si="81"/>
        <v>#N/A</v>
      </c>
      <c r="AS354" s="1"/>
      <c r="AT354" s="88" t="str">
        <f t="shared" si="74"/>
        <v/>
      </c>
      <c r="AU354" s="1"/>
      <c r="AV354" s="175">
        <f>IF(AW354&gt;0,COUNTIF(AV$4:AV353,"&gt;0")+1,0)</f>
        <v>0</v>
      </c>
      <c r="AW354" s="164">
        <f t="shared" si="75"/>
        <v>0</v>
      </c>
      <c r="AX354" s="310">
        <f>IF($AW354=0,0,VLOOKUP(VLOOKUP($X354,$B$34:$T$38,19,FALSE),ENTI!$A$9:$B$13,2,FALSE))</f>
        <v>0</v>
      </c>
      <c r="AY354" s="310">
        <f t="shared" si="77"/>
        <v>0</v>
      </c>
      <c r="AZ354" s="316">
        <f t="shared" si="78"/>
        <v>0</v>
      </c>
      <c r="BA354" s="1"/>
      <c r="BB354" s="152">
        <f t="shared" si="79"/>
        <v>0</v>
      </c>
      <c r="BC354" s="152">
        <f ca="1">SUM(Z$4:Z354)+SUM(BB$4:BB354)+COSTI!S$6-COSTI!L$1076</f>
        <v>-31.760000000000218</v>
      </c>
      <c r="BD354" s="1"/>
    </row>
    <row r="355" spans="1:56" ht="16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435">
        <f>IF(AND(W355&gt;=$U$1,W355&lt;=$U$2),IF(X355='ESTRATTO CONTO'!$E$2,1+COUNTIF(U$4:U354,"&gt;0"),0),0)</f>
        <v>0</v>
      </c>
      <c r="V355" s="417">
        <f t="shared" si="76"/>
        <v>352</v>
      </c>
      <c r="W355" s="509"/>
      <c r="X355" s="321"/>
      <c r="Y355" s="321"/>
      <c r="Z355" s="508"/>
      <c r="AA355" s="356"/>
      <c r="AB355" s="306" t="str">
        <f t="shared" si="72"/>
        <v/>
      </c>
      <c r="AC355" s="637">
        <f t="shared" ca="1" si="71"/>
        <v>-2.1316282072803006E-13</v>
      </c>
      <c r="AD355" s="935">
        <f>IF(ISERROR(VLOOKUP(AD$2,X356:X$1003,1,FALSE)),IF(X355=AD$2,SUMIF(X$4:X355,AD$2,Z$4:Z355)+$E$9+SUM(AQ$4:AQ$1003)+SUMIF(COSTI!$X$1379:$X$1430,AD$2,COSTI!$Z$1379:$Z$1430),0),0)</f>
        <v>0</v>
      </c>
      <c r="AE355" s="26"/>
      <c r="AF355" s="856" t="e">
        <f>IF(ISERROR(VLOOKUP(AG$2,X356:X$1003,1,FALSE)),IF(X355=AG$2,SUMIF(X$4:X355,AG$2,Z$4:Z355)+VLOOKUP(AF$2,$B$1057:$F$1068,5,FALSE)+SUM(AR$4:AR$1003)+SUMIF(COSTI!$X$1379:$X$1430,AG$2,COSTI!$Z$1379:$Z$1430),0),0)</f>
        <v>#N/A</v>
      </c>
      <c r="AG355" s="859"/>
      <c r="AH355" s="27" t="str">
        <f t="shared" si="73"/>
        <v/>
      </c>
      <c r="AI355" s="152">
        <f ca="1">IF(W356&gt;0,0,IF(AH355=0,(Z355*-1)+BC355+SUM(BB$4:BB354),BC355+SUM(BB$4:BB354)))</f>
        <v>-2.1316282072803006E-13</v>
      </c>
      <c r="AJ355" s="931">
        <f>IF(AND(AL355&gt;=$U$1,AL355&lt;=$U$2),IF(AM355='ESTRATTO CONTO'!$E$2,1+COUNTIF(AJ$4:AJ354,"&gt;0")+U$1015,0),0)</f>
        <v>0</v>
      </c>
      <c r="AK355" s="203">
        <f>IF(AND(OR((AK354+1)&lt;AL$1015,(AK354+1)=AL$1015),MAX(AK$4:AK354)&lt;AL$1015),AK354+1,0)</f>
        <v>0</v>
      </c>
      <c r="AL355" s="309">
        <f>VLOOKUP($AK355,ENTI!$AF$4:AG$1003,2,FALSE)</f>
        <v>0</v>
      </c>
      <c r="AM355" s="224">
        <f>VLOOKUP($AK355,ENTI!$AF$4:AH$1003,3,FALSE)</f>
        <v>0</v>
      </c>
      <c r="AN355" s="224">
        <f>VLOOKUP($AK355,ENTI!$AF$4:AI$1003,4,FALSE)</f>
        <v>0</v>
      </c>
      <c r="AO355" s="781">
        <f>VLOOKUP($AK355,ENTI!$AF$4:AJ$1003,5,FALSE)</f>
        <v>0</v>
      </c>
      <c r="AP355" s="315">
        <f>VLOOKUP($AK355,ENTI!$AF$4:AK$1003,6,FALSE)</f>
        <v>0</v>
      </c>
      <c r="AQ355" s="208">
        <f t="shared" si="80"/>
        <v>0</v>
      </c>
      <c r="AR355" s="152" t="e">
        <f t="shared" si="81"/>
        <v>#N/A</v>
      </c>
      <c r="AS355" s="1"/>
      <c r="AT355" s="88" t="str">
        <f t="shared" si="74"/>
        <v/>
      </c>
      <c r="AU355" s="1"/>
      <c r="AV355" s="175">
        <f>IF(AW355&gt;0,COUNTIF(AV$4:AV354,"&gt;0")+1,0)</f>
        <v>0</v>
      </c>
      <c r="AW355" s="164">
        <f t="shared" si="75"/>
        <v>0</v>
      </c>
      <c r="AX355" s="310">
        <f>IF($AW355=0,0,VLOOKUP(VLOOKUP($X355,$B$34:$T$38,19,FALSE),ENTI!$A$9:$B$13,2,FALSE))</f>
        <v>0</v>
      </c>
      <c r="AY355" s="310">
        <f t="shared" si="77"/>
        <v>0</v>
      </c>
      <c r="AZ355" s="316">
        <f t="shared" si="78"/>
        <v>0</v>
      </c>
      <c r="BA355" s="1"/>
      <c r="BB355" s="152">
        <f t="shared" si="79"/>
        <v>0</v>
      </c>
      <c r="BC355" s="152">
        <f ca="1">SUM(Z$4:Z355)+SUM(BB$4:BB355)+COSTI!S$6-COSTI!L$1076</f>
        <v>-31.760000000000218</v>
      </c>
      <c r="BD355" s="1"/>
    </row>
    <row r="356" spans="1:56" ht="16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435">
        <f>IF(AND(W356&gt;=$U$1,W356&lt;=$U$2),IF(X356='ESTRATTO CONTO'!$E$2,1+COUNTIF(U$4:U355,"&gt;0"),0),0)</f>
        <v>0</v>
      </c>
      <c r="V356" s="417">
        <f t="shared" si="76"/>
        <v>353</v>
      </c>
      <c r="W356" s="509"/>
      <c r="X356" s="321"/>
      <c r="Y356" s="321"/>
      <c r="Z356" s="508"/>
      <c r="AA356" s="356"/>
      <c r="AB356" s="306" t="str">
        <f t="shared" si="72"/>
        <v/>
      </c>
      <c r="AC356" s="637">
        <f t="shared" ca="1" si="71"/>
        <v>-2.1316282072803006E-13</v>
      </c>
      <c r="AD356" s="935">
        <f>IF(ISERROR(VLOOKUP(AD$2,X357:X$1003,1,FALSE)),IF(X356=AD$2,SUMIF(X$4:X356,AD$2,Z$4:Z356)+$E$9+SUM(AQ$4:AQ$1003)+SUMIF(COSTI!$X$1379:$X$1430,AD$2,COSTI!$Z$1379:$Z$1430),0),0)</f>
        <v>0</v>
      </c>
      <c r="AE356" s="26"/>
      <c r="AF356" s="856" t="e">
        <f>IF(ISERROR(VLOOKUP(AG$2,X357:X$1003,1,FALSE)),IF(X356=AG$2,SUMIF(X$4:X356,AG$2,Z$4:Z356)+VLOOKUP(AF$2,$B$1057:$F$1068,5,FALSE)+SUM(AR$4:AR$1003)+SUMIF(COSTI!$X$1379:$X$1430,AG$2,COSTI!$Z$1379:$Z$1430),0),0)</f>
        <v>#N/A</v>
      </c>
      <c r="AG356" s="859"/>
      <c r="AH356" s="27" t="str">
        <f t="shared" si="73"/>
        <v/>
      </c>
      <c r="AI356" s="152">
        <f ca="1">IF(W357&gt;0,0,IF(AH356=0,(Z356*-1)+BC356+SUM(BB$4:BB355),BC356+SUM(BB$4:BB355)))</f>
        <v>-2.1316282072803006E-13</v>
      </c>
      <c r="AJ356" s="931">
        <f>IF(AND(AL356&gt;=$U$1,AL356&lt;=$U$2),IF(AM356='ESTRATTO CONTO'!$E$2,1+COUNTIF(AJ$4:AJ355,"&gt;0")+U$1015,0),0)</f>
        <v>0</v>
      </c>
      <c r="AK356" s="203">
        <f>IF(AND(OR((AK355+1)&lt;AL$1015,(AK355+1)=AL$1015),MAX(AK$4:AK355)&lt;AL$1015),AK355+1,0)</f>
        <v>0</v>
      </c>
      <c r="AL356" s="309">
        <f>VLOOKUP($AK356,ENTI!$AF$4:AG$1003,2,FALSE)</f>
        <v>0</v>
      </c>
      <c r="AM356" s="224">
        <f>VLOOKUP($AK356,ENTI!$AF$4:AH$1003,3,FALSE)</f>
        <v>0</v>
      </c>
      <c r="AN356" s="224">
        <f>VLOOKUP($AK356,ENTI!$AF$4:AI$1003,4,FALSE)</f>
        <v>0</v>
      </c>
      <c r="AO356" s="781">
        <f>VLOOKUP($AK356,ENTI!$AF$4:AJ$1003,5,FALSE)</f>
        <v>0</v>
      </c>
      <c r="AP356" s="315">
        <f>VLOOKUP($AK356,ENTI!$AF$4:AK$1003,6,FALSE)</f>
        <v>0</v>
      </c>
      <c r="AQ356" s="208">
        <f t="shared" si="80"/>
        <v>0</v>
      </c>
      <c r="AR356" s="152" t="e">
        <f t="shared" si="81"/>
        <v>#N/A</v>
      </c>
      <c r="AS356" s="1"/>
      <c r="AT356" s="88" t="str">
        <f t="shared" si="74"/>
        <v/>
      </c>
      <c r="AU356" s="1"/>
      <c r="AV356" s="175">
        <f>IF(AW356&gt;0,COUNTIF(AV$4:AV355,"&gt;0")+1,0)</f>
        <v>0</v>
      </c>
      <c r="AW356" s="164">
        <f t="shared" si="75"/>
        <v>0</v>
      </c>
      <c r="AX356" s="310">
        <f>IF($AW356=0,0,VLOOKUP(VLOOKUP($X356,$B$34:$T$38,19,FALSE),ENTI!$A$9:$B$13,2,FALSE))</f>
        <v>0</v>
      </c>
      <c r="AY356" s="310">
        <f t="shared" si="77"/>
        <v>0</v>
      </c>
      <c r="AZ356" s="316">
        <f t="shared" si="78"/>
        <v>0</v>
      </c>
      <c r="BA356" s="1"/>
      <c r="BB356" s="152">
        <f t="shared" si="79"/>
        <v>0</v>
      </c>
      <c r="BC356" s="152">
        <f ca="1">SUM(Z$4:Z356)+SUM(BB$4:BB356)+COSTI!S$6-COSTI!L$1076</f>
        <v>-31.760000000000218</v>
      </c>
      <c r="BD356" s="1"/>
    </row>
    <row r="357" spans="1:56" ht="16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435">
        <f>IF(AND(W357&gt;=$U$1,W357&lt;=$U$2),IF(X357='ESTRATTO CONTO'!$E$2,1+COUNTIF(U$4:U356,"&gt;0"),0),0)</f>
        <v>0</v>
      </c>
      <c r="V357" s="417">
        <f t="shared" si="76"/>
        <v>354</v>
      </c>
      <c r="W357" s="509"/>
      <c r="X357" s="321"/>
      <c r="Y357" s="321"/>
      <c r="Z357" s="508"/>
      <c r="AA357" s="356"/>
      <c r="AB357" s="306" t="str">
        <f t="shared" si="72"/>
        <v/>
      </c>
      <c r="AC357" s="637">
        <f t="shared" ca="1" si="71"/>
        <v>-2.1316282072803006E-13</v>
      </c>
      <c r="AD357" s="935">
        <f>IF(ISERROR(VLOOKUP(AD$2,X358:X$1003,1,FALSE)),IF(X357=AD$2,SUMIF(X$4:X357,AD$2,Z$4:Z357)+$E$9+SUM(AQ$4:AQ$1003)+SUMIF(COSTI!$X$1379:$X$1430,AD$2,COSTI!$Z$1379:$Z$1430),0),0)</f>
        <v>0</v>
      </c>
      <c r="AE357" s="26"/>
      <c r="AF357" s="856" t="e">
        <f>IF(ISERROR(VLOOKUP(AG$2,X358:X$1003,1,FALSE)),IF(X357=AG$2,SUMIF(X$4:X357,AG$2,Z$4:Z357)+VLOOKUP(AF$2,$B$1057:$F$1068,5,FALSE)+SUM(AR$4:AR$1003)+SUMIF(COSTI!$X$1379:$X$1430,AG$2,COSTI!$Z$1379:$Z$1430),0),0)</f>
        <v>#N/A</v>
      </c>
      <c r="AG357" s="859"/>
      <c r="AH357" s="27" t="str">
        <f t="shared" si="73"/>
        <v/>
      </c>
      <c r="AI357" s="152">
        <f ca="1">IF(W358&gt;0,0,IF(AH357=0,(Z357*-1)+BC357+SUM(BB$4:BB356),BC357+SUM(BB$4:BB356)))</f>
        <v>-2.1316282072803006E-13</v>
      </c>
      <c r="AJ357" s="931">
        <f>IF(AND(AL357&gt;=$U$1,AL357&lt;=$U$2),IF(AM357='ESTRATTO CONTO'!$E$2,1+COUNTIF(AJ$4:AJ356,"&gt;0")+U$1015,0),0)</f>
        <v>0</v>
      </c>
      <c r="AK357" s="203">
        <f>IF(AND(OR((AK356+1)&lt;AL$1015,(AK356+1)=AL$1015),MAX(AK$4:AK356)&lt;AL$1015),AK356+1,0)</f>
        <v>0</v>
      </c>
      <c r="AL357" s="309">
        <f>VLOOKUP($AK357,ENTI!$AF$4:AG$1003,2,FALSE)</f>
        <v>0</v>
      </c>
      <c r="AM357" s="224">
        <f>VLOOKUP($AK357,ENTI!$AF$4:AH$1003,3,FALSE)</f>
        <v>0</v>
      </c>
      <c r="AN357" s="224">
        <f>VLOOKUP($AK357,ENTI!$AF$4:AI$1003,4,FALSE)</f>
        <v>0</v>
      </c>
      <c r="AO357" s="781">
        <f>VLOOKUP($AK357,ENTI!$AF$4:AJ$1003,5,FALSE)</f>
        <v>0</v>
      </c>
      <c r="AP357" s="315">
        <f>VLOOKUP($AK357,ENTI!$AF$4:AK$1003,6,FALSE)</f>
        <v>0</v>
      </c>
      <c r="AQ357" s="208">
        <f t="shared" si="80"/>
        <v>0</v>
      </c>
      <c r="AR357" s="152" t="e">
        <f t="shared" si="81"/>
        <v>#N/A</v>
      </c>
      <c r="AS357" s="1"/>
      <c r="AT357" s="88" t="str">
        <f t="shared" si="74"/>
        <v/>
      </c>
      <c r="AU357" s="1"/>
      <c r="AV357" s="175">
        <f>IF(AW357&gt;0,COUNTIF(AV$4:AV356,"&gt;0")+1,0)</f>
        <v>0</v>
      </c>
      <c r="AW357" s="164">
        <f t="shared" si="75"/>
        <v>0</v>
      </c>
      <c r="AX357" s="310">
        <f>IF($AW357=0,0,VLOOKUP(VLOOKUP($X357,$B$34:$T$38,19,FALSE),ENTI!$A$9:$B$13,2,FALSE))</f>
        <v>0</v>
      </c>
      <c r="AY357" s="310">
        <f t="shared" si="77"/>
        <v>0</v>
      </c>
      <c r="AZ357" s="316">
        <f t="shared" si="78"/>
        <v>0</v>
      </c>
      <c r="BA357" s="1"/>
      <c r="BB357" s="152">
        <f t="shared" si="79"/>
        <v>0</v>
      </c>
      <c r="BC357" s="152">
        <f ca="1">SUM(Z$4:Z357)+SUM(BB$4:BB357)+COSTI!S$6-COSTI!L$1076</f>
        <v>-31.760000000000218</v>
      </c>
      <c r="BD357" s="1"/>
    </row>
    <row r="358" spans="1:56" ht="16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435">
        <f>IF(AND(W358&gt;=$U$1,W358&lt;=$U$2),IF(X358='ESTRATTO CONTO'!$E$2,1+COUNTIF(U$4:U357,"&gt;0"),0),0)</f>
        <v>0</v>
      </c>
      <c r="V358" s="417">
        <f t="shared" si="76"/>
        <v>355</v>
      </c>
      <c r="W358" s="509"/>
      <c r="X358" s="321"/>
      <c r="Y358" s="321"/>
      <c r="Z358" s="508"/>
      <c r="AA358" s="356"/>
      <c r="AB358" s="306" t="str">
        <f t="shared" si="72"/>
        <v/>
      </c>
      <c r="AC358" s="637">
        <f t="shared" ca="1" si="71"/>
        <v>-2.1316282072803006E-13</v>
      </c>
      <c r="AD358" s="935">
        <f>IF(ISERROR(VLOOKUP(AD$2,X359:X$1003,1,FALSE)),IF(X358=AD$2,SUMIF(X$4:X358,AD$2,Z$4:Z358)+$E$9+SUM(AQ$4:AQ$1003)+SUMIF(COSTI!$X$1379:$X$1430,AD$2,COSTI!$Z$1379:$Z$1430),0),0)</f>
        <v>0</v>
      </c>
      <c r="AE358" s="26"/>
      <c r="AF358" s="856" t="e">
        <f>IF(ISERROR(VLOOKUP(AG$2,X359:X$1003,1,FALSE)),IF(X358=AG$2,SUMIF(X$4:X358,AG$2,Z$4:Z358)+VLOOKUP(AF$2,$B$1057:$F$1068,5,FALSE)+SUM(AR$4:AR$1003)+SUMIF(COSTI!$X$1379:$X$1430,AG$2,COSTI!$Z$1379:$Z$1430),0),0)</f>
        <v>#N/A</v>
      </c>
      <c r="AG358" s="859"/>
      <c r="AH358" s="27" t="str">
        <f t="shared" si="73"/>
        <v/>
      </c>
      <c r="AI358" s="152">
        <f ca="1">IF(W359&gt;0,0,IF(AH358=0,(Z358*-1)+BC358+SUM(BB$4:BB357),BC358+SUM(BB$4:BB357)))</f>
        <v>-2.1316282072803006E-13</v>
      </c>
      <c r="AJ358" s="931">
        <f>IF(AND(AL358&gt;=$U$1,AL358&lt;=$U$2),IF(AM358='ESTRATTO CONTO'!$E$2,1+COUNTIF(AJ$4:AJ357,"&gt;0")+U$1015,0),0)</f>
        <v>0</v>
      </c>
      <c r="AK358" s="203">
        <f>IF(AND(OR((AK357+1)&lt;AL$1015,(AK357+1)=AL$1015),MAX(AK$4:AK357)&lt;AL$1015),AK357+1,0)</f>
        <v>0</v>
      </c>
      <c r="AL358" s="309">
        <f>VLOOKUP($AK358,ENTI!$AF$4:AG$1003,2,FALSE)</f>
        <v>0</v>
      </c>
      <c r="AM358" s="224">
        <f>VLOOKUP($AK358,ENTI!$AF$4:AH$1003,3,FALSE)</f>
        <v>0</v>
      </c>
      <c r="AN358" s="224">
        <f>VLOOKUP($AK358,ENTI!$AF$4:AI$1003,4,FALSE)</f>
        <v>0</v>
      </c>
      <c r="AO358" s="781">
        <f>VLOOKUP($AK358,ENTI!$AF$4:AJ$1003,5,FALSE)</f>
        <v>0</v>
      </c>
      <c r="AP358" s="315">
        <f>VLOOKUP($AK358,ENTI!$AF$4:AK$1003,6,FALSE)</f>
        <v>0</v>
      </c>
      <c r="AQ358" s="208">
        <f t="shared" si="80"/>
        <v>0</v>
      </c>
      <c r="AR358" s="152" t="e">
        <f t="shared" si="81"/>
        <v>#N/A</v>
      </c>
      <c r="AS358" s="1"/>
      <c r="AT358" s="88" t="str">
        <f t="shared" si="74"/>
        <v/>
      </c>
      <c r="AU358" s="1"/>
      <c r="AV358" s="175">
        <f>IF(AW358&gt;0,COUNTIF(AV$4:AV357,"&gt;0")+1,0)</f>
        <v>0</v>
      </c>
      <c r="AW358" s="164">
        <f t="shared" si="75"/>
        <v>0</v>
      </c>
      <c r="AX358" s="310">
        <f>IF($AW358=0,0,VLOOKUP(VLOOKUP($X358,$B$34:$T$38,19,FALSE),ENTI!$A$9:$B$13,2,FALSE))</f>
        <v>0</v>
      </c>
      <c r="AY358" s="310">
        <f t="shared" si="77"/>
        <v>0</v>
      </c>
      <c r="AZ358" s="316">
        <f t="shared" si="78"/>
        <v>0</v>
      </c>
      <c r="BA358" s="1"/>
      <c r="BB358" s="152">
        <f t="shared" si="79"/>
        <v>0</v>
      </c>
      <c r="BC358" s="152">
        <f ca="1">SUM(Z$4:Z358)+SUM(BB$4:BB358)+COSTI!S$6-COSTI!L$1076</f>
        <v>-31.760000000000218</v>
      </c>
      <c r="BD358" s="1"/>
    </row>
    <row r="359" spans="1:56" ht="16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435">
        <f>IF(AND(W359&gt;=$U$1,W359&lt;=$U$2),IF(X359='ESTRATTO CONTO'!$E$2,1+COUNTIF(U$4:U358,"&gt;0"),0),0)</f>
        <v>0</v>
      </c>
      <c r="V359" s="417">
        <f t="shared" si="76"/>
        <v>356</v>
      </c>
      <c r="W359" s="509"/>
      <c r="X359" s="321"/>
      <c r="Y359" s="321"/>
      <c r="Z359" s="508"/>
      <c r="AA359" s="356"/>
      <c r="AB359" s="306" t="str">
        <f t="shared" si="72"/>
        <v/>
      </c>
      <c r="AC359" s="637">
        <f t="shared" ca="1" si="71"/>
        <v>-2.1316282072803006E-13</v>
      </c>
      <c r="AD359" s="935">
        <f>IF(ISERROR(VLOOKUP(AD$2,X360:X$1003,1,FALSE)),IF(X359=AD$2,SUMIF(X$4:X359,AD$2,Z$4:Z359)+$E$9+SUM(AQ$4:AQ$1003)+SUMIF(COSTI!$X$1379:$X$1430,AD$2,COSTI!$Z$1379:$Z$1430),0),0)</f>
        <v>0</v>
      </c>
      <c r="AE359" s="26"/>
      <c r="AF359" s="856" t="e">
        <f>IF(ISERROR(VLOOKUP(AG$2,X360:X$1003,1,FALSE)),IF(X359=AG$2,SUMIF(X$4:X359,AG$2,Z$4:Z359)+VLOOKUP(AF$2,$B$1057:$F$1068,5,FALSE)+SUM(AR$4:AR$1003)+SUMIF(COSTI!$X$1379:$X$1430,AG$2,COSTI!$Z$1379:$Z$1430),0),0)</f>
        <v>#N/A</v>
      </c>
      <c r="AG359" s="859"/>
      <c r="AH359" s="27" t="str">
        <f t="shared" si="73"/>
        <v/>
      </c>
      <c r="AI359" s="152">
        <f ca="1">IF(W360&gt;0,0,IF(AH359=0,(Z359*-1)+BC359+SUM(BB$4:BB358),BC359+SUM(BB$4:BB358)))</f>
        <v>-2.1316282072803006E-13</v>
      </c>
      <c r="AJ359" s="931">
        <f>IF(AND(AL359&gt;=$U$1,AL359&lt;=$U$2),IF(AM359='ESTRATTO CONTO'!$E$2,1+COUNTIF(AJ$4:AJ358,"&gt;0")+U$1015,0),0)</f>
        <v>0</v>
      </c>
      <c r="AK359" s="203">
        <f>IF(AND(OR((AK358+1)&lt;AL$1015,(AK358+1)=AL$1015),MAX(AK$4:AK358)&lt;AL$1015),AK358+1,0)</f>
        <v>0</v>
      </c>
      <c r="AL359" s="309">
        <f>VLOOKUP($AK359,ENTI!$AF$4:AG$1003,2,FALSE)</f>
        <v>0</v>
      </c>
      <c r="AM359" s="224">
        <f>VLOOKUP($AK359,ENTI!$AF$4:AH$1003,3,FALSE)</f>
        <v>0</v>
      </c>
      <c r="AN359" s="224">
        <f>VLOOKUP($AK359,ENTI!$AF$4:AI$1003,4,FALSE)</f>
        <v>0</v>
      </c>
      <c r="AO359" s="781">
        <f>VLOOKUP($AK359,ENTI!$AF$4:AJ$1003,5,FALSE)</f>
        <v>0</v>
      </c>
      <c r="AP359" s="315">
        <f>VLOOKUP($AK359,ENTI!$AF$4:AK$1003,6,FALSE)</f>
        <v>0</v>
      </c>
      <c r="AQ359" s="208">
        <f t="shared" si="80"/>
        <v>0</v>
      </c>
      <c r="AR359" s="152" t="e">
        <f t="shared" si="81"/>
        <v>#N/A</v>
      </c>
      <c r="AS359" s="1"/>
      <c r="AT359" s="88" t="str">
        <f t="shared" si="74"/>
        <v/>
      </c>
      <c r="AU359" s="1"/>
      <c r="AV359" s="175">
        <f>IF(AW359&gt;0,COUNTIF(AV$4:AV358,"&gt;0")+1,0)</f>
        <v>0</v>
      </c>
      <c r="AW359" s="164">
        <f t="shared" si="75"/>
        <v>0</v>
      </c>
      <c r="AX359" s="310">
        <f>IF($AW359=0,0,VLOOKUP(VLOOKUP($X359,$B$34:$T$38,19,FALSE),ENTI!$A$9:$B$13,2,FALSE))</f>
        <v>0</v>
      </c>
      <c r="AY359" s="310">
        <f t="shared" si="77"/>
        <v>0</v>
      </c>
      <c r="AZ359" s="316">
        <f t="shared" si="78"/>
        <v>0</v>
      </c>
      <c r="BA359" s="1"/>
      <c r="BB359" s="152">
        <f t="shared" si="79"/>
        <v>0</v>
      </c>
      <c r="BC359" s="152">
        <f ca="1">SUM(Z$4:Z359)+SUM(BB$4:BB359)+COSTI!S$6-COSTI!L$1076</f>
        <v>-31.760000000000218</v>
      </c>
      <c r="BD359" s="1"/>
    </row>
    <row r="360" spans="1:56" ht="16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435">
        <f>IF(AND(W360&gt;=$U$1,W360&lt;=$U$2),IF(X360='ESTRATTO CONTO'!$E$2,1+COUNTIF(U$4:U359,"&gt;0"),0),0)</f>
        <v>0</v>
      </c>
      <c r="V360" s="417">
        <f t="shared" si="76"/>
        <v>357</v>
      </c>
      <c r="W360" s="509"/>
      <c r="X360" s="321"/>
      <c r="Y360" s="321"/>
      <c r="Z360" s="508"/>
      <c r="AA360" s="356"/>
      <c r="AB360" s="306" t="str">
        <f t="shared" si="72"/>
        <v/>
      </c>
      <c r="AC360" s="637">
        <f t="shared" ca="1" si="71"/>
        <v>-2.1316282072803006E-13</v>
      </c>
      <c r="AD360" s="935">
        <f>IF(ISERROR(VLOOKUP(AD$2,X361:X$1003,1,FALSE)),IF(X360=AD$2,SUMIF(X$4:X360,AD$2,Z$4:Z360)+$E$9+SUM(AQ$4:AQ$1003)+SUMIF(COSTI!$X$1379:$X$1430,AD$2,COSTI!$Z$1379:$Z$1430),0),0)</f>
        <v>0</v>
      </c>
      <c r="AE360" s="26"/>
      <c r="AF360" s="856" t="e">
        <f>IF(ISERROR(VLOOKUP(AG$2,X361:X$1003,1,FALSE)),IF(X360=AG$2,SUMIF(X$4:X360,AG$2,Z$4:Z360)+VLOOKUP(AF$2,$B$1057:$F$1068,5,FALSE)+SUM(AR$4:AR$1003)+SUMIF(COSTI!$X$1379:$X$1430,AG$2,COSTI!$Z$1379:$Z$1430),0),0)</f>
        <v>#N/A</v>
      </c>
      <c r="AG360" s="859"/>
      <c r="AH360" s="27" t="str">
        <f t="shared" si="73"/>
        <v/>
      </c>
      <c r="AI360" s="152">
        <f ca="1">IF(W361&gt;0,0,IF(AH360=0,(Z360*-1)+BC360+SUM(BB$4:BB359),BC360+SUM(BB$4:BB359)))</f>
        <v>-2.1316282072803006E-13</v>
      </c>
      <c r="AJ360" s="931">
        <f>IF(AND(AL360&gt;=$U$1,AL360&lt;=$U$2),IF(AM360='ESTRATTO CONTO'!$E$2,1+COUNTIF(AJ$4:AJ359,"&gt;0")+U$1015,0),0)</f>
        <v>0</v>
      </c>
      <c r="AK360" s="203">
        <f>IF(AND(OR((AK359+1)&lt;AL$1015,(AK359+1)=AL$1015),MAX(AK$4:AK359)&lt;AL$1015),AK359+1,0)</f>
        <v>0</v>
      </c>
      <c r="AL360" s="309">
        <f>VLOOKUP($AK360,ENTI!$AF$4:AG$1003,2,FALSE)</f>
        <v>0</v>
      </c>
      <c r="AM360" s="224">
        <f>VLOOKUP($AK360,ENTI!$AF$4:AH$1003,3,FALSE)</f>
        <v>0</v>
      </c>
      <c r="AN360" s="224">
        <f>VLOOKUP($AK360,ENTI!$AF$4:AI$1003,4,FALSE)</f>
        <v>0</v>
      </c>
      <c r="AO360" s="781">
        <f>VLOOKUP($AK360,ENTI!$AF$4:AJ$1003,5,FALSE)</f>
        <v>0</v>
      </c>
      <c r="AP360" s="315">
        <f>VLOOKUP($AK360,ENTI!$AF$4:AK$1003,6,FALSE)</f>
        <v>0</v>
      </c>
      <c r="AQ360" s="208">
        <f t="shared" si="80"/>
        <v>0</v>
      </c>
      <c r="AR360" s="152" t="e">
        <f t="shared" si="81"/>
        <v>#N/A</v>
      </c>
      <c r="AS360" s="1"/>
      <c r="AT360" s="88" t="str">
        <f t="shared" si="74"/>
        <v/>
      </c>
      <c r="AU360" s="1"/>
      <c r="AV360" s="175">
        <f>IF(AW360&gt;0,COUNTIF(AV$4:AV359,"&gt;0")+1,0)</f>
        <v>0</v>
      </c>
      <c r="AW360" s="164">
        <f t="shared" si="75"/>
        <v>0</v>
      </c>
      <c r="AX360" s="310">
        <f>IF($AW360=0,0,VLOOKUP(VLOOKUP($X360,$B$34:$T$38,19,FALSE),ENTI!$A$9:$B$13,2,FALSE))</f>
        <v>0</v>
      </c>
      <c r="AY360" s="310">
        <f t="shared" si="77"/>
        <v>0</v>
      </c>
      <c r="AZ360" s="316">
        <f t="shared" si="78"/>
        <v>0</v>
      </c>
      <c r="BA360" s="1"/>
      <c r="BB360" s="152">
        <f t="shared" si="79"/>
        <v>0</v>
      </c>
      <c r="BC360" s="152">
        <f ca="1">SUM(Z$4:Z360)+SUM(BB$4:BB360)+COSTI!S$6-COSTI!L$1076</f>
        <v>-31.760000000000218</v>
      </c>
      <c r="BD360" s="1"/>
    </row>
    <row r="361" spans="1:56" ht="16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435">
        <f>IF(AND(W361&gt;=$U$1,W361&lt;=$U$2),IF(X361='ESTRATTO CONTO'!$E$2,1+COUNTIF(U$4:U360,"&gt;0"),0),0)</f>
        <v>0</v>
      </c>
      <c r="V361" s="417">
        <f t="shared" si="76"/>
        <v>358</v>
      </c>
      <c r="W361" s="509"/>
      <c r="X361" s="321"/>
      <c r="Y361" s="321"/>
      <c r="Z361" s="508"/>
      <c r="AA361" s="356"/>
      <c r="AB361" s="306" t="str">
        <f t="shared" si="72"/>
        <v/>
      </c>
      <c r="AC361" s="637">
        <f t="shared" ca="1" si="71"/>
        <v>-2.1316282072803006E-13</v>
      </c>
      <c r="AD361" s="935">
        <f>IF(ISERROR(VLOOKUP(AD$2,X362:X$1003,1,FALSE)),IF(X361=AD$2,SUMIF(X$4:X361,AD$2,Z$4:Z361)+$E$9+SUM(AQ$4:AQ$1003)+SUMIF(COSTI!$X$1379:$X$1430,AD$2,COSTI!$Z$1379:$Z$1430),0),0)</f>
        <v>0</v>
      </c>
      <c r="AE361" s="26"/>
      <c r="AF361" s="856" t="e">
        <f>IF(ISERROR(VLOOKUP(AG$2,X362:X$1003,1,FALSE)),IF(X361=AG$2,SUMIF(X$4:X361,AG$2,Z$4:Z361)+VLOOKUP(AF$2,$B$1057:$F$1068,5,FALSE)+SUM(AR$4:AR$1003)+SUMIF(COSTI!$X$1379:$X$1430,AG$2,COSTI!$Z$1379:$Z$1430),0),0)</f>
        <v>#N/A</v>
      </c>
      <c r="AG361" s="859"/>
      <c r="AH361" s="27" t="str">
        <f t="shared" si="73"/>
        <v/>
      </c>
      <c r="AI361" s="152">
        <f ca="1">IF(W362&gt;0,0,IF(AH361=0,(Z361*-1)+BC361+SUM(BB$4:BB360),BC361+SUM(BB$4:BB360)))</f>
        <v>-2.1316282072803006E-13</v>
      </c>
      <c r="AJ361" s="931">
        <f>IF(AND(AL361&gt;=$U$1,AL361&lt;=$U$2),IF(AM361='ESTRATTO CONTO'!$E$2,1+COUNTIF(AJ$4:AJ360,"&gt;0")+U$1015,0),0)</f>
        <v>0</v>
      </c>
      <c r="AK361" s="203">
        <f>IF(AND(OR((AK360+1)&lt;AL$1015,(AK360+1)=AL$1015),MAX(AK$4:AK360)&lt;AL$1015),AK360+1,0)</f>
        <v>0</v>
      </c>
      <c r="AL361" s="309">
        <f>VLOOKUP($AK361,ENTI!$AF$4:AG$1003,2,FALSE)</f>
        <v>0</v>
      </c>
      <c r="AM361" s="224">
        <f>VLOOKUP($AK361,ENTI!$AF$4:AH$1003,3,FALSE)</f>
        <v>0</v>
      </c>
      <c r="AN361" s="224">
        <f>VLOOKUP($AK361,ENTI!$AF$4:AI$1003,4,FALSE)</f>
        <v>0</v>
      </c>
      <c r="AO361" s="781">
        <f>VLOOKUP($AK361,ENTI!$AF$4:AJ$1003,5,FALSE)</f>
        <v>0</v>
      </c>
      <c r="AP361" s="315">
        <f>VLOOKUP($AK361,ENTI!$AF$4:AK$1003,6,FALSE)</f>
        <v>0</v>
      </c>
      <c r="AQ361" s="208">
        <f t="shared" si="80"/>
        <v>0</v>
      </c>
      <c r="AR361" s="152" t="e">
        <f t="shared" si="81"/>
        <v>#N/A</v>
      </c>
      <c r="AS361" s="1"/>
      <c r="AT361" s="88" t="str">
        <f t="shared" si="74"/>
        <v/>
      </c>
      <c r="AU361" s="1"/>
      <c r="AV361" s="175">
        <f>IF(AW361&gt;0,COUNTIF(AV$4:AV360,"&gt;0")+1,0)</f>
        <v>0</v>
      </c>
      <c r="AW361" s="164">
        <f t="shared" si="75"/>
        <v>0</v>
      </c>
      <c r="AX361" s="310">
        <f>IF($AW361=0,0,VLOOKUP(VLOOKUP($X361,$B$34:$T$38,19,FALSE),ENTI!$A$9:$B$13,2,FALSE))</f>
        <v>0</v>
      </c>
      <c r="AY361" s="310">
        <f t="shared" si="77"/>
        <v>0</v>
      </c>
      <c r="AZ361" s="316">
        <f t="shared" si="78"/>
        <v>0</v>
      </c>
      <c r="BA361" s="1"/>
      <c r="BB361" s="152">
        <f t="shared" si="79"/>
        <v>0</v>
      </c>
      <c r="BC361" s="152">
        <f ca="1">SUM(Z$4:Z361)+SUM(BB$4:BB361)+COSTI!S$6-COSTI!L$1076</f>
        <v>-31.760000000000218</v>
      </c>
      <c r="BD361" s="1"/>
    </row>
    <row r="362" spans="1:56" ht="16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435">
        <f>IF(AND(W362&gt;=$U$1,W362&lt;=$U$2),IF(X362='ESTRATTO CONTO'!$E$2,1+COUNTIF(U$4:U361,"&gt;0"),0),0)</f>
        <v>0</v>
      </c>
      <c r="V362" s="417">
        <f t="shared" si="76"/>
        <v>359</v>
      </c>
      <c r="W362" s="509"/>
      <c r="X362" s="321"/>
      <c r="Y362" s="321"/>
      <c r="Z362" s="508"/>
      <c r="AA362" s="356"/>
      <c r="AB362" s="306" t="str">
        <f t="shared" si="72"/>
        <v/>
      </c>
      <c r="AC362" s="637">
        <f t="shared" ca="1" si="71"/>
        <v>-2.1316282072803006E-13</v>
      </c>
      <c r="AD362" s="935">
        <f>IF(ISERROR(VLOOKUP(AD$2,X363:X$1003,1,FALSE)),IF(X362=AD$2,SUMIF(X$4:X362,AD$2,Z$4:Z362)+$E$9+SUM(AQ$4:AQ$1003)+SUMIF(COSTI!$X$1379:$X$1430,AD$2,COSTI!$Z$1379:$Z$1430),0),0)</f>
        <v>0</v>
      </c>
      <c r="AE362" s="26"/>
      <c r="AF362" s="856" t="e">
        <f>IF(ISERROR(VLOOKUP(AG$2,X363:X$1003,1,FALSE)),IF(X362=AG$2,SUMIF(X$4:X362,AG$2,Z$4:Z362)+VLOOKUP(AF$2,$B$1057:$F$1068,5,FALSE)+SUM(AR$4:AR$1003)+SUMIF(COSTI!$X$1379:$X$1430,AG$2,COSTI!$Z$1379:$Z$1430),0),0)</f>
        <v>#N/A</v>
      </c>
      <c r="AG362" s="859"/>
      <c r="AH362" s="27" t="str">
        <f t="shared" si="73"/>
        <v/>
      </c>
      <c r="AI362" s="152">
        <f ca="1">IF(W363&gt;0,0,IF(AH362=0,(Z362*-1)+BC362+SUM(BB$4:BB361),BC362+SUM(BB$4:BB361)))</f>
        <v>-2.1316282072803006E-13</v>
      </c>
      <c r="AJ362" s="931">
        <f>IF(AND(AL362&gt;=$U$1,AL362&lt;=$U$2),IF(AM362='ESTRATTO CONTO'!$E$2,1+COUNTIF(AJ$4:AJ361,"&gt;0")+U$1015,0),0)</f>
        <v>0</v>
      </c>
      <c r="AK362" s="203">
        <f>IF(AND(OR((AK361+1)&lt;AL$1015,(AK361+1)=AL$1015),MAX(AK$4:AK361)&lt;AL$1015),AK361+1,0)</f>
        <v>0</v>
      </c>
      <c r="AL362" s="309">
        <f>VLOOKUP($AK362,ENTI!$AF$4:AG$1003,2,FALSE)</f>
        <v>0</v>
      </c>
      <c r="AM362" s="224">
        <f>VLOOKUP($AK362,ENTI!$AF$4:AH$1003,3,FALSE)</f>
        <v>0</v>
      </c>
      <c r="AN362" s="224">
        <f>VLOOKUP($AK362,ENTI!$AF$4:AI$1003,4,FALSE)</f>
        <v>0</v>
      </c>
      <c r="AO362" s="781">
        <f>VLOOKUP($AK362,ENTI!$AF$4:AJ$1003,5,FALSE)</f>
        <v>0</v>
      </c>
      <c r="AP362" s="315">
        <f>VLOOKUP($AK362,ENTI!$AF$4:AK$1003,6,FALSE)</f>
        <v>0</v>
      </c>
      <c r="AQ362" s="208">
        <f t="shared" si="80"/>
        <v>0</v>
      </c>
      <c r="AR362" s="152" t="e">
        <f t="shared" si="81"/>
        <v>#N/A</v>
      </c>
      <c r="AS362" s="1"/>
      <c r="AT362" s="88" t="str">
        <f t="shared" si="74"/>
        <v/>
      </c>
      <c r="AU362" s="1"/>
      <c r="AV362" s="175">
        <f>IF(AW362&gt;0,COUNTIF(AV$4:AV361,"&gt;0")+1,0)</f>
        <v>0</v>
      </c>
      <c r="AW362" s="164">
        <f t="shared" si="75"/>
        <v>0</v>
      </c>
      <c r="AX362" s="310">
        <f>IF($AW362=0,0,VLOOKUP(VLOOKUP($X362,$B$34:$T$38,19,FALSE),ENTI!$A$9:$B$13,2,FALSE))</f>
        <v>0</v>
      </c>
      <c r="AY362" s="310">
        <f t="shared" si="77"/>
        <v>0</v>
      </c>
      <c r="AZ362" s="316">
        <f t="shared" si="78"/>
        <v>0</v>
      </c>
      <c r="BA362" s="1"/>
      <c r="BB362" s="152">
        <f t="shared" si="79"/>
        <v>0</v>
      </c>
      <c r="BC362" s="152">
        <f ca="1">SUM(Z$4:Z362)+SUM(BB$4:BB362)+COSTI!S$6-COSTI!L$1076</f>
        <v>-31.760000000000218</v>
      </c>
      <c r="BD362" s="1"/>
    </row>
    <row r="363" spans="1:56" ht="16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435">
        <f>IF(AND(W363&gt;=$U$1,W363&lt;=$U$2),IF(X363='ESTRATTO CONTO'!$E$2,1+COUNTIF(U$4:U362,"&gt;0"),0),0)</f>
        <v>0</v>
      </c>
      <c r="V363" s="417">
        <f t="shared" si="76"/>
        <v>360</v>
      </c>
      <c r="W363" s="509"/>
      <c r="X363" s="321"/>
      <c r="Y363" s="321"/>
      <c r="Z363" s="508"/>
      <c r="AA363" s="356"/>
      <c r="AB363" s="306" t="str">
        <f t="shared" si="72"/>
        <v/>
      </c>
      <c r="AC363" s="637">
        <f t="shared" ca="1" si="71"/>
        <v>-2.1316282072803006E-13</v>
      </c>
      <c r="AD363" s="935">
        <f>IF(ISERROR(VLOOKUP(AD$2,X364:X$1003,1,FALSE)),IF(X363=AD$2,SUMIF(X$4:X363,AD$2,Z$4:Z363)+$E$9+SUM(AQ$4:AQ$1003)+SUMIF(COSTI!$X$1379:$X$1430,AD$2,COSTI!$Z$1379:$Z$1430),0),0)</f>
        <v>0</v>
      </c>
      <c r="AE363" s="26"/>
      <c r="AF363" s="856" t="e">
        <f>IF(ISERROR(VLOOKUP(AG$2,X364:X$1003,1,FALSE)),IF(X363=AG$2,SUMIF(X$4:X363,AG$2,Z$4:Z363)+VLOOKUP(AF$2,$B$1057:$F$1068,5,FALSE)+SUM(AR$4:AR$1003)+SUMIF(COSTI!$X$1379:$X$1430,AG$2,COSTI!$Z$1379:$Z$1430),0),0)</f>
        <v>#N/A</v>
      </c>
      <c r="AG363" s="859"/>
      <c r="AH363" s="27" t="str">
        <f t="shared" si="73"/>
        <v/>
      </c>
      <c r="AI363" s="152">
        <f ca="1">IF(W364&gt;0,0,IF(AH363=0,(Z363*-1)+BC363+SUM(BB$4:BB362),BC363+SUM(BB$4:BB362)))</f>
        <v>-2.1316282072803006E-13</v>
      </c>
      <c r="AJ363" s="931">
        <f>IF(AND(AL363&gt;=$U$1,AL363&lt;=$U$2),IF(AM363='ESTRATTO CONTO'!$E$2,1+COUNTIF(AJ$4:AJ362,"&gt;0")+U$1015,0),0)</f>
        <v>0</v>
      </c>
      <c r="AK363" s="203">
        <f>IF(AND(OR((AK362+1)&lt;AL$1015,(AK362+1)=AL$1015),MAX(AK$4:AK362)&lt;AL$1015),AK362+1,0)</f>
        <v>0</v>
      </c>
      <c r="AL363" s="309">
        <f>VLOOKUP($AK363,ENTI!$AF$4:AG$1003,2,FALSE)</f>
        <v>0</v>
      </c>
      <c r="AM363" s="224">
        <f>VLOOKUP($AK363,ENTI!$AF$4:AH$1003,3,FALSE)</f>
        <v>0</v>
      </c>
      <c r="AN363" s="224">
        <f>VLOOKUP($AK363,ENTI!$AF$4:AI$1003,4,FALSE)</f>
        <v>0</v>
      </c>
      <c r="AO363" s="781">
        <f>VLOOKUP($AK363,ENTI!$AF$4:AJ$1003,5,FALSE)</f>
        <v>0</v>
      </c>
      <c r="AP363" s="315">
        <f>VLOOKUP($AK363,ENTI!$AF$4:AK$1003,6,FALSE)</f>
        <v>0</v>
      </c>
      <c r="AQ363" s="208">
        <f t="shared" si="80"/>
        <v>0</v>
      </c>
      <c r="AR363" s="152" t="e">
        <f t="shared" si="81"/>
        <v>#N/A</v>
      </c>
      <c r="AS363" s="1"/>
      <c r="AT363" s="88" t="str">
        <f t="shared" si="74"/>
        <v/>
      </c>
      <c r="AU363" s="1"/>
      <c r="AV363" s="175">
        <f>IF(AW363&gt;0,COUNTIF(AV$4:AV362,"&gt;0")+1,0)</f>
        <v>0</v>
      </c>
      <c r="AW363" s="164">
        <f t="shared" si="75"/>
        <v>0</v>
      </c>
      <c r="AX363" s="310">
        <f>IF($AW363=0,0,VLOOKUP(VLOOKUP($X363,$B$34:$T$38,19,FALSE),ENTI!$A$9:$B$13,2,FALSE))</f>
        <v>0</v>
      </c>
      <c r="AY363" s="310">
        <f t="shared" si="77"/>
        <v>0</v>
      </c>
      <c r="AZ363" s="316">
        <f t="shared" si="78"/>
        <v>0</v>
      </c>
      <c r="BA363" s="1"/>
      <c r="BB363" s="152">
        <f t="shared" si="79"/>
        <v>0</v>
      </c>
      <c r="BC363" s="152">
        <f ca="1">SUM(Z$4:Z363)+SUM(BB$4:BB363)+COSTI!S$6-COSTI!L$1076</f>
        <v>-31.760000000000218</v>
      </c>
      <c r="BD363" s="1"/>
    </row>
    <row r="364" spans="1:56" ht="16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435">
        <f>IF(AND(W364&gt;=$U$1,W364&lt;=$U$2),IF(X364='ESTRATTO CONTO'!$E$2,1+COUNTIF(U$4:U363,"&gt;0"),0),0)</f>
        <v>0</v>
      </c>
      <c r="V364" s="417">
        <f t="shared" si="76"/>
        <v>361</v>
      </c>
      <c r="W364" s="509"/>
      <c r="X364" s="321"/>
      <c r="Y364" s="321"/>
      <c r="Z364" s="508"/>
      <c r="AA364" s="356"/>
      <c r="AB364" s="306" t="str">
        <f t="shared" si="72"/>
        <v/>
      </c>
      <c r="AC364" s="637">
        <f t="shared" ca="1" si="71"/>
        <v>-2.1316282072803006E-13</v>
      </c>
      <c r="AD364" s="935">
        <f>IF(ISERROR(VLOOKUP(AD$2,X365:X$1003,1,FALSE)),IF(X364=AD$2,SUMIF(X$4:X364,AD$2,Z$4:Z364)+$E$9+SUM(AQ$4:AQ$1003)+SUMIF(COSTI!$X$1379:$X$1430,AD$2,COSTI!$Z$1379:$Z$1430),0),0)</f>
        <v>0</v>
      </c>
      <c r="AE364" s="26"/>
      <c r="AF364" s="856" t="e">
        <f>IF(ISERROR(VLOOKUP(AG$2,X365:X$1003,1,FALSE)),IF(X364=AG$2,SUMIF(X$4:X364,AG$2,Z$4:Z364)+VLOOKUP(AF$2,$B$1057:$F$1068,5,FALSE)+SUM(AR$4:AR$1003)+SUMIF(COSTI!$X$1379:$X$1430,AG$2,COSTI!$Z$1379:$Z$1430),0),0)</f>
        <v>#N/A</v>
      </c>
      <c r="AG364" s="859"/>
      <c r="AH364" s="27" t="str">
        <f t="shared" si="73"/>
        <v/>
      </c>
      <c r="AI364" s="152">
        <f ca="1">IF(W365&gt;0,0,IF(AH364=0,(Z364*-1)+BC364+SUM(BB$4:BB363),BC364+SUM(BB$4:BB363)))</f>
        <v>-2.1316282072803006E-13</v>
      </c>
      <c r="AJ364" s="931">
        <f>IF(AND(AL364&gt;=$U$1,AL364&lt;=$U$2),IF(AM364='ESTRATTO CONTO'!$E$2,1+COUNTIF(AJ$4:AJ363,"&gt;0")+U$1015,0),0)</f>
        <v>0</v>
      </c>
      <c r="AK364" s="203">
        <f>IF(AND(OR((AK363+1)&lt;AL$1015,(AK363+1)=AL$1015),MAX(AK$4:AK363)&lt;AL$1015),AK363+1,0)</f>
        <v>0</v>
      </c>
      <c r="AL364" s="309">
        <f>VLOOKUP($AK364,ENTI!$AF$4:AG$1003,2,FALSE)</f>
        <v>0</v>
      </c>
      <c r="AM364" s="224">
        <f>VLOOKUP($AK364,ENTI!$AF$4:AH$1003,3,FALSE)</f>
        <v>0</v>
      </c>
      <c r="AN364" s="224">
        <f>VLOOKUP($AK364,ENTI!$AF$4:AI$1003,4,FALSE)</f>
        <v>0</v>
      </c>
      <c r="AO364" s="781">
        <f>VLOOKUP($AK364,ENTI!$AF$4:AJ$1003,5,FALSE)</f>
        <v>0</v>
      </c>
      <c r="AP364" s="315">
        <f>VLOOKUP($AK364,ENTI!$AF$4:AK$1003,6,FALSE)</f>
        <v>0</v>
      </c>
      <c r="AQ364" s="208">
        <f t="shared" si="80"/>
        <v>0</v>
      </c>
      <c r="AR364" s="152" t="e">
        <f t="shared" si="81"/>
        <v>#N/A</v>
      </c>
      <c r="AS364" s="1"/>
      <c r="AT364" s="88" t="str">
        <f t="shared" si="74"/>
        <v/>
      </c>
      <c r="AU364" s="1"/>
      <c r="AV364" s="175">
        <f>IF(AW364&gt;0,COUNTIF(AV$4:AV363,"&gt;0")+1,0)</f>
        <v>0</v>
      </c>
      <c r="AW364" s="164">
        <f t="shared" si="75"/>
        <v>0</v>
      </c>
      <c r="AX364" s="310">
        <f>IF($AW364=0,0,VLOOKUP(VLOOKUP($X364,$B$34:$T$38,19,FALSE),ENTI!$A$9:$B$13,2,FALSE))</f>
        <v>0</v>
      </c>
      <c r="AY364" s="310">
        <f t="shared" si="77"/>
        <v>0</v>
      </c>
      <c r="AZ364" s="316">
        <f t="shared" si="78"/>
        <v>0</v>
      </c>
      <c r="BA364" s="1"/>
      <c r="BB364" s="152">
        <f t="shared" si="79"/>
        <v>0</v>
      </c>
      <c r="BC364" s="152">
        <f ca="1">SUM(Z$4:Z364)+SUM(BB$4:BB364)+COSTI!S$6-COSTI!L$1076</f>
        <v>-31.760000000000218</v>
      </c>
      <c r="BD364" s="1"/>
    </row>
    <row r="365" spans="1:56" ht="16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435">
        <f>IF(AND(W365&gt;=$U$1,W365&lt;=$U$2),IF(X365='ESTRATTO CONTO'!$E$2,1+COUNTIF(U$4:U364,"&gt;0"),0),0)</f>
        <v>0</v>
      </c>
      <c r="V365" s="417">
        <f t="shared" si="76"/>
        <v>362</v>
      </c>
      <c r="W365" s="509"/>
      <c r="X365" s="321"/>
      <c r="Y365" s="321"/>
      <c r="Z365" s="508"/>
      <c r="AA365" s="356"/>
      <c r="AB365" s="306" t="str">
        <f t="shared" si="72"/>
        <v/>
      </c>
      <c r="AC365" s="637">
        <f t="shared" ca="1" si="71"/>
        <v>-2.1316282072803006E-13</v>
      </c>
      <c r="AD365" s="935">
        <f>IF(ISERROR(VLOOKUP(AD$2,X366:X$1003,1,FALSE)),IF(X365=AD$2,SUMIF(X$4:X365,AD$2,Z$4:Z365)+$E$9+SUM(AQ$4:AQ$1003)+SUMIF(COSTI!$X$1379:$X$1430,AD$2,COSTI!$Z$1379:$Z$1430),0),0)</f>
        <v>0</v>
      </c>
      <c r="AE365" s="26"/>
      <c r="AF365" s="856" t="e">
        <f>IF(ISERROR(VLOOKUP(AG$2,X366:X$1003,1,FALSE)),IF(X365=AG$2,SUMIF(X$4:X365,AG$2,Z$4:Z365)+VLOOKUP(AF$2,$B$1057:$F$1068,5,FALSE)+SUM(AR$4:AR$1003)+SUMIF(COSTI!$X$1379:$X$1430,AG$2,COSTI!$Z$1379:$Z$1430),0),0)</f>
        <v>#N/A</v>
      </c>
      <c r="AG365" s="859"/>
      <c r="AH365" s="27" t="str">
        <f t="shared" si="73"/>
        <v/>
      </c>
      <c r="AI365" s="152">
        <f ca="1">IF(W366&gt;0,0,IF(AH365=0,(Z365*-1)+BC365+SUM(BB$4:BB364),BC365+SUM(BB$4:BB364)))</f>
        <v>-2.1316282072803006E-13</v>
      </c>
      <c r="AJ365" s="931">
        <f>IF(AND(AL365&gt;=$U$1,AL365&lt;=$U$2),IF(AM365='ESTRATTO CONTO'!$E$2,1+COUNTIF(AJ$4:AJ364,"&gt;0")+U$1015,0),0)</f>
        <v>0</v>
      </c>
      <c r="AK365" s="203">
        <f>IF(AND(OR((AK364+1)&lt;AL$1015,(AK364+1)=AL$1015),MAX(AK$4:AK364)&lt;AL$1015),AK364+1,0)</f>
        <v>0</v>
      </c>
      <c r="AL365" s="309">
        <f>VLOOKUP($AK365,ENTI!$AF$4:AG$1003,2,FALSE)</f>
        <v>0</v>
      </c>
      <c r="AM365" s="224">
        <f>VLOOKUP($AK365,ENTI!$AF$4:AH$1003,3,FALSE)</f>
        <v>0</v>
      </c>
      <c r="AN365" s="224">
        <f>VLOOKUP($AK365,ENTI!$AF$4:AI$1003,4,FALSE)</f>
        <v>0</v>
      </c>
      <c r="AO365" s="781">
        <f>VLOOKUP($AK365,ENTI!$AF$4:AJ$1003,5,FALSE)</f>
        <v>0</v>
      </c>
      <c r="AP365" s="315">
        <f>VLOOKUP($AK365,ENTI!$AF$4:AK$1003,6,FALSE)</f>
        <v>0</v>
      </c>
      <c r="AQ365" s="208">
        <f t="shared" si="80"/>
        <v>0</v>
      </c>
      <c r="AR365" s="152" t="e">
        <f t="shared" si="81"/>
        <v>#N/A</v>
      </c>
      <c r="AS365" s="1"/>
      <c r="AT365" s="88" t="str">
        <f t="shared" si="74"/>
        <v/>
      </c>
      <c r="AU365" s="1"/>
      <c r="AV365" s="175">
        <f>IF(AW365&gt;0,COUNTIF(AV$4:AV364,"&gt;0")+1,0)</f>
        <v>0</v>
      </c>
      <c r="AW365" s="164">
        <f t="shared" si="75"/>
        <v>0</v>
      </c>
      <c r="AX365" s="310">
        <f>IF($AW365=0,0,VLOOKUP(VLOOKUP($X365,$B$34:$T$38,19,FALSE),ENTI!$A$9:$B$13,2,FALSE))</f>
        <v>0</v>
      </c>
      <c r="AY365" s="310">
        <f t="shared" si="77"/>
        <v>0</v>
      </c>
      <c r="AZ365" s="316">
        <f t="shared" si="78"/>
        <v>0</v>
      </c>
      <c r="BA365" s="1"/>
      <c r="BB365" s="152">
        <f t="shared" si="79"/>
        <v>0</v>
      </c>
      <c r="BC365" s="152">
        <f ca="1">SUM(Z$4:Z365)+SUM(BB$4:BB365)+COSTI!S$6-COSTI!L$1076</f>
        <v>-31.760000000000218</v>
      </c>
      <c r="BD365" s="1"/>
    </row>
    <row r="366" spans="1:56" ht="16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435">
        <f>IF(AND(W366&gt;=$U$1,W366&lt;=$U$2),IF(X366='ESTRATTO CONTO'!$E$2,1+COUNTIF(U$4:U365,"&gt;0"),0),0)</f>
        <v>0</v>
      </c>
      <c r="V366" s="417">
        <f t="shared" si="76"/>
        <v>363</v>
      </c>
      <c r="W366" s="509"/>
      <c r="X366" s="321"/>
      <c r="Y366" s="321"/>
      <c r="Z366" s="508"/>
      <c r="AA366" s="356"/>
      <c r="AB366" s="306" t="str">
        <f t="shared" si="72"/>
        <v/>
      </c>
      <c r="AC366" s="637">
        <f t="shared" ca="1" si="71"/>
        <v>-2.1316282072803006E-13</v>
      </c>
      <c r="AD366" s="935">
        <f>IF(ISERROR(VLOOKUP(AD$2,X367:X$1003,1,FALSE)),IF(X366=AD$2,SUMIF(X$4:X366,AD$2,Z$4:Z366)+$E$9+SUM(AQ$4:AQ$1003)+SUMIF(COSTI!$X$1379:$X$1430,AD$2,COSTI!$Z$1379:$Z$1430),0),0)</f>
        <v>0</v>
      </c>
      <c r="AE366" s="26"/>
      <c r="AF366" s="856" t="e">
        <f>IF(ISERROR(VLOOKUP(AG$2,X367:X$1003,1,FALSE)),IF(X366=AG$2,SUMIF(X$4:X366,AG$2,Z$4:Z366)+VLOOKUP(AF$2,$B$1057:$F$1068,5,FALSE)+SUM(AR$4:AR$1003)+SUMIF(COSTI!$X$1379:$X$1430,AG$2,COSTI!$Z$1379:$Z$1430),0),0)</f>
        <v>#N/A</v>
      </c>
      <c r="AG366" s="859"/>
      <c r="AH366" s="27" t="str">
        <f t="shared" si="73"/>
        <v/>
      </c>
      <c r="AI366" s="152">
        <f ca="1">IF(W367&gt;0,0,IF(AH366=0,(Z366*-1)+BC366+SUM(BB$4:BB365),BC366+SUM(BB$4:BB365)))</f>
        <v>-2.1316282072803006E-13</v>
      </c>
      <c r="AJ366" s="931">
        <f>IF(AND(AL366&gt;=$U$1,AL366&lt;=$U$2),IF(AM366='ESTRATTO CONTO'!$E$2,1+COUNTIF(AJ$4:AJ365,"&gt;0")+U$1015,0),0)</f>
        <v>0</v>
      </c>
      <c r="AK366" s="203">
        <f>IF(AND(OR((AK365+1)&lt;AL$1015,(AK365+1)=AL$1015),MAX(AK$4:AK365)&lt;AL$1015),AK365+1,0)</f>
        <v>0</v>
      </c>
      <c r="AL366" s="309">
        <f>VLOOKUP($AK366,ENTI!$AF$4:AG$1003,2,FALSE)</f>
        <v>0</v>
      </c>
      <c r="AM366" s="224">
        <f>VLOOKUP($AK366,ENTI!$AF$4:AH$1003,3,FALSE)</f>
        <v>0</v>
      </c>
      <c r="AN366" s="224">
        <f>VLOOKUP($AK366,ENTI!$AF$4:AI$1003,4,FALSE)</f>
        <v>0</v>
      </c>
      <c r="AO366" s="781">
        <f>VLOOKUP($AK366,ENTI!$AF$4:AJ$1003,5,FALSE)</f>
        <v>0</v>
      </c>
      <c r="AP366" s="315">
        <f>VLOOKUP($AK366,ENTI!$AF$4:AK$1003,6,FALSE)</f>
        <v>0</v>
      </c>
      <c r="AQ366" s="208">
        <f t="shared" si="80"/>
        <v>0</v>
      </c>
      <c r="AR366" s="152" t="e">
        <f t="shared" si="81"/>
        <v>#N/A</v>
      </c>
      <c r="AS366" s="1"/>
      <c r="AT366" s="88" t="str">
        <f t="shared" si="74"/>
        <v/>
      </c>
      <c r="AU366" s="1"/>
      <c r="AV366" s="175">
        <f>IF(AW366&gt;0,COUNTIF(AV$4:AV365,"&gt;0")+1,0)</f>
        <v>0</v>
      </c>
      <c r="AW366" s="164">
        <f t="shared" si="75"/>
        <v>0</v>
      </c>
      <c r="AX366" s="310">
        <f>IF($AW366=0,0,VLOOKUP(VLOOKUP($X366,$B$34:$T$38,19,FALSE),ENTI!$A$9:$B$13,2,FALSE))</f>
        <v>0</v>
      </c>
      <c r="AY366" s="310">
        <f t="shared" si="77"/>
        <v>0</v>
      </c>
      <c r="AZ366" s="316">
        <f t="shared" si="78"/>
        <v>0</v>
      </c>
      <c r="BA366" s="1"/>
      <c r="BB366" s="152">
        <f t="shared" si="79"/>
        <v>0</v>
      </c>
      <c r="BC366" s="152">
        <f ca="1">SUM(Z$4:Z366)+SUM(BB$4:BB366)+COSTI!S$6-COSTI!L$1076</f>
        <v>-31.760000000000218</v>
      </c>
      <c r="BD366" s="1"/>
    </row>
    <row r="367" spans="1:56" ht="16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435">
        <f>IF(AND(W367&gt;=$U$1,W367&lt;=$U$2),IF(X367='ESTRATTO CONTO'!$E$2,1+COUNTIF(U$4:U366,"&gt;0"),0),0)</f>
        <v>0</v>
      </c>
      <c r="V367" s="417">
        <f t="shared" si="76"/>
        <v>364</v>
      </c>
      <c r="W367" s="509"/>
      <c r="X367" s="321"/>
      <c r="Y367" s="321"/>
      <c r="Z367" s="508"/>
      <c r="AA367" s="356"/>
      <c r="AB367" s="306" t="str">
        <f t="shared" si="72"/>
        <v/>
      </c>
      <c r="AC367" s="637">
        <f t="shared" ca="1" si="71"/>
        <v>-2.1316282072803006E-13</v>
      </c>
      <c r="AD367" s="935">
        <f>IF(ISERROR(VLOOKUP(AD$2,X368:X$1003,1,FALSE)),IF(X367=AD$2,SUMIF(X$4:X367,AD$2,Z$4:Z367)+$E$9+SUM(AQ$4:AQ$1003)+SUMIF(COSTI!$X$1379:$X$1430,AD$2,COSTI!$Z$1379:$Z$1430),0),0)</f>
        <v>0</v>
      </c>
      <c r="AE367" s="26"/>
      <c r="AF367" s="856" t="e">
        <f>IF(ISERROR(VLOOKUP(AG$2,X368:X$1003,1,FALSE)),IF(X367=AG$2,SUMIF(X$4:X367,AG$2,Z$4:Z367)+VLOOKUP(AF$2,$B$1057:$F$1068,5,FALSE)+SUM(AR$4:AR$1003)+SUMIF(COSTI!$X$1379:$X$1430,AG$2,COSTI!$Z$1379:$Z$1430),0),0)</f>
        <v>#N/A</v>
      </c>
      <c r="AG367" s="859"/>
      <c r="AH367" s="27" t="str">
        <f t="shared" si="73"/>
        <v/>
      </c>
      <c r="AI367" s="152">
        <f ca="1">IF(W368&gt;0,0,IF(AH367=0,(Z367*-1)+BC367+SUM(BB$4:BB366),BC367+SUM(BB$4:BB366)))</f>
        <v>-2.1316282072803006E-13</v>
      </c>
      <c r="AJ367" s="931">
        <f>IF(AND(AL367&gt;=$U$1,AL367&lt;=$U$2),IF(AM367='ESTRATTO CONTO'!$E$2,1+COUNTIF(AJ$4:AJ366,"&gt;0")+U$1015,0),0)</f>
        <v>0</v>
      </c>
      <c r="AK367" s="203">
        <f>IF(AND(OR((AK366+1)&lt;AL$1015,(AK366+1)=AL$1015),MAX(AK$4:AK366)&lt;AL$1015),AK366+1,0)</f>
        <v>0</v>
      </c>
      <c r="AL367" s="309">
        <f>VLOOKUP($AK367,ENTI!$AF$4:AG$1003,2,FALSE)</f>
        <v>0</v>
      </c>
      <c r="AM367" s="224">
        <f>VLOOKUP($AK367,ENTI!$AF$4:AH$1003,3,FALSE)</f>
        <v>0</v>
      </c>
      <c r="AN367" s="224">
        <f>VLOOKUP($AK367,ENTI!$AF$4:AI$1003,4,FALSE)</f>
        <v>0</v>
      </c>
      <c r="AO367" s="781">
        <f>VLOOKUP($AK367,ENTI!$AF$4:AJ$1003,5,FALSE)</f>
        <v>0</v>
      </c>
      <c r="AP367" s="315">
        <f>VLOOKUP($AK367,ENTI!$AF$4:AK$1003,6,FALSE)</f>
        <v>0</v>
      </c>
      <c r="AQ367" s="208">
        <f t="shared" si="80"/>
        <v>0</v>
      </c>
      <c r="AR367" s="152" t="e">
        <f t="shared" si="81"/>
        <v>#N/A</v>
      </c>
      <c r="AS367" s="1"/>
      <c r="AT367" s="88" t="str">
        <f t="shared" si="74"/>
        <v/>
      </c>
      <c r="AU367" s="1"/>
      <c r="AV367" s="175">
        <f>IF(AW367&gt;0,COUNTIF(AV$4:AV366,"&gt;0")+1,0)</f>
        <v>0</v>
      </c>
      <c r="AW367" s="164">
        <f t="shared" si="75"/>
        <v>0</v>
      </c>
      <c r="AX367" s="310">
        <f>IF($AW367=0,0,VLOOKUP(VLOOKUP($X367,$B$34:$T$38,19,FALSE),ENTI!$A$9:$B$13,2,FALSE))</f>
        <v>0</v>
      </c>
      <c r="AY367" s="310">
        <f t="shared" si="77"/>
        <v>0</v>
      </c>
      <c r="AZ367" s="316">
        <f t="shared" si="78"/>
        <v>0</v>
      </c>
      <c r="BA367" s="1"/>
      <c r="BB367" s="152">
        <f t="shared" si="79"/>
        <v>0</v>
      </c>
      <c r="BC367" s="152">
        <f ca="1">SUM(Z$4:Z367)+SUM(BB$4:BB367)+COSTI!S$6-COSTI!L$1076</f>
        <v>-31.760000000000218</v>
      </c>
      <c r="BD367" s="1"/>
    </row>
    <row r="368" spans="1:56" ht="16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435">
        <f>IF(AND(W368&gt;=$U$1,W368&lt;=$U$2),IF(X368='ESTRATTO CONTO'!$E$2,1+COUNTIF(U$4:U367,"&gt;0"),0),0)</f>
        <v>0</v>
      </c>
      <c r="V368" s="417">
        <f t="shared" si="76"/>
        <v>365</v>
      </c>
      <c r="W368" s="509"/>
      <c r="X368" s="321"/>
      <c r="Y368" s="321"/>
      <c r="Z368" s="508"/>
      <c r="AA368" s="356"/>
      <c r="AB368" s="306" t="str">
        <f t="shared" si="72"/>
        <v/>
      </c>
      <c r="AC368" s="637">
        <f t="shared" ca="1" si="71"/>
        <v>-2.1316282072803006E-13</v>
      </c>
      <c r="AD368" s="935">
        <f>IF(ISERROR(VLOOKUP(AD$2,X369:X$1003,1,FALSE)),IF(X368=AD$2,SUMIF(X$4:X368,AD$2,Z$4:Z368)+$E$9+SUM(AQ$4:AQ$1003)+SUMIF(COSTI!$X$1379:$X$1430,AD$2,COSTI!$Z$1379:$Z$1430),0),0)</f>
        <v>0</v>
      </c>
      <c r="AE368" s="26"/>
      <c r="AF368" s="856" t="e">
        <f>IF(ISERROR(VLOOKUP(AG$2,X369:X$1003,1,FALSE)),IF(X368=AG$2,SUMIF(X$4:X368,AG$2,Z$4:Z368)+VLOOKUP(AF$2,$B$1057:$F$1068,5,FALSE)+SUM(AR$4:AR$1003)+SUMIF(COSTI!$X$1379:$X$1430,AG$2,COSTI!$Z$1379:$Z$1430),0),0)</f>
        <v>#N/A</v>
      </c>
      <c r="AG368" s="859"/>
      <c r="AH368" s="27" t="str">
        <f t="shared" si="73"/>
        <v/>
      </c>
      <c r="AI368" s="152">
        <f ca="1">IF(W369&gt;0,0,IF(AH368=0,(Z368*-1)+BC368+SUM(BB$4:BB367),BC368+SUM(BB$4:BB367)))</f>
        <v>-2.1316282072803006E-13</v>
      </c>
      <c r="AJ368" s="931">
        <f>IF(AND(AL368&gt;=$U$1,AL368&lt;=$U$2),IF(AM368='ESTRATTO CONTO'!$E$2,1+COUNTIF(AJ$4:AJ367,"&gt;0")+U$1015,0),0)</f>
        <v>0</v>
      </c>
      <c r="AK368" s="203">
        <f>IF(AND(OR((AK367+1)&lt;AL$1015,(AK367+1)=AL$1015),MAX(AK$4:AK367)&lt;AL$1015),AK367+1,0)</f>
        <v>0</v>
      </c>
      <c r="AL368" s="309">
        <f>VLOOKUP($AK368,ENTI!$AF$4:AG$1003,2,FALSE)</f>
        <v>0</v>
      </c>
      <c r="AM368" s="224">
        <f>VLOOKUP($AK368,ENTI!$AF$4:AH$1003,3,FALSE)</f>
        <v>0</v>
      </c>
      <c r="AN368" s="224">
        <f>VLOOKUP($AK368,ENTI!$AF$4:AI$1003,4,FALSE)</f>
        <v>0</v>
      </c>
      <c r="AO368" s="781">
        <f>VLOOKUP($AK368,ENTI!$AF$4:AJ$1003,5,FALSE)</f>
        <v>0</v>
      </c>
      <c r="AP368" s="315">
        <f>VLOOKUP($AK368,ENTI!$AF$4:AK$1003,6,FALSE)</f>
        <v>0</v>
      </c>
      <c r="AQ368" s="208">
        <f t="shared" si="80"/>
        <v>0</v>
      </c>
      <c r="AR368" s="152" t="e">
        <f t="shared" si="81"/>
        <v>#N/A</v>
      </c>
      <c r="AS368" s="1"/>
      <c r="AT368" s="88" t="str">
        <f t="shared" si="74"/>
        <v/>
      </c>
      <c r="AU368" s="1"/>
      <c r="AV368" s="175">
        <f>IF(AW368&gt;0,COUNTIF(AV$4:AV367,"&gt;0")+1,0)</f>
        <v>0</v>
      </c>
      <c r="AW368" s="164">
        <f t="shared" si="75"/>
        <v>0</v>
      </c>
      <c r="AX368" s="310">
        <f>IF($AW368=0,0,VLOOKUP(VLOOKUP($X368,$B$34:$T$38,19,FALSE),ENTI!$A$9:$B$13,2,FALSE))</f>
        <v>0</v>
      </c>
      <c r="AY368" s="310">
        <f t="shared" si="77"/>
        <v>0</v>
      </c>
      <c r="AZ368" s="316">
        <f t="shared" si="78"/>
        <v>0</v>
      </c>
      <c r="BA368" s="1"/>
      <c r="BB368" s="152">
        <f t="shared" si="79"/>
        <v>0</v>
      </c>
      <c r="BC368" s="152">
        <f ca="1">SUM(Z$4:Z368)+SUM(BB$4:BB368)+COSTI!S$6-COSTI!L$1076</f>
        <v>-31.760000000000218</v>
      </c>
      <c r="BD368" s="1"/>
    </row>
    <row r="369" spans="1:56" ht="16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435">
        <f>IF(AND(W369&gt;=$U$1,W369&lt;=$U$2),IF(X369='ESTRATTO CONTO'!$E$2,1+COUNTIF(U$4:U368,"&gt;0"),0),0)</f>
        <v>0</v>
      </c>
      <c r="V369" s="417">
        <f t="shared" si="76"/>
        <v>366</v>
      </c>
      <c r="W369" s="509"/>
      <c r="X369" s="321"/>
      <c r="Y369" s="321"/>
      <c r="Z369" s="508"/>
      <c r="AA369" s="356"/>
      <c r="AB369" s="306" t="str">
        <f t="shared" si="72"/>
        <v/>
      </c>
      <c r="AC369" s="637">
        <f t="shared" ca="1" si="71"/>
        <v>-2.1316282072803006E-13</v>
      </c>
      <c r="AD369" s="935">
        <f>IF(ISERROR(VLOOKUP(AD$2,X370:X$1003,1,FALSE)),IF(X369=AD$2,SUMIF(X$4:X369,AD$2,Z$4:Z369)+$E$9+SUM(AQ$4:AQ$1003)+SUMIF(COSTI!$X$1379:$X$1430,AD$2,COSTI!$Z$1379:$Z$1430),0),0)</f>
        <v>0</v>
      </c>
      <c r="AE369" s="26"/>
      <c r="AF369" s="856" t="e">
        <f>IF(ISERROR(VLOOKUP(AG$2,X370:X$1003,1,FALSE)),IF(X369=AG$2,SUMIF(X$4:X369,AG$2,Z$4:Z369)+VLOOKUP(AF$2,$B$1057:$F$1068,5,FALSE)+SUM(AR$4:AR$1003)+SUMIF(COSTI!$X$1379:$X$1430,AG$2,COSTI!$Z$1379:$Z$1430),0),0)</f>
        <v>#N/A</v>
      </c>
      <c r="AG369" s="859"/>
      <c r="AH369" s="27" t="str">
        <f t="shared" si="73"/>
        <v/>
      </c>
      <c r="AI369" s="152">
        <f ca="1">IF(W370&gt;0,0,IF(AH369=0,(Z369*-1)+BC369+SUM(BB$4:BB368),BC369+SUM(BB$4:BB368)))</f>
        <v>-2.1316282072803006E-13</v>
      </c>
      <c r="AJ369" s="931">
        <f>IF(AND(AL369&gt;=$U$1,AL369&lt;=$U$2),IF(AM369='ESTRATTO CONTO'!$E$2,1+COUNTIF(AJ$4:AJ368,"&gt;0")+U$1015,0),0)</f>
        <v>0</v>
      </c>
      <c r="AK369" s="203">
        <f>IF(AND(OR((AK368+1)&lt;AL$1015,(AK368+1)=AL$1015),MAX(AK$4:AK368)&lt;AL$1015),AK368+1,0)</f>
        <v>0</v>
      </c>
      <c r="AL369" s="309">
        <f>VLOOKUP($AK369,ENTI!$AF$4:AG$1003,2,FALSE)</f>
        <v>0</v>
      </c>
      <c r="AM369" s="224">
        <f>VLOOKUP($AK369,ENTI!$AF$4:AH$1003,3,FALSE)</f>
        <v>0</v>
      </c>
      <c r="AN369" s="224">
        <f>VLOOKUP($AK369,ENTI!$AF$4:AI$1003,4,FALSE)</f>
        <v>0</v>
      </c>
      <c r="AO369" s="781">
        <f>VLOOKUP($AK369,ENTI!$AF$4:AJ$1003,5,FALSE)</f>
        <v>0</v>
      </c>
      <c r="AP369" s="315">
        <f>VLOOKUP($AK369,ENTI!$AF$4:AK$1003,6,FALSE)</f>
        <v>0</v>
      </c>
      <c r="AQ369" s="208">
        <f t="shared" si="80"/>
        <v>0</v>
      </c>
      <c r="AR369" s="152" t="e">
        <f t="shared" si="81"/>
        <v>#N/A</v>
      </c>
      <c r="AS369" s="1"/>
      <c r="AT369" s="88" t="str">
        <f t="shared" si="74"/>
        <v/>
      </c>
      <c r="AU369" s="1"/>
      <c r="AV369" s="175">
        <f>IF(AW369&gt;0,COUNTIF(AV$4:AV368,"&gt;0")+1,0)</f>
        <v>0</v>
      </c>
      <c r="AW369" s="164">
        <f t="shared" si="75"/>
        <v>0</v>
      </c>
      <c r="AX369" s="310">
        <f>IF($AW369=0,0,VLOOKUP(VLOOKUP($X369,$B$34:$T$38,19,FALSE),ENTI!$A$9:$B$13,2,FALSE))</f>
        <v>0</v>
      </c>
      <c r="AY369" s="310">
        <f t="shared" si="77"/>
        <v>0</v>
      </c>
      <c r="AZ369" s="316">
        <f t="shared" si="78"/>
        <v>0</v>
      </c>
      <c r="BA369" s="1"/>
      <c r="BB369" s="152">
        <f t="shared" si="79"/>
        <v>0</v>
      </c>
      <c r="BC369" s="152">
        <f ca="1">SUM(Z$4:Z369)+SUM(BB$4:BB369)+COSTI!S$6-COSTI!L$1076</f>
        <v>-31.760000000000218</v>
      </c>
      <c r="BD369" s="1"/>
    </row>
    <row r="370" spans="1:56" ht="16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435">
        <f>IF(AND(W370&gt;=$U$1,W370&lt;=$U$2),IF(X370='ESTRATTO CONTO'!$E$2,1+COUNTIF(U$4:U369,"&gt;0"),0),0)</f>
        <v>0</v>
      </c>
      <c r="V370" s="417">
        <f t="shared" si="76"/>
        <v>367</v>
      </c>
      <c r="W370" s="509"/>
      <c r="X370" s="321"/>
      <c r="Y370" s="321"/>
      <c r="Z370" s="508"/>
      <c r="AA370" s="356"/>
      <c r="AB370" s="306" t="str">
        <f t="shared" si="72"/>
        <v/>
      </c>
      <c r="AC370" s="637">
        <f t="shared" ca="1" si="71"/>
        <v>-2.1316282072803006E-13</v>
      </c>
      <c r="AD370" s="935">
        <f>IF(ISERROR(VLOOKUP(AD$2,X371:X$1003,1,FALSE)),IF(X370=AD$2,SUMIF(X$4:X370,AD$2,Z$4:Z370)+$E$9+SUM(AQ$4:AQ$1003)+SUMIF(COSTI!$X$1379:$X$1430,AD$2,COSTI!$Z$1379:$Z$1430),0),0)</f>
        <v>0</v>
      </c>
      <c r="AE370" s="26"/>
      <c r="AF370" s="856" t="e">
        <f>IF(ISERROR(VLOOKUP(AG$2,X371:X$1003,1,FALSE)),IF(X370=AG$2,SUMIF(X$4:X370,AG$2,Z$4:Z370)+VLOOKUP(AF$2,$B$1057:$F$1068,5,FALSE)+SUM(AR$4:AR$1003)+SUMIF(COSTI!$X$1379:$X$1430,AG$2,COSTI!$Z$1379:$Z$1430),0),0)</f>
        <v>#N/A</v>
      </c>
      <c r="AG370" s="859"/>
      <c r="AH370" s="27" t="str">
        <f t="shared" si="73"/>
        <v/>
      </c>
      <c r="AI370" s="152">
        <f ca="1">IF(W371&gt;0,0,IF(AH370=0,(Z370*-1)+BC370+SUM(BB$4:BB369),BC370+SUM(BB$4:BB369)))</f>
        <v>-2.1316282072803006E-13</v>
      </c>
      <c r="AJ370" s="931">
        <f>IF(AND(AL370&gt;=$U$1,AL370&lt;=$U$2),IF(AM370='ESTRATTO CONTO'!$E$2,1+COUNTIF(AJ$4:AJ369,"&gt;0")+U$1015,0),0)</f>
        <v>0</v>
      </c>
      <c r="AK370" s="203">
        <f>IF(AND(OR((AK369+1)&lt;AL$1015,(AK369+1)=AL$1015),MAX(AK$4:AK369)&lt;AL$1015),AK369+1,0)</f>
        <v>0</v>
      </c>
      <c r="AL370" s="309">
        <f>VLOOKUP($AK370,ENTI!$AF$4:AG$1003,2,FALSE)</f>
        <v>0</v>
      </c>
      <c r="AM370" s="224">
        <f>VLOOKUP($AK370,ENTI!$AF$4:AH$1003,3,FALSE)</f>
        <v>0</v>
      </c>
      <c r="AN370" s="224">
        <f>VLOOKUP($AK370,ENTI!$AF$4:AI$1003,4,FALSE)</f>
        <v>0</v>
      </c>
      <c r="AO370" s="781">
        <f>VLOOKUP($AK370,ENTI!$AF$4:AJ$1003,5,FALSE)</f>
        <v>0</v>
      </c>
      <c r="AP370" s="315">
        <f>VLOOKUP($AK370,ENTI!$AF$4:AK$1003,6,FALSE)</f>
        <v>0</v>
      </c>
      <c r="AQ370" s="208">
        <f t="shared" si="80"/>
        <v>0</v>
      </c>
      <c r="AR370" s="152" t="e">
        <f t="shared" si="81"/>
        <v>#N/A</v>
      </c>
      <c r="AS370" s="1"/>
      <c r="AT370" s="88" t="str">
        <f t="shared" si="74"/>
        <v/>
      </c>
      <c r="AU370" s="1"/>
      <c r="AV370" s="175">
        <f>IF(AW370&gt;0,COUNTIF(AV$4:AV369,"&gt;0")+1,0)</f>
        <v>0</v>
      </c>
      <c r="AW370" s="164">
        <f t="shared" si="75"/>
        <v>0</v>
      </c>
      <c r="AX370" s="310">
        <f>IF($AW370=0,0,VLOOKUP(VLOOKUP($X370,$B$34:$T$38,19,FALSE),ENTI!$A$9:$B$13,2,FALSE))</f>
        <v>0</v>
      </c>
      <c r="AY370" s="310">
        <f t="shared" si="77"/>
        <v>0</v>
      </c>
      <c r="AZ370" s="316">
        <f t="shared" si="78"/>
        <v>0</v>
      </c>
      <c r="BA370" s="1"/>
      <c r="BB370" s="152">
        <f t="shared" si="79"/>
        <v>0</v>
      </c>
      <c r="BC370" s="152">
        <f ca="1">SUM(Z$4:Z370)+SUM(BB$4:BB370)+COSTI!S$6-COSTI!L$1076</f>
        <v>-31.760000000000218</v>
      </c>
      <c r="BD370" s="1"/>
    </row>
    <row r="371" spans="1:56" ht="16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435">
        <f>IF(AND(W371&gt;=$U$1,W371&lt;=$U$2),IF(X371='ESTRATTO CONTO'!$E$2,1+COUNTIF(U$4:U370,"&gt;0"),0),0)</f>
        <v>0</v>
      </c>
      <c r="V371" s="417">
        <f t="shared" si="76"/>
        <v>368</v>
      </c>
      <c r="W371" s="509"/>
      <c r="X371" s="321"/>
      <c r="Y371" s="321"/>
      <c r="Z371" s="508"/>
      <c r="AA371" s="356"/>
      <c r="AB371" s="306" t="str">
        <f t="shared" si="72"/>
        <v/>
      </c>
      <c r="AC371" s="637">
        <f t="shared" ca="1" si="71"/>
        <v>-2.1316282072803006E-13</v>
      </c>
      <c r="AD371" s="935">
        <f>IF(ISERROR(VLOOKUP(AD$2,X372:X$1003,1,FALSE)),IF(X371=AD$2,SUMIF(X$4:X371,AD$2,Z$4:Z371)+$E$9+SUM(AQ$4:AQ$1003)+SUMIF(COSTI!$X$1379:$X$1430,AD$2,COSTI!$Z$1379:$Z$1430),0),0)</f>
        <v>0</v>
      </c>
      <c r="AE371" s="26"/>
      <c r="AF371" s="856" t="e">
        <f>IF(ISERROR(VLOOKUP(AG$2,X372:X$1003,1,FALSE)),IF(X371=AG$2,SUMIF(X$4:X371,AG$2,Z$4:Z371)+VLOOKUP(AF$2,$B$1057:$F$1068,5,FALSE)+SUM(AR$4:AR$1003)+SUMIF(COSTI!$X$1379:$X$1430,AG$2,COSTI!$Z$1379:$Z$1430),0),0)</f>
        <v>#N/A</v>
      </c>
      <c r="AG371" s="859"/>
      <c r="AH371" s="27" t="str">
        <f t="shared" si="73"/>
        <v/>
      </c>
      <c r="AI371" s="152">
        <f ca="1">IF(W372&gt;0,0,IF(AH371=0,(Z371*-1)+BC371+SUM(BB$4:BB370),BC371+SUM(BB$4:BB370)))</f>
        <v>-2.1316282072803006E-13</v>
      </c>
      <c r="AJ371" s="931">
        <f>IF(AND(AL371&gt;=$U$1,AL371&lt;=$U$2),IF(AM371='ESTRATTO CONTO'!$E$2,1+COUNTIF(AJ$4:AJ370,"&gt;0")+U$1015,0),0)</f>
        <v>0</v>
      </c>
      <c r="AK371" s="203">
        <f>IF(AND(OR((AK370+1)&lt;AL$1015,(AK370+1)=AL$1015),MAX(AK$4:AK370)&lt;AL$1015),AK370+1,0)</f>
        <v>0</v>
      </c>
      <c r="AL371" s="309">
        <f>VLOOKUP($AK371,ENTI!$AF$4:AG$1003,2,FALSE)</f>
        <v>0</v>
      </c>
      <c r="AM371" s="224">
        <f>VLOOKUP($AK371,ENTI!$AF$4:AH$1003,3,FALSE)</f>
        <v>0</v>
      </c>
      <c r="AN371" s="224">
        <f>VLOOKUP($AK371,ENTI!$AF$4:AI$1003,4,FALSE)</f>
        <v>0</v>
      </c>
      <c r="AO371" s="781">
        <f>VLOOKUP($AK371,ENTI!$AF$4:AJ$1003,5,FALSE)</f>
        <v>0</v>
      </c>
      <c r="AP371" s="315">
        <f>VLOOKUP($AK371,ENTI!$AF$4:AK$1003,6,FALSE)</f>
        <v>0</v>
      </c>
      <c r="AQ371" s="208">
        <f t="shared" si="80"/>
        <v>0</v>
      </c>
      <c r="AR371" s="152" t="e">
        <f t="shared" si="81"/>
        <v>#N/A</v>
      </c>
      <c r="AS371" s="1"/>
      <c r="AT371" s="88" t="str">
        <f t="shared" si="74"/>
        <v/>
      </c>
      <c r="AU371" s="1"/>
      <c r="AV371" s="175">
        <f>IF(AW371&gt;0,COUNTIF(AV$4:AV370,"&gt;0")+1,0)</f>
        <v>0</v>
      </c>
      <c r="AW371" s="164">
        <f t="shared" si="75"/>
        <v>0</v>
      </c>
      <c r="AX371" s="310">
        <f>IF($AW371=0,0,VLOOKUP(VLOOKUP($X371,$B$34:$T$38,19,FALSE),ENTI!$A$9:$B$13,2,FALSE))</f>
        <v>0</v>
      </c>
      <c r="AY371" s="310">
        <f t="shared" si="77"/>
        <v>0</v>
      </c>
      <c r="AZ371" s="316">
        <f t="shared" si="78"/>
        <v>0</v>
      </c>
      <c r="BA371" s="1"/>
      <c r="BB371" s="152">
        <f t="shared" si="79"/>
        <v>0</v>
      </c>
      <c r="BC371" s="152">
        <f ca="1">SUM(Z$4:Z371)+SUM(BB$4:BB371)+COSTI!S$6-COSTI!L$1076</f>
        <v>-31.760000000000218</v>
      </c>
      <c r="BD371" s="1"/>
    </row>
    <row r="372" spans="1:56" ht="16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435">
        <f>IF(AND(W372&gt;=$U$1,W372&lt;=$U$2),IF(X372='ESTRATTO CONTO'!$E$2,1+COUNTIF(U$4:U371,"&gt;0"),0),0)</f>
        <v>0</v>
      </c>
      <c r="V372" s="417">
        <f t="shared" si="76"/>
        <v>369</v>
      </c>
      <c r="W372" s="509"/>
      <c r="X372" s="321"/>
      <c r="Y372" s="321"/>
      <c r="Z372" s="508"/>
      <c r="AA372" s="356"/>
      <c r="AB372" s="306" t="str">
        <f t="shared" si="72"/>
        <v/>
      </c>
      <c r="AC372" s="637">
        <f t="shared" ca="1" si="71"/>
        <v>-2.1316282072803006E-13</v>
      </c>
      <c r="AD372" s="935">
        <f>IF(ISERROR(VLOOKUP(AD$2,X373:X$1003,1,FALSE)),IF(X372=AD$2,SUMIF(X$4:X372,AD$2,Z$4:Z372)+$E$9+SUM(AQ$4:AQ$1003)+SUMIF(COSTI!$X$1379:$X$1430,AD$2,COSTI!$Z$1379:$Z$1430),0),0)</f>
        <v>0</v>
      </c>
      <c r="AE372" s="26"/>
      <c r="AF372" s="856" t="e">
        <f>IF(ISERROR(VLOOKUP(AG$2,X373:X$1003,1,FALSE)),IF(X372=AG$2,SUMIF(X$4:X372,AG$2,Z$4:Z372)+VLOOKUP(AF$2,$B$1057:$F$1068,5,FALSE)+SUM(AR$4:AR$1003)+SUMIF(COSTI!$X$1379:$X$1430,AG$2,COSTI!$Z$1379:$Z$1430),0),0)</f>
        <v>#N/A</v>
      </c>
      <c r="AG372" s="859"/>
      <c r="AH372" s="27" t="str">
        <f t="shared" si="73"/>
        <v/>
      </c>
      <c r="AI372" s="152">
        <f ca="1">IF(W373&gt;0,0,IF(AH372=0,(Z372*-1)+BC372+SUM(BB$4:BB371),BC372+SUM(BB$4:BB371)))</f>
        <v>-2.1316282072803006E-13</v>
      </c>
      <c r="AJ372" s="931">
        <f>IF(AND(AL372&gt;=$U$1,AL372&lt;=$U$2),IF(AM372='ESTRATTO CONTO'!$E$2,1+COUNTIF(AJ$4:AJ371,"&gt;0")+U$1015,0),0)</f>
        <v>0</v>
      </c>
      <c r="AK372" s="203">
        <f>IF(AND(OR((AK371+1)&lt;AL$1015,(AK371+1)=AL$1015),MAX(AK$4:AK371)&lt;AL$1015),AK371+1,0)</f>
        <v>0</v>
      </c>
      <c r="AL372" s="309">
        <f>VLOOKUP($AK372,ENTI!$AF$4:AG$1003,2,FALSE)</f>
        <v>0</v>
      </c>
      <c r="AM372" s="224">
        <f>VLOOKUP($AK372,ENTI!$AF$4:AH$1003,3,FALSE)</f>
        <v>0</v>
      </c>
      <c r="AN372" s="224">
        <f>VLOOKUP($AK372,ENTI!$AF$4:AI$1003,4,FALSE)</f>
        <v>0</v>
      </c>
      <c r="AO372" s="781">
        <f>VLOOKUP($AK372,ENTI!$AF$4:AJ$1003,5,FALSE)</f>
        <v>0</v>
      </c>
      <c r="AP372" s="315">
        <f>VLOOKUP($AK372,ENTI!$AF$4:AK$1003,6,FALSE)</f>
        <v>0</v>
      </c>
      <c r="AQ372" s="208">
        <f t="shared" si="80"/>
        <v>0</v>
      </c>
      <c r="AR372" s="152" t="e">
        <f t="shared" si="81"/>
        <v>#N/A</v>
      </c>
      <c r="AS372" s="1"/>
      <c r="AT372" s="88" t="str">
        <f t="shared" si="74"/>
        <v/>
      </c>
      <c r="AU372" s="1"/>
      <c r="AV372" s="175">
        <f>IF(AW372&gt;0,COUNTIF(AV$4:AV371,"&gt;0")+1,0)</f>
        <v>0</v>
      </c>
      <c r="AW372" s="164">
        <f t="shared" si="75"/>
        <v>0</v>
      </c>
      <c r="AX372" s="310">
        <f>IF($AW372=0,0,VLOOKUP(VLOOKUP($X372,$B$34:$T$38,19,FALSE),ENTI!$A$9:$B$13,2,FALSE))</f>
        <v>0</v>
      </c>
      <c r="AY372" s="310">
        <f t="shared" si="77"/>
        <v>0</v>
      </c>
      <c r="AZ372" s="316">
        <f t="shared" si="78"/>
        <v>0</v>
      </c>
      <c r="BA372" s="1"/>
      <c r="BB372" s="152">
        <f t="shared" si="79"/>
        <v>0</v>
      </c>
      <c r="BC372" s="152">
        <f ca="1">SUM(Z$4:Z372)+SUM(BB$4:BB372)+COSTI!S$6-COSTI!L$1076</f>
        <v>-31.760000000000218</v>
      </c>
      <c r="BD372" s="1"/>
    </row>
    <row r="373" spans="1:56" ht="16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435">
        <f>IF(AND(W373&gt;=$U$1,W373&lt;=$U$2),IF(X373='ESTRATTO CONTO'!$E$2,1+COUNTIF(U$4:U372,"&gt;0"),0),0)</f>
        <v>0</v>
      </c>
      <c r="V373" s="417">
        <f t="shared" si="76"/>
        <v>370</v>
      </c>
      <c r="W373" s="509"/>
      <c r="X373" s="321"/>
      <c r="Y373" s="321"/>
      <c r="Z373" s="508"/>
      <c r="AA373" s="356"/>
      <c r="AB373" s="306" t="str">
        <f t="shared" si="72"/>
        <v/>
      </c>
      <c r="AC373" s="637">
        <f t="shared" ca="1" si="71"/>
        <v>-2.1316282072803006E-13</v>
      </c>
      <c r="AD373" s="935">
        <f>IF(ISERROR(VLOOKUP(AD$2,X374:X$1003,1,FALSE)),IF(X373=AD$2,SUMIF(X$4:X373,AD$2,Z$4:Z373)+$E$9+SUM(AQ$4:AQ$1003)+SUMIF(COSTI!$X$1379:$X$1430,AD$2,COSTI!$Z$1379:$Z$1430),0),0)</f>
        <v>0</v>
      </c>
      <c r="AE373" s="26"/>
      <c r="AF373" s="856" t="e">
        <f>IF(ISERROR(VLOOKUP(AG$2,X374:X$1003,1,FALSE)),IF(X373=AG$2,SUMIF(X$4:X373,AG$2,Z$4:Z373)+VLOOKUP(AF$2,$B$1057:$F$1068,5,FALSE)+SUM(AR$4:AR$1003)+SUMIF(COSTI!$X$1379:$X$1430,AG$2,COSTI!$Z$1379:$Z$1430),0),0)</f>
        <v>#N/A</v>
      </c>
      <c r="AG373" s="859"/>
      <c r="AH373" s="27" t="str">
        <f t="shared" si="73"/>
        <v/>
      </c>
      <c r="AI373" s="152">
        <f ca="1">IF(W374&gt;0,0,IF(AH373=0,(Z373*-1)+BC373+SUM(BB$4:BB372),BC373+SUM(BB$4:BB372)))</f>
        <v>-2.1316282072803006E-13</v>
      </c>
      <c r="AJ373" s="931">
        <f>IF(AND(AL373&gt;=$U$1,AL373&lt;=$U$2),IF(AM373='ESTRATTO CONTO'!$E$2,1+COUNTIF(AJ$4:AJ372,"&gt;0")+U$1015,0),0)</f>
        <v>0</v>
      </c>
      <c r="AK373" s="203">
        <f>IF(AND(OR((AK372+1)&lt;AL$1015,(AK372+1)=AL$1015),MAX(AK$4:AK372)&lt;AL$1015),AK372+1,0)</f>
        <v>0</v>
      </c>
      <c r="AL373" s="309">
        <f>VLOOKUP($AK373,ENTI!$AF$4:AG$1003,2,FALSE)</f>
        <v>0</v>
      </c>
      <c r="AM373" s="224">
        <f>VLOOKUP($AK373,ENTI!$AF$4:AH$1003,3,FALSE)</f>
        <v>0</v>
      </c>
      <c r="AN373" s="224">
        <f>VLOOKUP($AK373,ENTI!$AF$4:AI$1003,4,FALSE)</f>
        <v>0</v>
      </c>
      <c r="AO373" s="781">
        <f>VLOOKUP($AK373,ENTI!$AF$4:AJ$1003,5,FALSE)</f>
        <v>0</v>
      </c>
      <c r="AP373" s="315">
        <f>VLOOKUP($AK373,ENTI!$AF$4:AK$1003,6,FALSE)</f>
        <v>0</v>
      </c>
      <c r="AQ373" s="208">
        <f t="shared" si="80"/>
        <v>0</v>
      </c>
      <c r="AR373" s="152" t="e">
        <f t="shared" si="81"/>
        <v>#N/A</v>
      </c>
      <c r="AS373" s="1"/>
      <c r="AT373" s="88" t="str">
        <f t="shared" si="74"/>
        <v/>
      </c>
      <c r="AU373" s="1"/>
      <c r="AV373" s="175">
        <f>IF(AW373&gt;0,COUNTIF(AV$4:AV372,"&gt;0")+1,0)</f>
        <v>0</v>
      </c>
      <c r="AW373" s="164">
        <f t="shared" si="75"/>
        <v>0</v>
      </c>
      <c r="AX373" s="310">
        <f>IF($AW373=0,0,VLOOKUP(VLOOKUP($X373,$B$34:$T$38,19,FALSE),ENTI!$A$9:$B$13,2,FALSE))</f>
        <v>0</v>
      </c>
      <c r="AY373" s="310">
        <f t="shared" si="77"/>
        <v>0</v>
      </c>
      <c r="AZ373" s="316">
        <f t="shared" si="78"/>
        <v>0</v>
      </c>
      <c r="BA373" s="1"/>
      <c r="BB373" s="152">
        <f t="shared" si="79"/>
        <v>0</v>
      </c>
      <c r="BC373" s="152">
        <f ca="1">SUM(Z$4:Z373)+SUM(BB$4:BB373)+COSTI!S$6-COSTI!L$1076</f>
        <v>-31.760000000000218</v>
      </c>
      <c r="BD373" s="1"/>
    </row>
    <row r="374" spans="1:56" ht="16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435">
        <f>IF(AND(W374&gt;=$U$1,W374&lt;=$U$2),IF(X374='ESTRATTO CONTO'!$E$2,1+COUNTIF(U$4:U373,"&gt;0"),0),0)</f>
        <v>0</v>
      </c>
      <c r="V374" s="417">
        <f t="shared" si="76"/>
        <v>371</v>
      </c>
      <c r="W374" s="509"/>
      <c r="X374" s="321"/>
      <c r="Y374" s="321"/>
      <c r="Z374" s="508"/>
      <c r="AA374" s="356"/>
      <c r="AB374" s="306" t="str">
        <f t="shared" si="72"/>
        <v/>
      </c>
      <c r="AC374" s="637">
        <f t="shared" ca="1" si="71"/>
        <v>-2.1316282072803006E-13</v>
      </c>
      <c r="AD374" s="935">
        <f>IF(ISERROR(VLOOKUP(AD$2,X375:X$1003,1,FALSE)),IF(X374=AD$2,SUMIF(X$4:X374,AD$2,Z$4:Z374)+$E$9+SUM(AQ$4:AQ$1003)+SUMIF(COSTI!$X$1379:$X$1430,AD$2,COSTI!$Z$1379:$Z$1430),0),0)</f>
        <v>0</v>
      </c>
      <c r="AE374" s="26"/>
      <c r="AF374" s="856" t="e">
        <f>IF(ISERROR(VLOOKUP(AG$2,X375:X$1003,1,FALSE)),IF(X374=AG$2,SUMIF(X$4:X374,AG$2,Z$4:Z374)+VLOOKUP(AF$2,$B$1057:$F$1068,5,FALSE)+SUM(AR$4:AR$1003)+SUMIF(COSTI!$X$1379:$X$1430,AG$2,COSTI!$Z$1379:$Z$1430),0),0)</f>
        <v>#N/A</v>
      </c>
      <c r="AG374" s="859"/>
      <c r="AH374" s="27" t="str">
        <f t="shared" si="73"/>
        <v/>
      </c>
      <c r="AI374" s="152">
        <f ca="1">IF(W375&gt;0,0,IF(AH374=0,(Z374*-1)+BC374+SUM(BB$4:BB373),BC374+SUM(BB$4:BB373)))</f>
        <v>-2.1316282072803006E-13</v>
      </c>
      <c r="AJ374" s="931">
        <f>IF(AND(AL374&gt;=$U$1,AL374&lt;=$U$2),IF(AM374='ESTRATTO CONTO'!$E$2,1+COUNTIF(AJ$4:AJ373,"&gt;0")+U$1015,0),0)</f>
        <v>0</v>
      </c>
      <c r="AK374" s="203">
        <f>IF(AND(OR((AK373+1)&lt;AL$1015,(AK373+1)=AL$1015),MAX(AK$4:AK373)&lt;AL$1015),AK373+1,0)</f>
        <v>0</v>
      </c>
      <c r="AL374" s="309">
        <f>VLOOKUP($AK374,ENTI!$AF$4:AG$1003,2,FALSE)</f>
        <v>0</v>
      </c>
      <c r="AM374" s="224">
        <f>VLOOKUP($AK374,ENTI!$AF$4:AH$1003,3,FALSE)</f>
        <v>0</v>
      </c>
      <c r="AN374" s="224">
        <f>VLOOKUP($AK374,ENTI!$AF$4:AI$1003,4,FALSE)</f>
        <v>0</v>
      </c>
      <c r="AO374" s="781">
        <f>VLOOKUP($AK374,ENTI!$AF$4:AJ$1003,5,FALSE)</f>
        <v>0</v>
      </c>
      <c r="AP374" s="315">
        <f>VLOOKUP($AK374,ENTI!$AF$4:AK$1003,6,FALSE)</f>
        <v>0</v>
      </c>
      <c r="AQ374" s="208">
        <f t="shared" si="80"/>
        <v>0</v>
      </c>
      <c r="AR374" s="152" t="e">
        <f t="shared" si="81"/>
        <v>#N/A</v>
      </c>
      <c r="AS374" s="1"/>
      <c r="AT374" s="88" t="str">
        <f t="shared" si="74"/>
        <v/>
      </c>
      <c r="AU374" s="1"/>
      <c r="AV374" s="175">
        <f>IF(AW374&gt;0,COUNTIF(AV$4:AV373,"&gt;0")+1,0)</f>
        <v>0</v>
      </c>
      <c r="AW374" s="164">
        <f t="shared" si="75"/>
        <v>0</v>
      </c>
      <c r="AX374" s="310">
        <f>IF($AW374=0,0,VLOOKUP(VLOOKUP($X374,$B$34:$T$38,19,FALSE),ENTI!$A$9:$B$13,2,FALSE))</f>
        <v>0</v>
      </c>
      <c r="AY374" s="310">
        <f t="shared" si="77"/>
        <v>0</v>
      </c>
      <c r="AZ374" s="316">
        <f t="shared" si="78"/>
        <v>0</v>
      </c>
      <c r="BA374" s="1"/>
      <c r="BB374" s="152">
        <f t="shared" si="79"/>
        <v>0</v>
      </c>
      <c r="BC374" s="152">
        <f ca="1">SUM(Z$4:Z374)+SUM(BB$4:BB374)+COSTI!S$6-COSTI!L$1076</f>
        <v>-31.760000000000218</v>
      </c>
      <c r="BD374" s="1"/>
    </row>
    <row r="375" spans="1:56" ht="16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435">
        <f>IF(AND(W375&gt;=$U$1,W375&lt;=$U$2),IF(X375='ESTRATTO CONTO'!$E$2,1+COUNTIF(U$4:U374,"&gt;0"),0),0)</f>
        <v>0</v>
      </c>
      <c r="V375" s="417">
        <f t="shared" si="76"/>
        <v>372</v>
      </c>
      <c r="W375" s="509"/>
      <c r="X375" s="321"/>
      <c r="Y375" s="321"/>
      <c r="Z375" s="508"/>
      <c r="AA375" s="356"/>
      <c r="AB375" s="306" t="str">
        <f t="shared" si="72"/>
        <v/>
      </c>
      <c r="AC375" s="637">
        <f t="shared" ca="1" si="71"/>
        <v>-2.1316282072803006E-13</v>
      </c>
      <c r="AD375" s="935">
        <f>IF(ISERROR(VLOOKUP(AD$2,X376:X$1003,1,FALSE)),IF(X375=AD$2,SUMIF(X$4:X375,AD$2,Z$4:Z375)+$E$9+SUM(AQ$4:AQ$1003)+SUMIF(COSTI!$X$1379:$X$1430,AD$2,COSTI!$Z$1379:$Z$1430),0),0)</f>
        <v>0</v>
      </c>
      <c r="AE375" s="26"/>
      <c r="AF375" s="856" t="e">
        <f>IF(ISERROR(VLOOKUP(AG$2,X376:X$1003,1,FALSE)),IF(X375=AG$2,SUMIF(X$4:X375,AG$2,Z$4:Z375)+VLOOKUP(AF$2,$B$1057:$F$1068,5,FALSE)+SUM(AR$4:AR$1003)+SUMIF(COSTI!$X$1379:$X$1430,AG$2,COSTI!$Z$1379:$Z$1430),0),0)</f>
        <v>#N/A</v>
      </c>
      <c r="AG375" s="859"/>
      <c r="AH375" s="27" t="str">
        <f t="shared" si="73"/>
        <v/>
      </c>
      <c r="AI375" s="152">
        <f ca="1">IF(W376&gt;0,0,IF(AH375=0,(Z375*-1)+BC375+SUM(BB$4:BB374),BC375+SUM(BB$4:BB374)))</f>
        <v>-2.1316282072803006E-13</v>
      </c>
      <c r="AJ375" s="931">
        <f>IF(AND(AL375&gt;=$U$1,AL375&lt;=$U$2),IF(AM375='ESTRATTO CONTO'!$E$2,1+COUNTIF(AJ$4:AJ374,"&gt;0")+U$1015,0),0)</f>
        <v>0</v>
      </c>
      <c r="AK375" s="203">
        <f>IF(AND(OR((AK374+1)&lt;AL$1015,(AK374+1)=AL$1015),MAX(AK$4:AK374)&lt;AL$1015),AK374+1,0)</f>
        <v>0</v>
      </c>
      <c r="AL375" s="309">
        <f>VLOOKUP($AK375,ENTI!$AF$4:AG$1003,2,FALSE)</f>
        <v>0</v>
      </c>
      <c r="AM375" s="224">
        <f>VLOOKUP($AK375,ENTI!$AF$4:AH$1003,3,FALSE)</f>
        <v>0</v>
      </c>
      <c r="AN375" s="224">
        <f>VLOOKUP($AK375,ENTI!$AF$4:AI$1003,4,FALSE)</f>
        <v>0</v>
      </c>
      <c r="AO375" s="781">
        <f>VLOOKUP($AK375,ENTI!$AF$4:AJ$1003,5,FALSE)</f>
        <v>0</v>
      </c>
      <c r="AP375" s="315">
        <f>VLOOKUP($AK375,ENTI!$AF$4:AK$1003,6,FALSE)</f>
        <v>0</v>
      </c>
      <c r="AQ375" s="208">
        <f t="shared" si="80"/>
        <v>0</v>
      </c>
      <c r="AR375" s="152" t="e">
        <f t="shared" si="81"/>
        <v>#N/A</v>
      </c>
      <c r="AS375" s="1"/>
      <c r="AT375" s="88" t="str">
        <f t="shared" si="74"/>
        <v/>
      </c>
      <c r="AU375" s="1"/>
      <c r="AV375" s="175">
        <f>IF(AW375&gt;0,COUNTIF(AV$4:AV374,"&gt;0")+1,0)</f>
        <v>0</v>
      </c>
      <c r="AW375" s="164">
        <f t="shared" si="75"/>
        <v>0</v>
      </c>
      <c r="AX375" s="310">
        <f>IF($AW375=0,0,VLOOKUP(VLOOKUP($X375,$B$34:$T$38,19,FALSE),ENTI!$A$9:$B$13,2,FALSE))</f>
        <v>0</v>
      </c>
      <c r="AY375" s="310">
        <f t="shared" si="77"/>
        <v>0</v>
      </c>
      <c r="AZ375" s="316">
        <f t="shared" si="78"/>
        <v>0</v>
      </c>
      <c r="BA375" s="1"/>
      <c r="BB375" s="152">
        <f t="shared" si="79"/>
        <v>0</v>
      </c>
      <c r="BC375" s="152">
        <f ca="1">SUM(Z$4:Z375)+SUM(BB$4:BB375)+COSTI!S$6-COSTI!L$1076</f>
        <v>-31.760000000000218</v>
      </c>
      <c r="BD375" s="1"/>
    </row>
    <row r="376" spans="1:56" ht="16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435">
        <f>IF(AND(W376&gt;=$U$1,W376&lt;=$U$2),IF(X376='ESTRATTO CONTO'!$E$2,1+COUNTIF(U$4:U375,"&gt;0"),0),0)</f>
        <v>0</v>
      </c>
      <c r="V376" s="417">
        <f t="shared" si="76"/>
        <v>373</v>
      </c>
      <c r="W376" s="509"/>
      <c r="X376" s="321"/>
      <c r="Y376" s="321"/>
      <c r="Z376" s="508"/>
      <c r="AA376" s="356"/>
      <c r="AB376" s="306" t="str">
        <f t="shared" si="72"/>
        <v/>
      </c>
      <c r="AC376" s="637">
        <f t="shared" ca="1" si="71"/>
        <v>-2.1316282072803006E-13</v>
      </c>
      <c r="AD376" s="935">
        <f>IF(ISERROR(VLOOKUP(AD$2,X377:X$1003,1,FALSE)),IF(X376=AD$2,SUMIF(X$4:X376,AD$2,Z$4:Z376)+$E$9+SUM(AQ$4:AQ$1003)+SUMIF(COSTI!$X$1379:$X$1430,AD$2,COSTI!$Z$1379:$Z$1430),0),0)</f>
        <v>0</v>
      </c>
      <c r="AE376" s="26"/>
      <c r="AF376" s="856" t="e">
        <f>IF(ISERROR(VLOOKUP(AG$2,X377:X$1003,1,FALSE)),IF(X376=AG$2,SUMIF(X$4:X376,AG$2,Z$4:Z376)+VLOOKUP(AF$2,$B$1057:$F$1068,5,FALSE)+SUM(AR$4:AR$1003)+SUMIF(COSTI!$X$1379:$X$1430,AG$2,COSTI!$Z$1379:$Z$1430),0),0)</f>
        <v>#N/A</v>
      </c>
      <c r="AG376" s="859"/>
      <c r="AH376" s="27" t="str">
        <f t="shared" si="73"/>
        <v/>
      </c>
      <c r="AI376" s="152">
        <f ca="1">IF(W377&gt;0,0,IF(AH376=0,(Z376*-1)+BC376+SUM(BB$4:BB375),BC376+SUM(BB$4:BB375)))</f>
        <v>-2.1316282072803006E-13</v>
      </c>
      <c r="AJ376" s="931">
        <f>IF(AND(AL376&gt;=$U$1,AL376&lt;=$U$2),IF(AM376='ESTRATTO CONTO'!$E$2,1+COUNTIF(AJ$4:AJ375,"&gt;0")+U$1015,0),0)</f>
        <v>0</v>
      </c>
      <c r="AK376" s="203">
        <f>IF(AND(OR((AK375+1)&lt;AL$1015,(AK375+1)=AL$1015),MAX(AK$4:AK375)&lt;AL$1015),AK375+1,0)</f>
        <v>0</v>
      </c>
      <c r="AL376" s="309">
        <f>VLOOKUP($AK376,ENTI!$AF$4:AG$1003,2,FALSE)</f>
        <v>0</v>
      </c>
      <c r="AM376" s="224">
        <f>VLOOKUP($AK376,ENTI!$AF$4:AH$1003,3,FALSE)</f>
        <v>0</v>
      </c>
      <c r="AN376" s="224">
        <f>VLOOKUP($AK376,ENTI!$AF$4:AI$1003,4,FALSE)</f>
        <v>0</v>
      </c>
      <c r="AO376" s="781">
        <f>VLOOKUP($AK376,ENTI!$AF$4:AJ$1003,5,FALSE)</f>
        <v>0</v>
      </c>
      <c r="AP376" s="315">
        <f>VLOOKUP($AK376,ENTI!$AF$4:AK$1003,6,FALSE)</f>
        <v>0</v>
      </c>
      <c r="AQ376" s="208">
        <f t="shared" si="80"/>
        <v>0</v>
      </c>
      <c r="AR376" s="152" t="e">
        <f t="shared" si="81"/>
        <v>#N/A</v>
      </c>
      <c r="AS376" s="1"/>
      <c r="AT376" s="88" t="str">
        <f t="shared" si="74"/>
        <v/>
      </c>
      <c r="AU376" s="1"/>
      <c r="AV376" s="175">
        <f>IF(AW376&gt;0,COUNTIF(AV$4:AV375,"&gt;0")+1,0)</f>
        <v>0</v>
      </c>
      <c r="AW376" s="164">
        <f t="shared" si="75"/>
        <v>0</v>
      </c>
      <c r="AX376" s="310">
        <f>IF($AW376=0,0,VLOOKUP(VLOOKUP($X376,$B$34:$T$38,19,FALSE),ENTI!$A$9:$B$13,2,FALSE))</f>
        <v>0</v>
      </c>
      <c r="AY376" s="310">
        <f t="shared" si="77"/>
        <v>0</v>
      </c>
      <c r="AZ376" s="316">
        <f t="shared" si="78"/>
        <v>0</v>
      </c>
      <c r="BA376" s="1"/>
      <c r="BB376" s="152">
        <f t="shared" si="79"/>
        <v>0</v>
      </c>
      <c r="BC376" s="152">
        <f ca="1">SUM(Z$4:Z376)+SUM(BB$4:BB376)+COSTI!S$6-COSTI!L$1076</f>
        <v>-31.760000000000218</v>
      </c>
      <c r="BD376" s="1"/>
    </row>
    <row r="377" spans="1:56" ht="16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435">
        <f>IF(AND(W377&gt;=$U$1,W377&lt;=$U$2),IF(X377='ESTRATTO CONTO'!$E$2,1+COUNTIF(U$4:U376,"&gt;0"),0),0)</f>
        <v>0</v>
      </c>
      <c r="V377" s="417">
        <f t="shared" si="76"/>
        <v>374</v>
      </c>
      <c r="W377" s="509"/>
      <c r="X377" s="321"/>
      <c r="Y377" s="321"/>
      <c r="Z377" s="508"/>
      <c r="AA377" s="356"/>
      <c r="AB377" s="306" t="str">
        <f t="shared" si="72"/>
        <v/>
      </c>
      <c r="AC377" s="637">
        <f t="shared" ref="AC377:AC440" ca="1" si="82">AI377</f>
        <v>-2.1316282072803006E-13</v>
      </c>
      <c r="AD377" s="935">
        <f>IF(ISERROR(VLOOKUP(AD$2,X378:X$1003,1,FALSE)),IF(X377=AD$2,SUMIF(X$4:X377,AD$2,Z$4:Z377)+$E$9+SUM(AQ$4:AQ$1003)+SUMIF(COSTI!$X$1379:$X$1430,AD$2,COSTI!$Z$1379:$Z$1430),0),0)</f>
        <v>0</v>
      </c>
      <c r="AE377" s="26"/>
      <c r="AF377" s="856" t="e">
        <f>IF(ISERROR(VLOOKUP(AG$2,X378:X$1003,1,FALSE)),IF(X377=AG$2,SUMIF(X$4:X377,AG$2,Z$4:Z377)+VLOOKUP(AF$2,$B$1057:$F$1068,5,FALSE)+SUM(AR$4:AR$1003)+SUMIF(COSTI!$X$1379:$X$1430,AG$2,COSTI!$Z$1379:$Z$1430),0),0)</f>
        <v>#N/A</v>
      </c>
      <c r="AG377" s="859"/>
      <c r="AH377" s="27" t="str">
        <f t="shared" si="73"/>
        <v/>
      </c>
      <c r="AI377" s="152">
        <f ca="1">IF(W378&gt;0,0,IF(AH377=0,(Z377*-1)+BC377+SUM(BB$4:BB376),BC377+SUM(BB$4:BB376)))</f>
        <v>-2.1316282072803006E-13</v>
      </c>
      <c r="AJ377" s="931">
        <f>IF(AND(AL377&gt;=$U$1,AL377&lt;=$U$2),IF(AM377='ESTRATTO CONTO'!$E$2,1+COUNTIF(AJ$4:AJ376,"&gt;0")+U$1015,0),0)</f>
        <v>0</v>
      </c>
      <c r="AK377" s="203">
        <f>IF(AND(OR((AK376+1)&lt;AL$1015,(AK376+1)=AL$1015),MAX(AK$4:AK376)&lt;AL$1015),AK376+1,0)</f>
        <v>0</v>
      </c>
      <c r="AL377" s="309">
        <f>VLOOKUP($AK377,ENTI!$AF$4:AG$1003,2,FALSE)</f>
        <v>0</v>
      </c>
      <c r="AM377" s="224">
        <f>VLOOKUP($AK377,ENTI!$AF$4:AH$1003,3,FALSE)</f>
        <v>0</v>
      </c>
      <c r="AN377" s="224">
        <f>VLOOKUP($AK377,ENTI!$AF$4:AI$1003,4,FALSE)</f>
        <v>0</v>
      </c>
      <c r="AO377" s="781">
        <f>VLOOKUP($AK377,ENTI!$AF$4:AJ$1003,5,FALSE)</f>
        <v>0</v>
      </c>
      <c r="AP377" s="315">
        <f>VLOOKUP($AK377,ENTI!$AF$4:AK$1003,6,FALSE)</f>
        <v>0</v>
      </c>
      <c r="AQ377" s="208">
        <f t="shared" si="80"/>
        <v>0</v>
      </c>
      <c r="AR377" s="152" t="e">
        <f t="shared" si="81"/>
        <v>#N/A</v>
      </c>
      <c r="AS377" s="1"/>
      <c r="AT377" s="88" t="str">
        <f t="shared" si="74"/>
        <v/>
      </c>
      <c r="AU377" s="1"/>
      <c r="AV377" s="175">
        <f>IF(AW377&gt;0,COUNTIF(AV$4:AV376,"&gt;0")+1,0)</f>
        <v>0</v>
      </c>
      <c r="AW377" s="164">
        <f t="shared" si="75"/>
        <v>0</v>
      </c>
      <c r="AX377" s="310">
        <f>IF($AW377=0,0,VLOOKUP(VLOOKUP($X377,$B$34:$T$38,19,FALSE),ENTI!$A$9:$B$13,2,FALSE))</f>
        <v>0</v>
      </c>
      <c r="AY377" s="310">
        <f t="shared" si="77"/>
        <v>0</v>
      </c>
      <c r="AZ377" s="316">
        <f t="shared" si="78"/>
        <v>0</v>
      </c>
      <c r="BA377" s="1"/>
      <c r="BB377" s="152">
        <f t="shared" si="79"/>
        <v>0</v>
      </c>
      <c r="BC377" s="152">
        <f ca="1">SUM(Z$4:Z377)+SUM(BB$4:BB377)+COSTI!S$6-COSTI!L$1076</f>
        <v>-31.760000000000218</v>
      </c>
      <c r="BD377" s="1"/>
    </row>
    <row r="378" spans="1:56" ht="16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435">
        <f>IF(AND(W378&gt;=$U$1,W378&lt;=$U$2),IF(X378='ESTRATTO CONTO'!$E$2,1+COUNTIF(U$4:U377,"&gt;0"),0),0)</f>
        <v>0</v>
      </c>
      <c r="V378" s="417">
        <f t="shared" si="76"/>
        <v>375</v>
      </c>
      <c r="W378" s="509"/>
      <c r="X378" s="321"/>
      <c r="Y378" s="321"/>
      <c r="Z378" s="508"/>
      <c r="AA378" s="356"/>
      <c r="AB378" s="306" t="str">
        <f t="shared" si="72"/>
        <v/>
      </c>
      <c r="AC378" s="637">
        <f t="shared" ca="1" si="82"/>
        <v>-2.1316282072803006E-13</v>
      </c>
      <c r="AD378" s="935">
        <f>IF(ISERROR(VLOOKUP(AD$2,X379:X$1003,1,FALSE)),IF(X378=AD$2,SUMIF(X$4:X378,AD$2,Z$4:Z378)+$E$9+SUM(AQ$4:AQ$1003)+SUMIF(COSTI!$X$1379:$X$1430,AD$2,COSTI!$Z$1379:$Z$1430),0),0)</f>
        <v>0</v>
      </c>
      <c r="AE378" s="26"/>
      <c r="AF378" s="856" t="e">
        <f>IF(ISERROR(VLOOKUP(AG$2,X379:X$1003,1,FALSE)),IF(X378=AG$2,SUMIF(X$4:X378,AG$2,Z$4:Z378)+VLOOKUP(AF$2,$B$1057:$F$1068,5,FALSE)+SUM(AR$4:AR$1003)+SUMIF(COSTI!$X$1379:$X$1430,AG$2,COSTI!$Z$1379:$Z$1430),0),0)</f>
        <v>#N/A</v>
      </c>
      <c r="AG378" s="859"/>
      <c r="AH378" s="27" t="str">
        <f t="shared" si="73"/>
        <v/>
      </c>
      <c r="AI378" s="152">
        <f ca="1">IF(W379&gt;0,0,IF(AH378=0,(Z378*-1)+BC378+SUM(BB$4:BB377),BC378+SUM(BB$4:BB377)))</f>
        <v>-2.1316282072803006E-13</v>
      </c>
      <c r="AJ378" s="931">
        <f>IF(AND(AL378&gt;=$U$1,AL378&lt;=$U$2),IF(AM378='ESTRATTO CONTO'!$E$2,1+COUNTIF(AJ$4:AJ377,"&gt;0")+U$1015,0),0)</f>
        <v>0</v>
      </c>
      <c r="AK378" s="203">
        <f>IF(AND(OR((AK377+1)&lt;AL$1015,(AK377+1)=AL$1015),MAX(AK$4:AK377)&lt;AL$1015),AK377+1,0)</f>
        <v>0</v>
      </c>
      <c r="AL378" s="309">
        <f>VLOOKUP($AK378,ENTI!$AF$4:AG$1003,2,FALSE)</f>
        <v>0</v>
      </c>
      <c r="AM378" s="224">
        <f>VLOOKUP($AK378,ENTI!$AF$4:AH$1003,3,FALSE)</f>
        <v>0</v>
      </c>
      <c r="AN378" s="224">
        <f>VLOOKUP($AK378,ENTI!$AF$4:AI$1003,4,FALSE)</f>
        <v>0</v>
      </c>
      <c r="AO378" s="781">
        <f>VLOOKUP($AK378,ENTI!$AF$4:AJ$1003,5,FALSE)</f>
        <v>0</v>
      </c>
      <c r="AP378" s="315">
        <f>VLOOKUP($AK378,ENTI!$AF$4:AK$1003,6,FALSE)</f>
        <v>0</v>
      </c>
      <c r="AQ378" s="208">
        <f t="shared" si="80"/>
        <v>0</v>
      </c>
      <c r="AR378" s="152" t="e">
        <f t="shared" si="81"/>
        <v>#N/A</v>
      </c>
      <c r="AS378" s="1"/>
      <c r="AT378" s="88" t="str">
        <f t="shared" si="74"/>
        <v/>
      </c>
      <c r="AU378" s="1"/>
      <c r="AV378" s="175">
        <f>IF(AW378&gt;0,COUNTIF(AV$4:AV377,"&gt;0")+1,0)</f>
        <v>0</v>
      </c>
      <c r="AW378" s="164">
        <f t="shared" si="75"/>
        <v>0</v>
      </c>
      <c r="AX378" s="310">
        <f>IF($AW378=0,0,VLOOKUP(VLOOKUP($X378,$B$34:$T$38,19,FALSE),ENTI!$A$9:$B$13,2,FALSE))</f>
        <v>0</v>
      </c>
      <c r="AY378" s="310">
        <f t="shared" si="77"/>
        <v>0</v>
      </c>
      <c r="AZ378" s="316">
        <f t="shared" si="78"/>
        <v>0</v>
      </c>
      <c r="BA378" s="1"/>
      <c r="BB378" s="152">
        <f t="shared" si="79"/>
        <v>0</v>
      </c>
      <c r="BC378" s="152">
        <f ca="1">SUM(Z$4:Z378)+SUM(BB$4:BB378)+COSTI!S$6-COSTI!L$1076</f>
        <v>-31.760000000000218</v>
      </c>
      <c r="BD378" s="1"/>
    </row>
    <row r="379" spans="1:56" ht="16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435">
        <f>IF(AND(W379&gt;=$U$1,W379&lt;=$U$2),IF(X379='ESTRATTO CONTO'!$E$2,1+COUNTIF(U$4:U378,"&gt;0"),0),0)</f>
        <v>0</v>
      </c>
      <c r="V379" s="417">
        <f t="shared" si="76"/>
        <v>376</v>
      </c>
      <c r="W379" s="509"/>
      <c r="X379" s="321"/>
      <c r="Y379" s="321"/>
      <c r="Z379" s="508"/>
      <c r="AA379" s="356"/>
      <c r="AB379" s="306" t="str">
        <f t="shared" si="72"/>
        <v/>
      </c>
      <c r="AC379" s="637">
        <f t="shared" ca="1" si="82"/>
        <v>-2.1316282072803006E-13</v>
      </c>
      <c r="AD379" s="935">
        <f>IF(ISERROR(VLOOKUP(AD$2,X380:X$1003,1,FALSE)),IF(X379=AD$2,SUMIF(X$4:X379,AD$2,Z$4:Z379)+$E$9+SUM(AQ$4:AQ$1003)+SUMIF(COSTI!$X$1379:$X$1430,AD$2,COSTI!$Z$1379:$Z$1430),0),0)</f>
        <v>0</v>
      </c>
      <c r="AE379" s="26"/>
      <c r="AF379" s="856" t="e">
        <f>IF(ISERROR(VLOOKUP(AG$2,X380:X$1003,1,FALSE)),IF(X379=AG$2,SUMIF(X$4:X379,AG$2,Z$4:Z379)+VLOOKUP(AF$2,$B$1057:$F$1068,5,FALSE)+SUM(AR$4:AR$1003)+SUMIF(COSTI!$X$1379:$X$1430,AG$2,COSTI!$Z$1379:$Z$1430),0),0)</f>
        <v>#N/A</v>
      </c>
      <c r="AG379" s="859"/>
      <c r="AH379" s="27" t="str">
        <f t="shared" si="73"/>
        <v/>
      </c>
      <c r="AI379" s="152">
        <f ca="1">IF(W380&gt;0,0,IF(AH379=0,(Z379*-1)+BC379+SUM(BB$4:BB378),BC379+SUM(BB$4:BB378)))</f>
        <v>-2.1316282072803006E-13</v>
      </c>
      <c r="AJ379" s="931">
        <f>IF(AND(AL379&gt;=$U$1,AL379&lt;=$U$2),IF(AM379='ESTRATTO CONTO'!$E$2,1+COUNTIF(AJ$4:AJ378,"&gt;0")+U$1015,0),0)</f>
        <v>0</v>
      </c>
      <c r="AK379" s="203">
        <f>IF(AND(OR((AK378+1)&lt;AL$1015,(AK378+1)=AL$1015),MAX(AK$4:AK378)&lt;AL$1015),AK378+1,0)</f>
        <v>0</v>
      </c>
      <c r="AL379" s="309">
        <f>VLOOKUP($AK379,ENTI!$AF$4:AG$1003,2,FALSE)</f>
        <v>0</v>
      </c>
      <c r="AM379" s="224">
        <f>VLOOKUP($AK379,ENTI!$AF$4:AH$1003,3,FALSE)</f>
        <v>0</v>
      </c>
      <c r="AN379" s="224">
        <f>VLOOKUP($AK379,ENTI!$AF$4:AI$1003,4,FALSE)</f>
        <v>0</v>
      </c>
      <c r="AO379" s="781">
        <f>VLOOKUP($AK379,ENTI!$AF$4:AJ$1003,5,FALSE)</f>
        <v>0</v>
      </c>
      <c r="AP379" s="315">
        <f>VLOOKUP($AK379,ENTI!$AF$4:AK$1003,6,FALSE)</f>
        <v>0</v>
      </c>
      <c r="AQ379" s="208">
        <f t="shared" si="80"/>
        <v>0</v>
      </c>
      <c r="AR379" s="152" t="e">
        <f t="shared" si="81"/>
        <v>#N/A</v>
      </c>
      <c r="AS379" s="1"/>
      <c r="AT379" s="88" t="str">
        <f t="shared" si="74"/>
        <v/>
      </c>
      <c r="AU379" s="1"/>
      <c r="AV379" s="175">
        <f>IF(AW379&gt;0,COUNTIF(AV$4:AV378,"&gt;0")+1,0)</f>
        <v>0</v>
      </c>
      <c r="AW379" s="164">
        <f t="shared" si="75"/>
        <v>0</v>
      </c>
      <c r="AX379" s="310">
        <f>IF($AW379=0,0,VLOOKUP(VLOOKUP($X379,$B$34:$T$38,19,FALSE),ENTI!$A$9:$B$13,2,FALSE))</f>
        <v>0</v>
      </c>
      <c r="AY379" s="310">
        <f t="shared" si="77"/>
        <v>0</v>
      </c>
      <c r="AZ379" s="316">
        <f t="shared" si="78"/>
        <v>0</v>
      </c>
      <c r="BA379" s="1"/>
      <c r="BB379" s="152">
        <f t="shared" si="79"/>
        <v>0</v>
      </c>
      <c r="BC379" s="152">
        <f ca="1">SUM(Z$4:Z379)+SUM(BB$4:BB379)+COSTI!S$6-COSTI!L$1076</f>
        <v>-31.760000000000218</v>
      </c>
      <c r="BD379" s="1"/>
    </row>
    <row r="380" spans="1:56" ht="16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435">
        <f>IF(AND(W380&gt;=$U$1,W380&lt;=$U$2),IF(X380='ESTRATTO CONTO'!$E$2,1+COUNTIF(U$4:U379,"&gt;0"),0),0)</f>
        <v>0</v>
      </c>
      <c r="V380" s="417">
        <f t="shared" si="76"/>
        <v>377</v>
      </c>
      <c r="W380" s="509"/>
      <c r="X380" s="321"/>
      <c r="Y380" s="321"/>
      <c r="Z380" s="508"/>
      <c r="AA380" s="356"/>
      <c r="AB380" s="306" t="str">
        <f t="shared" si="72"/>
        <v/>
      </c>
      <c r="AC380" s="637">
        <f t="shared" ca="1" si="82"/>
        <v>-2.1316282072803006E-13</v>
      </c>
      <c r="AD380" s="935">
        <f>IF(ISERROR(VLOOKUP(AD$2,X381:X$1003,1,FALSE)),IF(X380=AD$2,SUMIF(X$4:X380,AD$2,Z$4:Z380)+$E$9+SUM(AQ$4:AQ$1003)+SUMIF(COSTI!$X$1379:$X$1430,AD$2,COSTI!$Z$1379:$Z$1430),0),0)</f>
        <v>0</v>
      </c>
      <c r="AE380" s="26"/>
      <c r="AF380" s="856" t="e">
        <f>IF(ISERROR(VLOOKUP(AG$2,X381:X$1003,1,FALSE)),IF(X380=AG$2,SUMIF(X$4:X380,AG$2,Z$4:Z380)+VLOOKUP(AF$2,$B$1057:$F$1068,5,FALSE)+SUM(AR$4:AR$1003)+SUMIF(COSTI!$X$1379:$X$1430,AG$2,COSTI!$Z$1379:$Z$1430),0),0)</f>
        <v>#N/A</v>
      </c>
      <c r="AG380" s="859"/>
      <c r="AH380" s="27" t="str">
        <f t="shared" si="73"/>
        <v/>
      </c>
      <c r="AI380" s="152">
        <f ca="1">IF(W381&gt;0,0,IF(AH380=0,(Z380*-1)+BC380+SUM(BB$4:BB379),BC380+SUM(BB$4:BB379)))</f>
        <v>-2.1316282072803006E-13</v>
      </c>
      <c r="AJ380" s="931">
        <f>IF(AND(AL380&gt;=$U$1,AL380&lt;=$U$2),IF(AM380='ESTRATTO CONTO'!$E$2,1+COUNTIF(AJ$4:AJ379,"&gt;0")+U$1015,0),0)</f>
        <v>0</v>
      </c>
      <c r="AK380" s="203">
        <f>IF(AND(OR((AK379+1)&lt;AL$1015,(AK379+1)=AL$1015),MAX(AK$4:AK379)&lt;AL$1015),AK379+1,0)</f>
        <v>0</v>
      </c>
      <c r="AL380" s="309">
        <f>VLOOKUP($AK380,ENTI!$AF$4:AG$1003,2,FALSE)</f>
        <v>0</v>
      </c>
      <c r="AM380" s="224">
        <f>VLOOKUP($AK380,ENTI!$AF$4:AH$1003,3,FALSE)</f>
        <v>0</v>
      </c>
      <c r="AN380" s="224">
        <f>VLOOKUP($AK380,ENTI!$AF$4:AI$1003,4,FALSE)</f>
        <v>0</v>
      </c>
      <c r="AO380" s="781">
        <f>VLOOKUP($AK380,ENTI!$AF$4:AJ$1003,5,FALSE)</f>
        <v>0</v>
      </c>
      <c r="AP380" s="315">
        <f>VLOOKUP($AK380,ENTI!$AF$4:AK$1003,6,FALSE)</f>
        <v>0</v>
      </c>
      <c r="AQ380" s="208">
        <f t="shared" si="80"/>
        <v>0</v>
      </c>
      <c r="AR380" s="152" t="e">
        <f t="shared" si="81"/>
        <v>#N/A</v>
      </c>
      <c r="AS380" s="1"/>
      <c r="AT380" s="88" t="str">
        <f t="shared" si="74"/>
        <v/>
      </c>
      <c r="AU380" s="1"/>
      <c r="AV380" s="175">
        <f>IF(AW380&gt;0,COUNTIF(AV$4:AV379,"&gt;0")+1,0)</f>
        <v>0</v>
      </c>
      <c r="AW380" s="164">
        <f t="shared" si="75"/>
        <v>0</v>
      </c>
      <c r="AX380" s="310">
        <f>IF($AW380=0,0,VLOOKUP(VLOOKUP($X380,$B$34:$T$38,19,FALSE),ENTI!$A$9:$B$13,2,FALSE))</f>
        <v>0</v>
      </c>
      <c r="AY380" s="310">
        <f t="shared" si="77"/>
        <v>0</v>
      </c>
      <c r="AZ380" s="316">
        <f t="shared" si="78"/>
        <v>0</v>
      </c>
      <c r="BA380" s="1"/>
      <c r="BB380" s="152">
        <f t="shared" si="79"/>
        <v>0</v>
      </c>
      <c r="BC380" s="152">
        <f ca="1">SUM(Z$4:Z380)+SUM(BB$4:BB380)+COSTI!S$6-COSTI!L$1076</f>
        <v>-31.760000000000218</v>
      </c>
      <c r="BD380" s="1"/>
    </row>
    <row r="381" spans="1:56" ht="16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435">
        <f>IF(AND(W381&gt;=$U$1,W381&lt;=$U$2),IF(X381='ESTRATTO CONTO'!$E$2,1+COUNTIF(U$4:U380,"&gt;0"),0),0)</f>
        <v>0</v>
      </c>
      <c r="V381" s="417">
        <f t="shared" si="76"/>
        <v>378</v>
      </c>
      <c r="W381" s="509"/>
      <c r="X381" s="321"/>
      <c r="Y381" s="321"/>
      <c r="Z381" s="508"/>
      <c r="AA381" s="356"/>
      <c r="AB381" s="306" t="str">
        <f t="shared" si="72"/>
        <v/>
      </c>
      <c r="AC381" s="637">
        <f t="shared" ca="1" si="82"/>
        <v>-2.1316282072803006E-13</v>
      </c>
      <c r="AD381" s="935">
        <f>IF(ISERROR(VLOOKUP(AD$2,X382:X$1003,1,FALSE)),IF(X381=AD$2,SUMIF(X$4:X381,AD$2,Z$4:Z381)+$E$9+SUM(AQ$4:AQ$1003)+SUMIF(COSTI!$X$1379:$X$1430,AD$2,COSTI!$Z$1379:$Z$1430),0),0)</f>
        <v>0</v>
      </c>
      <c r="AE381" s="26"/>
      <c r="AF381" s="856" t="e">
        <f>IF(ISERROR(VLOOKUP(AG$2,X382:X$1003,1,FALSE)),IF(X381=AG$2,SUMIF(X$4:X381,AG$2,Z$4:Z381)+VLOOKUP(AF$2,$B$1057:$F$1068,5,FALSE)+SUM(AR$4:AR$1003)+SUMIF(COSTI!$X$1379:$X$1430,AG$2,COSTI!$Z$1379:$Z$1430),0),0)</f>
        <v>#N/A</v>
      </c>
      <c r="AG381" s="859"/>
      <c r="AH381" s="27" t="str">
        <f t="shared" si="73"/>
        <v/>
      </c>
      <c r="AI381" s="152">
        <f ca="1">IF(W382&gt;0,0,IF(AH381=0,(Z381*-1)+BC381+SUM(BB$4:BB380),BC381+SUM(BB$4:BB380)))</f>
        <v>-2.1316282072803006E-13</v>
      </c>
      <c r="AJ381" s="931">
        <f>IF(AND(AL381&gt;=$U$1,AL381&lt;=$U$2),IF(AM381='ESTRATTO CONTO'!$E$2,1+COUNTIF(AJ$4:AJ380,"&gt;0")+U$1015,0),0)</f>
        <v>0</v>
      </c>
      <c r="AK381" s="203">
        <f>IF(AND(OR((AK380+1)&lt;AL$1015,(AK380+1)=AL$1015),MAX(AK$4:AK380)&lt;AL$1015),AK380+1,0)</f>
        <v>0</v>
      </c>
      <c r="AL381" s="309">
        <f>VLOOKUP($AK381,ENTI!$AF$4:AG$1003,2,FALSE)</f>
        <v>0</v>
      </c>
      <c r="AM381" s="224">
        <f>VLOOKUP($AK381,ENTI!$AF$4:AH$1003,3,FALSE)</f>
        <v>0</v>
      </c>
      <c r="AN381" s="224">
        <f>VLOOKUP($AK381,ENTI!$AF$4:AI$1003,4,FALSE)</f>
        <v>0</v>
      </c>
      <c r="AO381" s="781">
        <f>VLOOKUP($AK381,ENTI!$AF$4:AJ$1003,5,FALSE)</f>
        <v>0</v>
      </c>
      <c r="AP381" s="315">
        <f>VLOOKUP($AK381,ENTI!$AF$4:AK$1003,6,FALSE)</f>
        <v>0</v>
      </c>
      <c r="AQ381" s="208">
        <f t="shared" si="80"/>
        <v>0</v>
      </c>
      <c r="AR381" s="152" t="e">
        <f t="shared" si="81"/>
        <v>#N/A</v>
      </c>
      <c r="AS381" s="1"/>
      <c r="AT381" s="88" t="str">
        <f t="shared" si="74"/>
        <v/>
      </c>
      <c r="AU381" s="1"/>
      <c r="AV381" s="175">
        <f>IF(AW381&gt;0,COUNTIF(AV$4:AV380,"&gt;0")+1,0)</f>
        <v>0</v>
      </c>
      <c r="AW381" s="164">
        <f t="shared" si="75"/>
        <v>0</v>
      </c>
      <c r="AX381" s="310">
        <f>IF($AW381=0,0,VLOOKUP(VLOOKUP($X381,$B$34:$T$38,19,FALSE),ENTI!$A$9:$B$13,2,FALSE))</f>
        <v>0</v>
      </c>
      <c r="AY381" s="310">
        <f t="shared" si="77"/>
        <v>0</v>
      </c>
      <c r="AZ381" s="316">
        <f t="shared" si="78"/>
        <v>0</v>
      </c>
      <c r="BA381" s="1"/>
      <c r="BB381" s="152">
        <f t="shared" si="79"/>
        <v>0</v>
      </c>
      <c r="BC381" s="152">
        <f ca="1">SUM(Z$4:Z381)+SUM(BB$4:BB381)+COSTI!S$6-COSTI!L$1076</f>
        <v>-31.760000000000218</v>
      </c>
      <c r="BD381" s="1"/>
    </row>
    <row r="382" spans="1:56" ht="16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435">
        <f>IF(AND(W382&gt;=$U$1,W382&lt;=$U$2),IF(X382='ESTRATTO CONTO'!$E$2,1+COUNTIF(U$4:U381,"&gt;0"),0),0)</f>
        <v>0</v>
      </c>
      <c r="V382" s="417">
        <f t="shared" si="76"/>
        <v>379</v>
      </c>
      <c r="W382" s="509"/>
      <c r="X382" s="321"/>
      <c r="Y382" s="321"/>
      <c r="Z382" s="508"/>
      <c r="AA382" s="356"/>
      <c r="AB382" s="306" t="str">
        <f t="shared" si="72"/>
        <v/>
      </c>
      <c r="AC382" s="637">
        <f t="shared" ca="1" si="82"/>
        <v>-2.1316282072803006E-13</v>
      </c>
      <c r="AD382" s="935">
        <f>IF(ISERROR(VLOOKUP(AD$2,X383:X$1003,1,FALSE)),IF(X382=AD$2,SUMIF(X$4:X382,AD$2,Z$4:Z382)+$E$9+SUM(AQ$4:AQ$1003)+SUMIF(COSTI!$X$1379:$X$1430,AD$2,COSTI!$Z$1379:$Z$1430),0),0)</f>
        <v>0</v>
      </c>
      <c r="AE382" s="26"/>
      <c r="AF382" s="856" t="e">
        <f>IF(ISERROR(VLOOKUP(AG$2,X383:X$1003,1,FALSE)),IF(X382=AG$2,SUMIF(X$4:X382,AG$2,Z$4:Z382)+VLOOKUP(AF$2,$B$1057:$F$1068,5,FALSE)+SUM(AR$4:AR$1003)+SUMIF(COSTI!$X$1379:$X$1430,AG$2,COSTI!$Z$1379:$Z$1430),0),0)</f>
        <v>#N/A</v>
      </c>
      <c r="AG382" s="859"/>
      <c r="AH382" s="27" t="str">
        <f t="shared" si="73"/>
        <v/>
      </c>
      <c r="AI382" s="152">
        <f ca="1">IF(W383&gt;0,0,IF(AH382=0,(Z382*-1)+BC382+SUM(BB$4:BB381),BC382+SUM(BB$4:BB381)))</f>
        <v>-2.1316282072803006E-13</v>
      </c>
      <c r="AJ382" s="931">
        <f>IF(AND(AL382&gt;=$U$1,AL382&lt;=$U$2),IF(AM382='ESTRATTO CONTO'!$E$2,1+COUNTIF(AJ$4:AJ381,"&gt;0")+U$1015,0),0)</f>
        <v>0</v>
      </c>
      <c r="AK382" s="203">
        <f>IF(AND(OR((AK381+1)&lt;AL$1015,(AK381+1)=AL$1015),MAX(AK$4:AK381)&lt;AL$1015),AK381+1,0)</f>
        <v>0</v>
      </c>
      <c r="AL382" s="309">
        <f>VLOOKUP($AK382,ENTI!$AF$4:AG$1003,2,FALSE)</f>
        <v>0</v>
      </c>
      <c r="AM382" s="224">
        <f>VLOOKUP($AK382,ENTI!$AF$4:AH$1003,3,FALSE)</f>
        <v>0</v>
      </c>
      <c r="AN382" s="224">
        <f>VLOOKUP($AK382,ENTI!$AF$4:AI$1003,4,FALSE)</f>
        <v>0</v>
      </c>
      <c r="AO382" s="781">
        <f>VLOOKUP($AK382,ENTI!$AF$4:AJ$1003,5,FALSE)</f>
        <v>0</v>
      </c>
      <c r="AP382" s="315">
        <f>VLOOKUP($AK382,ENTI!$AF$4:AK$1003,6,FALSE)</f>
        <v>0</v>
      </c>
      <c r="AQ382" s="208">
        <f t="shared" si="80"/>
        <v>0</v>
      </c>
      <c r="AR382" s="152" t="e">
        <f t="shared" si="81"/>
        <v>#N/A</v>
      </c>
      <c r="AS382" s="1"/>
      <c r="AT382" s="88" t="str">
        <f t="shared" si="74"/>
        <v/>
      </c>
      <c r="AU382" s="1"/>
      <c r="AV382" s="175">
        <f>IF(AW382&gt;0,COUNTIF(AV$4:AV381,"&gt;0")+1,0)</f>
        <v>0</v>
      </c>
      <c r="AW382" s="164">
        <f t="shared" si="75"/>
        <v>0</v>
      </c>
      <c r="AX382" s="310">
        <f>IF($AW382=0,0,VLOOKUP(VLOOKUP($X382,$B$34:$T$38,19,FALSE),ENTI!$A$9:$B$13,2,FALSE))</f>
        <v>0</v>
      </c>
      <c r="AY382" s="310">
        <f t="shared" si="77"/>
        <v>0</v>
      </c>
      <c r="AZ382" s="316">
        <f t="shared" si="78"/>
        <v>0</v>
      </c>
      <c r="BA382" s="1"/>
      <c r="BB382" s="152">
        <f t="shared" si="79"/>
        <v>0</v>
      </c>
      <c r="BC382" s="152">
        <f ca="1">SUM(Z$4:Z382)+SUM(BB$4:BB382)+COSTI!S$6-COSTI!L$1076</f>
        <v>-31.760000000000218</v>
      </c>
      <c r="BD382" s="1"/>
    </row>
    <row r="383" spans="1:56" ht="16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435">
        <f>IF(AND(W383&gt;=$U$1,W383&lt;=$U$2),IF(X383='ESTRATTO CONTO'!$E$2,1+COUNTIF(U$4:U382,"&gt;0"),0),0)</f>
        <v>0</v>
      </c>
      <c r="V383" s="417">
        <f t="shared" si="76"/>
        <v>380</v>
      </c>
      <c r="W383" s="509"/>
      <c r="X383" s="321"/>
      <c r="Y383" s="321"/>
      <c r="Z383" s="508"/>
      <c r="AA383" s="356"/>
      <c r="AB383" s="306" t="str">
        <f t="shared" si="72"/>
        <v/>
      </c>
      <c r="AC383" s="637">
        <f t="shared" ca="1" si="82"/>
        <v>-2.1316282072803006E-13</v>
      </c>
      <c r="AD383" s="935">
        <f>IF(ISERROR(VLOOKUP(AD$2,X384:X$1003,1,FALSE)),IF(X383=AD$2,SUMIF(X$4:X383,AD$2,Z$4:Z383)+$E$9+SUM(AQ$4:AQ$1003)+SUMIF(COSTI!$X$1379:$X$1430,AD$2,COSTI!$Z$1379:$Z$1430),0),0)</f>
        <v>0</v>
      </c>
      <c r="AE383" s="26"/>
      <c r="AF383" s="856" t="e">
        <f>IF(ISERROR(VLOOKUP(AG$2,X384:X$1003,1,FALSE)),IF(X383=AG$2,SUMIF(X$4:X383,AG$2,Z$4:Z383)+VLOOKUP(AF$2,$B$1057:$F$1068,5,FALSE)+SUM(AR$4:AR$1003)+SUMIF(COSTI!$X$1379:$X$1430,AG$2,COSTI!$Z$1379:$Z$1430),0),0)</f>
        <v>#N/A</v>
      </c>
      <c r="AG383" s="859"/>
      <c r="AH383" s="27" t="str">
        <f t="shared" si="73"/>
        <v/>
      </c>
      <c r="AI383" s="152">
        <f ca="1">IF(W384&gt;0,0,IF(AH383=0,(Z383*-1)+BC383+SUM(BB$4:BB382),BC383+SUM(BB$4:BB382)))</f>
        <v>-2.1316282072803006E-13</v>
      </c>
      <c r="AJ383" s="931">
        <f>IF(AND(AL383&gt;=$U$1,AL383&lt;=$U$2),IF(AM383='ESTRATTO CONTO'!$E$2,1+COUNTIF(AJ$4:AJ382,"&gt;0")+U$1015,0),0)</f>
        <v>0</v>
      </c>
      <c r="AK383" s="203">
        <f>IF(AND(OR((AK382+1)&lt;AL$1015,(AK382+1)=AL$1015),MAX(AK$4:AK382)&lt;AL$1015),AK382+1,0)</f>
        <v>0</v>
      </c>
      <c r="AL383" s="309">
        <f>VLOOKUP($AK383,ENTI!$AF$4:AG$1003,2,FALSE)</f>
        <v>0</v>
      </c>
      <c r="AM383" s="224">
        <f>VLOOKUP($AK383,ENTI!$AF$4:AH$1003,3,FALSE)</f>
        <v>0</v>
      </c>
      <c r="AN383" s="224">
        <f>VLOOKUP($AK383,ENTI!$AF$4:AI$1003,4,FALSE)</f>
        <v>0</v>
      </c>
      <c r="AO383" s="781">
        <f>VLOOKUP($AK383,ENTI!$AF$4:AJ$1003,5,FALSE)</f>
        <v>0</v>
      </c>
      <c r="AP383" s="315">
        <f>VLOOKUP($AK383,ENTI!$AF$4:AK$1003,6,FALSE)</f>
        <v>0</v>
      </c>
      <c r="AQ383" s="208">
        <f t="shared" si="80"/>
        <v>0</v>
      </c>
      <c r="AR383" s="152" t="e">
        <f t="shared" si="81"/>
        <v>#N/A</v>
      </c>
      <c r="AS383" s="1"/>
      <c r="AT383" s="88" t="str">
        <f t="shared" si="74"/>
        <v/>
      </c>
      <c r="AU383" s="1"/>
      <c r="AV383" s="175">
        <f>IF(AW383&gt;0,COUNTIF(AV$4:AV382,"&gt;0")+1,0)</f>
        <v>0</v>
      </c>
      <c r="AW383" s="164">
        <f t="shared" si="75"/>
        <v>0</v>
      </c>
      <c r="AX383" s="310">
        <f>IF($AW383=0,0,VLOOKUP(VLOOKUP($X383,$B$34:$T$38,19,FALSE),ENTI!$A$9:$B$13,2,FALSE))</f>
        <v>0</v>
      </c>
      <c r="AY383" s="310">
        <f t="shared" si="77"/>
        <v>0</v>
      </c>
      <c r="AZ383" s="316">
        <f t="shared" si="78"/>
        <v>0</v>
      </c>
      <c r="BA383" s="1"/>
      <c r="BB383" s="152">
        <f t="shared" si="79"/>
        <v>0</v>
      </c>
      <c r="BC383" s="152">
        <f ca="1">SUM(Z$4:Z383)+SUM(BB$4:BB383)+COSTI!S$6-COSTI!L$1076</f>
        <v>-31.760000000000218</v>
      </c>
      <c r="BD383" s="1"/>
    </row>
    <row r="384" spans="1:56" ht="16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435">
        <f>IF(AND(W384&gt;=$U$1,W384&lt;=$U$2),IF(X384='ESTRATTO CONTO'!$E$2,1+COUNTIF(U$4:U383,"&gt;0"),0),0)</f>
        <v>0</v>
      </c>
      <c r="V384" s="417">
        <f t="shared" si="76"/>
        <v>381</v>
      </c>
      <c r="W384" s="509"/>
      <c r="X384" s="321"/>
      <c r="Y384" s="321"/>
      <c r="Z384" s="508"/>
      <c r="AA384" s="356"/>
      <c r="AB384" s="306" t="str">
        <f t="shared" si="72"/>
        <v/>
      </c>
      <c r="AC384" s="637">
        <f t="shared" ca="1" si="82"/>
        <v>-2.1316282072803006E-13</v>
      </c>
      <c r="AD384" s="935">
        <f>IF(ISERROR(VLOOKUP(AD$2,X385:X$1003,1,FALSE)),IF(X384=AD$2,SUMIF(X$4:X384,AD$2,Z$4:Z384)+$E$9+SUM(AQ$4:AQ$1003)+SUMIF(COSTI!$X$1379:$X$1430,AD$2,COSTI!$Z$1379:$Z$1430),0),0)</f>
        <v>0</v>
      </c>
      <c r="AE384" s="26"/>
      <c r="AF384" s="856" t="e">
        <f>IF(ISERROR(VLOOKUP(AG$2,X385:X$1003,1,FALSE)),IF(X384=AG$2,SUMIF(X$4:X384,AG$2,Z$4:Z384)+VLOOKUP(AF$2,$B$1057:$F$1068,5,FALSE)+SUM(AR$4:AR$1003)+SUMIF(COSTI!$X$1379:$X$1430,AG$2,COSTI!$Z$1379:$Z$1430),0),0)</f>
        <v>#N/A</v>
      </c>
      <c r="AG384" s="859"/>
      <c r="AH384" s="27" t="str">
        <f t="shared" si="73"/>
        <v/>
      </c>
      <c r="AI384" s="152">
        <f ca="1">IF(W385&gt;0,0,IF(AH384=0,(Z384*-1)+BC384+SUM(BB$4:BB383),BC384+SUM(BB$4:BB383)))</f>
        <v>-2.1316282072803006E-13</v>
      </c>
      <c r="AJ384" s="931">
        <f>IF(AND(AL384&gt;=$U$1,AL384&lt;=$U$2),IF(AM384='ESTRATTO CONTO'!$E$2,1+COUNTIF(AJ$4:AJ383,"&gt;0")+U$1015,0),0)</f>
        <v>0</v>
      </c>
      <c r="AK384" s="203">
        <f>IF(AND(OR((AK383+1)&lt;AL$1015,(AK383+1)=AL$1015),MAX(AK$4:AK383)&lt;AL$1015),AK383+1,0)</f>
        <v>0</v>
      </c>
      <c r="AL384" s="309">
        <f>VLOOKUP($AK384,ENTI!$AF$4:AG$1003,2,FALSE)</f>
        <v>0</v>
      </c>
      <c r="AM384" s="224">
        <f>VLOOKUP($AK384,ENTI!$AF$4:AH$1003,3,FALSE)</f>
        <v>0</v>
      </c>
      <c r="AN384" s="224">
        <f>VLOOKUP($AK384,ENTI!$AF$4:AI$1003,4,FALSE)</f>
        <v>0</v>
      </c>
      <c r="AO384" s="781">
        <f>VLOOKUP($AK384,ENTI!$AF$4:AJ$1003,5,FALSE)</f>
        <v>0</v>
      </c>
      <c r="AP384" s="315">
        <f>VLOOKUP($AK384,ENTI!$AF$4:AK$1003,6,FALSE)</f>
        <v>0</v>
      </c>
      <c r="AQ384" s="208">
        <f t="shared" si="80"/>
        <v>0</v>
      </c>
      <c r="AR384" s="152" t="e">
        <f t="shared" si="81"/>
        <v>#N/A</v>
      </c>
      <c r="AS384" s="1"/>
      <c r="AT384" s="88" t="str">
        <f t="shared" si="74"/>
        <v/>
      </c>
      <c r="AU384" s="1"/>
      <c r="AV384" s="175">
        <f>IF(AW384&gt;0,COUNTIF(AV$4:AV383,"&gt;0")+1,0)</f>
        <v>0</v>
      </c>
      <c r="AW384" s="164">
        <f t="shared" si="75"/>
        <v>0</v>
      </c>
      <c r="AX384" s="310">
        <f>IF($AW384=0,0,VLOOKUP(VLOOKUP($X384,$B$34:$T$38,19,FALSE),ENTI!$A$9:$B$13,2,FALSE))</f>
        <v>0</v>
      </c>
      <c r="AY384" s="310">
        <f t="shared" si="77"/>
        <v>0</v>
      </c>
      <c r="AZ384" s="316">
        <f t="shared" si="78"/>
        <v>0</v>
      </c>
      <c r="BA384" s="1"/>
      <c r="BB384" s="152">
        <f t="shared" si="79"/>
        <v>0</v>
      </c>
      <c r="BC384" s="152">
        <f ca="1">SUM(Z$4:Z384)+SUM(BB$4:BB384)+COSTI!S$6-COSTI!L$1076</f>
        <v>-31.760000000000218</v>
      </c>
      <c r="BD384" s="1"/>
    </row>
    <row r="385" spans="1:56" ht="16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435">
        <f>IF(AND(W385&gt;=$U$1,W385&lt;=$U$2),IF(X385='ESTRATTO CONTO'!$E$2,1+COUNTIF(U$4:U384,"&gt;0"),0),0)</f>
        <v>0</v>
      </c>
      <c r="V385" s="417">
        <f t="shared" si="76"/>
        <v>382</v>
      </c>
      <c r="W385" s="509"/>
      <c r="X385" s="321"/>
      <c r="Y385" s="321"/>
      <c r="Z385" s="508"/>
      <c r="AA385" s="356"/>
      <c r="AB385" s="306" t="str">
        <f t="shared" si="72"/>
        <v/>
      </c>
      <c r="AC385" s="637">
        <f t="shared" ca="1" si="82"/>
        <v>-2.1316282072803006E-13</v>
      </c>
      <c r="AD385" s="935">
        <f>IF(ISERROR(VLOOKUP(AD$2,X386:X$1003,1,FALSE)),IF(X385=AD$2,SUMIF(X$4:X385,AD$2,Z$4:Z385)+$E$9+SUM(AQ$4:AQ$1003)+SUMIF(COSTI!$X$1379:$X$1430,AD$2,COSTI!$Z$1379:$Z$1430),0),0)</f>
        <v>0</v>
      </c>
      <c r="AE385" s="26"/>
      <c r="AF385" s="856" t="e">
        <f>IF(ISERROR(VLOOKUP(AG$2,X386:X$1003,1,FALSE)),IF(X385=AG$2,SUMIF(X$4:X385,AG$2,Z$4:Z385)+VLOOKUP(AF$2,$B$1057:$F$1068,5,FALSE)+SUM(AR$4:AR$1003)+SUMIF(COSTI!$X$1379:$X$1430,AG$2,COSTI!$Z$1379:$Z$1430),0),0)</f>
        <v>#N/A</v>
      </c>
      <c r="AG385" s="859"/>
      <c r="AH385" s="27" t="str">
        <f t="shared" si="73"/>
        <v/>
      </c>
      <c r="AI385" s="152">
        <f ca="1">IF(W386&gt;0,0,IF(AH385=0,(Z385*-1)+BC385+SUM(BB$4:BB384),BC385+SUM(BB$4:BB384)))</f>
        <v>-2.1316282072803006E-13</v>
      </c>
      <c r="AJ385" s="931">
        <f>IF(AND(AL385&gt;=$U$1,AL385&lt;=$U$2),IF(AM385='ESTRATTO CONTO'!$E$2,1+COUNTIF(AJ$4:AJ384,"&gt;0")+U$1015,0),0)</f>
        <v>0</v>
      </c>
      <c r="AK385" s="203">
        <f>IF(AND(OR((AK384+1)&lt;AL$1015,(AK384+1)=AL$1015),MAX(AK$4:AK384)&lt;AL$1015),AK384+1,0)</f>
        <v>0</v>
      </c>
      <c r="AL385" s="309">
        <f>VLOOKUP($AK385,ENTI!$AF$4:AG$1003,2,FALSE)</f>
        <v>0</v>
      </c>
      <c r="AM385" s="224">
        <f>VLOOKUP($AK385,ENTI!$AF$4:AH$1003,3,FALSE)</f>
        <v>0</v>
      </c>
      <c r="AN385" s="224">
        <f>VLOOKUP($AK385,ENTI!$AF$4:AI$1003,4,FALSE)</f>
        <v>0</v>
      </c>
      <c r="AO385" s="781">
        <f>VLOOKUP($AK385,ENTI!$AF$4:AJ$1003,5,FALSE)</f>
        <v>0</v>
      </c>
      <c r="AP385" s="315">
        <f>VLOOKUP($AK385,ENTI!$AF$4:AK$1003,6,FALSE)</f>
        <v>0</v>
      </c>
      <c r="AQ385" s="208">
        <f t="shared" si="80"/>
        <v>0</v>
      </c>
      <c r="AR385" s="152" t="e">
        <f t="shared" si="81"/>
        <v>#N/A</v>
      </c>
      <c r="AS385" s="1"/>
      <c r="AT385" s="88" t="str">
        <f t="shared" si="74"/>
        <v/>
      </c>
      <c r="AU385" s="1"/>
      <c r="AV385" s="175">
        <f>IF(AW385&gt;0,COUNTIF(AV$4:AV384,"&gt;0")+1,0)</f>
        <v>0</v>
      </c>
      <c r="AW385" s="164">
        <f t="shared" si="75"/>
        <v>0</v>
      </c>
      <c r="AX385" s="310">
        <f>IF($AW385=0,0,VLOOKUP(VLOOKUP($X385,$B$34:$T$38,19,FALSE),ENTI!$A$9:$B$13,2,FALSE))</f>
        <v>0</v>
      </c>
      <c r="AY385" s="310">
        <f t="shared" si="77"/>
        <v>0</v>
      </c>
      <c r="AZ385" s="316">
        <f t="shared" si="78"/>
        <v>0</v>
      </c>
      <c r="BA385" s="1"/>
      <c r="BB385" s="152">
        <f t="shared" si="79"/>
        <v>0</v>
      </c>
      <c r="BC385" s="152">
        <f ca="1">SUM(Z$4:Z385)+SUM(BB$4:BB385)+COSTI!S$6-COSTI!L$1076</f>
        <v>-31.760000000000218</v>
      </c>
      <c r="BD385" s="1"/>
    </row>
    <row r="386" spans="1:56" ht="16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435">
        <f>IF(AND(W386&gt;=$U$1,W386&lt;=$U$2),IF(X386='ESTRATTO CONTO'!$E$2,1+COUNTIF(U$4:U385,"&gt;0"),0),0)</f>
        <v>0</v>
      </c>
      <c r="V386" s="417">
        <f t="shared" si="76"/>
        <v>383</v>
      </c>
      <c r="W386" s="509"/>
      <c r="X386" s="321"/>
      <c r="Y386" s="321"/>
      <c r="Z386" s="508"/>
      <c r="AA386" s="356"/>
      <c r="AB386" s="306" t="str">
        <f t="shared" si="72"/>
        <v/>
      </c>
      <c r="AC386" s="637">
        <f t="shared" ca="1" si="82"/>
        <v>-2.1316282072803006E-13</v>
      </c>
      <c r="AD386" s="935">
        <f>IF(ISERROR(VLOOKUP(AD$2,X387:X$1003,1,FALSE)),IF(X386=AD$2,SUMIF(X$4:X386,AD$2,Z$4:Z386)+$E$9+SUM(AQ$4:AQ$1003)+SUMIF(COSTI!$X$1379:$X$1430,AD$2,COSTI!$Z$1379:$Z$1430),0),0)</f>
        <v>0</v>
      </c>
      <c r="AE386" s="26"/>
      <c r="AF386" s="856" t="e">
        <f>IF(ISERROR(VLOOKUP(AG$2,X387:X$1003,1,FALSE)),IF(X386=AG$2,SUMIF(X$4:X386,AG$2,Z$4:Z386)+VLOOKUP(AF$2,$B$1057:$F$1068,5,FALSE)+SUM(AR$4:AR$1003)+SUMIF(COSTI!$X$1379:$X$1430,AG$2,COSTI!$Z$1379:$Z$1430),0),0)</f>
        <v>#N/A</v>
      </c>
      <c r="AG386" s="859"/>
      <c r="AH386" s="27" t="str">
        <f t="shared" si="73"/>
        <v/>
      </c>
      <c r="AI386" s="152">
        <f ca="1">IF(W387&gt;0,0,IF(AH386=0,(Z386*-1)+BC386+SUM(BB$4:BB385),BC386+SUM(BB$4:BB385)))</f>
        <v>-2.1316282072803006E-13</v>
      </c>
      <c r="AJ386" s="931">
        <f>IF(AND(AL386&gt;=$U$1,AL386&lt;=$U$2),IF(AM386='ESTRATTO CONTO'!$E$2,1+COUNTIF(AJ$4:AJ385,"&gt;0")+U$1015,0),0)</f>
        <v>0</v>
      </c>
      <c r="AK386" s="203">
        <f>IF(AND(OR((AK385+1)&lt;AL$1015,(AK385+1)=AL$1015),MAX(AK$4:AK385)&lt;AL$1015),AK385+1,0)</f>
        <v>0</v>
      </c>
      <c r="AL386" s="309">
        <f>VLOOKUP($AK386,ENTI!$AF$4:AG$1003,2,FALSE)</f>
        <v>0</v>
      </c>
      <c r="AM386" s="224">
        <f>VLOOKUP($AK386,ENTI!$AF$4:AH$1003,3,FALSE)</f>
        <v>0</v>
      </c>
      <c r="AN386" s="224">
        <f>VLOOKUP($AK386,ENTI!$AF$4:AI$1003,4,FALSE)</f>
        <v>0</v>
      </c>
      <c r="AO386" s="781">
        <f>VLOOKUP($AK386,ENTI!$AF$4:AJ$1003,5,FALSE)</f>
        <v>0</v>
      </c>
      <c r="AP386" s="315">
        <f>VLOOKUP($AK386,ENTI!$AF$4:AK$1003,6,FALSE)</f>
        <v>0</v>
      </c>
      <c r="AQ386" s="208">
        <f t="shared" si="80"/>
        <v>0</v>
      </c>
      <c r="AR386" s="152" t="e">
        <f t="shared" si="81"/>
        <v>#N/A</v>
      </c>
      <c r="AS386" s="1"/>
      <c r="AT386" s="88" t="str">
        <f t="shared" si="74"/>
        <v/>
      </c>
      <c r="AU386" s="1"/>
      <c r="AV386" s="175">
        <f>IF(AW386&gt;0,COUNTIF(AV$4:AV385,"&gt;0")+1,0)</f>
        <v>0</v>
      </c>
      <c r="AW386" s="164">
        <f t="shared" si="75"/>
        <v>0</v>
      </c>
      <c r="AX386" s="310">
        <f>IF($AW386=0,0,VLOOKUP(VLOOKUP($X386,$B$34:$T$38,19,FALSE),ENTI!$A$9:$B$13,2,FALSE))</f>
        <v>0</v>
      </c>
      <c r="AY386" s="310">
        <f t="shared" si="77"/>
        <v>0</v>
      </c>
      <c r="AZ386" s="316">
        <f t="shared" si="78"/>
        <v>0</v>
      </c>
      <c r="BA386" s="1"/>
      <c r="BB386" s="152">
        <f t="shared" si="79"/>
        <v>0</v>
      </c>
      <c r="BC386" s="152">
        <f ca="1">SUM(Z$4:Z386)+SUM(BB$4:BB386)+COSTI!S$6-COSTI!L$1076</f>
        <v>-31.760000000000218</v>
      </c>
      <c r="BD386" s="1"/>
    </row>
    <row r="387" spans="1:56" ht="16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435">
        <f>IF(AND(W387&gt;=$U$1,W387&lt;=$U$2),IF(X387='ESTRATTO CONTO'!$E$2,1+COUNTIF(U$4:U386,"&gt;0"),0),0)</f>
        <v>0</v>
      </c>
      <c r="V387" s="417">
        <f t="shared" si="76"/>
        <v>384</v>
      </c>
      <c r="W387" s="509"/>
      <c r="X387" s="321"/>
      <c r="Y387" s="321"/>
      <c r="Z387" s="508"/>
      <c r="AA387" s="356"/>
      <c r="AB387" s="306" t="str">
        <f t="shared" si="72"/>
        <v/>
      </c>
      <c r="AC387" s="637">
        <f t="shared" ca="1" si="82"/>
        <v>-2.1316282072803006E-13</v>
      </c>
      <c r="AD387" s="935">
        <f>IF(ISERROR(VLOOKUP(AD$2,X388:X$1003,1,FALSE)),IF(X387=AD$2,SUMIF(X$4:X387,AD$2,Z$4:Z387)+$E$9+SUM(AQ$4:AQ$1003)+SUMIF(COSTI!$X$1379:$X$1430,AD$2,COSTI!$Z$1379:$Z$1430),0),0)</f>
        <v>0</v>
      </c>
      <c r="AE387" s="26"/>
      <c r="AF387" s="856" t="e">
        <f>IF(ISERROR(VLOOKUP(AG$2,X388:X$1003,1,FALSE)),IF(X387=AG$2,SUMIF(X$4:X387,AG$2,Z$4:Z387)+VLOOKUP(AF$2,$B$1057:$F$1068,5,FALSE)+SUM(AR$4:AR$1003)+SUMIF(COSTI!$X$1379:$X$1430,AG$2,COSTI!$Z$1379:$Z$1430),0),0)</f>
        <v>#N/A</v>
      </c>
      <c r="AG387" s="859"/>
      <c r="AH387" s="27" t="str">
        <f t="shared" si="73"/>
        <v/>
      </c>
      <c r="AI387" s="152">
        <f ca="1">IF(W388&gt;0,0,IF(AH387=0,(Z387*-1)+BC387+SUM(BB$4:BB386),BC387+SUM(BB$4:BB386)))</f>
        <v>-2.1316282072803006E-13</v>
      </c>
      <c r="AJ387" s="931">
        <f>IF(AND(AL387&gt;=$U$1,AL387&lt;=$U$2),IF(AM387='ESTRATTO CONTO'!$E$2,1+COUNTIF(AJ$4:AJ386,"&gt;0")+U$1015,0),0)</f>
        <v>0</v>
      </c>
      <c r="AK387" s="203">
        <f>IF(AND(OR((AK386+1)&lt;AL$1015,(AK386+1)=AL$1015),MAX(AK$4:AK386)&lt;AL$1015),AK386+1,0)</f>
        <v>0</v>
      </c>
      <c r="AL387" s="309">
        <f>VLOOKUP($AK387,ENTI!$AF$4:AG$1003,2,FALSE)</f>
        <v>0</v>
      </c>
      <c r="AM387" s="224">
        <f>VLOOKUP($AK387,ENTI!$AF$4:AH$1003,3,FALSE)</f>
        <v>0</v>
      </c>
      <c r="AN387" s="224">
        <f>VLOOKUP($AK387,ENTI!$AF$4:AI$1003,4,FALSE)</f>
        <v>0</v>
      </c>
      <c r="AO387" s="781">
        <f>VLOOKUP($AK387,ENTI!$AF$4:AJ$1003,5,FALSE)</f>
        <v>0</v>
      </c>
      <c r="AP387" s="315">
        <f>VLOOKUP($AK387,ENTI!$AF$4:AK$1003,6,FALSE)</f>
        <v>0</v>
      </c>
      <c r="AQ387" s="208">
        <f t="shared" si="80"/>
        <v>0</v>
      </c>
      <c r="AR387" s="152" t="e">
        <f t="shared" si="81"/>
        <v>#N/A</v>
      </c>
      <c r="AS387" s="1"/>
      <c r="AT387" s="88" t="str">
        <f t="shared" si="74"/>
        <v/>
      </c>
      <c r="AU387" s="1"/>
      <c r="AV387" s="175">
        <f>IF(AW387&gt;0,COUNTIF(AV$4:AV386,"&gt;0")+1,0)</f>
        <v>0</v>
      </c>
      <c r="AW387" s="164">
        <f t="shared" si="75"/>
        <v>0</v>
      </c>
      <c r="AX387" s="310">
        <f>IF($AW387=0,0,VLOOKUP(VLOOKUP($X387,$B$34:$T$38,19,FALSE),ENTI!$A$9:$B$13,2,FALSE))</f>
        <v>0</v>
      </c>
      <c r="AY387" s="310">
        <f t="shared" si="77"/>
        <v>0</v>
      </c>
      <c r="AZ387" s="316">
        <f t="shared" si="78"/>
        <v>0</v>
      </c>
      <c r="BA387" s="1"/>
      <c r="BB387" s="152">
        <f t="shared" si="79"/>
        <v>0</v>
      </c>
      <c r="BC387" s="152">
        <f ca="1">SUM(Z$4:Z387)+SUM(BB$4:BB387)+COSTI!S$6-COSTI!L$1076</f>
        <v>-31.760000000000218</v>
      </c>
      <c r="BD387" s="1"/>
    </row>
    <row r="388" spans="1:56" ht="16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435">
        <f>IF(AND(W388&gt;=$U$1,W388&lt;=$U$2),IF(X388='ESTRATTO CONTO'!$E$2,1+COUNTIF(U$4:U387,"&gt;0"),0),0)</f>
        <v>0</v>
      </c>
      <c r="V388" s="417">
        <f t="shared" si="76"/>
        <v>385</v>
      </c>
      <c r="W388" s="509"/>
      <c r="X388" s="321"/>
      <c r="Y388" s="321"/>
      <c r="Z388" s="508"/>
      <c r="AA388" s="356"/>
      <c r="AB388" s="306" t="str">
        <f t="shared" ref="AB388:AB451" si="83">IF(W388&gt;0,IF(AND(W388&gt;=W$1012,W388&lt;=W$1013),CONCATENATE(MONTH(W388)&amp;X388),0),"")</f>
        <v/>
      </c>
      <c r="AC388" s="637">
        <f t="shared" ca="1" si="82"/>
        <v>-2.1316282072803006E-13</v>
      </c>
      <c r="AD388" s="935">
        <f>IF(ISERROR(VLOOKUP(AD$2,X389:X$1003,1,FALSE)),IF(X388=AD$2,SUMIF(X$4:X388,AD$2,Z$4:Z388)+$E$9+SUM(AQ$4:AQ$1003)+SUMIF(COSTI!$X$1379:$X$1430,AD$2,COSTI!$Z$1379:$Z$1430),0),0)</f>
        <v>0</v>
      </c>
      <c r="AE388" s="26"/>
      <c r="AF388" s="856" t="e">
        <f>IF(ISERROR(VLOOKUP(AG$2,X389:X$1003,1,FALSE)),IF(X388=AG$2,SUMIF(X$4:X388,AG$2,Z$4:Z388)+VLOOKUP(AF$2,$B$1057:$F$1068,5,FALSE)+SUM(AR$4:AR$1003)+SUMIF(COSTI!$X$1379:$X$1430,AG$2,COSTI!$Z$1379:$Z$1430),0),0)</f>
        <v>#N/A</v>
      </c>
      <c r="AG388" s="859"/>
      <c r="AH388" s="27" t="str">
        <f t="shared" ref="AH388:AH451" si="84">IF(ISBLANK(X388),"",IF(ISERROR(VLOOKUP(X388,B$34:B$38,1,FALSE)),1,0))</f>
        <v/>
      </c>
      <c r="AI388" s="152">
        <f ca="1">IF(W389&gt;0,0,IF(AH388=0,(Z388*-1)+BC388+SUM(BB$4:BB387),BC388+SUM(BB$4:BB387)))</f>
        <v>-2.1316282072803006E-13</v>
      </c>
      <c r="AJ388" s="931">
        <f>IF(AND(AL388&gt;=$U$1,AL388&lt;=$U$2),IF(AM388='ESTRATTO CONTO'!$E$2,1+COUNTIF(AJ$4:AJ387,"&gt;0")+U$1015,0),0)</f>
        <v>0</v>
      </c>
      <c r="AK388" s="203">
        <f>IF(AND(OR((AK387+1)&lt;AL$1015,(AK387+1)=AL$1015),MAX(AK$4:AK387)&lt;AL$1015),AK387+1,0)</f>
        <v>0</v>
      </c>
      <c r="AL388" s="309">
        <f>VLOOKUP($AK388,ENTI!$AF$4:AG$1003,2,FALSE)</f>
        <v>0</v>
      </c>
      <c r="AM388" s="224">
        <f>VLOOKUP($AK388,ENTI!$AF$4:AH$1003,3,FALSE)</f>
        <v>0</v>
      </c>
      <c r="AN388" s="224">
        <f>VLOOKUP($AK388,ENTI!$AF$4:AI$1003,4,FALSE)</f>
        <v>0</v>
      </c>
      <c r="AO388" s="781">
        <f>VLOOKUP($AK388,ENTI!$AF$4:AJ$1003,5,FALSE)</f>
        <v>0</v>
      </c>
      <c r="AP388" s="315">
        <f>VLOOKUP($AK388,ENTI!$AF$4:AK$1003,6,FALSE)</f>
        <v>0</v>
      </c>
      <c r="AQ388" s="208">
        <f t="shared" si="80"/>
        <v>0</v>
      </c>
      <c r="AR388" s="152" t="e">
        <f t="shared" si="81"/>
        <v>#N/A</v>
      </c>
      <c r="AS388" s="1"/>
      <c r="AT388" s="88" t="str">
        <f t="shared" ref="AT388:AT451" si="85">IF(AL388&gt;0,IF(AND(AL388&gt;=W$1012,AL388&lt;=W$1013),CONCATENATE(MONTH(AL388)&amp;AM388),0),"")</f>
        <v/>
      </c>
      <c r="AU388" s="1"/>
      <c r="AV388" s="175">
        <f>IF(AW388&gt;0,COUNTIF(AV$4:AV387,"&gt;0")+1,0)</f>
        <v>0</v>
      </c>
      <c r="AW388" s="164">
        <f t="shared" ref="AW388:AW451" si="86">IF(ISERROR(VLOOKUP($X388,$B$34:$B$38,1,FALSE)),0,W388)</f>
        <v>0</v>
      </c>
      <c r="AX388" s="310">
        <f>IF($AW388=0,0,VLOOKUP(VLOOKUP($X388,$B$34:$T$38,19,FALSE),ENTI!$A$9:$B$13,2,FALSE))</f>
        <v>0</v>
      </c>
      <c r="AY388" s="310">
        <f t="shared" si="77"/>
        <v>0</v>
      </c>
      <c r="AZ388" s="316">
        <f t="shared" si="78"/>
        <v>0</v>
      </c>
      <c r="BA388" s="1"/>
      <c r="BB388" s="152">
        <f t="shared" si="79"/>
        <v>0</v>
      </c>
      <c r="BC388" s="152">
        <f ca="1">SUM(Z$4:Z388)+SUM(BB$4:BB388)+COSTI!S$6-COSTI!L$1076</f>
        <v>-31.760000000000218</v>
      </c>
      <c r="BD388" s="1"/>
    </row>
    <row r="389" spans="1:56" ht="16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435">
        <f>IF(AND(W389&gt;=$U$1,W389&lt;=$U$2),IF(X389='ESTRATTO CONTO'!$E$2,1+COUNTIF(U$4:U388,"&gt;0"),0),0)</f>
        <v>0</v>
      </c>
      <c r="V389" s="417">
        <f t="shared" si="76"/>
        <v>386</v>
      </c>
      <c r="W389" s="509"/>
      <c r="X389" s="321"/>
      <c r="Y389" s="321"/>
      <c r="Z389" s="508"/>
      <c r="AA389" s="356"/>
      <c r="AB389" s="306" t="str">
        <f t="shared" si="83"/>
        <v/>
      </c>
      <c r="AC389" s="637">
        <f t="shared" ca="1" si="82"/>
        <v>-2.1316282072803006E-13</v>
      </c>
      <c r="AD389" s="935">
        <f>IF(ISERROR(VLOOKUP(AD$2,X390:X$1003,1,FALSE)),IF(X389=AD$2,SUMIF(X$4:X389,AD$2,Z$4:Z389)+$E$9+SUM(AQ$4:AQ$1003)+SUMIF(COSTI!$X$1379:$X$1430,AD$2,COSTI!$Z$1379:$Z$1430),0),0)</f>
        <v>0</v>
      </c>
      <c r="AE389" s="26"/>
      <c r="AF389" s="856" t="e">
        <f>IF(ISERROR(VLOOKUP(AG$2,X390:X$1003,1,FALSE)),IF(X389=AG$2,SUMIF(X$4:X389,AG$2,Z$4:Z389)+VLOOKUP(AF$2,$B$1057:$F$1068,5,FALSE)+SUM(AR$4:AR$1003)+SUMIF(COSTI!$X$1379:$X$1430,AG$2,COSTI!$Z$1379:$Z$1430),0),0)</f>
        <v>#N/A</v>
      </c>
      <c r="AG389" s="859"/>
      <c r="AH389" s="27" t="str">
        <f t="shared" si="84"/>
        <v/>
      </c>
      <c r="AI389" s="152">
        <f ca="1">IF(W390&gt;0,0,IF(AH389=0,(Z389*-1)+BC389+SUM(BB$4:BB388),BC389+SUM(BB$4:BB388)))</f>
        <v>-2.1316282072803006E-13</v>
      </c>
      <c r="AJ389" s="931">
        <f>IF(AND(AL389&gt;=$U$1,AL389&lt;=$U$2),IF(AM389='ESTRATTO CONTO'!$E$2,1+COUNTIF(AJ$4:AJ388,"&gt;0")+U$1015,0),0)</f>
        <v>0</v>
      </c>
      <c r="AK389" s="203">
        <f>IF(AND(OR((AK388+1)&lt;AL$1015,(AK388+1)=AL$1015),MAX(AK$4:AK388)&lt;AL$1015),AK388+1,0)</f>
        <v>0</v>
      </c>
      <c r="AL389" s="309">
        <f>VLOOKUP($AK389,ENTI!$AF$4:AG$1003,2,FALSE)</f>
        <v>0</v>
      </c>
      <c r="AM389" s="224">
        <f>VLOOKUP($AK389,ENTI!$AF$4:AH$1003,3,FALSE)</f>
        <v>0</v>
      </c>
      <c r="AN389" s="224">
        <f>VLOOKUP($AK389,ENTI!$AF$4:AI$1003,4,FALSE)</f>
        <v>0</v>
      </c>
      <c r="AO389" s="781">
        <f>VLOOKUP($AK389,ENTI!$AF$4:AJ$1003,5,FALSE)</f>
        <v>0</v>
      </c>
      <c r="AP389" s="315">
        <f>VLOOKUP($AK389,ENTI!$AF$4:AK$1003,6,FALSE)</f>
        <v>0</v>
      </c>
      <c r="AQ389" s="208">
        <f t="shared" si="80"/>
        <v>0</v>
      </c>
      <c r="AR389" s="152" t="e">
        <f t="shared" si="81"/>
        <v>#N/A</v>
      </c>
      <c r="AS389" s="1"/>
      <c r="AT389" s="88" t="str">
        <f t="shared" si="85"/>
        <v/>
      </c>
      <c r="AU389" s="1"/>
      <c r="AV389" s="175">
        <f>IF(AW389&gt;0,COUNTIF(AV$4:AV388,"&gt;0")+1,0)</f>
        <v>0</v>
      </c>
      <c r="AW389" s="164">
        <f t="shared" si="86"/>
        <v>0</v>
      </c>
      <c r="AX389" s="310">
        <f>IF($AW389=0,0,VLOOKUP(VLOOKUP($X389,$B$34:$T$38,19,FALSE),ENTI!$A$9:$B$13,2,FALSE))</f>
        <v>0</v>
      </c>
      <c r="AY389" s="310">
        <f t="shared" si="77"/>
        <v>0</v>
      </c>
      <c r="AZ389" s="316">
        <f t="shared" si="78"/>
        <v>0</v>
      </c>
      <c r="BA389" s="1"/>
      <c r="BB389" s="152">
        <f t="shared" si="79"/>
        <v>0</v>
      </c>
      <c r="BC389" s="152">
        <f ca="1">SUM(Z$4:Z389)+SUM(BB$4:BB389)+COSTI!S$6-COSTI!L$1076</f>
        <v>-31.760000000000218</v>
      </c>
      <c r="BD389" s="1"/>
    </row>
    <row r="390" spans="1:56" ht="16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435">
        <f>IF(AND(W390&gt;=$U$1,W390&lt;=$U$2),IF(X390='ESTRATTO CONTO'!$E$2,1+COUNTIF(U$4:U389,"&gt;0"),0),0)</f>
        <v>0</v>
      </c>
      <c r="V390" s="417">
        <f t="shared" ref="V390:V453" si="87">V389+1</f>
        <v>387</v>
      </c>
      <c r="W390" s="509"/>
      <c r="X390" s="321"/>
      <c r="Y390" s="321"/>
      <c r="Z390" s="508"/>
      <c r="AA390" s="356"/>
      <c r="AB390" s="306" t="str">
        <f t="shared" si="83"/>
        <v/>
      </c>
      <c r="AC390" s="637">
        <f t="shared" ca="1" si="82"/>
        <v>-2.1316282072803006E-13</v>
      </c>
      <c r="AD390" s="935">
        <f>IF(ISERROR(VLOOKUP(AD$2,X391:X$1003,1,FALSE)),IF(X390=AD$2,SUMIF(X$4:X390,AD$2,Z$4:Z390)+$E$9+SUM(AQ$4:AQ$1003)+SUMIF(COSTI!$X$1379:$X$1430,AD$2,COSTI!$Z$1379:$Z$1430),0),0)</f>
        <v>0</v>
      </c>
      <c r="AE390" s="26"/>
      <c r="AF390" s="856" t="e">
        <f>IF(ISERROR(VLOOKUP(AG$2,X391:X$1003,1,FALSE)),IF(X390=AG$2,SUMIF(X$4:X390,AG$2,Z$4:Z390)+VLOOKUP(AF$2,$B$1057:$F$1068,5,FALSE)+SUM(AR$4:AR$1003)+SUMIF(COSTI!$X$1379:$X$1430,AG$2,COSTI!$Z$1379:$Z$1430),0),0)</f>
        <v>#N/A</v>
      </c>
      <c r="AG390" s="859"/>
      <c r="AH390" s="27" t="str">
        <f t="shared" si="84"/>
        <v/>
      </c>
      <c r="AI390" s="152">
        <f ca="1">IF(W391&gt;0,0,IF(AH390=0,(Z390*-1)+BC390+SUM(BB$4:BB389),BC390+SUM(BB$4:BB389)))</f>
        <v>-2.1316282072803006E-13</v>
      </c>
      <c r="AJ390" s="931">
        <f>IF(AND(AL390&gt;=$U$1,AL390&lt;=$U$2),IF(AM390='ESTRATTO CONTO'!$E$2,1+COUNTIF(AJ$4:AJ389,"&gt;0")+U$1015,0),0)</f>
        <v>0</v>
      </c>
      <c r="AK390" s="203">
        <f>IF(AND(OR((AK389+1)&lt;AL$1015,(AK389+1)=AL$1015),MAX(AK$4:AK389)&lt;AL$1015),AK389+1,0)</f>
        <v>0</v>
      </c>
      <c r="AL390" s="309">
        <f>VLOOKUP($AK390,ENTI!$AF$4:AG$1003,2,FALSE)</f>
        <v>0</v>
      </c>
      <c r="AM390" s="224">
        <f>VLOOKUP($AK390,ENTI!$AF$4:AH$1003,3,FALSE)</f>
        <v>0</v>
      </c>
      <c r="AN390" s="224">
        <f>VLOOKUP($AK390,ENTI!$AF$4:AI$1003,4,FALSE)</f>
        <v>0</v>
      </c>
      <c r="AO390" s="781">
        <f>VLOOKUP($AK390,ENTI!$AF$4:AJ$1003,5,FALSE)</f>
        <v>0</v>
      </c>
      <c r="AP390" s="315">
        <f>VLOOKUP($AK390,ENTI!$AF$4:AK$1003,6,FALSE)</f>
        <v>0</v>
      </c>
      <c r="AQ390" s="208">
        <f t="shared" si="80"/>
        <v>0</v>
      </c>
      <c r="AR390" s="152" t="e">
        <f t="shared" si="81"/>
        <v>#N/A</v>
      </c>
      <c r="AS390" s="1"/>
      <c r="AT390" s="88" t="str">
        <f t="shared" si="85"/>
        <v/>
      </c>
      <c r="AU390" s="1"/>
      <c r="AV390" s="175">
        <f>IF(AW390&gt;0,COUNTIF(AV$4:AV389,"&gt;0")+1,0)</f>
        <v>0</v>
      </c>
      <c r="AW390" s="164">
        <f t="shared" si="86"/>
        <v>0</v>
      </c>
      <c r="AX390" s="310">
        <f>IF($AW390=0,0,VLOOKUP(VLOOKUP($X390,$B$34:$T$38,19,FALSE),ENTI!$A$9:$B$13,2,FALSE))</f>
        <v>0</v>
      </c>
      <c r="AY390" s="310">
        <f t="shared" ref="AY390:AY453" si="88">IF(AW390=0,0,Y390)</f>
        <v>0</v>
      </c>
      <c r="AZ390" s="316">
        <f t="shared" ref="AZ390:AZ453" si="89">IF(AW390=0,0,Z390)</f>
        <v>0</v>
      </c>
      <c r="BA390" s="1"/>
      <c r="BB390" s="152">
        <f t="shared" ref="BB390:BB453" si="90">IF(ISERROR(VLOOKUP(X390,B$9:D$15,1,FALSE)),Z390*-1,0)</f>
        <v>0</v>
      </c>
      <c r="BC390" s="152">
        <f ca="1">SUM(Z$4:Z390)+SUM(BB$4:BB390)+COSTI!S$6-COSTI!L$1076</f>
        <v>-31.760000000000218</v>
      </c>
      <c r="BD390" s="1"/>
    </row>
    <row r="391" spans="1:56" ht="16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435">
        <f>IF(AND(W391&gt;=$U$1,W391&lt;=$U$2),IF(X391='ESTRATTO CONTO'!$E$2,1+COUNTIF(U$4:U390,"&gt;0"),0),0)</f>
        <v>0</v>
      </c>
      <c r="V391" s="417">
        <f t="shared" si="87"/>
        <v>388</v>
      </c>
      <c r="W391" s="509"/>
      <c r="X391" s="321"/>
      <c r="Y391" s="321"/>
      <c r="Z391" s="508"/>
      <c r="AA391" s="356"/>
      <c r="AB391" s="306" t="str">
        <f t="shared" si="83"/>
        <v/>
      </c>
      <c r="AC391" s="637">
        <f t="shared" ca="1" si="82"/>
        <v>-2.1316282072803006E-13</v>
      </c>
      <c r="AD391" s="935">
        <f>IF(ISERROR(VLOOKUP(AD$2,X392:X$1003,1,FALSE)),IF(X391=AD$2,SUMIF(X$4:X391,AD$2,Z$4:Z391)+$E$9+SUM(AQ$4:AQ$1003)+SUMIF(COSTI!$X$1379:$X$1430,AD$2,COSTI!$Z$1379:$Z$1430),0),0)</f>
        <v>0</v>
      </c>
      <c r="AE391" s="26"/>
      <c r="AF391" s="856" t="e">
        <f>IF(ISERROR(VLOOKUP(AG$2,X392:X$1003,1,FALSE)),IF(X391=AG$2,SUMIF(X$4:X391,AG$2,Z$4:Z391)+VLOOKUP(AF$2,$B$1057:$F$1068,5,FALSE)+SUM(AR$4:AR$1003)+SUMIF(COSTI!$X$1379:$X$1430,AG$2,COSTI!$Z$1379:$Z$1430),0),0)</f>
        <v>#N/A</v>
      </c>
      <c r="AG391" s="859"/>
      <c r="AH391" s="27" t="str">
        <f t="shared" si="84"/>
        <v/>
      </c>
      <c r="AI391" s="152">
        <f ca="1">IF(W392&gt;0,0,IF(AH391=0,(Z391*-1)+BC391+SUM(BB$4:BB390),BC391+SUM(BB$4:BB390)))</f>
        <v>-2.1316282072803006E-13</v>
      </c>
      <c r="AJ391" s="931">
        <f>IF(AND(AL391&gt;=$U$1,AL391&lt;=$U$2),IF(AM391='ESTRATTO CONTO'!$E$2,1+COUNTIF(AJ$4:AJ390,"&gt;0")+U$1015,0),0)</f>
        <v>0</v>
      </c>
      <c r="AK391" s="203">
        <f>IF(AND(OR((AK390+1)&lt;AL$1015,(AK390+1)=AL$1015),MAX(AK$4:AK390)&lt;AL$1015),AK390+1,0)</f>
        <v>0</v>
      </c>
      <c r="AL391" s="309">
        <f>VLOOKUP($AK391,ENTI!$AF$4:AG$1003,2,FALSE)</f>
        <v>0</v>
      </c>
      <c r="AM391" s="224">
        <f>VLOOKUP($AK391,ENTI!$AF$4:AH$1003,3,FALSE)</f>
        <v>0</v>
      </c>
      <c r="AN391" s="224">
        <f>VLOOKUP($AK391,ENTI!$AF$4:AI$1003,4,FALSE)</f>
        <v>0</v>
      </c>
      <c r="AO391" s="781">
        <f>VLOOKUP($AK391,ENTI!$AF$4:AJ$1003,5,FALSE)</f>
        <v>0</v>
      </c>
      <c r="AP391" s="315">
        <f>VLOOKUP($AK391,ENTI!$AF$4:AK$1003,6,FALSE)</f>
        <v>0</v>
      </c>
      <c r="AQ391" s="208">
        <f t="shared" si="80"/>
        <v>0</v>
      </c>
      <c r="AR391" s="152" t="e">
        <f t="shared" si="81"/>
        <v>#N/A</v>
      </c>
      <c r="AS391" s="1"/>
      <c r="AT391" s="88" t="str">
        <f t="shared" si="85"/>
        <v/>
      </c>
      <c r="AU391" s="1"/>
      <c r="AV391" s="175">
        <f>IF(AW391&gt;0,COUNTIF(AV$4:AV390,"&gt;0")+1,0)</f>
        <v>0</v>
      </c>
      <c r="AW391" s="164">
        <f t="shared" si="86"/>
        <v>0</v>
      </c>
      <c r="AX391" s="310">
        <f>IF($AW391=0,0,VLOOKUP(VLOOKUP($X391,$B$34:$T$38,19,FALSE),ENTI!$A$9:$B$13,2,FALSE))</f>
        <v>0</v>
      </c>
      <c r="AY391" s="310">
        <f t="shared" si="88"/>
        <v>0</v>
      </c>
      <c r="AZ391" s="316">
        <f t="shared" si="89"/>
        <v>0</v>
      </c>
      <c r="BA391" s="1"/>
      <c r="BB391" s="152">
        <f t="shared" si="90"/>
        <v>0</v>
      </c>
      <c r="BC391" s="152">
        <f ca="1">SUM(Z$4:Z391)+SUM(BB$4:BB391)+COSTI!S$6-COSTI!L$1076</f>
        <v>-31.760000000000218</v>
      </c>
      <c r="BD391" s="1"/>
    </row>
    <row r="392" spans="1:56" ht="16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435">
        <f>IF(AND(W392&gt;=$U$1,W392&lt;=$U$2),IF(X392='ESTRATTO CONTO'!$E$2,1+COUNTIF(U$4:U391,"&gt;0"),0),0)</f>
        <v>0</v>
      </c>
      <c r="V392" s="417">
        <f t="shared" si="87"/>
        <v>389</v>
      </c>
      <c r="W392" s="509"/>
      <c r="X392" s="321"/>
      <c r="Y392" s="321"/>
      <c r="Z392" s="508"/>
      <c r="AA392" s="356"/>
      <c r="AB392" s="306" t="str">
        <f t="shared" si="83"/>
        <v/>
      </c>
      <c r="AC392" s="637">
        <f t="shared" ca="1" si="82"/>
        <v>-2.1316282072803006E-13</v>
      </c>
      <c r="AD392" s="935">
        <f>IF(ISERROR(VLOOKUP(AD$2,X393:X$1003,1,FALSE)),IF(X392=AD$2,SUMIF(X$4:X392,AD$2,Z$4:Z392)+$E$9+SUM(AQ$4:AQ$1003)+SUMIF(COSTI!$X$1379:$X$1430,AD$2,COSTI!$Z$1379:$Z$1430),0),0)</f>
        <v>0</v>
      </c>
      <c r="AE392" s="26"/>
      <c r="AF392" s="856" t="e">
        <f>IF(ISERROR(VLOOKUP(AG$2,X393:X$1003,1,FALSE)),IF(X392=AG$2,SUMIF(X$4:X392,AG$2,Z$4:Z392)+VLOOKUP(AF$2,$B$1057:$F$1068,5,FALSE)+SUM(AR$4:AR$1003)+SUMIF(COSTI!$X$1379:$X$1430,AG$2,COSTI!$Z$1379:$Z$1430),0),0)</f>
        <v>#N/A</v>
      </c>
      <c r="AG392" s="859"/>
      <c r="AH392" s="27" t="str">
        <f t="shared" si="84"/>
        <v/>
      </c>
      <c r="AI392" s="152">
        <f ca="1">IF(W393&gt;0,0,IF(AH392=0,(Z392*-1)+BC392+SUM(BB$4:BB391),BC392+SUM(BB$4:BB391)))</f>
        <v>-2.1316282072803006E-13</v>
      </c>
      <c r="AJ392" s="931">
        <f>IF(AND(AL392&gt;=$U$1,AL392&lt;=$U$2),IF(AM392='ESTRATTO CONTO'!$E$2,1+COUNTIF(AJ$4:AJ391,"&gt;0")+U$1015,0),0)</f>
        <v>0</v>
      </c>
      <c r="AK392" s="203">
        <f>IF(AND(OR((AK391+1)&lt;AL$1015,(AK391+1)=AL$1015),MAX(AK$4:AK391)&lt;AL$1015),AK391+1,0)</f>
        <v>0</v>
      </c>
      <c r="AL392" s="309">
        <f>VLOOKUP($AK392,ENTI!$AF$4:AG$1003,2,FALSE)</f>
        <v>0</v>
      </c>
      <c r="AM392" s="224">
        <f>VLOOKUP($AK392,ENTI!$AF$4:AH$1003,3,FALSE)</f>
        <v>0</v>
      </c>
      <c r="AN392" s="224">
        <f>VLOOKUP($AK392,ENTI!$AF$4:AI$1003,4,FALSE)</f>
        <v>0</v>
      </c>
      <c r="AO392" s="781">
        <f>VLOOKUP($AK392,ENTI!$AF$4:AJ$1003,5,FALSE)</f>
        <v>0</v>
      </c>
      <c r="AP392" s="315">
        <f>VLOOKUP($AK392,ENTI!$AF$4:AK$1003,6,FALSE)</f>
        <v>0</v>
      </c>
      <c r="AQ392" s="208">
        <f t="shared" si="80"/>
        <v>0</v>
      </c>
      <c r="AR392" s="152" t="e">
        <f t="shared" si="81"/>
        <v>#N/A</v>
      </c>
      <c r="AS392" s="1"/>
      <c r="AT392" s="88" t="str">
        <f t="shared" si="85"/>
        <v/>
      </c>
      <c r="AU392" s="1"/>
      <c r="AV392" s="175">
        <f>IF(AW392&gt;0,COUNTIF(AV$4:AV391,"&gt;0")+1,0)</f>
        <v>0</v>
      </c>
      <c r="AW392" s="164">
        <f t="shared" si="86"/>
        <v>0</v>
      </c>
      <c r="AX392" s="310">
        <f>IF($AW392=0,0,VLOOKUP(VLOOKUP($X392,$B$34:$T$38,19,FALSE),ENTI!$A$9:$B$13,2,FALSE))</f>
        <v>0</v>
      </c>
      <c r="AY392" s="310">
        <f t="shared" si="88"/>
        <v>0</v>
      </c>
      <c r="AZ392" s="316">
        <f t="shared" si="89"/>
        <v>0</v>
      </c>
      <c r="BA392" s="1"/>
      <c r="BB392" s="152">
        <f t="shared" si="90"/>
        <v>0</v>
      </c>
      <c r="BC392" s="152">
        <f ca="1">SUM(Z$4:Z392)+SUM(BB$4:BB392)+COSTI!S$6-COSTI!L$1076</f>
        <v>-31.760000000000218</v>
      </c>
      <c r="BD392" s="1"/>
    </row>
    <row r="393" spans="1:56" ht="16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435">
        <f>IF(AND(W393&gt;=$U$1,W393&lt;=$U$2),IF(X393='ESTRATTO CONTO'!$E$2,1+COUNTIF(U$4:U392,"&gt;0"),0),0)</f>
        <v>0</v>
      </c>
      <c r="V393" s="417">
        <f t="shared" si="87"/>
        <v>390</v>
      </c>
      <c r="W393" s="509"/>
      <c r="X393" s="321"/>
      <c r="Y393" s="321"/>
      <c r="Z393" s="508"/>
      <c r="AA393" s="356"/>
      <c r="AB393" s="306" t="str">
        <f t="shared" si="83"/>
        <v/>
      </c>
      <c r="AC393" s="637">
        <f t="shared" ca="1" si="82"/>
        <v>-2.1316282072803006E-13</v>
      </c>
      <c r="AD393" s="935">
        <f>IF(ISERROR(VLOOKUP(AD$2,X394:X$1003,1,FALSE)),IF(X393=AD$2,SUMIF(X$4:X393,AD$2,Z$4:Z393)+$E$9+SUM(AQ$4:AQ$1003)+SUMIF(COSTI!$X$1379:$X$1430,AD$2,COSTI!$Z$1379:$Z$1430),0),0)</f>
        <v>0</v>
      </c>
      <c r="AE393" s="26"/>
      <c r="AF393" s="856" t="e">
        <f>IF(ISERROR(VLOOKUP(AG$2,X394:X$1003,1,FALSE)),IF(X393=AG$2,SUMIF(X$4:X393,AG$2,Z$4:Z393)+VLOOKUP(AF$2,$B$1057:$F$1068,5,FALSE)+SUM(AR$4:AR$1003)+SUMIF(COSTI!$X$1379:$X$1430,AG$2,COSTI!$Z$1379:$Z$1430),0),0)</f>
        <v>#N/A</v>
      </c>
      <c r="AG393" s="859"/>
      <c r="AH393" s="27" t="str">
        <f t="shared" si="84"/>
        <v/>
      </c>
      <c r="AI393" s="152">
        <f ca="1">IF(W394&gt;0,0,IF(AH393=0,(Z393*-1)+BC393+SUM(BB$4:BB392),BC393+SUM(BB$4:BB392)))</f>
        <v>-2.1316282072803006E-13</v>
      </c>
      <c r="AJ393" s="931">
        <f>IF(AND(AL393&gt;=$U$1,AL393&lt;=$U$2),IF(AM393='ESTRATTO CONTO'!$E$2,1+COUNTIF(AJ$4:AJ392,"&gt;0")+U$1015,0),0)</f>
        <v>0</v>
      </c>
      <c r="AK393" s="203">
        <f>IF(AND(OR((AK392+1)&lt;AL$1015,(AK392+1)=AL$1015),MAX(AK$4:AK392)&lt;AL$1015),AK392+1,0)</f>
        <v>0</v>
      </c>
      <c r="AL393" s="309">
        <f>VLOOKUP($AK393,ENTI!$AF$4:AG$1003,2,FALSE)</f>
        <v>0</v>
      </c>
      <c r="AM393" s="224">
        <f>VLOOKUP($AK393,ENTI!$AF$4:AH$1003,3,FALSE)</f>
        <v>0</v>
      </c>
      <c r="AN393" s="224">
        <f>VLOOKUP($AK393,ENTI!$AF$4:AI$1003,4,FALSE)</f>
        <v>0</v>
      </c>
      <c r="AO393" s="781">
        <f>VLOOKUP($AK393,ENTI!$AF$4:AJ$1003,5,FALSE)</f>
        <v>0</v>
      </c>
      <c r="AP393" s="315">
        <f>VLOOKUP($AK393,ENTI!$AF$4:AK$1003,6,FALSE)</f>
        <v>0</v>
      </c>
      <c r="AQ393" s="208">
        <f t="shared" si="80"/>
        <v>0</v>
      </c>
      <c r="AR393" s="152" t="e">
        <f t="shared" si="81"/>
        <v>#N/A</v>
      </c>
      <c r="AS393" s="1"/>
      <c r="AT393" s="88" t="str">
        <f t="shared" si="85"/>
        <v/>
      </c>
      <c r="AU393" s="1"/>
      <c r="AV393" s="175">
        <f>IF(AW393&gt;0,COUNTIF(AV$4:AV392,"&gt;0")+1,0)</f>
        <v>0</v>
      </c>
      <c r="AW393" s="164">
        <f t="shared" si="86"/>
        <v>0</v>
      </c>
      <c r="AX393" s="310">
        <f>IF($AW393=0,0,VLOOKUP(VLOOKUP($X393,$B$34:$T$38,19,FALSE),ENTI!$A$9:$B$13,2,FALSE))</f>
        <v>0</v>
      </c>
      <c r="AY393" s="310">
        <f t="shared" si="88"/>
        <v>0</v>
      </c>
      <c r="AZ393" s="316">
        <f t="shared" si="89"/>
        <v>0</v>
      </c>
      <c r="BA393" s="1"/>
      <c r="BB393" s="152">
        <f t="shared" si="90"/>
        <v>0</v>
      </c>
      <c r="BC393" s="152">
        <f ca="1">SUM(Z$4:Z393)+SUM(BB$4:BB393)+COSTI!S$6-COSTI!L$1076</f>
        <v>-31.760000000000218</v>
      </c>
      <c r="BD393" s="1"/>
    </row>
    <row r="394" spans="1:56" ht="16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435">
        <f>IF(AND(W394&gt;=$U$1,W394&lt;=$U$2),IF(X394='ESTRATTO CONTO'!$E$2,1+COUNTIF(U$4:U393,"&gt;0"),0),0)</f>
        <v>0</v>
      </c>
      <c r="V394" s="417">
        <f t="shared" si="87"/>
        <v>391</v>
      </c>
      <c r="W394" s="509"/>
      <c r="X394" s="321"/>
      <c r="Y394" s="321"/>
      <c r="Z394" s="508"/>
      <c r="AA394" s="356"/>
      <c r="AB394" s="306" t="str">
        <f t="shared" si="83"/>
        <v/>
      </c>
      <c r="AC394" s="637">
        <f t="shared" ca="1" si="82"/>
        <v>-2.1316282072803006E-13</v>
      </c>
      <c r="AD394" s="935">
        <f>IF(ISERROR(VLOOKUP(AD$2,X395:X$1003,1,FALSE)),IF(X394=AD$2,SUMIF(X$4:X394,AD$2,Z$4:Z394)+$E$9+SUM(AQ$4:AQ$1003)+SUMIF(COSTI!$X$1379:$X$1430,AD$2,COSTI!$Z$1379:$Z$1430),0),0)</f>
        <v>0</v>
      </c>
      <c r="AE394" s="26"/>
      <c r="AF394" s="856" t="e">
        <f>IF(ISERROR(VLOOKUP(AG$2,X395:X$1003,1,FALSE)),IF(X394=AG$2,SUMIF(X$4:X394,AG$2,Z$4:Z394)+VLOOKUP(AF$2,$B$1057:$F$1068,5,FALSE)+SUM(AR$4:AR$1003)+SUMIF(COSTI!$X$1379:$X$1430,AG$2,COSTI!$Z$1379:$Z$1430),0),0)</f>
        <v>#N/A</v>
      </c>
      <c r="AG394" s="859"/>
      <c r="AH394" s="27" t="str">
        <f t="shared" si="84"/>
        <v/>
      </c>
      <c r="AI394" s="152">
        <f ca="1">IF(W395&gt;0,0,IF(AH394=0,(Z394*-1)+BC394+SUM(BB$4:BB393),BC394+SUM(BB$4:BB393)))</f>
        <v>-2.1316282072803006E-13</v>
      </c>
      <c r="AJ394" s="931">
        <f>IF(AND(AL394&gt;=$U$1,AL394&lt;=$U$2),IF(AM394='ESTRATTO CONTO'!$E$2,1+COUNTIF(AJ$4:AJ393,"&gt;0")+U$1015,0),0)</f>
        <v>0</v>
      </c>
      <c r="AK394" s="203">
        <f>IF(AND(OR((AK393+1)&lt;AL$1015,(AK393+1)=AL$1015),MAX(AK$4:AK393)&lt;AL$1015),AK393+1,0)</f>
        <v>0</v>
      </c>
      <c r="AL394" s="309">
        <f>VLOOKUP($AK394,ENTI!$AF$4:AG$1003,2,FALSE)</f>
        <v>0</v>
      </c>
      <c r="AM394" s="224">
        <f>VLOOKUP($AK394,ENTI!$AF$4:AH$1003,3,FALSE)</f>
        <v>0</v>
      </c>
      <c r="AN394" s="224">
        <f>VLOOKUP($AK394,ENTI!$AF$4:AI$1003,4,FALSE)</f>
        <v>0</v>
      </c>
      <c r="AO394" s="781">
        <f>VLOOKUP($AK394,ENTI!$AF$4:AJ$1003,5,FALSE)</f>
        <v>0</v>
      </c>
      <c r="AP394" s="315">
        <f>VLOOKUP($AK394,ENTI!$AF$4:AK$1003,6,FALSE)</f>
        <v>0</v>
      </c>
      <c r="AQ394" s="208">
        <f t="shared" si="80"/>
        <v>0</v>
      </c>
      <c r="AR394" s="152" t="e">
        <f t="shared" si="81"/>
        <v>#N/A</v>
      </c>
      <c r="AS394" s="1"/>
      <c r="AT394" s="88" t="str">
        <f t="shared" si="85"/>
        <v/>
      </c>
      <c r="AU394" s="1"/>
      <c r="AV394" s="175">
        <f>IF(AW394&gt;0,COUNTIF(AV$4:AV393,"&gt;0")+1,0)</f>
        <v>0</v>
      </c>
      <c r="AW394" s="164">
        <f t="shared" si="86"/>
        <v>0</v>
      </c>
      <c r="AX394" s="310">
        <f>IF($AW394=0,0,VLOOKUP(VLOOKUP($X394,$B$34:$T$38,19,FALSE),ENTI!$A$9:$B$13,2,FALSE))</f>
        <v>0</v>
      </c>
      <c r="AY394" s="310">
        <f t="shared" si="88"/>
        <v>0</v>
      </c>
      <c r="AZ394" s="316">
        <f t="shared" si="89"/>
        <v>0</v>
      </c>
      <c r="BA394" s="1"/>
      <c r="BB394" s="152">
        <f t="shared" si="90"/>
        <v>0</v>
      </c>
      <c r="BC394" s="152">
        <f ca="1">SUM(Z$4:Z394)+SUM(BB$4:BB394)+COSTI!S$6-COSTI!L$1076</f>
        <v>-31.760000000000218</v>
      </c>
      <c r="BD394" s="1"/>
    </row>
    <row r="395" spans="1:56" ht="16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435">
        <f>IF(AND(W395&gt;=$U$1,W395&lt;=$U$2),IF(X395='ESTRATTO CONTO'!$E$2,1+COUNTIF(U$4:U394,"&gt;0"),0),0)</f>
        <v>0</v>
      </c>
      <c r="V395" s="417">
        <f t="shared" si="87"/>
        <v>392</v>
      </c>
      <c r="W395" s="509"/>
      <c r="X395" s="321"/>
      <c r="Y395" s="321"/>
      <c r="Z395" s="508"/>
      <c r="AA395" s="356"/>
      <c r="AB395" s="306" t="str">
        <f t="shared" si="83"/>
        <v/>
      </c>
      <c r="AC395" s="637">
        <f t="shared" ca="1" si="82"/>
        <v>-2.1316282072803006E-13</v>
      </c>
      <c r="AD395" s="935">
        <f>IF(ISERROR(VLOOKUP(AD$2,X396:X$1003,1,FALSE)),IF(X395=AD$2,SUMIF(X$4:X395,AD$2,Z$4:Z395)+$E$9+SUM(AQ$4:AQ$1003)+SUMIF(COSTI!$X$1379:$X$1430,AD$2,COSTI!$Z$1379:$Z$1430),0),0)</f>
        <v>0</v>
      </c>
      <c r="AE395" s="26"/>
      <c r="AF395" s="856" t="e">
        <f>IF(ISERROR(VLOOKUP(AG$2,X396:X$1003,1,FALSE)),IF(X395=AG$2,SUMIF(X$4:X395,AG$2,Z$4:Z395)+VLOOKUP(AF$2,$B$1057:$F$1068,5,FALSE)+SUM(AR$4:AR$1003)+SUMIF(COSTI!$X$1379:$X$1430,AG$2,COSTI!$Z$1379:$Z$1430),0),0)</f>
        <v>#N/A</v>
      </c>
      <c r="AG395" s="859"/>
      <c r="AH395" s="27" t="str">
        <f t="shared" si="84"/>
        <v/>
      </c>
      <c r="AI395" s="152">
        <f ca="1">IF(W396&gt;0,0,IF(AH395=0,(Z395*-1)+BC395+SUM(BB$4:BB394),BC395+SUM(BB$4:BB394)))</f>
        <v>-2.1316282072803006E-13</v>
      </c>
      <c r="AJ395" s="931">
        <f>IF(AND(AL395&gt;=$U$1,AL395&lt;=$U$2),IF(AM395='ESTRATTO CONTO'!$E$2,1+COUNTIF(AJ$4:AJ394,"&gt;0")+U$1015,0),0)</f>
        <v>0</v>
      </c>
      <c r="AK395" s="203">
        <f>IF(AND(OR((AK394+1)&lt;AL$1015,(AK394+1)=AL$1015),MAX(AK$4:AK394)&lt;AL$1015),AK394+1,0)</f>
        <v>0</v>
      </c>
      <c r="AL395" s="309">
        <f>VLOOKUP($AK395,ENTI!$AF$4:AG$1003,2,FALSE)</f>
        <v>0</v>
      </c>
      <c r="AM395" s="224">
        <f>VLOOKUP($AK395,ENTI!$AF$4:AH$1003,3,FALSE)</f>
        <v>0</v>
      </c>
      <c r="AN395" s="224">
        <f>VLOOKUP($AK395,ENTI!$AF$4:AI$1003,4,FALSE)</f>
        <v>0</v>
      </c>
      <c r="AO395" s="781">
        <f>VLOOKUP($AK395,ENTI!$AF$4:AJ$1003,5,FALSE)</f>
        <v>0</v>
      </c>
      <c r="AP395" s="315">
        <f>VLOOKUP($AK395,ENTI!$AF$4:AK$1003,6,FALSE)</f>
        <v>0</v>
      </c>
      <c r="AQ395" s="208">
        <f t="shared" si="80"/>
        <v>0</v>
      </c>
      <c r="AR395" s="152" t="e">
        <f t="shared" si="81"/>
        <v>#N/A</v>
      </c>
      <c r="AS395" s="1"/>
      <c r="AT395" s="88" t="str">
        <f t="shared" si="85"/>
        <v/>
      </c>
      <c r="AU395" s="1"/>
      <c r="AV395" s="175">
        <f>IF(AW395&gt;0,COUNTIF(AV$4:AV394,"&gt;0")+1,0)</f>
        <v>0</v>
      </c>
      <c r="AW395" s="164">
        <f t="shared" si="86"/>
        <v>0</v>
      </c>
      <c r="AX395" s="310">
        <f>IF($AW395=0,0,VLOOKUP(VLOOKUP($X395,$B$34:$T$38,19,FALSE),ENTI!$A$9:$B$13,2,FALSE))</f>
        <v>0</v>
      </c>
      <c r="AY395" s="310">
        <f t="shared" si="88"/>
        <v>0</v>
      </c>
      <c r="AZ395" s="316">
        <f t="shared" si="89"/>
        <v>0</v>
      </c>
      <c r="BA395" s="1"/>
      <c r="BB395" s="152">
        <f t="shared" si="90"/>
        <v>0</v>
      </c>
      <c r="BC395" s="152">
        <f ca="1">SUM(Z$4:Z395)+SUM(BB$4:BB395)+COSTI!S$6-COSTI!L$1076</f>
        <v>-31.760000000000218</v>
      </c>
      <c r="BD395" s="1"/>
    </row>
    <row r="396" spans="1:56" ht="16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435">
        <f>IF(AND(W396&gt;=$U$1,W396&lt;=$U$2),IF(X396='ESTRATTO CONTO'!$E$2,1+COUNTIF(U$4:U395,"&gt;0"),0),0)</f>
        <v>0</v>
      </c>
      <c r="V396" s="417">
        <f t="shared" si="87"/>
        <v>393</v>
      </c>
      <c r="W396" s="509"/>
      <c r="X396" s="321"/>
      <c r="Y396" s="321"/>
      <c r="Z396" s="508"/>
      <c r="AA396" s="356"/>
      <c r="AB396" s="306" t="str">
        <f t="shared" si="83"/>
        <v/>
      </c>
      <c r="AC396" s="637">
        <f t="shared" ca="1" si="82"/>
        <v>-2.1316282072803006E-13</v>
      </c>
      <c r="AD396" s="935">
        <f>IF(ISERROR(VLOOKUP(AD$2,X397:X$1003,1,FALSE)),IF(X396=AD$2,SUMIF(X$4:X396,AD$2,Z$4:Z396)+$E$9+SUM(AQ$4:AQ$1003)+SUMIF(COSTI!$X$1379:$X$1430,AD$2,COSTI!$Z$1379:$Z$1430),0),0)</f>
        <v>0</v>
      </c>
      <c r="AE396" s="26"/>
      <c r="AF396" s="856" t="e">
        <f>IF(ISERROR(VLOOKUP(AG$2,X397:X$1003,1,FALSE)),IF(X396=AG$2,SUMIF(X$4:X396,AG$2,Z$4:Z396)+VLOOKUP(AF$2,$B$1057:$F$1068,5,FALSE)+SUM(AR$4:AR$1003)+SUMIF(COSTI!$X$1379:$X$1430,AG$2,COSTI!$Z$1379:$Z$1430),0),0)</f>
        <v>#N/A</v>
      </c>
      <c r="AG396" s="859"/>
      <c r="AH396" s="27" t="str">
        <f t="shared" si="84"/>
        <v/>
      </c>
      <c r="AI396" s="152">
        <f ca="1">IF(W397&gt;0,0,IF(AH396=0,(Z396*-1)+BC396+SUM(BB$4:BB395),BC396+SUM(BB$4:BB395)))</f>
        <v>-2.1316282072803006E-13</v>
      </c>
      <c r="AJ396" s="931">
        <f>IF(AND(AL396&gt;=$U$1,AL396&lt;=$U$2),IF(AM396='ESTRATTO CONTO'!$E$2,1+COUNTIF(AJ$4:AJ395,"&gt;0")+U$1015,0),0)</f>
        <v>0</v>
      </c>
      <c r="AK396" s="203">
        <f>IF(AND(OR((AK395+1)&lt;AL$1015,(AK395+1)=AL$1015),MAX(AK$4:AK395)&lt;AL$1015),AK395+1,0)</f>
        <v>0</v>
      </c>
      <c r="AL396" s="309">
        <f>VLOOKUP($AK396,ENTI!$AF$4:AG$1003,2,FALSE)</f>
        <v>0</v>
      </c>
      <c r="AM396" s="224">
        <f>VLOOKUP($AK396,ENTI!$AF$4:AH$1003,3,FALSE)</f>
        <v>0</v>
      </c>
      <c r="AN396" s="224">
        <f>VLOOKUP($AK396,ENTI!$AF$4:AI$1003,4,FALSE)</f>
        <v>0</v>
      </c>
      <c r="AO396" s="781">
        <f>VLOOKUP($AK396,ENTI!$AF$4:AJ$1003,5,FALSE)</f>
        <v>0</v>
      </c>
      <c r="AP396" s="315">
        <f>VLOOKUP($AK396,ENTI!$AF$4:AK$1003,6,FALSE)</f>
        <v>0</v>
      </c>
      <c r="AQ396" s="208">
        <f t="shared" si="80"/>
        <v>0</v>
      </c>
      <c r="AR396" s="152" t="e">
        <f t="shared" si="81"/>
        <v>#N/A</v>
      </c>
      <c r="AS396" s="1"/>
      <c r="AT396" s="88" t="str">
        <f t="shared" si="85"/>
        <v/>
      </c>
      <c r="AU396" s="1"/>
      <c r="AV396" s="175">
        <f>IF(AW396&gt;0,COUNTIF(AV$4:AV395,"&gt;0")+1,0)</f>
        <v>0</v>
      </c>
      <c r="AW396" s="164">
        <f t="shared" si="86"/>
        <v>0</v>
      </c>
      <c r="AX396" s="310">
        <f>IF($AW396=0,0,VLOOKUP(VLOOKUP($X396,$B$34:$T$38,19,FALSE),ENTI!$A$9:$B$13,2,FALSE))</f>
        <v>0</v>
      </c>
      <c r="AY396" s="310">
        <f t="shared" si="88"/>
        <v>0</v>
      </c>
      <c r="AZ396" s="316">
        <f t="shared" si="89"/>
        <v>0</v>
      </c>
      <c r="BA396" s="1"/>
      <c r="BB396" s="152">
        <f t="shared" si="90"/>
        <v>0</v>
      </c>
      <c r="BC396" s="152">
        <f ca="1">SUM(Z$4:Z396)+SUM(BB$4:BB396)+COSTI!S$6-COSTI!L$1076</f>
        <v>-31.760000000000218</v>
      </c>
      <c r="BD396" s="1"/>
    </row>
    <row r="397" spans="1:56" ht="16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435">
        <f>IF(AND(W397&gt;=$U$1,W397&lt;=$U$2),IF(X397='ESTRATTO CONTO'!$E$2,1+COUNTIF(U$4:U396,"&gt;0"),0),0)</f>
        <v>0</v>
      </c>
      <c r="V397" s="417">
        <f t="shared" si="87"/>
        <v>394</v>
      </c>
      <c r="W397" s="509"/>
      <c r="X397" s="321"/>
      <c r="Y397" s="321"/>
      <c r="Z397" s="508"/>
      <c r="AA397" s="356"/>
      <c r="AB397" s="306" t="str">
        <f t="shared" si="83"/>
        <v/>
      </c>
      <c r="AC397" s="637">
        <f t="shared" ca="1" si="82"/>
        <v>-2.1316282072803006E-13</v>
      </c>
      <c r="AD397" s="935">
        <f>IF(ISERROR(VLOOKUP(AD$2,X398:X$1003,1,FALSE)),IF(X397=AD$2,SUMIF(X$4:X397,AD$2,Z$4:Z397)+$E$9+SUM(AQ$4:AQ$1003)+SUMIF(COSTI!$X$1379:$X$1430,AD$2,COSTI!$Z$1379:$Z$1430),0),0)</f>
        <v>0</v>
      </c>
      <c r="AE397" s="26"/>
      <c r="AF397" s="856" t="e">
        <f>IF(ISERROR(VLOOKUP(AG$2,X398:X$1003,1,FALSE)),IF(X397=AG$2,SUMIF(X$4:X397,AG$2,Z$4:Z397)+VLOOKUP(AF$2,$B$1057:$F$1068,5,FALSE)+SUM(AR$4:AR$1003)+SUMIF(COSTI!$X$1379:$X$1430,AG$2,COSTI!$Z$1379:$Z$1430),0),0)</f>
        <v>#N/A</v>
      </c>
      <c r="AG397" s="859"/>
      <c r="AH397" s="27" t="str">
        <f t="shared" si="84"/>
        <v/>
      </c>
      <c r="AI397" s="152">
        <f ca="1">IF(W398&gt;0,0,IF(AH397=0,(Z397*-1)+BC397+SUM(BB$4:BB396),BC397+SUM(BB$4:BB396)))</f>
        <v>-2.1316282072803006E-13</v>
      </c>
      <c r="AJ397" s="931">
        <f>IF(AND(AL397&gt;=$U$1,AL397&lt;=$U$2),IF(AM397='ESTRATTO CONTO'!$E$2,1+COUNTIF(AJ$4:AJ396,"&gt;0")+U$1015,0),0)</f>
        <v>0</v>
      </c>
      <c r="AK397" s="203">
        <f>IF(AND(OR((AK396+1)&lt;AL$1015,(AK396+1)=AL$1015),MAX(AK$4:AK396)&lt;AL$1015),AK396+1,0)</f>
        <v>0</v>
      </c>
      <c r="AL397" s="309">
        <f>VLOOKUP($AK397,ENTI!$AF$4:AG$1003,2,FALSE)</f>
        <v>0</v>
      </c>
      <c r="AM397" s="224">
        <f>VLOOKUP($AK397,ENTI!$AF$4:AH$1003,3,FALSE)</f>
        <v>0</v>
      </c>
      <c r="AN397" s="224">
        <f>VLOOKUP($AK397,ENTI!$AF$4:AI$1003,4,FALSE)</f>
        <v>0</v>
      </c>
      <c r="AO397" s="781">
        <f>VLOOKUP($AK397,ENTI!$AF$4:AJ$1003,5,FALSE)</f>
        <v>0</v>
      </c>
      <c r="AP397" s="315">
        <f>VLOOKUP($AK397,ENTI!$AF$4:AK$1003,6,FALSE)</f>
        <v>0</v>
      </c>
      <c r="AQ397" s="208">
        <f t="shared" si="80"/>
        <v>0</v>
      </c>
      <c r="AR397" s="152" t="e">
        <f t="shared" si="81"/>
        <v>#N/A</v>
      </c>
      <c r="AS397" s="1"/>
      <c r="AT397" s="88" t="str">
        <f t="shared" si="85"/>
        <v/>
      </c>
      <c r="AU397" s="1"/>
      <c r="AV397" s="175">
        <f>IF(AW397&gt;0,COUNTIF(AV$4:AV396,"&gt;0")+1,0)</f>
        <v>0</v>
      </c>
      <c r="AW397" s="164">
        <f t="shared" si="86"/>
        <v>0</v>
      </c>
      <c r="AX397" s="310">
        <f>IF($AW397=0,0,VLOOKUP(VLOOKUP($X397,$B$34:$T$38,19,FALSE),ENTI!$A$9:$B$13,2,FALSE))</f>
        <v>0</v>
      </c>
      <c r="AY397" s="310">
        <f t="shared" si="88"/>
        <v>0</v>
      </c>
      <c r="AZ397" s="316">
        <f t="shared" si="89"/>
        <v>0</v>
      </c>
      <c r="BA397" s="1"/>
      <c r="BB397" s="152">
        <f t="shared" si="90"/>
        <v>0</v>
      </c>
      <c r="BC397" s="152">
        <f ca="1">SUM(Z$4:Z397)+SUM(BB$4:BB397)+COSTI!S$6-COSTI!L$1076</f>
        <v>-31.760000000000218</v>
      </c>
      <c r="BD397" s="1"/>
    </row>
    <row r="398" spans="1:56" ht="16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435">
        <f>IF(AND(W398&gt;=$U$1,W398&lt;=$U$2),IF(X398='ESTRATTO CONTO'!$E$2,1+COUNTIF(U$4:U397,"&gt;0"),0),0)</f>
        <v>0</v>
      </c>
      <c r="V398" s="417">
        <f t="shared" si="87"/>
        <v>395</v>
      </c>
      <c r="W398" s="509"/>
      <c r="X398" s="321"/>
      <c r="Y398" s="321"/>
      <c r="Z398" s="508"/>
      <c r="AA398" s="356"/>
      <c r="AB398" s="306" t="str">
        <f t="shared" si="83"/>
        <v/>
      </c>
      <c r="AC398" s="637">
        <f t="shared" ca="1" si="82"/>
        <v>-2.1316282072803006E-13</v>
      </c>
      <c r="AD398" s="935">
        <f>IF(ISERROR(VLOOKUP(AD$2,X399:X$1003,1,FALSE)),IF(X398=AD$2,SUMIF(X$4:X398,AD$2,Z$4:Z398)+$E$9+SUM(AQ$4:AQ$1003)+SUMIF(COSTI!$X$1379:$X$1430,AD$2,COSTI!$Z$1379:$Z$1430),0),0)</f>
        <v>0</v>
      </c>
      <c r="AE398" s="26"/>
      <c r="AF398" s="856" t="e">
        <f>IF(ISERROR(VLOOKUP(AG$2,X399:X$1003,1,FALSE)),IF(X398=AG$2,SUMIF(X$4:X398,AG$2,Z$4:Z398)+VLOOKUP(AF$2,$B$1057:$F$1068,5,FALSE)+SUM(AR$4:AR$1003)+SUMIF(COSTI!$X$1379:$X$1430,AG$2,COSTI!$Z$1379:$Z$1430),0),0)</f>
        <v>#N/A</v>
      </c>
      <c r="AG398" s="859"/>
      <c r="AH398" s="27" t="str">
        <f t="shared" si="84"/>
        <v/>
      </c>
      <c r="AI398" s="152">
        <f ca="1">IF(W399&gt;0,0,IF(AH398=0,(Z398*-1)+BC398+SUM(BB$4:BB397),BC398+SUM(BB$4:BB397)))</f>
        <v>-2.1316282072803006E-13</v>
      </c>
      <c r="AJ398" s="931">
        <f>IF(AND(AL398&gt;=$U$1,AL398&lt;=$U$2),IF(AM398='ESTRATTO CONTO'!$E$2,1+COUNTIF(AJ$4:AJ397,"&gt;0")+U$1015,0),0)</f>
        <v>0</v>
      </c>
      <c r="AK398" s="203">
        <f>IF(AND(OR((AK397+1)&lt;AL$1015,(AK397+1)=AL$1015),MAX(AK$4:AK397)&lt;AL$1015),AK397+1,0)</f>
        <v>0</v>
      </c>
      <c r="AL398" s="309">
        <f>VLOOKUP($AK398,ENTI!$AF$4:AG$1003,2,FALSE)</f>
        <v>0</v>
      </c>
      <c r="AM398" s="224">
        <f>VLOOKUP($AK398,ENTI!$AF$4:AH$1003,3,FALSE)</f>
        <v>0</v>
      </c>
      <c r="AN398" s="224">
        <f>VLOOKUP($AK398,ENTI!$AF$4:AI$1003,4,FALSE)</f>
        <v>0</v>
      </c>
      <c r="AO398" s="781">
        <f>VLOOKUP($AK398,ENTI!$AF$4:AJ$1003,5,FALSE)</f>
        <v>0</v>
      </c>
      <c r="AP398" s="315">
        <f>VLOOKUP($AK398,ENTI!$AF$4:AK$1003,6,FALSE)</f>
        <v>0</v>
      </c>
      <c r="AQ398" s="208">
        <f t="shared" si="80"/>
        <v>0</v>
      </c>
      <c r="AR398" s="152" t="e">
        <f t="shared" si="81"/>
        <v>#N/A</v>
      </c>
      <c r="AS398" s="1"/>
      <c r="AT398" s="88" t="str">
        <f t="shared" si="85"/>
        <v/>
      </c>
      <c r="AU398" s="1"/>
      <c r="AV398" s="175">
        <f>IF(AW398&gt;0,COUNTIF(AV$4:AV397,"&gt;0")+1,0)</f>
        <v>0</v>
      </c>
      <c r="AW398" s="164">
        <f t="shared" si="86"/>
        <v>0</v>
      </c>
      <c r="AX398" s="310">
        <f>IF($AW398=0,0,VLOOKUP(VLOOKUP($X398,$B$34:$T$38,19,FALSE),ENTI!$A$9:$B$13,2,FALSE))</f>
        <v>0</v>
      </c>
      <c r="AY398" s="310">
        <f t="shared" si="88"/>
        <v>0</v>
      </c>
      <c r="AZ398" s="316">
        <f t="shared" si="89"/>
        <v>0</v>
      </c>
      <c r="BA398" s="1"/>
      <c r="BB398" s="152">
        <f t="shared" si="90"/>
        <v>0</v>
      </c>
      <c r="BC398" s="152">
        <f ca="1">SUM(Z$4:Z398)+SUM(BB$4:BB398)+COSTI!S$6-COSTI!L$1076</f>
        <v>-31.760000000000218</v>
      </c>
      <c r="BD398" s="1"/>
    </row>
    <row r="399" spans="1:56" ht="16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435">
        <f>IF(AND(W399&gt;=$U$1,W399&lt;=$U$2),IF(X399='ESTRATTO CONTO'!$E$2,1+COUNTIF(U$4:U398,"&gt;0"),0),0)</f>
        <v>0</v>
      </c>
      <c r="V399" s="417">
        <f t="shared" si="87"/>
        <v>396</v>
      </c>
      <c r="W399" s="509"/>
      <c r="X399" s="321"/>
      <c r="Y399" s="321"/>
      <c r="Z399" s="508"/>
      <c r="AA399" s="356"/>
      <c r="AB399" s="306" t="str">
        <f t="shared" si="83"/>
        <v/>
      </c>
      <c r="AC399" s="637">
        <f t="shared" ca="1" si="82"/>
        <v>-2.1316282072803006E-13</v>
      </c>
      <c r="AD399" s="935">
        <f>IF(ISERROR(VLOOKUP(AD$2,X400:X$1003,1,FALSE)),IF(X399=AD$2,SUMIF(X$4:X399,AD$2,Z$4:Z399)+$E$9+SUM(AQ$4:AQ$1003)+SUMIF(COSTI!$X$1379:$X$1430,AD$2,COSTI!$Z$1379:$Z$1430),0),0)</f>
        <v>0</v>
      </c>
      <c r="AE399" s="26"/>
      <c r="AF399" s="856" t="e">
        <f>IF(ISERROR(VLOOKUP(AG$2,X400:X$1003,1,FALSE)),IF(X399=AG$2,SUMIF(X$4:X399,AG$2,Z$4:Z399)+VLOOKUP(AF$2,$B$1057:$F$1068,5,FALSE)+SUM(AR$4:AR$1003)+SUMIF(COSTI!$X$1379:$X$1430,AG$2,COSTI!$Z$1379:$Z$1430),0),0)</f>
        <v>#N/A</v>
      </c>
      <c r="AG399" s="859"/>
      <c r="AH399" s="27" t="str">
        <f t="shared" si="84"/>
        <v/>
      </c>
      <c r="AI399" s="152">
        <f ca="1">IF(W400&gt;0,0,IF(AH399=0,(Z399*-1)+BC399+SUM(BB$4:BB398),BC399+SUM(BB$4:BB398)))</f>
        <v>-2.1316282072803006E-13</v>
      </c>
      <c r="AJ399" s="931">
        <f>IF(AND(AL399&gt;=$U$1,AL399&lt;=$U$2),IF(AM399='ESTRATTO CONTO'!$E$2,1+COUNTIF(AJ$4:AJ398,"&gt;0")+U$1015,0),0)</f>
        <v>0</v>
      </c>
      <c r="AK399" s="203">
        <f>IF(AND(OR((AK398+1)&lt;AL$1015,(AK398+1)=AL$1015),MAX(AK$4:AK398)&lt;AL$1015),AK398+1,0)</f>
        <v>0</v>
      </c>
      <c r="AL399" s="309">
        <f>VLOOKUP($AK399,ENTI!$AF$4:AG$1003,2,FALSE)</f>
        <v>0</v>
      </c>
      <c r="AM399" s="224">
        <f>VLOOKUP($AK399,ENTI!$AF$4:AH$1003,3,FALSE)</f>
        <v>0</v>
      </c>
      <c r="AN399" s="224">
        <f>VLOOKUP($AK399,ENTI!$AF$4:AI$1003,4,FALSE)</f>
        <v>0</v>
      </c>
      <c r="AO399" s="781">
        <f>VLOOKUP($AK399,ENTI!$AF$4:AJ$1003,5,FALSE)</f>
        <v>0</v>
      </c>
      <c r="AP399" s="315">
        <f>VLOOKUP($AK399,ENTI!$AF$4:AK$1003,6,FALSE)</f>
        <v>0</v>
      </c>
      <c r="AQ399" s="208">
        <f t="shared" ref="AQ399:AQ462" si="91">IF(AM399=AQ$2,AO399,0)</f>
        <v>0</v>
      </c>
      <c r="AR399" s="152" t="e">
        <f t="shared" ref="AR399:AR462" si="92">IF(AM399=AR$1,AO399,0)</f>
        <v>#N/A</v>
      </c>
      <c r="AS399" s="1"/>
      <c r="AT399" s="88" t="str">
        <f t="shared" si="85"/>
        <v/>
      </c>
      <c r="AU399" s="1"/>
      <c r="AV399" s="175">
        <f>IF(AW399&gt;0,COUNTIF(AV$4:AV398,"&gt;0")+1,0)</f>
        <v>0</v>
      </c>
      <c r="AW399" s="164">
        <f t="shared" si="86"/>
        <v>0</v>
      </c>
      <c r="AX399" s="310">
        <f>IF($AW399=0,0,VLOOKUP(VLOOKUP($X399,$B$34:$T$38,19,FALSE),ENTI!$A$9:$B$13,2,FALSE))</f>
        <v>0</v>
      </c>
      <c r="AY399" s="310">
        <f t="shared" si="88"/>
        <v>0</v>
      </c>
      <c r="AZ399" s="316">
        <f t="shared" si="89"/>
        <v>0</v>
      </c>
      <c r="BA399" s="1"/>
      <c r="BB399" s="152">
        <f t="shared" si="90"/>
        <v>0</v>
      </c>
      <c r="BC399" s="152">
        <f ca="1">SUM(Z$4:Z399)+SUM(BB$4:BB399)+COSTI!S$6-COSTI!L$1076</f>
        <v>-31.760000000000218</v>
      </c>
      <c r="BD399" s="1"/>
    </row>
    <row r="400" spans="1:56" ht="16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435">
        <f>IF(AND(W400&gt;=$U$1,W400&lt;=$U$2),IF(X400='ESTRATTO CONTO'!$E$2,1+COUNTIF(U$4:U399,"&gt;0"),0),0)</f>
        <v>0</v>
      </c>
      <c r="V400" s="417">
        <f t="shared" si="87"/>
        <v>397</v>
      </c>
      <c r="W400" s="509"/>
      <c r="X400" s="321"/>
      <c r="Y400" s="321"/>
      <c r="Z400" s="508"/>
      <c r="AA400" s="356"/>
      <c r="AB400" s="306" t="str">
        <f t="shared" si="83"/>
        <v/>
      </c>
      <c r="AC400" s="637">
        <f t="shared" ca="1" si="82"/>
        <v>-2.1316282072803006E-13</v>
      </c>
      <c r="AD400" s="935">
        <f>IF(ISERROR(VLOOKUP(AD$2,X401:X$1003,1,FALSE)),IF(X400=AD$2,SUMIF(X$4:X400,AD$2,Z$4:Z400)+$E$9+SUM(AQ$4:AQ$1003)+SUMIF(COSTI!$X$1379:$X$1430,AD$2,COSTI!$Z$1379:$Z$1430),0),0)</f>
        <v>0</v>
      </c>
      <c r="AE400" s="26"/>
      <c r="AF400" s="856" t="e">
        <f>IF(ISERROR(VLOOKUP(AG$2,X401:X$1003,1,FALSE)),IF(X400=AG$2,SUMIF(X$4:X400,AG$2,Z$4:Z400)+VLOOKUP(AF$2,$B$1057:$F$1068,5,FALSE)+SUM(AR$4:AR$1003)+SUMIF(COSTI!$X$1379:$X$1430,AG$2,COSTI!$Z$1379:$Z$1430),0),0)</f>
        <v>#N/A</v>
      </c>
      <c r="AG400" s="859"/>
      <c r="AH400" s="27" t="str">
        <f t="shared" si="84"/>
        <v/>
      </c>
      <c r="AI400" s="152">
        <f ca="1">IF(W401&gt;0,0,IF(AH400=0,(Z400*-1)+BC400+SUM(BB$4:BB399),BC400+SUM(BB$4:BB399)))</f>
        <v>-2.1316282072803006E-13</v>
      </c>
      <c r="AJ400" s="931">
        <f>IF(AND(AL400&gt;=$U$1,AL400&lt;=$U$2),IF(AM400='ESTRATTO CONTO'!$E$2,1+COUNTIF(AJ$4:AJ399,"&gt;0")+U$1015,0),0)</f>
        <v>0</v>
      </c>
      <c r="AK400" s="203">
        <f>IF(AND(OR((AK399+1)&lt;AL$1015,(AK399+1)=AL$1015),MAX(AK$4:AK399)&lt;AL$1015),AK399+1,0)</f>
        <v>0</v>
      </c>
      <c r="AL400" s="309">
        <f>VLOOKUP($AK400,ENTI!$AF$4:AG$1003,2,FALSE)</f>
        <v>0</v>
      </c>
      <c r="AM400" s="224">
        <f>VLOOKUP($AK400,ENTI!$AF$4:AH$1003,3,FALSE)</f>
        <v>0</v>
      </c>
      <c r="AN400" s="224">
        <f>VLOOKUP($AK400,ENTI!$AF$4:AI$1003,4,FALSE)</f>
        <v>0</v>
      </c>
      <c r="AO400" s="781">
        <f>VLOOKUP($AK400,ENTI!$AF$4:AJ$1003,5,FALSE)</f>
        <v>0</v>
      </c>
      <c r="AP400" s="315">
        <f>VLOOKUP($AK400,ENTI!$AF$4:AK$1003,6,FALSE)</f>
        <v>0</v>
      </c>
      <c r="AQ400" s="208">
        <f t="shared" si="91"/>
        <v>0</v>
      </c>
      <c r="AR400" s="152" t="e">
        <f t="shared" si="92"/>
        <v>#N/A</v>
      </c>
      <c r="AS400" s="1"/>
      <c r="AT400" s="88" t="str">
        <f t="shared" si="85"/>
        <v/>
      </c>
      <c r="AU400" s="1"/>
      <c r="AV400" s="175">
        <f>IF(AW400&gt;0,COUNTIF(AV$4:AV399,"&gt;0")+1,0)</f>
        <v>0</v>
      </c>
      <c r="AW400" s="164">
        <f t="shared" si="86"/>
        <v>0</v>
      </c>
      <c r="AX400" s="310">
        <f>IF($AW400=0,0,VLOOKUP(VLOOKUP($X400,$B$34:$T$38,19,FALSE),ENTI!$A$9:$B$13,2,FALSE))</f>
        <v>0</v>
      </c>
      <c r="AY400" s="310">
        <f t="shared" si="88"/>
        <v>0</v>
      </c>
      <c r="AZ400" s="316">
        <f t="shared" si="89"/>
        <v>0</v>
      </c>
      <c r="BA400" s="1"/>
      <c r="BB400" s="152">
        <f t="shared" si="90"/>
        <v>0</v>
      </c>
      <c r="BC400" s="152">
        <f ca="1">SUM(Z$4:Z400)+SUM(BB$4:BB400)+COSTI!S$6-COSTI!L$1076</f>
        <v>-31.760000000000218</v>
      </c>
      <c r="BD400" s="1"/>
    </row>
    <row r="401" spans="1:56" ht="16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435">
        <f>IF(AND(W401&gt;=$U$1,W401&lt;=$U$2),IF(X401='ESTRATTO CONTO'!$E$2,1+COUNTIF(U$4:U400,"&gt;0"),0),0)</f>
        <v>0</v>
      </c>
      <c r="V401" s="417">
        <f t="shared" si="87"/>
        <v>398</v>
      </c>
      <c r="W401" s="509"/>
      <c r="X401" s="321"/>
      <c r="Y401" s="321"/>
      <c r="Z401" s="508"/>
      <c r="AA401" s="356"/>
      <c r="AB401" s="306" t="str">
        <f t="shared" si="83"/>
        <v/>
      </c>
      <c r="AC401" s="637">
        <f t="shared" ca="1" si="82"/>
        <v>-2.1316282072803006E-13</v>
      </c>
      <c r="AD401" s="935">
        <f>IF(ISERROR(VLOOKUP(AD$2,X402:X$1003,1,FALSE)),IF(X401=AD$2,SUMIF(X$4:X401,AD$2,Z$4:Z401)+$E$9+SUM(AQ$4:AQ$1003)+SUMIF(COSTI!$X$1379:$X$1430,AD$2,COSTI!$Z$1379:$Z$1430),0),0)</f>
        <v>0</v>
      </c>
      <c r="AE401" s="26"/>
      <c r="AF401" s="856" t="e">
        <f>IF(ISERROR(VLOOKUP(AG$2,X402:X$1003,1,FALSE)),IF(X401=AG$2,SUMIF(X$4:X401,AG$2,Z$4:Z401)+VLOOKUP(AF$2,$B$1057:$F$1068,5,FALSE)+SUM(AR$4:AR$1003)+SUMIF(COSTI!$X$1379:$X$1430,AG$2,COSTI!$Z$1379:$Z$1430),0),0)</f>
        <v>#N/A</v>
      </c>
      <c r="AG401" s="859"/>
      <c r="AH401" s="27" t="str">
        <f t="shared" si="84"/>
        <v/>
      </c>
      <c r="AI401" s="152">
        <f ca="1">IF(W402&gt;0,0,IF(AH401=0,(Z401*-1)+BC401+SUM(BB$4:BB400),BC401+SUM(BB$4:BB400)))</f>
        <v>-2.1316282072803006E-13</v>
      </c>
      <c r="AJ401" s="931">
        <f>IF(AND(AL401&gt;=$U$1,AL401&lt;=$U$2),IF(AM401='ESTRATTO CONTO'!$E$2,1+COUNTIF(AJ$4:AJ400,"&gt;0")+U$1015,0),0)</f>
        <v>0</v>
      </c>
      <c r="AK401" s="203">
        <f>IF(AND(OR((AK400+1)&lt;AL$1015,(AK400+1)=AL$1015),MAX(AK$4:AK400)&lt;AL$1015),AK400+1,0)</f>
        <v>0</v>
      </c>
      <c r="AL401" s="309">
        <f>VLOOKUP($AK401,ENTI!$AF$4:AG$1003,2,FALSE)</f>
        <v>0</v>
      </c>
      <c r="AM401" s="224">
        <f>VLOOKUP($AK401,ENTI!$AF$4:AH$1003,3,FALSE)</f>
        <v>0</v>
      </c>
      <c r="AN401" s="224">
        <f>VLOOKUP($AK401,ENTI!$AF$4:AI$1003,4,FALSE)</f>
        <v>0</v>
      </c>
      <c r="AO401" s="781">
        <f>VLOOKUP($AK401,ENTI!$AF$4:AJ$1003,5,FALSE)</f>
        <v>0</v>
      </c>
      <c r="AP401" s="315">
        <f>VLOOKUP($AK401,ENTI!$AF$4:AK$1003,6,FALSE)</f>
        <v>0</v>
      </c>
      <c r="AQ401" s="208">
        <f t="shared" si="91"/>
        <v>0</v>
      </c>
      <c r="AR401" s="152" t="e">
        <f t="shared" si="92"/>
        <v>#N/A</v>
      </c>
      <c r="AS401" s="1"/>
      <c r="AT401" s="88" t="str">
        <f t="shared" si="85"/>
        <v/>
      </c>
      <c r="AU401" s="1"/>
      <c r="AV401" s="175">
        <f>IF(AW401&gt;0,COUNTIF(AV$4:AV400,"&gt;0")+1,0)</f>
        <v>0</v>
      </c>
      <c r="AW401" s="164">
        <f t="shared" si="86"/>
        <v>0</v>
      </c>
      <c r="AX401" s="310">
        <f>IF($AW401=0,0,VLOOKUP(VLOOKUP($X401,$B$34:$T$38,19,FALSE),ENTI!$A$9:$B$13,2,FALSE))</f>
        <v>0</v>
      </c>
      <c r="AY401" s="310">
        <f t="shared" si="88"/>
        <v>0</v>
      </c>
      <c r="AZ401" s="316">
        <f t="shared" si="89"/>
        <v>0</v>
      </c>
      <c r="BA401" s="1"/>
      <c r="BB401" s="152">
        <f t="shared" si="90"/>
        <v>0</v>
      </c>
      <c r="BC401" s="152">
        <f ca="1">SUM(Z$4:Z401)+SUM(BB$4:BB401)+COSTI!S$6-COSTI!L$1076</f>
        <v>-31.760000000000218</v>
      </c>
      <c r="BD401" s="1"/>
    </row>
    <row r="402" spans="1:56" ht="16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435">
        <f>IF(AND(W402&gt;=$U$1,W402&lt;=$U$2),IF(X402='ESTRATTO CONTO'!$E$2,1+COUNTIF(U$4:U401,"&gt;0"),0),0)</f>
        <v>0</v>
      </c>
      <c r="V402" s="417">
        <f t="shared" si="87"/>
        <v>399</v>
      </c>
      <c r="W402" s="509"/>
      <c r="X402" s="321"/>
      <c r="Y402" s="321"/>
      <c r="Z402" s="508"/>
      <c r="AA402" s="356"/>
      <c r="AB402" s="306" t="str">
        <f t="shared" si="83"/>
        <v/>
      </c>
      <c r="AC402" s="637">
        <f t="shared" ca="1" si="82"/>
        <v>-2.1316282072803006E-13</v>
      </c>
      <c r="AD402" s="935">
        <f>IF(ISERROR(VLOOKUP(AD$2,X403:X$1003,1,FALSE)),IF(X402=AD$2,SUMIF(X$4:X402,AD$2,Z$4:Z402)+$E$9+SUM(AQ$4:AQ$1003)+SUMIF(COSTI!$X$1379:$X$1430,AD$2,COSTI!$Z$1379:$Z$1430),0),0)</f>
        <v>0</v>
      </c>
      <c r="AE402" s="26"/>
      <c r="AF402" s="856" t="e">
        <f>IF(ISERROR(VLOOKUP(AG$2,X403:X$1003,1,FALSE)),IF(X402=AG$2,SUMIF(X$4:X402,AG$2,Z$4:Z402)+VLOOKUP(AF$2,$B$1057:$F$1068,5,FALSE)+SUM(AR$4:AR$1003)+SUMIF(COSTI!$X$1379:$X$1430,AG$2,COSTI!$Z$1379:$Z$1430),0),0)</f>
        <v>#N/A</v>
      </c>
      <c r="AG402" s="859"/>
      <c r="AH402" s="27" t="str">
        <f t="shared" si="84"/>
        <v/>
      </c>
      <c r="AI402" s="152">
        <f ca="1">IF(W403&gt;0,0,IF(AH402=0,(Z402*-1)+BC402+SUM(BB$4:BB401),BC402+SUM(BB$4:BB401)))</f>
        <v>-2.1316282072803006E-13</v>
      </c>
      <c r="AJ402" s="931">
        <f>IF(AND(AL402&gt;=$U$1,AL402&lt;=$U$2),IF(AM402='ESTRATTO CONTO'!$E$2,1+COUNTIF(AJ$4:AJ401,"&gt;0")+U$1015,0),0)</f>
        <v>0</v>
      </c>
      <c r="AK402" s="203">
        <f>IF(AND(OR((AK401+1)&lt;AL$1015,(AK401+1)=AL$1015),MAX(AK$4:AK401)&lt;AL$1015),AK401+1,0)</f>
        <v>0</v>
      </c>
      <c r="AL402" s="309">
        <f>VLOOKUP($AK402,ENTI!$AF$4:AG$1003,2,FALSE)</f>
        <v>0</v>
      </c>
      <c r="AM402" s="224">
        <f>VLOOKUP($AK402,ENTI!$AF$4:AH$1003,3,FALSE)</f>
        <v>0</v>
      </c>
      <c r="AN402" s="224">
        <f>VLOOKUP($AK402,ENTI!$AF$4:AI$1003,4,FALSE)</f>
        <v>0</v>
      </c>
      <c r="AO402" s="781">
        <f>VLOOKUP($AK402,ENTI!$AF$4:AJ$1003,5,FALSE)</f>
        <v>0</v>
      </c>
      <c r="AP402" s="315">
        <f>VLOOKUP($AK402,ENTI!$AF$4:AK$1003,6,FALSE)</f>
        <v>0</v>
      </c>
      <c r="AQ402" s="208">
        <f t="shared" si="91"/>
        <v>0</v>
      </c>
      <c r="AR402" s="152" t="e">
        <f t="shared" si="92"/>
        <v>#N/A</v>
      </c>
      <c r="AS402" s="1"/>
      <c r="AT402" s="88" t="str">
        <f t="shared" si="85"/>
        <v/>
      </c>
      <c r="AU402" s="1"/>
      <c r="AV402" s="175">
        <f>IF(AW402&gt;0,COUNTIF(AV$4:AV401,"&gt;0")+1,0)</f>
        <v>0</v>
      </c>
      <c r="AW402" s="164">
        <f t="shared" si="86"/>
        <v>0</v>
      </c>
      <c r="AX402" s="310">
        <f>IF($AW402=0,0,VLOOKUP(VLOOKUP($X402,$B$34:$T$38,19,FALSE),ENTI!$A$9:$B$13,2,FALSE))</f>
        <v>0</v>
      </c>
      <c r="AY402" s="310">
        <f t="shared" si="88"/>
        <v>0</v>
      </c>
      <c r="AZ402" s="316">
        <f t="shared" si="89"/>
        <v>0</v>
      </c>
      <c r="BA402" s="1"/>
      <c r="BB402" s="152">
        <f t="shared" si="90"/>
        <v>0</v>
      </c>
      <c r="BC402" s="152">
        <f ca="1">SUM(Z$4:Z402)+SUM(BB$4:BB402)+COSTI!S$6-COSTI!L$1076</f>
        <v>-31.760000000000218</v>
      </c>
      <c r="BD402" s="1"/>
    </row>
    <row r="403" spans="1:56" ht="16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435">
        <f>IF(AND(W403&gt;=$U$1,W403&lt;=$U$2),IF(X403='ESTRATTO CONTO'!$E$2,1+COUNTIF(U$4:U402,"&gt;0"),0),0)</f>
        <v>0</v>
      </c>
      <c r="V403" s="417">
        <f t="shared" si="87"/>
        <v>400</v>
      </c>
      <c r="W403" s="509"/>
      <c r="X403" s="321"/>
      <c r="Y403" s="321"/>
      <c r="Z403" s="508"/>
      <c r="AA403" s="356"/>
      <c r="AB403" s="306" t="str">
        <f t="shared" si="83"/>
        <v/>
      </c>
      <c r="AC403" s="637">
        <f t="shared" ca="1" si="82"/>
        <v>-2.1316282072803006E-13</v>
      </c>
      <c r="AD403" s="935">
        <f>IF(ISERROR(VLOOKUP(AD$2,X404:X$1003,1,FALSE)),IF(X403=AD$2,SUMIF(X$4:X403,AD$2,Z$4:Z403)+$E$9+SUM(AQ$4:AQ$1003)+SUMIF(COSTI!$X$1379:$X$1430,AD$2,COSTI!$Z$1379:$Z$1430),0),0)</f>
        <v>0</v>
      </c>
      <c r="AE403" s="26"/>
      <c r="AF403" s="856" t="e">
        <f>IF(ISERROR(VLOOKUP(AG$2,X404:X$1003,1,FALSE)),IF(X403=AG$2,SUMIF(X$4:X403,AG$2,Z$4:Z403)+VLOOKUP(AF$2,$B$1057:$F$1068,5,FALSE)+SUM(AR$4:AR$1003)+SUMIF(COSTI!$X$1379:$X$1430,AG$2,COSTI!$Z$1379:$Z$1430),0),0)</f>
        <v>#N/A</v>
      </c>
      <c r="AG403" s="859"/>
      <c r="AH403" s="27" t="str">
        <f t="shared" si="84"/>
        <v/>
      </c>
      <c r="AI403" s="152">
        <f ca="1">IF(W404&gt;0,0,IF(AH403=0,(Z403*-1)+BC403+SUM(BB$4:BB402),BC403+SUM(BB$4:BB402)))</f>
        <v>-2.1316282072803006E-13</v>
      </c>
      <c r="AJ403" s="931">
        <f>IF(AND(AL403&gt;=$U$1,AL403&lt;=$U$2),IF(AM403='ESTRATTO CONTO'!$E$2,1+COUNTIF(AJ$4:AJ402,"&gt;0")+U$1015,0),0)</f>
        <v>0</v>
      </c>
      <c r="AK403" s="203">
        <f>IF(AND(OR((AK402+1)&lt;AL$1015,(AK402+1)=AL$1015),MAX(AK$4:AK402)&lt;AL$1015),AK402+1,0)</f>
        <v>0</v>
      </c>
      <c r="AL403" s="309">
        <f>VLOOKUP($AK403,ENTI!$AF$4:AG$1003,2,FALSE)</f>
        <v>0</v>
      </c>
      <c r="AM403" s="224">
        <f>VLOOKUP($AK403,ENTI!$AF$4:AH$1003,3,FALSE)</f>
        <v>0</v>
      </c>
      <c r="AN403" s="224">
        <f>VLOOKUP($AK403,ENTI!$AF$4:AI$1003,4,FALSE)</f>
        <v>0</v>
      </c>
      <c r="AO403" s="781">
        <f>VLOOKUP($AK403,ENTI!$AF$4:AJ$1003,5,FALSE)</f>
        <v>0</v>
      </c>
      <c r="AP403" s="315">
        <f>VLOOKUP($AK403,ENTI!$AF$4:AK$1003,6,FALSE)</f>
        <v>0</v>
      </c>
      <c r="AQ403" s="208">
        <f t="shared" si="91"/>
        <v>0</v>
      </c>
      <c r="AR403" s="152" t="e">
        <f t="shared" si="92"/>
        <v>#N/A</v>
      </c>
      <c r="AS403" s="1"/>
      <c r="AT403" s="88" t="str">
        <f t="shared" si="85"/>
        <v/>
      </c>
      <c r="AU403" s="1"/>
      <c r="AV403" s="175">
        <f>IF(AW403&gt;0,COUNTIF(AV$4:AV402,"&gt;0")+1,0)</f>
        <v>0</v>
      </c>
      <c r="AW403" s="164">
        <f t="shared" si="86"/>
        <v>0</v>
      </c>
      <c r="AX403" s="310">
        <f>IF($AW403=0,0,VLOOKUP(VLOOKUP($X403,$B$34:$T$38,19,FALSE),ENTI!$A$9:$B$13,2,FALSE))</f>
        <v>0</v>
      </c>
      <c r="AY403" s="310">
        <f t="shared" si="88"/>
        <v>0</v>
      </c>
      <c r="AZ403" s="316">
        <f t="shared" si="89"/>
        <v>0</v>
      </c>
      <c r="BA403" s="1"/>
      <c r="BB403" s="152">
        <f t="shared" si="90"/>
        <v>0</v>
      </c>
      <c r="BC403" s="152">
        <f ca="1">SUM(Z$4:Z403)+SUM(BB$4:BB403)+COSTI!S$6-COSTI!L$1076</f>
        <v>-31.760000000000218</v>
      </c>
      <c r="BD403" s="1"/>
    </row>
    <row r="404" spans="1:56" ht="16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435">
        <f>IF(AND(W404&gt;=$U$1,W404&lt;=$U$2),IF(X404='ESTRATTO CONTO'!$E$2,1+COUNTIF(U$4:U403,"&gt;0"),0),0)</f>
        <v>0</v>
      </c>
      <c r="V404" s="417">
        <f t="shared" si="87"/>
        <v>401</v>
      </c>
      <c r="W404" s="509"/>
      <c r="X404" s="321"/>
      <c r="Y404" s="321"/>
      <c r="Z404" s="508"/>
      <c r="AA404" s="356"/>
      <c r="AB404" s="306" t="str">
        <f t="shared" si="83"/>
        <v/>
      </c>
      <c r="AC404" s="637">
        <f t="shared" ca="1" si="82"/>
        <v>-2.1316282072803006E-13</v>
      </c>
      <c r="AD404" s="935">
        <f>IF(ISERROR(VLOOKUP(AD$2,X405:X$1003,1,FALSE)),IF(X404=AD$2,SUMIF(X$4:X404,AD$2,Z$4:Z404)+$E$9+SUM(AQ$4:AQ$1003)+SUMIF(COSTI!$X$1379:$X$1430,AD$2,COSTI!$Z$1379:$Z$1430),0),0)</f>
        <v>0</v>
      </c>
      <c r="AE404" s="26"/>
      <c r="AF404" s="856" t="e">
        <f>IF(ISERROR(VLOOKUP(AG$2,X405:X$1003,1,FALSE)),IF(X404=AG$2,SUMIF(X$4:X404,AG$2,Z$4:Z404)+VLOOKUP(AF$2,$B$1057:$F$1068,5,FALSE)+SUM(AR$4:AR$1003)+SUMIF(COSTI!$X$1379:$X$1430,AG$2,COSTI!$Z$1379:$Z$1430),0),0)</f>
        <v>#N/A</v>
      </c>
      <c r="AG404" s="859"/>
      <c r="AH404" s="27" t="str">
        <f t="shared" si="84"/>
        <v/>
      </c>
      <c r="AI404" s="152">
        <f ca="1">IF(W405&gt;0,0,IF(AH404=0,(Z404*-1)+BC404+SUM(BB$4:BB403),BC404+SUM(BB$4:BB403)))</f>
        <v>-2.1316282072803006E-13</v>
      </c>
      <c r="AJ404" s="931">
        <f>IF(AND(AL404&gt;=$U$1,AL404&lt;=$U$2),IF(AM404='ESTRATTO CONTO'!$E$2,1+COUNTIF(AJ$4:AJ403,"&gt;0")+U$1015,0),0)</f>
        <v>0</v>
      </c>
      <c r="AK404" s="203">
        <f>IF(AND(OR((AK403+1)&lt;AL$1015,(AK403+1)=AL$1015),MAX(AK$4:AK403)&lt;AL$1015),AK403+1,0)</f>
        <v>0</v>
      </c>
      <c r="AL404" s="309">
        <f>VLOOKUP($AK404,ENTI!$AF$4:AG$1003,2,FALSE)</f>
        <v>0</v>
      </c>
      <c r="AM404" s="224">
        <f>VLOOKUP($AK404,ENTI!$AF$4:AH$1003,3,FALSE)</f>
        <v>0</v>
      </c>
      <c r="AN404" s="224">
        <f>VLOOKUP($AK404,ENTI!$AF$4:AI$1003,4,FALSE)</f>
        <v>0</v>
      </c>
      <c r="AO404" s="781">
        <f>VLOOKUP($AK404,ENTI!$AF$4:AJ$1003,5,FALSE)</f>
        <v>0</v>
      </c>
      <c r="AP404" s="315">
        <f>VLOOKUP($AK404,ENTI!$AF$4:AK$1003,6,FALSE)</f>
        <v>0</v>
      </c>
      <c r="AQ404" s="208">
        <f t="shared" si="91"/>
        <v>0</v>
      </c>
      <c r="AR404" s="152" t="e">
        <f t="shared" si="92"/>
        <v>#N/A</v>
      </c>
      <c r="AS404" s="1"/>
      <c r="AT404" s="88" t="str">
        <f t="shared" si="85"/>
        <v/>
      </c>
      <c r="AU404" s="1"/>
      <c r="AV404" s="175">
        <f>IF(AW404&gt;0,COUNTIF(AV$4:AV403,"&gt;0")+1,0)</f>
        <v>0</v>
      </c>
      <c r="AW404" s="164">
        <f t="shared" si="86"/>
        <v>0</v>
      </c>
      <c r="AX404" s="310">
        <f>IF($AW404=0,0,VLOOKUP(VLOOKUP($X404,$B$34:$T$38,19,FALSE),ENTI!$A$9:$B$13,2,FALSE))</f>
        <v>0</v>
      </c>
      <c r="AY404" s="310">
        <f t="shared" si="88"/>
        <v>0</v>
      </c>
      <c r="AZ404" s="316">
        <f t="shared" si="89"/>
        <v>0</v>
      </c>
      <c r="BA404" s="1"/>
      <c r="BB404" s="152">
        <f t="shared" si="90"/>
        <v>0</v>
      </c>
      <c r="BC404" s="152">
        <f ca="1">SUM(Z$4:Z404)+SUM(BB$4:BB404)+COSTI!S$6-COSTI!L$1076</f>
        <v>-31.760000000000218</v>
      </c>
      <c r="BD404" s="1"/>
    </row>
    <row r="405" spans="1:56" ht="16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435">
        <f>IF(AND(W405&gt;=$U$1,W405&lt;=$U$2),IF(X405='ESTRATTO CONTO'!$E$2,1+COUNTIF(U$4:U404,"&gt;0"),0),0)</f>
        <v>0</v>
      </c>
      <c r="V405" s="417">
        <f t="shared" si="87"/>
        <v>402</v>
      </c>
      <c r="W405" s="509"/>
      <c r="X405" s="321"/>
      <c r="Y405" s="321"/>
      <c r="Z405" s="508"/>
      <c r="AA405" s="356"/>
      <c r="AB405" s="306" t="str">
        <f t="shared" si="83"/>
        <v/>
      </c>
      <c r="AC405" s="637">
        <f t="shared" ca="1" si="82"/>
        <v>-2.1316282072803006E-13</v>
      </c>
      <c r="AD405" s="935">
        <f>IF(ISERROR(VLOOKUP(AD$2,X406:X$1003,1,FALSE)),IF(X405=AD$2,SUMIF(X$4:X405,AD$2,Z$4:Z405)+$E$9+SUM(AQ$4:AQ$1003)+SUMIF(COSTI!$X$1379:$X$1430,AD$2,COSTI!$Z$1379:$Z$1430),0),0)</f>
        <v>0</v>
      </c>
      <c r="AE405" s="26"/>
      <c r="AF405" s="856" t="e">
        <f>IF(ISERROR(VLOOKUP(AG$2,X406:X$1003,1,FALSE)),IF(X405=AG$2,SUMIF(X$4:X405,AG$2,Z$4:Z405)+VLOOKUP(AF$2,$B$1057:$F$1068,5,FALSE)+SUM(AR$4:AR$1003)+SUMIF(COSTI!$X$1379:$X$1430,AG$2,COSTI!$Z$1379:$Z$1430),0),0)</f>
        <v>#N/A</v>
      </c>
      <c r="AG405" s="859"/>
      <c r="AH405" s="27" t="str">
        <f t="shared" si="84"/>
        <v/>
      </c>
      <c r="AI405" s="152">
        <f ca="1">IF(W406&gt;0,0,IF(AH405=0,(Z405*-1)+BC405+SUM(BB$4:BB404),BC405+SUM(BB$4:BB404)))</f>
        <v>-2.1316282072803006E-13</v>
      </c>
      <c r="AJ405" s="931">
        <f>IF(AND(AL405&gt;=$U$1,AL405&lt;=$U$2),IF(AM405='ESTRATTO CONTO'!$E$2,1+COUNTIF(AJ$4:AJ404,"&gt;0")+U$1015,0),0)</f>
        <v>0</v>
      </c>
      <c r="AK405" s="203">
        <f>IF(AND(OR((AK404+1)&lt;AL$1015,(AK404+1)=AL$1015),MAX(AK$4:AK404)&lt;AL$1015),AK404+1,0)</f>
        <v>0</v>
      </c>
      <c r="AL405" s="309">
        <f>VLOOKUP($AK405,ENTI!$AF$4:AG$1003,2,FALSE)</f>
        <v>0</v>
      </c>
      <c r="AM405" s="224">
        <f>VLOOKUP($AK405,ENTI!$AF$4:AH$1003,3,FALSE)</f>
        <v>0</v>
      </c>
      <c r="AN405" s="224">
        <f>VLOOKUP($AK405,ENTI!$AF$4:AI$1003,4,FALSE)</f>
        <v>0</v>
      </c>
      <c r="AO405" s="781">
        <f>VLOOKUP($AK405,ENTI!$AF$4:AJ$1003,5,FALSE)</f>
        <v>0</v>
      </c>
      <c r="AP405" s="315">
        <f>VLOOKUP($AK405,ENTI!$AF$4:AK$1003,6,FALSE)</f>
        <v>0</v>
      </c>
      <c r="AQ405" s="208">
        <f t="shared" si="91"/>
        <v>0</v>
      </c>
      <c r="AR405" s="152" t="e">
        <f t="shared" si="92"/>
        <v>#N/A</v>
      </c>
      <c r="AS405" s="1"/>
      <c r="AT405" s="88" t="str">
        <f t="shared" si="85"/>
        <v/>
      </c>
      <c r="AU405" s="1"/>
      <c r="AV405" s="175">
        <f>IF(AW405&gt;0,COUNTIF(AV$4:AV404,"&gt;0")+1,0)</f>
        <v>0</v>
      </c>
      <c r="AW405" s="164">
        <f t="shared" si="86"/>
        <v>0</v>
      </c>
      <c r="AX405" s="310">
        <f>IF($AW405=0,0,VLOOKUP(VLOOKUP($X405,$B$34:$T$38,19,FALSE),ENTI!$A$9:$B$13,2,FALSE))</f>
        <v>0</v>
      </c>
      <c r="AY405" s="310">
        <f t="shared" si="88"/>
        <v>0</v>
      </c>
      <c r="AZ405" s="316">
        <f t="shared" si="89"/>
        <v>0</v>
      </c>
      <c r="BA405" s="1"/>
      <c r="BB405" s="152">
        <f t="shared" si="90"/>
        <v>0</v>
      </c>
      <c r="BC405" s="152">
        <f ca="1">SUM(Z$4:Z405)+SUM(BB$4:BB405)+COSTI!S$6-COSTI!L$1076</f>
        <v>-31.760000000000218</v>
      </c>
      <c r="BD405" s="1"/>
    </row>
    <row r="406" spans="1:56" ht="16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435">
        <f>IF(AND(W406&gt;=$U$1,W406&lt;=$U$2),IF(X406='ESTRATTO CONTO'!$E$2,1+COUNTIF(U$4:U405,"&gt;0"),0),0)</f>
        <v>0</v>
      </c>
      <c r="V406" s="417">
        <f t="shared" si="87"/>
        <v>403</v>
      </c>
      <c r="W406" s="509"/>
      <c r="X406" s="321"/>
      <c r="Y406" s="321"/>
      <c r="Z406" s="508"/>
      <c r="AA406" s="356"/>
      <c r="AB406" s="306" t="str">
        <f t="shared" si="83"/>
        <v/>
      </c>
      <c r="AC406" s="637">
        <f t="shared" ca="1" si="82"/>
        <v>-2.1316282072803006E-13</v>
      </c>
      <c r="AD406" s="935">
        <f>IF(ISERROR(VLOOKUP(AD$2,X407:X$1003,1,FALSE)),IF(X406=AD$2,SUMIF(X$4:X406,AD$2,Z$4:Z406)+$E$9+SUM(AQ$4:AQ$1003)+SUMIF(COSTI!$X$1379:$X$1430,AD$2,COSTI!$Z$1379:$Z$1430),0),0)</f>
        <v>0</v>
      </c>
      <c r="AE406" s="26"/>
      <c r="AF406" s="856" t="e">
        <f>IF(ISERROR(VLOOKUP(AG$2,X407:X$1003,1,FALSE)),IF(X406=AG$2,SUMIF(X$4:X406,AG$2,Z$4:Z406)+VLOOKUP(AF$2,$B$1057:$F$1068,5,FALSE)+SUM(AR$4:AR$1003)+SUMIF(COSTI!$X$1379:$X$1430,AG$2,COSTI!$Z$1379:$Z$1430),0),0)</f>
        <v>#N/A</v>
      </c>
      <c r="AG406" s="859"/>
      <c r="AH406" s="27" t="str">
        <f t="shared" si="84"/>
        <v/>
      </c>
      <c r="AI406" s="152">
        <f ca="1">IF(W407&gt;0,0,IF(AH406=0,(Z406*-1)+BC406+SUM(BB$4:BB405),BC406+SUM(BB$4:BB405)))</f>
        <v>-2.1316282072803006E-13</v>
      </c>
      <c r="AJ406" s="931">
        <f>IF(AND(AL406&gt;=$U$1,AL406&lt;=$U$2),IF(AM406='ESTRATTO CONTO'!$E$2,1+COUNTIF(AJ$4:AJ405,"&gt;0")+U$1015,0),0)</f>
        <v>0</v>
      </c>
      <c r="AK406" s="203">
        <f>IF(AND(OR((AK405+1)&lt;AL$1015,(AK405+1)=AL$1015),MAX(AK$4:AK405)&lt;AL$1015),AK405+1,0)</f>
        <v>0</v>
      </c>
      <c r="AL406" s="309">
        <f>VLOOKUP($AK406,ENTI!$AF$4:AG$1003,2,FALSE)</f>
        <v>0</v>
      </c>
      <c r="AM406" s="224">
        <f>VLOOKUP($AK406,ENTI!$AF$4:AH$1003,3,FALSE)</f>
        <v>0</v>
      </c>
      <c r="AN406" s="224">
        <f>VLOOKUP($AK406,ENTI!$AF$4:AI$1003,4,FALSE)</f>
        <v>0</v>
      </c>
      <c r="AO406" s="781">
        <f>VLOOKUP($AK406,ENTI!$AF$4:AJ$1003,5,FALSE)</f>
        <v>0</v>
      </c>
      <c r="AP406" s="315">
        <f>VLOOKUP($AK406,ENTI!$AF$4:AK$1003,6,FALSE)</f>
        <v>0</v>
      </c>
      <c r="AQ406" s="208">
        <f t="shared" si="91"/>
        <v>0</v>
      </c>
      <c r="AR406" s="152" t="e">
        <f t="shared" si="92"/>
        <v>#N/A</v>
      </c>
      <c r="AS406" s="1"/>
      <c r="AT406" s="88" t="str">
        <f t="shared" si="85"/>
        <v/>
      </c>
      <c r="AU406" s="1"/>
      <c r="AV406" s="175">
        <f>IF(AW406&gt;0,COUNTIF(AV$4:AV405,"&gt;0")+1,0)</f>
        <v>0</v>
      </c>
      <c r="AW406" s="164">
        <f t="shared" si="86"/>
        <v>0</v>
      </c>
      <c r="AX406" s="310">
        <f>IF($AW406=0,0,VLOOKUP(VLOOKUP($X406,$B$34:$T$38,19,FALSE),ENTI!$A$9:$B$13,2,FALSE))</f>
        <v>0</v>
      </c>
      <c r="AY406" s="310">
        <f t="shared" si="88"/>
        <v>0</v>
      </c>
      <c r="AZ406" s="316">
        <f t="shared" si="89"/>
        <v>0</v>
      </c>
      <c r="BA406" s="1"/>
      <c r="BB406" s="152">
        <f t="shared" si="90"/>
        <v>0</v>
      </c>
      <c r="BC406" s="152">
        <f ca="1">SUM(Z$4:Z406)+SUM(BB$4:BB406)+COSTI!S$6-COSTI!L$1076</f>
        <v>-31.760000000000218</v>
      </c>
      <c r="BD406" s="1"/>
    </row>
    <row r="407" spans="1:56" ht="16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435">
        <f>IF(AND(W407&gt;=$U$1,W407&lt;=$U$2),IF(X407='ESTRATTO CONTO'!$E$2,1+COUNTIF(U$4:U406,"&gt;0"),0),0)</f>
        <v>0</v>
      </c>
      <c r="V407" s="417">
        <f t="shared" si="87"/>
        <v>404</v>
      </c>
      <c r="W407" s="509"/>
      <c r="X407" s="321"/>
      <c r="Y407" s="321"/>
      <c r="Z407" s="508"/>
      <c r="AA407" s="356"/>
      <c r="AB407" s="306" t="str">
        <f t="shared" si="83"/>
        <v/>
      </c>
      <c r="AC407" s="637">
        <f t="shared" ca="1" si="82"/>
        <v>-2.1316282072803006E-13</v>
      </c>
      <c r="AD407" s="935">
        <f>IF(ISERROR(VLOOKUP(AD$2,X408:X$1003,1,FALSE)),IF(X407=AD$2,SUMIF(X$4:X407,AD$2,Z$4:Z407)+$E$9+SUM(AQ$4:AQ$1003)+SUMIF(COSTI!$X$1379:$X$1430,AD$2,COSTI!$Z$1379:$Z$1430),0),0)</f>
        <v>0</v>
      </c>
      <c r="AE407" s="26"/>
      <c r="AF407" s="856" t="e">
        <f>IF(ISERROR(VLOOKUP(AG$2,X408:X$1003,1,FALSE)),IF(X407=AG$2,SUMIF(X$4:X407,AG$2,Z$4:Z407)+VLOOKUP(AF$2,$B$1057:$F$1068,5,FALSE)+SUM(AR$4:AR$1003)+SUMIF(COSTI!$X$1379:$X$1430,AG$2,COSTI!$Z$1379:$Z$1430),0),0)</f>
        <v>#N/A</v>
      </c>
      <c r="AG407" s="859"/>
      <c r="AH407" s="27" t="str">
        <f t="shared" si="84"/>
        <v/>
      </c>
      <c r="AI407" s="152">
        <f ca="1">IF(W408&gt;0,0,IF(AH407=0,(Z407*-1)+BC407+SUM(BB$4:BB406),BC407+SUM(BB$4:BB406)))</f>
        <v>-2.1316282072803006E-13</v>
      </c>
      <c r="AJ407" s="931">
        <f>IF(AND(AL407&gt;=$U$1,AL407&lt;=$U$2),IF(AM407='ESTRATTO CONTO'!$E$2,1+COUNTIF(AJ$4:AJ406,"&gt;0")+U$1015,0),0)</f>
        <v>0</v>
      </c>
      <c r="AK407" s="203">
        <f>IF(AND(OR((AK406+1)&lt;AL$1015,(AK406+1)=AL$1015),MAX(AK$4:AK406)&lt;AL$1015),AK406+1,0)</f>
        <v>0</v>
      </c>
      <c r="AL407" s="309">
        <f>VLOOKUP($AK407,ENTI!$AF$4:AG$1003,2,FALSE)</f>
        <v>0</v>
      </c>
      <c r="AM407" s="224">
        <f>VLOOKUP($AK407,ENTI!$AF$4:AH$1003,3,FALSE)</f>
        <v>0</v>
      </c>
      <c r="AN407" s="224">
        <f>VLOOKUP($AK407,ENTI!$AF$4:AI$1003,4,FALSE)</f>
        <v>0</v>
      </c>
      <c r="AO407" s="781">
        <f>VLOOKUP($AK407,ENTI!$AF$4:AJ$1003,5,FALSE)</f>
        <v>0</v>
      </c>
      <c r="AP407" s="315">
        <f>VLOOKUP($AK407,ENTI!$AF$4:AK$1003,6,FALSE)</f>
        <v>0</v>
      </c>
      <c r="AQ407" s="208">
        <f t="shared" si="91"/>
        <v>0</v>
      </c>
      <c r="AR407" s="152" t="e">
        <f t="shared" si="92"/>
        <v>#N/A</v>
      </c>
      <c r="AS407" s="1"/>
      <c r="AT407" s="88" t="str">
        <f t="shared" si="85"/>
        <v/>
      </c>
      <c r="AU407" s="1"/>
      <c r="AV407" s="175">
        <f>IF(AW407&gt;0,COUNTIF(AV$4:AV406,"&gt;0")+1,0)</f>
        <v>0</v>
      </c>
      <c r="AW407" s="164">
        <f t="shared" si="86"/>
        <v>0</v>
      </c>
      <c r="AX407" s="310">
        <f>IF($AW407=0,0,VLOOKUP(VLOOKUP($X407,$B$34:$T$38,19,FALSE),ENTI!$A$9:$B$13,2,FALSE))</f>
        <v>0</v>
      </c>
      <c r="AY407" s="310">
        <f t="shared" si="88"/>
        <v>0</v>
      </c>
      <c r="AZ407" s="316">
        <f t="shared" si="89"/>
        <v>0</v>
      </c>
      <c r="BA407" s="1"/>
      <c r="BB407" s="152">
        <f t="shared" si="90"/>
        <v>0</v>
      </c>
      <c r="BC407" s="152">
        <f ca="1">SUM(Z$4:Z407)+SUM(BB$4:BB407)+COSTI!S$6-COSTI!L$1076</f>
        <v>-31.760000000000218</v>
      </c>
      <c r="BD407" s="1"/>
    </row>
    <row r="408" spans="1:56" ht="16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435">
        <f>IF(AND(W408&gt;=$U$1,W408&lt;=$U$2),IF(X408='ESTRATTO CONTO'!$E$2,1+COUNTIF(U$4:U407,"&gt;0"),0),0)</f>
        <v>0</v>
      </c>
      <c r="V408" s="417">
        <f t="shared" si="87"/>
        <v>405</v>
      </c>
      <c r="W408" s="509"/>
      <c r="X408" s="321"/>
      <c r="Y408" s="321"/>
      <c r="Z408" s="508"/>
      <c r="AA408" s="356"/>
      <c r="AB408" s="306" t="str">
        <f t="shared" si="83"/>
        <v/>
      </c>
      <c r="AC408" s="637">
        <f t="shared" ca="1" si="82"/>
        <v>-2.1316282072803006E-13</v>
      </c>
      <c r="AD408" s="935">
        <f>IF(ISERROR(VLOOKUP(AD$2,X409:X$1003,1,FALSE)),IF(X408=AD$2,SUMIF(X$4:X408,AD$2,Z$4:Z408)+$E$9+SUM(AQ$4:AQ$1003)+SUMIF(COSTI!$X$1379:$X$1430,AD$2,COSTI!$Z$1379:$Z$1430),0),0)</f>
        <v>0</v>
      </c>
      <c r="AE408" s="26"/>
      <c r="AF408" s="856" t="e">
        <f>IF(ISERROR(VLOOKUP(AG$2,X409:X$1003,1,FALSE)),IF(X408=AG$2,SUMIF(X$4:X408,AG$2,Z$4:Z408)+VLOOKUP(AF$2,$B$1057:$F$1068,5,FALSE)+SUM(AR$4:AR$1003)+SUMIF(COSTI!$X$1379:$X$1430,AG$2,COSTI!$Z$1379:$Z$1430),0),0)</f>
        <v>#N/A</v>
      </c>
      <c r="AG408" s="859"/>
      <c r="AH408" s="27" t="str">
        <f t="shared" si="84"/>
        <v/>
      </c>
      <c r="AI408" s="152">
        <f ca="1">IF(W409&gt;0,0,IF(AH408=0,(Z408*-1)+BC408+SUM(BB$4:BB407),BC408+SUM(BB$4:BB407)))</f>
        <v>-2.1316282072803006E-13</v>
      </c>
      <c r="AJ408" s="931">
        <f>IF(AND(AL408&gt;=$U$1,AL408&lt;=$U$2),IF(AM408='ESTRATTO CONTO'!$E$2,1+COUNTIF(AJ$4:AJ407,"&gt;0")+U$1015,0),0)</f>
        <v>0</v>
      </c>
      <c r="AK408" s="203">
        <f>IF(AND(OR((AK407+1)&lt;AL$1015,(AK407+1)=AL$1015),MAX(AK$4:AK407)&lt;AL$1015),AK407+1,0)</f>
        <v>0</v>
      </c>
      <c r="AL408" s="309">
        <f>VLOOKUP($AK408,ENTI!$AF$4:AG$1003,2,FALSE)</f>
        <v>0</v>
      </c>
      <c r="AM408" s="224">
        <f>VLOOKUP($AK408,ENTI!$AF$4:AH$1003,3,FALSE)</f>
        <v>0</v>
      </c>
      <c r="AN408" s="224">
        <f>VLOOKUP($AK408,ENTI!$AF$4:AI$1003,4,FALSE)</f>
        <v>0</v>
      </c>
      <c r="AO408" s="781">
        <f>VLOOKUP($AK408,ENTI!$AF$4:AJ$1003,5,FALSE)</f>
        <v>0</v>
      </c>
      <c r="AP408" s="315">
        <f>VLOOKUP($AK408,ENTI!$AF$4:AK$1003,6,FALSE)</f>
        <v>0</v>
      </c>
      <c r="AQ408" s="208">
        <f t="shared" si="91"/>
        <v>0</v>
      </c>
      <c r="AR408" s="152" t="e">
        <f t="shared" si="92"/>
        <v>#N/A</v>
      </c>
      <c r="AS408" s="1"/>
      <c r="AT408" s="88" t="str">
        <f t="shared" si="85"/>
        <v/>
      </c>
      <c r="AU408" s="1"/>
      <c r="AV408" s="175">
        <f>IF(AW408&gt;0,COUNTIF(AV$4:AV407,"&gt;0")+1,0)</f>
        <v>0</v>
      </c>
      <c r="AW408" s="164">
        <f t="shared" si="86"/>
        <v>0</v>
      </c>
      <c r="AX408" s="310">
        <f>IF($AW408=0,0,VLOOKUP(VLOOKUP($X408,$B$34:$T$38,19,FALSE),ENTI!$A$9:$B$13,2,FALSE))</f>
        <v>0</v>
      </c>
      <c r="AY408" s="310">
        <f t="shared" si="88"/>
        <v>0</v>
      </c>
      <c r="AZ408" s="316">
        <f t="shared" si="89"/>
        <v>0</v>
      </c>
      <c r="BA408" s="1"/>
      <c r="BB408" s="152">
        <f t="shared" si="90"/>
        <v>0</v>
      </c>
      <c r="BC408" s="152">
        <f ca="1">SUM(Z$4:Z408)+SUM(BB$4:BB408)+COSTI!S$6-COSTI!L$1076</f>
        <v>-31.760000000000218</v>
      </c>
      <c r="BD408" s="1"/>
    </row>
    <row r="409" spans="1:56" ht="16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435">
        <f>IF(AND(W409&gt;=$U$1,W409&lt;=$U$2),IF(X409='ESTRATTO CONTO'!$E$2,1+COUNTIF(U$4:U408,"&gt;0"),0),0)</f>
        <v>0</v>
      </c>
      <c r="V409" s="417">
        <f t="shared" si="87"/>
        <v>406</v>
      </c>
      <c r="W409" s="509"/>
      <c r="X409" s="321"/>
      <c r="Y409" s="321"/>
      <c r="Z409" s="508"/>
      <c r="AA409" s="356"/>
      <c r="AB409" s="306" t="str">
        <f t="shared" si="83"/>
        <v/>
      </c>
      <c r="AC409" s="637">
        <f t="shared" ca="1" si="82"/>
        <v>-2.1316282072803006E-13</v>
      </c>
      <c r="AD409" s="935">
        <f>IF(ISERROR(VLOOKUP(AD$2,X410:X$1003,1,FALSE)),IF(X409=AD$2,SUMIF(X$4:X409,AD$2,Z$4:Z409)+$E$9+SUM(AQ$4:AQ$1003)+SUMIF(COSTI!$X$1379:$X$1430,AD$2,COSTI!$Z$1379:$Z$1430),0),0)</f>
        <v>0</v>
      </c>
      <c r="AE409" s="26"/>
      <c r="AF409" s="856" t="e">
        <f>IF(ISERROR(VLOOKUP(AG$2,X410:X$1003,1,FALSE)),IF(X409=AG$2,SUMIF(X$4:X409,AG$2,Z$4:Z409)+VLOOKUP(AF$2,$B$1057:$F$1068,5,FALSE)+SUM(AR$4:AR$1003)+SUMIF(COSTI!$X$1379:$X$1430,AG$2,COSTI!$Z$1379:$Z$1430),0),0)</f>
        <v>#N/A</v>
      </c>
      <c r="AG409" s="859"/>
      <c r="AH409" s="27" t="str">
        <f t="shared" si="84"/>
        <v/>
      </c>
      <c r="AI409" s="152">
        <f ca="1">IF(W410&gt;0,0,IF(AH409=0,(Z409*-1)+BC409+SUM(BB$4:BB408),BC409+SUM(BB$4:BB408)))</f>
        <v>-2.1316282072803006E-13</v>
      </c>
      <c r="AJ409" s="931">
        <f>IF(AND(AL409&gt;=$U$1,AL409&lt;=$U$2),IF(AM409='ESTRATTO CONTO'!$E$2,1+COUNTIF(AJ$4:AJ408,"&gt;0")+U$1015,0),0)</f>
        <v>0</v>
      </c>
      <c r="AK409" s="203">
        <f>IF(AND(OR((AK408+1)&lt;AL$1015,(AK408+1)=AL$1015),MAX(AK$4:AK408)&lt;AL$1015),AK408+1,0)</f>
        <v>0</v>
      </c>
      <c r="AL409" s="309">
        <f>VLOOKUP($AK409,ENTI!$AF$4:AG$1003,2,FALSE)</f>
        <v>0</v>
      </c>
      <c r="AM409" s="224">
        <f>VLOOKUP($AK409,ENTI!$AF$4:AH$1003,3,FALSE)</f>
        <v>0</v>
      </c>
      <c r="AN409" s="224">
        <f>VLOOKUP($AK409,ENTI!$AF$4:AI$1003,4,FALSE)</f>
        <v>0</v>
      </c>
      <c r="AO409" s="781">
        <f>VLOOKUP($AK409,ENTI!$AF$4:AJ$1003,5,FALSE)</f>
        <v>0</v>
      </c>
      <c r="AP409" s="315">
        <f>VLOOKUP($AK409,ENTI!$AF$4:AK$1003,6,FALSE)</f>
        <v>0</v>
      </c>
      <c r="AQ409" s="208">
        <f t="shared" si="91"/>
        <v>0</v>
      </c>
      <c r="AR409" s="152" t="e">
        <f t="shared" si="92"/>
        <v>#N/A</v>
      </c>
      <c r="AS409" s="1"/>
      <c r="AT409" s="88" t="str">
        <f t="shared" si="85"/>
        <v/>
      </c>
      <c r="AU409" s="1"/>
      <c r="AV409" s="175">
        <f>IF(AW409&gt;0,COUNTIF(AV$4:AV408,"&gt;0")+1,0)</f>
        <v>0</v>
      </c>
      <c r="AW409" s="164">
        <f t="shared" si="86"/>
        <v>0</v>
      </c>
      <c r="AX409" s="310">
        <f>IF($AW409=0,0,VLOOKUP(VLOOKUP($X409,$B$34:$T$38,19,FALSE),ENTI!$A$9:$B$13,2,FALSE))</f>
        <v>0</v>
      </c>
      <c r="AY409" s="310">
        <f t="shared" si="88"/>
        <v>0</v>
      </c>
      <c r="AZ409" s="316">
        <f t="shared" si="89"/>
        <v>0</v>
      </c>
      <c r="BA409" s="1"/>
      <c r="BB409" s="152">
        <f t="shared" si="90"/>
        <v>0</v>
      </c>
      <c r="BC409" s="152">
        <f ca="1">SUM(Z$4:Z409)+SUM(BB$4:BB409)+COSTI!S$6-COSTI!L$1076</f>
        <v>-31.760000000000218</v>
      </c>
      <c r="BD409" s="1"/>
    </row>
    <row r="410" spans="1:56" ht="16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435">
        <f>IF(AND(W410&gt;=$U$1,W410&lt;=$U$2),IF(X410='ESTRATTO CONTO'!$E$2,1+COUNTIF(U$4:U409,"&gt;0"),0),0)</f>
        <v>0</v>
      </c>
      <c r="V410" s="417">
        <f t="shared" si="87"/>
        <v>407</v>
      </c>
      <c r="W410" s="509"/>
      <c r="X410" s="321"/>
      <c r="Y410" s="321"/>
      <c r="Z410" s="508"/>
      <c r="AA410" s="356"/>
      <c r="AB410" s="306" t="str">
        <f t="shared" si="83"/>
        <v/>
      </c>
      <c r="AC410" s="637">
        <f t="shared" ca="1" si="82"/>
        <v>-2.1316282072803006E-13</v>
      </c>
      <c r="AD410" s="935">
        <f>IF(ISERROR(VLOOKUP(AD$2,X411:X$1003,1,FALSE)),IF(X410=AD$2,SUMIF(X$4:X410,AD$2,Z$4:Z410)+$E$9+SUM(AQ$4:AQ$1003)+SUMIF(COSTI!$X$1379:$X$1430,AD$2,COSTI!$Z$1379:$Z$1430),0),0)</f>
        <v>0</v>
      </c>
      <c r="AE410" s="26"/>
      <c r="AF410" s="856" t="e">
        <f>IF(ISERROR(VLOOKUP(AG$2,X411:X$1003,1,FALSE)),IF(X410=AG$2,SUMIF(X$4:X410,AG$2,Z$4:Z410)+VLOOKUP(AF$2,$B$1057:$F$1068,5,FALSE)+SUM(AR$4:AR$1003)+SUMIF(COSTI!$X$1379:$X$1430,AG$2,COSTI!$Z$1379:$Z$1430),0),0)</f>
        <v>#N/A</v>
      </c>
      <c r="AG410" s="859"/>
      <c r="AH410" s="27" t="str">
        <f t="shared" si="84"/>
        <v/>
      </c>
      <c r="AI410" s="152">
        <f ca="1">IF(W411&gt;0,0,IF(AH410=0,(Z410*-1)+BC410+SUM(BB$4:BB409),BC410+SUM(BB$4:BB409)))</f>
        <v>-2.1316282072803006E-13</v>
      </c>
      <c r="AJ410" s="931">
        <f>IF(AND(AL410&gt;=$U$1,AL410&lt;=$U$2),IF(AM410='ESTRATTO CONTO'!$E$2,1+COUNTIF(AJ$4:AJ409,"&gt;0")+U$1015,0),0)</f>
        <v>0</v>
      </c>
      <c r="AK410" s="203">
        <f>IF(AND(OR((AK409+1)&lt;AL$1015,(AK409+1)=AL$1015),MAX(AK$4:AK409)&lt;AL$1015),AK409+1,0)</f>
        <v>0</v>
      </c>
      <c r="AL410" s="309">
        <f>VLOOKUP($AK410,ENTI!$AF$4:AG$1003,2,FALSE)</f>
        <v>0</v>
      </c>
      <c r="AM410" s="224">
        <f>VLOOKUP($AK410,ENTI!$AF$4:AH$1003,3,FALSE)</f>
        <v>0</v>
      </c>
      <c r="AN410" s="224">
        <f>VLOOKUP($AK410,ENTI!$AF$4:AI$1003,4,FALSE)</f>
        <v>0</v>
      </c>
      <c r="AO410" s="781">
        <f>VLOOKUP($AK410,ENTI!$AF$4:AJ$1003,5,FALSE)</f>
        <v>0</v>
      </c>
      <c r="AP410" s="315">
        <f>VLOOKUP($AK410,ENTI!$AF$4:AK$1003,6,FALSE)</f>
        <v>0</v>
      </c>
      <c r="AQ410" s="208">
        <f t="shared" si="91"/>
        <v>0</v>
      </c>
      <c r="AR410" s="152" t="e">
        <f t="shared" si="92"/>
        <v>#N/A</v>
      </c>
      <c r="AS410" s="1"/>
      <c r="AT410" s="88" t="str">
        <f t="shared" si="85"/>
        <v/>
      </c>
      <c r="AU410" s="1"/>
      <c r="AV410" s="175">
        <f>IF(AW410&gt;0,COUNTIF(AV$4:AV409,"&gt;0")+1,0)</f>
        <v>0</v>
      </c>
      <c r="AW410" s="164">
        <f t="shared" si="86"/>
        <v>0</v>
      </c>
      <c r="AX410" s="310">
        <f>IF($AW410=0,0,VLOOKUP(VLOOKUP($X410,$B$34:$T$38,19,FALSE),ENTI!$A$9:$B$13,2,FALSE))</f>
        <v>0</v>
      </c>
      <c r="AY410" s="310">
        <f t="shared" si="88"/>
        <v>0</v>
      </c>
      <c r="AZ410" s="316">
        <f t="shared" si="89"/>
        <v>0</v>
      </c>
      <c r="BA410" s="1"/>
      <c r="BB410" s="152">
        <f t="shared" si="90"/>
        <v>0</v>
      </c>
      <c r="BC410" s="152">
        <f ca="1">SUM(Z$4:Z410)+SUM(BB$4:BB410)+COSTI!S$6-COSTI!L$1076</f>
        <v>-31.760000000000218</v>
      </c>
      <c r="BD410" s="1"/>
    </row>
    <row r="411" spans="1:56" ht="16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435">
        <f>IF(AND(W411&gt;=$U$1,W411&lt;=$U$2),IF(X411='ESTRATTO CONTO'!$E$2,1+COUNTIF(U$4:U410,"&gt;0"),0),0)</f>
        <v>0</v>
      </c>
      <c r="V411" s="417">
        <f t="shared" si="87"/>
        <v>408</v>
      </c>
      <c r="W411" s="509"/>
      <c r="X411" s="321"/>
      <c r="Y411" s="321"/>
      <c r="Z411" s="508"/>
      <c r="AA411" s="356"/>
      <c r="AB411" s="306" t="str">
        <f t="shared" si="83"/>
        <v/>
      </c>
      <c r="AC411" s="637">
        <f t="shared" ca="1" si="82"/>
        <v>-2.1316282072803006E-13</v>
      </c>
      <c r="AD411" s="935">
        <f>IF(ISERROR(VLOOKUP(AD$2,X412:X$1003,1,FALSE)),IF(X411=AD$2,SUMIF(X$4:X411,AD$2,Z$4:Z411)+$E$9+SUM(AQ$4:AQ$1003)+SUMIF(COSTI!$X$1379:$X$1430,AD$2,COSTI!$Z$1379:$Z$1430),0),0)</f>
        <v>0</v>
      </c>
      <c r="AE411" s="26"/>
      <c r="AF411" s="856" t="e">
        <f>IF(ISERROR(VLOOKUP(AG$2,X412:X$1003,1,FALSE)),IF(X411=AG$2,SUMIF(X$4:X411,AG$2,Z$4:Z411)+VLOOKUP(AF$2,$B$1057:$F$1068,5,FALSE)+SUM(AR$4:AR$1003)+SUMIF(COSTI!$X$1379:$X$1430,AG$2,COSTI!$Z$1379:$Z$1430),0),0)</f>
        <v>#N/A</v>
      </c>
      <c r="AG411" s="859"/>
      <c r="AH411" s="27" t="str">
        <f t="shared" si="84"/>
        <v/>
      </c>
      <c r="AI411" s="152">
        <f ca="1">IF(W412&gt;0,0,IF(AH411=0,(Z411*-1)+BC411+SUM(BB$4:BB410),BC411+SUM(BB$4:BB410)))</f>
        <v>-2.1316282072803006E-13</v>
      </c>
      <c r="AJ411" s="931">
        <f>IF(AND(AL411&gt;=$U$1,AL411&lt;=$U$2),IF(AM411='ESTRATTO CONTO'!$E$2,1+COUNTIF(AJ$4:AJ410,"&gt;0")+U$1015,0),0)</f>
        <v>0</v>
      </c>
      <c r="AK411" s="203">
        <f>IF(AND(OR((AK410+1)&lt;AL$1015,(AK410+1)=AL$1015),MAX(AK$4:AK410)&lt;AL$1015),AK410+1,0)</f>
        <v>0</v>
      </c>
      <c r="AL411" s="309">
        <f>VLOOKUP($AK411,ENTI!$AF$4:AG$1003,2,FALSE)</f>
        <v>0</v>
      </c>
      <c r="AM411" s="224">
        <f>VLOOKUP($AK411,ENTI!$AF$4:AH$1003,3,FALSE)</f>
        <v>0</v>
      </c>
      <c r="AN411" s="224">
        <f>VLOOKUP($AK411,ENTI!$AF$4:AI$1003,4,FALSE)</f>
        <v>0</v>
      </c>
      <c r="AO411" s="781">
        <f>VLOOKUP($AK411,ENTI!$AF$4:AJ$1003,5,FALSE)</f>
        <v>0</v>
      </c>
      <c r="AP411" s="315">
        <f>VLOOKUP($AK411,ENTI!$AF$4:AK$1003,6,FALSE)</f>
        <v>0</v>
      </c>
      <c r="AQ411" s="208">
        <f t="shared" si="91"/>
        <v>0</v>
      </c>
      <c r="AR411" s="152" t="e">
        <f t="shared" si="92"/>
        <v>#N/A</v>
      </c>
      <c r="AS411" s="1"/>
      <c r="AT411" s="88" t="str">
        <f t="shared" si="85"/>
        <v/>
      </c>
      <c r="AU411" s="1"/>
      <c r="AV411" s="175">
        <f>IF(AW411&gt;0,COUNTIF(AV$4:AV410,"&gt;0")+1,0)</f>
        <v>0</v>
      </c>
      <c r="AW411" s="164">
        <f t="shared" si="86"/>
        <v>0</v>
      </c>
      <c r="AX411" s="310">
        <f>IF($AW411=0,0,VLOOKUP(VLOOKUP($X411,$B$34:$T$38,19,FALSE),ENTI!$A$9:$B$13,2,FALSE))</f>
        <v>0</v>
      </c>
      <c r="AY411" s="310">
        <f t="shared" si="88"/>
        <v>0</v>
      </c>
      <c r="AZ411" s="316">
        <f t="shared" si="89"/>
        <v>0</v>
      </c>
      <c r="BA411" s="1"/>
      <c r="BB411" s="152">
        <f t="shared" si="90"/>
        <v>0</v>
      </c>
      <c r="BC411" s="152">
        <f ca="1">SUM(Z$4:Z411)+SUM(BB$4:BB411)+COSTI!S$6-COSTI!L$1076</f>
        <v>-31.760000000000218</v>
      </c>
      <c r="BD411" s="1"/>
    </row>
    <row r="412" spans="1:56" ht="16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435">
        <f>IF(AND(W412&gt;=$U$1,W412&lt;=$U$2),IF(X412='ESTRATTO CONTO'!$E$2,1+COUNTIF(U$4:U411,"&gt;0"),0),0)</f>
        <v>0</v>
      </c>
      <c r="V412" s="417">
        <f t="shared" si="87"/>
        <v>409</v>
      </c>
      <c r="W412" s="509"/>
      <c r="X412" s="321"/>
      <c r="Y412" s="321"/>
      <c r="Z412" s="508"/>
      <c r="AA412" s="356"/>
      <c r="AB412" s="306" t="str">
        <f t="shared" si="83"/>
        <v/>
      </c>
      <c r="AC412" s="637">
        <f t="shared" ca="1" si="82"/>
        <v>-2.1316282072803006E-13</v>
      </c>
      <c r="AD412" s="935">
        <f>IF(ISERROR(VLOOKUP(AD$2,X413:X$1003,1,FALSE)),IF(X412=AD$2,SUMIF(X$4:X412,AD$2,Z$4:Z412)+$E$9+SUM(AQ$4:AQ$1003)+SUMIF(COSTI!$X$1379:$X$1430,AD$2,COSTI!$Z$1379:$Z$1430),0),0)</f>
        <v>0</v>
      </c>
      <c r="AE412" s="26"/>
      <c r="AF412" s="856" t="e">
        <f>IF(ISERROR(VLOOKUP(AG$2,X413:X$1003,1,FALSE)),IF(X412=AG$2,SUMIF(X$4:X412,AG$2,Z$4:Z412)+VLOOKUP(AF$2,$B$1057:$F$1068,5,FALSE)+SUM(AR$4:AR$1003)+SUMIF(COSTI!$X$1379:$X$1430,AG$2,COSTI!$Z$1379:$Z$1430),0),0)</f>
        <v>#N/A</v>
      </c>
      <c r="AG412" s="859"/>
      <c r="AH412" s="27" t="str">
        <f t="shared" si="84"/>
        <v/>
      </c>
      <c r="AI412" s="152">
        <f ca="1">IF(W413&gt;0,0,IF(AH412=0,(Z412*-1)+BC412+SUM(BB$4:BB411),BC412+SUM(BB$4:BB411)))</f>
        <v>-2.1316282072803006E-13</v>
      </c>
      <c r="AJ412" s="931">
        <f>IF(AND(AL412&gt;=$U$1,AL412&lt;=$U$2),IF(AM412='ESTRATTO CONTO'!$E$2,1+COUNTIF(AJ$4:AJ411,"&gt;0")+U$1015,0),0)</f>
        <v>0</v>
      </c>
      <c r="AK412" s="203">
        <f>IF(AND(OR((AK411+1)&lt;AL$1015,(AK411+1)=AL$1015),MAX(AK$4:AK411)&lt;AL$1015),AK411+1,0)</f>
        <v>0</v>
      </c>
      <c r="AL412" s="309">
        <f>VLOOKUP($AK412,ENTI!$AF$4:AG$1003,2,FALSE)</f>
        <v>0</v>
      </c>
      <c r="AM412" s="224">
        <f>VLOOKUP($AK412,ENTI!$AF$4:AH$1003,3,FALSE)</f>
        <v>0</v>
      </c>
      <c r="AN412" s="224">
        <f>VLOOKUP($AK412,ENTI!$AF$4:AI$1003,4,FALSE)</f>
        <v>0</v>
      </c>
      <c r="AO412" s="781">
        <f>VLOOKUP($AK412,ENTI!$AF$4:AJ$1003,5,FALSE)</f>
        <v>0</v>
      </c>
      <c r="AP412" s="315">
        <f>VLOOKUP($AK412,ENTI!$AF$4:AK$1003,6,FALSE)</f>
        <v>0</v>
      </c>
      <c r="AQ412" s="208">
        <f t="shared" si="91"/>
        <v>0</v>
      </c>
      <c r="AR412" s="152" t="e">
        <f t="shared" si="92"/>
        <v>#N/A</v>
      </c>
      <c r="AS412" s="1"/>
      <c r="AT412" s="88" t="str">
        <f t="shared" si="85"/>
        <v/>
      </c>
      <c r="AU412" s="1"/>
      <c r="AV412" s="175">
        <f>IF(AW412&gt;0,COUNTIF(AV$4:AV411,"&gt;0")+1,0)</f>
        <v>0</v>
      </c>
      <c r="AW412" s="164">
        <f t="shared" si="86"/>
        <v>0</v>
      </c>
      <c r="AX412" s="310">
        <f>IF($AW412=0,0,VLOOKUP(VLOOKUP($X412,$B$34:$T$38,19,FALSE),ENTI!$A$9:$B$13,2,FALSE))</f>
        <v>0</v>
      </c>
      <c r="AY412" s="310">
        <f t="shared" si="88"/>
        <v>0</v>
      </c>
      <c r="AZ412" s="316">
        <f t="shared" si="89"/>
        <v>0</v>
      </c>
      <c r="BA412" s="1"/>
      <c r="BB412" s="152">
        <f t="shared" si="90"/>
        <v>0</v>
      </c>
      <c r="BC412" s="152">
        <f ca="1">SUM(Z$4:Z412)+SUM(BB$4:BB412)+COSTI!S$6-COSTI!L$1076</f>
        <v>-31.760000000000218</v>
      </c>
      <c r="BD412" s="1"/>
    </row>
    <row r="413" spans="1:56" ht="16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435">
        <f>IF(AND(W413&gt;=$U$1,W413&lt;=$U$2),IF(X413='ESTRATTO CONTO'!$E$2,1+COUNTIF(U$4:U412,"&gt;0"),0),0)</f>
        <v>0</v>
      </c>
      <c r="V413" s="417">
        <f t="shared" si="87"/>
        <v>410</v>
      </c>
      <c r="W413" s="509"/>
      <c r="X413" s="321"/>
      <c r="Y413" s="321"/>
      <c r="Z413" s="508"/>
      <c r="AA413" s="356"/>
      <c r="AB413" s="306" t="str">
        <f t="shared" si="83"/>
        <v/>
      </c>
      <c r="AC413" s="637">
        <f t="shared" ca="1" si="82"/>
        <v>-2.1316282072803006E-13</v>
      </c>
      <c r="AD413" s="935">
        <f>IF(ISERROR(VLOOKUP(AD$2,X414:X$1003,1,FALSE)),IF(X413=AD$2,SUMIF(X$4:X413,AD$2,Z$4:Z413)+$E$9+SUM(AQ$4:AQ$1003)+SUMIF(COSTI!$X$1379:$X$1430,AD$2,COSTI!$Z$1379:$Z$1430),0),0)</f>
        <v>0</v>
      </c>
      <c r="AE413" s="26"/>
      <c r="AF413" s="856" t="e">
        <f>IF(ISERROR(VLOOKUP(AG$2,X414:X$1003,1,FALSE)),IF(X413=AG$2,SUMIF(X$4:X413,AG$2,Z$4:Z413)+VLOOKUP(AF$2,$B$1057:$F$1068,5,FALSE)+SUM(AR$4:AR$1003)+SUMIF(COSTI!$X$1379:$X$1430,AG$2,COSTI!$Z$1379:$Z$1430),0),0)</f>
        <v>#N/A</v>
      </c>
      <c r="AG413" s="859"/>
      <c r="AH413" s="27" t="str">
        <f t="shared" si="84"/>
        <v/>
      </c>
      <c r="AI413" s="152">
        <f ca="1">IF(W414&gt;0,0,IF(AH413=0,(Z413*-1)+BC413+SUM(BB$4:BB412),BC413+SUM(BB$4:BB412)))</f>
        <v>-2.1316282072803006E-13</v>
      </c>
      <c r="AJ413" s="931">
        <f>IF(AND(AL413&gt;=$U$1,AL413&lt;=$U$2),IF(AM413='ESTRATTO CONTO'!$E$2,1+COUNTIF(AJ$4:AJ412,"&gt;0")+U$1015,0),0)</f>
        <v>0</v>
      </c>
      <c r="AK413" s="203">
        <f>IF(AND(OR((AK412+1)&lt;AL$1015,(AK412+1)=AL$1015),MAX(AK$4:AK412)&lt;AL$1015),AK412+1,0)</f>
        <v>0</v>
      </c>
      <c r="AL413" s="309">
        <f>VLOOKUP($AK413,ENTI!$AF$4:AG$1003,2,FALSE)</f>
        <v>0</v>
      </c>
      <c r="AM413" s="224">
        <f>VLOOKUP($AK413,ENTI!$AF$4:AH$1003,3,FALSE)</f>
        <v>0</v>
      </c>
      <c r="AN413" s="224">
        <f>VLOOKUP($AK413,ENTI!$AF$4:AI$1003,4,FALSE)</f>
        <v>0</v>
      </c>
      <c r="AO413" s="781">
        <f>VLOOKUP($AK413,ENTI!$AF$4:AJ$1003,5,FALSE)</f>
        <v>0</v>
      </c>
      <c r="AP413" s="315">
        <f>VLOOKUP($AK413,ENTI!$AF$4:AK$1003,6,FALSE)</f>
        <v>0</v>
      </c>
      <c r="AQ413" s="208">
        <f t="shared" si="91"/>
        <v>0</v>
      </c>
      <c r="AR413" s="152" t="e">
        <f t="shared" si="92"/>
        <v>#N/A</v>
      </c>
      <c r="AS413" s="1"/>
      <c r="AT413" s="88" t="str">
        <f t="shared" si="85"/>
        <v/>
      </c>
      <c r="AU413" s="1"/>
      <c r="AV413" s="175">
        <f>IF(AW413&gt;0,COUNTIF(AV$4:AV412,"&gt;0")+1,0)</f>
        <v>0</v>
      </c>
      <c r="AW413" s="164">
        <f t="shared" si="86"/>
        <v>0</v>
      </c>
      <c r="AX413" s="310">
        <f>IF($AW413=0,0,VLOOKUP(VLOOKUP($X413,$B$34:$T$38,19,FALSE),ENTI!$A$9:$B$13,2,FALSE))</f>
        <v>0</v>
      </c>
      <c r="AY413" s="310">
        <f t="shared" si="88"/>
        <v>0</v>
      </c>
      <c r="AZ413" s="316">
        <f t="shared" si="89"/>
        <v>0</v>
      </c>
      <c r="BA413" s="1"/>
      <c r="BB413" s="152">
        <f t="shared" si="90"/>
        <v>0</v>
      </c>
      <c r="BC413" s="152">
        <f ca="1">SUM(Z$4:Z413)+SUM(BB$4:BB413)+COSTI!S$6-COSTI!L$1076</f>
        <v>-31.760000000000218</v>
      </c>
      <c r="BD413" s="1"/>
    </row>
    <row r="414" spans="1:56" ht="16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435">
        <f>IF(AND(W414&gt;=$U$1,W414&lt;=$U$2),IF(X414='ESTRATTO CONTO'!$E$2,1+COUNTIF(U$4:U413,"&gt;0"),0),0)</f>
        <v>0</v>
      </c>
      <c r="V414" s="417">
        <f t="shared" si="87"/>
        <v>411</v>
      </c>
      <c r="W414" s="509"/>
      <c r="X414" s="321"/>
      <c r="Y414" s="321"/>
      <c r="Z414" s="508"/>
      <c r="AA414" s="356"/>
      <c r="AB414" s="306" t="str">
        <f t="shared" si="83"/>
        <v/>
      </c>
      <c r="AC414" s="637">
        <f t="shared" ca="1" si="82"/>
        <v>-2.1316282072803006E-13</v>
      </c>
      <c r="AD414" s="935">
        <f>IF(ISERROR(VLOOKUP(AD$2,X415:X$1003,1,FALSE)),IF(X414=AD$2,SUMIF(X$4:X414,AD$2,Z$4:Z414)+$E$9+SUM(AQ$4:AQ$1003)+SUMIF(COSTI!$X$1379:$X$1430,AD$2,COSTI!$Z$1379:$Z$1430),0),0)</f>
        <v>0</v>
      </c>
      <c r="AE414" s="26"/>
      <c r="AF414" s="856" t="e">
        <f>IF(ISERROR(VLOOKUP(AG$2,X415:X$1003,1,FALSE)),IF(X414=AG$2,SUMIF(X$4:X414,AG$2,Z$4:Z414)+VLOOKUP(AF$2,$B$1057:$F$1068,5,FALSE)+SUM(AR$4:AR$1003)+SUMIF(COSTI!$X$1379:$X$1430,AG$2,COSTI!$Z$1379:$Z$1430),0),0)</f>
        <v>#N/A</v>
      </c>
      <c r="AG414" s="859"/>
      <c r="AH414" s="27" t="str">
        <f t="shared" si="84"/>
        <v/>
      </c>
      <c r="AI414" s="152">
        <f ca="1">IF(W415&gt;0,0,IF(AH414=0,(Z414*-1)+BC414+SUM(BB$4:BB413),BC414+SUM(BB$4:BB413)))</f>
        <v>-2.1316282072803006E-13</v>
      </c>
      <c r="AJ414" s="931">
        <f>IF(AND(AL414&gt;=$U$1,AL414&lt;=$U$2),IF(AM414='ESTRATTO CONTO'!$E$2,1+COUNTIF(AJ$4:AJ413,"&gt;0")+U$1015,0),0)</f>
        <v>0</v>
      </c>
      <c r="AK414" s="203">
        <f>IF(AND(OR((AK413+1)&lt;AL$1015,(AK413+1)=AL$1015),MAX(AK$4:AK413)&lt;AL$1015),AK413+1,0)</f>
        <v>0</v>
      </c>
      <c r="AL414" s="309">
        <f>VLOOKUP($AK414,ENTI!$AF$4:AG$1003,2,FALSE)</f>
        <v>0</v>
      </c>
      <c r="AM414" s="224">
        <f>VLOOKUP($AK414,ENTI!$AF$4:AH$1003,3,FALSE)</f>
        <v>0</v>
      </c>
      <c r="AN414" s="224">
        <f>VLOOKUP($AK414,ENTI!$AF$4:AI$1003,4,FALSE)</f>
        <v>0</v>
      </c>
      <c r="AO414" s="781">
        <f>VLOOKUP($AK414,ENTI!$AF$4:AJ$1003,5,FALSE)</f>
        <v>0</v>
      </c>
      <c r="AP414" s="315">
        <f>VLOOKUP($AK414,ENTI!$AF$4:AK$1003,6,FALSE)</f>
        <v>0</v>
      </c>
      <c r="AQ414" s="208">
        <f t="shared" si="91"/>
        <v>0</v>
      </c>
      <c r="AR414" s="152" t="e">
        <f t="shared" si="92"/>
        <v>#N/A</v>
      </c>
      <c r="AS414" s="1"/>
      <c r="AT414" s="88" t="str">
        <f t="shared" si="85"/>
        <v/>
      </c>
      <c r="AU414" s="1"/>
      <c r="AV414" s="175">
        <f>IF(AW414&gt;0,COUNTIF(AV$4:AV413,"&gt;0")+1,0)</f>
        <v>0</v>
      </c>
      <c r="AW414" s="164">
        <f t="shared" si="86"/>
        <v>0</v>
      </c>
      <c r="AX414" s="310">
        <f>IF($AW414=0,0,VLOOKUP(VLOOKUP($X414,$B$34:$T$38,19,FALSE),ENTI!$A$9:$B$13,2,FALSE))</f>
        <v>0</v>
      </c>
      <c r="AY414" s="310">
        <f t="shared" si="88"/>
        <v>0</v>
      </c>
      <c r="AZ414" s="316">
        <f t="shared" si="89"/>
        <v>0</v>
      </c>
      <c r="BA414" s="1"/>
      <c r="BB414" s="152">
        <f t="shared" si="90"/>
        <v>0</v>
      </c>
      <c r="BC414" s="152">
        <f ca="1">SUM(Z$4:Z414)+SUM(BB$4:BB414)+COSTI!S$6-COSTI!L$1076</f>
        <v>-31.760000000000218</v>
      </c>
      <c r="BD414" s="1"/>
    </row>
    <row r="415" spans="1:56" ht="16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435">
        <f>IF(AND(W415&gt;=$U$1,W415&lt;=$U$2),IF(X415='ESTRATTO CONTO'!$E$2,1+COUNTIF(U$4:U414,"&gt;0"),0),0)</f>
        <v>0</v>
      </c>
      <c r="V415" s="417">
        <f t="shared" si="87"/>
        <v>412</v>
      </c>
      <c r="W415" s="509"/>
      <c r="X415" s="321"/>
      <c r="Y415" s="321"/>
      <c r="Z415" s="508"/>
      <c r="AA415" s="356"/>
      <c r="AB415" s="306" t="str">
        <f t="shared" si="83"/>
        <v/>
      </c>
      <c r="AC415" s="637">
        <f t="shared" ca="1" si="82"/>
        <v>-2.1316282072803006E-13</v>
      </c>
      <c r="AD415" s="935">
        <f>IF(ISERROR(VLOOKUP(AD$2,X416:X$1003,1,FALSE)),IF(X415=AD$2,SUMIF(X$4:X415,AD$2,Z$4:Z415)+$E$9+SUM(AQ$4:AQ$1003)+SUMIF(COSTI!$X$1379:$X$1430,AD$2,COSTI!$Z$1379:$Z$1430),0),0)</f>
        <v>0</v>
      </c>
      <c r="AE415" s="26"/>
      <c r="AF415" s="856" t="e">
        <f>IF(ISERROR(VLOOKUP(AG$2,X416:X$1003,1,FALSE)),IF(X415=AG$2,SUMIF(X$4:X415,AG$2,Z$4:Z415)+VLOOKUP(AF$2,$B$1057:$F$1068,5,FALSE)+SUM(AR$4:AR$1003)+SUMIF(COSTI!$X$1379:$X$1430,AG$2,COSTI!$Z$1379:$Z$1430),0),0)</f>
        <v>#N/A</v>
      </c>
      <c r="AG415" s="859"/>
      <c r="AH415" s="27" t="str">
        <f t="shared" si="84"/>
        <v/>
      </c>
      <c r="AI415" s="152">
        <f ca="1">IF(W416&gt;0,0,IF(AH415=0,(Z415*-1)+BC415+SUM(BB$4:BB414),BC415+SUM(BB$4:BB414)))</f>
        <v>-2.1316282072803006E-13</v>
      </c>
      <c r="AJ415" s="931">
        <f>IF(AND(AL415&gt;=$U$1,AL415&lt;=$U$2),IF(AM415='ESTRATTO CONTO'!$E$2,1+COUNTIF(AJ$4:AJ414,"&gt;0")+U$1015,0),0)</f>
        <v>0</v>
      </c>
      <c r="AK415" s="203">
        <f>IF(AND(OR((AK414+1)&lt;AL$1015,(AK414+1)=AL$1015),MAX(AK$4:AK414)&lt;AL$1015),AK414+1,0)</f>
        <v>0</v>
      </c>
      <c r="AL415" s="309">
        <f>VLOOKUP($AK415,ENTI!$AF$4:AG$1003,2,FALSE)</f>
        <v>0</v>
      </c>
      <c r="AM415" s="224">
        <f>VLOOKUP($AK415,ENTI!$AF$4:AH$1003,3,FALSE)</f>
        <v>0</v>
      </c>
      <c r="AN415" s="224">
        <f>VLOOKUP($AK415,ENTI!$AF$4:AI$1003,4,FALSE)</f>
        <v>0</v>
      </c>
      <c r="AO415" s="781">
        <f>VLOOKUP($AK415,ENTI!$AF$4:AJ$1003,5,FALSE)</f>
        <v>0</v>
      </c>
      <c r="AP415" s="315">
        <f>VLOOKUP($AK415,ENTI!$AF$4:AK$1003,6,FALSE)</f>
        <v>0</v>
      </c>
      <c r="AQ415" s="208">
        <f t="shared" si="91"/>
        <v>0</v>
      </c>
      <c r="AR415" s="152" t="e">
        <f t="shared" si="92"/>
        <v>#N/A</v>
      </c>
      <c r="AS415" s="1"/>
      <c r="AT415" s="88" t="str">
        <f t="shared" si="85"/>
        <v/>
      </c>
      <c r="AU415" s="1"/>
      <c r="AV415" s="175">
        <f>IF(AW415&gt;0,COUNTIF(AV$4:AV414,"&gt;0")+1,0)</f>
        <v>0</v>
      </c>
      <c r="AW415" s="164">
        <f t="shared" si="86"/>
        <v>0</v>
      </c>
      <c r="AX415" s="310">
        <f>IF($AW415=0,0,VLOOKUP(VLOOKUP($X415,$B$34:$T$38,19,FALSE),ENTI!$A$9:$B$13,2,FALSE))</f>
        <v>0</v>
      </c>
      <c r="AY415" s="310">
        <f t="shared" si="88"/>
        <v>0</v>
      </c>
      <c r="AZ415" s="316">
        <f t="shared" si="89"/>
        <v>0</v>
      </c>
      <c r="BA415" s="1"/>
      <c r="BB415" s="152">
        <f t="shared" si="90"/>
        <v>0</v>
      </c>
      <c r="BC415" s="152">
        <f ca="1">SUM(Z$4:Z415)+SUM(BB$4:BB415)+COSTI!S$6-COSTI!L$1076</f>
        <v>-31.760000000000218</v>
      </c>
      <c r="BD415" s="1"/>
    </row>
    <row r="416" spans="1:56" ht="16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435">
        <f>IF(AND(W416&gt;=$U$1,W416&lt;=$U$2),IF(X416='ESTRATTO CONTO'!$E$2,1+COUNTIF(U$4:U415,"&gt;0"),0),0)</f>
        <v>0</v>
      </c>
      <c r="V416" s="417">
        <f t="shared" si="87"/>
        <v>413</v>
      </c>
      <c r="W416" s="509"/>
      <c r="X416" s="321"/>
      <c r="Y416" s="321"/>
      <c r="Z416" s="508"/>
      <c r="AA416" s="356"/>
      <c r="AB416" s="306" t="str">
        <f t="shared" si="83"/>
        <v/>
      </c>
      <c r="AC416" s="637">
        <f t="shared" ca="1" si="82"/>
        <v>-2.1316282072803006E-13</v>
      </c>
      <c r="AD416" s="935">
        <f>IF(ISERROR(VLOOKUP(AD$2,X417:X$1003,1,FALSE)),IF(X416=AD$2,SUMIF(X$4:X416,AD$2,Z$4:Z416)+$E$9+SUM(AQ$4:AQ$1003)+SUMIF(COSTI!$X$1379:$X$1430,AD$2,COSTI!$Z$1379:$Z$1430),0),0)</f>
        <v>0</v>
      </c>
      <c r="AE416" s="26"/>
      <c r="AF416" s="856" t="e">
        <f>IF(ISERROR(VLOOKUP(AG$2,X417:X$1003,1,FALSE)),IF(X416=AG$2,SUMIF(X$4:X416,AG$2,Z$4:Z416)+VLOOKUP(AF$2,$B$1057:$F$1068,5,FALSE)+SUM(AR$4:AR$1003)+SUMIF(COSTI!$X$1379:$X$1430,AG$2,COSTI!$Z$1379:$Z$1430),0),0)</f>
        <v>#N/A</v>
      </c>
      <c r="AG416" s="859"/>
      <c r="AH416" s="27" t="str">
        <f t="shared" si="84"/>
        <v/>
      </c>
      <c r="AI416" s="152">
        <f ca="1">IF(W417&gt;0,0,IF(AH416=0,(Z416*-1)+BC416+SUM(BB$4:BB415),BC416+SUM(BB$4:BB415)))</f>
        <v>-2.1316282072803006E-13</v>
      </c>
      <c r="AJ416" s="931">
        <f>IF(AND(AL416&gt;=$U$1,AL416&lt;=$U$2),IF(AM416='ESTRATTO CONTO'!$E$2,1+COUNTIF(AJ$4:AJ415,"&gt;0")+U$1015,0),0)</f>
        <v>0</v>
      </c>
      <c r="AK416" s="203">
        <f>IF(AND(OR((AK415+1)&lt;AL$1015,(AK415+1)=AL$1015),MAX(AK$4:AK415)&lt;AL$1015),AK415+1,0)</f>
        <v>0</v>
      </c>
      <c r="AL416" s="309">
        <f>VLOOKUP($AK416,ENTI!$AF$4:AG$1003,2,FALSE)</f>
        <v>0</v>
      </c>
      <c r="AM416" s="224">
        <f>VLOOKUP($AK416,ENTI!$AF$4:AH$1003,3,FALSE)</f>
        <v>0</v>
      </c>
      <c r="AN416" s="224">
        <f>VLOOKUP($AK416,ENTI!$AF$4:AI$1003,4,FALSE)</f>
        <v>0</v>
      </c>
      <c r="AO416" s="781">
        <f>VLOOKUP($AK416,ENTI!$AF$4:AJ$1003,5,FALSE)</f>
        <v>0</v>
      </c>
      <c r="AP416" s="315">
        <f>VLOOKUP($AK416,ENTI!$AF$4:AK$1003,6,FALSE)</f>
        <v>0</v>
      </c>
      <c r="AQ416" s="208">
        <f t="shared" si="91"/>
        <v>0</v>
      </c>
      <c r="AR416" s="152" t="e">
        <f t="shared" si="92"/>
        <v>#N/A</v>
      </c>
      <c r="AS416" s="1"/>
      <c r="AT416" s="88" t="str">
        <f t="shared" si="85"/>
        <v/>
      </c>
      <c r="AU416" s="1"/>
      <c r="AV416" s="175">
        <f>IF(AW416&gt;0,COUNTIF(AV$4:AV415,"&gt;0")+1,0)</f>
        <v>0</v>
      </c>
      <c r="AW416" s="164">
        <f t="shared" si="86"/>
        <v>0</v>
      </c>
      <c r="AX416" s="310">
        <f>IF($AW416=0,0,VLOOKUP(VLOOKUP($X416,$B$34:$T$38,19,FALSE),ENTI!$A$9:$B$13,2,FALSE))</f>
        <v>0</v>
      </c>
      <c r="AY416" s="310">
        <f t="shared" si="88"/>
        <v>0</v>
      </c>
      <c r="AZ416" s="316">
        <f t="shared" si="89"/>
        <v>0</v>
      </c>
      <c r="BA416" s="1"/>
      <c r="BB416" s="152">
        <f t="shared" si="90"/>
        <v>0</v>
      </c>
      <c r="BC416" s="152">
        <f ca="1">SUM(Z$4:Z416)+SUM(BB$4:BB416)+COSTI!S$6-COSTI!L$1076</f>
        <v>-31.760000000000218</v>
      </c>
      <c r="BD416" s="1"/>
    </row>
    <row r="417" spans="1:56" ht="16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435">
        <f>IF(AND(W417&gt;=$U$1,W417&lt;=$U$2),IF(X417='ESTRATTO CONTO'!$E$2,1+COUNTIF(U$4:U416,"&gt;0"),0),0)</f>
        <v>0</v>
      </c>
      <c r="V417" s="417">
        <f t="shared" si="87"/>
        <v>414</v>
      </c>
      <c r="W417" s="509"/>
      <c r="X417" s="321"/>
      <c r="Y417" s="321"/>
      <c r="Z417" s="508"/>
      <c r="AA417" s="356"/>
      <c r="AB417" s="306" t="str">
        <f t="shared" si="83"/>
        <v/>
      </c>
      <c r="AC417" s="637">
        <f t="shared" ca="1" si="82"/>
        <v>-2.1316282072803006E-13</v>
      </c>
      <c r="AD417" s="935">
        <f>IF(ISERROR(VLOOKUP(AD$2,X418:X$1003,1,FALSE)),IF(X417=AD$2,SUMIF(X$4:X417,AD$2,Z$4:Z417)+$E$9+SUM(AQ$4:AQ$1003)+SUMIF(COSTI!$X$1379:$X$1430,AD$2,COSTI!$Z$1379:$Z$1430),0),0)</f>
        <v>0</v>
      </c>
      <c r="AE417" s="26"/>
      <c r="AF417" s="856" t="e">
        <f>IF(ISERROR(VLOOKUP(AG$2,X418:X$1003,1,FALSE)),IF(X417=AG$2,SUMIF(X$4:X417,AG$2,Z$4:Z417)+VLOOKUP(AF$2,$B$1057:$F$1068,5,FALSE)+SUM(AR$4:AR$1003)+SUMIF(COSTI!$X$1379:$X$1430,AG$2,COSTI!$Z$1379:$Z$1430),0),0)</f>
        <v>#N/A</v>
      </c>
      <c r="AG417" s="859"/>
      <c r="AH417" s="27" t="str">
        <f t="shared" si="84"/>
        <v/>
      </c>
      <c r="AI417" s="152">
        <f ca="1">IF(W418&gt;0,0,IF(AH417=0,(Z417*-1)+BC417+SUM(BB$4:BB416),BC417+SUM(BB$4:BB416)))</f>
        <v>-2.1316282072803006E-13</v>
      </c>
      <c r="AJ417" s="931">
        <f>IF(AND(AL417&gt;=$U$1,AL417&lt;=$U$2),IF(AM417='ESTRATTO CONTO'!$E$2,1+COUNTIF(AJ$4:AJ416,"&gt;0")+U$1015,0),0)</f>
        <v>0</v>
      </c>
      <c r="AK417" s="203">
        <f>IF(AND(OR((AK416+1)&lt;AL$1015,(AK416+1)=AL$1015),MAX(AK$4:AK416)&lt;AL$1015),AK416+1,0)</f>
        <v>0</v>
      </c>
      <c r="AL417" s="309">
        <f>VLOOKUP($AK417,ENTI!$AF$4:AG$1003,2,FALSE)</f>
        <v>0</v>
      </c>
      <c r="AM417" s="224">
        <f>VLOOKUP($AK417,ENTI!$AF$4:AH$1003,3,FALSE)</f>
        <v>0</v>
      </c>
      <c r="AN417" s="224">
        <f>VLOOKUP($AK417,ENTI!$AF$4:AI$1003,4,FALSE)</f>
        <v>0</v>
      </c>
      <c r="AO417" s="781">
        <f>VLOOKUP($AK417,ENTI!$AF$4:AJ$1003,5,FALSE)</f>
        <v>0</v>
      </c>
      <c r="AP417" s="315">
        <f>VLOOKUP($AK417,ENTI!$AF$4:AK$1003,6,FALSE)</f>
        <v>0</v>
      </c>
      <c r="AQ417" s="208">
        <f t="shared" si="91"/>
        <v>0</v>
      </c>
      <c r="AR417" s="152" t="e">
        <f t="shared" si="92"/>
        <v>#N/A</v>
      </c>
      <c r="AS417" s="1"/>
      <c r="AT417" s="88" t="str">
        <f t="shared" si="85"/>
        <v/>
      </c>
      <c r="AU417" s="1"/>
      <c r="AV417" s="175">
        <f>IF(AW417&gt;0,COUNTIF(AV$4:AV416,"&gt;0")+1,0)</f>
        <v>0</v>
      </c>
      <c r="AW417" s="164">
        <f t="shared" si="86"/>
        <v>0</v>
      </c>
      <c r="AX417" s="310">
        <f>IF($AW417=0,0,VLOOKUP(VLOOKUP($X417,$B$34:$T$38,19,FALSE),ENTI!$A$9:$B$13,2,FALSE))</f>
        <v>0</v>
      </c>
      <c r="AY417" s="310">
        <f t="shared" si="88"/>
        <v>0</v>
      </c>
      <c r="AZ417" s="316">
        <f t="shared" si="89"/>
        <v>0</v>
      </c>
      <c r="BA417" s="1"/>
      <c r="BB417" s="152">
        <f t="shared" si="90"/>
        <v>0</v>
      </c>
      <c r="BC417" s="152">
        <f ca="1">SUM(Z$4:Z417)+SUM(BB$4:BB417)+COSTI!S$6-COSTI!L$1076</f>
        <v>-31.760000000000218</v>
      </c>
      <c r="BD417" s="1"/>
    </row>
    <row r="418" spans="1:56" ht="16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435">
        <f>IF(AND(W418&gt;=$U$1,W418&lt;=$U$2),IF(X418='ESTRATTO CONTO'!$E$2,1+COUNTIF(U$4:U417,"&gt;0"),0),0)</f>
        <v>0</v>
      </c>
      <c r="V418" s="417">
        <f t="shared" si="87"/>
        <v>415</v>
      </c>
      <c r="W418" s="509"/>
      <c r="X418" s="321"/>
      <c r="Y418" s="321"/>
      <c r="Z418" s="508"/>
      <c r="AA418" s="356"/>
      <c r="AB418" s="306" t="str">
        <f t="shared" si="83"/>
        <v/>
      </c>
      <c r="AC418" s="637">
        <f t="shared" ca="1" si="82"/>
        <v>-2.1316282072803006E-13</v>
      </c>
      <c r="AD418" s="935">
        <f>IF(ISERROR(VLOOKUP(AD$2,X419:X$1003,1,FALSE)),IF(X418=AD$2,SUMIF(X$4:X418,AD$2,Z$4:Z418)+$E$9+SUM(AQ$4:AQ$1003)+SUMIF(COSTI!$X$1379:$X$1430,AD$2,COSTI!$Z$1379:$Z$1430),0),0)</f>
        <v>0</v>
      </c>
      <c r="AE418" s="26"/>
      <c r="AF418" s="856" t="e">
        <f>IF(ISERROR(VLOOKUP(AG$2,X419:X$1003,1,FALSE)),IF(X418=AG$2,SUMIF(X$4:X418,AG$2,Z$4:Z418)+VLOOKUP(AF$2,$B$1057:$F$1068,5,FALSE)+SUM(AR$4:AR$1003)+SUMIF(COSTI!$X$1379:$X$1430,AG$2,COSTI!$Z$1379:$Z$1430),0),0)</f>
        <v>#N/A</v>
      </c>
      <c r="AG418" s="859"/>
      <c r="AH418" s="27" t="str">
        <f t="shared" si="84"/>
        <v/>
      </c>
      <c r="AI418" s="152">
        <f ca="1">IF(W419&gt;0,0,IF(AH418=0,(Z418*-1)+BC418+SUM(BB$4:BB417),BC418+SUM(BB$4:BB417)))</f>
        <v>-2.1316282072803006E-13</v>
      </c>
      <c r="AJ418" s="931">
        <f>IF(AND(AL418&gt;=$U$1,AL418&lt;=$U$2),IF(AM418='ESTRATTO CONTO'!$E$2,1+COUNTIF(AJ$4:AJ417,"&gt;0")+U$1015,0),0)</f>
        <v>0</v>
      </c>
      <c r="AK418" s="203">
        <f>IF(AND(OR((AK417+1)&lt;AL$1015,(AK417+1)=AL$1015),MAX(AK$4:AK417)&lt;AL$1015),AK417+1,0)</f>
        <v>0</v>
      </c>
      <c r="AL418" s="309">
        <f>VLOOKUP($AK418,ENTI!$AF$4:AG$1003,2,FALSE)</f>
        <v>0</v>
      </c>
      <c r="AM418" s="224">
        <f>VLOOKUP($AK418,ENTI!$AF$4:AH$1003,3,FALSE)</f>
        <v>0</v>
      </c>
      <c r="AN418" s="224">
        <f>VLOOKUP($AK418,ENTI!$AF$4:AI$1003,4,FALSE)</f>
        <v>0</v>
      </c>
      <c r="AO418" s="781">
        <f>VLOOKUP($AK418,ENTI!$AF$4:AJ$1003,5,FALSE)</f>
        <v>0</v>
      </c>
      <c r="AP418" s="315">
        <f>VLOOKUP($AK418,ENTI!$AF$4:AK$1003,6,FALSE)</f>
        <v>0</v>
      </c>
      <c r="AQ418" s="208">
        <f t="shared" si="91"/>
        <v>0</v>
      </c>
      <c r="AR418" s="152" t="e">
        <f t="shared" si="92"/>
        <v>#N/A</v>
      </c>
      <c r="AS418" s="1"/>
      <c r="AT418" s="88" t="str">
        <f t="shared" si="85"/>
        <v/>
      </c>
      <c r="AU418" s="1"/>
      <c r="AV418" s="175">
        <f>IF(AW418&gt;0,COUNTIF(AV$4:AV417,"&gt;0")+1,0)</f>
        <v>0</v>
      </c>
      <c r="AW418" s="164">
        <f t="shared" si="86"/>
        <v>0</v>
      </c>
      <c r="AX418" s="310">
        <f>IF($AW418=0,0,VLOOKUP(VLOOKUP($X418,$B$34:$T$38,19,FALSE),ENTI!$A$9:$B$13,2,FALSE))</f>
        <v>0</v>
      </c>
      <c r="AY418" s="310">
        <f t="shared" si="88"/>
        <v>0</v>
      </c>
      <c r="AZ418" s="316">
        <f t="shared" si="89"/>
        <v>0</v>
      </c>
      <c r="BA418" s="1"/>
      <c r="BB418" s="152">
        <f t="shared" si="90"/>
        <v>0</v>
      </c>
      <c r="BC418" s="152">
        <f ca="1">SUM(Z$4:Z418)+SUM(BB$4:BB418)+COSTI!S$6-COSTI!L$1076</f>
        <v>-31.760000000000218</v>
      </c>
      <c r="BD418" s="1"/>
    </row>
    <row r="419" spans="1:56" ht="16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435">
        <f>IF(AND(W419&gt;=$U$1,W419&lt;=$U$2),IF(X419='ESTRATTO CONTO'!$E$2,1+COUNTIF(U$4:U418,"&gt;0"),0),0)</f>
        <v>0</v>
      </c>
      <c r="V419" s="417">
        <f t="shared" si="87"/>
        <v>416</v>
      </c>
      <c r="W419" s="509"/>
      <c r="X419" s="321"/>
      <c r="Y419" s="321"/>
      <c r="Z419" s="508"/>
      <c r="AA419" s="356"/>
      <c r="AB419" s="306" t="str">
        <f t="shared" si="83"/>
        <v/>
      </c>
      <c r="AC419" s="637">
        <f t="shared" ca="1" si="82"/>
        <v>-2.1316282072803006E-13</v>
      </c>
      <c r="AD419" s="935">
        <f>IF(ISERROR(VLOOKUP(AD$2,X420:X$1003,1,FALSE)),IF(X419=AD$2,SUMIF(X$4:X419,AD$2,Z$4:Z419)+$E$9+SUM(AQ$4:AQ$1003)+SUMIF(COSTI!$X$1379:$X$1430,AD$2,COSTI!$Z$1379:$Z$1430),0),0)</f>
        <v>0</v>
      </c>
      <c r="AE419" s="26"/>
      <c r="AF419" s="856" t="e">
        <f>IF(ISERROR(VLOOKUP(AG$2,X420:X$1003,1,FALSE)),IF(X419=AG$2,SUMIF(X$4:X419,AG$2,Z$4:Z419)+VLOOKUP(AF$2,$B$1057:$F$1068,5,FALSE)+SUM(AR$4:AR$1003)+SUMIF(COSTI!$X$1379:$X$1430,AG$2,COSTI!$Z$1379:$Z$1430),0),0)</f>
        <v>#N/A</v>
      </c>
      <c r="AG419" s="859"/>
      <c r="AH419" s="27" t="str">
        <f t="shared" si="84"/>
        <v/>
      </c>
      <c r="AI419" s="152">
        <f ca="1">IF(W420&gt;0,0,IF(AH419=0,(Z419*-1)+BC419+SUM(BB$4:BB418),BC419+SUM(BB$4:BB418)))</f>
        <v>-2.1316282072803006E-13</v>
      </c>
      <c r="AJ419" s="931">
        <f>IF(AND(AL419&gt;=$U$1,AL419&lt;=$U$2),IF(AM419='ESTRATTO CONTO'!$E$2,1+COUNTIF(AJ$4:AJ418,"&gt;0")+U$1015,0),0)</f>
        <v>0</v>
      </c>
      <c r="AK419" s="203">
        <f>IF(AND(OR((AK418+1)&lt;AL$1015,(AK418+1)=AL$1015),MAX(AK$4:AK418)&lt;AL$1015),AK418+1,0)</f>
        <v>0</v>
      </c>
      <c r="AL419" s="309">
        <f>VLOOKUP($AK419,ENTI!$AF$4:AG$1003,2,FALSE)</f>
        <v>0</v>
      </c>
      <c r="AM419" s="224">
        <f>VLOOKUP($AK419,ENTI!$AF$4:AH$1003,3,FALSE)</f>
        <v>0</v>
      </c>
      <c r="AN419" s="224">
        <f>VLOOKUP($AK419,ENTI!$AF$4:AI$1003,4,FALSE)</f>
        <v>0</v>
      </c>
      <c r="AO419" s="781">
        <f>VLOOKUP($AK419,ENTI!$AF$4:AJ$1003,5,FALSE)</f>
        <v>0</v>
      </c>
      <c r="AP419" s="315">
        <f>VLOOKUP($AK419,ENTI!$AF$4:AK$1003,6,FALSE)</f>
        <v>0</v>
      </c>
      <c r="AQ419" s="208">
        <f t="shared" si="91"/>
        <v>0</v>
      </c>
      <c r="AR419" s="152" t="e">
        <f t="shared" si="92"/>
        <v>#N/A</v>
      </c>
      <c r="AS419" s="1"/>
      <c r="AT419" s="88" t="str">
        <f t="shared" si="85"/>
        <v/>
      </c>
      <c r="AU419" s="1"/>
      <c r="AV419" s="175">
        <f>IF(AW419&gt;0,COUNTIF(AV$4:AV418,"&gt;0")+1,0)</f>
        <v>0</v>
      </c>
      <c r="AW419" s="164">
        <f t="shared" si="86"/>
        <v>0</v>
      </c>
      <c r="AX419" s="310">
        <f>IF($AW419=0,0,VLOOKUP(VLOOKUP($X419,$B$34:$T$38,19,FALSE),ENTI!$A$9:$B$13,2,FALSE))</f>
        <v>0</v>
      </c>
      <c r="AY419" s="310">
        <f t="shared" si="88"/>
        <v>0</v>
      </c>
      <c r="AZ419" s="316">
        <f t="shared" si="89"/>
        <v>0</v>
      </c>
      <c r="BA419" s="1"/>
      <c r="BB419" s="152">
        <f t="shared" si="90"/>
        <v>0</v>
      </c>
      <c r="BC419" s="152">
        <f ca="1">SUM(Z$4:Z419)+SUM(BB$4:BB419)+COSTI!S$6-COSTI!L$1076</f>
        <v>-31.760000000000218</v>
      </c>
      <c r="BD419" s="1"/>
    </row>
    <row r="420" spans="1:56" ht="16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435">
        <f>IF(AND(W420&gt;=$U$1,W420&lt;=$U$2),IF(X420='ESTRATTO CONTO'!$E$2,1+COUNTIF(U$4:U419,"&gt;0"),0),0)</f>
        <v>0</v>
      </c>
      <c r="V420" s="417">
        <f t="shared" si="87"/>
        <v>417</v>
      </c>
      <c r="W420" s="509"/>
      <c r="X420" s="321"/>
      <c r="Y420" s="321"/>
      <c r="Z420" s="508"/>
      <c r="AA420" s="356"/>
      <c r="AB420" s="306" t="str">
        <f t="shared" si="83"/>
        <v/>
      </c>
      <c r="AC420" s="637">
        <f t="shared" ca="1" si="82"/>
        <v>-2.1316282072803006E-13</v>
      </c>
      <c r="AD420" s="935">
        <f>IF(ISERROR(VLOOKUP(AD$2,X421:X$1003,1,FALSE)),IF(X420=AD$2,SUMIF(X$4:X420,AD$2,Z$4:Z420)+$E$9+SUM(AQ$4:AQ$1003)+SUMIF(COSTI!$X$1379:$X$1430,AD$2,COSTI!$Z$1379:$Z$1430),0),0)</f>
        <v>0</v>
      </c>
      <c r="AE420" s="26"/>
      <c r="AF420" s="856" t="e">
        <f>IF(ISERROR(VLOOKUP(AG$2,X421:X$1003,1,FALSE)),IF(X420=AG$2,SUMIF(X$4:X420,AG$2,Z$4:Z420)+VLOOKUP(AF$2,$B$1057:$F$1068,5,FALSE)+SUM(AR$4:AR$1003)+SUMIF(COSTI!$X$1379:$X$1430,AG$2,COSTI!$Z$1379:$Z$1430),0),0)</f>
        <v>#N/A</v>
      </c>
      <c r="AG420" s="859"/>
      <c r="AH420" s="27" t="str">
        <f t="shared" si="84"/>
        <v/>
      </c>
      <c r="AI420" s="152">
        <f ca="1">IF(W421&gt;0,0,IF(AH420=0,(Z420*-1)+BC420+SUM(BB$4:BB419),BC420+SUM(BB$4:BB419)))</f>
        <v>-2.1316282072803006E-13</v>
      </c>
      <c r="AJ420" s="931">
        <f>IF(AND(AL420&gt;=$U$1,AL420&lt;=$U$2),IF(AM420='ESTRATTO CONTO'!$E$2,1+COUNTIF(AJ$4:AJ419,"&gt;0")+U$1015,0),0)</f>
        <v>0</v>
      </c>
      <c r="AK420" s="203">
        <f>IF(AND(OR((AK419+1)&lt;AL$1015,(AK419+1)=AL$1015),MAX(AK$4:AK419)&lt;AL$1015),AK419+1,0)</f>
        <v>0</v>
      </c>
      <c r="AL420" s="309">
        <f>VLOOKUP($AK420,ENTI!$AF$4:AG$1003,2,FALSE)</f>
        <v>0</v>
      </c>
      <c r="AM420" s="224">
        <f>VLOOKUP($AK420,ENTI!$AF$4:AH$1003,3,FALSE)</f>
        <v>0</v>
      </c>
      <c r="AN420" s="224">
        <f>VLOOKUP($AK420,ENTI!$AF$4:AI$1003,4,FALSE)</f>
        <v>0</v>
      </c>
      <c r="AO420" s="781">
        <f>VLOOKUP($AK420,ENTI!$AF$4:AJ$1003,5,FALSE)</f>
        <v>0</v>
      </c>
      <c r="AP420" s="315">
        <f>VLOOKUP($AK420,ENTI!$AF$4:AK$1003,6,FALSE)</f>
        <v>0</v>
      </c>
      <c r="AQ420" s="208">
        <f t="shared" si="91"/>
        <v>0</v>
      </c>
      <c r="AR420" s="152" t="e">
        <f t="shared" si="92"/>
        <v>#N/A</v>
      </c>
      <c r="AS420" s="1"/>
      <c r="AT420" s="88" t="str">
        <f t="shared" si="85"/>
        <v/>
      </c>
      <c r="AU420" s="1"/>
      <c r="AV420" s="175">
        <f>IF(AW420&gt;0,COUNTIF(AV$4:AV419,"&gt;0")+1,0)</f>
        <v>0</v>
      </c>
      <c r="AW420" s="164">
        <f t="shared" si="86"/>
        <v>0</v>
      </c>
      <c r="AX420" s="310">
        <f>IF($AW420=0,0,VLOOKUP(VLOOKUP($X420,$B$34:$T$38,19,FALSE),ENTI!$A$9:$B$13,2,FALSE))</f>
        <v>0</v>
      </c>
      <c r="AY420" s="310">
        <f t="shared" si="88"/>
        <v>0</v>
      </c>
      <c r="AZ420" s="316">
        <f t="shared" si="89"/>
        <v>0</v>
      </c>
      <c r="BA420" s="1"/>
      <c r="BB420" s="152">
        <f t="shared" si="90"/>
        <v>0</v>
      </c>
      <c r="BC420" s="152">
        <f ca="1">SUM(Z$4:Z420)+SUM(BB$4:BB420)+COSTI!S$6-COSTI!L$1076</f>
        <v>-31.760000000000218</v>
      </c>
      <c r="BD420" s="1"/>
    </row>
    <row r="421" spans="1:56" ht="16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435">
        <f>IF(AND(W421&gt;=$U$1,W421&lt;=$U$2),IF(X421='ESTRATTO CONTO'!$E$2,1+COUNTIF(U$4:U420,"&gt;0"),0),0)</f>
        <v>0</v>
      </c>
      <c r="V421" s="417">
        <f t="shared" si="87"/>
        <v>418</v>
      </c>
      <c r="W421" s="509"/>
      <c r="X421" s="321"/>
      <c r="Y421" s="321"/>
      <c r="Z421" s="508"/>
      <c r="AA421" s="356"/>
      <c r="AB421" s="306" t="str">
        <f t="shared" si="83"/>
        <v/>
      </c>
      <c r="AC421" s="637">
        <f t="shared" ca="1" si="82"/>
        <v>-2.1316282072803006E-13</v>
      </c>
      <c r="AD421" s="935">
        <f>IF(ISERROR(VLOOKUP(AD$2,X422:X$1003,1,FALSE)),IF(X421=AD$2,SUMIF(X$4:X421,AD$2,Z$4:Z421)+$E$9+SUM(AQ$4:AQ$1003)+SUMIF(COSTI!$X$1379:$X$1430,AD$2,COSTI!$Z$1379:$Z$1430),0),0)</f>
        <v>0</v>
      </c>
      <c r="AE421" s="26"/>
      <c r="AF421" s="856" t="e">
        <f>IF(ISERROR(VLOOKUP(AG$2,X422:X$1003,1,FALSE)),IF(X421=AG$2,SUMIF(X$4:X421,AG$2,Z$4:Z421)+VLOOKUP(AF$2,$B$1057:$F$1068,5,FALSE)+SUM(AR$4:AR$1003)+SUMIF(COSTI!$X$1379:$X$1430,AG$2,COSTI!$Z$1379:$Z$1430),0),0)</f>
        <v>#N/A</v>
      </c>
      <c r="AG421" s="859"/>
      <c r="AH421" s="27" t="str">
        <f t="shared" si="84"/>
        <v/>
      </c>
      <c r="AI421" s="152">
        <f ca="1">IF(W422&gt;0,0,IF(AH421=0,(Z421*-1)+BC421+SUM(BB$4:BB420),BC421+SUM(BB$4:BB420)))</f>
        <v>-2.1316282072803006E-13</v>
      </c>
      <c r="AJ421" s="931">
        <f>IF(AND(AL421&gt;=$U$1,AL421&lt;=$U$2),IF(AM421='ESTRATTO CONTO'!$E$2,1+COUNTIF(AJ$4:AJ420,"&gt;0")+U$1015,0),0)</f>
        <v>0</v>
      </c>
      <c r="AK421" s="203">
        <f>IF(AND(OR((AK420+1)&lt;AL$1015,(AK420+1)=AL$1015),MAX(AK$4:AK420)&lt;AL$1015),AK420+1,0)</f>
        <v>0</v>
      </c>
      <c r="AL421" s="309">
        <f>VLOOKUP($AK421,ENTI!$AF$4:AG$1003,2,FALSE)</f>
        <v>0</v>
      </c>
      <c r="AM421" s="224">
        <f>VLOOKUP($AK421,ENTI!$AF$4:AH$1003,3,FALSE)</f>
        <v>0</v>
      </c>
      <c r="AN421" s="224">
        <f>VLOOKUP($AK421,ENTI!$AF$4:AI$1003,4,FALSE)</f>
        <v>0</v>
      </c>
      <c r="AO421" s="781">
        <f>VLOOKUP($AK421,ENTI!$AF$4:AJ$1003,5,FALSE)</f>
        <v>0</v>
      </c>
      <c r="AP421" s="315">
        <f>VLOOKUP($AK421,ENTI!$AF$4:AK$1003,6,FALSE)</f>
        <v>0</v>
      </c>
      <c r="AQ421" s="208">
        <f t="shared" si="91"/>
        <v>0</v>
      </c>
      <c r="AR421" s="152" t="e">
        <f t="shared" si="92"/>
        <v>#N/A</v>
      </c>
      <c r="AS421" s="1"/>
      <c r="AT421" s="88" t="str">
        <f t="shared" si="85"/>
        <v/>
      </c>
      <c r="AU421" s="1"/>
      <c r="AV421" s="175">
        <f>IF(AW421&gt;0,COUNTIF(AV$4:AV420,"&gt;0")+1,0)</f>
        <v>0</v>
      </c>
      <c r="AW421" s="164">
        <f t="shared" si="86"/>
        <v>0</v>
      </c>
      <c r="AX421" s="310">
        <f>IF($AW421=0,0,VLOOKUP(VLOOKUP($X421,$B$34:$T$38,19,FALSE),ENTI!$A$9:$B$13,2,FALSE))</f>
        <v>0</v>
      </c>
      <c r="AY421" s="310">
        <f t="shared" si="88"/>
        <v>0</v>
      </c>
      <c r="AZ421" s="316">
        <f t="shared" si="89"/>
        <v>0</v>
      </c>
      <c r="BA421" s="1"/>
      <c r="BB421" s="152">
        <f t="shared" si="90"/>
        <v>0</v>
      </c>
      <c r="BC421" s="152">
        <f ca="1">SUM(Z$4:Z421)+SUM(BB$4:BB421)+COSTI!S$6-COSTI!L$1076</f>
        <v>-31.760000000000218</v>
      </c>
      <c r="BD421" s="1"/>
    </row>
    <row r="422" spans="1:56" ht="16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435">
        <f>IF(AND(W422&gt;=$U$1,W422&lt;=$U$2),IF(X422='ESTRATTO CONTO'!$E$2,1+COUNTIF(U$4:U421,"&gt;0"),0),0)</f>
        <v>0</v>
      </c>
      <c r="V422" s="417">
        <f t="shared" si="87"/>
        <v>419</v>
      </c>
      <c r="W422" s="509"/>
      <c r="X422" s="321"/>
      <c r="Y422" s="321"/>
      <c r="Z422" s="508"/>
      <c r="AA422" s="356"/>
      <c r="AB422" s="306" t="str">
        <f t="shared" si="83"/>
        <v/>
      </c>
      <c r="AC422" s="637">
        <f t="shared" ca="1" si="82"/>
        <v>-2.1316282072803006E-13</v>
      </c>
      <c r="AD422" s="935">
        <f>IF(ISERROR(VLOOKUP(AD$2,X423:X$1003,1,FALSE)),IF(X422=AD$2,SUMIF(X$4:X422,AD$2,Z$4:Z422)+$E$9+SUM(AQ$4:AQ$1003)+SUMIF(COSTI!$X$1379:$X$1430,AD$2,COSTI!$Z$1379:$Z$1430),0),0)</f>
        <v>0</v>
      </c>
      <c r="AE422" s="26"/>
      <c r="AF422" s="856" t="e">
        <f>IF(ISERROR(VLOOKUP(AG$2,X423:X$1003,1,FALSE)),IF(X422=AG$2,SUMIF(X$4:X422,AG$2,Z$4:Z422)+VLOOKUP(AF$2,$B$1057:$F$1068,5,FALSE)+SUM(AR$4:AR$1003)+SUMIF(COSTI!$X$1379:$X$1430,AG$2,COSTI!$Z$1379:$Z$1430),0),0)</f>
        <v>#N/A</v>
      </c>
      <c r="AG422" s="859"/>
      <c r="AH422" s="27" t="str">
        <f t="shared" si="84"/>
        <v/>
      </c>
      <c r="AI422" s="152">
        <f ca="1">IF(W423&gt;0,0,IF(AH422=0,(Z422*-1)+BC422+SUM(BB$4:BB421),BC422+SUM(BB$4:BB421)))</f>
        <v>-2.1316282072803006E-13</v>
      </c>
      <c r="AJ422" s="931">
        <f>IF(AND(AL422&gt;=$U$1,AL422&lt;=$U$2),IF(AM422='ESTRATTO CONTO'!$E$2,1+COUNTIF(AJ$4:AJ421,"&gt;0")+U$1015,0),0)</f>
        <v>0</v>
      </c>
      <c r="AK422" s="203">
        <f>IF(AND(OR((AK421+1)&lt;AL$1015,(AK421+1)=AL$1015),MAX(AK$4:AK421)&lt;AL$1015),AK421+1,0)</f>
        <v>0</v>
      </c>
      <c r="AL422" s="309">
        <f>VLOOKUP($AK422,ENTI!$AF$4:AG$1003,2,FALSE)</f>
        <v>0</v>
      </c>
      <c r="AM422" s="224">
        <f>VLOOKUP($AK422,ENTI!$AF$4:AH$1003,3,FALSE)</f>
        <v>0</v>
      </c>
      <c r="AN422" s="224">
        <f>VLOOKUP($AK422,ENTI!$AF$4:AI$1003,4,FALSE)</f>
        <v>0</v>
      </c>
      <c r="AO422" s="781">
        <f>VLOOKUP($AK422,ENTI!$AF$4:AJ$1003,5,FALSE)</f>
        <v>0</v>
      </c>
      <c r="AP422" s="315">
        <f>VLOOKUP($AK422,ENTI!$AF$4:AK$1003,6,FALSE)</f>
        <v>0</v>
      </c>
      <c r="AQ422" s="208">
        <f t="shared" si="91"/>
        <v>0</v>
      </c>
      <c r="AR422" s="152" t="e">
        <f t="shared" si="92"/>
        <v>#N/A</v>
      </c>
      <c r="AS422" s="1"/>
      <c r="AT422" s="88" t="str">
        <f t="shared" si="85"/>
        <v/>
      </c>
      <c r="AU422" s="1"/>
      <c r="AV422" s="175">
        <f>IF(AW422&gt;0,COUNTIF(AV$4:AV421,"&gt;0")+1,0)</f>
        <v>0</v>
      </c>
      <c r="AW422" s="164">
        <f t="shared" si="86"/>
        <v>0</v>
      </c>
      <c r="AX422" s="310">
        <f>IF($AW422=0,0,VLOOKUP(VLOOKUP($X422,$B$34:$T$38,19,FALSE),ENTI!$A$9:$B$13,2,FALSE))</f>
        <v>0</v>
      </c>
      <c r="AY422" s="310">
        <f t="shared" si="88"/>
        <v>0</v>
      </c>
      <c r="AZ422" s="316">
        <f t="shared" si="89"/>
        <v>0</v>
      </c>
      <c r="BA422" s="1"/>
      <c r="BB422" s="152">
        <f t="shared" si="90"/>
        <v>0</v>
      </c>
      <c r="BC422" s="152">
        <f ca="1">SUM(Z$4:Z422)+SUM(BB$4:BB422)+COSTI!S$6-COSTI!L$1076</f>
        <v>-31.760000000000218</v>
      </c>
      <c r="BD422" s="1"/>
    </row>
    <row r="423" spans="1:56" ht="16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435">
        <f>IF(AND(W423&gt;=$U$1,W423&lt;=$U$2),IF(X423='ESTRATTO CONTO'!$E$2,1+COUNTIF(U$4:U422,"&gt;0"),0),0)</f>
        <v>0</v>
      </c>
      <c r="V423" s="417">
        <f t="shared" si="87"/>
        <v>420</v>
      </c>
      <c r="W423" s="509"/>
      <c r="X423" s="321"/>
      <c r="Y423" s="321"/>
      <c r="Z423" s="508"/>
      <c r="AA423" s="356"/>
      <c r="AB423" s="306" t="str">
        <f t="shared" si="83"/>
        <v/>
      </c>
      <c r="AC423" s="637">
        <f t="shared" ca="1" si="82"/>
        <v>-2.1316282072803006E-13</v>
      </c>
      <c r="AD423" s="935">
        <f>IF(ISERROR(VLOOKUP(AD$2,X424:X$1003,1,FALSE)),IF(X423=AD$2,SUMIF(X$4:X423,AD$2,Z$4:Z423)+$E$9+SUM(AQ$4:AQ$1003)+SUMIF(COSTI!$X$1379:$X$1430,AD$2,COSTI!$Z$1379:$Z$1430),0),0)</f>
        <v>0</v>
      </c>
      <c r="AE423" s="26"/>
      <c r="AF423" s="856" t="e">
        <f>IF(ISERROR(VLOOKUP(AG$2,X424:X$1003,1,FALSE)),IF(X423=AG$2,SUMIF(X$4:X423,AG$2,Z$4:Z423)+VLOOKUP(AF$2,$B$1057:$F$1068,5,FALSE)+SUM(AR$4:AR$1003)+SUMIF(COSTI!$X$1379:$X$1430,AG$2,COSTI!$Z$1379:$Z$1430),0),0)</f>
        <v>#N/A</v>
      </c>
      <c r="AG423" s="859"/>
      <c r="AH423" s="27" t="str">
        <f t="shared" si="84"/>
        <v/>
      </c>
      <c r="AI423" s="152">
        <f ca="1">IF(W424&gt;0,0,IF(AH423=0,(Z423*-1)+BC423+SUM(BB$4:BB422),BC423+SUM(BB$4:BB422)))</f>
        <v>-2.1316282072803006E-13</v>
      </c>
      <c r="AJ423" s="931">
        <f>IF(AND(AL423&gt;=$U$1,AL423&lt;=$U$2),IF(AM423='ESTRATTO CONTO'!$E$2,1+COUNTIF(AJ$4:AJ422,"&gt;0")+U$1015,0),0)</f>
        <v>0</v>
      </c>
      <c r="AK423" s="203">
        <f>IF(AND(OR((AK422+1)&lt;AL$1015,(AK422+1)=AL$1015),MAX(AK$4:AK422)&lt;AL$1015),AK422+1,0)</f>
        <v>0</v>
      </c>
      <c r="AL423" s="309">
        <f>VLOOKUP($AK423,ENTI!$AF$4:AG$1003,2,FALSE)</f>
        <v>0</v>
      </c>
      <c r="AM423" s="224">
        <f>VLOOKUP($AK423,ENTI!$AF$4:AH$1003,3,FALSE)</f>
        <v>0</v>
      </c>
      <c r="AN423" s="224">
        <f>VLOOKUP($AK423,ENTI!$AF$4:AI$1003,4,FALSE)</f>
        <v>0</v>
      </c>
      <c r="AO423" s="781">
        <f>VLOOKUP($AK423,ENTI!$AF$4:AJ$1003,5,FALSE)</f>
        <v>0</v>
      </c>
      <c r="AP423" s="315">
        <f>VLOOKUP($AK423,ENTI!$AF$4:AK$1003,6,FALSE)</f>
        <v>0</v>
      </c>
      <c r="AQ423" s="208">
        <f t="shared" si="91"/>
        <v>0</v>
      </c>
      <c r="AR423" s="152" t="e">
        <f t="shared" si="92"/>
        <v>#N/A</v>
      </c>
      <c r="AS423" s="1"/>
      <c r="AT423" s="88" t="str">
        <f t="shared" si="85"/>
        <v/>
      </c>
      <c r="AU423" s="1"/>
      <c r="AV423" s="175">
        <f>IF(AW423&gt;0,COUNTIF(AV$4:AV422,"&gt;0")+1,0)</f>
        <v>0</v>
      </c>
      <c r="AW423" s="164">
        <f t="shared" si="86"/>
        <v>0</v>
      </c>
      <c r="AX423" s="310">
        <f>IF($AW423=0,0,VLOOKUP(VLOOKUP($X423,$B$34:$T$38,19,FALSE),ENTI!$A$9:$B$13,2,FALSE))</f>
        <v>0</v>
      </c>
      <c r="AY423" s="310">
        <f t="shared" si="88"/>
        <v>0</v>
      </c>
      <c r="AZ423" s="316">
        <f t="shared" si="89"/>
        <v>0</v>
      </c>
      <c r="BA423" s="1"/>
      <c r="BB423" s="152">
        <f t="shared" si="90"/>
        <v>0</v>
      </c>
      <c r="BC423" s="152">
        <f ca="1">SUM(Z$4:Z423)+SUM(BB$4:BB423)+COSTI!S$6-COSTI!L$1076</f>
        <v>-31.760000000000218</v>
      </c>
      <c r="BD423" s="1"/>
    </row>
    <row r="424" spans="1:56" ht="16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435">
        <f>IF(AND(W424&gt;=$U$1,W424&lt;=$U$2),IF(X424='ESTRATTO CONTO'!$E$2,1+COUNTIF(U$4:U423,"&gt;0"),0),0)</f>
        <v>0</v>
      </c>
      <c r="V424" s="417">
        <f t="shared" si="87"/>
        <v>421</v>
      </c>
      <c r="W424" s="509"/>
      <c r="X424" s="321"/>
      <c r="Y424" s="321"/>
      <c r="Z424" s="508"/>
      <c r="AA424" s="356"/>
      <c r="AB424" s="306" t="str">
        <f t="shared" si="83"/>
        <v/>
      </c>
      <c r="AC424" s="637">
        <f t="shared" ca="1" si="82"/>
        <v>-2.1316282072803006E-13</v>
      </c>
      <c r="AD424" s="935">
        <f>IF(ISERROR(VLOOKUP(AD$2,X425:X$1003,1,FALSE)),IF(X424=AD$2,SUMIF(X$4:X424,AD$2,Z$4:Z424)+$E$9+SUM(AQ$4:AQ$1003)+SUMIF(COSTI!$X$1379:$X$1430,AD$2,COSTI!$Z$1379:$Z$1430),0),0)</f>
        <v>0</v>
      </c>
      <c r="AE424" s="26"/>
      <c r="AF424" s="856" t="e">
        <f>IF(ISERROR(VLOOKUP(AG$2,X425:X$1003,1,FALSE)),IF(X424=AG$2,SUMIF(X$4:X424,AG$2,Z$4:Z424)+VLOOKUP(AF$2,$B$1057:$F$1068,5,FALSE)+SUM(AR$4:AR$1003)+SUMIF(COSTI!$X$1379:$X$1430,AG$2,COSTI!$Z$1379:$Z$1430),0),0)</f>
        <v>#N/A</v>
      </c>
      <c r="AG424" s="859"/>
      <c r="AH424" s="27" t="str">
        <f t="shared" si="84"/>
        <v/>
      </c>
      <c r="AI424" s="152">
        <f ca="1">IF(W425&gt;0,0,IF(AH424=0,(Z424*-1)+BC424+SUM(BB$4:BB423),BC424+SUM(BB$4:BB423)))</f>
        <v>-2.1316282072803006E-13</v>
      </c>
      <c r="AJ424" s="931">
        <f>IF(AND(AL424&gt;=$U$1,AL424&lt;=$U$2),IF(AM424='ESTRATTO CONTO'!$E$2,1+COUNTIF(AJ$4:AJ423,"&gt;0")+U$1015,0),0)</f>
        <v>0</v>
      </c>
      <c r="AK424" s="203">
        <f>IF(AND(OR((AK423+1)&lt;AL$1015,(AK423+1)=AL$1015),MAX(AK$4:AK423)&lt;AL$1015),AK423+1,0)</f>
        <v>0</v>
      </c>
      <c r="AL424" s="309">
        <f>VLOOKUP($AK424,ENTI!$AF$4:AG$1003,2,FALSE)</f>
        <v>0</v>
      </c>
      <c r="AM424" s="224">
        <f>VLOOKUP($AK424,ENTI!$AF$4:AH$1003,3,FALSE)</f>
        <v>0</v>
      </c>
      <c r="AN424" s="224">
        <f>VLOOKUP($AK424,ENTI!$AF$4:AI$1003,4,FALSE)</f>
        <v>0</v>
      </c>
      <c r="AO424" s="781">
        <f>VLOOKUP($AK424,ENTI!$AF$4:AJ$1003,5,FALSE)</f>
        <v>0</v>
      </c>
      <c r="AP424" s="315">
        <f>VLOOKUP($AK424,ENTI!$AF$4:AK$1003,6,FALSE)</f>
        <v>0</v>
      </c>
      <c r="AQ424" s="208">
        <f t="shared" si="91"/>
        <v>0</v>
      </c>
      <c r="AR424" s="152" t="e">
        <f t="shared" si="92"/>
        <v>#N/A</v>
      </c>
      <c r="AS424" s="1"/>
      <c r="AT424" s="88" t="str">
        <f t="shared" si="85"/>
        <v/>
      </c>
      <c r="AU424" s="1"/>
      <c r="AV424" s="175">
        <f>IF(AW424&gt;0,COUNTIF(AV$4:AV423,"&gt;0")+1,0)</f>
        <v>0</v>
      </c>
      <c r="AW424" s="164">
        <f t="shared" si="86"/>
        <v>0</v>
      </c>
      <c r="AX424" s="310">
        <f>IF($AW424=0,0,VLOOKUP(VLOOKUP($X424,$B$34:$T$38,19,FALSE),ENTI!$A$9:$B$13,2,FALSE))</f>
        <v>0</v>
      </c>
      <c r="AY424" s="310">
        <f t="shared" si="88"/>
        <v>0</v>
      </c>
      <c r="AZ424" s="316">
        <f t="shared" si="89"/>
        <v>0</v>
      </c>
      <c r="BA424" s="1"/>
      <c r="BB424" s="152">
        <f t="shared" si="90"/>
        <v>0</v>
      </c>
      <c r="BC424" s="152">
        <f ca="1">SUM(Z$4:Z424)+SUM(BB$4:BB424)+COSTI!S$6-COSTI!L$1076</f>
        <v>-31.760000000000218</v>
      </c>
      <c r="BD424" s="1"/>
    </row>
    <row r="425" spans="1:56" ht="16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435">
        <f>IF(AND(W425&gt;=$U$1,W425&lt;=$U$2),IF(X425='ESTRATTO CONTO'!$E$2,1+COUNTIF(U$4:U424,"&gt;0"),0),0)</f>
        <v>0</v>
      </c>
      <c r="V425" s="417">
        <f t="shared" si="87"/>
        <v>422</v>
      </c>
      <c r="W425" s="509"/>
      <c r="X425" s="321"/>
      <c r="Y425" s="321"/>
      <c r="Z425" s="508"/>
      <c r="AA425" s="356"/>
      <c r="AB425" s="306" t="str">
        <f t="shared" si="83"/>
        <v/>
      </c>
      <c r="AC425" s="637">
        <f t="shared" ca="1" si="82"/>
        <v>-2.1316282072803006E-13</v>
      </c>
      <c r="AD425" s="935">
        <f>IF(ISERROR(VLOOKUP(AD$2,X426:X$1003,1,FALSE)),IF(X425=AD$2,SUMIF(X$4:X425,AD$2,Z$4:Z425)+$E$9+SUM(AQ$4:AQ$1003)+SUMIF(COSTI!$X$1379:$X$1430,AD$2,COSTI!$Z$1379:$Z$1430),0),0)</f>
        <v>0</v>
      </c>
      <c r="AE425" s="26"/>
      <c r="AF425" s="856" t="e">
        <f>IF(ISERROR(VLOOKUP(AG$2,X426:X$1003,1,FALSE)),IF(X425=AG$2,SUMIF(X$4:X425,AG$2,Z$4:Z425)+VLOOKUP(AF$2,$B$1057:$F$1068,5,FALSE)+SUM(AR$4:AR$1003)+SUMIF(COSTI!$X$1379:$X$1430,AG$2,COSTI!$Z$1379:$Z$1430),0),0)</f>
        <v>#N/A</v>
      </c>
      <c r="AG425" s="859"/>
      <c r="AH425" s="27" t="str">
        <f t="shared" si="84"/>
        <v/>
      </c>
      <c r="AI425" s="152">
        <f ca="1">IF(W426&gt;0,0,IF(AH425=0,(Z425*-1)+BC425+SUM(BB$4:BB424),BC425+SUM(BB$4:BB424)))</f>
        <v>-2.1316282072803006E-13</v>
      </c>
      <c r="AJ425" s="931">
        <f>IF(AND(AL425&gt;=$U$1,AL425&lt;=$U$2),IF(AM425='ESTRATTO CONTO'!$E$2,1+COUNTIF(AJ$4:AJ424,"&gt;0")+U$1015,0),0)</f>
        <v>0</v>
      </c>
      <c r="AK425" s="203">
        <f>IF(AND(OR((AK424+1)&lt;AL$1015,(AK424+1)=AL$1015),MAX(AK$4:AK424)&lt;AL$1015),AK424+1,0)</f>
        <v>0</v>
      </c>
      <c r="AL425" s="309">
        <f>VLOOKUP($AK425,ENTI!$AF$4:AG$1003,2,FALSE)</f>
        <v>0</v>
      </c>
      <c r="AM425" s="224">
        <f>VLOOKUP($AK425,ENTI!$AF$4:AH$1003,3,FALSE)</f>
        <v>0</v>
      </c>
      <c r="AN425" s="224">
        <f>VLOOKUP($AK425,ENTI!$AF$4:AI$1003,4,FALSE)</f>
        <v>0</v>
      </c>
      <c r="AO425" s="781">
        <f>VLOOKUP($AK425,ENTI!$AF$4:AJ$1003,5,FALSE)</f>
        <v>0</v>
      </c>
      <c r="AP425" s="315">
        <f>VLOOKUP($AK425,ENTI!$AF$4:AK$1003,6,FALSE)</f>
        <v>0</v>
      </c>
      <c r="AQ425" s="208">
        <f t="shared" si="91"/>
        <v>0</v>
      </c>
      <c r="AR425" s="152" t="e">
        <f t="shared" si="92"/>
        <v>#N/A</v>
      </c>
      <c r="AS425" s="1"/>
      <c r="AT425" s="88" t="str">
        <f t="shared" si="85"/>
        <v/>
      </c>
      <c r="AU425" s="1"/>
      <c r="AV425" s="175">
        <f>IF(AW425&gt;0,COUNTIF(AV$4:AV424,"&gt;0")+1,0)</f>
        <v>0</v>
      </c>
      <c r="AW425" s="164">
        <f t="shared" si="86"/>
        <v>0</v>
      </c>
      <c r="AX425" s="310">
        <f>IF($AW425=0,0,VLOOKUP(VLOOKUP($X425,$B$34:$T$38,19,FALSE),ENTI!$A$9:$B$13,2,FALSE))</f>
        <v>0</v>
      </c>
      <c r="AY425" s="310">
        <f t="shared" si="88"/>
        <v>0</v>
      </c>
      <c r="AZ425" s="316">
        <f t="shared" si="89"/>
        <v>0</v>
      </c>
      <c r="BA425" s="1"/>
      <c r="BB425" s="152">
        <f t="shared" si="90"/>
        <v>0</v>
      </c>
      <c r="BC425" s="152">
        <f ca="1">SUM(Z$4:Z425)+SUM(BB$4:BB425)+COSTI!S$6-COSTI!L$1076</f>
        <v>-31.760000000000218</v>
      </c>
      <c r="BD425" s="1"/>
    </row>
    <row r="426" spans="1:56" ht="16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435">
        <f>IF(AND(W426&gt;=$U$1,W426&lt;=$U$2),IF(X426='ESTRATTO CONTO'!$E$2,1+COUNTIF(U$4:U425,"&gt;0"),0),0)</f>
        <v>0</v>
      </c>
      <c r="V426" s="417">
        <f t="shared" si="87"/>
        <v>423</v>
      </c>
      <c r="W426" s="509"/>
      <c r="X426" s="321"/>
      <c r="Y426" s="321"/>
      <c r="Z426" s="508"/>
      <c r="AA426" s="356"/>
      <c r="AB426" s="306" t="str">
        <f t="shared" si="83"/>
        <v/>
      </c>
      <c r="AC426" s="637">
        <f t="shared" ca="1" si="82"/>
        <v>-2.1316282072803006E-13</v>
      </c>
      <c r="AD426" s="935">
        <f>IF(ISERROR(VLOOKUP(AD$2,X427:X$1003,1,FALSE)),IF(X426=AD$2,SUMIF(X$4:X426,AD$2,Z$4:Z426)+$E$9+SUM(AQ$4:AQ$1003)+SUMIF(COSTI!$X$1379:$X$1430,AD$2,COSTI!$Z$1379:$Z$1430),0),0)</f>
        <v>0</v>
      </c>
      <c r="AE426" s="26"/>
      <c r="AF426" s="856" t="e">
        <f>IF(ISERROR(VLOOKUP(AG$2,X427:X$1003,1,FALSE)),IF(X426=AG$2,SUMIF(X$4:X426,AG$2,Z$4:Z426)+VLOOKUP(AF$2,$B$1057:$F$1068,5,FALSE)+SUM(AR$4:AR$1003)+SUMIF(COSTI!$X$1379:$X$1430,AG$2,COSTI!$Z$1379:$Z$1430),0),0)</f>
        <v>#N/A</v>
      </c>
      <c r="AG426" s="859"/>
      <c r="AH426" s="27" t="str">
        <f t="shared" si="84"/>
        <v/>
      </c>
      <c r="AI426" s="152">
        <f ca="1">IF(W427&gt;0,0,IF(AH426=0,(Z426*-1)+BC426+SUM(BB$4:BB425),BC426+SUM(BB$4:BB425)))</f>
        <v>-2.1316282072803006E-13</v>
      </c>
      <c r="AJ426" s="931">
        <f>IF(AND(AL426&gt;=$U$1,AL426&lt;=$U$2),IF(AM426='ESTRATTO CONTO'!$E$2,1+COUNTIF(AJ$4:AJ425,"&gt;0")+U$1015,0),0)</f>
        <v>0</v>
      </c>
      <c r="AK426" s="203">
        <f>IF(AND(OR((AK425+1)&lt;AL$1015,(AK425+1)=AL$1015),MAX(AK$4:AK425)&lt;AL$1015),AK425+1,0)</f>
        <v>0</v>
      </c>
      <c r="AL426" s="309">
        <f>VLOOKUP($AK426,ENTI!$AF$4:AG$1003,2,FALSE)</f>
        <v>0</v>
      </c>
      <c r="AM426" s="224">
        <f>VLOOKUP($AK426,ENTI!$AF$4:AH$1003,3,FALSE)</f>
        <v>0</v>
      </c>
      <c r="AN426" s="224">
        <f>VLOOKUP($AK426,ENTI!$AF$4:AI$1003,4,FALSE)</f>
        <v>0</v>
      </c>
      <c r="AO426" s="781">
        <f>VLOOKUP($AK426,ENTI!$AF$4:AJ$1003,5,FALSE)</f>
        <v>0</v>
      </c>
      <c r="AP426" s="315">
        <f>VLOOKUP($AK426,ENTI!$AF$4:AK$1003,6,FALSE)</f>
        <v>0</v>
      </c>
      <c r="AQ426" s="208">
        <f t="shared" si="91"/>
        <v>0</v>
      </c>
      <c r="AR426" s="152" t="e">
        <f t="shared" si="92"/>
        <v>#N/A</v>
      </c>
      <c r="AS426" s="1"/>
      <c r="AT426" s="88" t="str">
        <f t="shared" si="85"/>
        <v/>
      </c>
      <c r="AU426" s="1"/>
      <c r="AV426" s="175">
        <f>IF(AW426&gt;0,COUNTIF(AV$4:AV425,"&gt;0")+1,0)</f>
        <v>0</v>
      </c>
      <c r="AW426" s="164">
        <f t="shared" si="86"/>
        <v>0</v>
      </c>
      <c r="AX426" s="310">
        <f>IF($AW426=0,0,VLOOKUP(VLOOKUP($X426,$B$34:$T$38,19,FALSE),ENTI!$A$9:$B$13,2,FALSE))</f>
        <v>0</v>
      </c>
      <c r="AY426" s="310">
        <f t="shared" si="88"/>
        <v>0</v>
      </c>
      <c r="AZ426" s="316">
        <f t="shared" si="89"/>
        <v>0</v>
      </c>
      <c r="BA426" s="1"/>
      <c r="BB426" s="152">
        <f t="shared" si="90"/>
        <v>0</v>
      </c>
      <c r="BC426" s="152">
        <f ca="1">SUM(Z$4:Z426)+SUM(BB$4:BB426)+COSTI!S$6-COSTI!L$1076</f>
        <v>-31.760000000000218</v>
      </c>
      <c r="BD426" s="1"/>
    </row>
    <row r="427" spans="1:56" ht="16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435">
        <f>IF(AND(W427&gt;=$U$1,W427&lt;=$U$2),IF(X427='ESTRATTO CONTO'!$E$2,1+COUNTIF(U$4:U426,"&gt;0"),0),0)</f>
        <v>0</v>
      </c>
      <c r="V427" s="417">
        <f t="shared" si="87"/>
        <v>424</v>
      </c>
      <c r="W427" s="509"/>
      <c r="X427" s="321"/>
      <c r="Y427" s="321"/>
      <c r="Z427" s="508"/>
      <c r="AA427" s="356"/>
      <c r="AB427" s="306" t="str">
        <f t="shared" si="83"/>
        <v/>
      </c>
      <c r="AC427" s="637">
        <f t="shared" ca="1" si="82"/>
        <v>-2.1316282072803006E-13</v>
      </c>
      <c r="AD427" s="935">
        <f>IF(ISERROR(VLOOKUP(AD$2,X428:X$1003,1,FALSE)),IF(X427=AD$2,SUMIF(X$4:X427,AD$2,Z$4:Z427)+$E$9+SUM(AQ$4:AQ$1003)+SUMIF(COSTI!$X$1379:$X$1430,AD$2,COSTI!$Z$1379:$Z$1430),0),0)</f>
        <v>0</v>
      </c>
      <c r="AE427" s="26"/>
      <c r="AF427" s="856" t="e">
        <f>IF(ISERROR(VLOOKUP(AG$2,X428:X$1003,1,FALSE)),IF(X427=AG$2,SUMIF(X$4:X427,AG$2,Z$4:Z427)+VLOOKUP(AF$2,$B$1057:$F$1068,5,FALSE)+SUM(AR$4:AR$1003)+SUMIF(COSTI!$X$1379:$X$1430,AG$2,COSTI!$Z$1379:$Z$1430),0),0)</f>
        <v>#N/A</v>
      </c>
      <c r="AG427" s="859"/>
      <c r="AH427" s="27" t="str">
        <f t="shared" si="84"/>
        <v/>
      </c>
      <c r="AI427" s="152">
        <f ca="1">IF(W428&gt;0,0,IF(AH427=0,(Z427*-1)+BC427+SUM(BB$4:BB426),BC427+SUM(BB$4:BB426)))</f>
        <v>-2.1316282072803006E-13</v>
      </c>
      <c r="AJ427" s="931">
        <f>IF(AND(AL427&gt;=$U$1,AL427&lt;=$U$2),IF(AM427='ESTRATTO CONTO'!$E$2,1+COUNTIF(AJ$4:AJ426,"&gt;0")+U$1015,0),0)</f>
        <v>0</v>
      </c>
      <c r="AK427" s="203">
        <f>IF(AND(OR((AK426+1)&lt;AL$1015,(AK426+1)=AL$1015),MAX(AK$4:AK426)&lt;AL$1015),AK426+1,0)</f>
        <v>0</v>
      </c>
      <c r="AL427" s="309">
        <f>VLOOKUP($AK427,ENTI!$AF$4:AG$1003,2,FALSE)</f>
        <v>0</v>
      </c>
      <c r="AM427" s="224">
        <f>VLOOKUP($AK427,ENTI!$AF$4:AH$1003,3,FALSE)</f>
        <v>0</v>
      </c>
      <c r="AN427" s="224">
        <f>VLOOKUP($AK427,ENTI!$AF$4:AI$1003,4,FALSE)</f>
        <v>0</v>
      </c>
      <c r="AO427" s="781">
        <f>VLOOKUP($AK427,ENTI!$AF$4:AJ$1003,5,FALSE)</f>
        <v>0</v>
      </c>
      <c r="AP427" s="315">
        <f>VLOOKUP($AK427,ENTI!$AF$4:AK$1003,6,FALSE)</f>
        <v>0</v>
      </c>
      <c r="AQ427" s="208">
        <f t="shared" si="91"/>
        <v>0</v>
      </c>
      <c r="AR427" s="152" t="e">
        <f t="shared" si="92"/>
        <v>#N/A</v>
      </c>
      <c r="AS427" s="1"/>
      <c r="AT427" s="88" t="str">
        <f t="shared" si="85"/>
        <v/>
      </c>
      <c r="AU427" s="1"/>
      <c r="AV427" s="175">
        <f>IF(AW427&gt;0,COUNTIF(AV$4:AV426,"&gt;0")+1,0)</f>
        <v>0</v>
      </c>
      <c r="AW427" s="164">
        <f t="shared" si="86"/>
        <v>0</v>
      </c>
      <c r="AX427" s="310">
        <f>IF($AW427=0,0,VLOOKUP(VLOOKUP($X427,$B$34:$T$38,19,FALSE),ENTI!$A$9:$B$13,2,FALSE))</f>
        <v>0</v>
      </c>
      <c r="AY427" s="310">
        <f t="shared" si="88"/>
        <v>0</v>
      </c>
      <c r="AZ427" s="316">
        <f t="shared" si="89"/>
        <v>0</v>
      </c>
      <c r="BA427" s="1"/>
      <c r="BB427" s="152">
        <f t="shared" si="90"/>
        <v>0</v>
      </c>
      <c r="BC427" s="152">
        <f ca="1">SUM(Z$4:Z427)+SUM(BB$4:BB427)+COSTI!S$6-COSTI!L$1076</f>
        <v>-31.760000000000218</v>
      </c>
      <c r="BD427" s="1"/>
    </row>
    <row r="428" spans="1:56" ht="16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435">
        <f>IF(AND(W428&gt;=$U$1,W428&lt;=$U$2),IF(X428='ESTRATTO CONTO'!$E$2,1+COUNTIF(U$4:U427,"&gt;0"),0),0)</f>
        <v>0</v>
      </c>
      <c r="V428" s="417">
        <f t="shared" si="87"/>
        <v>425</v>
      </c>
      <c r="W428" s="509"/>
      <c r="X428" s="321"/>
      <c r="Y428" s="321"/>
      <c r="Z428" s="508"/>
      <c r="AA428" s="356"/>
      <c r="AB428" s="306" t="str">
        <f t="shared" si="83"/>
        <v/>
      </c>
      <c r="AC428" s="637">
        <f t="shared" ca="1" si="82"/>
        <v>-2.1316282072803006E-13</v>
      </c>
      <c r="AD428" s="935">
        <f>IF(ISERROR(VLOOKUP(AD$2,X429:X$1003,1,FALSE)),IF(X428=AD$2,SUMIF(X$4:X428,AD$2,Z$4:Z428)+$E$9+SUM(AQ$4:AQ$1003)+SUMIF(COSTI!$X$1379:$X$1430,AD$2,COSTI!$Z$1379:$Z$1430),0),0)</f>
        <v>0</v>
      </c>
      <c r="AE428" s="26"/>
      <c r="AF428" s="856" t="e">
        <f>IF(ISERROR(VLOOKUP(AG$2,X429:X$1003,1,FALSE)),IF(X428=AG$2,SUMIF(X$4:X428,AG$2,Z$4:Z428)+VLOOKUP(AF$2,$B$1057:$F$1068,5,FALSE)+SUM(AR$4:AR$1003)+SUMIF(COSTI!$X$1379:$X$1430,AG$2,COSTI!$Z$1379:$Z$1430),0),0)</f>
        <v>#N/A</v>
      </c>
      <c r="AG428" s="859"/>
      <c r="AH428" s="27" t="str">
        <f t="shared" si="84"/>
        <v/>
      </c>
      <c r="AI428" s="152">
        <f ca="1">IF(W429&gt;0,0,IF(AH428=0,(Z428*-1)+BC428+SUM(BB$4:BB427),BC428+SUM(BB$4:BB427)))</f>
        <v>-2.1316282072803006E-13</v>
      </c>
      <c r="AJ428" s="931">
        <f>IF(AND(AL428&gt;=$U$1,AL428&lt;=$U$2),IF(AM428='ESTRATTO CONTO'!$E$2,1+COUNTIF(AJ$4:AJ427,"&gt;0")+U$1015,0),0)</f>
        <v>0</v>
      </c>
      <c r="AK428" s="203">
        <f>IF(AND(OR((AK427+1)&lt;AL$1015,(AK427+1)=AL$1015),MAX(AK$4:AK427)&lt;AL$1015),AK427+1,0)</f>
        <v>0</v>
      </c>
      <c r="AL428" s="309">
        <f>VLOOKUP($AK428,ENTI!$AF$4:AG$1003,2,FALSE)</f>
        <v>0</v>
      </c>
      <c r="AM428" s="224">
        <f>VLOOKUP($AK428,ENTI!$AF$4:AH$1003,3,FALSE)</f>
        <v>0</v>
      </c>
      <c r="AN428" s="224">
        <f>VLOOKUP($AK428,ENTI!$AF$4:AI$1003,4,FALSE)</f>
        <v>0</v>
      </c>
      <c r="AO428" s="781">
        <f>VLOOKUP($AK428,ENTI!$AF$4:AJ$1003,5,FALSE)</f>
        <v>0</v>
      </c>
      <c r="AP428" s="315">
        <f>VLOOKUP($AK428,ENTI!$AF$4:AK$1003,6,FALSE)</f>
        <v>0</v>
      </c>
      <c r="AQ428" s="208">
        <f t="shared" si="91"/>
        <v>0</v>
      </c>
      <c r="AR428" s="152" t="e">
        <f t="shared" si="92"/>
        <v>#N/A</v>
      </c>
      <c r="AS428" s="1"/>
      <c r="AT428" s="88" t="str">
        <f t="shared" si="85"/>
        <v/>
      </c>
      <c r="AU428" s="1"/>
      <c r="AV428" s="175">
        <f>IF(AW428&gt;0,COUNTIF(AV$4:AV427,"&gt;0")+1,0)</f>
        <v>0</v>
      </c>
      <c r="AW428" s="164">
        <f t="shared" si="86"/>
        <v>0</v>
      </c>
      <c r="AX428" s="310">
        <f>IF($AW428=0,0,VLOOKUP(VLOOKUP($X428,$B$34:$T$38,19,FALSE),ENTI!$A$9:$B$13,2,FALSE))</f>
        <v>0</v>
      </c>
      <c r="AY428" s="310">
        <f t="shared" si="88"/>
        <v>0</v>
      </c>
      <c r="AZ428" s="316">
        <f t="shared" si="89"/>
        <v>0</v>
      </c>
      <c r="BA428" s="1"/>
      <c r="BB428" s="152">
        <f t="shared" si="90"/>
        <v>0</v>
      </c>
      <c r="BC428" s="152">
        <f ca="1">SUM(Z$4:Z428)+SUM(BB$4:BB428)+COSTI!S$6-COSTI!L$1076</f>
        <v>-31.760000000000218</v>
      </c>
      <c r="BD428" s="1"/>
    </row>
    <row r="429" spans="1:56" ht="16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435">
        <f>IF(AND(W429&gt;=$U$1,W429&lt;=$U$2),IF(X429='ESTRATTO CONTO'!$E$2,1+COUNTIF(U$4:U428,"&gt;0"),0),0)</f>
        <v>0</v>
      </c>
      <c r="V429" s="417">
        <f t="shared" si="87"/>
        <v>426</v>
      </c>
      <c r="W429" s="509"/>
      <c r="X429" s="321"/>
      <c r="Y429" s="321"/>
      <c r="Z429" s="508"/>
      <c r="AA429" s="356"/>
      <c r="AB429" s="306" t="str">
        <f t="shared" si="83"/>
        <v/>
      </c>
      <c r="AC429" s="637">
        <f t="shared" ca="1" si="82"/>
        <v>-2.1316282072803006E-13</v>
      </c>
      <c r="AD429" s="935">
        <f>IF(ISERROR(VLOOKUP(AD$2,X430:X$1003,1,FALSE)),IF(X429=AD$2,SUMIF(X$4:X429,AD$2,Z$4:Z429)+$E$9+SUM(AQ$4:AQ$1003)+SUMIF(COSTI!$X$1379:$X$1430,AD$2,COSTI!$Z$1379:$Z$1430),0),0)</f>
        <v>0</v>
      </c>
      <c r="AE429" s="26"/>
      <c r="AF429" s="856" t="e">
        <f>IF(ISERROR(VLOOKUP(AG$2,X430:X$1003,1,FALSE)),IF(X429=AG$2,SUMIF(X$4:X429,AG$2,Z$4:Z429)+VLOOKUP(AF$2,$B$1057:$F$1068,5,FALSE)+SUM(AR$4:AR$1003)+SUMIF(COSTI!$X$1379:$X$1430,AG$2,COSTI!$Z$1379:$Z$1430),0),0)</f>
        <v>#N/A</v>
      </c>
      <c r="AG429" s="859"/>
      <c r="AH429" s="27" t="str">
        <f t="shared" si="84"/>
        <v/>
      </c>
      <c r="AI429" s="152">
        <f ca="1">IF(W430&gt;0,0,IF(AH429=0,(Z429*-1)+BC429+SUM(BB$4:BB428),BC429+SUM(BB$4:BB428)))</f>
        <v>-2.1316282072803006E-13</v>
      </c>
      <c r="AJ429" s="931">
        <f>IF(AND(AL429&gt;=$U$1,AL429&lt;=$U$2),IF(AM429='ESTRATTO CONTO'!$E$2,1+COUNTIF(AJ$4:AJ428,"&gt;0")+U$1015,0),0)</f>
        <v>0</v>
      </c>
      <c r="AK429" s="203">
        <f>IF(AND(OR((AK428+1)&lt;AL$1015,(AK428+1)=AL$1015),MAX(AK$4:AK428)&lt;AL$1015),AK428+1,0)</f>
        <v>0</v>
      </c>
      <c r="AL429" s="309">
        <f>VLOOKUP($AK429,ENTI!$AF$4:AG$1003,2,FALSE)</f>
        <v>0</v>
      </c>
      <c r="AM429" s="224">
        <f>VLOOKUP($AK429,ENTI!$AF$4:AH$1003,3,FALSE)</f>
        <v>0</v>
      </c>
      <c r="AN429" s="224">
        <f>VLOOKUP($AK429,ENTI!$AF$4:AI$1003,4,FALSE)</f>
        <v>0</v>
      </c>
      <c r="AO429" s="781">
        <f>VLOOKUP($AK429,ENTI!$AF$4:AJ$1003,5,FALSE)</f>
        <v>0</v>
      </c>
      <c r="AP429" s="315">
        <f>VLOOKUP($AK429,ENTI!$AF$4:AK$1003,6,FALSE)</f>
        <v>0</v>
      </c>
      <c r="AQ429" s="208">
        <f t="shared" si="91"/>
        <v>0</v>
      </c>
      <c r="AR429" s="152" t="e">
        <f t="shared" si="92"/>
        <v>#N/A</v>
      </c>
      <c r="AS429" s="1"/>
      <c r="AT429" s="88" t="str">
        <f t="shared" si="85"/>
        <v/>
      </c>
      <c r="AU429" s="1"/>
      <c r="AV429" s="175">
        <f>IF(AW429&gt;0,COUNTIF(AV$4:AV428,"&gt;0")+1,0)</f>
        <v>0</v>
      </c>
      <c r="AW429" s="164">
        <f t="shared" si="86"/>
        <v>0</v>
      </c>
      <c r="AX429" s="310">
        <f>IF($AW429=0,0,VLOOKUP(VLOOKUP($X429,$B$34:$T$38,19,FALSE),ENTI!$A$9:$B$13,2,FALSE))</f>
        <v>0</v>
      </c>
      <c r="AY429" s="310">
        <f t="shared" si="88"/>
        <v>0</v>
      </c>
      <c r="AZ429" s="316">
        <f t="shared" si="89"/>
        <v>0</v>
      </c>
      <c r="BA429" s="1"/>
      <c r="BB429" s="152">
        <f t="shared" si="90"/>
        <v>0</v>
      </c>
      <c r="BC429" s="152">
        <f ca="1">SUM(Z$4:Z429)+SUM(BB$4:BB429)+COSTI!S$6-COSTI!L$1076</f>
        <v>-31.760000000000218</v>
      </c>
      <c r="BD429" s="1"/>
    </row>
    <row r="430" spans="1:56" ht="16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435">
        <f>IF(AND(W430&gt;=$U$1,W430&lt;=$U$2),IF(X430='ESTRATTO CONTO'!$E$2,1+COUNTIF(U$4:U429,"&gt;0"),0),0)</f>
        <v>0</v>
      </c>
      <c r="V430" s="417">
        <f t="shared" si="87"/>
        <v>427</v>
      </c>
      <c r="W430" s="509"/>
      <c r="X430" s="321"/>
      <c r="Y430" s="321"/>
      <c r="Z430" s="508"/>
      <c r="AA430" s="356"/>
      <c r="AB430" s="306" t="str">
        <f t="shared" si="83"/>
        <v/>
      </c>
      <c r="AC430" s="637">
        <f t="shared" ca="1" si="82"/>
        <v>-2.1316282072803006E-13</v>
      </c>
      <c r="AD430" s="935">
        <f>IF(ISERROR(VLOOKUP(AD$2,X431:X$1003,1,FALSE)),IF(X430=AD$2,SUMIF(X$4:X430,AD$2,Z$4:Z430)+$E$9+SUM(AQ$4:AQ$1003)+SUMIF(COSTI!$X$1379:$X$1430,AD$2,COSTI!$Z$1379:$Z$1430),0),0)</f>
        <v>0</v>
      </c>
      <c r="AE430" s="26"/>
      <c r="AF430" s="856" t="e">
        <f>IF(ISERROR(VLOOKUP(AG$2,X431:X$1003,1,FALSE)),IF(X430=AG$2,SUMIF(X$4:X430,AG$2,Z$4:Z430)+VLOOKUP(AF$2,$B$1057:$F$1068,5,FALSE)+SUM(AR$4:AR$1003)+SUMIF(COSTI!$X$1379:$X$1430,AG$2,COSTI!$Z$1379:$Z$1430),0),0)</f>
        <v>#N/A</v>
      </c>
      <c r="AG430" s="859"/>
      <c r="AH430" s="27" t="str">
        <f t="shared" si="84"/>
        <v/>
      </c>
      <c r="AI430" s="152">
        <f ca="1">IF(W431&gt;0,0,IF(AH430=0,(Z430*-1)+BC430+SUM(BB$4:BB429),BC430+SUM(BB$4:BB429)))</f>
        <v>-2.1316282072803006E-13</v>
      </c>
      <c r="AJ430" s="931">
        <f>IF(AND(AL430&gt;=$U$1,AL430&lt;=$U$2),IF(AM430='ESTRATTO CONTO'!$E$2,1+COUNTIF(AJ$4:AJ429,"&gt;0")+U$1015,0),0)</f>
        <v>0</v>
      </c>
      <c r="AK430" s="203">
        <f>IF(AND(OR((AK429+1)&lt;AL$1015,(AK429+1)=AL$1015),MAX(AK$4:AK429)&lt;AL$1015),AK429+1,0)</f>
        <v>0</v>
      </c>
      <c r="AL430" s="309">
        <f>VLOOKUP($AK430,ENTI!$AF$4:AG$1003,2,FALSE)</f>
        <v>0</v>
      </c>
      <c r="AM430" s="224">
        <f>VLOOKUP($AK430,ENTI!$AF$4:AH$1003,3,FALSE)</f>
        <v>0</v>
      </c>
      <c r="AN430" s="224">
        <f>VLOOKUP($AK430,ENTI!$AF$4:AI$1003,4,FALSE)</f>
        <v>0</v>
      </c>
      <c r="AO430" s="781">
        <f>VLOOKUP($AK430,ENTI!$AF$4:AJ$1003,5,FALSE)</f>
        <v>0</v>
      </c>
      <c r="AP430" s="315">
        <f>VLOOKUP($AK430,ENTI!$AF$4:AK$1003,6,FALSE)</f>
        <v>0</v>
      </c>
      <c r="AQ430" s="208">
        <f t="shared" si="91"/>
        <v>0</v>
      </c>
      <c r="AR430" s="152" t="e">
        <f t="shared" si="92"/>
        <v>#N/A</v>
      </c>
      <c r="AS430" s="1"/>
      <c r="AT430" s="88" t="str">
        <f t="shared" si="85"/>
        <v/>
      </c>
      <c r="AU430" s="1"/>
      <c r="AV430" s="175">
        <f>IF(AW430&gt;0,COUNTIF(AV$4:AV429,"&gt;0")+1,0)</f>
        <v>0</v>
      </c>
      <c r="AW430" s="164">
        <f t="shared" si="86"/>
        <v>0</v>
      </c>
      <c r="AX430" s="310">
        <f>IF($AW430=0,0,VLOOKUP(VLOOKUP($X430,$B$34:$T$38,19,FALSE),ENTI!$A$9:$B$13,2,FALSE))</f>
        <v>0</v>
      </c>
      <c r="AY430" s="310">
        <f t="shared" si="88"/>
        <v>0</v>
      </c>
      <c r="AZ430" s="316">
        <f t="shared" si="89"/>
        <v>0</v>
      </c>
      <c r="BA430" s="1"/>
      <c r="BB430" s="152">
        <f t="shared" si="90"/>
        <v>0</v>
      </c>
      <c r="BC430" s="152">
        <f ca="1">SUM(Z$4:Z430)+SUM(BB$4:BB430)+COSTI!S$6-COSTI!L$1076</f>
        <v>-31.760000000000218</v>
      </c>
      <c r="BD430" s="1"/>
    </row>
    <row r="431" spans="1:56" ht="16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435">
        <f>IF(AND(W431&gt;=$U$1,W431&lt;=$U$2),IF(X431='ESTRATTO CONTO'!$E$2,1+COUNTIF(U$4:U430,"&gt;0"),0),0)</f>
        <v>0</v>
      </c>
      <c r="V431" s="417">
        <f t="shared" si="87"/>
        <v>428</v>
      </c>
      <c r="W431" s="509"/>
      <c r="X431" s="321"/>
      <c r="Y431" s="321"/>
      <c r="Z431" s="508"/>
      <c r="AA431" s="356"/>
      <c r="AB431" s="306" t="str">
        <f t="shared" si="83"/>
        <v/>
      </c>
      <c r="AC431" s="637">
        <f t="shared" ca="1" si="82"/>
        <v>-2.1316282072803006E-13</v>
      </c>
      <c r="AD431" s="935">
        <f>IF(ISERROR(VLOOKUP(AD$2,X432:X$1003,1,FALSE)),IF(X431=AD$2,SUMIF(X$4:X431,AD$2,Z$4:Z431)+$E$9+SUM(AQ$4:AQ$1003)+SUMIF(COSTI!$X$1379:$X$1430,AD$2,COSTI!$Z$1379:$Z$1430),0),0)</f>
        <v>0</v>
      </c>
      <c r="AE431" s="26"/>
      <c r="AF431" s="856" t="e">
        <f>IF(ISERROR(VLOOKUP(AG$2,X432:X$1003,1,FALSE)),IF(X431=AG$2,SUMIF(X$4:X431,AG$2,Z$4:Z431)+VLOOKUP(AF$2,$B$1057:$F$1068,5,FALSE)+SUM(AR$4:AR$1003)+SUMIF(COSTI!$X$1379:$X$1430,AG$2,COSTI!$Z$1379:$Z$1430),0),0)</f>
        <v>#N/A</v>
      </c>
      <c r="AG431" s="859"/>
      <c r="AH431" s="27" t="str">
        <f t="shared" si="84"/>
        <v/>
      </c>
      <c r="AI431" s="152">
        <f ca="1">IF(W432&gt;0,0,IF(AH431=0,(Z431*-1)+BC431+SUM(BB$4:BB430),BC431+SUM(BB$4:BB430)))</f>
        <v>-2.1316282072803006E-13</v>
      </c>
      <c r="AJ431" s="931">
        <f>IF(AND(AL431&gt;=$U$1,AL431&lt;=$U$2),IF(AM431='ESTRATTO CONTO'!$E$2,1+COUNTIF(AJ$4:AJ430,"&gt;0")+U$1015,0),0)</f>
        <v>0</v>
      </c>
      <c r="AK431" s="203">
        <f>IF(AND(OR((AK430+1)&lt;AL$1015,(AK430+1)=AL$1015),MAX(AK$4:AK430)&lt;AL$1015),AK430+1,0)</f>
        <v>0</v>
      </c>
      <c r="AL431" s="309">
        <f>VLOOKUP($AK431,ENTI!$AF$4:AG$1003,2,FALSE)</f>
        <v>0</v>
      </c>
      <c r="AM431" s="224">
        <f>VLOOKUP($AK431,ENTI!$AF$4:AH$1003,3,FALSE)</f>
        <v>0</v>
      </c>
      <c r="AN431" s="224">
        <f>VLOOKUP($AK431,ENTI!$AF$4:AI$1003,4,FALSE)</f>
        <v>0</v>
      </c>
      <c r="AO431" s="781">
        <f>VLOOKUP($AK431,ENTI!$AF$4:AJ$1003,5,FALSE)</f>
        <v>0</v>
      </c>
      <c r="AP431" s="315">
        <f>VLOOKUP($AK431,ENTI!$AF$4:AK$1003,6,FALSE)</f>
        <v>0</v>
      </c>
      <c r="AQ431" s="208">
        <f t="shared" si="91"/>
        <v>0</v>
      </c>
      <c r="AR431" s="152" t="e">
        <f t="shared" si="92"/>
        <v>#N/A</v>
      </c>
      <c r="AS431" s="1"/>
      <c r="AT431" s="88" t="str">
        <f t="shared" si="85"/>
        <v/>
      </c>
      <c r="AU431" s="1"/>
      <c r="AV431" s="175">
        <f>IF(AW431&gt;0,COUNTIF(AV$4:AV430,"&gt;0")+1,0)</f>
        <v>0</v>
      </c>
      <c r="AW431" s="164">
        <f t="shared" si="86"/>
        <v>0</v>
      </c>
      <c r="AX431" s="310">
        <f>IF($AW431=0,0,VLOOKUP(VLOOKUP($X431,$B$34:$T$38,19,FALSE),ENTI!$A$9:$B$13,2,FALSE))</f>
        <v>0</v>
      </c>
      <c r="AY431" s="310">
        <f t="shared" si="88"/>
        <v>0</v>
      </c>
      <c r="AZ431" s="316">
        <f t="shared" si="89"/>
        <v>0</v>
      </c>
      <c r="BA431" s="1"/>
      <c r="BB431" s="152">
        <f t="shared" si="90"/>
        <v>0</v>
      </c>
      <c r="BC431" s="152">
        <f ca="1">SUM(Z$4:Z431)+SUM(BB$4:BB431)+COSTI!S$6-COSTI!L$1076</f>
        <v>-31.760000000000218</v>
      </c>
      <c r="BD431" s="1"/>
    </row>
    <row r="432" spans="1:56" ht="16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435">
        <f>IF(AND(W432&gt;=$U$1,W432&lt;=$U$2),IF(X432='ESTRATTO CONTO'!$E$2,1+COUNTIF(U$4:U431,"&gt;0"),0),0)</f>
        <v>0</v>
      </c>
      <c r="V432" s="417">
        <f t="shared" si="87"/>
        <v>429</v>
      </c>
      <c r="W432" s="509"/>
      <c r="X432" s="321"/>
      <c r="Y432" s="321"/>
      <c r="Z432" s="508"/>
      <c r="AA432" s="356"/>
      <c r="AB432" s="306" t="str">
        <f t="shared" si="83"/>
        <v/>
      </c>
      <c r="AC432" s="637">
        <f t="shared" ca="1" si="82"/>
        <v>-2.1316282072803006E-13</v>
      </c>
      <c r="AD432" s="935">
        <f>IF(ISERROR(VLOOKUP(AD$2,X433:X$1003,1,FALSE)),IF(X432=AD$2,SUMIF(X$4:X432,AD$2,Z$4:Z432)+$E$9+SUM(AQ$4:AQ$1003)+SUMIF(COSTI!$X$1379:$X$1430,AD$2,COSTI!$Z$1379:$Z$1430),0),0)</f>
        <v>0</v>
      </c>
      <c r="AE432" s="26"/>
      <c r="AF432" s="856" t="e">
        <f>IF(ISERROR(VLOOKUP(AG$2,X433:X$1003,1,FALSE)),IF(X432=AG$2,SUMIF(X$4:X432,AG$2,Z$4:Z432)+VLOOKUP(AF$2,$B$1057:$F$1068,5,FALSE)+SUM(AR$4:AR$1003)+SUMIF(COSTI!$X$1379:$X$1430,AG$2,COSTI!$Z$1379:$Z$1430),0),0)</f>
        <v>#N/A</v>
      </c>
      <c r="AG432" s="859"/>
      <c r="AH432" s="27" t="str">
        <f t="shared" si="84"/>
        <v/>
      </c>
      <c r="AI432" s="152">
        <f ca="1">IF(W433&gt;0,0,IF(AH432=0,(Z432*-1)+BC432+SUM(BB$4:BB431),BC432+SUM(BB$4:BB431)))</f>
        <v>-2.1316282072803006E-13</v>
      </c>
      <c r="AJ432" s="931">
        <f>IF(AND(AL432&gt;=$U$1,AL432&lt;=$U$2),IF(AM432='ESTRATTO CONTO'!$E$2,1+COUNTIF(AJ$4:AJ431,"&gt;0")+U$1015,0),0)</f>
        <v>0</v>
      </c>
      <c r="AK432" s="203">
        <f>IF(AND(OR((AK431+1)&lt;AL$1015,(AK431+1)=AL$1015),MAX(AK$4:AK431)&lt;AL$1015),AK431+1,0)</f>
        <v>0</v>
      </c>
      <c r="AL432" s="309">
        <f>VLOOKUP($AK432,ENTI!$AF$4:AG$1003,2,FALSE)</f>
        <v>0</v>
      </c>
      <c r="AM432" s="224">
        <f>VLOOKUP($AK432,ENTI!$AF$4:AH$1003,3,FALSE)</f>
        <v>0</v>
      </c>
      <c r="AN432" s="224">
        <f>VLOOKUP($AK432,ENTI!$AF$4:AI$1003,4,FALSE)</f>
        <v>0</v>
      </c>
      <c r="AO432" s="781">
        <f>VLOOKUP($AK432,ENTI!$AF$4:AJ$1003,5,FALSE)</f>
        <v>0</v>
      </c>
      <c r="AP432" s="315">
        <f>VLOOKUP($AK432,ENTI!$AF$4:AK$1003,6,FALSE)</f>
        <v>0</v>
      </c>
      <c r="AQ432" s="208">
        <f t="shared" si="91"/>
        <v>0</v>
      </c>
      <c r="AR432" s="152" t="e">
        <f t="shared" si="92"/>
        <v>#N/A</v>
      </c>
      <c r="AS432" s="1"/>
      <c r="AT432" s="88" t="str">
        <f t="shared" si="85"/>
        <v/>
      </c>
      <c r="AU432" s="1"/>
      <c r="AV432" s="175">
        <f>IF(AW432&gt;0,COUNTIF(AV$4:AV431,"&gt;0")+1,0)</f>
        <v>0</v>
      </c>
      <c r="AW432" s="164">
        <f t="shared" si="86"/>
        <v>0</v>
      </c>
      <c r="AX432" s="310">
        <f>IF($AW432=0,0,VLOOKUP(VLOOKUP($X432,$B$34:$T$38,19,FALSE),ENTI!$A$9:$B$13,2,FALSE))</f>
        <v>0</v>
      </c>
      <c r="AY432" s="310">
        <f t="shared" si="88"/>
        <v>0</v>
      </c>
      <c r="AZ432" s="316">
        <f t="shared" si="89"/>
        <v>0</v>
      </c>
      <c r="BA432" s="1"/>
      <c r="BB432" s="152">
        <f t="shared" si="90"/>
        <v>0</v>
      </c>
      <c r="BC432" s="152">
        <f ca="1">SUM(Z$4:Z432)+SUM(BB$4:BB432)+COSTI!S$6-COSTI!L$1076</f>
        <v>-31.760000000000218</v>
      </c>
      <c r="BD432" s="1"/>
    </row>
    <row r="433" spans="1:56" ht="16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435">
        <f>IF(AND(W433&gt;=$U$1,W433&lt;=$U$2),IF(X433='ESTRATTO CONTO'!$E$2,1+COUNTIF(U$4:U432,"&gt;0"),0),0)</f>
        <v>0</v>
      </c>
      <c r="V433" s="417">
        <f t="shared" si="87"/>
        <v>430</v>
      </c>
      <c r="W433" s="509"/>
      <c r="X433" s="321"/>
      <c r="Y433" s="321"/>
      <c r="Z433" s="508"/>
      <c r="AA433" s="356"/>
      <c r="AB433" s="306" t="str">
        <f t="shared" si="83"/>
        <v/>
      </c>
      <c r="AC433" s="637">
        <f t="shared" ca="1" si="82"/>
        <v>-2.1316282072803006E-13</v>
      </c>
      <c r="AD433" s="935">
        <f>IF(ISERROR(VLOOKUP(AD$2,X434:X$1003,1,FALSE)),IF(X433=AD$2,SUMIF(X$4:X433,AD$2,Z$4:Z433)+$E$9+SUM(AQ$4:AQ$1003)+SUMIF(COSTI!$X$1379:$X$1430,AD$2,COSTI!$Z$1379:$Z$1430),0),0)</f>
        <v>0</v>
      </c>
      <c r="AE433" s="26"/>
      <c r="AF433" s="856" t="e">
        <f>IF(ISERROR(VLOOKUP(AG$2,X434:X$1003,1,FALSE)),IF(X433=AG$2,SUMIF(X$4:X433,AG$2,Z$4:Z433)+VLOOKUP(AF$2,$B$1057:$F$1068,5,FALSE)+SUM(AR$4:AR$1003)+SUMIF(COSTI!$X$1379:$X$1430,AG$2,COSTI!$Z$1379:$Z$1430),0),0)</f>
        <v>#N/A</v>
      </c>
      <c r="AG433" s="859"/>
      <c r="AH433" s="27" t="str">
        <f t="shared" si="84"/>
        <v/>
      </c>
      <c r="AI433" s="152">
        <f ca="1">IF(W434&gt;0,0,IF(AH433=0,(Z433*-1)+BC433+SUM(BB$4:BB432),BC433+SUM(BB$4:BB432)))</f>
        <v>-2.1316282072803006E-13</v>
      </c>
      <c r="AJ433" s="931">
        <f>IF(AND(AL433&gt;=$U$1,AL433&lt;=$U$2),IF(AM433='ESTRATTO CONTO'!$E$2,1+COUNTIF(AJ$4:AJ432,"&gt;0")+U$1015,0),0)</f>
        <v>0</v>
      </c>
      <c r="AK433" s="203">
        <f>IF(AND(OR((AK432+1)&lt;AL$1015,(AK432+1)=AL$1015),MAX(AK$4:AK432)&lt;AL$1015),AK432+1,0)</f>
        <v>0</v>
      </c>
      <c r="AL433" s="309">
        <f>VLOOKUP($AK433,ENTI!$AF$4:AG$1003,2,FALSE)</f>
        <v>0</v>
      </c>
      <c r="AM433" s="224">
        <f>VLOOKUP($AK433,ENTI!$AF$4:AH$1003,3,FALSE)</f>
        <v>0</v>
      </c>
      <c r="AN433" s="224">
        <f>VLOOKUP($AK433,ENTI!$AF$4:AI$1003,4,FALSE)</f>
        <v>0</v>
      </c>
      <c r="AO433" s="781">
        <f>VLOOKUP($AK433,ENTI!$AF$4:AJ$1003,5,FALSE)</f>
        <v>0</v>
      </c>
      <c r="AP433" s="315">
        <f>VLOOKUP($AK433,ENTI!$AF$4:AK$1003,6,FALSE)</f>
        <v>0</v>
      </c>
      <c r="AQ433" s="208">
        <f t="shared" si="91"/>
        <v>0</v>
      </c>
      <c r="AR433" s="152" t="e">
        <f t="shared" si="92"/>
        <v>#N/A</v>
      </c>
      <c r="AS433" s="1"/>
      <c r="AT433" s="88" t="str">
        <f t="shared" si="85"/>
        <v/>
      </c>
      <c r="AU433" s="1"/>
      <c r="AV433" s="175">
        <f>IF(AW433&gt;0,COUNTIF(AV$4:AV432,"&gt;0")+1,0)</f>
        <v>0</v>
      </c>
      <c r="AW433" s="164">
        <f t="shared" si="86"/>
        <v>0</v>
      </c>
      <c r="AX433" s="310">
        <f>IF($AW433=0,0,VLOOKUP(VLOOKUP($X433,$B$34:$T$38,19,FALSE),ENTI!$A$9:$B$13,2,FALSE))</f>
        <v>0</v>
      </c>
      <c r="AY433" s="310">
        <f t="shared" si="88"/>
        <v>0</v>
      </c>
      <c r="AZ433" s="316">
        <f t="shared" si="89"/>
        <v>0</v>
      </c>
      <c r="BA433" s="1"/>
      <c r="BB433" s="152">
        <f t="shared" si="90"/>
        <v>0</v>
      </c>
      <c r="BC433" s="152">
        <f ca="1">SUM(Z$4:Z433)+SUM(BB$4:BB433)+COSTI!S$6-COSTI!L$1076</f>
        <v>-31.760000000000218</v>
      </c>
      <c r="BD433" s="1"/>
    </row>
    <row r="434" spans="1:56" ht="16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435">
        <f>IF(AND(W434&gt;=$U$1,W434&lt;=$U$2),IF(X434='ESTRATTO CONTO'!$E$2,1+COUNTIF(U$4:U433,"&gt;0"),0),0)</f>
        <v>0</v>
      </c>
      <c r="V434" s="417">
        <f t="shared" si="87"/>
        <v>431</v>
      </c>
      <c r="W434" s="509"/>
      <c r="X434" s="321"/>
      <c r="Y434" s="321"/>
      <c r="Z434" s="508"/>
      <c r="AA434" s="356"/>
      <c r="AB434" s="306" t="str">
        <f t="shared" si="83"/>
        <v/>
      </c>
      <c r="AC434" s="637">
        <f t="shared" ca="1" si="82"/>
        <v>-2.1316282072803006E-13</v>
      </c>
      <c r="AD434" s="935">
        <f>IF(ISERROR(VLOOKUP(AD$2,X435:X$1003,1,FALSE)),IF(X434=AD$2,SUMIF(X$4:X434,AD$2,Z$4:Z434)+$E$9+SUM(AQ$4:AQ$1003)+SUMIF(COSTI!$X$1379:$X$1430,AD$2,COSTI!$Z$1379:$Z$1430),0),0)</f>
        <v>0</v>
      </c>
      <c r="AE434" s="26"/>
      <c r="AF434" s="856" t="e">
        <f>IF(ISERROR(VLOOKUP(AG$2,X435:X$1003,1,FALSE)),IF(X434=AG$2,SUMIF(X$4:X434,AG$2,Z$4:Z434)+VLOOKUP(AF$2,$B$1057:$F$1068,5,FALSE)+SUM(AR$4:AR$1003)+SUMIF(COSTI!$X$1379:$X$1430,AG$2,COSTI!$Z$1379:$Z$1430),0),0)</f>
        <v>#N/A</v>
      </c>
      <c r="AG434" s="859"/>
      <c r="AH434" s="27" t="str">
        <f t="shared" si="84"/>
        <v/>
      </c>
      <c r="AI434" s="152">
        <f ca="1">IF(W435&gt;0,0,IF(AH434=0,(Z434*-1)+BC434+SUM(BB$4:BB433),BC434+SUM(BB$4:BB433)))</f>
        <v>-2.1316282072803006E-13</v>
      </c>
      <c r="AJ434" s="931">
        <f>IF(AND(AL434&gt;=$U$1,AL434&lt;=$U$2),IF(AM434='ESTRATTO CONTO'!$E$2,1+COUNTIF(AJ$4:AJ433,"&gt;0")+U$1015,0),0)</f>
        <v>0</v>
      </c>
      <c r="AK434" s="203">
        <f>IF(AND(OR((AK433+1)&lt;AL$1015,(AK433+1)=AL$1015),MAX(AK$4:AK433)&lt;AL$1015),AK433+1,0)</f>
        <v>0</v>
      </c>
      <c r="AL434" s="309">
        <f>VLOOKUP($AK434,ENTI!$AF$4:AG$1003,2,FALSE)</f>
        <v>0</v>
      </c>
      <c r="AM434" s="224">
        <f>VLOOKUP($AK434,ENTI!$AF$4:AH$1003,3,FALSE)</f>
        <v>0</v>
      </c>
      <c r="AN434" s="224">
        <f>VLOOKUP($AK434,ENTI!$AF$4:AI$1003,4,FALSE)</f>
        <v>0</v>
      </c>
      <c r="AO434" s="781">
        <f>VLOOKUP($AK434,ENTI!$AF$4:AJ$1003,5,FALSE)</f>
        <v>0</v>
      </c>
      <c r="AP434" s="315">
        <f>VLOOKUP($AK434,ENTI!$AF$4:AK$1003,6,FALSE)</f>
        <v>0</v>
      </c>
      <c r="AQ434" s="208">
        <f t="shared" si="91"/>
        <v>0</v>
      </c>
      <c r="AR434" s="152" t="e">
        <f t="shared" si="92"/>
        <v>#N/A</v>
      </c>
      <c r="AS434" s="1"/>
      <c r="AT434" s="88" t="str">
        <f t="shared" si="85"/>
        <v/>
      </c>
      <c r="AU434" s="1"/>
      <c r="AV434" s="175">
        <f>IF(AW434&gt;0,COUNTIF(AV$4:AV433,"&gt;0")+1,0)</f>
        <v>0</v>
      </c>
      <c r="AW434" s="164">
        <f t="shared" si="86"/>
        <v>0</v>
      </c>
      <c r="AX434" s="310">
        <f>IF($AW434=0,0,VLOOKUP(VLOOKUP($X434,$B$34:$T$38,19,FALSE),ENTI!$A$9:$B$13,2,FALSE))</f>
        <v>0</v>
      </c>
      <c r="AY434" s="310">
        <f t="shared" si="88"/>
        <v>0</v>
      </c>
      <c r="AZ434" s="316">
        <f t="shared" si="89"/>
        <v>0</v>
      </c>
      <c r="BA434" s="1"/>
      <c r="BB434" s="152">
        <f t="shared" si="90"/>
        <v>0</v>
      </c>
      <c r="BC434" s="152">
        <f ca="1">SUM(Z$4:Z434)+SUM(BB$4:BB434)+COSTI!S$6-COSTI!L$1076</f>
        <v>-31.760000000000218</v>
      </c>
      <c r="BD434" s="1"/>
    </row>
    <row r="435" spans="1:56" ht="16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435">
        <f>IF(AND(W435&gt;=$U$1,W435&lt;=$U$2),IF(X435='ESTRATTO CONTO'!$E$2,1+COUNTIF(U$4:U434,"&gt;0"),0),0)</f>
        <v>0</v>
      </c>
      <c r="V435" s="417">
        <f t="shared" si="87"/>
        <v>432</v>
      </c>
      <c r="W435" s="509"/>
      <c r="X435" s="321"/>
      <c r="Y435" s="321"/>
      <c r="Z435" s="508"/>
      <c r="AA435" s="356"/>
      <c r="AB435" s="306" t="str">
        <f t="shared" si="83"/>
        <v/>
      </c>
      <c r="AC435" s="637">
        <f t="shared" ca="1" si="82"/>
        <v>-2.1316282072803006E-13</v>
      </c>
      <c r="AD435" s="935">
        <f>IF(ISERROR(VLOOKUP(AD$2,X436:X$1003,1,FALSE)),IF(X435=AD$2,SUMIF(X$4:X435,AD$2,Z$4:Z435)+$E$9+SUM(AQ$4:AQ$1003)+SUMIF(COSTI!$X$1379:$X$1430,AD$2,COSTI!$Z$1379:$Z$1430),0),0)</f>
        <v>0</v>
      </c>
      <c r="AE435" s="26"/>
      <c r="AF435" s="856" t="e">
        <f>IF(ISERROR(VLOOKUP(AG$2,X436:X$1003,1,FALSE)),IF(X435=AG$2,SUMIF(X$4:X435,AG$2,Z$4:Z435)+VLOOKUP(AF$2,$B$1057:$F$1068,5,FALSE)+SUM(AR$4:AR$1003)+SUMIF(COSTI!$X$1379:$X$1430,AG$2,COSTI!$Z$1379:$Z$1430),0),0)</f>
        <v>#N/A</v>
      </c>
      <c r="AG435" s="859"/>
      <c r="AH435" s="27" t="str">
        <f t="shared" si="84"/>
        <v/>
      </c>
      <c r="AI435" s="152">
        <f ca="1">IF(W436&gt;0,0,IF(AH435=0,(Z435*-1)+BC435+SUM(BB$4:BB434),BC435+SUM(BB$4:BB434)))</f>
        <v>-2.1316282072803006E-13</v>
      </c>
      <c r="AJ435" s="931">
        <f>IF(AND(AL435&gt;=$U$1,AL435&lt;=$U$2),IF(AM435='ESTRATTO CONTO'!$E$2,1+COUNTIF(AJ$4:AJ434,"&gt;0")+U$1015,0),0)</f>
        <v>0</v>
      </c>
      <c r="AK435" s="203">
        <f>IF(AND(OR((AK434+1)&lt;AL$1015,(AK434+1)=AL$1015),MAX(AK$4:AK434)&lt;AL$1015),AK434+1,0)</f>
        <v>0</v>
      </c>
      <c r="AL435" s="309">
        <f>VLOOKUP($AK435,ENTI!$AF$4:AG$1003,2,FALSE)</f>
        <v>0</v>
      </c>
      <c r="AM435" s="224">
        <f>VLOOKUP($AK435,ENTI!$AF$4:AH$1003,3,FALSE)</f>
        <v>0</v>
      </c>
      <c r="AN435" s="224">
        <f>VLOOKUP($AK435,ENTI!$AF$4:AI$1003,4,FALSE)</f>
        <v>0</v>
      </c>
      <c r="AO435" s="781">
        <f>VLOOKUP($AK435,ENTI!$AF$4:AJ$1003,5,FALSE)</f>
        <v>0</v>
      </c>
      <c r="AP435" s="315">
        <f>VLOOKUP($AK435,ENTI!$AF$4:AK$1003,6,FALSE)</f>
        <v>0</v>
      </c>
      <c r="AQ435" s="208">
        <f t="shared" si="91"/>
        <v>0</v>
      </c>
      <c r="AR435" s="152" t="e">
        <f t="shared" si="92"/>
        <v>#N/A</v>
      </c>
      <c r="AS435" s="1"/>
      <c r="AT435" s="88" t="str">
        <f t="shared" si="85"/>
        <v/>
      </c>
      <c r="AU435" s="1"/>
      <c r="AV435" s="175">
        <f>IF(AW435&gt;0,COUNTIF(AV$4:AV434,"&gt;0")+1,0)</f>
        <v>0</v>
      </c>
      <c r="AW435" s="164">
        <f t="shared" si="86"/>
        <v>0</v>
      </c>
      <c r="AX435" s="310">
        <f>IF($AW435=0,0,VLOOKUP(VLOOKUP($X435,$B$34:$T$38,19,FALSE),ENTI!$A$9:$B$13,2,FALSE))</f>
        <v>0</v>
      </c>
      <c r="AY435" s="310">
        <f t="shared" si="88"/>
        <v>0</v>
      </c>
      <c r="AZ435" s="316">
        <f t="shared" si="89"/>
        <v>0</v>
      </c>
      <c r="BA435" s="1"/>
      <c r="BB435" s="152">
        <f t="shared" si="90"/>
        <v>0</v>
      </c>
      <c r="BC435" s="152">
        <f ca="1">SUM(Z$4:Z435)+SUM(BB$4:BB435)+COSTI!S$6-COSTI!L$1076</f>
        <v>-31.760000000000218</v>
      </c>
      <c r="BD435" s="1"/>
    </row>
    <row r="436" spans="1:56" ht="16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435">
        <f>IF(AND(W436&gt;=$U$1,W436&lt;=$U$2),IF(X436='ESTRATTO CONTO'!$E$2,1+COUNTIF(U$4:U435,"&gt;0"),0),0)</f>
        <v>0</v>
      </c>
      <c r="V436" s="417">
        <f t="shared" si="87"/>
        <v>433</v>
      </c>
      <c r="W436" s="509"/>
      <c r="X436" s="321"/>
      <c r="Y436" s="321"/>
      <c r="Z436" s="508"/>
      <c r="AA436" s="356"/>
      <c r="AB436" s="306" t="str">
        <f t="shared" si="83"/>
        <v/>
      </c>
      <c r="AC436" s="637">
        <f t="shared" ca="1" si="82"/>
        <v>-2.1316282072803006E-13</v>
      </c>
      <c r="AD436" s="935">
        <f>IF(ISERROR(VLOOKUP(AD$2,X437:X$1003,1,FALSE)),IF(X436=AD$2,SUMIF(X$4:X436,AD$2,Z$4:Z436)+$E$9+SUM(AQ$4:AQ$1003)+SUMIF(COSTI!$X$1379:$X$1430,AD$2,COSTI!$Z$1379:$Z$1430),0),0)</f>
        <v>0</v>
      </c>
      <c r="AE436" s="26"/>
      <c r="AF436" s="856" t="e">
        <f>IF(ISERROR(VLOOKUP(AG$2,X437:X$1003,1,FALSE)),IF(X436=AG$2,SUMIF(X$4:X436,AG$2,Z$4:Z436)+VLOOKUP(AF$2,$B$1057:$F$1068,5,FALSE)+SUM(AR$4:AR$1003)+SUMIF(COSTI!$X$1379:$X$1430,AG$2,COSTI!$Z$1379:$Z$1430),0),0)</f>
        <v>#N/A</v>
      </c>
      <c r="AG436" s="859"/>
      <c r="AH436" s="27" t="str">
        <f t="shared" si="84"/>
        <v/>
      </c>
      <c r="AI436" s="152">
        <f ca="1">IF(W437&gt;0,0,IF(AH436=0,(Z436*-1)+BC436+SUM(BB$4:BB435),BC436+SUM(BB$4:BB435)))</f>
        <v>-2.1316282072803006E-13</v>
      </c>
      <c r="AJ436" s="931">
        <f>IF(AND(AL436&gt;=$U$1,AL436&lt;=$U$2),IF(AM436='ESTRATTO CONTO'!$E$2,1+COUNTIF(AJ$4:AJ435,"&gt;0")+U$1015,0),0)</f>
        <v>0</v>
      </c>
      <c r="AK436" s="203">
        <f>IF(AND(OR((AK435+1)&lt;AL$1015,(AK435+1)=AL$1015),MAX(AK$4:AK435)&lt;AL$1015),AK435+1,0)</f>
        <v>0</v>
      </c>
      <c r="AL436" s="309">
        <f>VLOOKUP($AK436,ENTI!$AF$4:AG$1003,2,FALSE)</f>
        <v>0</v>
      </c>
      <c r="AM436" s="224">
        <f>VLOOKUP($AK436,ENTI!$AF$4:AH$1003,3,FALSE)</f>
        <v>0</v>
      </c>
      <c r="AN436" s="224">
        <f>VLOOKUP($AK436,ENTI!$AF$4:AI$1003,4,FALSE)</f>
        <v>0</v>
      </c>
      <c r="AO436" s="781">
        <f>VLOOKUP($AK436,ENTI!$AF$4:AJ$1003,5,FALSE)</f>
        <v>0</v>
      </c>
      <c r="AP436" s="315">
        <f>VLOOKUP($AK436,ENTI!$AF$4:AK$1003,6,FALSE)</f>
        <v>0</v>
      </c>
      <c r="AQ436" s="208">
        <f t="shared" si="91"/>
        <v>0</v>
      </c>
      <c r="AR436" s="152" t="e">
        <f t="shared" si="92"/>
        <v>#N/A</v>
      </c>
      <c r="AS436" s="1"/>
      <c r="AT436" s="88" t="str">
        <f t="shared" si="85"/>
        <v/>
      </c>
      <c r="AU436" s="1"/>
      <c r="AV436" s="175">
        <f>IF(AW436&gt;0,COUNTIF(AV$4:AV435,"&gt;0")+1,0)</f>
        <v>0</v>
      </c>
      <c r="AW436" s="164">
        <f t="shared" si="86"/>
        <v>0</v>
      </c>
      <c r="AX436" s="310">
        <f>IF($AW436=0,0,VLOOKUP(VLOOKUP($X436,$B$34:$T$38,19,FALSE),ENTI!$A$9:$B$13,2,FALSE))</f>
        <v>0</v>
      </c>
      <c r="AY436" s="310">
        <f t="shared" si="88"/>
        <v>0</v>
      </c>
      <c r="AZ436" s="316">
        <f t="shared" si="89"/>
        <v>0</v>
      </c>
      <c r="BA436" s="1"/>
      <c r="BB436" s="152">
        <f t="shared" si="90"/>
        <v>0</v>
      </c>
      <c r="BC436" s="152">
        <f ca="1">SUM(Z$4:Z436)+SUM(BB$4:BB436)+COSTI!S$6-COSTI!L$1076</f>
        <v>-31.760000000000218</v>
      </c>
      <c r="BD436" s="1"/>
    </row>
    <row r="437" spans="1:56" ht="16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435">
        <f>IF(AND(W437&gt;=$U$1,W437&lt;=$U$2),IF(X437='ESTRATTO CONTO'!$E$2,1+COUNTIF(U$4:U436,"&gt;0"),0),0)</f>
        <v>0</v>
      </c>
      <c r="V437" s="417">
        <f t="shared" si="87"/>
        <v>434</v>
      </c>
      <c r="W437" s="509"/>
      <c r="X437" s="321"/>
      <c r="Y437" s="321"/>
      <c r="Z437" s="508"/>
      <c r="AA437" s="356"/>
      <c r="AB437" s="306" t="str">
        <f t="shared" si="83"/>
        <v/>
      </c>
      <c r="AC437" s="637">
        <f t="shared" ca="1" si="82"/>
        <v>-2.1316282072803006E-13</v>
      </c>
      <c r="AD437" s="935">
        <f>IF(ISERROR(VLOOKUP(AD$2,X438:X$1003,1,FALSE)),IF(X437=AD$2,SUMIF(X$4:X437,AD$2,Z$4:Z437)+$E$9+SUM(AQ$4:AQ$1003)+SUMIF(COSTI!$X$1379:$X$1430,AD$2,COSTI!$Z$1379:$Z$1430),0),0)</f>
        <v>0</v>
      </c>
      <c r="AE437" s="26"/>
      <c r="AF437" s="856" t="e">
        <f>IF(ISERROR(VLOOKUP(AG$2,X438:X$1003,1,FALSE)),IF(X437=AG$2,SUMIF(X$4:X437,AG$2,Z$4:Z437)+VLOOKUP(AF$2,$B$1057:$F$1068,5,FALSE)+SUM(AR$4:AR$1003)+SUMIF(COSTI!$X$1379:$X$1430,AG$2,COSTI!$Z$1379:$Z$1430),0),0)</f>
        <v>#N/A</v>
      </c>
      <c r="AG437" s="859"/>
      <c r="AH437" s="27" t="str">
        <f t="shared" si="84"/>
        <v/>
      </c>
      <c r="AI437" s="152">
        <f ca="1">IF(W438&gt;0,0,IF(AH437=0,(Z437*-1)+BC437+SUM(BB$4:BB436),BC437+SUM(BB$4:BB436)))</f>
        <v>-2.1316282072803006E-13</v>
      </c>
      <c r="AJ437" s="931">
        <f>IF(AND(AL437&gt;=$U$1,AL437&lt;=$U$2),IF(AM437='ESTRATTO CONTO'!$E$2,1+COUNTIF(AJ$4:AJ436,"&gt;0")+U$1015,0),0)</f>
        <v>0</v>
      </c>
      <c r="AK437" s="203">
        <f>IF(AND(OR((AK436+1)&lt;AL$1015,(AK436+1)=AL$1015),MAX(AK$4:AK436)&lt;AL$1015),AK436+1,0)</f>
        <v>0</v>
      </c>
      <c r="AL437" s="309">
        <f>VLOOKUP($AK437,ENTI!$AF$4:AG$1003,2,FALSE)</f>
        <v>0</v>
      </c>
      <c r="AM437" s="224">
        <f>VLOOKUP($AK437,ENTI!$AF$4:AH$1003,3,FALSE)</f>
        <v>0</v>
      </c>
      <c r="AN437" s="224">
        <f>VLOOKUP($AK437,ENTI!$AF$4:AI$1003,4,FALSE)</f>
        <v>0</v>
      </c>
      <c r="AO437" s="781">
        <f>VLOOKUP($AK437,ENTI!$AF$4:AJ$1003,5,FALSE)</f>
        <v>0</v>
      </c>
      <c r="AP437" s="315">
        <f>VLOOKUP($AK437,ENTI!$AF$4:AK$1003,6,FALSE)</f>
        <v>0</v>
      </c>
      <c r="AQ437" s="208">
        <f t="shared" si="91"/>
        <v>0</v>
      </c>
      <c r="AR437" s="152" t="e">
        <f t="shared" si="92"/>
        <v>#N/A</v>
      </c>
      <c r="AS437" s="1"/>
      <c r="AT437" s="88" t="str">
        <f t="shared" si="85"/>
        <v/>
      </c>
      <c r="AU437" s="1"/>
      <c r="AV437" s="175">
        <f>IF(AW437&gt;0,COUNTIF(AV$4:AV436,"&gt;0")+1,0)</f>
        <v>0</v>
      </c>
      <c r="AW437" s="164">
        <f t="shared" si="86"/>
        <v>0</v>
      </c>
      <c r="AX437" s="310">
        <f>IF($AW437=0,0,VLOOKUP(VLOOKUP($X437,$B$34:$T$38,19,FALSE),ENTI!$A$9:$B$13,2,FALSE))</f>
        <v>0</v>
      </c>
      <c r="AY437" s="310">
        <f t="shared" si="88"/>
        <v>0</v>
      </c>
      <c r="AZ437" s="316">
        <f t="shared" si="89"/>
        <v>0</v>
      </c>
      <c r="BA437" s="1"/>
      <c r="BB437" s="152">
        <f t="shared" si="90"/>
        <v>0</v>
      </c>
      <c r="BC437" s="152">
        <f ca="1">SUM(Z$4:Z437)+SUM(BB$4:BB437)+COSTI!S$6-COSTI!L$1076</f>
        <v>-31.760000000000218</v>
      </c>
      <c r="BD437" s="1"/>
    </row>
    <row r="438" spans="1:56" ht="16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435">
        <f>IF(AND(W438&gt;=$U$1,W438&lt;=$U$2),IF(X438='ESTRATTO CONTO'!$E$2,1+COUNTIF(U$4:U437,"&gt;0"),0),0)</f>
        <v>0</v>
      </c>
      <c r="V438" s="417">
        <f t="shared" si="87"/>
        <v>435</v>
      </c>
      <c r="W438" s="509"/>
      <c r="X438" s="321"/>
      <c r="Y438" s="321"/>
      <c r="Z438" s="508"/>
      <c r="AA438" s="356"/>
      <c r="AB438" s="306" t="str">
        <f t="shared" si="83"/>
        <v/>
      </c>
      <c r="AC438" s="637">
        <f t="shared" ca="1" si="82"/>
        <v>-2.1316282072803006E-13</v>
      </c>
      <c r="AD438" s="935">
        <f>IF(ISERROR(VLOOKUP(AD$2,X439:X$1003,1,FALSE)),IF(X438=AD$2,SUMIF(X$4:X438,AD$2,Z$4:Z438)+$E$9+SUM(AQ$4:AQ$1003)+SUMIF(COSTI!$X$1379:$X$1430,AD$2,COSTI!$Z$1379:$Z$1430),0),0)</f>
        <v>0</v>
      </c>
      <c r="AE438" s="26"/>
      <c r="AF438" s="856" t="e">
        <f>IF(ISERROR(VLOOKUP(AG$2,X439:X$1003,1,FALSE)),IF(X438=AG$2,SUMIF(X$4:X438,AG$2,Z$4:Z438)+VLOOKUP(AF$2,$B$1057:$F$1068,5,FALSE)+SUM(AR$4:AR$1003)+SUMIF(COSTI!$X$1379:$X$1430,AG$2,COSTI!$Z$1379:$Z$1430),0),0)</f>
        <v>#N/A</v>
      </c>
      <c r="AG438" s="859"/>
      <c r="AH438" s="27" t="str">
        <f t="shared" si="84"/>
        <v/>
      </c>
      <c r="AI438" s="152">
        <f ca="1">IF(W439&gt;0,0,IF(AH438=0,(Z438*-1)+BC438+SUM(BB$4:BB437),BC438+SUM(BB$4:BB437)))</f>
        <v>-2.1316282072803006E-13</v>
      </c>
      <c r="AJ438" s="931">
        <f>IF(AND(AL438&gt;=$U$1,AL438&lt;=$U$2),IF(AM438='ESTRATTO CONTO'!$E$2,1+COUNTIF(AJ$4:AJ437,"&gt;0")+U$1015,0),0)</f>
        <v>0</v>
      </c>
      <c r="AK438" s="203">
        <f>IF(AND(OR((AK437+1)&lt;AL$1015,(AK437+1)=AL$1015),MAX(AK$4:AK437)&lt;AL$1015),AK437+1,0)</f>
        <v>0</v>
      </c>
      <c r="AL438" s="309">
        <f>VLOOKUP($AK438,ENTI!$AF$4:AG$1003,2,FALSE)</f>
        <v>0</v>
      </c>
      <c r="AM438" s="224">
        <f>VLOOKUP($AK438,ENTI!$AF$4:AH$1003,3,FALSE)</f>
        <v>0</v>
      </c>
      <c r="AN438" s="224">
        <f>VLOOKUP($AK438,ENTI!$AF$4:AI$1003,4,FALSE)</f>
        <v>0</v>
      </c>
      <c r="AO438" s="781">
        <f>VLOOKUP($AK438,ENTI!$AF$4:AJ$1003,5,FALSE)</f>
        <v>0</v>
      </c>
      <c r="AP438" s="315">
        <f>VLOOKUP($AK438,ENTI!$AF$4:AK$1003,6,FALSE)</f>
        <v>0</v>
      </c>
      <c r="AQ438" s="208">
        <f t="shared" si="91"/>
        <v>0</v>
      </c>
      <c r="AR438" s="152" t="e">
        <f t="shared" si="92"/>
        <v>#N/A</v>
      </c>
      <c r="AS438" s="1"/>
      <c r="AT438" s="88" t="str">
        <f t="shared" si="85"/>
        <v/>
      </c>
      <c r="AU438" s="1"/>
      <c r="AV438" s="175">
        <f>IF(AW438&gt;0,COUNTIF(AV$4:AV437,"&gt;0")+1,0)</f>
        <v>0</v>
      </c>
      <c r="AW438" s="164">
        <f t="shared" si="86"/>
        <v>0</v>
      </c>
      <c r="AX438" s="310">
        <f>IF($AW438=0,0,VLOOKUP(VLOOKUP($X438,$B$34:$T$38,19,FALSE),ENTI!$A$9:$B$13,2,FALSE))</f>
        <v>0</v>
      </c>
      <c r="AY438" s="310">
        <f t="shared" si="88"/>
        <v>0</v>
      </c>
      <c r="AZ438" s="316">
        <f t="shared" si="89"/>
        <v>0</v>
      </c>
      <c r="BA438" s="1"/>
      <c r="BB438" s="152">
        <f t="shared" si="90"/>
        <v>0</v>
      </c>
      <c r="BC438" s="152">
        <f ca="1">SUM(Z$4:Z438)+SUM(BB$4:BB438)+COSTI!S$6-COSTI!L$1076</f>
        <v>-31.760000000000218</v>
      </c>
      <c r="BD438" s="1"/>
    </row>
    <row r="439" spans="1:56" ht="16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435">
        <f>IF(AND(W439&gt;=$U$1,W439&lt;=$U$2),IF(X439='ESTRATTO CONTO'!$E$2,1+COUNTIF(U$4:U438,"&gt;0"),0),0)</f>
        <v>0</v>
      </c>
      <c r="V439" s="417">
        <f t="shared" si="87"/>
        <v>436</v>
      </c>
      <c r="W439" s="509"/>
      <c r="X439" s="321"/>
      <c r="Y439" s="321"/>
      <c r="Z439" s="508"/>
      <c r="AA439" s="356"/>
      <c r="AB439" s="306" t="str">
        <f t="shared" si="83"/>
        <v/>
      </c>
      <c r="AC439" s="637">
        <f t="shared" ca="1" si="82"/>
        <v>-2.1316282072803006E-13</v>
      </c>
      <c r="AD439" s="935">
        <f>IF(ISERROR(VLOOKUP(AD$2,X440:X$1003,1,FALSE)),IF(X439=AD$2,SUMIF(X$4:X439,AD$2,Z$4:Z439)+$E$9+SUM(AQ$4:AQ$1003)+SUMIF(COSTI!$X$1379:$X$1430,AD$2,COSTI!$Z$1379:$Z$1430),0),0)</f>
        <v>0</v>
      </c>
      <c r="AE439" s="26"/>
      <c r="AF439" s="856" t="e">
        <f>IF(ISERROR(VLOOKUP(AG$2,X440:X$1003,1,FALSE)),IF(X439=AG$2,SUMIF(X$4:X439,AG$2,Z$4:Z439)+VLOOKUP(AF$2,$B$1057:$F$1068,5,FALSE)+SUM(AR$4:AR$1003)+SUMIF(COSTI!$X$1379:$X$1430,AG$2,COSTI!$Z$1379:$Z$1430),0),0)</f>
        <v>#N/A</v>
      </c>
      <c r="AG439" s="859"/>
      <c r="AH439" s="27" t="str">
        <f t="shared" si="84"/>
        <v/>
      </c>
      <c r="AI439" s="152">
        <f ca="1">IF(W440&gt;0,0,IF(AH439=0,(Z439*-1)+BC439+SUM(BB$4:BB438),BC439+SUM(BB$4:BB438)))</f>
        <v>-2.1316282072803006E-13</v>
      </c>
      <c r="AJ439" s="931">
        <f>IF(AND(AL439&gt;=$U$1,AL439&lt;=$U$2),IF(AM439='ESTRATTO CONTO'!$E$2,1+COUNTIF(AJ$4:AJ438,"&gt;0")+U$1015,0),0)</f>
        <v>0</v>
      </c>
      <c r="AK439" s="203">
        <f>IF(AND(OR((AK438+1)&lt;AL$1015,(AK438+1)=AL$1015),MAX(AK$4:AK438)&lt;AL$1015),AK438+1,0)</f>
        <v>0</v>
      </c>
      <c r="AL439" s="309">
        <f>VLOOKUP($AK439,ENTI!$AF$4:AG$1003,2,FALSE)</f>
        <v>0</v>
      </c>
      <c r="AM439" s="224">
        <f>VLOOKUP($AK439,ENTI!$AF$4:AH$1003,3,FALSE)</f>
        <v>0</v>
      </c>
      <c r="AN439" s="224">
        <f>VLOOKUP($AK439,ENTI!$AF$4:AI$1003,4,FALSE)</f>
        <v>0</v>
      </c>
      <c r="AO439" s="781">
        <f>VLOOKUP($AK439,ENTI!$AF$4:AJ$1003,5,FALSE)</f>
        <v>0</v>
      </c>
      <c r="AP439" s="315">
        <f>VLOOKUP($AK439,ENTI!$AF$4:AK$1003,6,FALSE)</f>
        <v>0</v>
      </c>
      <c r="AQ439" s="208">
        <f t="shared" si="91"/>
        <v>0</v>
      </c>
      <c r="AR439" s="152" t="e">
        <f t="shared" si="92"/>
        <v>#N/A</v>
      </c>
      <c r="AS439" s="1"/>
      <c r="AT439" s="88" t="str">
        <f t="shared" si="85"/>
        <v/>
      </c>
      <c r="AU439" s="1"/>
      <c r="AV439" s="175">
        <f>IF(AW439&gt;0,COUNTIF(AV$4:AV438,"&gt;0")+1,0)</f>
        <v>0</v>
      </c>
      <c r="AW439" s="164">
        <f t="shared" si="86"/>
        <v>0</v>
      </c>
      <c r="AX439" s="310">
        <f>IF($AW439=0,0,VLOOKUP(VLOOKUP($X439,$B$34:$T$38,19,FALSE),ENTI!$A$9:$B$13,2,FALSE))</f>
        <v>0</v>
      </c>
      <c r="AY439" s="310">
        <f t="shared" si="88"/>
        <v>0</v>
      </c>
      <c r="AZ439" s="316">
        <f t="shared" si="89"/>
        <v>0</v>
      </c>
      <c r="BA439" s="1"/>
      <c r="BB439" s="152">
        <f t="shared" si="90"/>
        <v>0</v>
      </c>
      <c r="BC439" s="152">
        <f ca="1">SUM(Z$4:Z439)+SUM(BB$4:BB439)+COSTI!S$6-COSTI!L$1076</f>
        <v>-31.760000000000218</v>
      </c>
      <c r="BD439" s="1"/>
    </row>
    <row r="440" spans="1:56" ht="16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435">
        <f>IF(AND(W440&gt;=$U$1,W440&lt;=$U$2),IF(X440='ESTRATTO CONTO'!$E$2,1+COUNTIF(U$4:U439,"&gt;0"),0),0)</f>
        <v>0</v>
      </c>
      <c r="V440" s="417">
        <f t="shared" si="87"/>
        <v>437</v>
      </c>
      <c r="W440" s="509"/>
      <c r="X440" s="321"/>
      <c r="Y440" s="321"/>
      <c r="Z440" s="508"/>
      <c r="AA440" s="356"/>
      <c r="AB440" s="306" t="str">
        <f t="shared" si="83"/>
        <v/>
      </c>
      <c r="AC440" s="637">
        <f t="shared" ca="1" si="82"/>
        <v>-2.1316282072803006E-13</v>
      </c>
      <c r="AD440" s="935">
        <f>IF(ISERROR(VLOOKUP(AD$2,X441:X$1003,1,FALSE)),IF(X440=AD$2,SUMIF(X$4:X440,AD$2,Z$4:Z440)+$E$9+SUM(AQ$4:AQ$1003)+SUMIF(COSTI!$X$1379:$X$1430,AD$2,COSTI!$Z$1379:$Z$1430),0),0)</f>
        <v>0</v>
      </c>
      <c r="AE440" s="26"/>
      <c r="AF440" s="856" t="e">
        <f>IF(ISERROR(VLOOKUP(AG$2,X441:X$1003,1,FALSE)),IF(X440=AG$2,SUMIF(X$4:X440,AG$2,Z$4:Z440)+VLOOKUP(AF$2,$B$1057:$F$1068,5,FALSE)+SUM(AR$4:AR$1003)+SUMIF(COSTI!$X$1379:$X$1430,AG$2,COSTI!$Z$1379:$Z$1430),0),0)</f>
        <v>#N/A</v>
      </c>
      <c r="AG440" s="859"/>
      <c r="AH440" s="27" t="str">
        <f t="shared" si="84"/>
        <v/>
      </c>
      <c r="AI440" s="152">
        <f ca="1">IF(W441&gt;0,0,IF(AH440=0,(Z440*-1)+BC440+SUM(BB$4:BB439),BC440+SUM(BB$4:BB439)))</f>
        <v>-2.1316282072803006E-13</v>
      </c>
      <c r="AJ440" s="931">
        <f>IF(AND(AL440&gt;=$U$1,AL440&lt;=$U$2),IF(AM440='ESTRATTO CONTO'!$E$2,1+COUNTIF(AJ$4:AJ439,"&gt;0")+U$1015,0),0)</f>
        <v>0</v>
      </c>
      <c r="AK440" s="203">
        <f>IF(AND(OR((AK439+1)&lt;AL$1015,(AK439+1)=AL$1015),MAX(AK$4:AK439)&lt;AL$1015),AK439+1,0)</f>
        <v>0</v>
      </c>
      <c r="AL440" s="309">
        <f>VLOOKUP($AK440,ENTI!$AF$4:AG$1003,2,FALSE)</f>
        <v>0</v>
      </c>
      <c r="AM440" s="224">
        <f>VLOOKUP($AK440,ENTI!$AF$4:AH$1003,3,FALSE)</f>
        <v>0</v>
      </c>
      <c r="AN440" s="224">
        <f>VLOOKUP($AK440,ENTI!$AF$4:AI$1003,4,FALSE)</f>
        <v>0</v>
      </c>
      <c r="AO440" s="781">
        <f>VLOOKUP($AK440,ENTI!$AF$4:AJ$1003,5,FALSE)</f>
        <v>0</v>
      </c>
      <c r="AP440" s="315">
        <f>VLOOKUP($AK440,ENTI!$AF$4:AK$1003,6,FALSE)</f>
        <v>0</v>
      </c>
      <c r="AQ440" s="208">
        <f t="shared" si="91"/>
        <v>0</v>
      </c>
      <c r="AR440" s="152" t="e">
        <f t="shared" si="92"/>
        <v>#N/A</v>
      </c>
      <c r="AS440" s="1"/>
      <c r="AT440" s="88" t="str">
        <f t="shared" si="85"/>
        <v/>
      </c>
      <c r="AU440" s="1"/>
      <c r="AV440" s="175">
        <f>IF(AW440&gt;0,COUNTIF(AV$4:AV439,"&gt;0")+1,0)</f>
        <v>0</v>
      </c>
      <c r="AW440" s="164">
        <f t="shared" si="86"/>
        <v>0</v>
      </c>
      <c r="AX440" s="310">
        <f>IF($AW440=0,0,VLOOKUP(VLOOKUP($X440,$B$34:$T$38,19,FALSE),ENTI!$A$9:$B$13,2,FALSE))</f>
        <v>0</v>
      </c>
      <c r="AY440" s="310">
        <f t="shared" si="88"/>
        <v>0</v>
      </c>
      <c r="AZ440" s="316">
        <f t="shared" si="89"/>
        <v>0</v>
      </c>
      <c r="BA440" s="1"/>
      <c r="BB440" s="152">
        <f t="shared" si="90"/>
        <v>0</v>
      </c>
      <c r="BC440" s="152">
        <f ca="1">SUM(Z$4:Z440)+SUM(BB$4:BB440)+COSTI!S$6-COSTI!L$1076</f>
        <v>-31.760000000000218</v>
      </c>
      <c r="BD440" s="1"/>
    </row>
    <row r="441" spans="1:56" ht="16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435">
        <f>IF(AND(W441&gt;=$U$1,W441&lt;=$U$2),IF(X441='ESTRATTO CONTO'!$E$2,1+COUNTIF(U$4:U440,"&gt;0"),0),0)</f>
        <v>0</v>
      </c>
      <c r="V441" s="417">
        <f t="shared" si="87"/>
        <v>438</v>
      </c>
      <c r="W441" s="509"/>
      <c r="X441" s="321"/>
      <c r="Y441" s="321"/>
      <c r="Z441" s="508"/>
      <c r="AA441" s="356"/>
      <c r="AB441" s="306" t="str">
        <f t="shared" si="83"/>
        <v/>
      </c>
      <c r="AC441" s="637">
        <f t="shared" ref="AC441:AC504" ca="1" si="93">AI441</f>
        <v>-2.1316282072803006E-13</v>
      </c>
      <c r="AD441" s="935">
        <f>IF(ISERROR(VLOOKUP(AD$2,X442:X$1003,1,FALSE)),IF(X441=AD$2,SUMIF(X$4:X441,AD$2,Z$4:Z441)+$E$9+SUM(AQ$4:AQ$1003)+SUMIF(COSTI!$X$1379:$X$1430,AD$2,COSTI!$Z$1379:$Z$1430),0),0)</f>
        <v>0</v>
      </c>
      <c r="AE441" s="26"/>
      <c r="AF441" s="856" t="e">
        <f>IF(ISERROR(VLOOKUP(AG$2,X442:X$1003,1,FALSE)),IF(X441=AG$2,SUMIF(X$4:X441,AG$2,Z$4:Z441)+VLOOKUP(AF$2,$B$1057:$F$1068,5,FALSE)+SUM(AR$4:AR$1003)+SUMIF(COSTI!$X$1379:$X$1430,AG$2,COSTI!$Z$1379:$Z$1430),0),0)</f>
        <v>#N/A</v>
      </c>
      <c r="AG441" s="859"/>
      <c r="AH441" s="27" t="str">
        <f t="shared" si="84"/>
        <v/>
      </c>
      <c r="AI441" s="152">
        <f ca="1">IF(W442&gt;0,0,IF(AH441=0,(Z441*-1)+BC441+SUM(BB$4:BB440),BC441+SUM(BB$4:BB440)))</f>
        <v>-2.1316282072803006E-13</v>
      </c>
      <c r="AJ441" s="931">
        <f>IF(AND(AL441&gt;=$U$1,AL441&lt;=$U$2),IF(AM441='ESTRATTO CONTO'!$E$2,1+COUNTIF(AJ$4:AJ440,"&gt;0")+U$1015,0),0)</f>
        <v>0</v>
      </c>
      <c r="AK441" s="203">
        <f>IF(AND(OR((AK440+1)&lt;AL$1015,(AK440+1)=AL$1015),MAX(AK$4:AK440)&lt;AL$1015),AK440+1,0)</f>
        <v>0</v>
      </c>
      <c r="AL441" s="309">
        <f>VLOOKUP($AK441,ENTI!$AF$4:AG$1003,2,FALSE)</f>
        <v>0</v>
      </c>
      <c r="AM441" s="224">
        <f>VLOOKUP($AK441,ENTI!$AF$4:AH$1003,3,FALSE)</f>
        <v>0</v>
      </c>
      <c r="AN441" s="224">
        <f>VLOOKUP($AK441,ENTI!$AF$4:AI$1003,4,FALSE)</f>
        <v>0</v>
      </c>
      <c r="AO441" s="781">
        <f>VLOOKUP($AK441,ENTI!$AF$4:AJ$1003,5,FALSE)</f>
        <v>0</v>
      </c>
      <c r="AP441" s="315">
        <f>VLOOKUP($AK441,ENTI!$AF$4:AK$1003,6,FALSE)</f>
        <v>0</v>
      </c>
      <c r="AQ441" s="208">
        <f t="shared" si="91"/>
        <v>0</v>
      </c>
      <c r="AR441" s="152" t="e">
        <f t="shared" si="92"/>
        <v>#N/A</v>
      </c>
      <c r="AS441" s="1"/>
      <c r="AT441" s="88" t="str">
        <f t="shared" si="85"/>
        <v/>
      </c>
      <c r="AU441" s="1"/>
      <c r="AV441" s="175">
        <f>IF(AW441&gt;0,COUNTIF(AV$4:AV440,"&gt;0")+1,0)</f>
        <v>0</v>
      </c>
      <c r="AW441" s="164">
        <f t="shared" si="86"/>
        <v>0</v>
      </c>
      <c r="AX441" s="310">
        <f>IF($AW441=0,0,VLOOKUP(VLOOKUP($X441,$B$34:$T$38,19,FALSE),ENTI!$A$9:$B$13,2,FALSE))</f>
        <v>0</v>
      </c>
      <c r="AY441" s="310">
        <f t="shared" si="88"/>
        <v>0</v>
      </c>
      <c r="AZ441" s="316">
        <f t="shared" si="89"/>
        <v>0</v>
      </c>
      <c r="BA441" s="1"/>
      <c r="BB441" s="152">
        <f t="shared" si="90"/>
        <v>0</v>
      </c>
      <c r="BC441" s="152">
        <f ca="1">SUM(Z$4:Z441)+SUM(BB$4:BB441)+COSTI!S$6-COSTI!L$1076</f>
        <v>-31.760000000000218</v>
      </c>
      <c r="BD441" s="1"/>
    </row>
    <row r="442" spans="1:56" ht="16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435">
        <f>IF(AND(W442&gt;=$U$1,W442&lt;=$U$2),IF(X442='ESTRATTO CONTO'!$E$2,1+COUNTIF(U$4:U441,"&gt;0"),0),0)</f>
        <v>0</v>
      </c>
      <c r="V442" s="417">
        <f t="shared" si="87"/>
        <v>439</v>
      </c>
      <c r="W442" s="509"/>
      <c r="X442" s="321"/>
      <c r="Y442" s="321"/>
      <c r="Z442" s="508"/>
      <c r="AA442" s="356"/>
      <c r="AB442" s="306" t="str">
        <f t="shared" si="83"/>
        <v/>
      </c>
      <c r="AC442" s="637">
        <f t="shared" ca="1" si="93"/>
        <v>-2.1316282072803006E-13</v>
      </c>
      <c r="AD442" s="935">
        <f>IF(ISERROR(VLOOKUP(AD$2,X443:X$1003,1,FALSE)),IF(X442=AD$2,SUMIF(X$4:X442,AD$2,Z$4:Z442)+$E$9+SUM(AQ$4:AQ$1003)+SUMIF(COSTI!$X$1379:$X$1430,AD$2,COSTI!$Z$1379:$Z$1430),0),0)</f>
        <v>0</v>
      </c>
      <c r="AE442" s="26"/>
      <c r="AF442" s="856" t="e">
        <f>IF(ISERROR(VLOOKUP(AG$2,X443:X$1003,1,FALSE)),IF(X442=AG$2,SUMIF(X$4:X442,AG$2,Z$4:Z442)+VLOOKUP(AF$2,$B$1057:$F$1068,5,FALSE)+SUM(AR$4:AR$1003)+SUMIF(COSTI!$X$1379:$X$1430,AG$2,COSTI!$Z$1379:$Z$1430),0),0)</f>
        <v>#N/A</v>
      </c>
      <c r="AG442" s="859"/>
      <c r="AH442" s="27" t="str">
        <f t="shared" si="84"/>
        <v/>
      </c>
      <c r="AI442" s="152">
        <f ca="1">IF(W443&gt;0,0,IF(AH442=0,(Z442*-1)+BC442+SUM(BB$4:BB441),BC442+SUM(BB$4:BB441)))</f>
        <v>-2.1316282072803006E-13</v>
      </c>
      <c r="AJ442" s="931">
        <f>IF(AND(AL442&gt;=$U$1,AL442&lt;=$U$2),IF(AM442='ESTRATTO CONTO'!$E$2,1+COUNTIF(AJ$4:AJ441,"&gt;0")+U$1015,0),0)</f>
        <v>0</v>
      </c>
      <c r="AK442" s="203">
        <f>IF(AND(OR((AK441+1)&lt;AL$1015,(AK441+1)=AL$1015),MAX(AK$4:AK441)&lt;AL$1015),AK441+1,0)</f>
        <v>0</v>
      </c>
      <c r="AL442" s="309">
        <f>VLOOKUP($AK442,ENTI!$AF$4:AG$1003,2,FALSE)</f>
        <v>0</v>
      </c>
      <c r="AM442" s="224">
        <f>VLOOKUP($AK442,ENTI!$AF$4:AH$1003,3,FALSE)</f>
        <v>0</v>
      </c>
      <c r="AN442" s="224">
        <f>VLOOKUP($AK442,ENTI!$AF$4:AI$1003,4,FALSE)</f>
        <v>0</v>
      </c>
      <c r="AO442" s="781">
        <f>VLOOKUP($AK442,ENTI!$AF$4:AJ$1003,5,FALSE)</f>
        <v>0</v>
      </c>
      <c r="AP442" s="315">
        <f>VLOOKUP($AK442,ENTI!$AF$4:AK$1003,6,FALSE)</f>
        <v>0</v>
      </c>
      <c r="AQ442" s="208">
        <f t="shared" si="91"/>
        <v>0</v>
      </c>
      <c r="AR442" s="152" t="e">
        <f t="shared" si="92"/>
        <v>#N/A</v>
      </c>
      <c r="AS442" s="1"/>
      <c r="AT442" s="88" t="str">
        <f t="shared" si="85"/>
        <v/>
      </c>
      <c r="AU442" s="1"/>
      <c r="AV442" s="175">
        <f>IF(AW442&gt;0,COUNTIF(AV$4:AV441,"&gt;0")+1,0)</f>
        <v>0</v>
      </c>
      <c r="AW442" s="164">
        <f t="shared" si="86"/>
        <v>0</v>
      </c>
      <c r="AX442" s="310">
        <f>IF($AW442=0,0,VLOOKUP(VLOOKUP($X442,$B$34:$T$38,19,FALSE),ENTI!$A$9:$B$13,2,FALSE))</f>
        <v>0</v>
      </c>
      <c r="AY442" s="310">
        <f t="shared" si="88"/>
        <v>0</v>
      </c>
      <c r="AZ442" s="316">
        <f t="shared" si="89"/>
        <v>0</v>
      </c>
      <c r="BA442" s="1"/>
      <c r="BB442" s="152">
        <f t="shared" si="90"/>
        <v>0</v>
      </c>
      <c r="BC442" s="152">
        <f ca="1">SUM(Z$4:Z442)+SUM(BB$4:BB442)+COSTI!S$6-COSTI!L$1076</f>
        <v>-31.760000000000218</v>
      </c>
      <c r="BD442" s="1"/>
    </row>
    <row r="443" spans="1:56" ht="16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435">
        <f>IF(AND(W443&gt;=$U$1,W443&lt;=$U$2),IF(X443='ESTRATTO CONTO'!$E$2,1+COUNTIF(U$4:U442,"&gt;0"),0),0)</f>
        <v>0</v>
      </c>
      <c r="V443" s="417">
        <f t="shared" si="87"/>
        <v>440</v>
      </c>
      <c r="W443" s="509"/>
      <c r="X443" s="321"/>
      <c r="Y443" s="321"/>
      <c r="Z443" s="508"/>
      <c r="AA443" s="356"/>
      <c r="AB443" s="306" t="str">
        <f t="shared" si="83"/>
        <v/>
      </c>
      <c r="AC443" s="637">
        <f t="shared" ca="1" si="93"/>
        <v>-2.1316282072803006E-13</v>
      </c>
      <c r="AD443" s="935">
        <f>IF(ISERROR(VLOOKUP(AD$2,X444:X$1003,1,FALSE)),IF(X443=AD$2,SUMIF(X$4:X443,AD$2,Z$4:Z443)+$E$9+SUM(AQ$4:AQ$1003)+SUMIF(COSTI!$X$1379:$X$1430,AD$2,COSTI!$Z$1379:$Z$1430),0),0)</f>
        <v>0</v>
      </c>
      <c r="AE443" s="26"/>
      <c r="AF443" s="856" t="e">
        <f>IF(ISERROR(VLOOKUP(AG$2,X444:X$1003,1,FALSE)),IF(X443=AG$2,SUMIF(X$4:X443,AG$2,Z$4:Z443)+VLOOKUP(AF$2,$B$1057:$F$1068,5,FALSE)+SUM(AR$4:AR$1003)+SUMIF(COSTI!$X$1379:$X$1430,AG$2,COSTI!$Z$1379:$Z$1430),0),0)</f>
        <v>#N/A</v>
      </c>
      <c r="AG443" s="859"/>
      <c r="AH443" s="27" t="str">
        <f t="shared" si="84"/>
        <v/>
      </c>
      <c r="AI443" s="152">
        <f ca="1">IF(W444&gt;0,0,IF(AH443=0,(Z443*-1)+BC443+SUM(BB$4:BB442),BC443+SUM(BB$4:BB442)))</f>
        <v>-2.1316282072803006E-13</v>
      </c>
      <c r="AJ443" s="931">
        <f>IF(AND(AL443&gt;=$U$1,AL443&lt;=$U$2),IF(AM443='ESTRATTO CONTO'!$E$2,1+COUNTIF(AJ$4:AJ442,"&gt;0")+U$1015,0),0)</f>
        <v>0</v>
      </c>
      <c r="AK443" s="203">
        <f>IF(AND(OR((AK442+1)&lt;AL$1015,(AK442+1)=AL$1015),MAX(AK$4:AK442)&lt;AL$1015),AK442+1,0)</f>
        <v>0</v>
      </c>
      <c r="AL443" s="309">
        <f>VLOOKUP($AK443,ENTI!$AF$4:AG$1003,2,FALSE)</f>
        <v>0</v>
      </c>
      <c r="AM443" s="224">
        <f>VLOOKUP($AK443,ENTI!$AF$4:AH$1003,3,FALSE)</f>
        <v>0</v>
      </c>
      <c r="AN443" s="224">
        <f>VLOOKUP($AK443,ENTI!$AF$4:AI$1003,4,FALSE)</f>
        <v>0</v>
      </c>
      <c r="AO443" s="781">
        <f>VLOOKUP($AK443,ENTI!$AF$4:AJ$1003,5,FALSE)</f>
        <v>0</v>
      </c>
      <c r="AP443" s="315">
        <f>VLOOKUP($AK443,ENTI!$AF$4:AK$1003,6,FALSE)</f>
        <v>0</v>
      </c>
      <c r="AQ443" s="208">
        <f t="shared" si="91"/>
        <v>0</v>
      </c>
      <c r="AR443" s="152" t="e">
        <f t="shared" si="92"/>
        <v>#N/A</v>
      </c>
      <c r="AS443" s="1"/>
      <c r="AT443" s="88" t="str">
        <f t="shared" si="85"/>
        <v/>
      </c>
      <c r="AU443" s="1"/>
      <c r="AV443" s="175">
        <f>IF(AW443&gt;0,COUNTIF(AV$4:AV442,"&gt;0")+1,0)</f>
        <v>0</v>
      </c>
      <c r="AW443" s="164">
        <f t="shared" si="86"/>
        <v>0</v>
      </c>
      <c r="AX443" s="310">
        <f>IF($AW443=0,0,VLOOKUP(VLOOKUP($X443,$B$34:$T$38,19,FALSE),ENTI!$A$9:$B$13,2,FALSE))</f>
        <v>0</v>
      </c>
      <c r="AY443" s="310">
        <f t="shared" si="88"/>
        <v>0</v>
      </c>
      <c r="AZ443" s="316">
        <f t="shared" si="89"/>
        <v>0</v>
      </c>
      <c r="BA443" s="1"/>
      <c r="BB443" s="152">
        <f t="shared" si="90"/>
        <v>0</v>
      </c>
      <c r="BC443" s="152">
        <f ca="1">SUM(Z$4:Z443)+SUM(BB$4:BB443)+COSTI!S$6-COSTI!L$1076</f>
        <v>-31.760000000000218</v>
      </c>
      <c r="BD443" s="1"/>
    </row>
    <row r="444" spans="1:56" ht="16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435">
        <f>IF(AND(W444&gt;=$U$1,W444&lt;=$U$2),IF(X444='ESTRATTO CONTO'!$E$2,1+COUNTIF(U$4:U443,"&gt;0"),0),0)</f>
        <v>0</v>
      </c>
      <c r="V444" s="417">
        <f t="shared" si="87"/>
        <v>441</v>
      </c>
      <c r="W444" s="509"/>
      <c r="X444" s="321"/>
      <c r="Y444" s="321"/>
      <c r="Z444" s="508"/>
      <c r="AA444" s="356"/>
      <c r="AB444" s="306" t="str">
        <f t="shared" si="83"/>
        <v/>
      </c>
      <c r="AC444" s="637">
        <f t="shared" ca="1" si="93"/>
        <v>-2.1316282072803006E-13</v>
      </c>
      <c r="AD444" s="935">
        <f>IF(ISERROR(VLOOKUP(AD$2,X445:X$1003,1,FALSE)),IF(X444=AD$2,SUMIF(X$4:X444,AD$2,Z$4:Z444)+$E$9+SUM(AQ$4:AQ$1003)+SUMIF(COSTI!$X$1379:$X$1430,AD$2,COSTI!$Z$1379:$Z$1430),0),0)</f>
        <v>0</v>
      </c>
      <c r="AE444" s="26"/>
      <c r="AF444" s="856" t="e">
        <f>IF(ISERROR(VLOOKUP(AG$2,X445:X$1003,1,FALSE)),IF(X444=AG$2,SUMIF(X$4:X444,AG$2,Z$4:Z444)+VLOOKUP(AF$2,$B$1057:$F$1068,5,FALSE)+SUM(AR$4:AR$1003)+SUMIF(COSTI!$X$1379:$X$1430,AG$2,COSTI!$Z$1379:$Z$1430),0),0)</f>
        <v>#N/A</v>
      </c>
      <c r="AG444" s="859"/>
      <c r="AH444" s="27" t="str">
        <f t="shared" si="84"/>
        <v/>
      </c>
      <c r="AI444" s="152">
        <f ca="1">IF(W445&gt;0,0,IF(AH444=0,(Z444*-1)+BC444+SUM(BB$4:BB443),BC444+SUM(BB$4:BB443)))</f>
        <v>-2.1316282072803006E-13</v>
      </c>
      <c r="AJ444" s="931">
        <f>IF(AND(AL444&gt;=$U$1,AL444&lt;=$U$2),IF(AM444='ESTRATTO CONTO'!$E$2,1+COUNTIF(AJ$4:AJ443,"&gt;0")+U$1015,0),0)</f>
        <v>0</v>
      </c>
      <c r="AK444" s="203">
        <f>IF(AND(OR((AK443+1)&lt;AL$1015,(AK443+1)=AL$1015),MAX(AK$4:AK443)&lt;AL$1015),AK443+1,0)</f>
        <v>0</v>
      </c>
      <c r="AL444" s="309">
        <f>VLOOKUP($AK444,ENTI!$AF$4:AG$1003,2,FALSE)</f>
        <v>0</v>
      </c>
      <c r="AM444" s="224">
        <f>VLOOKUP($AK444,ENTI!$AF$4:AH$1003,3,FALSE)</f>
        <v>0</v>
      </c>
      <c r="AN444" s="224">
        <f>VLOOKUP($AK444,ENTI!$AF$4:AI$1003,4,FALSE)</f>
        <v>0</v>
      </c>
      <c r="AO444" s="781">
        <f>VLOOKUP($AK444,ENTI!$AF$4:AJ$1003,5,FALSE)</f>
        <v>0</v>
      </c>
      <c r="AP444" s="315">
        <f>VLOOKUP($AK444,ENTI!$AF$4:AK$1003,6,FALSE)</f>
        <v>0</v>
      </c>
      <c r="AQ444" s="208">
        <f t="shared" si="91"/>
        <v>0</v>
      </c>
      <c r="AR444" s="152" t="e">
        <f t="shared" si="92"/>
        <v>#N/A</v>
      </c>
      <c r="AS444" s="1"/>
      <c r="AT444" s="88" t="str">
        <f t="shared" si="85"/>
        <v/>
      </c>
      <c r="AU444" s="1"/>
      <c r="AV444" s="175">
        <f>IF(AW444&gt;0,COUNTIF(AV$4:AV443,"&gt;0")+1,0)</f>
        <v>0</v>
      </c>
      <c r="AW444" s="164">
        <f t="shared" si="86"/>
        <v>0</v>
      </c>
      <c r="AX444" s="310">
        <f>IF($AW444=0,0,VLOOKUP(VLOOKUP($X444,$B$34:$T$38,19,FALSE),ENTI!$A$9:$B$13,2,FALSE))</f>
        <v>0</v>
      </c>
      <c r="AY444" s="310">
        <f t="shared" si="88"/>
        <v>0</v>
      </c>
      <c r="AZ444" s="316">
        <f t="shared" si="89"/>
        <v>0</v>
      </c>
      <c r="BA444" s="1"/>
      <c r="BB444" s="152">
        <f t="shared" si="90"/>
        <v>0</v>
      </c>
      <c r="BC444" s="152">
        <f ca="1">SUM(Z$4:Z444)+SUM(BB$4:BB444)+COSTI!S$6-COSTI!L$1076</f>
        <v>-31.760000000000218</v>
      </c>
      <c r="BD444" s="1"/>
    </row>
    <row r="445" spans="1:56" ht="16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435">
        <f>IF(AND(W445&gt;=$U$1,W445&lt;=$U$2),IF(X445='ESTRATTO CONTO'!$E$2,1+COUNTIF(U$4:U444,"&gt;0"),0),0)</f>
        <v>0</v>
      </c>
      <c r="V445" s="417">
        <f t="shared" si="87"/>
        <v>442</v>
      </c>
      <c r="W445" s="509"/>
      <c r="X445" s="321"/>
      <c r="Y445" s="321"/>
      <c r="Z445" s="508"/>
      <c r="AA445" s="356"/>
      <c r="AB445" s="306" t="str">
        <f t="shared" si="83"/>
        <v/>
      </c>
      <c r="AC445" s="637">
        <f t="shared" ca="1" si="93"/>
        <v>-2.1316282072803006E-13</v>
      </c>
      <c r="AD445" s="935">
        <f>IF(ISERROR(VLOOKUP(AD$2,X446:X$1003,1,FALSE)),IF(X445=AD$2,SUMIF(X$4:X445,AD$2,Z$4:Z445)+$E$9+SUM(AQ$4:AQ$1003)+SUMIF(COSTI!$X$1379:$X$1430,AD$2,COSTI!$Z$1379:$Z$1430),0),0)</f>
        <v>0</v>
      </c>
      <c r="AE445" s="26"/>
      <c r="AF445" s="856" t="e">
        <f>IF(ISERROR(VLOOKUP(AG$2,X446:X$1003,1,FALSE)),IF(X445=AG$2,SUMIF(X$4:X445,AG$2,Z$4:Z445)+VLOOKUP(AF$2,$B$1057:$F$1068,5,FALSE)+SUM(AR$4:AR$1003)+SUMIF(COSTI!$X$1379:$X$1430,AG$2,COSTI!$Z$1379:$Z$1430),0),0)</f>
        <v>#N/A</v>
      </c>
      <c r="AG445" s="859"/>
      <c r="AH445" s="27" t="str">
        <f t="shared" si="84"/>
        <v/>
      </c>
      <c r="AI445" s="152">
        <f ca="1">IF(W446&gt;0,0,IF(AH445=0,(Z445*-1)+BC445+SUM(BB$4:BB444),BC445+SUM(BB$4:BB444)))</f>
        <v>-2.1316282072803006E-13</v>
      </c>
      <c r="AJ445" s="931">
        <f>IF(AND(AL445&gt;=$U$1,AL445&lt;=$U$2),IF(AM445='ESTRATTO CONTO'!$E$2,1+COUNTIF(AJ$4:AJ444,"&gt;0")+U$1015,0),0)</f>
        <v>0</v>
      </c>
      <c r="AK445" s="203">
        <f>IF(AND(OR((AK444+1)&lt;AL$1015,(AK444+1)=AL$1015),MAX(AK$4:AK444)&lt;AL$1015),AK444+1,0)</f>
        <v>0</v>
      </c>
      <c r="AL445" s="309">
        <f>VLOOKUP($AK445,ENTI!$AF$4:AG$1003,2,FALSE)</f>
        <v>0</v>
      </c>
      <c r="AM445" s="224">
        <f>VLOOKUP($AK445,ENTI!$AF$4:AH$1003,3,FALSE)</f>
        <v>0</v>
      </c>
      <c r="AN445" s="224">
        <f>VLOOKUP($AK445,ENTI!$AF$4:AI$1003,4,FALSE)</f>
        <v>0</v>
      </c>
      <c r="AO445" s="781">
        <f>VLOOKUP($AK445,ENTI!$AF$4:AJ$1003,5,FALSE)</f>
        <v>0</v>
      </c>
      <c r="AP445" s="315">
        <f>VLOOKUP($AK445,ENTI!$AF$4:AK$1003,6,FALSE)</f>
        <v>0</v>
      </c>
      <c r="AQ445" s="208">
        <f t="shared" si="91"/>
        <v>0</v>
      </c>
      <c r="AR445" s="152" t="e">
        <f t="shared" si="92"/>
        <v>#N/A</v>
      </c>
      <c r="AS445" s="1"/>
      <c r="AT445" s="88" t="str">
        <f t="shared" si="85"/>
        <v/>
      </c>
      <c r="AU445" s="1"/>
      <c r="AV445" s="175">
        <f>IF(AW445&gt;0,COUNTIF(AV$4:AV444,"&gt;0")+1,0)</f>
        <v>0</v>
      </c>
      <c r="AW445" s="164">
        <f t="shared" si="86"/>
        <v>0</v>
      </c>
      <c r="AX445" s="310">
        <f>IF($AW445=0,0,VLOOKUP(VLOOKUP($X445,$B$34:$T$38,19,FALSE),ENTI!$A$9:$B$13,2,FALSE))</f>
        <v>0</v>
      </c>
      <c r="AY445" s="310">
        <f t="shared" si="88"/>
        <v>0</v>
      </c>
      <c r="AZ445" s="316">
        <f t="shared" si="89"/>
        <v>0</v>
      </c>
      <c r="BA445" s="1"/>
      <c r="BB445" s="152">
        <f t="shared" si="90"/>
        <v>0</v>
      </c>
      <c r="BC445" s="152">
        <f ca="1">SUM(Z$4:Z445)+SUM(BB$4:BB445)+COSTI!S$6-COSTI!L$1076</f>
        <v>-31.760000000000218</v>
      </c>
      <c r="BD445" s="1"/>
    </row>
    <row r="446" spans="1:56" ht="16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435">
        <f>IF(AND(W446&gt;=$U$1,W446&lt;=$U$2),IF(X446='ESTRATTO CONTO'!$E$2,1+COUNTIF(U$4:U445,"&gt;0"),0),0)</f>
        <v>0</v>
      </c>
      <c r="V446" s="417">
        <f t="shared" si="87"/>
        <v>443</v>
      </c>
      <c r="W446" s="509"/>
      <c r="X446" s="321"/>
      <c r="Y446" s="321"/>
      <c r="Z446" s="508"/>
      <c r="AA446" s="356"/>
      <c r="AB446" s="306" t="str">
        <f t="shared" si="83"/>
        <v/>
      </c>
      <c r="AC446" s="637">
        <f t="shared" ca="1" si="93"/>
        <v>-2.1316282072803006E-13</v>
      </c>
      <c r="AD446" s="935">
        <f>IF(ISERROR(VLOOKUP(AD$2,X447:X$1003,1,FALSE)),IF(X446=AD$2,SUMIF(X$4:X446,AD$2,Z$4:Z446)+$E$9+SUM(AQ$4:AQ$1003)+SUMIF(COSTI!$X$1379:$X$1430,AD$2,COSTI!$Z$1379:$Z$1430),0),0)</f>
        <v>0</v>
      </c>
      <c r="AE446" s="26"/>
      <c r="AF446" s="856" t="e">
        <f>IF(ISERROR(VLOOKUP(AG$2,X447:X$1003,1,FALSE)),IF(X446=AG$2,SUMIF(X$4:X446,AG$2,Z$4:Z446)+VLOOKUP(AF$2,$B$1057:$F$1068,5,FALSE)+SUM(AR$4:AR$1003)+SUMIF(COSTI!$X$1379:$X$1430,AG$2,COSTI!$Z$1379:$Z$1430),0),0)</f>
        <v>#N/A</v>
      </c>
      <c r="AG446" s="859"/>
      <c r="AH446" s="27" t="str">
        <f t="shared" si="84"/>
        <v/>
      </c>
      <c r="AI446" s="152">
        <f ca="1">IF(W447&gt;0,0,IF(AH446=0,(Z446*-1)+BC446+SUM(BB$4:BB445),BC446+SUM(BB$4:BB445)))</f>
        <v>-2.1316282072803006E-13</v>
      </c>
      <c r="AJ446" s="931">
        <f>IF(AND(AL446&gt;=$U$1,AL446&lt;=$U$2),IF(AM446='ESTRATTO CONTO'!$E$2,1+COUNTIF(AJ$4:AJ445,"&gt;0")+U$1015,0),0)</f>
        <v>0</v>
      </c>
      <c r="AK446" s="203">
        <f>IF(AND(OR((AK445+1)&lt;AL$1015,(AK445+1)=AL$1015),MAX(AK$4:AK445)&lt;AL$1015),AK445+1,0)</f>
        <v>0</v>
      </c>
      <c r="AL446" s="309">
        <f>VLOOKUP($AK446,ENTI!$AF$4:AG$1003,2,FALSE)</f>
        <v>0</v>
      </c>
      <c r="AM446" s="224">
        <f>VLOOKUP($AK446,ENTI!$AF$4:AH$1003,3,FALSE)</f>
        <v>0</v>
      </c>
      <c r="AN446" s="224">
        <f>VLOOKUP($AK446,ENTI!$AF$4:AI$1003,4,FALSE)</f>
        <v>0</v>
      </c>
      <c r="AO446" s="781">
        <f>VLOOKUP($AK446,ENTI!$AF$4:AJ$1003,5,FALSE)</f>
        <v>0</v>
      </c>
      <c r="AP446" s="315">
        <f>VLOOKUP($AK446,ENTI!$AF$4:AK$1003,6,FALSE)</f>
        <v>0</v>
      </c>
      <c r="AQ446" s="208">
        <f t="shared" si="91"/>
        <v>0</v>
      </c>
      <c r="AR446" s="152" t="e">
        <f t="shared" si="92"/>
        <v>#N/A</v>
      </c>
      <c r="AS446" s="1"/>
      <c r="AT446" s="88" t="str">
        <f t="shared" si="85"/>
        <v/>
      </c>
      <c r="AU446" s="1"/>
      <c r="AV446" s="175">
        <f>IF(AW446&gt;0,COUNTIF(AV$4:AV445,"&gt;0")+1,0)</f>
        <v>0</v>
      </c>
      <c r="AW446" s="164">
        <f t="shared" si="86"/>
        <v>0</v>
      </c>
      <c r="AX446" s="310">
        <f>IF($AW446=0,0,VLOOKUP(VLOOKUP($X446,$B$34:$T$38,19,FALSE),ENTI!$A$9:$B$13,2,FALSE))</f>
        <v>0</v>
      </c>
      <c r="AY446" s="310">
        <f t="shared" si="88"/>
        <v>0</v>
      </c>
      <c r="AZ446" s="316">
        <f t="shared" si="89"/>
        <v>0</v>
      </c>
      <c r="BA446" s="1"/>
      <c r="BB446" s="152">
        <f t="shared" si="90"/>
        <v>0</v>
      </c>
      <c r="BC446" s="152">
        <f ca="1">SUM(Z$4:Z446)+SUM(BB$4:BB446)+COSTI!S$6-COSTI!L$1076</f>
        <v>-31.760000000000218</v>
      </c>
      <c r="BD446" s="1"/>
    </row>
    <row r="447" spans="1:56" ht="16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435">
        <f>IF(AND(W447&gt;=$U$1,W447&lt;=$U$2),IF(X447='ESTRATTO CONTO'!$E$2,1+COUNTIF(U$4:U446,"&gt;0"),0),0)</f>
        <v>0</v>
      </c>
      <c r="V447" s="417">
        <f t="shared" si="87"/>
        <v>444</v>
      </c>
      <c r="W447" s="509"/>
      <c r="X447" s="321"/>
      <c r="Y447" s="321"/>
      <c r="Z447" s="508"/>
      <c r="AA447" s="356"/>
      <c r="AB447" s="306" t="str">
        <f t="shared" si="83"/>
        <v/>
      </c>
      <c r="AC447" s="637">
        <f t="shared" ca="1" si="93"/>
        <v>-2.1316282072803006E-13</v>
      </c>
      <c r="AD447" s="935">
        <f>IF(ISERROR(VLOOKUP(AD$2,X448:X$1003,1,FALSE)),IF(X447=AD$2,SUMIF(X$4:X447,AD$2,Z$4:Z447)+$E$9+SUM(AQ$4:AQ$1003)+SUMIF(COSTI!$X$1379:$X$1430,AD$2,COSTI!$Z$1379:$Z$1430),0),0)</f>
        <v>0</v>
      </c>
      <c r="AE447" s="26"/>
      <c r="AF447" s="856" t="e">
        <f>IF(ISERROR(VLOOKUP(AG$2,X448:X$1003,1,FALSE)),IF(X447=AG$2,SUMIF(X$4:X447,AG$2,Z$4:Z447)+VLOOKUP(AF$2,$B$1057:$F$1068,5,FALSE)+SUM(AR$4:AR$1003)+SUMIF(COSTI!$X$1379:$X$1430,AG$2,COSTI!$Z$1379:$Z$1430),0),0)</f>
        <v>#N/A</v>
      </c>
      <c r="AG447" s="859"/>
      <c r="AH447" s="27" t="str">
        <f t="shared" si="84"/>
        <v/>
      </c>
      <c r="AI447" s="152">
        <f ca="1">IF(W448&gt;0,0,IF(AH447=0,(Z447*-1)+BC447+SUM(BB$4:BB446),BC447+SUM(BB$4:BB446)))</f>
        <v>-2.1316282072803006E-13</v>
      </c>
      <c r="AJ447" s="931">
        <f>IF(AND(AL447&gt;=$U$1,AL447&lt;=$U$2),IF(AM447='ESTRATTO CONTO'!$E$2,1+COUNTIF(AJ$4:AJ446,"&gt;0")+U$1015,0),0)</f>
        <v>0</v>
      </c>
      <c r="AK447" s="203">
        <f>IF(AND(OR((AK446+1)&lt;AL$1015,(AK446+1)=AL$1015),MAX(AK$4:AK446)&lt;AL$1015),AK446+1,0)</f>
        <v>0</v>
      </c>
      <c r="AL447" s="309">
        <f>VLOOKUP($AK447,ENTI!$AF$4:AG$1003,2,FALSE)</f>
        <v>0</v>
      </c>
      <c r="AM447" s="224">
        <f>VLOOKUP($AK447,ENTI!$AF$4:AH$1003,3,FALSE)</f>
        <v>0</v>
      </c>
      <c r="AN447" s="224">
        <f>VLOOKUP($AK447,ENTI!$AF$4:AI$1003,4,FALSE)</f>
        <v>0</v>
      </c>
      <c r="AO447" s="781">
        <f>VLOOKUP($AK447,ENTI!$AF$4:AJ$1003,5,FALSE)</f>
        <v>0</v>
      </c>
      <c r="AP447" s="315">
        <f>VLOOKUP($AK447,ENTI!$AF$4:AK$1003,6,FALSE)</f>
        <v>0</v>
      </c>
      <c r="AQ447" s="208">
        <f t="shared" si="91"/>
        <v>0</v>
      </c>
      <c r="AR447" s="152" t="e">
        <f t="shared" si="92"/>
        <v>#N/A</v>
      </c>
      <c r="AS447" s="1"/>
      <c r="AT447" s="88" t="str">
        <f t="shared" si="85"/>
        <v/>
      </c>
      <c r="AU447" s="1"/>
      <c r="AV447" s="175">
        <f>IF(AW447&gt;0,COUNTIF(AV$4:AV446,"&gt;0")+1,0)</f>
        <v>0</v>
      </c>
      <c r="AW447" s="164">
        <f t="shared" si="86"/>
        <v>0</v>
      </c>
      <c r="AX447" s="310">
        <f>IF($AW447=0,0,VLOOKUP(VLOOKUP($X447,$B$34:$T$38,19,FALSE),ENTI!$A$9:$B$13,2,FALSE))</f>
        <v>0</v>
      </c>
      <c r="AY447" s="310">
        <f t="shared" si="88"/>
        <v>0</v>
      </c>
      <c r="AZ447" s="316">
        <f t="shared" si="89"/>
        <v>0</v>
      </c>
      <c r="BA447" s="1"/>
      <c r="BB447" s="152">
        <f t="shared" si="90"/>
        <v>0</v>
      </c>
      <c r="BC447" s="152">
        <f ca="1">SUM(Z$4:Z447)+SUM(BB$4:BB447)+COSTI!S$6-COSTI!L$1076</f>
        <v>-31.760000000000218</v>
      </c>
      <c r="BD447" s="1"/>
    </row>
    <row r="448" spans="1:56" ht="16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435">
        <f>IF(AND(W448&gt;=$U$1,W448&lt;=$U$2),IF(X448='ESTRATTO CONTO'!$E$2,1+COUNTIF(U$4:U447,"&gt;0"),0),0)</f>
        <v>0</v>
      </c>
      <c r="V448" s="417">
        <f t="shared" si="87"/>
        <v>445</v>
      </c>
      <c r="W448" s="509"/>
      <c r="X448" s="321"/>
      <c r="Y448" s="321"/>
      <c r="Z448" s="508"/>
      <c r="AA448" s="356"/>
      <c r="AB448" s="306" t="str">
        <f t="shared" si="83"/>
        <v/>
      </c>
      <c r="AC448" s="637">
        <f t="shared" ca="1" si="93"/>
        <v>-2.1316282072803006E-13</v>
      </c>
      <c r="AD448" s="935">
        <f>IF(ISERROR(VLOOKUP(AD$2,X449:X$1003,1,FALSE)),IF(X448=AD$2,SUMIF(X$4:X448,AD$2,Z$4:Z448)+$E$9+SUM(AQ$4:AQ$1003)+SUMIF(COSTI!$X$1379:$X$1430,AD$2,COSTI!$Z$1379:$Z$1430),0),0)</f>
        <v>0</v>
      </c>
      <c r="AE448" s="26"/>
      <c r="AF448" s="856" t="e">
        <f>IF(ISERROR(VLOOKUP(AG$2,X449:X$1003,1,FALSE)),IF(X448=AG$2,SUMIF(X$4:X448,AG$2,Z$4:Z448)+VLOOKUP(AF$2,$B$1057:$F$1068,5,FALSE)+SUM(AR$4:AR$1003)+SUMIF(COSTI!$X$1379:$X$1430,AG$2,COSTI!$Z$1379:$Z$1430),0),0)</f>
        <v>#N/A</v>
      </c>
      <c r="AG448" s="859"/>
      <c r="AH448" s="27" t="str">
        <f t="shared" si="84"/>
        <v/>
      </c>
      <c r="AI448" s="152">
        <f ca="1">IF(W449&gt;0,0,IF(AH448=0,(Z448*-1)+BC448+SUM(BB$4:BB447),BC448+SUM(BB$4:BB447)))</f>
        <v>-2.1316282072803006E-13</v>
      </c>
      <c r="AJ448" s="931">
        <f>IF(AND(AL448&gt;=$U$1,AL448&lt;=$U$2),IF(AM448='ESTRATTO CONTO'!$E$2,1+COUNTIF(AJ$4:AJ447,"&gt;0")+U$1015,0),0)</f>
        <v>0</v>
      </c>
      <c r="AK448" s="203">
        <f>IF(AND(OR((AK447+1)&lt;AL$1015,(AK447+1)=AL$1015),MAX(AK$4:AK447)&lt;AL$1015),AK447+1,0)</f>
        <v>0</v>
      </c>
      <c r="AL448" s="309">
        <f>VLOOKUP($AK448,ENTI!$AF$4:AG$1003,2,FALSE)</f>
        <v>0</v>
      </c>
      <c r="AM448" s="224">
        <f>VLOOKUP($AK448,ENTI!$AF$4:AH$1003,3,FALSE)</f>
        <v>0</v>
      </c>
      <c r="AN448" s="224">
        <f>VLOOKUP($AK448,ENTI!$AF$4:AI$1003,4,FALSE)</f>
        <v>0</v>
      </c>
      <c r="AO448" s="781">
        <f>VLOOKUP($AK448,ENTI!$AF$4:AJ$1003,5,FALSE)</f>
        <v>0</v>
      </c>
      <c r="AP448" s="315">
        <f>VLOOKUP($AK448,ENTI!$AF$4:AK$1003,6,FALSE)</f>
        <v>0</v>
      </c>
      <c r="AQ448" s="208">
        <f t="shared" si="91"/>
        <v>0</v>
      </c>
      <c r="AR448" s="152" t="e">
        <f t="shared" si="92"/>
        <v>#N/A</v>
      </c>
      <c r="AS448" s="1"/>
      <c r="AT448" s="88" t="str">
        <f t="shared" si="85"/>
        <v/>
      </c>
      <c r="AU448" s="1"/>
      <c r="AV448" s="175">
        <f>IF(AW448&gt;0,COUNTIF(AV$4:AV447,"&gt;0")+1,0)</f>
        <v>0</v>
      </c>
      <c r="AW448" s="164">
        <f t="shared" si="86"/>
        <v>0</v>
      </c>
      <c r="AX448" s="310">
        <f>IF($AW448=0,0,VLOOKUP(VLOOKUP($X448,$B$34:$T$38,19,FALSE),ENTI!$A$9:$B$13,2,FALSE))</f>
        <v>0</v>
      </c>
      <c r="AY448" s="310">
        <f t="shared" si="88"/>
        <v>0</v>
      </c>
      <c r="AZ448" s="316">
        <f t="shared" si="89"/>
        <v>0</v>
      </c>
      <c r="BA448" s="1"/>
      <c r="BB448" s="152">
        <f t="shared" si="90"/>
        <v>0</v>
      </c>
      <c r="BC448" s="152">
        <f ca="1">SUM(Z$4:Z448)+SUM(BB$4:BB448)+COSTI!S$6-COSTI!L$1076</f>
        <v>-31.760000000000218</v>
      </c>
      <c r="BD448" s="1"/>
    </row>
    <row r="449" spans="1:56" ht="16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435">
        <f>IF(AND(W449&gt;=$U$1,W449&lt;=$U$2),IF(X449='ESTRATTO CONTO'!$E$2,1+COUNTIF(U$4:U448,"&gt;0"),0),0)</f>
        <v>0</v>
      </c>
      <c r="V449" s="417">
        <f t="shared" si="87"/>
        <v>446</v>
      </c>
      <c r="W449" s="509"/>
      <c r="X449" s="321"/>
      <c r="Y449" s="321"/>
      <c r="Z449" s="508"/>
      <c r="AA449" s="356"/>
      <c r="AB449" s="306" t="str">
        <f t="shared" si="83"/>
        <v/>
      </c>
      <c r="AC449" s="637">
        <f t="shared" ca="1" si="93"/>
        <v>-2.1316282072803006E-13</v>
      </c>
      <c r="AD449" s="935">
        <f>IF(ISERROR(VLOOKUP(AD$2,X450:X$1003,1,FALSE)),IF(X449=AD$2,SUMIF(X$4:X449,AD$2,Z$4:Z449)+$E$9+SUM(AQ$4:AQ$1003)+SUMIF(COSTI!$X$1379:$X$1430,AD$2,COSTI!$Z$1379:$Z$1430),0),0)</f>
        <v>0</v>
      </c>
      <c r="AE449" s="26"/>
      <c r="AF449" s="856" t="e">
        <f>IF(ISERROR(VLOOKUP(AG$2,X450:X$1003,1,FALSE)),IF(X449=AG$2,SUMIF(X$4:X449,AG$2,Z$4:Z449)+VLOOKUP(AF$2,$B$1057:$F$1068,5,FALSE)+SUM(AR$4:AR$1003)+SUMIF(COSTI!$X$1379:$X$1430,AG$2,COSTI!$Z$1379:$Z$1430),0),0)</f>
        <v>#N/A</v>
      </c>
      <c r="AG449" s="859"/>
      <c r="AH449" s="27" t="str">
        <f t="shared" si="84"/>
        <v/>
      </c>
      <c r="AI449" s="152">
        <f ca="1">IF(W450&gt;0,0,IF(AH449=0,(Z449*-1)+BC449+SUM(BB$4:BB448),BC449+SUM(BB$4:BB448)))</f>
        <v>-2.1316282072803006E-13</v>
      </c>
      <c r="AJ449" s="931">
        <f>IF(AND(AL449&gt;=$U$1,AL449&lt;=$U$2),IF(AM449='ESTRATTO CONTO'!$E$2,1+COUNTIF(AJ$4:AJ448,"&gt;0")+U$1015,0),0)</f>
        <v>0</v>
      </c>
      <c r="AK449" s="203">
        <f>IF(AND(OR((AK448+1)&lt;AL$1015,(AK448+1)=AL$1015),MAX(AK$4:AK448)&lt;AL$1015),AK448+1,0)</f>
        <v>0</v>
      </c>
      <c r="AL449" s="309">
        <f>VLOOKUP($AK449,ENTI!$AF$4:AG$1003,2,FALSE)</f>
        <v>0</v>
      </c>
      <c r="AM449" s="224">
        <f>VLOOKUP($AK449,ENTI!$AF$4:AH$1003,3,FALSE)</f>
        <v>0</v>
      </c>
      <c r="AN449" s="224">
        <f>VLOOKUP($AK449,ENTI!$AF$4:AI$1003,4,FALSE)</f>
        <v>0</v>
      </c>
      <c r="AO449" s="781">
        <f>VLOOKUP($AK449,ENTI!$AF$4:AJ$1003,5,FALSE)</f>
        <v>0</v>
      </c>
      <c r="AP449" s="315">
        <f>VLOOKUP($AK449,ENTI!$AF$4:AK$1003,6,FALSE)</f>
        <v>0</v>
      </c>
      <c r="AQ449" s="208">
        <f t="shared" si="91"/>
        <v>0</v>
      </c>
      <c r="AR449" s="152" t="e">
        <f t="shared" si="92"/>
        <v>#N/A</v>
      </c>
      <c r="AS449" s="1"/>
      <c r="AT449" s="88" t="str">
        <f t="shared" si="85"/>
        <v/>
      </c>
      <c r="AU449" s="1"/>
      <c r="AV449" s="175">
        <f>IF(AW449&gt;0,COUNTIF(AV$4:AV448,"&gt;0")+1,0)</f>
        <v>0</v>
      </c>
      <c r="AW449" s="164">
        <f t="shared" si="86"/>
        <v>0</v>
      </c>
      <c r="AX449" s="310">
        <f>IF($AW449=0,0,VLOOKUP(VLOOKUP($X449,$B$34:$T$38,19,FALSE),ENTI!$A$9:$B$13,2,FALSE))</f>
        <v>0</v>
      </c>
      <c r="AY449" s="310">
        <f t="shared" si="88"/>
        <v>0</v>
      </c>
      <c r="AZ449" s="316">
        <f t="shared" si="89"/>
        <v>0</v>
      </c>
      <c r="BA449" s="1"/>
      <c r="BB449" s="152">
        <f t="shared" si="90"/>
        <v>0</v>
      </c>
      <c r="BC449" s="152">
        <f ca="1">SUM(Z$4:Z449)+SUM(BB$4:BB449)+COSTI!S$6-COSTI!L$1076</f>
        <v>-31.760000000000218</v>
      </c>
      <c r="BD449" s="1"/>
    </row>
    <row r="450" spans="1:56" ht="16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435">
        <f>IF(AND(W450&gt;=$U$1,W450&lt;=$U$2),IF(X450='ESTRATTO CONTO'!$E$2,1+COUNTIF(U$4:U449,"&gt;0"),0),0)</f>
        <v>0</v>
      </c>
      <c r="V450" s="417">
        <f t="shared" si="87"/>
        <v>447</v>
      </c>
      <c r="W450" s="509"/>
      <c r="X450" s="321"/>
      <c r="Y450" s="321"/>
      <c r="Z450" s="508"/>
      <c r="AA450" s="356"/>
      <c r="AB450" s="306" t="str">
        <f t="shared" si="83"/>
        <v/>
      </c>
      <c r="AC450" s="637">
        <f t="shared" ca="1" si="93"/>
        <v>-2.1316282072803006E-13</v>
      </c>
      <c r="AD450" s="935">
        <f>IF(ISERROR(VLOOKUP(AD$2,X451:X$1003,1,FALSE)),IF(X450=AD$2,SUMIF(X$4:X450,AD$2,Z$4:Z450)+$E$9+SUM(AQ$4:AQ$1003)+SUMIF(COSTI!$X$1379:$X$1430,AD$2,COSTI!$Z$1379:$Z$1430),0),0)</f>
        <v>0</v>
      </c>
      <c r="AE450" s="26"/>
      <c r="AF450" s="856" t="e">
        <f>IF(ISERROR(VLOOKUP(AG$2,X451:X$1003,1,FALSE)),IF(X450=AG$2,SUMIF(X$4:X450,AG$2,Z$4:Z450)+VLOOKUP(AF$2,$B$1057:$F$1068,5,FALSE)+SUM(AR$4:AR$1003)+SUMIF(COSTI!$X$1379:$X$1430,AG$2,COSTI!$Z$1379:$Z$1430),0),0)</f>
        <v>#N/A</v>
      </c>
      <c r="AG450" s="859"/>
      <c r="AH450" s="27" t="str">
        <f t="shared" si="84"/>
        <v/>
      </c>
      <c r="AI450" s="152">
        <f ca="1">IF(W451&gt;0,0,IF(AH450=0,(Z450*-1)+BC450+SUM(BB$4:BB449),BC450+SUM(BB$4:BB449)))</f>
        <v>-2.1316282072803006E-13</v>
      </c>
      <c r="AJ450" s="931">
        <f>IF(AND(AL450&gt;=$U$1,AL450&lt;=$U$2),IF(AM450='ESTRATTO CONTO'!$E$2,1+COUNTIF(AJ$4:AJ449,"&gt;0")+U$1015,0),0)</f>
        <v>0</v>
      </c>
      <c r="AK450" s="203">
        <f>IF(AND(OR((AK449+1)&lt;AL$1015,(AK449+1)=AL$1015),MAX(AK$4:AK449)&lt;AL$1015),AK449+1,0)</f>
        <v>0</v>
      </c>
      <c r="AL450" s="309">
        <f>VLOOKUP($AK450,ENTI!$AF$4:AG$1003,2,FALSE)</f>
        <v>0</v>
      </c>
      <c r="AM450" s="224">
        <f>VLOOKUP($AK450,ENTI!$AF$4:AH$1003,3,FALSE)</f>
        <v>0</v>
      </c>
      <c r="AN450" s="224">
        <f>VLOOKUP($AK450,ENTI!$AF$4:AI$1003,4,FALSE)</f>
        <v>0</v>
      </c>
      <c r="AO450" s="781">
        <f>VLOOKUP($AK450,ENTI!$AF$4:AJ$1003,5,FALSE)</f>
        <v>0</v>
      </c>
      <c r="AP450" s="315">
        <f>VLOOKUP($AK450,ENTI!$AF$4:AK$1003,6,FALSE)</f>
        <v>0</v>
      </c>
      <c r="AQ450" s="208">
        <f t="shared" si="91"/>
        <v>0</v>
      </c>
      <c r="AR450" s="152" t="e">
        <f t="shared" si="92"/>
        <v>#N/A</v>
      </c>
      <c r="AS450" s="1"/>
      <c r="AT450" s="88" t="str">
        <f t="shared" si="85"/>
        <v/>
      </c>
      <c r="AU450" s="1"/>
      <c r="AV450" s="175">
        <f>IF(AW450&gt;0,COUNTIF(AV$4:AV449,"&gt;0")+1,0)</f>
        <v>0</v>
      </c>
      <c r="AW450" s="164">
        <f t="shared" si="86"/>
        <v>0</v>
      </c>
      <c r="AX450" s="310">
        <f>IF($AW450=0,0,VLOOKUP(VLOOKUP($X450,$B$34:$T$38,19,FALSE),ENTI!$A$9:$B$13,2,FALSE))</f>
        <v>0</v>
      </c>
      <c r="AY450" s="310">
        <f t="shared" si="88"/>
        <v>0</v>
      </c>
      <c r="AZ450" s="316">
        <f t="shared" si="89"/>
        <v>0</v>
      </c>
      <c r="BA450" s="1"/>
      <c r="BB450" s="152">
        <f t="shared" si="90"/>
        <v>0</v>
      </c>
      <c r="BC450" s="152">
        <f ca="1">SUM(Z$4:Z450)+SUM(BB$4:BB450)+COSTI!S$6-COSTI!L$1076</f>
        <v>-31.760000000000218</v>
      </c>
      <c r="BD450" s="1"/>
    </row>
    <row r="451" spans="1:56" ht="16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435">
        <f>IF(AND(W451&gt;=$U$1,W451&lt;=$U$2),IF(X451='ESTRATTO CONTO'!$E$2,1+COUNTIF(U$4:U450,"&gt;0"),0),0)</f>
        <v>0</v>
      </c>
      <c r="V451" s="417">
        <f t="shared" si="87"/>
        <v>448</v>
      </c>
      <c r="W451" s="509"/>
      <c r="X451" s="321"/>
      <c r="Y451" s="321"/>
      <c r="Z451" s="508"/>
      <c r="AA451" s="356"/>
      <c r="AB451" s="306" t="str">
        <f t="shared" si="83"/>
        <v/>
      </c>
      <c r="AC451" s="637">
        <f t="shared" ca="1" si="93"/>
        <v>-2.1316282072803006E-13</v>
      </c>
      <c r="AD451" s="935">
        <f>IF(ISERROR(VLOOKUP(AD$2,X452:X$1003,1,FALSE)),IF(X451=AD$2,SUMIF(X$4:X451,AD$2,Z$4:Z451)+$E$9+SUM(AQ$4:AQ$1003)+SUMIF(COSTI!$X$1379:$X$1430,AD$2,COSTI!$Z$1379:$Z$1430),0),0)</f>
        <v>0</v>
      </c>
      <c r="AE451" s="26"/>
      <c r="AF451" s="856" t="e">
        <f>IF(ISERROR(VLOOKUP(AG$2,X452:X$1003,1,FALSE)),IF(X451=AG$2,SUMIF(X$4:X451,AG$2,Z$4:Z451)+VLOOKUP(AF$2,$B$1057:$F$1068,5,FALSE)+SUM(AR$4:AR$1003)+SUMIF(COSTI!$X$1379:$X$1430,AG$2,COSTI!$Z$1379:$Z$1430),0),0)</f>
        <v>#N/A</v>
      </c>
      <c r="AG451" s="859"/>
      <c r="AH451" s="27" t="str">
        <f t="shared" si="84"/>
        <v/>
      </c>
      <c r="AI451" s="152">
        <f ca="1">IF(W452&gt;0,0,IF(AH451=0,(Z451*-1)+BC451+SUM(BB$4:BB450),BC451+SUM(BB$4:BB450)))</f>
        <v>-2.1316282072803006E-13</v>
      </c>
      <c r="AJ451" s="931">
        <f>IF(AND(AL451&gt;=$U$1,AL451&lt;=$U$2),IF(AM451='ESTRATTO CONTO'!$E$2,1+COUNTIF(AJ$4:AJ450,"&gt;0")+U$1015,0),0)</f>
        <v>0</v>
      </c>
      <c r="AK451" s="203">
        <f>IF(AND(OR((AK450+1)&lt;AL$1015,(AK450+1)=AL$1015),MAX(AK$4:AK450)&lt;AL$1015),AK450+1,0)</f>
        <v>0</v>
      </c>
      <c r="AL451" s="309">
        <f>VLOOKUP($AK451,ENTI!$AF$4:AG$1003,2,FALSE)</f>
        <v>0</v>
      </c>
      <c r="AM451" s="224">
        <f>VLOOKUP($AK451,ENTI!$AF$4:AH$1003,3,FALSE)</f>
        <v>0</v>
      </c>
      <c r="AN451" s="224">
        <f>VLOOKUP($AK451,ENTI!$AF$4:AI$1003,4,FALSE)</f>
        <v>0</v>
      </c>
      <c r="AO451" s="781">
        <f>VLOOKUP($AK451,ENTI!$AF$4:AJ$1003,5,FALSE)</f>
        <v>0</v>
      </c>
      <c r="AP451" s="315">
        <f>VLOOKUP($AK451,ENTI!$AF$4:AK$1003,6,FALSE)</f>
        <v>0</v>
      </c>
      <c r="AQ451" s="208">
        <f t="shared" si="91"/>
        <v>0</v>
      </c>
      <c r="AR451" s="152" t="e">
        <f t="shared" si="92"/>
        <v>#N/A</v>
      </c>
      <c r="AS451" s="1"/>
      <c r="AT451" s="88" t="str">
        <f t="shared" si="85"/>
        <v/>
      </c>
      <c r="AU451" s="1"/>
      <c r="AV451" s="175">
        <f>IF(AW451&gt;0,COUNTIF(AV$4:AV450,"&gt;0")+1,0)</f>
        <v>0</v>
      </c>
      <c r="AW451" s="164">
        <f t="shared" si="86"/>
        <v>0</v>
      </c>
      <c r="AX451" s="310">
        <f>IF($AW451=0,0,VLOOKUP(VLOOKUP($X451,$B$34:$T$38,19,FALSE),ENTI!$A$9:$B$13,2,FALSE))</f>
        <v>0</v>
      </c>
      <c r="AY451" s="310">
        <f t="shared" si="88"/>
        <v>0</v>
      </c>
      <c r="AZ451" s="316">
        <f t="shared" si="89"/>
        <v>0</v>
      </c>
      <c r="BA451" s="1"/>
      <c r="BB451" s="152">
        <f t="shared" si="90"/>
        <v>0</v>
      </c>
      <c r="BC451" s="152">
        <f ca="1">SUM(Z$4:Z451)+SUM(BB$4:BB451)+COSTI!S$6-COSTI!L$1076</f>
        <v>-31.760000000000218</v>
      </c>
      <c r="BD451" s="1"/>
    </row>
    <row r="452" spans="1:56" ht="16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435">
        <f>IF(AND(W452&gt;=$U$1,W452&lt;=$U$2),IF(X452='ESTRATTO CONTO'!$E$2,1+COUNTIF(U$4:U451,"&gt;0"),0),0)</f>
        <v>0</v>
      </c>
      <c r="V452" s="417">
        <f t="shared" si="87"/>
        <v>449</v>
      </c>
      <c r="W452" s="509"/>
      <c r="X452" s="321"/>
      <c r="Y452" s="321"/>
      <c r="Z452" s="508"/>
      <c r="AA452" s="356"/>
      <c r="AB452" s="306" t="str">
        <f t="shared" ref="AB452:AB515" si="94">IF(W452&gt;0,IF(AND(W452&gt;=W$1012,W452&lt;=W$1013),CONCATENATE(MONTH(W452)&amp;X452),0),"")</f>
        <v/>
      </c>
      <c r="AC452" s="637">
        <f t="shared" ca="1" si="93"/>
        <v>-2.1316282072803006E-13</v>
      </c>
      <c r="AD452" s="935">
        <f>IF(ISERROR(VLOOKUP(AD$2,X453:X$1003,1,FALSE)),IF(X452=AD$2,SUMIF(X$4:X452,AD$2,Z$4:Z452)+$E$9+SUM(AQ$4:AQ$1003)+SUMIF(COSTI!$X$1379:$X$1430,AD$2,COSTI!$Z$1379:$Z$1430),0),0)</f>
        <v>0</v>
      </c>
      <c r="AE452" s="26"/>
      <c r="AF452" s="856" t="e">
        <f>IF(ISERROR(VLOOKUP(AG$2,X453:X$1003,1,FALSE)),IF(X452=AG$2,SUMIF(X$4:X452,AG$2,Z$4:Z452)+VLOOKUP(AF$2,$B$1057:$F$1068,5,FALSE)+SUM(AR$4:AR$1003)+SUMIF(COSTI!$X$1379:$X$1430,AG$2,COSTI!$Z$1379:$Z$1430),0),0)</f>
        <v>#N/A</v>
      </c>
      <c r="AG452" s="859"/>
      <c r="AH452" s="27" t="str">
        <f t="shared" ref="AH452:AH515" si="95">IF(ISBLANK(X452),"",IF(ISERROR(VLOOKUP(X452,B$34:B$38,1,FALSE)),1,0))</f>
        <v/>
      </c>
      <c r="AI452" s="152">
        <f ca="1">IF(W453&gt;0,0,IF(AH452=0,(Z452*-1)+BC452+SUM(BB$4:BB451),BC452+SUM(BB$4:BB451)))</f>
        <v>-2.1316282072803006E-13</v>
      </c>
      <c r="AJ452" s="931">
        <f>IF(AND(AL452&gt;=$U$1,AL452&lt;=$U$2),IF(AM452='ESTRATTO CONTO'!$E$2,1+COUNTIF(AJ$4:AJ451,"&gt;0")+U$1015,0),0)</f>
        <v>0</v>
      </c>
      <c r="AK452" s="203">
        <f>IF(AND(OR((AK451+1)&lt;AL$1015,(AK451+1)=AL$1015),MAX(AK$4:AK451)&lt;AL$1015),AK451+1,0)</f>
        <v>0</v>
      </c>
      <c r="AL452" s="309">
        <f>VLOOKUP($AK452,ENTI!$AF$4:AG$1003,2,FALSE)</f>
        <v>0</v>
      </c>
      <c r="AM452" s="224">
        <f>VLOOKUP($AK452,ENTI!$AF$4:AH$1003,3,FALSE)</f>
        <v>0</v>
      </c>
      <c r="AN452" s="224">
        <f>VLOOKUP($AK452,ENTI!$AF$4:AI$1003,4,FALSE)</f>
        <v>0</v>
      </c>
      <c r="AO452" s="781">
        <f>VLOOKUP($AK452,ENTI!$AF$4:AJ$1003,5,FALSE)</f>
        <v>0</v>
      </c>
      <c r="AP452" s="315">
        <f>VLOOKUP($AK452,ENTI!$AF$4:AK$1003,6,FALSE)</f>
        <v>0</v>
      </c>
      <c r="AQ452" s="208">
        <f t="shared" si="91"/>
        <v>0</v>
      </c>
      <c r="AR452" s="152" t="e">
        <f t="shared" si="92"/>
        <v>#N/A</v>
      </c>
      <c r="AS452" s="1"/>
      <c r="AT452" s="88" t="str">
        <f t="shared" ref="AT452:AT515" si="96">IF(AL452&gt;0,IF(AND(AL452&gt;=W$1012,AL452&lt;=W$1013),CONCATENATE(MONTH(AL452)&amp;AM452),0),"")</f>
        <v/>
      </c>
      <c r="AU452" s="1"/>
      <c r="AV452" s="175">
        <f>IF(AW452&gt;0,COUNTIF(AV$4:AV451,"&gt;0")+1,0)</f>
        <v>0</v>
      </c>
      <c r="AW452" s="164">
        <f t="shared" ref="AW452:AW515" si="97">IF(ISERROR(VLOOKUP($X452,$B$34:$B$38,1,FALSE)),0,W452)</f>
        <v>0</v>
      </c>
      <c r="AX452" s="310">
        <f>IF($AW452=0,0,VLOOKUP(VLOOKUP($X452,$B$34:$T$38,19,FALSE),ENTI!$A$9:$B$13,2,FALSE))</f>
        <v>0</v>
      </c>
      <c r="AY452" s="310">
        <f t="shared" si="88"/>
        <v>0</v>
      </c>
      <c r="AZ452" s="316">
        <f t="shared" si="89"/>
        <v>0</v>
      </c>
      <c r="BA452" s="1"/>
      <c r="BB452" s="152">
        <f t="shared" si="90"/>
        <v>0</v>
      </c>
      <c r="BC452" s="152">
        <f ca="1">SUM(Z$4:Z452)+SUM(BB$4:BB452)+COSTI!S$6-COSTI!L$1076</f>
        <v>-31.760000000000218</v>
      </c>
      <c r="BD452" s="1"/>
    </row>
    <row r="453" spans="1:56" ht="16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435">
        <f>IF(AND(W453&gt;=$U$1,W453&lt;=$U$2),IF(X453='ESTRATTO CONTO'!$E$2,1+COUNTIF(U$4:U452,"&gt;0"),0),0)</f>
        <v>0</v>
      </c>
      <c r="V453" s="417">
        <f t="shared" si="87"/>
        <v>450</v>
      </c>
      <c r="W453" s="509"/>
      <c r="X453" s="321"/>
      <c r="Y453" s="321"/>
      <c r="Z453" s="508"/>
      <c r="AA453" s="356"/>
      <c r="AB453" s="306" t="str">
        <f t="shared" si="94"/>
        <v/>
      </c>
      <c r="AC453" s="637">
        <f t="shared" ca="1" si="93"/>
        <v>-2.1316282072803006E-13</v>
      </c>
      <c r="AD453" s="935">
        <f>IF(ISERROR(VLOOKUP(AD$2,X454:X$1003,1,FALSE)),IF(X453=AD$2,SUMIF(X$4:X453,AD$2,Z$4:Z453)+$E$9+SUM(AQ$4:AQ$1003)+SUMIF(COSTI!$X$1379:$X$1430,AD$2,COSTI!$Z$1379:$Z$1430),0),0)</f>
        <v>0</v>
      </c>
      <c r="AE453" s="26"/>
      <c r="AF453" s="856" t="e">
        <f>IF(ISERROR(VLOOKUP(AG$2,X454:X$1003,1,FALSE)),IF(X453=AG$2,SUMIF(X$4:X453,AG$2,Z$4:Z453)+VLOOKUP(AF$2,$B$1057:$F$1068,5,FALSE)+SUM(AR$4:AR$1003)+SUMIF(COSTI!$X$1379:$X$1430,AG$2,COSTI!$Z$1379:$Z$1430),0),0)</f>
        <v>#N/A</v>
      </c>
      <c r="AG453" s="859"/>
      <c r="AH453" s="27" t="str">
        <f t="shared" si="95"/>
        <v/>
      </c>
      <c r="AI453" s="152">
        <f ca="1">IF(W454&gt;0,0,IF(AH453=0,(Z453*-1)+BC453+SUM(BB$4:BB452),BC453+SUM(BB$4:BB452)))</f>
        <v>-2.1316282072803006E-13</v>
      </c>
      <c r="AJ453" s="931">
        <f>IF(AND(AL453&gt;=$U$1,AL453&lt;=$U$2),IF(AM453='ESTRATTO CONTO'!$E$2,1+COUNTIF(AJ$4:AJ452,"&gt;0")+U$1015,0),0)</f>
        <v>0</v>
      </c>
      <c r="AK453" s="203">
        <f>IF(AND(OR((AK452+1)&lt;AL$1015,(AK452+1)=AL$1015),MAX(AK$4:AK452)&lt;AL$1015),AK452+1,0)</f>
        <v>0</v>
      </c>
      <c r="AL453" s="309">
        <f>VLOOKUP($AK453,ENTI!$AF$4:AG$1003,2,FALSE)</f>
        <v>0</v>
      </c>
      <c r="AM453" s="224">
        <f>VLOOKUP($AK453,ENTI!$AF$4:AH$1003,3,FALSE)</f>
        <v>0</v>
      </c>
      <c r="AN453" s="224">
        <f>VLOOKUP($AK453,ENTI!$AF$4:AI$1003,4,FALSE)</f>
        <v>0</v>
      </c>
      <c r="AO453" s="781">
        <f>VLOOKUP($AK453,ENTI!$AF$4:AJ$1003,5,FALSE)</f>
        <v>0</v>
      </c>
      <c r="AP453" s="315">
        <f>VLOOKUP($AK453,ENTI!$AF$4:AK$1003,6,FALSE)</f>
        <v>0</v>
      </c>
      <c r="AQ453" s="208">
        <f t="shared" si="91"/>
        <v>0</v>
      </c>
      <c r="AR453" s="152" t="e">
        <f t="shared" si="92"/>
        <v>#N/A</v>
      </c>
      <c r="AS453" s="1"/>
      <c r="AT453" s="88" t="str">
        <f t="shared" si="96"/>
        <v/>
      </c>
      <c r="AU453" s="1"/>
      <c r="AV453" s="175">
        <f>IF(AW453&gt;0,COUNTIF(AV$4:AV452,"&gt;0")+1,0)</f>
        <v>0</v>
      </c>
      <c r="AW453" s="164">
        <f t="shared" si="97"/>
        <v>0</v>
      </c>
      <c r="AX453" s="310">
        <f>IF($AW453=0,0,VLOOKUP(VLOOKUP($X453,$B$34:$T$38,19,FALSE),ENTI!$A$9:$B$13,2,FALSE))</f>
        <v>0</v>
      </c>
      <c r="AY453" s="310">
        <f t="shared" si="88"/>
        <v>0</v>
      </c>
      <c r="AZ453" s="316">
        <f t="shared" si="89"/>
        <v>0</v>
      </c>
      <c r="BA453" s="1"/>
      <c r="BB453" s="152">
        <f t="shared" si="90"/>
        <v>0</v>
      </c>
      <c r="BC453" s="152">
        <f ca="1">SUM(Z$4:Z453)+SUM(BB$4:BB453)+COSTI!S$6-COSTI!L$1076</f>
        <v>-31.760000000000218</v>
      </c>
      <c r="BD453" s="1"/>
    </row>
    <row r="454" spans="1:56" ht="16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435">
        <f>IF(AND(W454&gt;=$U$1,W454&lt;=$U$2),IF(X454='ESTRATTO CONTO'!$E$2,1+COUNTIF(U$4:U453,"&gt;0"),0),0)</f>
        <v>0</v>
      </c>
      <c r="V454" s="417">
        <f t="shared" ref="V454:V517" si="98">V453+1</f>
        <v>451</v>
      </c>
      <c r="W454" s="509"/>
      <c r="X454" s="321"/>
      <c r="Y454" s="321"/>
      <c r="Z454" s="508"/>
      <c r="AA454" s="356"/>
      <c r="AB454" s="306" t="str">
        <f t="shared" si="94"/>
        <v/>
      </c>
      <c r="AC454" s="637">
        <f t="shared" ca="1" si="93"/>
        <v>-2.1316282072803006E-13</v>
      </c>
      <c r="AD454" s="935">
        <f>IF(ISERROR(VLOOKUP(AD$2,X455:X$1003,1,FALSE)),IF(X454=AD$2,SUMIF(X$4:X454,AD$2,Z$4:Z454)+$E$9+SUM(AQ$4:AQ$1003)+SUMIF(COSTI!$X$1379:$X$1430,AD$2,COSTI!$Z$1379:$Z$1430),0),0)</f>
        <v>0</v>
      </c>
      <c r="AE454" s="26"/>
      <c r="AF454" s="856" t="e">
        <f>IF(ISERROR(VLOOKUP(AG$2,X455:X$1003,1,FALSE)),IF(X454=AG$2,SUMIF(X$4:X454,AG$2,Z$4:Z454)+VLOOKUP(AF$2,$B$1057:$F$1068,5,FALSE)+SUM(AR$4:AR$1003)+SUMIF(COSTI!$X$1379:$X$1430,AG$2,COSTI!$Z$1379:$Z$1430),0),0)</f>
        <v>#N/A</v>
      </c>
      <c r="AG454" s="859"/>
      <c r="AH454" s="27" t="str">
        <f t="shared" si="95"/>
        <v/>
      </c>
      <c r="AI454" s="152">
        <f ca="1">IF(W455&gt;0,0,IF(AH454=0,(Z454*-1)+BC454+SUM(BB$4:BB453),BC454+SUM(BB$4:BB453)))</f>
        <v>-2.1316282072803006E-13</v>
      </c>
      <c r="AJ454" s="931">
        <f>IF(AND(AL454&gt;=$U$1,AL454&lt;=$U$2),IF(AM454='ESTRATTO CONTO'!$E$2,1+COUNTIF(AJ$4:AJ453,"&gt;0")+U$1015,0),0)</f>
        <v>0</v>
      </c>
      <c r="AK454" s="203">
        <f>IF(AND(OR((AK453+1)&lt;AL$1015,(AK453+1)=AL$1015),MAX(AK$4:AK453)&lt;AL$1015),AK453+1,0)</f>
        <v>0</v>
      </c>
      <c r="AL454" s="309">
        <f>VLOOKUP($AK454,ENTI!$AF$4:AG$1003,2,FALSE)</f>
        <v>0</v>
      </c>
      <c r="AM454" s="224">
        <f>VLOOKUP($AK454,ENTI!$AF$4:AH$1003,3,FALSE)</f>
        <v>0</v>
      </c>
      <c r="AN454" s="224">
        <f>VLOOKUP($AK454,ENTI!$AF$4:AI$1003,4,FALSE)</f>
        <v>0</v>
      </c>
      <c r="AO454" s="781">
        <f>VLOOKUP($AK454,ENTI!$AF$4:AJ$1003,5,FALSE)</f>
        <v>0</v>
      </c>
      <c r="AP454" s="315">
        <f>VLOOKUP($AK454,ENTI!$AF$4:AK$1003,6,FALSE)</f>
        <v>0</v>
      </c>
      <c r="AQ454" s="208">
        <f t="shared" si="91"/>
        <v>0</v>
      </c>
      <c r="AR454" s="152" t="e">
        <f t="shared" si="92"/>
        <v>#N/A</v>
      </c>
      <c r="AS454" s="1"/>
      <c r="AT454" s="88" t="str">
        <f t="shared" si="96"/>
        <v/>
      </c>
      <c r="AU454" s="1"/>
      <c r="AV454" s="175">
        <f>IF(AW454&gt;0,COUNTIF(AV$4:AV453,"&gt;0")+1,0)</f>
        <v>0</v>
      </c>
      <c r="AW454" s="164">
        <f t="shared" si="97"/>
        <v>0</v>
      </c>
      <c r="AX454" s="310">
        <f>IF($AW454=0,0,VLOOKUP(VLOOKUP($X454,$B$34:$T$38,19,FALSE),ENTI!$A$9:$B$13,2,FALSE))</f>
        <v>0</v>
      </c>
      <c r="AY454" s="310">
        <f t="shared" ref="AY454:AY517" si="99">IF(AW454=0,0,Y454)</f>
        <v>0</v>
      </c>
      <c r="AZ454" s="316">
        <f t="shared" ref="AZ454:AZ517" si="100">IF(AW454=0,0,Z454)</f>
        <v>0</v>
      </c>
      <c r="BA454" s="1"/>
      <c r="BB454" s="152">
        <f t="shared" ref="BB454:BB517" si="101">IF(ISERROR(VLOOKUP(X454,B$9:D$15,1,FALSE)),Z454*-1,0)</f>
        <v>0</v>
      </c>
      <c r="BC454" s="152">
        <f ca="1">SUM(Z$4:Z454)+SUM(BB$4:BB454)+COSTI!S$6-COSTI!L$1076</f>
        <v>-31.760000000000218</v>
      </c>
      <c r="BD454" s="1"/>
    </row>
    <row r="455" spans="1:56" ht="16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435">
        <f>IF(AND(W455&gt;=$U$1,W455&lt;=$U$2),IF(X455='ESTRATTO CONTO'!$E$2,1+COUNTIF(U$4:U454,"&gt;0"),0),0)</f>
        <v>0</v>
      </c>
      <c r="V455" s="417">
        <f t="shared" si="98"/>
        <v>452</v>
      </c>
      <c r="W455" s="509"/>
      <c r="X455" s="321"/>
      <c r="Y455" s="321"/>
      <c r="Z455" s="508"/>
      <c r="AA455" s="356"/>
      <c r="AB455" s="306" t="str">
        <f t="shared" si="94"/>
        <v/>
      </c>
      <c r="AC455" s="637">
        <f t="shared" ca="1" si="93"/>
        <v>-2.1316282072803006E-13</v>
      </c>
      <c r="AD455" s="935">
        <f>IF(ISERROR(VLOOKUP(AD$2,X456:X$1003,1,FALSE)),IF(X455=AD$2,SUMIF(X$4:X455,AD$2,Z$4:Z455)+$E$9+SUM(AQ$4:AQ$1003)+SUMIF(COSTI!$X$1379:$X$1430,AD$2,COSTI!$Z$1379:$Z$1430),0),0)</f>
        <v>0</v>
      </c>
      <c r="AE455" s="26"/>
      <c r="AF455" s="856" t="e">
        <f>IF(ISERROR(VLOOKUP(AG$2,X456:X$1003,1,FALSE)),IF(X455=AG$2,SUMIF(X$4:X455,AG$2,Z$4:Z455)+VLOOKUP(AF$2,$B$1057:$F$1068,5,FALSE)+SUM(AR$4:AR$1003)+SUMIF(COSTI!$X$1379:$X$1430,AG$2,COSTI!$Z$1379:$Z$1430),0),0)</f>
        <v>#N/A</v>
      </c>
      <c r="AG455" s="859"/>
      <c r="AH455" s="27" t="str">
        <f t="shared" si="95"/>
        <v/>
      </c>
      <c r="AI455" s="152">
        <f ca="1">IF(W456&gt;0,0,IF(AH455=0,(Z455*-1)+BC455+SUM(BB$4:BB454),BC455+SUM(BB$4:BB454)))</f>
        <v>-2.1316282072803006E-13</v>
      </c>
      <c r="AJ455" s="931">
        <f>IF(AND(AL455&gt;=$U$1,AL455&lt;=$U$2),IF(AM455='ESTRATTO CONTO'!$E$2,1+COUNTIF(AJ$4:AJ454,"&gt;0")+U$1015,0),0)</f>
        <v>0</v>
      </c>
      <c r="AK455" s="203">
        <f>IF(AND(OR((AK454+1)&lt;AL$1015,(AK454+1)=AL$1015),MAX(AK$4:AK454)&lt;AL$1015),AK454+1,0)</f>
        <v>0</v>
      </c>
      <c r="AL455" s="309">
        <f>VLOOKUP($AK455,ENTI!$AF$4:AG$1003,2,FALSE)</f>
        <v>0</v>
      </c>
      <c r="AM455" s="224">
        <f>VLOOKUP($AK455,ENTI!$AF$4:AH$1003,3,FALSE)</f>
        <v>0</v>
      </c>
      <c r="AN455" s="224">
        <f>VLOOKUP($AK455,ENTI!$AF$4:AI$1003,4,FALSE)</f>
        <v>0</v>
      </c>
      <c r="AO455" s="781">
        <f>VLOOKUP($AK455,ENTI!$AF$4:AJ$1003,5,FALSE)</f>
        <v>0</v>
      </c>
      <c r="AP455" s="315">
        <f>VLOOKUP($AK455,ENTI!$AF$4:AK$1003,6,FALSE)</f>
        <v>0</v>
      </c>
      <c r="AQ455" s="208">
        <f t="shared" si="91"/>
        <v>0</v>
      </c>
      <c r="AR455" s="152" t="e">
        <f t="shared" si="92"/>
        <v>#N/A</v>
      </c>
      <c r="AS455" s="1"/>
      <c r="AT455" s="88" t="str">
        <f t="shared" si="96"/>
        <v/>
      </c>
      <c r="AU455" s="1"/>
      <c r="AV455" s="175">
        <f>IF(AW455&gt;0,COUNTIF(AV$4:AV454,"&gt;0")+1,0)</f>
        <v>0</v>
      </c>
      <c r="AW455" s="164">
        <f t="shared" si="97"/>
        <v>0</v>
      </c>
      <c r="AX455" s="310">
        <f>IF($AW455=0,0,VLOOKUP(VLOOKUP($X455,$B$34:$T$38,19,FALSE),ENTI!$A$9:$B$13,2,FALSE))</f>
        <v>0</v>
      </c>
      <c r="AY455" s="310">
        <f t="shared" si="99"/>
        <v>0</v>
      </c>
      <c r="AZ455" s="316">
        <f t="shared" si="100"/>
        <v>0</v>
      </c>
      <c r="BA455" s="1"/>
      <c r="BB455" s="152">
        <f t="shared" si="101"/>
        <v>0</v>
      </c>
      <c r="BC455" s="152">
        <f ca="1">SUM(Z$4:Z455)+SUM(BB$4:BB455)+COSTI!S$6-COSTI!L$1076</f>
        <v>-31.760000000000218</v>
      </c>
      <c r="BD455" s="1"/>
    </row>
    <row r="456" spans="1:56" ht="16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435">
        <f>IF(AND(W456&gt;=$U$1,W456&lt;=$U$2),IF(X456='ESTRATTO CONTO'!$E$2,1+COUNTIF(U$4:U455,"&gt;0"),0),0)</f>
        <v>0</v>
      </c>
      <c r="V456" s="417">
        <f t="shared" si="98"/>
        <v>453</v>
      </c>
      <c r="W456" s="509"/>
      <c r="X456" s="321"/>
      <c r="Y456" s="321"/>
      <c r="Z456" s="508"/>
      <c r="AA456" s="356"/>
      <c r="AB456" s="306" t="str">
        <f t="shared" si="94"/>
        <v/>
      </c>
      <c r="AC456" s="637">
        <f t="shared" ca="1" si="93"/>
        <v>-2.1316282072803006E-13</v>
      </c>
      <c r="AD456" s="935">
        <f>IF(ISERROR(VLOOKUP(AD$2,X457:X$1003,1,FALSE)),IF(X456=AD$2,SUMIF(X$4:X456,AD$2,Z$4:Z456)+$E$9+SUM(AQ$4:AQ$1003)+SUMIF(COSTI!$X$1379:$X$1430,AD$2,COSTI!$Z$1379:$Z$1430),0),0)</f>
        <v>0</v>
      </c>
      <c r="AE456" s="26"/>
      <c r="AF456" s="856" t="e">
        <f>IF(ISERROR(VLOOKUP(AG$2,X457:X$1003,1,FALSE)),IF(X456=AG$2,SUMIF(X$4:X456,AG$2,Z$4:Z456)+VLOOKUP(AF$2,$B$1057:$F$1068,5,FALSE)+SUM(AR$4:AR$1003)+SUMIF(COSTI!$X$1379:$X$1430,AG$2,COSTI!$Z$1379:$Z$1430),0),0)</f>
        <v>#N/A</v>
      </c>
      <c r="AG456" s="859"/>
      <c r="AH456" s="27" t="str">
        <f t="shared" si="95"/>
        <v/>
      </c>
      <c r="AI456" s="152">
        <f ca="1">IF(W457&gt;0,0,IF(AH456=0,(Z456*-1)+BC456+SUM(BB$4:BB455),BC456+SUM(BB$4:BB455)))</f>
        <v>-2.1316282072803006E-13</v>
      </c>
      <c r="AJ456" s="931">
        <f>IF(AND(AL456&gt;=$U$1,AL456&lt;=$U$2),IF(AM456='ESTRATTO CONTO'!$E$2,1+COUNTIF(AJ$4:AJ455,"&gt;0")+U$1015,0),0)</f>
        <v>0</v>
      </c>
      <c r="AK456" s="203">
        <f>IF(AND(OR((AK455+1)&lt;AL$1015,(AK455+1)=AL$1015),MAX(AK$4:AK455)&lt;AL$1015),AK455+1,0)</f>
        <v>0</v>
      </c>
      <c r="AL456" s="309">
        <f>VLOOKUP($AK456,ENTI!$AF$4:AG$1003,2,FALSE)</f>
        <v>0</v>
      </c>
      <c r="AM456" s="224">
        <f>VLOOKUP($AK456,ENTI!$AF$4:AH$1003,3,FALSE)</f>
        <v>0</v>
      </c>
      <c r="AN456" s="224">
        <f>VLOOKUP($AK456,ENTI!$AF$4:AI$1003,4,FALSE)</f>
        <v>0</v>
      </c>
      <c r="AO456" s="781">
        <f>VLOOKUP($AK456,ENTI!$AF$4:AJ$1003,5,FALSE)</f>
        <v>0</v>
      </c>
      <c r="AP456" s="315">
        <f>VLOOKUP($AK456,ENTI!$AF$4:AK$1003,6,FALSE)</f>
        <v>0</v>
      </c>
      <c r="AQ456" s="208">
        <f t="shared" si="91"/>
        <v>0</v>
      </c>
      <c r="AR456" s="152" t="e">
        <f t="shared" si="92"/>
        <v>#N/A</v>
      </c>
      <c r="AS456" s="1"/>
      <c r="AT456" s="88" t="str">
        <f t="shared" si="96"/>
        <v/>
      </c>
      <c r="AU456" s="1"/>
      <c r="AV456" s="175">
        <f>IF(AW456&gt;0,COUNTIF(AV$4:AV455,"&gt;0")+1,0)</f>
        <v>0</v>
      </c>
      <c r="AW456" s="164">
        <f t="shared" si="97"/>
        <v>0</v>
      </c>
      <c r="AX456" s="310">
        <f>IF($AW456=0,0,VLOOKUP(VLOOKUP($X456,$B$34:$T$38,19,FALSE),ENTI!$A$9:$B$13,2,FALSE))</f>
        <v>0</v>
      </c>
      <c r="AY456" s="310">
        <f t="shared" si="99"/>
        <v>0</v>
      </c>
      <c r="AZ456" s="316">
        <f t="shared" si="100"/>
        <v>0</v>
      </c>
      <c r="BA456" s="1"/>
      <c r="BB456" s="152">
        <f t="shared" si="101"/>
        <v>0</v>
      </c>
      <c r="BC456" s="152">
        <f ca="1">SUM(Z$4:Z456)+SUM(BB$4:BB456)+COSTI!S$6-COSTI!L$1076</f>
        <v>-31.760000000000218</v>
      </c>
      <c r="BD456" s="1"/>
    </row>
    <row r="457" spans="1:56" ht="16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435">
        <f>IF(AND(W457&gt;=$U$1,W457&lt;=$U$2),IF(X457='ESTRATTO CONTO'!$E$2,1+COUNTIF(U$4:U456,"&gt;0"),0),0)</f>
        <v>0</v>
      </c>
      <c r="V457" s="417">
        <f t="shared" si="98"/>
        <v>454</v>
      </c>
      <c r="W457" s="509"/>
      <c r="X457" s="321"/>
      <c r="Y457" s="321"/>
      <c r="Z457" s="508"/>
      <c r="AA457" s="356"/>
      <c r="AB457" s="306" t="str">
        <f t="shared" si="94"/>
        <v/>
      </c>
      <c r="AC457" s="637">
        <f t="shared" ca="1" si="93"/>
        <v>-2.1316282072803006E-13</v>
      </c>
      <c r="AD457" s="935">
        <f>IF(ISERROR(VLOOKUP(AD$2,X458:X$1003,1,FALSE)),IF(X457=AD$2,SUMIF(X$4:X457,AD$2,Z$4:Z457)+$E$9+SUM(AQ$4:AQ$1003)+SUMIF(COSTI!$X$1379:$X$1430,AD$2,COSTI!$Z$1379:$Z$1430),0),0)</f>
        <v>0</v>
      </c>
      <c r="AE457" s="26"/>
      <c r="AF457" s="856" t="e">
        <f>IF(ISERROR(VLOOKUP(AG$2,X458:X$1003,1,FALSE)),IF(X457=AG$2,SUMIF(X$4:X457,AG$2,Z$4:Z457)+VLOOKUP(AF$2,$B$1057:$F$1068,5,FALSE)+SUM(AR$4:AR$1003)+SUMIF(COSTI!$X$1379:$X$1430,AG$2,COSTI!$Z$1379:$Z$1430),0),0)</f>
        <v>#N/A</v>
      </c>
      <c r="AG457" s="859"/>
      <c r="AH457" s="27" t="str">
        <f t="shared" si="95"/>
        <v/>
      </c>
      <c r="AI457" s="152">
        <f ca="1">IF(W458&gt;0,0,IF(AH457=0,(Z457*-1)+BC457+SUM(BB$4:BB456),BC457+SUM(BB$4:BB456)))</f>
        <v>-2.1316282072803006E-13</v>
      </c>
      <c r="AJ457" s="931">
        <f>IF(AND(AL457&gt;=$U$1,AL457&lt;=$U$2),IF(AM457='ESTRATTO CONTO'!$E$2,1+COUNTIF(AJ$4:AJ456,"&gt;0")+U$1015,0),0)</f>
        <v>0</v>
      </c>
      <c r="AK457" s="203">
        <f>IF(AND(OR((AK456+1)&lt;AL$1015,(AK456+1)=AL$1015),MAX(AK$4:AK456)&lt;AL$1015),AK456+1,0)</f>
        <v>0</v>
      </c>
      <c r="AL457" s="309">
        <f>VLOOKUP($AK457,ENTI!$AF$4:AG$1003,2,FALSE)</f>
        <v>0</v>
      </c>
      <c r="AM457" s="224">
        <f>VLOOKUP($AK457,ENTI!$AF$4:AH$1003,3,FALSE)</f>
        <v>0</v>
      </c>
      <c r="AN457" s="224">
        <f>VLOOKUP($AK457,ENTI!$AF$4:AI$1003,4,FALSE)</f>
        <v>0</v>
      </c>
      <c r="AO457" s="781">
        <f>VLOOKUP($AK457,ENTI!$AF$4:AJ$1003,5,FALSE)</f>
        <v>0</v>
      </c>
      <c r="AP457" s="315">
        <f>VLOOKUP($AK457,ENTI!$AF$4:AK$1003,6,FALSE)</f>
        <v>0</v>
      </c>
      <c r="AQ457" s="208">
        <f t="shared" si="91"/>
        <v>0</v>
      </c>
      <c r="AR457" s="152" t="e">
        <f t="shared" si="92"/>
        <v>#N/A</v>
      </c>
      <c r="AS457" s="1"/>
      <c r="AT457" s="88" t="str">
        <f t="shared" si="96"/>
        <v/>
      </c>
      <c r="AU457" s="1"/>
      <c r="AV457" s="175">
        <f>IF(AW457&gt;0,COUNTIF(AV$4:AV456,"&gt;0")+1,0)</f>
        <v>0</v>
      </c>
      <c r="AW457" s="164">
        <f t="shared" si="97"/>
        <v>0</v>
      </c>
      <c r="AX457" s="310">
        <f>IF($AW457=0,0,VLOOKUP(VLOOKUP($X457,$B$34:$T$38,19,FALSE),ENTI!$A$9:$B$13,2,FALSE))</f>
        <v>0</v>
      </c>
      <c r="AY457" s="310">
        <f t="shared" si="99"/>
        <v>0</v>
      </c>
      <c r="AZ457" s="316">
        <f t="shared" si="100"/>
        <v>0</v>
      </c>
      <c r="BA457" s="1"/>
      <c r="BB457" s="152">
        <f t="shared" si="101"/>
        <v>0</v>
      </c>
      <c r="BC457" s="152">
        <f ca="1">SUM(Z$4:Z457)+SUM(BB$4:BB457)+COSTI!S$6-COSTI!L$1076</f>
        <v>-31.760000000000218</v>
      </c>
      <c r="BD457" s="1"/>
    </row>
    <row r="458" spans="1:56" ht="16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435">
        <f>IF(AND(W458&gt;=$U$1,W458&lt;=$U$2),IF(X458='ESTRATTO CONTO'!$E$2,1+COUNTIF(U$4:U457,"&gt;0"),0),0)</f>
        <v>0</v>
      </c>
      <c r="V458" s="417">
        <f t="shared" si="98"/>
        <v>455</v>
      </c>
      <c r="W458" s="509"/>
      <c r="X458" s="321"/>
      <c r="Y458" s="321"/>
      <c r="Z458" s="508"/>
      <c r="AA458" s="356"/>
      <c r="AB458" s="306" t="str">
        <f t="shared" si="94"/>
        <v/>
      </c>
      <c r="AC458" s="637">
        <f t="shared" ca="1" si="93"/>
        <v>-2.1316282072803006E-13</v>
      </c>
      <c r="AD458" s="935">
        <f>IF(ISERROR(VLOOKUP(AD$2,X459:X$1003,1,FALSE)),IF(X458=AD$2,SUMIF(X$4:X458,AD$2,Z$4:Z458)+$E$9+SUM(AQ$4:AQ$1003)+SUMIF(COSTI!$X$1379:$X$1430,AD$2,COSTI!$Z$1379:$Z$1430),0),0)</f>
        <v>0</v>
      </c>
      <c r="AE458" s="26"/>
      <c r="AF458" s="856" t="e">
        <f>IF(ISERROR(VLOOKUP(AG$2,X459:X$1003,1,FALSE)),IF(X458=AG$2,SUMIF(X$4:X458,AG$2,Z$4:Z458)+VLOOKUP(AF$2,$B$1057:$F$1068,5,FALSE)+SUM(AR$4:AR$1003)+SUMIF(COSTI!$X$1379:$X$1430,AG$2,COSTI!$Z$1379:$Z$1430),0),0)</f>
        <v>#N/A</v>
      </c>
      <c r="AG458" s="859"/>
      <c r="AH458" s="27" t="str">
        <f t="shared" si="95"/>
        <v/>
      </c>
      <c r="AI458" s="152">
        <f ca="1">IF(W459&gt;0,0,IF(AH458=0,(Z458*-1)+BC458+SUM(BB$4:BB457),BC458+SUM(BB$4:BB457)))</f>
        <v>-2.1316282072803006E-13</v>
      </c>
      <c r="AJ458" s="931">
        <f>IF(AND(AL458&gt;=$U$1,AL458&lt;=$U$2),IF(AM458='ESTRATTO CONTO'!$E$2,1+COUNTIF(AJ$4:AJ457,"&gt;0")+U$1015,0),0)</f>
        <v>0</v>
      </c>
      <c r="AK458" s="203">
        <f>IF(AND(OR((AK457+1)&lt;AL$1015,(AK457+1)=AL$1015),MAX(AK$4:AK457)&lt;AL$1015),AK457+1,0)</f>
        <v>0</v>
      </c>
      <c r="AL458" s="309">
        <f>VLOOKUP($AK458,ENTI!$AF$4:AG$1003,2,FALSE)</f>
        <v>0</v>
      </c>
      <c r="AM458" s="224">
        <f>VLOOKUP($AK458,ENTI!$AF$4:AH$1003,3,FALSE)</f>
        <v>0</v>
      </c>
      <c r="AN458" s="224">
        <f>VLOOKUP($AK458,ENTI!$AF$4:AI$1003,4,FALSE)</f>
        <v>0</v>
      </c>
      <c r="AO458" s="781">
        <f>VLOOKUP($AK458,ENTI!$AF$4:AJ$1003,5,FALSE)</f>
        <v>0</v>
      </c>
      <c r="AP458" s="315">
        <f>VLOOKUP($AK458,ENTI!$AF$4:AK$1003,6,FALSE)</f>
        <v>0</v>
      </c>
      <c r="AQ458" s="208">
        <f t="shared" si="91"/>
        <v>0</v>
      </c>
      <c r="AR458" s="152" t="e">
        <f t="shared" si="92"/>
        <v>#N/A</v>
      </c>
      <c r="AS458" s="1"/>
      <c r="AT458" s="88" t="str">
        <f t="shared" si="96"/>
        <v/>
      </c>
      <c r="AU458" s="1"/>
      <c r="AV458" s="175">
        <f>IF(AW458&gt;0,COUNTIF(AV$4:AV457,"&gt;0")+1,0)</f>
        <v>0</v>
      </c>
      <c r="AW458" s="164">
        <f t="shared" si="97"/>
        <v>0</v>
      </c>
      <c r="AX458" s="310">
        <f>IF($AW458=0,0,VLOOKUP(VLOOKUP($X458,$B$34:$T$38,19,FALSE),ENTI!$A$9:$B$13,2,FALSE))</f>
        <v>0</v>
      </c>
      <c r="AY458" s="310">
        <f t="shared" si="99"/>
        <v>0</v>
      </c>
      <c r="AZ458" s="316">
        <f t="shared" si="100"/>
        <v>0</v>
      </c>
      <c r="BA458" s="1"/>
      <c r="BB458" s="152">
        <f t="shared" si="101"/>
        <v>0</v>
      </c>
      <c r="BC458" s="152">
        <f ca="1">SUM(Z$4:Z458)+SUM(BB$4:BB458)+COSTI!S$6-COSTI!L$1076</f>
        <v>-31.760000000000218</v>
      </c>
      <c r="BD458" s="1"/>
    </row>
    <row r="459" spans="1:56" ht="16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435">
        <f>IF(AND(W459&gt;=$U$1,W459&lt;=$U$2),IF(X459='ESTRATTO CONTO'!$E$2,1+COUNTIF(U$4:U458,"&gt;0"),0),0)</f>
        <v>0</v>
      </c>
      <c r="V459" s="417">
        <f t="shared" si="98"/>
        <v>456</v>
      </c>
      <c r="W459" s="509"/>
      <c r="X459" s="321"/>
      <c r="Y459" s="321"/>
      <c r="Z459" s="508"/>
      <c r="AA459" s="356"/>
      <c r="AB459" s="306" t="str">
        <f t="shared" si="94"/>
        <v/>
      </c>
      <c r="AC459" s="637">
        <f t="shared" ca="1" si="93"/>
        <v>-2.1316282072803006E-13</v>
      </c>
      <c r="AD459" s="935">
        <f>IF(ISERROR(VLOOKUP(AD$2,X460:X$1003,1,FALSE)),IF(X459=AD$2,SUMIF(X$4:X459,AD$2,Z$4:Z459)+$E$9+SUM(AQ$4:AQ$1003)+SUMIF(COSTI!$X$1379:$X$1430,AD$2,COSTI!$Z$1379:$Z$1430),0),0)</f>
        <v>0</v>
      </c>
      <c r="AE459" s="26"/>
      <c r="AF459" s="856" t="e">
        <f>IF(ISERROR(VLOOKUP(AG$2,X460:X$1003,1,FALSE)),IF(X459=AG$2,SUMIF(X$4:X459,AG$2,Z$4:Z459)+VLOOKUP(AF$2,$B$1057:$F$1068,5,FALSE)+SUM(AR$4:AR$1003)+SUMIF(COSTI!$X$1379:$X$1430,AG$2,COSTI!$Z$1379:$Z$1430),0),0)</f>
        <v>#N/A</v>
      </c>
      <c r="AG459" s="859"/>
      <c r="AH459" s="27" t="str">
        <f t="shared" si="95"/>
        <v/>
      </c>
      <c r="AI459" s="152">
        <f ca="1">IF(W460&gt;0,0,IF(AH459=0,(Z459*-1)+BC459+SUM(BB$4:BB458),BC459+SUM(BB$4:BB458)))</f>
        <v>-2.1316282072803006E-13</v>
      </c>
      <c r="AJ459" s="931">
        <f>IF(AND(AL459&gt;=$U$1,AL459&lt;=$U$2),IF(AM459='ESTRATTO CONTO'!$E$2,1+COUNTIF(AJ$4:AJ458,"&gt;0")+U$1015,0),0)</f>
        <v>0</v>
      </c>
      <c r="AK459" s="203">
        <f>IF(AND(OR((AK458+1)&lt;AL$1015,(AK458+1)=AL$1015),MAX(AK$4:AK458)&lt;AL$1015),AK458+1,0)</f>
        <v>0</v>
      </c>
      <c r="AL459" s="309">
        <f>VLOOKUP($AK459,ENTI!$AF$4:AG$1003,2,FALSE)</f>
        <v>0</v>
      </c>
      <c r="AM459" s="224">
        <f>VLOOKUP($AK459,ENTI!$AF$4:AH$1003,3,FALSE)</f>
        <v>0</v>
      </c>
      <c r="AN459" s="224">
        <f>VLOOKUP($AK459,ENTI!$AF$4:AI$1003,4,FALSE)</f>
        <v>0</v>
      </c>
      <c r="AO459" s="781">
        <f>VLOOKUP($AK459,ENTI!$AF$4:AJ$1003,5,FALSE)</f>
        <v>0</v>
      </c>
      <c r="AP459" s="315">
        <f>VLOOKUP($AK459,ENTI!$AF$4:AK$1003,6,FALSE)</f>
        <v>0</v>
      </c>
      <c r="AQ459" s="208">
        <f t="shared" si="91"/>
        <v>0</v>
      </c>
      <c r="AR459" s="152" t="e">
        <f t="shared" si="92"/>
        <v>#N/A</v>
      </c>
      <c r="AS459" s="1"/>
      <c r="AT459" s="88" t="str">
        <f t="shared" si="96"/>
        <v/>
      </c>
      <c r="AU459" s="1"/>
      <c r="AV459" s="175">
        <f>IF(AW459&gt;0,COUNTIF(AV$4:AV458,"&gt;0")+1,0)</f>
        <v>0</v>
      </c>
      <c r="AW459" s="164">
        <f t="shared" si="97"/>
        <v>0</v>
      </c>
      <c r="AX459" s="310">
        <f>IF($AW459=0,0,VLOOKUP(VLOOKUP($X459,$B$34:$T$38,19,FALSE),ENTI!$A$9:$B$13,2,FALSE))</f>
        <v>0</v>
      </c>
      <c r="AY459" s="310">
        <f t="shared" si="99"/>
        <v>0</v>
      </c>
      <c r="AZ459" s="316">
        <f t="shared" si="100"/>
        <v>0</v>
      </c>
      <c r="BA459" s="1"/>
      <c r="BB459" s="152">
        <f t="shared" si="101"/>
        <v>0</v>
      </c>
      <c r="BC459" s="152">
        <f ca="1">SUM(Z$4:Z459)+SUM(BB$4:BB459)+COSTI!S$6-COSTI!L$1076</f>
        <v>-31.760000000000218</v>
      </c>
      <c r="BD459" s="1"/>
    </row>
    <row r="460" spans="1:56" ht="16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435">
        <f>IF(AND(W460&gt;=$U$1,W460&lt;=$U$2),IF(X460='ESTRATTO CONTO'!$E$2,1+COUNTIF(U$4:U459,"&gt;0"),0),0)</f>
        <v>0</v>
      </c>
      <c r="V460" s="417">
        <f t="shared" si="98"/>
        <v>457</v>
      </c>
      <c r="W460" s="509"/>
      <c r="X460" s="321"/>
      <c r="Y460" s="321"/>
      <c r="Z460" s="508"/>
      <c r="AA460" s="356"/>
      <c r="AB460" s="306" t="str">
        <f t="shared" si="94"/>
        <v/>
      </c>
      <c r="AC460" s="637">
        <f t="shared" ca="1" si="93"/>
        <v>-2.1316282072803006E-13</v>
      </c>
      <c r="AD460" s="935">
        <f>IF(ISERROR(VLOOKUP(AD$2,X461:X$1003,1,FALSE)),IF(X460=AD$2,SUMIF(X$4:X460,AD$2,Z$4:Z460)+$E$9+SUM(AQ$4:AQ$1003)+SUMIF(COSTI!$X$1379:$X$1430,AD$2,COSTI!$Z$1379:$Z$1430),0),0)</f>
        <v>0</v>
      </c>
      <c r="AE460" s="26"/>
      <c r="AF460" s="856" t="e">
        <f>IF(ISERROR(VLOOKUP(AG$2,X461:X$1003,1,FALSE)),IF(X460=AG$2,SUMIF(X$4:X460,AG$2,Z$4:Z460)+VLOOKUP(AF$2,$B$1057:$F$1068,5,FALSE)+SUM(AR$4:AR$1003)+SUMIF(COSTI!$X$1379:$X$1430,AG$2,COSTI!$Z$1379:$Z$1430),0),0)</f>
        <v>#N/A</v>
      </c>
      <c r="AG460" s="859"/>
      <c r="AH460" s="27" t="str">
        <f t="shared" si="95"/>
        <v/>
      </c>
      <c r="AI460" s="152">
        <f ca="1">IF(W461&gt;0,0,IF(AH460=0,(Z460*-1)+BC460+SUM(BB$4:BB459),BC460+SUM(BB$4:BB459)))</f>
        <v>-2.1316282072803006E-13</v>
      </c>
      <c r="AJ460" s="931">
        <f>IF(AND(AL460&gt;=$U$1,AL460&lt;=$U$2),IF(AM460='ESTRATTO CONTO'!$E$2,1+COUNTIF(AJ$4:AJ459,"&gt;0")+U$1015,0),0)</f>
        <v>0</v>
      </c>
      <c r="AK460" s="203">
        <f>IF(AND(OR((AK459+1)&lt;AL$1015,(AK459+1)=AL$1015),MAX(AK$4:AK459)&lt;AL$1015),AK459+1,0)</f>
        <v>0</v>
      </c>
      <c r="AL460" s="309">
        <f>VLOOKUP($AK460,ENTI!$AF$4:AG$1003,2,FALSE)</f>
        <v>0</v>
      </c>
      <c r="AM460" s="224">
        <f>VLOOKUP($AK460,ENTI!$AF$4:AH$1003,3,FALSE)</f>
        <v>0</v>
      </c>
      <c r="AN460" s="224">
        <f>VLOOKUP($AK460,ENTI!$AF$4:AI$1003,4,FALSE)</f>
        <v>0</v>
      </c>
      <c r="AO460" s="781">
        <f>VLOOKUP($AK460,ENTI!$AF$4:AJ$1003,5,FALSE)</f>
        <v>0</v>
      </c>
      <c r="AP460" s="315">
        <f>VLOOKUP($AK460,ENTI!$AF$4:AK$1003,6,FALSE)</f>
        <v>0</v>
      </c>
      <c r="AQ460" s="208">
        <f t="shared" si="91"/>
        <v>0</v>
      </c>
      <c r="AR460" s="152" t="e">
        <f t="shared" si="92"/>
        <v>#N/A</v>
      </c>
      <c r="AS460" s="1"/>
      <c r="AT460" s="88" t="str">
        <f t="shared" si="96"/>
        <v/>
      </c>
      <c r="AU460" s="1"/>
      <c r="AV460" s="175">
        <f>IF(AW460&gt;0,COUNTIF(AV$4:AV459,"&gt;0")+1,0)</f>
        <v>0</v>
      </c>
      <c r="AW460" s="164">
        <f t="shared" si="97"/>
        <v>0</v>
      </c>
      <c r="AX460" s="310">
        <f>IF($AW460=0,0,VLOOKUP(VLOOKUP($X460,$B$34:$T$38,19,FALSE),ENTI!$A$9:$B$13,2,FALSE))</f>
        <v>0</v>
      </c>
      <c r="AY460" s="310">
        <f t="shared" si="99"/>
        <v>0</v>
      </c>
      <c r="AZ460" s="316">
        <f t="shared" si="100"/>
        <v>0</v>
      </c>
      <c r="BA460" s="1"/>
      <c r="BB460" s="152">
        <f t="shared" si="101"/>
        <v>0</v>
      </c>
      <c r="BC460" s="152">
        <f ca="1">SUM(Z$4:Z460)+SUM(BB$4:BB460)+COSTI!S$6-COSTI!L$1076</f>
        <v>-31.760000000000218</v>
      </c>
      <c r="BD460" s="1"/>
    </row>
    <row r="461" spans="1:56" ht="16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435">
        <f>IF(AND(W461&gt;=$U$1,W461&lt;=$U$2),IF(X461='ESTRATTO CONTO'!$E$2,1+COUNTIF(U$4:U460,"&gt;0"),0),0)</f>
        <v>0</v>
      </c>
      <c r="V461" s="417">
        <f t="shared" si="98"/>
        <v>458</v>
      </c>
      <c r="W461" s="509"/>
      <c r="X461" s="321"/>
      <c r="Y461" s="321"/>
      <c r="Z461" s="508"/>
      <c r="AA461" s="356"/>
      <c r="AB461" s="306" t="str">
        <f t="shared" si="94"/>
        <v/>
      </c>
      <c r="AC461" s="637">
        <f t="shared" ca="1" si="93"/>
        <v>-2.1316282072803006E-13</v>
      </c>
      <c r="AD461" s="935">
        <f>IF(ISERROR(VLOOKUP(AD$2,X462:X$1003,1,FALSE)),IF(X461=AD$2,SUMIF(X$4:X461,AD$2,Z$4:Z461)+$E$9+SUM(AQ$4:AQ$1003)+SUMIF(COSTI!$X$1379:$X$1430,AD$2,COSTI!$Z$1379:$Z$1430),0),0)</f>
        <v>0</v>
      </c>
      <c r="AE461" s="26"/>
      <c r="AF461" s="856" t="e">
        <f>IF(ISERROR(VLOOKUP(AG$2,X462:X$1003,1,FALSE)),IF(X461=AG$2,SUMIF(X$4:X461,AG$2,Z$4:Z461)+VLOOKUP(AF$2,$B$1057:$F$1068,5,FALSE)+SUM(AR$4:AR$1003)+SUMIF(COSTI!$X$1379:$X$1430,AG$2,COSTI!$Z$1379:$Z$1430),0),0)</f>
        <v>#N/A</v>
      </c>
      <c r="AG461" s="859"/>
      <c r="AH461" s="27" t="str">
        <f t="shared" si="95"/>
        <v/>
      </c>
      <c r="AI461" s="152">
        <f ca="1">IF(W462&gt;0,0,IF(AH461=0,(Z461*-1)+BC461+SUM(BB$4:BB460),BC461+SUM(BB$4:BB460)))</f>
        <v>-2.1316282072803006E-13</v>
      </c>
      <c r="AJ461" s="931">
        <f>IF(AND(AL461&gt;=$U$1,AL461&lt;=$U$2),IF(AM461='ESTRATTO CONTO'!$E$2,1+COUNTIF(AJ$4:AJ460,"&gt;0")+U$1015,0),0)</f>
        <v>0</v>
      </c>
      <c r="AK461" s="203">
        <f>IF(AND(OR((AK460+1)&lt;AL$1015,(AK460+1)=AL$1015),MAX(AK$4:AK460)&lt;AL$1015),AK460+1,0)</f>
        <v>0</v>
      </c>
      <c r="AL461" s="309">
        <f>VLOOKUP($AK461,ENTI!$AF$4:AG$1003,2,FALSE)</f>
        <v>0</v>
      </c>
      <c r="AM461" s="224">
        <f>VLOOKUP($AK461,ENTI!$AF$4:AH$1003,3,FALSE)</f>
        <v>0</v>
      </c>
      <c r="AN461" s="224">
        <f>VLOOKUP($AK461,ENTI!$AF$4:AI$1003,4,FALSE)</f>
        <v>0</v>
      </c>
      <c r="AO461" s="781">
        <f>VLOOKUP($AK461,ENTI!$AF$4:AJ$1003,5,FALSE)</f>
        <v>0</v>
      </c>
      <c r="AP461" s="315">
        <f>VLOOKUP($AK461,ENTI!$AF$4:AK$1003,6,FALSE)</f>
        <v>0</v>
      </c>
      <c r="AQ461" s="208">
        <f t="shared" si="91"/>
        <v>0</v>
      </c>
      <c r="AR461" s="152" t="e">
        <f t="shared" si="92"/>
        <v>#N/A</v>
      </c>
      <c r="AS461" s="1"/>
      <c r="AT461" s="88" t="str">
        <f t="shared" si="96"/>
        <v/>
      </c>
      <c r="AU461" s="1"/>
      <c r="AV461" s="175">
        <f>IF(AW461&gt;0,COUNTIF(AV$4:AV460,"&gt;0")+1,0)</f>
        <v>0</v>
      </c>
      <c r="AW461" s="164">
        <f t="shared" si="97"/>
        <v>0</v>
      </c>
      <c r="AX461" s="310">
        <f>IF($AW461=0,0,VLOOKUP(VLOOKUP($X461,$B$34:$T$38,19,FALSE),ENTI!$A$9:$B$13,2,FALSE))</f>
        <v>0</v>
      </c>
      <c r="AY461" s="310">
        <f t="shared" si="99"/>
        <v>0</v>
      </c>
      <c r="AZ461" s="316">
        <f t="shared" si="100"/>
        <v>0</v>
      </c>
      <c r="BA461" s="1"/>
      <c r="BB461" s="152">
        <f t="shared" si="101"/>
        <v>0</v>
      </c>
      <c r="BC461" s="152">
        <f ca="1">SUM(Z$4:Z461)+SUM(BB$4:BB461)+COSTI!S$6-COSTI!L$1076</f>
        <v>-31.760000000000218</v>
      </c>
      <c r="BD461" s="1"/>
    </row>
    <row r="462" spans="1:56" ht="16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435">
        <f>IF(AND(W462&gt;=$U$1,W462&lt;=$U$2),IF(X462='ESTRATTO CONTO'!$E$2,1+COUNTIF(U$4:U461,"&gt;0"),0),0)</f>
        <v>0</v>
      </c>
      <c r="V462" s="417">
        <f t="shared" si="98"/>
        <v>459</v>
      </c>
      <c r="W462" s="509"/>
      <c r="X462" s="321"/>
      <c r="Y462" s="321"/>
      <c r="Z462" s="508"/>
      <c r="AA462" s="356"/>
      <c r="AB462" s="306" t="str">
        <f t="shared" si="94"/>
        <v/>
      </c>
      <c r="AC462" s="637">
        <f t="shared" ca="1" si="93"/>
        <v>-2.1316282072803006E-13</v>
      </c>
      <c r="AD462" s="935">
        <f>IF(ISERROR(VLOOKUP(AD$2,X463:X$1003,1,FALSE)),IF(X462=AD$2,SUMIF(X$4:X462,AD$2,Z$4:Z462)+$E$9+SUM(AQ$4:AQ$1003)+SUMIF(COSTI!$X$1379:$X$1430,AD$2,COSTI!$Z$1379:$Z$1430),0),0)</f>
        <v>0</v>
      </c>
      <c r="AE462" s="26"/>
      <c r="AF462" s="856" t="e">
        <f>IF(ISERROR(VLOOKUP(AG$2,X463:X$1003,1,FALSE)),IF(X462=AG$2,SUMIF(X$4:X462,AG$2,Z$4:Z462)+VLOOKUP(AF$2,$B$1057:$F$1068,5,FALSE)+SUM(AR$4:AR$1003)+SUMIF(COSTI!$X$1379:$X$1430,AG$2,COSTI!$Z$1379:$Z$1430),0),0)</f>
        <v>#N/A</v>
      </c>
      <c r="AG462" s="859"/>
      <c r="AH462" s="27" t="str">
        <f t="shared" si="95"/>
        <v/>
      </c>
      <c r="AI462" s="152">
        <f ca="1">IF(W463&gt;0,0,IF(AH462=0,(Z462*-1)+BC462+SUM(BB$4:BB461),BC462+SUM(BB$4:BB461)))</f>
        <v>-2.1316282072803006E-13</v>
      </c>
      <c r="AJ462" s="931">
        <f>IF(AND(AL462&gt;=$U$1,AL462&lt;=$U$2),IF(AM462='ESTRATTO CONTO'!$E$2,1+COUNTIF(AJ$4:AJ461,"&gt;0")+U$1015,0),0)</f>
        <v>0</v>
      </c>
      <c r="AK462" s="203">
        <f>IF(AND(OR((AK461+1)&lt;AL$1015,(AK461+1)=AL$1015),MAX(AK$4:AK461)&lt;AL$1015),AK461+1,0)</f>
        <v>0</v>
      </c>
      <c r="AL462" s="309">
        <f>VLOOKUP($AK462,ENTI!$AF$4:AG$1003,2,FALSE)</f>
        <v>0</v>
      </c>
      <c r="AM462" s="224">
        <f>VLOOKUP($AK462,ENTI!$AF$4:AH$1003,3,FALSE)</f>
        <v>0</v>
      </c>
      <c r="AN462" s="224">
        <f>VLOOKUP($AK462,ENTI!$AF$4:AI$1003,4,FALSE)</f>
        <v>0</v>
      </c>
      <c r="AO462" s="781">
        <f>VLOOKUP($AK462,ENTI!$AF$4:AJ$1003,5,FALSE)</f>
        <v>0</v>
      </c>
      <c r="AP462" s="315">
        <f>VLOOKUP($AK462,ENTI!$AF$4:AK$1003,6,FALSE)</f>
        <v>0</v>
      </c>
      <c r="AQ462" s="208">
        <f t="shared" si="91"/>
        <v>0</v>
      </c>
      <c r="AR462" s="152" t="e">
        <f t="shared" si="92"/>
        <v>#N/A</v>
      </c>
      <c r="AS462" s="1"/>
      <c r="AT462" s="88" t="str">
        <f t="shared" si="96"/>
        <v/>
      </c>
      <c r="AU462" s="1"/>
      <c r="AV462" s="175">
        <f>IF(AW462&gt;0,COUNTIF(AV$4:AV461,"&gt;0")+1,0)</f>
        <v>0</v>
      </c>
      <c r="AW462" s="164">
        <f t="shared" si="97"/>
        <v>0</v>
      </c>
      <c r="AX462" s="310">
        <f>IF($AW462=0,0,VLOOKUP(VLOOKUP($X462,$B$34:$T$38,19,FALSE),ENTI!$A$9:$B$13,2,FALSE))</f>
        <v>0</v>
      </c>
      <c r="AY462" s="310">
        <f t="shared" si="99"/>
        <v>0</v>
      </c>
      <c r="AZ462" s="316">
        <f t="shared" si="100"/>
        <v>0</v>
      </c>
      <c r="BA462" s="1"/>
      <c r="BB462" s="152">
        <f t="shared" si="101"/>
        <v>0</v>
      </c>
      <c r="BC462" s="152">
        <f ca="1">SUM(Z$4:Z462)+SUM(BB$4:BB462)+COSTI!S$6-COSTI!L$1076</f>
        <v>-31.760000000000218</v>
      </c>
      <c r="BD462" s="1"/>
    </row>
    <row r="463" spans="1:56" ht="16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435">
        <f>IF(AND(W463&gt;=$U$1,W463&lt;=$U$2),IF(X463='ESTRATTO CONTO'!$E$2,1+COUNTIF(U$4:U462,"&gt;0"),0),0)</f>
        <v>0</v>
      </c>
      <c r="V463" s="417">
        <f t="shared" si="98"/>
        <v>460</v>
      </c>
      <c r="W463" s="509"/>
      <c r="X463" s="321"/>
      <c r="Y463" s="321"/>
      <c r="Z463" s="508"/>
      <c r="AA463" s="356"/>
      <c r="AB463" s="306" t="str">
        <f t="shared" si="94"/>
        <v/>
      </c>
      <c r="AC463" s="637">
        <f t="shared" ca="1" si="93"/>
        <v>-2.1316282072803006E-13</v>
      </c>
      <c r="AD463" s="935">
        <f>IF(ISERROR(VLOOKUP(AD$2,X464:X$1003,1,FALSE)),IF(X463=AD$2,SUMIF(X$4:X463,AD$2,Z$4:Z463)+$E$9+SUM(AQ$4:AQ$1003)+SUMIF(COSTI!$X$1379:$X$1430,AD$2,COSTI!$Z$1379:$Z$1430),0),0)</f>
        <v>0</v>
      </c>
      <c r="AE463" s="26"/>
      <c r="AF463" s="856" t="e">
        <f>IF(ISERROR(VLOOKUP(AG$2,X464:X$1003,1,FALSE)),IF(X463=AG$2,SUMIF(X$4:X463,AG$2,Z$4:Z463)+VLOOKUP(AF$2,$B$1057:$F$1068,5,FALSE)+SUM(AR$4:AR$1003)+SUMIF(COSTI!$X$1379:$X$1430,AG$2,COSTI!$Z$1379:$Z$1430),0),0)</f>
        <v>#N/A</v>
      </c>
      <c r="AG463" s="859"/>
      <c r="AH463" s="27" t="str">
        <f t="shared" si="95"/>
        <v/>
      </c>
      <c r="AI463" s="152">
        <f ca="1">IF(W464&gt;0,0,IF(AH463=0,(Z463*-1)+BC463+SUM(BB$4:BB462),BC463+SUM(BB$4:BB462)))</f>
        <v>-2.1316282072803006E-13</v>
      </c>
      <c r="AJ463" s="931">
        <f>IF(AND(AL463&gt;=$U$1,AL463&lt;=$U$2),IF(AM463='ESTRATTO CONTO'!$E$2,1+COUNTIF(AJ$4:AJ462,"&gt;0")+U$1015,0),0)</f>
        <v>0</v>
      </c>
      <c r="AK463" s="203">
        <f>IF(AND(OR((AK462+1)&lt;AL$1015,(AK462+1)=AL$1015),MAX(AK$4:AK462)&lt;AL$1015),AK462+1,0)</f>
        <v>0</v>
      </c>
      <c r="AL463" s="309">
        <f>VLOOKUP($AK463,ENTI!$AF$4:AG$1003,2,FALSE)</f>
        <v>0</v>
      </c>
      <c r="AM463" s="224">
        <f>VLOOKUP($AK463,ENTI!$AF$4:AH$1003,3,FALSE)</f>
        <v>0</v>
      </c>
      <c r="AN463" s="224">
        <f>VLOOKUP($AK463,ENTI!$AF$4:AI$1003,4,FALSE)</f>
        <v>0</v>
      </c>
      <c r="AO463" s="781">
        <f>VLOOKUP($AK463,ENTI!$AF$4:AJ$1003,5,FALSE)</f>
        <v>0</v>
      </c>
      <c r="AP463" s="315">
        <f>VLOOKUP($AK463,ENTI!$AF$4:AK$1003,6,FALSE)</f>
        <v>0</v>
      </c>
      <c r="AQ463" s="208">
        <f t="shared" ref="AQ463:AQ526" si="102">IF(AM463=AQ$2,AO463,0)</f>
        <v>0</v>
      </c>
      <c r="AR463" s="152" t="e">
        <f t="shared" ref="AR463:AR526" si="103">IF(AM463=AR$1,AO463,0)</f>
        <v>#N/A</v>
      </c>
      <c r="AS463" s="1"/>
      <c r="AT463" s="88" t="str">
        <f t="shared" si="96"/>
        <v/>
      </c>
      <c r="AU463" s="1"/>
      <c r="AV463" s="175">
        <f>IF(AW463&gt;0,COUNTIF(AV$4:AV462,"&gt;0")+1,0)</f>
        <v>0</v>
      </c>
      <c r="AW463" s="164">
        <f t="shared" si="97"/>
        <v>0</v>
      </c>
      <c r="AX463" s="310">
        <f>IF($AW463=0,0,VLOOKUP(VLOOKUP($X463,$B$34:$T$38,19,FALSE),ENTI!$A$9:$B$13,2,FALSE))</f>
        <v>0</v>
      </c>
      <c r="AY463" s="310">
        <f t="shared" si="99"/>
        <v>0</v>
      </c>
      <c r="AZ463" s="316">
        <f t="shared" si="100"/>
        <v>0</v>
      </c>
      <c r="BA463" s="1"/>
      <c r="BB463" s="152">
        <f t="shared" si="101"/>
        <v>0</v>
      </c>
      <c r="BC463" s="152">
        <f ca="1">SUM(Z$4:Z463)+SUM(BB$4:BB463)+COSTI!S$6-COSTI!L$1076</f>
        <v>-31.760000000000218</v>
      </c>
      <c r="BD463" s="1"/>
    </row>
    <row r="464" spans="1:56" ht="16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435">
        <f>IF(AND(W464&gt;=$U$1,W464&lt;=$U$2),IF(X464='ESTRATTO CONTO'!$E$2,1+COUNTIF(U$4:U463,"&gt;0"),0),0)</f>
        <v>0</v>
      </c>
      <c r="V464" s="417">
        <f t="shared" si="98"/>
        <v>461</v>
      </c>
      <c r="W464" s="509"/>
      <c r="X464" s="321"/>
      <c r="Y464" s="321"/>
      <c r="Z464" s="508"/>
      <c r="AA464" s="356"/>
      <c r="AB464" s="306" t="str">
        <f t="shared" si="94"/>
        <v/>
      </c>
      <c r="AC464" s="637">
        <f t="shared" ca="1" si="93"/>
        <v>-2.1316282072803006E-13</v>
      </c>
      <c r="AD464" s="935">
        <f>IF(ISERROR(VLOOKUP(AD$2,X465:X$1003,1,FALSE)),IF(X464=AD$2,SUMIF(X$4:X464,AD$2,Z$4:Z464)+$E$9+SUM(AQ$4:AQ$1003)+SUMIF(COSTI!$X$1379:$X$1430,AD$2,COSTI!$Z$1379:$Z$1430),0),0)</f>
        <v>0</v>
      </c>
      <c r="AE464" s="26"/>
      <c r="AF464" s="856" t="e">
        <f>IF(ISERROR(VLOOKUP(AG$2,X465:X$1003,1,FALSE)),IF(X464=AG$2,SUMIF(X$4:X464,AG$2,Z$4:Z464)+VLOOKUP(AF$2,$B$1057:$F$1068,5,FALSE)+SUM(AR$4:AR$1003)+SUMIF(COSTI!$X$1379:$X$1430,AG$2,COSTI!$Z$1379:$Z$1430),0),0)</f>
        <v>#N/A</v>
      </c>
      <c r="AG464" s="859"/>
      <c r="AH464" s="27" t="str">
        <f t="shared" si="95"/>
        <v/>
      </c>
      <c r="AI464" s="152">
        <f ca="1">IF(W465&gt;0,0,IF(AH464=0,(Z464*-1)+BC464+SUM(BB$4:BB463),BC464+SUM(BB$4:BB463)))</f>
        <v>-2.1316282072803006E-13</v>
      </c>
      <c r="AJ464" s="931">
        <f>IF(AND(AL464&gt;=$U$1,AL464&lt;=$U$2),IF(AM464='ESTRATTO CONTO'!$E$2,1+COUNTIF(AJ$4:AJ463,"&gt;0")+U$1015,0),0)</f>
        <v>0</v>
      </c>
      <c r="AK464" s="203">
        <f>IF(AND(OR((AK463+1)&lt;AL$1015,(AK463+1)=AL$1015),MAX(AK$4:AK463)&lt;AL$1015),AK463+1,0)</f>
        <v>0</v>
      </c>
      <c r="AL464" s="309">
        <f>VLOOKUP($AK464,ENTI!$AF$4:AG$1003,2,FALSE)</f>
        <v>0</v>
      </c>
      <c r="AM464" s="224">
        <f>VLOOKUP($AK464,ENTI!$AF$4:AH$1003,3,FALSE)</f>
        <v>0</v>
      </c>
      <c r="AN464" s="224">
        <f>VLOOKUP($AK464,ENTI!$AF$4:AI$1003,4,FALSE)</f>
        <v>0</v>
      </c>
      <c r="AO464" s="781">
        <f>VLOOKUP($AK464,ENTI!$AF$4:AJ$1003,5,FALSE)</f>
        <v>0</v>
      </c>
      <c r="AP464" s="315">
        <f>VLOOKUP($AK464,ENTI!$AF$4:AK$1003,6,FALSE)</f>
        <v>0</v>
      </c>
      <c r="AQ464" s="208">
        <f t="shared" si="102"/>
        <v>0</v>
      </c>
      <c r="AR464" s="152" t="e">
        <f t="shared" si="103"/>
        <v>#N/A</v>
      </c>
      <c r="AS464" s="1"/>
      <c r="AT464" s="88" t="str">
        <f t="shared" si="96"/>
        <v/>
      </c>
      <c r="AU464" s="1"/>
      <c r="AV464" s="175">
        <f>IF(AW464&gt;0,COUNTIF(AV$4:AV463,"&gt;0")+1,0)</f>
        <v>0</v>
      </c>
      <c r="AW464" s="164">
        <f t="shared" si="97"/>
        <v>0</v>
      </c>
      <c r="AX464" s="310">
        <f>IF($AW464=0,0,VLOOKUP(VLOOKUP($X464,$B$34:$T$38,19,FALSE),ENTI!$A$9:$B$13,2,FALSE))</f>
        <v>0</v>
      </c>
      <c r="AY464" s="310">
        <f t="shared" si="99"/>
        <v>0</v>
      </c>
      <c r="AZ464" s="316">
        <f t="shared" si="100"/>
        <v>0</v>
      </c>
      <c r="BA464" s="1"/>
      <c r="BB464" s="152">
        <f t="shared" si="101"/>
        <v>0</v>
      </c>
      <c r="BC464" s="152">
        <f ca="1">SUM(Z$4:Z464)+SUM(BB$4:BB464)+COSTI!S$6-COSTI!L$1076</f>
        <v>-31.760000000000218</v>
      </c>
      <c r="BD464" s="1"/>
    </row>
    <row r="465" spans="1:56" ht="16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435">
        <f>IF(AND(W465&gt;=$U$1,W465&lt;=$U$2),IF(X465='ESTRATTO CONTO'!$E$2,1+COUNTIF(U$4:U464,"&gt;0"),0),0)</f>
        <v>0</v>
      </c>
      <c r="V465" s="417">
        <f t="shared" si="98"/>
        <v>462</v>
      </c>
      <c r="W465" s="509"/>
      <c r="X465" s="321"/>
      <c r="Y465" s="321"/>
      <c r="Z465" s="508"/>
      <c r="AA465" s="356"/>
      <c r="AB465" s="306" t="str">
        <f t="shared" si="94"/>
        <v/>
      </c>
      <c r="AC465" s="637">
        <f t="shared" ca="1" si="93"/>
        <v>-2.1316282072803006E-13</v>
      </c>
      <c r="AD465" s="935">
        <f>IF(ISERROR(VLOOKUP(AD$2,X466:X$1003,1,FALSE)),IF(X465=AD$2,SUMIF(X$4:X465,AD$2,Z$4:Z465)+$E$9+SUM(AQ$4:AQ$1003)+SUMIF(COSTI!$X$1379:$X$1430,AD$2,COSTI!$Z$1379:$Z$1430),0),0)</f>
        <v>0</v>
      </c>
      <c r="AE465" s="26"/>
      <c r="AF465" s="856" t="e">
        <f>IF(ISERROR(VLOOKUP(AG$2,X466:X$1003,1,FALSE)),IF(X465=AG$2,SUMIF(X$4:X465,AG$2,Z$4:Z465)+VLOOKUP(AF$2,$B$1057:$F$1068,5,FALSE)+SUM(AR$4:AR$1003)+SUMIF(COSTI!$X$1379:$X$1430,AG$2,COSTI!$Z$1379:$Z$1430),0),0)</f>
        <v>#N/A</v>
      </c>
      <c r="AG465" s="859"/>
      <c r="AH465" s="27" t="str">
        <f t="shared" si="95"/>
        <v/>
      </c>
      <c r="AI465" s="152">
        <f ca="1">IF(W466&gt;0,0,IF(AH465=0,(Z465*-1)+BC465+SUM(BB$4:BB464),BC465+SUM(BB$4:BB464)))</f>
        <v>-2.1316282072803006E-13</v>
      </c>
      <c r="AJ465" s="931">
        <f>IF(AND(AL465&gt;=$U$1,AL465&lt;=$U$2),IF(AM465='ESTRATTO CONTO'!$E$2,1+COUNTIF(AJ$4:AJ464,"&gt;0")+U$1015,0),0)</f>
        <v>0</v>
      </c>
      <c r="AK465" s="203">
        <f>IF(AND(OR((AK464+1)&lt;AL$1015,(AK464+1)=AL$1015),MAX(AK$4:AK464)&lt;AL$1015),AK464+1,0)</f>
        <v>0</v>
      </c>
      <c r="AL465" s="309">
        <f>VLOOKUP($AK465,ENTI!$AF$4:AG$1003,2,FALSE)</f>
        <v>0</v>
      </c>
      <c r="AM465" s="224">
        <f>VLOOKUP($AK465,ENTI!$AF$4:AH$1003,3,FALSE)</f>
        <v>0</v>
      </c>
      <c r="AN465" s="224">
        <f>VLOOKUP($AK465,ENTI!$AF$4:AI$1003,4,FALSE)</f>
        <v>0</v>
      </c>
      <c r="AO465" s="781">
        <f>VLOOKUP($AK465,ENTI!$AF$4:AJ$1003,5,FALSE)</f>
        <v>0</v>
      </c>
      <c r="AP465" s="315">
        <f>VLOOKUP($AK465,ENTI!$AF$4:AK$1003,6,FALSE)</f>
        <v>0</v>
      </c>
      <c r="AQ465" s="208">
        <f t="shared" si="102"/>
        <v>0</v>
      </c>
      <c r="AR465" s="152" t="e">
        <f t="shared" si="103"/>
        <v>#N/A</v>
      </c>
      <c r="AS465" s="1"/>
      <c r="AT465" s="88" t="str">
        <f t="shared" si="96"/>
        <v/>
      </c>
      <c r="AU465" s="1"/>
      <c r="AV465" s="175">
        <f>IF(AW465&gt;0,COUNTIF(AV$4:AV464,"&gt;0")+1,0)</f>
        <v>0</v>
      </c>
      <c r="AW465" s="164">
        <f t="shared" si="97"/>
        <v>0</v>
      </c>
      <c r="AX465" s="310">
        <f>IF($AW465=0,0,VLOOKUP(VLOOKUP($X465,$B$34:$T$38,19,FALSE),ENTI!$A$9:$B$13,2,FALSE))</f>
        <v>0</v>
      </c>
      <c r="AY465" s="310">
        <f t="shared" si="99"/>
        <v>0</v>
      </c>
      <c r="AZ465" s="316">
        <f t="shared" si="100"/>
        <v>0</v>
      </c>
      <c r="BA465" s="1"/>
      <c r="BB465" s="152">
        <f t="shared" si="101"/>
        <v>0</v>
      </c>
      <c r="BC465" s="152">
        <f ca="1">SUM(Z$4:Z465)+SUM(BB$4:BB465)+COSTI!S$6-COSTI!L$1076</f>
        <v>-31.760000000000218</v>
      </c>
      <c r="BD465" s="1"/>
    </row>
    <row r="466" spans="1:56" ht="16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435">
        <f>IF(AND(W466&gt;=$U$1,W466&lt;=$U$2),IF(X466='ESTRATTO CONTO'!$E$2,1+COUNTIF(U$4:U465,"&gt;0"),0),0)</f>
        <v>0</v>
      </c>
      <c r="V466" s="417">
        <f t="shared" si="98"/>
        <v>463</v>
      </c>
      <c r="W466" s="509"/>
      <c r="X466" s="321"/>
      <c r="Y466" s="321"/>
      <c r="Z466" s="508"/>
      <c r="AA466" s="356"/>
      <c r="AB466" s="306" t="str">
        <f t="shared" si="94"/>
        <v/>
      </c>
      <c r="AC466" s="637">
        <f t="shared" ca="1" si="93"/>
        <v>-2.1316282072803006E-13</v>
      </c>
      <c r="AD466" s="935">
        <f>IF(ISERROR(VLOOKUP(AD$2,X467:X$1003,1,FALSE)),IF(X466=AD$2,SUMIF(X$4:X466,AD$2,Z$4:Z466)+$E$9+SUM(AQ$4:AQ$1003)+SUMIF(COSTI!$X$1379:$X$1430,AD$2,COSTI!$Z$1379:$Z$1430),0),0)</f>
        <v>0</v>
      </c>
      <c r="AE466" s="26"/>
      <c r="AF466" s="856" t="e">
        <f>IF(ISERROR(VLOOKUP(AG$2,X467:X$1003,1,FALSE)),IF(X466=AG$2,SUMIF(X$4:X466,AG$2,Z$4:Z466)+VLOOKUP(AF$2,$B$1057:$F$1068,5,FALSE)+SUM(AR$4:AR$1003)+SUMIF(COSTI!$X$1379:$X$1430,AG$2,COSTI!$Z$1379:$Z$1430),0),0)</f>
        <v>#N/A</v>
      </c>
      <c r="AG466" s="859"/>
      <c r="AH466" s="27" t="str">
        <f t="shared" si="95"/>
        <v/>
      </c>
      <c r="AI466" s="152">
        <f ca="1">IF(W467&gt;0,0,IF(AH466=0,(Z466*-1)+BC466+SUM(BB$4:BB465),BC466+SUM(BB$4:BB465)))</f>
        <v>-2.1316282072803006E-13</v>
      </c>
      <c r="AJ466" s="931">
        <f>IF(AND(AL466&gt;=$U$1,AL466&lt;=$U$2),IF(AM466='ESTRATTO CONTO'!$E$2,1+COUNTIF(AJ$4:AJ465,"&gt;0")+U$1015,0),0)</f>
        <v>0</v>
      </c>
      <c r="AK466" s="203">
        <f>IF(AND(OR((AK465+1)&lt;AL$1015,(AK465+1)=AL$1015),MAX(AK$4:AK465)&lt;AL$1015),AK465+1,0)</f>
        <v>0</v>
      </c>
      <c r="AL466" s="309">
        <f>VLOOKUP($AK466,ENTI!$AF$4:AG$1003,2,FALSE)</f>
        <v>0</v>
      </c>
      <c r="AM466" s="224">
        <f>VLOOKUP($AK466,ENTI!$AF$4:AH$1003,3,FALSE)</f>
        <v>0</v>
      </c>
      <c r="AN466" s="224">
        <f>VLOOKUP($AK466,ENTI!$AF$4:AI$1003,4,FALSE)</f>
        <v>0</v>
      </c>
      <c r="AO466" s="781">
        <f>VLOOKUP($AK466,ENTI!$AF$4:AJ$1003,5,FALSE)</f>
        <v>0</v>
      </c>
      <c r="AP466" s="315">
        <f>VLOOKUP($AK466,ENTI!$AF$4:AK$1003,6,FALSE)</f>
        <v>0</v>
      </c>
      <c r="AQ466" s="208">
        <f t="shared" si="102"/>
        <v>0</v>
      </c>
      <c r="AR466" s="152" t="e">
        <f t="shared" si="103"/>
        <v>#N/A</v>
      </c>
      <c r="AS466" s="1"/>
      <c r="AT466" s="88" t="str">
        <f t="shared" si="96"/>
        <v/>
      </c>
      <c r="AU466" s="1"/>
      <c r="AV466" s="175">
        <f>IF(AW466&gt;0,COUNTIF(AV$4:AV465,"&gt;0")+1,0)</f>
        <v>0</v>
      </c>
      <c r="AW466" s="164">
        <f t="shared" si="97"/>
        <v>0</v>
      </c>
      <c r="AX466" s="310">
        <f>IF($AW466=0,0,VLOOKUP(VLOOKUP($X466,$B$34:$T$38,19,FALSE),ENTI!$A$9:$B$13,2,FALSE))</f>
        <v>0</v>
      </c>
      <c r="AY466" s="310">
        <f t="shared" si="99"/>
        <v>0</v>
      </c>
      <c r="AZ466" s="316">
        <f t="shared" si="100"/>
        <v>0</v>
      </c>
      <c r="BA466" s="1"/>
      <c r="BB466" s="152">
        <f t="shared" si="101"/>
        <v>0</v>
      </c>
      <c r="BC466" s="152">
        <f ca="1">SUM(Z$4:Z466)+SUM(BB$4:BB466)+COSTI!S$6-COSTI!L$1076</f>
        <v>-31.760000000000218</v>
      </c>
      <c r="BD466" s="1"/>
    </row>
    <row r="467" spans="1:56" ht="16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435">
        <f>IF(AND(W467&gt;=$U$1,W467&lt;=$U$2),IF(X467='ESTRATTO CONTO'!$E$2,1+COUNTIF(U$4:U466,"&gt;0"),0),0)</f>
        <v>0</v>
      </c>
      <c r="V467" s="417">
        <f t="shared" si="98"/>
        <v>464</v>
      </c>
      <c r="W467" s="509"/>
      <c r="X467" s="321"/>
      <c r="Y467" s="321"/>
      <c r="Z467" s="508"/>
      <c r="AA467" s="356"/>
      <c r="AB467" s="306" t="str">
        <f t="shared" si="94"/>
        <v/>
      </c>
      <c r="AC467" s="637">
        <f t="shared" ca="1" si="93"/>
        <v>-2.1316282072803006E-13</v>
      </c>
      <c r="AD467" s="935">
        <f>IF(ISERROR(VLOOKUP(AD$2,X468:X$1003,1,FALSE)),IF(X467=AD$2,SUMIF(X$4:X467,AD$2,Z$4:Z467)+$E$9+SUM(AQ$4:AQ$1003)+SUMIF(COSTI!$X$1379:$X$1430,AD$2,COSTI!$Z$1379:$Z$1430),0),0)</f>
        <v>0</v>
      </c>
      <c r="AE467" s="26"/>
      <c r="AF467" s="856" t="e">
        <f>IF(ISERROR(VLOOKUP(AG$2,X468:X$1003,1,FALSE)),IF(X467=AG$2,SUMIF(X$4:X467,AG$2,Z$4:Z467)+VLOOKUP(AF$2,$B$1057:$F$1068,5,FALSE)+SUM(AR$4:AR$1003)+SUMIF(COSTI!$X$1379:$X$1430,AG$2,COSTI!$Z$1379:$Z$1430),0),0)</f>
        <v>#N/A</v>
      </c>
      <c r="AG467" s="859"/>
      <c r="AH467" s="27" t="str">
        <f t="shared" si="95"/>
        <v/>
      </c>
      <c r="AI467" s="152">
        <f ca="1">IF(W468&gt;0,0,IF(AH467=0,(Z467*-1)+BC467+SUM(BB$4:BB466),BC467+SUM(BB$4:BB466)))</f>
        <v>-2.1316282072803006E-13</v>
      </c>
      <c r="AJ467" s="931">
        <f>IF(AND(AL467&gt;=$U$1,AL467&lt;=$U$2),IF(AM467='ESTRATTO CONTO'!$E$2,1+COUNTIF(AJ$4:AJ466,"&gt;0")+U$1015,0),0)</f>
        <v>0</v>
      </c>
      <c r="AK467" s="203">
        <f>IF(AND(OR((AK466+1)&lt;AL$1015,(AK466+1)=AL$1015),MAX(AK$4:AK466)&lt;AL$1015),AK466+1,0)</f>
        <v>0</v>
      </c>
      <c r="AL467" s="309">
        <f>VLOOKUP($AK467,ENTI!$AF$4:AG$1003,2,FALSE)</f>
        <v>0</v>
      </c>
      <c r="AM467" s="224">
        <f>VLOOKUP($AK467,ENTI!$AF$4:AH$1003,3,FALSE)</f>
        <v>0</v>
      </c>
      <c r="AN467" s="224">
        <f>VLOOKUP($AK467,ENTI!$AF$4:AI$1003,4,FALSE)</f>
        <v>0</v>
      </c>
      <c r="AO467" s="781">
        <f>VLOOKUP($AK467,ENTI!$AF$4:AJ$1003,5,FALSE)</f>
        <v>0</v>
      </c>
      <c r="AP467" s="315">
        <f>VLOOKUP($AK467,ENTI!$AF$4:AK$1003,6,FALSE)</f>
        <v>0</v>
      </c>
      <c r="AQ467" s="208">
        <f t="shared" si="102"/>
        <v>0</v>
      </c>
      <c r="AR467" s="152" t="e">
        <f t="shared" si="103"/>
        <v>#N/A</v>
      </c>
      <c r="AS467" s="1"/>
      <c r="AT467" s="88" t="str">
        <f t="shared" si="96"/>
        <v/>
      </c>
      <c r="AU467" s="1"/>
      <c r="AV467" s="175">
        <f>IF(AW467&gt;0,COUNTIF(AV$4:AV466,"&gt;0")+1,0)</f>
        <v>0</v>
      </c>
      <c r="AW467" s="164">
        <f t="shared" si="97"/>
        <v>0</v>
      </c>
      <c r="AX467" s="310">
        <f>IF($AW467=0,0,VLOOKUP(VLOOKUP($X467,$B$34:$T$38,19,FALSE),ENTI!$A$9:$B$13,2,FALSE))</f>
        <v>0</v>
      </c>
      <c r="AY467" s="310">
        <f t="shared" si="99"/>
        <v>0</v>
      </c>
      <c r="AZ467" s="316">
        <f t="shared" si="100"/>
        <v>0</v>
      </c>
      <c r="BA467" s="1"/>
      <c r="BB467" s="152">
        <f t="shared" si="101"/>
        <v>0</v>
      </c>
      <c r="BC467" s="152">
        <f ca="1">SUM(Z$4:Z467)+SUM(BB$4:BB467)+COSTI!S$6-COSTI!L$1076</f>
        <v>-31.760000000000218</v>
      </c>
      <c r="BD467" s="1"/>
    </row>
    <row r="468" spans="1:56" ht="16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435">
        <f>IF(AND(W468&gt;=$U$1,W468&lt;=$U$2),IF(X468='ESTRATTO CONTO'!$E$2,1+COUNTIF(U$4:U467,"&gt;0"),0),0)</f>
        <v>0</v>
      </c>
      <c r="V468" s="417">
        <f t="shared" si="98"/>
        <v>465</v>
      </c>
      <c r="W468" s="509"/>
      <c r="X468" s="321"/>
      <c r="Y468" s="321"/>
      <c r="Z468" s="508"/>
      <c r="AA468" s="356"/>
      <c r="AB468" s="306" t="str">
        <f t="shared" si="94"/>
        <v/>
      </c>
      <c r="AC468" s="637">
        <f t="shared" ca="1" si="93"/>
        <v>-2.1316282072803006E-13</v>
      </c>
      <c r="AD468" s="935">
        <f>IF(ISERROR(VLOOKUP(AD$2,X469:X$1003,1,FALSE)),IF(X468=AD$2,SUMIF(X$4:X468,AD$2,Z$4:Z468)+$E$9+SUM(AQ$4:AQ$1003)+SUMIF(COSTI!$X$1379:$X$1430,AD$2,COSTI!$Z$1379:$Z$1430),0),0)</f>
        <v>0</v>
      </c>
      <c r="AE468" s="26"/>
      <c r="AF468" s="856" t="e">
        <f>IF(ISERROR(VLOOKUP(AG$2,X469:X$1003,1,FALSE)),IF(X468=AG$2,SUMIF(X$4:X468,AG$2,Z$4:Z468)+VLOOKUP(AF$2,$B$1057:$F$1068,5,FALSE)+SUM(AR$4:AR$1003)+SUMIF(COSTI!$X$1379:$X$1430,AG$2,COSTI!$Z$1379:$Z$1430),0),0)</f>
        <v>#N/A</v>
      </c>
      <c r="AG468" s="859"/>
      <c r="AH468" s="27" t="str">
        <f t="shared" si="95"/>
        <v/>
      </c>
      <c r="AI468" s="152">
        <f ca="1">IF(W469&gt;0,0,IF(AH468=0,(Z468*-1)+BC468+SUM(BB$4:BB467),BC468+SUM(BB$4:BB467)))</f>
        <v>-2.1316282072803006E-13</v>
      </c>
      <c r="AJ468" s="931">
        <f>IF(AND(AL468&gt;=$U$1,AL468&lt;=$U$2),IF(AM468='ESTRATTO CONTO'!$E$2,1+COUNTIF(AJ$4:AJ467,"&gt;0")+U$1015,0),0)</f>
        <v>0</v>
      </c>
      <c r="AK468" s="203">
        <f>IF(AND(OR((AK467+1)&lt;AL$1015,(AK467+1)=AL$1015),MAX(AK$4:AK467)&lt;AL$1015),AK467+1,0)</f>
        <v>0</v>
      </c>
      <c r="AL468" s="309">
        <f>VLOOKUP($AK468,ENTI!$AF$4:AG$1003,2,FALSE)</f>
        <v>0</v>
      </c>
      <c r="AM468" s="224">
        <f>VLOOKUP($AK468,ENTI!$AF$4:AH$1003,3,FALSE)</f>
        <v>0</v>
      </c>
      <c r="AN468" s="224">
        <f>VLOOKUP($AK468,ENTI!$AF$4:AI$1003,4,FALSE)</f>
        <v>0</v>
      </c>
      <c r="AO468" s="781">
        <f>VLOOKUP($AK468,ENTI!$AF$4:AJ$1003,5,FALSE)</f>
        <v>0</v>
      </c>
      <c r="AP468" s="315">
        <f>VLOOKUP($AK468,ENTI!$AF$4:AK$1003,6,FALSE)</f>
        <v>0</v>
      </c>
      <c r="AQ468" s="208">
        <f t="shared" si="102"/>
        <v>0</v>
      </c>
      <c r="AR468" s="152" t="e">
        <f t="shared" si="103"/>
        <v>#N/A</v>
      </c>
      <c r="AS468" s="1"/>
      <c r="AT468" s="88" t="str">
        <f t="shared" si="96"/>
        <v/>
      </c>
      <c r="AU468" s="1"/>
      <c r="AV468" s="175">
        <f>IF(AW468&gt;0,COUNTIF(AV$4:AV467,"&gt;0")+1,0)</f>
        <v>0</v>
      </c>
      <c r="AW468" s="164">
        <f t="shared" si="97"/>
        <v>0</v>
      </c>
      <c r="AX468" s="310">
        <f>IF($AW468=0,0,VLOOKUP(VLOOKUP($X468,$B$34:$T$38,19,FALSE),ENTI!$A$9:$B$13,2,FALSE))</f>
        <v>0</v>
      </c>
      <c r="AY468" s="310">
        <f t="shared" si="99"/>
        <v>0</v>
      </c>
      <c r="AZ468" s="316">
        <f t="shared" si="100"/>
        <v>0</v>
      </c>
      <c r="BA468" s="1"/>
      <c r="BB468" s="152">
        <f t="shared" si="101"/>
        <v>0</v>
      </c>
      <c r="BC468" s="152">
        <f ca="1">SUM(Z$4:Z468)+SUM(BB$4:BB468)+COSTI!S$6-COSTI!L$1076</f>
        <v>-31.760000000000218</v>
      </c>
      <c r="BD468" s="1"/>
    </row>
    <row r="469" spans="1:56" ht="16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435">
        <f>IF(AND(W469&gt;=$U$1,W469&lt;=$U$2),IF(X469='ESTRATTO CONTO'!$E$2,1+COUNTIF(U$4:U468,"&gt;0"),0),0)</f>
        <v>0</v>
      </c>
      <c r="V469" s="417">
        <f t="shared" si="98"/>
        <v>466</v>
      </c>
      <c r="W469" s="509"/>
      <c r="X469" s="321"/>
      <c r="Y469" s="321"/>
      <c r="Z469" s="508"/>
      <c r="AA469" s="356"/>
      <c r="AB469" s="306" t="str">
        <f t="shared" si="94"/>
        <v/>
      </c>
      <c r="AC469" s="637">
        <f t="shared" ca="1" si="93"/>
        <v>-2.1316282072803006E-13</v>
      </c>
      <c r="AD469" s="935">
        <f>IF(ISERROR(VLOOKUP(AD$2,X470:X$1003,1,FALSE)),IF(X469=AD$2,SUMIF(X$4:X469,AD$2,Z$4:Z469)+$E$9+SUM(AQ$4:AQ$1003)+SUMIF(COSTI!$X$1379:$X$1430,AD$2,COSTI!$Z$1379:$Z$1430),0),0)</f>
        <v>0</v>
      </c>
      <c r="AE469" s="26"/>
      <c r="AF469" s="856" t="e">
        <f>IF(ISERROR(VLOOKUP(AG$2,X470:X$1003,1,FALSE)),IF(X469=AG$2,SUMIF(X$4:X469,AG$2,Z$4:Z469)+VLOOKUP(AF$2,$B$1057:$F$1068,5,FALSE)+SUM(AR$4:AR$1003)+SUMIF(COSTI!$X$1379:$X$1430,AG$2,COSTI!$Z$1379:$Z$1430),0),0)</f>
        <v>#N/A</v>
      </c>
      <c r="AG469" s="859"/>
      <c r="AH469" s="27" t="str">
        <f t="shared" si="95"/>
        <v/>
      </c>
      <c r="AI469" s="152">
        <f ca="1">IF(W470&gt;0,0,IF(AH469=0,(Z469*-1)+BC469+SUM(BB$4:BB468),BC469+SUM(BB$4:BB468)))</f>
        <v>-2.1316282072803006E-13</v>
      </c>
      <c r="AJ469" s="931">
        <f>IF(AND(AL469&gt;=$U$1,AL469&lt;=$U$2),IF(AM469='ESTRATTO CONTO'!$E$2,1+COUNTIF(AJ$4:AJ468,"&gt;0")+U$1015,0),0)</f>
        <v>0</v>
      </c>
      <c r="AK469" s="203">
        <f>IF(AND(OR((AK468+1)&lt;AL$1015,(AK468+1)=AL$1015),MAX(AK$4:AK468)&lt;AL$1015),AK468+1,0)</f>
        <v>0</v>
      </c>
      <c r="AL469" s="309">
        <f>VLOOKUP($AK469,ENTI!$AF$4:AG$1003,2,FALSE)</f>
        <v>0</v>
      </c>
      <c r="AM469" s="224">
        <f>VLOOKUP($AK469,ENTI!$AF$4:AH$1003,3,FALSE)</f>
        <v>0</v>
      </c>
      <c r="AN469" s="224">
        <f>VLOOKUP($AK469,ENTI!$AF$4:AI$1003,4,FALSE)</f>
        <v>0</v>
      </c>
      <c r="AO469" s="781">
        <f>VLOOKUP($AK469,ENTI!$AF$4:AJ$1003,5,FALSE)</f>
        <v>0</v>
      </c>
      <c r="AP469" s="315">
        <f>VLOOKUP($AK469,ENTI!$AF$4:AK$1003,6,FALSE)</f>
        <v>0</v>
      </c>
      <c r="AQ469" s="208">
        <f t="shared" si="102"/>
        <v>0</v>
      </c>
      <c r="AR469" s="152" t="e">
        <f t="shared" si="103"/>
        <v>#N/A</v>
      </c>
      <c r="AS469" s="1"/>
      <c r="AT469" s="88" t="str">
        <f t="shared" si="96"/>
        <v/>
      </c>
      <c r="AU469" s="1"/>
      <c r="AV469" s="175">
        <f>IF(AW469&gt;0,COUNTIF(AV$4:AV468,"&gt;0")+1,0)</f>
        <v>0</v>
      </c>
      <c r="AW469" s="164">
        <f t="shared" si="97"/>
        <v>0</v>
      </c>
      <c r="AX469" s="310">
        <f>IF($AW469=0,0,VLOOKUP(VLOOKUP($X469,$B$34:$T$38,19,FALSE),ENTI!$A$9:$B$13,2,FALSE))</f>
        <v>0</v>
      </c>
      <c r="AY469" s="310">
        <f t="shared" si="99"/>
        <v>0</v>
      </c>
      <c r="AZ469" s="316">
        <f t="shared" si="100"/>
        <v>0</v>
      </c>
      <c r="BA469" s="1"/>
      <c r="BB469" s="152">
        <f t="shared" si="101"/>
        <v>0</v>
      </c>
      <c r="BC469" s="152">
        <f ca="1">SUM(Z$4:Z469)+SUM(BB$4:BB469)+COSTI!S$6-COSTI!L$1076</f>
        <v>-31.760000000000218</v>
      </c>
      <c r="BD469" s="1"/>
    </row>
    <row r="470" spans="1:56" ht="16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435">
        <f>IF(AND(W470&gt;=$U$1,W470&lt;=$U$2),IF(X470='ESTRATTO CONTO'!$E$2,1+COUNTIF(U$4:U469,"&gt;0"),0),0)</f>
        <v>0</v>
      </c>
      <c r="V470" s="417">
        <f t="shared" si="98"/>
        <v>467</v>
      </c>
      <c r="W470" s="509"/>
      <c r="X470" s="321"/>
      <c r="Y470" s="321"/>
      <c r="Z470" s="508"/>
      <c r="AA470" s="356"/>
      <c r="AB470" s="306" t="str">
        <f t="shared" si="94"/>
        <v/>
      </c>
      <c r="AC470" s="637">
        <f t="shared" ca="1" si="93"/>
        <v>-2.1316282072803006E-13</v>
      </c>
      <c r="AD470" s="935">
        <f>IF(ISERROR(VLOOKUP(AD$2,X471:X$1003,1,FALSE)),IF(X470=AD$2,SUMIF(X$4:X470,AD$2,Z$4:Z470)+$E$9+SUM(AQ$4:AQ$1003)+SUMIF(COSTI!$X$1379:$X$1430,AD$2,COSTI!$Z$1379:$Z$1430),0),0)</f>
        <v>0</v>
      </c>
      <c r="AE470" s="26"/>
      <c r="AF470" s="856" t="e">
        <f>IF(ISERROR(VLOOKUP(AG$2,X471:X$1003,1,FALSE)),IF(X470=AG$2,SUMIF(X$4:X470,AG$2,Z$4:Z470)+VLOOKUP(AF$2,$B$1057:$F$1068,5,FALSE)+SUM(AR$4:AR$1003)+SUMIF(COSTI!$X$1379:$X$1430,AG$2,COSTI!$Z$1379:$Z$1430),0),0)</f>
        <v>#N/A</v>
      </c>
      <c r="AG470" s="859"/>
      <c r="AH470" s="27" t="str">
        <f t="shared" si="95"/>
        <v/>
      </c>
      <c r="AI470" s="152">
        <f ca="1">IF(W471&gt;0,0,IF(AH470=0,(Z470*-1)+BC470+SUM(BB$4:BB469),BC470+SUM(BB$4:BB469)))</f>
        <v>-2.1316282072803006E-13</v>
      </c>
      <c r="AJ470" s="931">
        <f>IF(AND(AL470&gt;=$U$1,AL470&lt;=$U$2),IF(AM470='ESTRATTO CONTO'!$E$2,1+COUNTIF(AJ$4:AJ469,"&gt;0")+U$1015,0),0)</f>
        <v>0</v>
      </c>
      <c r="AK470" s="203">
        <f>IF(AND(OR((AK469+1)&lt;AL$1015,(AK469+1)=AL$1015),MAX(AK$4:AK469)&lt;AL$1015),AK469+1,0)</f>
        <v>0</v>
      </c>
      <c r="AL470" s="309">
        <f>VLOOKUP($AK470,ENTI!$AF$4:AG$1003,2,FALSE)</f>
        <v>0</v>
      </c>
      <c r="AM470" s="224">
        <f>VLOOKUP($AK470,ENTI!$AF$4:AH$1003,3,FALSE)</f>
        <v>0</v>
      </c>
      <c r="AN470" s="224">
        <f>VLOOKUP($AK470,ENTI!$AF$4:AI$1003,4,FALSE)</f>
        <v>0</v>
      </c>
      <c r="AO470" s="781">
        <f>VLOOKUP($AK470,ENTI!$AF$4:AJ$1003,5,FALSE)</f>
        <v>0</v>
      </c>
      <c r="AP470" s="315">
        <f>VLOOKUP($AK470,ENTI!$AF$4:AK$1003,6,FALSE)</f>
        <v>0</v>
      </c>
      <c r="AQ470" s="208">
        <f t="shared" si="102"/>
        <v>0</v>
      </c>
      <c r="AR470" s="152" t="e">
        <f t="shared" si="103"/>
        <v>#N/A</v>
      </c>
      <c r="AS470" s="1"/>
      <c r="AT470" s="88" t="str">
        <f t="shared" si="96"/>
        <v/>
      </c>
      <c r="AU470" s="1"/>
      <c r="AV470" s="175">
        <f>IF(AW470&gt;0,COUNTIF(AV$4:AV469,"&gt;0")+1,0)</f>
        <v>0</v>
      </c>
      <c r="AW470" s="164">
        <f t="shared" si="97"/>
        <v>0</v>
      </c>
      <c r="AX470" s="310">
        <f>IF($AW470=0,0,VLOOKUP(VLOOKUP($X470,$B$34:$T$38,19,FALSE),ENTI!$A$9:$B$13,2,FALSE))</f>
        <v>0</v>
      </c>
      <c r="AY470" s="310">
        <f t="shared" si="99"/>
        <v>0</v>
      </c>
      <c r="AZ470" s="316">
        <f t="shared" si="100"/>
        <v>0</v>
      </c>
      <c r="BA470" s="1"/>
      <c r="BB470" s="152">
        <f t="shared" si="101"/>
        <v>0</v>
      </c>
      <c r="BC470" s="152">
        <f ca="1">SUM(Z$4:Z470)+SUM(BB$4:BB470)+COSTI!S$6-COSTI!L$1076</f>
        <v>-31.760000000000218</v>
      </c>
      <c r="BD470" s="1"/>
    </row>
    <row r="471" spans="1:56" ht="16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435">
        <f>IF(AND(W471&gt;=$U$1,W471&lt;=$U$2),IF(X471='ESTRATTO CONTO'!$E$2,1+COUNTIF(U$4:U470,"&gt;0"),0),0)</f>
        <v>0</v>
      </c>
      <c r="V471" s="417">
        <f t="shared" si="98"/>
        <v>468</v>
      </c>
      <c r="W471" s="509"/>
      <c r="X471" s="321"/>
      <c r="Y471" s="321"/>
      <c r="Z471" s="508"/>
      <c r="AA471" s="356"/>
      <c r="AB471" s="306" t="str">
        <f t="shared" si="94"/>
        <v/>
      </c>
      <c r="AC471" s="637">
        <f t="shared" ca="1" si="93"/>
        <v>-2.1316282072803006E-13</v>
      </c>
      <c r="AD471" s="935">
        <f>IF(ISERROR(VLOOKUP(AD$2,X472:X$1003,1,FALSE)),IF(X471=AD$2,SUMIF(X$4:X471,AD$2,Z$4:Z471)+$E$9+SUM(AQ$4:AQ$1003)+SUMIF(COSTI!$X$1379:$X$1430,AD$2,COSTI!$Z$1379:$Z$1430),0),0)</f>
        <v>0</v>
      </c>
      <c r="AE471" s="26"/>
      <c r="AF471" s="856" t="e">
        <f>IF(ISERROR(VLOOKUP(AG$2,X472:X$1003,1,FALSE)),IF(X471=AG$2,SUMIF(X$4:X471,AG$2,Z$4:Z471)+VLOOKUP(AF$2,$B$1057:$F$1068,5,FALSE)+SUM(AR$4:AR$1003)+SUMIF(COSTI!$X$1379:$X$1430,AG$2,COSTI!$Z$1379:$Z$1430),0),0)</f>
        <v>#N/A</v>
      </c>
      <c r="AG471" s="859"/>
      <c r="AH471" s="27" t="str">
        <f t="shared" si="95"/>
        <v/>
      </c>
      <c r="AI471" s="152">
        <f ca="1">IF(W472&gt;0,0,IF(AH471=0,(Z471*-1)+BC471+SUM(BB$4:BB470),BC471+SUM(BB$4:BB470)))</f>
        <v>-2.1316282072803006E-13</v>
      </c>
      <c r="AJ471" s="931">
        <f>IF(AND(AL471&gt;=$U$1,AL471&lt;=$U$2),IF(AM471='ESTRATTO CONTO'!$E$2,1+COUNTIF(AJ$4:AJ470,"&gt;0")+U$1015,0),0)</f>
        <v>0</v>
      </c>
      <c r="AK471" s="203">
        <f>IF(AND(OR((AK470+1)&lt;AL$1015,(AK470+1)=AL$1015),MAX(AK$4:AK470)&lt;AL$1015),AK470+1,0)</f>
        <v>0</v>
      </c>
      <c r="AL471" s="309">
        <f>VLOOKUP($AK471,ENTI!$AF$4:AG$1003,2,FALSE)</f>
        <v>0</v>
      </c>
      <c r="AM471" s="224">
        <f>VLOOKUP($AK471,ENTI!$AF$4:AH$1003,3,FALSE)</f>
        <v>0</v>
      </c>
      <c r="AN471" s="224">
        <f>VLOOKUP($AK471,ENTI!$AF$4:AI$1003,4,FALSE)</f>
        <v>0</v>
      </c>
      <c r="AO471" s="781">
        <f>VLOOKUP($AK471,ENTI!$AF$4:AJ$1003,5,FALSE)</f>
        <v>0</v>
      </c>
      <c r="AP471" s="315">
        <f>VLOOKUP($AK471,ENTI!$AF$4:AK$1003,6,FALSE)</f>
        <v>0</v>
      </c>
      <c r="AQ471" s="208">
        <f t="shared" si="102"/>
        <v>0</v>
      </c>
      <c r="AR471" s="152" t="e">
        <f t="shared" si="103"/>
        <v>#N/A</v>
      </c>
      <c r="AS471" s="1"/>
      <c r="AT471" s="88" t="str">
        <f t="shared" si="96"/>
        <v/>
      </c>
      <c r="AU471" s="1"/>
      <c r="AV471" s="175">
        <f>IF(AW471&gt;0,COUNTIF(AV$4:AV470,"&gt;0")+1,0)</f>
        <v>0</v>
      </c>
      <c r="AW471" s="164">
        <f t="shared" si="97"/>
        <v>0</v>
      </c>
      <c r="AX471" s="310">
        <f>IF($AW471=0,0,VLOOKUP(VLOOKUP($X471,$B$34:$T$38,19,FALSE),ENTI!$A$9:$B$13,2,FALSE))</f>
        <v>0</v>
      </c>
      <c r="AY471" s="310">
        <f t="shared" si="99"/>
        <v>0</v>
      </c>
      <c r="AZ471" s="316">
        <f t="shared" si="100"/>
        <v>0</v>
      </c>
      <c r="BA471" s="1"/>
      <c r="BB471" s="152">
        <f t="shared" si="101"/>
        <v>0</v>
      </c>
      <c r="BC471" s="152">
        <f ca="1">SUM(Z$4:Z471)+SUM(BB$4:BB471)+COSTI!S$6-COSTI!L$1076</f>
        <v>-31.760000000000218</v>
      </c>
      <c r="BD471" s="1"/>
    </row>
    <row r="472" spans="1:56" ht="16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435">
        <f>IF(AND(W472&gt;=$U$1,W472&lt;=$U$2),IF(X472='ESTRATTO CONTO'!$E$2,1+COUNTIF(U$4:U471,"&gt;0"),0),0)</f>
        <v>0</v>
      </c>
      <c r="V472" s="417">
        <f t="shared" si="98"/>
        <v>469</v>
      </c>
      <c r="W472" s="509"/>
      <c r="X472" s="321"/>
      <c r="Y472" s="321"/>
      <c r="Z472" s="508"/>
      <c r="AA472" s="356"/>
      <c r="AB472" s="306" t="str">
        <f t="shared" si="94"/>
        <v/>
      </c>
      <c r="AC472" s="637">
        <f t="shared" ca="1" si="93"/>
        <v>-2.1316282072803006E-13</v>
      </c>
      <c r="AD472" s="935">
        <f>IF(ISERROR(VLOOKUP(AD$2,X473:X$1003,1,FALSE)),IF(X472=AD$2,SUMIF(X$4:X472,AD$2,Z$4:Z472)+$E$9+SUM(AQ$4:AQ$1003)+SUMIF(COSTI!$X$1379:$X$1430,AD$2,COSTI!$Z$1379:$Z$1430),0),0)</f>
        <v>0</v>
      </c>
      <c r="AE472" s="26"/>
      <c r="AF472" s="856" t="e">
        <f>IF(ISERROR(VLOOKUP(AG$2,X473:X$1003,1,FALSE)),IF(X472=AG$2,SUMIF(X$4:X472,AG$2,Z$4:Z472)+VLOOKUP(AF$2,$B$1057:$F$1068,5,FALSE)+SUM(AR$4:AR$1003)+SUMIF(COSTI!$X$1379:$X$1430,AG$2,COSTI!$Z$1379:$Z$1430),0),0)</f>
        <v>#N/A</v>
      </c>
      <c r="AG472" s="859"/>
      <c r="AH472" s="27" t="str">
        <f t="shared" si="95"/>
        <v/>
      </c>
      <c r="AI472" s="152">
        <f ca="1">IF(W473&gt;0,0,IF(AH472=0,(Z472*-1)+BC472+SUM(BB$4:BB471),BC472+SUM(BB$4:BB471)))</f>
        <v>-2.1316282072803006E-13</v>
      </c>
      <c r="AJ472" s="931">
        <f>IF(AND(AL472&gt;=$U$1,AL472&lt;=$U$2),IF(AM472='ESTRATTO CONTO'!$E$2,1+COUNTIF(AJ$4:AJ471,"&gt;0")+U$1015,0),0)</f>
        <v>0</v>
      </c>
      <c r="AK472" s="203">
        <f>IF(AND(OR((AK471+1)&lt;AL$1015,(AK471+1)=AL$1015),MAX(AK$4:AK471)&lt;AL$1015),AK471+1,0)</f>
        <v>0</v>
      </c>
      <c r="AL472" s="309">
        <f>VLOOKUP($AK472,ENTI!$AF$4:AG$1003,2,FALSE)</f>
        <v>0</v>
      </c>
      <c r="AM472" s="224">
        <f>VLOOKUP($AK472,ENTI!$AF$4:AH$1003,3,FALSE)</f>
        <v>0</v>
      </c>
      <c r="AN472" s="224">
        <f>VLOOKUP($AK472,ENTI!$AF$4:AI$1003,4,FALSE)</f>
        <v>0</v>
      </c>
      <c r="AO472" s="781">
        <f>VLOOKUP($AK472,ENTI!$AF$4:AJ$1003,5,FALSE)</f>
        <v>0</v>
      </c>
      <c r="AP472" s="315">
        <f>VLOOKUP($AK472,ENTI!$AF$4:AK$1003,6,FALSE)</f>
        <v>0</v>
      </c>
      <c r="AQ472" s="208">
        <f t="shared" si="102"/>
        <v>0</v>
      </c>
      <c r="AR472" s="152" t="e">
        <f t="shared" si="103"/>
        <v>#N/A</v>
      </c>
      <c r="AS472" s="1"/>
      <c r="AT472" s="88" t="str">
        <f t="shared" si="96"/>
        <v/>
      </c>
      <c r="AU472" s="1"/>
      <c r="AV472" s="175">
        <f>IF(AW472&gt;0,COUNTIF(AV$4:AV471,"&gt;0")+1,0)</f>
        <v>0</v>
      </c>
      <c r="AW472" s="164">
        <f t="shared" si="97"/>
        <v>0</v>
      </c>
      <c r="AX472" s="310">
        <f>IF($AW472=0,0,VLOOKUP(VLOOKUP($X472,$B$34:$T$38,19,FALSE),ENTI!$A$9:$B$13,2,FALSE))</f>
        <v>0</v>
      </c>
      <c r="AY472" s="310">
        <f t="shared" si="99"/>
        <v>0</v>
      </c>
      <c r="AZ472" s="316">
        <f t="shared" si="100"/>
        <v>0</v>
      </c>
      <c r="BA472" s="1"/>
      <c r="BB472" s="152">
        <f t="shared" si="101"/>
        <v>0</v>
      </c>
      <c r="BC472" s="152">
        <f ca="1">SUM(Z$4:Z472)+SUM(BB$4:BB472)+COSTI!S$6-COSTI!L$1076</f>
        <v>-31.760000000000218</v>
      </c>
      <c r="BD472" s="1"/>
    </row>
    <row r="473" spans="1:56" ht="16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435">
        <f>IF(AND(W473&gt;=$U$1,W473&lt;=$U$2),IF(X473='ESTRATTO CONTO'!$E$2,1+COUNTIF(U$4:U472,"&gt;0"),0),0)</f>
        <v>0</v>
      </c>
      <c r="V473" s="417">
        <f t="shared" si="98"/>
        <v>470</v>
      </c>
      <c r="W473" s="509"/>
      <c r="X473" s="321"/>
      <c r="Y473" s="321"/>
      <c r="Z473" s="508"/>
      <c r="AA473" s="356"/>
      <c r="AB473" s="306" t="str">
        <f t="shared" si="94"/>
        <v/>
      </c>
      <c r="AC473" s="637">
        <f t="shared" ca="1" si="93"/>
        <v>-2.1316282072803006E-13</v>
      </c>
      <c r="AD473" s="935">
        <f>IF(ISERROR(VLOOKUP(AD$2,X474:X$1003,1,FALSE)),IF(X473=AD$2,SUMIF(X$4:X473,AD$2,Z$4:Z473)+$E$9+SUM(AQ$4:AQ$1003)+SUMIF(COSTI!$X$1379:$X$1430,AD$2,COSTI!$Z$1379:$Z$1430),0),0)</f>
        <v>0</v>
      </c>
      <c r="AE473" s="26"/>
      <c r="AF473" s="856" t="e">
        <f>IF(ISERROR(VLOOKUP(AG$2,X474:X$1003,1,FALSE)),IF(X473=AG$2,SUMIF(X$4:X473,AG$2,Z$4:Z473)+VLOOKUP(AF$2,$B$1057:$F$1068,5,FALSE)+SUM(AR$4:AR$1003)+SUMIF(COSTI!$X$1379:$X$1430,AG$2,COSTI!$Z$1379:$Z$1430),0),0)</f>
        <v>#N/A</v>
      </c>
      <c r="AG473" s="859"/>
      <c r="AH473" s="27" t="str">
        <f t="shared" si="95"/>
        <v/>
      </c>
      <c r="AI473" s="152">
        <f ca="1">IF(W474&gt;0,0,IF(AH473=0,(Z473*-1)+BC473+SUM(BB$4:BB472),BC473+SUM(BB$4:BB472)))</f>
        <v>-2.1316282072803006E-13</v>
      </c>
      <c r="AJ473" s="931">
        <f>IF(AND(AL473&gt;=$U$1,AL473&lt;=$U$2),IF(AM473='ESTRATTO CONTO'!$E$2,1+COUNTIF(AJ$4:AJ472,"&gt;0")+U$1015,0),0)</f>
        <v>0</v>
      </c>
      <c r="AK473" s="203">
        <f>IF(AND(OR((AK472+1)&lt;AL$1015,(AK472+1)=AL$1015),MAX(AK$4:AK472)&lt;AL$1015),AK472+1,0)</f>
        <v>0</v>
      </c>
      <c r="AL473" s="309">
        <f>VLOOKUP($AK473,ENTI!$AF$4:AG$1003,2,FALSE)</f>
        <v>0</v>
      </c>
      <c r="AM473" s="224">
        <f>VLOOKUP($AK473,ENTI!$AF$4:AH$1003,3,FALSE)</f>
        <v>0</v>
      </c>
      <c r="AN473" s="224">
        <f>VLOOKUP($AK473,ENTI!$AF$4:AI$1003,4,FALSE)</f>
        <v>0</v>
      </c>
      <c r="AO473" s="781">
        <f>VLOOKUP($AK473,ENTI!$AF$4:AJ$1003,5,FALSE)</f>
        <v>0</v>
      </c>
      <c r="AP473" s="315">
        <f>VLOOKUP($AK473,ENTI!$AF$4:AK$1003,6,FALSE)</f>
        <v>0</v>
      </c>
      <c r="AQ473" s="208">
        <f t="shared" si="102"/>
        <v>0</v>
      </c>
      <c r="AR473" s="152" t="e">
        <f t="shared" si="103"/>
        <v>#N/A</v>
      </c>
      <c r="AS473" s="1"/>
      <c r="AT473" s="88" t="str">
        <f t="shared" si="96"/>
        <v/>
      </c>
      <c r="AU473" s="1"/>
      <c r="AV473" s="175">
        <f>IF(AW473&gt;0,COUNTIF(AV$4:AV472,"&gt;0")+1,0)</f>
        <v>0</v>
      </c>
      <c r="AW473" s="164">
        <f t="shared" si="97"/>
        <v>0</v>
      </c>
      <c r="AX473" s="310">
        <f>IF($AW473=0,0,VLOOKUP(VLOOKUP($X473,$B$34:$T$38,19,FALSE),ENTI!$A$9:$B$13,2,FALSE))</f>
        <v>0</v>
      </c>
      <c r="AY473" s="310">
        <f t="shared" si="99"/>
        <v>0</v>
      </c>
      <c r="AZ473" s="316">
        <f t="shared" si="100"/>
        <v>0</v>
      </c>
      <c r="BA473" s="1"/>
      <c r="BB473" s="152">
        <f t="shared" si="101"/>
        <v>0</v>
      </c>
      <c r="BC473" s="152">
        <f ca="1">SUM(Z$4:Z473)+SUM(BB$4:BB473)+COSTI!S$6-COSTI!L$1076</f>
        <v>-31.760000000000218</v>
      </c>
      <c r="BD473" s="1"/>
    </row>
    <row r="474" spans="1:56" ht="16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435">
        <f>IF(AND(W474&gt;=$U$1,W474&lt;=$U$2),IF(X474='ESTRATTO CONTO'!$E$2,1+COUNTIF(U$4:U473,"&gt;0"),0),0)</f>
        <v>0</v>
      </c>
      <c r="V474" s="417">
        <f t="shared" si="98"/>
        <v>471</v>
      </c>
      <c r="W474" s="509"/>
      <c r="X474" s="321"/>
      <c r="Y474" s="321"/>
      <c r="Z474" s="508"/>
      <c r="AA474" s="356"/>
      <c r="AB474" s="306" t="str">
        <f t="shared" si="94"/>
        <v/>
      </c>
      <c r="AC474" s="637">
        <f t="shared" ca="1" si="93"/>
        <v>-2.1316282072803006E-13</v>
      </c>
      <c r="AD474" s="935">
        <f>IF(ISERROR(VLOOKUP(AD$2,X475:X$1003,1,FALSE)),IF(X474=AD$2,SUMIF(X$4:X474,AD$2,Z$4:Z474)+$E$9+SUM(AQ$4:AQ$1003)+SUMIF(COSTI!$X$1379:$X$1430,AD$2,COSTI!$Z$1379:$Z$1430),0),0)</f>
        <v>0</v>
      </c>
      <c r="AE474" s="26"/>
      <c r="AF474" s="856" t="e">
        <f>IF(ISERROR(VLOOKUP(AG$2,X475:X$1003,1,FALSE)),IF(X474=AG$2,SUMIF(X$4:X474,AG$2,Z$4:Z474)+VLOOKUP(AF$2,$B$1057:$F$1068,5,FALSE)+SUM(AR$4:AR$1003)+SUMIF(COSTI!$X$1379:$X$1430,AG$2,COSTI!$Z$1379:$Z$1430),0),0)</f>
        <v>#N/A</v>
      </c>
      <c r="AG474" s="859"/>
      <c r="AH474" s="27" t="str">
        <f t="shared" si="95"/>
        <v/>
      </c>
      <c r="AI474" s="152">
        <f ca="1">IF(W475&gt;0,0,IF(AH474=0,(Z474*-1)+BC474+SUM(BB$4:BB473),BC474+SUM(BB$4:BB473)))</f>
        <v>-2.1316282072803006E-13</v>
      </c>
      <c r="AJ474" s="931">
        <f>IF(AND(AL474&gt;=$U$1,AL474&lt;=$U$2),IF(AM474='ESTRATTO CONTO'!$E$2,1+COUNTIF(AJ$4:AJ473,"&gt;0")+U$1015,0),0)</f>
        <v>0</v>
      </c>
      <c r="AK474" s="203">
        <f>IF(AND(OR((AK473+1)&lt;AL$1015,(AK473+1)=AL$1015),MAX(AK$4:AK473)&lt;AL$1015),AK473+1,0)</f>
        <v>0</v>
      </c>
      <c r="AL474" s="309">
        <f>VLOOKUP($AK474,ENTI!$AF$4:AG$1003,2,FALSE)</f>
        <v>0</v>
      </c>
      <c r="AM474" s="224">
        <f>VLOOKUP($AK474,ENTI!$AF$4:AH$1003,3,FALSE)</f>
        <v>0</v>
      </c>
      <c r="AN474" s="224">
        <f>VLOOKUP($AK474,ENTI!$AF$4:AI$1003,4,FALSE)</f>
        <v>0</v>
      </c>
      <c r="AO474" s="781">
        <f>VLOOKUP($AK474,ENTI!$AF$4:AJ$1003,5,FALSE)</f>
        <v>0</v>
      </c>
      <c r="AP474" s="315">
        <f>VLOOKUP($AK474,ENTI!$AF$4:AK$1003,6,FALSE)</f>
        <v>0</v>
      </c>
      <c r="AQ474" s="208">
        <f t="shared" si="102"/>
        <v>0</v>
      </c>
      <c r="AR474" s="152" t="e">
        <f t="shared" si="103"/>
        <v>#N/A</v>
      </c>
      <c r="AS474" s="1"/>
      <c r="AT474" s="88" t="str">
        <f t="shared" si="96"/>
        <v/>
      </c>
      <c r="AU474" s="1"/>
      <c r="AV474" s="175">
        <f>IF(AW474&gt;0,COUNTIF(AV$4:AV473,"&gt;0")+1,0)</f>
        <v>0</v>
      </c>
      <c r="AW474" s="164">
        <f t="shared" si="97"/>
        <v>0</v>
      </c>
      <c r="AX474" s="310">
        <f>IF($AW474=0,0,VLOOKUP(VLOOKUP($X474,$B$34:$T$38,19,FALSE),ENTI!$A$9:$B$13,2,FALSE))</f>
        <v>0</v>
      </c>
      <c r="AY474" s="310">
        <f t="shared" si="99"/>
        <v>0</v>
      </c>
      <c r="AZ474" s="316">
        <f t="shared" si="100"/>
        <v>0</v>
      </c>
      <c r="BA474" s="1"/>
      <c r="BB474" s="152">
        <f t="shared" si="101"/>
        <v>0</v>
      </c>
      <c r="BC474" s="152">
        <f ca="1">SUM(Z$4:Z474)+SUM(BB$4:BB474)+COSTI!S$6-COSTI!L$1076</f>
        <v>-31.760000000000218</v>
      </c>
      <c r="BD474" s="1"/>
    </row>
    <row r="475" spans="1:56" ht="16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435">
        <f>IF(AND(W475&gt;=$U$1,W475&lt;=$U$2),IF(X475='ESTRATTO CONTO'!$E$2,1+COUNTIF(U$4:U474,"&gt;0"),0),0)</f>
        <v>0</v>
      </c>
      <c r="V475" s="417">
        <f t="shared" si="98"/>
        <v>472</v>
      </c>
      <c r="W475" s="509"/>
      <c r="X475" s="321"/>
      <c r="Y475" s="321"/>
      <c r="Z475" s="508"/>
      <c r="AA475" s="356"/>
      <c r="AB475" s="306" t="str">
        <f t="shared" si="94"/>
        <v/>
      </c>
      <c r="AC475" s="637">
        <f t="shared" ca="1" si="93"/>
        <v>-2.1316282072803006E-13</v>
      </c>
      <c r="AD475" s="935">
        <f>IF(ISERROR(VLOOKUP(AD$2,X476:X$1003,1,FALSE)),IF(X475=AD$2,SUMIF(X$4:X475,AD$2,Z$4:Z475)+$E$9+SUM(AQ$4:AQ$1003)+SUMIF(COSTI!$X$1379:$X$1430,AD$2,COSTI!$Z$1379:$Z$1430),0),0)</f>
        <v>0</v>
      </c>
      <c r="AE475" s="26"/>
      <c r="AF475" s="856" t="e">
        <f>IF(ISERROR(VLOOKUP(AG$2,X476:X$1003,1,FALSE)),IF(X475=AG$2,SUMIF(X$4:X475,AG$2,Z$4:Z475)+VLOOKUP(AF$2,$B$1057:$F$1068,5,FALSE)+SUM(AR$4:AR$1003)+SUMIF(COSTI!$X$1379:$X$1430,AG$2,COSTI!$Z$1379:$Z$1430),0),0)</f>
        <v>#N/A</v>
      </c>
      <c r="AG475" s="859"/>
      <c r="AH475" s="27" t="str">
        <f t="shared" si="95"/>
        <v/>
      </c>
      <c r="AI475" s="152">
        <f ca="1">IF(W476&gt;0,0,IF(AH475=0,(Z475*-1)+BC475+SUM(BB$4:BB474),BC475+SUM(BB$4:BB474)))</f>
        <v>-2.1316282072803006E-13</v>
      </c>
      <c r="AJ475" s="931">
        <f>IF(AND(AL475&gt;=$U$1,AL475&lt;=$U$2),IF(AM475='ESTRATTO CONTO'!$E$2,1+COUNTIF(AJ$4:AJ474,"&gt;0")+U$1015,0),0)</f>
        <v>0</v>
      </c>
      <c r="AK475" s="203">
        <f>IF(AND(OR((AK474+1)&lt;AL$1015,(AK474+1)=AL$1015),MAX(AK$4:AK474)&lt;AL$1015),AK474+1,0)</f>
        <v>0</v>
      </c>
      <c r="AL475" s="309">
        <f>VLOOKUP($AK475,ENTI!$AF$4:AG$1003,2,FALSE)</f>
        <v>0</v>
      </c>
      <c r="AM475" s="224">
        <f>VLOOKUP($AK475,ENTI!$AF$4:AH$1003,3,FALSE)</f>
        <v>0</v>
      </c>
      <c r="AN475" s="224">
        <f>VLOOKUP($AK475,ENTI!$AF$4:AI$1003,4,FALSE)</f>
        <v>0</v>
      </c>
      <c r="AO475" s="781">
        <f>VLOOKUP($AK475,ENTI!$AF$4:AJ$1003,5,FALSE)</f>
        <v>0</v>
      </c>
      <c r="AP475" s="315">
        <f>VLOOKUP($AK475,ENTI!$AF$4:AK$1003,6,FALSE)</f>
        <v>0</v>
      </c>
      <c r="AQ475" s="208">
        <f t="shared" si="102"/>
        <v>0</v>
      </c>
      <c r="AR475" s="152" t="e">
        <f t="shared" si="103"/>
        <v>#N/A</v>
      </c>
      <c r="AS475" s="1"/>
      <c r="AT475" s="88" t="str">
        <f t="shared" si="96"/>
        <v/>
      </c>
      <c r="AU475" s="1"/>
      <c r="AV475" s="175">
        <f>IF(AW475&gt;0,COUNTIF(AV$4:AV474,"&gt;0")+1,0)</f>
        <v>0</v>
      </c>
      <c r="AW475" s="164">
        <f t="shared" si="97"/>
        <v>0</v>
      </c>
      <c r="AX475" s="310">
        <f>IF($AW475=0,0,VLOOKUP(VLOOKUP($X475,$B$34:$T$38,19,FALSE),ENTI!$A$9:$B$13,2,FALSE))</f>
        <v>0</v>
      </c>
      <c r="AY475" s="310">
        <f t="shared" si="99"/>
        <v>0</v>
      </c>
      <c r="AZ475" s="316">
        <f t="shared" si="100"/>
        <v>0</v>
      </c>
      <c r="BA475" s="1"/>
      <c r="BB475" s="152">
        <f t="shared" si="101"/>
        <v>0</v>
      </c>
      <c r="BC475" s="152">
        <f ca="1">SUM(Z$4:Z475)+SUM(BB$4:BB475)+COSTI!S$6-COSTI!L$1076</f>
        <v>-31.760000000000218</v>
      </c>
      <c r="BD475" s="1"/>
    </row>
    <row r="476" spans="1:56" ht="16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435">
        <f>IF(AND(W476&gt;=$U$1,W476&lt;=$U$2),IF(X476='ESTRATTO CONTO'!$E$2,1+COUNTIF(U$4:U475,"&gt;0"),0),0)</f>
        <v>0</v>
      </c>
      <c r="V476" s="417">
        <f t="shared" si="98"/>
        <v>473</v>
      </c>
      <c r="W476" s="509"/>
      <c r="X476" s="321"/>
      <c r="Y476" s="321"/>
      <c r="Z476" s="508"/>
      <c r="AA476" s="356"/>
      <c r="AB476" s="306" t="str">
        <f t="shared" si="94"/>
        <v/>
      </c>
      <c r="AC476" s="637">
        <f t="shared" ca="1" si="93"/>
        <v>-2.1316282072803006E-13</v>
      </c>
      <c r="AD476" s="935">
        <f>IF(ISERROR(VLOOKUP(AD$2,X477:X$1003,1,FALSE)),IF(X476=AD$2,SUMIF(X$4:X476,AD$2,Z$4:Z476)+$E$9+SUM(AQ$4:AQ$1003)+SUMIF(COSTI!$X$1379:$X$1430,AD$2,COSTI!$Z$1379:$Z$1430),0),0)</f>
        <v>0</v>
      </c>
      <c r="AE476" s="26"/>
      <c r="AF476" s="856" t="e">
        <f>IF(ISERROR(VLOOKUP(AG$2,X477:X$1003,1,FALSE)),IF(X476=AG$2,SUMIF(X$4:X476,AG$2,Z$4:Z476)+VLOOKUP(AF$2,$B$1057:$F$1068,5,FALSE)+SUM(AR$4:AR$1003)+SUMIF(COSTI!$X$1379:$X$1430,AG$2,COSTI!$Z$1379:$Z$1430),0),0)</f>
        <v>#N/A</v>
      </c>
      <c r="AG476" s="859"/>
      <c r="AH476" s="27" t="str">
        <f t="shared" si="95"/>
        <v/>
      </c>
      <c r="AI476" s="152">
        <f ca="1">IF(W477&gt;0,0,IF(AH476=0,(Z476*-1)+BC476+SUM(BB$4:BB475),BC476+SUM(BB$4:BB475)))</f>
        <v>-2.1316282072803006E-13</v>
      </c>
      <c r="AJ476" s="931">
        <f>IF(AND(AL476&gt;=$U$1,AL476&lt;=$U$2),IF(AM476='ESTRATTO CONTO'!$E$2,1+COUNTIF(AJ$4:AJ475,"&gt;0")+U$1015,0),0)</f>
        <v>0</v>
      </c>
      <c r="AK476" s="203">
        <f>IF(AND(OR((AK475+1)&lt;AL$1015,(AK475+1)=AL$1015),MAX(AK$4:AK475)&lt;AL$1015),AK475+1,0)</f>
        <v>0</v>
      </c>
      <c r="AL476" s="309">
        <f>VLOOKUP($AK476,ENTI!$AF$4:AG$1003,2,FALSE)</f>
        <v>0</v>
      </c>
      <c r="AM476" s="224">
        <f>VLOOKUP($AK476,ENTI!$AF$4:AH$1003,3,FALSE)</f>
        <v>0</v>
      </c>
      <c r="AN476" s="224">
        <f>VLOOKUP($AK476,ENTI!$AF$4:AI$1003,4,FALSE)</f>
        <v>0</v>
      </c>
      <c r="AO476" s="781">
        <f>VLOOKUP($AK476,ENTI!$AF$4:AJ$1003,5,FALSE)</f>
        <v>0</v>
      </c>
      <c r="AP476" s="315">
        <f>VLOOKUP($AK476,ENTI!$AF$4:AK$1003,6,FALSE)</f>
        <v>0</v>
      </c>
      <c r="AQ476" s="208">
        <f t="shared" si="102"/>
        <v>0</v>
      </c>
      <c r="AR476" s="152" t="e">
        <f t="shared" si="103"/>
        <v>#N/A</v>
      </c>
      <c r="AS476" s="1"/>
      <c r="AT476" s="88" t="str">
        <f t="shared" si="96"/>
        <v/>
      </c>
      <c r="AU476" s="1"/>
      <c r="AV476" s="175">
        <f>IF(AW476&gt;0,COUNTIF(AV$4:AV475,"&gt;0")+1,0)</f>
        <v>0</v>
      </c>
      <c r="AW476" s="164">
        <f t="shared" si="97"/>
        <v>0</v>
      </c>
      <c r="AX476" s="310">
        <f>IF($AW476=0,0,VLOOKUP(VLOOKUP($X476,$B$34:$T$38,19,FALSE),ENTI!$A$9:$B$13,2,FALSE))</f>
        <v>0</v>
      </c>
      <c r="AY476" s="310">
        <f t="shared" si="99"/>
        <v>0</v>
      </c>
      <c r="AZ476" s="316">
        <f t="shared" si="100"/>
        <v>0</v>
      </c>
      <c r="BA476" s="1"/>
      <c r="BB476" s="152">
        <f t="shared" si="101"/>
        <v>0</v>
      </c>
      <c r="BC476" s="152">
        <f ca="1">SUM(Z$4:Z476)+SUM(BB$4:BB476)+COSTI!S$6-COSTI!L$1076</f>
        <v>-31.760000000000218</v>
      </c>
      <c r="BD476" s="1"/>
    </row>
    <row r="477" spans="1:56" ht="16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435">
        <f>IF(AND(W477&gt;=$U$1,W477&lt;=$U$2),IF(X477='ESTRATTO CONTO'!$E$2,1+COUNTIF(U$4:U476,"&gt;0"),0),0)</f>
        <v>0</v>
      </c>
      <c r="V477" s="417">
        <f t="shared" si="98"/>
        <v>474</v>
      </c>
      <c r="W477" s="509"/>
      <c r="X477" s="321"/>
      <c r="Y477" s="321"/>
      <c r="Z477" s="508"/>
      <c r="AA477" s="356"/>
      <c r="AB477" s="306" t="str">
        <f t="shared" si="94"/>
        <v/>
      </c>
      <c r="AC477" s="637">
        <f t="shared" ca="1" si="93"/>
        <v>-2.1316282072803006E-13</v>
      </c>
      <c r="AD477" s="935">
        <f>IF(ISERROR(VLOOKUP(AD$2,X478:X$1003,1,FALSE)),IF(X477=AD$2,SUMIF(X$4:X477,AD$2,Z$4:Z477)+$E$9+SUM(AQ$4:AQ$1003)+SUMIF(COSTI!$X$1379:$X$1430,AD$2,COSTI!$Z$1379:$Z$1430),0),0)</f>
        <v>0</v>
      </c>
      <c r="AE477" s="26"/>
      <c r="AF477" s="856" t="e">
        <f>IF(ISERROR(VLOOKUP(AG$2,X478:X$1003,1,FALSE)),IF(X477=AG$2,SUMIF(X$4:X477,AG$2,Z$4:Z477)+VLOOKUP(AF$2,$B$1057:$F$1068,5,FALSE)+SUM(AR$4:AR$1003)+SUMIF(COSTI!$X$1379:$X$1430,AG$2,COSTI!$Z$1379:$Z$1430),0),0)</f>
        <v>#N/A</v>
      </c>
      <c r="AG477" s="859"/>
      <c r="AH477" s="27" t="str">
        <f t="shared" si="95"/>
        <v/>
      </c>
      <c r="AI477" s="152">
        <f ca="1">IF(W478&gt;0,0,IF(AH477=0,(Z477*-1)+BC477+SUM(BB$4:BB476),BC477+SUM(BB$4:BB476)))</f>
        <v>-2.1316282072803006E-13</v>
      </c>
      <c r="AJ477" s="931">
        <f>IF(AND(AL477&gt;=$U$1,AL477&lt;=$U$2),IF(AM477='ESTRATTO CONTO'!$E$2,1+COUNTIF(AJ$4:AJ476,"&gt;0")+U$1015,0),0)</f>
        <v>0</v>
      </c>
      <c r="AK477" s="203">
        <f>IF(AND(OR((AK476+1)&lt;AL$1015,(AK476+1)=AL$1015),MAX(AK$4:AK476)&lt;AL$1015),AK476+1,0)</f>
        <v>0</v>
      </c>
      <c r="AL477" s="309">
        <f>VLOOKUP($AK477,ENTI!$AF$4:AG$1003,2,FALSE)</f>
        <v>0</v>
      </c>
      <c r="AM477" s="224">
        <f>VLOOKUP($AK477,ENTI!$AF$4:AH$1003,3,FALSE)</f>
        <v>0</v>
      </c>
      <c r="AN477" s="224">
        <f>VLOOKUP($AK477,ENTI!$AF$4:AI$1003,4,FALSE)</f>
        <v>0</v>
      </c>
      <c r="AO477" s="781">
        <f>VLOOKUP($AK477,ENTI!$AF$4:AJ$1003,5,FALSE)</f>
        <v>0</v>
      </c>
      <c r="AP477" s="315">
        <f>VLOOKUP($AK477,ENTI!$AF$4:AK$1003,6,FALSE)</f>
        <v>0</v>
      </c>
      <c r="AQ477" s="208">
        <f t="shared" si="102"/>
        <v>0</v>
      </c>
      <c r="AR477" s="152" t="e">
        <f t="shared" si="103"/>
        <v>#N/A</v>
      </c>
      <c r="AS477" s="1"/>
      <c r="AT477" s="88" t="str">
        <f t="shared" si="96"/>
        <v/>
      </c>
      <c r="AU477" s="1"/>
      <c r="AV477" s="175">
        <f>IF(AW477&gt;0,COUNTIF(AV$4:AV476,"&gt;0")+1,0)</f>
        <v>0</v>
      </c>
      <c r="AW477" s="164">
        <f t="shared" si="97"/>
        <v>0</v>
      </c>
      <c r="AX477" s="310">
        <f>IF($AW477=0,0,VLOOKUP(VLOOKUP($X477,$B$34:$T$38,19,FALSE),ENTI!$A$9:$B$13,2,FALSE))</f>
        <v>0</v>
      </c>
      <c r="AY477" s="310">
        <f t="shared" si="99"/>
        <v>0</v>
      </c>
      <c r="AZ477" s="316">
        <f t="shared" si="100"/>
        <v>0</v>
      </c>
      <c r="BA477" s="1"/>
      <c r="BB477" s="152">
        <f t="shared" si="101"/>
        <v>0</v>
      </c>
      <c r="BC477" s="152">
        <f ca="1">SUM(Z$4:Z477)+SUM(BB$4:BB477)+COSTI!S$6-COSTI!L$1076</f>
        <v>-31.760000000000218</v>
      </c>
      <c r="BD477" s="1"/>
    </row>
    <row r="478" spans="1:56" ht="16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435">
        <f>IF(AND(W478&gt;=$U$1,W478&lt;=$U$2),IF(X478='ESTRATTO CONTO'!$E$2,1+COUNTIF(U$4:U477,"&gt;0"),0),0)</f>
        <v>0</v>
      </c>
      <c r="V478" s="417">
        <f t="shared" si="98"/>
        <v>475</v>
      </c>
      <c r="W478" s="509"/>
      <c r="X478" s="321"/>
      <c r="Y478" s="321"/>
      <c r="Z478" s="508"/>
      <c r="AA478" s="356"/>
      <c r="AB478" s="306" t="str">
        <f t="shared" si="94"/>
        <v/>
      </c>
      <c r="AC478" s="637">
        <f t="shared" ca="1" si="93"/>
        <v>-2.1316282072803006E-13</v>
      </c>
      <c r="AD478" s="935">
        <f>IF(ISERROR(VLOOKUP(AD$2,X479:X$1003,1,FALSE)),IF(X478=AD$2,SUMIF(X$4:X478,AD$2,Z$4:Z478)+$E$9+SUM(AQ$4:AQ$1003)+SUMIF(COSTI!$X$1379:$X$1430,AD$2,COSTI!$Z$1379:$Z$1430),0),0)</f>
        <v>0</v>
      </c>
      <c r="AE478" s="26"/>
      <c r="AF478" s="856" t="e">
        <f>IF(ISERROR(VLOOKUP(AG$2,X479:X$1003,1,FALSE)),IF(X478=AG$2,SUMIF(X$4:X478,AG$2,Z$4:Z478)+VLOOKUP(AF$2,$B$1057:$F$1068,5,FALSE)+SUM(AR$4:AR$1003)+SUMIF(COSTI!$X$1379:$X$1430,AG$2,COSTI!$Z$1379:$Z$1430),0),0)</f>
        <v>#N/A</v>
      </c>
      <c r="AG478" s="859"/>
      <c r="AH478" s="27" t="str">
        <f t="shared" si="95"/>
        <v/>
      </c>
      <c r="AI478" s="152">
        <f ca="1">IF(W479&gt;0,0,IF(AH478=0,(Z478*-1)+BC478+SUM(BB$4:BB477),BC478+SUM(BB$4:BB477)))</f>
        <v>-2.1316282072803006E-13</v>
      </c>
      <c r="AJ478" s="931">
        <f>IF(AND(AL478&gt;=$U$1,AL478&lt;=$U$2),IF(AM478='ESTRATTO CONTO'!$E$2,1+COUNTIF(AJ$4:AJ477,"&gt;0")+U$1015,0),0)</f>
        <v>0</v>
      </c>
      <c r="AK478" s="203">
        <f>IF(AND(OR((AK477+1)&lt;AL$1015,(AK477+1)=AL$1015),MAX(AK$4:AK477)&lt;AL$1015),AK477+1,0)</f>
        <v>0</v>
      </c>
      <c r="AL478" s="309">
        <f>VLOOKUP($AK478,ENTI!$AF$4:AG$1003,2,FALSE)</f>
        <v>0</v>
      </c>
      <c r="AM478" s="224">
        <f>VLOOKUP($AK478,ENTI!$AF$4:AH$1003,3,FALSE)</f>
        <v>0</v>
      </c>
      <c r="AN478" s="224">
        <f>VLOOKUP($AK478,ENTI!$AF$4:AI$1003,4,FALSE)</f>
        <v>0</v>
      </c>
      <c r="AO478" s="781">
        <f>VLOOKUP($AK478,ENTI!$AF$4:AJ$1003,5,FALSE)</f>
        <v>0</v>
      </c>
      <c r="AP478" s="315">
        <f>VLOOKUP($AK478,ENTI!$AF$4:AK$1003,6,FALSE)</f>
        <v>0</v>
      </c>
      <c r="AQ478" s="208">
        <f t="shared" si="102"/>
        <v>0</v>
      </c>
      <c r="AR478" s="152" t="e">
        <f t="shared" si="103"/>
        <v>#N/A</v>
      </c>
      <c r="AS478" s="1"/>
      <c r="AT478" s="88" t="str">
        <f t="shared" si="96"/>
        <v/>
      </c>
      <c r="AU478" s="1"/>
      <c r="AV478" s="175">
        <f>IF(AW478&gt;0,COUNTIF(AV$4:AV477,"&gt;0")+1,0)</f>
        <v>0</v>
      </c>
      <c r="AW478" s="164">
        <f t="shared" si="97"/>
        <v>0</v>
      </c>
      <c r="AX478" s="310">
        <f>IF($AW478=0,0,VLOOKUP(VLOOKUP($X478,$B$34:$T$38,19,FALSE),ENTI!$A$9:$B$13,2,FALSE))</f>
        <v>0</v>
      </c>
      <c r="AY478" s="310">
        <f t="shared" si="99"/>
        <v>0</v>
      </c>
      <c r="AZ478" s="316">
        <f t="shared" si="100"/>
        <v>0</v>
      </c>
      <c r="BA478" s="1"/>
      <c r="BB478" s="152">
        <f t="shared" si="101"/>
        <v>0</v>
      </c>
      <c r="BC478" s="152">
        <f ca="1">SUM(Z$4:Z478)+SUM(BB$4:BB478)+COSTI!S$6-COSTI!L$1076</f>
        <v>-31.760000000000218</v>
      </c>
      <c r="BD478" s="1"/>
    </row>
    <row r="479" spans="1:56" ht="16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435">
        <f>IF(AND(W479&gt;=$U$1,W479&lt;=$U$2),IF(X479='ESTRATTO CONTO'!$E$2,1+COUNTIF(U$4:U478,"&gt;0"),0),0)</f>
        <v>0</v>
      </c>
      <c r="V479" s="417">
        <f t="shared" si="98"/>
        <v>476</v>
      </c>
      <c r="W479" s="509"/>
      <c r="X479" s="321"/>
      <c r="Y479" s="321"/>
      <c r="Z479" s="508"/>
      <c r="AA479" s="356"/>
      <c r="AB479" s="306" t="str">
        <f t="shared" si="94"/>
        <v/>
      </c>
      <c r="AC479" s="637">
        <f t="shared" ca="1" si="93"/>
        <v>-2.1316282072803006E-13</v>
      </c>
      <c r="AD479" s="935">
        <f>IF(ISERROR(VLOOKUP(AD$2,X480:X$1003,1,FALSE)),IF(X479=AD$2,SUMIF(X$4:X479,AD$2,Z$4:Z479)+$E$9+SUM(AQ$4:AQ$1003)+SUMIF(COSTI!$X$1379:$X$1430,AD$2,COSTI!$Z$1379:$Z$1430),0),0)</f>
        <v>0</v>
      </c>
      <c r="AE479" s="26"/>
      <c r="AF479" s="856" t="e">
        <f>IF(ISERROR(VLOOKUP(AG$2,X480:X$1003,1,FALSE)),IF(X479=AG$2,SUMIF(X$4:X479,AG$2,Z$4:Z479)+VLOOKUP(AF$2,$B$1057:$F$1068,5,FALSE)+SUM(AR$4:AR$1003)+SUMIF(COSTI!$X$1379:$X$1430,AG$2,COSTI!$Z$1379:$Z$1430),0),0)</f>
        <v>#N/A</v>
      </c>
      <c r="AG479" s="859"/>
      <c r="AH479" s="27" t="str">
        <f t="shared" si="95"/>
        <v/>
      </c>
      <c r="AI479" s="152">
        <f ca="1">IF(W480&gt;0,0,IF(AH479=0,(Z479*-1)+BC479+SUM(BB$4:BB478),BC479+SUM(BB$4:BB478)))</f>
        <v>-2.1316282072803006E-13</v>
      </c>
      <c r="AJ479" s="931">
        <f>IF(AND(AL479&gt;=$U$1,AL479&lt;=$U$2),IF(AM479='ESTRATTO CONTO'!$E$2,1+COUNTIF(AJ$4:AJ478,"&gt;0")+U$1015,0),0)</f>
        <v>0</v>
      </c>
      <c r="AK479" s="203">
        <f>IF(AND(OR((AK478+1)&lt;AL$1015,(AK478+1)=AL$1015),MAX(AK$4:AK478)&lt;AL$1015),AK478+1,0)</f>
        <v>0</v>
      </c>
      <c r="AL479" s="309">
        <f>VLOOKUP($AK479,ENTI!$AF$4:AG$1003,2,FALSE)</f>
        <v>0</v>
      </c>
      <c r="AM479" s="224">
        <f>VLOOKUP($AK479,ENTI!$AF$4:AH$1003,3,FALSE)</f>
        <v>0</v>
      </c>
      <c r="AN479" s="224">
        <f>VLOOKUP($AK479,ENTI!$AF$4:AI$1003,4,FALSE)</f>
        <v>0</v>
      </c>
      <c r="AO479" s="781">
        <f>VLOOKUP($AK479,ENTI!$AF$4:AJ$1003,5,FALSE)</f>
        <v>0</v>
      </c>
      <c r="AP479" s="315">
        <f>VLOOKUP($AK479,ENTI!$AF$4:AK$1003,6,FALSE)</f>
        <v>0</v>
      </c>
      <c r="AQ479" s="208">
        <f t="shared" si="102"/>
        <v>0</v>
      </c>
      <c r="AR479" s="152" t="e">
        <f t="shared" si="103"/>
        <v>#N/A</v>
      </c>
      <c r="AS479" s="1"/>
      <c r="AT479" s="88" t="str">
        <f t="shared" si="96"/>
        <v/>
      </c>
      <c r="AU479" s="1"/>
      <c r="AV479" s="175">
        <f>IF(AW479&gt;0,COUNTIF(AV$4:AV478,"&gt;0")+1,0)</f>
        <v>0</v>
      </c>
      <c r="AW479" s="164">
        <f t="shared" si="97"/>
        <v>0</v>
      </c>
      <c r="AX479" s="310">
        <f>IF($AW479=0,0,VLOOKUP(VLOOKUP($X479,$B$34:$T$38,19,FALSE),ENTI!$A$9:$B$13,2,FALSE))</f>
        <v>0</v>
      </c>
      <c r="AY479" s="310">
        <f t="shared" si="99"/>
        <v>0</v>
      </c>
      <c r="AZ479" s="316">
        <f t="shared" si="100"/>
        <v>0</v>
      </c>
      <c r="BA479" s="1"/>
      <c r="BB479" s="152">
        <f t="shared" si="101"/>
        <v>0</v>
      </c>
      <c r="BC479" s="152">
        <f ca="1">SUM(Z$4:Z479)+SUM(BB$4:BB479)+COSTI!S$6-COSTI!L$1076</f>
        <v>-31.760000000000218</v>
      </c>
      <c r="BD479" s="1"/>
    </row>
    <row r="480" spans="1:56" ht="16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435">
        <f>IF(AND(W480&gt;=$U$1,W480&lt;=$U$2),IF(X480='ESTRATTO CONTO'!$E$2,1+COUNTIF(U$4:U479,"&gt;0"),0),0)</f>
        <v>0</v>
      </c>
      <c r="V480" s="417">
        <f t="shared" si="98"/>
        <v>477</v>
      </c>
      <c r="W480" s="509"/>
      <c r="X480" s="321"/>
      <c r="Y480" s="321"/>
      <c r="Z480" s="508"/>
      <c r="AA480" s="356"/>
      <c r="AB480" s="306" t="str">
        <f t="shared" si="94"/>
        <v/>
      </c>
      <c r="AC480" s="637">
        <f t="shared" ca="1" si="93"/>
        <v>-2.1316282072803006E-13</v>
      </c>
      <c r="AD480" s="935">
        <f>IF(ISERROR(VLOOKUP(AD$2,X481:X$1003,1,FALSE)),IF(X480=AD$2,SUMIF(X$4:X480,AD$2,Z$4:Z480)+$E$9+SUM(AQ$4:AQ$1003)+SUMIF(COSTI!$X$1379:$X$1430,AD$2,COSTI!$Z$1379:$Z$1430),0),0)</f>
        <v>0</v>
      </c>
      <c r="AE480" s="26"/>
      <c r="AF480" s="856" t="e">
        <f>IF(ISERROR(VLOOKUP(AG$2,X481:X$1003,1,FALSE)),IF(X480=AG$2,SUMIF(X$4:X480,AG$2,Z$4:Z480)+VLOOKUP(AF$2,$B$1057:$F$1068,5,FALSE)+SUM(AR$4:AR$1003)+SUMIF(COSTI!$X$1379:$X$1430,AG$2,COSTI!$Z$1379:$Z$1430),0),0)</f>
        <v>#N/A</v>
      </c>
      <c r="AG480" s="859"/>
      <c r="AH480" s="27" t="str">
        <f t="shared" si="95"/>
        <v/>
      </c>
      <c r="AI480" s="152">
        <f ca="1">IF(W481&gt;0,0,IF(AH480=0,(Z480*-1)+BC480+SUM(BB$4:BB479),BC480+SUM(BB$4:BB479)))</f>
        <v>-2.1316282072803006E-13</v>
      </c>
      <c r="AJ480" s="931">
        <f>IF(AND(AL480&gt;=$U$1,AL480&lt;=$U$2),IF(AM480='ESTRATTO CONTO'!$E$2,1+COUNTIF(AJ$4:AJ479,"&gt;0")+U$1015,0),0)</f>
        <v>0</v>
      </c>
      <c r="AK480" s="203">
        <f>IF(AND(OR((AK479+1)&lt;AL$1015,(AK479+1)=AL$1015),MAX(AK$4:AK479)&lt;AL$1015),AK479+1,0)</f>
        <v>0</v>
      </c>
      <c r="AL480" s="309">
        <f>VLOOKUP($AK480,ENTI!$AF$4:AG$1003,2,FALSE)</f>
        <v>0</v>
      </c>
      <c r="AM480" s="224">
        <f>VLOOKUP($AK480,ENTI!$AF$4:AH$1003,3,FALSE)</f>
        <v>0</v>
      </c>
      <c r="AN480" s="224">
        <f>VLOOKUP($AK480,ENTI!$AF$4:AI$1003,4,FALSE)</f>
        <v>0</v>
      </c>
      <c r="AO480" s="781">
        <f>VLOOKUP($AK480,ENTI!$AF$4:AJ$1003,5,FALSE)</f>
        <v>0</v>
      </c>
      <c r="AP480" s="315">
        <f>VLOOKUP($AK480,ENTI!$AF$4:AK$1003,6,FALSE)</f>
        <v>0</v>
      </c>
      <c r="AQ480" s="208">
        <f t="shared" si="102"/>
        <v>0</v>
      </c>
      <c r="AR480" s="152" t="e">
        <f t="shared" si="103"/>
        <v>#N/A</v>
      </c>
      <c r="AS480" s="1"/>
      <c r="AT480" s="88" t="str">
        <f t="shared" si="96"/>
        <v/>
      </c>
      <c r="AU480" s="1"/>
      <c r="AV480" s="175">
        <f>IF(AW480&gt;0,COUNTIF(AV$4:AV479,"&gt;0")+1,0)</f>
        <v>0</v>
      </c>
      <c r="AW480" s="164">
        <f t="shared" si="97"/>
        <v>0</v>
      </c>
      <c r="AX480" s="310">
        <f>IF($AW480=0,0,VLOOKUP(VLOOKUP($X480,$B$34:$T$38,19,FALSE),ENTI!$A$9:$B$13,2,FALSE))</f>
        <v>0</v>
      </c>
      <c r="AY480" s="310">
        <f t="shared" si="99"/>
        <v>0</v>
      </c>
      <c r="AZ480" s="316">
        <f t="shared" si="100"/>
        <v>0</v>
      </c>
      <c r="BA480" s="1"/>
      <c r="BB480" s="152">
        <f t="shared" si="101"/>
        <v>0</v>
      </c>
      <c r="BC480" s="152">
        <f ca="1">SUM(Z$4:Z480)+SUM(BB$4:BB480)+COSTI!S$6-COSTI!L$1076</f>
        <v>-31.760000000000218</v>
      </c>
      <c r="BD480" s="1"/>
    </row>
    <row r="481" spans="1:56" ht="16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435">
        <f>IF(AND(W481&gt;=$U$1,W481&lt;=$U$2),IF(X481='ESTRATTO CONTO'!$E$2,1+COUNTIF(U$4:U480,"&gt;0"),0),0)</f>
        <v>0</v>
      </c>
      <c r="V481" s="417">
        <f t="shared" si="98"/>
        <v>478</v>
      </c>
      <c r="W481" s="509"/>
      <c r="X481" s="321"/>
      <c r="Y481" s="321"/>
      <c r="Z481" s="508"/>
      <c r="AA481" s="356"/>
      <c r="AB481" s="306" t="str">
        <f t="shared" si="94"/>
        <v/>
      </c>
      <c r="AC481" s="637">
        <f t="shared" ca="1" si="93"/>
        <v>-2.1316282072803006E-13</v>
      </c>
      <c r="AD481" s="935">
        <f>IF(ISERROR(VLOOKUP(AD$2,X482:X$1003,1,FALSE)),IF(X481=AD$2,SUMIF(X$4:X481,AD$2,Z$4:Z481)+$E$9+SUM(AQ$4:AQ$1003)+SUMIF(COSTI!$X$1379:$X$1430,AD$2,COSTI!$Z$1379:$Z$1430),0),0)</f>
        <v>0</v>
      </c>
      <c r="AE481" s="26"/>
      <c r="AF481" s="856" t="e">
        <f>IF(ISERROR(VLOOKUP(AG$2,X482:X$1003,1,FALSE)),IF(X481=AG$2,SUMIF(X$4:X481,AG$2,Z$4:Z481)+VLOOKUP(AF$2,$B$1057:$F$1068,5,FALSE)+SUM(AR$4:AR$1003)+SUMIF(COSTI!$X$1379:$X$1430,AG$2,COSTI!$Z$1379:$Z$1430),0),0)</f>
        <v>#N/A</v>
      </c>
      <c r="AG481" s="859"/>
      <c r="AH481" s="27" t="str">
        <f t="shared" si="95"/>
        <v/>
      </c>
      <c r="AI481" s="152">
        <f ca="1">IF(W482&gt;0,0,IF(AH481=0,(Z481*-1)+BC481+SUM(BB$4:BB480),BC481+SUM(BB$4:BB480)))</f>
        <v>-2.1316282072803006E-13</v>
      </c>
      <c r="AJ481" s="931">
        <f>IF(AND(AL481&gt;=$U$1,AL481&lt;=$U$2),IF(AM481='ESTRATTO CONTO'!$E$2,1+COUNTIF(AJ$4:AJ480,"&gt;0")+U$1015,0),0)</f>
        <v>0</v>
      </c>
      <c r="AK481" s="203">
        <f>IF(AND(OR((AK480+1)&lt;AL$1015,(AK480+1)=AL$1015),MAX(AK$4:AK480)&lt;AL$1015),AK480+1,0)</f>
        <v>0</v>
      </c>
      <c r="AL481" s="309">
        <f>VLOOKUP($AK481,ENTI!$AF$4:AG$1003,2,FALSE)</f>
        <v>0</v>
      </c>
      <c r="AM481" s="224">
        <f>VLOOKUP($AK481,ENTI!$AF$4:AH$1003,3,FALSE)</f>
        <v>0</v>
      </c>
      <c r="AN481" s="224">
        <f>VLOOKUP($AK481,ENTI!$AF$4:AI$1003,4,FALSE)</f>
        <v>0</v>
      </c>
      <c r="AO481" s="781">
        <f>VLOOKUP($AK481,ENTI!$AF$4:AJ$1003,5,FALSE)</f>
        <v>0</v>
      </c>
      <c r="AP481" s="315">
        <f>VLOOKUP($AK481,ENTI!$AF$4:AK$1003,6,FALSE)</f>
        <v>0</v>
      </c>
      <c r="AQ481" s="208">
        <f t="shared" si="102"/>
        <v>0</v>
      </c>
      <c r="AR481" s="152" t="e">
        <f t="shared" si="103"/>
        <v>#N/A</v>
      </c>
      <c r="AS481" s="1"/>
      <c r="AT481" s="88" t="str">
        <f t="shared" si="96"/>
        <v/>
      </c>
      <c r="AU481" s="1"/>
      <c r="AV481" s="175">
        <f>IF(AW481&gt;0,COUNTIF(AV$4:AV480,"&gt;0")+1,0)</f>
        <v>0</v>
      </c>
      <c r="AW481" s="164">
        <f t="shared" si="97"/>
        <v>0</v>
      </c>
      <c r="AX481" s="310">
        <f>IF($AW481=0,0,VLOOKUP(VLOOKUP($X481,$B$34:$T$38,19,FALSE),ENTI!$A$9:$B$13,2,FALSE))</f>
        <v>0</v>
      </c>
      <c r="AY481" s="310">
        <f t="shared" si="99"/>
        <v>0</v>
      </c>
      <c r="AZ481" s="316">
        <f t="shared" si="100"/>
        <v>0</v>
      </c>
      <c r="BA481" s="1"/>
      <c r="BB481" s="152">
        <f t="shared" si="101"/>
        <v>0</v>
      </c>
      <c r="BC481" s="152">
        <f ca="1">SUM(Z$4:Z481)+SUM(BB$4:BB481)+COSTI!S$6-COSTI!L$1076</f>
        <v>-31.760000000000218</v>
      </c>
      <c r="BD481" s="1"/>
    </row>
    <row r="482" spans="1:56" ht="16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435">
        <f>IF(AND(W482&gt;=$U$1,W482&lt;=$U$2),IF(X482='ESTRATTO CONTO'!$E$2,1+COUNTIF(U$4:U481,"&gt;0"),0),0)</f>
        <v>0</v>
      </c>
      <c r="V482" s="417">
        <f t="shared" si="98"/>
        <v>479</v>
      </c>
      <c r="W482" s="509"/>
      <c r="X482" s="321"/>
      <c r="Y482" s="321"/>
      <c r="Z482" s="508"/>
      <c r="AA482" s="356"/>
      <c r="AB482" s="306" t="str">
        <f t="shared" si="94"/>
        <v/>
      </c>
      <c r="AC482" s="637">
        <f t="shared" ca="1" si="93"/>
        <v>-2.1316282072803006E-13</v>
      </c>
      <c r="AD482" s="935">
        <f>IF(ISERROR(VLOOKUP(AD$2,X483:X$1003,1,FALSE)),IF(X482=AD$2,SUMIF(X$4:X482,AD$2,Z$4:Z482)+$E$9+SUM(AQ$4:AQ$1003)+SUMIF(COSTI!$X$1379:$X$1430,AD$2,COSTI!$Z$1379:$Z$1430),0),0)</f>
        <v>0</v>
      </c>
      <c r="AE482" s="26"/>
      <c r="AF482" s="856" t="e">
        <f>IF(ISERROR(VLOOKUP(AG$2,X483:X$1003,1,FALSE)),IF(X482=AG$2,SUMIF(X$4:X482,AG$2,Z$4:Z482)+VLOOKUP(AF$2,$B$1057:$F$1068,5,FALSE)+SUM(AR$4:AR$1003)+SUMIF(COSTI!$X$1379:$X$1430,AG$2,COSTI!$Z$1379:$Z$1430),0),0)</f>
        <v>#N/A</v>
      </c>
      <c r="AG482" s="859"/>
      <c r="AH482" s="27" t="str">
        <f t="shared" si="95"/>
        <v/>
      </c>
      <c r="AI482" s="152">
        <f ca="1">IF(W483&gt;0,0,IF(AH482=0,(Z482*-1)+BC482+SUM(BB$4:BB481),BC482+SUM(BB$4:BB481)))</f>
        <v>-2.1316282072803006E-13</v>
      </c>
      <c r="AJ482" s="931">
        <f>IF(AND(AL482&gt;=$U$1,AL482&lt;=$U$2),IF(AM482='ESTRATTO CONTO'!$E$2,1+COUNTIF(AJ$4:AJ481,"&gt;0")+U$1015,0),0)</f>
        <v>0</v>
      </c>
      <c r="AK482" s="203">
        <f>IF(AND(OR((AK481+1)&lt;AL$1015,(AK481+1)=AL$1015),MAX(AK$4:AK481)&lt;AL$1015),AK481+1,0)</f>
        <v>0</v>
      </c>
      <c r="AL482" s="309">
        <f>VLOOKUP($AK482,ENTI!$AF$4:AG$1003,2,FALSE)</f>
        <v>0</v>
      </c>
      <c r="AM482" s="224">
        <f>VLOOKUP($AK482,ENTI!$AF$4:AH$1003,3,FALSE)</f>
        <v>0</v>
      </c>
      <c r="AN482" s="224">
        <f>VLOOKUP($AK482,ENTI!$AF$4:AI$1003,4,FALSE)</f>
        <v>0</v>
      </c>
      <c r="AO482" s="781">
        <f>VLOOKUP($AK482,ENTI!$AF$4:AJ$1003,5,FALSE)</f>
        <v>0</v>
      </c>
      <c r="AP482" s="315">
        <f>VLOOKUP($AK482,ENTI!$AF$4:AK$1003,6,FALSE)</f>
        <v>0</v>
      </c>
      <c r="AQ482" s="208">
        <f t="shared" si="102"/>
        <v>0</v>
      </c>
      <c r="AR482" s="152" t="e">
        <f t="shared" si="103"/>
        <v>#N/A</v>
      </c>
      <c r="AS482" s="1"/>
      <c r="AT482" s="88" t="str">
        <f t="shared" si="96"/>
        <v/>
      </c>
      <c r="AU482" s="1"/>
      <c r="AV482" s="175">
        <f>IF(AW482&gt;0,COUNTIF(AV$4:AV481,"&gt;0")+1,0)</f>
        <v>0</v>
      </c>
      <c r="AW482" s="164">
        <f t="shared" si="97"/>
        <v>0</v>
      </c>
      <c r="AX482" s="310">
        <f>IF($AW482=0,0,VLOOKUP(VLOOKUP($X482,$B$34:$T$38,19,FALSE),ENTI!$A$9:$B$13,2,FALSE))</f>
        <v>0</v>
      </c>
      <c r="AY482" s="310">
        <f t="shared" si="99"/>
        <v>0</v>
      </c>
      <c r="AZ482" s="316">
        <f t="shared" si="100"/>
        <v>0</v>
      </c>
      <c r="BA482" s="1"/>
      <c r="BB482" s="152">
        <f t="shared" si="101"/>
        <v>0</v>
      </c>
      <c r="BC482" s="152">
        <f ca="1">SUM(Z$4:Z482)+SUM(BB$4:BB482)+COSTI!S$6-COSTI!L$1076</f>
        <v>-31.760000000000218</v>
      </c>
      <c r="BD482" s="1"/>
    </row>
    <row r="483" spans="1:56" ht="16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435">
        <f>IF(AND(W483&gt;=$U$1,W483&lt;=$U$2),IF(X483='ESTRATTO CONTO'!$E$2,1+COUNTIF(U$4:U482,"&gt;0"),0),0)</f>
        <v>0</v>
      </c>
      <c r="V483" s="417">
        <f t="shared" si="98"/>
        <v>480</v>
      </c>
      <c r="W483" s="509"/>
      <c r="X483" s="321"/>
      <c r="Y483" s="321"/>
      <c r="Z483" s="508"/>
      <c r="AA483" s="356"/>
      <c r="AB483" s="306" t="str">
        <f t="shared" si="94"/>
        <v/>
      </c>
      <c r="AC483" s="637">
        <f t="shared" ca="1" si="93"/>
        <v>-2.1316282072803006E-13</v>
      </c>
      <c r="AD483" s="935">
        <f>IF(ISERROR(VLOOKUP(AD$2,X484:X$1003,1,FALSE)),IF(X483=AD$2,SUMIF(X$4:X483,AD$2,Z$4:Z483)+$E$9+SUM(AQ$4:AQ$1003)+SUMIF(COSTI!$X$1379:$X$1430,AD$2,COSTI!$Z$1379:$Z$1430),0),0)</f>
        <v>0</v>
      </c>
      <c r="AE483" s="26"/>
      <c r="AF483" s="856" t="e">
        <f>IF(ISERROR(VLOOKUP(AG$2,X484:X$1003,1,FALSE)),IF(X483=AG$2,SUMIF(X$4:X483,AG$2,Z$4:Z483)+VLOOKUP(AF$2,$B$1057:$F$1068,5,FALSE)+SUM(AR$4:AR$1003)+SUMIF(COSTI!$X$1379:$X$1430,AG$2,COSTI!$Z$1379:$Z$1430),0),0)</f>
        <v>#N/A</v>
      </c>
      <c r="AG483" s="859"/>
      <c r="AH483" s="27" t="str">
        <f t="shared" si="95"/>
        <v/>
      </c>
      <c r="AI483" s="152">
        <f ca="1">IF(W484&gt;0,0,IF(AH483=0,(Z483*-1)+BC483+SUM(BB$4:BB482),BC483+SUM(BB$4:BB482)))</f>
        <v>-2.1316282072803006E-13</v>
      </c>
      <c r="AJ483" s="931">
        <f>IF(AND(AL483&gt;=$U$1,AL483&lt;=$U$2),IF(AM483='ESTRATTO CONTO'!$E$2,1+COUNTIF(AJ$4:AJ482,"&gt;0")+U$1015,0),0)</f>
        <v>0</v>
      </c>
      <c r="AK483" s="203">
        <f>IF(AND(OR((AK482+1)&lt;AL$1015,(AK482+1)=AL$1015),MAX(AK$4:AK482)&lt;AL$1015),AK482+1,0)</f>
        <v>0</v>
      </c>
      <c r="AL483" s="309">
        <f>VLOOKUP($AK483,ENTI!$AF$4:AG$1003,2,FALSE)</f>
        <v>0</v>
      </c>
      <c r="AM483" s="224">
        <f>VLOOKUP($AK483,ENTI!$AF$4:AH$1003,3,FALSE)</f>
        <v>0</v>
      </c>
      <c r="AN483" s="224">
        <f>VLOOKUP($AK483,ENTI!$AF$4:AI$1003,4,FALSE)</f>
        <v>0</v>
      </c>
      <c r="AO483" s="781">
        <f>VLOOKUP($AK483,ENTI!$AF$4:AJ$1003,5,FALSE)</f>
        <v>0</v>
      </c>
      <c r="AP483" s="315">
        <f>VLOOKUP($AK483,ENTI!$AF$4:AK$1003,6,FALSE)</f>
        <v>0</v>
      </c>
      <c r="AQ483" s="208">
        <f t="shared" si="102"/>
        <v>0</v>
      </c>
      <c r="AR483" s="152" t="e">
        <f t="shared" si="103"/>
        <v>#N/A</v>
      </c>
      <c r="AS483" s="1"/>
      <c r="AT483" s="88" t="str">
        <f t="shared" si="96"/>
        <v/>
      </c>
      <c r="AU483" s="1"/>
      <c r="AV483" s="175">
        <f>IF(AW483&gt;0,COUNTIF(AV$4:AV482,"&gt;0")+1,0)</f>
        <v>0</v>
      </c>
      <c r="AW483" s="164">
        <f t="shared" si="97"/>
        <v>0</v>
      </c>
      <c r="AX483" s="310">
        <f>IF($AW483=0,0,VLOOKUP(VLOOKUP($X483,$B$34:$T$38,19,FALSE),ENTI!$A$9:$B$13,2,FALSE))</f>
        <v>0</v>
      </c>
      <c r="AY483" s="310">
        <f t="shared" si="99"/>
        <v>0</v>
      </c>
      <c r="AZ483" s="316">
        <f t="shared" si="100"/>
        <v>0</v>
      </c>
      <c r="BA483" s="1"/>
      <c r="BB483" s="152">
        <f t="shared" si="101"/>
        <v>0</v>
      </c>
      <c r="BC483" s="152">
        <f ca="1">SUM(Z$4:Z483)+SUM(BB$4:BB483)+COSTI!S$6-COSTI!L$1076</f>
        <v>-31.760000000000218</v>
      </c>
      <c r="BD483" s="1"/>
    </row>
    <row r="484" spans="1:56" ht="16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435">
        <f>IF(AND(W484&gt;=$U$1,W484&lt;=$U$2),IF(X484='ESTRATTO CONTO'!$E$2,1+COUNTIF(U$4:U483,"&gt;0"),0),0)</f>
        <v>0</v>
      </c>
      <c r="V484" s="417">
        <f t="shared" si="98"/>
        <v>481</v>
      </c>
      <c r="W484" s="509"/>
      <c r="X484" s="321"/>
      <c r="Y484" s="321"/>
      <c r="Z484" s="508"/>
      <c r="AA484" s="356"/>
      <c r="AB484" s="306" t="str">
        <f t="shared" si="94"/>
        <v/>
      </c>
      <c r="AC484" s="637">
        <f t="shared" ca="1" si="93"/>
        <v>-2.1316282072803006E-13</v>
      </c>
      <c r="AD484" s="935">
        <f>IF(ISERROR(VLOOKUP(AD$2,X485:X$1003,1,FALSE)),IF(X484=AD$2,SUMIF(X$4:X484,AD$2,Z$4:Z484)+$E$9+SUM(AQ$4:AQ$1003)+SUMIF(COSTI!$X$1379:$X$1430,AD$2,COSTI!$Z$1379:$Z$1430),0),0)</f>
        <v>0</v>
      </c>
      <c r="AE484" s="26"/>
      <c r="AF484" s="856" t="e">
        <f>IF(ISERROR(VLOOKUP(AG$2,X485:X$1003,1,FALSE)),IF(X484=AG$2,SUMIF(X$4:X484,AG$2,Z$4:Z484)+VLOOKUP(AF$2,$B$1057:$F$1068,5,FALSE)+SUM(AR$4:AR$1003)+SUMIF(COSTI!$X$1379:$X$1430,AG$2,COSTI!$Z$1379:$Z$1430),0),0)</f>
        <v>#N/A</v>
      </c>
      <c r="AG484" s="859"/>
      <c r="AH484" s="27" t="str">
        <f t="shared" si="95"/>
        <v/>
      </c>
      <c r="AI484" s="152">
        <f ca="1">IF(W485&gt;0,0,IF(AH484=0,(Z484*-1)+BC484+SUM(BB$4:BB483),BC484+SUM(BB$4:BB483)))</f>
        <v>-2.1316282072803006E-13</v>
      </c>
      <c r="AJ484" s="931">
        <f>IF(AND(AL484&gt;=$U$1,AL484&lt;=$U$2),IF(AM484='ESTRATTO CONTO'!$E$2,1+COUNTIF(AJ$4:AJ483,"&gt;0")+U$1015,0),0)</f>
        <v>0</v>
      </c>
      <c r="AK484" s="203">
        <f>IF(AND(OR((AK483+1)&lt;AL$1015,(AK483+1)=AL$1015),MAX(AK$4:AK483)&lt;AL$1015),AK483+1,0)</f>
        <v>0</v>
      </c>
      <c r="AL484" s="309">
        <f>VLOOKUP($AK484,ENTI!$AF$4:AG$1003,2,FALSE)</f>
        <v>0</v>
      </c>
      <c r="AM484" s="224">
        <f>VLOOKUP($AK484,ENTI!$AF$4:AH$1003,3,FALSE)</f>
        <v>0</v>
      </c>
      <c r="AN484" s="224">
        <f>VLOOKUP($AK484,ENTI!$AF$4:AI$1003,4,FALSE)</f>
        <v>0</v>
      </c>
      <c r="AO484" s="781">
        <f>VLOOKUP($AK484,ENTI!$AF$4:AJ$1003,5,FALSE)</f>
        <v>0</v>
      </c>
      <c r="AP484" s="315">
        <f>VLOOKUP($AK484,ENTI!$AF$4:AK$1003,6,FALSE)</f>
        <v>0</v>
      </c>
      <c r="AQ484" s="208">
        <f t="shared" si="102"/>
        <v>0</v>
      </c>
      <c r="AR484" s="152" t="e">
        <f t="shared" si="103"/>
        <v>#N/A</v>
      </c>
      <c r="AS484" s="1"/>
      <c r="AT484" s="88" t="str">
        <f t="shared" si="96"/>
        <v/>
      </c>
      <c r="AU484" s="1"/>
      <c r="AV484" s="175">
        <f>IF(AW484&gt;0,COUNTIF(AV$4:AV483,"&gt;0")+1,0)</f>
        <v>0</v>
      </c>
      <c r="AW484" s="164">
        <f t="shared" si="97"/>
        <v>0</v>
      </c>
      <c r="AX484" s="310">
        <f>IF($AW484=0,0,VLOOKUP(VLOOKUP($X484,$B$34:$T$38,19,FALSE),ENTI!$A$9:$B$13,2,FALSE))</f>
        <v>0</v>
      </c>
      <c r="AY484" s="310">
        <f t="shared" si="99"/>
        <v>0</v>
      </c>
      <c r="AZ484" s="316">
        <f t="shared" si="100"/>
        <v>0</v>
      </c>
      <c r="BA484" s="1"/>
      <c r="BB484" s="152">
        <f t="shared" si="101"/>
        <v>0</v>
      </c>
      <c r="BC484" s="152">
        <f ca="1">SUM(Z$4:Z484)+SUM(BB$4:BB484)+COSTI!S$6-COSTI!L$1076</f>
        <v>-31.760000000000218</v>
      </c>
      <c r="BD484" s="1"/>
    </row>
    <row r="485" spans="1:56" ht="16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435">
        <f>IF(AND(W485&gt;=$U$1,W485&lt;=$U$2),IF(X485='ESTRATTO CONTO'!$E$2,1+COUNTIF(U$4:U484,"&gt;0"),0),0)</f>
        <v>0</v>
      </c>
      <c r="V485" s="417">
        <f t="shared" si="98"/>
        <v>482</v>
      </c>
      <c r="W485" s="509"/>
      <c r="X485" s="321"/>
      <c r="Y485" s="321"/>
      <c r="Z485" s="508"/>
      <c r="AA485" s="356"/>
      <c r="AB485" s="306" t="str">
        <f t="shared" si="94"/>
        <v/>
      </c>
      <c r="AC485" s="637">
        <f t="shared" ca="1" si="93"/>
        <v>-2.1316282072803006E-13</v>
      </c>
      <c r="AD485" s="935">
        <f>IF(ISERROR(VLOOKUP(AD$2,X486:X$1003,1,FALSE)),IF(X485=AD$2,SUMIF(X$4:X485,AD$2,Z$4:Z485)+$E$9+SUM(AQ$4:AQ$1003)+SUMIF(COSTI!$X$1379:$X$1430,AD$2,COSTI!$Z$1379:$Z$1430),0),0)</f>
        <v>0</v>
      </c>
      <c r="AE485" s="26"/>
      <c r="AF485" s="856" t="e">
        <f>IF(ISERROR(VLOOKUP(AG$2,X486:X$1003,1,FALSE)),IF(X485=AG$2,SUMIF(X$4:X485,AG$2,Z$4:Z485)+VLOOKUP(AF$2,$B$1057:$F$1068,5,FALSE)+SUM(AR$4:AR$1003)+SUMIF(COSTI!$X$1379:$X$1430,AG$2,COSTI!$Z$1379:$Z$1430),0),0)</f>
        <v>#N/A</v>
      </c>
      <c r="AG485" s="859"/>
      <c r="AH485" s="27" t="str">
        <f t="shared" si="95"/>
        <v/>
      </c>
      <c r="AI485" s="152">
        <f ca="1">IF(W486&gt;0,0,IF(AH485=0,(Z485*-1)+BC485+SUM(BB$4:BB484),BC485+SUM(BB$4:BB484)))</f>
        <v>-2.1316282072803006E-13</v>
      </c>
      <c r="AJ485" s="931">
        <f>IF(AND(AL485&gt;=$U$1,AL485&lt;=$U$2),IF(AM485='ESTRATTO CONTO'!$E$2,1+COUNTIF(AJ$4:AJ484,"&gt;0")+U$1015,0),0)</f>
        <v>0</v>
      </c>
      <c r="AK485" s="203">
        <f>IF(AND(OR((AK484+1)&lt;AL$1015,(AK484+1)=AL$1015),MAX(AK$4:AK484)&lt;AL$1015),AK484+1,0)</f>
        <v>0</v>
      </c>
      <c r="AL485" s="309">
        <f>VLOOKUP($AK485,ENTI!$AF$4:AG$1003,2,FALSE)</f>
        <v>0</v>
      </c>
      <c r="AM485" s="224">
        <f>VLOOKUP($AK485,ENTI!$AF$4:AH$1003,3,FALSE)</f>
        <v>0</v>
      </c>
      <c r="AN485" s="224">
        <f>VLOOKUP($AK485,ENTI!$AF$4:AI$1003,4,FALSE)</f>
        <v>0</v>
      </c>
      <c r="AO485" s="781">
        <f>VLOOKUP($AK485,ENTI!$AF$4:AJ$1003,5,FALSE)</f>
        <v>0</v>
      </c>
      <c r="AP485" s="315">
        <f>VLOOKUP($AK485,ENTI!$AF$4:AK$1003,6,FALSE)</f>
        <v>0</v>
      </c>
      <c r="AQ485" s="208">
        <f t="shared" si="102"/>
        <v>0</v>
      </c>
      <c r="AR485" s="152" t="e">
        <f t="shared" si="103"/>
        <v>#N/A</v>
      </c>
      <c r="AS485" s="1"/>
      <c r="AT485" s="88" t="str">
        <f t="shared" si="96"/>
        <v/>
      </c>
      <c r="AU485" s="1"/>
      <c r="AV485" s="175">
        <f>IF(AW485&gt;0,COUNTIF(AV$4:AV484,"&gt;0")+1,0)</f>
        <v>0</v>
      </c>
      <c r="AW485" s="164">
        <f t="shared" si="97"/>
        <v>0</v>
      </c>
      <c r="AX485" s="310">
        <f>IF($AW485=0,0,VLOOKUP(VLOOKUP($X485,$B$34:$T$38,19,FALSE),ENTI!$A$9:$B$13,2,FALSE))</f>
        <v>0</v>
      </c>
      <c r="AY485" s="310">
        <f t="shared" si="99"/>
        <v>0</v>
      </c>
      <c r="AZ485" s="316">
        <f t="shared" si="100"/>
        <v>0</v>
      </c>
      <c r="BA485" s="1"/>
      <c r="BB485" s="152">
        <f t="shared" si="101"/>
        <v>0</v>
      </c>
      <c r="BC485" s="152">
        <f ca="1">SUM(Z$4:Z485)+SUM(BB$4:BB485)+COSTI!S$6-COSTI!L$1076</f>
        <v>-31.760000000000218</v>
      </c>
      <c r="BD485" s="1"/>
    </row>
    <row r="486" spans="1:56" ht="16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435">
        <f>IF(AND(W486&gt;=$U$1,W486&lt;=$U$2),IF(X486='ESTRATTO CONTO'!$E$2,1+COUNTIF(U$4:U485,"&gt;0"),0),0)</f>
        <v>0</v>
      </c>
      <c r="V486" s="417">
        <f t="shared" si="98"/>
        <v>483</v>
      </c>
      <c r="W486" s="509"/>
      <c r="X486" s="321"/>
      <c r="Y486" s="321"/>
      <c r="Z486" s="508"/>
      <c r="AA486" s="356"/>
      <c r="AB486" s="306" t="str">
        <f t="shared" si="94"/>
        <v/>
      </c>
      <c r="AC486" s="637">
        <f t="shared" ca="1" si="93"/>
        <v>-2.1316282072803006E-13</v>
      </c>
      <c r="AD486" s="935">
        <f>IF(ISERROR(VLOOKUP(AD$2,X487:X$1003,1,FALSE)),IF(X486=AD$2,SUMIF(X$4:X486,AD$2,Z$4:Z486)+$E$9+SUM(AQ$4:AQ$1003)+SUMIF(COSTI!$X$1379:$X$1430,AD$2,COSTI!$Z$1379:$Z$1430),0),0)</f>
        <v>0</v>
      </c>
      <c r="AE486" s="26"/>
      <c r="AF486" s="856" t="e">
        <f>IF(ISERROR(VLOOKUP(AG$2,X487:X$1003,1,FALSE)),IF(X486=AG$2,SUMIF(X$4:X486,AG$2,Z$4:Z486)+VLOOKUP(AF$2,$B$1057:$F$1068,5,FALSE)+SUM(AR$4:AR$1003)+SUMIF(COSTI!$X$1379:$X$1430,AG$2,COSTI!$Z$1379:$Z$1430),0),0)</f>
        <v>#N/A</v>
      </c>
      <c r="AG486" s="859"/>
      <c r="AH486" s="27" t="str">
        <f t="shared" si="95"/>
        <v/>
      </c>
      <c r="AI486" s="152">
        <f ca="1">IF(W487&gt;0,0,IF(AH486=0,(Z486*-1)+BC486+SUM(BB$4:BB485),BC486+SUM(BB$4:BB485)))</f>
        <v>-2.1316282072803006E-13</v>
      </c>
      <c r="AJ486" s="931">
        <f>IF(AND(AL486&gt;=$U$1,AL486&lt;=$U$2),IF(AM486='ESTRATTO CONTO'!$E$2,1+COUNTIF(AJ$4:AJ485,"&gt;0")+U$1015,0),0)</f>
        <v>0</v>
      </c>
      <c r="AK486" s="203">
        <f>IF(AND(OR((AK485+1)&lt;AL$1015,(AK485+1)=AL$1015),MAX(AK$4:AK485)&lt;AL$1015),AK485+1,0)</f>
        <v>0</v>
      </c>
      <c r="AL486" s="309">
        <f>VLOOKUP($AK486,ENTI!$AF$4:AG$1003,2,FALSE)</f>
        <v>0</v>
      </c>
      <c r="AM486" s="224">
        <f>VLOOKUP($AK486,ENTI!$AF$4:AH$1003,3,FALSE)</f>
        <v>0</v>
      </c>
      <c r="AN486" s="224">
        <f>VLOOKUP($AK486,ENTI!$AF$4:AI$1003,4,FALSE)</f>
        <v>0</v>
      </c>
      <c r="AO486" s="781">
        <f>VLOOKUP($AK486,ENTI!$AF$4:AJ$1003,5,FALSE)</f>
        <v>0</v>
      </c>
      <c r="AP486" s="315">
        <f>VLOOKUP($AK486,ENTI!$AF$4:AK$1003,6,FALSE)</f>
        <v>0</v>
      </c>
      <c r="AQ486" s="208">
        <f t="shared" si="102"/>
        <v>0</v>
      </c>
      <c r="AR486" s="152" t="e">
        <f t="shared" si="103"/>
        <v>#N/A</v>
      </c>
      <c r="AS486" s="1"/>
      <c r="AT486" s="88" t="str">
        <f t="shared" si="96"/>
        <v/>
      </c>
      <c r="AU486" s="1"/>
      <c r="AV486" s="175">
        <f>IF(AW486&gt;0,COUNTIF(AV$4:AV485,"&gt;0")+1,0)</f>
        <v>0</v>
      </c>
      <c r="AW486" s="164">
        <f t="shared" si="97"/>
        <v>0</v>
      </c>
      <c r="AX486" s="310">
        <f>IF($AW486=0,0,VLOOKUP(VLOOKUP($X486,$B$34:$T$38,19,FALSE),ENTI!$A$9:$B$13,2,FALSE))</f>
        <v>0</v>
      </c>
      <c r="AY486" s="310">
        <f t="shared" si="99"/>
        <v>0</v>
      </c>
      <c r="AZ486" s="316">
        <f t="shared" si="100"/>
        <v>0</v>
      </c>
      <c r="BA486" s="1"/>
      <c r="BB486" s="152">
        <f t="shared" si="101"/>
        <v>0</v>
      </c>
      <c r="BC486" s="152">
        <f ca="1">SUM(Z$4:Z486)+SUM(BB$4:BB486)+COSTI!S$6-COSTI!L$1076</f>
        <v>-31.760000000000218</v>
      </c>
      <c r="BD486" s="1"/>
    </row>
    <row r="487" spans="1:56" ht="16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435">
        <f>IF(AND(W487&gt;=$U$1,W487&lt;=$U$2),IF(X487='ESTRATTO CONTO'!$E$2,1+COUNTIF(U$4:U486,"&gt;0"),0),0)</f>
        <v>0</v>
      </c>
      <c r="V487" s="417">
        <f t="shared" si="98"/>
        <v>484</v>
      </c>
      <c r="W487" s="509"/>
      <c r="X487" s="321"/>
      <c r="Y487" s="321"/>
      <c r="Z487" s="508"/>
      <c r="AA487" s="356"/>
      <c r="AB487" s="306" t="str">
        <f t="shared" si="94"/>
        <v/>
      </c>
      <c r="AC487" s="637">
        <f t="shared" ca="1" si="93"/>
        <v>-2.1316282072803006E-13</v>
      </c>
      <c r="AD487" s="935">
        <f>IF(ISERROR(VLOOKUP(AD$2,X488:X$1003,1,FALSE)),IF(X487=AD$2,SUMIF(X$4:X487,AD$2,Z$4:Z487)+$E$9+SUM(AQ$4:AQ$1003)+SUMIF(COSTI!$X$1379:$X$1430,AD$2,COSTI!$Z$1379:$Z$1430),0),0)</f>
        <v>0</v>
      </c>
      <c r="AE487" s="26"/>
      <c r="AF487" s="856" t="e">
        <f>IF(ISERROR(VLOOKUP(AG$2,X488:X$1003,1,FALSE)),IF(X487=AG$2,SUMIF(X$4:X487,AG$2,Z$4:Z487)+VLOOKUP(AF$2,$B$1057:$F$1068,5,FALSE)+SUM(AR$4:AR$1003)+SUMIF(COSTI!$X$1379:$X$1430,AG$2,COSTI!$Z$1379:$Z$1430),0),0)</f>
        <v>#N/A</v>
      </c>
      <c r="AG487" s="859"/>
      <c r="AH487" s="27" t="str">
        <f t="shared" si="95"/>
        <v/>
      </c>
      <c r="AI487" s="152">
        <f ca="1">IF(W488&gt;0,0,IF(AH487=0,(Z487*-1)+BC487+SUM(BB$4:BB486),BC487+SUM(BB$4:BB486)))</f>
        <v>-2.1316282072803006E-13</v>
      </c>
      <c r="AJ487" s="931">
        <f>IF(AND(AL487&gt;=$U$1,AL487&lt;=$U$2),IF(AM487='ESTRATTO CONTO'!$E$2,1+COUNTIF(AJ$4:AJ486,"&gt;0")+U$1015,0),0)</f>
        <v>0</v>
      </c>
      <c r="AK487" s="203">
        <f>IF(AND(OR((AK486+1)&lt;AL$1015,(AK486+1)=AL$1015),MAX(AK$4:AK486)&lt;AL$1015),AK486+1,0)</f>
        <v>0</v>
      </c>
      <c r="AL487" s="309">
        <f>VLOOKUP($AK487,ENTI!$AF$4:AG$1003,2,FALSE)</f>
        <v>0</v>
      </c>
      <c r="AM487" s="224">
        <f>VLOOKUP($AK487,ENTI!$AF$4:AH$1003,3,FALSE)</f>
        <v>0</v>
      </c>
      <c r="AN487" s="224">
        <f>VLOOKUP($AK487,ENTI!$AF$4:AI$1003,4,FALSE)</f>
        <v>0</v>
      </c>
      <c r="AO487" s="781">
        <f>VLOOKUP($AK487,ENTI!$AF$4:AJ$1003,5,FALSE)</f>
        <v>0</v>
      </c>
      <c r="AP487" s="315">
        <f>VLOOKUP($AK487,ENTI!$AF$4:AK$1003,6,FALSE)</f>
        <v>0</v>
      </c>
      <c r="AQ487" s="208">
        <f t="shared" si="102"/>
        <v>0</v>
      </c>
      <c r="AR487" s="152" t="e">
        <f t="shared" si="103"/>
        <v>#N/A</v>
      </c>
      <c r="AS487" s="1"/>
      <c r="AT487" s="88" t="str">
        <f t="shared" si="96"/>
        <v/>
      </c>
      <c r="AU487" s="1"/>
      <c r="AV487" s="175">
        <f>IF(AW487&gt;0,COUNTIF(AV$4:AV486,"&gt;0")+1,0)</f>
        <v>0</v>
      </c>
      <c r="AW487" s="164">
        <f t="shared" si="97"/>
        <v>0</v>
      </c>
      <c r="AX487" s="310">
        <f>IF($AW487=0,0,VLOOKUP(VLOOKUP($X487,$B$34:$T$38,19,FALSE),ENTI!$A$9:$B$13,2,FALSE))</f>
        <v>0</v>
      </c>
      <c r="AY487" s="310">
        <f t="shared" si="99"/>
        <v>0</v>
      </c>
      <c r="AZ487" s="316">
        <f t="shared" si="100"/>
        <v>0</v>
      </c>
      <c r="BA487" s="1"/>
      <c r="BB487" s="152">
        <f t="shared" si="101"/>
        <v>0</v>
      </c>
      <c r="BC487" s="152">
        <f ca="1">SUM(Z$4:Z487)+SUM(BB$4:BB487)+COSTI!S$6-COSTI!L$1076</f>
        <v>-31.760000000000218</v>
      </c>
      <c r="BD487" s="1"/>
    </row>
    <row r="488" spans="1:56" ht="16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435">
        <f>IF(AND(W488&gt;=$U$1,W488&lt;=$U$2),IF(X488='ESTRATTO CONTO'!$E$2,1+COUNTIF(U$4:U487,"&gt;0"),0),0)</f>
        <v>0</v>
      </c>
      <c r="V488" s="417">
        <f t="shared" si="98"/>
        <v>485</v>
      </c>
      <c r="W488" s="509"/>
      <c r="X488" s="321"/>
      <c r="Y488" s="321"/>
      <c r="Z488" s="508"/>
      <c r="AA488" s="356"/>
      <c r="AB488" s="306" t="str">
        <f t="shared" si="94"/>
        <v/>
      </c>
      <c r="AC488" s="637">
        <f t="shared" ca="1" si="93"/>
        <v>-2.1316282072803006E-13</v>
      </c>
      <c r="AD488" s="935">
        <f>IF(ISERROR(VLOOKUP(AD$2,X489:X$1003,1,FALSE)),IF(X488=AD$2,SUMIF(X$4:X488,AD$2,Z$4:Z488)+$E$9+SUM(AQ$4:AQ$1003)+SUMIF(COSTI!$X$1379:$X$1430,AD$2,COSTI!$Z$1379:$Z$1430),0),0)</f>
        <v>0</v>
      </c>
      <c r="AE488" s="26"/>
      <c r="AF488" s="856" t="e">
        <f>IF(ISERROR(VLOOKUP(AG$2,X489:X$1003,1,FALSE)),IF(X488=AG$2,SUMIF(X$4:X488,AG$2,Z$4:Z488)+VLOOKUP(AF$2,$B$1057:$F$1068,5,FALSE)+SUM(AR$4:AR$1003)+SUMIF(COSTI!$X$1379:$X$1430,AG$2,COSTI!$Z$1379:$Z$1430),0),0)</f>
        <v>#N/A</v>
      </c>
      <c r="AG488" s="859"/>
      <c r="AH488" s="27" t="str">
        <f t="shared" si="95"/>
        <v/>
      </c>
      <c r="AI488" s="152">
        <f ca="1">IF(W489&gt;0,0,IF(AH488=0,(Z488*-1)+BC488+SUM(BB$4:BB487),BC488+SUM(BB$4:BB487)))</f>
        <v>-2.1316282072803006E-13</v>
      </c>
      <c r="AJ488" s="931">
        <f>IF(AND(AL488&gt;=$U$1,AL488&lt;=$U$2),IF(AM488='ESTRATTO CONTO'!$E$2,1+COUNTIF(AJ$4:AJ487,"&gt;0")+U$1015,0),0)</f>
        <v>0</v>
      </c>
      <c r="AK488" s="203">
        <f>IF(AND(OR((AK487+1)&lt;AL$1015,(AK487+1)=AL$1015),MAX(AK$4:AK487)&lt;AL$1015),AK487+1,0)</f>
        <v>0</v>
      </c>
      <c r="AL488" s="309">
        <f>VLOOKUP($AK488,ENTI!$AF$4:AG$1003,2,FALSE)</f>
        <v>0</v>
      </c>
      <c r="AM488" s="224">
        <f>VLOOKUP($AK488,ENTI!$AF$4:AH$1003,3,FALSE)</f>
        <v>0</v>
      </c>
      <c r="AN488" s="224">
        <f>VLOOKUP($AK488,ENTI!$AF$4:AI$1003,4,FALSE)</f>
        <v>0</v>
      </c>
      <c r="AO488" s="781">
        <f>VLOOKUP($AK488,ENTI!$AF$4:AJ$1003,5,FALSE)</f>
        <v>0</v>
      </c>
      <c r="AP488" s="315">
        <f>VLOOKUP($AK488,ENTI!$AF$4:AK$1003,6,FALSE)</f>
        <v>0</v>
      </c>
      <c r="AQ488" s="208">
        <f t="shared" si="102"/>
        <v>0</v>
      </c>
      <c r="AR488" s="152" t="e">
        <f t="shared" si="103"/>
        <v>#N/A</v>
      </c>
      <c r="AS488" s="1"/>
      <c r="AT488" s="88" t="str">
        <f t="shared" si="96"/>
        <v/>
      </c>
      <c r="AU488" s="1"/>
      <c r="AV488" s="175">
        <f>IF(AW488&gt;0,COUNTIF(AV$4:AV487,"&gt;0")+1,0)</f>
        <v>0</v>
      </c>
      <c r="AW488" s="164">
        <f t="shared" si="97"/>
        <v>0</v>
      </c>
      <c r="AX488" s="310">
        <f>IF($AW488=0,0,VLOOKUP(VLOOKUP($X488,$B$34:$T$38,19,FALSE),ENTI!$A$9:$B$13,2,FALSE))</f>
        <v>0</v>
      </c>
      <c r="AY488" s="310">
        <f t="shared" si="99"/>
        <v>0</v>
      </c>
      <c r="AZ488" s="316">
        <f t="shared" si="100"/>
        <v>0</v>
      </c>
      <c r="BA488" s="1"/>
      <c r="BB488" s="152">
        <f t="shared" si="101"/>
        <v>0</v>
      </c>
      <c r="BC488" s="152">
        <f ca="1">SUM(Z$4:Z488)+SUM(BB$4:BB488)+COSTI!S$6-COSTI!L$1076</f>
        <v>-31.760000000000218</v>
      </c>
      <c r="BD488" s="1"/>
    </row>
    <row r="489" spans="1:56" ht="16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435">
        <f>IF(AND(W489&gt;=$U$1,W489&lt;=$U$2),IF(X489='ESTRATTO CONTO'!$E$2,1+COUNTIF(U$4:U488,"&gt;0"),0),0)</f>
        <v>0</v>
      </c>
      <c r="V489" s="417">
        <f t="shared" si="98"/>
        <v>486</v>
      </c>
      <c r="W489" s="509"/>
      <c r="X489" s="321"/>
      <c r="Y489" s="321"/>
      <c r="Z489" s="508"/>
      <c r="AA489" s="356"/>
      <c r="AB489" s="306" t="str">
        <f t="shared" si="94"/>
        <v/>
      </c>
      <c r="AC489" s="637">
        <f t="shared" ca="1" si="93"/>
        <v>-2.1316282072803006E-13</v>
      </c>
      <c r="AD489" s="935">
        <f>IF(ISERROR(VLOOKUP(AD$2,X490:X$1003,1,FALSE)),IF(X489=AD$2,SUMIF(X$4:X489,AD$2,Z$4:Z489)+$E$9+SUM(AQ$4:AQ$1003)+SUMIF(COSTI!$X$1379:$X$1430,AD$2,COSTI!$Z$1379:$Z$1430),0),0)</f>
        <v>0</v>
      </c>
      <c r="AE489" s="26"/>
      <c r="AF489" s="856" t="e">
        <f>IF(ISERROR(VLOOKUP(AG$2,X490:X$1003,1,FALSE)),IF(X489=AG$2,SUMIF(X$4:X489,AG$2,Z$4:Z489)+VLOOKUP(AF$2,$B$1057:$F$1068,5,FALSE)+SUM(AR$4:AR$1003)+SUMIF(COSTI!$X$1379:$X$1430,AG$2,COSTI!$Z$1379:$Z$1430),0),0)</f>
        <v>#N/A</v>
      </c>
      <c r="AG489" s="859"/>
      <c r="AH489" s="27" t="str">
        <f t="shared" si="95"/>
        <v/>
      </c>
      <c r="AI489" s="152">
        <f ca="1">IF(W490&gt;0,0,IF(AH489=0,(Z489*-1)+BC489+SUM(BB$4:BB488),BC489+SUM(BB$4:BB488)))</f>
        <v>-2.1316282072803006E-13</v>
      </c>
      <c r="AJ489" s="931">
        <f>IF(AND(AL489&gt;=$U$1,AL489&lt;=$U$2),IF(AM489='ESTRATTO CONTO'!$E$2,1+COUNTIF(AJ$4:AJ488,"&gt;0")+U$1015,0),0)</f>
        <v>0</v>
      </c>
      <c r="AK489" s="203">
        <f>IF(AND(OR((AK488+1)&lt;AL$1015,(AK488+1)=AL$1015),MAX(AK$4:AK488)&lt;AL$1015),AK488+1,0)</f>
        <v>0</v>
      </c>
      <c r="AL489" s="309">
        <f>VLOOKUP($AK489,ENTI!$AF$4:AG$1003,2,FALSE)</f>
        <v>0</v>
      </c>
      <c r="AM489" s="224">
        <f>VLOOKUP($AK489,ENTI!$AF$4:AH$1003,3,FALSE)</f>
        <v>0</v>
      </c>
      <c r="AN489" s="224">
        <f>VLOOKUP($AK489,ENTI!$AF$4:AI$1003,4,FALSE)</f>
        <v>0</v>
      </c>
      <c r="AO489" s="781">
        <f>VLOOKUP($AK489,ENTI!$AF$4:AJ$1003,5,FALSE)</f>
        <v>0</v>
      </c>
      <c r="AP489" s="315">
        <f>VLOOKUP($AK489,ENTI!$AF$4:AK$1003,6,FALSE)</f>
        <v>0</v>
      </c>
      <c r="AQ489" s="208">
        <f t="shared" si="102"/>
        <v>0</v>
      </c>
      <c r="AR489" s="152" t="e">
        <f t="shared" si="103"/>
        <v>#N/A</v>
      </c>
      <c r="AS489" s="1"/>
      <c r="AT489" s="88" t="str">
        <f t="shared" si="96"/>
        <v/>
      </c>
      <c r="AU489" s="1"/>
      <c r="AV489" s="175">
        <f>IF(AW489&gt;0,COUNTIF(AV$4:AV488,"&gt;0")+1,0)</f>
        <v>0</v>
      </c>
      <c r="AW489" s="164">
        <f t="shared" si="97"/>
        <v>0</v>
      </c>
      <c r="AX489" s="310">
        <f>IF($AW489=0,0,VLOOKUP(VLOOKUP($X489,$B$34:$T$38,19,FALSE),ENTI!$A$9:$B$13,2,FALSE))</f>
        <v>0</v>
      </c>
      <c r="AY489" s="310">
        <f t="shared" si="99"/>
        <v>0</v>
      </c>
      <c r="AZ489" s="316">
        <f t="shared" si="100"/>
        <v>0</v>
      </c>
      <c r="BA489" s="1"/>
      <c r="BB489" s="152">
        <f t="shared" si="101"/>
        <v>0</v>
      </c>
      <c r="BC489" s="152">
        <f ca="1">SUM(Z$4:Z489)+SUM(BB$4:BB489)+COSTI!S$6-COSTI!L$1076</f>
        <v>-31.760000000000218</v>
      </c>
      <c r="BD489" s="1"/>
    </row>
    <row r="490" spans="1:56" ht="16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435">
        <f>IF(AND(W490&gt;=$U$1,W490&lt;=$U$2),IF(X490='ESTRATTO CONTO'!$E$2,1+COUNTIF(U$4:U489,"&gt;0"),0),0)</f>
        <v>0</v>
      </c>
      <c r="V490" s="417">
        <f t="shared" si="98"/>
        <v>487</v>
      </c>
      <c r="W490" s="509"/>
      <c r="X490" s="321"/>
      <c r="Y490" s="321"/>
      <c r="Z490" s="508"/>
      <c r="AA490" s="356"/>
      <c r="AB490" s="306" t="str">
        <f t="shared" si="94"/>
        <v/>
      </c>
      <c r="AC490" s="637">
        <f t="shared" ca="1" si="93"/>
        <v>-2.1316282072803006E-13</v>
      </c>
      <c r="AD490" s="935">
        <f>IF(ISERROR(VLOOKUP(AD$2,X491:X$1003,1,FALSE)),IF(X490=AD$2,SUMIF(X$4:X490,AD$2,Z$4:Z490)+$E$9+SUM(AQ$4:AQ$1003)+SUMIF(COSTI!$X$1379:$X$1430,AD$2,COSTI!$Z$1379:$Z$1430),0),0)</f>
        <v>0</v>
      </c>
      <c r="AE490" s="26"/>
      <c r="AF490" s="856" t="e">
        <f>IF(ISERROR(VLOOKUP(AG$2,X491:X$1003,1,FALSE)),IF(X490=AG$2,SUMIF(X$4:X490,AG$2,Z$4:Z490)+VLOOKUP(AF$2,$B$1057:$F$1068,5,FALSE)+SUM(AR$4:AR$1003)+SUMIF(COSTI!$X$1379:$X$1430,AG$2,COSTI!$Z$1379:$Z$1430),0),0)</f>
        <v>#N/A</v>
      </c>
      <c r="AG490" s="859"/>
      <c r="AH490" s="27" t="str">
        <f t="shared" si="95"/>
        <v/>
      </c>
      <c r="AI490" s="152">
        <f ca="1">IF(W491&gt;0,0,IF(AH490=0,(Z490*-1)+BC490+SUM(BB$4:BB489),BC490+SUM(BB$4:BB489)))</f>
        <v>-2.1316282072803006E-13</v>
      </c>
      <c r="AJ490" s="931">
        <f>IF(AND(AL490&gt;=$U$1,AL490&lt;=$U$2),IF(AM490='ESTRATTO CONTO'!$E$2,1+COUNTIF(AJ$4:AJ489,"&gt;0")+U$1015,0),0)</f>
        <v>0</v>
      </c>
      <c r="AK490" s="203">
        <f>IF(AND(OR((AK489+1)&lt;AL$1015,(AK489+1)=AL$1015),MAX(AK$4:AK489)&lt;AL$1015),AK489+1,0)</f>
        <v>0</v>
      </c>
      <c r="AL490" s="309">
        <f>VLOOKUP($AK490,ENTI!$AF$4:AG$1003,2,FALSE)</f>
        <v>0</v>
      </c>
      <c r="AM490" s="224">
        <f>VLOOKUP($AK490,ENTI!$AF$4:AH$1003,3,FALSE)</f>
        <v>0</v>
      </c>
      <c r="AN490" s="224">
        <f>VLOOKUP($AK490,ENTI!$AF$4:AI$1003,4,FALSE)</f>
        <v>0</v>
      </c>
      <c r="AO490" s="781">
        <f>VLOOKUP($AK490,ENTI!$AF$4:AJ$1003,5,FALSE)</f>
        <v>0</v>
      </c>
      <c r="AP490" s="315">
        <f>VLOOKUP($AK490,ENTI!$AF$4:AK$1003,6,FALSE)</f>
        <v>0</v>
      </c>
      <c r="AQ490" s="208">
        <f t="shared" si="102"/>
        <v>0</v>
      </c>
      <c r="AR490" s="152" t="e">
        <f t="shared" si="103"/>
        <v>#N/A</v>
      </c>
      <c r="AS490" s="1"/>
      <c r="AT490" s="88" t="str">
        <f t="shared" si="96"/>
        <v/>
      </c>
      <c r="AU490" s="1"/>
      <c r="AV490" s="175">
        <f>IF(AW490&gt;0,COUNTIF(AV$4:AV489,"&gt;0")+1,0)</f>
        <v>0</v>
      </c>
      <c r="AW490" s="164">
        <f t="shared" si="97"/>
        <v>0</v>
      </c>
      <c r="AX490" s="310">
        <f>IF($AW490=0,0,VLOOKUP(VLOOKUP($X490,$B$34:$T$38,19,FALSE),ENTI!$A$9:$B$13,2,FALSE))</f>
        <v>0</v>
      </c>
      <c r="AY490" s="310">
        <f t="shared" si="99"/>
        <v>0</v>
      </c>
      <c r="AZ490" s="316">
        <f t="shared" si="100"/>
        <v>0</v>
      </c>
      <c r="BA490" s="1"/>
      <c r="BB490" s="152">
        <f t="shared" si="101"/>
        <v>0</v>
      </c>
      <c r="BC490" s="152">
        <f ca="1">SUM(Z$4:Z490)+SUM(BB$4:BB490)+COSTI!S$6-COSTI!L$1076</f>
        <v>-31.760000000000218</v>
      </c>
      <c r="BD490" s="1"/>
    </row>
    <row r="491" spans="1:56" ht="16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435">
        <f>IF(AND(W491&gt;=$U$1,W491&lt;=$U$2),IF(X491='ESTRATTO CONTO'!$E$2,1+COUNTIF(U$4:U490,"&gt;0"),0),0)</f>
        <v>0</v>
      </c>
      <c r="V491" s="417">
        <f t="shared" si="98"/>
        <v>488</v>
      </c>
      <c r="W491" s="509"/>
      <c r="X491" s="321"/>
      <c r="Y491" s="321"/>
      <c r="Z491" s="508"/>
      <c r="AA491" s="356"/>
      <c r="AB491" s="306" t="str">
        <f t="shared" si="94"/>
        <v/>
      </c>
      <c r="AC491" s="637">
        <f t="shared" ca="1" si="93"/>
        <v>-2.1316282072803006E-13</v>
      </c>
      <c r="AD491" s="935">
        <f>IF(ISERROR(VLOOKUP(AD$2,X492:X$1003,1,FALSE)),IF(X491=AD$2,SUMIF(X$4:X491,AD$2,Z$4:Z491)+$E$9+SUM(AQ$4:AQ$1003)+SUMIF(COSTI!$X$1379:$X$1430,AD$2,COSTI!$Z$1379:$Z$1430),0),0)</f>
        <v>0</v>
      </c>
      <c r="AE491" s="26"/>
      <c r="AF491" s="856" t="e">
        <f>IF(ISERROR(VLOOKUP(AG$2,X492:X$1003,1,FALSE)),IF(X491=AG$2,SUMIF(X$4:X491,AG$2,Z$4:Z491)+VLOOKUP(AF$2,$B$1057:$F$1068,5,FALSE)+SUM(AR$4:AR$1003)+SUMIF(COSTI!$X$1379:$X$1430,AG$2,COSTI!$Z$1379:$Z$1430),0),0)</f>
        <v>#N/A</v>
      </c>
      <c r="AG491" s="859"/>
      <c r="AH491" s="27" t="str">
        <f t="shared" si="95"/>
        <v/>
      </c>
      <c r="AI491" s="152">
        <f ca="1">IF(W492&gt;0,0,IF(AH491=0,(Z491*-1)+BC491+SUM(BB$4:BB490),BC491+SUM(BB$4:BB490)))</f>
        <v>-2.1316282072803006E-13</v>
      </c>
      <c r="AJ491" s="931">
        <f>IF(AND(AL491&gt;=$U$1,AL491&lt;=$U$2),IF(AM491='ESTRATTO CONTO'!$E$2,1+COUNTIF(AJ$4:AJ490,"&gt;0")+U$1015,0),0)</f>
        <v>0</v>
      </c>
      <c r="AK491" s="203">
        <f>IF(AND(OR((AK490+1)&lt;AL$1015,(AK490+1)=AL$1015),MAX(AK$4:AK490)&lt;AL$1015),AK490+1,0)</f>
        <v>0</v>
      </c>
      <c r="AL491" s="309">
        <f>VLOOKUP($AK491,ENTI!$AF$4:AG$1003,2,FALSE)</f>
        <v>0</v>
      </c>
      <c r="AM491" s="224">
        <f>VLOOKUP($AK491,ENTI!$AF$4:AH$1003,3,FALSE)</f>
        <v>0</v>
      </c>
      <c r="AN491" s="224">
        <f>VLOOKUP($AK491,ENTI!$AF$4:AI$1003,4,FALSE)</f>
        <v>0</v>
      </c>
      <c r="AO491" s="781">
        <f>VLOOKUP($AK491,ENTI!$AF$4:AJ$1003,5,FALSE)</f>
        <v>0</v>
      </c>
      <c r="AP491" s="315">
        <f>VLOOKUP($AK491,ENTI!$AF$4:AK$1003,6,FALSE)</f>
        <v>0</v>
      </c>
      <c r="AQ491" s="208">
        <f t="shared" si="102"/>
        <v>0</v>
      </c>
      <c r="AR491" s="152" t="e">
        <f t="shared" si="103"/>
        <v>#N/A</v>
      </c>
      <c r="AS491" s="1"/>
      <c r="AT491" s="88" t="str">
        <f t="shared" si="96"/>
        <v/>
      </c>
      <c r="AU491" s="1"/>
      <c r="AV491" s="175">
        <f>IF(AW491&gt;0,COUNTIF(AV$4:AV490,"&gt;0")+1,0)</f>
        <v>0</v>
      </c>
      <c r="AW491" s="164">
        <f t="shared" si="97"/>
        <v>0</v>
      </c>
      <c r="AX491" s="310">
        <f>IF($AW491=0,0,VLOOKUP(VLOOKUP($X491,$B$34:$T$38,19,FALSE),ENTI!$A$9:$B$13,2,FALSE))</f>
        <v>0</v>
      </c>
      <c r="AY491" s="310">
        <f t="shared" si="99"/>
        <v>0</v>
      </c>
      <c r="AZ491" s="316">
        <f t="shared" si="100"/>
        <v>0</v>
      </c>
      <c r="BA491" s="1"/>
      <c r="BB491" s="152">
        <f t="shared" si="101"/>
        <v>0</v>
      </c>
      <c r="BC491" s="152">
        <f ca="1">SUM(Z$4:Z491)+SUM(BB$4:BB491)+COSTI!S$6-COSTI!L$1076</f>
        <v>-31.760000000000218</v>
      </c>
      <c r="BD491" s="1"/>
    </row>
    <row r="492" spans="1:56" ht="16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435">
        <f>IF(AND(W492&gt;=$U$1,W492&lt;=$U$2),IF(X492='ESTRATTO CONTO'!$E$2,1+COUNTIF(U$4:U491,"&gt;0"),0),0)</f>
        <v>0</v>
      </c>
      <c r="V492" s="417">
        <f t="shared" si="98"/>
        <v>489</v>
      </c>
      <c r="W492" s="509"/>
      <c r="X492" s="321"/>
      <c r="Y492" s="321"/>
      <c r="Z492" s="508"/>
      <c r="AA492" s="356"/>
      <c r="AB492" s="306" t="str">
        <f t="shared" si="94"/>
        <v/>
      </c>
      <c r="AC492" s="637">
        <f t="shared" ca="1" si="93"/>
        <v>-2.1316282072803006E-13</v>
      </c>
      <c r="AD492" s="935">
        <f>IF(ISERROR(VLOOKUP(AD$2,X493:X$1003,1,FALSE)),IF(X492=AD$2,SUMIF(X$4:X492,AD$2,Z$4:Z492)+$E$9+SUM(AQ$4:AQ$1003)+SUMIF(COSTI!$X$1379:$X$1430,AD$2,COSTI!$Z$1379:$Z$1430),0),0)</f>
        <v>0</v>
      </c>
      <c r="AE492" s="26"/>
      <c r="AF492" s="856" t="e">
        <f>IF(ISERROR(VLOOKUP(AG$2,X493:X$1003,1,FALSE)),IF(X492=AG$2,SUMIF(X$4:X492,AG$2,Z$4:Z492)+VLOOKUP(AF$2,$B$1057:$F$1068,5,FALSE)+SUM(AR$4:AR$1003)+SUMIF(COSTI!$X$1379:$X$1430,AG$2,COSTI!$Z$1379:$Z$1430),0),0)</f>
        <v>#N/A</v>
      </c>
      <c r="AG492" s="859"/>
      <c r="AH492" s="27" t="str">
        <f t="shared" si="95"/>
        <v/>
      </c>
      <c r="AI492" s="152">
        <f ca="1">IF(W493&gt;0,0,IF(AH492=0,(Z492*-1)+BC492+SUM(BB$4:BB491),BC492+SUM(BB$4:BB491)))</f>
        <v>-2.1316282072803006E-13</v>
      </c>
      <c r="AJ492" s="931">
        <f>IF(AND(AL492&gt;=$U$1,AL492&lt;=$U$2),IF(AM492='ESTRATTO CONTO'!$E$2,1+COUNTIF(AJ$4:AJ491,"&gt;0")+U$1015,0),0)</f>
        <v>0</v>
      </c>
      <c r="AK492" s="203">
        <f>IF(AND(OR((AK491+1)&lt;AL$1015,(AK491+1)=AL$1015),MAX(AK$4:AK491)&lt;AL$1015),AK491+1,0)</f>
        <v>0</v>
      </c>
      <c r="AL492" s="309">
        <f>VLOOKUP($AK492,ENTI!$AF$4:AG$1003,2,FALSE)</f>
        <v>0</v>
      </c>
      <c r="AM492" s="224">
        <f>VLOOKUP($AK492,ENTI!$AF$4:AH$1003,3,FALSE)</f>
        <v>0</v>
      </c>
      <c r="AN492" s="224">
        <f>VLOOKUP($AK492,ENTI!$AF$4:AI$1003,4,FALSE)</f>
        <v>0</v>
      </c>
      <c r="AO492" s="781">
        <f>VLOOKUP($AK492,ENTI!$AF$4:AJ$1003,5,FALSE)</f>
        <v>0</v>
      </c>
      <c r="AP492" s="315">
        <f>VLOOKUP($AK492,ENTI!$AF$4:AK$1003,6,FALSE)</f>
        <v>0</v>
      </c>
      <c r="AQ492" s="208">
        <f t="shared" si="102"/>
        <v>0</v>
      </c>
      <c r="AR492" s="152" t="e">
        <f t="shared" si="103"/>
        <v>#N/A</v>
      </c>
      <c r="AS492" s="1"/>
      <c r="AT492" s="88" t="str">
        <f t="shared" si="96"/>
        <v/>
      </c>
      <c r="AU492" s="1"/>
      <c r="AV492" s="175">
        <f>IF(AW492&gt;0,COUNTIF(AV$4:AV491,"&gt;0")+1,0)</f>
        <v>0</v>
      </c>
      <c r="AW492" s="164">
        <f t="shared" si="97"/>
        <v>0</v>
      </c>
      <c r="AX492" s="310">
        <f>IF($AW492=0,0,VLOOKUP(VLOOKUP($X492,$B$34:$T$38,19,FALSE),ENTI!$A$9:$B$13,2,FALSE))</f>
        <v>0</v>
      </c>
      <c r="AY492" s="310">
        <f t="shared" si="99"/>
        <v>0</v>
      </c>
      <c r="AZ492" s="316">
        <f t="shared" si="100"/>
        <v>0</v>
      </c>
      <c r="BA492" s="1"/>
      <c r="BB492" s="152">
        <f t="shared" si="101"/>
        <v>0</v>
      </c>
      <c r="BC492" s="152">
        <f ca="1">SUM(Z$4:Z492)+SUM(BB$4:BB492)+COSTI!S$6-COSTI!L$1076</f>
        <v>-31.760000000000218</v>
      </c>
      <c r="BD492" s="1"/>
    </row>
    <row r="493" spans="1:56" ht="16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435">
        <f>IF(AND(W493&gt;=$U$1,W493&lt;=$U$2),IF(X493='ESTRATTO CONTO'!$E$2,1+COUNTIF(U$4:U492,"&gt;0"),0),0)</f>
        <v>0</v>
      </c>
      <c r="V493" s="417">
        <f t="shared" si="98"/>
        <v>490</v>
      </c>
      <c r="W493" s="509"/>
      <c r="X493" s="321"/>
      <c r="Y493" s="321"/>
      <c r="Z493" s="508"/>
      <c r="AA493" s="356"/>
      <c r="AB493" s="306" t="str">
        <f t="shared" si="94"/>
        <v/>
      </c>
      <c r="AC493" s="637">
        <f t="shared" ca="1" si="93"/>
        <v>-2.1316282072803006E-13</v>
      </c>
      <c r="AD493" s="935">
        <f>IF(ISERROR(VLOOKUP(AD$2,X494:X$1003,1,FALSE)),IF(X493=AD$2,SUMIF(X$4:X493,AD$2,Z$4:Z493)+$E$9+SUM(AQ$4:AQ$1003)+SUMIF(COSTI!$X$1379:$X$1430,AD$2,COSTI!$Z$1379:$Z$1430),0),0)</f>
        <v>0</v>
      </c>
      <c r="AE493" s="26"/>
      <c r="AF493" s="856" t="e">
        <f>IF(ISERROR(VLOOKUP(AG$2,X494:X$1003,1,FALSE)),IF(X493=AG$2,SUMIF(X$4:X493,AG$2,Z$4:Z493)+VLOOKUP(AF$2,$B$1057:$F$1068,5,FALSE)+SUM(AR$4:AR$1003)+SUMIF(COSTI!$X$1379:$X$1430,AG$2,COSTI!$Z$1379:$Z$1430),0),0)</f>
        <v>#N/A</v>
      </c>
      <c r="AG493" s="859"/>
      <c r="AH493" s="27" t="str">
        <f t="shared" si="95"/>
        <v/>
      </c>
      <c r="AI493" s="152">
        <f ca="1">IF(W494&gt;0,0,IF(AH493=0,(Z493*-1)+BC493+SUM(BB$4:BB492),BC493+SUM(BB$4:BB492)))</f>
        <v>-2.1316282072803006E-13</v>
      </c>
      <c r="AJ493" s="931">
        <f>IF(AND(AL493&gt;=$U$1,AL493&lt;=$U$2),IF(AM493='ESTRATTO CONTO'!$E$2,1+COUNTIF(AJ$4:AJ492,"&gt;0")+U$1015,0),0)</f>
        <v>0</v>
      </c>
      <c r="AK493" s="203">
        <f>IF(AND(OR((AK492+1)&lt;AL$1015,(AK492+1)=AL$1015),MAX(AK$4:AK492)&lt;AL$1015),AK492+1,0)</f>
        <v>0</v>
      </c>
      <c r="AL493" s="309">
        <f>VLOOKUP($AK493,ENTI!$AF$4:AG$1003,2,FALSE)</f>
        <v>0</v>
      </c>
      <c r="AM493" s="224">
        <f>VLOOKUP($AK493,ENTI!$AF$4:AH$1003,3,FALSE)</f>
        <v>0</v>
      </c>
      <c r="AN493" s="224">
        <f>VLOOKUP($AK493,ENTI!$AF$4:AI$1003,4,FALSE)</f>
        <v>0</v>
      </c>
      <c r="AO493" s="781">
        <f>VLOOKUP($AK493,ENTI!$AF$4:AJ$1003,5,FALSE)</f>
        <v>0</v>
      </c>
      <c r="AP493" s="315">
        <f>VLOOKUP($AK493,ENTI!$AF$4:AK$1003,6,FALSE)</f>
        <v>0</v>
      </c>
      <c r="AQ493" s="208">
        <f t="shared" si="102"/>
        <v>0</v>
      </c>
      <c r="AR493" s="152" t="e">
        <f t="shared" si="103"/>
        <v>#N/A</v>
      </c>
      <c r="AS493" s="1"/>
      <c r="AT493" s="88" t="str">
        <f t="shared" si="96"/>
        <v/>
      </c>
      <c r="AU493" s="1"/>
      <c r="AV493" s="175">
        <f>IF(AW493&gt;0,COUNTIF(AV$4:AV492,"&gt;0")+1,0)</f>
        <v>0</v>
      </c>
      <c r="AW493" s="164">
        <f t="shared" si="97"/>
        <v>0</v>
      </c>
      <c r="AX493" s="310">
        <f>IF($AW493=0,0,VLOOKUP(VLOOKUP($X493,$B$34:$T$38,19,FALSE),ENTI!$A$9:$B$13,2,FALSE))</f>
        <v>0</v>
      </c>
      <c r="AY493" s="310">
        <f t="shared" si="99"/>
        <v>0</v>
      </c>
      <c r="AZ493" s="316">
        <f t="shared" si="100"/>
        <v>0</v>
      </c>
      <c r="BA493" s="1"/>
      <c r="BB493" s="152">
        <f t="shared" si="101"/>
        <v>0</v>
      </c>
      <c r="BC493" s="152">
        <f ca="1">SUM(Z$4:Z493)+SUM(BB$4:BB493)+COSTI!S$6-COSTI!L$1076</f>
        <v>-31.760000000000218</v>
      </c>
      <c r="BD493" s="1"/>
    </row>
    <row r="494" spans="1:56" ht="16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435">
        <f>IF(AND(W494&gt;=$U$1,W494&lt;=$U$2),IF(X494='ESTRATTO CONTO'!$E$2,1+COUNTIF(U$4:U493,"&gt;0"),0),0)</f>
        <v>0</v>
      </c>
      <c r="V494" s="417">
        <f t="shared" si="98"/>
        <v>491</v>
      </c>
      <c r="W494" s="509"/>
      <c r="X494" s="321"/>
      <c r="Y494" s="321"/>
      <c r="Z494" s="508"/>
      <c r="AA494" s="356"/>
      <c r="AB494" s="306" t="str">
        <f t="shared" si="94"/>
        <v/>
      </c>
      <c r="AC494" s="637">
        <f t="shared" ca="1" si="93"/>
        <v>-2.1316282072803006E-13</v>
      </c>
      <c r="AD494" s="935">
        <f>IF(ISERROR(VLOOKUP(AD$2,X495:X$1003,1,FALSE)),IF(X494=AD$2,SUMIF(X$4:X494,AD$2,Z$4:Z494)+$E$9+SUM(AQ$4:AQ$1003)+SUMIF(COSTI!$X$1379:$X$1430,AD$2,COSTI!$Z$1379:$Z$1430),0),0)</f>
        <v>0</v>
      </c>
      <c r="AE494" s="26"/>
      <c r="AF494" s="856" t="e">
        <f>IF(ISERROR(VLOOKUP(AG$2,X495:X$1003,1,FALSE)),IF(X494=AG$2,SUMIF(X$4:X494,AG$2,Z$4:Z494)+VLOOKUP(AF$2,$B$1057:$F$1068,5,FALSE)+SUM(AR$4:AR$1003)+SUMIF(COSTI!$X$1379:$X$1430,AG$2,COSTI!$Z$1379:$Z$1430),0),0)</f>
        <v>#N/A</v>
      </c>
      <c r="AG494" s="859"/>
      <c r="AH494" s="27" t="str">
        <f t="shared" si="95"/>
        <v/>
      </c>
      <c r="AI494" s="152">
        <f ca="1">IF(W495&gt;0,0,IF(AH494=0,(Z494*-1)+BC494+SUM(BB$4:BB493),BC494+SUM(BB$4:BB493)))</f>
        <v>-2.1316282072803006E-13</v>
      </c>
      <c r="AJ494" s="931">
        <f>IF(AND(AL494&gt;=$U$1,AL494&lt;=$U$2),IF(AM494='ESTRATTO CONTO'!$E$2,1+COUNTIF(AJ$4:AJ493,"&gt;0")+U$1015,0),0)</f>
        <v>0</v>
      </c>
      <c r="AK494" s="203">
        <f>IF(AND(OR((AK493+1)&lt;AL$1015,(AK493+1)=AL$1015),MAX(AK$4:AK493)&lt;AL$1015),AK493+1,0)</f>
        <v>0</v>
      </c>
      <c r="AL494" s="309">
        <f>VLOOKUP($AK494,ENTI!$AF$4:AG$1003,2,FALSE)</f>
        <v>0</v>
      </c>
      <c r="AM494" s="224">
        <f>VLOOKUP($AK494,ENTI!$AF$4:AH$1003,3,FALSE)</f>
        <v>0</v>
      </c>
      <c r="AN494" s="224">
        <f>VLOOKUP($AK494,ENTI!$AF$4:AI$1003,4,FALSE)</f>
        <v>0</v>
      </c>
      <c r="AO494" s="781">
        <f>VLOOKUP($AK494,ENTI!$AF$4:AJ$1003,5,FALSE)</f>
        <v>0</v>
      </c>
      <c r="AP494" s="315">
        <f>VLOOKUP($AK494,ENTI!$AF$4:AK$1003,6,FALSE)</f>
        <v>0</v>
      </c>
      <c r="AQ494" s="208">
        <f t="shared" si="102"/>
        <v>0</v>
      </c>
      <c r="AR494" s="152" t="e">
        <f t="shared" si="103"/>
        <v>#N/A</v>
      </c>
      <c r="AS494" s="1"/>
      <c r="AT494" s="88" t="str">
        <f t="shared" si="96"/>
        <v/>
      </c>
      <c r="AU494" s="1"/>
      <c r="AV494" s="175">
        <f>IF(AW494&gt;0,COUNTIF(AV$4:AV493,"&gt;0")+1,0)</f>
        <v>0</v>
      </c>
      <c r="AW494" s="164">
        <f t="shared" si="97"/>
        <v>0</v>
      </c>
      <c r="AX494" s="310">
        <f>IF($AW494=0,0,VLOOKUP(VLOOKUP($X494,$B$34:$T$38,19,FALSE),ENTI!$A$9:$B$13,2,FALSE))</f>
        <v>0</v>
      </c>
      <c r="AY494" s="310">
        <f t="shared" si="99"/>
        <v>0</v>
      </c>
      <c r="AZ494" s="316">
        <f t="shared" si="100"/>
        <v>0</v>
      </c>
      <c r="BA494" s="1"/>
      <c r="BB494" s="152">
        <f t="shared" si="101"/>
        <v>0</v>
      </c>
      <c r="BC494" s="152">
        <f ca="1">SUM(Z$4:Z494)+SUM(BB$4:BB494)+COSTI!S$6-COSTI!L$1076</f>
        <v>-31.760000000000218</v>
      </c>
      <c r="BD494" s="1"/>
    </row>
    <row r="495" spans="1:56" ht="16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435">
        <f>IF(AND(W495&gt;=$U$1,W495&lt;=$U$2),IF(X495='ESTRATTO CONTO'!$E$2,1+COUNTIF(U$4:U494,"&gt;0"),0),0)</f>
        <v>0</v>
      </c>
      <c r="V495" s="417">
        <f t="shared" si="98"/>
        <v>492</v>
      </c>
      <c r="W495" s="509"/>
      <c r="X495" s="321"/>
      <c r="Y495" s="321"/>
      <c r="Z495" s="508"/>
      <c r="AA495" s="356"/>
      <c r="AB495" s="306" t="str">
        <f t="shared" si="94"/>
        <v/>
      </c>
      <c r="AC495" s="637">
        <f t="shared" ca="1" si="93"/>
        <v>-2.1316282072803006E-13</v>
      </c>
      <c r="AD495" s="935">
        <f>IF(ISERROR(VLOOKUP(AD$2,X496:X$1003,1,FALSE)),IF(X495=AD$2,SUMIF(X$4:X495,AD$2,Z$4:Z495)+$E$9+SUM(AQ$4:AQ$1003)+SUMIF(COSTI!$X$1379:$X$1430,AD$2,COSTI!$Z$1379:$Z$1430),0),0)</f>
        <v>0</v>
      </c>
      <c r="AE495" s="26"/>
      <c r="AF495" s="856" t="e">
        <f>IF(ISERROR(VLOOKUP(AG$2,X496:X$1003,1,FALSE)),IF(X495=AG$2,SUMIF(X$4:X495,AG$2,Z$4:Z495)+VLOOKUP(AF$2,$B$1057:$F$1068,5,FALSE)+SUM(AR$4:AR$1003)+SUMIF(COSTI!$X$1379:$X$1430,AG$2,COSTI!$Z$1379:$Z$1430),0),0)</f>
        <v>#N/A</v>
      </c>
      <c r="AG495" s="859"/>
      <c r="AH495" s="27" t="str">
        <f t="shared" si="95"/>
        <v/>
      </c>
      <c r="AI495" s="152">
        <f ca="1">IF(W496&gt;0,0,IF(AH495=0,(Z495*-1)+BC495+SUM(BB$4:BB494),BC495+SUM(BB$4:BB494)))</f>
        <v>-2.1316282072803006E-13</v>
      </c>
      <c r="AJ495" s="931">
        <f>IF(AND(AL495&gt;=$U$1,AL495&lt;=$U$2),IF(AM495='ESTRATTO CONTO'!$E$2,1+COUNTIF(AJ$4:AJ494,"&gt;0")+U$1015,0),0)</f>
        <v>0</v>
      </c>
      <c r="AK495" s="203">
        <f>IF(AND(OR((AK494+1)&lt;AL$1015,(AK494+1)=AL$1015),MAX(AK$4:AK494)&lt;AL$1015),AK494+1,0)</f>
        <v>0</v>
      </c>
      <c r="AL495" s="309">
        <f>VLOOKUP($AK495,ENTI!$AF$4:AG$1003,2,FALSE)</f>
        <v>0</v>
      </c>
      <c r="AM495" s="224">
        <f>VLOOKUP($AK495,ENTI!$AF$4:AH$1003,3,FALSE)</f>
        <v>0</v>
      </c>
      <c r="AN495" s="224">
        <f>VLOOKUP($AK495,ENTI!$AF$4:AI$1003,4,FALSE)</f>
        <v>0</v>
      </c>
      <c r="AO495" s="781">
        <f>VLOOKUP($AK495,ENTI!$AF$4:AJ$1003,5,FALSE)</f>
        <v>0</v>
      </c>
      <c r="AP495" s="315">
        <f>VLOOKUP($AK495,ENTI!$AF$4:AK$1003,6,FALSE)</f>
        <v>0</v>
      </c>
      <c r="AQ495" s="208">
        <f t="shared" si="102"/>
        <v>0</v>
      </c>
      <c r="AR495" s="152" t="e">
        <f t="shared" si="103"/>
        <v>#N/A</v>
      </c>
      <c r="AS495" s="1"/>
      <c r="AT495" s="88" t="str">
        <f t="shared" si="96"/>
        <v/>
      </c>
      <c r="AU495" s="1"/>
      <c r="AV495" s="175">
        <f>IF(AW495&gt;0,COUNTIF(AV$4:AV494,"&gt;0")+1,0)</f>
        <v>0</v>
      </c>
      <c r="AW495" s="164">
        <f t="shared" si="97"/>
        <v>0</v>
      </c>
      <c r="AX495" s="310">
        <f>IF($AW495=0,0,VLOOKUP(VLOOKUP($X495,$B$34:$T$38,19,FALSE),ENTI!$A$9:$B$13,2,FALSE))</f>
        <v>0</v>
      </c>
      <c r="AY495" s="310">
        <f t="shared" si="99"/>
        <v>0</v>
      </c>
      <c r="AZ495" s="316">
        <f t="shared" si="100"/>
        <v>0</v>
      </c>
      <c r="BA495" s="1"/>
      <c r="BB495" s="152">
        <f t="shared" si="101"/>
        <v>0</v>
      </c>
      <c r="BC495" s="152">
        <f ca="1">SUM(Z$4:Z495)+SUM(BB$4:BB495)+COSTI!S$6-COSTI!L$1076</f>
        <v>-31.760000000000218</v>
      </c>
      <c r="BD495" s="1"/>
    </row>
    <row r="496" spans="1:56" ht="16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435">
        <f>IF(AND(W496&gt;=$U$1,W496&lt;=$U$2),IF(X496='ESTRATTO CONTO'!$E$2,1+COUNTIF(U$4:U495,"&gt;0"),0),0)</f>
        <v>0</v>
      </c>
      <c r="V496" s="417">
        <f t="shared" si="98"/>
        <v>493</v>
      </c>
      <c r="W496" s="509"/>
      <c r="X496" s="321"/>
      <c r="Y496" s="321"/>
      <c r="Z496" s="508"/>
      <c r="AA496" s="356"/>
      <c r="AB496" s="306" t="str">
        <f t="shared" si="94"/>
        <v/>
      </c>
      <c r="AC496" s="637">
        <f t="shared" ca="1" si="93"/>
        <v>-2.1316282072803006E-13</v>
      </c>
      <c r="AD496" s="935">
        <f>IF(ISERROR(VLOOKUP(AD$2,X497:X$1003,1,FALSE)),IF(X496=AD$2,SUMIF(X$4:X496,AD$2,Z$4:Z496)+$E$9+SUM(AQ$4:AQ$1003)+SUMIF(COSTI!$X$1379:$X$1430,AD$2,COSTI!$Z$1379:$Z$1430),0),0)</f>
        <v>0</v>
      </c>
      <c r="AE496" s="26"/>
      <c r="AF496" s="856" t="e">
        <f>IF(ISERROR(VLOOKUP(AG$2,X497:X$1003,1,FALSE)),IF(X496=AG$2,SUMIF(X$4:X496,AG$2,Z$4:Z496)+VLOOKUP(AF$2,$B$1057:$F$1068,5,FALSE)+SUM(AR$4:AR$1003)+SUMIF(COSTI!$X$1379:$X$1430,AG$2,COSTI!$Z$1379:$Z$1430),0),0)</f>
        <v>#N/A</v>
      </c>
      <c r="AG496" s="859"/>
      <c r="AH496" s="27" t="str">
        <f t="shared" si="95"/>
        <v/>
      </c>
      <c r="AI496" s="152">
        <f ca="1">IF(W497&gt;0,0,IF(AH496=0,(Z496*-1)+BC496+SUM(BB$4:BB495),BC496+SUM(BB$4:BB495)))</f>
        <v>-2.1316282072803006E-13</v>
      </c>
      <c r="AJ496" s="931">
        <f>IF(AND(AL496&gt;=$U$1,AL496&lt;=$U$2),IF(AM496='ESTRATTO CONTO'!$E$2,1+COUNTIF(AJ$4:AJ495,"&gt;0")+U$1015,0),0)</f>
        <v>0</v>
      </c>
      <c r="AK496" s="203">
        <f>IF(AND(OR((AK495+1)&lt;AL$1015,(AK495+1)=AL$1015),MAX(AK$4:AK495)&lt;AL$1015),AK495+1,0)</f>
        <v>0</v>
      </c>
      <c r="AL496" s="309">
        <f>VLOOKUP($AK496,ENTI!$AF$4:AG$1003,2,FALSE)</f>
        <v>0</v>
      </c>
      <c r="AM496" s="224">
        <f>VLOOKUP($AK496,ENTI!$AF$4:AH$1003,3,FALSE)</f>
        <v>0</v>
      </c>
      <c r="AN496" s="224">
        <f>VLOOKUP($AK496,ENTI!$AF$4:AI$1003,4,FALSE)</f>
        <v>0</v>
      </c>
      <c r="AO496" s="781">
        <f>VLOOKUP($AK496,ENTI!$AF$4:AJ$1003,5,FALSE)</f>
        <v>0</v>
      </c>
      <c r="AP496" s="315">
        <f>VLOOKUP($AK496,ENTI!$AF$4:AK$1003,6,FALSE)</f>
        <v>0</v>
      </c>
      <c r="AQ496" s="208">
        <f t="shared" si="102"/>
        <v>0</v>
      </c>
      <c r="AR496" s="152" t="e">
        <f t="shared" si="103"/>
        <v>#N/A</v>
      </c>
      <c r="AS496" s="1"/>
      <c r="AT496" s="88" t="str">
        <f t="shared" si="96"/>
        <v/>
      </c>
      <c r="AU496" s="1"/>
      <c r="AV496" s="175">
        <f>IF(AW496&gt;0,COUNTIF(AV$4:AV495,"&gt;0")+1,0)</f>
        <v>0</v>
      </c>
      <c r="AW496" s="164">
        <f t="shared" si="97"/>
        <v>0</v>
      </c>
      <c r="AX496" s="310">
        <f>IF($AW496=0,0,VLOOKUP(VLOOKUP($X496,$B$34:$T$38,19,FALSE),ENTI!$A$9:$B$13,2,FALSE))</f>
        <v>0</v>
      </c>
      <c r="AY496" s="310">
        <f t="shared" si="99"/>
        <v>0</v>
      </c>
      <c r="AZ496" s="316">
        <f t="shared" si="100"/>
        <v>0</v>
      </c>
      <c r="BA496" s="1"/>
      <c r="BB496" s="152">
        <f t="shared" si="101"/>
        <v>0</v>
      </c>
      <c r="BC496" s="152">
        <f ca="1">SUM(Z$4:Z496)+SUM(BB$4:BB496)+COSTI!S$6-COSTI!L$1076</f>
        <v>-31.760000000000218</v>
      </c>
      <c r="BD496" s="1"/>
    </row>
    <row r="497" spans="1:56" ht="16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435">
        <f>IF(AND(W497&gt;=$U$1,W497&lt;=$U$2),IF(X497='ESTRATTO CONTO'!$E$2,1+COUNTIF(U$4:U496,"&gt;0"),0),0)</f>
        <v>0</v>
      </c>
      <c r="V497" s="417">
        <f t="shared" si="98"/>
        <v>494</v>
      </c>
      <c r="W497" s="509"/>
      <c r="X497" s="321"/>
      <c r="Y497" s="321"/>
      <c r="Z497" s="508"/>
      <c r="AA497" s="356"/>
      <c r="AB497" s="306" t="str">
        <f t="shared" si="94"/>
        <v/>
      </c>
      <c r="AC497" s="637">
        <f t="shared" ca="1" si="93"/>
        <v>-2.1316282072803006E-13</v>
      </c>
      <c r="AD497" s="935">
        <f>IF(ISERROR(VLOOKUP(AD$2,X498:X$1003,1,FALSE)),IF(X497=AD$2,SUMIF(X$4:X497,AD$2,Z$4:Z497)+$E$9+SUM(AQ$4:AQ$1003)+SUMIF(COSTI!$X$1379:$X$1430,AD$2,COSTI!$Z$1379:$Z$1430),0),0)</f>
        <v>0</v>
      </c>
      <c r="AE497" s="26"/>
      <c r="AF497" s="856" t="e">
        <f>IF(ISERROR(VLOOKUP(AG$2,X498:X$1003,1,FALSE)),IF(X497=AG$2,SUMIF(X$4:X497,AG$2,Z$4:Z497)+VLOOKUP(AF$2,$B$1057:$F$1068,5,FALSE)+SUM(AR$4:AR$1003)+SUMIF(COSTI!$X$1379:$X$1430,AG$2,COSTI!$Z$1379:$Z$1430),0),0)</f>
        <v>#N/A</v>
      </c>
      <c r="AG497" s="859"/>
      <c r="AH497" s="27" t="str">
        <f t="shared" si="95"/>
        <v/>
      </c>
      <c r="AI497" s="152">
        <f ca="1">IF(W498&gt;0,0,IF(AH497=0,(Z497*-1)+BC497+SUM(BB$4:BB496),BC497+SUM(BB$4:BB496)))</f>
        <v>-2.1316282072803006E-13</v>
      </c>
      <c r="AJ497" s="931">
        <f>IF(AND(AL497&gt;=$U$1,AL497&lt;=$U$2),IF(AM497='ESTRATTO CONTO'!$E$2,1+COUNTIF(AJ$4:AJ496,"&gt;0")+U$1015,0),0)</f>
        <v>0</v>
      </c>
      <c r="AK497" s="203">
        <f>IF(AND(OR((AK496+1)&lt;AL$1015,(AK496+1)=AL$1015),MAX(AK$4:AK496)&lt;AL$1015),AK496+1,0)</f>
        <v>0</v>
      </c>
      <c r="AL497" s="309">
        <f>VLOOKUP($AK497,ENTI!$AF$4:AG$1003,2,FALSE)</f>
        <v>0</v>
      </c>
      <c r="AM497" s="224">
        <f>VLOOKUP($AK497,ENTI!$AF$4:AH$1003,3,FALSE)</f>
        <v>0</v>
      </c>
      <c r="AN497" s="224">
        <f>VLOOKUP($AK497,ENTI!$AF$4:AI$1003,4,FALSE)</f>
        <v>0</v>
      </c>
      <c r="AO497" s="781">
        <f>VLOOKUP($AK497,ENTI!$AF$4:AJ$1003,5,FALSE)</f>
        <v>0</v>
      </c>
      <c r="AP497" s="315">
        <f>VLOOKUP($AK497,ENTI!$AF$4:AK$1003,6,FALSE)</f>
        <v>0</v>
      </c>
      <c r="AQ497" s="208">
        <f t="shared" si="102"/>
        <v>0</v>
      </c>
      <c r="AR497" s="152" t="e">
        <f t="shared" si="103"/>
        <v>#N/A</v>
      </c>
      <c r="AS497" s="1"/>
      <c r="AT497" s="88" t="str">
        <f t="shared" si="96"/>
        <v/>
      </c>
      <c r="AU497" s="1"/>
      <c r="AV497" s="175">
        <f>IF(AW497&gt;0,COUNTIF(AV$4:AV496,"&gt;0")+1,0)</f>
        <v>0</v>
      </c>
      <c r="AW497" s="164">
        <f t="shared" si="97"/>
        <v>0</v>
      </c>
      <c r="AX497" s="310">
        <f>IF($AW497=0,0,VLOOKUP(VLOOKUP($X497,$B$34:$T$38,19,FALSE),ENTI!$A$9:$B$13,2,FALSE))</f>
        <v>0</v>
      </c>
      <c r="AY497" s="310">
        <f t="shared" si="99"/>
        <v>0</v>
      </c>
      <c r="AZ497" s="316">
        <f t="shared" si="100"/>
        <v>0</v>
      </c>
      <c r="BA497" s="1"/>
      <c r="BB497" s="152">
        <f t="shared" si="101"/>
        <v>0</v>
      </c>
      <c r="BC497" s="152">
        <f ca="1">SUM(Z$4:Z497)+SUM(BB$4:BB497)+COSTI!S$6-COSTI!L$1076</f>
        <v>-31.760000000000218</v>
      </c>
      <c r="BD497" s="1"/>
    </row>
    <row r="498" spans="1:56" ht="16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435">
        <f>IF(AND(W498&gt;=$U$1,W498&lt;=$U$2),IF(X498='ESTRATTO CONTO'!$E$2,1+COUNTIF(U$4:U497,"&gt;0"),0),0)</f>
        <v>0</v>
      </c>
      <c r="V498" s="417">
        <f t="shared" si="98"/>
        <v>495</v>
      </c>
      <c r="W498" s="509"/>
      <c r="X498" s="321"/>
      <c r="Y498" s="321"/>
      <c r="Z498" s="508"/>
      <c r="AA498" s="356"/>
      <c r="AB498" s="306" t="str">
        <f t="shared" si="94"/>
        <v/>
      </c>
      <c r="AC498" s="637">
        <f t="shared" ca="1" si="93"/>
        <v>-2.1316282072803006E-13</v>
      </c>
      <c r="AD498" s="935">
        <f>IF(ISERROR(VLOOKUP(AD$2,X499:X$1003,1,FALSE)),IF(X498=AD$2,SUMIF(X$4:X498,AD$2,Z$4:Z498)+$E$9+SUM(AQ$4:AQ$1003)+SUMIF(COSTI!$X$1379:$X$1430,AD$2,COSTI!$Z$1379:$Z$1430),0),0)</f>
        <v>0</v>
      </c>
      <c r="AE498" s="26"/>
      <c r="AF498" s="856" t="e">
        <f>IF(ISERROR(VLOOKUP(AG$2,X499:X$1003,1,FALSE)),IF(X498=AG$2,SUMIF(X$4:X498,AG$2,Z$4:Z498)+VLOOKUP(AF$2,$B$1057:$F$1068,5,FALSE)+SUM(AR$4:AR$1003)+SUMIF(COSTI!$X$1379:$X$1430,AG$2,COSTI!$Z$1379:$Z$1430),0),0)</f>
        <v>#N/A</v>
      </c>
      <c r="AG498" s="859"/>
      <c r="AH498" s="27" t="str">
        <f t="shared" si="95"/>
        <v/>
      </c>
      <c r="AI498" s="152">
        <f ca="1">IF(W499&gt;0,0,IF(AH498=0,(Z498*-1)+BC498+SUM(BB$4:BB497),BC498+SUM(BB$4:BB497)))</f>
        <v>-2.1316282072803006E-13</v>
      </c>
      <c r="AJ498" s="931">
        <f>IF(AND(AL498&gt;=$U$1,AL498&lt;=$U$2),IF(AM498='ESTRATTO CONTO'!$E$2,1+COUNTIF(AJ$4:AJ497,"&gt;0")+U$1015,0),0)</f>
        <v>0</v>
      </c>
      <c r="AK498" s="203">
        <f>IF(AND(OR((AK497+1)&lt;AL$1015,(AK497+1)=AL$1015),MAX(AK$4:AK497)&lt;AL$1015),AK497+1,0)</f>
        <v>0</v>
      </c>
      <c r="AL498" s="309">
        <f>VLOOKUP($AK498,ENTI!$AF$4:AG$1003,2,FALSE)</f>
        <v>0</v>
      </c>
      <c r="AM498" s="224">
        <f>VLOOKUP($AK498,ENTI!$AF$4:AH$1003,3,FALSE)</f>
        <v>0</v>
      </c>
      <c r="AN498" s="224">
        <f>VLOOKUP($AK498,ENTI!$AF$4:AI$1003,4,FALSE)</f>
        <v>0</v>
      </c>
      <c r="AO498" s="781">
        <f>VLOOKUP($AK498,ENTI!$AF$4:AJ$1003,5,FALSE)</f>
        <v>0</v>
      </c>
      <c r="AP498" s="315">
        <f>VLOOKUP($AK498,ENTI!$AF$4:AK$1003,6,FALSE)</f>
        <v>0</v>
      </c>
      <c r="AQ498" s="208">
        <f t="shared" si="102"/>
        <v>0</v>
      </c>
      <c r="AR498" s="152" t="e">
        <f t="shared" si="103"/>
        <v>#N/A</v>
      </c>
      <c r="AS498" s="1"/>
      <c r="AT498" s="88" t="str">
        <f t="shared" si="96"/>
        <v/>
      </c>
      <c r="AU498" s="1"/>
      <c r="AV498" s="175">
        <f>IF(AW498&gt;0,COUNTIF(AV$4:AV497,"&gt;0")+1,0)</f>
        <v>0</v>
      </c>
      <c r="AW498" s="164">
        <f t="shared" si="97"/>
        <v>0</v>
      </c>
      <c r="AX498" s="310">
        <f>IF($AW498=0,0,VLOOKUP(VLOOKUP($X498,$B$34:$T$38,19,FALSE),ENTI!$A$9:$B$13,2,FALSE))</f>
        <v>0</v>
      </c>
      <c r="AY498" s="310">
        <f t="shared" si="99"/>
        <v>0</v>
      </c>
      <c r="AZ498" s="316">
        <f t="shared" si="100"/>
        <v>0</v>
      </c>
      <c r="BA498" s="1"/>
      <c r="BB498" s="152">
        <f t="shared" si="101"/>
        <v>0</v>
      </c>
      <c r="BC498" s="152">
        <f ca="1">SUM(Z$4:Z498)+SUM(BB$4:BB498)+COSTI!S$6-COSTI!L$1076</f>
        <v>-31.760000000000218</v>
      </c>
      <c r="BD498" s="1"/>
    </row>
    <row r="499" spans="1:56" ht="16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435">
        <f>IF(AND(W499&gt;=$U$1,W499&lt;=$U$2),IF(X499='ESTRATTO CONTO'!$E$2,1+COUNTIF(U$4:U498,"&gt;0"),0),0)</f>
        <v>0</v>
      </c>
      <c r="V499" s="417">
        <f t="shared" si="98"/>
        <v>496</v>
      </c>
      <c r="W499" s="509"/>
      <c r="X499" s="321"/>
      <c r="Y499" s="321"/>
      <c r="Z499" s="508"/>
      <c r="AA499" s="356"/>
      <c r="AB499" s="306" t="str">
        <f t="shared" si="94"/>
        <v/>
      </c>
      <c r="AC499" s="637">
        <f t="shared" ca="1" si="93"/>
        <v>-2.1316282072803006E-13</v>
      </c>
      <c r="AD499" s="935">
        <f>IF(ISERROR(VLOOKUP(AD$2,X500:X$1003,1,FALSE)),IF(X499=AD$2,SUMIF(X$4:X499,AD$2,Z$4:Z499)+$E$9+SUM(AQ$4:AQ$1003)+SUMIF(COSTI!$X$1379:$X$1430,AD$2,COSTI!$Z$1379:$Z$1430),0),0)</f>
        <v>0</v>
      </c>
      <c r="AE499" s="26"/>
      <c r="AF499" s="856" t="e">
        <f>IF(ISERROR(VLOOKUP(AG$2,X500:X$1003,1,FALSE)),IF(X499=AG$2,SUMIF(X$4:X499,AG$2,Z$4:Z499)+VLOOKUP(AF$2,$B$1057:$F$1068,5,FALSE)+SUM(AR$4:AR$1003)+SUMIF(COSTI!$X$1379:$X$1430,AG$2,COSTI!$Z$1379:$Z$1430),0),0)</f>
        <v>#N/A</v>
      </c>
      <c r="AG499" s="859"/>
      <c r="AH499" s="27" t="str">
        <f t="shared" si="95"/>
        <v/>
      </c>
      <c r="AI499" s="152">
        <f ca="1">IF(W500&gt;0,0,IF(AH499=0,(Z499*-1)+BC499+SUM(BB$4:BB498),BC499+SUM(BB$4:BB498)))</f>
        <v>-2.1316282072803006E-13</v>
      </c>
      <c r="AJ499" s="931">
        <f>IF(AND(AL499&gt;=$U$1,AL499&lt;=$U$2),IF(AM499='ESTRATTO CONTO'!$E$2,1+COUNTIF(AJ$4:AJ498,"&gt;0")+U$1015,0),0)</f>
        <v>0</v>
      </c>
      <c r="AK499" s="203">
        <f>IF(AND(OR((AK498+1)&lt;AL$1015,(AK498+1)=AL$1015),MAX(AK$4:AK498)&lt;AL$1015),AK498+1,0)</f>
        <v>0</v>
      </c>
      <c r="AL499" s="309">
        <f>VLOOKUP($AK499,ENTI!$AF$4:AG$1003,2,FALSE)</f>
        <v>0</v>
      </c>
      <c r="AM499" s="224">
        <f>VLOOKUP($AK499,ENTI!$AF$4:AH$1003,3,FALSE)</f>
        <v>0</v>
      </c>
      <c r="AN499" s="224">
        <f>VLOOKUP($AK499,ENTI!$AF$4:AI$1003,4,FALSE)</f>
        <v>0</v>
      </c>
      <c r="AO499" s="781">
        <f>VLOOKUP($AK499,ENTI!$AF$4:AJ$1003,5,FALSE)</f>
        <v>0</v>
      </c>
      <c r="AP499" s="315">
        <f>VLOOKUP($AK499,ENTI!$AF$4:AK$1003,6,FALSE)</f>
        <v>0</v>
      </c>
      <c r="AQ499" s="208">
        <f t="shared" si="102"/>
        <v>0</v>
      </c>
      <c r="AR499" s="152" t="e">
        <f t="shared" si="103"/>
        <v>#N/A</v>
      </c>
      <c r="AS499" s="1"/>
      <c r="AT499" s="88" t="str">
        <f t="shared" si="96"/>
        <v/>
      </c>
      <c r="AU499" s="1"/>
      <c r="AV499" s="175">
        <f>IF(AW499&gt;0,COUNTIF(AV$4:AV498,"&gt;0")+1,0)</f>
        <v>0</v>
      </c>
      <c r="AW499" s="164">
        <f t="shared" si="97"/>
        <v>0</v>
      </c>
      <c r="AX499" s="310">
        <f>IF($AW499=0,0,VLOOKUP(VLOOKUP($X499,$B$34:$T$38,19,FALSE),ENTI!$A$9:$B$13,2,FALSE))</f>
        <v>0</v>
      </c>
      <c r="AY499" s="310">
        <f t="shared" si="99"/>
        <v>0</v>
      </c>
      <c r="AZ499" s="316">
        <f t="shared" si="100"/>
        <v>0</v>
      </c>
      <c r="BA499" s="1"/>
      <c r="BB499" s="152">
        <f t="shared" si="101"/>
        <v>0</v>
      </c>
      <c r="BC499" s="152">
        <f ca="1">SUM(Z$4:Z499)+SUM(BB$4:BB499)+COSTI!S$6-COSTI!L$1076</f>
        <v>-31.760000000000218</v>
      </c>
      <c r="BD499" s="1"/>
    </row>
    <row r="500" spans="1:56" ht="16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435">
        <f>IF(AND(W500&gt;=$U$1,W500&lt;=$U$2),IF(X500='ESTRATTO CONTO'!$E$2,1+COUNTIF(U$4:U499,"&gt;0"),0),0)</f>
        <v>0</v>
      </c>
      <c r="V500" s="417">
        <f t="shared" si="98"/>
        <v>497</v>
      </c>
      <c r="W500" s="509"/>
      <c r="X500" s="321"/>
      <c r="Y500" s="321"/>
      <c r="Z500" s="508"/>
      <c r="AA500" s="356"/>
      <c r="AB500" s="306" t="str">
        <f t="shared" si="94"/>
        <v/>
      </c>
      <c r="AC500" s="637">
        <f t="shared" ca="1" si="93"/>
        <v>-2.1316282072803006E-13</v>
      </c>
      <c r="AD500" s="935">
        <f>IF(ISERROR(VLOOKUP(AD$2,X501:X$1003,1,FALSE)),IF(X500=AD$2,SUMIF(X$4:X500,AD$2,Z$4:Z500)+$E$9+SUM(AQ$4:AQ$1003)+SUMIF(COSTI!$X$1379:$X$1430,AD$2,COSTI!$Z$1379:$Z$1430),0),0)</f>
        <v>0</v>
      </c>
      <c r="AE500" s="26"/>
      <c r="AF500" s="856" t="e">
        <f>IF(ISERROR(VLOOKUP(AG$2,X501:X$1003,1,FALSE)),IF(X500=AG$2,SUMIF(X$4:X500,AG$2,Z$4:Z500)+VLOOKUP(AF$2,$B$1057:$F$1068,5,FALSE)+SUM(AR$4:AR$1003)+SUMIF(COSTI!$X$1379:$X$1430,AG$2,COSTI!$Z$1379:$Z$1430),0),0)</f>
        <v>#N/A</v>
      </c>
      <c r="AG500" s="859"/>
      <c r="AH500" s="27" t="str">
        <f t="shared" si="95"/>
        <v/>
      </c>
      <c r="AI500" s="152">
        <f ca="1">IF(W501&gt;0,0,IF(AH500=0,(Z500*-1)+BC500+SUM(BB$4:BB499),BC500+SUM(BB$4:BB499)))</f>
        <v>-2.1316282072803006E-13</v>
      </c>
      <c r="AJ500" s="931">
        <f>IF(AND(AL500&gt;=$U$1,AL500&lt;=$U$2),IF(AM500='ESTRATTO CONTO'!$E$2,1+COUNTIF(AJ$4:AJ499,"&gt;0")+U$1015,0),0)</f>
        <v>0</v>
      </c>
      <c r="AK500" s="203">
        <f>IF(AND(OR((AK499+1)&lt;AL$1015,(AK499+1)=AL$1015),MAX(AK$4:AK499)&lt;AL$1015),AK499+1,0)</f>
        <v>0</v>
      </c>
      <c r="AL500" s="309">
        <f>VLOOKUP($AK500,ENTI!$AF$4:AG$1003,2,FALSE)</f>
        <v>0</v>
      </c>
      <c r="AM500" s="224">
        <f>VLOOKUP($AK500,ENTI!$AF$4:AH$1003,3,FALSE)</f>
        <v>0</v>
      </c>
      <c r="AN500" s="224">
        <f>VLOOKUP($AK500,ENTI!$AF$4:AI$1003,4,FALSE)</f>
        <v>0</v>
      </c>
      <c r="AO500" s="781">
        <f>VLOOKUP($AK500,ENTI!$AF$4:AJ$1003,5,FALSE)</f>
        <v>0</v>
      </c>
      <c r="AP500" s="315">
        <f>VLOOKUP($AK500,ENTI!$AF$4:AK$1003,6,FALSE)</f>
        <v>0</v>
      </c>
      <c r="AQ500" s="208">
        <f t="shared" si="102"/>
        <v>0</v>
      </c>
      <c r="AR500" s="152" t="e">
        <f t="shared" si="103"/>
        <v>#N/A</v>
      </c>
      <c r="AS500" s="1"/>
      <c r="AT500" s="88" t="str">
        <f t="shared" si="96"/>
        <v/>
      </c>
      <c r="AU500" s="1"/>
      <c r="AV500" s="175">
        <f>IF(AW500&gt;0,COUNTIF(AV$4:AV499,"&gt;0")+1,0)</f>
        <v>0</v>
      </c>
      <c r="AW500" s="164">
        <f t="shared" si="97"/>
        <v>0</v>
      </c>
      <c r="AX500" s="310">
        <f>IF($AW500=0,0,VLOOKUP(VLOOKUP($X500,$B$34:$T$38,19,FALSE),ENTI!$A$9:$B$13,2,FALSE))</f>
        <v>0</v>
      </c>
      <c r="AY500" s="310">
        <f t="shared" si="99"/>
        <v>0</v>
      </c>
      <c r="AZ500" s="316">
        <f t="shared" si="100"/>
        <v>0</v>
      </c>
      <c r="BA500" s="1"/>
      <c r="BB500" s="152">
        <f t="shared" si="101"/>
        <v>0</v>
      </c>
      <c r="BC500" s="152">
        <f ca="1">SUM(Z$4:Z500)+SUM(BB$4:BB500)+COSTI!S$6-COSTI!L$1076</f>
        <v>-31.760000000000218</v>
      </c>
      <c r="BD500" s="1"/>
    </row>
    <row r="501" spans="1:56" ht="16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435">
        <f>IF(AND(W501&gt;=$U$1,W501&lt;=$U$2),IF(X501='ESTRATTO CONTO'!$E$2,1+COUNTIF(U$4:U500,"&gt;0"),0),0)</f>
        <v>0</v>
      </c>
      <c r="V501" s="417">
        <f t="shared" si="98"/>
        <v>498</v>
      </c>
      <c r="W501" s="509"/>
      <c r="X501" s="321"/>
      <c r="Y501" s="321"/>
      <c r="Z501" s="508"/>
      <c r="AA501" s="356"/>
      <c r="AB501" s="306" t="str">
        <f t="shared" si="94"/>
        <v/>
      </c>
      <c r="AC501" s="637">
        <f t="shared" ca="1" si="93"/>
        <v>-2.1316282072803006E-13</v>
      </c>
      <c r="AD501" s="935">
        <f>IF(ISERROR(VLOOKUP(AD$2,X502:X$1003,1,FALSE)),IF(X501=AD$2,SUMIF(X$4:X501,AD$2,Z$4:Z501)+$E$9+SUM(AQ$4:AQ$1003)+SUMIF(COSTI!$X$1379:$X$1430,AD$2,COSTI!$Z$1379:$Z$1430),0),0)</f>
        <v>0</v>
      </c>
      <c r="AE501" s="26"/>
      <c r="AF501" s="856" t="e">
        <f>IF(ISERROR(VLOOKUP(AG$2,X502:X$1003,1,FALSE)),IF(X501=AG$2,SUMIF(X$4:X501,AG$2,Z$4:Z501)+VLOOKUP(AF$2,$B$1057:$F$1068,5,FALSE)+SUM(AR$4:AR$1003)+SUMIF(COSTI!$X$1379:$X$1430,AG$2,COSTI!$Z$1379:$Z$1430),0),0)</f>
        <v>#N/A</v>
      </c>
      <c r="AG501" s="859"/>
      <c r="AH501" s="27" t="str">
        <f t="shared" si="95"/>
        <v/>
      </c>
      <c r="AI501" s="152">
        <f ca="1">IF(W502&gt;0,0,IF(AH501=0,(Z501*-1)+BC501+SUM(BB$4:BB500),BC501+SUM(BB$4:BB500)))</f>
        <v>-2.1316282072803006E-13</v>
      </c>
      <c r="AJ501" s="931">
        <f>IF(AND(AL501&gt;=$U$1,AL501&lt;=$U$2),IF(AM501='ESTRATTO CONTO'!$E$2,1+COUNTIF(AJ$4:AJ500,"&gt;0")+U$1015,0),0)</f>
        <v>0</v>
      </c>
      <c r="AK501" s="203">
        <f>IF(AND(OR((AK500+1)&lt;AL$1015,(AK500+1)=AL$1015),MAX(AK$4:AK500)&lt;AL$1015),AK500+1,0)</f>
        <v>0</v>
      </c>
      <c r="AL501" s="309">
        <f>VLOOKUP($AK501,ENTI!$AF$4:AG$1003,2,FALSE)</f>
        <v>0</v>
      </c>
      <c r="AM501" s="224">
        <f>VLOOKUP($AK501,ENTI!$AF$4:AH$1003,3,FALSE)</f>
        <v>0</v>
      </c>
      <c r="AN501" s="224">
        <f>VLOOKUP($AK501,ENTI!$AF$4:AI$1003,4,FALSE)</f>
        <v>0</v>
      </c>
      <c r="AO501" s="781">
        <f>VLOOKUP($AK501,ENTI!$AF$4:AJ$1003,5,FALSE)</f>
        <v>0</v>
      </c>
      <c r="AP501" s="315">
        <f>VLOOKUP($AK501,ENTI!$AF$4:AK$1003,6,FALSE)</f>
        <v>0</v>
      </c>
      <c r="AQ501" s="208">
        <f t="shared" si="102"/>
        <v>0</v>
      </c>
      <c r="AR501" s="152" t="e">
        <f t="shared" si="103"/>
        <v>#N/A</v>
      </c>
      <c r="AS501" s="1"/>
      <c r="AT501" s="88" t="str">
        <f t="shared" si="96"/>
        <v/>
      </c>
      <c r="AU501" s="1"/>
      <c r="AV501" s="175">
        <f>IF(AW501&gt;0,COUNTIF(AV$4:AV500,"&gt;0")+1,0)</f>
        <v>0</v>
      </c>
      <c r="AW501" s="164">
        <f t="shared" si="97"/>
        <v>0</v>
      </c>
      <c r="AX501" s="310">
        <f>IF($AW501=0,0,VLOOKUP(VLOOKUP($X501,$B$34:$T$38,19,FALSE),ENTI!$A$9:$B$13,2,FALSE))</f>
        <v>0</v>
      </c>
      <c r="AY501" s="310">
        <f t="shared" si="99"/>
        <v>0</v>
      </c>
      <c r="AZ501" s="316">
        <f t="shared" si="100"/>
        <v>0</v>
      </c>
      <c r="BA501" s="1"/>
      <c r="BB501" s="152">
        <f t="shared" si="101"/>
        <v>0</v>
      </c>
      <c r="BC501" s="152">
        <f ca="1">SUM(Z$4:Z501)+SUM(BB$4:BB501)+COSTI!S$6-COSTI!L$1076</f>
        <v>-31.760000000000218</v>
      </c>
      <c r="BD501" s="1"/>
    </row>
    <row r="502" spans="1:56" ht="16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435">
        <f>IF(AND(W502&gt;=$U$1,W502&lt;=$U$2),IF(X502='ESTRATTO CONTO'!$E$2,1+COUNTIF(U$4:U501,"&gt;0"),0),0)</f>
        <v>0</v>
      </c>
      <c r="V502" s="417">
        <f t="shared" si="98"/>
        <v>499</v>
      </c>
      <c r="W502" s="509"/>
      <c r="X502" s="321"/>
      <c r="Y502" s="321"/>
      <c r="Z502" s="508"/>
      <c r="AA502" s="356"/>
      <c r="AB502" s="306" t="str">
        <f t="shared" si="94"/>
        <v/>
      </c>
      <c r="AC502" s="637">
        <f t="shared" ca="1" si="93"/>
        <v>-2.1316282072803006E-13</v>
      </c>
      <c r="AD502" s="935">
        <f>IF(ISERROR(VLOOKUP(AD$2,X503:X$1003,1,FALSE)),IF(X502=AD$2,SUMIF(X$4:X502,AD$2,Z$4:Z502)+$E$9+SUM(AQ$4:AQ$1003)+SUMIF(COSTI!$X$1379:$X$1430,AD$2,COSTI!$Z$1379:$Z$1430),0),0)</f>
        <v>0</v>
      </c>
      <c r="AE502" s="26"/>
      <c r="AF502" s="856" t="e">
        <f>IF(ISERROR(VLOOKUP(AG$2,X503:X$1003,1,FALSE)),IF(X502=AG$2,SUMIF(X$4:X502,AG$2,Z$4:Z502)+VLOOKUP(AF$2,$B$1057:$F$1068,5,FALSE)+SUM(AR$4:AR$1003)+SUMIF(COSTI!$X$1379:$X$1430,AG$2,COSTI!$Z$1379:$Z$1430),0),0)</f>
        <v>#N/A</v>
      </c>
      <c r="AG502" s="859"/>
      <c r="AH502" s="27" t="str">
        <f t="shared" si="95"/>
        <v/>
      </c>
      <c r="AI502" s="152">
        <f ca="1">IF(W503&gt;0,0,IF(AH502=0,(Z502*-1)+BC502+SUM(BB$4:BB501),BC502+SUM(BB$4:BB501)))</f>
        <v>-2.1316282072803006E-13</v>
      </c>
      <c r="AJ502" s="931">
        <f>IF(AND(AL502&gt;=$U$1,AL502&lt;=$U$2),IF(AM502='ESTRATTO CONTO'!$E$2,1+COUNTIF(AJ$4:AJ501,"&gt;0")+U$1015,0),0)</f>
        <v>0</v>
      </c>
      <c r="AK502" s="203">
        <f>IF(AND(OR((AK501+1)&lt;AL$1015,(AK501+1)=AL$1015),MAX(AK$4:AK501)&lt;AL$1015),AK501+1,0)</f>
        <v>0</v>
      </c>
      <c r="AL502" s="309">
        <f>VLOOKUP($AK502,ENTI!$AF$4:AG$1003,2,FALSE)</f>
        <v>0</v>
      </c>
      <c r="AM502" s="224">
        <f>VLOOKUP($AK502,ENTI!$AF$4:AH$1003,3,FALSE)</f>
        <v>0</v>
      </c>
      <c r="AN502" s="224">
        <f>VLOOKUP($AK502,ENTI!$AF$4:AI$1003,4,FALSE)</f>
        <v>0</v>
      </c>
      <c r="AO502" s="781">
        <f>VLOOKUP($AK502,ENTI!$AF$4:AJ$1003,5,FALSE)</f>
        <v>0</v>
      </c>
      <c r="AP502" s="315">
        <f>VLOOKUP($AK502,ENTI!$AF$4:AK$1003,6,FALSE)</f>
        <v>0</v>
      </c>
      <c r="AQ502" s="208">
        <f t="shared" si="102"/>
        <v>0</v>
      </c>
      <c r="AR502" s="152" t="e">
        <f t="shared" si="103"/>
        <v>#N/A</v>
      </c>
      <c r="AS502" s="1"/>
      <c r="AT502" s="88" t="str">
        <f t="shared" si="96"/>
        <v/>
      </c>
      <c r="AU502" s="1"/>
      <c r="AV502" s="175">
        <f>IF(AW502&gt;0,COUNTIF(AV$4:AV501,"&gt;0")+1,0)</f>
        <v>0</v>
      </c>
      <c r="AW502" s="164">
        <f t="shared" si="97"/>
        <v>0</v>
      </c>
      <c r="AX502" s="310">
        <f>IF($AW502=0,0,VLOOKUP(VLOOKUP($X502,$B$34:$T$38,19,FALSE),ENTI!$A$9:$B$13,2,FALSE))</f>
        <v>0</v>
      </c>
      <c r="AY502" s="310">
        <f t="shared" si="99"/>
        <v>0</v>
      </c>
      <c r="AZ502" s="316">
        <f t="shared" si="100"/>
        <v>0</v>
      </c>
      <c r="BA502" s="1"/>
      <c r="BB502" s="152">
        <f t="shared" si="101"/>
        <v>0</v>
      </c>
      <c r="BC502" s="152">
        <f ca="1">SUM(Z$4:Z502)+SUM(BB$4:BB502)+COSTI!S$6-COSTI!L$1076</f>
        <v>-31.760000000000218</v>
      </c>
      <c r="BD502" s="1"/>
    </row>
    <row r="503" spans="1:56" ht="16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435">
        <f>IF(AND(W503&gt;=$U$1,W503&lt;=$U$2),IF(X503='ESTRATTO CONTO'!$E$2,1+COUNTIF(U$4:U502,"&gt;0"),0),0)</f>
        <v>0</v>
      </c>
      <c r="V503" s="417">
        <f t="shared" si="98"/>
        <v>500</v>
      </c>
      <c r="W503" s="509"/>
      <c r="X503" s="321"/>
      <c r="Y503" s="321"/>
      <c r="Z503" s="508"/>
      <c r="AA503" s="356"/>
      <c r="AB503" s="306" t="str">
        <f t="shared" si="94"/>
        <v/>
      </c>
      <c r="AC503" s="637">
        <f t="shared" ca="1" si="93"/>
        <v>-2.1316282072803006E-13</v>
      </c>
      <c r="AD503" s="935">
        <f>IF(ISERROR(VLOOKUP(AD$2,X504:X$1003,1,FALSE)),IF(X503=AD$2,SUMIF(X$4:X503,AD$2,Z$4:Z503)+$E$9+SUM(AQ$4:AQ$1003)+SUMIF(COSTI!$X$1379:$X$1430,AD$2,COSTI!$Z$1379:$Z$1430),0),0)</f>
        <v>0</v>
      </c>
      <c r="AE503" s="26"/>
      <c r="AF503" s="856" t="e">
        <f>IF(ISERROR(VLOOKUP(AG$2,X504:X$1003,1,FALSE)),IF(X503=AG$2,SUMIF(X$4:X503,AG$2,Z$4:Z503)+VLOOKUP(AF$2,$B$1057:$F$1068,5,FALSE)+SUM(AR$4:AR$1003)+SUMIF(COSTI!$X$1379:$X$1430,AG$2,COSTI!$Z$1379:$Z$1430),0),0)</f>
        <v>#N/A</v>
      </c>
      <c r="AG503" s="859"/>
      <c r="AH503" s="27" t="str">
        <f t="shared" si="95"/>
        <v/>
      </c>
      <c r="AI503" s="152">
        <f ca="1">IF(W504&gt;0,0,IF(AH503=0,(Z503*-1)+BC503+SUM(BB$4:BB502),BC503+SUM(BB$4:BB502)))</f>
        <v>-2.1316282072803006E-13</v>
      </c>
      <c r="AJ503" s="931">
        <f>IF(AND(AL503&gt;=$U$1,AL503&lt;=$U$2),IF(AM503='ESTRATTO CONTO'!$E$2,1+COUNTIF(AJ$4:AJ502,"&gt;0")+U$1015,0),0)</f>
        <v>0</v>
      </c>
      <c r="AK503" s="203">
        <f>IF(AND(OR((AK502+1)&lt;AL$1015,(AK502+1)=AL$1015),MAX(AK$4:AK502)&lt;AL$1015),AK502+1,0)</f>
        <v>0</v>
      </c>
      <c r="AL503" s="309">
        <f>VLOOKUP($AK503,ENTI!$AF$4:AG$1003,2,FALSE)</f>
        <v>0</v>
      </c>
      <c r="AM503" s="224">
        <f>VLOOKUP($AK503,ENTI!$AF$4:AH$1003,3,FALSE)</f>
        <v>0</v>
      </c>
      <c r="AN503" s="224">
        <f>VLOOKUP($AK503,ENTI!$AF$4:AI$1003,4,FALSE)</f>
        <v>0</v>
      </c>
      <c r="AO503" s="781">
        <f>VLOOKUP($AK503,ENTI!$AF$4:AJ$1003,5,FALSE)</f>
        <v>0</v>
      </c>
      <c r="AP503" s="315">
        <f>VLOOKUP($AK503,ENTI!$AF$4:AK$1003,6,FALSE)</f>
        <v>0</v>
      </c>
      <c r="AQ503" s="208">
        <f t="shared" si="102"/>
        <v>0</v>
      </c>
      <c r="AR503" s="152" t="e">
        <f t="shared" si="103"/>
        <v>#N/A</v>
      </c>
      <c r="AS503" s="1"/>
      <c r="AT503" s="88" t="str">
        <f t="shared" si="96"/>
        <v/>
      </c>
      <c r="AU503" s="1"/>
      <c r="AV503" s="175">
        <f>IF(AW503&gt;0,COUNTIF(AV$4:AV502,"&gt;0")+1,0)</f>
        <v>0</v>
      </c>
      <c r="AW503" s="164">
        <f t="shared" si="97"/>
        <v>0</v>
      </c>
      <c r="AX503" s="310">
        <f>IF($AW503=0,0,VLOOKUP(VLOOKUP($X503,$B$34:$T$38,19,FALSE),ENTI!$A$9:$B$13,2,FALSE))</f>
        <v>0</v>
      </c>
      <c r="AY503" s="310">
        <f t="shared" si="99"/>
        <v>0</v>
      </c>
      <c r="AZ503" s="316">
        <f t="shared" si="100"/>
        <v>0</v>
      </c>
      <c r="BA503" s="1"/>
      <c r="BB503" s="152">
        <f t="shared" si="101"/>
        <v>0</v>
      </c>
      <c r="BC503" s="152">
        <f ca="1">SUM(Z$4:Z503)+SUM(BB$4:BB503)+COSTI!S$6-COSTI!L$1076</f>
        <v>-31.760000000000218</v>
      </c>
      <c r="BD503" s="1"/>
    </row>
    <row r="504" spans="1:56" ht="16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435">
        <f>IF(AND(W504&gt;=$U$1,W504&lt;=$U$2),IF(X504='ESTRATTO CONTO'!$E$2,1+COUNTIF(U$4:U503,"&gt;0"),0),0)</f>
        <v>0</v>
      </c>
      <c r="V504" s="417">
        <f t="shared" si="98"/>
        <v>501</v>
      </c>
      <c r="W504" s="509"/>
      <c r="X504" s="321"/>
      <c r="Y504" s="321"/>
      <c r="Z504" s="508"/>
      <c r="AA504" s="356"/>
      <c r="AB504" s="306" t="str">
        <f t="shared" si="94"/>
        <v/>
      </c>
      <c r="AC504" s="637">
        <f t="shared" ca="1" si="93"/>
        <v>-2.1316282072803006E-13</v>
      </c>
      <c r="AD504" s="935">
        <f>IF(ISERROR(VLOOKUP(AD$2,X505:X$1003,1,FALSE)),IF(X504=AD$2,SUMIF(X$4:X504,AD$2,Z$4:Z504)+$E$9+SUM(AQ$4:AQ$1003)+SUMIF(COSTI!$X$1379:$X$1430,AD$2,COSTI!$Z$1379:$Z$1430),0),0)</f>
        <v>0</v>
      </c>
      <c r="AE504" s="26"/>
      <c r="AF504" s="856" t="e">
        <f>IF(ISERROR(VLOOKUP(AG$2,X505:X$1003,1,FALSE)),IF(X504=AG$2,SUMIF(X$4:X504,AG$2,Z$4:Z504)+VLOOKUP(AF$2,$B$1057:$F$1068,5,FALSE)+SUM(AR$4:AR$1003)+SUMIF(COSTI!$X$1379:$X$1430,AG$2,COSTI!$Z$1379:$Z$1430),0),0)</f>
        <v>#N/A</v>
      </c>
      <c r="AG504" s="859"/>
      <c r="AH504" s="27" t="str">
        <f t="shared" si="95"/>
        <v/>
      </c>
      <c r="AI504" s="152">
        <f ca="1">IF(W505&gt;0,0,IF(AH504=0,(Z504*-1)+BC504+SUM(BB$4:BB503),BC504+SUM(BB$4:BB503)))</f>
        <v>-2.1316282072803006E-13</v>
      </c>
      <c r="AJ504" s="931">
        <f>IF(AND(AL504&gt;=$U$1,AL504&lt;=$U$2),IF(AM504='ESTRATTO CONTO'!$E$2,1+COUNTIF(AJ$4:AJ503,"&gt;0")+U$1015,0),0)</f>
        <v>0</v>
      </c>
      <c r="AK504" s="203">
        <f>IF(AND(OR((AK503+1)&lt;AL$1015,(AK503+1)=AL$1015),MAX(AK$4:AK503)&lt;AL$1015),AK503+1,0)</f>
        <v>0</v>
      </c>
      <c r="AL504" s="309">
        <f>VLOOKUP($AK504,ENTI!$AF$4:AG$1003,2,FALSE)</f>
        <v>0</v>
      </c>
      <c r="AM504" s="224">
        <f>VLOOKUP($AK504,ENTI!$AF$4:AH$1003,3,FALSE)</f>
        <v>0</v>
      </c>
      <c r="AN504" s="224">
        <f>VLOOKUP($AK504,ENTI!$AF$4:AI$1003,4,FALSE)</f>
        <v>0</v>
      </c>
      <c r="AO504" s="781">
        <f>VLOOKUP($AK504,ENTI!$AF$4:AJ$1003,5,FALSE)</f>
        <v>0</v>
      </c>
      <c r="AP504" s="315">
        <f>VLOOKUP($AK504,ENTI!$AF$4:AK$1003,6,FALSE)</f>
        <v>0</v>
      </c>
      <c r="AQ504" s="208">
        <f t="shared" si="102"/>
        <v>0</v>
      </c>
      <c r="AR504" s="152" t="e">
        <f t="shared" si="103"/>
        <v>#N/A</v>
      </c>
      <c r="AS504" s="1"/>
      <c r="AT504" s="88" t="str">
        <f t="shared" si="96"/>
        <v/>
      </c>
      <c r="AU504" s="1"/>
      <c r="AV504" s="175">
        <f>IF(AW504&gt;0,COUNTIF(AV$4:AV503,"&gt;0")+1,0)</f>
        <v>0</v>
      </c>
      <c r="AW504" s="164">
        <f t="shared" si="97"/>
        <v>0</v>
      </c>
      <c r="AX504" s="310">
        <f>IF($AW504=0,0,VLOOKUP(VLOOKUP($X504,$B$34:$T$38,19,FALSE),ENTI!$A$9:$B$13,2,FALSE))</f>
        <v>0</v>
      </c>
      <c r="AY504" s="310">
        <f t="shared" si="99"/>
        <v>0</v>
      </c>
      <c r="AZ504" s="316">
        <f t="shared" si="100"/>
        <v>0</v>
      </c>
      <c r="BA504" s="1"/>
      <c r="BB504" s="152">
        <f t="shared" si="101"/>
        <v>0</v>
      </c>
      <c r="BC504" s="152">
        <f ca="1">SUM(Z$4:Z504)+SUM(BB$4:BB504)+COSTI!S$6-COSTI!L$1076</f>
        <v>-31.760000000000218</v>
      </c>
      <c r="BD504" s="1"/>
    </row>
    <row r="505" spans="1:56" ht="16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435">
        <f>IF(AND(W505&gt;=$U$1,W505&lt;=$U$2),IF(X505='ESTRATTO CONTO'!$E$2,1+COUNTIF(U$4:U504,"&gt;0"),0),0)</f>
        <v>0</v>
      </c>
      <c r="V505" s="417">
        <f t="shared" si="98"/>
        <v>502</v>
      </c>
      <c r="W505" s="509"/>
      <c r="X505" s="321"/>
      <c r="Y505" s="321"/>
      <c r="Z505" s="508"/>
      <c r="AA505" s="356"/>
      <c r="AB505" s="306" t="str">
        <f t="shared" si="94"/>
        <v/>
      </c>
      <c r="AC505" s="637">
        <f t="shared" ref="AC505:AC568" ca="1" si="104">AI505</f>
        <v>-2.1316282072803006E-13</v>
      </c>
      <c r="AD505" s="935">
        <f>IF(ISERROR(VLOOKUP(AD$2,X506:X$1003,1,FALSE)),IF(X505=AD$2,SUMIF(X$4:X505,AD$2,Z$4:Z505)+$E$9+SUM(AQ$4:AQ$1003)+SUMIF(COSTI!$X$1379:$X$1430,AD$2,COSTI!$Z$1379:$Z$1430),0),0)</f>
        <v>0</v>
      </c>
      <c r="AE505" s="26"/>
      <c r="AF505" s="856" t="e">
        <f>IF(ISERROR(VLOOKUP(AG$2,X506:X$1003,1,FALSE)),IF(X505=AG$2,SUMIF(X$4:X505,AG$2,Z$4:Z505)+VLOOKUP(AF$2,$B$1057:$F$1068,5,FALSE)+SUM(AR$4:AR$1003)+SUMIF(COSTI!$X$1379:$X$1430,AG$2,COSTI!$Z$1379:$Z$1430),0),0)</f>
        <v>#N/A</v>
      </c>
      <c r="AG505" s="859"/>
      <c r="AH505" s="27" t="str">
        <f t="shared" si="95"/>
        <v/>
      </c>
      <c r="AI505" s="152">
        <f ca="1">IF(W506&gt;0,0,IF(AH505=0,(Z505*-1)+BC505+SUM(BB$4:BB504),BC505+SUM(BB$4:BB504)))</f>
        <v>-2.1316282072803006E-13</v>
      </c>
      <c r="AJ505" s="931">
        <f>IF(AND(AL505&gt;=$U$1,AL505&lt;=$U$2),IF(AM505='ESTRATTO CONTO'!$E$2,1+COUNTIF(AJ$4:AJ504,"&gt;0")+U$1015,0),0)</f>
        <v>0</v>
      </c>
      <c r="AK505" s="203">
        <f>IF(AND(OR((AK504+1)&lt;AL$1015,(AK504+1)=AL$1015),MAX(AK$4:AK504)&lt;AL$1015),AK504+1,0)</f>
        <v>0</v>
      </c>
      <c r="AL505" s="309">
        <f>VLOOKUP($AK505,ENTI!$AF$4:AG$1003,2,FALSE)</f>
        <v>0</v>
      </c>
      <c r="AM505" s="224">
        <f>VLOOKUP($AK505,ENTI!$AF$4:AH$1003,3,FALSE)</f>
        <v>0</v>
      </c>
      <c r="AN505" s="224">
        <f>VLOOKUP($AK505,ENTI!$AF$4:AI$1003,4,FALSE)</f>
        <v>0</v>
      </c>
      <c r="AO505" s="781">
        <f>VLOOKUP($AK505,ENTI!$AF$4:AJ$1003,5,FALSE)</f>
        <v>0</v>
      </c>
      <c r="AP505" s="315">
        <f>VLOOKUP($AK505,ENTI!$AF$4:AK$1003,6,FALSE)</f>
        <v>0</v>
      </c>
      <c r="AQ505" s="208">
        <f t="shared" si="102"/>
        <v>0</v>
      </c>
      <c r="AR505" s="152" t="e">
        <f t="shared" si="103"/>
        <v>#N/A</v>
      </c>
      <c r="AS505" s="1"/>
      <c r="AT505" s="88" t="str">
        <f t="shared" si="96"/>
        <v/>
      </c>
      <c r="AU505" s="1"/>
      <c r="AV505" s="175">
        <f>IF(AW505&gt;0,COUNTIF(AV$4:AV504,"&gt;0")+1,0)</f>
        <v>0</v>
      </c>
      <c r="AW505" s="164">
        <f t="shared" si="97"/>
        <v>0</v>
      </c>
      <c r="AX505" s="310">
        <f>IF($AW505=0,0,VLOOKUP(VLOOKUP($X505,$B$34:$T$38,19,FALSE),ENTI!$A$9:$B$13,2,FALSE))</f>
        <v>0</v>
      </c>
      <c r="AY505" s="310">
        <f t="shared" si="99"/>
        <v>0</v>
      </c>
      <c r="AZ505" s="316">
        <f t="shared" si="100"/>
        <v>0</v>
      </c>
      <c r="BA505" s="1"/>
      <c r="BB505" s="152">
        <f t="shared" si="101"/>
        <v>0</v>
      </c>
      <c r="BC505" s="152">
        <f ca="1">SUM(Z$4:Z505)+SUM(BB$4:BB505)+COSTI!S$6-COSTI!L$1076</f>
        <v>-31.760000000000218</v>
      </c>
      <c r="BD505" s="1"/>
    </row>
    <row r="506" spans="1:56" ht="16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435">
        <f>IF(AND(W506&gt;=$U$1,W506&lt;=$U$2),IF(X506='ESTRATTO CONTO'!$E$2,1+COUNTIF(U$4:U505,"&gt;0"),0),0)</f>
        <v>0</v>
      </c>
      <c r="V506" s="417">
        <f t="shared" si="98"/>
        <v>503</v>
      </c>
      <c r="W506" s="509"/>
      <c r="X506" s="321"/>
      <c r="Y506" s="321"/>
      <c r="Z506" s="508"/>
      <c r="AA506" s="356"/>
      <c r="AB506" s="306" t="str">
        <f t="shared" si="94"/>
        <v/>
      </c>
      <c r="AC506" s="637">
        <f t="shared" ca="1" si="104"/>
        <v>-2.1316282072803006E-13</v>
      </c>
      <c r="AD506" s="935">
        <f>IF(ISERROR(VLOOKUP(AD$2,X507:X$1003,1,FALSE)),IF(X506=AD$2,SUMIF(X$4:X506,AD$2,Z$4:Z506)+$E$9+SUM(AQ$4:AQ$1003)+SUMIF(COSTI!$X$1379:$X$1430,AD$2,COSTI!$Z$1379:$Z$1430),0),0)</f>
        <v>0</v>
      </c>
      <c r="AE506" s="26"/>
      <c r="AF506" s="856" t="e">
        <f>IF(ISERROR(VLOOKUP(AG$2,X507:X$1003,1,FALSE)),IF(X506=AG$2,SUMIF(X$4:X506,AG$2,Z$4:Z506)+VLOOKUP(AF$2,$B$1057:$F$1068,5,FALSE)+SUM(AR$4:AR$1003)+SUMIF(COSTI!$X$1379:$X$1430,AG$2,COSTI!$Z$1379:$Z$1430),0),0)</f>
        <v>#N/A</v>
      </c>
      <c r="AG506" s="859"/>
      <c r="AH506" s="27" t="str">
        <f t="shared" si="95"/>
        <v/>
      </c>
      <c r="AI506" s="152">
        <f ca="1">IF(W507&gt;0,0,IF(AH506=0,(Z506*-1)+BC506+SUM(BB$4:BB505),BC506+SUM(BB$4:BB505)))</f>
        <v>-2.1316282072803006E-13</v>
      </c>
      <c r="AJ506" s="931">
        <f>IF(AND(AL506&gt;=$U$1,AL506&lt;=$U$2),IF(AM506='ESTRATTO CONTO'!$E$2,1+COUNTIF(AJ$4:AJ505,"&gt;0")+U$1015,0),0)</f>
        <v>0</v>
      </c>
      <c r="AK506" s="203">
        <f>IF(AND(OR((AK505+1)&lt;AL$1015,(AK505+1)=AL$1015),MAX(AK$4:AK505)&lt;AL$1015),AK505+1,0)</f>
        <v>0</v>
      </c>
      <c r="AL506" s="309">
        <f>VLOOKUP($AK506,ENTI!$AF$4:AG$1003,2,FALSE)</f>
        <v>0</v>
      </c>
      <c r="AM506" s="224">
        <f>VLOOKUP($AK506,ENTI!$AF$4:AH$1003,3,FALSE)</f>
        <v>0</v>
      </c>
      <c r="AN506" s="224">
        <f>VLOOKUP($AK506,ENTI!$AF$4:AI$1003,4,FALSE)</f>
        <v>0</v>
      </c>
      <c r="AO506" s="781">
        <f>VLOOKUP($AK506,ENTI!$AF$4:AJ$1003,5,FALSE)</f>
        <v>0</v>
      </c>
      <c r="AP506" s="315">
        <f>VLOOKUP($AK506,ENTI!$AF$4:AK$1003,6,FALSE)</f>
        <v>0</v>
      </c>
      <c r="AQ506" s="208">
        <f t="shared" si="102"/>
        <v>0</v>
      </c>
      <c r="AR506" s="152" t="e">
        <f t="shared" si="103"/>
        <v>#N/A</v>
      </c>
      <c r="AS506" s="1"/>
      <c r="AT506" s="88" t="str">
        <f t="shared" si="96"/>
        <v/>
      </c>
      <c r="AU506" s="1"/>
      <c r="AV506" s="175">
        <f>IF(AW506&gt;0,COUNTIF(AV$4:AV505,"&gt;0")+1,0)</f>
        <v>0</v>
      </c>
      <c r="AW506" s="164">
        <f t="shared" si="97"/>
        <v>0</v>
      </c>
      <c r="AX506" s="310">
        <f>IF($AW506=0,0,VLOOKUP(VLOOKUP($X506,$B$34:$T$38,19,FALSE),ENTI!$A$9:$B$13,2,FALSE))</f>
        <v>0</v>
      </c>
      <c r="AY506" s="310">
        <f t="shared" si="99"/>
        <v>0</v>
      </c>
      <c r="AZ506" s="316">
        <f t="shared" si="100"/>
        <v>0</v>
      </c>
      <c r="BA506" s="1"/>
      <c r="BB506" s="152">
        <f t="shared" si="101"/>
        <v>0</v>
      </c>
      <c r="BC506" s="152">
        <f ca="1">SUM(Z$4:Z506)+SUM(BB$4:BB506)+COSTI!S$6-COSTI!L$1076</f>
        <v>-31.760000000000218</v>
      </c>
      <c r="BD506" s="1"/>
    </row>
    <row r="507" spans="1:56" ht="16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435">
        <f>IF(AND(W507&gt;=$U$1,W507&lt;=$U$2),IF(X507='ESTRATTO CONTO'!$E$2,1+COUNTIF(U$4:U506,"&gt;0"),0),0)</f>
        <v>0</v>
      </c>
      <c r="V507" s="417">
        <f t="shared" si="98"/>
        <v>504</v>
      </c>
      <c r="W507" s="509"/>
      <c r="X507" s="321"/>
      <c r="Y507" s="321"/>
      <c r="Z507" s="508"/>
      <c r="AA507" s="356"/>
      <c r="AB507" s="306" t="str">
        <f t="shared" si="94"/>
        <v/>
      </c>
      <c r="AC507" s="637">
        <f t="shared" ca="1" si="104"/>
        <v>-2.1316282072803006E-13</v>
      </c>
      <c r="AD507" s="935">
        <f>IF(ISERROR(VLOOKUP(AD$2,X508:X$1003,1,FALSE)),IF(X507=AD$2,SUMIF(X$4:X507,AD$2,Z$4:Z507)+$E$9+SUM(AQ$4:AQ$1003)+SUMIF(COSTI!$X$1379:$X$1430,AD$2,COSTI!$Z$1379:$Z$1430),0),0)</f>
        <v>0</v>
      </c>
      <c r="AE507" s="26"/>
      <c r="AF507" s="856" t="e">
        <f>IF(ISERROR(VLOOKUP(AG$2,X508:X$1003,1,FALSE)),IF(X507=AG$2,SUMIF(X$4:X507,AG$2,Z$4:Z507)+VLOOKUP(AF$2,$B$1057:$F$1068,5,FALSE)+SUM(AR$4:AR$1003)+SUMIF(COSTI!$X$1379:$X$1430,AG$2,COSTI!$Z$1379:$Z$1430),0),0)</f>
        <v>#N/A</v>
      </c>
      <c r="AG507" s="859"/>
      <c r="AH507" s="27" t="str">
        <f t="shared" si="95"/>
        <v/>
      </c>
      <c r="AI507" s="152">
        <f ca="1">IF(W508&gt;0,0,IF(AH507=0,(Z507*-1)+BC507+SUM(BB$4:BB506),BC507+SUM(BB$4:BB506)))</f>
        <v>-2.1316282072803006E-13</v>
      </c>
      <c r="AJ507" s="931">
        <f>IF(AND(AL507&gt;=$U$1,AL507&lt;=$U$2),IF(AM507='ESTRATTO CONTO'!$E$2,1+COUNTIF(AJ$4:AJ506,"&gt;0")+U$1015,0),0)</f>
        <v>0</v>
      </c>
      <c r="AK507" s="203">
        <f>IF(AND(OR((AK506+1)&lt;AL$1015,(AK506+1)=AL$1015),MAX(AK$4:AK506)&lt;AL$1015),AK506+1,0)</f>
        <v>0</v>
      </c>
      <c r="AL507" s="309">
        <f>VLOOKUP($AK507,ENTI!$AF$4:AG$1003,2,FALSE)</f>
        <v>0</v>
      </c>
      <c r="AM507" s="224">
        <f>VLOOKUP($AK507,ENTI!$AF$4:AH$1003,3,FALSE)</f>
        <v>0</v>
      </c>
      <c r="AN507" s="224">
        <f>VLOOKUP($AK507,ENTI!$AF$4:AI$1003,4,FALSE)</f>
        <v>0</v>
      </c>
      <c r="AO507" s="781">
        <f>VLOOKUP($AK507,ENTI!$AF$4:AJ$1003,5,FALSE)</f>
        <v>0</v>
      </c>
      <c r="AP507" s="315">
        <f>VLOOKUP($AK507,ENTI!$AF$4:AK$1003,6,FALSE)</f>
        <v>0</v>
      </c>
      <c r="AQ507" s="208">
        <f t="shared" si="102"/>
        <v>0</v>
      </c>
      <c r="AR507" s="152" t="e">
        <f t="shared" si="103"/>
        <v>#N/A</v>
      </c>
      <c r="AS507" s="1"/>
      <c r="AT507" s="88" t="str">
        <f t="shared" si="96"/>
        <v/>
      </c>
      <c r="AU507" s="1"/>
      <c r="AV507" s="175">
        <f>IF(AW507&gt;0,COUNTIF(AV$4:AV506,"&gt;0")+1,0)</f>
        <v>0</v>
      </c>
      <c r="AW507" s="164">
        <f t="shared" si="97"/>
        <v>0</v>
      </c>
      <c r="AX507" s="310">
        <f>IF($AW507=0,0,VLOOKUP(VLOOKUP($X507,$B$34:$T$38,19,FALSE),ENTI!$A$9:$B$13,2,FALSE))</f>
        <v>0</v>
      </c>
      <c r="AY507" s="310">
        <f t="shared" si="99"/>
        <v>0</v>
      </c>
      <c r="AZ507" s="316">
        <f t="shared" si="100"/>
        <v>0</v>
      </c>
      <c r="BA507" s="1"/>
      <c r="BB507" s="152">
        <f t="shared" si="101"/>
        <v>0</v>
      </c>
      <c r="BC507" s="152">
        <f ca="1">SUM(Z$4:Z507)+SUM(BB$4:BB507)+COSTI!S$6-COSTI!L$1076</f>
        <v>-31.760000000000218</v>
      </c>
      <c r="BD507" s="1"/>
    </row>
    <row r="508" spans="1:56" ht="16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435">
        <f>IF(AND(W508&gt;=$U$1,W508&lt;=$U$2),IF(X508='ESTRATTO CONTO'!$E$2,1+COUNTIF(U$4:U507,"&gt;0"),0),0)</f>
        <v>0</v>
      </c>
      <c r="V508" s="417">
        <f t="shared" si="98"/>
        <v>505</v>
      </c>
      <c r="W508" s="509"/>
      <c r="X508" s="321"/>
      <c r="Y508" s="321"/>
      <c r="Z508" s="508"/>
      <c r="AA508" s="356"/>
      <c r="AB508" s="306" t="str">
        <f t="shared" si="94"/>
        <v/>
      </c>
      <c r="AC508" s="637">
        <f t="shared" ca="1" si="104"/>
        <v>-2.1316282072803006E-13</v>
      </c>
      <c r="AD508" s="935">
        <f>IF(ISERROR(VLOOKUP(AD$2,X509:X$1003,1,FALSE)),IF(X508=AD$2,SUMIF(X$4:X508,AD$2,Z$4:Z508)+$E$9+SUM(AQ$4:AQ$1003)+SUMIF(COSTI!$X$1379:$X$1430,AD$2,COSTI!$Z$1379:$Z$1430),0),0)</f>
        <v>0</v>
      </c>
      <c r="AE508" s="26"/>
      <c r="AF508" s="856" t="e">
        <f>IF(ISERROR(VLOOKUP(AG$2,X509:X$1003,1,FALSE)),IF(X508=AG$2,SUMIF(X$4:X508,AG$2,Z$4:Z508)+VLOOKUP(AF$2,$B$1057:$F$1068,5,FALSE)+SUM(AR$4:AR$1003)+SUMIF(COSTI!$X$1379:$X$1430,AG$2,COSTI!$Z$1379:$Z$1430),0),0)</f>
        <v>#N/A</v>
      </c>
      <c r="AG508" s="859"/>
      <c r="AH508" s="27" t="str">
        <f t="shared" si="95"/>
        <v/>
      </c>
      <c r="AI508" s="152">
        <f ca="1">IF(W509&gt;0,0,IF(AH508=0,(Z508*-1)+BC508+SUM(BB$4:BB507),BC508+SUM(BB$4:BB507)))</f>
        <v>-2.1316282072803006E-13</v>
      </c>
      <c r="AJ508" s="931">
        <f>IF(AND(AL508&gt;=$U$1,AL508&lt;=$U$2),IF(AM508='ESTRATTO CONTO'!$E$2,1+COUNTIF(AJ$4:AJ507,"&gt;0")+U$1015,0),0)</f>
        <v>0</v>
      </c>
      <c r="AK508" s="203">
        <f>IF(AND(OR((AK507+1)&lt;AL$1015,(AK507+1)=AL$1015),MAX(AK$4:AK507)&lt;AL$1015),AK507+1,0)</f>
        <v>0</v>
      </c>
      <c r="AL508" s="309">
        <f>VLOOKUP($AK508,ENTI!$AF$4:AG$1003,2,FALSE)</f>
        <v>0</v>
      </c>
      <c r="AM508" s="224">
        <f>VLOOKUP($AK508,ENTI!$AF$4:AH$1003,3,FALSE)</f>
        <v>0</v>
      </c>
      <c r="AN508" s="224">
        <f>VLOOKUP($AK508,ENTI!$AF$4:AI$1003,4,FALSE)</f>
        <v>0</v>
      </c>
      <c r="AO508" s="781">
        <f>VLOOKUP($AK508,ENTI!$AF$4:AJ$1003,5,FALSE)</f>
        <v>0</v>
      </c>
      <c r="AP508" s="315">
        <f>VLOOKUP($AK508,ENTI!$AF$4:AK$1003,6,FALSE)</f>
        <v>0</v>
      </c>
      <c r="AQ508" s="208">
        <f t="shared" si="102"/>
        <v>0</v>
      </c>
      <c r="AR508" s="152" t="e">
        <f t="shared" si="103"/>
        <v>#N/A</v>
      </c>
      <c r="AS508" s="1"/>
      <c r="AT508" s="88" t="str">
        <f t="shared" si="96"/>
        <v/>
      </c>
      <c r="AU508" s="1"/>
      <c r="AV508" s="175">
        <f>IF(AW508&gt;0,COUNTIF(AV$4:AV507,"&gt;0")+1,0)</f>
        <v>0</v>
      </c>
      <c r="AW508" s="164">
        <f t="shared" si="97"/>
        <v>0</v>
      </c>
      <c r="AX508" s="310">
        <f>IF($AW508=0,0,VLOOKUP(VLOOKUP($X508,$B$34:$T$38,19,FALSE),ENTI!$A$9:$B$13,2,FALSE))</f>
        <v>0</v>
      </c>
      <c r="AY508" s="310">
        <f t="shared" si="99"/>
        <v>0</v>
      </c>
      <c r="AZ508" s="316">
        <f t="shared" si="100"/>
        <v>0</v>
      </c>
      <c r="BA508" s="1"/>
      <c r="BB508" s="152">
        <f t="shared" si="101"/>
        <v>0</v>
      </c>
      <c r="BC508" s="152">
        <f ca="1">SUM(Z$4:Z508)+SUM(BB$4:BB508)+COSTI!S$6-COSTI!L$1076</f>
        <v>-31.760000000000218</v>
      </c>
      <c r="BD508" s="1"/>
    </row>
    <row r="509" spans="1:56" ht="16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435">
        <f>IF(AND(W509&gt;=$U$1,W509&lt;=$U$2),IF(X509='ESTRATTO CONTO'!$E$2,1+COUNTIF(U$4:U508,"&gt;0"),0),0)</f>
        <v>0</v>
      </c>
      <c r="V509" s="417">
        <f t="shared" si="98"/>
        <v>506</v>
      </c>
      <c r="W509" s="509"/>
      <c r="X509" s="321"/>
      <c r="Y509" s="321"/>
      <c r="Z509" s="508"/>
      <c r="AA509" s="356"/>
      <c r="AB509" s="306" t="str">
        <f t="shared" si="94"/>
        <v/>
      </c>
      <c r="AC509" s="637">
        <f t="shared" ca="1" si="104"/>
        <v>-2.1316282072803006E-13</v>
      </c>
      <c r="AD509" s="935">
        <f>IF(ISERROR(VLOOKUP(AD$2,X510:X$1003,1,FALSE)),IF(X509=AD$2,SUMIF(X$4:X509,AD$2,Z$4:Z509)+$E$9+SUM(AQ$4:AQ$1003)+SUMIF(COSTI!$X$1379:$X$1430,AD$2,COSTI!$Z$1379:$Z$1430),0),0)</f>
        <v>0</v>
      </c>
      <c r="AE509" s="26"/>
      <c r="AF509" s="856" t="e">
        <f>IF(ISERROR(VLOOKUP(AG$2,X510:X$1003,1,FALSE)),IF(X509=AG$2,SUMIF(X$4:X509,AG$2,Z$4:Z509)+VLOOKUP(AF$2,$B$1057:$F$1068,5,FALSE)+SUM(AR$4:AR$1003)+SUMIF(COSTI!$X$1379:$X$1430,AG$2,COSTI!$Z$1379:$Z$1430),0),0)</f>
        <v>#N/A</v>
      </c>
      <c r="AG509" s="859"/>
      <c r="AH509" s="27" t="str">
        <f t="shared" si="95"/>
        <v/>
      </c>
      <c r="AI509" s="152">
        <f ca="1">IF(W510&gt;0,0,IF(AH509=0,(Z509*-1)+BC509+SUM(BB$4:BB508),BC509+SUM(BB$4:BB508)))</f>
        <v>-2.1316282072803006E-13</v>
      </c>
      <c r="AJ509" s="931">
        <f>IF(AND(AL509&gt;=$U$1,AL509&lt;=$U$2),IF(AM509='ESTRATTO CONTO'!$E$2,1+COUNTIF(AJ$4:AJ508,"&gt;0")+U$1015,0),0)</f>
        <v>0</v>
      </c>
      <c r="AK509" s="203">
        <f>IF(AND(OR((AK508+1)&lt;AL$1015,(AK508+1)=AL$1015),MAX(AK$4:AK508)&lt;AL$1015),AK508+1,0)</f>
        <v>0</v>
      </c>
      <c r="AL509" s="309">
        <f>VLOOKUP($AK509,ENTI!$AF$4:AG$1003,2,FALSE)</f>
        <v>0</v>
      </c>
      <c r="AM509" s="224">
        <f>VLOOKUP($AK509,ENTI!$AF$4:AH$1003,3,FALSE)</f>
        <v>0</v>
      </c>
      <c r="AN509" s="224">
        <f>VLOOKUP($AK509,ENTI!$AF$4:AI$1003,4,FALSE)</f>
        <v>0</v>
      </c>
      <c r="AO509" s="781">
        <f>VLOOKUP($AK509,ENTI!$AF$4:AJ$1003,5,FALSE)</f>
        <v>0</v>
      </c>
      <c r="AP509" s="315">
        <f>VLOOKUP($AK509,ENTI!$AF$4:AK$1003,6,FALSE)</f>
        <v>0</v>
      </c>
      <c r="AQ509" s="208">
        <f t="shared" si="102"/>
        <v>0</v>
      </c>
      <c r="AR509" s="152" t="e">
        <f t="shared" si="103"/>
        <v>#N/A</v>
      </c>
      <c r="AS509" s="1"/>
      <c r="AT509" s="88" t="str">
        <f t="shared" si="96"/>
        <v/>
      </c>
      <c r="AU509" s="1"/>
      <c r="AV509" s="175">
        <f>IF(AW509&gt;0,COUNTIF(AV$4:AV508,"&gt;0")+1,0)</f>
        <v>0</v>
      </c>
      <c r="AW509" s="164">
        <f t="shared" si="97"/>
        <v>0</v>
      </c>
      <c r="AX509" s="310">
        <f>IF($AW509=0,0,VLOOKUP(VLOOKUP($X509,$B$34:$T$38,19,FALSE),ENTI!$A$9:$B$13,2,FALSE))</f>
        <v>0</v>
      </c>
      <c r="AY509" s="310">
        <f t="shared" si="99"/>
        <v>0</v>
      </c>
      <c r="AZ509" s="316">
        <f t="shared" si="100"/>
        <v>0</v>
      </c>
      <c r="BA509" s="1"/>
      <c r="BB509" s="152">
        <f t="shared" si="101"/>
        <v>0</v>
      </c>
      <c r="BC509" s="152">
        <f ca="1">SUM(Z$4:Z509)+SUM(BB$4:BB509)+COSTI!S$6-COSTI!L$1076</f>
        <v>-31.760000000000218</v>
      </c>
      <c r="BD509" s="1"/>
    </row>
    <row r="510" spans="1:56" ht="16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435">
        <f>IF(AND(W510&gt;=$U$1,W510&lt;=$U$2),IF(X510='ESTRATTO CONTO'!$E$2,1+COUNTIF(U$4:U509,"&gt;0"),0),0)</f>
        <v>0</v>
      </c>
      <c r="V510" s="417">
        <f t="shared" si="98"/>
        <v>507</v>
      </c>
      <c r="W510" s="509"/>
      <c r="X510" s="321"/>
      <c r="Y510" s="321"/>
      <c r="Z510" s="508"/>
      <c r="AA510" s="356"/>
      <c r="AB510" s="306" t="str">
        <f t="shared" si="94"/>
        <v/>
      </c>
      <c r="AC510" s="637">
        <f t="shared" ca="1" si="104"/>
        <v>-2.1316282072803006E-13</v>
      </c>
      <c r="AD510" s="935">
        <f>IF(ISERROR(VLOOKUP(AD$2,X511:X$1003,1,FALSE)),IF(X510=AD$2,SUMIF(X$4:X510,AD$2,Z$4:Z510)+$E$9+SUM(AQ$4:AQ$1003)+SUMIF(COSTI!$X$1379:$X$1430,AD$2,COSTI!$Z$1379:$Z$1430),0),0)</f>
        <v>0</v>
      </c>
      <c r="AE510" s="26"/>
      <c r="AF510" s="856" t="e">
        <f>IF(ISERROR(VLOOKUP(AG$2,X511:X$1003,1,FALSE)),IF(X510=AG$2,SUMIF(X$4:X510,AG$2,Z$4:Z510)+VLOOKUP(AF$2,$B$1057:$F$1068,5,FALSE)+SUM(AR$4:AR$1003)+SUMIF(COSTI!$X$1379:$X$1430,AG$2,COSTI!$Z$1379:$Z$1430),0),0)</f>
        <v>#N/A</v>
      </c>
      <c r="AG510" s="859"/>
      <c r="AH510" s="27" t="str">
        <f t="shared" si="95"/>
        <v/>
      </c>
      <c r="AI510" s="152">
        <f ca="1">IF(W511&gt;0,0,IF(AH510=0,(Z510*-1)+BC510+SUM(BB$4:BB509),BC510+SUM(BB$4:BB509)))</f>
        <v>-2.1316282072803006E-13</v>
      </c>
      <c r="AJ510" s="931">
        <f>IF(AND(AL510&gt;=$U$1,AL510&lt;=$U$2),IF(AM510='ESTRATTO CONTO'!$E$2,1+COUNTIF(AJ$4:AJ509,"&gt;0")+U$1015,0),0)</f>
        <v>0</v>
      </c>
      <c r="AK510" s="203">
        <f>IF(AND(OR((AK509+1)&lt;AL$1015,(AK509+1)=AL$1015),MAX(AK$4:AK509)&lt;AL$1015),AK509+1,0)</f>
        <v>0</v>
      </c>
      <c r="AL510" s="309">
        <f>VLOOKUP($AK510,ENTI!$AF$4:AG$1003,2,FALSE)</f>
        <v>0</v>
      </c>
      <c r="AM510" s="224">
        <f>VLOOKUP($AK510,ENTI!$AF$4:AH$1003,3,FALSE)</f>
        <v>0</v>
      </c>
      <c r="AN510" s="224">
        <f>VLOOKUP($AK510,ENTI!$AF$4:AI$1003,4,FALSE)</f>
        <v>0</v>
      </c>
      <c r="AO510" s="781">
        <f>VLOOKUP($AK510,ENTI!$AF$4:AJ$1003,5,FALSE)</f>
        <v>0</v>
      </c>
      <c r="AP510" s="315">
        <f>VLOOKUP($AK510,ENTI!$AF$4:AK$1003,6,FALSE)</f>
        <v>0</v>
      </c>
      <c r="AQ510" s="208">
        <f t="shared" si="102"/>
        <v>0</v>
      </c>
      <c r="AR510" s="152" t="e">
        <f t="shared" si="103"/>
        <v>#N/A</v>
      </c>
      <c r="AS510" s="1"/>
      <c r="AT510" s="88" t="str">
        <f t="shared" si="96"/>
        <v/>
      </c>
      <c r="AU510" s="1"/>
      <c r="AV510" s="175">
        <f>IF(AW510&gt;0,COUNTIF(AV$4:AV509,"&gt;0")+1,0)</f>
        <v>0</v>
      </c>
      <c r="AW510" s="164">
        <f t="shared" si="97"/>
        <v>0</v>
      </c>
      <c r="AX510" s="310">
        <f>IF($AW510=0,0,VLOOKUP(VLOOKUP($X510,$B$34:$T$38,19,FALSE),ENTI!$A$9:$B$13,2,FALSE))</f>
        <v>0</v>
      </c>
      <c r="AY510" s="310">
        <f t="shared" si="99"/>
        <v>0</v>
      </c>
      <c r="AZ510" s="316">
        <f t="shared" si="100"/>
        <v>0</v>
      </c>
      <c r="BA510" s="1"/>
      <c r="BB510" s="152">
        <f t="shared" si="101"/>
        <v>0</v>
      </c>
      <c r="BC510" s="152">
        <f ca="1">SUM(Z$4:Z510)+SUM(BB$4:BB510)+COSTI!S$6-COSTI!L$1076</f>
        <v>-31.760000000000218</v>
      </c>
      <c r="BD510" s="1"/>
    </row>
    <row r="511" spans="1:56" ht="16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435">
        <f>IF(AND(W511&gt;=$U$1,W511&lt;=$U$2),IF(X511='ESTRATTO CONTO'!$E$2,1+COUNTIF(U$4:U510,"&gt;0"),0),0)</f>
        <v>0</v>
      </c>
      <c r="V511" s="417">
        <f t="shared" si="98"/>
        <v>508</v>
      </c>
      <c r="W511" s="509"/>
      <c r="X511" s="321"/>
      <c r="Y511" s="321"/>
      <c r="Z511" s="508"/>
      <c r="AA511" s="356"/>
      <c r="AB511" s="306" t="str">
        <f t="shared" si="94"/>
        <v/>
      </c>
      <c r="AC511" s="637">
        <f t="shared" ca="1" si="104"/>
        <v>-2.1316282072803006E-13</v>
      </c>
      <c r="AD511" s="935">
        <f>IF(ISERROR(VLOOKUP(AD$2,X512:X$1003,1,FALSE)),IF(X511=AD$2,SUMIF(X$4:X511,AD$2,Z$4:Z511)+$E$9+SUM(AQ$4:AQ$1003)+SUMIF(COSTI!$X$1379:$X$1430,AD$2,COSTI!$Z$1379:$Z$1430),0),0)</f>
        <v>0</v>
      </c>
      <c r="AE511" s="26"/>
      <c r="AF511" s="856" t="e">
        <f>IF(ISERROR(VLOOKUP(AG$2,X512:X$1003,1,FALSE)),IF(X511=AG$2,SUMIF(X$4:X511,AG$2,Z$4:Z511)+VLOOKUP(AF$2,$B$1057:$F$1068,5,FALSE)+SUM(AR$4:AR$1003)+SUMIF(COSTI!$X$1379:$X$1430,AG$2,COSTI!$Z$1379:$Z$1430),0),0)</f>
        <v>#N/A</v>
      </c>
      <c r="AG511" s="859"/>
      <c r="AH511" s="27" t="str">
        <f t="shared" si="95"/>
        <v/>
      </c>
      <c r="AI511" s="152">
        <f ca="1">IF(W512&gt;0,0,IF(AH511=0,(Z511*-1)+BC511+SUM(BB$4:BB510),BC511+SUM(BB$4:BB510)))</f>
        <v>-2.1316282072803006E-13</v>
      </c>
      <c r="AJ511" s="931">
        <f>IF(AND(AL511&gt;=$U$1,AL511&lt;=$U$2),IF(AM511='ESTRATTO CONTO'!$E$2,1+COUNTIF(AJ$4:AJ510,"&gt;0")+U$1015,0),0)</f>
        <v>0</v>
      </c>
      <c r="AK511" s="203">
        <f>IF(AND(OR((AK510+1)&lt;AL$1015,(AK510+1)=AL$1015),MAX(AK$4:AK510)&lt;AL$1015),AK510+1,0)</f>
        <v>0</v>
      </c>
      <c r="AL511" s="309">
        <f>VLOOKUP($AK511,ENTI!$AF$4:AG$1003,2,FALSE)</f>
        <v>0</v>
      </c>
      <c r="AM511" s="224">
        <f>VLOOKUP($AK511,ENTI!$AF$4:AH$1003,3,FALSE)</f>
        <v>0</v>
      </c>
      <c r="AN511" s="224">
        <f>VLOOKUP($AK511,ENTI!$AF$4:AI$1003,4,FALSE)</f>
        <v>0</v>
      </c>
      <c r="AO511" s="781">
        <f>VLOOKUP($AK511,ENTI!$AF$4:AJ$1003,5,FALSE)</f>
        <v>0</v>
      </c>
      <c r="AP511" s="315">
        <f>VLOOKUP($AK511,ENTI!$AF$4:AK$1003,6,FALSE)</f>
        <v>0</v>
      </c>
      <c r="AQ511" s="208">
        <f t="shared" si="102"/>
        <v>0</v>
      </c>
      <c r="AR511" s="152" t="e">
        <f t="shared" si="103"/>
        <v>#N/A</v>
      </c>
      <c r="AS511" s="1"/>
      <c r="AT511" s="88" t="str">
        <f t="shared" si="96"/>
        <v/>
      </c>
      <c r="AU511" s="1"/>
      <c r="AV511" s="175">
        <f>IF(AW511&gt;0,COUNTIF(AV$4:AV510,"&gt;0")+1,0)</f>
        <v>0</v>
      </c>
      <c r="AW511" s="164">
        <f t="shared" si="97"/>
        <v>0</v>
      </c>
      <c r="AX511" s="310">
        <f>IF($AW511=0,0,VLOOKUP(VLOOKUP($X511,$B$34:$T$38,19,FALSE),ENTI!$A$9:$B$13,2,FALSE))</f>
        <v>0</v>
      </c>
      <c r="AY511" s="310">
        <f t="shared" si="99"/>
        <v>0</v>
      </c>
      <c r="AZ511" s="316">
        <f t="shared" si="100"/>
        <v>0</v>
      </c>
      <c r="BA511" s="1"/>
      <c r="BB511" s="152">
        <f t="shared" si="101"/>
        <v>0</v>
      </c>
      <c r="BC511" s="152">
        <f ca="1">SUM(Z$4:Z511)+SUM(BB$4:BB511)+COSTI!S$6-COSTI!L$1076</f>
        <v>-31.760000000000218</v>
      </c>
      <c r="BD511" s="1"/>
    </row>
    <row r="512" spans="1:56" ht="16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435">
        <f>IF(AND(W512&gt;=$U$1,W512&lt;=$U$2),IF(X512='ESTRATTO CONTO'!$E$2,1+COUNTIF(U$4:U511,"&gt;0"),0),0)</f>
        <v>0</v>
      </c>
      <c r="V512" s="417">
        <f t="shared" si="98"/>
        <v>509</v>
      </c>
      <c r="W512" s="509"/>
      <c r="X512" s="321"/>
      <c r="Y512" s="321"/>
      <c r="Z512" s="508"/>
      <c r="AA512" s="356"/>
      <c r="AB512" s="306" t="str">
        <f t="shared" si="94"/>
        <v/>
      </c>
      <c r="AC512" s="637">
        <f t="shared" ca="1" si="104"/>
        <v>-2.1316282072803006E-13</v>
      </c>
      <c r="AD512" s="935">
        <f>IF(ISERROR(VLOOKUP(AD$2,X513:X$1003,1,FALSE)),IF(X512=AD$2,SUMIF(X$4:X512,AD$2,Z$4:Z512)+$E$9+SUM(AQ$4:AQ$1003)+SUMIF(COSTI!$X$1379:$X$1430,AD$2,COSTI!$Z$1379:$Z$1430),0),0)</f>
        <v>0</v>
      </c>
      <c r="AE512" s="26"/>
      <c r="AF512" s="856" t="e">
        <f>IF(ISERROR(VLOOKUP(AG$2,X513:X$1003,1,FALSE)),IF(X512=AG$2,SUMIF(X$4:X512,AG$2,Z$4:Z512)+VLOOKUP(AF$2,$B$1057:$F$1068,5,FALSE)+SUM(AR$4:AR$1003)+SUMIF(COSTI!$X$1379:$X$1430,AG$2,COSTI!$Z$1379:$Z$1430),0),0)</f>
        <v>#N/A</v>
      </c>
      <c r="AG512" s="859"/>
      <c r="AH512" s="27" t="str">
        <f t="shared" si="95"/>
        <v/>
      </c>
      <c r="AI512" s="152">
        <f ca="1">IF(W513&gt;0,0,IF(AH512=0,(Z512*-1)+BC512+SUM(BB$4:BB511),BC512+SUM(BB$4:BB511)))</f>
        <v>-2.1316282072803006E-13</v>
      </c>
      <c r="AJ512" s="931">
        <f>IF(AND(AL512&gt;=$U$1,AL512&lt;=$U$2),IF(AM512='ESTRATTO CONTO'!$E$2,1+COUNTIF(AJ$4:AJ511,"&gt;0")+U$1015,0),0)</f>
        <v>0</v>
      </c>
      <c r="AK512" s="203">
        <f>IF(AND(OR((AK511+1)&lt;AL$1015,(AK511+1)=AL$1015),MAX(AK$4:AK511)&lt;AL$1015),AK511+1,0)</f>
        <v>0</v>
      </c>
      <c r="AL512" s="309">
        <f>VLOOKUP($AK512,ENTI!$AF$4:AG$1003,2,FALSE)</f>
        <v>0</v>
      </c>
      <c r="AM512" s="224">
        <f>VLOOKUP($AK512,ENTI!$AF$4:AH$1003,3,FALSE)</f>
        <v>0</v>
      </c>
      <c r="AN512" s="224">
        <f>VLOOKUP($AK512,ENTI!$AF$4:AI$1003,4,FALSE)</f>
        <v>0</v>
      </c>
      <c r="AO512" s="781">
        <f>VLOOKUP($AK512,ENTI!$AF$4:AJ$1003,5,FALSE)</f>
        <v>0</v>
      </c>
      <c r="AP512" s="315">
        <f>VLOOKUP($AK512,ENTI!$AF$4:AK$1003,6,FALSE)</f>
        <v>0</v>
      </c>
      <c r="AQ512" s="208">
        <f t="shared" si="102"/>
        <v>0</v>
      </c>
      <c r="AR512" s="152" t="e">
        <f t="shared" si="103"/>
        <v>#N/A</v>
      </c>
      <c r="AS512" s="1"/>
      <c r="AT512" s="88" t="str">
        <f t="shared" si="96"/>
        <v/>
      </c>
      <c r="AU512" s="1"/>
      <c r="AV512" s="175">
        <f>IF(AW512&gt;0,COUNTIF(AV$4:AV511,"&gt;0")+1,0)</f>
        <v>0</v>
      </c>
      <c r="AW512" s="164">
        <f t="shared" si="97"/>
        <v>0</v>
      </c>
      <c r="AX512" s="310">
        <f>IF($AW512=0,0,VLOOKUP(VLOOKUP($X512,$B$34:$T$38,19,FALSE),ENTI!$A$9:$B$13,2,FALSE))</f>
        <v>0</v>
      </c>
      <c r="AY512" s="310">
        <f t="shared" si="99"/>
        <v>0</v>
      </c>
      <c r="AZ512" s="316">
        <f t="shared" si="100"/>
        <v>0</v>
      </c>
      <c r="BA512" s="1"/>
      <c r="BB512" s="152">
        <f t="shared" si="101"/>
        <v>0</v>
      </c>
      <c r="BC512" s="152">
        <f ca="1">SUM(Z$4:Z512)+SUM(BB$4:BB512)+COSTI!S$6-COSTI!L$1076</f>
        <v>-31.760000000000218</v>
      </c>
      <c r="BD512" s="1"/>
    </row>
    <row r="513" spans="1:56" ht="16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435">
        <f>IF(AND(W513&gt;=$U$1,W513&lt;=$U$2),IF(X513='ESTRATTO CONTO'!$E$2,1+COUNTIF(U$4:U512,"&gt;0"),0),0)</f>
        <v>0</v>
      </c>
      <c r="V513" s="417">
        <f t="shared" si="98"/>
        <v>510</v>
      </c>
      <c r="W513" s="509"/>
      <c r="X513" s="321"/>
      <c r="Y513" s="321"/>
      <c r="Z513" s="508"/>
      <c r="AA513" s="356"/>
      <c r="AB513" s="306" t="str">
        <f t="shared" si="94"/>
        <v/>
      </c>
      <c r="AC513" s="637">
        <f t="shared" ca="1" si="104"/>
        <v>-2.1316282072803006E-13</v>
      </c>
      <c r="AD513" s="935">
        <f>IF(ISERROR(VLOOKUP(AD$2,X514:X$1003,1,FALSE)),IF(X513=AD$2,SUMIF(X$4:X513,AD$2,Z$4:Z513)+$E$9+SUM(AQ$4:AQ$1003)+SUMIF(COSTI!$X$1379:$X$1430,AD$2,COSTI!$Z$1379:$Z$1430),0),0)</f>
        <v>0</v>
      </c>
      <c r="AE513" s="26"/>
      <c r="AF513" s="856" t="e">
        <f>IF(ISERROR(VLOOKUP(AG$2,X514:X$1003,1,FALSE)),IF(X513=AG$2,SUMIF(X$4:X513,AG$2,Z$4:Z513)+VLOOKUP(AF$2,$B$1057:$F$1068,5,FALSE)+SUM(AR$4:AR$1003)+SUMIF(COSTI!$X$1379:$X$1430,AG$2,COSTI!$Z$1379:$Z$1430),0),0)</f>
        <v>#N/A</v>
      </c>
      <c r="AG513" s="859"/>
      <c r="AH513" s="27" t="str">
        <f t="shared" si="95"/>
        <v/>
      </c>
      <c r="AI513" s="152">
        <f ca="1">IF(W514&gt;0,0,IF(AH513=0,(Z513*-1)+BC513+SUM(BB$4:BB512),BC513+SUM(BB$4:BB512)))</f>
        <v>-2.1316282072803006E-13</v>
      </c>
      <c r="AJ513" s="931">
        <f>IF(AND(AL513&gt;=$U$1,AL513&lt;=$U$2),IF(AM513='ESTRATTO CONTO'!$E$2,1+COUNTIF(AJ$4:AJ512,"&gt;0")+U$1015,0),0)</f>
        <v>0</v>
      </c>
      <c r="AK513" s="203">
        <f>IF(AND(OR((AK512+1)&lt;AL$1015,(AK512+1)=AL$1015),MAX(AK$4:AK512)&lt;AL$1015),AK512+1,0)</f>
        <v>0</v>
      </c>
      <c r="AL513" s="309">
        <f>VLOOKUP($AK513,ENTI!$AF$4:AG$1003,2,FALSE)</f>
        <v>0</v>
      </c>
      <c r="AM513" s="224">
        <f>VLOOKUP($AK513,ENTI!$AF$4:AH$1003,3,FALSE)</f>
        <v>0</v>
      </c>
      <c r="AN513" s="224">
        <f>VLOOKUP($AK513,ENTI!$AF$4:AI$1003,4,FALSE)</f>
        <v>0</v>
      </c>
      <c r="AO513" s="781">
        <f>VLOOKUP($AK513,ENTI!$AF$4:AJ$1003,5,FALSE)</f>
        <v>0</v>
      </c>
      <c r="AP513" s="315">
        <f>VLOOKUP($AK513,ENTI!$AF$4:AK$1003,6,FALSE)</f>
        <v>0</v>
      </c>
      <c r="AQ513" s="208">
        <f t="shared" si="102"/>
        <v>0</v>
      </c>
      <c r="AR513" s="152" t="e">
        <f t="shared" si="103"/>
        <v>#N/A</v>
      </c>
      <c r="AS513" s="1"/>
      <c r="AT513" s="88" t="str">
        <f t="shared" si="96"/>
        <v/>
      </c>
      <c r="AU513" s="1"/>
      <c r="AV513" s="175">
        <f>IF(AW513&gt;0,COUNTIF(AV$4:AV512,"&gt;0")+1,0)</f>
        <v>0</v>
      </c>
      <c r="AW513" s="164">
        <f t="shared" si="97"/>
        <v>0</v>
      </c>
      <c r="AX513" s="310">
        <f>IF($AW513=0,0,VLOOKUP(VLOOKUP($X513,$B$34:$T$38,19,FALSE),ENTI!$A$9:$B$13,2,FALSE))</f>
        <v>0</v>
      </c>
      <c r="AY513" s="310">
        <f t="shared" si="99"/>
        <v>0</v>
      </c>
      <c r="AZ513" s="316">
        <f t="shared" si="100"/>
        <v>0</v>
      </c>
      <c r="BA513" s="1"/>
      <c r="BB513" s="152">
        <f t="shared" si="101"/>
        <v>0</v>
      </c>
      <c r="BC513" s="152">
        <f ca="1">SUM(Z$4:Z513)+SUM(BB$4:BB513)+COSTI!S$6-COSTI!L$1076</f>
        <v>-31.760000000000218</v>
      </c>
      <c r="BD513" s="1"/>
    </row>
    <row r="514" spans="1:56" ht="16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435">
        <f>IF(AND(W514&gt;=$U$1,W514&lt;=$U$2),IF(X514='ESTRATTO CONTO'!$E$2,1+COUNTIF(U$4:U513,"&gt;0"),0),0)</f>
        <v>0</v>
      </c>
      <c r="V514" s="417">
        <f t="shared" si="98"/>
        <v>511</v>
      </c>
      <c r="W514" s="509"/>
      <c r="X514" s="321"/>
      <c r="Y514" s="321"/>
      <c r="Z514" s="508"/>
      <c r="AA514" s="356"/>
      <c r="AB514" s="306" t="str">
        <f t="shared" si="94"/>
        <v/>
      </c>
      <c r="AC514" s="637">
        <f t="shared" ca="1" si="104"/>
        <v>-2.1316282072803006E-13</v>
      </c>
      <c r="AD514" s="935">
        <f>IF(ISERROR(VLOOKUP(AD$2,X515:X$1003,1,FALSE)),IF(X514=AD$2,SUMIF(X$4:X514,AD$2,Z$4:Z514)+$E$9+SUM(AQ$4:AQ$1003)+SUMIF(COSTI!$X$1379:$X$1430,AD$2,COSTI!$Z$1379:$Z$1430),0),0)</f>
        <v>0</v>
      </c>
      <c r="AE514" s="26"/>
      <c r="AF514" s="856" t="e">
        <f>IF(ISERROR(VLOOKUP(AG$2,X515:X$1003,1,FALSE)),IF(X514=AG$2,SUMIF(X$4:X514,AG$2,Z$4:Z514)+VLOOKUP(AF$2,$B$1057:$F$1068,5,FALSE)+SUM(AR$4:AR$1003)+SUMIF(COSTI!$X$1379:$X$1430,AG$2,COSTI!$Z$1379:$Z$1430),0),0)</f>
        <v>#N/A</v>
      </c>
      <c r="AG514" s="859"/>
      <c r="AH514" s="27" t="str">
        <f t="shared" si="95"/>
        <v/>
      </c>
      <c r="AI514" s="152">
        <f ca="1">IF(W515&gt;0,0,IF(AH514=0,(Z514*-1)+BC514+SUM(BB$4:BB513),BC514+SUM(BB$4:BB513)))</f>
        <v>-2.1316282072803006E-13</v>
      </c>
      <c r="AJ514" s="931">
        <f>IF(AND(AL514&gt;=$U$1,AL514&lt;=$U$2),IF(AM514='ESTRATTO CONTO'!$E$2,1+COUNTIF(AJ$4:AJ513,"&gt;0")+U$1015,0),0)</f>
        <v>0</v>
      </c>
      <c r="AK514" s="203">
        <f>IF(AND(OR((AK513+1)&lt;AL$1015,(AK513+1)=AL$1015),MAX(AK$4:AK513)&lt;AL$1015),AK513+1,0)</f>
        <v>0</v>
      </c>
      <c r="AL514" s="309">
        <f>VLOOKUP($AK514,ENTI!$AF$4:AG$1003,2,FALSE)</f>
        <v>0</v>
      </c>
      <c r="AM514" s="224">
        <f>VLOOKUP($AK514,ENTI!$AF$4:AH$1003,3,FALSE)</f>
        <v>0</v>
      </c>
      <c r="AN514" s="224">
        <f>VLOOKUP($AK514,ENTI!$AF$4:AI$1003,4,FALSE)</f>
        <v>0</v>
      </c>
      <c r="AO514" s="781">
        <f>VLOOKUP($AK514,ENTI!$AF$4:AJ$1003,5,FALSE)</f>
        <v>0</v>
      </c>
      <c r="AP514" s="315">
        <f>VLOOKUP($AK514,ENTI!$AF$4:AK$1003,6,FALSE)</f>
        <v>0</v>
      </c>
      <c r="AQ514" s="208">
        <f t="shared" si="102"/>
        <v>0</v>
      </c>
      <c r="AR514" s="152" t="e">
        <f t="shared" si="103"/>
        <v>#N/A</v>
      </c>
      <c r="AS514" s="1"/>
      <c r="AT514" s="88" t="str">
        <f t="shared" si="96"/>
        <v/>
      </c>
      <c r="AU514" s="1"/>
      <c r="AV514" s="175">
        <f>IF(AW514&gt;0,COUNTIF(AV$4:AV513,"&gt;0")+1,0)</f>
        <v>0</v>
      </c>
      <c r="AW514" s="164">
        <f t="shared" si="97"/>
        <v>0</v>
      </c>
      <c r="AX514" s="310">
        <f>IF($AW514=0,0,VLOOKUP(VLOOKUP($X514,$B$34:$T$38,19,FALSE),ENTI!$A$9:$B$13,2,FALSE))</f>
        <v>0</v>
      </c>
      <c r="AY514" s="310">
        <f t="shared" si="99"/>
        <v>0</v>
      </c>
      <c r="AZ514" s="316">
        <f t="shared" si="100"/>
        <v>0</v>
      </c>
      <c r="BA514" s="1"/>
      <c r="BB514" s="152">
        <f t="shared" si="101"/>
        <v>0</v>
      </c>
      <c r="BC514" s="152">
        <f ca="1">SUM(Z$4:Z514)+SUM(BB$4:BB514)+COSTI!S$6-COSTI!L$1076</f>
        <v>-31.760000000000218</v>
      </c>
      <c r="BD514" s="1"/>
    </row>
    <row r="515" spans="1:56" ht="16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435">
        <f>IF(AND(W515&gt;=$U$1,W515&lt;=$U$2),IF(X515='ESTRATTO CONTO'!$E$2,1+COUNTIF(U$4:U514,"&gt;0"),0),0)</f>
        <v>0</v>
      </c>
      <c r="V515" s="417">
        <f t="shared" si="98"/>
        <v>512</v>
      </c>
      <c r="W515" s="509"/>
      <c r="X515" s="321"/>
      <c r="Y515" s="321"/>
      <c r="Z515" s="508"/>
      <c r="AA515" s="356"/>
      <c r="AB515" s="306" t="str">
        <f t="shared" si="94"/>
        <v/>
      </c>
      <c r="AC515" s="637">
        <f t="shared" ca="1" si="104"/>
        <v>-2.1316282072803006E-13</v>
      </c>
      <c r="AD515" s="935">
        <f>IF(ISERROR(VLOOKUP(AD$2,X516:X$1003,1,FALSE)),IF(X515=AD$2,SUMIF(X$4:X515,AD$2,Z$4:Z515)+$E$9+SUM(AQ$4:AQ$1003)+SUMIF(COSTI!$X$1379:$X$1430,AD$2,COSTI!$Z$1379:$Z$1430),0),0)</f>
        <v>0</v>
      </c>
      <c r="AE515" s="26"/>
      <c r="AF515" s="856" t="e">
        <f>IF(ISERROR(VLOOKUP(AG$2,X516:X$1003,1,FALSE)),IF(X515=AG$2,SUMIF(X$4:X515,AG$2,Z$4:Z515)+VLOOKUP(AF$2,$B$1057:$F$1068,5,FALSE)+SUM(AR$4:AR$1003)+SUMIF(COSTI!$X$1379:$X$1430,AG$2,COSTI!$Z$1379:$Z$1430),0),0)</f>
        <v>#N/A</v>
      </c>
      <c r="AG515" s="859"/>
      <c r="AH515" s="27" t="str">
        <f t="shared" si="95"/>
        <v/>
      </c>
      <c r="AI515" s="152">
        <f ca="1">IF(W516&gt;0,0,IF(AH515=0,(Z515*-1)+BC515+SUM(BB$4:BB514),BC515+SUM(BB$4:BB514)))</f>
        <v>-2.1316282072803006E-13</v>
      </c>
      <c r="AJ515" s="931">
        <f>IF(AND(AL515&gt;=$U$1,AL515&lt;=$U$2),IF(AM515='ESTRATTO CONTO'!$E$2,1+COUNTIF(AJ$4:AJ514,"&gt;0")+U$1015,0),0)</f>
        <v>0</v>
      </c>
      <c r="AK515" s="203">
        <f>IF(AND(OR((AK514+1)&lt;AL$1015,(AK514+1)=AL$1015),MAX(AK$4:AK514)&lt;AL$1015),AK514+1,0)</f>
        <v>0</v>
      </c>
      <c r="AL515" s="309">
        <f>VLOOKUP($AK515,ENTI!$AF$4:AG$1003,2,FALSE)</f>
        <v>0</v>
      </c>
      <c r="AM515" s="224">
        <f>VLOOKUP($AK515,ENTI!$AF$4:AH$1003,3,FALSE)</f>
        <v>0</v>
      </c>
      <c r="AN515" s="224">
        <f>VLOOKUP($AK515,ENTI!$AF$4:AI$1003,4,FALSE)</f>
        <v>0</v>
      </c>
      <c r="AO515" s="781">
        <f>VLOOKUP($AK515,ENTI!$AF$4:AJ$1003,5,FALSE)</f>
        <v>0</v>
      </c>
      <c r="AP515" s="315">
        <f>VLOOKUP($AK515,ENTI!$AF$4:AK$1003,6,FALSE)</f>
        <v>0</v>
      </c>
      <c r="AQ515" s="208">
        <f t="shared" si="102"/>
        <v>0</v>
      </c>
      <c r="AR515" s="152" t="e">
        <f t="shared" si="103"/>
        <v>#N/A</v>
      </c>
      <c r="AS515" s="1"/>
      <c r="AT515" s="88" t="str">
        <f t="shared" si="96"/>
        <v/>
      </c>
      <c r="AU515" s="1"/>
      <c r="AV515" s="175">
        <f>IF(AW515&gt;0,COUNTIF(AV$4:AV514,"&gt;0")+1,0)</f>
        <v>0</v>
      </c>
      <c r="AW515" s="164">
        <f t="shared" si="97"/>
        <v>0</v>
      </c>
      <c r="AX515" s="310">
        <f>IF($AW515=0,0,VLOOKUP(VLOOKUP($X515,$B$34:$T$38,19,FALSE),ENTI!$A$9:$B$13,2,FALSE))</f>
        <v>0</v>
      </c>
      <c r="AY515" s="310">
        <f t="shared" si="99"/>
        <v>0</v>
      </c>
      <c r="AZ515" s="316">
        <f t="shared" si="100"/>
        <v>0</v>
      </c>
      <c r="BA515" s="1"/>
      <c r="BB515" s="152">
        <f t="shared" si="101"/>
        <v>0</v>
      </c>
      <c r="BC515" s="152">
        <f ca="1">SUM(Z$4:Z515)+SUM(BB$4:BB515)+COSTI!S$6-COSTI!L$1076</f>
        <v>-31.760000000000218</v>
      </c>
      <c r="BD515" s="1"/>
    </row>
    <row r="516" spans="1:56" ht="16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435">
        <f>IF(AND(W516&gt;=$U$1,W516&lt;=$U$2),IF(X516='ESTRATTO CONTO'!$E$2,1+COUNTIF(U$4:U515,"&gt;0"),0),0)</f>
        <v>0</v>
      </c>
      <c r="V516" s="417">
        <f t="shared" si="98"/>
        <v>513</v>
      </c>
      <c r="W516" s="509"/>
      <c r="X516" s="321"/>
      <c r="Y516" s="321"/>
      <c r="Z516" s="508"/>
      <c r="AA516" s="356"/>
      <c r="AB516" s="306" t="str">
        <f t="shared" ref="AB516:AB579" si="105">IF(W516&gt;0,IF(AND(W516&gt;=W$1012,W516&lt;=W$1013),CONCATENATE(MONTH(W516)&amp;X516),0),"")</f>
        <v/>
      </c>
      <c r="AC516" s="637">
        <f t="shared" ca="1" si="104"/>
        <v>-2.1316282072803006E-13</v>
      </c>
      <c r="AD516" s="935">
        <f>IF(ISERROR(VLOOKUP(AD$2,X517:X$1003,1,FALSE)),IF(X516=AD$2,SUMIF(X$4:X516,AD$2,Z$4:Z516)+$E$9+SUM(AQ$4:AQ$1003)+SUMIF(COSTI!$X$1379:$X$1430,AD$2,COSTI!$Z$1379:$Z$1430),0),0)</f>
        <v>0</v>
      </c>
      <c r="AE516" s="26"/>
      <c r="AF516" s="856" t="e">
        <f>IF(ISERROR(VLOOKUP(AG$2,X517:X$1003,1,FALSE)),IF(X516=AG$2,SUMIF(X$4:X516,AG$2,Z$4:Z516)+VLOOKUP(AF$2,$B$1057:$F$1068,5,FALSE)+SUM(AR$4:AR$1003)+SUMIF(COSTI!$X$1379:$X$1430,AG$2,COSTI!$Z$1379:$Z$1430),0),0)</f>
        <v>#N/A</v>
      </c>
      <c r="AG516" s="859"/>
      <c r="AH516" s="27" t="str">
        <f t="shared" ref="AH516:AH579" si="106">IF(ISBLANK(X516),"",IF(ISERROR(VLOOKUP(X516,B$34:B$38,1,FALSE)),1,0))</f>
        <v/>
      </c>
      <c r="AI516" s="152">
        <f ca="1">IF(W517&gt;0,0,IF(AH516=0,(Z516*-1)+BC516+SUM(BB$4:BB515),BC516+SUM(BB$4:BB515)))</f>
        <v>-2.1316282072803006E-13</v>
      </c>
      <c r="AJ516" s="931">
        <f>IF(AND(AL516&gt;=$U$1,AL516&lt;=$U$2),IF(AM516='ESTRATTO CONTO'!$E$2,1+COUNTIF(AJ$4:AJ515,"&gt;0")+U$1015,0),0)</f>
        <v>0</v>
      </c>
      <c r="AK516" s="203">
        <f>IF(AND(OR((AK515+1)&lt;AL$1015,(AK515+1)=AL$1015),MAX(AK$4:AK515)&lt;AL$1015),AK515+1,0)</f>
        <v>0</v>
      </c>
      <c r="AL516" s="309">
        <f>VLOOKUP($AK516,ENTI!$AF$4:AG$1003,2,FALSE)</f>
        <v>0</v>
      </c>
      <c r="AM516" s="224">
        <f>VLOOKUP($AK516,ENTI!$AF$4:AH$1003,3,FALSE)</f>
        <v>0</v>
      </c>
      <c r="AN516" s="224">
        <f>VLOOKUP($AK516,ENTI!$AF$4:AI$1003,4,FALSE)</f>
        <v>0</v>
      </c>
      <c r="AO516" s="781">
        <f>VLOOKUP($AK516,ENTI!$AF$4:AJ$1003,5,FALSE)</f>
        <v>0</v>
      </c>
      <c r="AP516" s="315">
        <f>VLOOKUP($AK516,ENTI!$AF$4:AK$1003,6,FALSE)</f>
        <v>0</v>
      </c>
      <c r="AQ516" s="208">
        <f t="shared" si="102"/>
        <v>0</v>
      </c>
      <c r="AR516" s="152" t="e">
        <f t="shared" si="103"/>
        <v>#N/A</v>
      </c>
      <c r="AS516" s="1"/>
      <c r="AT516" s="88" t="str">
        <f t="shared" ref="AT516:AT579" si="107">IF(AL516&gt;0,IF(AND(AL516&gt;=W$1012,AL516&lt;=W$1013),CONCATENATE(MONTH(AL516)&amp;AM516),0),"")</f>
        <v/>
      </c>
      <c r="AU516" s="1"/>
      <c r="AV516" s="175">
        <f>IF(AW516&gt;0,COUNTIF(AV$4:AV515,"&gt;0")+1,0)</f>
        <v>0</v>
      </c>
      <c r="AW516" s="164">
        <f t="shared" ref="AW516:AW579" si="108">IF(ISERROR(VLOOKUP($X516,$B$34:$B$38,1,FALSE)),0,W516)</f>
        <v>0</v>
      </c>
      <c r="AX516" s="310">
        <f>IF($AW516=0,0,VLOOKUP(VLOOKUP($X516,$B$34:$T$38,19,FALSE),ENTI!$A$9:$B$13,2,FALSE))</f>
        <v>0</v>
      </c>
      <c r="AY516" s="310">
        <f t="shared" si="99"/>
        <v>0</v>
      </c>
      <c r="AZ516" s="316">
        <f t="shared" si="100"/>
        <v>0</v>
      </c>
      <c r="BA516" s="1"/>
      <c r="BB516" s="152">
        <f t="shared" si="101"/>
        <v>0</v>
      </c>
      <c r="BC516" s="152">
        <f ca="1">SUM(Z$4:Z516)+SUM(BB$4:BB516)+COSTI!S$6-COSTI!L$1076</f>
        <v>-31.760000000000218</v>
      </c>
      <c r="BD516" s="1"/>
    </row>
    <row r="517" spans="1:56" ht="16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435">
        <f>IF(AND(W517&gt;=$U$1,W517&lt;=$U$2),IF(X517='ESTRATTO CONTO'!$E$2,1+COUNTIF(U$4:U516,"&gt;0"),0),0)</f>
        <v>0</v>
      </c>
      <c r="V517" s="417">
        <f t="shared" si="98"/>
        <v>514</v>
      </c>
      <c r="W517" s="509"/>
      <c r="X517" s="321"/>
      <c r="Y517" s="321"/>
      <c r="Z517" s="508"/>
      <c r="AA517" s="356"/>
      <c r="AB517" s="306" t="str">
        <f t="shared" si="105"/>
        <v/>
      </c>
      <c r="AC517" s="637">
        <f t="shared" ca="1" si="104"/>
        <v>-2.1316282072803006E-13</v>
      </c>
      <c r="AD517" s="935">
        <f>IF(ISERROR(VLOOKUP(AD$2,X518:X$1003,1,FALSE)),IF(X517=AD$2,SUMIF(X$4:X517,AD$2,Z$4:Z517)+$E$9+SUM(AQ$4:AQ$1003)+SUMIF(COSTI!$X$1379:$X$1430,AD$2,COSTI!$Z$1379:$Z$1430),0),0)</f>
        <v>0</v>
      </c>
      <c r="AE517" s="26"/>
      <c r="AF517" s="856" t="e">
        <f>IF(ISERROR(VLOOKUP(AG$2,X518:X$1003,1,FALSE)),IF(X517=AG$2,SUMIF(X$4:X517,AG$2,Z$4:Z517)+VLOOKUP(AF$2,$B$1057:$F$1068,5,FALSE)+SUM(AR$4:AR$1003)+SUMIF(COSTI!$X$1379:$X$1430,AG$2,COSTI!$Z$1379:$Z$1430),0),0)</f>
        <v>#N/A</v>
      </c>
      <c r="AG517" s="859"/>
      <c r="AH517" s="27" t="str">
        <f t="shared" si="106"/>
        <v/>
      </c>
      <c r="AI517" s="152">
        <f ca="1">IF(W518&gt;0,0,IF(AH517=0,(Z517*-1)+BC517+SUM(BB$4:BB516),BC517+SUM(BB$4:BB516)))</f>
        <v>-2.1316282072803006E-13</v>
      </c>
      <c r="AJ517" s="931">
        <f>IF(AND(AL517&gt;=$U$1,AL517&lt;=$U$2),IF(AM517='ESTRATTO CONTO'!$E$2,1+COUNTIF(AJ$4:AJ516,"&gt;0")+U$1015,0),0)</f>
        <v>0</v>
      </c>
      <c r="AK517" s="203">
        <f>IF(AND(OR((AK516+1)&lt;AL$1015,(AK516+1)=AL$1015),MAX(AK$4:AK516)&lt;AL$1015),AK516+1,0)</f>
        <v>0</v>
      </c>
      <c r="AL517" s="309">
        <f>VLOOKUP($AK517,ENTI!$AF$4:AG$1003,2,FALSE)</f>
        <v>0</v>
      </c>
      <c r="AM517" s="224">
        <f>VLOOKUP($AK517,ENTI!$AF$4:AH$1003,3,FALSE)</f>
        <v>0</v>
      </c>
      <c r="AN517" s="224">
        <f>VLOOKUP($AK517,ENTI!$AF$4:AI$1003,4,FALSE)</f>
        <v>0</v>
      </c>
      <c r="AO517" s="781">
        <f>VLOOKUP($AK517,ENTI!$AF$4:AJ$1003,5,FALSE)</f>
        <v>0</v>
      </c>
      <c r="AP517" s="315">
        <f>VLOOKUP($AK517,ENTI!$AF$4:AK$1003,6,FALSE)</f>
        <v>0</v>
      </c>
      <c r="AQ517" s="208">
        <f t="shared" si="102"/>
        <v>0</v>
      </c>
      <c r="AR517" s="152" t="e">
        <f t="shared" si="103"/>
        <v>#N/A</v>
      </c>
      <c r="AS517" s="1"/>
      <c r="AT517" s="88" t="str">
        <f t="shared" si="107"/>
        <v/>
      </c>
      <c r="AU517" s="1"/>
      <c r="AV517" s="175">
        <f>IF(AW517&gt;0,COUNTIF(AV$4:AV516,"&gt;0")+1,0)</f>
        <v>0</v>
      </c>
      <c r="AW517" s="164">
        <f t="shared" si="108"/>
        <v>0</v>
      </c>
      <c r="AX517" s="310">
        <f>IF($AW517=0,0,VLOOKUP(VLOOKUP($X517,$B$34:$T$38,19,FALSE),ENTI!$A$9:$B$13,2,FALSE))</f>
        <v>0</v>
      </c>
      <c r="AY517" s="310">
        <f t="shared" si="99"/>
        <v>0</v>
      </c>
      <c r="AZ517" s="316">
        <f t="shared" si="100"/>
        <v>0</v>
      </c>
      <c r="BA517" s="1"/>
      <c r="BB517" s="152">
        <f t="shared" si="101"/>
        <v>0</v>
      </c>
      <c r="BC517" s="152">
        <f ca="1">SUM(Z$4:Z517)+SUM(BB$4:BB517)+COSTI!S$6-COSTI!L$1076</f>
        <v>-31.760000000000218</v>
      </c>
      <c r="BD517" s="1"/>
    </row>
    <row r="518" spans="1:56" ht="16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435">
        <f>IF(AND(W518&gt;=$U$1,W518&lt;=$U$2),IF(X518='ESTRATTO CONTO'!$E$2,1+COUNTIF(U$4:U517,"&gt;0"),0),0)</f>
        <v>0</v>
      </c>
      <c r="V518" s="417">
        <f t="shared" ref="V518:V581" si="109">V517+1</f>
        <v>515</v>
      </c>
      <c r="W518" s="509"/>
      <c r="X518" s="321"/>
      <c r="Y518" s="321"/>
      <c r="Z518" s="508"/>
      <c r="AA518" s="356"/>
      <c r="AB518" s="306" t="str">
        <f t="shared" si="105"/>
        <v/>
      </c>
      <c r="AC518" s="637">
        <f t="shared" ca="1" si="104"/>
        <v>-2.1316282072803006E-13</v>
      </c>
      <c r="AD518" s="935">
        <f>IF(ISERROR(VLOOKUP(AD$2,X519:X$1003,1,FALSE)),IF(X518=AD$2,SUMIF(X$4:X518,AD$2,Z$4:Z518)+$E$9+SUM(AQ$4:AQ$1003)+SUMIF(COSTI!$X$1379:$X$1430,AD$2,COSTI!$Z$1379:$Z$1430),0),0)</f>
        <v>0</v>
      </c>
      <c r="AE518" s="26"/>
      <c r="AF518" s="856" t="e">
        <f>IF(ISERROR(VLOOKUP(AG$2,X519:X$1003,1,FALSE)),IF(X518=AG$2,SUMIF(X$4:X518,AG$2,Z$4:Z518)+VLOOKUP(AF$2,$B$1057:$F$1068,5,FALSE)+SUM(AR$4:AR$1003)+SUMIF(COSTI!$X$1379:$X$1430,AG$2,COSTI!$Z$1379:$Z$1430),0),0)</f>
        <v>#N/A</v>
      </c>
      <c r="AG518" s="859"/>
      <c r="AH518" s="27" t="str">
        <f t="shared" si="106"/>
        <v/>
      </c>
      <c r="AI518" s="152">
        <f ca="1">IF(W519&gt;0,0,IF(AH518=0,(Z518*-1)+BC518+SUM(BB$4:BB517),BC518+SUM(BB$4:BB517)))</f>
        <v>-2.1316282072803006E-13</v>
      </c>
      <c r="AJ518" s="931">
        <f>IF(AND(AL518&gt;=$U$1,AL518&lt;=$U$2),IF(AM518='ESTRATTO CONTO'!$E$2,1+COUNTIF(AJ$4:AJ517,"&gt;0")+U$1015,0),0)</f>
        <v>0</v>
      </c>
      <c r="AK518" s="203">
        <f>IF(AND(OR((AK517+1)&lt;AL$1015,(AK517+1)=AL$1015),MAX(AK$4:AK517)&lt;AL$1015),AK517+1,0)</f>
        <v>0</v>
      </c>
      <c r="AL518" s="309">
        <f>VLOOKUP($AK518,ENTI!$AF$4:AG$1003,2,FALSE)</f>
        <v>0</v>
      </c>
      <c r="AM518" s="224">
        <f>VLOOKUP($AK518,ENTI!$AF$4:AH$1003,3,FALSE)</f>
        <v>0</v>
      </c>
      <c r="AN518" s="224">
        <f>VLOOKUP($AK518,ENTI!$AF$4:AI$1003,4,FALSE)</f>
        <v>0</v>
      </c>
      <c r="AO518" s="781">
        <f>VLOOKUP($AK518,ENTI!$AF$4:AJ$1003,5,FALSE)</f>
        <v>0</v>
      </c>
      <c r="AP518" s="315">
        <f>VLOOKUP($AK518,ENTI!$AF$4:AK$1003,6,FALSE)</f>
        <v>0</v>
      </c>
      <c r="AQ518" s="208">
        <f t="shared" si="102"/>
        <v>0</v>
      </c>
      <c r="AR518" s="152" t="e">
        <f t="shared" si="103"/>
        <v>#N/A</v>
      </c>
      <c r="AS518" s="1"/>
      <c r="AT518" s="88" t="str">
        <f t="shared" si="107"/>
        <v/>
      </c>
      <c r="AU518" s="1"/>
      <c r="AV518" s="175">
        <f>IF(AW518&gt;0,COUNTIF(AV$4:AV517,"&gt;0")+1,0)</f>
        <v>0</v>
      </c>
      <c r="AW518" s="164">
        <f t="shared" si="108"/>
        <v>0</v>
      </c>
      <c r="AX518" s="310">
        <f>IF($AW518=0,0,VLOOKUP(VLOOKUP($X518,$B$34:$T$38,19,FALSE),ENTI!$A$9:$B$13,2,FALSE))</f>
        <v>0</v>
      </c>
      <c r="AY518" s="310">
        <f t="shared" ref="AY518:AY581" si="110">IF(AW518=0,0,Y518)</f>
        <v>0</v>
      </c>
      <c r="AZ518" s="316">
        <f t="shared" ref="AZ518:AZ581" si="111">IF(AW518=0,0,Z518)</f>
        <v>0</v>
      </c>
      <c r="BA518" s="1"/>
      <c r="BB518" s="152">
        <f t="shared" ref="BB518:BB581" si="112">IF(ISERROR(VLOOKUP(X518,B$9:D$15,1,FALSE)),Z518*-1,0)</f>
        <v>0</v>
      </c>
      <c r="BC518" s="152">
        <f ca="1">SUM(Z$4:Z518)+SUM(BB$4:BB518)+COSTI!S$6-COSTI!L$1076</f>
        <v>-31.760000000000218</v>
      </c>
      <c r="BD518" s="1"/>
    </row>
    <row r="519" spans="1:56" ht="16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435">
        <f>IF(AND(W519&gt;=$U$1,W519&lt;=$U$2),IF(X519='ESTRATTO CONTO'!$E$2,1+COUNTIF(U$4:U518,"&gt;0"),0),0)</f>
        <v>0</v>
      </c>
      <c r="V519" s="417">
        <f t="shared" si="109"/>
        <v>516</v>
      </c>
      <c r="W519" s="509"/>
      <c r="X519" s="321"/>
      <c r="Y519" s="321"/>
      <c r="Z519" s="508"/>
      <c r="AA519" s="356"/>
      <c r="AB519" s="306" t="str">
        <f t="shared" si="105"/>
        <v/>
      </c>
      <c r="AC519" s="637">
        <f t="shared" ca="1" si="104"/>
        <v>-2.1316282072803006E-13</v>
      </c>
      <c r="AD519" s="935">
        <f>IF(ISERROR(VLOOKUP(AD$2,X520:X$1003,1,FALSE)),IF(X519=AD$2,SUMIF(X$4:X519,AD$2,Z$4:Z519)+$E$9+SUM(AQ$4:AQ$1003)+SUMIF(COSTI!$X$1379:$X$1430,AD$2,COSTI!$Z$1379:$Z$1430),0),0)</f>
        <v>0</v>
      </c>
      <c r="AE519" s="26"/>
      <c r="AF519" s="856" t="e">
        <f>IF(ISERROR(VLOOKUP(AG$2,X520:X$1003,1,FALSE)),IF(X519=AG$2,SUMIF(X$4:X519,AG$2,Z$4:Z519)+VLOOKUP(AF$2,$B$1057:$F$1068,5,FALSE)+SUM(AR$4:AR$1003)+SUMIF(COSTI!$X$1379:$X$1430,AG$2,COSTI!$Z$1379:$Z$1430),0),0)</f>
        <v>#N/A</v>
      </c>
      <c r="AG519" s="859"/>
      <c r="AH519" s="27" t="str">
        <f t="shared" si="106"/>
        <v/>
      </c>
      <c r="AI519" s="152">
        <f ca="1">IF(W520&gt;0,0,IF(AH519=0,(Z519*-1)+BC519+SUM(BB$4:BB518),BC519+SUM(BB$4:BB518)))</f>
        <v>-2.1316282072803006E-13</v>
      </c>
      <c r="AJ519" s="931">
        <f>IF(AND(AL519&gt;=$U$1,AL519&lt;=$U$2),IF(AM519='ESTRATTO CONTO'!$E$2,1+COUNTIF(AJ$4:AJ518,"&gt;0")+U$1015,0),0)</f>
        <v>0</v>
      </c>
      <c r="AK519" s="203">
        <f>IF(AND(OR((AK518+1)&lt;AL$1015,(AK518+1)=AL$1015),MAX(AK$4:AK518)&lt;AL$1015),AK518+1,0)</f>
        <v>0</v>
      </c>
      <c r="AL519" s="309">
        <f>VLOOKUP($AK519,ENTI!$AF$4:AG$1003,2,FALSE)</f>
        <v>0</v>
      </c>
      <c r="AM519" s="224">
        <f>VLOOKUP($AK519,ENTI!$AF$4:AH$1003,3,FALSE)</f>
        <v>0</v>
      </c>
      <c r="AN519" s="224">
        <f>VLOOKUP($AK519,ENTI!$AF$4:AI$1003,4,FALSE)</f>
        <v>0</v>
      </c>
      <c r="AO519" s="781">
        <f>VLOOKUP($AK519,ENTI!$AF$4:AJ$1003,5,FALSE)</f>
        <v>0</v>
      </c>
      <c r="AP519" s="315">
        <f>VLOOKUP($AK519,ENTI!$AF$4:AK$1003,6,FALSE)</f>
        <v>0</v>
      </c>
      <c r="AQ519" s="208">
        <f t="shared" si="102"/>
        <v>0</v>
      </c>
      <c r="AR519" s="152" t="e">
        <f t="shared" si="103"/>
        <v>#N/A</v>
      </c>
      <c r="AS519" s="1"/>
      <c r="AT519" s="88" t="str">
        <f t="shared" si="107"/>
        <v/>
      </c>
      <c r="AU519" s="1"/>
      <c r="AV519" s="175">
        <f>IF(AW519&gt;0,COUNTIF(AV$4:AV518,"&gt;0")+1,0)</f>
        <v>0</v>
      </c>
      <c r="AW519" s="164">
        <f t="shared" si="108"/>
        <v>0</v>
      </c>
      <c r="AX519" s="310">
        <f>IF($AW519=0,0,VLOOKUP(VLOOKUP($X519,$B$34:$T$38,19,FALSE),ENTI!$A$9:$B$13,2,FALSE))</f>
        <v>0</v>
      </c>
      <c r="AY519" s="310">
        <f t="shared" si="110"/>
        <v>0</v>
      </c>
      <c r="AZ519" s="316">
        <f t="shared" si="111"/>
        <v>0</v>
      </c>
      <c r="BA519" s="1"/>
      <c r="BB519" s="152">
        <f t="shared" si="112"/>
        <v>0</v>
      </c>
      <c r="BC519" s="152">
        <f ca="1">SUM(Z$4:Z519)+SUM(BB$4:BB519)+COSTI!S$6-COSTI!L$1076</f>
        <v>-31.760000000000218</v>
      </c>
      <c r="BD519" s="1"/>
    </row>
    <row r="520" spans="1:56" ht="16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435">
        <f>IF(AND(W520&gt;=$U$1,W520&lt;=$U$2),IF(X520='ESTRATTO CONTO'!$E$2,1+COUNTIF(U$4:U519,"&gt;0"),0),0)</f>
        <v>0</v>
      </c>
      <c r="V520" s="417">
        <f t="shared" si="109"/>
        <v>517</v>
      </c>
      <c r="W520" s="509"/>
      <c r="X520" s="321"/>
      <c r="Y520" s="321"/>
      <c r="Z520" s="508"/>
      <c r="AA520" s="356"/>
      <c r="AB520" s="306" t="str">
        <f t="shared" si="105"/>
        <v/>
      </c>
      <c r="AC520" s="637">
        <f t="shared" ca="1" si="104"/>
        <v>-2.1316282072803006E-13</v>
      </c>
      <c r="AD520" s="935">
        <f>IF(ISERROR(VLOOKUP(AD$2,X521:X$1003,1,FALSE)),IF(X520=AD$2,SUMIF(X$4:X520,AD$2,Z$4:Z520)+$E$9+SUM(AQ$4:AQ$1003)+SUMIF(COSTI!$X$1379:$X$1430,AD$2,COSTI!$Z$1379:$Z$1430),0),0)</f>
        <v>0</v>
      </c>
      <c r="AE520" s="26"/>
      <c r="AF520" s="856" t="e">
        <f>IF(ISERROR(VLOOKUP(AG$2,X521:X$1003,1,FALSE)),IF(X520=AG$2,SUMIF(X$4:X520,AG$2,Z$4:Z520)+VLOOKUP(AF$2,$B$1057:$F$1068,5,FALSE)+SUM(AR$4:AR$1003)+SUMIF(COSTI!$X$1379:$X$1430,AG$2,COSTI!$Z$1379:$Z$1430),0),0)</f>
        <v>#N/A</v>
      </c>
      <c r="AG520" s="859"/>
      <c r="AH520" s="27" t="str">
        <f t="shared" si="106"/>
        <v/>
      </c>
      <c r="AI520" s="152">
        <f ca="1">IF(W521&gt;0,0,IF(AH520=0,(Z520*-1)+BC520+SUM(BB$4:BB519),BC520+SUM(BB$4:BB519)))</f>
        <v>-2.1316282072803006E-13</v>
      </c>
      <c r="AJ520" s="931">
        <f>IF(AND(AL520&gt;=$U$1,AL520&lt;=$U$2),IF(AM520='ESTRATTO CONTO'!$E$2,1+COUNTIF(AJ$4:AJ519,"&gt;0")+U$1015,0),0)</f>
        <v>0</v>
      </c>
      <c r="AK520" s="203">
        <f>IF(AND(OR((AK519+1)&lt;AL$1015,(AK519+1)=AL$1015),MAX(AK$4:AK519)&lt;AL$1015),AK519+1,0)</f>
        <v>0</v>
      </c>
      <c r="AL520" s="309">
        <f>VLOOKUP($AK520,ENTI!$AF$4:AG$1003,2,FALSE)</f>
        <v>0</v>
      </c>
      <c r="AM520" s="224">
        <f>VLOOKUP($AK520,ENTI!$AF$4:AH$1003,3,FALSE)</f>
        <v>0</v>
      </c>
      <c r="AN520" s="224">
        <f>VLOOKUP($AK520,ENTI!$AF$4:AI$1003,4,FALSE)</f>
        <v>0</v>
      </c>
      <c r="AO520" s="781">
        <f>VLOOKUP($AK520,ENTI!$AF$4:AJ$1003,5,FALSE)</f>
        <v>0</v>
      </c>
      <c r="AP520" s="315">
        <f>VLOOKUP($AK520,ENTI!$AF$4:AK$1003,6,FALSE)</f>
        <v>0</v>
      </c>
      <c r="AQ520" s="208">
        <f t="shared" si="102"/>
        <v>0</v>
      </c>
      <c r="AR520" s="152" t="e">
        <f t="shared" si="103"/>
        <v>#N/A</v>
      </c>
      <c r="AS520" s="1"/>
      <c r="AT520" s="88" t="str">
        <f t="shared" si="107"/>
        <v/>
      </c>
      <c r="AU520" s="1"/>
      <c r="AV520" s="175">
        <f>IF(AW520&gt;0,COUNTIF(AV$4:AV519,"&gt;0")+1,0)</f>
        <v>0</v>
      </c>
      <c r="AW520" s="164">
        <f t="shared" si="108"/>
        <v>0</v>
      </c>
      <c r="AX520" s="310">
        <f>IF($AW520=0,0,VLOOKUP(VLOOKUP($X520,$B$34:$T$38,19,FALSE),ENTI!$A$9:$B$13,2,FALSE))</f>
        <v>0</v>
      </c>
      <c r="AY520" s="310">
        <f t="shared" si="110"/>
        <v>0</v>
      </c>
      <c r="AZ520" s="316">
        <f t="shared" si="111"/>
        <v>0</v>
      </c>
      <c r="BA520" s="1"/>
      <c r="BB520" s="152">
        <f t="shared" si="112"/>
        <v>0</v>
      </c>
      <c r="BC520" s="152">
        <f ca="1">SUM(Z$4:Z520)+SUM(BB$4:BB520)+COSTI!S$6-COSTI!L$1076</f>
        <v>-31.760000000000218</v>
      </c>
      <c r="BD520" s="1"/>
    </row>
    <row r="521" spans="1:56" ht="16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435">
        <f>IF(AND(W521&gt;=$U$1,W521&lt;=$U$2),IF(X521='ESTRATTO CONTO'!$E$2,1+COUNTIF(U$4:U520,"&gt;0"),0),0)</f>
        <v>0</v>
      </c>
      <c r="V521" s="417">
        <f t="shared" si="109"/>
        <v>518</v>
      </c>
      <c r="W521" s="509"/>
      <c r="X521" s="321"/>
      <c r="Y521" s="321"/>
      <c r="Z521" s="508"/>
      <c r="AA521" s="356"/>
      <c r="AB521" s="306" t="str">
        <f t="shared" si="105"/>
        <v/>
      </c>
      <c r="AC521" s="637">
        <f t="shared" ca="1" si="104"/>
        <v>-2.1316282072803006E-13</v>
      </c>
      <c r="AD521" s="935">
        <f>IF(ISERROR(VLOOKUP(AD$2,X522:X$1003,1,FALSE)),IF(X521=AD$2,SUMIF(X$4:X521,AD$2,Z$4:Z521)+$E$9+SUM(AQ$4:AQ$1003)+SUMIF(COSTI!$X$1379:$X$1430,AD$2,COSTI!$Z$1379:$Z$1430),0),0)</f>
        <v>0</v>
      </c>
      <c r="AE521" s="26"/>
      <c r="AF521" s="856" t="e">
        <f>IF(ISERROR(VLOOKUP(AG$2,X522:X$1003,1,FALSE)),IF(X521=AG$2,SUMIF(X$4:X521,AG$2,Z$4:Z521)+VLOOKUP(AF$2,$B$1057:$F$1068,5,FALSE)+SUM(AR$4:AR$1003)+SUMIF(COSTI!$X$1379:$X$1430,AG$2,COSTI!$Z$1379:$Z$1430),0),0)</f>
        <v>#N/A</v>
      </c>
      <c r="AG521" s="859"/>
      <c r="AH521" s="27" t="str">
        <f t="shared" si="106"/>
        <v/>
      </c>
      <c r="AI521" s="152">
        <f ca="1">IF(W522&gt;0,0,IF(AH521=0,(Z521*-1)+BC521+SUM(BB$4:BB520),BC521+SUM(BB$4:BB520)))</f>
        <v>-2.1316282072803006E-13</v>
      </c>
      <c r="AJ521" s="931">
        <f>IF(AND(AL521&gt;=$U$1,AL521&lt;=$U$2),IF(AM521='ESTRATTO CONTO'!$E$2,1+COUNTIF(AJ$4:AJ520,"&gt;0")+U$1015,0),0)</f>
        <v>0</v>
      </c>
      <c r="AK521" s="203">
        <f>IF(AND(OR((AK520+1)&lt;AL$1015,(AK520+1)=AL$1015),MAX(AK$4:AK520)&lt;AL$1015),AK520+1,0)</f>
        <v>0</v>
      </c>
      <c r="AL521" s="309">
        <f>VLOOKUP($AK521,ENTI!$AF$4:AG$1003,2,FALSE)</f>
        <v>0</v>
      </c>
      <c r="AM521" s="224">
        <f>VLOOKUP($AK521,ENTI!$AF$4:AH$1003,3,FALSE)</f>
        <v>0</v>
      </c>
      <c r="AN521" s="224">
        <f>VLOOKUP($AK521,ENTI!$AF$4:AI$1003,4,FALSE)</f>
        <v>0</v>
      </c>
      <c r="AO521" s="781">
        <f>VLOOKUP($AK521,ENTI!$AF$4:AJ$1003,5,FALSE)</f>
        <v>0</v>
      </c>
      <c r="AP521" s="315">
        <f>VLOOKUP($AK521,ENTI!$AF$4:AK$1003,6,FALSE)</f>
        <v>0</v>
      </c>
      <c r="AQ521" s="208">
        <f t="shared" si="102"/>
        <v>0</v>
      </c>
      <c r="AR521" s="152" t="e">
        <f t="shared" si="103"/>
        <v>#N/A</v>
      </c>
      <c r="AS521" s="1"/>
      <c r="AT521" s="88" t="str">
        <f t="shared" si="107"/>
        <v/>
      </c>
      <c r="AU521" s="1"/>
      <c r="AV521" s="175">
        <f>IF(AW521&gt;0,COUNTIF(AV$4:AV520,"&gt;0")+1,0)</f>
        <v>0</v>
      </c>
      <c r="AW521" s="164">
        <f t="shared" si="108"/>
        <v>0</v>
      </c>
      <c r="AX521" s="310">
        <f>IF($AW521=0,0,VLOOKUP(VLOOKUP($X521,$B$34:$T$38,19,FALSE),ENTI!$A$9:$B$13,2,FALSE))</f>
        <v>0</v>
      </c>
      <c r="AY521" s="310">
        <f t="shared" si="110"/>
        <v>0</v>
      </c>
      <c r="AZ521" s="316">
        <f t="shared" si="111"/>
        <v>0</v>
      </c>
      <c r="BA521" s="1"/>
      <c r="BB521" s="152">
        <f t="shared" si="112"/>
        <v>0</v>
      </c>
      <c r="BC521" s="152">
        <f ca="1">SUM(Z$4:Z521)+SUM(BB$4:BB521)+COSTI!S$6-COSTI!L$1076</f>
        <v>-31.760000000000218</v>
      </c>
      <c r="BD521" s="1"/>
    </row>
    <row r="522" spans="1:56" ht="16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435">
        <f>IF(AND(W522&gt;=$U$1,W522&lt;=$U$2),IF(X522='ESTRATTO CONTO'!$E$2,1+COUNTIF(U$4:U521,"&gt;0"),0),0)</f>
        <v>0</v>
      </c>
      <c r="V522" s="417">
        <f t="shared" si="109"/>
        <v>519</v>
      </c>
      <c r="W522" s="509"/>
      <c r="X522" s="321"/>
      <c r="Y522" s="321"/>
      <c r="Z522" s="508"/>
      <c r="AA522" s="356"/>
      <c r="AB522" s="306" t="str">
        <f t="shared" si="105"/>
        <v/>
      </c>
      <c r="AC522" s="637">
        <f t="shared" ca="1" si="104"/>
        <v>-2.1316282072803006E-13</v>
      </c>
      <c r="AD522" s="935">
        <f>IF(ISERROR(VLOOKUP(AD$2,X523:X$1003,1,FALSE)),IF(X522=AD$2,SUMIF(X$4:X522,AD$2,Z$4:Z522)+$E$9+SUM(AQ$4:AQ$1003)+SUMIF(COSTI!$X$1379:$X$1430,AD$2,COSTI!$Z$1379:$Z$1430),0),0)</f>
        <v>0</v>
      </c>
      <c r="AE522" s="26"/>
      <c r="AF522" s="856" t="e">
        <f>IF(ISERROR(VLOOKUP(AG$2,X523:X$1003,1,FALSE)),IF(X522=AG$2,SUMIF(X$4:X522,AG$2,Z$4:Z522)+VLOOKUP(AF$2,$B$1057:$F$1068,5,FALSE)+SUM(AR$4:AR$1003)+SUMIF(COSTI!$X$1379:$X$1430,AG$2,COSTI!$Z$1379:$Z$1430),0),0)</f>
        <v>#N/A</v>
      </c>
      <c r="AG522" s="859"/>
      <c r="AH522" s="27" t="str">
        <f t="shared" si="106"/>
        <v/>
      </c>
      <c r="AI522" s="152">
        <f ca="1">IF(W523&gt;0,0,IF(AH522=0,(Z522*-1)+BC522+SUM(BB$4:BB521),BC522+SUM(BB$4:BB521)))</f>
        <v>-2.1316282072803006E-13</v>
      </c>
      <c r="AJ522" s="931">
        <f>IF(AND(AL522&gt;=$U$1,AL522&lt;=$U$2),IF(AM522='ESTRATTO CONTO'!$E$2,1+COUNTIF(AJ$4:AJ521,"&gt;0")+U$1015,0),0)</f>
        <v>0</v>
      </c>
      <c r="AK522" s="203">
        <f>IF(AND(OR((AK521+1)&lt;AL$1015,(AK521+1)=AL$1015),MAX(AK$4:AK521)&lt;AL$1015),AK521+1,0)</f>
        <v>0</v>
      </c>
      <c r="AL522" s="309">
        <f>VLOOKUP($AK522,ENTI!$AF$4:AG$1003,2,FALSE)</f>
        <v>0</v>
      </c>
      <c r="AM522" s="224">
        <f>VLOOKUP($AK522,ENTI!$AF$4:AH$1003,3,FALSE)</f>
        <v>0</v>
      </c>
      <c r="AN522" s="224">
        <f>VLOOKUP($AK522,ENTI!$AF$4:AI$1003,4,FALSE)</f>
        <v>0</v>
      </c>
      <c r="AO522" s="781">
        <f>VLOOKUP($AK522,ENTI!$AF$4:AJ$1003,5,FALSE)</f>
        <v>0</v>
      </c>
      <c r="AP522" s="315">
        <f>VLOOKUP($AK522,ENTI!$AF$4:AK$1003,6,FALSE)</f>
        <v>0</v>
      </c>
      <c r="AQ522" s="208">
        <f t="shared" si="102"/>
        <v>0</v>
      </c>
      <c r="AR522" s="152" t="e">
        <f t="shared" si="103"/>
        <v>#N/A</v>
      </c>
      <c r="AS522" s="1"/>
      <c r="AT522" s="88" t="str">
        <f t="shared" si="107"/>
        <v/>
      </c>
      <c r="AU522" s="1"/>
      <c r="AV522" s="175">
        <f>IF(AW522&gt;0,COUNTIF(AV$4:AV521,"&gt;0")+1,0)</f>
        <v>0</v>
      </c>
      <c r="AW522" s="164">
        <f t="shared" si="108"/>
        <v>0</v>
      </c>
      <c r="AX522" s="310">
        <f>IF($AW522=0,0,VLOOKUP(VLOOKUP($X522,$B$34:$T$38,19,FALSE),ENTI!$A$9:$B$13,2,FALSE))</f>
        <v>0</v>
      </c>
      <c r="AY522" s="310">
        <f t="shared" si="110"/>
        <v>0</v>
      </c>
      <c r="AZ522" s="316">
        <f t="shared" si="111"/>
        <v>0</v>
      </c>
      <c r="BA522" s="1"/>
      <c r="BB522" s="152">
        <f t="shared" si="112"/>
        <v>0</v>
      </c>
      <c r="BC522" s="152">
        <f ca="1">SUM(Z$4:Z522)+SUM(BB$4:BB522)+COSTI!S$6-COSTI!L$1076</f>
        <v>-31.760000000000218</v>
      </c>
      <c r="BD522" s="1"/>
    </row>
    <row r="523" spans="1:56" ht="16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435">
        <f>IF(AND(W523&gt;=$U$1,W523&lt;=$U$2),IF(X523='ESTRATTO CONTO'!$E$2,1+COUNTIF(U$4:U522,"&gt;0"),0),0)</f>
        <v>0</v>
      </c>
      <c r="V523" s="417">
        <f t="shared" si="109"/>
        <v>520</v>
      </c>
      <c r="W523" s="509"/>
      <c r="X523" s="321"/>
      <c r="Y523" s="321"/>
      <c r="Z523" s="508"/>
      <c r="AA523" s="356"/>
      <c r="AB523" s="306" t="str">
        <f t="shared" si="105"/>
        <v/>
      </c>
      <c r="AC523" s="637">
        <f t="shared" ca="1" si="104"/>
        <v>-2.1316282072803006E-13</v>
      </c>
      <c r="AD523" s="935">
        <f>IF(ISERROR(VLOOKUP(AD$2,X524:X$1003,1,FALSE)),IF(X523=AD$2,SUMIF(X$4:X523,AD$2,Z$4:Z523)+$E$9+SUM(AQ$4:AQ$1003)+SUMIF(COSTI!$X$1379:$X$1430,AD$2,COSTI!$Z$1379:$Z$1430),0),0)</f>
        <v>0</v>
      </c>
      <c r="AE523" s="26"/>
      <c r="AF523" s="856" t="e">
        <f>IF(ISERROR(VLOOKUP(AG$2,X524:X$1003,1,FALSE)),IF(X523=AG$2,SUMIF(X$4:X523,AG$2,Z$4:Z523)+VLOOKUP(AF$2,$B$1057:$F$1068,5,FALSE)+SUM(AR$4:AR$1003)+SUMIF(COSTI!$X$1379:$X$1430,AG$2,COSTI!$Z$1379:$Z$1430),0),0)</f>
        <v>#N/A</v>
      </c>
      <c r="AG523" s="859"/>
      <c r="AH523" s="27" t="str">
        <f t="shared" si="106"/>
        <v/>
      </c>
      <c r="AI523" s="152">
        <f ca="1">IF(W524&gt;0,0,IF(AH523=0,(Z523*-1)+BC523+SUM(BB$4:BB522),BC523+SUM(BB$4:BB522)))</f>
        <v>-2.1316282072803006E-13</v>
      </c>
      <c r="AJ523" s="931">
        <f>IF(AND(AL523&gt;=$U$1,AL523&lt;=$U$2),IF(AM523='ESTRATTO CONTO'!$E$2,1+COUNTIF(AJ$4:AJ522,"&gt;0")+U$1015,0),0)</f>
        <v>0</v>
      </c>
      <c r="AK523" s="203">
        <f>IF(AND(OR((AK522+1)&lt;AL$1015,(AK522+1)=AL$1015),MAX(AK$4:AK522)&lt;AL$1015),AK522+1,0)</f>
        <v>0</v>
      </c>
      <c r="AL523" s="309">
        <f>VLOOKUP($AK523,ENTI!$AF$4:AG$1003,2,FALSE)</f>
        <v>0</v>
      </c>
      <c r="AM523" s="224">
        <f>VLOOKUP($AK523,ENTI!$AF$4:AH$1003,3,FALSE)</f>
        <v>0</v>
      </c>
      <c r="AN523" s="224">
        <f>VLOOKUP($AK523,ENTI!$AF$4:AI$1003,4,FALSE)</f>
        <v>0</v>
      </c>
      <c r="AO523" s="781">
        <f>VLOOKUP($AK523,ENTI!$AF$4:AJ$1003,5,FALSE)</f>
        <v>0</v>
      </c>
      <c r="AP523" s="315">
        <f>VLOOKUP($AK523,ENTI!$AF$4:AK$1003,6,FALSE)</f>
        <v>0</v>
      </c>
      <c r="AQ523" s="208">
        <f t="shared" si="102"/>
        <v>0</v>
      </c>
      <c r="AR523" s="152" t="e">
        <f t="shared" si="103"/>
        <v>#N/A</v>
      </c>
      <c r="AS523" s="1"/>
      <c r="AT523" s="88" t="str">
        <f t="shared" si="107"/>
        <v/>
      </c>
      <c r="AU523" s="1"/>
      <c r="AV523" s="175">
        <f>IF(AW523&gt;0,COUNTIF(AV$4:AV522,"&gt;0")+1,0)</f>
        <v>0</v>
      </c>
      <c r="AW523" s="164">
        <f t="shared" si="108"/>
        <v>0</v>
      </c>
      <c r="AX523" s="310">
        <f>IF($AW523=0,0,VLOOKUP(VLOOKUP($X523,$B$34:$T$38,19,FALSE),ENTI!$A$9:$B$13,2,FALSE))</f>
        <v>0</v>
      </c>
      <c r="AY523" s="310">
        <f t="shared" si="110"/>
        <v>0</v>
      </c>
      <c r="AZ523" s="316">
        <f t="shared" si="111"/>
        <v>0</v>
      </c>
      <c r="BA523" s="1"/>
      <c r="BB523" s="152">
        <f t="shared" si="112"/>
        <v>0</v>
      </c>
      <c r="BC523" s="152">
        <f ca="1">SUM(Z$4:Z523)+SUM(BB$4:BB523)+COSTI!S$6-COSTI!L$1076</f>
        <v>-31.760000000000218</v>
      </c>
      <c r="BD523" s="1"/>
    </row>
    <row r="524" spans="1:56" ht="16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435">
        <f>IF(AND(W524&gt;=$U$1,W524&lt;=$U$2),IF(X524='ESTRATTO CONTO'!$E$2,1+COUNTIF(U$4:U523,"&gt;0"),0),0)</f>
        <v>0</v>
      </c>
      <c r="V524" s="417">
        <f t="shared" si="109"/>
        <v>521</v>
      </c>
      <c r="W524" s="509"/>
      <c r="X524" s="321"/>
      <c r="Y524" s="321"/>
      <c r="Z524" s="508"/>
      <c r="AA524" s="356"/>
      <c r="AB524" s="306" t="str">
        <f t="shared" si="105"/>
        <v/>
      </c>
      <c r="AC524" s="637">
        <f t="shared" ca="1" si="104"/>
        <v>-2.1316282072803006E-13</v>
      </c>
      <c r="AD524" s="935">
        <f>IF(ISERROR(VLOOKUP(AD$2,X525:X$1003,1,FALSE)),IF(X524=AD$2,SUMIF(X$4:X524,AD$2,Z$4:Z524)+$E$9+SUM(AQ$4:AQ$1003)+SUMIF(COSTI!$X$1379:$X$1430,AD$2,COSTI!$Z$1379:$Z$1430),0),0)</f>
        <v>0</v>
      </c>
      <c r="AE524" s="26"/>
      <c r="AF524" s="856" t="e">
        <f>IF(ISERROR(VLOOKUP(AG$2,X525:X$1003,1,FALSE)),IF(X524=AG$2,SUMIF(X$4:X524,AG$2,Z$4:Z524)+VLOOKUP(AF$2,$B$1057:$F$1068,5,FALSE)+SUM(AR$4:AR$1003)+SUMIF(COSTI!$X$1379:$X$1430,AG$2,COSTI!$Z$1379:$Z$1430),0),0)</f>
        <v>#N/A</v>
      </c>
      <c r="AG524" s="859"/>
      <c r="AH524" s="27" t="str">
        <f t="shared" si="106"/>
        <v/>
      </c>
      <c r="AI524" s="152">
        <f ca="1">IF(W525&gt;0,0,IF(AH524=0,(Z524*-1)+BC524+SUM(BB$4:BB523),BC524+SUM(BB$4:BB523)))</f>
        <v>-2.1316282072803006E-13</v>
      </c>
      <c r="AJ524" s="931">
        <f>IF(AND(AL524&gt;=$U$1,AL524&lt;=$U$2),IF(AM524='ESTRATTO CONTO'!$E$2,1+COUNTIF(AJ$4:AJ523,"&gt;0")+U$1015,0),0)</f>
        <v>0</v>
      </c>
      <c r="AK524" s="203">
        <f>IF(AND(OR((AK523+1)&lt;AL$1015,(AK523+1)=AL$1015),MAX(AK$4:AK523)&lt;AL$1015),AK523+1,0)</f>
        <v>0</v>
      </c>
      <c r="AL524" s="309">
        <f>VLOOKUP($AK524,ENTI!$AF$4:AG$1003,2,FALSE)</f>
        <v>0</v>
      </c>
      <c r="AM524" s="224">
        <f>VLOOKUP($AK524,ENTI!$AF$4:AH$1003,3,FALSE)</f>
        <v>0</v>
      </c>
      <c r="AN524" s="224">
        <f>VLOOKUP($AK524,ENTI!$AF$4:AI$1003,4,FALSE)</f>
        <v>0</v>
      </c>
      <c r="AO524" s="781">
        <f>VLOOKUP($AK524,ENTI!$AF$4:AJ$1003,5,FALSE)</f>
        <v>0</v>
      </c>
      <c r="AP524" s="315">
        <f>VLOOKUP($AK524,ENTI!$AF$4:AK$1003,6,FALSE)</f>
        <v>0</v>
      </c>
      <c r="AQ524" s="208">
        <f t="shared" si="102"/>
        <v>0</v>
      </c>
      <c r="AR524" s="152" t="e">
        <f t="shared" si="103"/>
        <v>#N/A</v>
      </c>
      <c r="AS524" s="1"/>
      <c r="AT524" s="88" t="str">
        <f t="shared" si="107"/>
        <v/>
      </c>
      <c r="AU524" s="1"/>
      <c r="AV524" s="175">
        <f>IF(AW524&gt;0,COUNTIF(AV$4:AV523,"&gt;0")+1,0)</f>
        <v>0</v>
      </c>
      <c r="AW524" s="164">
        <f t="shared" si="108"/>
        <v>0</v>
      </c>
      <c r="AX524" s="310">
        <f>IF($AW524=0,0,VLOOKUP(VLOOKUP($X524,$B$34:$T$38,19,FALSE),ENTI!$A$9:$B$13,2,FALSE))</f>
        <v>0</v>
      </c>
      <c r="AY524" s="310">
        <f t="shared" si="110"/>
        <v>0</v>
      </c>
      <c r="AZ524" s="316">
        <f t="shared" si="111"/>
        <v>0</v>
      </c>
      <c r="BA524" s="1"/>
      <c r="BB524" s="152">
        <f t="shared" si="112"/>
        <v>0</v>
      </c>
      <c r="BC524" s="152">
        <f ca="1">SUM(Z$4:Z524)+SUM(BB$4:BB524)+COSTI!S$6-COSTI!L$1076</f>
        <v>-31.760000000000218</v>
      </c>
      <c r="BD524" s="1"/>
    </row>
    <row r="525" spans="1:56" ht="16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435">
        <f>IF(AND(W525&gt;=$U$1,W525&lt;=$U$2),IF(X525='ESTRATTO CONTO'!$E$2,1+COUNTIF(U$4:U524,"&gt;0"),0),0)</f>
        <v>0</v>
      </c>
      <c r="V525" s="417">
        <f t="shared" si="109"/>
        <v>522</v>
      </c>
      <c r="W525" s="509"/>
      <c r="X525" s="321"/>
      <c r="Y525" s="321"/>
      <c r="Z525" s="508"/>
      <c r="AA525" s="356"/>
      <c r="AB525" s="306" t="str">
        <f t="shared" si="105"/>
        <v/>
      </c>
      <c r="AC525" s="637">
        <f t="shared" ca="1" si="104"/>
        <v>-2.1316282072803006E-13</v>
      </c>
      <c r="AD525" s="935">
        <f>IF(ISERROR(VLOOKUP(AD$2,X526:X$1003,1,FALSE)),IF(X525=AD$2,SUMIF(X$4:X525,AD$2,Z$4:Z525)+$E$9+SUM(AQ$4:AQ$1003)+SUMIF(COSTI!$X$1379:$X$1430,AD$2,COSTI!$Z$1379:$Z$1430),0),0)</f>
        <v>0</v>
      </c>
      <c r="AE525" s="26"/>
      <c r="AF525" s="856" t="e">
        <f>IF(ISERROR(VLOOKUP(AG$2,X526:X$1003,1,FALSE)),IF(X525=AG$2,SUMIF(X$4:X525,AG$2,Z$4:Z525)+VLOOKUP(AF$2,$B$1057:$F$1068,5,FALSE)+SUM(AR$4:AR$1003)+SUMIF(COSTI!$X$1379:$X$1430,AG$2,COSTI!$Z$1379:$Z$1430),0),0)</f>
        <v>#N/A</v>
      </c>
      <c r="AG525" s="859"/>
      <c r="AH525" s="27" t="str">
        <f t="shared" si="106"/>
        <v/>
      </c>
      <c r="AI525" s="152">
        <f ca="1">IF(W526&gt;0,0,IF(AH525=0,(Z525*-1)+BC525+SUM(BB$4:BB524),BC525+SUM(BB$4:BB524)))</f>
        <v>-2.1316282072803006E-13</v>
      </c>
      <c r="AJ525" s="931">
        <f>IF(AND(AL525&gt;=$U$1,AL525&lt;=$U$2),IF(AM525='ESTRATTO CONTO'!$E$2,1+COUNTIF(AJ$4:AJ524,"&gt;0")+U$1015,0),0)</f>
        <v>0</v>
      </c>
      <c r="AK525" s="203">
        <f>IF(AND(OR((AK524+1)&lt;AL$1015,(AK524+1)=AL$1015),MAX(AK$4:AK524)&lt;AL$1015),AK524+1,0)</f>
        <v>0</v>
      </c>
      <c r="AL525" s="309">
        <f>VLOOKUP($AK525,ENTI!$AF$4:AG$1003,2,FALSE)</f>
        <v>0</v>
      </c>
      <c r="AM525" s="224">
        <f>VLOOKUP($AK525,ENTI!$AF$4:AH$1003,3,FALSE)</f>
        <v>0</v>
      </c>
      <c r="AN525" s="224">
        <f>VLOOKUP($AK525,ENTI!$AF$4:AI$1003,4,FALSE)</f>
        <v>0</v>
      </c>
      <c r="AO525" s="781">
        <f>VLOOKUP($AK525,ENTI!$AF$4:AJ$1003,5,FALSE)</f>
        <v>0</v>
      </c>
      <c r="AP525" s="315">
        <f>VLOOKUP($AK525,ENTI!$AF$4:AK$1003,6,FALSE)</f>
        <v>0</v>
      </c>
      <c r="AQ525" s="208">
        <f t="shared" si="102"/>
        <v>0</v>
      </c>
      <c r="AR525" s="152" t="e">
        <f t="shared" si="103"/>
        <v>#N/A</v>
      </c>
      <c r="AS525" s="1"/>
      <c r="AT525" s="88" t="str">
        <f t="shared" si="107"/>
        <v/>
      </c>
      <c r="AU525" s="1"/>
      <c r="AV525" s="175">
        <f>IF(AW525&gt;0,COUNTIF(AV$4:AV524,"&gt;0")+1,0)</f>
        <v>0</v>
      </c>
      <c r="AW525" s="164">
        <f t="shared" si="108"/>
        <v>0</v>
      </c>
      <c r="AX525" s="310">
        <f>IF($AW525=0,0,VLOOKUP(VLOOKUP($X525,$B$34:$T$38,19,FALSE),ENTI!$A$9:$B$13,2,FALSE))</f>
        <v>0</v>
      </c>
      <c r="AY525" s="310">
        <f t="shared" si="110"/>
        <v>0</v>
      </c>
      <c r="AZ525" s="316">
        <f t="shared" si="111"/>
        <v>0</v>
      </c>
      <c r="BA525" s="1"/>
      <c r="BB525" s="152">
        <f t="shared" si="112"/>
        <v>0</v>
      </c>
      <c r="BC525" s="152">
        <f ca="1">SUM(Z$4:Z525)+SUM(BB$4:BB525)+COSTI!S$6-COSTI!L$1076</f>
        <v>-31.760000000000218</v>
      </c>
      <c r="BD525" s="1"/>
    </row>
    <row r="526" spans="1:56" ht="16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435">
        <f>IF(AND(W526&gt;=$U$1,W526&lt;=$U$2),IF(X526='ESTRATTO CONTO'!$E$2,1+COUNTIF(U$4:U525,"&gt;0"),0),0)</f>
        <v>0</v>
      </c>
      <c r="V526" s="417">
        <f t="shared" si="109"/>
        <v>523</v>
      </c>
      <c r="W526" s="509"/>
      <c r="X526" s="321"/>
      <c r="Y526" s="321"/>
      <c r="Z526" s="508"/>
      <c r="AA526" s="356"/>
      <c r="AB526" s="306" t="str">
        <f t="shared" si="105"/>
        <v/>
      </c>
      <c r="AC526" s="637">
        <f t="shared" ca="1" si="104"/>
        <v>-2.1316282072803006E-13</v>
      </c>
      <c r="AD526" s="935">
        <f>IF(ISERROR(VLOOKUP(AD$2,X527:X$1003,1,FALSE)),IF(X526=AD$2,SUMIF(X$4:X526,AD$2,Z$4:Z526)+$E$9+SUM(AQ$4:AQ$1003)+SUMIF(COSTI!$X$1379:$X$1430,AD$2,COSTI!$Z$1379:$Z$1430),0),0)</f>
        <v>0</v>
      </c>
      <c r="AE526" s="26"/>
      <c r="AF526" s="856" t="e">
        <f>IF(ISERROR(VLOOKUP(AG$2,X527:X$1003,1,FALSE)),IF(X526=AG$2,SUMIF(X$4:X526,AG$2,Z$4:Z526)+VLOOKUP(AF$2,$B$1057:$F$1068,5,FALSE)+SUM(AR$4:AR$1003)+SUMIF(COSTI!$X$1379:$X$1430,AG$2,COSTI!$Z$1379:$Z$1430),0),0)</f>
        <v>#N/A</v>
      </c>
      <c r="AG526" s="859"/>
      <c r="AH526" s="27" t="str">
        <f t="shared" si="106"/>
        <v/>
      </c>
      <c r="AI526" s="152">
        <f ca="1">IF(W527&gt;0,0,IF(AH526=0,(Z526*-1)+BC526+SUM(BB$4:BB525),BC526+SUM(BB$4:BB525)))</f>
        <v>-2.1316282072803006E-13</v>
      </c>
      <c r="AJ526" s="931">
        <f>IF(AND(AL526&gt;=$U$1,AL526&lt;=$U$2),IF(AM526='ESTRATTO CONTO'!$E$2,1+COUNTIF(AJ$4:AJ525,"&gt;0")+U$1015,0),0)</f>
        <v>0</v>
      </c>
      <c r="AK526" s="203">
        <f>IF(AND(OR((AK525+1)&lt;AL$1015,(AK525+1)=AL$1015),MAX(AK$4:AK525)&lt;AL$1015),AK525+1,0)</f>
        <v>0</v>
      </c>
      <c r="AL526" s="309">
        <f>VLOOKUP($AK526,ENTI!$AF$4:AG$1003,2,FALSE)</f>
        <v>0</v>
      </c>
      <c r="AM526" s="224">
        <f>VLOOKUP($AK526,ENTI!$AF$4:AH$1003,3,FALSE)</f>
        <v>0</v>
      </c>
      <c r="AN526" s="224">
        <f>VLOOKUP($AK526,ENTI!$AF$4:AI$1003,4,FALSE)</f>
        <v>0</v>
      </c>
      <c r="AO526" s="781">
        <f>VLOOKUP($AK526,ENTI!$AF$4:AJ$1003,5,FALSE)</f>
        <v>0</v>
      </c>
      <c r="AP526" s="315">
        <f>VLOOKUP($AK526,ENTI!$AF$4:AK$1003,6,FALSE)</f>
        <v>0</v>
      </c>
      <c r="AQ526" s="208">
        <f t="shared" si="102"/>
        <v>0</v>
      </c>
      <c r="AR526" s="152" t="e">
        <f t="shared" si="103"/>
        <v>#N/A</v>
      </c>
      <c r="AS526" s="1"/>
      <c r="AT526" s="88" t="str">
        <f t="shared" si="107"/>
        <v/>
      </c>
      <c r="AU526" s="1"/>
      <c r="AV526" s="175">
        <f>IF(AW526&gt;0,COUNTIF(AV$4:AV525,"&gt;0")+1,0)</f>
        <v>0</v>
      </c>
      <c r="AW526" s="164">
        <f t="shared" si="108"/>
        <v>0</v>
      </c>
      <c r="AX526" s="310">
        <f>IF($AW526=0,0,VLOOKUP(VLOOKUP($X526,$B$34:$T$38,19,FALSE),ENTI!$A$9:$B$13,2,FALSE))</f>
        <v>0</v>
      </c>
      <c r="AY526" s="310">
        <f t="shared" si="110"/>
        <v>0</v>
      </c>
      <c r="AZ526" s="316">
        <f t="shared" si="111"/>
        <v>0</v>
      </c>
      <c r="BA526" s="1"/>
      <c r="BB526" s="152">
        <f t="shared" si="112"/>
        <v>0</v>
      </c>
      <c r="BC526" s="152">
        <f ca="1">SUM(Z$4:Z526)+SUM(BB$4:BB526)+COSTI!S$6-COSTI!L$1076</f>
        <v>-31.760000000000218</v>
      </c>
      <c r="BD526" s="1"/>
    </row>
    <row r="527" spans="1:56" ht="16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435">
        <f>IF(AND(W527&gt;=$U$1,W527&lt;=$U$2),IF(X527='ESTRATTO CONTO'!$E$2,1+COUNTIF(U$4:U526,"&gt;0"),0),0)</f>
        <v>0</v>
      </c>
      <c r="V527" s="417">
        <f t="shared" si="109"/>
        <v>524</v>
      </c>
      <c r="W527" s="509"/>
      <c r="X527" s="321"/>
      <c r="Y527" s="321"/>
      <c r="Z527" s="508"/>
      <c r="AA527" s="356"/>
      <c r="AB527" s="306" t="str">
        <f t="shared" si="105"/>
        <v/>
      </c>
      <c r="AC527" s="637">
        <f t="shared" ca="1" si="104"/>
        <v>-2.1316282072803006E-13</v>
      </c>
      <c r="AD527" s="935">
        <f>IF(ISERROR(VLOOKUP(AD$2,X528:X$1003,1,FALSE)),IF(X527=AD$2,SUMIF(X$4:X527,AD$2,Z$4:Z527)+$E$9+SUM(AQ$4:AQ$1003)+SUMIF(COSTI!$X$1379:$X$1430,AD$2,COSTI!$Z$1379:$Z$1430),0),0)</f>
        <v>0</v>
      </c>
      <c r="AE527" s="26"/>
      <c r="AF527" s="856" t="e">
        <f>IF(ISERROR(VLOOKUP(AG$2,X528:X$1003,1,FALSE)),IF(X527=AG$2,SUMIF(X$4:X527,AG$2,Z$4:Z527)+VLOOKUP(AF$2,$B$1057:$F$1068,5,FALSE)+SUM(AR$4:AR$1003)+SUMIF(COSTI!$X$1379:$X$1430,AG$2,COSTI!$Z$1379:$Z$1430),0),0)</f>
        <v>#N/A</v>
      </c>
      <c r="AG527" s="859"/>
      <c r="AH527" s="27" t="str">
        <f t="shared" si="106"/>
        <v/>
      </c>
      <c r="AI527" s="152">
        <f ca="1">IF(W528&gt;0,0,IF(AH527=0,(Z527*-1)+BC527+SUM(BB$4:BB526),BC527+SUM(BB$4:BB526)))</f>
        <v>-2.1316282072803006E-13</v>
      </c>
      <c r="AJ527" s="931">
        <f>IF(AND(AL527&gt;=$U$1,AL527&lt;=$U$2),IF(AM527='ESTRATTO CONTO'!$E$2,1+COUNTIF(AJ$4:AJ526,"&gt;0")+U$1015,0),0)</f>
        <v>0</v>
      </c>
      <c r="AK527" s="203">
        <f>IF(AND(OR((AK526+1)&lt;AL$1015,(AK526+1)=AL$1015),MAX(AK$4:AK526)&lt;AL$1015),AK526+1,0)</f>
        <v>0</v>
      </c>
      <c r="AL527" s="309">
        <f>VLOOKUP($AK527,ENTI!$AF$4:AG$1003,2,FALSE)</f>
        <v>0</v>
      </c>
      <c r="AM527" s="224">
        <f>VLOOKUP($AK527,ENTI!$AF$4:AH$1003,3,FALSE)</f>
        <v>0</v>
      </c>
      <c r="AN527" s="224">
        <f>VLOOKUP($AK527,ENTI!$AF$4:AI$1003,4,FALSE)</f>
        <v>0</v>
      </c>
      <c r="AO527" s="781">
        <f>VLOOKUP($AK527,ENTI!$AF$4:AJ$1003,5,FALSE)</f>
        <v>0</v>
      </c>
      <c r="AP527" s="315">
        <f>VLOOKUP($AK527,ENTI!$AF$4:AK$1003,6,FALSE)</f>
        <v>0</v>
      </c>
      <c r="AQ527" s="208">
        <f t="shared" ref="AQ527:AQ590" si="113">IF(AM527=AQ$2,AO527,0)</f>
        <v>0</v>
      </c>
      <c r="AR527" s="152" t="e">
        <f t="shared" ref="AR527:AR590" si="114">IF(AM527=AR$1,AO527,0)</f>
        <v>#N/A</v>
      </c>
      <c r="AS527" s="1"/>
      <c r="AT527" s="88" t="str">
        <f t="shared" si="107"/>
        <v/>
      </c>
      <c r="AU527" s="1"/>
      <c r="AV527" s="175">
        <f>IF(AW527&gt;0,COUNTIF(AV$4:AV526,"&gt;0")+1,0)</f>
        <v>0</v>
      </c>
      <c r="AW527" s="164">
        <f t="shared" si="108"/>
        <v>0</v>
      </c>
      <c r="AX527" s="310">
        <f>IF($AW527=0,0,VLOOKUP(VLOOKUP($X527,$B$34:$T$38,19,FALSE),ENTI!$A$9:$B$13,2,FALSE))</f>
        <v>0</v>
      </c>
      <c r="AY527" s="310">
        <f t="shared" si="110"/>
        <v>0</v>
      </c>
      <c r="AZ527" s="316">
        <f t="shared" si="111"/>
        <v>0</v>
      </c>
      <c r="BA527" s="1"/>
      <c r="BB527" s="152">
        <f t="shared" si="112"/>
        <v>0</v>
      </c>
      <c r="BC527" s="152">
        <f ca="1">SUM(Z$4:Z527)+SUM(BB$4:BB527)+COSTI!S$6-COSTI!L$1076</f>
        <v>-31.760000000000218</v>
      </c>
      <c r="BD527" s="1"/>
    </row>
    <row r="528" spans="1:56" ht="16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435">
        <f>IF(AND(W528&gt;=$U$1,W528&lt;=$U$2),IF(X528='ESTRATTO CONTO'!$E$2,1+COUNTIF(U$4:U527,"&gt;0"),0),0)</f>
        <v>0</v>
      </c>
      <c r="V528" s="417">
        <f t="shared" si="109"/>
        <v>525</v>
      </c>
      <c r="W528" s="509"/>
      <c r="X528" s="321"/>
      <c r="Y528" s="321"/>
      <c r="Z528" s="508"/>
      <c r="AA528" s="356"/>
      <c r="AB528" s="306" t="str">
        <f t="shared" si="105"/>
        <v/>
      </c>
      <c r="AC528" s="637">
        <f t="shared" ca="1" si="104"/>
        <v>-2.1316282072803006E-13</v>
      </c>
      <c r="AD528" s="935">
        <f>IF(ISERROR(VLOOKUP(AD$2,X529:X$1003,1,FALSE)),IF(X528=AD$2,SUMIF(X$4:X528,AD$2,Z$4:Z528)+$E$9+SUM(AQ$4:AQ$1003)+SUMIF(COSTI!$X$1379:$X$1430,AD$2,COSTI!$Z$1379:$Z$1430),0),0)</f>
        <v>0</v>
      </c>
      <c r="AE528" s="26"/>
      <c r="AF528" s="856" t="e">
        <f>IF(ISERROR(VLOOKUP(AG$2,X529:X$1003,1,FALSE)),IF(X528=AG$2,SUMIF(X$4:X528,AG$2,Z$4:Z528)+VLOOKUP(AF$2,$B$1057:$F$1068,5,FALSE)+SUM(AR$4:AR$1003)+SUMIF(COSTI!$X$1379:$X$1430,AG$2,COSTI!$Z$1379:$Z$1430),0),0)</f>
        <v>#N/A</v>
      </c>
      <c r="AG528" s="859"/>
      <c r="AH528" s="27" t="str">
        <f t="shared" si="106"/>
        <v/>
      </c>
      <c r="AI528" s="152">
        <f ca="1">IF(W529&gt;0,0,IF(AH528=0,(Z528*-1)+BC528+SUM(BB$4:BB527),BC528+SUM(BB$4:BB527)))</f>
        <v>-2.1316282072803006E-13</v>
      </c>
      <c r="AJ528" s="931">
        <f>IF(AND(AL528&gt;=$U$1,AL528&lt;=$U$2),IF(AM528='ESTRATTO CONTO'!$E$2,1+COUNTIF(AJ$4:AJ527,"&gt;0")+U$1015,0),0)</f>
        <v>0</v>
      </c>
      <c r="AK528" s="203">
        <f>IF(AND(OR((AK527+1)&lt;AL$1015,(AK527+1)=AL$1015),MAX(AK$4:AK527)&lt;AL$1015),AK527+1,0)</f>
        <v>0</v>
      </c>
      <c r="AL528" s="309">
        <f>VLOOKUP($AK528,ENTI!$AF$4:AG$1003,2,FALSE)</f>
        <v>0</v>
      </c>
      <c r="AM528" s="224">
        <f>VLOOKUP($AK528,ENTI!$AF$4:AH$1003,3,FALSE)</f>
        <v>0</v>
      </c>
      <c r="AN528" s="224">
        <f>VLOOKUP($AK528,ENTI!$AF$4:AI$1003,4,FALSE)</f>
        <v>0</v>
      </c>
      <c r="AO528" s="781">
        <f>VLOOKUP($AK528,ENTI!$AF$4:AJ$1003,5,FALSE)</f>
        <v>0</v>
      </c>
      <c r="AP528" s="315">
        <f>VLOOKUP($AK528,ENTI!$AF$4:AK$1003,6,FALSE)</f>
        <v>0</v>
      </c>
      <c r="AQ528" s="208">
        <f t="shared" si="113"/>
        <v>0</v>
      </c>
      <c r="AR528" s="152" t="e">
        <f t="shared" si="114"/>
        <v>#N/A</v>
      </c>
      <c r="AS528" s="1"/>
      <c r="AT528" s="88" t="str">
        <f t="shared" si="107"/>
        <v/>
      </c>
      <c r="AU528" s="1"/>
      <c r="AV528" s="175">
        <f>IF(AW528&gt;0,COUNTIF(AV$4:AV527,"&gt;0")+1,0)</f>
        <v>0</v>
      </c>
      <c r="AW528" s="164">
        <f t="shared" si="108"/>
        <v>0</v>
      </c>
      <c r="AX528" s="310">
        <f>IF($AW528=0,0,VLOOKUP(VLOOKUP($X528,$B$34:$T$38,19,FALSE),ENTI!$A$9:$B$13,2,FALSE))</f>
        <v>0</v>
      </c>
      <c r="AY528" s="310">
        <f t="shared" si="110"/>
        <v>0</v>
      </c>
      <c r="AZ528" s="316">
        <f t="shared" si="111"/>
        <v>0</v>
      </c>
      <c r="BA528" s="1"/>
      <c r="BB528" s="152">
        <f t="shared" si="112"/>
        <v>0</v>
      </c>
      <c r="BC528" s="152">
        <f ca="1">SUM(Z$4:Z528)+SUM(BB$4:BB528)+COSTI!S$6-COSTI!L$1076</f>
        <v>-31.760000000000218</v>
      </c>
      <c r="BD528" s="1"/>
    </row>
    <row r="529" spans="1:56" ht="16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435">
        <f>IF(AND(W529&gt;=$U$1,W529&lt;=$U$2),IF(X529='ESTRATTO CONTO'!$E$2,1+COUNTIF(U$4:U528,"&gt;0"),0),0)</f>
        <v>0</v>
      </c>
      <c r="V529" s="417">
        <f t="shared" si="109"/>
        <v>526</v>
      </c>
      <c r="W529" s="509"/>
      <c r="X529" s="321"/>
      <c r="Y529" s="321"/>
      <c r="Z529" s="508"/>
      <c r="AA529" s="356"/>
      <c r="AB529" s="306" t="str">
        <f t="shared" si="105"/>
        <v/>
      </c>
      <c r="AC529" s="637">
        <f t="shared" ca="1" si="104"/>
        <v>-2.1316282072803006E-13</v>
      </c>
      <c r="AD529" s="935">
        <f>IF(ISERROR(VLOOKUP(AD$2,X530:X$1003,1,FALSE)),IF(X529=AD$2,SUMIF(X$4:X529,AD$2,Z$4:Z529)+$E$9+SUM(AQ$4:AQ$1003)+SUMIF(COSTI!$X$1379:$X$1430,AD$2,COSTI!$Z$1379:$Z$1430),0),0)</f>
        <v>0</v>
      </c>
      <c r="AE529" s="26"/>
      <c r="AF529" s="856" t="e">
        <f>IF(ISERROR(VLOOKUP(AG$2,X530:X$1003,1,FALSE)),IF(X529=AG$2,SUMIF(X$4:X529,AG$2,Z$4:Z529)+VLOOKUP(AF$2,$B$1057:$F$1068,5,FALSE)+SUM(AR$4:AR$1003)+SUMIF(COSTI!$X$1379:$X$1430,AG$2,COSTI!$Z$1379:$Z$1430),0),0)</f>
        <v>#N/A</v>
      </c>
      <c r="AG529" s="859"/>
      <c r="AH529" s="27" t="str">
        <f t="shared" si="106"/>
        <v/>
      </c>
      <c r="AI529" s="152">
        <f ca="1">IF(W530&gt;0,0,IF(AH529=0,(Z529*-1)+BC529+SUM(BB$4:BB528),BC529+SUM(BB$4:BB528)))</f>
        <v>-2.1316282072803006E-13</v>
      </c>
      <c r="AJ529" s="931">
        <f>IF(AND(AL529&gt;=$U$1,AL529&lt;=$U$2),IF(AM529='ESTRATTO CONTO'!$E$2,1+COUNTIF(AJ$4:AJ528,"&gt;0")+U$1015,0),0)</f>
        <v>0</v>
      </c>
      <c r="AK529" s="203">
        <f>IF(AND(OR((AK528+1)&lt;AL$1015,(AK528+1)=AL$1015),MAX(AK$4:AK528)&lt;AL$1015),AK528+1,0)</f>
        <v>0</v>
      </c>
      <c r="AL529" s="309">
        <f>VLOOKUP($AK529,ENTI!$AF$4:AG$1003,2,FALSE)</f>
        <v>0</v>
      </c>
      <c r="AM529" s="224">
        <f>VLOOKUP($AK529,ENTI!$AF$4:AH$1003,3,FALSE)</f>
        <v>0</v>
      </c>
      <c r="AN529" s="224">
        <f>VLOOKUP($AK529,ENTI!$AF$4:AI$1003,4,FALSE)</f>
        <v>0</v>
      </c>
      <c r="AO529" s="781">
        <f>VLOOKUP($AK529,ENTI!$AF$4:AJ$1003,5,FALSE)</f>
        <v>0</v>
      </c>
      <c r="AP529" s="315">
        <f>VLOOKUP($AK529,ENTI!$AF$4:AK$1003,6,FALSE)</f>
        <v>0</v>
      </c>
      <c r="AQ529" s="208">
        <f t="shared" si="113"/>
        <v>0</v>
      </c>
      <c r="AR529" s="152" t="e">
        <f t="shared" si="114"/>
        <v>#N/A</v>
      </c>
      <c r="AS529" s="1"/>
      <c r="AT529" s="88" t="str">
        <f t="shared" si="107"/>
        <v/>
      </c>
      <c r="AU529" s="1"/>
      <c r="AV529" s="175">
        <f>IF(AW529&gt;0,COUNTIF(AV$4:AV528,"&gt;0")+1,0)</f>
        <v>0</v>
      </c>
      <c r="AW529" s="164">
        <f t="shared" si="108"/>
        <v>0</v>
      </c>
      <c r="AX529" s="310">
        <f>IF($AW529=0,0,VLOOKUP(VLOOKUP($X529,$B$34:$T$38,19,FALSE),ENTI!$A$9:$B$13,2,FALSE))</f>
        <v>0</v>
      </c>
      <c r="AY529" s="310">
        <f t="shared" si="110"/>
        <v>0</v>
      </c>
      <c r="AZ529" s="316">
        <f t="shared" si="111"/>
        <v>0</v>
      </c>
      <c r="BA529" s="1"/>
      <c r="BB529" s="152">
        <f t="shared" si="112"/>
        <v>0</v>
      </c>
      <c r="BC529" s="152">
        <f ca="1">SUM(Z$4:Z529)+SUM(BB$4:BB529)+COSTI!S$6-COSTI!L$1076</f>
        <v>-31.760000000000218</v>
      </c>
      <c r="BD529" s="1"/>
    </row>
    <row r="530" spans="1:56" ht="16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435">
        <f>IF(AND(W530&gt;=$U$1,W530&lt;=$U$2),IF(X530='ESTRATTO CONTO'!$E$2,1+COUNTIF(U$4:U529,"&gt;0"),0),0)</f>
        <v>0</v>
      </c>
      <c r="V530" s="417">
        <f t="shared" si="109"/>
        <v>527</v>
      </c>
      <c r="W530" s="509"/>
      <c r="X530" s="321"/>
      <c r="Y530" s="321"/>
      <c r="Z530" s="508"/>
      <c r="AA530" s="356"/>
      <c r="AB530" s="306" t="str">
        <f t="shared" si="105"/>
        <v/>
      </c>
      <c r="AC530" s="637">
        <f t="shared" ca="1" si="104"/>
        <v>-2.1316282072803006E-13</v>
      </c>
      <c r="AD530" s="935">
        <f>IF(ISERROR(VLOOKUP(AD$2,X531:X$1003,1,FALSE)),IF(X530=AD$2,SUMIF(X$4:X530,AD$2,Z$4:Z530)+$E$9+SUM(AQ$4:AQ$1003)+SUMIF(COSTI!$X$1379:$X$1430,AD$2,COSTI!$Z$1379:$Z$1430),0),0)</f>
        <v>0</v>
      </c>
      <c r="AE530" s="26"/>
      <c r="AF530" s="856" t="e">
        <f>IF(ISERROR(VLOOKUP(AG$2,X531:X$1003,1,FALSE)),IF(X530=AG$2,SUMIF(X$4:X530,AG$2,Z$4:Z530)+VLOOKUP(AF$2,$B$1057:$F$1068,5,FALSE)+SUM(AR$4:AR$1003)+SUMIF(COSTI!$X$1379:$X$1430,AG$2,COSTI!$Z$1379:$Z$1430),0),0)</f>
        <v>#N/A</v>
      </c>
      <c r="AG530" s="859"/>
      <c r="AH530" s="27" t="str">
        <f t="shared" si="106"/>
        <v/>
      </c>
      <c r="AI530" s="152">
        <f ca="1">IF(W531&gt;0,0,IF(AH530=0,(Z530*-1)+BC530+SUM(BB$4:BB529),BC530+SUM(BB$4:BB529)))</f>
        <v>-2.1316282072803006E-13</v>
      </c>
      <c r="AJ530" s="931">
        <f>IF(AND(AL530&gt;=$U$1,AL530&lt;=$U$2),IF(AM530='ESTRATTO CONTO'!$E$2,1+COUNTIF(AJ$4:AJ529,"&gt;0")+U$1015,0),0)</f>
        <v>0</v>
      </c>
      <c r="AK530" s="203">
        <f>IF(AND(OR((AK529+1)&lt;AL$1015,(AK529+1)=AL$1015),MAX(AK$4:AK529)&lt;AL$1015),AK529+1,0)</f>
        <v>0</v>
      </c>
      <c r="AL530" s="309">
        <f>VLOOKUP($AK530,ENTI!$AF$4:AG$1003,2,FALSE)</f>
        <v>0</v>
      </c>
      <c r="AM530" s="224">
        <f>VLOOKUP($AK530,ENTI!$AF$4:AH$1003,3,FALSE)</f>
        <v>0</v>
      </c>
      <c r="AN530" s="224">
        <f>VLOOKUP($AK530,ENTI!$AF$4:AI$1003,4,FALSE)</f>
        <v>0</v>
      </c>
      <c r="AO530" s="781">
        <f>VLOOKUP($AK530,ENTI!$AF$4:AJ$1003,5,FALSE)</f>
        <v>0</v>
      </c>
      <c r="AP530" s="315">
        <f>VLOOKUP($AK530,ENTI!$AF$4:AK$1003,6,FALSE)</f>
        <v>0</v>
      </c>
      <c r="AQ530" s="208">
        <f t="shared" si="113"/>
        <v>0</v>
      </c>
      <c r="AR530" s="152" t="e">
        <f t="shared" si="114"/>
        <v>#N/A</v>
      </c>
      <c r="AS530" s="1"/>
      <c r="AT530" s="88" t="str">
        <f t="shared" si="107"/>
        <v/>
      </c>
      <c r="AU530" s="1"/>
      <c r="AV530" s="175">
        <f>IF(AW530&gt;0,COUNTIF(AV$4:AV529,"&gt;0")+1,0)</f>
        <v>0</v>
      </c>
      <c r="AW530" s="164">
        <f t="shared" si="108"/>
        <v>0</v>
      </c>
      <c r="AX530" s="310">
        <f>IF($AW530=0,0,VLOOKUP(VLOOKUP($X530,$B$34:$T$38,19,FALSE),ENTI!$A$9:$B$13,2,FALSE))</f>
        <v>0</v>
      </c>
      <c r="AY530" s="310">
        <f t="shared" si="110"/>
        <v>0</v>
      </c>
      <c r="AZ530" s="316">
        <f t="shared" si="111"/>
        <v>0</v>
      </c>
      <c r="BA530" s="1"/>
      <c r="BB530" s="152">
        <f t="shared" si="112"/>
        <v>0</v>
      </c>
      <c r="BC530" s="152">
        <f ca="1">SUM(Z$4:Z530)+SUM(BB$4:BB530)+COSTI!S$6-COSTI!L$1076</f>
        <v>-31.760000000000218</v>
      </c>
      <c r="BD530" s="1"/>
    </row>
    <row r="531" spans="1:56" ht="16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435">
        <f>IF(AND(W531&gt;=$U$1,W531&lt;=$U$2),IF(X531='ESTRATTO CONTO'!$E$2,1+COUNTIF(U$4:U530,"&gt;0"),0),0)</f>
        <v>0</v>
      </c>
      <c r="V531" s="417">
        <f t="shared" si="109"/>
        <v>528</v>
      </c>
      <c r="W531" s="509"/>
      <c r="X531" s="321"/>
      <c r="Y531" s="321"/>
      <c r="Z531" s="508"/>
      <c r="AA531" s="356"/>
      <c r="AB531" s="306" t="str">
        <f t="shared" si="105"/>
        <v/>
      </c>
      <c r="AC531" s="637">
        <f t="shared" ca="1" si="104"/>
        <v>-2.1316282072803006E-13</v>
      </c>
      <c r="AD531" s="935">
        <f>IF(ISERROR(VLOOKUP(AD$2,X532:X$1003,1,FALSE)),IF(X531=AD$2,SUMIF(X$4:X531,AD$2,Z$4:Z531)+$E$9+SUM(AQ$4:AQ$1003)+SUMIF(COSTI!$X$1379:$X$1430,AD$2,COSTI!$Z$1379:$Z$1430),0),0)</f>
        <v>0</v>
      </c>
      <c r="AE531" s="26"/>
      <c r="AF531" s="856" t="e">
        <f>IF(ISERROR(VLOOKUP(AG$2,X532:X$1003,1,FALSE)),IF(X531=AG$2,SUMIF(X$4:X531,AG$2,Z$4:Z531)+VLOOKUP(AF$2,$B$1057:$F$1068,5,FALSE)+SUM(AR$4:AR$1003)+SUMIF(COSTI!$X$1379:$X$1430,AG$2,COSTI!$Z$1379:$Z$1430),0),0)</f>
        <v>#N/A</v>
      </c>
      <c r="AG531" s="859"/>
      <c r="AH531" s="27" t="str">
        <f t="shared" si="106"/>
        <v/>
      </c>
      <c r="AI531" s="152">
        <f ca="1">IF(W532&gt;0,0,IF(AH531=0,(Z531*-1)+BC531+SUM(BB$4:BB530),BC531+SUM(BB$4:BB530)))</f>
        <v>-2.1316282072803006E-13</v>
      </c>
      <c r="AJ531" s="931">
        <f>IF(AND(AL531&gt;=$U$1,AL531&lt;=$U$2),IF(AM531='ESTRATTO CONTO'!$E$2,1+COUNTIF(AJ$4:AJ530,"&gt;0")+U$1015,0),0)</f>
        <v>0</v>
      </c>
      <c r="AK531" s="203">
        <f>IF(AND(OR((AK530+1)&lt;AL$1015,(AK530+1)=AL$1015),MAX(AK$4:AK530)&lt;AL$1015),AK530+1,0)</f>
        <v>0</v>
      </c>
      <c r="AL531" s="309">
        <f>VLOOKUP($AK531,ENTI!$AF$4:AG$1003,2,FALSE)</f>
        <v>0</v>
      </c>
      <c r="AM531" s="224">
        <f>VLOOKUP($AK531,ENTI!$AF$4:AH$1003,3,FALSE)</f>
        <v>0</v>
      </c>
      <c r="AN531" s="224">
        <f>VLOOKUP($AK531,ENTI!$AF$4:AI$1003,4,FALSE)</f>
        <v>0</v>
      </c>
      <c r="AO531" s="781">
        <f>VLOOKUP($AK531,ENTI!$AF$4:AJ$1003,5,FALSE)</f>
        <v>0</v>
      </c>
      <c r="AP531" s="315">
        <f>VLOOKUP($AK531,ENTI!$AF$4:AK$1003,6,FALSE)</f>
        <v>0</v>
      </c>
      <c r="AQ531" s="208">
        <f t="shared" si="113"/>
        <v>0</v>
      </c>
      <c r="AR531" s="152" t="e">
        <f t="shared" si="114"/>
        <v>#N/A</v>
      </c>
      <c r="AS531" s="1"/>
      <c r="AT531" s="88" t="str">
        <f t="shared" si="107"/>
        <v/>
      </c>
      <c r="AU531" s="1"/>
      <c r="AV531" s="175">
        <f>IF(AW531&gt;0,COUNTIF(AV$4:AV530,"&gt;0")+1,0)</f>
        <v>0</v>
      </c>
      <c r="AW531" s="164">
        <f t="shared" si="108"/>
        <v>0</v>
      </c>
      <c r="AX531" s="310">
        <f>IF($AW531=0,0,VLOOKUP(VLOOKUP($X531,$B$34:$T$38,19,FALSE),ENTI!$A$9:$B$13,2,FALSE))</f>
        <v>0</v>
      </c>
      <c r="AY531" s="310">
        <f t="shared" si="110"/>
        <v>0</v>
      </c>
      <c r="AZ531" s="316">
        <f t="shared" si="111"/>
        <v>0</v>
      </c>
      <c r="BA531" s="1"/>
      <c r="BB531" s="152">
        <f t="shared" si="112"/>
        <v>0</v>
      </c>
      <c r="BC531" s="152">
        <f ca="1">SUM(Z$4:Z531)+SUM(BB$4:BB531)+COSTI!S$6-COSTI!L$1076</f>
        <v>-31.760000000000218</v>
      </c>
      <c r="BD531" s="1"/>
    </row>
    <row r="532" spans="1:56" ht="16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435">
        <f>IF(AND(W532&gt;=$U$1,W532&lt;=$U$2),IF(X532='ESTRATTO CONTO'!$E$2,1+COUNTIF(U$4:U531,"&gt;0"),0),0)</f>
        <v>0</v>
      </c>
      <c r="V532" s="417">
        <f t="shared" si="109"/>
        <v>529</v>
      </c>
      <c r="W532" s="509"/>
      <c r="X532" s="321"/>
      <c r="Y532" s="321"/>
      <c r="Z532" s="508"/>
      <c r="AA532" s="356"/>
      <c r="AB532" s="306" t="str">
        <f t="shared" si="105"/>
        <v/>
      </c>
      <c r="AC532" s="637">
        <f t="shared" ca="1" si="104"/>
        <v>-2.1316282072803006E-13</v>
      </c>
      <c r="AD532" s="935">
        <f>IF(ISERROR(VLOOKUP(AD$2,X533:X$1003,1,FALSE)),IF(X532=AD$2,SUMIF(X$4:X532,AD$2,Z$4:Z532)+$E$9+SUM(AQ$4:AQ$1003)+SUMIF(COSTI!$X$1379:$X$1430,AD$2,COSTI!$Z$1379:$Z$1430),0),0)</f>
        <v>0</v>
      </c>
      <c r="AE532" s="26"/>
      <c r="AF532" s="856" t="e">
        <f>IF(ISERROR(VLOOKUP(AG$2,X533:X$1003,1,FALSE)),IF(X532=AG$2,SUMIF(X$4:X532,AG$2,Z$4:Z532)+VLOOKUP(AF$2,$B$1057:$F$1068,5,FALSE)+SUM(AR$4:AR$1003)+SUMIF(COSTI!$X$1379:$X$1430,AG$2,COSTI!$Z$1379:$Z$1430),0),0)</f>
        <v>#N/A</v>
      </c>
      <c r="AG532" s="859"/>
      <c r="AH532" s="27" t="str">
        <f t="shared" si="106"/>
        <v/>
      </c>
      <c r="AI532" s="152">
        <f ca="1">IF(W533&gt;0,0,IF(AH532=0,(Z532*-1)+BC532+SUM(BB$4:BB531),BC532+SUM(BB$4:BB531)))</f>
        <v>-2.1316282072803006E-13</v>
      </c>
      <c r="AJ532" s="931">
        <f>IF(AND(AL532&gt;=$U$1,AL532&lt;=$U$2),IF(AM532='ESTRATTO CONTO'!$E$2,1+COUNTIF(AJ$4:AJ531,"&gt;0")+U$1015,0),0)</f>
        <v>0</v>
      </c>
      <c r="AK532" s="203">
        <f>IF(AND(OR((AK531+1)&lt;AL$1015,(AK531+1)=AL$1015),MAX(AK$4:AK531)&lt;AL$1015),AK531+1,0)</f>
        <v>0</v>
      </c>
      <c r="AL532" s="309">
        <f>VLOOKUP($AK532,ENTI!$AF$4:AG$1003,2,FALSE)</f>
        <v>0</v>
      </c>
      <c r="AM532" s="224">
        <f>VLOOKUP($AK532,ENTI!$AF$4:AH$1003,3,FALSE)</f>
        <v>0</v>
      </c>
      <c r="AN532" s="224">
        <f>VLOOKUP($AK532,ENTI!$AF$4:AI$1003,4,FALSE)</f>
        <v>0</v>
      </c>
      <c r="AO532" s="781">
        <f>VLOOKUP($AK532,ENTI!$AF$4:AJ$1003,5,FALSE)</f>
        <v>0</v>
      </c>
      <c r="AP532" s="315">
        <f>VLOOKUP($AK532,ENTI!$AF$4:AK$1003,6,FALSE)</f>
        <v>0</v>
      </c>
      <c r="AQ532" s="208">
        <f t="shared" si="113"/>
        <v>0</v>
      </c>
      <c r="AR532" s="152" t="e">
        <f t="shared" si="114"/>
        <v>#N/A</v>
      </c>
      <c r="AS532" s="1"/>
      <c r="AT532" s="88" t="str">
        <f t="shared" si="107"/>
        <v/>
      </c>
      <c r="AU532" s="1"/>
      <c r="AV532" s="175">
        <f>IF(AW532&gt;0,COUNTIF(AV$4:AV531,"&gt;0")+1,0)</f>
        <v>0</v>
      </c>
      <c r="AW532" s="164">
        <f t="shared" si="108"/>
        <v>0</v>
      </c>
      <c r="AX532" s="310">
        <f>IF($AW532=0,0,VLOOKUP(VLOOKUP($X532,$B$34:$T$38,19,FALSE),ENTI!$A$9:$B$13,2,FALSE))</f>
        <v>0</v>
      </c>
      <c r="AY532" s="310">
        <f t="shared" si="110"/>
        <v>0</v>
      </c>
      <c r="AZ532" s="316">
        <f t="shared" si="111"/>
        <v>0</v>
      </c>
      <c r="BA532" s="1"/>
      <c r="BB532" s="152">
        <f t="shared" si="112"/>
        <v>0</v>
      </c>
      <c r="BC532" s="152">
        <f ca="1">SUM(Z$4:Z532)+SUM(BB$4:BB532)+COSTI!S$6-COSTI!L$1076</f>
        <v>-31.760000000000218</v>
      </c>
      <c r="BD532" s="1"/>
    </row>
    <row r="533" spans="1:56" ht="16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435">
        <f>IF(AND(W533&gt;=$U$1,W533&lt;=$U$2),IF(X533='ESTRATTO CONTO'!$E$2,1+COUNTIF(U$4:U532,"&gt;0"),0),0)</f>
        <v>0</v>
      </c>
      <c r="V533" s="417">
        <f t="shared" si="109"/>
        <v>530</v>
      </c>
      <c r="W533" s="509"/>
      <c r="X533" s="321"/>
      <c r="Y533" s="321"/>
      <c r="Z533" s="508"/>
      <c r="AA533" s="356"/>
      <c r="AB533" s="306" t="str">
        <f t="shared" si="105"/>
        <v/>
      </c>
      <c r="AC533" s="637">
        <f t="shared" ca="1" si="104"/>
        <v>-2.1316282072803006E-13</v>
      </c>
      <c r="AD533" s="935">
        <f>IF(ISERROR(VLOOKUP(AD$2,X534:X$1003,1,FALSE)),IF(X533=AD$2,SUMIF(X$4:X533,AD$2,Z$4:Z533)+$E$9+SUM(AQ$4:AQ$1003)+SUMIF(COSTI!$X$1379:$X$1430,AD$2,COSTI!$Z$1379:$Z$1430),0),0)</f>
        <v>0</v>
      </c>
      <c r="AE533" s="26"/>
      <c r="AF533" s="856" t="e">
        <f>IF(ISERROR(VLOOKUP(AG$2,X534:X$1003,1,FALSE)),IF(X533=AG$2,SUMIF(X$4:X533,AG$2,Z$4:Z533)+VLOOKUP(AF$2,$B$1057:$F$1068,5,FALSE)+SUM(AR$4:AR$1003)+SUMIF(COSTI!$X$1379:$X$1430,AG$2,COSTI!$Z$1379:$Z$1430),0),0)</f>
        <v>#N/A</v>
      </c>
      <c r="AG533" s="859"/>
      <c r="AH533" s="27" t="str">
        <f t="shared" si="106"/>
        <v/>
      </c>
      <c r="AI533" s="152">
        <f ca="1">IF(W534&gt;0,0,IF(AH533=0,(Z533*-1)+BC533+SUM(BB$4:BB532),BC533+SUM(BB$4:BB532)))</f>
        <v>-2.1316282072803006E-13</v>
      </c>
      <c r="AJ533" s="931">
        <f>IF(AND(AL533&gt;=$U$1,AL533&lt;=$U$2),IF(AM533='ESTRATTO CONTO'!$E$2,1+COUNTIF(AJ$4:AJ532,"&gt;0")+U$1015,0),0)</f>
        <v>0</v>
      </c>
      <c r="AK533" s="203">
        <f>IF(AND(OR((AK532+1)&lt;AL$1015,(AK532+1)=AL$1015),MAX(AK$4:AK532)&lt;AL$1015),AK532+1,0)</f>
        <v>0</v>
      </c>
      <c r="AL533" s="309">
        <f>VLOOKUP($AK533,ENTI!$AF$4:AG$1003,2,FALSE)</f>
        <v>0</v>
      </c>
      <c r="AM533" s="224">
        <f>VLOOKUP($AK533,ENTI!$AF$4:AH$1003,3,FALSE)</f>
        <v>0</v>
      </c>
      <c r="AN533" s="224">
        <f>VLOOKUP($AK533,ENTI!$AF$4:AI$1003,4,FALSE)</f>
        <v>0</v>
      </c>
      <c r="AO533" s="781">
        <f>VLOOKUP($AK533,ENTI!$AF$4:AJ$1003,5,FALSE)</f>
        <v>0</v>
      </c>
      <c r="AP533" s="315">
        <f>VLOOKUP($AK533,ENTI!$AF$4:AK$1003,6,FALSE)</f>
        <v>0</v>
      </c>
      <c r="AQ533" s="208">
        <f t="shared" si="113"/>
        <v>0</v>
      </c>
      <c r="AR533" s="152" t="e">
        <f t="shared" si="114"/>
        <v>#N/A</v>
      </c>
      <c r="AS533" s="1"/>
      <c r="AT533" s="88" t="str">
        <f t="shared" si="107"/>
        <v/>
      </c>
      <c r="AU533" s="1"/>
      <c r="AV533" s="175">
        <f>IF(AW533&gt;0,COUNTIF(AV$4:AV532,"&gt;0")+1,0)</f>
        <v>0</v>
      </c>
      <c r="AW533" s="164">
        <f t="shared" si="108"/>
        <v>0</v>
      </c>
      <c r="AX533" s="310">
        <f>IF($AW533=0,0,VLOOKUP(VLOOKUP($X533,$B$34:$T$38,19,FALSE),ENTI!$A$9:$B$13,2,FALSE))</f>
        <v>0</v>
      </c>
      <c r="AY533" s="310">
        <f t="shared" si="110"/>
        <v>0</v>
      </c>
      <c r="AZ533" s="316">
        <f t="shared" si="111"/>
        <v>0</v>
      </c>
      <c r="BA533" s="1"/>
      <c r="BB533" s="152">
        <f t="shared" si="112"/>
        <v>0</v>
      </c>
      <c r="BC533" s="152">
        <f ca="1">SUM(Z$4:Z533)+SUM(BB$4:BB533)+COSTI!S$6-COSTI!L$1076</f>
        <v>-31.760000000000218</v>
      </c>
      <c r="BD533" s="1"/>
    </row>
    <row r="534" spans="1:56" ht="16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435">
        <f>IF(AND(W534&gt;=$U$1,W534&lt;=$U$2),IF(X534='ESTRATTO CONTO'!$E$2,1+COUNTIF(U$4:U533,"&gt;0"),0),0)</f>
        <v>0</v>
      </c>
      <c r="V534" s="417">
        <f t="shared" si="109"/>
        <v>531</v>
      </c>
      <c r="W534" s="509"/>
      <c r="X534" s="321"/>
      <c r="Y534" s="321"/>
      <c r="Z534" s="508"/>
      <c r="AA534" s="356"/>
      <c r="AB534" s="306" t="str">
        <f t="shared" si="105"/>
        <v/>
      </c>
      <c r="AC534" s="637">
        <f t="shared" ca="1" si="104"/>
        <v>-2.1316282072803006E-13</v>
      </c>
      <c r="AD534" s="935">
        <f>IF(ISERROR(VLOOKUP(AD$2,X535:X$1003,1,FALSE)),IF(X534=AD$2,SUMIF(X$4:X534,AD$2,Z$4:Z534)+$E$9+SUM(AQ$4:AQ$1003)+SUMIF(COSTI!$X$1379:$X$1430,AD$2,COSTI!$Z$1379:$Z$1430),0),0)</f>
        <v>0</v>
      </c>
      <c r="AE534" s="26"/>
      <c r="AF534" s="856" t="e">
        <f>IF(ISERROR(VLOOKUP(AG$2,X535:X$1003,1,FALSE)),IF(X534=AG$2,SUMIF(X$4:X534,AG$2,Z$4:Z534)+VLOOKUP(AF$2,$B$1057:$F$1068,5,FALSE)+SUM(AR$4:AR$1003)+SUMIF(COSTI!$X$1379:$X$1430,AG$2,COSTI!$Z$1379:$Z$1430),0),0)</f>
        <v>#N/A</v>
      </c>
      <c r="AG534" s="859"/>
      <c r="AH534" s="27" t="str">
        <f t="shared" si="106"/>
        <v/>
      </c>
      <c r="AI534" s="152">
        <f ca="1">IF(W535&gt;0,0,IF(AH534=0,(Z534*-1)+BC534+SUM(BB$4:BB533),BC534+SUM(BB$4:BB533)))</f>
        <v>-2.1316282072803006E-13</v>
      </c>
      <c r="AJ534" s="931">
        <f>IF(AND(AL534&gt;=$U$1,AL534&lt;=$U$2),IF(AM534='ESTRATTO CONTO'!$E$2,1+COUNTIF(AJ$4:AJ533,"&gt;0")+U$1015,0),0)</f>
        <v>0</v>
      </c>
      <c r="AK534" s="203">
        <f>IF(AND(OR((AK533+1)&lt;AL$1015,(AK533+1)=AL$1015),MAX(AK$4:AK533)&lt;AL$1015),AK533+1,0)</f>
        <v>0</v>
      </c>
      <c r="AL534" s="309">
        <f>VLOOKUP($AK534,ENTI!$AF$4:AG$1003,2,FALSE)</f>
        <v>0</v>
      </c>
      <c r="AM534" s="224">
        <f>VLOOKUP($AK534,ENTI!$AF$4:AH$1003,3,FALSE)</f>
        <v>0</v>
      </c>
      <c r="AN534" s="224">
        <f>VLOOKUP($AK534,ENTI!$AF$4:AI$1003,4,FALSE)</f>
        <v>0</v>
      </c>
      <c r="AO534" s="781">
        <f>VLOOKUP($AK534,ENTI!$AF$4:AJ$1003,5,FALSE)</f>
        <v>0</v>
      </c>
      <c r="AP534" s="315">
        <f>VLOOKUP($AK534,ENTI!$AF$4:AK$1003,6,FALSE)</f>
        <v>0</v>
      </c>
      <c r="AQ534" s="208">
        <f t="shared" si="113"/>
        <v>0</v>
      </c>
      <c r="AR534" s="152" t="e">
        <f t="shared" si="114"/>
        <v>#N/A</v>
      </c>
      <c r="AS534" s="1"/>
      <c r="AT534" s="88" t="str">
        <f t="shared" si="107"/>
        <v/>
      </c>
      <c r="AU534" s="1"/>
      <c r="AV534" s="175">
        <f>IF(AW534&gt;0,COUNTIF(AV$4:AV533,"&gt;0")+1,0)</f>
        <v>0</v>
      </c>
      <c r="AW534" s="164">
        <f t="shared" si="108"/>
        <v>0</v>
      </c>
      <c r="AX534" s="310">
        <f>IF($AW534=0,0,VLOOKUP(VLOOKUP($X534,$B$34:$T$38,19,FALSE),ENTI!$A$9:$B$13,2,FALSE))</f>
        <v>0</v>
      </c>
      <c r="AY534" s="310">
        <f t="shared" si="110"/>
        <v>0</v>
      </c>
      <c r="AZ534" s="316">
        <f t="shared" si="111"/>
        <v>0</v>
      </c>
      <c r="BA534" s="1"/>
      <c r="BB534" s="152">
        <f t="shared" si="112"/>
        <v>0</v>
      </c>
      <c r="BC534" s="152">
        <f ca="1">SUM(Z$4:Z534)+SUM(BB$4:BB534)+COSTI!S$6-COSTI!L$1076</f>
        <v>-31.760000000000218</v>
      </c>
      <c r="BD534" s="1"/>
    </row>
    <row r="535" spans="1:56" ht="16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435">
        <f>IF(AND(W535&gt;=$U$1,W535&lt;=$U$2),IF(X535='ESTRATTO CONTO'!$E$2,1+COUNTIF(U$4:U534,"&gt;0"),0),0)</f>
        <v>0</v>
      </c>
      <c r="V535" s="417">
        <f t="shared" si="109"/>
        <v>532</v>
      </c>
      <c r="W535" s="509"/>
      <c r="X535" s="321"/>
      <c r="Y535" s="321"/>
      <c r="Z535" s="508"/>
      <c r="AA535" s="356"/>
      <c r="AB535" s="306" t="str">
        <f t="shared" si="105"/>
        <v/>
      </c>
      <c r="AC535" s="637">
        <f t="shared" ca="1" si="104"/>
        <v>-2.1316282072803006E-13</v>
      </c>
      <c r="AD535" s="935">
        <f>IF(ISERROR(VLOOKUP(AD$2,X536:X$1003,1,FALSE)),IF(X535=AD$2,SUMIF(X$4:X535,AD$2,Z$4:Z535)+$E$9+SUM(AQ$4:AQ$1003)+SUMIF(COSTI!$X$1379:$X$1430,AD$2,COSTI!$Z$1379:$Z$1430),0),0)</f>
        <v>0</v>
      </c>
      <c r="AE535" s="26"/>
      <c r="AF535" s="856" t="e">
        <f>IF(ISERROR(VLOOKUP(AG$2,X536:X$1003,1,FALSE)),IF(X535=AG$2,SUMIF(X$4:X535,AG$2,Z$4:Z535)+VLOOKUP(AF$2,$B$1057:$F$1068,5,FALSE)+SUM(AR$4:AR$1003)+SUMIF(COSTI!$X$1379:$X$1430,AG$2,COSTI!$Z$1379:$Z$1430),0),0)</f>
        <v>#N/A</v>
      </c>
      <c r="AG535" s="859"/>
      <c r="AH535" s="27" t="str">
        <f t="shared" si="106"/>
        <v/>
      </c>
      <c r="AI535" s="152">
        <f ca="1">IF(W536&gt;0,0,IF(AH535=0,(Z535*-1)+BC535+SUM(BB$4:BB534),BC535+SUM(BB$4:BB534)))</f>
        <v>-2.1316282072803006E-13</v>
      </c>
      <c r="AJ535" s="931">
        <f>IF(AND(AL535&gt;=$U$1,AL535&lt;=$U$2),IF(AM535='ESTRATTO CONTO'!$E$2,1+COUNTIF(AJ$4:AJ534,"&gt;0")+U$1015,0),0)</f>
        <v>0</v>
      </c>
      <c r="AK535" s="203">
        <f>IF(AND(OR((AK534+1)&lt;AL$1015,(AK534+1)=AL$1015),MAX(AK$4:AK534)&lt;AL$1015),AK534+1,0)</f>
        <v>0</v>
      </c>
      <c r="AL535" s="309">
        <f>VLOOKUP($AK535,ENTI!$AF$4:AG$1003,2,FALSE)</f>
        <v>0</v>
      </c>
      <c r="AM535" s="224">
        <f>VLOOKUP($AK535,ENTI!$AF$4:AH$1003,3,FALSE)</f>
        <v>0</v>
      </c>
      <c r="AN535" s="224">
        <f>VLOOKUP($AK535,ENTI!$AF$4:AI$1003,4,FALSE)</f>
        <v>0</v>
      </c>
      <c r="AO535" s="781">
        <f>VLOOKUP($AK535,ENTI!$AF$4:AJ$1003,5,FALSE)</f>
        <v>0</v>
      </c>
      <c r="AP535" s="315">
        <f>VLOOKUP($AK535,ENTI!$AF$4:AK$1003,6,FALSE)</f>
        <v>0</v>
      </c>
      <c r="AQ535" s="208">
        <f t="shared" si="113"/>
        <v>0</v>
      </c>
      <c r="AR535" s="152" t="e">
        <f t="shared" si="114"/>
        <v>#N/A</v>
      </c>
      <c r="AS535" s="1"/>
      <c r="AT535" s="88" t="str">
        <f t="shared" si="107"/>
        <v/>
      </c>
      <c r="AU535" s="1"/>
      <c r="AV535" s="175">
        <f>IF(AW535&gt;0,COUNTIF(AV$4:AV534,"&gt;0")+1,0)</f>
        <v>0</v>
      </c>
      <c r="AW535" s="164">
        <f t="shared" si="108"/>
        <v>0</v>
      </c>
      <c r="AX535" s="310">
        <f>IF($AW535=0,0,VLOOKUP(VLOOKUP($X535,$B$34:$T$38,19,FALSE),ENTI!$A$9:$B$13,2,FALSE))</f>
        <v>0</v>
      </c>
      <c r="AY535" s="310">
        <f t="shared" si="110"/>
        <v>0</v>
      </c>
      <c r="AZ535" s="316">
        <f t="shared" si="111"/>
        <v>0</v>
      </c>
      <c r="BA535" s="1"/>
      <c r="BB535" s="152">
        <f t="shared" si="112"/>
        <v>0</v>
      </c>
      <c r="BC535" s="152">
        <f ca="1">SUM(Z$4:Z535)+SUM(BB$4:BB535)+COSTI!S$6-COSTI!L$1076</f>
        <v>-31.760000000000218</v>
      </c>
      <c r="BD535" s="1"/>
    </row>
    <row r="536" spans="1:56" ht="16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435">
        <f>IF(AND(W536&gt;=$U$1,W536&lt;=$U$2),IF(X536='ESTRATTO CONTO'!$E$2,1+COUNTIF(U$4:U535,"&gt;0"),0),0)</f>
        <v>0</v>
      </c>
      <c r="V536" s="417">
        <f t="shared" si="109"/>
        <v>533</v>
      </c>
      <c r="W536" s="509"/>
      <c r="X536" s="321"/>
      <c r="Y536" s="321"/>
      <c r="Z536" s="508"/>
      <c r="AA536" s="356"/>
      <c r="AB536" s="306" t="str">
        <f t="shared" si="105"/>
        <v/>
      </c>
      <c r="AC536" s="637">
        <f t="shared" ca="1" si="104"/>
        <v>-2.1316282072803006E-13</v>
      </c>
      <c r="AD536" s="935">
        <f>IF(ISERROR(VLOOKUP(AD$2,X537:X$1003,1,FALSE)),IF(X536=AD$2,SUMIF(X$4:X536,AD$2,Z$4:Z536)+$E$9+SUM(AQ$4:AQ$1003)+SUMIF(COSTI!$X$1379:$X$1430,AD$2,COSTI!$Z$1379:$Z$1430),0),0)</f>
        <v>0</v>
      </c>
      <c r="AE536" s="26"/>
      <c r="AF536" s="856" t="e">
        <f>IF(ISERROR(VLOOKUP(AG$2,X537:X$1003,1,FALSE)),IF(X536=AG$2,SUMIF(X$4:X536,AG$2,Z$4:Z536)+VLOOKUP(AF$2,$B$1057:$F$1068,5,FALSE)+SUM(AR$4:AR$1003)+SUMIF(COSTI!$X$1379:$X$1430,AG$2,COSTI!$Z$1379:$Z$1430),0),0)</f>
        <v>#N/A</v>
      </c>
      <c r="AG536" s="859"/>
      <c r="AH536" s="27" t="str">
        <f t="shared" si="106"/>
        <v/>
      </c>
      <c r="AI536" s="152">
        <f ca="1">IF(W537&gt;0,0,IF(AH536=0,(Z536*-1)+BC536+SUM(BB$4:BB535),BC536+SUM(BB$4:BB535)))</f>
        <v>-2.1316282072803006E-13</v>
      </c>
      <c r="AJ536" s="931">
        <f>IF(AND(AL536&gt;=$U$1,AL536&lt;=$U$2),IF(AM536='ESTRATTO CONTO'!$E$2,1+COUNTIF(AJ$4:AJ535,"&gt;0")+U$1015,0),0)</f>
        <v>0</v>
      </c>
      <c r="AK536" s="203">
        <f>IF(AND(OR((AK535+1)&lt;AL$1015,(AK535+1)=AL$1015),MAX(AK$4:AK535)&lt;AL$1015),AK535+1,0)</f>
        <v>0</v>
      </c>
      <c r="AL536" s="309">
        <f>VLOOKUP($AK536,ENTI!$AF$4:AG$1003,2,FALSE)</f>
        <v>0</v>
      </c>
      <c r="AM536" s="224">
        <f>VLOOKUP($AK536,ENTI!$AF$4:AH$1003,3,FALSE)</f>
        <v>0</v>
      </c>
      <c r="AN536" s="224">
        <f>VLOOKUP($AK536,ENTI!$AF$4:AI$1003,4,FALSE)</f>
        <v>0</v>
      </c>
      <c r="AO536" s="781">
        <f>VLOOKUP($AK536,ENTI!$AF$4:AJ$1003,5,FALSE)</f>
        <v>0</v>
      </c>
      <c r="AP536" s="315">
        <f>VLOOKUP($AK536,ENTI!$AF$4:AK$1003,6,FALSE)</f>
        <v>0</v>
      </c>
      <c r="AQ536" s="208">
        <f t="shared" si="113"/>
        <v>0</v>
      </c>
      <c r="AR536" s="152" t="e">
        <f t="shared" si="114"/>
        <v>#N/A</v>
      </c>
      <c r="AS536" s="1"/>
      <c r="AT536" s="88" t="str">
        <f t="shared" si="107"/>
        <v/>
      </c>
      <c r="AU536" s="1"/>
      <c r="AV536" s="175">
        <f>IF(AW536&gt;0,COUNTIF(AV$4:AV535,"&gt;0")+1,0)</f>
        <v>0</v>
      </c>
      <c r="AW536" s="164">
        <f t="shared" si="108"/>
        <v>0</v>
      </c>
      <c r="AX536" s="310">
        <f>IF($AW536=0,0,VLOOKUP(VLOOKUP($X536,$B$34:$T$38,19,FALSE),ENTI!$A$9:$B$13,2,FALSE))</f>
        <v>0</v>
      </c>
      <c r="AY536" s="310">
        <f t="shared" si="110"/>
        <v>0</v>
      </c>
      <c r="AZ536" s="316">
        <f t="shared" si="111"/>
        <v>0</v>
      </c>
      <c r="BA536" s="1"/>
      <c r="BB536" s="152">
        <f t="shared" si="112"/>
        <v>0</v>
      </c>
      <c r="BC536" s="152">
        <f ca="1">SUM(Z$4:Z536)+SUM(BB$4:BB536)+COSTI!S$6-COSTI!L$1076</f>
        <v>-31.760000000000218</v>
      </c>
      <c r="BD536" s="1"/>
    </row>
    <row r="537" spans="1:56" ht="16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435">
        <f>IF(AND(W537&gt;=$U$1,W537&lt;=$U$2),IF(X537='ESTRATTO CONTO'!$E$2,1+COUNTIF(U$4:U536,"&gt;0"),0),0)</f>
        <v>0</v>
      </c>
      <c r="V537" s="417">
        <f t="shared" si="109"/>
        <v>534</v>
      </c>
      <c r="W537" s="509"/>
      <c r="X537" s="321"/>
      <c r="Y537" s="321"/>
      <c r="Z537" s="508"/>
      <c r="AA537" s="356"/>
      <c r="AB537" s="306" t="str">
        <f t="shared" si="105"/>
        <v/>
      </c>
      <c r="AC537" s="637">
        <f t="shared" ca="1" si="104"/>
        <v>-2.1316282072803006E-13</v>
      </c>
      <c r="AD537" s="935">
        <f>IF(ISERROR(VLOOKUP(AD$2,X538:X$1003,1,FALSE)),IF(X537=AD$2,SUMIF(X$4:X537,AD$2,Z$4:Z537)+$E$9+SUM(AQ$4:AQ$1003)+SUMIF(COSTI!$X$1379:$X$1430,AD$2,COSTI!$Z$1379:$Z$1430),0),0)</f>
        <v>0</v>
      </c>
      <c r="AE537" s="26"/>
      <c r="AF537" s="856" t="e">
        <f>IF(ISERROR(VLOOKUP(AG$2,X538:X$1003,1,FALSE)),IF(X537=AG$2,SUMIF(X$4:X537,AG$2,Z$4:Z537)+VLOOKUP(AF$2,$B$1057:$F$1068,5,FALSE)+SUM(AR$4:AR$1003)+SUMIF(COSTI!$X$1379:$X$1430,AG$2,COSTI!$Z$1379:$Z$1430),0),0)</f>
        <v>#N/A</v>
      </c>
      <c r="AG537" s="859"/>
      <c r="AH537" s="27" t="str">
        <f t="shared" si="106"/>
        <v/>
      </c>
      <c r="AI537" s="152">
        <f ca="1">IF(W538&gt;0,0,IF(AH537=0,(Z537*-1)+BC537+SUM(BB$4:BB536),BC537+SUM(BB$4:BB536)))</f>
        <v>-2.1316282072803006E-13</v>
      </c>
      <c r="AJ537" s="931">
        <f>IF(AND(AL537&gt;=$U$1,AL537&lt;=$U$2),IF(AM537='ESTRATTO CONTO'!$E$2,1+COUNTIF(AJ$4:AJ536,"&gt;0")+U$1015,0),0)</f>
        <v>0</v>
      </c>
      <c r="AK537" s="203">
        <f>IF(AND(OR((AK536+1)&lt;AL$1015,(AK536+1)=AL$1015),MAX(AK$4:AK536)&lt;AL$1015),AK536+1,0)</f>
        <v>0</v>
      </c>
      <c r="AL537" s="309">
        <f>VLOOKUP($AK537,ENTI!$AF$4:AG$1003,2,FALSE)</f>
        <v>0</v>
      </c>
      <c r="AM537" s="224">
        <f>VLOOKUP($AK537,ENTI!$AF$4:AH$1003,3,FALSE)</f>
        <v>0</v>
      </c>
      <c r="AN537" s="224">
        <f>VLOOKUP($AK537,ENTI!$AF$4:AI$1003,4,FALSE)</f>
        <v>0</v>
      </c>
      <c r="AO537" s="781">
        <f>VLOOKUP($AK537,ENTI!$AF$4:AJ$1003,5,FALSE)</f>
        <v>0</v>
      </c>
      <c r="AP537" s="315">
        <f>VLOOKUP($AK537,ENTI!$AF$4:AK$1003,6,FALSE)</f>
        <v>0</v>
      </c>
      <c r="AQ537" s="208">
        <f t="shared" si="113"/>
        <v>0</v>
      </c>
      <c r="AR537" s="152" t="e">
        <f t="shared" si="114"/>
        <v>#N/A</v>
      </c>
      <c r="AS537" s="1"/>
      <c r="AT537" s="88" t="str">
        <f t="shared" si="107"/>
        <v/>
      </c>
      <c r="AU537" s="1"/>
      <c r="AV537" s="175">
        <f>IF(AW537&gt;0,COUNTIF(AV$4:AV536,"&gt;0")+1,0)</f>
        <v>0</v>
      </c>
      <c r="AW537" s="164">
        <f t="shared" si="108"/>
        <v>0</v>
      </c>
      <c r="AX537" s="310">
        <f>IF($AW537=0,0,VLOOKUP(VLOOKUP($X537,$B$34:$T$38,19,FALSE),ENTI!$A$9:$B$13,2,FALSE))</f>
        <v>0</v>
      </c>
      <c r="AY537" s="310">
        <f t="shared" si="110"/>
        <v>0</v>
      </c>
      <c r="AZ537" s="316">
        <f t="shared" si="111"/>
        <v>0</v>
      </c>
      <c r="BA537" s="1"/>
      <c r="BB537" s="152">
        <f t="shared" si="112"/>
        <v>0</v>
      </c>
      <c r="BC537" s="152">
        <f ca="1">SUM(Z$4:Z537)+SUM(BB$4:BB537)+COSTI!S$6-COSTI!L$1076</f>
        <v>-31.760000000000218</v>
      </c>
      <c r="BD537" s="1"/>
    </row>
    <row r="538" spans="1:56" ht="16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435">
        <f>IF(AND(W538&gt;=$U$1,W538&lt;=$U$2),IF(X538='ESTRATTO CONTO'!$E$2,1+COUNTIF(U$4:U537,"&gt;0"),0),0)</f>
        <v>0</v>
      </c>
      <c r="V538" s="417">
        <f t="shared" si="109"/>
        <v>535</v>
      </c>
      <c r="W538" s="509"/>
      <c r="X538" s="321"/>
      <c r="Y538" s="321"/>
      <c r="Z538" s="508"/>
      <c r="AA538" s="356"/>
      <c r="AB538" s="306" t="str">
        <f t="shared" si="105"/>
        <v/>
      </c>
      <c r="AC538" s="637">
        <f t="shared" ca="1" si="104"/>
        <v>-2.1316282072803006E-13</v>
      </c>
      <c r="AD538" s="935">
        <f>IF(ISERROR(VLOOKUP(AD$2,X539:X$1003,1,FALSE)),IF(X538=AD$2,SUMIF(X$4:X538,AD$2,Z$4:Z538)+$E$9+SUM(AQ$4:AQ$1003)+SUMIF(COSTI!$X$1379:$X$1430,AD$2,COSTI!$Z$1379:$Z$1430),0),0)</f>
        <v>0</v>
      </c>
      <c r="AE538" s="26"/>
      <c r="AF538" s="856" t="e">
        <f>IF(ISERROR(VLOOKUP(AG$2,X539:X$1003,1,FALSE)),IF(X538=AG$2,SUMIF(X$4:X538,AG$2,Z$4:Z538)+VLOOKUP(AF$2,$B$1057:$F$1068,5,FALSE)+SUM(AR$4:AR$1003)+SUMIF(COSTI!$X$1379:$X$1430,AG$2,COSTI!$Z$1379:$Z$1430),0),0)</f>
        <v>#N/A</v>
      </c>
      <c r="AG538" s="859"/>
      <c r="AH538" s="27" t="str">
        <f t="shared" si="106"/>
        <v/>
      </c>
      <c r="AI538" s="152">
        <f ca="1">IF(W539&gt;0,0,IF(AH538=0,(Z538*-1)+BC538+SUM(BB$4:BB537),BC538+SUM(BB$4:BB537)))</f>
        <v>-2.1316282072803006E-13</v>
      </c>
      <c r="AJ538" s="931">
        <f>IF(AND(AL538&gt;=$U$1,AL538&lt;=$U$2),IF(AM538='ESTRATTO CONTO'!$E$2,1+COUNTIF(AJ$4:AJ537,"&gt;0")+U$1015,0),0)</f>
        <v>0</v>
      </c>
      <c r="AK538" s="203">
        <f>IF(AND(OR((AK537+1)&lt;AL$1015,(AK537+1)=AL$1015),MAX(AK$4:AK537)&lt;AL$1015),AK537+1,0)</f>
        <v>0</v>
      </c>
      <c r="AL538" s="309">
        <f>VLOOKUP($AK538,ENTI!$AF$4:AG$1003,2,FALSE)</f>
        <v>0</v>
      </c>
      <c r="AM538" s="224">
        <f>VLOOKUP($AK538,ENTI!$AF$4:AH$1003,3,FALSE)</f>
        <v>0</v>
      </c>
      <c r="AN538" s="224">
        <f>VLOOKUP($AK538,ENTI!$AF$4:AI$1003,4,FALSE)</f>
        <v>0</v>
      </c>
      <c r="AO538" s="781">
        <f>VLOOKUP($AK538,ENTI!$AF$4:AJ$1003,5,FALSE)</f>
        <v>0</v>
      </c>
      <c r="AP538" s="315">
        <f>VLOOKUP($AK538,ENTI!$AF$4:AK$1003,6,FALSE)</f>
        <v>0</v>
      </c>
      <c r="AQ538" s="208">
        <f t="shared" si="113"/>
        <v>0</v>
      </c>
      <c r="AR538" s="152" t="e">
        <f t="shared" si="114"/>
        <v>#N/A</v>
      </c>
      <c r="AS538" s="1"/>
      <c r="AT538" s="88" t="str">
        <f t="shared" si="107"/>
        <v/>
      </c>
      <c r="AU538" s="1"/>
      <c r="AV538" s="175">
        <f>IF(AW538&gt;0,COUNTIF(AV$4:AV537,"&gt;0")+1,0)</f>
        <v>0</v>
      </c>
      <c r="AW538" s="164">
        <f t="shared" si="108"/>
        <v>0</v>
      </c>
      <c r="AX538" s="310">
        <f>IF($AW538=0,0,VLOOKUP(VLOOKUP($X538,$B$34:$T$38,19,FALSE),ENTI!$A$9:$B$13,2,FALSE))</f>
        <v>0</v>
      </c>
      <c r="AY538" s="310">
        <f t="shared" si="110"/>
        <v>0</v>
      </c>
      <c r="AZ538" s="316">
        <f t="shared" si="111"/>
        <v>0</v>
      </c>
      <c r="BA538" s="1"/>
      <c r="BB538" s="152">
        <f t="shared" si="112"/>
        <v>0</v>
      </c>
      <c r="BC538" s="152">
        <f ca="1">SUM(Z$4:Z538)+SUM(BB$4:BB538)+COSTI!S$6-COSTI!L$1076</f>
        <v>-31.760000000000218</v>
      </c>
      <c r="BD538" s="1"/>
    </row>
    <row r="539" spans="1:56" ht="16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435">
        <f>IF(AND(W539&gt;=$U$1,W539&lt;=$U$2),IF(X539='ESTRATTO CONTO'!$E$2,1+COUNTIF(U$4:U538,"&gt;0"),0),0)</f>
        <v>0</v>
      </c>
      <c r="V539" s="417">
        <f t="shared" si="109"/>
        <v>536</v>
      </c>
      <c r="W539" s="509"/>
      <c r="X539" s="321"/>
      <c r="Y539" s="321"/>
      <c r="Z539" s="508"/>
      <c r="AA539" s="356"/>
      <c r="AB539" s="306" t="str">
        <f t="shared" si="105"/>
        <v/>
      </c>
      <c r="AC539" s="637">
        <f t="shared" ca="1" si="104"/>
        <v>-2.1316282072803006E-13</v>
      </c>
      <c r="AD539" s="935">
        <f>IF(ISERROR(VLOOKUP(AD$2,X540:X$1003,1,FALSE)),IF(X539=AD$2,SUMIF(X$4:X539,AD$2,Z$4:Z539)+$E$9+SUM(AQ$4:AQ$1003)+SUMIF(COSTI!$X$1379:$X$1430,AD$2,COSTI!$Z$1379:$Z$1430),0),0)</f>
        <v>0</v>
      </c>
      <c r="AE539" s="26"/>
      <c r="AF539" s="856" t="e">
        <f>IF(ISERROR(VLOOKUP(AG$2,X540:X$1003,1,FALSE)),IF(X539=AG$2,SUMIF(X$4:X539,AG$2,Z$4:Z539)+VLOOKUP(AF$2,$B$1057:$F$1068,5,FALSE)+SUM(AR$4:AR$1003)+SUMIF(COSTI!$X$1379:$X$1430,AG$2,COSTI!$Z$1379:$Z$1430),0),0)</f>
        <v>#N/A</v>
      </c>
      <c r="AG539" s="859"/>
      <c r="AH539" s="27" t="str">
        <f t="shared" si="106"/>
        <v/>
      </c>
      <c r="AI539" s="152">
        <f ca="1">IF(W540&gt;0,0,IF(AH539=0,(Z539*-1)+BC539+SUM(BB$4:BB538),BC539+SUM(BB$4:BB538)))</f>
        <v>-2.1316282072803006E-13</v>
      </c>
      <c r="AJ539" s="931">
        <f>IF(AND(AL539&gt;=$U$1,AL539&lt;=$U$2),IF(AM539='ESTRATTO CONTO'!$E$2,1+COUNTIF(AJ$4:AJ538,"&gt;0")+U$1015,0),0)</f>
        <v>0</v>
      </c>
      <c r="AK539" s="203">
        <f>IF(AND(OR((AK538+1)&lt;AL$1015,(AK538+1)=AL$1015),MAX(AK$4:AK538)&lt;AL$1015),AK538+1,0)</f>
        <v>0</v>
      </c>
      <c r="AL539" s="309">
        <f>VLOOKUP($AK539,ENTI!$AF$4:AG$1003,2,FALSE)</f>
        <v>0</v>
      </c>
      <c r="AM539" s="224">
        <f>VLOOKUP($AK539,ENTI!$AF$4:AH$1003,3,FALSE)</f>
        <v>0</v>
      </c>
      <c r="AN539" s="224">
        <f>VLOOKUP($AK539,ENTI!$AF$4:AI$1003,4,FALSE)</f>
        <v>0</v>
      </c>
      <c r="AO539" s="781">
        <f>VLOOKUP($AK539,ENTI!$AF$4:AJ$1003,5,FALSE)</f>
        <v>0</v>
      </c>
      <c r="AP539" s="315">
        <f>VLOOKUP($AK539,ENTI!$AF$4:AK$1003,6,FALSE)</f>
        <v>0</v>
      </c>
      <c r="AQ539" s="208">
        <f t="shared" si="113"/>
        <v>0</v>
      </c>
      <c r="AR539" s="152" t="e">
        <f t="shared" si="114"/>
        <v>#N/A</v>
      </c>
      <c r="AS539" s="1"/>
      <c r="AT539" s="88" t="str">
        <f t="shared" si="107"/>
        <v/>
      </c>
      <c r="AU539" s="1"/>
      <c r="AV539" s="175">
        <f>IF(AW539&gt;0,COUNTIF(AV$4:AV538,"&gt;0")+1,0)</f>
        <v>0</v>
      </c>
      <c r="AW539" s="164">
        <f t="shared" si="108"/>
        <v>0</v>
      </c>
      <c r="AX539" s="310">
        <f>IF($AW539=0,0,VLOOKUP(VLOOKUP($X539,$B$34:$T$38,19,FALSE),ENTI!$A$9:$B$13,2,FALSE))</f>
        <v>0</v>
      </c>
      <c r="AY539" s="310">
        <f t="shared" si="110"/>
        <v>0</v>
      </c>
      <c r="AZ539" s="316">
        <f t="shared" si="111"/>
        <v>0</v>
      </c>
      <c r="BA539" s="1"/>
      <c r="BB539" s="152">
        <f t="shared" si="112"/>
        <v>0</v>
      </c>
      <c r="BC539" s="152">
        <f ca="1">SUM(Z$4:Z539)+SUM(BB$4:BB539)+COSTI!S$6-COSTI!L$1076</f>
        <v>-31.760000000000218</v>
      </c>
      <c r="BD539" s="1"/>
    </row>
    <row r="540" spans="1:56" ht="16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435">
        <f>IF(AND(W540&gt;=$U$1,W540&lt;=$U$2),IF(X540='ESTRATTO CONTO'!$E$2,1+COUNTIF(U$4:U539,"&gt;0"),0),0)</f>
        <v>0</v>
      </c>
      <c r="V540" s="417">
        <f t="shared" si="109"/>
        <v>537</v>
      </c>
      <c r="W540" s="509"/>
      <c r="X540" s="321"/>
      <c r="Y540" s="321"/>
      <c r="Z540" s="508"/>
      <c r="AA540" s="356"/>
      <c r="AB540" s="306" t="str">
        <f t="shared" si="105"/>
        <v/>
      </c>
      <c r="AC540" s="637">
        <f t="shared" ca="1" si="104"/>
        <v>-2.1316282072803006E-13</v>
      </c>
      <c r="AD540" s="935">
        <f>IF(ISERROR(VLOOKUP(AD$2,X541:X$1003,1,FALSE)),IF(X540=AD$2,SUMIF(X$4:X540,AD$2,Z$4:Z540)+$E$9+SUM(AQ$4:AQ$1003)+SUMIF(COSTI!$X$1379:$X$1430,AD$2,COSTI!$Z$1379:$Z$1430),0),0)</f>
        <v>0</v>
      </c>
      <c r="AE540" s="26"/>
      <c r="AF540" s="856" t="e">
        <f>IF(ISERROR(VLOOKUP(AG$2,X541:X$1003,1,FALSE)),IF(X540=AG$2,SUMIF(X$4:X540,AG$2,Z$4:Z540)+VLOOKUP(AF$2,$B$1057:$F$1068,5,FALSE)+SUM(AR$4:AR$1003)+SUMIF(COSTI!$X$1379:$X$1430,AG$2,COSTI!$Z$1379:$Z$1430),0),0)</f>
        <v>#N/A</v>
      </c>
      <c r="AG540" s="859"/>
      <c r="AH540" s="27" t="str">
        <f t="shared" si="106"/>
        <v/>
      </c>
      <c r="AI540" s="152">
        <f ca="1">IF(W541&gt;0,0,IF(AH540=0,(Z540*-1)+BC540+SUM(BB$4:BB539),BC540+SUM(BB$4:BB539)))</f>
        <v>-2.1316282072803006E-13</v>
      </c>
      <c r="AJ540" s="931">
        <f>IF(AND(AL540&gt;=$U$1,AL540&lt;=$U$2),IF(AM540='ESTRATTO CONTO'!$E$2,1+COUNTIF(AJ$4:AJ539,"&gt;0")+U$1015,0),0)</f>
        <v>0</v>
      </c>
      <c r="AK540" s="203">
        <f>IF(AND(OR((AK539+1)&lt;AL$1015,(AK539+1)=AL$1015),MAX(AK$4:AK539)&lt;AL$1015),AK539+1,0)</f>
        <v>0</v>
      </c>
      <c r="AL540" s="309">
        <f>VLOOKUP($AK540,ENTI!$AF$4:AG$1003,2,FALSE)</f>
        <v>0</v>
      </c>
      <c r="AM540" s="224">
        <f>VLOOKUP($AK540,ENTI!$AF$4:AH$1003,3,FALSE)</f>
        <v>0</v>
      </c>
      <c r="AN540" s="224">
        <f>VLOOKUP($AK540,ENTI!$AF$4:AI$1003,4,FALSE)</f>
        <v>0</v>
      </c>
      <c r="AO540" s="781">
        <f>VLOOKUP($AK540,ENTI!$AF$4:AJ$1003,5,FALSE)</f>
        <v>0</v>
      </c>
      <c r="AP540" s="315">
        <f>VLOOKUP($AK540,ENTI!$AF$4:AK$1003,6,FALSE)</f>
        <v>0</v>
      </c>
      <c r="AQ540" s="208">
        <f t="shared" si="113"/>
        <v>0</v>
      </c>
      <c r="AR540" s="152" t="e">
        <f t="shared" si="114"/>
        <v>#N/A</v>
      </c>
      <c r="AS540" s="1"/>
      <c r="AT540" s="88" t="str">
        <f t="shared" si="107"/>
        <v/>
      </c>
      <c r="AU540" s="1"/>
      <c r="AV540" s="175">
        <f>IF(AW540&gt;0,COUNTIF(AV$4:AV539,"&gt;0")+1,0)</f>
        <v>0</v>
      </c>
      <c r="AW540" s="164">
        <f t="shared" si="108"/>
        <v>0</v>
      </c>
      <c r="AX540" s="310">
        <f>IF($AW540=0,0,VLOOKUP(VLOOKUP($X540,$B$34:$T$38,19,FALSE),ENTI!$A$9:$B$13,2,FALSE))</f>
        <v>0</v>
      </c>
      <c r="AY540" s="310">
        <f t="shared" si="110"/>
        <v>0</v>
      </c>
      <c r="AZ540" s="316">
        <f t="shared" si="111"/>
        <v>0</v>
      </c>
      <c r="BA540" s="1"/>
      <c r="BB540" s="152">
        <f t="shared" si="112"/>
        <v>0</v>
      </c>
      <c r="BC540" s="152">
        <f ca="1">SUM(Z$4:Z540)+SUM(BB$4:BB540)+COSTI!S$6-COSTI!L$1076</f>
        <v>-31.760000000000218</v>
      </c>
      <c r="BD540" s="1"/>
    </row>
    <row r="541" spans="1:56" ht="16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435">
        <f>IF(AND(W541&gt;=$U$1,W541&lt;=$U$2),IF(X541='ESTRATTO CONTO'!$E$2,1+COUNTIF(U$4:U540,"&gt;0"),0),0)</f>
        <v>0</v>
      </c>
      <c r="V541" s="417">
        <f t="shared" si="109"/>
        <v>538</v>
      </c>
      <c r="W541" s="509"/>
      <c r="X541" s="321"/>
      <c r="Y541" s="321"/>
      <c r="Z541" s="508"/>
      <c r="AA541" s="356"/>
      <c r="AB541" s="306" t="str">
        <f t="shared" si="105"/>
        <v/>
      </c>
      <c r="AC541" s="637">
        <f t="shared" ca="1" si="104"/>
        <v>-2.1316282072803006E-13</v>
      </c>
      <c r="AD541" s="935">
        <f>IF(ISERROR(VLOOKUP(AD$2,X542:X$1003,1,FALSE)),IF(X541=AD$2,SUMIF(X$4:X541,AD$2,Z$4:Z541)+$E$9+SUM(AQ$4:AQ$1003)+SUMIF(COSTI!$X$1379:$X$1430,AD$2,COSTI!$Z$1379:$Z$1430),0),0)</f>
        <v>0</v>
      </c>
      <c r="AE541" s="26"/>
      <c r="AF541" s="856" t="e">
        <f>IF(ISERROR(VLOOKUP(AG$2,X542:X$1003,1,FALSE)),IF(X541=AG$2,SUMIF(X$4:X541,AG$2,Z$4:Z541)+VLOOKUP(AF$2,$B$1057:$F$1068,5,FALSE)+SUM(AR$4:AR$1003)+SUMIF(COSTI!$X$1379:$X$1430,AG$2,COSTI!$Z$1379:$Z$1430),0),0)</f>
        <v>#N/A</v>
      </c>
      <c r="AG541" s="859"/>
      <c r="AH541" s="27" t="str">
        <f t="shared" si="106"/>
        <v/>
      </c>
      <c r="AI541" s="152">
        <f ca="1">IF(W542&gt;0,0,IF(AH541=0,(Z541*-1)+BC541+SUM(BB$4:BB540),BC541+SUM(BB$4:BB540)))</f>
        <v>-2.1316282072803006E-13</v>
      </c>
      <c r="AJ541" s="931">
        <f>IF(AND(AL541&gt;=$U$1,AL541&lt;=$U$2),IF(AM541='ESTRATTO CONTO'!$E$2,1+COUNTIF(AJ$4:AJ540,"&gt;0")+U$1015,0),0)</f>
        <v>0</v>
      </c>
      <c r="AK541" s="203">
        <f>IF(AND(OR((AK540+1)&lt;AL$1015,(AK540+1)=AL$1015),MAX(AK$4:AK540)&lt;AL$1015),AK540+1,0)</f>
        <v>0</v>
      </c>
      <c r="AL541" s="309">
        <f>VLOOKUP($AK541,ENTI!$AF$4:AG$1003,2,FALSE)</f>
        <v>0</v>
      </c>
      <c r="AM541" s="224">
        <f>VLOOKUP($AK541,ENTI!$AF$4:AH$1003,3,FALSE)</f>
        <v>0</v>
      </c>
      <c r="AN541" s="224">
        <f>VLOOKUP($AK541,ENTI!$AF$4:AI$1003,4,FALSE)</f>
        <v>0</v>
      </c>
      <c r="AO541" s="781">
        <f>VLOOKUP($AK541,ENTI!$AF$4:AJ$1003,5,FALSE)</f>
        <v>0</v>
      </c>
      <c r="AP541" s="315">
        <f>VLOOKUP($AK541,ENTI!$AF$4:AK$1003,6,FALSE)</f>
        <v>0</v>
      </c>
      <c r="AQ541" s="208">
        <f t="shared" si="113"/>
        <v>0</v>
      </c>
      <c r="AR541" s="152" t="e">
        <f t="shared" si="114"/>
        <v>#N/A</v>
      </c>
      <c r="AS541" s="1"/>
      <c r="AT541" s="88" t="str">
        <f t="shared" si="107"/>
        <v/>
      </c>
      <c r="AU541" s="1"/>
      <c r="AV541" s="175">
        <f>IF(AW541&gt;0,COUNTIF(AV$4:AV540,"&gt;0")+1,0)</f>
        <v>0</v>
      </c>
      <c r="AW541" s="164">
        <f t="shared" si="108"/>
        <v>0</v>
      </c>
      <c r="AX541" s="310">
        <f>IF($AW541=0,0,VLOOKUP(VLOOKUP($X541,$B$34:$T$38,19,FALSE),ENTI!$A$9:$B$13,2,FALSE))</f>
        <v>0</v>
      </c>
      <c r="AY541" s="310">
        <f t="shared" si="110"/>
        <v>0</v>
      </c>
      <c r="AZ541" s="316">
        <f t="shared" si="111"/>
        <v>0</v>
      </c>
      <c r="BA541" s="1"/>
      <c r="BB541" s="152">
        <f t="shared" si="112"/>
        <v>0</v>
      </c>
      <c r="BC541" s="152">
        <f ca="1">SUM(Z$4:Z541)+SUM(BB$4:BB541)+COSTI!S$6-COSTI!L$1076</f>
        <v>-31.760000000000218</v>
      </c>
      <c r="BD541" s="1"/>
    </row>
    <row r="542" spans="1:56" ht="16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435">
        <f>IF(AND(W542&gt;=$U$1,W542&lt;=$U$2),IF(X542='ESTRATTO CONTO'!$E$2,1+COUNTIF(U$4:U541,"&gt;0"),0),0)</f>
        <v>0</v>
      </c>
      <c r="V542" s="417">
        <f t="shared" si="109"/>
        <v>539</v>
      </c>
      <c r="W542" s="509"/>
      <c r="X542" s="321"/>
      <c r="Y542" s="321"/>
      <c r="Z542" s="508"/>
      <c r="AA542" s="356"/>
      <c r="AB542" s="306" t="str">
        <f t="shared" si="105"/>
        <v/>
      </c>
      <c r="AC542" s="637">
        <f t="shared" ca="1" si="104"/>
        <v>-2.1316282072803006E-13</v>
      </c>
      <c r="AD542" s="935">
        <f>IF(ISERROR(VLOOKUP(AD$2,X543:X$1003,1,FALSE)),IF(X542=AD$2,SUMIF(X$4:X542,AD$2,Z$4:Z542)+$E$9+SUM(AQ$4:AQ$1003)+SUMIF(COSTI!$X$1379:$X$1430,AD$2,COSTI!$Z$1379:$Z$1430),0),0)</f>
        <v>0</v>
      </c>
      <c r="AE542" s="26"/>
      <c r="AF542" s="856" t="e">
        <f>IF(ISERROR(VLOOKUP(AG$2,X543:X$1003,1,FALSE)),IF(X542=AG$2,SUMIF(X$4:X542,AG$2,Z$4:Z542)+VLOOKUP(AF$2,$B$1057:$F$1068,5,FALSE)+SUM(AR$4:AR$1003)+SUMIF(COSTI!$X$1379:$X$1430,AG$2,COSTI!$Z$1379:$Z$1430),0),0)</f>
        <v>#N/A</v>
      </c>
      <c r="AG542" s="859"/>
      <c r="AH542" s="27" t="str">
        <f t="shared" si="106"/>
        <v/>
      </c>
      <c r="AI542" s="152">
        <f ca="1">IF(W543&gt;0,0,IF(AH542=0,(Z542*-1)+BC542+SUM(BB$4:BB541),BC542+SUM(BB$4:BB541)))</f>
        <v>-2.1316282072803006E-13</v>
      </c>
      <c r="AJ542" s="931">
        <f>IF(AND(AL542&gt;=$U$1,AL542&lt;=$U$2),IF(AM542='ESTRATTO CONTO'!$E$2,1+COUNTIF(AJ$4:AJ541,"&gt;0")+U$1015,0),0)</f>
        <v>0</v>
      </c>
      <c r="AK542" s="203">
        <f>IF(AND(OR((AK541+1)&lt;AL$1015,(AK541+1)=AL$1015),MAX(AK$4:AK541)&lt;AL$1015),AK541+1,0)</f>
        <v>0</v>
      </c>
      <c r="AL542" s="309">
        <f>VLOOKUP($AK542,ENTI!$AF$4:AG$1003,2,FALSE)</f>
        <v>0</v>
      </c>
      <c r="AM542" s="224">
        <f>VLOOKUP($AK542,ENTI!$AF$4:AH$1003,3,FALSE)</f>
        <v>0</v>
      </c>
      <c r="AN542" s="224">
        <f>VLOOKUP($AK542,ENTI!$AF$4:AI$1003,4,FALSE)</f>
        <v>0</v>
      </c>
      <c r="AO542" s="781">
        <f>VLOOKUP($AK542,ENTI!$AF$4:AJ$1003,5,FALSE)</f>
        <v>0</v>
      </c>
      <c r="AP542" s="315">
        <f>VLOOKUP($AK542,ENTI!$AF$4:AK$1003,6,FALSE)</f>
        <v>0</v>
      </c>
      <c r="AQ542" s="208">
        <f t="shared" si="113"/>
        <v>0</v>
      </c>
      <c r="AR542" s="152" t="e">
        <f t="shared" si="114"/>
        <v>#N/A</v>
      </c>
      <c r="AS542" s="1"/>
      <c r="AT542" s="88" t="str">
        <f t="shared" si="107"/>
        <v/>
      </c>
      <c r="AU542" s="1"/>
      <c r="AV542" s="175">
        <f>IF(AW542&gt;0,COUNTIF(AV$4:AV541,"&gt;0")+1,0)</f>
        <v>0</v>
      </c>
      <c r="AW542" s="164">
        <f t="shared" si="108"/>
        <v>0</v>
      </c>
      <c r="AX542" s="310">
        <f>IF($AW542=0,0,VLOOKUP(VLOOKUP($X542,$B$34:$T$38,19,FALSE),ENTI!$A$9:$B$13,2,FALSE))</f>
        <v>0</v>
      </c>
      <c r="AY542" s="310">
        <f t="shared" si="110"/>
        <v>0</v>
      </c>
      <c r="AZ542" s="316">
        <f t="shared" si="111"/>
        <v>0</v>
      </c>
      <c r="BA542" s="1"/>
      <c r="BB542" s="152">
        <f t="shared" si="112"/>
        <v>0</v>
      </c>
      <c r="BC542" s="152">
        <f ca="1">SUM(Z$4:Z542)+SUM(BB$4:BB542)+COSTI!S$6-COSTI!L$1076</f>
        <v>-31.760000000000218</v>
      </c>
      <c r="BD542" s="1"/>
    </row>
    <row r="543" spans="1:56" ht="16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435">
        <f>IF(AND(W543&gt;=$U$1,W543&lt;=$U$2),IF(X543='ESTRATTO CONTO'!$E$2,1+COUNTIF(U$4:U542,"&gt;0"),0),0)</f>
        <v>0</v>
      </c>
      <c r="V543" s="417">
        <f t="shared" si="109"/>
        <v>540</v>
      </c>
      <c r="W543" s="509"/>
      <c r="X543" s="321"/>
      <c r="Y543" s="321"/>
      <c r="Z543" s="508"/>
      <c r="AA543" s="356"/>
      <c r="AB543" s="306" t="str">
        <f t="shared" si="105"/>
        <v/>
      </c>
      <c r="AC543" s="637">
        <f t="shared" ca="1" si="104"/>
        <v>-2.1316282072803006E-13</v>
      </c>
      <c r="AD543" s="935">
        <f>IF(ISERROR(VLOOKUP(AD$2,X544:X$1003,1,FALSE)),IF(X543=AD$2,SUMIF(X$4:X543,AD$2,Z$4:Z543)+$E$9+SUM(AQ$4:AQ$1003)+SUMIF(COSTI!$X$1379:$X$1430,AD$2,COSTI!$Z$1379:$Z$1430),0),0)</f>
        <v>0</v>
      </c>
      <c r="AE543" s="26"/>
      <c r="AF543" s="856" t="e">
        <f>IF(ISERROR(VLOOKUP(AG$2,X544:X$1003,1,FALSE)),IF(X543=AG$2,SUMIF(X$4:X543,AG$2,Z$4:Z543)+VLOOKUP(AF$2,$B$1057:$F$1068,5,FALSE)+SUM(AR$4:AR$1003)+SUMIF(COSTI!$X$1379:$X$1430,AG$2,COSTI!$Z$1379:$Z$1430),0),0)</f>
        <v>#N/A</v>
      </c>
      <c r="AG543" s="859"/>
      <c r="AH543" s="27" t="str">
        <f t="shared" si="106"/>
        <v/>
      </c>
      <c r="AI543" s="152">
        <f ca="1">IF(W544&gt;0,0,IF(AH543=0,(Z543*-1)+BC543+SUM(BB$4:BB542),BC543+SUM(BB$4:BB542)))</f>
        <v>-2.1316282072803006E-13</v>
      </c>
      <c r="AJ543" s="931">
        <f>IF(AND(AL543&gt;=$U$1,AL543&lt;=$U$2),IF(AM543='ESTRATTO CONTO'!$E$2,1+COUNTIF(AJ$4:AJ542,"&gt;0")+U$1015,0),0)</f>
        <v>0</v>
      </c>
      <c r="AK543" s="203">
        <f>IF(AND(OR((AK542+1)&lt;AL$1015,(AK542+1)=AL$1015),MAX(AK$4:AK542)&lt;AL$1015),AK542+1,0)</f>
        <v>0</v>
      </c>
      <c r="AL543" s="309">
        <f>VLOOKUP($AK543,ENTI!$AF$4:AG$1003,2,FALSE)</f>
        <v>0</v>
      </c>
      <c r="AM543" s="224">
        <f>VLOOKUP($AK543,ENTI!$AF$4:AH$1003,3,FALSE)</f>
        <v>0</v>
      </c>
      <c r="AN543" s="224">
        <f>VLOOKUP($AK543,ENTI!$AF$4:AI$1003,4,FALSE)</f>
        <v>0</v>
      </c>
      <c r="AO543" s="781">
        <f>VLOOKUP($AK543,ENTI!$AF$4:AJ$1003,5,FALSE)</f>
        <v>0</v>
      </c>
      <c r="AP543" s="315">
        <f>VLOOKUP($AK543,ENTI!$AF$4:AK$1003,6,FALSE)</f>
        <v>0</v>
      </c>
      <c r="AQ543" s="208">
        <f t="shared" si="113"/>
        <v>0</v>
      </c>
      <c r="AR543" s="152" t="e">
        <f t="shared" si="114"/>
        <v>#N/A</v>
      </c>
      <c r="AS543" s="1"/>
      <c r="AT543" s="88" t="str">
        <f t="shared" si="107"/>
        <v/>
      </c>
      <c r="AU543" s="1"/>
      <c r="AV543" s="175">
        <f>IF(AW543&gt;0,COUNTIF(AV$4:AV542,"&gt;0")+1,0)</f>
        <v>0</v>
      </c>
      <c r="AW543" s="164">
        <f t="shared" si="108"/>
        <v>0</v>
      </c>
      <c r="AX543" s="310">
        <f>IF($AW543=0,0,VLOOKUP(VLOOKUP($X543,$B$34:$T$38,19,FALSE),ENTI!$A$9:$B$13,2,FALSE))</f>
        <v>0</v>
      </c>
      <c r="AY543" s="310">
        <f t="shared" si="110"/>
        <v>0</v>
      </c>
      <c r="AZ543" s="316">
        <f t="shared" si="111"/>
        <v>0</v>
      </c>
      <c r="BA543" s="1"/>
      <c r="BB543" s="152">
        <f t="shared" si="112"/>
        <v>0</v>
      </c>
      <c r="BC543" s="152">
        <f ca="1">SUM(Z$4:Z543)+SUM(BB$4:BB543)+COSTI!S$6-COSTI!L$1076</f>
        <v>-31.760000000000218</v>
      </c>
      <c r="BD543" s="1"/>
    </row>
    <row r="544" spans="1:56" ht="16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435">
        <f>IF(AND(W544&gt;=$U$1,W544&lt;=$U$2),IF(X544='ESTRATTO CONTO'!$E$2,1+COUNTIF(U$4:U543,"&gt;0"),0),0)</f>
        <v>0</v>
      </c>
      <c r="V544" s="417">
        <f t="shared" si="109"/>
        <v>541</v>
      </c>
      <c r="W544" s="509"/>
      <c r="X544" s="321"/>
      <c r="Y544" s="321"/>
      <c r="Z544" s="508"/>
      <c r="AA544" s="356"/>
      <c r="AB544" s="306" t="str">
        <f t="shared" si="105"/>
        <v/>
      </c>
      <c r="AC544" s="637">
        <f t="shared" ca="1" si="104"/>
        <v>-2.1316282072803006E-13</v>
      </c>
      <c r="AD544" s="935">
        <f>IF(ISERROR(VLOOKUP(AD$2,X545:X$1003,1,FALSE)),IF(X544=AD$2,SUMIF(X$4:X544,AD$2,Z$4:Z544)+$E$9+SUM(AQ$4:AQ$1003)+SUMIF(COSTI!$X$1379:$X$1430,AD$2,COSTI!$Z$1379:$Z$1430),0),0)</f>
        <v>0</v>
      </c>
      <c r="AE544" s="26"/>
      <c r="AF544" s="856" t="e">
        <f>IF(ISERROR(VLOOKUP(AG$2,X545:X$1003,1,FALSE)),IF(X544=AG$2,SUMIF(X$4:X544,AG$2,Z$4:Z544)+VLOOKUP(AF$2,$B$1057:$F$1068,5,FALSE)+SUM(AR$4:AR$1003)+SUMIF(COSTI!$X$1379:$X$1430,AG$2,COSTI!$Z$1379:$Z$1430),0),0)</f>
        <v>#N/A</v>
      </c>
      <c r="AG544" s="859"/>
      <c r="AH544" s="27" t="str">
        <f t="shared" si="106"/>
        <v/>
      </c>
      <c r="AI544" s="152">
        <f ca="1">IF(W545&gt;0,0,IF(AH544=0,(Z544*-1)+BC544+SUM(BB$4:BB543),BC544+SUM(BB$4:BB543)))</f>
        <v>-2.1316282072803006E-13</v>
      </c>
      <c r="AJ544" s="931">
        <f>IF(AND(AL544&gt;=$U$1,AL544&lt;=$U$2),IF(AM544='ESTRATTO CONTO'!$E$2,1+COUNTIF(AJ$4:AJ543,"&gt;0")+U$1015,0),0)</f>
        <v>0</v>
      </c>
      <c r="AK544" s="203">
        <f>IF(AND(OR((AK543+1)&lt;AL$1015,(AK543+1)=AL$1015),MAX(AK$4:AK543)&lt;AL$1015),AK543+1,0)</f>
        <v>0</v>
      </c>
      <c r="AL544" s="309">
        <f>VLOOKUP($AK544,ENTI!$AF$4:AG$1003,2,FALSE)</f>
        <v>0</v>
      </c>
      <c r="AM544" s="224">
        <f>VLOOKUP($AK544,ENTI!$AF$4:AH$1003,3,FALSE)</f>
        <v>0</v>
      </c>
      <c r="AN544" s="224">
        <f>VLOOKUP($AK544,ENTI!$AF$4:AI$1003,4,FALSE)</f>
        <v>0</v>
      </c>
      <c r="AO544" s="781">
        <f>VLOOKUP($AK544,ENTI!$AF$4:AJ$1003,5,FALSE)</f>
        <v>0</v>
      </c>
      <c r="AP544" s="315">
        <f>VLOOKUP($AK544,ENTI!$AF$4:AK$1003,6,FALSE)</f>
        <v>0</v>
      </c>
      <c r="AQ544" s="208">
        <f t="shared" si="113"/>
        <v>0</v>
      </c>
      <c r="AR544" s="152" t="e">
        <f t="shared" si="114"/>
        <v>#N/A</v>
      </c>
      <c r="AS544" s="1"/>
      <c r="AT544" s="88" t="str">
        <f t="shared" si="107"/>
        <v/>
      </c>
      <c r="AU544" s="1"/>
      <c r="AV544" s="175">
        <f>IF(AW544&gt;0,COUNTIF(AV$4:AV543,"&gt;0")+1,0)</f>
        <v>0</v>
      </c>
      <c r="AW544" s="164">
        <f t="shared" si="108"/>
        <v>0</v>
      </c>
      <c r="AX544" s="310">
        <f>IF($AW544=0,0,VLOOKUP(VLOOKUP($X544,$B$34:$T$38,19,FALSE),ENTI!$A$9:$B$13,2,FALSE))</f>
        <v>0</v>
      </c>
      <c r="AY544" s="310">
        <f t="shared" si="110"/>
        <v>0</v>
      </c>
      <c r="AZ544" s="316">
        <f t="shared" si="111"/>
        <v>0</v>
      </c>
      <c r="BA544" s="1"/>
      <c r="BB544" s="152">
        <f t="shared" si="112"/>
        <v>0</v>
      </c>
      <c r="BC544" s="152">
        <f ca="1">SUM(Z$4:Z544)+SUM(BB$4:BB544)+COSTI!S$6-COSTI!L$1076</f>
        <v>-31.760000000000218</v>
      </c>
      <c r="BD544" s="1"/>
    </row>
    <row r="545" spans="1:56" ht="16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435">
        <f>IF(AND(W545&gt;=$U$1,W545&lt;=$U$2),IF(X545='ESTRATTO CONTO'!$E$2,1+COUNTIF(U$4:U544,"&gt;0"),0),0)</f>
        <v>0</v>
      </c>
      <c r="V545" s="417">
        <f t="shared" si="109"/>
        <v>542</v>
      </c>
      <c r="W545" s="509"/>
      <c r="X545" s="321"/>
      <c r="Y545" s="321"/>
      <c r="Z545" s="508"/>
      <c r="AA545" s="356"/>
      <c r="AB545" s="306" t="str">
        <f t="shared" si="105"/>
        <v/>
      </c>
      <c r="AC545" s="637">
        <f t="shared" ca="1" si="104"/>
        <v>-2.1316282072803006E-13</v>
      </c>
      <c r="AD545" s="935">
        <f>IF(ISERROR(VLOOKUP(AD$2,X546:X$1003,1,FALSE)),IF(X545=AD$2,SUMIF(X$4:X545,AD$2,Z$4:Z545)+$E$9+SUM(AQ$4:AQ$1003)+SUMIF(COSTI!$X$1379:$X$1430,AD$2,COSTI!$Z$1379:$Z$1430),0),0)</f>
        <v>0</v>
      </c>
      <c r="AE545" s="26"/>
      <c r="AF545" s="856" t="e">
        <f>IF(ISERROR(VLOOKUP(AG$2,X546:X$1003,1,FALSE)),IF(X545=AG$2,SUMIF(X$4:X545,AG$2,Z$4:Z545)+VLOOKUP(AF$2,$B$1057:$F$1068,5,FALSE)+SUM(AR$4:AR$1003)+SUMIF(COSTI!$X$1379:$X$1430,AG$2,COSTI!$Z$1379:$Z$1430),0),0)</f>
        <v>#N/A</v>
      </c>
      <c r="AG545" s="859"/>
      <c r="AH545" s="27" t="str">
        <f t="shared" si="106"/>
        <v/>
      </c>
      <c r="AI545" s="152">
        <f ca="1">IF(W546&gt;0,0,IF(AH545=0,(Z545*-1)+BC545+SUM(BB$4:BB544),BC545+SUM(BB$4:BB544)))</f>
        <v>-2.1316282072803006E-13</v>
      </c>
      <c r="AJ545" s="931">
        <f>IF(AND(AL545&gt;=$U$1,AL545&lt;=$U$2),IF(AM545='ESTRATTO CONTO'!$E$2,1+COUNTIF(AJ$4:AJ544,"&gt;0")+U$1015,0),0)</f>
        <v>0</v>
      </c>
      <c r="AK545" s="203">
        <f>IF(AND(OR((AK544+1)&lt;AL$1015,(AK544+1)=AL$1015),MAX(AK$4:AK544)&lt;AL$1015),AK544+1,0)</f>
        <v>0</v>
      </c>
      <c r="AL545" s="309">
        <f>VLOOKUP($AK545,ENTI!$AF$4:AG$1003,2,FALSE)</f>
        <v>0</v>
      </c>
      <c r="AM545" s="224">
        <f>VLOOKUP($AK545,ENTI!$AF$4:AH$1003,3,FALSE)</f>
        <v>0</v>
      </c>
      <c r="AN545" s="224">
        <f>VLOOKUP($AK545,ENTI!$AF$4:AI$1003,4,FALSE)</f>
        <v>0</v>
      </c>
      <c r="AO545" s="781">
        <f>VLOOKUP($AK545,ENTI!$AF$4:AJ$1003,5,FALSE)</f>
        <v>0</v>
      </c>
      <c r="AP545" s="315">
        <f>VLOOKUP($AK545,ENTI!$AF$4:AK$1003,6,FALSE)</f>
        <v>0</v>
      </c>
      <c r="AQ545" s="208">
        <f t="shared" si="113"/>
        <v>0</v>
      </c>
      <c r="AR545" s="152" t="e">
        <f t="shared" si="114"/>
        <v>#N/A</v>
      </c>
      <c r="AS545" s="1"/>
      <c r="AT545" s="88" t="str">
        <f t="shared" si="107"/>
        <v/>
      </c>
      <c r="AU545" s="1"/>
      <c r="AV545" s="175">
        <f>IF(AW545&gt;0,COUNTIF(AV$4:AV544,"&gt;0")+1,0)</f>
        <v>0</v>
      </c>
      <c r="AW545" s="164">
        <f t="shared" si="108"/>
        <v>0</v>
      </c>
      <c r="AX545" s="310">
        <f>IF($AW545=0,0,VLOOKUP(VLOOKUP($X545,$B$34:$T$38,19,FALSE),ENTI!$A$9:$B$13,2,FALSE))</f>
        <v>0</v>
      </c>
      <c r="AY545" s="310">
        <f t="shared" si="110"/>
        <v>0</v>
      </c>
      <c r="AZ545" s="316">
        <f t="shared" si="111"/>
        <v>0</v>
      </c>
      <c r="BA545" s="1"/>
      <c r="BB545" s="152">
        <f t="shared" si="112"/>
        <v>0</v>
      </c>
      <c r="BC545" s="152">
        <f ca="1">SUM(Z$4:Z545)+SUM(BB$4:BB545)+COSTI!S$6-COSTI!L$1076</f>
        <v>-31.760000000000218</v>
      </c>
      <c r="BD545" s="1"/>
    </row>
    <row r="546" spans="1:56" ht="16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435">
        <f>IF(AND(W546&gt;=$U$1,W546&lt;=$U$2),IF(X546='ESTRATTO CONTO'!$E$2,1+COUNTIF(U$4:U545,"&gt;0"),0),0)</f>
        <v>0</v>
      </c>
      <c r="V546" s="417">
        <f t="shared" si="109"/>
        <v>543</v>
      </c>
      <c r="W546" s="509"/>
      <c r="X546" s="321"/>
      <c r="Y546" s="321"/>
      <c r="Z546" s="508"/>
      <c r="AA546" s="356"/>
      <c r="AB546" s="306" t="str">
        <f t="shared" si="105"/>
        <v/>
      </c>
      <c r="AC546" s="637">
        <f t="shared" ca="1" si="104"/>
        <v>-2.1316282072803006E-13</v>
      </c>
      <c r="AD546" s="935">
        <f>IF(ISERROR(VLOOKUP(AD$2,X547:X$1003,1,FALSE)),IF(X546=AD$2,SUMIF(X$4:X546,AD$2,Z$4:Z546)+$E$9+SUM(AQ$4:AQ$1003)+SUMIF(COSTI!$X$1379:$X$1430,AD$2,COSTI!$Z$1379:$Z$1430),0),0)</f>
        <v>0</v>
      </c>
      <c r="AE546" s="26"/>
      <c r="AF546" s="856" t="e">
        <f>IF(ISERROR(VLOOKUP(AG$2,X547:X$1003,1,FALSE)),IF(X546=AG$2,SUMIF(X$4:X546,AG$2,Z$4:Z546)+VLOOKUP(AF$2,$B$1057:$F$1068,5,FALSE)+SUM(AR$4:AR$1003)+SUMIF(COSTI!$X$1379:$X$1430,AG$2,COSTI!$Z$1379:$Z$1430),0),0)</f>
        <v>#N/A</v>
      </c>
      <c r="AG546" s="859"/>
      <c r="AH546" s="27" t="str">
        <f t="shared" si="106"/>
        <v/>
      </c>
      <c r="AI546" s="152">
        <f ca="1">IF(W547&gt;0,0,IF(AH546=0,(Z546*-1)+BC546+SUM(BB$4:BB545),BC546+SUM(BB$4:BB545)))</f>
        <v>-2.1316282072803006E-13</v>
      </c>
      <c r="AJ546" s="931">
        <f>IF(AND(AL546&gt;=$U$1,AL546&lt;=$U$2),IF(AM546='ESTRATTO CONTO'!$E$2,1+COUNTIF(AJ$4:AJ545,"&gt;0")+U$1015,0),0)</f>
        <v>0</v>
      </c>
      <c r="AK546" s="203">
        <f>IF(AND(OR((AK545+1)&lt;AL$1015,(AK545+1)=AL$1015),MAX(AK$4:AK545)&lt;AL$1015),AK545+1,0)</f>
        <v>0</v>
      </c>
      <c r="AL546" s="309">
        <f>VLOOKUP($AK546,ENTI!$AF$4:AG$1003,2,FALSE)</f>
        <v>0</v>
      </c>
      <c r="AM546" s="224">
        <f>VLOOKUP($AK546,ENTI!$AF$4:AH$1003,3,FALSE)</f>
        <v>0</v>
      </c>
      <c r="AN546" s="224">
        <f>VLOOKUP($AK546,ENTI!$AF$4:AI$1003,4,FALSE)</f>
        <v>0</v>
      </c>
      <c r="AO546" s="781">
        <f>VLOOKUP($AK546,ENTI!$AF$4:AJ$1003,5,FALSE)</f>
        <v>0</v>
      </c>
      <c r="AP546" s="315">
        <f>VLOOKUP($AK546,ENTI!$AF$4:AK$1003,6,FALSE)</f>
        <v>0</v>
      </c>
      <c r="AQ546" s="208">
        <f t="shared" si="113"/>
        <v>0</v>
      </c>
      <c r="AR546" s="152" t="e">
        <f t="shared" si="114"/>
        <v>#N/A</v>
      </c>
      <c r="AS546" s="1"/>
      <c r="AT546" s="88" t="str">
        <f t="shared" si="107"/>
        <v/>
      </c>
      <c r="AU546" s="1"/>
      <c r="AV546" s="175">
        <f>IF(AW546&gt;0,COUNTIF(AV$4:AV545,"&gt;0")+1,0)</f>
        <v>0</v>
      </c>
      <c r="AW546" s="164">
        <f t="shared" si="108"/>
        <v>0</v>
      </c>
      <c r="AX546" s="310">
        <f>IF($AW546=0,0,VLOOKUP(VLOOKUP($X546,$B$34:$T$38,19,FALSE),ENTI!$A$9:$B$13,2,FALSE))</f>
        <v>0</v>
      </c>
      <c r="AY546" s="310">
        <f t="shared" si="110"/>
        <v>0</v>
      </c>
      <c r="AZ546" s="316">
        <f t="shared" si="111"/>
        <v>0</v>
      </c>
      <c r="BA546" s="1"/>
      <c r="BB546" s="152">
        <f t="shared" si="112"/>
        <v>0</v>
      </c>
      <c r="BC546" s="152">
        <f ca="1">SUM(Z$4:Z546)+SUM(BB$4:BB546)+COSTI!S$6-COSTI!L$1076</f>
        <v>-31.760000000000218</v>
      </c>
      <c r="BD546" s="1"/>
    </row>
    <row r="547" spans="1:56" ht="16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435">
        <f>IF(AND(W547&gt;=$U$1,W547&lt;=$U$2),IF(X547='ESTRATTO CONTO'!$E$2,1+COUNTIF(U$4:U546,"&gt;0"),0),0)</f>
        <v>0</v>
      </c>
      <c r="V547" s="417">
        <f t="shared" si="109"/>
        <v>544</v>
      </c>
      <c r="W547" s="509"/>
      <c r="X547" s="321"/>
      <c r="Y547" s="321"/>
      <c r="Z547" s="508"/>
      <c r="AA547" s="356"/>
      <c r="AB547" s="306" t="str">
        <f t="shared" si="105"/>
        <v/>
      </c>
      <c r="AC547" s="637">
        <f t="shared" ca="1" si="104"/>
        <v>-2.1316282072803006E-13</v>
      </c>
      <c r="AD547" s="935">
        <f>IF(ISERROR(VLOOKUP(AD$2,X548:X$1003,1,FALSE)),IF(X547=AD$2,SUMIF(X$4:X547,AD$2,Z$4:Z547)+$E$9+SUM(AQ$4:AQ$1003)+SUMIF(COSTI!$X$1379:$X$1430,AD$2,COSTI!$Z$1379:$Z$1430),0),0)</f>
        <v>0</v>
      </c>
      <c r="AE547" s="26"/>
      <c r="AF547" s="856" t="e">
        <f>IF(ISERROR(VLOOKUP(AG$2,X548:X$1003,1,FALSE)),IF(X547=AG$2,SUMIF(X$4:X547,AG$2,Z$4:Z547)+VLOOKUP(AF$2,$B$1057:$F$1068,5,FALSE)+SUM(AR$4:AR$1003)+SUMIF(COSTI!$X$1379:$X$1430,AG$2,COSTI!$Z$1379:$Z$1430),0),0)</f>
        <v>#N/A</v>
      </c>
      <c r="AG547" s="859"/>
      <c r="AH547" s="27" t="str">
        <f t="shared" si="106"/>
        <v/>
      </c>
      <c r="AI547" s="152">
        <f ca="1">IF(W548&gt;0,0,IF(AH547=0,(Z547*-1)+BC547+SUM(BB$4:BB546),BC547+SUM(BB$4:BB546)))</f>
        <v>-2.1316282072803006E-13</v>
      </c>
      <c r="AJ547" s="931">
        <f>IF(AND(AL547&gt;=$U$1,AL547&lt;=$U$2),IF(AM547='ESTRATTO CONTO'!$E$2,1+COUNTIF(AJ$4:AJ546,"&gt;0")+U$1015,0),0)</f>
        <v>0</v>
      </c>
      <c r="AK547" s="203">
        <f>IF(AND(OR((AK546+1)&lt;AL$1015,(AK546+1)=AL$1015),MAX(AK$4:AK546)&lt;AL$1015),AK546+1,0)</f>
        <v>0</v>
      </c>
      <c r="AL547" s="309">
        <f>VLOOKUP($AK547,ENTI!$AF$4:AG$1003,2,FALSE)</f>
        <v>0</v>
      </c>
      <c r="AM547" s="224">
        <f>VLOOKUP($AK547,ENTI!$AF$4:AH$1003,3,FALSE)</f>
        <v>0</v>
      </c>
      <c r="AN547" s="224">
        <f>VLOOKUP($AK547,ENTI!$AF$4:AI$1003,4,FALSE)</f>
        <v>0</v>
      </c>
      <c r="AO547" s="781">
        <f>VLOOKUP($AK547,ENTI!$AF$4:AJ$1003,5,FALSE)</f>
        <v>0</v>
      </c>
      <c r="AP547" s="315">
        <f>VLOOKUP($AK547,ENTI!$AF$4:AK$1003,6,FALSE)</f>
        <v>0</v>
      </c>
      <c r="AQ547" s="208">
        <f t="shared" si="113"/>
        <v>0</v>
      </c>
      <c r="AR547" s="152" t="e">
        <f t="shared" si="114"/>
        <v>#N/A</v>
      </c>
      <c r="AS547" s="1"/>
      <c r="AT547" s="88" t="str">
        <f t="shared" si="107"/>
        <v/>
      </c>
      <c r="AU547" s="1"/>
      <c r="AV547" s="175">
        <f>IF(AW547&gt;0,COUNTIF(AV$4:AV546,"&gt;0")+1,0)</f>
        <v>0</v>
      </c>
      <c r="AW547" s="164">
        <f t="shared" si="108"/>
        <v>0</v>
      </c>
      <c r="AX547" s="310">
        <f>IF($AW547=0,0,VLOOKUP(VLOOKUP($X547,$B$34:$T$38,19,FALSE),ENTI!$A$9:$B$13,2,FALSE))</f>
        <v>0</v>
      </c>
      <c r="AY547" s="310">
        <f t="shared" si="110"/>
        <v>0</v>
      </c>
      <c r="AZ547" s="316">
        <f t="shared" si="111"/>
        <v>0</v>
      </c>
      <c r="BA547" s="1"/>
      <c r="BB547" s="152">
        <f t="shared" si="112"/>
        <v>0</v>
      </c>
      <c r="BC547" s="152">
        <f ca="1">SUM(Z$4:Z547)+SUM(BB$4:BB547)+COSTI!S$6-COSTI!L$1076</f>
        <v>-31.760000000000218</v>
      </c>
      <c r="BD547" s="1"/>
    </row>
    <row r="548" spans="1:56" ht="16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435">
        <f>IF(AND(W548&gt;=$U$1,W548&lt;=$U$2),IF(X548='ESTRATTO CONTO'!$E$2,1+COUNTIF(U$4:U547,"&gt;0"),0),0)</f>
        <v>0</v>
      </c>
      <c r="V548" s="417">
        <f t="shared" si="109"/>
        <v>545</v>
      </c>
      <c r="W548" s="509"/>
      <c r="X548" s="321"/>
      <c r="Y548" s="321"/>
      <c r="Z548" s="508"/>
      <c r="AA548" s="356"/>
      <c r="AB548" s="306" t="str">
        <f t="shared" si="105"/>
        <v/>
      </c>
      <c r="AC548" s="637">
        <f t="shared" ca="1" si="104"/>
        <v>-2.1316282072803006E-13</v>
      </c>
      <c r="AD548" s="935">
        <f>IF(ISERROR(VLOOKUP(AD$2,X549:X$1003,1,FALSE)),IF(X548=AD$2,SUMIF(X$4:X548,AD$2,Z$4:Z548)+$E$9+SUM(AQ$4:AQ$1003)+SUMIF(COSTI!$X$1379:$X$1430,AD$2,COSTI!$Z$1379:$Z$1430),0),0)</f>
        <v>0</v>
      </c>
      <c r="AE548" s="26"/>
      <c r="AF548" s="856" t="e">
        <f>IF(ISERROR(VLOOKUP(AG$2,X549:X$1003,1,FALSE)),IF(X548=AG$2,SUMIF(X$4:X548,AG$2,Z$4:Z548)+VLOOKUP(AF$2,$B$1057:$F$1068,5,FALSE)+SUM(AR$4:AR$1003)+SUMIF(COSTI!$X$1379:$X$1430,AG$2,COSTI!$Z$1379:$Z$1430),0),0)</f>
        <v>#N/A</v>
      </c>
      <c r="AG548" s="859"/>
      <c r="AH548" s="27" t="str">
        <f t="shared" si="106"/>
        <v/>
      </c>
      <c r="AI548" s="152">
        <f ca="1">IF(W549&gt;0,0,IF(AH548=0,(Z548*-1)+BC548+SUM(BB$4:BB547),BC548+SUM(BB$4:BB547)))</f>
        <v>-2.1316282072803006E-13</v>
      </c>
      <c r="AJ548" s="931">
        <f>IF(AND(AL548&gt;=$U$1,AL548&lt;=$U$2),IF(AM548='ESTRATTO CONTO'!$E$2,1+COUNTIF(AJ$4:AJ547,"&gt;0")+U$1015,0),0)</f>
        <v>0</v>
      </c>
      <c r="AK548" s="203">
        <f>IF(AND(OR((AK547+1)&lt;AL$1015,(AK547+1)=AL$1015),MAX(AK$4:AK547)&lt;AL$1015),AK547+1,0)</f>
        <v>0</v>
      </c>
      <c r="AL548" s="309">
        <f>VLOOKUP($AK548,ENTI!$AF$4:AG$1003,2,FALSE)</f>
        <v>0</v>
      </c>
      <c r="AM548" s="224">
        <f>VLOOKUP($AK548,ENTI!$AF$4:AH$1003,3,FALSE)</f>
        <v>0</v>
      </c>
      <c r="AN548" s="224">
        <f>VLOOKUP($AK548,ENTI!$AF$4:AI$1003,4,FALSE)</f>
        <v>0</v>
      </c>
      <c r="AO548" s="781">
        <f>VLOOKUP($AK548,ENTI!$AF$4:AJ$1003,5,FALSE)</f>
        <v>0</v>
      </c>
      <c r="AP548" s="315">
        <f>VLOOKUP($AK548,ENTI!$AF$4:AK$1003,6,FALSE)</f>
        <v>0</v>
      </c>
      <c r="AQ548" s="208">
        <f t="shared" si="113"/>
        <v>0</v>
      </c>
      <c r="AR548" s="152" t="e">
        <f t="shared" si="114"/>
        <v>#N/A</v>
      </c>
      <c r="AS548" s="1"/>
      <c r="AT548" s="88" t="str">
        <f t="shared" si="107"/>
        <v/>
      </c>
      <c r="AU548" s="1"/>
      <c r="AV548" s="175">
        <f>IF(AW548&gt;0,COUNTIF(AV$4:AV547,"&gt;0")+1,0)</f>
        <v>0</v>
      </c>
      <c r="AW548" s="164">
        <f t="shared" si="108"/>
        <v>0</v>
      </c>
      <c r="AX548" s="310">
        <f>IF($AW548=0,0,VLOOKUP(VLOOKUP($X548,$B$34:$T$38,19,FALSE),ENTI!$A$9:$B$13,2,FALSE))</f>
        <v>0</v>
      </c>
      <c r="AY548" s="310">
        <f t="shared" si="110"/>
        <v>0</v>
      </c>
      <c r="AZ548" s="316">
        <f t="shared" si="111"/>
        <v>0</v>
      </c>
      <c r="BA548" s="1"/>
      <c r="BB548" s="152">
        <f t="shared" si="112"/>
        <v>0</v>
      </c>
      <c r="BC548" s="152">
        <f ca="1">SUM(Z$4:Z548)+SUM(BB$4:BB548)+COSTI!S$6-COSTI!L$1076</f>
        <v>-31.760000000000218</v>
      </c>
      <c r="BD548" s="1"/>
    </row>
    <row r="549" spans="1:56" ht="16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435">
        <f>IF(AND(W549&gt;=$U$1,W549&lt;=$U$2),IF(X549='ESTRATTO CONTO'!$E$2,1+COUNTIF(U$4:U548,"&gt;0"),0),0)</f>
        <v>0</v>
      </c>
      <c r="V549" s="417">
        <f t="shared" si="109"/>
        <v>546</v>
      </c>
      <c r="W549" s="509"/>
      <c r="X549" s="321"/>
      <c r="Y549" s="321"/>
      <c r="Z549" s="508"/>
      <c r="AA549" s="356"/>
      <c r="AB549" s="306" t="str">
        <f t="shared" si="105"/>
        <v/>
      </c>
      <c r="AC549" s="637">
        <f t="shared" ca="1" si="104"/>
        <v>-2.1316282072803006E-13</v>
      </c>
      <c r="AD549" s="935">
        <f>IF(ISERROR(VLOOKUP(AD$2,X550:X$1003,1,FALSE)),IF(X549=AD$2,SUMIF(X$4:X549,AD$2,Z$4:Z549)+$E$9+SUM(AQ$4:AQ$1003)+SUMIF(COSTI!$X$1379:$X$1430,AD$2,COSTI!$Z$1379:$Z$1430),0),0)</f>
        <v>0</v>
      </c>
      <c r="AE549" s="26"/>
      <c r="AF549" s="856" t="e">
        <f>IF(ISERROR(VLOOKUP(AG$2,X550:X$1003,1,FALSE)),IF(X549=AG$2,SUMIF(X$4:X549,AG$2,Z$4:Z549)+VLOOKUP(AF$2,$B$1057:$F$1068,5,FALSE)+SUM(AR$4:AR$1003)+SUMIF(COSTI!$X$1379:$X$1430,AG$2,COSTI!$Z$1379:$Z$1430),0),0)</f>
        <v>#N/A</v>
      </c>
      <c r="AG549" s="859"/>
      <c r="AH549" s="27" t="str">
        <f t="shared" si="106"/>
        <v/>
      </c>
      <c r="AI549" s="152">
        <f ca="1">IF(W550&gt;0,0,IF(AH549=0,(Z549*-1)+BC549+SUM(BB$4:BB548),BC549+SUM(BB$4:BB548)))</f>
        <v>-2.1316282072803006E-13</v>
      </c>
      <c r="AJ549" s="931">
        <f>IF(AND(AL549&gt;=$U$1,AL549&lt;=$U$2),IF(AM549='ESTRATTO CONTO'!$E$2,1+COUNTIF(AJ$4:AJ548,"&gt;0")+U$1015,0),0)</f>
        <v>0</v>
      </c>
      <c r="AK549" s="203">
        <f>IF(AND(OR((AK548+1)&lt;AL$1015,(AK548+1)=AL$1015),MAX(AK$4:AK548)&lt;AL$1015),AK548+1,0)</f>
        <v>0</v>
      </c>
      <c r="AL549" s="309">
        <f>VLOOKUP($AK549,ENTI!$AF$4:AG$1003,2,FALSE)</f>
        <v>0</v>
      </c>
      <c r="AM549" s="224">
        <f>VLOOKUP($AK549,ENTI!$AF$4:AH$1003,3,FALSE)</f>
        <v>0</v>
      </c>
      <c r="AN549" s="224">
        <f>VLOOKUP($AK549,ENTI!$AF$4:AI$1003,4,FALSE)</f>
        <v>0</v>
      </c>
      <c r="AO549" s="781">
        <f>VLOOKUP($AK549,ENTI!$AF$4:AJ$1003,5,FALSE)</f>
        <v>0</v>
      </c>
      <c r="AP549" s="315">
        <f>VLOOKUP($AK549,ENTI!$AF$4:AK$1003,6,FALSE)</f>
        <v>0</v>
      </c>
      <c r="AQ549" s="208">
        <f t="shared" si="113"/>
        <v>0</v>
      </c>
      <c r="AR549" s="152" t="e">
        <f t="shared" si="114"/>
        <v>#N/A</v>
      </c>
      <c r="AS549" s="1"/>
      <c r="AT549" s="88" t="str">
        <f t="shared" si="107"/>
        <v/>
      </c>
      <c r="AU549" s="1"/>
      <c r="AV549" s="175">
        <f>IF(AW549&gt;0,COUNTIF(AV$4:AV548,"&gt;0")+1,0)</f>
        <v>0</v>
      </c>
      <c r="AW549" s="164">
        <f t="shared" si="108"/>
        <v>0</v>
      </c>
      <c r="AX549" s="310">
        <f>IF($AW549=0,0,VLOOKUP(VLOOKUP($X549,$B$34:$T$38,19,FALSE),ENTI!$A$9:$B$13,2,FALSE))</f>
        <v>0</v>
      </c>
      <c r="AY549" s="310">
        <f t="shared" si="110"/>
        <v>0</v>
      </c>
      <c r="AZ549" s="316">
        <f t="shared" si="111"/>
        <v>0</v>
      </c>
      <c r="BA549" s="1"/>
      <c r="BB549" s="152">
        <f t="shared" si="112"/>
        <v>0</v>
      </c>
      <c r="BC549" s="152">
        <f ca="1">SUM(Z$4:Z549)+SUM(BB$4:BB549)+COSTI!S$6-COSTI!L$1076</f>
        <v>-31.760000000000218</v>
      </c>
      <c r="BD549" s="1"/>
    </row>
    <row r="550" spans="1:56" ht="16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435">
        <f>IF(AND(W550&gt;=$U$1,W550&lt;=$U$2),IF(X550='ESTRATTO CONTO'!$E$2,1+COUNTIF(U$4:U549,"&gt;0"),0),0)</f>
        <v>0</v>
      </c>
      <c r="V550" s="417">
        <f t="shared" si="109"/>
        <v>547</v>
      </c>
      <c r="W550" s="509"/>
      <c r="X550" s="321"/>
      <c r="Y550" s="321"/>
      <c r="Z550" s="508"/>
      <c r="AA550" s="356"/>
      <c r="AB550" s="306" t="str">
        <f t="shared" si="105"/>
        <v/>
      </c>
      <c r="AC550" s="637">
        <f t="shared" ca="1" si="104"/>
        <v>-2.1316282072803006E-13</v>
      </c>
      <c r="AD550" s="935">
        <f>IF(ISERROR(VLOOKUP(AD$2,X551:X$1003,1,FALSE)),IF(X550=AD$2,SUMIF(X$4:X550,AD$2,Z$4:Z550)+$E$9+SUM(AQ$4:AQ$1003)+SUMIF(COSTI!$X$1379:$X$1430,AD$2,COSTI!$Z$1379:$Z$1430),0),0)</f>
        <v>0</v>
      </c>
      <c r="AE550" s="26"/>
      <c r="AF550" s="856" t="e">
        <f>IF(ISERROR(VLOOKUP(AG$2,X551:X$1003,1,FALSE)),IF(X550=AG$2,SUMIF(X$4:X550,AG$2,Z$4:Z550)+VLOOKUP(AF$2,$B$1057:$F$1068,5,FALSE)+SUM(AR$4:AR$1003)+SUMIF(COSTI!$X$1379:$X$1430,AG$2,COSTI!$Z$1379:$Z$1430),0),0)</f>
        <v>#N/A</v>
      </c>
      <c r="AG550" s="859"/>
      <c r="AH550" s="27" t="str">
        <f t="shared" si="106"/>
        <v/>
      </c>
      <c r="AI550" s="152">
        <f ca="1">IF(W551&gt;0,0,IF(AH550=0,(Z550*-1)+BC550+SUM(BB$4:BB549),BC550+SUM(BB$4:BB549)))</f>
        <v>-2.1316282072803006E-13</v>
      </c>
      <c r="AJ550" s="931">
        <f>IF(AND(AL550&gt;=$U$1,AL550&lt;=$U$2),IF(AM550='ESTRATTO CONTO'!$E$2,1+COUNTIF(AJ$4:AJ549,"&gt;0")+U$1015,0),0)</f>
        <v>0</v>
      </c>
      <c r="AK550" s="203">
        <f>IF(AND(OR((AK549+1)&lt;AL$1015,(AK549+1)=AL$1015),MAX(AK$4:AK549)&lt;AL$1015),AK549+1,0)</f>
        <v>0</v>
      </c>
      <c r="AL550" s="309">
        <f>VLOOKUP($AK550,ENTI!$AF$4:AG$1003,2,FALSE)</f>
        <v>0</v>
      </c>
      <c r="AM550" s="224">
        <f>VLOOKUP($AK550,ENTI!$AF$4:AH$1003,3,FALSE)</f>
        <v>0</v>
      </c>
      <c r="AN550" s="224">
        <f>VLOOKUP($AK550,ENTI!$AF$4:AI$1003,4,FALSE)</f>
        <v>0</v>
      </c>
      <c r="AO550" s="781">
        <f>VLOOKUP($AK550,ENTI!$AF$4:AJ$1003,5,FALSE)</f>
        <v>0</v>
      </c>
      <c r="AP550" s="315">
        <f>VLOOKUP($AK550,ENTI!$AF$4:AK$1003,6,FALSE)</f>
        <v>0</v>
      </c>
      <c r="AQ550" s="208">
        <f t="shared" si="113"/>
        <v>0</v>
      </c>
      <c r="AR550" s="152" t="e">
        <f t="shared" si="114"/>
        <v>#N/A</v>
      </c>
      <c r="AS550" s="1"/>
      <c r="AT550" s="88" t="str">
        <f t="shared" si="107"/>
        <v/>
      </c>
      <c r="AU550" s="1"/>
      <c r="AV550" s="175">
        <f>IF(AW550&gt;0,COUNTIF(AV$4:AV549,"&gt;0")+1,0)</f>
        <v>0</v>
      </c>
      <c r="AW550" s="164">
        <f t="shared" si="108"/>
        <v>0</v>
      </c>
      <c r="AX550" s="310">
        <f>IF($AW550=0,0,VLOOKUP(VLOOKUP($X550,$B$34:$T$38,19,FALSE),ENTI!$A$9:$B$13,2,FALSE))</f>
        <v>0</v>
      </c>
      <c r="AY550" s="310">
        <f t="shared" si="110"/>
        <v>0</v>
      </c>
      <c r="AZ550" s="316">
        <f t="shared" si="111"/>
        <v>0</v>
      </c>
      <c r="BA550" s="1"/>
      <c r="BB550" s="152">
        <f t="shared" si="112"/>
        <v>0</v>
      </c>
      <c r="BC550" s="152">
        <f ca="1">SUM(Z$4:Z550)+SUM(BB$4:BB550)+COSTI!S$6-COSTI!L$1076</f>
        <v>-31.760000000000218</v>
      </c>
      <c r="BD550" s="1"/>
    </row>
    <row r="551" spans="1:56" ht="16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435">
        <f>IF(AND(W551&gt;=$U$1,W551&lt;=$U$2),IF(X551='ESTRATTO CONTO'!$E$2,1+COUNTIF(U$4:U550,"&gt;0"),0),0)</f>
        <v>0</v>
      </c>
      <c r="V551" s="417">
        <f t="shared" si="109"/>
        <v>548</v>
      </c>
      <c r="W551" s="509"/>
      <c r="X551" s="321"/>
      <c r="Y551" s="321"/>
      <c r="Z551" s="508"/>
      <c r="AA551" s="356"/>
      <c r="AB551" s="306" t="str">
        <f t="shared" si="105"/>
        <v/>
      </c>
      <c r="AC551" s="637">
        <f t="shared" ca="1" si="104"/>
        <v>-2.1316282072803006E-13</v>
      </c>
      <c r="AD551" s="935">
        <f>IF(ISERROR(VLOOKUP(AD$2,X552:X$1003,1,FALSE)),IF(X551=AD$2,SUMIF(X$4:X551,AD$2,Z$4:Z551)+$E$9+SUM(AQ$4:AQ$1003)+SUMIF(COSTI!$X$1379:$X$1430,AD$2,COSTI!$Z$1379:$Z$1430),0),0)</f>
        <v>0</v>
      </c>
      <c r="AE551" s="26"/>
      <c r="AF551" s="856" t="e">
        <f>IF(ISERROR(VLOOKUP(AG$2,X552:X$1003,1,FALSE)),IF(X551=AG$2,SUMIF(X$4:X551,AG$2,Z$4:Z551)+VLOOKUP(AF$2,$B$1057:$F$1068,5,FALSE)+SUM(AR$4:AR$1003)+SUMIF(COSTI!$X$1379:$X$1430,AG$2,COSTI!$Z$1379:$Z$1430),0),0)</f>
        <v>#N/A</v>
      </c>
      <c r="AG551" s="859"/>
      <c r="AH551" s="27" t="str">
        <f t="shared" si="106"/>
        <v/>
      </c>
      <c r="AI551" s="152">
        <f ca="1">IF(W552&gt;0,0,IF(AH551=0,(Z551*-1)+BC551+SUM(BB$4:BB550),BC551+SUM(BB$4:BB550)))</f>
        <v>-2.1316282072803006E-13</v>
      </c>
      <c r="AJ551" s="931">
        <f>IF(AND(AL551&gt;=$U$1,AL551&lt;=$U$2),IF(AM551='ESTRATTO CONTO'!$E$2,1+COUNTIF(AJ$4:AJ550,"&gt;0")+U$1015,0),0)</f>
        <v>0</v>
      </c>
      <c r="AK551" s="203">
        <f>IF(AND(OR((AK550+1)&lt;AL$1015,(AK550+1)=AL$1015),MAX(AK$4:AK550)&lt;AL$1015),AK550+1,0)</f>
        <v>0</v>
      </c>
      <c r="AL551" s="309">
        <f>VLOOKUP($AK551,ENTI!$AF$4:AG$1003,2,FALSE)</f>
        <v>0</v>
      </c>
      <c r="AM551" s="224">
        <f>VLOOKUP($AK551,ENTI!$AF$4:AH$1003,3,FALSE)</f>
        <v>0</v>
      </c>
      <c r="AN551" s="224">
        <f>VLOOKUP($AK551,ENTI!$AF$4:AI$1003,4,FALSE)</f>
        <v>0</v>
      </c>
      <c r="AO551" s="781">
        <f>VLOOKUP($AK551,ENTI!$AF$4:AJ$1003,5,FALSE)</f>
        <v>0</v>
      </c>
      <c r="AP551" s="315">
        <f>VLOOKUP($AK551,ENTI!$AF$4:AK$1003,6,FALSE)</f>
        <v>0</v>
      </c>
      <c r="AQ551" s="208">
        <f t="shared" si="113"/>
        <v>0</v>
      </c>
      <c r="AR551" s="152" t="e">
        <f t="shared" si="114"/>
        <v>#N/A</v>
      </c>
      <c r="AS551" s="1"/>
      <c r="AT551" s="88" t="str">
        <f t="shared" si="107"/>
        <v/>
      </c>
      <c r="AU551" s="1"/>
      <c r="AV551" s="175">
        <f>IF(AW551&gt;0,COUNTIF(AV$4:AV550,"&gt;0")+1,0)</f>
        <v>0</v>
      </c>
      <c r="AW551" s="164">
        <f t="shared" si="108"/>
        <v>0</v>
      </c>
      <c r="AX551" s="310">
        <f>IF($AW551=0,0,VLOOKUP(VLOOKUP($X551,$B$34:$T$38,19,FALSE),ENTI!$A$9:$B$13,2,FALSE))</f>
        <v>0</v>
      </c>
      <c r="AY551" s="310">
        <f t="shared" si="110"/>
        <v>0</v>
      </c>
      <c r="AZ551" s="316">
        <f t="shared" si="111"/>
        <v>0</v>
      </c>
      <c r="BA551" s="1"/>
      <c r="BB551" s="152">
        <f t="shared" si="112"/>
        <v>0</v>
      </c>
      <c r="BC551" s="152">
        <f ca="1">SUM(Z$4:Z551)+SUM(BB$4:BB551)+COSTI!S$6-COSTI!L$1076</f>
        <v>-31.760000000000218</v>
      </c>
      <c r="BD551" s="1"/>
    </row>
    <row r="552" spans="1:56" ht="16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435">
        <f>IF(AND(W552&gt;=$U$1,W552&lt;=$U$2),IF(X552='ESTRATTO CONTO'!$E$2,1+COUNTIF(U$4:U551,"&gt;0"),0),0)</f>
        <v>0</v>
      </c>
      <c r="V552" s="417">
        <f t="shared" si="109"/>
        <v>549</v>
      </c>
      <c r="W552" s="509"/>
      <c r="X552" s="321"/>
      <c r="Y552" s="321"/>
      <c r="Z552" s="508"/>
      <c r="AA552" s="356"/>
      <c r="AB552" s="306" t="str">
        <f t="shared" si="105"/>
        <v/>
      </c>
      <c r="AC552" s="637">
        <f t="shared" ca="1" si="104"/>
        <v>-2.1316282072803006E-13</v>
      </c>
      <c r="AD552" s="935">
        <f>IF(ISERROR(VLOOKUP(AD$2,X553:X$1003,1,FALSE)),IF(X552=AD$2,SUMIF(X$4:X552,AD$2,Z$4:Z552)+$E$9+SUM(AQ$4:AQ$1003)+SUMIF(COSTI!$X$1379:$X$1430,AD$2,COSTI!$Z$1379:$Z$1430),0),0)</f>
        <v>0</v>
      </c>
      <c r="AE552" s="26"/>
      <c r="AF552" s="856" t="e">
        <f>IF(ISERROR(VLOOKUP(AG$2,X553:X$1003,1,FALSE)),IF(X552=AG$2,SUMIF(X$4:X552,AG$2,Z$4:Z552)+VLOOKUP(AF$2,$B$1057:$F$1068,5,FALSE)+SUM(AR$4:AR$1003)+SUMIF(COSTI!$X$1379:$X$1430,AG$2,COSTI!$Z$1379:$Z$1430),0),0)</f>
        <v>#N/A</v>
      </c>
      <c r="AG552" s="859"/>
      <c r="AH552" s="27" t="str">
        <f t="shared" si="106"/>
        <v/>
      </c>
      <c r="AI552" s="152">
        <f ca="1">IF(W553&gt;0,0,IF(AH552=0,(Z552*-1)+BC552+SUM(BB$4:BB551),BC552+SUM(BB$4:BB551)))</f>
        <v>-2.1316282072803006E-13</v>
      </c>
      <c r="AJ552" s="931">
        <f>IF(AND(AL552&gt;=$U$1,AL552&lt;=$U$2),IF(AM552='ESTRATTO CONTO'!$E$2,1+COUNTIF(AJ$4:AJ551,"&gt;0")+U$1015,0),0)</f>
        <v>0</v>
      </c>
      <c r="AK552" s="203">
        <f>IF(AND(OR((AK551+1)&lt;AL$1015,(AK551+1)=AL$1015),MAX(AK$4:AK551)&lt;AL$1015),AK551+1,0)</f>
        <v>0</v>
      </c>
      <c r="AL552" s="309">
        <f>VLOOKUP($AK552,ENTI!$AF$4:AG$1003,2,FALSE)</f>
        <v>0</v>
      </c>
      <c r="AM552" s="224">
        <f>VLOOKUP($AK552,ENTI!$AF$4:AH$1003,3,FALSE)</f>
        <v>0</v>
      </c>
      <c r="AN552" s="224">
        <f>VLOOKUP($AK552,ENTI!$AF$4:AI$1003,4,FALSE)</f>
        <v>0</v>
      </c>
      <c r="AO552" s="781">
        <f>VLOOKUP($AK552,ENTI!$AF$4:AJ$1003,5,FALSE)</f>
        <v>0</v>
      </c>
      <c r="AP552" s="315">
        <f>VLOOKUP($AK552,ENTI!$AF$4:AK$1003,6,FALSE)</f>
        <v>0</v>
      </c>
      <c r="AQ552" s="208">
        <f t="shared" si="113"/>
        <v>0</v>
      </c>
      <c r="AR552" s="152" t="e">
        <f t="shared" si="114"/>
        <v>#N/A</v>
      </c>
      <c r="AS552" s="1"/>
      <c r="AT552" s="88" t="str">
        <f t="shared" si="107"/>
        <v/>
      </c>
      <c r="AU552" s="1"/>
      <c r="AV552" s="175">
        <f>IF(AW552&gt;0,COUNTIF(AV$4:AV551,"&gt;0")+1,0)</f>
        <v>0</v>
      </c>
      <c r="AW552" s="164">
        <f t="shared" si="108"/>
        <v>0</v>
      </c>
      <c r="AX552" s="310">
        <f>IF($AW552=0,0,VLOOKUP(VLOOKUP($X552,$B$34:$T$38,19,FALSE),ENTI!$A$9:$B$13,2,FALSE))</f>
        <v>0</v>
      </c>
      <c r="AY552" s="310">
        <f t="shared" si="110"/>
        <v>0</v>
      </c>
      <c r="AZ552" s="316">
        <f t="shared" si="111"/>
        <v>0</v>
      </c>
      <c r="BA552" s="1"/>
      <c r="BB552" s="152">
        <f t="shared" si="112"/>
        <v>0</v>
      </c>
      <c r="BC552" s="152">
        <f ca="1">SUM(Z$4:Z552)+SUM(BB$4:BB552)+COSTI!S$6-COSTI!L$1076</f>
        <v>-31.760000000000218</v>
      </c>
      <c r="BD552" s="1"/>
    </row>
    <row r="553" spans="1:56" ht="16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435">
        <f>IF(AND(W553&gt;=$U$1,W553&lt;=$U$2),IF(X553='ESTRATTO CONTO'!$E$2,1+COUNTIF(U$4:U552,"&gt;0"),0),0)</f>
        <v>0</v>
      </c>
      <c r="V553" s="417">
        <f t="shared" si="109"/>
        <v>550</v>
      </c>
      <c r="W553" s="509"/>
      <c r="X553" s="321"/>
      <c r="Y553" s="321"/>
      <c r="Z553" s="508"/>
      <c r="AA553" s="356"/>
      <c r="AB553" s="306" t="str">
        <f t="shared" si="105"/>
        <v/>
      </c>
      <c r="AC553" s="637">
        <f t="shared" ca="1" si="104"/>
        <v>-2.1316282072803006E-13</v>
      </c>
      <c r="AD553" s="935">
        <f>IF(ISERROR(VLOOKUP(AD$2,X554:X$1003,1,FALSE)),IF(X553=AD$2,SUMIF(X$4:X553,AD$2,Z$4:Z553)+$E$9+SUM(AQ$4:AQ$1003)+SUMIF(COSTI!$X$1379:$X$1430,AD$2,COSTI!$Z$1379:$Z$1430),0),0)</f>
        <v>0</v>
      </c>
      <c r="AE553" s="26"/>
      <c r="AF553" s="856" t="e">
        <f>IF(ISERROR(VLOOKUP(AG$2,X554:X$1003,1,FALSE)),IF(X553=AG$2,SUMIF(X$4:X553,AG$2,Z$4:Z553)+VLOOKUP(AF$2,$B$1057:$F$1068,5,FALSE)+SUM(AR$4:AR$1003)+SUMIF(COSTI!$X$1379:$X$1430,AG$2,COSTI!$Z$1379:$Z$1430),0),0)</f>
        <v>#N/A</v>
      </c>
      <c r="AG553" s="859"/>
      <c r="AH553" s="27" t="str">
        <f t="shared" si="106"/>
        <v/>
      </c>
      <c r="AI553" s="152">
        <f ca="1">IF(W554&gt;0,0,IF(AH553=0,(Z553*-1)+BC553+SUM(BB$4:BB552),BC553+SUM(BB$4:BB552)))</f>
        <v>-2.1316282072803006E-13</v>
      </c>
      <c r="AJ553" s="931">
        <f>IF(AND(AL553&gt;=$U$1,AL553&lt;=$U$2),IF(AM553='ESTRATTO CONTO'!$E$2,1+COUNTIF(AJ$4:AJ552,"&gt;0")+U$1015,0),0)</f>
        <v>0</v>
      </c>
      <c r="AK553" s="203">
        <f>IF(AND(OR((AK552+1)&lt;AL$1015,(AK552+1)=AL$1015),MAX(AK$4:AK552)&lt;AL$1015),AK552+1,0)</f>
        <v>0</v>
      </c>
      <c r="AL553" s="309">
        <f>VLOOKUP($AK553,ENTI!$AF$4:AG$1003,2,FALSE)</f>
        <v>0</v>
      </c>
      <c r="AM553" s="224">
        <f>VLOOKUP($AK553,ENTI!$AF$4:AH$1003,3,FALSE)</f>
        <v>0</v>
      </c>
      <c r="AN553" s="224">
        <f>VLOOKUP($AK553,ENTI!$AF$4:AI$1003,4,FALSE)</f>
        <v>0</v>
      </c>
      <c r="AO553" s="781">
        <f>VLOOKUP($AK553,ENTI!$AF$4:AJ$1003,5,FALSE)</f>
        <v>0</v>
      </c>
      <c r="AP553" s="315">
        <f>VLOOKUP($AK553,ENTI!$AF$4:AK$1003,6,FALSE)</f>
        <v>0</v>
      </c>
      <c r="AQ553" s="208">
        <f t="shared" si="113"/>
        <v>0</v>
      </c>
      <c r="AR553" s="152" t="e">
        <f t="shared" si="114"/>
        <v>#N/A</v>
      </c>
      <c r="AS553" s="1"/>
      <c r="AT553" s="88" t="str">
        <f t="shared" si="107"/>
        <v/>
      </c>
      <c r="AU553" s="1"/>
      <c r="AV553" s="175">
        <f>IF(AW553&gt;0,COUNTIF(AV$4:AV552,"&gt;0")+1,0)</f>
        <v>0</v>
      </c>
      <c r="AW553" s="164">
        <f t="shared" si="108"/>
        <v>0</v>
      </c>
      <c r="AX553" s="310">
        <f>IF($AW553=0,0,VLOOKUP(VLOOKUP($X553,$B$34:$T$38,19,FALSE),ENTI!$A$9:$B$13,2,FALSE))</f>
        <v>0</v>
      </c>
      <c r="AY553" s="310">
        <f t="shared" si="110"/>
        <v>0</v>
      </c>
      <c r="AZ553" s="316">
        <f t="shared" si="111"/>
        <v>0</v>
      </c>
      <c r="BA553" s="1"/>
      <c r="BB553" s="152">
        <f t="shared" si="112"/>
        <v>0</v>
      </c>
      <c r="BC553" s="152">
        <f ca="1">SUM(Z$4:Z553)+SUM(BB$4:BB553)+COSTI!S$6-COSTI!L$1076</f>
        <v>-31.760000000000218</v>
      </c>
      <c r="BD553" s="1"/>
    </row>
    <row r="554" spans="1:56" ht="16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435">
        <f>IF(AND(W554&gt;=$U$1,W554&lt;=$U$2),IF(X554='ESTRATTO CONTO'!$E$2,1+COUNTIF(U$4:U553,"&gt;0"),0),0)</f>
        <v>0</v>
      </c>
      <c r="V554" s="417">
        <f t="shared" si="109"/>
        <v>551</v>
      </c>
      <c r="W554" s="509"/>
      <c r="X554" s="321"/>
      <c r="Y554" s="321"/>
      <c r="Z554" s="508"/>
      <c r="AA554" s="356"/>
      <c r="AB554" s="306" t="str">
        <f t="shared" si="105"/>
        <v/>
      </c>
      <c r="AC554" s="637">
        <f t="shared" ca="1" si="104"/>
        <v>-2.1316282072803006E-13</v>
      </c>
      <c r="AD554" s="935">
        <f>IF(ISERROR(VLOOKUP(AD$2,X555:X$1003,1,FALSE)),IF(X554=AD$2,SUMIF(X$4:X554,AD$2,Z$4:Z554)+$E$9+SUM(AQ$4:AQ$1003)+SUMIF(COSTI!$X$1379:$X$1430,AD$2,COSTI!$Z$1379:$Z$1430),0),0)</f>
        <v>0</v>
      </c>
      <c r="AE554" s="26"/>
      <c r="AF554" s="856" t="e">
        <f>IF(ISERROR(VLOOKUP(AG$2,X555:X$1003,1,FALSE)),IF(X554=AG$2,SUMIF(X$4:X554,AG$2,Z$4:Z554)+VLOOKUP(AF$2,$B$1057:$F$1068,5,FALSE)+SUM(AR$4:AR$1003)+SUMIF(COSTI!$X$1379:$X$1430,AG$2,COSTI!$Z$1379:$Z$1430),0),0)</f>
        <v>#N/A</v>
      </c>
      <c r="AG554" s="859"/>
      <c r="AH554" s="27" t="str">
        <f t="shared" si="106"/>
        <v/>
      </c>
      <c r="AI554" s="152">
        <f ca="1">IF(W555&gt;0,0,IF(AH554=0,(Z554*-1)+BC554+SUM(BB$4:BB553),BC554+SUM(BB$4:BB553)))</f>
        <v>-2.1316282072803006E-13</v>
      </c>
      <c r="AJ554" s="931">
        <f>IF(AND(AL554&gt;=$U$1,AL554&lt;=$U$2),IF(AM554='ESTRATTO CONTO'!$E$2,1+COUNTIF(AJ$4:AJ553,"&gt;0")+U$1015,0),0)</f>
        <v>0</v>
      </c>
      <c r="AK554" s="203">
        <f>IF(AND(OR((AK553+1)&lt;AL$1015,(AK553+1)=AL$1015),MAX(AK$4:AK553)&lt;AL$1015),AK553+1,0)</f>
        <v>0</v>
      </c>
      <c r="AL554" s="309">
        <f>VLOOKUP($AK554,ENTI!$AF$4:AG$1003,2,FALSE)</f>
        <v>0</v>
      </c>
      <c r="AM554" s="224">
        <f>VLOOKUP($AK554,ENTI!$AF$4:AH$1003,3,FALSE)</f>
        <v>0</v>
      </c>
      <c r="AN554" s="224">
        <f>VLOOKUP($AK554,ENTI!$AF$4:AI$1003,4,FALSE)</f>
        <v>0</v>
      </c>
      <c r="AO554" s="781">
        <f>VLOOKUP($AK554,ENTI!$AF$4:AJ$1003,5,FALSE)</f>
        <v>0</v>
      </c>
      <c r="AP554" s="315">
        <f>VLOOKUP($AK554,ENTI!$AF$4:AK$1003,6,FALSE)</f>
        <v>0</v>
      </c>
      <c r="AQ554" s="208">
        <f t="shared" si="113"/>
        <v>0</v>
      </c>
      <c r="AR554" s="152" t="e">
        <f t="shared" si="114"/>
        <v>#N/A</v>
      </c>
      <c r="AS554" s="1"/>
      <c r="AT554" s="88" t="str">
        <f t="shared" si="107"/>
        <v/>
      </c>
      <c r="AU554" s="1"/>
      <c r="AV554" s="175">
        <f>IF(AW554&gt;0,COUNTIF(AV$4:AV553,"&gt;0")+1,0)</f>
        <v>0</v>
      </c>
      <c r="AW554" s="164">
        <f t="shared" si="108"/>
        <v>0</v>
      </c>
      <c r="AX554" s="310">
        <f>IF($AW554=0,0,VLOOKUP(VLOOKUP($X554,$B$34:$T$38,19,FALSE),ENTI!$A$9:$B$13,2,FALSE))</f>
        <v>0</v>
      </c>
      <c r="AY554" s="310">
        <f t="shared" si="110"/>
        <v>0</v>
      </c>
      <c r="AZ554" s="316">
        <f t="shared" si="111"/>
        <v>0</v>
      </c>
      <c r="BA554" s="1"/>
      <c r="BB554" s="152">
        <f t="shared" si="112"/>
        <v>0</v>
      </c>
      <c r="BC554" s="152">
        <f ca="1">SUM(Z$4:Z554)+SUM(BB$4:BB554)+COSTI!S$6-COSTI!L$1076</f>
        <v>-31.760000000000218</v>
      </c>
      <c r="BD554" s="1"/>
    </row>
    <row r="555" spans="1:56" ht="16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435">
        <f>IF(AND(W555&gt;=$U$1,W555&lt;=$U$2),IF(X555='ESTRATTO CONTO'!$E$2,1+COUNTIF(U$4:U554,"&gt;0"),0),0)</f>
        <v>0</v>
      </c>
      <c r="V555" s="417">
        <f t="shared" si="109"/>
        <v>552</v>
      </c>
      <c r="W555" s="509"/>
      <c r="X555" s="321"/>
      <c r="Y555" s="321"/>
      <c r="Z555" s="508"/>
      <c r="AA555" s="356"/>
      <c r="AB555" s="306" t="str">
        <f t="shared" si="105"/>
        <v/>
      </c>
      <c r="AC555" s="637">
        <f t="shared" ca="1" si="104"/>
        <v>-2.1316282072803006E-13</v>
      </c>
      <c r="AD555" s="935">
        <f>IF(ISERROR(VLOOKUP(AD$2,X556:X$1003,1,FALSE)),IF(X555=AD$2,SUMIF(X$4:X555,AD$2,Z$4:Z555)+$E$9+SUM(AQ$4:AQ$1003)+SUMIF(COSTI!$X$1379:$X$1430,AD$2,COSTI!$Z$1379:$Z$1430),0),0)</f>
        <v>0</v>
      </c>
      <c r="AE555" s="26"/>
      <c r="AF555" s="856" t="e">
        <f>IF(ISERROR(VLOOKUP(AG$2,X556:X$1003,1,FALSE)),IF(X555=AG$2,SUMIF(X$4:X555,AG$2,Z$4:Z555)+VLOOKUP(AF$2,$B$1057:$F$1068,5,FALSE)+SUM(AR$4:AR$1003)+SUMIF(COSTI!$X$1379:$X$1430,AG$2,COSTI!$Z$1379:$Z$1430),0),0)</f>
        <v>#N/A</v>
      </c>
      <c r="AG555" s="859"/>
      <c r="AH555" s="27" t="str">
        <f t="shared" si="106"/>
        <v/>
      </c>
      <c r="AI555" s="152">
        <f ca="1">IF(W556&gt;0,0,IF(AH555=0,(Z555*-1)+BC555+SUM(BB$4:BB554),BC555+SUM(BB$4:BB554)))</f>
        <v>-2.1316282072803006E-13</v>
      </c>
      <c r="AJ555" s="931">
        <f>IF(AND(AL555&gt;=$U$1,AL555&lt;=$U$2),IF(AM555='ESTRATTO CONTO'!$E$2,1+COUNTIF(AJ$4:AJ554,"&gt;0")+U$1015,0),0)</f>
        <v>0</v>
      </c>
      <c r="AK555" s="203">
        <f>IF(AND(OR((AK554+1)&lt;AL$1015,(AK554+1)=AL$1015),MAX(AK$4:AK554)&lt;AL$1015),AK554+1,0)</f>
        <v>0</v>
      </c>
      <c r="AL555" s="309">
        <f>VLOOKUP($AK555,ENTI!$AF$4:AG$1003,2,FALSE)</f>
        <v>0</v>
      </c>
      <c r="AM555" s="224">
        <f>VLOOKUP($AK555,ENTI!$AF$4:AH$1003,3,FALSE)</f>
        <v>0</v>
      </c>
      <c r="AN555" s="224">
        <f>VLOOKUP($AK555,ENTI!$AF$4:AI$1003,4,FALSE)</f>
        <v>0</v>
      </c>
      <c r="AO555" s="781">
        <f>VLOOKUP($AK555,ENTI!$AF$4:AJ$1003,5,FALSE)</f>
        <v>0</v>
      </c>
      <c r="AP555" s="315">
        <f>VLOOKUP($AK555,ENTI!$AF$4:AK$1003,6,FALSE)</f>
        <v>0</v>
      </c>
      <c r="AQ555" s="208">
        <f t="shared" si="113"/>
        <v>0</v>
      </c>
      <c r="AR555" s="152" t="e">
        <f t="shared" si="114"/>
        <v>#N/A</v>
      </c>
      <c r="AS555" s="1"/>
      <c r="AT555" s="88" t="str">
        <f t="shared" si="107"/>
        <v/>
      </c>
      <c r="AU555" s="1"/>
      <c r="AV555" s="175">
        <f>IF(AW555&gt;0,COUNTIF(AV$4:AV554,"&gt;0")+1,0)</f>
        <v>0</v>
      </c>
      <c r="AW555" s="164">
        <f t="shared" si="108"/>
        <v>0</v>
      </c>
      <c r="AX555" s="310">
        <f>IF($AW555=0,0,VLOOKUP(VLOOKUP($X555,$B$34:$T$38,19,FALSE),ENTI!$A$9:$B$13,2,FALSE))</f>
        <v>0</v>
      </c>
      <c r="AY555" s="310">
        <f t="shared" si="110"/>
        <v>0</v>
      </c>
      <c r="AZ555" s="316">
        <f t="shared" si="111"/>
        <v>0</v>
      </c>
      <c r="BA555" s="1"/>
      <c r="BB555" s="152">
        <f t="shared" si="112"/>
        <v>0</v>
      </c>
      <c r="BC555" s="152">
        <f ca="1">SUM(Z$4:Z555)+SUM(BB$4:BB555)+COSTI!S$6-COSTI!L$1076</f>
        <v>-31.760000000000218</v>
      </c>
      <c r="BD555" s="1"/>
    </row>
    <row r="556" spans="1:56" ht="16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435">
        <f>IF(AND(W556&gt;=$U$1,W556&lt;=$U$2),IF(X556='ESTRATTO CONTO'!$E$2,1+COUNTIF(U$4:U555,"&gt;0"),0),0)</f>
        <v>0</v>
      </c>
      <c r="V556" s="417">
        <f t="shared" si="109"/>
        <v>553</v>
      </c>
      <c r="W556" s="509"/>
      <c r="X556" s="321"/>
      <c r="Y556" s="321"/>
      <c r="Z556" s="508"/>
      <c r="AA556" s="356"/>
      <c r="AB556" s="306" t="str">
        <f t="shared" si="105"/>
        <v/>
      </c>
      <c r="AC556" s="637">
        <f t="shared" ca="1" si="104"/>
        <v>-2.1316282072803006E-13</v>
      </c>
      <c r="AD556" s="935">
        <f>IF(ISERROR(VLOOKUP(AD$2,X557:X$1003,1,FALSE)),IF(X556=AD$2,SUMIF(X$4:X556,AD$2,Z$4:Z556)+$E$9+SUM(AQ$4:AQ$1003)+SUMIF(COSTI!$X$1379:$X$1430,AD$2,COSTI!$Z$1379:$Z$1430),0),0)</f>
        <v>0</v>
      </c>
      <c r="AE556" s="26"/>
      <c r="AF556" s="856" t="e">
        <f>IF(ISERROR(VLOOKUP(AG$2,X557:X$1003,1,FALSE)),IF(X556=AG$2,SUMIF(X$4:X556,AG$2,Z$4:Z556)+VLOOKUP(AF$2,$B$1057:$F$1068,5,FALSE)+SUM(AR$4:AR$1003)+SUMIF(COSTI!$X$1379:$X$1430,AG$2,COSTI!$Z$1379:$Z$1430),0),0)</f>
        <v>#N/A</v>
      </c>
      <c r="AG556" s="859"/>
      <c r="AH556" s="27" t="str">
        <f t="shared" si="106"/>
        <v/>
      </c>
      <c r="AI556" s="152">
        <f ca="1">IF(W557&gt;0,0,IF(AH556=0,(Z556*-1)+BC556+SUM(BB$4:BB555),BC556+SUM(BB$4:BB555)))</f>
        <v>-2.1316282072803006E-13</v>
      </c>
      <c r="AJ556" s="931">
        <f>IF(AND(AL556&gt;=$U$1,AL556&lt;=$U$2),IF(AM556='ESTRATTO CONTO'!$E$2,1+COUNTIF(AJ$4:AJ555,"&gt;0")+U$1015,0),0)</f>
        <v>0</v>
      </c>
      <c r="AK556" s="203">
        <f>IF(AND(OR((AK555+1)&lt;AL$1015,(AK555+1)=AL$1015),MAX(AK$4:AK555)&lt;AL$1015),AK555+1,0)</f>
        <v>0</v>
      </c>
      <c r="AL556" s="309">
        <f>VLOOKUP($AK556,ENTI!$AF$4:AG$1003,2,FALSE)</f>
        <v>0</v>
      </c>
      <c r="AM556" s="224">
        <f>VLOOKUP($AK556,ENTI!$AF$4:AH$1003,3,FALSE)</f>
        <v>0</v>
      </c>
      <c r="AN556" s="224">
        <f>VLOOKUP($AK556,ENTI!$AF$4:AI$1003,4,FALSE)</f>
        <v>0</v>
      </c>
      <c r="AO556" s="781">
        <f>VLOOKUP($AK556,ENTI!$AF$4:AJ$1003,5,FALSE)</f>
        <v>0</v>
      </c>
      <c r="AP556" s="315">
        <f>VLOOKUP($AK556,ENTI!$AF$4:AK$1003,6,FALSE)</f>
        <v>0</v>
      </c>
      <c r="AQ556" s="208">
        <f t="shared" si="113"/>
        <v>0</v>
      </c>
      <c r="AR556" s="152" t="e">
        <f t="shared" si="114"/>
        <v>#N/A</v>
      </c>
      <c r="AS556" s="1"/>
      <c r="AT556" s="88" t="str">
        <f t="shared" si="107"/>
        <v/>
      </c>
      <c r="AU556" s="1"/>
      <c r="AV556" s="175">
        <f>IF(AW556&gt;0,COUNTIF(AV$4:AV555,"&gt;0")+1,0)</f>
        <v>0</v>
      </c>
      <c r="AW556" s="164">
        <f t="shared" si="108"/>
        <v>0</v>
      </c>
      <c r="AX556" s="310">
        <f>IF($AW556=0,0,VLOOKUP(VLOOKUP($X556,$B$34:$T$38,19,FALSE),ENTI!$A$9:$B$13,2,FALSE))</f>
        <v>0</v>
      </c>
      <c r="AY556" s="310">
        <f t="shared" si="110"/>
        <v>0</v>
      </c>
      <c r="AZ556" s="316">
        <f t="shared" si="111"/>
        <v>0</v>
      </c>
      <c r="BA556" s="1"/>
      <c r="BB556" s="152">
        <f t="shared" si="112"/>
        <v>0</v>
      </c>
      <c r="BC556" s="152">
        <f ca="1">SUM(Z$4:Z556)+SUM(BB$4:BB556)+COSTI!S$6-COSTI!L$1076</f>
        <v>-31.760000000000218</v>
      </c>
      <c r="BD556" s="1"/>
    </row>
    <row r="557" spans="1:56" ht="16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435">
        <f>IF(AND(W557&gt;=$U$1,W557&lt;=$U$2),IF(X557='ESTRATTO CONTO'!$E$2,1+COUNTIF(U$4:U556,"&gt;0"),0),0)</f>
        <v>0</v>
      </c>
      <c r="V557" s="417">
        <f t="shared" si="109"/>
        <v>554</v>
      </c>
      <c r="W557" s="509"/>
      <c r="X557" s="321"/>
      <c r="Y557" s="321"/>
      <c r="Z557" s="508"/>
      <c r="AA557" s="356"/>
      <c r="AB557" s="306" t="str">
        <f t="shared" si="105"/>
        <v/>
      </c>
      <c r="AC557" s="637">
        <f t="shared" ca="1" si="104"/>
        <v>-2.1316282072803006E-13</v>
      </c>
      <c r="AD557" s="935">
        <f>IF(ISERROR(VLOOKUP(AD$2,X558:X$1003,1,FALSE)),IF(X557=AD$2,SUMIF(X$4:X557,AD$2,Z$4:Z557)+$E$9+SUM(AQ$4:AQ$1003)+SUMIF(COSTI!$X$1379:$X$1430,AD$2,COSTI!$Z$1379:$Z$1430),0),0)</f>
        <v>0</v>
      </c>
      <c r="AE557" s="26"/>
      <c r="AF557" s="856" t="e">
        <f>IF(ISERROR(VLOOKUP(AG$2,X558:X$1003,1,FALSE)),IF(X557=AG$2,SUMIF(X$4:X557,AG$2,Z$4:Z557)+VLOOKUP(AF$2,$B$1057:$F$1068,5,FALSE)+SUM(AR$4:AR$1003)+SUMIF(COSTI!$X$1379:$X$1430,AG$2,COSTI!$Z$1379:$Z$1430),0),0)</f>
        <v>#N/A</v>
      </c>
      <c r="AG557" s="859"/>
      <c r="AH557" s="27" t="str">
        <f t="shared" si="106"/>
        <v/>
      </c>
      <c r="AI557" s="152">
        <f ca="1">IF(W558&gt;0,0,IF(AH557=0,(Z557*-1)+BC557+SUM(BB$4:BB556),BC557+SUM(BB$4:BB556)))</f>
        <v>-2.1316282072803006E-13</v>
      </c>
      <c r="AJ557" s="931">
        <f>IF(AND(AL557&gt;=$U$1,AL557&lt;=$U$2),IF(AM557='ESTRATTO CONTO'!$E$2,1+COUNTIF(AJ$4:AJ556,"&gt;0")+U$1015,0),0)</f>
        <v>0</v>
      </c>
      <c r="AK557" s="203">
        <f>IF(AND(OR((AK556+1)&lt;AL$1015,(AK556+1)=AL$1015),MAX(AK$4:AK556)&lt;AL$1015),AK556+1,0)</f>
        <v>0</v>
      </c>
      <c r="AL557" s="309">
        <f>VLOOKUP($AK557,ENTI!$AF$4:AG$1003,2,FALSE)</f>
        <v>0</v>
      </c>
      <c r="AM557" s="224">
        <f>VLOOKUP($AK557,ENTI!$AF$4:AH$1003,3,FALSE)</f>
        <v>0</v>
      </c>
      <c r="AN557" s="224">
        <f>VLOOKUP($AK557,ENTI!$AF$4:AI$1003,4,FALSE)</f>
        <v>0</v>
      </c>
      <c r="AO557" s="781">
        <f>VLOOKUP($AK557,ENTI!$AF$4:AJ$1003,5,FALSE)</f>
        <v>0</v>
      </c>
      <c r="AP557" s="315">
        <f>VLOOKUP($AK557,ENTI!$AF$4:AK$1003,6,FALSE)</f>
        <v>0</v>
      </c>
      <c r="AQ557" s="208">
        <f t="shared" si="113"/>
        <v>0</v>
      </c>
      <c r="AR557" s="152" t="e">
        <f t="shared" si="114"/>
        <v>#N/A</v>
      </c>
      <c r="AS557" s="1"/>
      <c r="AT557" s="88" t="str">
        <f t="shared" si="107"/>
        <v/>
      </c>
      <c r="AU557" s="1"/>
      <c r="AV557" s="175">
        <f>IF(AW557&gt;0,COUNTIF(AV$4:AV556,"&gt;0")+1,0)</f>
        <v>0</v>
      </c>
      <c r="AW557" s="164">
        <f t="shared" si="108"/>
        <v>0</v>
      </c>
      <c r="AX557" s="310">
        <f>IF($AW557=0,0,VLOOKUP(VLOOKUP($X557,$B$34:$T$38,19,FALSE),ENTI!$A$9:$B$13,2,FALSE))</f>
        <v>0</v>
      </c>
      <c r="AY557" s="310">
        <f t="shared" si="110"/>
        <v>0</v>
      </c>
      <c r="AZ557" s="316">
        <f t="shared" si="111"/>
        <v>0</v>
      </c>
      <c r="BA557" s="1"/>
      <c r="BB557" s="152">
        <f t="shared" si="112"/>
        <v>0</v>
      </c>
      <c r="BC557" s="152">
        <f ca="1">SUM(Z$4:Z557)+SUM(BB$4:BB557)+COSTI!S$6-COSTI!L$1076</f>
        <v>-31.760000000000218</v>
      </c>
      <c r="BD557" s="1"/>
    </row>
    <row r="558" spans="1:56" ht="16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435">
        <f>IF(AND(W558&gt;=$U$1,W558&lt;=$U$2),IF(X558='ESTRATTO CONTO'!$E$2,1+COUNTIF(U$4:U557,"&gt;0"),0),0)</f>
        <v>0</v>
      </c>
      <c r="V558" s="417">
        <f t="shared" si="109"/>
        <v>555</v>
      </c>
      <c r="W558" s="509"/>
      <c r="X558" s="321"/>
      <c r="Y558" s="321"/>
      <c r="Z558" s="508"/>
      <c r="AA558" s="356"/>
      <c r="AB558" s="306" t="str">
        <f t="shared" si="105"/>
        <v/>
      </c>
      <c r="AC558" s="637">
        <f t="shared" ca="1" si="104"/>
        <v>-2.1316282072803006E-13</v>
      </c>
      <c r="AD558" s="935">
        <f>IF(ISERROR(VLOOKUP(AD$2,X559:X$1003,1,FALSE)),IF(X558=AD$2,SUMIF(X$4:X558,AD$2,Z$4:Z558)+$E$9+SUM(AQ$4:AQ$1003)+SUMIF(COSTI!$X$1379:$X$1430,AD$2,COSTI!$Z$1379:$Z$1430),0),0)</f>
        <v>0</v>
      </c>
      <c r="AE558" s="26"/>
      <c r="AF558" s="856" t="e">
        <f>IF(ISERROR(VLOOKUP(AG$2,X559:X$1003,1,FALSE)),IF(X558=AG$2,SUMIF(X$4:X558,AG$2,Z$4:Z558)+VLOOKUP(AF$2,$B$1057:$F$1068,5,FALSE)+SUM(AR$4:AR$1003)+SUMIF(COSTI!$X$1379:$X$1430,AG$2,COSTI!$Z$1379:$Z$1430),0),0)</f>
        <v>#N/A</v>
      </c>
      <c r="AG558" s="859"/>
      <c r="AH558" s="27" t="str">
        <f t="shared" si="106"/>
        <v/>
      </c>
      <c r="AI558" s="152">
        <f ca="1">IF(W559&gt;0,0,IF(AH558=0,(Z558*-1)+BC558+SUM(BB$4:BB557),BC558+SUM(BB$4:BB557)))</f>
        <v>-2.1316282072803006E-13</v>
      </c>
      <c r="AJ558" s="931">
        <f>IF(AND(AL558&gt;=$U$1,AL558&lt;=$U$2),IF(AM558='ESTRATTO CONTO'!$E$2,1+COUNTIF(AJ$4:AJ557,"&gt;0")+U$1015,0),0)</f>
        <v>0</v>
      </c>
      <c r="AK558" s="203">
        <f>IF(AND(OR((AK557+1)&lt;AL$1015,(AK557+1)=AL$1015),MAX(AK$4:AK557)&lt;AL$1015),AK557+1,0)</f>
        <v>0</v>
      </c>
      <c r="AL558" s="309">
        <f>VLOOKUP($AK558,ENTI!$AF$4:AG$1003,2,FALSE)</f>
        <v>0</v>
      </c>
      <c r="AM558" s="224">
        <f>VLOOKUP($AK558,ENTI!$AF$4:AH$1003,3,FALSE)</f>
        <v>0</v>
      </c>
      <c r="AN558" s="224">
        <f>VLOOKUP($AK558,ENTI!$AF$4:AI$1003,4,FALSE)</f>
        <v>0</v>
      </c>
      <c r="AO558" s="781">
        <f>VLOOKUP($AK558,ENTI!$AF$4:AJ$1003,5,FALSE)</f>
        <v>0</v>
      </c>
      <c r="AP558" s="315">
        <f>VLOOKUP($AK558,ENTI!$AF$4:AK$1003,6,FALSE)</f>
        <v>0</v>
      </c>
      <c r="AQ558" s="208">
        <f t="shared" si="113"/>
        <v>0</v>
      </c>
      <c r="AR558" s="152" t="e">
        <f t="shared" si="114"/>
        <v>#N/A</v>
      </c>
      <c r="AS558" s="1"/>
      <c r="AT558" s="88" t="str">
        <f t="shared" si="107"/>
        <v/>
      </c>
      <c r="AU558" s="1"/>
      <c r="AV558" s="175">
        <f>IF(AW558&gt;0,COUNTIF(AV$4:AV557,"&gt;0")+1,0)</f>
        <v>0</v>
      </c>
      <c r="AW558" s="164">
        <f t="shared" si="108"/>
        <v>0</v>
      </c>
      <c r="AX558" s="310">
        <f>IF($AW558=0,0,VLOOKUP(VLOOKUP($X558,$B$34:$T$38,19,FALSE),ENTI!$A$9:$B$13,2,FALSE))</f>
        <v>0</v>
      </c>
      <c r="AY558" s="310">
        <f t="shared" si="110"/>
        <v>0</v>
      </c>
      <c r="AZ558" s="316">
        <f t="shared" si="111"/>
        <v>0</v>
      </c>
      <c r="BA558" s="1"/>
      <c r="BB558" s="152">
        <f t="shared" si="112"/>
        <v>0</v>
      </c>
      <c r="BC558" s="152">
        <f ca="1">SUM(Z$4:Z558)+SUM(BB$4:BB558)+COSTI!S$6-COSTI!L$1076</f>
        <v>-31.760000000000218</v>
      </c>
      <c r="BD558" s="1"/>
    </row>
    <row r="559" spans="1:56" ht="16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435">
        <f>IF(AND(W559&gt;=$U$1,W559&lt;=$U$2),IF(X559='ESTRATTO CONTO'!$E$2,1+COUNTIF(U$4:U558,"&gt;0"),0),0)</f>
        <v>0</v>
      </c>
      <c r="V559" s="417">
        <f t="shared" si="109"/>
        <v>556</v>
      </c>
      <c r="W559" s="509"/>
      <c r="X559" s="321"/>
      <c r="Y559" s="321"/>
      <c r="Z559" s="508"/>
      <c r="AA559" s="356"/>
      <c r="AB559" s="306" t="str">
        <f t="shared" si="105"/>
        <v/>
      </c>
      <c r="AC559" s="637">
        <f t="shared" ca="1" si="104"/>
        <v>-2.1316282072803006E-13</v>
      </c>
      <c r="AD559" s="935">
        <f>IF(ISERROR(VLOOKUP(AD$2,X560:X$1003,1,FALSE)),IF(X559=AD$2,SUMIF(X$4:X559,AD$2,Z$4:Z559)+$E$9+SUM(AQ$4:AQ$1003)+SUMIF(COSTI!$X$1379:$X$1430,AD$2,COSTI!$Z$1379:$Z$1430),0),0)</f>
        <v>0</v>
      </c>
      <c r="AE559" s="26"/>
      <c r="AF559" s="856" t="e">
        <f>IF(ISERROR(VLOOKUP(AG$2,X560:X$1003,1,FALSE)),IF(X559=AG$2,SUMIF(X$4:X559,AG$2,Z$4:Z559)+VLOOKUP(AF$2,$B$1057:$F$1068,5,FALSE)+SUM(AR$4:AR$1003)+SUMIF(COSTI!$X$1379:$X$1430,AG$2,COSTI!$Z$1379:$Z$1430),0),0)</f>
        <v>#N/A</v>
      </c>
      <c r="AG559" s="859"/>
      <c r="AH559" s="27" t="str">
        <f t="shared" si="106"/>
        <v/>
      </c>
      <c r="AI559" s="152">
        <f ca="1">IF(W560&gt;0,0,IF(AH559=0,(Z559*-1)+BC559+SUM(BB$4:BB558),BC559+SUM(BB$4:BB558)))</f>
        <v>-2.1316282072803006E-13</v>
      </c>
      <c r="AJ559" s="931">
        <f>IF(AND(AL559&gt;=$U$1,AL559&lt;=$U$2),IF(AM559='ESTRATTO CONTO'!$E$2,1+COUNTIF(AJ$4:AJ558,"&gt;0")+U$1015,0),0)</f>
        <v>0</v>
      </c>
      <c r="AK559" s="203">
        <f>IF(AND(OR((AK558+1)&lt;AL$1015,(AK558+1)=AL$1015),MAX(AK$4:AK558)&lt;AL$1015),AK558+1,0)</f>
        <v>0</v>
      </c>
      <c r="AL559" s="309">
        <f>VLOOKUP($AK559,ENTI!$AF$4:AG$1003,2,FALSE)</f>
        <v>0</v>
      </c>
      <c r="AM559" s="224">
        <f>VLOOKUP($AK559,ENTI!$AF$4:AH$1003,3,FALSE)</f>
        <v>0</v>
      </c>
      <c r="AN559" s="224">
        <f>VLOOKUP($AK559,ENTI!$AF$4:AI$1003,4,FALSE)</f>
        <v>0</v>
      </c>
      <c r="AO559" s="781">
        <f>VLOOKUP($AK559,ENTI!$AF$4:AJ$1003,5,FALSE)</f>
        <v>0</v>
      </c>
      <c r="AP559" s="315">
        <f>VLOOKUP($AK559,ENTI!$AF$4:AK$1003,6,FALSE)</f>
        <v>0</v>
      </c>
      <c r="AQ559" s="208">
        <f t="shared" si="113"/>
        <v>0</v>
      </c>
      <c r="AR559" s="152" t="e">
        <f t="shared" si="114"/>
        <v>#N/A</v>
      </c>
      <c r="AS559" s="1"/>
      <c r="AT559" s="88" t="str">
        <f t="shared" si="107"/>
        <v/>
      </c>
      <c r="AU559" s="1"/>
      <c r="AV559" s="175">
        <f>IF(AW559&gt;0,COUNTIF(AV$4:AV558,"&gt;0")+1,0)</f>
        <v>0</v>
      </c>
      <c r="AW559" s="164">
        <f t="shared" si="108"/>
        <v>0</v>
      </c>
      <c r="AX559" s="310">
        <f>IF($AW559=0,0,VLOOKUP(VLOOKUP($X559,$B$34:$T$38,19,FALSE),ENTI!$A$9:$B$13,2,FALSE))</f>
        <v>0</v>
      </c>
      <c r="AY559" s="310">
        <f t="shared" si="110"/>
        <v>0</v>
      </c>
      <c r="AZ559" s="316">
        <f t="shared" si="111"/>
        <v>0</v>
      </c>
      <c r="BA559" s="1"/>
      <c r="BB559" s="152">
        <f t="shared" si="112"/>
        <v>0</v>
      </c>
      <c r="BC559" s="152">
        <f ca="1">SUM(Z$4:Z559)+SUM(BB$4:BB559)+COSTI!S$6-COSTI!L$1076</f>
        <v>-31.760000000000218</v>
      </c>
      <c r="BD559" s="1"/>
    </row>
    <row r="560" spans="1:56" ht="16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435">
        <f>IF(AND(W560&gt;=$U$1,W560&lt;=$U$2),IF(X560='ESTRATTO CONTO'!$E$2,1+COUNTIF(U$4:U559,"&gt;0"),0),0)</f>
        <v>0</v>
      </c>
      <c r="V560" s="417">
        <f t="shared" si="109"/>
        <v>557</v>
      </c>
      <c r="W560" s="509"/>
      <c r="X560" s="321"/>
      <c r="Y560" s="321"/>
      <c r="Z560" s="508"/>
      <c r="AA560" s="356"/>
      <c r="AB560" s="306" t="str">
        <f t="shared" si="105"/>
        <v/>
      </c>
      <c r="AC560" s="637">
        <f t="shared" ca="1" si="104"/>
        <v>-2.1316282072803006E-13</v>
      </c>
      <c r="AD560" s="935">
        <f>IF(ISERROR(VLOOKUP(AD$2,X561:X$1003,1,FALSE)),IF(X560=AD$2,SUMIF(X$4:X560,AD$2,Z$4:Z560)+$E$9+SUM(AQ$4:AQ$1003)+SUMIF(COSTI!$X$1379:$X$1430,AD$2,COSTI!$Z$1379:$Z$1430),0),0)</f>
        <v>0</v>
      </c>
      <c r="AE560" s="26"/>
      <c r="AF560" s="856" t="e">
        <f>IF(ISERROR(VLOOKUP(AG$2,X561:X$1003,1,FALSE)),IF(X560=AG$2,SUMIF(X$4:X560,AG$2,Z$4:Z560)+VLOOKUP(AF$2,$B$1057:$F$1068,5,FALSE)+SUM(AR$4:AR$1003)+SUMIF(COSTI!$X$1379:$X$1430,AG$2,COSTI!$Z$1379:$Z$1430),0),0)</f>
        <v>#N/A</v>
      </c>
      <c r="AG560" s="859"/>
      <c r="AH560" s="27" t="str">
        <f t="shared" si="106"/>
        <v/>
      </c>
      <c r="AI560" s="152">
        <f ca="1">IF(W561&gt;0,0,IF(AH560=0,(Z560*-1)+BC560+SUM(BB$4:BB559),BC560+SUM(BB$4:BB559)))</f>
        <v>-2.1316282072803006E-13</v>
      </c>
      <c r="AJ560" s="931">
        <f>IF(AND(AL560&gt;=$U$1,AL560&lt;=$U$2),IF(AM560='ESTRATTO CONTO'!$E$2,1+COUNTIF(AJ$4:AJ559,"&gt;0")+U$1015,0),0)</f>
        <v>0</v>
      </c>
      <c r="AK560" s="203">
        <f>IF(AND(OR((AK559+1)&lt;AL$1015,(AK559+1)=AL$1015),MAX(AK$4:AK559)&lt;AL$1015),AK559+1,0)</f>
        <v>0</v>
      </c>
      <c r="AL560" s="309">
        <f>VLOOKUP($AK560,ENTI!$AF$4:AG$1003,2,FALSE)</f>
        <v>0</v>
      </c>
      <c r="AM560" s="224">
        <f>VLOOKUP($AK560,ENTI!$AF$4:AH$1003,3,FALSE)</f>
        <v>0</v>
      </c>
      <c r="AN560" s="224">
        <f>VLOOKUP($AK560,ENTI!$AF$4:AI$1003,4,FALSE)</f>
        <v>0</v>
      </c>
      <c r="AO560" s="781">
        <f>VLOOKUP($AK560,ENTI!$AF$4:AJ$1003,5,FALSE)</f>
        <v>0</v>
      </c>
      <c r="AP560" s="315">
        <f>VLOOKUP($AK560,ENTI!$AF$4:AK$1003,6,FALSE)</f>
        <v>0</v>
      </c>
      <c r="AQ560" s="208">
        <f t="shared" si="113"/>
        <v>0</v>
      </c>
      <c r="AR560" s="152" t="e">
        <f t="shared" si="114"/>
        <v>#N/A</v>
      </c>
      <c r="AS560" s="1"/>
      <c r="AT560" s="88" t="str">
        <f t="shared" si="107"/>
        <v/>
      </c>
      <c r="AU560" s="1"/>
      <c r="AV560" s="175">
        <f>IF(AW560&gt;0,COUNTIF(AV$4:AV559,"&gt;0")+1,0)</f>
        <v>0</v>
      </c>
      <c r="AW560" s="164">
        <f t="shared" si="108"/>
        <v>0</v>
      </c>
      <c r="AX560" s="310">
        <f>IF($AW560=0,0,VLOOKUP(VLOOKUP($X560,$B$34:$T$38,19,FALSE),ENTI!$A$9:$B$13,2,FALSE))</f>
        <v>0</v>
      </c>
      <c r="AY560" s="310">
        <f t="shared" si="110"/>
        <v>0</v>
      </c>
      <c r="AZ560" s="316">
        <f t="shared" si="111"/>
        <v>0</v>
      </c>
      <c r="BA560" s="1"/>
      <c r="BB560" s="152">
        <f t="shared" si="112"/>
        <v>0</v>
      </c>
      <c r="BC560" s="152">
        <f ca="1">SUM(Z$4:Z560)+SUM(BB$4:BB560)+COSTI!S$6-COSTI!L$1076</f>
        <v>-31.760000000000218</v>
      </c>
      <c r="BD560" s="1"/>
    </row>
    <row r="561" spans="1:56" ht="16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435">
        <f>IF(AND(W561&gt;=$U$1,W561&lt;=$U$2),IF(X561='ESTRATTO CONTO'!$E$2,1+COUNTIF(U$4:U560,"&gt;0"),0),0)</f>
        <v>0</v>
      </c>
      <c r="V561" s="417">
        <f t="shared" si="109"/>
        <v>558</v>
      </c>
      <c r="W561" s="509"/>
      <c r="X561" s="321"/>
      <c r="Y561" s="321"/>
      <c r="Z561" s="508"/>
      <c r="AA561" s="356"/>
      <c r="AB561" s="306" t="str">
        <f t="shared" si="105"/>
        <v/>
      </c>
      <c r="AC561" s="637">
        <f t="shared" ca="1" si="104"/>
        <v>-2.1316282072803006E-13</v>
      </c>
      <c r="AD561" s="935">
        <f>IF(ISERROR(VLOOKUP(AD$2,X562:X$1003,1,FALSE)),IF(X561=AD$2,SUMIF(X$4:X561,AD$2,Z$4:Z561)+$E$9+SUM(AQ$4:AQ$1003)+SUMIF(COSTI!$X$1379:$X$1430,AD$2,COSTI!$Z$1379:$Z$1430),0),0)</f>
        <v>0</v>
      </c>
      <c r="AE561" s="26"/>
      <c r="AF561" s="856" t="e">
        <f>IF(ISERROR(VLOOKUP(AG$2,X562:X$1003,1,FALSE)),IF(X561=AG$2,SUMIF(X$4:X561,AG$2,Z$4:Z561)+VLOOKUP(AF$2,$B$1057:$F$1068,5,FALSE)+SUM(AR$4:AR$1003)+SUMIF(COSTI!$X$1379:$X$1430,AG$2,COSTI!$Z$1379:$Z$1430),0),0)</f>
        <v>#N/A</v>
      </c>
      <c r="AG561" s="859"/>
      <c r="AH561" s="27" t="str">
        <f t="shared" si="106"/>
        <v/>
      </c>
      <c r="AI561" s="152">
        <f ca="1">IF(W562&gt;0,0,IF(AH561=0,(Z561*-1)+BC561+SUM(BB$4:BB560),BC561+SUM(BB$4:BB560)))</f>
        <v>-2.1316282072803006E-13</v>
      </c>
      <c r="AJ561" s="931">
        <f>IF(AND(AL561&gt;=$U$1,AL561&lt;=$U$2),IF(AM561='ESTRATTO CONTO'!$E$2,1+COUNTIF(AJ$4:AJ560,"&gt;0")+U$1015,0),0)</f>
        <v>0</v>
      </c>
      <c r="AK561" s="203">
        <f>IF(AND(OR((AK560+1)&lt;AL$1015,(AK560+1)=AL$1015),MAX(AK$4:AK560)&lt;AL$1015),AK560+1,0)</f>
        <v>0</v>
      </c>
      <c r="AL561" s="309">
        <f>VLOOKUP($AK561,ENTI!$AF$4:AG$1003,2,FALSE)</f>
        <v>0</v>
      </c>
      <c r="AM561" s="224">
        <f>VLOOKUP($AK561,ENTI!$AF$4:AH$1003,3,FALSE)</f>
        <v>0</v>
      </c>
      <c r="AN561" s="224">
        <f>VLOOKUP($AK561,ENTI!$AF$4:AI$1003,4,FALSE)</f>
        <v>0</v>
      </c>
      <c r="AO561" s="781">
        <f>VLOOKUP($AK561,ENTI!$AF$4:AJ$1003,5,FALSE)</f>
        <v>0</v>
      </c>
      <c r="AP561" s="315">
        <f>VLOOKUP($AK561,ENTI!$AF$4:AK$1003,6,FALSE)</f>
        <v>0</v>
      </c>
      <c r="AQ561" s="208">
        <f t="shared" si="113"/>
        <v>0</v>
      </c>
      <c r="AR561" s="152" t="e">
        <f t="shared" si="114"/>
        <v>#N/A</v>
      </c>
      <c r="AS561" s="1"/>
      <c r="AT561" s="88" t="str">
        <f t="shared" si="107"/>
        <v/>
      </c>
      <c r="AU561" s="1"/>
      <c r="AV561" s="175">
        <f>IF(AW561&gt;0,COUNTIF(AV$4:AV560,"&gt;0")+1,0)</f>
        <v>0</v>
      </c>
      <c r="AW561" s="164">
        <f t="shared" si="108"/>
        <v>0</v>
      </c>
      <c r="AX561" s="310">
        <f>IF($AW561=0,0,VLOOKUP(VLOOKUP($X561,$B$34:$T$38,19,FALSE),ENTI!$A$9:$B$13,2,FALSE))</f>
        <v>0</v>
      </c>
      <c r="AY561" s="310">
        <f t="shared" si="110"/>
        <v>0</v>
      </c>
      <c r="AZ561" s="316">
        <f t="shared" si="111"/>
        <v>0</v>
      </c>
      <c r="BA561" s="1"/>
      <c r="BB561" s="152">
        <f t="shared" si="112"/>
        <v>0</v>
      </c>
      <c r="BC561" s="152">
        <f ca="1">SUM(Z$4:Z561)+SUM(BB$4:BB561)+COSTI!S$6-COSTI!L$1076</f>
        <v>-31.760000000000218</v>
      </c>
      <c r="BD561" s="1"/>
    </row>
    <row r="562" spans="1:56" ht="16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435">
        <f>IF(AND(W562&gt;=$U$1,W562&lt;=$U$2),IF(X562='ESTRATTO CONTO'!$E$2,1+COUNTIF(U$4:U561,"&gt;0"),0),0)</f>
        <v>0</v>
      </c>
      <c r="V562" s="417">
        <f t="shared" si="109"/>
        <v>559</v>
      </c>
      <c r="W562" s="509"/>
      <c r="X562" s="321"/>
      <c r="Y562" s="321"/>
      <c r="Z562" s="508"/>
      <c r="AA562" s="356"/>
      <c r="AB562" s="306" t="str">
        <f t="shared" si="105"/>
        <v/>
      </c>
      <c r="AC562" s="637">
        <f t="shared" ca="1" si="104"/>
        <v>-2.1316282072803006E-13</v>
      </c>
      <c r="AD562" s="935">
        <f>IF(ISERROR(VLOOKUP(AD$2,X563:X$1003,1,FALSE)),IF(X562=AD$2,SUMIF(X$4:X562,AD$2,Z$4:Z562)+$E$9+SUM(AQ$4:AQ$1003)+SUMIF(COSTI!$X$1379:$X$1430,AD$2,COSTI!$Z$1379:$Z$1430),0),0)</f>
        <v>0</v>
      </c>
      <c r="AE562" s="26"/>
      <c r="AF562" s="856" t="e">
        <f>IF(ISERROR(VLOOKUP(AG$2,X563:X$1003,1,FALSE)),IF(X562=AG$2,SUMIF(X$4:X562,AG$2,Z$4:Z562)+VLOOKUP(AF$2,$B$1057:$F$1068,5,FALSE)+SUM(AR$4:AR$1003)+SUMIF(COSTI!$X$1379:$X$1430,AG$2,COSTI!$Z$1379:$Z$1430),0),0)</f>
        <v>#N/A</v>
      </c>
      <c r="AG562" s="859"/>
      <c r="AH562" s="27" t="str">
        <f t="shared" si="106"/>
        <v/>
      </c>
      <c r="AI562" s="152">
        <f ca="1">IF(W563&gt;0,0,IF(AH562=0,(Z562*-1)+BC562+SUM(BB$4:BB561),BC562+SUM(BB$4:BB561)))</f>
        <v>-2.1316282072803006E-13</v>
      </c>
      <c r="AJ562" s="931">
        <f>IF(AND(AL562&gt;=$U$1,AL562&lt;=$U$2),IF(AM562='ESTRATTO CONTO'!$E$2,1+COUNTIF(AJ$4:AJ561,"&gt;0")+U$1015,0),0)</f>
        <v>0</v>
      </c>
      <c r="AK562" s="203">
        <f>IF(AND(OR((AK561+1)&lt;AL$1015,(AK561+1)=AL$1015),MAX(AK$4:AK561)&lt;AL$1015),AK561+1,0)</f>
        <v>0</v>
      </c>
      <c r="AL562" s="309">
        <f>VLOOKUP($AK562,ENTI!$AF$4:AG$1003,2,FALSE)</f>
        <v>0</v>
      </c>
      <c r="AM562" s="224">
        <f>VLOOKUP($AK562,ENTI!$AF$4:AH$1003,3,FALSE)</f>
        <v>0</v>
      </c>
      <c r="AN562" s="224">
        <f>VLOOKUP($AK562,ENTI!$AF$4:AI$1003,4,FALSE)</f>
        <v>0</v>
      </c>
      <c r="AO562" s="781">
        <f>VLOOKUP($AK562,ENTI!$AF$4:AJ$1003,5,FALSE)</f>
        <v>0</v>
      </c>
      <c r="AP562" s="315">
        <f>VLOOKUP($AK562,ENTI!$AF$4:AK$1003,6,FALSE)</f>
        <v>0</v>
      </c>
      <c r="AQ562" s="208">
        <f t="shared" si="113"/>
        <v>0</v>
      </c>
      <c r="AR562" s="152" t="e">
        <f t="shared" si="114"/>
        <v>#N/A</v>
      </c>
      <c r="AS562" s="1"/>
      <c r="AT562" s="88" t="str">
        <f t="shared" si="107"/>
        <v/>
      </c>
      <c r="AU562" s="1"/>
      <c r="AV562" s="175">
        <f>IF(AW562&gt;0,COUNTIF(AV$4:AV561,"&gt;0")+1,0)</f>
        <v>0</v>
      </c>
      <c r="AW562" s="164">
        <f t="shared" si="108"/>
        <v>0</v>
      </c>
      <c r="AX562" s="310">
        <f>IF($AW562=0,0,VLOOKUP(VLOOKUP($X562,$B$34:$T$38,19,FALSE),ENTI!$A$9:$B$13,2,FALSE))</f>
        <v>0</v>
      </c>
      <c r="AY562" s="310">
        <f t="shared" si="110"/>
        <v>0</v>
      </c>
      <c r="AZ562" s="316">
        <f t="shared" si="111"/>
        <v>0</v>
      </c>
      <c r="BA562" s="1"/>
      <c r="BB562" s="152">
        <f t="shared" si="112"/>
        <v>0</v>
      </c>
      <c r="BC562" s="152">
        <f ca="1">SUM(Z$4:Z562)+SUM(BB$4:BB562)+COSTI!S$6-COSTI!L$1076</f>
        <v>-31.760000000000218</v>
      </c>
      <c r="BD562" s="1"/>
    </row>
    <row r="563" spans="1:56" ht="16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435">
        <f>IF(AND(W563&gt;=$U$1,W563&lt;=$U$2),IF(X563='ESTRATTO CONTO'!$E$2,1+COUNTIF(U$4:U562,"&gt;0"),0),0)</f>
        <v>0</v>
      </c>
      <c r="V563" s="417">
        <f t="shared" si="109"/>
        <v>560</v>
      </c>
      <c r="W563" s="509"/>
      <c r="X563" s="321"/>
      <c r="Y563" s="321"/>
      <c r="Z563" s="508"/>
      <c r="AA563" s="356"/>
      <c r="AB563" s="306" t="str">
        <f t="shared" si="105"/>
        <v/>
      </c>
      <c r="AC563" s="637">
        <f t="shared" ca="1" si="104"/>
        <v>-2.1316282072803006E-13</v>
      </c>
      <c r="AD563" s="935">
        <f>IF(ISERROR(VLOOKUP(AD$2,X564:X$1003,1,FALSE)),IF(X563=AD$2,SUMIF(X$4:X563,AD$2,Z$4:Z563)+$E$9+SUM(AQ$4:AQ$1003)+SUMIF(COSTI!$X$1379:$X$1430,AD$2,COSTI!$Z$1379:$Z$1430),0),0)</f>
        <v>0</v>
      </c>
      <c r="AE563" s="26"/>
      <c r="AF563" s="856" t="e">
        <f>IF(ISERROR(VLOOKUP(AG$2,X564:X$1003,1,FALSE)),IF(X563=AG$2,SUMIF(X$4:X563,AG$2,Z$4:Z563)+VLOOKUP(AF$2,$B$1057:$F$1068,5,FALSE)+SUM(AR$4:AR$1003)+SUMIF(COSTI!$X$1379:$X$1430,AG$2,COSTI!$Z$1379:$Z$1430),0),0)</f>
        <v>#N/A</v>
      </c>
      <c r="AG563" s="859"/>
      <c r="AH563" s="27" t="str">
        <f t="shared" si="106"/>
        <v/>
      </c>
      <c r="AI563" s="152">
        <f ca="1">IF(W564&gt;0,0,IF(AH563=0,(Z563*-1)+BC563+SUM(BB$4:BB562),BC563+SUM(BB$4:BB562)))</f>
        <v>-2.1316282072803006E-13</v>
      </c>
      <c r="AJ563" s="931">
        <f>IF(AND(AL563&gt;=$U$1,AL563&lt;=$U$2),IF(AM563='ESTRATTO CONTO'!$E$2,1+COUNTIF(AJ$4:AJ562,"&gt;0")+U$1015,0),0)</f>
        <v>0</v>
      </c>
      <c r="AK563" s="203">
        <f>IF(AND(OR((AK562+1)&lt;AL$1015,(AK562+1)=AL$1015),MAX(AK$4:AK562)&lt;AL$1015),AK562+1,0)</f>
        <v>0</v>
      </c>
      <c r="AL563" s="309">
        <f>VLOOKUP($AK563,ENTI!$AF$4:AG$1003,2,FALSE)</f>
        <v>0</v>
      </c>
      <c r="AM563" s="224">
        <f>VLOOKUP($AK563,ENTI!$AF$4:AH$1003,3,FALSE)</f>
        <v>0</v>
      </c>
      <c r="AN563" s="224">
        <f>VLOOKUP($AK563,ENTI!$AF$4:AI$1003,4,FALSE)</f>
        <v>0</v>
      </c>
      <c r="AO563" s="781">
        <f>VLOOKUP($AK563,ENTI!$AF$4:AJ$1003,5,FALSE)</f>
        <v>0</v>
      </c>
      <c r="AP563" s="315">
        <f>VLOOKUP($AK563,ENTI!$AF$4:AK$1003,6,FALSE)</f>
        <v>0</v>
      </c>
      <c r="AQ563" s="208">
        <f t="shared" si="113"/>
        <v>0</v>
      </c>
      <c r="AR563" s="152" t="e">
        <f t="shared" si="114"/>
        <v>#N/A</v>
      </c>
      <c r="AS563" s="1"/>
      <c r="AT563" s="88" t="str">
        <f t="shared" si="107"/>
        <v/>
      </c>
      <c r="AU563" s="1"/>
      <c r="AV563" s="175">
        <f>IF(AW563&gt;0,COUNTIF(AV$4:AV562,"&gt;0")+1,0)</f>
        <v>0</v>
      </c>
      <c r="AW563" s="164">
        <f t="shared" si="108"/>
        <v>0</v>
      </c>
      <c r="AX563" s="310">
        <f>IF($AW563=0,0,VLOOKUP(VLOOKUP($X563,$B$34:$T$38,19,FALSE),ENTI!$A$9:$B$13,2,FALSE))</f>
        <v>0</v>
      </c>
      <c r="AY563" s="310">
        <f t="shared" si="110"/>
        <v>0</v>
      </c>
      <c r="AZ563" s="316">
        <f t="shared" si="111"/>
        <v>0</v>
      </c>
      <c r="BA563" s="1"/>
      <c r="BB563" s="152">
        <f t="shared" si="112"/>
        <v>0</v>
      </c>
      <c r="BC563" s="152">
        <f ca="1">SUM(Z$4:Z563)+SUM(BB$4:BB563)+COSTI!S$6-COSTI!L$1076</f>
        <v>-31.760000000000218</v>
      </c>
      <c r="BD563" s="1"/>
    </row>
    <row r="564" spans="1:56" ht="16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435">
        <f>IF(AND(W564&gt;=$U$1,W564&lt;=$U$2),IF(X564='ESTRATTO CONTO'!$E$2,1+COUNTIF(U$4:U563,"&gt;0"),0),0)</f>
        <v>0</v>
      </c>
      <c r="V564" s="417">
        <f t="shared" si="109"/>
        <v>561</v>
      </c>
      <c r="W564" s="509"/>
      <c r="X564" s="321"/>
      <c r="Y564" s="321"/>
      <c r="Z564" s="508"/>
      <c r="AA564" s="356"/>
      <c r="AB564" s="306" t="str">
        <f t="shared" si="105"/>
        <v/>
      </c>
      <c r="AC564" s="637">
        <f t="shared" ca="1" si="104"/>
        <v>-2.1316282072803006E-13</v>
      </c>
      <c r="AD564" s="935">
        <f>IF(ISERROR(VLOOKUP(AD$2,X565:X$1003,1,FALSE)),IF(X564=AD$2,SUMIF(X$4:X564,AD$2,Z$4:Z564)+$E$9+SUM(AQ$4:AQ$1003)+SUMIF(COSTI!$X$1379:$X$1430,AD$2,COSTI!$Z$1379:$Z$1430),0),0)</f>
        <v>0</v>
      </c>
      <c r="AE564" s="26"/>
      <c r="AF564" s="856" t="e">
        <f>IF(ISERROR(VLOOKUP(AG$2,X565:X$1003,1,FALSE)),IF(X564=AG$2,SUMIF(X$4:X564,AG$2,Z$4:Z564)+VLOOKUP(AF$2,$B$1057:$F$1068,5,FALSE)+SUM(AR$4:AR$1003)+SUMIF(COSTI!$X$1379:$X$1430,AG$2,COSTI!$Z$1379:$Z$1430),0),0)</f>
        <v>#N/A</v>
      </c>
      <c r="AG564" s="859"/>
      <c r="AH564" s="27" t="str">
        <f t="shared" si="106"/>
        <v/>
      </c>
      <c r="AI564" s="152">
        <f ca="1">IF(W565&gt;0,0,IF(AH564=0,(Z564*-1)+BC564+SUM(BB$4:BB563),BC564+SUM(BB$4:BB563)))</f>
        <v>-2.1316282072803006E-13</v>
      </c>
      <c r="AJ564" s="931">
        <f>IF(AND(AL564&gt;=$U$1,AL564&lt;=$U$2),IF(AM564='ESTRATTO CONTO'!$E$2,1+COUNTIF(AJ$4:AJ563,"&gt;0")+U$1015,0),0)</f>
        <v>0</v>
      </c>
      <c r="AK564" s="203">
        <f>IF(AND(OR((AK563+1)&lt;AL$1015,(AK563+1)=AL$1015),MAX(AK$4:AK563)&lt;AL$1015),AK563+1,0)</f>
        <v>0</v>
      </c>
      <c r="AL564" s="309">
        <f>VLOOKUP($AK564,ENTI!$AF$4:AG$1003,2,FALSE)</f>
        <v>0</v>
      </c>
      <c r="AM564" s="224">
        <f>VLOOKUP($AK564,ENTI!$AF$4:AH$1003,3,FALSE)</f>
        <v>0</v>
      </c>
      <c r="AN564" s="224">
        <f>VLOOKUP($AK564,ENTI!$AF$4:AI$1003,4,FALSE)</f>
        <v>0</v>
      </c>
      <c r="AO564" s="781">
        <f>VLOOKUP($AK564,ENTI!$AF$4:AJ$1003,5,FALSE)</f>
        <v>0</v>
      </c>
      <c r="AP564" s="315">
        <f>VLOOKUP($AK564,ENTI!$AF$4:AK$1003,6,FALSE)</f>
        <v>0</v>
      </c>
      <c r="AQ564" s="208">
        <f t="shared" si="113"/>
        <v>0</v>
      </c>
      <c r="AR564" s="152" t="e">
        <f t="shared" si="114"/>
        <v>#N/A</v>
      </c>
      <c r="AS564" s="1"/>
      <c r="AT564" s="88" t="str">
        <f t="shared" si="107"/>
        <v/>
      </c>
      <c r="AU564" s="1"/>
      <c r="AV564" s="175">
        <f>IF(AW564&gt;0,COUNTIF(AV$4:AV563,"&gt;0")+1,0)</f>
        <v>0</v>
      </c>
      <c r="AW564" s="164">
        <f t="shared" si="108"/>
        <v>0</v>
      </c>
      <c r="AX564" s="310">
        <f>IF($AW564=0,0,VLOOKUP(VLOOKUP($X564,$B$34:$T$38,19,FALSE),ENTI!$A$9:$B$13,2,FALSE))</f>
        <v>0</v>
      </c>
      <c r="AY564" s="310">
        <f t="shared" si="110"/>
        <v>0</v>
      </c>
      <c r="AZ564" s="316">
        <f t="shared" si="111"/>
        <v>0</v>
      </c>
      <c r="BA564" s="1"/>
      <c r="BB564" s="152">
        <f t="shared" si="112"/>
        <v>0</v>
      </c>
      <c r="BC564" s="152">
        <f ca="1">SUM(Z$4:Z564)+SUM(BB$4:BB564)+COSTI!S$6-COSTI!L$1076</f>
        <v>-31.760000000000218</v>
      </c>
      <c r="BD564" s="1"/>
    </row>
    <row r="565" spans="1:56" ht="16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435">
        <f>IF(AND(W565&gt;=$U$1,W565&lt;=$U$2),IF(X565='ESTRATTO CONTO'!$E$2,1+COUNTIF(U$4:U564,"&gt;0"),0),0)</f>
        <v>0</v>
      </c>
      <c r="V565" s="417">
        <f t="shared" si="109"/>
        <v>562</v>
      </c>
      <c r="W565" s="509"/>
      <c r="X565" s="321"/>
      <c r="Y565" s="321"/>
      <c r="Z565" s="508"/>
      <c r="AA565" s="356"/>
      <c r="AB565" s="306" t="str">
        <f t="shared" si="105"/>
        <v/>
      </c>
      <c r="AC565" s="637">
        <f t="shared" ca="1" si="104"/>
        <v>-2.1316282072803006E-13</v>
      </c>
      <c r="AD565" s="935">
        <f>IF(ISERROR(VLOOKUP(AD$2,X566:X$1003,1,FALSE)),IF(X565=AD$2,SUMIF(X$4:X565,AD$2,Z$4:Z565)+$E$9+SUM(AQ$4:AQ$1003)+SUMIF(COSTI!$X$1379:$X$1430,AD$2,COSTI!$Z$1379:$Z$1430),0),0)</f>
        <v>0</v>
      </c>
      <c r="AE565" s="26"/>
      <c r="AF565" s="856" t="e">
        <f>IF(ISERROR(VLOOKUP(AG$2,X566:X$1003,1,FALSE)),IF(X565=AG$2,SUMIF(X$4:X565,AG$2,Z$4:Z565)+VLOOKUP(AF$2,$B$1057:$F$1068,5,FALSE)+SUM(AR$4:AR$1003)+SUMIF(COSTI!$X$1379:$X$1430,AG$2,COSTI!$Z$1379:$Z$1430),0),0)</f>
        <v>#N/A</v>
      </c>
      <c r="AG565" s="859"/>
      <c r="AH565" s="27" t="str">
        <f t="shared" si="106"/>
        <v/>
      </c>
      <c r="AI565" s="152">
        <f ca="1">IF(W566&gt;0,0,IF(AH565=0,(Z565*-1)+BC565+SUM(BB$4:BB564),BC565+SUM(BB$4:BB564)))</f>
        <v>-2.1316282072803006E-13</v>
      </c>
      <c r="AJ565" s="931">
        <f>IF(AND(AL565&gt;=$U$1,AL565&lt;=$U$2),IF(AM565='ESTRATTO CONTO'!$E$2,1+COUNTIF(AJ$4:AJ564,"&gt;0")+U$1015,0),0)</f>
        <v>0</v>
      </c>
      <c r="AK565" s="203">
        <f>IF(AND(OR((AK564+1)&lt;AL$1015,(AK564+1)=AL$1015),MAX(AK$4:AK564)&lt;AL$1015),AK564+1,0)</f>
        <v>0</v>
      </c>
      <c r="AL565" s="309">
        <f>VLOOKUP($AK565,ENTI!$AF$4:AG$1003,2,FALSE)</f>
        <v>0</v>
      </c>
      <c r="AM565" s="224">
        <f>VLOOKUP($AK565,ENTI!$AF$4:AH$1003,3,FALSE)</f>
        <v>0</v>
      </c>
      <c r="AN565" s="224">
        <f>VLOOKUP($AK565,ENTI!$AF$4:AI$1003,4,FALSE)</f>
        <v>0</v>
      </c>
      <c r="AO565" s="781">
        <f>VLOOKUP($AK565,ENTI!$AF$4:AJ$1003,5,FALSE)</f>
        <v>0</v>
      </c>
      <c r="AP565" s="315">
        <f>VLOOKUP($AK565,ENTI!$AF$4:AK$1003,6,FALSE)</f>
        <v>0</v>
      </c>
      <c r="AQ565" s="208">
        <f t="shared" si="113"/>
        <v>0</v>
      </c>
      <c r="AR565" s="152" t="e">
        <f t="shared" si="114"/>
        <v>#N/A</v>
      </c>
      <c r="AS565" s="1"/>
      <c r="AT565" s="88" t="str">
        <f t="shared" si="107"/>
        <v/>
      </c>
      <c r="AU565" s="1"/>
      <c r="AV565" s="175">
        <f>IF(AW565&gt;0,COUNTIF(AV$4:AV564,"&gt;0")+1,0)</f>
        <v>0</v>
      </c>
      <c r="AW565" s="164">
        <f t="shared" si="108"/>
        <v>0</v>
      </c>
      <c r="AX565" s="310">
        <f>IF($AW565=0,0,VLOOKUP(VLOOKUP($X565,$B$34:$T$38,19,FALSE),ENTI!$A$9:$B$13,2,FALSE))</f>
        <v>0</v>
      </c>
      <c r="AY565" s="310">
        <f t="shared" si="110"/>
        <v>0</v>
      </c>
      <c r="AZ565" s="316">
        <f t="shared" si="111"/>
        <v>0</v>
      </c>
      <c r="BA565" s="1"/>
      <c r="BB565" s="152">
        <f t="shared" si="112"/>
        <v>0</v>
      </c>
      <c r="BC565" s="152">
        <f ca="1">SUM(Z$4:Z565)+SUM(BB$4:BB565)+COSTI!S$6-COSTI!L$1076</f>
        <v>-31.760000000000218</v>
      </c>
      <c r="BD565" s="1"/>
    </row>
    <row r="566" spans="1:56" ht="16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435">
        <f>IF(AND(W566&gt;=$U$1,W566&lt;=$U$2),IF(X566='ESTRATTO CONTO'!$E$2,1+COUNTIF(U$4:U565,"&gt;0"),0),0)</f>
        <v>0</v>
      </c>
      <c r="V566" s="417">
        <f t="shared" si="109"/>
        <v>563</v>
      </c>
      <c r="W566" s="509"/>
      <c r="X566" s="321"/>
      <c r="Y566" s="321"/>
      <c r="Z566" s="508"/>
      <c r="AA566" s="356"/>
      <c r="AB566" s="306" t="str">
        <f t="shared" si="105"/>
        <v/>
      </c>
      <c r="AC566" s="637">
        <f t="shared" ca="1" si="104"/>
        <v>-2.1316282072803006E-13</v>
      </c>
      <c r="AD566" s="935">
        <f>IF(ISERROR(VLOOKUP(AD$2,X567:X$1003,1,FALSE)),IF(X566=AD$2,SUMIF(X$4:X566,AD$2,Z$4:Z566)+$E$9+SUM(AQ$4:AQ$1003)+SUMIF(COSTI!$X$1379:$X$1430,AD$2,COSTI!$Z$1379:$Z$1430),0),0)</f>
        <v>0</v>
      </c>
      <c r="AE566" s="26"/>
      <c r="AF566" s="856" t="e">
        <f>IF(ISERROR(VLOOKUP(AG$2,X567:X$1003,1,FALSE)),IF(X566=AG$2,SUMIF(X$4:X566,AG$2,Z$4:Z566)+VLOOKUP(AF$2,$B$1057:$F$1068,5,FALSE)+SUM(AR$4:AR$1003)+SUMIF(COSTI!$X$1379:$X$1430,AG$2,COSTI!$Z$1379:$Z$1430),0),0)</f>
        <v>#N/A</v>
      </c>
      <c r="AG566" s="859"/>
      <c r="AH566" s="27" t="str">
        <f t="shared" si="106"/>
        <v/>
      </c>
      <c r="AI566" s="152">
        <f ca="1">IF(W567&gt;0,0,IF(AH566=0,(Z566*-1)+BC566+SUM(BB$4:BB565),BC566+SUM(BB$4:BB565)))</f>
        <v>-2.1316282072803006E-13</v>
      </c>
      <c r="AJ566" s="931">
        <f>IF(AND(AL566&gt;=$U$1,AL566&lt;=$U$2),IF(AM566='ESTRATTO CONTO'!$E$2,1+COUNTIF(AJ$4:AJ565,"&gt;0")+U$1015,0),0)</f>
        <v>0</v>
      </c>
      <c r="AK566" s="203">
        <f>IF(AND(OR((AK565+1)&lt;AL$1015,(AK565+1)=AL$1015),MAX(AK$4:AK565)&lt;AL$1015),AK565+1,0)</f>
        <v>0</v>
      </c>
      <c r="AL566" s="309">
        <f>VLOOKUP($AK566,ENTI!$AF$4:AG$1003,2,FALSE)</f>
        <v>0</v>
      </c>
      <c r="AM566" s="224">
        <f>VLOOKUP($AK566,ENTI!$AF$4:AH$1003,3,FALSE)</f>
        <v>0</v>
      </c>
      <c r="AN566" s="224">
        <f>VLOOKUP($AK566,ENTI!$AF$4:AI$1003,4,FALSE)</f>
        <v>0</v>
      </c>
      <c r="AO566" s="781">
        <f>VLOOKUP($AK566,ENTI!$AF$4:AJ$1003,5,FALSE)</f>
        <v>0</v>
      </c>
      <c r="AP566" s="315">
        <f>VLOOKUP($AK566,ENTI!$AF$4:AK$1003,6,FALSE)</f>
        <v>0</v>
      </c>
      <c r="AQ566" s="208">
        <f t="shared" si="113"/>
        <v>0</v>
      </c>
      <c r="AR566" s="152" t="e">
        <f t="shared" si="114"/>
        <v>#N/A</v>
      </c>
      <c r="AS566" s="1"/>
      <c r="AT566" s="88" t="str">
        <f t="shared" si="107"/>
        <v/>
      </c>
      <c r="AU566" s="1"/>
      <c r="AV566" s="175">
        <f>IF(AW566&gt;0,COUNTIF(AV$4:AV565,"&gt;0")+1,0)</f>
        <v>0</v>
      </c>
      <c r="AW566" s="164">
        <f t="shared" si="108"/>
        <v>0</v>
      </c>
      <c r="AX566" s="310">
        <f>IF($AW566=0,0,VLOOKUP(VLOOKUP($X566,$B$34:$T$38,19,FALSE),ENTI!$A$9:$B$13,2,FALSE))</f>
        <v>0</v>
      </c>
      <c r="AY566" s="310">
        <f t="shared" si="110"/>
        <v>0</v>
      </c>
      <c r="AZ566" s="316">
        <f t="shared" si="111"/>
        <v>0</v>
      </c>
      <c r="BA566" s="1"/>
      <c r="BB566" s="152">
        <f t="shared" si="112"/>
        <v>0</v>
      </c>
      <c r="BC566" s="152">
        <f ca="1">SUM(Z$4:Z566)+SUM(BB$4:BB566)+COSTI!S$6-COSTI!L$1076</f>
        <v>-31.760000000000218</v>
      </c>
      <c r="BD566" s="1"/>
    </row>
    <row r="567" spans="1:56" ht="16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435">
        <f>IF(AND(W567&gt;=$U$1,W567&lt;=$U$2),IF(X567='ESTRATTO CONTO'!$E$2,1+COUNTIF(U$4:U566,"&gt;0"),0),0)</f>
        <v>0</v>
      </c>
      <c r="V567" s="417">
        <f t="shared" si="109"/>
        <v>564</v>
      </c>
      <c r="W567" s="509"/>
      <c r="X567" s="321"/>
      <c r="Y567" s="321"/>
      <c r="Z567" s="508"/>
      <c r="AA567" s="356"/>
      <c r="AB567" s="306" t="str">
        <f t="shared" si="105"/>
        <v/>
      </c>
      <c r="AC567" s="637">
        <f t="shared" ca="1" si="104"/>
        <v>-2.1316282072803006E-13</v>
      </c>
      <c r="AD567" s="935">
        <f>IF(ISERROR(VLOOKUP(AD$2,X568:X$1003,1,FALSE)),IF(X567=AD$2,SUMIF(X$4:X567,AD$2,Z$4:Z567)+$E$9+SUM(AQ$4:AQ$1003)+SUMIF(COSTI!$X$1379:$X$1430,AD$2,COSTI!$Z$1379:$Z$1430),0),0)</f>
        <v>0</v>
      </c>
      <c r="AE567" s="26"/>
      <c r="AF567" s="856" t="e">
        <f>IF(ISERROR(VLOOKUP(AG$2,X568:X$1003,1,FALSE)),IF(X567=AG$2,SUMIF(X$4:X567,AG$2,Z$4:Z567)+VLOOKUP(AF$2,$B$1057:$F$1068,5,FALSE)+SUM(AR$4:AR$1003)+SUMIF(COSTI!$X$1379:$X$1430,AG$2,COSTI!$Z$1379:$Z$1430),0),0)</f>
        <v>#N/A</v>
      </c>
      <c r="AG567" s="859"/>
      <c r="AH567" s="27" t="str">
        <f t="shared" si="106"/>
        <v/>
      </c>
      <c r="AI567" s="152">
        <f ca="1">IF(W568&gt;0,0,IF(AH567=0,(Z567*-1)+BC567+SUM(BB$4:BB566),BC567+SUM(BB$4:BB566)))</f>
        <v>-2.1316282072803006E-13</v>
      </c>
      <c r="AJ567" s="931">
        <f>IF(AND(AL567&gt;=$U$1,AL567&lt;=$U$2),IF(AM567='ESTRATTO CONTO'!$E$2,1+COUNTIF(AJ$4:AJ566,"&gt;0")+U$1015,0),0)</f>
        <v>0</v>
      </c>
      <c r="AK567" s="203">
        <f>IF(AND(OR((AK566+1)&lt;AL$1015,(AK566+1)=AL$1015),MAX(AK$4:AK566)&lt;AL$1015),AK566+1,0)</f>
        <v>0</v>
      </c>
      <c r="AL567" s="309">
        <f>VLOOKUP($AK567,ENTI!$AF$4:AG$1003,2,FALSE)</f>
        <v>0</v>
      </c>
      <c r="AM567" s="224">
        <f>VLOOKUP($AK567,ENTI!$AF$4:AH$1003,3,FALSE)</f>
        <v>0</v>
      </c>
      <c r="AN567" s="224">
        <f>VLOOKUP($AK567,ENTI!$AF$4:AI$1003,4,FALSE)</f>
        <v>0</v>
      </c>
      <c r="AO567" s="781">
        <f>VLOOKUP($AK567,ENTI!$AF$4:AJ$1003,5,FALSE)</f>
        <v>0</v>
      </c>
      <c r="AP567" s="315">
        <f>VLOOKUP($AK567,ENTI!$AF$4:AK$1003,6,FALSE)</f>
        <v>0</v>
      </c>
      <c r="AQ567" s="208">
        <f t="shared" si="113"/>
        <v>0</v>
      </c>
      <c r="AR567" s="152" t="e">
        <f t="shared" si="114"/>
        <v>#N/A</v>
      </c>
      <c r="AS567" s="1"/>
      <c r="AT567" s="88" t="str">
        <f t="shared" si="107"/>
        <v/>
      </c>
      <c r="AU567" s="1"/>
      <c r="AV567" s="175">
        <f>IF(AW567&gt;0,COUNTIF(AV$4:AV566,"&gt;0")+1,0)</f>
        <v>0</v>
      </c>
      <c r="AW567" s="164">
        <f t="shared" si="108"/>
        <v>0</v>
      </c>
      <c r="AX567" s="310">
        <f>IF($AW567=0,0,VLOOKUP(VLOOKUP($X567,$B$34:$T$38,19,FALSE),ENTI!$A$9:$B$13,2,FALSE))</f>
        <v>0</v>
      </c>
      <c r="AY567" s="310">
        <f t="shared" si="110"/>
        <v>0</v>
      </c>
      <c r="AZ567" s="316">
        <f t="shared" si="111"/>
        <v>0</v>
      </c>
      <c r="BA567" s="1"/>
      <c r="BB567" s="152">
        <f t="shared" si="112"/>
        <v>0</v>
      </c>
      <c r="BC567" s="152">
        <f ca="1">SUM(Z$4:Z567)+SUM(BB$4:BB567)+COSTI!S$6-COSTI!L$1076</f>
        <v>-31.760000000000218</v>
      </c>
      <c r="BD567" s="1"/>
    </row>
    <row r="568" spans="1:56" ht="16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435">
        <f>IF(AND(W568&gt;=$U$1,W568&lt;=$U$2),IF(X568='ESTRATTO CONTO'!$E$2,1+COUNTIF(U$4:U567,"&gt;0"),0),0)</f>
        <v>0</v>
      </c>
      <c r="V568" s="417">
        <f t="shared" si="109"/>
        <v>565</v>
      </c>
      <c r="W568" s="509"/>
      <c r="X568" s="321"/>
      <c r="Y568" s="321"/>
      <c r="Z568" s="508"/>
      <c r="AA568" s="356"/>
      <c r="AB568" s="306" t="str">
        <f t="shared" si="105"/>
        <v/>
      </c>
      <c r="AC568" s="637">
        <f t="shared" ca="1" si="104"/>
        <v>-2.1316282072803006E-13</v>
      </c>
      <c r="AD568" s="935">
        <f>IF(ISERROR(VLOOKUP(AD$2,X569:X$1003,1,FALSE)),IF(X568=AD$2,SUMIF(X$4:X568,AD$2,Z$4:Z568)+$E$9+SUM(AQ$4:AQ$1003)+SUMIF(COSTI!$X$1379:$X$1430,AD$2,COSTI!$Z$1379:$Z$1430),0),0)</f>
        <v>0</v>
      </c>
      <c r="AE568" s="26"/>
      <c r="AF568" s="856" t="e">
        <f>IF(ISERROR(VLOOKUP(AG$2,X569:X$1003,1,FALSE)),IF(X568=AG$2,SUMIF(X$4:X568,AG$2,Z$4:Z568)+VLOOKUP(AF$2,$B$1057:$F$1068,5,FALSE)+SUM(AR$4:AR$1003)+SUMIF(COSTI!$X$1379:$X$1430,AG$2,COSTI!$Z$1379:$Z$1430),0),0)</f>
        <v>#N/A</v>
      </c>
      <c r="AG568" s="859"/>
      <c r="AH568" s="27" t="str">
        <f t="shared" si="106"/>
        <v/>
      </c>
      <c r="AI568" s="152">
        <f ca="1">IF(W569&gt;0,0,IF(AH568=0,(Z568*-1)+BC568+SUM(BB$4:BB567),BC568+SUM(BB$4:BB567)))</f>
        <v>-2.1316282072803006E-13</v>
      </c>
      <c r="AJ568" s="931">
        <f>IF(AND(AL568&gt;=$U$1,AL568&lt;=$U$2),IF(AM568='ESTRATTO CONTO'!$E$2,1+COUNTIF(AJ$4:AJ567,"&gt;0")+U$1015,0),0)</f>
        <v>0</v>
      </c>
      <c r="AK568" s="203">
        <f>IF(AND(OR((AK567+1)&lt;AL$1015,(AK567+1)=AL$1015),MAX(AK$4:AK567)&lt;AL$1015),AK567+1,0)</f>
        <v>0</v>
      </c>
      <c r="AL568" s="309">
        <f>VLOOKUP($AK568,ENTI!$AF$4:AG$1003,2,FALSE)</f>
        <v>0</v>
      </c>
      <c r="AM568" s="224">
        <f>VLOOKUP($AK568,ENTI!$AF$4:AH$1003,3,FALSE)</f>
        <v>0</v>
      </c>
      <c r="AN568" s="224">
        <f>VLOOKUP($AK568,ENTI!$AF$4:AI$1003,4,FALSE)</f>
        <v>0</v>
      </c>
      <c r="AO568" s="781">
        <f>VLOOKUP($AK568,ENTI!$AF$4:AJ$1003,5,FALSE)</f>
        <v>0</v>
      </c>
      <c r="AP568" s="315">
        <f>VLOOKUP($AK568,ENTI!$AF$4:AK$1003,6,FALSE)</f>
        <v>0</v>
      </c>
      <c r="AQ568" s="208">
        <f t="shared" si="113"/>
        <v>0</v>
      </c>
      <c r="AR568" s="152" t="e">
        <f t="shared" si="114"/>
        <v>#N/A</v>
      </c>
      <c r="AS568" s="1"/>
      <c r="AT568" s="88" t="str">
        <f t="shared" si="107"/>
        <v/>
      </c>
      <c r="AU568" s="1"/>
      <c r="AV568" s="175">
        <f>IF(AW568&gt;0,COUNTIF(AV$4:AV567,"&gt;0")+1,0)</f>
        <v>0</v>
      </c>
      <c r="AW568" s="164">
        <f t="shared" si="108"/>
        <v>0</v>
      </c>
      <c r="AX568" s="310">
        <f>IF($AW568=0,0,VLOOKUP(VLOOKUP($X568,$B$34:$T$38,19,FALSE),ENTI!$A$9:$B$13,2,FALSE))</f>
        <v>0</v>
      </c>
      <c r="AY568" s="310">
        <f t="shared" si="110"/>
        <v>0</v>
      </c>
      <c r="AZ568" s="316">
        <f t="shared" si="111"/>
        <v>0</v>
      </c>
      <c r="BA568" s="1"/>
      <c r="BB568" s="152">
        <f t="shared" si="112"/>
        <v>0</v>
      </c>
      <c r="BC568" s="152">
        <f ca="1">SUM(Z$4:Z568)+SUM(BB$4:BB568)+COSTI!S$6-COSTI!L$1076</f>
        <v>-31.760000000000218</v>
      </c>
      <c r="BD568" s="1"/>
    </row>
    <row r="569" spans="1:56" ht="16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435">
        <f>IF(AND(W569&gt;=$U$1,W569&lt;=$U$2),IF(X569='ESTRATTO CONTO'!$E$2,1+COUNTIF(U$4:U568,"&gt;0"),0),0)</f>
        <v>0</v>
      </c>
      <c r="V569" s="417">
        <f t="shared" si="109"/>
        <v>566</v>
      </c>
      <c r="W569" s="509"/>
      <c r="X569" s="321"/>
      <c r="Y569" s="321"/>
      <c r="Z569" s="508"/>
      <c r="AA569" s="356"/>
      <c r="AB569" s="306" t="str">
        <f t="shared" si="105"/>
        <v/>
      </c>
      <c r="AC569" s="637">
        <f t="shared" ref="AC569:AC632" ca="1" si="115">AI569</f>
        <v>-2.1316282072803006E-13</v>
      </c>
      <c r="AD569" s="935">
        <f>IF(ISERROR(VLOOKUP(AD$2,X570:X$1003,1,FALSE)),IF(X569=AD$2,SUMIF(X$4:X569,AD$2,Z$4:Z569)+$E$9+SUM(AQ$4:AQ$1003)+SUMIF(COSTI!$X$1379:$X$1430,AD$2,COSTI!$Z$1379:$Z$1430),0),0)</f>
        <v>0</v>
      </c>
      <c r="AE569" s="26"/>
      <c r="AF569" s="856" t="e">
        <f>IF(ISERROR(VLOOKUP(AG$2,X570:X$1003,1,FALSE)),IF(X569=AG$2,SUMIF(X$4:X569,AG$2,Z$4:Z569)+VLOOKUP(AF$2,$B$1057:$F$1068,5,FALSE)+SUM(AR$4:AR$1003)+SUMIF(COSTI!$X$1379:$X$1430,AG$2,COSTI!$Z$1379:$Z$1430),0),0)</f>
        <v>#N/A</v>
      </c>
      <c r="AG569" s="859"/>
      <c r="AH569" s="27" t="str">
        <f t="shared" si="106"/>
        <v/>
      </c>
      <c r="AI569" s="152">
        <f ca="1">IF(W570&gt;0,0,IF(AH569=0,(Z569*-1)+BC569+SUM(BB$4:BB568),BC569+SUM(BB$4:BB568)))</f>
        <v>-2.1316282072803006E-13</v>
      </c>
      <c r="AJ569" s="931">
        <f>IF(AND(AL569&gt;=$U$1,AL569&lt;=$U$2),IF(AM569='ESTRATTO CONTO'!$E$2,1+COUNTIF(AJ$4:AJ568,"&gt;0")+U$1015,0),0)</f>
        <v>0</v>
      </c>
      <c r="AK569" s="203">
        <f>IF(AND(OR((AK568+1)&lt;AL$1015,(AK568+1)=AL$1015),MAX(AK$4:AK568)&lt;AL$1015),AK568+1,0)</f>
        <v>0</v>
      </c>
      <c r="AL569" s="309">
        <f>VLOOKUP($AK569,ENTI!$AF$4:AG$1003,2,FALSE)</f>
        <v>0</v>
      </c>
      <c r="AM569" s="224">
        <f>VLOOKUP($AK569,ENTI!$AF$4:AH$1003,3,FALSE)</f>
        <v>0</v>
      </c>
      <c r="AN569" s="224">
        <f>VLOOKUP($AK569,ENTI!$AF$4:AI$1003,4,FALSE)</f>
        <v>0</v>
      </c>
      <c r="AO569" s="781">
        <f>VLOOKUP($AK569,ENTI!$AF$4:AJ$1003,5,FALSE)</f>
        <v>0</v>
      </c>
      <c r="AP569" s="315">
        <f>VLOOKUP($AK569,ENTI!$AF$4:AK$1003,6,FALSE)</f>
        <v>0</v>
      </c>
      <c r="AQ569" s="208">
        <f t="shared" si="113"/>
        <v>0</v>
      </c>
      <c r="AR569" s="152" t="e">
        <f t="shared" si="114"/>
        <v>#N/A</v>
      </c>
      <c r="AS569" s="1"/>
      <c r="AT569" s="88" t="str">
        <f t="shared" si="107"/>
        <v/>
      </c>
      <c r="AU569" s="1"/>
      <c r="AV569" s="175">
        <f>IF(AW569&gt;0,COUNTIF(AV$4:AV568,"&gt;0")+1,0)</f>
        <v>0</v>
      </c>
      <c r="AW569" s="164">
        <f t="shared" si="108"/>
        <v>0</v>
      </c>
      <c r="AX569" s="310">
        <f>IF($AW569=0,0,VLOOKUP(VLOOKUP($X569,$B$34:$T$38,19,FALSE),ENTI!$A$9:$B$13,2,FALSE))</f>
        <v>0</v>
      </c>
      <c r="AY569" s="310">
        <f t="shared" si="110"/>
        <v>0</v>
      </c>
      <c r="AZ569" s="316">
        <f t="shared" si="111"/>
        <v>0</v>
      </c>
      <c r="BA569" s="1"/>
      <c r="BB569" s="152">
        <f t="shared" si="112"/>
        <v>0</v>
      </c>
      <c r="BC569" s="152">
        <f ca="1">SUM(Z$4:Z569)+SUM(BB$4:BB569)+COSTI!S$6-COSTI!L$1076</f>
        <v>-31.760000000000218</v>
      </c>
      <c r="BD569" s="1"/>
    </row>
    <row r="570" spans="1:56" ht="16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435">
        <f>IF(AND(W570&gt;=$U$1,W570&lt;=$U$2),IF(X570='ESTRATTO CONTO'!$E$2,1+COUNTIF(U$4:U569,"&gt;0"),0),0)</f>
        <v>0</v>
      </c>
      <c r="V570" s="417">
        <f t="shared" si="109"/>
        <v>567</v>
      </c>
      <c r="W570" s="509"/>
      <c r="X570" s="321"/>
      <c r="Y570" s="321"/>
      <c r="Z570" s="508"/>
      <c r="AA570" s="356"/>
      <c r="AB570" s="306" t="str">
        <f t="shared" si="105"/>
        <v/>
      </c>
      <c r="AC570" s="637">
        <f t="shared" ca="1" si="115"/>
        <v>-2.1316282072803006E-13</v>
      </c>
      <c r="AD570" s="935">
        <f>IF(ISERROR(VLOOKUP(AD$2,X571:X$1003,1,FALSE)),IF(X570=AD$2,SUMIF(X$4:X570,AD$2,Z$4:Z570)+$E$9+SUM(AQ$4:AQ$1003)+SUMIF(COSTI!$X$1379:$X$1430,AD$2,COSTI!$Z$1379:$Z$1430),0),0)</f>
        <v>0</v>
      </c>
      <c r="AE570" s="26"/>
      <c r="AF570" s="856" t="e">
        <f>IF(ISERROR(VLOOKUP(AG$2,X571:X$1003,1,FALSE)),IF(X570=AG$2,SUMIF(X$4:X570,AG$2,Z$4:Z570)+VLOOKUP(AF$2,$B$1057:$F$1068,5,FALSE)+SUM(AR$4:AR$1003)+SUMIF(COSTI!$X$1379:$X$1430,AG$2,COSTI!$Z$1379:$Z$1430),0),0)</f>
        <v>#N/A</v>
      </c>
      <c r="AG570" s="859"/>
      <c r="AH570" s="27" t="str">
        <f t="shared" si="106"/>
        <v/>
      </c>
      <c r="AI570" s="152">
        <f ca="1">IF(W571&gt;0,0,IF(AH570=0,(Z570*-1)+BC570+SUM(BB$4:BB569),BC570+SUM(BB$4:BB569)))</f>
        <v>-2.1316282072803006E-13</v>
      </c>
      <c r="AJ570" s="931">
        <f>IF(AND(AL570&gt;=$U$1,AL570&lt;=$U$2),IF(AM570='ESTRATTO CONTO'!$E$2,1+COUNTIF(AJ$4:AJ569,"&gt;0")+U$1015,0),0)</f>
        <v>0</v>
      </c>
      <c r="AK570" s="203">
        <f>IF(AND(OR((AK569+1)&lt;AL$1015,(AK569+1)=AL$1015),MAX(AK$4:AK569)&lt;AL$1015),AK569+1,0)</f>
        <v>0</v>
      </c>
      <c r="AL570" s="309">
        <f>VLOOKUP($AK570,ENTI!$AF$4:AG$1003,2,FALSE)</f>
        <v>0</v>
      </c>
      <c r="AM570" s="224">
        <f>VLOOKUP($AK570,ENTI!$AF$4:AH$1003,3,FALSE)</f>
        <v>0</v>
      </c>
      <c r="AN570" s="224">
        <f>VLOOKUP($AK570,ENTI!$AF$4:AI$1003,4,FALSE)</f>
        <v>0</v>
      </c>
      <c r="AO570" s="781">
        <f>VLOOKUP($AK570,ENTI!$AF$4:AJ$1003,5,FALSE)</f>
        <v>0</v>
      </c>
      <c r="AP570" s="315">
        <f>VLOOKUP($AK570,ENTI!$AF$4:AK$1003,6,FALSE)</f>
        <v>0</v>
      </c>
      <c r="AQ570" s="208">
        <f t="shared" si="113"/>
        <v>0</v>
      </c>
      <c r="AR570" s="152" t="e">
        <f t="shared" si="114"/>
        <v>#N/A</v>
      </c>
      <c r="AS570" s="1"/>
      <c r="AT570" s="88" t="str">
        <f t="shared" si="107"/>
        <v/>
      </c>
      <c r="AU570" s="1"/>
      <c r="AV570" s="175">
        <f>IF(AW570&gt;0,COUNTIF(AV$4:AV569,"&gt;0")+1,0)</f>
        <v>0</v>
      </c>
      <c r="AW570" s="164">
        <f t="shared" si="108"/>
        <v>0</v>
      </c>
      <c r="AX570" s="310">
        <f>IF($AW570=0,0,VLOOKUP(VLOOKUP($X570,$B$34:$T$38,19,FALSE),ENTI!$A$9:$B$13,2,FALSE))</f>
        <v>0</v>
      </c>
      <c r="AY570" s="310">
        <f t="shared" si="110"/>
        <v>0</v>
      </c>
      <c r="AZ570" s="316">
        <f t="shared" si="111"/>
        <v>0</v>
      </c>
      <c r="BA570" s="1"/>
      <c r="BB570" s="152">
        <f t="shared" si="112"/>
        <v>0</v>
      </c>
      <c r="BC570" s="152">
        <f ca="1">SUM(Z$4:Z570)+SUM(BB$4:BB570)+COSTI!S$6-COSTI!L$1076</f>
        <v>-31.760000000000218</v>
      </c>
      <c r="BD570" s="1"/>
    </row>
    <row r="571" spans="1:56" ht="16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435">
        <f>IF(AND(W571&gt;=$U$1,W571&lt;=$U$2),IF(X571='ESTRATTO CONTO'!$E$2,1+COUNTIF(U$4:U570,"&gt;0"),0),0)</f>
        <v>0</v>
      </c>
      <c r="V571" s="417">
        <f t="shared" si="109"/>
        <v>568</v>
      </c>
      <c r="W571" s="509"/>
      <c r="X571" s="321"/>
      <c r="Y571" s="321"/>
      <c r="Z571" s="508"/>
      <c r="AA571" s="356"/>
      <c r="AB571" s="306" t="str">
        <f t="shared" si="105"/>
        <v/>
      </c>
      <c r="AC571" s="637">
        <f t="shared" ca="1" si="115"/>
        <v>-2.1316282072803006E-13</v>
      </c>
      <c r="AD571" s="935">
        <f>IF(ISERROR(VLOOKUP(AD$2,X572:X$1003,1,FALSE)),IF(X571=AD$2,SUMIF(X$4:X571,AD$2,Z$4:Z571)+$E$9+SUM(AQ$4:AQ$1003)+SUMIF(COSTI!$X$1379:$X$1430,AD$2,COSTI!$Z$1379:$Z$1430),0),0)</f>
        <v>0</v>
      </c>
      <c r="AE571" s="26"/>
      <c r="AF571" s="856" t="e">
        <f>IF(ISERROR(VLOOKUP(AG$2,X572:X$1003,1,FALSE)),IF(X571=AG$2,SUMIF(X$4:X571,AG$2,Z$4:Z571)+VLOOKUP(AF$2,$B$1057:$F$1068,5,FALSE)+SUM(AR$4:AR$1003)+SUMIF(COSTI!$X$1379:$X$1430,AG$2,COSTI!$Z$1379:$Z$1430),0),0)</f>
        <v>#N/A</v>
      </c>
      <c r="AG571" s="859"/>
      <c r="AH571" s="27" t="str">
        <f t="shared" si="106"/>
        <v/>
      </c>
      <c r="AI571" s="152">
        <f ca="1">IF(W572&gt;0,0,IF(AH571=0,(Z571*-1)+BC571+SUM(BB$4:BB570),BC571+SUM(BB$4:BB570)))</f>
        <v>-2.1316282072803006E-13</v>
      </c>
      <c r="AJ571" s="931">
        <f>IF(AND(AL571&gt;=$U$1,AL571&lt;=$U$2),IF(AM571='ESTRATTO CONTO'!$E$2,1+COUNTIF(AJ$4:AJ570,"&gt;0")+U$1015,0),0)</f>
        <v>0</v>
      </c>
      <c r="AK571" s="203">
        <f>IF(AND(OR((AK570+1)&lt;AL$1015,(AK570+1)=AL$1015),MAX(AK$4:AK570)&lt;AL$1015),AK570+1,0)</f>
        <v>0</v>
      </c>
      <c r="AL571" s="309">
        <f>VLOOKUP($AK571,ENTI!$AF$4:AG$1003,2,FALSE)</f>
        <v>0</v>
      </c>
      <c r="AM571" s="224">
        <f>VLOOKUP($AK571,ENTI!$AF$4:AH$1003,3,FALSE)</f>
        <v>0</v>
      </c>
      <c r="AN571" s="224">
        <f>VLOOKUP($AK571,ENTI!$AF$4:AI$1003,4,FALSE)</f>
        <v>0</v>
      </c>
      <c r="AO571" s="781">
        <f>VLOOKUP($AK571,ENTI!$AF$4:AJ$1003,5,FALSE)</f>
        <v>0</v>
      </c>
      <c r="AP571" s="315">
        <f>VLOOKUP($AK571,ENTI!$AF$4:AK$1003,6,FALSE)</f>
        <v>0</v>
      </c>
      <c r="AQ571" s="208">
        <f t="shared" si="113"/>
        <v>0</v>
      </c>
      <c r="AR571" s="152" t="e">
        <f t="shared" si="114"/>
        <v>#N/A</v>
      </c>
      <c r="AS571" s="1"/>
      <c r="AT571" s="88" t="str">
        <f t="shared" si="107"/>
        <v/>
      </c>
      <c r="AU571" s="1"/>
      <c r="AV571" s="175">
        <f>IF(AW571&gt;0,COUNTIF(AV$4:AV570,"&gt;0")+1,0)</f>
        <v>0</v>
      </c>
      <c r="AW571" s="164">
        <f t="shared" si="108"/>
        <v>0</v>
      </c>
      <c r="AX571" s="310">
        <f>IF($AW571=0,0,VLOOKUP(VLOOKUP($X571,$B$34:$T$38,19,FALSE),ENTI!$A$9:$B$13,2,FALSE))</f>
        <v>0</v>
      </c>
      <c r="AY571" s="310">
        <f t="shared" si="110"/>
        <v>0</v>
      </c>
      <c r="AZ571" s="316">
        <f t="shared" si="111"/>
        <v>0</v>
      </c>
      <c r="BA571" s="1"/>
      <c r="BB571" s="152">
        <f t="shared" si="112"/>
        <v>0</v>
      </c>
      <c r="BC571" s="152">
        <f ca="1">SUM(Z$4:Z571)+SUM(BB$4:BB571)+COSTI!S$6-COSTI!L$1076</f>
        <v>-31.760000000000218</v>
      </c>
      <c r="BD571" s="1"/>
    </row>
    <row r="572" spans="1:56" ht="16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435">
        <f>IF(AND(W572&gt;=$U$1,W572&lt;=$U$2),IF(X572='ESTRATTO CONTO'!$E$2,1+COUNTIF(U$4:U571,"&gt;0"),0),0)</f>
        <v>0</v>
      </c>
      <c r="V572" s="417">
        <f t="shared" si="109"/>
        <v>569</v>
      </c>
      <c r="W572" s="509"/>
      <c r="X572" s="321"/>
      <c r="Y572" s="321"/>
      <c r="Z572" s="508"/>
      <c r="AA572" s="356"/>
      <c r="AB572" s="306" t="str">
        <f t="shared" si="105"/>
        <v/>
      </c>
      <c r="AC572" s="637">
        <f t="shared" ca="1" si="115"/>
        <v>-2.1316282072803006E-13</v>
      </c>
      <c r="AD572" s="935">
        <f>IF(ISERROR(VLOOKUP(AD$2,X573:X$1003,1,FALSE)),IF(X572=AD$2,SUMIF(X$4:X572,AD$2,Z$4:Z572)+$E$9+SUM(AQ$4:AQ$1003)+SUMIF(COSTI!$X$1379:$X$1430,AD$2,COSTI!$Z$1379:$Z$1430),0),0)</f>
        <v>0</v>
      </c>
      <c r="AE572" s="26"/>
      <c r="AF572" s="856" t="e">
        <f>IF(ISERROR(VLOOKUP(AG$2,X573:X$1003,1,FALSE)),IF(X572=AG$2,SUMIF(X$4:X572,AG$2,Z$4:Z572)+VLOOKUP(AF$2,$B$1057:$F$1068,5,FALSE)+SUM(AR$4:AR$1003)+SUMIF(COSTI!$X$1379:$X$1430,AG$2,COSTI!$Z$1379:$Z$1430),0),0)</f>
        <v>#N/A</v>
      </c>
      <c r="AG572" s="859"/>
      <c r="AH572" s="27" t="str">
        <f t="shared" si="106"/>
        <v/>
      </c>
      <c r="AI572" s="152">
        <f ca="1">IF(W573&gt;0,0,IF(AH572=0,(Z572*-1)+BC572+SUM(BB$4:BB571),BC572+SUM(BB$4:BB571)))</f>
        <v>-2.1316282072803006E-13</v>
      </c>
      <c r="AJ572" s="931">
        <f>IF(AND(AL572&gt;=$U$1,AL572&lt;=$U$2),IF(AM572='ESTRATTO CONTO'!$E$2,1+COUNTIF(AJ$4:AJ571,"&gt;0")+U$1015,0),0)</f>
        <v>0</v>
      </c>
      <c r="AK572" s="203">
        <f>IF(AND(OR((AK571+1)&lt;AL$1015,(AK571+1)=AL$1015),MAX(AK$4:AK571)&lt;AL$1015),AK571+1,0)</f>
        <v>0</v>
      </c>
      <c r="AL572" s="309">
        <f>VLOOKUP($AK572,ENTI!$AF$4:AG$1003,2,FALSE)</f>
        <v>0</v>
      </c>
      <c r="AM572" s="224">
        <f>VLOOKUP($AK572,ENTI!$AF$4:AH$1003,3,FALSE)</f>
        <v>0</v>
      </c>
      <c r="AN572" s="224">
        <f>VLOOKUP($AK572,ENTI!$AF$4:AI$1003,4,FALSE)</f>
        <v>0</v>
      </c>
      <c r="AO572" s="781">
        <f>VLOOKUP($AK572,ENTI!$AF$4:AJ$1003,5,FALSE)</f>
        <v>0</v>
      </c>
      <c r="AP572" s="315">
        <f>VLOOKUP($AK572,ENTI!$AF$4:AK$1003,6,FALSE)</f>
        <v>0</v>
      </c>
      <c r="AQ572" s="208">
        <f t="shared" si="113"/>
        <v>0</v>
      </c>
      <c r="AR572" s="152" t="e">
        <f t="shared" si="114"/>
        <v>#N/A</v>
      </c>
      <c r="AS572" s="1"/>
      <c r="AT572" s="88" t="str">
        <f t="shared" si="107"/>
        <v/>
      </c>
      <c r="AU572" s="1"/>
      <c r="AV572" s="175">
        <f>IF(AW572&gt;0,COUNTIF(AV$4:AV571,"&gt;0")+1,0)</f>
        <v>0</v>
      </c>
      <c r="AW572" s="164">
        <f t="shared" si="108"/>
        <v>0</v>
      </c>
      <c r="AX572" s="310">
        <f>IF($AW572=0,0,VLOOKUP(VLOOKUP($X572,$B$34:$T$38,19,FALSE),ENTI!$A$9:$B$13,2,FALSE))</f>
        <v>0</v>
      </c>
      <c r="AY572" s="310">
        <f t="shared" si="110"/>
        <v>0</v>
      </c>
      <c r="AZ572" s="316">
        <f t="shared" si="111"/>
        <v>0</v>
      </c>
      <c r="BA572" s="1"/>
      <c r="BB572" s="152">
        <f t="shared" si="112"/>
        <v>0</v>
      </c>
      <c r="BC572" s="152">
        <f ca="1">SUM(Z$4:Z572)+SUM(BB$4:BB572)+COSTI!S$6-COSTI!L$1076</f>
        <v>-31.760000000000218</v>
      </c>
      <c r="BD572" s="1"/>
    </row>
    <row r="573" spans="1:56" ht="16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435">
        <f>IF(AND(W573&gt;=$U$1,W573&lt;=$U$2),IF(X573='ESTRATTO CONTO'!$E$2,1+COUNTIF(U$4:U572,"&gt;0"),0),0)</f>
        <v>0</v>
      </c>
      <c r="V573" s="417">
        <f t="shared" si="109"/>
        <v>570</v>
      </c>
      <c r="W573" s="509"/>
      <c r="X573" s="321"/>
      <c r="Y573" s="321"/>
      <c r="Z573" s="508"/>
      <c r="AA573" s="356"/>
      <c r="AB573" s="306" t="str">
        <f t="shared" si="105"/>
        <v/>
      </c>
      <c r="AC573" s="637">
        <f t="shared" ca="1" si="115"/>
        <v>-2.1316282072803006E-13</v>
      </c>
      <c r="AD573" s="935">
        <f>IF(ISERROR(VLOOKUP(AD$2,X574:X$1003,1,FALSE)),IF(X573=AD$2,SUMIF(X$4:X573,AD$2,Z$4:Z573)+$E$9+SUM(AQ$4:AQ$1003)+SUMIF(COSTI!$X$1379:$X$1430,AD$2,COSTI!$Z$1379:$Z$1430),0),0)</f>
        <v>0</v>
      </c>
      <c r="AE573" s="26"/>
      <c r="AF573" s="856" t="e">
        <f>IF(ISERROR(VLOOKUP(AG$2,X574:X$1003,1,FALSE)),IF(X573=AG$2,SUMIF(X$4:X573,AG$2,Z$4:Z573)+VLOOKUP(AF$2,$B$1057:$F$1068,5,FALSE)+SUM(AR$4:AR$1003)+SUMIF(COSTI!$X$1379:$X$1430,AG$2,COSTI!$Z$1379:$Z$1430),0),0)</f>
        <v>#N/A</v>
      </c>
      <c r="AG573" s="859"/>
      <c r="AH573" s="27" t="str">
        <f t="shared" si="106"/>
        <v/>
      </c>
      <c r="AI573" s="152">
        <f ca="1">IF(W574&gt;0,0,IF(AH573=0,(Z573*-1)+BC573+SUM(BB$4:BB572),BC573+SUM(BB$4:BB572)))</f>
        <v>-2.1316282072803006E-13</v>
      </c>
      <c r="AJ573" s="931">
        <f>IF(AND(AL573&gt;=$U$1,AL573&lt;=$U$2),IF(AM573='ESTRATTO CONTO'!$E$2,1+COUNTIF(AJ$4:AJ572,"&gt;0")+U$1015,0),0)</f>
        <v>0</v>
      </c>
      <c r="AK573" s="203">
        <f>IF(AND(OR((AK572+1)&lt;AL$1015,(AK572+1)=AL$1015),MAX(AK$4:AK572)&lt;AL$1015),AK572+1,0)</f>
        <v>0</v>
      </c>
      <c r="AL573" s="309">
        <f>VLOOKUP($AK573,ENTI!$AF$4:AG$1003,2,FALSE)</f>
        <v>0</v>
      </c>
      <c r="AM573" s="224">
        <f>VLOOKUP($AK573,ENTI!$AF$4:AH$1003,3,FALSE)</f>
        <v>0</v>
      </c>
      <c r="AN573" s="224">
        <f>VLOOKUP($AK573,ENTI!$AF$4:AI$1003,4,FALSE)</f>
        <v>0</v>
      </c>
      <c r="AO573" s="781">
        <f>VLOOKUP($AK573,ENTI!$AF$4:AJ$1003,5,FALSE)</f>
        <v>0</v>
      </c>
      <c r="AP573" s="315">
        <f>VLOOKUP($AK573,ENTI!$AF$4:AK$1003,6,FALSE)</f>
        <v>0</v>
      </c>
      <c r="AQ573" s="208">
        <f t="shared" si="113"/>
        <v>0</v>
      </c>
      <c r="AR573" s="152" t="e">
        <f t="shared" si="114"/>
        <v>#N/A</v>
      </c>
      <c r="AS573" s="1"/>
      <c r="AT573" s="88" t="str">
        <f t="shared" si="107"/>
        <v/>
      </c>
      <c r="AU573" s="1"/>
      <c r="AV573" s="175">
        <f>IF(AW573&gt;0,COUNTIF(AV$4:AV572,"&gt;0")+1,0)</f>
        <v>0</v>
      </c>
      <c r="AW573" s="164">
        <f t="shared" si="108"/>
        <v>0</v>
      </c>
      <c r="AX573" s="310">
        <f>IF($AW573=0,0,VLOOKUP(VLOOKUP($X573,$B$34:$T$38,19,FALSE),ENTI!$A$9:$B$13,2,FALSE))</f>
        <v>0</v>
      </c>
      <c r="AY573" s="310">
        <f t="shared" si="110"/>
        <v>0</v>
      </c>
      <c r="AZ573" s="316">
        <f t="shared" si="111"/>
        <v>0</v>
      </c>
      <c r="BA573" s="1"/>
      <c r="BB573" s="152">
        <f t="shared" si="112"/>
        <v>0</v>
      </c>
      <c r="BC573" s="152">
        <f ca="1">SUM(Z$4:Z573)+SUM(BB$4:BB573)+COSTI!S$6-COSTI!L$1076</f>
        <v>-31.760000000000218</v>
      </c>
      <c r="BD573" s="1"/>
    </row>
    <row r="574" spans="1:56" ht="16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435">
        <f>IF(AND(W574&gt;=$U$1,W574&lt;=$U$2),IF(X574='ESTRATTO CONTO'!$E$2,1+COUNTIF(U$4:U573,"&gt;0"),0),0)</f>
        <v>0</v>
      </c>
      <c r="V574" s="417">
        <f t="shared" si="109"/>
        <v>571</v>
      </c>
      <c r="W574" s="509"/>
      <c r="X574" s="321"/>
      <c r="Y574" s="321"/>
      <c r="Z574" s="508"/>
      <c r="AA574" s="356"/>
      <c r="AB574" s="306" t="str">
        <f t="shared" si="105"/>
        <v/>
      </c>
      <c r="AC574" s="637">
        <f t="shared" ca="1" si="115"/>
        <v>-2.1316282072803006E-13</v>
      </c>
      <c r="AD574" s="935">
        <f>IF(ISERROR(VLOOKUP(AD$2,X575:X$1003,1,FALSE)),IF(X574=AD$2,SUMIF(X$4:X574,AD$2,Z$4:Z574)+$E$9+SUM(AQ$4:AQ$1003)+SUMIF(COSTI!$X$1379:$X$1430,AD$2,COSTI!$Z$1379:$Z$1430),0),0)</f>
        <v>0</v>
      </c>
      <c r="AE574" s="26"/>
      <c r="AF574" s="856" t="e">
        <f>IF(ISERROR(VLOOKUP(AG$2,X575:X$1003,1,FALSE)),IF(X574=AG$2,SUMIF(X$4:X574,AG$2,Z$4:Z574)+VLOOKUP(AF$2,$B$1057:$F$1068,5,FALSE)+SUM(AR$4:AR$1003)+SUMIF(COSTI!$X$1379:$X$1430,AG$2,COSTI!$Z$1379:$Z$1430),0),0)</f>
        <v>#N/A</v>
      </c>
      <c r="AG574" s="859"/>
      <c r="AH574" s="27" t="str">
        <f t="shared" si="106"/>
        <v/>
      </c>
      <c r="AI574" s="152">
        <f ca="1">IF(W575&gt;0,0,IF(AH574=0,(Z574*-1)+BC574+SUM(BB$4:BB573),BC574+SUM(BB$4:BB573)))</f>
        <v>-2.1316282072803006E-13</v>
      </c>
      <c r="AJ574" s="931">
        <f>IF(AND(AL574&gt;=$U$1,AL574&lt;=$U$2),IF(AM574='ESTRATTO CONTO'!$E$2,1+COUNTIF(AJ$4:AJ573,"&gt;0")+U$1015,0),0)</f>
        <v>0</v>
      </c>
      <c r="AK574" s="203">
        <f>IF(AND(OR((AK573+1)&lt;AL$1015,(AK573+1)=AL$1015),MAX(AK$4:AK573)&lt;AL$1015),AK573+1,0)</f>
        <v>0</v>
      </c>
      <c r="AL574" s="309">
        <f>VLOOKUP($AK574,ENTI!$AF$4:AG$1003,2,FALSE)</f>
        <v>0</v>
      </c>
      <c r="AM574" s="224">
        <f>VLOOKUP($AK574,ENTI!$AF$4:AH$1003,3,FALSE)</f>
        <v>0</v>
      </c>
      <c r="AN574" s="224">
        <f>VLOOKUP($AK574,ENTI!$AF$4:AI$1003,4,FALSE)</f>
        <v>0</v>
      </c>
      <c r="AO574" s="781">
        <f>VLOOKUP($AK574,ENTI!$AF$4:AJ$1003,5,FALSE)</f>
        <v>0</v>
      </c>
      <c r="AP574" s="315">
        <f>VLOOKUP($AK574,ENTI!$AF$4:AK$1003,6,FALSE)</f>
        <v>0</v>
      </c>
      <c r="AQ574" s="208">
        <f t="shared" si="113"/>
        <v>0</v>
      </c>
      <c r="AR574" s="152" t="e">
        <f t="shared" si="114"/>
        <v>#N/A</v>
      </c>
      <c r="AS574" s="1"/>
      <c r="AT574" s="88" t="str">
        <f t="shared" si="107"/>
        <v/>
      </c>
      <c r="AU574" s="1"/>
      <c r="AV574" s="175">
        <f>IF(AW574&gt;0,COUNTIF(AV$4:AV573,"&gt;0")+1,0)</f>
        <v>0</v>
      </c>
      <c r="AW574" s="164">
        <f t="shared" si="108"/>
        <v>0</v>
      </c>
      <c r="AX574" s="310">
        <f>IF($AW574=0,0,VLOOKUP(VLOOKUP($X574,$B$34:$T$38,19,FALSE),ENTI!$A$9:$B$13,2,FALSE))</f>
        <v>0</v>
      </c>
      <c r="AY574" s="310">
        <f t="shared" si="110"/>
        <v>0</v>
      </c>
      <c r="AZ574" s="316">
        <f t="shared" si="111"/>
        <v>0</v>
      </c>
      <c r="BA574" s="1"/>
      <c r="BB574" s="152">
        <f t="shared" si="112"/>
        <v>0</v>
      </c>
      <c r="BC574" s="152">
        <f ca="1">SUM(Z$4:Z574)+SUM(BB$4:BB574)+COSTI!S$6-COSTI!L$1076</f>
        <v>-31.760000000000218</v>
      </c>
      <c r="BD574" s="1"/>
    </row>
    <row r="575" spans="1:56" ht="16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435">
        <f>IF(AND(W575&gt;=$U$1,W575&lt;=$U$2),IF(X575='ESTRATTO CONTO'!$E$2,1+COUNTIF(U$4:U574,"&gt;0"),0),0)</f>
        <v>0</v>
      </c>
      <c r="V575" s="417">
        <f t="shared" si="109"/>
        <v>572</v>
      </c>
      <c r="W575" s="509"/>
      <c r="X575" s="321"/>
      <c r="Y575" s="321"/>
      <c r="Z575" s="508"/>
      <c r="AA575" s="356"/>
      <c r="AB575" s="306" t="str">
        <f t="shared" si="105"/>
        <v/>
      </c>
      <c r="AC575" s="637">
        <f t="shared" ca="1" si="115"/>
        <v>-2.1316282072803006E-13</v>
      </c>
      <c r="AD575" s="935">
        <f>IF(ISERROR(VLOOKUP(AD$2,X576:X$1003,1,FALSE)),IF(X575=AD$2,SUMIF(X$4:X575,AD$2,Z$4:Z575)+$E$9+SUM(AQ$4:AQ$1003)+SUMIF(COSTI!$X$1379:$X$1430,AD$2,COSTI!$Z$1379:$Z$1430),0),0)</f>
        <v>0</v>
      </c>
      <c r="AE575" s="26"/>
      <c r="AF575" s="856" t="e">
        <f>IF(ISERROR(VLOOKUP(AG$2,X576:X$1003,1,FALSE)),IF(X575=AG$2,SUMIF(X$4:X575,AG$2,Z$4:Z575)+VLOOKUP(AF$2,$B$1057:$F$1068,5,FALSE)+SUM(AR$4:AR$1003)+SUMIF(COSTI!$X$1379:$X$1430,AG$2,COSTI!$Z$1379:$Z$1430),0),0)</f>
        <v>#N/A</v>
      </c>
      <c r="AG575" s="859"/>
      <c r="AH575" s="27" t="str">
        <f t="shared" si="106"/>
        <v/>
      </c>
      <c r="AI575" s="152">
        <f ca="1">IF(W576&gt;0,0,IF(AH575=0,(Z575*-1)+BC575+SUM(BB$4:BB574),BC575+SUM(BB$4:BB574)))</f>
        <v>-2.1316282072803006E-13</v>
      </c>
      <c r="AJ575" s="931">
        <f>IF(AND(AL575&gt;=$U$1,AL575&lt;=$U$2),IF(AM575='ESTRATTO CONTO'!$E$2,1+COUNTIF(AJ$4:AJ574,"&gt;0")+U$1015,0),0)</f>
        <v>0</v>
      </c>
      <c r="AK575" s="203">
        <f>IF(AND(OR((AK574+1)&lt;AL$1015,(AK574+1)=AL$1015),MAX(AK$4:AK574)&lt;AL$1015),AK574+1,0)</f>
        <v>0</v>
      </c>
      <c r="AL575" s="309">
        <f>VLOOKUP($AK575,ENTI!$AF$4:AG$1003,2,FALSE)</f>
        <v>0</v>
      </c>
      <c r="AM575" s="224">
        <f>VLOOKUP($AK575,ENTI!$AF$4:AH$1003,3,FALSE)</f>
        <v>0</v>
      </c>
      <c r="AN575" s="224">
        <f>VLOOKUP($AK575,ENTI!$AF$4:AI$1003,4,FALSE)</f>
        <v>0</v>
      </c>
      <c r="AO575" s="781">
        <f>VLOOKUP($AK575,ENTI!$AF$4:AJ$1003,5,FALSE)</f>
        <v>0</v>
      </c>
      <c r="AP575" s="315">
        <f>VLOOKUP($AK575,ENTI!$AF$4:AK$1003,6,FALSE)</f>
        <v>0</v>
      </c>
      <c r="AQ575" s="208">
        <f t="shared" si="113"/>
        <v>0</v>
      </c>
      <c r="AR575" s="152" t="e">
        <f t="shared" si="114"/>
        <v>#N/A</v>
      </c>
      <c r="AS575" s="1"/>
      <c r="AT575" s="88" t="str">
        <f t="shared" si="107"/>
        <v/>
      </c>
      <c r="AU575" s="1"/>
      <c r="AV575" s="175">
        <f>IF(AW575&gt;0,COUNTIF(AV$4:AV574,"&gt;0")+1,0)</f>
        <v>0</v>
      </c>
      <c r="AW575" s="164">
        <f t="shared" si="108"/>
        <v>0</v>
      </c>
      <c r="AX575" s="310">
        <f>IF($AW575=0,0,VLOOKUP(VLOOKUP($X575,$B$34:$T$38,19,FALSE),ENTI!$A$9:$B$13,2,FALSE))</f>
        <v>0</v>
      </c>
      <c r="AY575" s="310">
        <f t="shared" si="110"/>
        <v>0</v>
      </c>
      <c r="AZ575" s="316">
        <f t="shared" si="111"/>
        <v>0</v>
      </c>
      <c r="BA575" s="1"/>
      <c r="BB575" s="152">
        <f t="shared" si="112"/>
        <v>0</v>
      </c>
      <c r="BC575" s="152">
        <f ca="1">SUM(Z$4:Z575)+SUM(BB$4:BB575)+COSTI!S$6-COSTI!L$1076</f>
        <v>-31.760000000000218</v>
      </c>
      <c r="BD575" s="1"/>
    </row>
    <row r="576" spans="1:56" ht="16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435">
        <f>IF(AND(W576&gt;=$U$1,W576&lt;=$U$2),IF(X576='ESTRATTO CONTO'!$E$2,1+COUNTIF(U$4:U575,"&gt;0"),0),0)</f>
        <v>0</v>
      </c>
      <c r="V576" s="417">
        <f t="shared" si="109"/>
        <v>573</v>
      </c>
      <c r="W576" s="509"/>
      <c r="X576" s="321"/>
      <c r="Y576" s="321"/>
      <c r="Z576" s="508"/>
      <c r="AA576" s="356"/>
      <c r="AB576" s="306" t="str">
        <f t="shared" si="105"/>
        <v/>
      </c>
      <c r="AC576" s="637">
        <f t="shared" ca="1" si="115"/>
        <v>-2.1316282072803006E-13</v>
      </c>
      <c r="AD576" s="935">
        <f>IF(ISERROR(VLOOKUP(AD$2,X577:X$1003,1,FALSE)),IF(X576=AD$2,SUMIF(X$4:X576,AD$2,Z$4:Z576)+$E$9+SUM(AQ$4:AQ$1003)+SUMIF(COSTI!$X$1379:$X$1430,AD$2,COSTI!$Z$1379:$Z$1430),0),0)</f>
        <v>0</v>
      </c>
      <c r="AE576" s="26"/>
      <c r="AF576" s="856" t="e">
        <f>IF(ISERROR(VLOOKUP(AG$2,X577:X$1003,1,FALSE)),IF(X576=AG$2,SUMIF(X$4:X576,AG$2,Z$4:Z576)+VLOOKUP(AF$2,$B$1057:$F$1068,5,FALSE)+SUM(AR$4:AR$1003)+SUMIF(COSTI!$X$1379:$X$1430,AG$2,COSTI!$Z$1379:$Z$1430),0),0)</f>
        <v>#N/A</v>
      </c>
      <c r="AG576" s="859"/>
      <c r="AH576" s="27" t="str">
        <f t="shared" si="106"/>
        <v/>
      </c>
      <c r="AI576" s="152">
        <f ca="1">IF(W577&gt;0,0,IF(AH576=0,(Z576*-1)+BC576+SUM(BB$4:BB575),BC576+SUM(BB$4:BB575)))</f>
        <v>-2.1316282072803006E-13</v>
      </c>
      <c r="AJ576" s="931">
        <f>IF(AND(AL576&gt;=$U$1,AL576&lt;=$U$2),IF(AM576='ESTRATTO CONTO'!$E$2,1+COUNTIF(AJ$4:AJ575,"&gt;0")+U$1015,0),0)</f>
        <v>0</v>
      </c>
      <c r="AK576" s="203">
        <f>IF(AND(OR((AK575+1)&lt;AL$1015,(AK575+1)=AL$1015),MAX(AK$4:AK575)&lt;AL$1015),AK575+1,0)</f>
        <v>0</v>
      </c>
      <c r="AL576" s="309">
        <f>VLOOKUP($AK576,ENTI!$AF$4:AG$1003,2,FALSE)</f>
        <v>0</v>
      </c>
      <c r="AM576" s="224">
        <f>VLOOKUP($AK576,ENTI!$AF$4:AH$1003,3,FALSE)</f>
        <v>0</v>
      </c>
      <c r="AN576" s="224">
        <f>VLOOKUP($AK576,ENTI!$AF$4:AI$1003,4,FALSE)</f>
        <v>0</v>
      </c>
      <c r="AO576" s="781">
        <f>VLOOKUP($AK576,ENTI!$AF$4:AJ$1003,5,FALSE)</f>
        <v>0</v>
      </c>
      <c r="AP576" s="315">
        <f>VLOOKUP($AK576,ENTI!$AF$4:AK$1003,6,FALSE)</f>
        <v>0</v>
      </c>
      <c r="AQ576" s="208">
        <f t="shared" si="113"/>
        <v>0</v>
      </c>
      <c r="AR576" s="152" t="e">
        <f t="shared" si="114"/>
        <v>#N/A</v>
      </c>
      <c r="AS576" s="1"/>
      <c r="AT576" s="88" t="str">
        <f t="shared" si="107"/>
        <v/>
      </c>
      <c r="AU576" s="1"/>
      <c r="AV576" s="175">
        <f>IF(AW576&gt;0,COUNTIF(AV$4:AV575,"&gt;0")+1,0)</f>
        <v>0</v>
      </c>
      <c r="AW576" s="164">
        <f t="shared" si="108"/>
        <v>0</v>
      </c>
      <c r="AX576" s="310">
        <f>IF($AW576=0,0,VLOOKUP(VLOOKUP($X576,$B$34:$T$38,19,FALSE),ENTI!$A$9:$B$13,2,FALSE))</f>
        <v>0</v>
      </c>
      <c r="AY576" s="310">
        <f t="shared" si="110"/>
        <v>0</v>
      </c>
      <c r="AZ576" s="316">
        <f t="shared" si="111"/>
        <v>0</v>
      </c>
      <c r="BA576" s="1"/>
      <c r="BB576" s="152">
        <f t="shared" si="112"/>
        <v>0</v>
      </c>
      <c r="BC576" s="152">
        <f ca="1">SUM(Z$4:Z576)+SUM(BB$4:BB576)+COSTI!S$6-COSTI!L$1076</f>
        <v>-31.760000000000218</v>
      </c>
      <c r="BD576" s="1"/>
    </row>
    <row r="577" spans="1:56" ht="16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435">
        <f>IF(AND(W577&gt;=$U$1,W577&lt;=$U$2),IF(X577='ESTRATTO CONTO'!$E$2,1+COUNTIF(U$4:U576,"&gt;0"),0),0)</f>
        <v>0</v>
      </c>
      <c r="V577" s="417">
        <f t="shared" si="109"/>
        <v>574</v>
      </c>
      <c r="W577" s="509"/>
      <c r="X577" s="321"/>
      <c r="Y577" s="321"/>
      <c r="Z577" s="508"/>
      <c r="AA577" s="356"/>
      <c r="AB577" s="306" t="str">
        <f t="shared" si="105"/>
        <v/>
      </c>
      <c r="AC577" s="637">
        <f t="shared" ca="1" si="115"/>
        <v>-2.1316282072803006E-13</v>
      </c>
      <c r="AD577" s="935">
        <f>IF(ISERROR(VLOOKUP(AD$2,X578:X$1003,1,FALSE)),IF(X577=AD$2,SUMIF(X$4:X577,AD$2,Z$4:Z577)+$E$9+SUM(AQ$4:AQ$1003)+SUMIF(COSTI!$X$1379:$X$1430,AD$2,COSTI!$Z$1379:$Z$1430),0),0)</f>
        <v>0</v>
      </c>
      <c r="AE577" s="26"/>
      <c r="AF577" s="856" t="e">
        <f>IF(ISERROR(VLOOKUP(AG$2,X578:X$1003,1,FALSE)),IF(X577=AG$2,SUMIF(X$4:X577,AG$2,Z$4:Z577)+VLOOKUP(AF$2,$B$1057:$F$1068,5,FALSE)+SUM(AR$4:AR$1003)+SUMIF(COSTI!$X$1379:$X$1430,AG$2,COSTI!$Z$1379:$Z$1430),0),0)</f>
        <v>#N/A</v>
      </c>
      <c r="AG577" s="859"/>
      <c r="AH577" s="27" t="str">
        <f t="shared" si="106"/>
        <v/>
      </c>
      <c r="AI577" s="152">
        <f ca="1">IF(W578&gt;0,0,IF(AH577=0,(Z577*-1)+BC577+SUM(BB$4:BB576),BC577+SUM(BB$4:BB576)))</f>
        <v>-2.1316282072803006E-13</v>
      </c>
      <c r="AJ577" s="931">
        <f>IF(AND(AL577&gt;=$U$1,AL577&lt;=$U$2),IF(AM577='ESTRATTO CONTO'!$E$2,1+COUNTIF(AJ$4:AJ576,"&gt;0")+U$1015,0),0)</f>
        <v>0</v>
      </c>
      <c r="AK577" s="203">
        <f>IF(AND(OR((AK576+1)&lt;AL$1015,(AK576+1)=AL$1015),MAX(AK$4:AK576)&lt;AL$1015),AK576+1,0)</f>
        <v>0</v>
      </c>
      <c r="AL577" s="309">
        <f>VLOOKUP($AK577,ENTI!$AF$4:AG$1003,2,FALSE)</f>
        <v>0</v>
      </c>
      <c r="AM577" s="224">
        <f>VLOOKUP($AK577,ENTI!$AF$4:AH$1003,3,FALSE)</f>
        <v>0</v>
      </c>
      <c r="AN577" s="224">
        <f>VLOOKUP($AK577,ENTI!$AF$4:AI$1003,4,FALSE)</f>
        <v>0</v>
      </c>
      <c r="AO577" s="781">
        <f>VLOOKUP($AK577,ENTI!$AF$4:AJ$1003,5,FALSE)</f>
        <v>0</v>
      </c>
      <c r="AP577" s="315">
        <f>VLOOKUP($AK577,ENTI!$AF$4:AK$1003,6,FALSE)</f>
        <v>0</v>
      </c>
      <c r="AQ577" s="208">
        <f t="shared" si="113"/>
        <v>0</v>
      </c>
      <c r="AR577" s="152" t="e">
        <f t="shared" si="114"/>
        <v>#N/A</v>
      </c>
      <c r="AS577" s="1"/>
      <c r="AT577" s="88" t="str">
        <f t="shared" si="107"/>
        <v/>
      </c>
      <c r="AU577" s="1"/>
      <c r="AV577" s="175">
        <f>IF(AW577&gt;0,COUNTIF(AV$4:AV576,"&gt;0")+1,0)</f>
        <v>0</v>
      </c>
      <c r="AW577" s="164">
        <f t="shared" si="108"/>
        <v>0</v>
      </c>
      <c r="AX577" s="310">
        <f>IF($AW577=0,0,VLOOKUP(VLOOKUP($X577,$B$34:$T$38,19,FALSE),ENTI!$A$9:$B$13,2,FALSE))</f>
        <v>0</v>
      </c>
      <c r="AY577" s="310">
        <f t="shared" si="110"/>
        <v>0</v>
      </c>
      <c r="AZ577" s="316">
        <f t="shared" si="111"/>
        <v>0</v>
      </c>
      <c r="BA577" s="1"/>
      <c r="BB577" s="152">
        <f t="shared" si="112"/>
        <v>0</v>
      </c>
      <c r="BC577" s="152">
        <f ca="1">SUM(Z$4:Z577)+SUM(BB$4:BB577)+COSTI!S$6-COSTI!L$1076</f>
        <v>-31.760000000000218</v>
      </c>
      <c r="BD577" s="1"/>
    </row>
    <row r="578" spans="1:56" ht="16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435">
        <f>IF(AND(W578&gt;=$U$1,W578&lt;=$U$2),IF(X578='ESTRATTO CONTO'!$E$2,1+COUNTIF(U$4:U577,"&gt;0"),0),0)</f>
        <v>0</v>
      </c>
      <c r="V578" s="417">
        <f t="shared" si="109"/>
        <v>575</v>
      </c>
      <c r="W578" s="509"/>
      <c r="X578" s="321"/>
      <c r="Y578" s="321"/>
      <c r="Z578" s="508"/>
      <c r="AA578" s="356"/>
      <c r="AB578" s="306" t="str">
        <f t="shared" si="105"/>
        <v/>
      </c>
      <c r="AC578" s="637">
        <f t="shared" ca="1" si="115"/>
        <v>-2.1316282072803006E-13</v>
      </c>
      <c r="AD578" s="935">
        <f>IF(ISERROR(VLOOKUP(AD$2,X579:X$1003,1,FALSE)),IF(X578=AD$2,SUMIF(X$4:X578,AD$2,Z$4:Z578)+$E$9+SUM(AQ$4:AQ$1003)+SUMIF(COSTI!$X$1379:$X$1430,AD$2,COSTI!$Z$1379:$Z$1430),0),0)</f>
        <v>0</v>
      </c>
      <c r="AE578" s="26"/>
      <c r="AF578" s="856" t="e">
        <f>IF(ISERROR(VLOOKUP(AG$2,X579:X$1003,1,FALSE)),IF(X578=AG$2,SUMIF(X$4:X578,AG$2,Z$4:Z578)+VLOOKUP(AF$2,$B$1057:$F$1068,5,FALSE)+SUM(AR$4:AR$1003)+SUMIF(COSTI!$X$1379:$X$1430,AG$2,COSTI!$Z$1379:$Z$1430),0),0)</f>
        <v>#N/A</v>
      </c>
      <c r="AG578" s="859"/>
      <c r="AH578" s="27" t="str">
        <f t="shared" si="106"/>
        <v/>
      </c>
      <c r="AI578" s="152">
        <f ca="1">IF(W579&gt;0,0,IF(AH578=0,(Z578*-1)+BC578+SUM(BB$4:BB577),BC578+SUM(BB$4:BB577)))</f>
        <v>-2.1316282072803006E-13</v>
      </c>
      <c r="AJ578" s="931">
        <f>IF(AND(AL578&gt;=$U$1,AL578&lt;=$U$2),IF(AM578='ESTRATTO CONTO'!$E$2,1+COUNTIF(AJ$4:AJ577,"&gt;0")+U$1015,0),0)</f>
        <v>0</v>
      </c>
      <c r="AK578" s="203">
        <f>IF(AND(OR((AK577+1)&lt;AL$1015,(AK577+1)=AL$1015),MAX(AK$4:AK577)&lt;AL$1015),AK577+1,0)</f>
        <v>0</v>
      </c>
      <c r="AL578" s="309">
        <f>VLOOKUP($AK578,ENTI!$AF$4:AG$1003,2,FALSE)</f>
        <v>0</v>
      </c>
      <c r="AM578" s="224">
        <f>VLOOKUP($AK578,ENTI!$AF$4:AH$1003,3,FALSE)</f>
        <v>0</v>
      </c>
      <c r="AN578" s="224">
        <f>VLOOKUP($AK578,ENTI!$AF$4:AI$1003,4,FALSE)</f>
        <v>0</v>
      </c>
      <c r="AO578" s="781">
        <f>VLOOKUP($AK578,ENTI!$AF$4:AJ$1003,5,FALSE)</f>
        <v>0</v>
      </c>
      <c r="AP578" s="315">
        <f>VLOOKUP($AK578,ENTI!$AF$4:AK$1003,6,FALSE)</f>
        <v>0</v>
      </c>
      <c r="AQ578" s="208">
        <f t="shared" si="113"/>
        <v>0</v>
      </c>
      <c r="AR578" s="152" t="e">
        <f t="shared" si="114"/>
        <v>#N/A</v>
      </c>
      <c r="AS578" s="1"/>
      <c r="AT578" s="88" t="str">
        <f t="shared" si="107"/>
        <v/>
      </c>
      <c r="AU578" s="1"/>
      <c r="AV578" s="175">
        <f>IF(AW578&gt;0,COUNTIF(AV$4:AV577,"&gt;0")+1,0)</f>
        <v>0</v>
      </c>
      <c r="AW578" s="164">
        <f t="shared" si="108"/>
        <v>0</v>
      </c>
      <c r="AX578" s="310">
        <f>IF($AW578=0,0,VLOOKUP(VLOOKUP($X578,$B$34:$T$38,19,FALSE),ENTI!$A$9:$B$13,2,FALSE))</f>
        <v>0</v>
      </c>
      <c r="AY578" s="310">
        <f t="shared" si="110"/>
        <v>0</v>
      </c>
      <c r="AZ578" s="316">
        <f t="shared" si="111"/>
        <v>0</v>
      </c>
      <c r="BA578" s="1"/>
      <c r="BB578" s="152">
        <f t="shared" si="112"/>
        <v>0</v>
      </c>
      <c r="BC578" s="152">
        <f ca="1">SUM(Z$4:Z578)+SUM(BB$4:BB578)+COSTI!S$6-COSTI!L$1076</f>
        <v>-31.760000000000218</v>
      </c>
      <c r="BD578" s="1"/>
    </row>
    <row r="579" spans="1:56" ht="16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435">
        <f>IF(AND(W579&gt;=$U$1,W579&lt;=$U$2),IF(X579='ESTRATTO CONTO'!$E$2,1+COUNTIF(U$4:U578,"&gt;0"),0),0)</f>
        <v>0</v>
      </c>
      <c r="V579" s="417">
        <f t="shared" si="109"/>
        <v>576</v>
      </c>
      <c r="W579" s="509"/>
      <c r="X579" s="321"/>
      <c r="Y579" s="321"/>
      <c r="Z579" s="508"/>
      <c r="AA579" s="356"/>
      <c r="AB579" s="306" t="str">
        <f t="shared" si="105"/>
        <v/>
      </c>
      <c r="AC579" s="637">
        <f t="shared" ca="1" si="115"/>
        <v>-2.1316282072803006E-13</v>
      </c>
      <c r="AD579" s="935">
        <f>IF(ISERROR(VLOOKUP(AD$2,X580:X$1003,1,FALSE)),IF(X579=AD$2,SUMIF(X$4:X579,AD$2,Z$4:Z579)+$E$9+SUM(AQ$4:AQ$1003)+SUMIF(COSTI!$X$1379:$X$1430,AD$2,COSTI!$Z$1379:$Z$1430),0),0)</f>
        <v>0</v>
      </c>
      <c r="AE579" s="26"/>
      <c r="AF579" s="856" t="e">
        <f>IF(ISERROR(VLOOKUP(AG$2,X580:X$1003,1,FALSE)),IF(X579=AG$2,SUMIF(X$4:X579,AG$2,Z$4:Z579)+VLOOKUP(AF$2,$B$1057:$F$1068,5,FALSE)+SUM(AR$4:AR$1003)+SUMIF(COSTI!$X$1379:$X$1430,AG$2,COSTI!$Z$1379:$Z$1430),0),0)</f>
        <v>#N/A</v>
      </c>
      <c r="AG579" s="859"/>
      <c r="AH579" s="27" t="str">
        <f t="shared" si="106"/>
        <v/>
      </c>
      <c r="AI579" s="152">
        <f ca="1">IF(W580&gt;0,0,IF(AH579=0,(Z579*-1)+BC579+SUM(BB$4:BB578),BC579+SUM(BB$4:BB578)))</f>
        <v>-2.1316282072803006E-13</v>
      </c>
      <c r="AJ579" s="931">
        <f>IF(AND(AL579&gt;=$U$1,AL579&lt;=$U$2),IF(AM579='ESTRATTO CONTO'!$E$2,1+COUNTIF(AJ$4:AJ578,"&gt;0")+U$1015,0),0)</f>
        <v>0</v>
      </c>
      <c r="AK579" s="203">
        <f>IF(AND(OR((AK578+1)&lt;AL$1015,(AK578+1)=AL$1015),MAX(AK$4:AK578)&lt;AL$1015),AK578+1,0)</f>
        <v>0</v>
      </c>
      <c r="AL579" s="309">
        <f>VLOOKUP($AK579,ENTI!$AF$4:AG$1003,2,FALSE)</f>
        <v>0</v>
      </c>
      <c r="AM579" s="224">
        <f>VLOOKUP($AK579,ENTI!$AF$4:AH$1003,3,FALSE)</f>
        <v>0</v>
      </c>
      <c r="AN579" s="224">
        <f>VLOOKUP($AK579,ENTI!$AF$4:AI$1003,4,FALSE)</f>
        <v>0</v>
      </c>
      <c r="AO579" s="781">
        <f>VLOOKUP($AK579,ENTI!$AF$4:AJ$1003,5,FALSE)</f>
        <v>0</v>
      </c>
      <c r="AP579" s="315">
        <f>VLOOKUP($AK579,ENTI!$AF$4:AK$1003,6,FALSE)</f>
        <v>0</v>
      </c>
      <c r="AQ579" s="208">
        <f t="shared" si="113"/>
        <v>0</v>
      </c>
      <c r="AR579" s="152" t="e">
        <f t="shared" si="114"/>
        <v>#N/A</v>
      </c>
      <c r="AS579" s="1"/>
      <c r="AT579" s="88" t="str">
        <f t="shared" si="107"/>
        <v/>
      </c>
      <c r="AU579" s="1"/>
      <c r="AV579" s="175">
        <f>IF(AW579&gt;0,COUNTIF(AV$4:AV578,"&gt;0")+1,0)</f>
        <v>0</v>
      </c>
      <c r="AW579" s="164">
        <f t="shared" si="108"/>
        <v>0</v>
      </c>
      <c r="AX579" s="310">
        <f>IF($AW579=0,0,VLOOKUP(VLOOKUP($X579,$B$34:$T$38,19,FALSE),ENTI!$A$9:$B$13,2,FALSE))</f>
        <v>0</v>
      </c>
      <c r="AY579" s="310">
        <f t="shared" si="110"/>
        <v>0</v>
      </c>
      <c r="AZ579" s="316">
        <f t="shared" si="111"/>
        <v>0</v>
      </c>
      <c r="BA579" s="1"/>
      <c r="BB579" s="152">
        <f t="shared" si="112"/>
        <v>0</v>
      </c>
      <c r="BC579" s="152">
        <f ca="1">SUM(Z$4:Z579)+SUM(BB$4:BB579)+COSTI!S$6-COSTI!L$1076</f>
        <v>-31.760000000000218</v>
      </c>
      <c r="BD579" s="1"/>
    </row>
    <row r="580" spans="1:56" ht="16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435">
        <f>IF(AND(W580&gt;=$U$1,W580&lt;=$U$2),IF(X580='ESTRATTO CONTO'!$E$2,1+COUNTIF(U$4:U579,"&gt;0"),0),0)</f>
        <v>0</v>
      </c>
      <c r="V580" s="417">
        <f t="shared" si="109"/>
        <v>577</v>
      </c>
      <c r="W580" s="509"/>
      <c r="X580" s="321"/>
      <c r="Y580" s="321"/>
      <c r="Z580" s="508"/>
      <c r="AA580" s="356"/>
      <c r="AB580" s="306" t="str">
        <f t="shared" ref="AB580:AB643" si="116">IF(W580&gt;0,IF(AND(W580&gt;=W$1012,W580&lt;=W$1013),CONCATENATE(MONTH(W580)&amp;X580),0),"")</f>
        <v/>
      </c>
      <c r="AC580" s="637">
        <f t="shared" ca="1" si="115"/>
        <v>-2.1316282072803006E-13</v>
      </c>
      <c r="AD580" s="935">
        <f>IF(ISERROR(VLOOKUP(AD$2,X581:X$1003,1,FALSE)),IF(X580=AD$2,SUMIF(X$4:X580,AD$2,Z$4:Z580)+$E$9+SUM(AQ$4:AQ$1003)+SUMIF(COSTI!$X$1379:$X$1430,AD$2,COSTI!$Z$1379:$Z$1430),0),0)</f>
        <v>0</v>
      </c>
      <c r="AE580" s="26"/>
      <c r="AF580" s="856" t="e">
        <f>IF(ISERROR(VLOOKUP(AG$2,X581:X$1003,1,FALSE)),IF(X580=AG$2,SUMIF(X$4:X580,AG$2,Z$4:Z580)+VLOOKUP(AF$2,$B$1057:$F$1068,5,FALSE)+SUM(AR$4:AR$1003)+SUMIF(COSTI!$X$1379:$X$1430,AG$2,COSTI!$Z$1379:$Z$1430),0),0)</f>
        <v>#N/A</v>
      </c>
      <c r="AG580" s="859"/>
      <c r="AH580" s="27" t="str">
        <f t="shared" ref="AH580:AH643" si="117">IF(ISBLANK(X580),"",IF(ISERROR(VLOOKUP(X580,B$34:B$38,1,FALSE)),1,0))</f>
        <v/>
      </c>
      <c r="AI580" s="152">
        <f ca="1">IF(W581&gt;0,0,IF(AH580=0,(Z580*-1)+BC580+SUM(BB$4:BB579),BC580+SUM(BB$4:BB579)))</f>
        <v>-2.1316282072803006E-13</v>
      </c>
      <c r="AJ580" s="931">
        <f>IF(AND(AL580&gt;=$U$1,AL580&lt;=$U$2),IF(AM580='ESTRATTO CONTO'!$E$2,1+COUNTIF(AJ$4:AJ579,"&gt;0")+U$1015,0),0)</f>
        <v>0</v>
      </c>
      <c r="AK580" s="203">
        <f>IF(AND(OR((AK579+1)&lt;AL$1015,(AK579+1)=AL$1015),MAX(AK$4:AK579)&lt;AL$1015),AK579+1,0)</f>
        <v>0</v>
      </c>
      <c r="AL580" s="309">
        <f>VLOOKUP($AK580,ENTI!$AF$4:AG$1003,2,FALSE)</f>
        <v>0</v>
      </c>
      <c r="AM580" s="224">
        <f>VLOOKUP($AK580,ENTI!$AF$4:AH$1003,3,FALSE)</f>
        <v>0</v>
      </c>
      <c r="AN580" s="224">
        <f>VLOOKUP($AK580,ENTI!$AF$4:AI$1003,4,FALSE)</f>
        <v>0</v>
      </c>
      <c r="AO580" s="781">
        <f>VLOOKUP($AK580,ENTI!$AF$4:AJ$1003,5,FALSE)</f>
        <v>0</v>
      </c>
      <c r="AP580" s="315">
        <f>VLOOKUP($AK580,ENTI!$AF$4:AK$1003,6,FALSE)</f>
        <v>0</v>
      </c>
      <c r="AQ580" s="208">
        <f t="shared" si="113"/>
        <v>0</v>
      </c>
      <c r="AR580" s="152" t="e">
        <f t="shared" si="114"/>
        <v>#N/A</v>
      </c>
      <c r="AS580" s="1"/>
      <c r="AT580" s="88" t="str">
        <f t="shared" ref="AT580:AT643" si="118">IF(AL580&gt;0,IF(AND(AL580&gt;=W$1012,AL580&lt;=W$1013),CONCATENATE(MONTH(AL580)&amp;AM580),0),"")</f>
        <v/>
      </c>
      <c r="AU580" s="1"/>
      <c r="AV580" s="175">
        <f>IF(AW580&gt;0,COUNTIF(AV$4:AV579,"&gt;0")+1,0)</f>
        <v>0</v>
      </c>
      <c r="AW580" s="164">
        <f t="shared" ref="AW580:AW643" si="119">IF(ISERROR(VLOOKUP($X580,$B$34:$B$38,1,FALSE)),0,W580)</f>
        <v>0</v>
      </c>
      <c r="AX580" s="310">
        <f>IF($AW580=0,0,VLOOKUP(VLOOKUP($X580,$B$34:$T$38,19,FALSE),ENTI!$A$9:$B$13,2,FALSE))</f>
        <v>0</v>
      </c>
      <c r="AY580" s="310">
        <f t="shared" si="110"/>
        <v>0</v>
      </c>
      <c r="AZ580" s="316">
        <f t="shared" si="111"/>
        <v>0</v>
      </c>
      <c r="BA580" s="1"/>
      <c r="BB580" s="152">
        <f t="shared" si="112"/>
        <v>0</v>
      </c>
      <c r="BC580" s="152">
        <f ca="1">SUM(Z$4:Z580)+SUM(BB$4:BB580)+COSTI!S$6-COSTI!L$1076</f>
        <v>-31.760000000000218</v>
      </c>
      <c r="BD580" s="1"/>
    </row>
    <row r="581" spans="1:56" ht="16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435">
        <f>IF(AND(W581&gt;=$U$1,W581&lt;=$U$2),IF(X581='ESTRATTO CONTO'!$E$2,1+COUNTIF(U$4:U580,"&gt;0"),0),0)</f>
        <v>0</v>
      </c>
      <c r="V581" s="417">
        <f t="shared" si="109"/>
        <v>578</v>
      </c>
      <c r="W581" s="509"/>
      <c r="X581" s="321"/>
      <c r="Y581" s="321"/>
      <c r="Z581" s="508"/>
      <c r="AA581" s="356"/>
      <c r="AB581" s="306" t="str">
        <f t="shared" si="116"/>
        <v/>
      </c>
      <c r="AC581" s="637">
        <f t="shared" ca="1" si="115"/>
        <v>-2.1316282072803006E-13</v>
      </c>
      <c r="AD581" s="935">
        <f>IF(ISERROR(VLOOKUP(AD$2,X582:X$1003,1,FALSE)),IF(X581=AD$2,SUMIF(X$4:X581,AD$2,Z$4:Z581)+$E$9+SUM(AQ$4:AQ$1003)+SUMIF(COSTI!$X$1379:$X$1430,AD$2,COSTI!$Z$1379:$Z$1430),0),0)</f>
        <v>0</v>
      </c>
      <c r="AE581" s="26"/>
      <c r="AF581" s="856" t="e">
        <f>IF(ISERROR(VLOOKUP(AG$2,X582:X$1003,1,FALSE)),IF(X581=AG$2,SUMIF(X$4:X581,AG$2,Z$4:Z581)+VLOOKUP(AF$2,$B$1057:$F$1068,5,FALSE)+SUM(AR$4:AR$1003)+SUMIF(COSTI!$X$1379:$X$1430,AG$2,COSTI!$Z$1379:$Z$1430),0),0)</f>
        <v>#N/A</v>
      </c>
      <c r="AG581" s="859"/>
      <c r="AH581" s="27" t="str">
        <f t="shared" si="117"/>
        <v/>
      </c>
      <c r="AI581" s="152">
        <f ca="1">IF(W582&gt;0,0,IF(AH581=0,(Z581*-1)+BC581+SUM(BB$4:BB580),BC581+SUM(BB$4:BB580)))</f>
        <v>-2.1316282072803006E-13</v>
      </c>
      <c r="AJ581" s="931">
        <f>IF(AND(AL581&gt;=$U$1,AL581&lt;=$U$2),IF(AM581='ESTRATTO CONTO'!$E$2,1+COUNTIF(AJ$4:AJ580,"&gt;0")+U$1015,0),0)</f>
        <v>0</v>
      </c>
      <c r="AK581" s="203">
        <f>IF(AND(OR((AK580+1)&lt;AL$1015,(AK580+1)=AL$1015),MAX(AK$4:AK580)&lt;AL$1015),AK580+1,0)</f>
        <v>0</v>
      </c>
      <c r="AL581" s="309">
        <f>VLOOKUP($AK581,ENTI!$AF$4:AG$1003,2,FALSE)</f>
        <v>0</v>
      </c>
      <c r="AM581" s="224">
        <f>VLOOKUP($AK581,ENTI!$AF$4:AH$1003,3,FALSE)</f>
        <v>0</v>
      </c>
      <c r="AN581" s="224">
        <f>VLOOKUP($AK581,ENTI!$AF$4:AI$1003,4,FALSE)</f>
        <v>0</v>
      </c>
      <c r="AO581" s="781">
        <f>VLOOKUP($AK581,ENTI!$AF$4:AJ$1003,5,FALSE)</f>
        <v>0</v>
      </c>
      <c r="AP581" s="315">
        <f>VLOOKUP($AK581,ENTI!$AF$4:AK$1003,6,FALSE)</f>
        <v>0</v>
      </c>
      <c r="AQ581" s="208">
        <f t="shared" si="113"/>
        <v>0</v>
      </c>
      <c r="AR581" s="152" t="e">
        <f t="shared" si="114"/>
        <v>#N/A</v>
      </c>
      <c r="AS581" s="1"/>
      <c r="AT581" s="88" t="str">
        <f t="shared" si="118"/>
        <v/>
      </c>
      <c r="AU581" s="1"/>
      <c r="AV581" s="175">
        <f>IF(AW581&gt;0,COUNTIF(AV$4:AV580,"&gt;0")+1,0)</f>
        <v>0</v>
      </c>
      <c r="AW581" s="164">
        <f t="shared" si="119"/>
        <v>0</v>
      </c>
      <c r="AX581" s="310">
        <f>IF($AW581=0,0,VLOOKUP(VLOOKUP($X581,$B$34:$T$38,19,FALSE),ENTI!$A$9:$B$13,2,FALSE))</f>
        <v>0</v>
      </c>
      <c r="AY581" s="310">
        <f t="shared" si="110"/>
        <v>0</v>
      </c>
      <c r="AZ581" s="316">
        <f t="shared" si="111"/>
        <v>0</v>
      </c>
      <c r="BA581" s="1"/>
      <c r="BB581" s="152">
        <f t="shared" si="112"/>
        <v>0</v>
      </c>
      <c r="BC581" s="152">
        <f ca="1">SUM(Z$4:Z581)+SUM(BB$4:BB581)+COSTI!S$6-COSTI!L$1076</f>
        <v>-31.760000000000218</v>
      </c>
      <c r="BD581" s="1"/>
    </row>
    <row r="582" spans="1:56" ht="16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435">
        <f>IF(AND(W582&gt;=$U$1,W582&lt;=$U$2),IF(X582='ESTRATTO CONTO'!$E$2,1+COUNTIF(U$4:U581,"&gt;0"),0),0)</f>
        <v>0</v>
      </c>
      <c r="V582" s="417">
        <f t="shared" ref="V582:V645" si="120">V581+1</f>
        <v>579</v>
      </c>
      <c r="W582" s="509"/>
      <c r="X582" s="321"/>
      <c r="Y582" s="321"/>
      <c r="Z582" s="508"/>
      <c r="AA582" s="356"/>
      <c r="AB582" s="306" t="str">
        <f t="shared" si="116"/>
        <v/>
      </c>
      <c r="AC582" s="637">
        <f t="shared" ca="1" si="115"/>
        <v>-2.1316282072803006E-13</v>
      </c>
      <c r="AD582" s="935">
        <f>IF(ISERROR(VLOOKUP(AD$2,X583:X$1003,1,FALSE)),IF(X582=AD$2,SUMIF(X$4:X582,AD$2,Z$4:Z582)+$E$9+SUM(AQ$4:AQ$1003)+SUMIF(COSTI!$X$1379:$X$1430,AD$2,COSTI!$Z$1379:$Z$1430),0),0)</f>
        <v>0</v>
      </c>
      <c r="AE582" s="26"/>
      <c r="AF582" s="856" t="e">
        <f>IF(ISERROR(VLOOKUP(AG$2,X583:X$1003,1,FALSE)),IF(X582=AG$2,SUMIF(X$4:X582,AG$2,Z$4:Z582)+VLOOKUP(AF$2,$B$1057:$F$1068,5,FALSE)+SUM(AR$4:AR$1003)+SUMIF(COSTI!$X$1379:$X$1430,AG$2,COSTI!$Z$1379:$Z$1430),0),0)</f>
        <v>#N/A</v>
      </c>
      <c r="AG582" s="859"/>
      <c r="AH582" s="27" t="str">
        <f t="shared" si="117"/>
        <v/>
      </c>
      <c r="AI582" s="152">
        <f ca="1">IF(W583&gt;0,0,IF(AH582=0,(Z582*-1)+BC582+SUM(BB$4:BB581),BC582+SUM(BB$4:BB581)))</f>
        <v>-2.1316282072803006E-13</v>
      </c>
      <c r="AJ582" s="931">
        <f>IF(AND(AL582&gt;=$U$1,AL582&lt;=$U$2),IF(AM582='ESTRATTO CONTO'!$E$2,1+COUNTIF(AJ$4:AJ581,"&gt;0")+U$1015,0),0)</f>
        <v>0</v>
      </c>
      <c r="AK582" s="203">
        <f>IF(AND(OR((AK581+1)&lt;AL$1015,(AK581+1)=AL$1015),MAX(AK$4:AK581)&lt;AL$1015),AK581+1,0)</f>
        <v>0</v>
      </c>
      <c r="AL582" s="309">
        <f>VLOOKUP($AK582,ENTI!$AF$4:AG$1003,2,FALSE)</f>
        <v>0</v>
      </c>
      <c r="AM582" s="224">
        <f>VLOOKUP($AK582,ENTI!$AF$4:AH$1003,3,FALSE)</f>
        <v>0</v>
      </c>
      <c r="AN582" s="224">
        <f>VLOOKUP($AK582,ENTI!$AF$4:AI$1003,4,FALSE)</f>
        <v>0</v>
      </c>
      <c r="AO582" s="781">
        <f>VLOOKUP($AK582,ENTI!$AF$4:AJ$1003,5,FALSE)</f>
        <v>0</v>
      </c>
      <c r="AP582" s="315">
        <f>VLOOKUP($AK582,ENTI!$AF$4:AK$1003,6,FALSE)</f>
        <v>0</v>
      </c>
      <c r="AQ582" s="208">
        <f t="shared" si="113"/>
        <v>0</v>
      </c>
      <c r="AR582" s="152" t="e">
        <f t="shared" si="114"/>
        <v>#N/A</v>
      </c>
      <c r="AS582" s="1"/>
      <c r="AT582" s="88" t="str">
        <f t="shared" si="118"/>
        <v/>
      </c>
      <c r="AU582" s="1"/>
      <c r="AV582" s="175">
        <f>IF(AW582&gt;0,COUNTIF(AV$4:AV581,"&gt;0")+1,0)</f>
        <v>0</v>
      </c>
      <c r="AW582" s="164">
        <f t="shared" si="119"/>
        <v>0</v>
      </c>
      <c r="AX582" s="310">
        <f>IF($AW582=0,0,VLOOKUP(VLOOKUP($X582,$B$34:$T$38,19,FALSE),ENTI!$A$9:$B$13,2,FALSE))</f>
        <v>0</v>
      </c>
      <c r="AY582" s="310">
        <f t="shared" ref="AY582:AY645" si="121">IF(AW582=0,0,Y582)</f>
        <v>0</v>
      </c>
      <c r="AZ582" s="316">
        <f t="shared" ref="AZ582:AZ645" si="122">IF(AW582=0,0,Z582)</f>
        <v>0</v>
      </c>
      <c r="BA582" s="1"/>
      <c r="BB582" s="152">
        <f t="shared" ref="BB582:BB645" si="123">IF(ISERROR(VLOOKUP(X582,B$9:D$15,1,FALSE)),Z582*-1,0)</f>
        <v>0</v>
      </c>
      <c r="BC582" s="152">
        <f ca="1">SUM(Z$4:Z582)+SUM(BB$4:BB582)+COSTI!S$6-COSTI!L$1076</f>
        <v>-31.760000000000218</v>
      </c>
      <c r="BD582" s="1"/>
    </row>
    <row r="583" spans="1:56" ht="16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435">
        <f>IF(AND(W583&gt;=$U$1,W583&lt;=$U$2),IF(X583='ESTRATTO CONTO'!$E$2,1+COUNTIF(U$4:U582,"&gt;0"),0),0)</f>
        <v>0</v>
      </c>
      <c r="V583" s="417">
        <f t="shared" si="120"/>
        <v>580</v>
      </c>
      <c r="W583" s="509"/>
      <c r="X583" s="321"/>
      <c r="Y583" s="321"/>
      <c r="Z583" s="508"/>
      <c r="AA583" s="356"/>
      <c r="AB583" s="306" t="str">
        <f t="shared" si="116"/>
        <v/>
      </c>
      <c r="AC583" s="637">
        <f t="shared" ca="1" si="115"/>
        <v>-2.1316282072803006E-13</v>
      </c>
      <c r="AD583" s="935">
        <f>IF(ISERROR(VLOOKUP(AD$2,X584:X$1003,1,FALSE)),IF(X583=AD$2,SUMIF(X$4:X583,AD$2,Z$4:Z583)+$E$9+SUM(AQ$4:AQ$1003)+SUMIF(COSTI!$X$1379:$X$1430,AD$2,COSTI!$Z$1379:$Z$1430),0),0)</f>
        <v>0</v>
      </c>
      <c r="AE583" s="26"/>
      <c r="AF583" s="856" t="e">
        <f>IF(ISERROR(VLOOKUP(AG$2,X584:X$1003,1,FALSE)),IF(X583=AG$2,SUMIF(X$4:X583,AG$2,Z$4:Z583)+VLOOKUP(AF$2,$B$1057:$F$1068,5,FALSE)+SUM(AR$4:AR$1003)+SUMIF(COSTI!$X$1379:$X$1430,AG$2,COSTI!$Z$1379:$Z$1430),0),0)</f>
        <v>#N/A</v>
      </c>
      <c r="AG583" s="859"/>
      <c r="AH583" s="27" t="str">
        <f t="shared" si="117"/>
        <v/>
      </c>
      <c r="AI583" s="152">
        <f ca="1">IF(W584&gt;0,0,IF(AH583=0,(Z583*-1)+BC583+SUM(BB$4:BB582),BC583+SUM(BB$4:BB582)))</f>
        <v>-2.1316282072803006E-13</v>
      </c>
      <c r="AJ583" s="931">
        <f>IF(AND(AL583&gt;=$U$1,AL583&lt;=$U$2),IF(AM583='ESTRATTO CONTO'!$E$2,1+COUNTIF(AJ$4:AJ582,"&gt;0")+U$1015,0),0)</f>
        <v>0</v>
      </c>
      <c r="AK583" s="203">
        <f>IF(AND(OR((AK582+1)&lt;AL$1015,(AK582+1)=AL$1015),MAX(AK$4:AK582)&lt;AL$1015),AK582+1,0)</f>
        <v>0</v>
      </c>
      <c r="AL583" s="309">
        <f>VLOOKUP($AK583,ENTI!$AF$4:AG$1003,2,FALSE)</f>
        <v>0</v>
      </c>
      <c r="AM583" s="224">
        <f>VLOOKUP($AK583,ENTI!$AF$4:AH$1003,3,FALSE)</f>
        <v>0</v>
      </c>
      <c r="AN583" s="224">
        <f>VLOOKUP($AK583,ENTI!$AF$4:AI$1003,4,FALSE)</f>
        <v>0</v>
      </c>
      <c r="AO583" s="781">
        <f>VLOOKUP($AK583,ENTI!$AF$4:AJ$1003,5,FALSE)</f>
        <v>0</v>
      </c>
      <c r="AP583" s="315">
        <f>VLOOKUP($AK583,ENTI!$AF$4:AK$1003,6,FALSE)</f>
        <v>0</v>
      </c>
      <c r="AQ583" s="208">
        <f t="shared" si="113"/>
        <v>0</v>
      </c>
      <c r="AR583" s="152" t="e">
        <f t="shared" si="114"/>
        <v>#N/A</v>
      </c>
      <c r="AS583" s="1"/>
      <c r="AT583" s="88" t="str">
        <f t="shared" si="118"/>
        <v/>
      </c>
      <c r="AU583" s="1"/>
      <c r="AV583" s="175">
        <f>IF(AW583&gt;0,COUNTIF(AV$4:AV582,"&gt;0")+1,0)</f>
        <v>0</v>
      </c>
      <c r="AW583" s="164">
        <f t="shared" si="119"/>
        <v>0</v>
      </c>
      <c r="AX583" s="310">
        <f>IF($AW583=0,0,VLOOKUP(VLOOKUP($X583,$B$34:$T$38,19,FALSE),ENTI!$A$9:$B$13,2,FALSE))</f>
        <v>0</v>
      </c>
      <c r="AY583" s="310">
        <f t="shared" si="121"/>
        <v>0</v>
      </c>
      <c r="AZ583" s="316">
        <f t="shared" si="122"/>
        <v>0</v>
      </c>
      <c r="BA583" s="1"/>
      <c r="BB583" s="152">
        <f t="shared" si="123"/>
        <v>0</v>
      </c>
      <c r="BC583" s="152">
        <f ca="1">SUM(Z$4:Z583)+SUM(BB$4:BB583)+COSTI!S$6-COSTI!L$1076</f>
        <v>-31.760000000000218</v>
      </c>
      <c r="BD583" s="1"/>
    </row>
    <row r="584" spans="1:56" ht="16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435">
        <f>IF(AND(W584&gt;=$U$1,W584&lt;=$U$2),IF(X584='ESTRATTO CONTO'!$E$2,1+COUNTIF(U$4:U583,"&gt;0"),0),0)</f>
        <v>0</v>
      </c>
      <c r="V584" s="417">
        <f t="shared" si="120"/>
        <v>581</v>
      </c>
      <c r="W584" s="509"/>
      <c r="X584" s="321"/>
      <c r="Y584" s="321"/>
      <c r="Z584" s="508"/>
      <c r="AA584" s="356"/>
      <c r="AB584" s="306" t="str">
        <f t="shared" si="116"/>
        <v/>
      </c>
      <c r="AC584" s="637">
        <f t="shared" ca="1" si="115"/>
        <v>-2.1316282072803006E-13</v>
      </c>
      <c r="AD584" s="935">
        <f>IF(ISERROR(VLOOKUP(AD$2,X585:X$1003,1,FALSE)),IF(X584=AD$2,SUMIF(X$4:X584,AD$2,Z$4:Z584)+$E$9+SUM(AQ$4:AQ$1003)+SUMIF(COSTI!$X$1379:$X$1430,AD$2,COSTI!$Z$1379:$Z$1430),0),0)</f>
        <v>0</v>
      </c>
      <c r="AE584" s="26"/>
      <c r="AF584" s="856" t="e">
        <f>IF(ISERROR(VLOOKUP(AG$2,X585:X$1003,1,FALSE)),IF(X584=AG$2,SUMIF(X$4:X584,AG$2,Z$4:Z584)+VLOOKUP(AF$2,$B$1057:$F$1068,5,FALSE)+SUM(AR$4:AR$1003)+SUMIF(COSTI!$X$1379:$X$1430,AG$2,COSTI!$Z$1379:$Z$1430),0),0)</f>
        <v>#N/A</v>
      </c>
      <c r="AG584" s="859"/>
      <c r="AH584" s="27" t="str">
        <f t="shared" si="117"/>
        <v/>
      </c>
      <c r="AI584" s="152">
        <f ca="1">IF(W585&gt;0,0,IF(AH584=0,(Z584*-1)+BC584+SUM(BB$4:BB583),BC584+SUM(BB$4:BB583)))</f>
        <v>-2.1316282072803006E-13</v>
      </c>
      <c r="AJ584" s="931">
        <f>IF(AND(AL584&gt;=$U$1,AL584&lt;=$U$2),IF(AM584='ESTRATTO CONTO'!$E$2,1+COUNTIF(AJ$4:AJ583,"&gt;0")+U$1015,0),0)</f>
        <v>0</v>
      </c>
      <c r="AK584" s="203">
        <f>IF(AND(OR((AK583+1)&lt;AL$1015,(AK583+1)=AL$1015),MAX(AK$4:AK583)&lt;AL$1015),AK583+1,0)</f>
        <v>0</v>
      </c>
      <c r="AL584" s="309">
        <f>VLOOKUP($AK584,ENTI!$AF$4:AG$1003,2,FALSE)</f>
        <v>0</v>
      </c>
      <c r="AM584" s="224">
        <f>VLOOKUP($AK584,ENTI!$AF$4:AH$1003,3,FALSE)</f>
        <v>0</v>
      </c>
      <c r="AN584" s="224">
        <f>VLOOKUP($AK584,ENTI!$AF$4:AI$1003,4,FALSE)</f>
        <v>0</v>
      </c>
      <c r="AO584" s="781">
        <f>VLOOKUP($AK584,ENTI!$AF$4:AJ$1003,5,FALSE)</f>
        <v>0</v>
      </c>
      <c r="AP584" s="315">
        <f>VLOOKUP($AK584,ENTI!$AF$4:AK$1003,6,FALSE)</f>
        <v>0</v>
      </c>
      <c r="AQ584" s="208">
        <f t="shared" si="113"/>
        <v>0</v>
      </c>
      <c r="AR584" s="152" t="e">
        <f t="shared" si="114"/>
        <v>#N/A</v>
      </c>
      <c r="AS584" s="1"/>
      <c r="AT584" s="88" t="str">
        <f t="shared" si="118"/>
        <v/>
      </c>
      <c r="AU584" s="1"/>
      <c r="AV584" s="175">
        <f>IF(AW584&gt;0,COUNTIF(AV$4:AV583,"&gt;0")+1,0)</f>
        <v>0</v>
      </c>
      <c r="AW584" s="164">
        <f t="shared" si="119"/>
        <v>0</v>
      </c>
      <c r="AX584" s="310">
        <f>IF($AW584=0,0,VLOOKUP(VLOOKUP($X584,$B$34:$T$38,19,FALSE),ENTI!$A$9:$B$13,2,FALSE))</f>
        <v>0</v>
      </c>
      <c r="AY584" s="310">
        <f t="shared" si="121"/>
        <v>0</v>
      </c>
      <c r="AZ584" s="316">
        <f t="shared" si="122"/>
        <v>0</v>
      </c>
      <c r="BA584" s="1"/>
      <c r="BB584" s="152">
        <f t="shared" si="123"/>
        <v>0</v>
      </c>
      <c r="BC584" s="152">
        <f ca="1">SUM(Z$4:Z584)+SUM(BB$4:BB584)+COSTI!S$6-COSTI!L$1076</f>
        <v>-31.760000000000218</v>
      </c>
      <c r="BD584" s="1"/>
    </row>
    <row r="585" spans="1:56" ht="16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435">
        <f>IF(AND(W585&gt;=$U$1,W585&lt;=$U$2),IF(X585='ESTRATTO CONTO'!$E$2,1+COUNTIF(U$4:U584,"&gt;0"),0),0)</f>
        <v>0</v>
      </c>
      <c r="V585" s="417">
        <f t="shared" si="120"/>
        <v>582</v>
      </c>
      <c r="W585" s="509"/>
      <c r="X585" s="321"/>
      <c r="Y585" s="321"/>
      <c r="Z585" s="508"/>
      <c r="AA585" s="356"/>
      <c r="AB585" s="306" t="str">
        <f t="shared" si="116"/>
        <v/>
      </c>
      <c r="AC585" s="637">
        <f t="shared" ca="1" si="115"/>
        <v>-2.1316282072803006E-13</v>
      </c>
      <c r="AD585" s="935">
        <f>IF(ISERROR(VLOOKUP(AD$2,X586:X$1003,1,FALSE)),IF(X585=AD$2,SUMIF(X$4:X585,AD$2,Z$4:Z585)+$E$9+SUM(AQ$4:AQ$1003)+SUMIF(COSTI!$X$1379:$X$1430,AD$2,COSTI!$Z$1379:$Z$1430),0),0)</f>
        <v>0</v>
      </c>
      <c r="AE585" s="26"/>
      <c r="AF585" s="856" t="e">
        <f>IF(ISERROR(VLOOKUP(AG$2,X586:X$1003,1,FALSE)),IF(X585=AG$2,SUMIF(X$4:X585,AG$2,Z$4:Z585)+VLOOKUP(AF$2,$B$1057:$F$1068,5,FALSE)+SUM(AR$4:AR$1003)+SUMIF(COSTI!$X$1379:$X$1430,AG$2,COSTI!$Z$1379:$Z$1430),0),0)</f>
        <v>#N/A</v>
      </c>
      <c r="AG585" s="859"/>
      <c r="AH585" s="27" t="str">
        <f t="shared" si="117"/>
        <v/>
      </c>
      <c r="AI585" s="152">
        <f ca="1">IF(W586&gt;0,0,IF(AH585=0,(Z585*-1)+BC585+SUM(BB$4:BB584),BC585+SUM(BB$4:BB584)))</f>
        <v>-2.1316282072803006E-13</v>
      </c>
      <c r="AJ585" s="931">
        <f>IF(AND(AL585&gt;=$U$1,AL585&lt;=$U$2),IF(AM585='ESTRATTO CONTO'!$E$2,1+COUNTIF(AJ$4:AJ584,"&gt;0")+U$1015,0),0)</f>
        <v>0</v>
      </c>
      <c r="AK585" s="203">
        <f>IF(AND(OR((AK584+1)&lt;AL$1015,(AK584+1)=AL$1015),MAX(AK$4:AK584)&lt;AL$1015),AK584+1,0)</f>
        <v>0</v>
      </c>
      <c r="AL585" s="309">
        <f>VLOOKUP($AK585,ENTI!$AF$4:AG$1003,2,FALSE)</f>
        <v>0</v>
      </c>
      <c r="AM585" s="224">
        <f>VLOOKUP($AK585,ENTI!$AF$4:AH$1003,3,FALSE)</f>
        <v>0</v>
      </c>
      <c r="AN585" s="224">
        <f>VLOOKUP($AK585,ENTI!$AF$4:AI$1003,4,FALSE)</f>
        <v>0</v>
      </c>
      <c r="AO585" s="781">
        <f>VLOOKUP($AK585,ENTI!$AF$4:AJ$1003,5,FALSE)</f>
        <v>0</v>
      </c>
      <c r="AP585" s="315">
        <f>VLOOKUP($AK585,ENTI!$AF$4:AK$1003,6,FALSE)</f>
        <v>0</v>
      </c>
      <c r="AQ585" s="208">
        <f t="shared" si="113"/>
        <v>0</v>
      </c>
      <c r="AR585" s="152" t="e">
        <f t="shared" si="114"/>
        <v>#N/A</v>
      </c>
      <c r="AS585" s="1"/>
      <c r="AT585" s="88" t="str">
        <f t="shared" si="118"/>
        <v/>
      </c>
      <c r="AU585" s="1"/>
      <c r="AV585" s="175">
        <f>IF(AW585&gt;0,COUNTIF(AV$4:AV584,"&gt;0")+1,0)</f>
        <v>0</v>
      </c>
      <c r="AW585" s="164">
        <f t="shared" si="119"/>
        <v>0</v>
      </c>
      <c r="AX585" s="310">
        <f>IF($AW585=0,0,VLOOKUP(VLOOKUP($X585,$B$34:$T$38,19,FALSE),ENTI!$A$9:$B$13,2,FALSE))</f>
        <v>0</v>
      </c>
      <c r="AY585" s="310">
        <f t="shared" si="121"/>
        <v>0</v>
      </c>
      <c r="AZ585" s="316">
        <f t="shared" si="122"/>
        <v>0</v>
      </c>
      <c r="BA585" s="1"/>
      <c r="BB585" s="152">
        <f t="shared" si="123"/>
        <v>0</v>
      </c>
      <c r="BC585" s="152">
        <f ca="1">SUM(Z$4:Z585)+SUM(BB$4:BB585)+COSTI!S$6-COSTI!L$1076</f>
        <v>-31.760000000000218</v>
      </c>
      <c r="BD585" s="1"/>
    </row>
    <row r="586" spans="1:56" ht="16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435">
        <f>IF(AND(W586&gt;=$U$1,W586&lt;=$U$2),IF(X586='ESTRATTO CONTO'!$E$2,1+COUNTIF(U$4:U585,"&gt;0"),0),0)</f>
        <v>0</v>
      </c>
      <c r="V586" s="417">
        <f t="shared" si="120"/>
        <v>583</v>
      </c>
      <c r="W586" s="509"/>
      <c r="X586" s="321"/>
      <c r="Y586" s="321"/>
      <c r="Z586" s="508"/>
      <c r="AA586" s="356"/>
      <c r="AB586" s="306" t="str">
        <f t="shared" si="116"/>
        <v/>
      </c>
      <c r="AC586" s="637">
        <f t="shared" ca="1" si="115"/>
        <v>-2.1316282072803006E-13</v>
      </c>
      <c r="AD586" s="935">
        <f>IF(ISERROR(VLOOKUP(AD$2,X587:X$1003,1,FALSE)),IF(X586=AD$2,SUMIF(X$4:X586,AD$2,Z$4:Z586)+$E$9+SUM(AQ$4:AQ$1003)+SUMIF(COSTI!$X$1379:$X$1430,AD$2,COSTI!$Z$1379:$Z$1430),0),0)</f>
        <v>0</v>
      </c>
      <c r="AE586" s="26"/>
      <c r="AF586" s="856" t="e">
        <f>IF(ISERROR(VLOOKUP(AG$2,X587:X$1003,1,FALSE)),IF(X586=AG$2,SUMIF(X$4:X586,AG$2,Z$4:Z586)+VLOOKUP(AF$2,$B$1057:$F$1068,5,FALSE)+SUM(AR$4:AR$1003)+SUMIF(COSTI!$X$1379:$X$1430,AG$2,COSTI!$Z$1379:$Z$1430),0),0)</f>
        <v>#N/A</v>
      </c>
      <c r="AG586" s="859"/>
      <c r="AH586" s="27" t="str">
        <f t="shared" si="117"/>
        <v/>
      </c>
      <c r="AI586" s="152">
        <f ca="1">IF(W587&gt;0,0,IF(AH586=0,(Z586*-1)+BC586+SUM(BB$4:BB585),BC586+SUM(BB$4:BB585)))</f>
        <v>-2.1316282072803006E-13</v>
      </c>
      <c r="AJ586" s="931">
        <f>IF(AND(AL586&gt;=$U$1,AL586&lt;=$U$2),IF(AM586='ESTRATTO CONTO'!$E$2,1+COUNTIF(AJ$4:AJ585,"&gt;0")+U$1015,0),0)</f>
        <v>0</v>
      </c>
      <c r="AK586" s="203">
        <f>IF(AND(OR((AK585+1)&lt;AL$1015,(AK585+1)=AL$1015),MAX(AK$4:AK585)&lt;AL$1015),AK585+1,0)</f>
        <v>0</v>
      </c>
      <c r="AL586" s="309">
        <f>VLOOKUP($AK586,ENTI!$AF$4:AG$1003,2,FALSE)</f>
        <v>0</v>
      </c>
      <c r="AM586" s="224">
        <f>VLOOKUP($AK586,ENTI!$AF$4:AH$1003,3,FALSE)</f>
        <v>0</v>
      </c>
      <c r="AN586" s="224">
        <f>VLOOKUP($AK586,ENTI!$AF$4:AI$1003,4,FALSE)</f>
        <v>0</v>
      </c>
      <c r="AO586" s="781">
        <f>VLOOKUP($AK586,ENTI!$AF$4:AJ$1003,5,FALSE)</f>
        <v>0</v>
      </c>
      <c r="AP586" s="315">
        <f>VLOOKUP($AK586,ENTI!$AF$4:AK$1003,6,FALSE)</f>
        <v>0</v>
      </c>
      <c r="AQ586" s="208">
        <f t="shared" si="113"/>
        <v>0</v>
      </c>
      <c r="AR586" s="152" t="e">
        <f t="shared" si="114"/>
        <v>#N/A</v>
      </c>
      <c r="AS586" s="1"/>
      <c r="AT586" s="88" t="str">
        <f t="shared" si="118"/>
        <v/>
      </c>
      <c r="AU586" s="1"/>
      <c r="AV586" s="175">
        <f>IF(AW586&gt;0,COUNTIF(AV$4:AV585,"&gt;0")+1,0)</f>
        <v>0</v>
      </c>
      <c r="AW586" s="164">
        <f t="shared" si="119"/>
        <v>0</v>
      </c>
      <c r="AX586" s="310">
        <f>IF($AW586=0,0,VLOOKUP(VLOOKUP($X586,$B$34:$T$38,19,FALSE),ENTI!$A$9:$B$13,2,FALSE))</f>
        <v>0</v>
      </c>
      <c r="AY586" s="310">
        <f t="shared" si="121"/>
        <v>0</v>
      </c>
      <c r="AZ586" s="316">
        <f t="shared" si="122"/>
        <v>0</v>
      </c>
      <c r="BA586" s="1"/>
      <c r="BB586" s="152">
        <f t="shared" si="123"/>
        <v>0</v>
      </c>
      <c r="BC586" s="152">
        <f ca="1">SUM(Z$4:Z586)+SUM(BB$4:BB586)+COSTI!S$6-COSTI!L$1076</f>
        <v>-31.760000000000218</v>
      </c>
      <c r="BD586" s="1"/>
    </row>
    <row r="587" spans="1:56" ht="16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435">
        <f>IF(AND(W587&gt;=$U$1,W587&lt;=$U$2),IF(X587='ESTRATTO CONTO'!$E$2,1+COUNTIF(U$4:U586,"&gt;0"),0),0)</f>
        <v>0</v>
      </c>
      <c r="V587" s="417">
        <f t="shared" si="120"/>
        <v>584</v>
      </c>
      <c r="W587" s="509"/>
      <c r="X587" s="321"/>
      <c r="Y587" s="321"/>
      <c r="Z587" s="508"/>
      <c r="AA587" s="356"/>
      <c r="AB587" s="306" t="str">
        <f t="shared" si="116"/>
        <v/>
      </c>
      <c r="AC587" s="637">
        <f t="shared" ca="1" si="115"/>
        <v>-2.1316282072803006E-13</v>
      </c>
      <c r="AD587" s="935">
        <f>IF(ISERROR(VLOOKUP(AD$2,X588:X$1003,1,FALSE)),IF(X587=AD$2,SUMIF(X$4:X587,AD$2,Z$4:Z587)+$E$9+SUM(AQ$4:AQ$1003)+SUMIF(COSTI!$X$1379:$X$1430,AD$2,COSTI!$Z$1379:$Z$1430),0),0)</f>
        <v>0</v>
      </c>
      <c r="AE587" s="26"/>
      <c r="AF587" s="856" t="e">
        <f>IF(ISERROR(VLOOKUP(AG$2,X588:X$1003,1,FALSE)),IF(X587=AG$2,SUMIF(X$4:X587,AG$2,Z$4:Z587)+VLOOKUP(AF$2,$B$1057:$F$1068,5,FALSE)+SUM(AR$4:AR$1003)+SUMIF(COSTI!$X$1379:$X$1430,AG$2,COSTI!$Z$1379:$Z$1430),0),0)</f>
        <v>#N/A</v>
      </c>
      <c r="AG587" s="859"/>
      <c r="AH587" s="27" t="str">
        <f t="shared" si="117"/>
        <v/>
      </c>
      <c r="AI587" s="152">
        <f ca="1">IF(W588&gt;0,0,IF(AH587=0,(Z587*-1)+BC587+SUM(BB$4:BB586),BC587+SUM(BB$4:BB586)))</f>
        <v>-2.1316282072803006E-13</v>
      </c>
      <c r="AJ587" s="931">
        <f>IF(AND(AL587&gt;=$U$1,AL587&lt;=$U$2),IF(AM587='ESTRATTO CONTO'!$E$2,1+COUNTIF(AJ$4:AJ586,"&gt;0")+U$1015,0),0)</f>
        <v>0</v>
      </c>
      <c r="AK587" s="203">
        <f>IF(AND(OR((AK586+1)&lt;AL$1015,(AK586+1)=AL$1015),MAX(AK$4:AK586)&lt;AL$1015),AK586+1,0)</f>
        <v>0</v>
      </c>
      <c r="AL587" s="309">
        <f>VLOOKUP($AK587,ENTI!$AF$4:AG$1003,2,FALSE)</f>
        <v>0</v>
      </c>
      <c r="AM587" s="224">
        <f>VLOOKUP($AK587,ENTI!$AF$4:AH$1003,3,FALSE)</f>
        <v>0</v>
      </c>
      <c r="AN587" s="224">
        <f>VLOOKUP($AK587,ENTI!$AF$4:AI$1003,4,FALSE)</f>
        <v>0</v>
      </c>
      <c r="AO587" s="781">
        <f>VLOOKUP($AK587,ENTI!$AF$4:AJ$1003,5,FALSE)</f>
        <v>0</v>
      </c>
      <c r="AP587" s="315">
        <f>VLOOKUP($AK587,ENTI!$AF$4:AK$1003,6,FALSE)</f>
        <v>0</v>
      </c>
      <c r="AQ587" s="208">
        <f t="shared" si="113"/>
        <v>0</v>
      </c>
      <c r="AR587" s="152" t="e">
        <f t="shared" si="114"/>
        <v>#N/A</v>
      </c>
      <c r="AS587" s="1"/>
      <c r="AT587" s="88" t="str">
        <f t="shared" si="118"/>
        <v/>
      </c>
      <c r="AU587" s="1"/>
      <c r="AV587" s="175">
        <f>IF(AW587&gt;0,COUNTIF(AV$4:AV586,"&gt;0")+1,0)</f>
        <v>0</v>
      </c>
      <c r="AW587" s="164">
        <f t="shared" si="119"/>
        <v>0</v>
      </c>
      <c r="AX587" s="310">
        <f>IF($AW587=0,0,VLOOKUP(VLOOKUP($X587,$B$34:$T$38,19,FALSE),ENTI!$A$9:$B$13,2,FALSE))</f>
        <v>0</v>
      </c>
      <c r="AY587" s="310">
        <f t="shared" si="121"/>
        <v>0</v>
      </c>
      <c r="AZ587" s="316">
        <f t="shared" si="122"/>
        <v>0</v>
      </c>
      <c r="BA587" s="1"/>
      <c r="BB587" s="152">
        <f t="shared" si="123"/>
        <v>0</v>
      </c>
      <c r="BC587" s="152">
        <f ca="1">SUM(Z$4:Z587)+SUM(BB$4:BB587)+COSTI!S$6-COSTI!L$1076</f>
        <v>-31.760000000000218</v>
      </c>
      <c r="BD587" s="1"/>
    </row>
    <row r="588" spans="1:56" ht="16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435">
        <f>IF(AND(W588&gt;=$U$1,W588&lt;=$U$2),IF(X588='ESTRATTO CONTO'!$E$2,1+COUNTIF(U$4:U587,"&gt;0"),0),0)</f>
        <v>0</v>
      </c>
      <c r="V588" s="417">
        <f t="shared" si="120"/>
        <v>585</v>
      </c>
      <c r="W588" s="509"/>
      <c r="X588" s="321"/>
      <c r="Y588" s="321"/>
      <c r="Z588" s="508"/>
      <c r="AA588" s="356"/>
      <c r="AB588" s="306" t="str">
        <f t="shared" si="116"/>
        <v/>
      </c>
      <c r="AC588" s="637">
        <f t="shared" ca="1" si="115"/>
        <v>-2.1316282072803006E-13</v>
      </c>
      <c r="AD588" s="935">
        <f>IF(ISERROR(VLOOKUP(AD$2,X589:X$1003,1,FALSE)),IF(X588=AD$2,SUMIF(X$4:X588,AD$2,Z$4:Z588)+$E$9+SUM(AQ$4:AQ$1003)+SUMIF(COSTI!$X$1379:$X$1430,AD$2,COSTI!$Z$1379:$Z$1430),0),0)</f>
        <v>0</v>
      </c>
      <c r="AE588" s="26"/>
      <c r="AF588" s="856" t="e">
        <f>IF(ISERROR(VLOOKUP(AG$2,X589:X$1003,1,FALSE)),IF(X588=AG$2,SUMIF(X$4:X588,AG$2,Z$4:Z588)+VLOOKUP(AF$2,$B$1057:$F$1068,5,FALSE)+SUM(AR$4:AR$1003)+SUMIF(COSTI!$X$1379:$X$1430,AG$2,COSTI!$Z$1379:$Z$1430),0),0)</f>
        <v>#N/A</v>
      </c>
      <c r="AG588" s="859"/>
      <c r="AH588" s="27" t="str">
        <f t="shared" si="117"/>
        <v/>
      </c>
      <c r="AI588" s="152">
        <f ca="1">IF(W589&gt;0,0,IF(AH588=0,(Z588*-1)+BC588+SUM(BB$4:BB587),BC588+SUM(BB$4:BB587)))</f>
        <v>-2.1316282072803006E-13</v>
      </c>
      <c r="AJ588" s="931">
        <f>IF(AND(AL588&gt;=$U$1,AL588&lt;=$U$2),IF(AM588='ESTRATTO CONTO'!$E$2,1+COUNTIF(AJ$4:AJ587,"&gt;0")+U$1015,0),0)</f>
        <v>0</v>
      </c>
      <c r="AK588" s="203">
        <f>IF(AND(OR((AK587+1)&lt;AL$1015,(AK587+1)=AL$1015),MAX(AK$4:AK587)&lt;AL$1015),AK587+1,0)</f>
        <v>0</v>
      </c>
      <c r="AL588" s="309">
        <f>VLOOKUP($AK588,ENTI!$AF$4:AG$1003,2,FALSE)</f>
        <v>0</v>
      </c>
      <c r="AM588" s="224">
        <f>VLOOKUP($AK588,ENTI!$AF$4:AH$1003,3,FALSE)</f>
        <v>0</v>
      </c>
      <c r="AN588" s="224">
        <f>VLOOKUP($AK588,ENTI!$AF$4:AI$1003,4,FALSE)</f>
        <v>0</v>
      </c>
      <c r="AO588" s="781">
        <f>VLOOKUP($AK588,ENTI!$AF$4:AJ$1003,5,FALSE)</f>
        <v>0</v>
      </c>
      <c r="AP588" s="315">
        <f>VLOOKUP($AK588,ENTI!$AF$4:AK$1003,6,FALSE)</f>
        <v>0</v>
      </c>
      <c r="AQ588" s="208">
        <f t="shared" si="113"/>
        <v>0</v>
      </c>
      <c r="AR588" s="152" t="e">
        <f t="shared" si="114"/>
        <v>#N/A</v>
      </c>
      <c r="AS588" s="1"/>
      <c r="AT588" s="88" t="str">
        <f t="shared" si="118"/>
        <v/>
      </c>
      <c r="AU588" s="1"/>
      <c r="AV588" s="175">
        <f>IF(AW588&gt;0,COUNTIF(AV$4:AV587,"&gt;0")+1,0)</f>
        <v>0</v>
      </c>
      <c r="AW588" s="164">
        <f t="shared" si="119"/>
        <v>0</v>
      </c>
      <c r="AX588" s="310">
        <f>IF($AW588=0,0,VLOOKUP(VLOOKUP($X588,$B$34:$T$38,19,FALSE),ENTI!$A$9:$B$13,2,FALSE))</f>
        <v>0</v>
      </c>
      <c r="AY588" s="310">
        <f t="shared" si="121"/>
        <v>0</v>
      </c>
      <c r="AZ588" s="316">
        <f t="shared" si="122"/>
        <v>0</v>
      </c>
      <c r="BA588" s="1"/>
      <c r="BB588" s="152">
        <f t="shared" si="123"/>
        <v>0</v>
      </c>
      <c r="BC588" s="152">
        <f ca="1">SUM(Z$4:Z588)+SUM(BB$4:BB588)+COSTI!S$6-COSTI!L$1076</f>
        <v>-31.760000000000218</v>
      </c>
      <c r="BD588" s="1"/>
    </row>
    <row r="589" spans="1:56" ht="16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435">
        <f>IF(AND(W589&gt;=$U$1,W589&lt;=$U$2),IF(X589='ESTRATTO CONTO'!$E$2,1+COUNTIF(U$4:U588,"&gt;0"),0),0)</f>
        <v>0</v>
      </c>
      <c r="V589" s="417">
        <f t="shared" si="120"/>
        <v>586</v>
      </c>
      <c r="W589" s="509"/>
      <c r="X589" s="321"/>
      <c r="Y589" s="321"/>
      <c r="Z589" s="508"/>
      <c r="AA589" s="356"/>
      <c r="AB589" s="306" t="str">
        <f t="shared" si="116"/>
        <v/>
      </c>
      <c r="AC589" s="637">
        <f t="shared" ca="1" si="115"/>
        <v>-2.1316282072803006E-13</v>
      </c>
      <c r="AD589" s="935">
        <f>IF(ISERROR(VLOOKUP(AD$2,X590:X$1003,1,FALSE)),IF(X589=AD$2,SUMIF(X$4:X589,AD$2,Z$4:Z589)+$E$9+SUM(AQ$4:AQ$1003)+SUMIF(COSTI!$X$1379:$X$1430,AD$2,COSTI!$Z$1379:$Z$1430),0),0)</f>
        <v>0</v>
      </c>
      <c r="AE589" s="26"/>
      <c r="AF589" s="856" t="e">
        <f>IF(ISERROR(VLOOKUP(AG$2,X590:X$1003,1,FALSE)),IF(X589=AG$2,SUMIF(X$4:X589,AG$2,Z$4:Z589)+VLOOKUP(AF$2,$B$1057:$F$1068,5,FALSE)+SUM(AR$4:AR$1003)+SUMIF(COSTI!$X$1379:$X$1430,AG$2,COSTI!$Z$1379:$Z$1430),0),0)</f>
        <v>#N/A</v>
      </c>
      <c r="AG589" s="859"/>
      <c r="AH589" s="27" t="str">
        <f t="shared" si="117"/>
        <v/>
      </c>
      <c r="AI589" s="152">
        <f ca="1">IF(W590&gt;0,0,IF(AH589=0,(Z589*-1)+BC589+SUM(BB$4:BB588),BC589+SUM(BB$4:BB588)))</f>
        <v>-2.1316282072803006E-13</v>
      </c>
      <c r="AJ589" s="931">
        <f>IF(AND(AL589&gt;=$U$1,AL589&lt;=$U$2),IF(AM589='ESTRATTO CONTO'!$E$2,1+COUNTIF(AJ$4:AJ588,"&gt;0")+U$1015,0),0)</f>
        <v>0</v>
      </c>
      <c r="AK589" s="203">
        <f>IF(AND(OR((AK588+1)&lt;AL$1015,(AK588+1)=AL$1015),MAX(AK$4:AK588)&lt;AL$1015),AK588+1,0)</f>
        <v>0</v>
      </c>
      <c r="AL589" s="309">
        <f>VLOOKUP($AK589,ENTI!$AF$4:AG$1003,2,FALSE)</f>
        <v>0</v>
      </c>
      <c r="AM589" s="224">
        <f>VLOOKUP($AK589,ENTI!$AF$4:AH$1003,3,FALSE)</f>
        <v>0</v>
      </c>
      <c r="AN589" s="224">
        <f>VLOOKUP($AK589,ENTI!$AF$4:AI$1003,4,FALSE)</f>
        <v>0</v>
      </c>
      <c r="AO589" s="781">
        <f>VLOOKUP($AK589,ENTI!$AF$4:AJ$1003,5,FALSE)</f>
        <v>0</v>
      </c>
      <c r="AP589" s="315">
        <f>VLOOKUP($AK589,ENTI!$AF$4:AK$1003,6,FALSE)</f>
        <v>0</v>
      </c>
      <c r="AQ589" s="208">
        <f t="shared" si="113"/>
        <v>0</v>
      </c>
      <c r="AR589" s="152" t="e">
        <f t="shared" si="114"/>
        <v>#N/A</v>
      </c>
      <c r="AS589" s="1"/>
      <c r="AT589" s="88" t="str">
        <f t="shared" si="118"/>
        <v/>
      </c>
      <c r="AU589" s="1"/>
      <c r="AV589" s="175">
        <f>IF(AW589&gt;0,COUNTIF(AV$4:AV588,"&gt;0")+1,0)</f>
        <v>0</v>
      </c>
      <c r="AW589" s="164">
        <f t="shared" si="119"/>
        <v>0</v>
      </c>
      <c r="AX589" s="310">
        <f>IF($AW589=0,0,VLOOKUP(VLOOKUP($X589,$B$34:$T$38,19,FALSE),ENTI!$A$9:$B$13,2,FALSE))</f>
        <v>0</v>
      </c>
      <c r="AY589" s="310">
        <f t="shared" si="121"/>
        <v>0</v>
      </c>
      <c r="AZ589" s="316">
        <f t="shared" si="122"/>
        <v>0</v>
      </c>
      <c r="BA589" s="1"/>
      <c r="BB589" s="152">
        <f t="shared" si="123"/>
        <v>0</v>
      </c>
      <c r="BC589" s="152">
        <f ca="1">SUM(Z$4:Z589)+SUM(BB$4:BB589)+COSTI!S$6-COSTI!L$1076</f>
        <v>-31.760000000000218</v>
      </c>
      <c r="BD589" s="1"/>
    </row>
    <row r="590" spans="1:56" ht="16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435">
        <f>IF(AND(W590&gt;=$U$1,W590&lt;=$U$2),IF(X590='ESTRATTO CONTO'!$E$2,1+COUNTIF(U$4:U589,"&gt;0"),0),0)</f>
        <v>0</v>
      </c>
      <c r="V590" s="417">
        <f t="shared" si="120"/>
        <v>587</v>
      </c>
      <c r="W590" s="509"/>
      <c r="X590" s="321"/>
      <c r="Y590" s="321"/>
      <c r="Z590" s="508"/>
      <c r="AA590" s="356"/>
      <c r="AB590" s="306" t="str">
        <f t="shared" si="116"/>
        <v/>
      </c>
      <c r="AC590" s="637">
        <f t="shared" ca="1" si="115"/>
        <v>-2.1316282072803006E-13</v>
      </c>
      <c r="AD590" s="935">
        <f>IF(ISERROR(VLOOKUP(AD$2,X591:X$1003,1,FALSE)),IF(X590=AD$2,SUMIF(X$4:X590,AD$2,Z$4:Z590)+$E$9+SUM(AQ$4:AQ$1003)+SUMIF(COSTI!$X$1379:$X$1430,AD$2,COSTI!$Z$1379:$Z$1430),0),0)</f>
        <v>0</v>
      </c>
      <c r="AE590" s="26"/>
      <c r="AF590" s="856" t="e">
        <f>IF(ISERROR(VLOOKUP(AG$2,X591:X$1003,1,FALSE)),IF(X590=AG$2,SUMIF(X$4:X590,AG$2,Z$4:Z590)+VLOOKUP(AF$2,$B$1057:$F$1068,5,FALSE)+SUM(AR$4:AR$1003)+SUMIF(COSTI!$X$1379:$X$1430,AG$2,COSTI!$Z$1379:$Z$1430),0),0)</f>
        <v>#N/A</v>
      </c>
      <c r="AG590" s="859"/>
      <c r="AH590" s="27" t="str">
        <f t="shared" si="117"/>
        <v/>
      </c>
      <c r="AI590" s="152">
        <f ca="1">IF(W591&gt;0,0,IF(AH590=0,(Z590*-1)+BC590+SUM(BB$4:BB589),BC590+SUM(BB$4:BB589)))</f>
        <v>-2.1316282072803006E-13</v>
      </c>
      <c r="AJ590" s="931">
        <f>IF(AND(AL590&gt;=$U$1,AL590&lt;=$U$2),IF(AM590='ESTRATTO CONTO'!$E$2,1+COUNTIF(AJ$4:AJ589,"&gt;0")+U$1015,0),0)</f>
        <v>0</v>
      </c>
      <c r="AK590" s="203">
        <f>IF(AND(OR((AK589+1)&lt;AL$1015,(AK589+1)=AL$1015),MAX(AK$4:AK589)&lt;AL$1015),AK589+1,0)</f>
        <v>0</v>
      </c>
      <c r="AL590" s="309">
        <f>VLOOKUP($AK590,ENTI!$AF$4:AG$1003,2,FALSE)</f>
        <v>0</v>
      </c>
      <c r="AM590" s="224">
        <f>VLOOKUP($AK590,ENTI!$AF$4:AH$1003,3,FALSE)</f>
        <v>0</v>
      </c>
      <c r="AN590" s="224">
        <f>VLOOKUP($AK590,ENTI!$AF$4:AI$1003,4,FALSE)</f>
        <v>0</v>
      </c>
      <c r="AO590" s="781">
        <f>VLOOKUP($AK590,ENTI!$AF$4:AJ$1003,5,FALSE)</f>
        <v>0</v>
      </c>
      <c r="AP590" s="315">
        <f>VLOOKUP($AK590,ENTI!$AF$4:AK$1003,6,FALSE)</f>
        <v>0</v>
      </c>
      <c r="AQ590" s="208">
        <f t="shared" si="113"/>
        <v>0</v>
      </c>
      <c r="AR590" s="152" t="e">
        <f t="shared" si="114"/>
        <v>#N/A</v>
      </c>
      <c r="AS590" s="1"/>
      <c r="AT590" s="88" t="str">
        <f t="shared" si="118"/>
        <v/>
      </c>
      <c r="AU590" s="1"/>
      <c r="AV590" s="175">
        <f>IF(AW590&gt;0,COUNTIF(AV$4:AV589,"&gt;0")+1,0)</f>
        <v>0</v>
      </c>
      <c r="AW590" s="164">
        <f t="shared" si="119"/>
        <v>0</v>
      </c>
      <c r="AX590" s="310">
        <f>IF($AW590=0,0,VLOOKUP(VLOOKUP($X590,$B$34:$T$38,19,FALSE),ENTI!$A$9:$B$13,2,FALSE))</f>
        <v>0</v>
      </c>
      <c r="AY590" s="310">
        <f t="shared" si="121"/>
        <v>0</v>
      </c>
      <c r="AZ590" s="316">
        <f t="shared" si="122"/>
        <v>0</v>
      </c>
      <c r="BA590" s="1"/>
      <c r="BB590" s="152">
        <f t="shared" si="123"/>
        <v>0</v>
      </c>
      <c r="BC590" s="152">
        <f ca="1">SUM(Z$4:Z590)+SUM(BB$4:BB590)+COSTI!S$6-COSTI!L$1076</f>
        <v>-31.760000000000218</v>
      </c>
      <c r="BD590" s="1"/>
    </row>
    <row r="591" spans="1:56" ht="16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435">
        <f>IF(AND(W591&gt;=$U$1,W591&lt;=$U$2),IF(X591='ESTRATTO CONTO'!$E$2,1+COUNTIF(U$4:U590,"&gt;0"),0),0)</f>
        <v>0</v>
      </c>
      <c r="V591" s="417">
        <f t="shared" si="120"/>
        <v>588</v>
      </c>
      <c r="W591" s="509"/>
      <c r="X591" s="321"/>
      <c r="Y591" s="321"/>
      <c r="Z591" s="508"/>
      <c r="AA591" s="356"/>
      <c r="AB591" s="306" t="str">
        <f t="shared" si="116"/>
        <v/>
      </c>
      <c r="AC591" s="637">
        <f t="shared" ca="1" si="115"/>
        <v>-2.1316282072803006E-13</v>
      </c>
      <c r="AD591" s="935">
        <f>IF(ISERROR(VLOOKUP(AD$2,X592:X$1003,1,FALSE)),IF(X591=AD$2,SUMIF(X$4:X591,AD$2,Z$4:Z591)+$E$9+SUM(AQ$4:AQ$1003)+SUMIF(COSTI!$X$1379:$X$1430,AD$2,COSTI!$Z$1379:$Z$1430),0),0)</f>
        <v>0</v>
      </c>
      <c r="AE591" s="26"/>
      <c r="AF591" s="856" t="e">
        <f>IF(ISERROR(VLOOKUP(AG$2,X592:X$1003,1,FALSE)),IF(X591=AG$2,SUMIF(X$4:X591,AG$2,Z$4:Z591)+VLOOKUP(AF$2,$B$1057:$F$1068,5,FALSE)+SUM(AR$4:AR$1003)+SUMIF(COSTI!$X$1379:$X$1430,AG$2,COSTI!$Z$1379:$Z$1430),0),0)</f>
        <v>#N/A</v>
      </c>
      <c r="AG591" s="859"/>
      <c r="AH591" s="27" t="str">
        <f t="shared" si="117"/>
        <v/>
      </c>
      <c r="AI591" s="152">
        <f ca="1">IF(W592&gt;0,0,IF(AH591=0,(Z591*-1)+BC591+SUM(BB$4:BB590),BC591+SUM(BB$4:BB590)))</f>
        <v>-2.1316282072803006E-13</v>
      </c>
      <c r="AJ591" s="931">
        <f>IF(AND(AL591&gt;=$U$1,AL591&lt;=$U$2),IF(AM591='ESTRATTO CONTO'!$E$2,1+COUNTIF(AJ$4:AJ590,"&gt;0")+U$1015,0),0)</f>
        <v>0</v>
      </c>
      <c r="AK591" s="203">
        <f>IF(AND(OR((AK590+1)&lt;AL$1015,(AK590+1)=AL$1015),MAX(AK$4:AK590)&lt;AL$1015),AK590+1,0)</f>
        <v>0</v>
      </c>
      <c r="AL591" s="309">
        <f>VLOOKUP($AK591,ENTI!$AF$4:AG$1003,2,FALSE)</f>
        <v>0</v>
      </c>
      <c r="AM591" s="224">
        <f>VLOOKUP($AK591,ENTI!$AF$4:AH$1003,3,FALSE)</f>
        <v>0</v>
      </c>
      <c r="AN591" s="224">
        <f>VLOOKUP($AK591,ENTI!$AF$4:AI$1003,4,FALSE)</f>
        <v>0</v>
      </c>
      <c r="AO591" s="781">
        <f>VLOOKUP($AK591,ENTI!$AF$4:AJ$1003,5,FALSE)</f>
        <v>0</v>
      </c>
      <c r="AP591" s="315">
        <f>VLOOKUP($AK591,ENTI!$AF$4:AK$1003,6,FALSE)</f>
        <v>0</v>
      </c>
      <c r="AQ591" s="208">
        <f t="shared" ref="AQ591:AQ654" si="124">IF(AM591=AQ$2,AO591,0)</f>
        <v>0</v>
      </c>
      <c r="AR591" s="152" t="e">
        <f t="shared" ref="AR591:AR654" si="125">IF(AM591=AR$1,AO591,0)</f>
        <v>#N/A</v>
      </c>
      <c r="AS591" s="1"/>
      <c r="AT591" s="88" t="str">
        <f t="shared" si="118"/>
        <v/>
      </c>
      <c r="AU591" s="1"/>
      <c r="AV591" s="175">
        <f>IF(AW591&gt;0,COUNTIF(AV$4:AV590,"&gt;0")+1,0)</f>
        <v>0</v>
      </c>
      <c r="AW591" s="164">
        <f t="shared" si="119"/>
        <v>0</v>
      </c>
      <c r="AX591" s="310">
        <f>IF($AW591=0,0,VLOOKUP(VLOOKUP($X591,$B$34:$T$38,19,FALSE),ENTI!$A$9:$B$13,2,FALSE))</f>
        <v>0</v>
      </c>
      <c r="AY591" s="310">
        <f t="shared" si="121"/>
        <v>0</v>
      </c>
      <c r="AZ591" s="316">
        <f t="shared" si="122"/>
        <v>0</v>
      </c>
      <c r="BA591" s="1"/>
      <c r="BB591" s="152">
        <f t="shared" si="123"/>
        <v>0</v>
      </c>
      <c r="BC591" s="152">
        <f ca="1">SUM(Z$4:Z591)+SUM(BB$4:BB591)+COSTI!S$6-COSTI!L$1076</f>
        <v>-31.760000000000218</v>
      </c>
      <c r="BD591" s="1"/>
    </row>
    <row r="592" spans="1:56" ht="16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435">
        <f>IF(AND(W592&gt;=$U$1,W592&lt;=$U$2),IF(X592='ESTRATTO CONTO'!$E$2,1+COUNTIF(U$4:U591,"&gt;0"),0),0)</f>
        <v>0</v>
      </c>
      <c r="V592" s="417">
        <f t="shared" si="120"/>
        <v>589</v>
      </c>
      <c r="W592" s="509"/>
      <c r="X592" s="321"/>
      <c r="Y592" s="321"/>
      <c r="Z592" s="508"/>
      <c r="AA592" s="356"/>
      <c r="AB592" s="306" t="str">
        <f t="shared" si="116"/>
        <v/>
      </c>
      <c r="AC592" s="637">
        <f t="shared" ca="1" si="115"/>
        <v>-2.1316282072803006E-13</v>
      </c>
      <c r="AD592" s="935">
        <f>IF(ISERROR(VLOOKUP(AD$2,X593:X$1003,1,FALSE)),IF(X592=AD$2,SUMIF(X$4:X592,AD$2,Z$4:Z592)+$E$9+SUM(AQ$4:AQ$1003)+SUMIF(COSTI!$X$1379:$X$1430,AD$2,COSTI!$Z$1379:$Z$1430),0),0)</f>
        <v>0</v>
      </c>
      <c r="AE592" s="26"/>
      <c r="AF592" s="856" t="e">
        <f>IF(ISERROR(VLOOKUP(AG$2,X593:X$1003,1,FALSE)),IF(X592=AG$2,SUMIF(X$4:X592,AG$2,Z$4:Z592)+VLOOKUP(AF$2,$B$1057:$F$1068,5,FALSE)+SUM(AR$4:AR$1003)+SUMIF(COSTI!$X$1379:$X$1430,AG$2,COSTI!$Z$1379:$Z$1430),0),0)</f>
        <v>#N/A</v>
      </c>
      <c r="AG592" s="859"/>
      <c r="AH592" s="27" t="str">
        <f t="shared" si="117"/>
        <v/>
      </c>
      <c r="AI592" s="152">
        <f ca="1">IF(W593&gt;0,0,IF(AH592=0,(Z592*-1)+BC592+SUM(BB$4:BB591),BC592+SUM(BB$4:BB591)))</f>
        <v>-2.1316282072803006E-13</v>
      </c>
      <c r="AJ592" s="931">
        <f>IF(AND(AL592&gt;=$U$1,AL592&lt;=$U$2),IF(AM592='ESTRATTO CONTO'!$E$2,1+COUNTIF(AJ$4:AJ591,"&gt;0")+U$1015,0),0)</f>
        <v>0</v>
      </c>
      <c r="AK592" s="203">
        <f>IF(AND(OR((AK591+1)&lt;AL$1015,(AK591+1)=AL$1015),MAX(AK$4:AK591)&lt;AL$1015),AK591+1,0)</f>
        <v>0</v>
      </c>
      <c r="AL592" s="309">
        <f>VLOOKUP($AK592,ENTI!$AF$4:AG$1003,2,FALSE)</f>
        <v>0</v>
      </c>
      <c r="AM592" s="224">
        <f>VLOOKUP($AK592,ENTI!$AF$4:AH$1003,3,FALSE)</f>
        <v>0</v>
      </c>
      <c r="AN592" s="224">
        <f>VLOOKUP($AK592,ENTI!$AF$4:AI$1003,4,FALSE)</f>
        <v>0</v>
      </c>
      <c r="AO592" s="781">
        <f>VLOOKUP($AK592,ENTI!$AF$4:AJ$1003,5,FALSE)</f>
        <v>0</v>
      </c>
      <c r="AP592" s="315">
        <f>VLOOKUP($AK592,ENTI!$AF$4:AK$1003,6,FALSE)</f>
        <v>0</v>
      </c>
      <c r="AQ592" s="208">
        <f t="shared" si="124"/>
        <v>0</v>
      </c>
      <c r="AR592" s="152" t="e">
        <f t="shared" si="125"/>
        <v>#N/A</v>
      </c>
      <c r="AS592" s="1"/>
      <c r="AT592" s="88" t="str">
        <f t="shared" si="118"/>
        <v/>
      </c>
      <c r="AU592" s="1"/>
      <c r="AV592" s="175">
        <f>IF(AW592&gt;0,COUNTIF(AV$4:AV591,"&gt;0")+1,0)</f>
        <v>0</v>
      </c>
      <c r="AW592" s="164">
        <f t="shared" si="119"/>
        <v>0</v>
      </c>
      <c r="AX592" s="310">
        <f>IF($AW592=0,0,VLOOKUP(VLOOKUP($X592,$B$34:$T$38,19,FALSE),ENTI!$A$9:$B$13,2,FALSE))</f>
        <v>0</v>
      </c>
      <c r="AY592" s="310">
        <f t="shared" si="121"/>
        <v>0</v>
      </c>
      <c r="AZ592" s="316">
        <f t="shared" si="122"/>
        <v>0</v>
      </c>
      <c r="BA592" s="1"/>
      <c r="BB592" s="152">
        <f t="shared" si="123"/>
        <v>0</v>
      </c>
      <c r="BC592" s="152">
        <f ca="1">SUM(Z$4:Z592)+SUM(BB$4:BB592)+COSTI!S$6-COSTI!L$1076</f>
        <v>-31.760000000000218</v>
      </c>
      <c r="BD592" s="1"/>
    </row>
    <row r="593" spans="1:56" ht="16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435">
        <f>IF(AND(W593&gt;=$U$1,W593&lt;=$U$2),IF(X593='ESTRATTO CONTO'!$E$2,1+COUNTIF(U$4:U592,"&gt;0"),0),0)</f>
        <v>0</v>
      </c>
      <c r="V593" s="417">
        <f t="shared" si="120"/>
        <v>590</v>
      </c>
      <c r="W593" s="509"/>
      <c r="X593" s="321"/>
      <c r="Y593" s="321"/>
      <c r="Z593" s="508"/>
      <c r="AA593" s="356"/>
      <c r="AB593" s="306" t="str">
        <f t="shared" si="116"/>
        <v/>
      </c>
      <c r="AC593" s="637">
        <f t="shared" ca="1" si="115"/>
        <v>-2.1316282072803006E-13</v>
      </c>
      <c r="AD593" s="935">
        <f>IF(ISERROR(VLOOKUP(AD$2,X594:X$1003,1,FALSE)),IF(X593=AD$2,SUMIF(X$4:X593,AD$2,Z$4:Z593)+$E$9+SUM(AQ$4:AQ$1003)+SUMIF(COSTI!$X$1379:$X$1430,AD$2,COSTI!$Z$1379:$Z$1430),0),0)</f>
        <v>0</v>
      </c>
      <c r="AE593" s="26"/>
      <c r="AF593" s="856" t="e">
        <f>IF(ISERROR(VLOOKUP(AG$2,X594:X$1003,1,FALSE)),IF(X593=AG$2,SUMIF(X$4:X593,AG$2,Z$4:Z593)+VLOOKUP(AF$2,$B$1057:$F$1068,5,FALSE)+SUM(AR$4:AR$1003)+SUMIF(COSTI!$X$1379:$X$1430,AG$2,COSTI!$Z$1379:$Z$1430),0),0)</f>
        <v>#N/A</v>
      </c>
      <c r="AG593" s="859"/>
      <c r="AH593" s="27" t="str">
        <f t="shared" si="117"/>
        <v/>
      </c>
      <c r="AI593" s="152">
        <f ca="1">IF(W594&gt;0,0,IF(AH593=0,(Z593*-1)+BC593+SUM(BB$4:BB592),BC593+SUM(BB$4:BB592)))</f>
        <v>-2.1316282072803006E-13</v>
      </c>
      <c r="AJ593" s="931">
        <f>IF(AND(AL593&gt;=$U$1,AL593&lt;=$U$2),IF(AM593='ESTRATTO CONTO'!$E$2,1+COUNTIF(AJ$4:AJ592,"&gt;0")+U$1015,0),0)</f>
        <v>0</v>
      </c>
      <c r="AK593" s="203">
        <f>IF(AND(OR((AK592+1)&lt;AL$1015,(AK592+1)=AL$1015),MAX(AK$4:AK592)&lt;AL$1015),AK592+1,0)</f>
        <v>0</v>
      </c>
      <c r="AL593" s="309">
        <f>VLOOKUP($AK593,ENTI!$AF$4:AG$1003,2,FALSE)</f>
        <v>0</v>
      </c>
      <c r="AM593" s="224">
        <f>VLOOKUP($AK593,ENTI!$AF$4:AH$1003,3,FALSE)</f>
        <v>0</v>
      </c>
      <c r="AN593" s="224">
        <f>VLOOKUP($AK593,ENTI!$AF$4:AI$1003,4,FALSE)</f>
        <v>0</v>
      </c>
      <c r="AO593" s="781">
        <f>VLOOKUP($AK593,ENTI!$AF$4:AJ$1003,5,FALSE)</f>
        <v>0</v>
      </c>
      <c r="AP593" s="315">
        <f>VLOOKUP($AK593,ENTI!$AF$4:AK$1003,6,FALSE)</f>
        <v>0</v>
      </c>
      <c r="AQ593" s="208">
        <f t="shared" si="124"/>
        <v>0</v>
      </c>
      <c r="AR593" s="152" t="e">
        <f t="shared" si="125"/>
        <v>#N/A</v>
      </c>
      <c r="AS593" s="1"/>
      <c r="AT593" s="88" t="str">
        <f t="shared" si="118"/>
        <v/>
      </c>
      <c r="AU593" s="1"/>
      <c r="AV593" s="175">
        <f>IF(AW593&gt;0,COUNTIF(AV$4:AV592,"&gt;0")+1,0)</f>
        <v>0</v>
      </c>
      <c r="AW593" s="164">
        <f t="shared" si="119"/>
        <v>0</v>
      </c>
      <c r="AX593" s="310">
        <f>IF($AW593=0,0,VLOOKUP(VLOOKUP($X593,$B$34:$T$38,19,FALSE),ENTI!$A$9:$B$13,2,FALSE))</f>
        <v>0</v>
      </c>
      <c r="AY593" s="310">
        <f t="shared" si="121"/>
        <v>0</v>
      </c>
      <c r="AZ593" s="316">
        <f t="shared" si="122"/>
        <v>0</v>
      </c>
      <c r="BA593" s="1"/>
      <c r="BB593" s="152">
        <f t="shared" si="123"/>
        <v>0</v>
      </c>
      <c r="BC593" s="152">
        <f ca="1">SUM(Z$4:Z593)+SUM(BB$4:BB593)+COSTI!S$6-COSTI!L$1076</f>
        <v>-31.760000000000218</v>
      </c>
      <c r="BD593" s="1"/>
    </row>
    <row r="594" spans="1:56" ht="16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435">
        <f>IF(AND(W594&gt;=$U$1,W594&lt;=$U$2),IF(X594='ESTRATTO CONTO'!$E$2,1+COUNTIF(U$4:U593,"&gt;0"),0),0)</f>
        <v>0</v>
      </c>
      <c r="V594" s="417">
        <f t="shared" si="120"/>
        <v>591</v>
      </c>
      <c r="W594" s="509"/>
      <c r="X594" s="321"/>
      <c r="Y594" s="321"/>
      <c r="Z594" s="508"/>
      <c r="AA594" s="356"/>
      <c r="AB594" s="306" t="str">
        <f t="shared" si="116"/>
        <v/>
      </c>
      <c r="AC594" s="637">
        <f t="shared" ca="1" si="115"/>
        <v>-2.1316282072803006E-13</v>
      </c>
      <c r="AD594" s="935">
        <f>IF(ISERROR(VLOOKUP(AD$2,X595:X$1003,1,FALSE)),IF(X594=AD$2,SUMIF(X$4:X594,AD$2,Z$4:Z594)+$E$9+SUM(AQ$4:AQ$1003)+SUMIF(COSTI!$X$1379:$X$1430,AD$2,COSTI!$Z$1379:$Z$1430),0),0)</f>
        <v>0</v>
      </c>
      <c r="AE594" s="26"/>
      <c r="AF594" s="856" t="e">
        <f>IF(ISERROR(VLOOKUP(AG$2,X595:X$1003,1,FALSE)),IF(X594=AG$2,SUMIF(X$4:X594,AG$2,Z$4:Z594)+VLOOKUP(AF$2,$B$1057:$F$1068,5,FALSE)+SUM(AR$4:AR$1003)+SUMIF(COSTI!$X$1379:$X$1430,AG$2,COSTI!$Z$1379:$Z$1430),0),0)</f>
        <v>#N/A</v>
      </c>
      <c r="AG594" s="859"/>
      <c r="AH594" s="27" t="str">
        <f t="shared" si="117"/>
        <v/>
      </c>
      <c r="AI594" s="152">
        <f ca="1">IF(W595&gt;0,0,IF(AH594=0,(Z594*-1)+BC594+SUM(BB$4:BB593),BC594+SUM(BB$4:BB593)))</f>
        <v>-2.1316282072803006E-13</v>
      </c>
      <c r="AJ594" s="931">
        <f>IF(AND(AL594&gt;=$U$1,AL594&lt;=$U$2),IF(AM594='ESTRATTO CONTO'!$E$2,1+COUNTIF(AJ$4:AJ593,"&gt;0")+U$1015,0),0)</f>
        <v>0</v>
      </c>
      <c r="AK594" s="203">
        <f>IF(AND(OR((AK593+1)&lt;AL$1015,(AK593+1)=AL$1015),MAX(AK$4:AK593)&lt;AL$1015),AK593+1,0)</f>
        <v>0</v>
      </c>
      <c r="AL594" s="309">
        <f>VLOOKUP($AK594,ENTI!$AF$4:AG$1003,2,FALSE)</f>
        <v>0</v>
      </c>
      <c r="AM594" s="224">
        <f>VLOOKUP($AK594,ENTI!$AF$4:AH$1003,3,FALSE)</f>
        <v>0</v>
      </c>
      <c r="AN594" s="224">
        <f>VLOOKUP($AK594,ENTI!$AF$4:AI$1003,4,FALSE)</f>
        <v>0</v>
      </c>
      <c r="AO594" s="781">
        <f>VLOOKUP($AK594,ENTI!$AF$4:AJ$1003,5,FALSE)</f>
        <v>0</v>
      </c>
      <c r="AP594" s="315">
        <f>VLOOKUP($AK594,ENTI!$AF$4:AK$1003,6,FALSE)</f>
        <v>0</v>
      </c>
      <c r="AQ594" s="208">
        <f t="shared" si="124"/>
        <v>0</v>
      </c>
      <c r="AR594" s="152" t="e">
        <f t="shared" si="125"/>
        <v>#N/A</v>
      </c>
      <c r="AS594" s="1"/>
      <c r="AT594" s="88" t="str">
        <f t="shared" si="118"/>
        <v/>
      </c>
      <c r="AU594" s="1"/>
      <c r="AV594" s="175">
        <f>IF(AW594&gt;0,COUNTIF(AV$4:AV593,"&gt;0")+1,0)</f>
        <v>0</v>
      </c>
      <c r="AW594" s="164">
        <f t="shared" si="119"/>
        <v>0</v>
      </c>
      <c r="AX594" s="310">
        <f>IF($AW594=0,0,VLOOKUP(VLOOKUP($X594,$B$34:$T$38,19,FALSE),ENTI!$A$9:$B$13,2,FALSE))</f>
        <v>0</v>
      </c>
      <c r="AY594" s="310">
        <f t="shared" si="121"/>
        <v>0</v>
      </c>
      <c r="AZ594" s="316">
        <f t="shared" si="122"/>
        <v>0</v>
      </c>
      <c r="BA594" s="1"/>
      <c r="BB594" s="152">
        <f t="shared" si="123"/>
        <v>0</v>
      </c>
      <c r="BC594" s="152">
        <f ca="1">SUM(Z$4:Z594)+SUM(BB$4:BB594)+COSTI!S$6-COSTI!L$1076</f>
        <v>-31.760000000000218</v>
      </c>
      <c r="BD594" s="1"/>
    </row>
    <row r="595" spans="1:56" ht="16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435">
        <f>IF(AND(W595&gt;=$U$1,W595&lt;=$U$2),IF(X595='ESTRATTO CONTO'!$E$2,1+COUNTIF(U$4:U594,"&gt;0"),0),0)</f>
        <v>0</v>
      </c>
      <c r="V595" s="417">
        <f t="shared" si="120"/>
        <v>592</v>
      </c>
      <c r="W595" s="509"/>
      <c r="X595" s="321"/>
      <c r="Y595" s="321"/>
      <c r="Z595" s="508"/>
      <c r="AA595" s="356"/>
      <c r="AB595" s="306" t="str">
        <f t="shared" si="116"/>
        <v/>
      </c>
      <c r="AC595" s="637">
        <f t="shared" ca="1" si="115"/>
        <v>-2.1316282072803006E-13</v>
      </c>
      <c r="AD595" s="935">
        <f>IF(ISERROR(VLOOKUP(AD$2,X596:X$1003,1,FALSE)),IF(X595=AD$2,SUMIF(X$4:X595,AD$2,Z$4:Z595)+$E$9+SUM(AQ$4:AQ$1003)+SUMIF(COSTI!$X$1379:$X$1430,AD$2,COSTI!$Z$1379:$Z$1430),0),0)</f>
        <v>0</v>
      </c>
      <c r="AE595" s="26"/>
      <c r="AF595" s="856" t="e">
        <f>IF(ISERROR(VLOOKUP(AG$2,X596:X$1003,1,FALSE)),IF(X595=AG$2,SUMIF(X$4:X595,AG$2,Z$4:Z595)+VLOOKUP(AF$2,$B$1057:$F$1068,5,FALSE)+SUM(AR$4:AR$1003)+SUMIF(COSTI!$X$1379:$X$1430,AG$2,COSTI!$Z$1379:$Z$1430),0),0)</f>
        <v>#N/A</v>
      </c>
      <c r="AG595" s="859"/>
      <c r="AH595" s="27" t="str">
        <f t="shared" si="117"/>
        <v/>
      </c>
      <c r="AI595" s="152">
        <f ca="1">IF(W596&gt;0,0,IF(AH595=0,(Z595*-1)+BC595+SUM(BB$4:BB594),BC595+SUM(BB$4:BB594)))</f>
        <v>-2.1316282072803006E-13</v>
      </c>
      <c r="AJ595" s="931">
        <f>IF(AND(AL595&gt;=$U$1,AL595&lt;=$U$2),IF(AM595='ESTRATTO CONTO'!$E$2,1+COUNTIF(AJ$4:AJ594,"&gt;0")+U$1015,0),0)</f>
        <v>0</v>
      </c>
      <c r="AK595" s="203">
        <f>IF(AND(OR((AK594+1)&lt;AL$1015,(AK594+1)=AL$1015),MAX(AK$4:AK594)&lt;AL$1015),AK594+1,0)</f>
        <v>0</v>
      </c>
      <c r="AL595" s="309">
        <f>VLOOKUP($AK595,ENTI!$AF$4:AG$1003,2,FALSE)</f>
        <v>0</v>
      </c>
      <c r="AM595" s="224">
        <f>VLOOKUP($AK595,ENTI!$AF$4:AH$1003,3,FALSE)</f>
        <v>0</v>
      </c>
      <c r="AN595" s="224">
        <f>VLOOKUP($AK595,ENTI!$AF$4:AI$1003,4,FALSE)</f>
        <v>0</v>
      </c>
      <c r="AO595" s="781">
        <f>VLOOKUP($AK595,ENTI!$AF$4:AJ$1003,5,FALSE)</f>
        <v>0</v>
      </c>
      <c r="AP595" s="315">
        <f>VLOOKUP($AK595,ENTI!$AF$4:AK$1003,6,FALSE)</f>
        <v>0</v>
      </c>
      <c r="AQ595" s="208">
        <f t="shared" si="124"/>
        <v>0</v>
      </c>
      <c r="AR595" s="152" t="e">
        <f t="shared" si="125"/>
        <v>#N/A</v>
      </c>
      <c r="AS595" s="1"/>
      <c r="AT595" s="88" t="str">
        <f t="shared" si="118"/>
        <v/>
      </c>
      <c r="AU595" s="1"/>
      <c r="AV595" s="175">
        <f>IF(AW595&gt;0,COUNTIF(AV$4:AV594,"&gt;0")+1,0)</f>
        <v>0</v>
      </c>
      <c r="AW595" s="164">
        <f t="shared" si="119"/>
        <v>0</v>
      </c>
      <c r="AX595" s="310">
        <f>IF($AW595=0,0,VLOOKUP(VLOOKUP($X595,$B$34:$T$38,19,FALSE),ENTI!$A$9:$B$13,2,FALSE))</f>
        <v>0</v>
      </c>
      <c r="AY595" s="310">
        <f t="shared" si="121"/>
        <v>0</v>
      </c>
      <c r="AZ595" s="316">
        <f t="shared" si="122"/>
        <v>0</v>
      </c>
      <c r="BA595" s="1"/>
      <c r="BB595" s="152">
        <f t="shared" si="123"/>
        <v>0</v>
      </c>
      <c r="BC595" s="152">
        <f ca="1">SUM(Z$4:Z595)+SUM(BB$4:BB595)+COSTI!S$6-COSTI!L$1076</f>
        <v>-31.760000000000218</v>
      </c>
      <c r="BD595" s="1"/>
    </row>
    <row r="596" spans="1:56" ht="16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435">
        <f>IF(AND(W596&gt;=$U$1,W596&lt;=$U$2),IF(X596='ESTRATTO CONTO'!$E$2,1+COUNTIF(U$4:U595,"&gt;0"),0),0)</f>
        <v>0</v>
      </c>
      <c r="V596" s="417">
        <f t="shared" si="120"/>
        <v>593</v>
      </c>
      <c r="W596" s="509"/>
      <c r="X596" s="321"/>
      <c r="Y596" s="321"/>
      <c r="Z596" s="508"/>
      <c r="AA596" s="356"/>
      <c r="AB596" s="306" t="str">
        <f t="shared" si="116"/>
        <v/>
      </c>
      <c r="AC596" s="637">
        <f t="shared" ca="1" si="115"/>
        <v>-2.1316282072803006E-13</v>
      </c>
      <c r="AD596" s="935">
        <f>IF(ISERROR(VLOOKUP(AD$2,X597:X$1003,1,FALSE)),IF(X596=AD$2,SUMIF(X$4:X596,AD$2,Z$4:Z596)+$E$9+SUM(AQ$4:AQ$1003)+SUMIF(COSTI!$X$1379:$X$1430,AD$2,COSTI!$Z$1379:$Z$1430),0),0)</f>
        <v>0</v>
      </c>
      <c r="AE596" s="26"/>
      <c r="AF596" s="856" t="e">
        <f>IF(ISERROR(VLOOKUP(AG$2,X597:X$1003,1,FALSE)),IF(X596=AG$2,SUMIF(X$4:X596,AG$2,Z$4:Z596)+VLOOKUP(AF$2,$B$1057:$F$1068,5,FALSE)+SUM(AR$4:AR$1003)+SUMIF(COSTI!$X$1379:$X$1430,AG$2,COSTI!$Z$1379:$Z$1430),0),0)</f>
        <v>#N/A</v>
      </c>
      <c r="AG596" s="859"/>
      <c r="AH596" s="27" t="str">
        <f t="shared" si="117"/>
        <v/>
      </c>
      <c r="AI596" s="152">
        <f ca="1">IF(W597&gt;0,0,IF(AH596=0,(Z596*-1)+BC596+SUM(BB$4:BB595),BC596+SUM(BB$4:BB595)))</f>
        <v>-2.1316282072803006E-13</v>
      </c>
      <c r="AJ596" s="931">
        <f>IF(AND(AL596&gt;=$U$1,AL596&lt;=$U$2),IF(AM596='ESTRATTO CONTO'!$E$2,1+COUNTIF(AJ$4:AJ595,"&gt;0")+U$1015,0),0)</f>
        <v>0</v>
      </c>
      <c r="AK596" s="203">
        <f>IF(AND(OR((AK595+1)&lt;AL$1015,(AK595+1)=AL$1015),MAX(AK$4:AK595)&lt;AL$1015),AK595+1,0)</f>
        <v>0</v>
      </c>
      <c r="AL596" s="309">
        <f>VLOOKUP($AK596,ENTI!$AF$4:AG$1003,2,FALSE)</f>
        <v>0</v>
      </c>
      <c r="AM596" s="224">
        <f>VLOOKUP($AK596,ENTI!$AF$4:AH$1003,3,FALSE)</f>
        <v>0</v>
      </c>
      <c r="AN596" s="224">
        <f>VLOOKUP($AK596,ENTI!$AF$4:AI$1003,4,FALSE)</f>
        <v>0</v>
      </c>
      <c r="AO596" s="781">
        <f>VLOOKUP($AK596,ENTI!$AF$4:AJ$1003,5,FALSE)</f>
        <v>0</v>
      </c>
      <c r="AP596" s="315">
        <f>VLOOKUP($AK596,ENTI!$AF$4:AK$1003,6,FALSE)</f>
        <v>0</v>
      </c>
      <c r="AQ596" s="208">
        <f t="shared" si="124"/>
        <v>0</v>
      </c>
      <c r="AR596" s="152" t="e">
        <f t="shared" si="125"/>
        <v>#N/A</v>
      </c>
      <c r="AS596" s="1"/>
      <c r="AT596" s="88" t="str">
        <f t="shared" si="118"/>
        <v/>
      </c>
      <c r="AU596" s="1"/>
      <c r="AV596" s="175">
        <f>IF(AW596&gt;0,COUNTIF(AV$4:AV595,"&gt;0")+1,0)</f>
        <v>0</v>
      </c>
      <c r="AW596" s="164">
        <f t="shared" si="119"/>
        <v>0</v>
      </c>
      <c r="AX596" s="310">
        <f>IF($AW596=0,0,VLOOKUP(VLOOKUP($X596,$B$34:$T$38,19,FALSE),ENTI!$A$9:$B$13,2,FALSE))</f>
        <v>0</v>
      </c>
      <c r="AY596" s="310">
        <f t="shared" si="121"/>
        <v>0</v>
      </c>
      <c r="AZ596" s="316">
        <f t="shared" si="122"/>
        <v>0</v>
      </c>
      <c r="BA596" s="1"/>
      <c r="BB596" s="152">
        <f t="shared" si="123"/>
        <v>0</v>
      </c>
      <c r="BC596" s="152">
        <f ca="1">SUM(Z$4:Z596)+SUM(BB$4:BB596)+COSTI!S$6-COSTI!L$1076</f>
        <v>-31.760000000000218</v>
      </c>
      <c r="BD596" s="1"/>
    </row>
    <row r="597" spans="1:56" ht="16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435">
        <f>IF(AND(W597&gt;=$U$1,W597&lt;=$U$2),IF(X597='ESTRATTO CONTO'!$E$2,1+COUNTIF(U$4:U596,"&gt;0"),0),0)</f>
        <v>0</v>
      </c>
      <c r="V597" s="417">
        <f t="shared" si="120"/>
        <v>594</v>
      </c>
      <c r="W597" s="509"/>
      <c r="X597" s="321"/>
      <c r="Y597" s="321"/>
      <c r="Z597" s="508"/>
      <c r="AA597" s="356"/>
      <c r="AB597" s="306" t="str">
        <f t="shared" si="116"/>
        <v/>
      </c>
      <c r="AC597" s="637">
        <f t="shared" ca="1" si="115"/>
        <v>-2.1316282072803006E-13</v>
      </c>
      <c r="AD597" s="935">
        <f>IF(ISERROR(VLOOKUP(AD$2,X598:X$1003,1,FALSE)),IF(X597=AD$2,SUMIF(X$4:X597,AD$2,Z$4:Z597)+$E$9+SUM(AQ$4:AQ$1003)+SUMIF(COSTI!$X$1379:$X$1430,AD$2,COSTI!$Z$1379:$Z$1430),0),0)</f>
        <v>0</v>
      </c>
      <c r="AE597" s="26"/>
      <c r="AF597" s="856" t="e">
        <f>IF(ISERROR(VLOOKUP(AG$2,X598:X$1003,1,FALSE)),IF(X597=AG$2,SUMIF(X$4:X597,AG$2,Z$4:Z597)+VLOOKUP(AF$2,$B$1057:$F$1068,5,FALSE)+SUM(AR$4:AR$1003)+SUMIF(COSTI!$X$1379:$X$1430,AG$2,COSTI!$Z$1379:$Z$1430),0),0)</f>
        <v>#N/A</v>
      </c>
      <c r="AG597" s="859"/>
      <c r="AH597" s="27" t="str">
        <f t="shared" si="117"/>
        <v/>
      </c>
      <c r="AI597" s="152">
        <f ca="1">IF(W598&gt;0,0,IF(AH597=0,(Z597*-1)+BC597+SUM(BB$4:BB596),BC597+SUM(BB$4:BB596)))</f>
        <v>-2.1316282072803006E-13</v>
      </c>
      <c r="AJ597" s="931">
        <f>IF(AND(AL597&gt;=$U$1,AL597&lt;=$U$2),IF(AM597='ESTRATTO CONTO'!$E$2,1+COUNTIF(AJ$4:AJ596,"&gt;0")+U$1015,0),0)</f>
        <v>0</v>
      </c>
      <c r="AK597" s="203">
        <f>IF(AND(OR((AK596+1)&lt;AL$1015,(AK596+1)=AL$1015),MAX(AK$4:AK596)&lt;AL$1015),AK596+1,0)</f>
        <v>0</v>
      </c>
      <c r="AL597" s="309">
        <f>VLOOKUP($AK597,ENTI!$AF$4:AG$1003,2,FALSE)</f>
        <v>0</v>
      </c>
      <c r="AM597" s="224">
        <f>VLOOKUP($AK597,ENTI!$AF$4:AH$1003,3,FALSE)</f>
        <v>0</v>
      </c>
      <c r="AN597" s="224">
        <f>VLOOKUP($AK597,ENTI!$AF$4:AI$1003,4,FALSE)</f>
        <v>0</v>
      </c>
      <c r="AO597" s="781">
        <f>VLOOKUP($AK597,ENTI!$AF$4:AJ$1003,5,FALSE)</f>
        <v>0</v>
      </c>
      <c r="AP597" s="315">
        <f>VLOOKUP($AK597,ENTI!$AF$4:AK$1003,6,FALSE)</f>
        <v>0</v>
      </c>
      <c r="AQ597" s="208">
        <f t="shared" si="124"/>
        <v>0</v>
      </c>
      <c r="AR597" s="152" t="e">
        <f t="shared" si="125"/>
        <v>#N/A</v>
      </c>
      <c r="AS597" s="1"/>
      <c r="AT597" s="88" t="str">
        <f t="shared" si="118"/>
        <v/>
      </c>
      <c r="AU597" s="1"/>
      <c r="AV597" s="175">
        <f>IF(AW597&gt;0,COUNTIF(AV$4:AV596,"&gt;0")+1,0)</f>
        <v>0</v>
      </c>
      <c r="AW597" s="164">
        <f t="shared" si="119"/>
        <v>0</v>
      </c>
      <c r="AX597" s="310">
        <f>IF($AW597=0,0,VLOOKUP(VLOOKUP($X597,$B$34:$T$38,19,FALSE),ENTI!$A$9:$B$13,2,FALSE))</f>
        <v>0</v>
      </c>
      <c r="AY597" s="310">
        <f t="shared" si="121"/>
        <v>0</v>
      </c>
      <c r="AZ597" s="316">
        <f t="shared" si="122"/>
        <v>0</v>
      </c>
      <c r="BA597" s="1"/>
      <c r="BB597" s="152">
        <f t="shared" si="123"/>
        <v>0</v>
      </c>
      <c r="BC597" s="152">
        <f ca="1">SUM(Z$4:Z597)+SUM(BB$4:BB597)+COSTI!S$6-COSTI!L$1076</f>
        <v>-31.760000000000218</v>
      </c>
      <c r="BD597" s="1"/>
    </row>
    <row r="598" spans="1:56" ht="16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435">
        <f>IF(AND(W598&gt;=$U$1,W598&lt;=$U$2),IF(X598='ESTRATTO CONTO'!$E$2,1+COUNTIF(U$4:U597,"&gt;0"),0),0)</f>
        <v>0</v>
      </c>
      <c r="V598" s="417">
        <f t="shared" si="120"/>
        <v>595</v>
      </c>
      <c r="W598" s="509"/>
      <c r="X598" s="321"/>
      <c r="Y598" s="321"/>
      <c r="Z598" s="508"/>
      <c r="AA598" s="356"/>
      <c r="AB598" s="306" t="str">
        <f t="shared" si="116"/>
        <v/>
      </c>
      <c r="AC598" s="637">
        <f t="shared" ca="1" si="115"/>
        <v>-2.1316282072803006E-13</v>
      </c>
      <c r="AD598" s="935">
        <f>IF(ISERROR(VLOOKUP(AD$2,X599:X$1003,1,FALSE)),IF(X598=AD$2,SUMIF(X$4:X598,AD$2,Z$4:Z598)+$E$9+SUM(AQ$4:AQ$1003)+SUMIF(COSTI!$X$1379:$X$1430,AD$2,COSTI!$Z$1379:$Z$1430),0),0)</f>
        <v>0</v>
      </c>
      <c r="AE598" s="26"/>
      <c r="AF598" s="856" t="e">
        <f>IF(ISERROR(VLOOKUP(AG$2,X599:X$1003,1,FALSE)),IF(X598=AG$2,SUMIF(X$4:X598,AG$2,Z$4:Z598)+VLOOKUP(AF$2,$B$1057:$F$1068,5,FALSE)+SUM(AR$4:AR$1003)+SUMIF(COSTI!$X$1379:$X$1430,AG$2,COSTI!$Z$1379:$Z$1430),0),0)</f>
        <v>#N/A</v>
      </c>
      <c r="AG598" s="859"/>
      <c r="AH598" s="27" t="str">
        <f t="shared" si="117"/>
        <v/>
      </c>
      <c r="AI598" s="152">
        <f ca="1">IF(W599&gt;0,0,IF(AH598=0,(Z598*-1)+BC598+SUM(BB$4:BB597),BC598+SUM(BB$4:BB597)))</f>
        <v>-2.1316282072803006E-13</v>
      </c>
      <c r="AJ598" s="931">
        <f>IF(AND(AL598&gt;=$U$1,AL598&lt;=$U$2),IF(AM598='ESTRATTO CONTO'!$E$2,1+COUNTIF(AJ$4:AJ597,"&gt;0")+U$1015,0),0)</f>
        <v>0</v>
      </c>
      <c r="AK598" s="203">
        <f>IF(AND(OR((AK597+1)&lt;AL$1015,(AK597+1)=AL$1015),MAX(AK$4:AK597)&lt;AL$1015),AK597+1,0)</f>
        <v>0</v>
      </c>
      <c r="AL598" s="309">
        <f>VLOOKUP($AK598,ENTI!$AF$4:AG$1003,2,FALSE)</f>
        <v>0</v>
      </c>
      <c r="AM598" s="224">
        <f>VLOOKUP($AK598,ENTI!$AF$4:AH$1003,3,FALSE)</f>
        <v>0</v>
      </c>
      <c r="AN598" s="224">
        <f>VLOOKUP($AK598,ENTI!$AF$4:AI$1003,4,FALSE)</f>
        <v>0</v>
      </c>
      <c r="AO598" s="781">
        <f>VLOOKUP($AK598,ENTI!$AF$4:AJ$1003,5,FALSE)</f>
        <v>0</v>
      </c>
      <c r="AP598" s="315">
        <f>VLOOKUP($AK598,ENTI!$AF$4:AK$1003,6,FALSE)</f>
        <v>0</v>
      </c>
      <c r="AQ598" s="208">
        <f t="shared" si="124"/>
        <v>0</v>
      </c>
      <c r="AR598" s="152" t="e">
        <f t="shared" si="125"/>
        <v>#N/A</v>
      </c>
      <c r="AS598" s="1"/>
      <c r="AT598" s="88" t="str">
        <f t="shared" si="118"/>
        <v/>
      </c>
      <c r="AU598" s="1"/>
      <c r="AV598" s="175">
        <f>IF(AW598&gt;0,COUNTIF(AV$4:AV597,"&gt;0")+1,0)</f>
        <v>0</v>
      </c>
      <c r="AW598" s="164">
        <f t="shared" si="119"/>
        <v>0</v>
      </c>
      <c r="AX598" s="310">
        <f>IF($AW598=0,0,VLOOKUP(VLOOKUP($X598,$B$34:$T$38,19,FALSE),ENTI!$A$9:$B$13,2,FALSE))</f>
        <v>0</v>
      </c>
      <c r="AY598" s="310">
        <f t="shared" si="121"/>
        <v>0</v>
      </c>
      <c r="AZ598" s="316">
        <f t="shared" si="122"/>
        <v>0</v>
      </c>
      <c r="BA598" s="1"/>
      <c r="BB598" s="152">
        <f t="shared" si="123"/>
        <v>0</v>
      </c>
      <c r="BC598" s="152">
        <f ca="1">SUM(Z$4:Z598)+SUM(BB$4:BB598)+COSTI!S$6-COSTI!L$1076</f>
        <v>-31.760000000000218</v>
      </c>
      <c r="BD598" s="1"/>
    </row>
    <row r="599" spans="1:56" ht="16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435">
        <f>IF(AND(W599&gt;=$U$1,W599&lt;=$U$2),IF(X599='ESTRATTO CONTO'!$E$2,1+COUNTIF(U$4:U598,"&gt;0"),0),0)</f>
        <v>0</v>
      </c>
      <c r="V599" s="417">
        <f t="shared" si="120"/>
        <v>596</v>
      </c>
      <c r="W599" s="509"/>
      <c r="X599" s="321"/>
      <c r="Y599" s="321"/>
      <c r="Z599" s="508"/>
      <c r="AA599" s="356"/>
      <c r="AB599" s="306" t="str">
        <f t="shared" si="116"/>
        <v/>
      </c>
      <c r="AC599" s="637">
        <f t="shared" ca="1" si="115"/>
        <v>-2.1316282072803006E-13</v>
      </c>
      <c r="AD599" s="935">
        <f>IF(ISERROR(VLOOKUP(AD$2,X600:X$1003,1,FALSE)),IF(X599=AD$2,SUMIF(X$4:X599,AD$2,Z$4:Z599)+$E$9+SUM(AQ$4:AQ$1003)+SUMIF(COSTI!$X$1379:$X$1430,AD$2,COSTI!$Z$1379:$Z$1430),0),0)</f>
        <v>0</v>
      </c>
      <c r="AE599" s="26"/>
      <c r="AF599" s="856" t="e">
        <f>IF(ISERROR(VLOOKUP(AG$2,X600:X$1003,1,FALSE)),IF(X599=AG$2,SUMIF(X$4:X599,AG$2,Z$4:Z599)+VLOOKUP(AF$2,$B$1057:$F$1068,5,FALSE)+SUM(AR$4:AR$1003)+SUMIF(COSTI!$X$1379:$X$1430,AG$2,COSTI!$Z$1379:$Z$1430),0),0)</f>
        <v>#N/A</v>
      </c>
      <c r="AG599" s="859"/>
      <c r="AH599" s="27" t="str">
        <f t="shared" si="117"/>
        <v/>
      </c>
      <c r="AI599" s="152">
        <f ca="1">IF(W600&gt;0,0,IF(AH599=0,(Z599*-1)+BC599+SUM(BB$4:BB598),BC599+SUM(BB$4:BB598)))</f>
        <v>-2.1316282072803006E-13</v>
      </c>
      <c r="AJ599" s="931">
        <f>IF(AND(AL599&gt;=$U$1,AL599&lt;=$U$2),IF(AM599='ESTRATTO CONTO'!$E$2,1+COUNTIF(AJ$4:AJ598,"&gt;0")+U$1015,0),0)</f>
        <v>0</v>
      </c>
      <c r="AK599" s="203">
        <f>IF(AND(OR((AK598+1)&lt;AL$1015,(AK598+1)=AL$1015),MAX(AK$4:AK598)&lt;AL$1015),AK598+1,0)</f>
        <v>0</v>
      </c>
      <c r="AL599" s="309">
        <f>VLOOKUP($AK599,ENTI!$AF$4:AG$1003,2,FALSE)</f>
        <v>0</v>
      </c>
      <c r="AM599" s="224">
        <f>VLOOKUP($AK599,ENTI!$AF$4:AH$1003,3,FALSE)</f>
        <v>0</v>
      </c>
      <c r="AN599" s="224">
        <f>VLOOKUP($AK599,ENTI!$AF$4:AI$1003,4,FALSE)</f>
        <v>0</v>
      </c>
      <c r="AO599" s="781">
        <f>VLOOKUP($AK599,ENTI!$AF$4:AJ$1003,5,FALSE)</f>
        <v>0</v>
      </c>
      <c r="AP599" s="315">
        <f>VLOOKUP($AK599,ENTI!$AF$4:AK$1003,6,FALSE)</f>
        <v>0</v>
      </c>
      <c r="AQ599" s="208">
        <f t="shared" si="124"/>
        <v>0</v>
      </c>
      <c r="AR599" s="152" t="e">
        <f t="shared" si="125"/>
        <v>#N/A</v>
      </c>
      <c r="AS599" s="1"/>
      <c r="AT599" s="88" t="str">
        <f t="shared" si="118"/>
        <v/>
      </c>
      <c r="AU599" s="1"/>
      <c r="AV599" s="175">
        <f>IF(AW599&gt;0,COUNTIF(AV$4:AV598,"&gt;0")+1,0)</f>
        <v>0</v>
      </c>
      <c r="AW599" s="164">
        <f t="shared" si="119"/>
        <v>0</v>
      </c>
      <c r="AX599" s="310">
        <f>IF($AW599=0,0,VLOOKUP(VLOOKUP($X599,$B$34:$T$38,19,FALSE),ENTI!$A$9:$B$13,2,FALSE))</f>
        <v>0</v>
      </c>
      <c r="AY599" s="310">
        <f t="shared" si="121"/>
        <v>0</v>
      </c>
      <c r="AZ599" s="316">
        <f t="shared" si="122"/>
        <v>0</v>
      </c>
      <c r="BA599" s="1"/>
      <c r="BB599" s="152">
        <f t="shared" si="123"/>
        <v>0</v>
      </c>
      <c r="BC599" s="152">
        <f ca="1">SUM(Z$4:Z599)+SUM(BB$4:BB599)+COSTI!S$6-COSTI!L$1076</f>
        <v>-31.760000000000218</v>
      </c>
      <c r="BD599" s="1"/>
    </row>
    <row r="600" spans="1:56" ht="16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435">
        <f>IF(AND(W600&gt;=$U$1,W600&lt;=$U$2),IF(X600='ESTRATTO CONTO'!$E$2,1+COUNTIF(U$4:U599,"&gt;0"),0),0)</f>
        <v>0</v>
      </c>
      <c r="V600" s="417">
        <f t="shared" si="120"/>
        <v>597</v>
      </c>
      <c r="W600" s="509"/>
      <c r="X600" s="321"/>
      <c r="Y600" s="321"/>
      <c r="Z600" s="508"/>
      <c r="AA600" s="356"/>
      <c r="AB600" s="306" t="str">
        <f t="shared" si="116"/>
        <v/>
      </c>
      <c r="AC600" s="637">
        <f t="shared" ca="1" si="115"/>
        <v>-2.1316282072803006E-13</v>
      </c>
      <c r="AD600" s="935">
        <f>IF(ISERROR(VLOOKUP(AD$2,X601:X$1003,1,FALSE)),IF(X600=AD$2,SUMIF(X$4:X600,AD$2,Z$4:Z600)+$E$9+SUM(AQ$4:AQ$1003)+SUMIF(COSTI!$X$1379:$X$1430,AD$2,COSTI!$Z$1379:$Z$1430),0),0)</f>
        <v>0</v>
      </c>
      <c r="AE600" s="26"/>
      <c r="AF600" s="856" t="e">
        <f>IF(ISERROR(VLOOKUP(AG$2,X601:X$1003,1,FALSE)),IF(X600=AG$2,SUMIF(X$4:X600,AG$2,Z$4:Z600)+VLOOKUP(AF$2,$B$1057:$F$1068,5,FALSE)+SUM(AR$4:AR$1003)+SUMIF(COSTI!$X$1379:$X$1430,AG$2,COSTI!$Z$1379:$Z$1430),0),0)</f>
        <v>#N/A</v>
      </c>
      <c r="AG600" s="859"/>
      <c r="AH600" s="27" t="str">
        <f t="shared" si="117"/>
        <v/>
      </c>
      <c r="AI600" s="152">
        <f ca="1">IF(W601&gt;0,0,IF(AH600=0,(Z600*-1)+BC600+SUM(BB$4:BB599),BC600+SUM(BB$4:BB599)))</f>
        <v>-2.1316282072803006E-13</v>
      </c>
      <c r="AJ600" s="931">
        <f>IF(AND(AL600&gt;=$U$1,AL600&lt;=$U$2),IF(AM600='ESTRATTO CONTO'!$E$2,1+COUNTIF(AJ$4:AJ599,"&gt;0")+U$1015,0),0)</f>
        <v>0</v>
      </c>
      <c r="AK600" s="203">
        <f>IF(AND(OR((AK599+1)&lt;AL$1015,(AK599+1)=AL$1015),MAX(AK$4:AK599)&lt;AL$1015),AK599+1,0)</f>
        <v>0</v>
      </c>
      <c r="AL600" s="309">
        <f>VLOOKUP($AK600,ENTI!$AF$4:AG$1003,2,FALSE)</f>
        <v>0</v>
      </c>
      <c r="AM600" s="224">
        <f>VLOOKUP($AK600,ENTI!$AF$4:AH$1003,3,FALSE)</f>
        <v>0</v>
      </c>
      <c r="AN600" s="224">
        <f>VLOOKUP($AK600,ENTI!$AF$4:AI$1003,4,FALSE)</f>
        <v>0</v>
      </c>
      <c r="AO600" s="781">
        <f>VLOOKUP($AK600,ENTI!$AF$4:AJ$1003,5,FALSE)</f>
        <v>0</v>
      </c>
      <c r="AP600" s="315">
        <f>VLOOKUP($AK600,ENTI!$AF$4:AK$1003,6,FALSE)</f>
        <v>0</v>
      </c>
      <c r="AQ600" s="208">
        <f t="shared" si="124"/>
        <v>0</v>
      </c>
      <c r="AR600" s="152" t="e">
        <f t="shared" si="125"/>
        <v>#N/A</v>
      </c>
      <c r="AS600" s="1"/>
      <c r="AT600" s="88" t="str">
        <f t="shared" si="118"/>
        <v/>
      </c>
      <c r="AU600" s="1"/>
      <c r="AV600" s="175">
        <f>IF(AW600&gt;0,COUNTIF(AV$4:AV599,"&gt;0")+1,0)</f>
        <v>0</v>
      </c>
      <c r="AW600" s="164">
        <f t="shared" si="119"/>
        <v>0</v>
      </c>
      <c r="AX600" s="310">
        <f>IF($AW600=0,0,VLOOKUP(VLOOKUP($X600,$B$34:$T$38,19,FALSE),ENTI!$A$9:$B$13,2,FALSE))</f>
        <v>0</v>
      </c>
      <c r="AY600" s="310">
        <f t="shared" si="121"/>
        <v>0</v>
      </c>
      <c r="AZ600" s="316">
        <f t="shared" si="122"/>
        <v>0</v>
      </c>
      <c r="BA600" s="1"/>
      <c r="BB600" s="152">
        <f t="shared" si="123"/>
        <v>0</v>
      </c>
      <c r="BC600" s="152">
        <f ca="1">SUM(Z$4:Z600)+SUM(BB$4:BB600)+COSTI!S$6-COSTI!L$1076</f>
        <v>-31.760000000000218</v>
      </c>
      <c r="BD600" s="1"/>
    </row>
    <row r="601" spans="1:56" ht="16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435">
        <f>IF(AND(W601&gt;=$U$1,W601&lt;=$U$2),IF(X601='ESTRATTO CONTO'!$E$2,1+COUNTIF(U$4:U600,"&gt;0"),0),0)</f>
        <v>0</v>
      </c>
      <c r="V601" s="417">
        <f t="shared" si="120"/>
        <v>598</v>
      </c>
      <c r="W601" s="509"/>
      <c r="X601" s="321"/>
      <c r="Y601" s="321"/>
      <c r="Z601" s="508"/>
      <c r="AA601" s="356"/>
      <c r="AB601" s="306" t="str">
        <f t="shared" si="116"/>
        <v/>
      </c>
      <c r="AC601" s="637">
        <f t="shared" ca="1" si="115"/>
        <v>-2.1316282072803006E-13</v>
      </c>
      <c r="AD601" s="935">
        <f>IF(ISERROR(VLOOKUP(AD$2,X602:X$1003,1,FALSE)),IF(X601=AD$2,SUMIF(X$4:X601,AD$2,Z$4:Z601)+$E$9+SUM(AQ$4:AQ$1003)+SUMIF(COSTI!$X$1379:$X$1430,AD$2,COSTI!$Z$1379:$Z$1430),0),0)</f>
        <v>0</v>
      </c>
      <c r="AE601" s="26"/>
      <c r="AF601" s="856" t="e">
        <f>IF(ISERROR(VLOOKUP(AG$2,X602:X$1003,1,FALSE)),IF(X601=AG$2,SUMIF(X$4:X601,AG$2,Z$4:Z601)+VLOOKUP(AF$2,$B$1057:$F$1068,5,FALSE)+SUM(AR$4:AR$1003)+SUMIF(COSTI!$X$1379:$X$1430,AG$2,COSTI!$Z$1379:$Z$1430),0),0)</f>
        <v>#N/A</v>
      </c>
      <c r="AG601" s="859"/>
      <c r="AH601" s="27" t="str">
        <f t="shared" si="117"/>
        <v/>
      </c>
      <c r="AI601" s="152">
        <f ca="1">IF(W602&gt;0,0,IF(AH601=0,(Z601*-1)+BC601+SUM(BB$4:BB600),BC601+SUM(BB$4:BB600)))</f>
        <v>-2.1316282072803006E-13</v>
      </c>
      <c r="AJ601" s="931">
        <f>IF(AND(AL601&gt;=$U$1,AL601&lt;=$U$2),IF(AM601='ESTRATTO CONTO'!$E$2,1+COUNTIF(AJ$4:AJ600,"&gt;0")+U$1015,0),0)</f>
        <v>0</v>
      </c>
      <c r="AK601" s="203">
        <f>IF(AND(OR((AK600+1)&lt;AL$1015,(AK600+1)=AL$1015),MAX(AK$4:AK600)&lt;AL$1015),AK600+1,0)</f>
        <v>0</v>
      </c>
      <c r="AL601" s="309">
        <f>VLOOKUP($AK601,ENTI!$AF$4:AG$1003,2,FALSE)</f>
        <v>0</v>
      </c>
      <c r="AM601" s="224">
        <f>VLOOKUP($AK601,ENTI!$AF$4:AH$1003,3,FALSE)</f>
        <v>0</v>
      </c>
      <c r="AN601" s="224">
        <f>VLOOKUP($AK601,ENTI!$AF$4:AI$1003,4,FALSE)</f>
        <v>0</v>
      </c>
      <c r="AO601" s="781">
        <f>VLOOKUP($AK601,ENTI!$AF$4:AJ$1003,5,FALSE)</f>
        <v>0</v>
      </c>
      <c r="AP601" s="315">
        <f>VLOOKUP($AK601,ENTI!$AF$4:AK$1003,6,FALSE)</f>
        <v>0</v>
      </c>
      <c r="AQ601" s="208">
        <f t="shared" si="124"/>
        <v>0</v>
      </c>
      <c r="AR601" s="152" t="e">
        <f t="shared" si="125"/>
        <v>#N/A</v>
      </c>
      <c r="AS601" s="1"/>
      <c r="AT601" s="88" t="str">
        <f t="shared" si="118"/>
        <v/>
      </c>
      <c r="AU601" s="1"/>
      <c r="AV601" s="175">
        <f>IF(AW601&gt;0,COUNTIF(AV$4:AV600,"&gt;0")+1,0)</f>
        <v>0</v>
      </c>
      <c r="AW601" s="164">
        <f t="shared" si="119"/>
        <v>0</v>
      </c>
      <c r="AX601" s="310">
        <f>IF($AW601=0,0,VLOOKUP(VLOOKUP($X601,$B$34:$T$38,19,FALSE),ENTI!$A$9:$B$13,2,FALSE))</f>
        <v>0</v>
      </c>
      <c r="AY601" s="310">
        <f t="shared" si="121"/>
        <v>0</v>
      </c>
      <c r="AZ601" s="316">
        <f t="shared" si="122"/>
        <v>0</v>
      </c>
      <c r="BA601" s="1"/>
      <c r="BB601" s="152">
        <f t="shared" si="123"/>
        <v>0</v>
      </c>
      <c r="BC601" s="152">
        <f ca="1">SUM(Z$4:Z601)+SUM(BB$4:BB601)+COSTI!S$6-COSTI!L$1076</f>
        <v>-31.760000000000218</v>
      </c>
      <c r="BD601" s="1"/>
    </row>
    <row r="602" spans="1:56" ht="16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435">
        <f>IF(AND(W602&gt;=$U$1,W602&lt;=$U$2),IF(X602='ESTRATTO CONTO'!$E$2,1+COUNTIF(U$4:U601,"&gt;0"),0),0)</f>
        <v>0</v>
      </c>
      <c r="V602" s="417">
        <f t="shared" si="120"/>
        <v>599</v>
      </c>
      <c r="W602" s="509"/>
      <c r="X602" s="321"/>
      <c r="Y602" s="321"/>
      <c r="Z602" s="508"/>
      <c r="AA602" s="356"/>
      <c r="AB602" s="306" t="str">
        <f t="shared" si="116"/>
        <v/>
      </c>
      <c r="AC602" s="637">
        <f t="shared" ca="1" si="115"/>
        <v>-2.1316282072803006E-13</v>
      </c>
      <c r="AD602" s="935">
        <f>IF(ISERROR(VLOOKUP(AD$2,X603:X$1003,1,FALSE)),IF(X602=AD$2,SUMIF(X$4:X602,AD$2,Z$4:Z602)+$E$9+SUM(AQ$4:AQ$1003)+SUMIF(COSTI!$X$1379:$X$1430,AD$2,COSTI!$Z$1379:$Z$1430),0),0)</f>
        <v>0</v>
      </c>
      <c r="AE602" s="26"/>
      <c r="AF602" s="856" t="e">
        <f>IF(ISERROR(VLOOKUP(AG$2,X603:X$1003,1,FALSE)),IF(X602=AG$2,SUMIF(X$4:X602,AG$2,Z$4:Z602)+VLOOKUP(AF$2,$B$1057:$F$1068,5,FALSE)+SUM(AR$4:AR$1003)+SUMIF(COSTI!$X$1379:$X$1430,AG$2,COSTI!$Z$1379:$Z$1430),0),0)</f>
        <v>#N/A</v>
      </c>
      <c r="AG602" s="859"/>
      <c r="AH602" s="27" t="str">
        <f t="shared" si="117"/>
        <v/>
      </c>
      <c r="AI602" s="152">
        <f ca="1">IF(W603&gt;0,0,IF(AH602=0,(Z602*-1)+BC602+SUM(BB$4:BB601),BC602+SUM(BB$4:BB601)))</f>
        <v>-2.1316282072803006E-13</v>
      </c>
      <c r="AJ602" s="931">
        <f>IF(AND(AL602&gt;=$U$1,AL602&lt;=$U$2),IF(AM602='ESTRATTO CONTO'!$E$2,1+COUNTIF(AJ$4:AJ601,"&gt;0")+U$1015,0),0)</f>
        <v>0</v>
      </c>
      <c r="AK602" s="203">
        <f>IF(AND(OR((AK601+1)&lt;AL$1015,(AK601+1)=AL$1015),MAX(AK$4:AK601)&lt;AL$1015),AK601+1,0)</f>
        <v>0</v>
      </c>
      <c r="AL602" s="309">
        <f>VLOOKUP($AK602,ENTI!$AF$4:AG$1003,2,FALSE)</f>
        <v>0</v>
      </c>
      <c r="AM602" s="224">
        <f>VLOOKUP($AK602,ENTI!$AF$4:AH$1003,3,FALSE)</f>
        <v>0</v>
      </c>
      <c r="AN602" s="224">
        <f>VLOOKUP($AK602,ENTI!$AF$4:AI$1003,4,FALSE)</f>
        <v>0</v>
      </c>
      <c r="AO602" s="781">
        <f>VLOOKUP($AK602,ENTI!$AF$4:AJ$1003,5,FALSE)</f>
        <v>0</v>
      </c>
      <c r="AP602" s="315">
        <f>VLOOKUP($AK602,ENTI!$AF$4:AK$1003,6,FALSE)</f>
        <v>0</v>
      </c>
      <c r="AQ602" s="208">
        <f t="shared" si="124"/>
        <v>0</v>
      </c>
      <c r="AR602" s="152" t="e">
        <f t="shared" si="125"/>
        <v>#N/A</v>
      </c>
      <c r="AS602" s="1"/>
      <c r="AT602" s="88" t="str">
        <f t="shared" si="118"/>
        <v/>
      </c>
      <c r="AU602" s="1"/>
      <c r="AV602" s="175">
        <f>IF(AW602&gt;0,COUNTIF(AV$4:AV601,"&gt;0")+1,0)</f>
        <v>0</v>
      </c>
      <c r="AW602" s="164">
        <f t="shared" si="119"/>
        <v>0</v>
      </c>
      <c r="AX602" s="310">
        <f>IF($AW602=0,0,VLOOKUP(VLOOKUP($X602,$B$34:$T$38,19,FALSE),ENTI!$A$9:$B$13,2,FALSE))</f>
        <v>0</v>
      </c>
      <c r="AY602" s="310">
        <f t="shared" si="121"/>
        <v>0</v>
      </c>
      <c r="AZ602" s="316">
        <f t="shared" si="122"/>
        <v>0</v>
      </c>
      <c r="BA602" s="1"/>
      <c r="BB602" s="152">
        <f t="shared" si="123"/>
        <v>0</v>
      </c>
      <c r="BC602" s="152">
        <f ca="1">SUM(Z$4:Z602)+SUM(BB$4:BB602)+COSTI!S$6-COSTI!L$1076</f>
        <v>-31.760000000000218</v>
      </c>
      <c r="BD602" s="1"/>
    </row>
    <row r="603" spans="1:56" ht="16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435">
        <f>IF(AND(W603&gt;=$U$1,W603&lt;=$U$2),IF(X603='ESTRATTO CONTO'!$E$2,1+COUNTIF(U$4:U602,"&gt;0"),0),0)</f>
        <v>0</v>
      </c>
      <c r="V603" s="417">
        <f t="shared" si="120"/>
        <v>600</v>
      </c>
      <c r="W603" s="509"/>
      <c r="X603" s="321"/>
      <c r="Y603" s="321"/>
      <c r="Z603" s="508"/>
      <c r="AA603" s="356"/>
      <c r="AB603" s="306" t="str">
        <f t="shared" si="116"/>
        <v/>
      </c>
      <c r="AC603" s="637">
        <f t="shared" ca="1" si="115"/>
        <v>-2.1316282072803006E-13</v>
      </c>
      <c r="AD603" s="935">
        <f>IF(ISERROR(VLOOKUP(AD$2,X604:X$1003,1,FALSE)),IF(X603=AD$2,SUMIF(X$4:X603,AD$2,Z$4:Z603)+$E$9+SUM(AQ$4:AQ$1003)+SUMIF(COSTI!$X$1379:$X$1430,AD$2,COSTI!$Z$1379:$Z$1430),0),0)</f>
        <v>0</v>
      </c>
      <c r="AE603" s="26"/>
      <c r="AF603" s="856" t="e">
        <f>IF(ISERROR(VLOOKUP(AG$2,X604:X$1003,1,FALSE)),IF(X603=AG$2,SUMIF(X$4:X603,AG$2,Z$4:Z603)+VLOOKUP(AF$2,$B$1057:$F$1068,5,FALSE)+SUM(AR$4:AR$1003)+SUMIF(COSTI!$X$1379:$X$1430,AG$2,COSTI!$Z$1379:$Z$1430),0),0)</f>
        <v>#N/A</v>
      </c>
      <c r="AG603" s="859"/>
      <c r="AH603" s="27" t="str">
        <f t="shared" si="117"/>
        <v/>
      </c>
      <c r="AI603" s="152">
        <f ca="1">IF(W604&gt;0,0,IF(AH603=0,(Z603*-1)+BC603+SUM(BB$4:BB602),BC603+SUM(BB$4:BB602)))</f>
        <v>-2.1316282072803006E-13</v>
      </c>
      <c r="AJ603" s="931">
        <f>IF(AND(AL603&gt;=$U$1,AL603&lt;=$U$2),IF(AM603='ESTRATTO CONTO'!$E$2,1+COUNTIF(AJ$4:AJ602,"&gt;0")+U$1015,0),0)</f>
        <v>0</v>
      </c>
      <c r="AK603" s="203">
        <f>IF(AND(OR((AK602+1)&lt;AL$1015,(AK602+1)=AL$1015),MAX(AK$4:AK602)&lt;AL$1015),AK602+1,0)</f>
        <v>0</v>
      </c>
      <c r="AL603" s="309">
        <f>VLOOKUP($AK603,ENTI!$AF$4:AG$1003,2,FALSE)</f>
        <v>0</v>
      </c>
      <c r="AM603" s="224">
        <f>VLOOKUP($AK603,ENTI!$AF$4:AH$1003,3,FALSE)</f>
        <v>0</v>
      </c>
      <c r="AN603" s="224">
        <f>VLOOKUP($AK603,ENTI!$AF$4:AI$1003,4,FALSE)</f>
        <v>0</v>
      </c>
      <c r="AO603" s="781">
        <f>VLOOKUP($AK603,ENTI!$AF$4:AJ$1003,5,FALSE)</f>
        <v>0</v>
      </c>
      <c r="AP603" s="315">
        <f>VLOOKUP($AK603,ENTI!$AF$4:AK$1003,6,FALSE)</f>
        <v>0</v>
      </c>
      <c r="AQ603" s="208">
        <f t="shared" si="124"/>
        <v>0</v>
      </c>
      <c r="AR603" s="152" t="e">
        <f t="shared" si="125"/>
        <v>#N/A</v>
      </c>
      <c r="AS603" s="1"/>
      <c r="AT603" s="88" t="str">
        <f t="shared" si="118"/>
        <v/>
      </c>
      <c r="AU603" s="1"/>
      <c r="AV603" s="175">
        <f>IF(AW603&gt;0,COUNTIF(AV$4:AV602,"&gt;0")+1,0)</f>
        <v>0</v>
      </c>
      <c r="AW603" s="164">
        <f t="shared" si="119"/>
        <v>0</v>
      </c>
      <c r="AX603" s="310">
        <f>IF($AW603=0,0,VLOOKUP(VLOOKUP($X603,$B$34:$T$38,19,FALSE),ENTI!$A$9:$B$13,2,FALSE))</f>
        <v>0</v>
      </c>
      <c r="AY603" s="310">
        <f t="shared" si="121"/>
        <v>0</v>
      </c>
      <c r="AZ603" s="316">
        <f t="shared" si="122"/>
        <v>0</v>
      </c>
      <c r="BA603" s="1"/>
      <c r="BB603" s="152">
        <f t="shared" si="123"/>
        <v>0</v>
      </c>
      <c r="BC603" s="152">
        <f ca="1">SUM(Z$4:Z603)+SUM(BB$4:BB603)+COSTI!S$6-COSTI!L$1076</f>
        <v>-31.760000000000218</v>
      </c>
      <c r="BD603" s="1"/>
    </row>
    <row r="604" spans="1:56" ht="16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435">
        <f>IF(AND(W604&gt;=$U$1,W604&lt;=$U$2),IF(X604='ESTRATTO CONTO'!$E$2,1+COUNTIF(U$4:U603,"&gt;0"),0),0)</f>
        <v>0</v>
      </c>
      <c r="V604" s="417">
        <f t="shared" si="120"/>
        <v>601</v>
      </c>
      <c r="W604" s="509"/>
      <c r="X604" s="321"/>
      <c r="Y604" s="321"/>
      <c r="Z604" s="508"/>
      <c r="AA604" s="356"/>
      <c r="AB604" s="306" t="str">
        <f t="shared" si="116"/>
        <v/>
      </c>
      <c r="AC604" s="637">
        <f t="shared" ca="1" si="115"/>
        <v>-2.1316282072803006E-13</v>
      </c>
      <c r="AD604" s="935">
        <f>IF(ISERROR(VLOOKUP(AD$2,X605:X$1003,1,FALSE)),IF(X604=AD$2,SUMIF(X$4:X604,AD$2,Z$4:Z604)+$E$9+SUM(AQ$4:AQ$1003)+SUMIF(COSTI!$X$1379:$X$1430,AD$2,COSTI!$Z$1379:$Z$1430),0),0)</f>
        <v>0</v>
      </c>
      <c r="AE604" s="26"/>
      <c r="AF604" s="856" t="e">
        <f>IF(ISERROR(VLOOKUP(AG$2,X605:X$1003,1,FALSE)),IF(X604=AG$2,SUMIF(X$4:X604,AG$2,Z$4:Z604)+VLOOKUP(AF$2,$B$1057:$F$1068,5,FALSE)+SUM(AR$4:AR$1003)+SUMIF(COSTI!$X$1379:$X$1430,AG$2,COSTI!$Z$1379:$Z$1430),0),0)</f>
        <v>#N/A</v>
      </c>
      <c r="AG604" s="859"/>
      <c r="AH604" s="27" t="str">
        <f t="shared" si="117"/>
        <v/>
      </c>
      <c r="AI604" s="152">
        <f ca="1">IF(W605&gt;0,0,IF(AH604=0,(Z604*-1)+BC604+SUM(BB$4:BB603),BC604+SUM(BB$4:BB603)))</f>
        <v>-2.1316282072803006E-13</v>
      </c>
      <c r="AJ604" s="931">
        <f>IF(AND(AL604&gt;=$U$1,AL604&lt;=$U$2),IF(AM604='ESTRATTO CONTO'!$E$2,1+COUNTIF(AJ$4:AJ603,"&gt;0")+U$1015,0),0)</f>
        <v>0</v>
      </c>
      <c r="AK604" s="203">
        <f>IF(AND(OR((AK603+1)&lt;AL$1015,(AK603+1)=AL$1015),MAX(AK$4:AK603)&lt;AL$1015),AK603+1,0)</f>
        <v>0</v>
      </c>
      <c r="AL604" s="309">
        <f>VLOOKUP($AK604,ENTI!$AF$4:AG$1003,2,FALSE)</f>
        <v>0</v>
      </c>
      <c r="AM604" s="224">
        <f>VLOOKUP($AK604,ENTI!$AF$4:AH$1003,3,FALSE)</f>
        <v>0</v>
      </c>
      <c r="AN604" s="224">
        <f>VLOOKUP($AK604,ENTI!$AF$4:AI$1003,4,FALSE)</f>
        <v>0</v>
      </c>
      <c r="AO604" s="781">
        <f>VLOOKUP($AK604,ENTI!$AF$4:AJ$1003,5,FALSE)</f>
        <v>0</v>
      </c>
      <c r="AP604" s="315">
        <f>VLOOKUP($AK604,ENTI!$AF$4:AK$1003,6,FALSE)</f>
        <v>0</v>
      </c>
      <c r="AQ604" s="208">
        <f t="shared" si="124"/>
        <v>0</v>
      </c>
      <c r="AR604" s="152" t="e">
        <f t="shared" si="125"/>
        <v>#N/A</v>
      </c>
      <c r="AS604" s="1"/>
      <c r="AT604" s="88" t="str">
        <f t="shared" si="118"/>
        <v/>
      </c>
      <c r="AU604" s="1"/>
      <c r="AV604" s="175">
        <f>IF(AW604&gt;0,COUNTIF(AV$4:AV603,"&gt;0")+1,0)</f>
        <v>0</v>
      </c>
      <c r="AW604" s="164">
        <f t="shared" si="119"/>
        <v>0</v>
      </c>
      <c r="AX604" s="310">
        <f>IF($AW604=0,0,VLOOKUP(VLOOKUP($X604,$B$34:$T$38,19,FALSE),ENTI!$A$9:$B$13,2,FALSE))</f>
        <v>0</v>
      </c>
      <c r="AY604" s="310">
        <f t="shared" si="121"/>
        <v>0</v>
      </c>
      <c r="AZ604" s="316">
        <f t="shared" si="122"/>
        <v>0</v>
      </c>
      <c r="BA604" s="1"/>
      <c r="BB604" s="152">
        <f t="shared" si="123"/>
        <v>0</v>
      </c>
      <c r="BC604" s="152">
        <f ca="1">SUM(Z$4:Z604)+SUM(BB$4:BB604)+COSTI!S$6-COSTI!L$1076</f>
        <v>-31.760000000000218</v>
      </c>
      <c r="BD604" s="1"/>
    </row>
    <row r="605" spans="1:56" ht="16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435">
        <f>IF(AND(W605&gt;=$U$1,W605&lt;=$U$2),IF(X605='ESTRATTO CONTO'!$E$2,1+COUNTIF(U$4:U604,"&gt;0"),0),0)</f>
        <v>0</v>
      </c>
      <c r="V605" s="417">
        <f t="shared" si="120"/>
        <v>602</v>
      </c>
      <c r="W605" s="509"/>
      <c r="X605" s="321"/>
      <c r="Y605" s="321"/>
      <c r="Z605" s="508"/>
      <c r="AA605" s="356"/>
      <c r="AB605" s="306" t="str">
        <f t="shared" si="116"/>
        <v/>
      </c>
      <c r="AC605" s="637">
        <f t="shared" ca="1" si="115"/>
        <v>-2.1316282072803006E-13</v>
      </c>
      <c r="AD605" s="935">
        <f>IF(ISERROR(VLOOKUP(AD$2,X606:X$1003,1,FALSE)),IF(X605=AD$2,SUMIF(X$4:X605,AD$2,Z$4:Z605)+$E$9+SUM(AQ$4:AQ$1003)+SUMIF(COSTI!$X$1379:$X$1430,AD$2,COSTI!$Z$1379:$Z$1430),0),0)</f>
        <v>0</v>
      </c>
      <c r="AE605" s="26"/>
      <c r="AF605" s="856" t="e">
        <f>IF(ISERROR(VLOOKUP(AG$2,X606:X$1003,1,FALSE)),IF(X605=AG$2,SUMIF(X$4:X605,AG$2,Z$4:Z605)+VLOOKUP(AF$2,$B$1057:$F$1068,5,FALSE)+SUM(AR$4:AR$1003)+SUMIF(COSTI!$X$1379:$X$1430,AG$2,COSTI!$Z$1379:$Z$1430),0),0)</f>
        <v>#N/A</v>
      </c>
      <c r="AG605" s="859"/>
      <c r="AH605" s="27" t="str">
        <f t="shared" si="117"/>
        <v/>
      </c>
      <c r="AI605" s="152">
        <f ca="1">IF(W606&gt;0,0,IF(AH605=0,(Z605*-1)+BC605+SUM(BB$4:BB604),BC605+SUM(BB$4:BB604)))</f>
        <v>-2.1316282072803006E-13</v>
      </c>
      <c r="AJ605" s="931">
        <f>IF(AND(AL605&gt;=$U$1,AL605&lt;=$U$2),IF(AM605='ESTRATTO CONTO'!$E$2,1+COUNTIF(AJ$4:AJ604,"&gt;0")+U$1015,0),0)</f>
        <v>0</v>
      </c>
      <c r="AK605" s="203">
        <f>IF(AND(OR((AK604+1)&lt;AL$1015,(AK604+1)=AL$1015),MAX(AK$4:AK604)&lt;AL$1015),AK604+1,0)</f>
        <v>0</v>
      </c>
      <c r="AL605" s="309">
        <f>VLOOKUP($AK605,ENTI!$AF$4:AG$1003,2,FALSE)</f>
        <v>0</v>
      </c>
      <c r="AM605" s="224">
        <f>VLOOKUP($AK605,ENTI!$AF$4:AH$1003,3,FALSE)</f>
        <v>0</v>
      </c>
      <c r="AN605" s="224">
        <f>VLOOKUP($AK605,ENTI!$AF$4:AI$1003,4,FALSE)</f>
        <v>0</v>
      </c>
      <c r="AO605" s="781">
        <f>VLOOKUP($AK605,ENTI!$AF$4:AJ$1003,5,FALSE)</f>
        <v>0</v>
      </c>
      <c r="AP605" s="315">
        <f>VLOOKUP($AK605,ENTI!$AF$4:AK$1003,6,FALSE)</f>
        <v>0</v>
      </c>
      <c r="AQ605" s="208">
        <f t="shared" si="124"/>
        <v>0</v>
      </c>
      <c r="AR605" s="152" t="e">
        <f t="shared" si="125"/>
        <v>#N/A</v>
      </c>
      <c r="AS605" s="1"/>
      <c r="AT605" s="88" t="str">
        <f t="shared" si="118"/>
        <v/>
      </c>
      <c r="AU605" s="1"/>
      <c r="AV605" s="175">
        <f>IF(AW605&gt;0,COUNTIF(AV$4:AV604,"&gt;0")+1,0)</f>
        <v>0</v>
      </c>
      <c r="AW605" s="164">
        <f t="shared" si="119"/>
        <v>0</v>
      </c>
      <c r="AX605" s="310">
        <f>IF($AW605=0,0,VLOOKUP(VLOOKUP($X605,$B$34:$T$38,19,FALSE),ENTI!$A$9:$B$13,2,FALSE))</f>
        <v>0</v>
      </c>
      <c r="AY605" s="310">
        <f t="shared" si="121"/>
        <v>0</v>
      </c>
      <c r="AZ605" s="316">
        <f t="shared" si="122"/>
        <v>0</v>
      </c>
      <c r="BA605" s="1"/>
      <c r="BB605" s="152">
        <f t="shared" si="123"/>
        <v>0</v>
      </c>
      <c r="BC605" s="152">
        <f ca="1">SUM(Z$4:Z605)+SUM(BB$4:BB605)+COSTI!S$6-COSTI!L$1076</f>
        <v>-31.760000000000218</v>
      </c>
      <c r="BD605" s="1"/>
    </row>
    <row r="606" spans="1:56" ht="16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435">
        <f>IF(AND(W606&gt;=$U$1,W606&lt;=$U$2),IF(X606='ESTRATTO CONTO'!$E$2,1+COUNTIF(U$4:U605,"&gt;0"),0),0)</f>
        <v>0</v>
      </c>
      <c r="V606" s="417">
        <f t="shared" si="120"/>
        <v>603</v>
      </c>
      <c r="W606" s="509"/>
      <c r="X606" s="321"/>
      <c r="Y606" s="321"/>
      <c r="Z606" s="508"/>
      <c r="AA606" s="356"/>
      <c r="AB606" s="306" t="str">
        <f t="shared" si="116"/>
        <v/>
      </c>
      <c r="AC606" s="637">
        <f t="shared" ca="1" si="115"/>
        <v>-2.1316282072803006E-13</v>
      </c>
      <c r="AD606" s="935">
        <f>IF(ISERROR(VLOOKUP(AD$2,X607:X$1003,1,FALSE)),IF(X606=AD$2,SUMIF(X$4:X606,AD$2,Z$4:Z606)+$E$9+SUM(AQ$4:AQ$1003)+SUMIF(COSTI!$X$1379:$X$1430,AD$2,COSTI!$Z$1379:$Z$1430),0),0)</f>
        <v>0</v>
      </c>
      <c r="AE606" s="26"/>
      <c r="AF606" s="856" t="e">
        <f>IF(ISERROR(VLOOKUP(AG$2,X607:X$1003,1,FALSE)),IF(X606=AG$2,SUMIF(X$4:X606,AG$2,Z$4:Z606)+VLOOKUP(AF$2,$B$1057:$F$1068,5,FALSE)+SUM(AR$4:AR$1003)+SUMIF(COSTI!$X$1379:$X$1430,AG$2,COSTI!$Z$1379:$Z$1430),0),0)</f>
        <v>#N/A</v>
      </c>
      <c r="AG606" s="859"/>
      <c r="AH606" s="27" t="str">
        <f t="shared" si="117"/>
        <v/>
      </c>
      <c r="AI606" s="152">
        <f ca="1">IF(W607&gt;0,0,IF(AH606=0,(Z606*-1)+BC606+SUM(BB$4:BB605),BC606+SUM(BB$4:BB605)))</f>
        <v>-2.1316282072803006E-13</v>
      </c>
      <c r="AJ606" s="931">
        <f>IF(AND(AL606&gt;=$U$1,AL606&lt;=$U$2),IF(AM606='ESTRATTO CONTO'!$E$2,1+COUNTIF(AJ$4:AJ605,"&gt;0")+U$1015,0),0)</f>
        <v>0</v>
      </c>
      <c r="AK606" s="203">
        <f>IF(AND(OR((AK605+1)&lt;AL$1015,(AK605+1)=AL$1015),MAX(AK$4:AK605)&lt;AL$1015),AK605+1,0)</f>
        <v>0</v>
      </c>
      <c r="AL606" s="309">
        <f>VLOOKUP($AK606,ENTI!$AF$4:AG$1003,2,FALSE)</f>
        <v>0</v>
      </c>
      <c r="AM606" s="224">
        <f>VLOOKUP($AK606,ENTI!$AF$4:AH$1003,3,FALSE)</f>
        <v>0</v>
      </c>
      <c r="AN606" s="224">
        <f>VLOOKUP($AK606,ENTI!$AF$4:AI$1003,4,FALSE)</f>
        <v>0</v>
      </c>
      <c r="AO606" s="781">
        <f>VLOOKUP($AK606,ENTI!$AF$4:AJ$1003,5,FALSE)</f>
        <v>0</v>
      </c>
      <c r="AP606" s="315">
        <f>VLOOKUP($AK606,ENTI!$AF$4:AK$1003,6,FALSE)</f>
        <v>0</v>
      </c>
      <c r="AQ606" s="208">
        <f t="shared" si="124"/>
        <v>0</v>
      </c>
      <c r="AR606" s="152" t="e">
        <f t="shared" si="125"/>
        <v>#N/A</v>
      </c>
      <c r="AS606" s="1"/>
      <c r="AT606" s="88" t="str">
        <f t="shared" si="118"/>
        <v/>
      </c>
      <c r="AU606" s="1"/>
      <c r="AV606" s="175">
        <f>IF(AW606&gt;0,COUNTIF(AV$4:AV605,"&gt;0")+1,0)</f>
        <v>0</v>
      </c>
      <c r="AW606" s="164">
        <f t="shared" si="119"/>
        <v>0</v>
      </c>
      <c r="AX606" s="310">
        <f>IF($AW606=0,0,VLOOKUP(VLOOKUP($X606,$B$34:$T$38,19,FALSE),ENTI!$A$9:$B$13,2,FALSE))</f>
        <v>0</v>
      </c>
      <c r="AY606" s="310">
        <f t="shared" si="121"/>
        <v>0</v>
      </c>
      <c r="AZ606" s="316">
        <f t="shared" si="122"/>
        <v>0</v>
      </c>
      <c r="BA606" s="1"/>
      <c r="BB606" s="152">
        <f t="shared" si="123"/>
        <v>0</v>
      </c>
      <c r="BC606" s="152">
        <f ca="1">SUM(Z$4:Z606)+SUM(BB$4:BB606)+COSTI!S$6-COSTI!L$1076</f>
        <v>-31.760000000000218</v>
      </c>
      <c r="BD606" s="1"/>
    </row>
    <row r="607" spans="1:56" ht="16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435">
        <f>IF(AND(W607&gt;=$U$1,W607&lt;=$U$2),IF(X607='ESTRATTO CONTO'!$E$2,1+COUNTIF(U$4:U606,"&gt;0"),0),0)</f>
        <v>0</v>
      </c>
      <c r="V607" s="417">
        <f t="shared" si="120"/>
        <v>604</v>
      </c>
      <c r="W607" s="509"/>
      <c r="X607" s="321"/>
      <c r="Y607" s="321"/>
      <c r="Z607" s="508"/>
      <c r="AA607" s="356"/>
      <c r="AB607" s="306" t="str">
        <f t="shared" si="116"/>
        <v/>
      </c>
      <c r="AC607" s="637">
        <f t="shared" ca="1" si="115"/>
        <v>-2.1316282072803006E-13</v>
      </c>
      <c r="AD607" s="935">
        <f>IF(ISERROR(VLOOKUP(AD$2,X608:X$1003,1,FALSE)),IF(X607=AD$2,SUMIF(X$4:X607,AD$2,Z$4:Z607)+$E$9+SUM(AQ$4:AQ$1003)+SUMIF(COSTI!$X$1379:$X$1430,AD$2,COSTI!$Z$1379:$Z$1430),0),0)</f>
        <v>0</v>
      </c>
      <c r="AE607" s="26"/>
      <c r="AF607" s="856" t="e">
        <f>IF(ISERROR(VLOOKUP(AG$2,X608:X$1003,1,FALSE)),IF(X607=AG$2,SUMIF(X$4:X607,AG$2,Z$4:Z607)+VLOOKUP(AF$2,$B$1057:$F$1068,5,FALSE)+SUM(AR$4:AR$1003)+SUMIF(COSTI!$X$1379:$X$1430,AG$2,COSTI!$Z$1379:$Z$1430),0),0)</f>
        <v>#N/A</v>
      </c>
      <c r="AG607" s="859"/>
      <c r="AH607" s="27" t="str">
        <f t="shared" si="117"/>
        <v/>
      </c>
      <c r="AI607" s="152">
        <f ca="1">IF(W608&gt;0,0,IF(AH607=0,(Z607*-1)+BC607+SUM(BB$4:BB606),BC607+SUM(BB$4:BB606)))</f>
        <v>-2.1316282072803006E-13</v>
      </c>
      <c r="AJ607" s="931">
        <f>IF(AND(AL607&gt;=$U$1,AL607&lt;=$U$2),IF(AM607='ESTRATTO CONTO'!$E$2,1+COUNTIF(AJ$4:AJ606,"&gt;0")+U$1015,0),0)</f>
        <v>0</v>
      </c>
      <c r="AK607" s="203">
        <f>IF(AND(OR((AK606+1)&lt;AL$1015,(AK606+1)=AL$1015),MAX(AK$4:AK606)&lt;AL$1015),AK606+1,0)</f>
        <v>0</v>
      </c>
      <c r="AL607" s="309">
        <f>VLOOKUP($AK607,ENTI!$AF$4:AG$1003,2,FALSE)</f>
        <v>0</v>
      </c>
      <c r="AM607" s="224">
        <f>VLOOKUP($AK607,ENTI!$AF$4:AH$1003,3,FALSE)</f>
        <v>0</v>
      </c>
      <c r="AN607" s="224">
        <f>VLOOKUP($AK607,ENTI!$AF$4:AI$1003,4,FALSE)</f>
        <v>0</v>
      </c>
      <c r="AO607" s="781">
        <f>VLOOKUP($AK607,ENTI!$AF$4:AJ$1003,5,FALSE)</f>
        <v>0</v>
      </c>
      <c r="AP607" s="315">
        <f>VLOOKUP($AK607,ENTI!$AF$4:AK$1003,6,FALSE)</f>
        <v>0</v>
      </c>
      <c r="AQ607" s="208">
        <f t="shared" si="124"/>
        <v>0</v>
      </c>
      <c r="AR607" s="152" t="e">
        <f t="shared" si="125"/>
        <v>#N/A</v>
      </c>
      <c r="AS607" s="1"/>
      <c r="AT607" s="88" t="str">
        <f t="shared" si="118"/>
        <v/>
      </c>
      <c r="AU607" s="1"/>
      <c r="AV607" s="175">
        <f>IF(AW607&gt;0,COUNTIF(AV$4:AV606,"&gt;0")+1,0)</f>
        <v>0</v>
      </c>
      <c r="AW607" s="164">
        <f t="shared" si="119"/>
        <v>0</v>
      </c>
      <c r="AX607" s="310">
        <f>IF($AW607=0,0,VLOOKUP(VLOOKUP($X607,$B$34:$T$38,19,FALSE),ENTI!$A$9:$B$13,2,FALSE))</f>
        <v>0</v>
      </c>
      <c r="AY607" s="310">
        <f t="shared" si="121"/>
        <v>0</v>
      </c>
      <c r="AZ607" s="316">
        <f t="shared" si="122"/>
        <v>0</v>
      </c>
      <c r="BA607" s="1"/>
      <c r="BB607" s="152">
        <f t="shared" si="123"/>
        <v>0</v>
      </c>
      <c r="BC607" s="152">
        <f ca="1">SUM(Z$4:Z607)+SUM(BB$4:BB607)+COSTI!S$6-COSTI!L$1076</f>
        <v>-31.760000000000218</v>
      </c>
      <c r="BD607" s="1"/>
    </row>
    <row r="608" spans="1:56" ht="16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435">
        <f>IF(AND(W608&gt;=$U$1,W608&lt;=$U$2),IF(X608='ESTRATTO CONTO'!$E$2,1+COUNTIF(U$4:U607,"&gt;0"),0),0)</f>
        <v>0</v>
      </c>
      <c r="V608" s="417">
        <f t="shared" si="120"/>
        <v>605</v>
      </c>
      <c r="W608" s="509"/>
      <c r="X608" s="321"/>
      <c r="Y608" s="321"/>
      <c r="Z608" s="508"/>
      <c r="AA608" s="356"/>
      <c r="AB608" s="306" t="str">
        <f t="shared" si="116"/>
        <v/>
      </c>
      <c r="AC608" s="637">
        <f t="shared" ca="1" si="115"/>
        <v>-2.1316282072803006E-13</v>
      </c>
      <c r="AD608" s="935">
        <f>IF(ISERROR(VLOOKUP(AD$2,X609:X$1003,1,FALSE)),IF(X608=AD$2,SUMIF(X$4:X608,AD$2,Z$4:Z608)+$E$9+SUM(AQ$4:AQ$1003)+SUMIF(COSTI!$X$1379:$X$1430,AD$2,COSTI!$Z$1379:$Z$1430),0),0)</f>
        <v>0</v>
      </c>
      <c r="AE608" s="26"/>
      <c r="AF608" s="856" t="e">
        <f>IF(ISERROR(VLOOKUP(AG$2,X609:X$1003,1,FALSE)),IF(X608=AG$2,SUMIF(X$4:X608,AG$2,Z$4:Z608)+VLOOKUP(AF$2,$B$1057:$F$1068,5,FALSE)+SUM(AR$4:AR$1003)+SUMIF(COSTI!$X$1379:$X$1430,AG$2,COSTI!$Z$1379:$Z$1430),0),0)</f>
        <v>#N/A</v>
      </c>
      <c r="AG608" s="859"/>
      <c r="AH608" s="27" t="str">
        <f t="shared" si="117"/>
        <v/>
      </c>
      <c r="AI608" s="152">
        <f ca="1">IF(W609&gt;0,0,IF(AH608=0,(Z608*-1)+BC608+SUM(BB$4:BB607),BC608+SUM(BB$4:BB607)))</f>
        <v>-2.1316282072803006E-13</v>
      </c>
      <c r="AJ608" s="931">
        <f>IF(AND(AL608&gt;=$U$1,AL608&lt;=$U$2),IF(AM608='ESTRATTO CONTO'!$E$2,1+COUNTIF(AJ$4:AJ607,"&gt;0")+U$1015,0),0)</f>
        <v>0</v>
      </c>
      <c r="AK608" s="203">
        <f>IF(AND(OR((AK607+1)&lt;AL$1015,(AK607+1)=AL$1015),MAX(AK$4:AK607)&lt;AL$1015),AK607+1,0)</f>
        <v>0</v>
      </c>
      <c r="AL608" s="309">
        <f>VLOOKUP($AK608,ENTI!$AF$4:AG$1003,2,FALSE)</f>
        <v>0</v>
      </c>
      <c r="AM608" s="224">
        <f>VLOOKUP($AK608,ENTI!$AF$4:AH$1003,3,FALSE)</f>
        <v>0</v>
      </c>
      <c r="AN608" s="224">
        <f>VLOOKUP($AK608,ENTI!$AF$4:AI$1003,4,FALSE)</f>
        <v>0</v>
      </c>
      <c r="AO608" s="781">
        <f>VLOOKUP($AK608,ENTI!$AF$4:AJ$1003,5,FALSE)</f>
        <v>0</v>
      </c>
      <c r="AP608" s="315">
        <f>VLOOKUP($AK608,ENTI!$AF$4:AK$1003,6,FALSE)</f>
        <v>0</v>
      </c>
      <c r="AQ608" s="208">
        <f t="shared" si="124"/>
        <v>0</v>
      </c>
      <c r="AR608" s="152" t="e">
        <f t="shared" si="125"/>
        <v>#N/A</v>
      </c>
      <c r="AS608" s="1"/>
      <c r="AT608" s="88" t="str">
        <f t="shared" si="118"/>
        <v/>
      </c>
      <c r="AU608" s="1"/>
      <c r="AV608" s="175">
        <f>IF(AW608&gt;0,COUNTIF(AV$4:AV607,"&gt;0")+1,0)</f>
        <v>0</v>
      </c>
      <c r="AW608" s="164">
        <f t="shared" si="119"/>
        <v>0</v>
      </c>
      <c r="AX608" s="310">
        <f>IF($AW608=0,0,VLOOKUP(VLOOKUP($X608,$B$34:$T$38,19,FALSE),ENTI!$A$9:$B$13,2,FALSE))</f>
        <v>0</v>
      </c>
      <c r="AY608" s="310">
        <f t="shared" si="121"/>
        <v>0</v>
      </c>
      <c r="AZ608" s="316">
        <f t="shared" si="122"/>
        <v>0</v>
      </c>
      <c r="BA608" s="1"/>
      <c r="BB608" s="152">
        <f t="shared" si="123"/>
        <v>0</v>
      </c>
      <c r="BC608" s="152">
        <f ca="1">SUM(Z$4:Z608)+SUM(BB$4:BB608)+COSTI!S$6-COSTI!L$1076</f>
        <v>-31.760000000000218</v>
      </c>
      <c r="BD608" s="1"/>
    </row>
    <row r="609" spans="1:56" ht="16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435">
        <f>IF(AND(W609&gt;=$U$1,W609&lt;=$U$2),IF(X609='ESTRATTO CONTO'!$E$2,1+COUNTIF(U$4:U608,"&gt;0"),0),0)</f>
        <v>0</v>
      </c>
      <c r="V609" s="417">
        <f t="shared" si="120"/>
        <v>606</v>
      </c>
      <c r="W609" s="509"/>
      <c r="X609" s="321"/>
      <c r="Y609" s="321"/>
      <c r="Z609" s="508"/>
      <c r="AA609" s="356"/>
      <c r="AB609" s="306" t="str">
        <f t="shared" si="116"/>
        <v/>
      </c>
      <c r="AC609" s="637">
        <f t="shared" ca="1" si="115"/>
        <v>-2.1316282072803006E-13</v>
      </c>
      <c r="AD609" s="935">
        <f>IF(ISERROR(VLOOKUP(AD$2,X610:X$1003,1,FALSE)),IF(X609=AD$2,SUMIF(X$4:X609,AD$2,Z$4:Z609)+$E$9+SUM(AQ$4:AQ$1003)+SUMIF(COSTI!$X$1379:$X$1430,AD$2,COSTI!$Z$1379:$Z$1430),0),0)</f>
        <v>0</v>
      </c>
      <c r="AE609" s="26"/>
      <c r="AF609" s="856" t="e">
        <f>IF(ISERROR(VLOOKUP(AG$2,X610:X$1003,1,FALSE)),IF(X609=AG$2,SUMIF(X$4:X609,AG$2,Z$4:Z609)+VLOOKUP(AF$2,$B$1057:$F$1068,5,FALSE)+SUM(AR$4:AR$1003)+SUMIF(COSTI!$X$1379:$X$1430,AG$2,COSTI!$Z$1379:$Z$1430),0),0)</f>
        <v>#N/A</v>
      </c>
      <c r="AG609" s="859"/>
      <c r="AH609" s="27" t="str">
        <f t="shared" si="117"/>
        <v/>
      </c>
      <c r="AI609" s="152">
        <f ca="1">IF(W610&gt;0,0,IF(AH609=0,(Z609*-1)+BC609+SUM(BB$4:BB608),BC609+SUM(BB$4:BB608)))</f>
        <v>-2.1316282072803006E-13</v>
      </c>
      <c r="AJ609" s="931">
        <f>IF(AND(AL609&gt;=$U$1,AL609&lt;=$U$2),IF(AM609='ESTRATTO CONTO'!$E$2,1+COUNTIF(AJ$4:AJ608,"&gt;0")+U$1015,0),0)</f>
        <v>0</v>
      </c>
      <c r="AK609" s="203">
        <f>IF(AND(OR((AK608+1)&lt;AL$1015,(AK608+1)=AL$1015),MAX(AK$4:AK608)&lt;AL$1015),AK608+1,0)</f>
        <v>0</v>
      </c>
      <c r="AL609" s="309">
        <f>VLOOKUP($AK609,ENTI!$AF$4:AG$1003,2,FALSE)</f>
        <v>0</v>
      </c>
      <c r="AM609" s="224">
        <f>VLOOKUP($AK609,ENTI!$AF$4:AH$1003,3,FALSE)</f>
        <v>0</v>
      </c>
      <c r="AN609" s="224">
        <f>VLOOKUP($AK609,ENTI!$AF$4:AI$1003,4,FALSE)</f>
        <v>0</v>
      </c>
      <c r="AO609" s="781">
        <f>VLOOKUP($AK609,ENTI!$AF$4:AJ$1003,5,FALSE)</f>
        <v>0</v>
      </c>
      <c r="AP609" s="315">
        <f>VLOOKUP($AK609,ENTI!$AF$4:AK$1003,6,FALSE)</f>
        <v>0</v>
      </c>
      <c r="AQ609" s="208">
        <f t="shared" si="124"/>
        <v>0</v>
      </c>
      <c r="AR609" s="152" t="e">
        <f t="shared" si="125"/>
        <v>#N/A</v>
      </c>
      <c r="AS609" s="1"/>
      <c r="AT609" s="88" t="str">
        <f t="shared" si="118"/>
        <v/>
      </c>
      <c r="AU609" s="1"/>
      <c r="AV609" s="175">
        <f>IF(AW609&gt;0,COUNTIF(AV$4:AV608,"&gt;0")+1,0)</f>
        <v>0</v>
      </c>
      <c r="AW609" s="164">
        <f t="shared" si="119"/>
        <v>0</v>
      </c>
      <c r="AX609" s="310">
        <f>IF($AW609=0,0,VLOOKUP(VLOOKUP($X609,$B$34:$T$38,19,FALSE),ENTI!$A$9:$B$13,2,FALSE))</f>
        <v>0</v>
      </c>
      <c r="AY609" s="310">
        <f t="shared" si="121"/>
        <v>0</v>
      </c>
      <c r="AZ609" s="316">
        <f t="shared" si="122"/>
        <v>0</v>
      </c>
      <c r="BA609" s="1"/>
      <c r="BB609" s="152">
        <f t="shared" si="123"/>
        <v>0</v>
      </c>
      <c r="BC609" s="152">
        <f ca="1">SUM(Z$4:Z609)+SUM(BB$4:BB609)+COSTI!S$6-COSTI!L$1076</f>
        <v>-31.760000000000218</v>
      </c>
      <c r="BD609" s="1"/>
    </row>
    <row r="610" spans="1:56" ht="16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435">
        <f>IF(AND(W610&gt;=$U$1,W610&lt;=$U$2),IF(X610='ESTRATTO CONTO'!$E$2,1+COUNTIF(U$4:U609,"&gt;0"),0),0)</f>
        <v>0</v>
      </c>
      <c r="V610" s="417">
        <f t="shared" si="120"/>
        <v>607</v>
      </c>
      <c r="W610" s="509"/>
      <c r="X610" s="321"/>
      <c r="Y610" s="321"/>
      <c r="Z610" s="508"/>
      <c r="AA610" s="356"/>
      <c r="AB610" s="306" t="str">
        <f t="shared" si="116"/>
        <v/>
      </c>
      <c r="AC610" s="637">
        <f t="shared" ca="1" si="115"/>
        <v>-2.1316282072803006E-13</v>
      </c>
      <c r="AD610" s="935">
        <f>IF(ISERROR(VLOOKUP(AD$2,X611:X$1003,1,FALSE)),IF(X610=AD$2,SUMIF(X$4:X610,AD$2,Z$4:Z610)+$E$9+SUM(AQ$4:AQ$1003)+SUMIF(COSTI!$X$1379:$X$1430,AD$2,COSTI!$Z$1379:$Z$1430),0),0)</f>
        <v>0</v>
      </c>
      <c r="AE610" s="26"/>
      <c r="AF610" s="856" t="e">
        <f>IF(ISERROR(VLOOKUP(AG$2,X611:X$1003,1,FALSE)),IF(X610=AG$2,SUMIF(X$4:X610,AG$2,Z$4:Z610)+VLOOKUP(AF$2,$B$1057:$F$1068,5,FALSE)+SUM(AR$4:AR$1003)+SUMIF(COSTI!$X$1379:$X$1430,AG$2,COSTI!$Z$1379:$Z$1430),0),0)</f>
        <v>#N/A</v>
      </c>
      <c r="AG610" s="859"/>
      <c r="AH610" s="27" t="str">
        <f t="shared" si="117"/>
        <v/>
      </c>
      <c r="AI610" s="152">
        <f ca="1">IF(W611&gt;0,0,IF(AH610=0,(Z610*-1)+BC610+SUM(BB$4:BB609),BC610+SUM(BB$4:BB609)))</f>
        <v>-2.1316282072803006E-13</v>
      </c>
      <c r="AJ610" s="931">
        <f>IF(AND(AL610&gt;=$U$1,AL610&lt;=$U$2),IF(AM610='ESTRATTO CONTO'!$E$2,1+COUNTIF(AJ$4:AJ609,"&gt;0")+U$1015,0),0)</f>
        <v>0</v>
      </c>
      <c r="AK610" s="203">
        <f>IF(AND(OR((AK609+1)&lt;AL$1015,(AK609+1)=AL$1015),MAX(AK$4:AK609)&lt;AL$1015),AK609+1,0)</f>
        <v>0</v>
      </c>
      <c r="AL610" s="309">
        <f>VLOOKUP($AK610,ENTI!$AF$4:AG$1003,2,FALSE)</f>
        <v>0</v>
      </c>
      <c r="AM610" s="224">
        <f>VLOOKUP($AK610,ENTI!$AF$4:AH$1003,3,FALSE)</f>
        <v>0</v>
      </c>
      <c r="AN610" s="224">
        <f>VLOOKUP($AK610,ENTI!$AF$4:AI$1003,4,FALSE)</f>
        <v>0</v>
      </c>
      <c r="AO610" s="781">
        <f>VLOOKUP($AK610,ENTI!$AF$4:AJ$1003,5,FALSE)</f>
        <v>0</v>
      </c>
      <c r="AP610" s="315">
        <f>VLOOKUP($AK610,ENTI!$AF$4:AK$1003,6,FALSE)</f>
        <v>0</v>
      </c>
      <c r="AQ610" s="208">
        <f t="shared" si="124"/>
        <v>0</v>
      </c>
      <c r="AR610" s="152" t="e">
        <f t="shared" si="125"/>
        <v>#N/A</v>
      </c>
      <c r="AS610" s="1"/>
      <c r="AT610" s="88" t="str">
        <f t="shared" si="118"/>
        <v/>
      </c>
      <c r="AU610" s="1"/>
      <c r="AV610" s="175">
        <f>IF(AW610&gt;0,COUNTIF(AV$4:AV609,"&gt;0")+1,0)</f>
        <v>0</v>
      </c>
      <c r="AW610" s="164">
        <f t="shared" si="119"/>
        <v>0</v>
      </c>
      <c r="AX610" s="310">
        <f>IF($AW610=0,0,VLOOKUP(VLOOKUP($X610,$B$34:$T$38,19,FALSE),ENTI!$A$9:$B$13,2,FALSE))</f>
        <v>0</v>
      </c>
      <c r="AY610" s="310">
        <f t="shared" si="121"/>
        <v>0</v>
      </c>
      <c r="AZ610" s="316">
        <f t="shared" si="122"/>
        <v>0</v>
      </c>
      <c r="BA610" s="1"/>
      <c r="BB610" s="152">
        <f t="shared" si="123"/>
        <v>0</v>
      </c>
      <c r="BC610" s="152">
        <f ca="1">SUM(Z$4:Z610)+SUM(BB$4:BB610)+COSTI!S$6-COSTI!L$1076</f>
        <v>-31.760000000000218</v>
      </c>
      <c r="BD610" s="1"/>
    </row>
    <row r="611" spans="1:56" ht="16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435">
        <f>IF(AND(W611&gt;=$U$1,W611&lt;=$U$2),IF(X611='ESTRATTO CONTO'!$E$2,1+COUNTIF(U$4:U610,"&gt;0"),0),0)</f>
        <v>0</v>
      </c>
      <c r="V611" s="417">
        <f t="shared" si="120"/>
        <v>608</v>
      </c>
      <c r="W611" s="509"/>
      <c r="X611" s="321"/>
      <c r="Y611" s="321"/>
      <c r="Z611" s="508"/>
      <c r="AA611" s="356"/>
      <c r="AB611" s="306" t="str">
        <f t="shared" si="116"/>
        <v/>
      </c>
      <c r="AC611" s="637">
        <f t="shared" ca="1" si="115"/>
        <v>-2.1316282072803006E-13</v>
      </c>
      <c r="AD611" s="935">
        <f>IF(ISERROR(VLOOKUP(AD$2,X612:X$1003,1,FALSE)),IF(X611=AD$2,SUMIF(X$4:X611,AD$2,Z$4:Z611)+$E$9+SUM(AQ$4:AQ$1003)+SUMIF(COSTI!$X$1379:$X$1430,AD$2,COSTI!$Z$1379:$Z$1430),0),0)</f>
        <v>0</v>
      </c>
      <c r="AE611" s="26"/>
      <c r="AF611" s="856" t="e">
        <f>IF(ISERROR(VLOOKUP(AG$2,X612:X$1003,1,FALSE)),IF(X611=AG$2,SUMIF(X$4:X611,AG$2,Z$4:Z611)+VLOOKUP(AF$2,$B$1057:$F$1068,5,FALSE)+SUM(AR$4:AR$1003)+SUMIF(COSTI!$X$1379:$X$1430,AG$2,COSTI!$Z$1379:$Z$1430),0),0)</f>
        <v>#N/A</v>
      </c>
      <c r="AG611" s="859"/>
      <c r="AH611" s="27" t="str">
        <f t="shared" si="117"/>
        <v/>
      </c>
      <c r="AI611" s="152">
        <f ca="1">IF(W612&gt;0,0,IF(AH611=0,(Z611*-1)+BC611+SUM(BB$4:BB610),BC611+SUM(BB$4:BB610)))</f>
        <v>-2.1316282072803006E-13</v>
      </c>
      <c r="AJ611" s="931">
        <f>IF(AND(AL611&gt;=$U$1,AL611&lt;=$U$2),IF(AM611='ESTRATTO CONTO'!$E$2,1+COUNTIF(AJ$4:AJ610,"&gt;0")+U$1015,0),0)</f>
        <v>0</v>
      </c>
      <c r="AK611" s="203">
        <f>IF(AND(OR((AK610+1)&lt;AL$1015,(AK610+1)=AL$1015),MAX(AK$4:AK610)&lt;AL$1015),AK610+1,0)</f>
        <v>0</v>
      </c>
      <c r="AL611" s="309">
        <f>VLOOKUP($AK611,ENTI!$AF$4:AG$1003,2,FALSE)</f>
        <v>0</v>
      </c>
      <c r="AM611" s="224">
        <f>VLOOKUP($AK611,ENTI!$AF$4:AH$1003,3,FALSE)</f>
        <v>0</v>
      </c>
      <c r="AN611" s="224">
        <f>VLOOKUP($AK611,ENTI!$AF$4:AI$1003,4,FALSE)</f>
        <v>0</v>
      </c>
      <c r="AO611" s="781">
        <f>VLOOKUP($AK611,ENTI!$AF$4:AJ$1003,5,FALSE)</f>
        <v>0</v>
      </c>
      <c r="AP611" s="315">
        <f>VLOOKUP($AK611,ENTI!$AF$4:AK$1003,6,FALSE)</f>
        <v>0</v>
      </c>
      <c r="AQ611" s="208">
        <f t="shared" si="124"/>
        <v>0</v>
      </c>
      <c r="AR611" s="152" t="e">
        <f t="shared" si="125"/>
        <v>#N/A</v>
      </c>
      <c r="AS611" s="1"/>
      <c r="AT611" s="88" t="str">
        <f t="shared" si="118"/>
        <v/>
      </c>
      <c r="AU611" s="1"/>
      <c r="AV611" s="175">
        <f>IF(AW611&gt;0,COUNTIF(AV$4:AV610,"&gt;0")+1,0)</f>
        <v>0</v>
      </c>
      <c r="AW611" s="164">
        <f t="shared" si="119"/>
        <v>0</v>
      </c>
      <c r="AX611" s="310">
        <f>IF($AW611=0,0,VLOOKUP(VLOOKUP($X611,$B$34:$T$38,19,FALSE),ENTI!$A$9:$B$13,2,FALSE))</f>
        <v>0</v>
      </c>
      <c r="AY611" s="310">
        <f t="shared" si="121"/>
        <v>0</v>
      </c>
      <c r="AZ611" s="316">
        <f t="shared" si="122"/>
        <v>0</v>
      </c>
      <c r="BA611" s="1"/>
      <c r="BB611" s="152">
        <f t="shared" si="123"/>
        <v>0</v>
      </c>
      <c r="BC611" s="152">
        <f ca="1">SUM(Z$4:Z611)+SUM(BB$4:BB611)+COSTI!S$6-COSTI!L$1076</f>
        <v>-31.760000000000218</v>
      </c>
      <c r="BD611" s="1"/>
    </row>
    <row r="612" spans="1:56" ht="16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435">
        <f>IF(AND(W612&gt;=$U$1,W612&lt;=$U$2),IF(X612='ESTRATTO CONTO'!$E$2,1+COUNTIF(U$4:U611,"&gt;0"),0),0)</f>
        <v>0</v>
      </c>
      <c r="V612" s="417">
        <f t="shared" si="120"/>
        <v>609</v>
      </c>
      <c r="W612" s="509"/>
      <c r="X612" s="321"/>
      <c r="Y612" s="321"/>
      <c r="Z612" s="508"/>
      <c r="AA612" s="356"/>
      <c r="AB612" s="306" t="str">
        <f t="shared" si="116"/>
        <v/>
      </c>
      <c r="AC612" s="637">
        <f t="shared" ca="1" si="115"/>
        <v>-2.1316282072803006E-13</v>
      </c>
      <c r="AD612" s="935">
        <f>IF(ISERROR(VLOOKUP(AD$2,X613:X$1003,1,FALSE)),IF(X612=AD$2,SUMIF(X$4:X612,AD$2,Z$4:Z612)+$E$9+SUM(AQ$4:AQ$1003)+SUMIF(COSTI!$X$1379:$X$1430,AD$2,COSTI!$Z$1379:$Z$1430),0),0)</f>
        <v>0</v>
      </c>
      <c r="AE612" s="26"/>
      <c r="AF612" s="856" t="e">
        <f>IF(ISERROR(VLOOKUP(AG$2,X613:X$1003,1,FALSE)),IF(X612=AG$2,SUMIF(X$4:X612,AG$2,Z$4:Z612)+VLOOKUP(AF$2,$B$1057:$F$1068,5,FALSE)+SUM(AR$4:AR$1003)+SUMIF(COSTI!$X$1379:$X$1430,AG$2,COSTI!$Z$1379:$Z$1430),0),0)</f>
        <v>#N/A</v>
      </c>
      <c r="AG612" s="859"/>
      <c r="AH612" s="27" t="str">
        <f t="shared" si="117"/>
        <v/>
      </c>
      <c r="AI612" s="152">
        <f ca="1">IF(W613&gt;0,0,IF(AH612=0,(Z612*-1)+BC612+SUM(BB$4:BB611),BC612+SUM(BB$4:BB611)))</f>
        <v>-2.1316282072803006E-13</v>
      </c>
      <c r="AJ612" s="931">
        <f>IF(AND(AL612&gt;=$U$1,AL612&lt;=$U$2),IF(AM612='ESTRATTO CONTO'!$E$2,1+COUNTIF(AJ$4:AJ611,"&gt;0")+U$1015,0),0)</f>
        <v>0</v>
      </c>
      <c r="AK612" s="203">
        <f>IF(AND(OR((AK611+1)&lt;AL$1015,(AK611+1)=AL$1015),MAX(AK$4:AK611)&lt;AL$1015),AK611+1,0)</f>
        <v>0</v>
      </c>
      <c r="AL612" s="309">
        <f>VLOOKUP($AK612,ENTI!$AF$4:AG$1003,2,FALSE)</f>
        <v>0</v>
      </c>
      <c r="AM612" s="224">
        <f>VLOOKUP($AK612,ENTI!$AF$4:AH$1003,3,FALSE)</f>
        <v>0</v>
      </c>
      <c r="AN612" s="224">
        <f>VLOOKUP($AK612,ENTI!$AF$4:AI$1003,4,FALSE)</f>
        <v>0</v>
      </c>
      <c r="AO612" s="781">
        <f>VLOOKUP($AK612,ENTI!$AF$4:AJ$1003,5,FALSE)</f>
        <v>0</v>
      </c>
      <c r="AP612" s="315">
        <f>VLOOKUP($AK612,ENTI!$AF$4:AK$1003,6,FALSE)</f>
        <v>0</v>
      </c>
      <c r="AQ612" s="208">
        <f t="shared" si="124"/>
        <v>0</v>
      </c>
      <c r="AR612" s="152" t="e">
        <f t="shared" si="125"/>
        <v>#N/A</v>
      </c>
      <c r="AS612" s="1"/>
      <c r="AT612" s="88" t="str">
        <f t="shared" si="118"/>
        <v/>
      </c>
      <c r="AU612" s="1"/>
      <c r="AV612" s="175">
        <f>IF(AW612&gt;0,COUNTIF(AV$4:AV611,"&gt;0")+1,0)</f>
        <v>0</v>
      </c>
      <c r="AW612" s="164">
        <f t="shared" si="119"/>
        <v>0</v>
      </c>
      <c r="AX612" s="310">
        <f>IF($AW612=0,0,VLOOKUP(VLOOKUP($X612,$B$34:$T$38,19,FALSE),ENTI!$A$9:$B$13,2,FALSE))</f>
        <v>0</v>
      </c>
      <c r="AY612" s="310">
        <f t="shared" si="121"/>
        <v>0</v>
      </c>
      <c r="AZ612" s="316">
        <f t="shared" si="122"/>
        <v>0</v>
      </c>
      <c r="BA612" s="1"/>
      <c r="BB612" s="152">
        <f t="shared" si="123"/>
        <v>0</v>
      </c>
      <c r="BC612" s="152">
        <f ca="1">SUM(Z$4:Z612)+SUM(BB$4:BB612)+COSTI!S$6-COSTI!L$1076</f>
        <v>-31.760000000000218</v>
      </c>
      <c r="BD612" s="1"/>
    </row>
    <row r="613" spans="1:56" ht="16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435">
        <f>IF(AND(W613&gt;=$U$1,W613&lt;=$U$2),IF(X613='ESTRATTO CONTO'!$E$2,1+COUNTIF(U$4:U612,"&gt;0"),0),0)</f>
        <v>0</v>
      </c>
      <c r="V613" s="417">
        <f t="shared" si="120"/>
        <v>610</v>
      </c>
      <c r="W613" s="509"/>
      <c r="X613" s="321"/>
      <c r="Y613" s="321"/>
      <c r="Z613" s="508"/>
      <c r="AA613" s="356"/>
      <c r="AB613" s="306" t="str">
        <f t="shared" si="116"/>
        <v/>
      </c>
      <c r="AC613" s="637">
        <f t="shared" ca="1" si="115"/>
        <v>-2.1316282072803006E-13</v>
      </c>
      <c r="AD613" s="935">
        <f>IF(ISERROR(VLOOKUP(AD$2,X614:X$1003,1,FALSE)),IF(X613=AD$2,SUMIF(X$4:X613,AD$2,Z$4:Z613)+$E$9+SUM(AQ$4:AQ$1003)+SUMIF(COSTI!$X$1379:$X$1430,AD$2,COSTI!$Z$1379:$Z$1430),0),0)</f>
        <v>0</v>
      </c>
      <c r="AE613" s="26"/>
      <c r="AF613" s="856" t="e">
        <f>IF(ISERROR(VLOOKUP(AG$2,X614:X$1003,1,FALSE)),IF(X613=AG$2,SUMIF(X$4:X613,AG$2,Z$4:Z613)+VLOOKUP(AF$2,$B$1057:$F$1068,5,FALSE)+SUM(AR$4:AR$1003)+SUMIF(COSTI!$X$1379:$X$1430,AG$2,COSTI!$Z$1379:$Z$1430),0),0)</f>
        <v>#N/A</v>
      </c>
      <c r="AG613" s="859"/>
      <c r="AH613" s="27" t="str">
        <f t="shared" si="117"/>
        <v/>
      </c>
      <c r="AI613" s="152">
        <f ca="1">IF(W614&gt;0,0,IF(AH613=0,(Z613*-1)+BC613+SUM(BB$4:BB612),BC613+SUM(BB$4:BB612)))</f>
        <v>-2.1316282072803006E-13</v>
      </c>
      <c r="AJ613" s="931">
        <f>IF(AND(AL613&gt;=$U$1,AL613&lt;=$U$2),IF(AM613='ESTRATTO CONTO'!$E$2,1+COUNTIF(AJ$4:AJ612,"&gt;0")+U$1015,0),0)</f>
        <v>0</v>
      </c>
      <c r="AK613" s="203">
        <f>IF(AND(OR((AK612+1)&lt;AL$1015,(AK612+1)=AL$1015),MAX(AK$4:AK612)&lt;AL$1015),AK612+1,0)</f>
        <v>0</v>
      </c>
      <c r="AL613" s="309">
        <f>VLOOKUP($AK613,ENTI!$AF$4:AG$1003,2,FALSE)</f>
        <v>0</v>
      </c>
      <c r="AM613" s="224">
        <f>VLOOKUP($AK613,ENTI!$AF$4:AH$1003,3,FALSE)</f>
        <v>0</v>
      </c>
      <c r="AN613" s="224">
        <f>VLOOKUP($AK613,ENTI!$AF$4:AI$1003,4,FALSE)</f>
        <v>0</v>
      </c>
      <c r="AO613" s="781">
        <f>VLOOKUP($AK613,ENTI!$AF$4:AJ$1003,5,FALSE)</f>
        <v>0</v>
      </c>
      <c r="AP613" s="315">
        <f>VLOOKUP($AK613,ENTI!$AF$4:AK$1003,6,FALSE)</f>
        <v>0</v>
      </c>
      <c r="AQ613" s="208">
        <f t="shared" si="124"/>
        <v>0</v>
      </c>
      <c r="AR613" s="152" t="e">
        <f t="shared" si="125"/>
        <v>#N/A</v>
      </c>
      <c r="AS613" s="1"/>
      <c r="AT613" s="88" t="str">
        <f t="shared" si="118"/>
        <v/>
      </c>
      <c r="AU613" s="1"/>
      <c r="AV613" s="175">
        <f>IF(AW613&gt;0,COUNTIF(AV$4:AV612,"&gt;0")+1,0)</f>
        <v>0</v>
      </c>
      <c r="AW613" s="164">
        <f t="shared" si="119"/>
        <v>0</v>
      </c>
      <c r="AX613" s="310">
        <f>IF($AW613=0,0,VLOOKUP(VLOOKUP($X613,$B$34:$T$38,19,FALSE),ENTI!$A$9:$B$13,2,FALSE))</f>
        <v>0</v>
      </c>
      <c r="AY613" s="310">
        <f t="shared" si="121"/>
        <v>0</v>
      </c>
      <c r="AZ613" s="316">
        <f t="shared" si="122"/>
        <v>0</v>
      </c>
      <c r="BA613" s="1"/>
      <c r="BB613" s="152">
        <f t="shared" si="123"/>
        <v>0</v>
      </c>
      <c r="BC613" s="152">
        <f ca="1">SUM(Z$4:Z613)+SUM(BB$4:BB613)+COSTI!S$6-COSTI!L$1076</f>
        <v>-31.760000000000218</v>
      </c>
      <c r="BD613" s="1"/>
    </row>
    <row r="614" spans="1:56" ht="16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435">
        <f>IF(AND(W614&gt;=$U$1,W614&lt;=$U$2),IF(X614='ESTRATTO CONTO'!$E$2,1+COUNTIF(U$4:U613,"&gt;0"),0),0)</f>
        <v>0</v>
      </c>
      <c r="V614" s="417">
        <f t="shared" si="120"/>
        <v>611</v>
      </c>
      <c r="W614" s="509"/>
      <c r="X614" s="321"/>
      <c r="Y614" s="321"/>
      <c r="Z614" s="508"/>
      <c r="AA614" s="356"/>
      <c r="AB614" s="306" t="str">
        <f t="shared" si="116"/>
        <v/>
      </c>
      <c r="AC614" s="637">
        <f t="shared" ca="1" si="115"/>
        <v>-2.1316282072803006E-13</v>
      </c>
      <c r="AD614" s="935">
        <f>IF(ISERROR(VLOOKUP(AD$2,X615:X$1003,1,FALSE)),IF(X614=AD$2,SUMIF(X$4:X614,AD$2,Z$4:Z614)+$E$9+SUM(AQ$4:AQ$1003)+SUMIF(COSTI!$X$1379:$X$1430,AD$2,COSTI!$Z$1379:$Z$1430),0),0)</f>
        <v>0</v>
      </c>
      <c r="AE614" s="26"/>
      <c r="AF614" s="856" t="e">
        <f>IF(ISERROR(VLOOKUP(AG$2,X615:X$1003,1,FALSE)),IF(X614=AG$2,SUMIF(X$4:X614,AG$2,Z$4:Z614)+VLOOKUP(AF$2,$B$1057:$F$1068,5,FALSE)+SUM(AR$4:AR$1003)+SUMIF(COSTI!$X$1379:$X$1430,AG$2,COSTI!$Z$1379:$Z$1430),0),0)</f>
        <v>#N/A</v>
      </c>
      <c r="AG614" s="859"/>
      <c r="AH614" s="27" t="str">
        <f t="shared" si="117"/>
        <v/>
      </c>
      <c r="AI614" s="152">
        <f ca="1">IF(W615&gt;0,0,IF(AH614=0,(Z614*-1)+BC614+SUM(BB$4:BB613),BC614+SUM(BB$4:BB613)))</f>
        <v>-2.1316282072803006E-13</v>
      </c>
      <c r="AJ614" s="931">
        <f>IF(AND(AL614&gt;=$U$1,AL614&lt;=$U$2),IF(AM614='ESTRATTO CONTO'!$E$2,1+COUNTIF(AJ$4:AJ613,"&gt;0")+U$1015,0),0)</f>
        <v>0</v>
      </c>
      <c r="AK614" s="203">
        <f>IF(AND(OR((AK613+1)&lt;AL$1015,(AK613+1)=AL$1015),MAX(AK$4:AK613)&lt;AL$1015),AK613+1,0)</f>
        <v>0</v>
      </c>
      <c r="AL614" s="309">
        <f>VLOOKUP($AK614,ENTI!$AF$4:AG$1003,2,FALSE)</f>
        <v>0</v>
      </c>
      <c r="AM614" s="224">
        <f>VLOOKUP($AK614,ENTI!$AF$4:AH$1003,3,FALSE)</f>
        <v>0</v>
      </c>
      <c r="AN614" s="224">
        <f>VLOOKUP($AK614,ENTI!$AF$4:AI$1003,4,FALSE)</f>
        <v>0</v>
      </c>
      <c r="AO614" s="781">
        <f>VLOOKUP($AK614,ENTI!$AF$4:AJ$1003,5,FALSE)</f>
        <v>0</v>
      </c>
      <c r="AP614" s="315">
        <f>VLOOKUP($AK614,ENTI!$AF$4:AK$1003,6,FALSE)</f>
        <v>0</v>
      </c>
      <c r="AQ614" s="208">
        <f t="shared" si="124"/>
        <v>0</v>
      </c>
      <c r="AR614" s="152" t="e">
        <f t="shared" si="125"/>
        <v>#N/A</v>
      </c>
      <c r="AS614" s="1"/>
      <c r="AT614" s="88" t="str">
        <f t="shared" si="118"/>
        <v/>
      </c>
      <c r="AU614" s="1"/>
      <c r="AV614" s="175">
        <f>IF(AW614&gt;0,COUNTIF(AV$4:AV613,"&gt;0")+1,0)</f>
        <v>0</v>
      </c>
      <c r="AW614" s="164">
        <f t="shared" si="119"/>
        <v>0</v>
      </c>
      <c r="AX614" s="310">
        <f>IF($AW614=0,0,VLOOKUP(VLOOKUP($X614,$B$34:$T$38,19,FALSE),ENTI!$A$9:$B$13,2,FALSE))</f>
        <v>0</v>
      </c>
      <c r="AY614" s="310">
        <f t="shared" si="121"/>
        <v>0</v>
      </c>
      <c r="AZ614" s="316">
        <f t="shared" si="122"/>
        <v>0</v>
      </c>
      <c r="BA614" s="1"/>
      <c r="BB614" s="152">
        <f t="shared" si="123"/>
        <v>0</v>
      </c>
      <c r="BC614" s="152">
        <f ca="1">SUM(Z$4:Z614)+SUM(BB$4:BB614)+COSTI!S$6-COSTI!L$1076</f>
        <v>-31.760000000000218</v>
      </c>
      <c r="BD614" s="1"/>
    </row>
    <row r="615" spans="1:56" ht="16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435">
        <f>IF(AND(W615&gt;=$U$1,W615&lt;=$U$2),IF(X615='ESTRATTO CONTO'!$E$2,1+COUNTIF(U$4:U614,"&gt;0"),0),0)</f>
        <v>0</v>
      </c>
      <c r="V615" s="417">
        <f t="shared" si="120"/>
        <v>612</v>
      </c>
      <c r="W615" s="509"/>
      <c r="X615" s="321"/>
      <c r="Y615" s="321"/>
      <c r="Z615" s="508"/>
      <c r="AA615" s="356"/>
      <c r="AB615" s="306" t="str">
        <f t="shared" si="116"/>
        <v/>
      </c>
      <c r="AC615" s="637">
        <f t="shared" ca="1" si="115"/>
        <v>-2.1316282072803006E-13</v>
      </c>
      <c r="AD615" s="935">
        <f>IF(ISERROR(VLOOKUP(AD$2,X616:X$1003,1,FALSE)),IF(X615=AD$2,SUMIF(X$4:X615,AD$2,Z$4:Z615)+$E$9+SUM(AQ$4:AQ$1003)+SUMIF(COSTI!$X$1379:$X$1430,AD$2,COSTI!$Z$1379:$Z$1430),0),0)</f>
        <v>0</v>
      </c>
      <c r="AE615" s="26"/>
      <c r="AF615" s="856" t="e">
        <f>IF(ISERROR(VLOOKUP(AG$2,X616:X$1003,1,FALSE)),IF(X615=AG$2,SUMIF(X$4:X615,AG$2,Z$4:Z615)+VLOOKUP(AF$2,$B$1057:$F$1068,5,FALSE)+SUM(AR$4:AR$1003)+SUMIF(COSTI!$X$1379:$X$1430,AG$2,COSTI!$Z$1379:$Z$1430),0),0)</f>
        <v>#N/A</v>
      </c>
      <c r="AG615" s="859"/>
      <c r="AH615" s="27" t="str">
        <f t="shared" si="117"/>
        <v/>
      </c>
      <c r="AI615" s="152">
        <f ca="1">IF(W616&gt;0,0,IF(AH615=0,(Z615*-1)+BC615+SUM(BB$4:BB614),BC615+SUM(BB$4:BB614)))</f>
        <v>-2.1316282072803006E-13</v>
      </c>
      <c r="AJ615" s="931">
        <f>IF(AND(AL615&gt;=$U$1,AL615&lt;=$U$2),IF(AM615='ESTRATTO CONTO'!$E$2,1+COUNTIF(AJ$4:AJ614,"&gt;0")+U$1015,0),0)</f>
        <v>0</v>
      </c>
      <c r="AK615" s="203">
        <f>IF(AND(OR((AK614+1)&lt;AL$1015,(AK614+1)=AL$1015),MAX(AK$4:AK614)&lt;AL$1015),AK614+1,0)</f>
        <v>0</v>
      </c>
      <c r="AL615" s="309">
        <f>VLOOKUP($AK615,ENTI!$AF$4:AG$1003,2,FALSE)</f>
        <v>0</v>
      </c>
      <c r="AM615" s="224">
        <f>VLOOKUP($AK615,ENTI!$AF$4:AH$1003,3,FALSE)</f>
        <v>0</v>
      </c>
      <c r="AN615" s="224">
        <f>VLOOKUP($AK615,ENTI!$AF$4:AI$1003,4,FALSE)</f>
        <v>0</v>
      </c>
      <c r="AO615" s="781">
        <f>VLOOKUP($AK615,ENTI!$AF$4:AJ$1003,5,FALSE)</f>
        <v>0</v>
      </c>
      <c r="AP615" s="315">
        <f>VLOOKUP($AK615,ENTI!$AF$4:AK$1003,6,FALSE)</f>
        <v>0</v>
      </c>
      <c r="AQ615" s="208">
        <f t="shared" si="124"/>
        <v>0</v>
      </c>
      <c r="AR615" s="152" t="e">
        <f t="shared" si="125"/>
        <v>#N/A</v>
      </c>
      <c r="AS615" s="1"/>
      <c r="AT615" s="88" t="str">
        <f t="shared" si="118"/>
        <v/>
      </c>
      <c r="AU615" s="1"/>
      <c r="AV615" s="175">
        <f>IF(AW615&gt;0,COUNTIF(AV$4:AV614,"&gt;0")+1,0)</f>
        <v>0</v>
      </c>
      <c r="AW615" s="164">
        <f t="shared" si="119"/>
        <v>0</v>
      </c>
      <c r="AX615" s="310">
        <f>IF($AW615=0,0,VLOOKUP(VLOOKUP($X615,$B$34:$T$38,19,FALSE),ENTI!$A$9:$B$13,2,FALSE))</f>
        <v>0</v>
      </c>
      <c r="AY615" s="310">
        <f t="shared" si="121"/>
        <v>0</v>
      </c>
      <c r="AZ615" s="316">
        <f t="shared" si="122"/>
        <v>0</v>
      </c>
      <c r="BA615" s="1"/>
      <c r="BB615" s="152">
        <f t="shared" si="123"/>
        <v>0</v>
      </c>
      <c r="BC615" s="152">
        <f ca="1">SUM(Z$4:Z615)+SUM(BB$4:BB615)+COSTI!S$6-COSTI!L$1076</f>
        <v>-31.760000000000218</v>
      </c>
      <c r="BD615" s="1"/>
    </row>
    <row r="616" spans="1:56" ht="16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435">
        <f>IF(AND(W616&gt;=$U$1,W616&lt;=$U$2),IF(X616='ESTRATTO CONTO'!$E$2,1+COUNTIF(U$4:U615,"&gt;0"),0),0)</f>
        <v>0</v>
      </c>
      <c r="V616" s="417">
        <f t="shared" si="120"/>
        <v>613</v>
      </c>
      <c r="W616" s="509"/>
      <c r="X616" s="321"/>
      <c r="Y616" s="321"/>
      <c r="Z616" s="508"/>
      <c r="AA616" s="356"/>
      <c r="AB616" s="306" t="str">
        <f t="shared" si="116"/>
        <v/>
      </c>
      <c r="AC616" s="637">
        <f t="shared" ca="1" si="115"/>
        <v>-2.1316282072803006E-13</v>
      </c>
      <c r="AD616" s="935">
        <f>IF(ISERROR(VLOOKUP(AD$2,X617:X$1003,1,FALSE)),IF(X616=AD$2,SUMIF(X$4:X616,AD$2,Z$4:Z616)+$E$9+SUM(AQ$4:AQ$1003)+SUMIF(COSTI!$X$1379:$X$1430,AD$2,COSTI!$Z$1379:$Z$1430),0),0)</f>
        <v>0</v>
      </c>
      <c r="AE616" s="26"/>
      <c r="AF616" s="856" t="e">
        <f>IF(ISERROR(VLOOKUP(AG$2,X617:X$1003,1,FALSE)),IF(X616=AG$2,SUMIF(X$4:X616,AG$2,Z$4:Z616)+VLOOKUP(AF$2,$B$1057:$F$1068,5,FALSE)+SUM(AR$4:AR$1003)+SUMIF(COSTI!$X$1379:$X$1430,AG$2,COSTI!$Z$1379:$Z$1430),0),0)</f>
        <v>#N/A</v>
      </c>
      <c r="AG616" s="859"/>
      <c r="AH616" s="27" t="str">
        <f t="shared" si="117"/>
        <v/>
      </c>
      <c r="AI616" s="152">
        <f ca="1">IF(W617&gt;0,0,IF(AH616=0,(Z616*-1)+BC616+SUM(BB$4:BB615),BC616+SUM(BB$4:BB615)))</f>
        <v>-2.1316282072803006E-13</v>
      </c>
      <c r="AJ616" s="931">
        <f>IF(AND(AL616&gt;=$U$1,AL616&lt;=$U$2),IF(AM616='ESTRATTO CONTO'!$E$2,1+COUNTIF(AJ$4:AJ615,"&gt;0")+U$1015,0),0)</f>
        <v>0</v>
      </c>
      <c r="AK616" s="203">
        <f>IF(AND(OR((AK615+1)&lt;AL$1015,(AK615+1)=AL$1015),MAX(AK$4:AK615)&lt;AL$1015),AK615+1,0)</f>
        <v>0</v>
      </c>
      <c r="AL616" s="309">
        <f>VLOOKUP($AK616,ENTI!$AF$4:AG$1003,2,FALSE)</f>
        <v>0</v>
      </c>
      <c r="AM616" s="224">
        <f>VLOOKUP($AK616,ENTI!$AF$4:AH$1003,3,FALSE)</f>
        <v>0</v>
      </c>
      <c r="AN616" s="224">
        <f>VLOOKUP($AK616,ENTI!$AF$4:AI$1003,4,FALSE)</f>
        <v>0</v>
      </c>
      <c r="AO616" s="781">
        <f>VLOOKUP($AK616,ENTI!$AF$4:AJ$1003,5,FALSE)</f>
        <v>0</v>
      </c>
      <c r="AP616" s="315">
        <f>VLOOKUP($AK616,ENTI!$AF$4:AK$1003,6,FALSE)</f>
        <v>0</v>
      </c>
      <c r="AQ616" s="208">
        <f t="shared" si="124"/>
        <v>0</v>
      </c>
      <c r="AR616" s="152" t="e">
        <f t="shared" si="125"/>
        <v>#N/A</v>
      </c>
      <c r="AS616" s="1"/>
      <c r="AT616" s="88" t="str">
        <f t="shared" si="118"/>
        <v/>
      </c>
      <c r="AU616" s="1"/>
      <c r="AV616" s="175">
        <f>IF(AW616&gt;0,COUNTIF(AV$4:AV615,"&gt;0")+1,0)</f>
        <v>0</v>
      </c>
      <c r="AW616" s="164">
        <f t="shared" si="119"/>
        <v>0</v>
      </c>
      <c r="AX616" s="310">
        <f>IF($AW616=0,0,VLOOKUP(VLOOKUP($X616,$B$34:$T$38,19,FALSE),ENTI!$A$9:$B$13,2,FALSE))</f>
        <v>0</v>
      </c>
      <c r="AY616" s="310">
        <f t="shared" si="121"/>
        <v>0</v>
      </c>
      <c r="AZ616" s="316">
        <f t="shared" si="122"/>
        <v>0</v>
      </c>
      <c r="BA616" s="1"/>
      <c r="BB616" s="152">
        <f t="shared" si="123"/>
        <v>0</v>
      </c>
      <c r="BC616" s="152">
        <f ca="1">SUM(Z$4:Z616)+SUM(BB$4:BB616)+COSTI!S$6-COSTI!L$1076</f>
        <v>-31.760000000000218</v>
      </c>
      <c r="BD616" s="1"/>
    </row>
    <row r="617" spans="1:56" ht="16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435">
        <f>IF(AND(W617&gt;=$U$1,W617&lt;=$U$2),IF(X617='ESTRATTO CONTO'!$E$2,1+COUNTIF(U$4:U616,"&gt;0"),0),0)</f>
        <v>0</v>
      </c>
      <c r="V617" s="417">
        <f t="shared" si="120"/>
        <v>614</v>
      </c>
      <c r="W617" s="509"/>
      <c r="X617" s="321"/>
      <c r="Y617" s="321"/>
      <c r="Z617" s="508"/>
      <c r="AA617" s="356"/>
      <c r="AB617" s="306" t="str">
        <f t="shared" si="116"/>
        <v/>
      </c>
      <c r="AC617" s="637">
        <f t="shared" ca="1" si="115"/>
        <v>-2.1316282072803006E-13</v>
      </c>
      <c r="AD617" s="935">
        <f>IF(ISERROR(VLOOKUP(AD$2,X618:X$1003,1,FALSE)),IF(X617=AD$2,SUMIF(X$4:X617,AD$2,Z$4:Z617)+$E$9+SUM(AQ$4:AQ$1003)+SUMIF(COSTI!$X$1379:$X$1430,AD$2,COSTI!$Z$1379:$Z$1430),0),0)</f>
        <v>0</v>
      </c>
      <c r="AE617" s="26"/>
      <c r="AF617" s="856" t="e">
        <f>IF(ISERROR(VLOOKUP(AG$2,X618:X$1003,1,FALSE)),IF(X617=AG$2,SUMIF(X$4:X617,AG$2,Z$4:Z617)+VLOOKUP(AF$2,$B$1057:$F$1068,5,FALSE)+SUM(AR$4:AR$1003)+SUMIF(COSTI!$X$1379:$X$1430,AG$2,COSTI!$Z$1379:$Z$1430),0),0)</f>
        <v>#N/A</v>
      </c>
      <c r="AG617" s="859"/>
      <c r="AH617" s="27" t="str">
        <f t="shared" si="117"/>
        <v/>
      </c>
      <c r="AI617" s="152">
        <f ca="1">IF(W618&gt;0,0,IF(AH617=0,(Z617*-1)+BC617+SUM(BB$4:BB616),BC617+SUM(BB$4:BB616)))</f>
        <v>-2.1316282072803006E-13</v>
      </c>
      <c r="AJ617" s="931">
        <f>IF(AND(AL617&gt;=$U$1,AL617&lt;=$U$2),IF(AM617='ESTRATTO CONTO'!$E$2,1+COUNTIF(AJ$4:AJ616,"&gt;0")+U$1015,0),0)</f>
        <v>0</v>
      </c>
      <c r="AK617" s="203">
        <f>IF(AND(OR((AK616+1)&lt;AL$1015,(AK616+1)=AL$1015),MAX(AK$4:AK616)&lt;AL$1015),AK616+1,0)</f>
        <v>0</v>
      </c>
      <c r="AL617" s="309">
        <f>VLOOKUP($AK617,ENTI!$AF$4:AG$1003,2,FALSE)</f>
        <v>0</v>
      </c>
      <c r="AM617" s="224">
        <f>VLOOKUP($AK617,ENTI!$AF$4:AH$1003,3,FALSE)</f>
        <v>0</v>
      </c>
      <c r="AN617" s="224">
        <f>VLOOKUP($AK617,ENTI!$AF$4:AI$1003,4,FALSE)</f>
        <v>0</v>
      </c>
      <c r="AO617" s="781">
        <f>VLOOKUP($AK617,ENTI!$AF$4:AJ$1003,5,FALSE)</f>
        <v>0</v>
      </c>
      <c r="AP617" s="315">
        <f>VLOOKUP($AK617,ENTI!$AF$4:AK$1003,6,FALSE)</f>
        <v>0</v>
      </c>
      <c r="AQ617" s="208">
        <f t="shared" si="124"/>
        <v>0</v>
      </c>
      <c r="AR617" s="152" t="e">
        <f t="shared" si="125"/>
        <v>#N/A</v>
      </c>
      <c r="AS617" s="1"/>
      <c r="AT617" s="88" t="str">
        <f t="shared" si="118"/>
        <v/>
      </c>
      <c r="AU617" s="1"/>
      <c r="AV617" s="175">
        <f>IF(AW617&gt;0,COUNTIF(AV$4:AV616,"&gt;0")+1,0)</f>
        <v>0</v>
      </c>
      <c r="AW617" s="164">
        <f t="shared" si="119"/>
        <v>0</v>
      </c>
      <c r="AX617" s="310">
        <f>IF($AW617=0,0,VLOOKUP(VLOOKUP($X617,$B$34:$T$38,19,FALSE),ENTI!$A$9:$B$13,2,FALSE))</f>
        <v>0</v>
      </c>
      <c r="AY617" s="310">
        <f t="shared" si="121"/>
        <v>0</v>
      </c>
      <c r="AZ617" s="316">
        <f t="shared" si="122"/>
        <v>0</v>
      </c>
      <c r="BA617" s="1"/>
      <c r="BB617" s="152">
        <f t="shared" si="123"/>
        <v>0</v>
      </c>
      <c r="BC617" s="152">
        <f ca="1">SUM(Z$4:Z617)+SUM(BB$4:BB617)+COSTI!S$6-COSTI!L$1076</f>
        <v>-31.760000000000218</v>
      </c>
      <c r="BD617" s="1"/>
    </row>
    <row r="618" spans="1:56" ht="16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435">
        <f>IF(AND(W618&gt;=$U$1,W618&lt;=$U$2),IF(X618='ESTRATTO CONTO'!$E$2,1+COUNTIF(U$4:U617,"&gt;0"),0),0)</f>
        <v>0</v>
      </c>
      <c r="V618" s="417">
        <f t="shared" si="120"/>
        <v>615</v>
      </c>
      <c r="W618" s="509"/>
      <c r="X618" s="321"/>
      <c r="Y618" s="321"/>
      <c r="Z618" s="508"/>
      <c r="AA618" s="356"/>
      <c r="AB618" s="306" t="str">
        <f t="shared" si="116"/>
        <v/>
      </c>
      <c r="AC618" s="637">
        <f t="shared" ca="1" si="115"/>
        <v>-2.1316282072803006E-13</v>
      </c>
      <c r="AD618" s="935">
        <f>IF(ISERROR(VLOOKUP(AD$2,X619:X$1003,1,FALSE)),IF(X618=AD$2,SUMIF(X$4:X618,AD$2,Z$4:Z618)+$E$9+SUM(AQ$4:AQ$1003)+SUMIF(COSTI!$X$1379:$X$1430,AD$2,COSTI!$Z$1379:$Z$1430),0),0)</f>
        <v>0</v>
      </c>
      <c r="AE618" s="26"/>
      <c r="AF618" s="856" t="e">
        <f>IF(ISERROR(VLOOKUP(AG$2,X619:X$1003,1,FALSE)),IF(X618=AG$2,SUMIF(X$4:X618,AG$2,Z$4:Z618)+VLOOKUP(AF$2,$B$1057:$F$1068,5,FALSE)+SUM(AR$4:AR$1003)+SUMIF(COSTI!$X$1379:$X$1430,AG$2,COSTI!$Z$1379:$Z$1430),0),0)</f>
        <v>#N/A</v>
      </c>
      <c r="AG618" s="859"/>
      <c r="AH618" s="27" t="str">
        <f t="shared" si="117"/>
        <v/>
      </c>
      <c r="AI618" s="152">
        <f ca="1">IF(W619&gt;0,0,IF(AH618=0,(Z618*-1)+BC618+SUM(BB$4:BB617),BC618+SUM(BB$4:BB617)))</f>
        <v>-2.1316282072803006E-13</v>
      </c>
      <c r="AJ618" s="931">
        <f>IF(AND(AL618&gt;=$U$1,AL618&lt;=$U$2),IF(AM618='ESTRATTO CONTO'!$E$2,1+COUNTIF(AJ$4:AJ617,"&gt;0")+U$1015,0),0)</f>
        <v>0</v>
      </c>
      <c r="AK618" s="203">
        <f>IF(AND(OR((AK617+1)&lt;AL$1015,(AK617+1)=AL$1015),MAX(AK$4:AK617)&lt;AL$1015),AK617+1,0)</f>
        <v>0</v>
      </c>
      <c r="AL618" s="309">
        <f>VLOOKUP($AK618,ENTI!$AF$4:AG$1003,2,FALSE)</f>
        <v>0</v>
      </c>
      <c r="AM618" s="224">
        <f>VLOOKUP($AK618,ENTI!$AF$4:AH$1003,3,FALSE)</f>
        <v>0</v>
      </c>
      <c r="AN618" s="224">
        <f>VLOOKUP($AK618,ENTI!$AF$4:AI$1003,4,FALSE)</f>
        <v>0</v>
      </c>
      <c r="AO618" s="781">
        <f>VLOOKUP($AK618,ENTI!$AF$4:AJ$1003,5,FALSE)</f>
        <v>0</v>
      </c>
      <c r="AP618" s="315">
        <f>VLOOKUP($AK618,ENTI!$AF$4:AK$1003,6,FALSE)</f>
        <v>0</v>
      </c>
      <c r="AQ618" s="208">
        <f t="shared" si="124"/>
        <v>0</v>
      </c>
      <c r="AR618" s="152" t="e">
        <f t="shared" si="125"/>
        <v>#N/A</v>
      </c>
      <c r="AS618" s="1"/>
      <c r="AT618" s="88" t="str">
        <f t="shared" si="118"/>
        <v/>
      </c>
      <c r="AU618" s="1"/>
      <c r="AV618" s="175">
        <f>IF(AW618&gt;0,COUNTIF(AV$4:AV617,"&gt;0")+1,0)</f>
        <v>0</v>
      </c>
      <c r="AW618" s="164">
        <f t="shared" si="119"/>
        <v>0</v>
      </c>
      <c r="AX618" s="310">
        <f>IF($AW618=0,0,VLOOKUP(VLOOKUP($X618,$B$34:$T$38,19,FALSE),ENTI!$A$9:$B$13,2,FALSE))</f>
        <v>0</v>
      </c>
      <c r="AY618" s="310">
        <f t="shared" si="121"/>
        <v>0</v>
      </c>
      <c r="AZ618" s="316">
        <f t="shared" si="122"/>
        <v>0</v>
      </c>
      <c r="BA618" s="1"/>
      <c r="BB618" s="152">
        <f t="shared" si="123"/>
        <v>0</v>
      </c>
      <c r="BC618" s="152">
        <f ca="1">SUM(Z$4:Z618)+SUM(BB$4:BB618)+COSTI!S$6-COSTI!L$1076</f>
        <v>-31.760000000000218</v>
      </c>
      <c r="BD618" s="1"/>
    </row>
    <row r="619" spans="1:56" ht="16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435">
        <f>IF(AND(W619&gt;=$U$1,W619&lt;=$U$2),IF(X619='ESTRATTO CONTO'!$E$2,1+COUNTIF(U$4:U618,"&gt;0"),0),0)</f>
        <v>0</v>
      </c>
      <c r="V619" s="417">
        <f t="shared" si="120"/>
        <v>616</v>
      </c>
      <c r="W619" s="509"/>
      <c r="X619" s="321"/>
      <c r="Y619" s="321"/>
      <c r="Z619" s="508"/>
      <c r="AA619" s="356"/>
      <c r="AB619" s="306" t="str">
        <f t="shared" si="116"/>
        <v/>
      </c>
      <c r="AC619" s="637">
        <f t="shared" ca="1" si="115"/>
        <v>-2.1316282072803006E-13</v>
      </c>
      <c r="AD619" s="935">
        <f>IF(ISERROR(VLOOKUP(AD$2,X620:X$1003,1,FALSE)),IF(X619=AD$2,SUMIF(X$4:X619,AD$2,Z$4:Z619)+$E$9+SUM(AQ$4:AQ$1003)+SUMIF(COSTI!$X$1379:$X$1430,AD$2,COSTI!$Z$1379:$Z$1430),0),0)</f>
        <v>0</v>
      </c>
      <c r="AE619" s="26"/>
      <c r="AF619" s="856" t="e">
        <f>IF(ISERROR(VLOOKUP(AG$2,X620:X$1003,1,FALSE)),IF(X619=AG$2,SUMIF(X$4:X619,AG$2,Z$4:Z619)+VLOOKUP(AF$2,$B$1057:$F$1068,5,FALSE)+SUM(AR$4:AR$1003)+SUMIF(COSTI!$X$1379:$X$1430,AG$2,COSTI!$Z$1379:$Z$1430),0),0)</f>
        <v>#N/A</v>
      </c>
      <c r="AG619" s="859"/>
      <c r="AH619" s="27" t="str">
        <f t="shared" si="117"/>
        <v/>
      </c>
      <c r="AI619" s="152">
        <f ca="1">IF(W620&gt;0,0,IF(AH619=0,(Z619*-1)+BC619+SUM(BB$4:BB618),BC619+SUM(BB$4:BB618)))</f>
        <v>-2.1316282072803006E-13</v>
      </c>
      <c r="AJ619" s="931">
        <f>IF(AND(AL619&gt;=$U$1,AL619&lt;=$U$2),IF(AM619='ESTRATTO CONTO'!$E$2,1+COUNTIF(AJ$4:AJ618,"&gt;0")+U$1015,0),0)</f>
        <v>0</v>
      </c>
      <c r="AK619" s="203">
        <f>IF(AND(OR((AK618+1)&lt;AL$1015,(AK618+1)=AL$1015),MAX(AK$4:AK618)&lt;AL$1015),AK618+1,0)</f>
        <v>0</v>
      </c>
      <c r="AL619" s="309">
        <f>VLOOKUP($AK619,ENTI!$AF$4:AG$1003,2,FALSE)</f>
        <v>0</v>
      </c>
      <c r="AM619" s="224">
        <f>VLOOKUP($AK619,ENTI!$AF$4:AH$1003,3,FALSE)</f>
        <v>0</v>
      </c>
      <c r="AN619" s="224">
        <f>VLOOKUP($AK619,ENTI!$AF$4:AI$1003,4,FALSE)</f>
        <v>0</v>
      </c>
      <c r="AO619" s="781">
        <f>VLOOKUP($AK619,ENTI!$AF$4:AJ$1003,5,FALSE)</f>
        <v>0</v>
      </c>
      <c r="AP619" s="315">
        <f>VLOOKUP($AK619,ENTI!$AF$4:AK$1003,6,FALSE)</f>
        <v>0</v>
      </c>
      <c r="AQ619" s="208">
        <f t="shared" si="124"/>
        <v>0</v>
      </c>
      <c r="AR619" s="152" t="e">
        <f t="shared" si="125"/>
        <v>#N/A</v>
      </c>
      <c r="AS619" s="1"/>
      <c r="AT619" s="88" t="str">
        <f t="shared" si="118"/>
        <v/>
      </c>
      <c r="AU619" s="1"/>
      <c r="AV619" s="175">
        <f>IF(AW619&gt;0,COUNTIF(AV$4:AV618,"&gt;0")+1,0)</f>
        <v>0</v>
      </c>
      <c r="AW619" s="164">
        <f t="shared" si="119"/>
        <v>0</v>
      </c>
      <c r="AX619" s="310">
        <f>IF($AW619=0,0,VLOOKUP(VLOOKUP($X619,$B$34:$T$38,19,FALSE),ENTI!$A$9:$B$13,2,FALSE))</f>
        <v>0</v>
      </c>
      <c r="AY619" s="310">
        <f t="shared" si="121"/>
        <v>0</v>
      </c>
      <c r="AZ619" s="316">
        <f t="shared" si="122"/>
        <v>0</v>
      </c>
      <c r="BA619" s="1"/>
      <c r="BB619" s="152">
        <f t="shared" si="123"/>
        <v>0</v>
      </c>
      <c r="BC619" s="152">
        <f ca="1">SUM(Z$4:Z619)+SUM(BB$4:BB619)+COSTI!S$6-COSTI!L$1076</f>
        <v>-31.760000000000218</v>
      </c>
      <c r="BD619" s="1"/>
    </row>
    <row r="620" spans="1:56" ht="16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435">
        <f>IF(AND(W620&gt;=$U$1,W620&lt;=$U$2),IF(X620='ESTRATTO CONTO'!$E$2,1+COUNTIF(U$4:U619,"&gt;0"),0),0)</f>
        <v>0</v>
      </c>
      <c r="V620" s="417">
        <f t="shared" si="120"/>
        <v>617</v>
      </c>
      <c r="W620" s="509"/>
      <c r="X620" s="321"/>
      <c r="Y620" s="321"/>
      <c r="Z620" s="508"/>
      <c r="AA620" s="356"/>
      <c r="AB620" s="306" t="str">
        <f t="shared" si="116"/>
        <v/>
      </c>
      <c r="AC620" s="637">
        <f t="shared" ca="1" si="115"/>
        <v>-2.1316282072803006E-13</v>
      </c>
      <c r="AD620" s="935">
        <f>IF(ISERROR(VLOOKUP(AD$2,X621:X$1003,1,FALSE)),IF(X620=AD$2,SUMIF(X$4:X620,AD$2,Z$4:Z620)+$E$9+SUM(AQ$4:AQ$1003)+SUMIF(COSTI!$X$1379:$X$1430,AD$2,COSTI!$Z$1379:$Z$1430),0),0)</f>
        <v>0</v>
      </c>
      <c r="AE620" s="26"/>
      <c r="AF620" s="856" t="e">
        <f>IF(ISERROR(VLOOKUP(AG$2,X621:X$1003,1,FALSE)),IF(X620=AG$2,SUMIF(X$4:X620,AG$2,Z$4:Z620)+VLOOKUP(AF$2,$B$1057:$F$1068,5,FALSE)+SUM(AR$4:AR$1003)+SUMIF(COSTI!$X$1379:$X$1430,AG$2,COSTI!$Z$1379:$Z$1430),0),0)</f>
        <v>#N/A</v>
      </c>
      <c r="AG620" s="859"/>
      <c r="AH620" s="27" t="str">
        <f t="shared" si="117"/>
        <v/>
      </c>
      <c r="AI620" s="152">
        <f ca="1">IF(W621&gt;0,0,IF(AH620=0,(Z620*-1)+BC620+SUM(BB$4:BB619),BC620+SUM(BB$4:BB619)))</f>
        <v>-2.1316282072803006E-13</v>
      </c>
      <c r="AJ620" s="931">
        <f>IF(AND(AL620&gt;=$U$1,AL620&lt;=$U$2),IF(AM620='ESTRATTO CONTO'!$E$2,1+COUNTIF(AJ$4:AJ619,"&gt;0")+U$1015,0),0)</f>
        <v>0</v>
      </c>
      <c r="AK620" s="203">
        <f>IF(AND(OR((AK619+1)&lt;AL$1015,(AK619+1)=AL$1015),MAX(AK$4:AK619)&lt;AL$1015),AK619+1,0)</f>
        <v>0</v>
      </c>
      <c r="AL620" s="309">
        <f>VLOOKUP($AK620,ENTI!$AF$4:AG$1003,2,FALSE)</f>
        <v>0</v>
      </c>
      <c r="AM620" s="224">
        <f>VLOOKUP($AK620,ENTI!$AF$4:AH$1003,3,FALSE)</f>
        <v>0</v>
      </c>
      <c r="AN620" s="224">
        <f>VLOOKUP($AK620,ENTI!$AF$4:AI$1003,4,FALSE)</f>
        <v>0</v>
      </c>
      <c r="AO620" s="781">
        <f>VLOOKUP($AK620,ENTI!$AF$4:AJ$1003,5,FALSE)</f>
        <v>0</v>
      </c>
      <c r="AP620" s="315">
        <f>VLOOKUP($AK620,ENTI!$AF$4:AK$1003,6,FALSE)</f>
        <v>0</v>
      </c>
      <c r="AQ620" s="208">
        <f t="shared" si="124"/>
        <v>0</v>
      </c>
      <c r="AR620" s="152" t="e">
        <f t="shared" si="125"/>
        <v>#N/A</v>
      </c>
      <c r="AS620" s="1"/>
      <c r="AT620" s="88" t="str">
        <f t="shared" si="118"/>
        <v/>
      </c>
      <c r="AU620" s="1"/>
      <c r="AV620" s="175">
        <f>IF(AW620&gt;0,COUNTIF(AV$4:AV619,"&gt;0")+1,0)</f>
        <v>0</v>
      </c>
      <c r="AW620" s="164">
        <f t="shared" si="119"/>
        <v>0</v>
      </c>
      <c r="AX620" s="310">
        <f>IF($AW620=0,0,VLOOKUP(VLOOKUP($X620,$B$34:$T$38,19,FALSE),ENTI!$A$9:$B$13,2,FALSE))</f>
        <v>0</v>
      </c>
      <c r="AY620" s="310">
        <f t="shared" si="121"/>
        <v>0</v>
      </c>
      <c r="AZ620" s="316">
        <f t="shared" si="122"/>
        <v>0</v>
      </c>
      <c r="BA620" s="1"/>
      <c r="BB620" s="152">
        <f t="shared" si="123"/>
        <v>0</v>
      </c>
      <c r="BC620" s="152">
        <f ca="1">SUM(Z$4:Z620)+SUM(BB$4:BB620)+COSTI!S$6-COSTI!L$1076</f>
        <v>-31.760000000000218</v>
      </c>
      <c r="BD620" s="1"/>
    </row>
    <row r="621" spans="1:56" ht="16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435">
        <f>IF(AND(W621&gt;=$U$1,W621&lt;=$U$2),IF(X621='ESTRATTO CONTO'!$E$2,1+COUNTIF(U$4:U620,"&gt;0"),0),0)</f>
        <v>0</v>
      </c>
      <c r="V621" s="417">
        <f t="shared" si="120"/>
        <v>618</v>
      </c>
      <c r="W621" s="509"/>
      <c r="X621" s="321"/>
      <c r="Y621" s="321"/>
      <c r="Z621" s="508"/>
      <c r="AA621" s="356"/>
      <c r="AB621" s="306" t="str">
        <f t="shared" si="116"/>
        <v/>
      </c>
      <c r="AC621" s="637">
        <f t="shared" ca="1" si="115"/>
        <v>-2.1316282072803006E-13</v>
      </c>
      <c r="AD621" s="935">
        <f>IF(ISERROR(VLOOKUP(AD$2,X622:X$1003,1,FALSE)),IF(X621=AD$2,SUMIF(X$4:X621,AD$2,Z$4:Z621)+$E$9+SUM(AQ$4:AQ$1003)+SUMIF(COSTI!$X$1379:$X$1430,AD$2,COSTI!$Z$1379:$Z$1430),0),0)</f>
        <v>0</v>
      </c>
      <c r="AE621" s="26"/>
      <c r="AF621" s="856" t="e">
        <f>IF(ISERROR(VLOOKUP(AG$2,X622:X$1003,1,FALSE)),IF(X621=AG$2,SUMIF(X$4:X621,AG$2,Z$4:Z621)+VLOOKUP(AF$2,$B$1057:$F$1068,5,FALSE)+SUM(AR$4:AR$1003)+SUMIF(COSTI!$X$1379:$X$1430,AG$2,COSTI!$Z$1379:$Z$1430),0),0)</f>
        <v>#N/A</v>
      </c>
      <c r="AG621" s="859"/>
      <c r="AH621" s="27" t="str">
        <f t="shared" si="117"/>
        <v/>
      </c>
      <c r="AI621" s="152">
        <f ca="1">IF(W622&gt;0,0,IF(AH621=0,(Z621*-1)+BC621+SUM(BB$4:BB620),BC621+SUM(BB$4:BB620)))</f>
        <v>-2.1316282072803006E-13</v>
      </c>
      <c r="AJ621" s="931">
        <f>IF(AND(AL621&gt;=$U$1,AL621&lt;=$U$2),IF(AM621='ESTRATTO CONTO'!$E$2,1+COUNTIF(AJ$4:AJ620,"&gt;0")+U$1015,0),0)</f>
        <v>0</v>
      </c>
      <c r="AK621" s="203">
        <f>IF(AND(OR((AK620+1)&lt;AL$1015,(AK620+1)=AL$1015),MAX(AK$4:AK620)&lt;AL$1015),AK620+1,0)</f>
        <v>0</v>
      </c>
      <c r="AL621" s="309">
        <f>VLOOKUP($AK621,ENTI!$AF$4:AG$1003,2,FALSE)</f>
        <v>0</v>
      </c>
      <c r="AM621" s="224">
        <f>VLOOKUP($AK621,ENTI!$AF$4:AH$1003,3,FALSE)</f>
        <v>0</v>
      </c>
      <c r="AN621" s="224">
        <f>VLOOKUP($AK621,ENTI!$AF$4:AI$1003,4,FALSE)</f>
        <v>0</v>
      </c>
      <c r="AO621" s="781">
        <f>VLOOKUP($AK621,ENTI!$AF$4:AJ$1003,5,FALSE)</f>
        <v>0</v>
      </c>
      <c r="AP621" s="315">
        <f>VLOOKUP($AK621,ENTI!$AF$4:AK$1003,6,FALSE)</f>
        <v>0</v>
      </c>
      <c r="AQ621" s="208">
        <f t="shared" si="124"/>
        <v>0</v>
      </c>
      <c r="AR621" s="152" t="e">
        <f t="shared" si="125"/>
        <v>#N/A</v>
      </c>
      <c r="AS621" s="1"/>
      <c r="AT621" s="88" t="str">
        <f t="shared" si="118"/>
        <v/>
      </c>
      <c r="AU621" s="1"/>
      <c r="AV621" s="175">
        <f>IF(AW621&gt;0,COUNTIF(AV$4:AV620,"&gt;0")+1,0)</f>
        <v>0</v>
      </c>
      <c r="AW621" s="164">
        <f t="shared" si="119"/>
        <v>0</v>
      </c>
      <c r="AX621" s="310">
        <f>IF($AW621=0,0,VLOOKUP(VLOOKUP($X621,$B$34:$T$38,19,FALSE),ENTI!$A$9:$B$13,2,FALSE))</f>
        <v>0</v>
      </c>
      <c r="AY621" s="310">
        <f t="shared" si="121"/>
        <v>0</v>
      </c>
      <c r="AZ621" s="316">
        <f t="shared" si="122"/>
        <v>0</v>
      </c>
      <c r="BA621" s="1"/>
      <c r="BB621" s="152">
        <f t="shared" si="123"/>
        <v>0</v>
      </c>
      <c r="BC621" s="152">
        <f ca="1">SUM(Z$4:Z621)+SUM(BB$4:BB621)+COSTI!S$6-COSTI!L$1076</f>
        <v>-31.760000000000218</v>
      </c>
      <c r="BD621" s="1"/>
    </row>
    <row r="622" spans="1:56" ht="16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435">
        <f>IF(AND(W622&gt;=$U$1,W622&lt;=$U$2),IF(X622='ESTRATTO CONTO'!$E$2,1+COUNTIF(U$4:U621,"&gt;0"),0),0)</f>
        <v>0</v>
      </c>
      <c r="V622" s="417">
        <f t="shared" si="120"/>
        <v>619</v>
      </c>
      <c r="W622" s="509"/>
      <c r="X622" s="321"/>
      <c r="Y622" s="321"/>
      <c r="Z622" s="508"/>
      <c r="AA622" s="356"/>
      <c r="AB622" s="306" t="str">
        <f t="shared" si="116"/>
        <v/>
      </c>
      <c r="AC622" s="637">
        <f t="shared" ca="1" si="115"/>
        <v>-2.1316282072803006E-13</v>
      </c>
      <c r="AD622" s="935">
        <f>IF(ISERROR(VLOOKUP(AD$2,X623:X$1003,1,FALSE)),IF(X622=AD$2,SUMIF(X$4:X622,AD$2,Z$4:Z622)+$E$9+SUM(AQ$4:AQ$1003)+SUMIF(COSTI!$X$1379:$X$1430,AD$2,COSTI!$Z$1379:$Z$1430),0),0)</f>
        <v>0</v>
      </c>
      <c r="AE622" s="26"/>
      <c r="AF622" s="856" t="e">
        <f>IF(ISERROR(VLOOKUP(AG$2,X623:X$1003,1,FALSE)),IF(X622=AG$2,SUMIF(X$4:X622,AG$2,Z$4:Z622)+VLOOKUP(AF$2,$B$1057:$F$1068,5,FALSE)+SUM(AR$4:AR$1003)+SUMIF(COSTI!$X$1379:$X$1430,AG$2,COSTI!$Z$1379:$Z$1430),0),0)</f>
        <v>#N/A</v>
      </c>
      <c r="AG622" s="859"/>
      <c r="AH622" s="27" t="str">
        <f t="shared" si="117"/>
        <v/>
      </c>
      <c r="AI622" s="152">
        <f ca="1">IF(W623&gt;0,0,IF(AH622=0,(Z622*-1)+BC622+SUM(BB$4:BB621),BC622+SUM(BB$4:BB621)))</f>
        <v>-2.1316282072803006E-13</v>
      </c>
      <c r="AJ622" s="931">
        <f>IF(AND(AL622&gt;=$U$1,AL622&lt;=$U$2),IF(AM622='ESTRATTO CONTO'!$E$2,1+COUNTIF(AJ$4:AJ621,"&gt;0")+U$1015,0),0)</f>
        <v>0</v>
      </c>
      <c r="AK622" s="203">
        <f>IF(AND(OR((AK621+1)&lt;AL$1015,(AK621+1)=AL$1015),MAX(AK$4:AK621)&lt;AL$1015),AK621+1,0)</f>
        <v>0</v>
      </c>
      <c r="AL622" s="309">
        <f>VLOOKUP($AK622,ENTI!$AF$4:AG$1003,2,FALSE)</f>
        <v>0</v>
      </c>
      <c r="AM622" s="224">
        <f>VLOOKUP($AK622,ENTI!$AF$4:AH$1003,3,FALSE)</f>
        <v>0</v>
      </c>
      <c r="AN622" s="224">
        <f>VLOOKUP($AK622,ENTI!$AF$4:AI$1003,4,FALSE)</f>
        <v>0</v>
      </c>
      <c r="AO622" s="781">
        <f>VLOOKUP($AK622,ENTI!$AF$4:AJ$1003,5,FALSE)</f>
        <v>0</v>
      </c>
      <c r="AP622" s="315">
        <f>VLOOKUP($AK622,ENTI!$AF$4:AK$1003,6,FALSE)</f>
        <v>0</v>
      </c>
      <c r="AQ622" s="208">
        <f t="shared" si="124"/>
        <v>0</v>
      </c>
      <c r="AR622" s="152" t="e">
        <f t="shared" si="125"/>
        <v>#N/A</v>
      </c>
      <c r="AS622" s="1"/>
      <c r="AT622" s="88" t="str">
        <f t="shared" si="118"/>
        <v/>
      </c>
      <c r="AU622" s="1"/>
      <c r="AV622" s="175">
        <f>IF(AW622&gt;0,COUNTIF(AV$4:AV621,"&gt;0")+1,0)</f>
        <v>0</v>
      </c>
      <c r="AW622" s="164">
        <f t="shared" si="119"/>
        <v>0</v>
      </c>
      <c r="AX622" s="310">
        <f>IF($AW622=0,0,VLOOKUP(VLOOKUP($X622,$B$34:$T$38,19,FALSE),ENTI!$A$9:$B$13,2,FALSE))</f>
        <v>0</v>
      </c>
      <c r="AY622" s="310">
        <f t="shared" si="121"/>
        <v>0</v>
      </c>
      <c r="AZ622" s="316">
        <f t="shared" si="122"/>
        <v>0</v>
      </c>
      <c r="BA622" s="1"/>
      <c r="BB622" s="152">
        <f t="shared" si="123"/>
        <v>0</v>
      </c>
      <c r="BC622" s="152">
        <f ca="1">SUM(Z$4:Z622)+SUM(BB$4:BB622)+COSTI!S$6-COSTI!L$1076</f>
        <v>-31.760000000000218</v>
      </c>
      <c r="BD622" s="1"/>
    </row>
    <row r="623" spans="1:56" ht="16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435">
        <f>IF(AND(W623&gt;=$U$1,W623&lt;=$U$2),IF(X623='ESTRATTO CONTO'!$E$2,1+COUNTIF(U$4:U622,"&gt;0"),0),0)</f>
        <v>0</v>
      </c>
      <c r="V623" s="417">
        <f t="shared" si="120"/>
        <v>620</v>
      </c>
      <c r="W623" s="509"/>
      <c r="X623" s="321"/>
      <c r="Y623" s="321"/>
      <c r="Z623" s="508"/>
      <c r="AA623" s="356"/>
      <c r="AB623" s="306" t="str">
        <f t="shared" si="116"/>
        <v/>
      </c>
      <c r="AC623" s="637">
        <f t="shared" ca="1" si="115"/>
        <v>-2.1316282072803006E-13</v>
      </c>
      <c r="AD623" s="935">
        <f>IF(ISERROR(VLOOKUP(AD$2,X624:X$1003,1,FALSE)),IF(X623=AD$2,SUMIF(X$4:X623,AD$2,Z$4:Z623)+$E$9+SUM(AQ$4:AQ$1003)+SUMIF(COSTI!$X$1379:$X$1430,AD$2,COSTI!$Z$1379:$Z$1430),0),0)</f>
        <v>0</v>
      </c>
      <c r="AE623" s="26"/>
      <c r="AF623" s="856" t="e">
        <f>IF(ISERROR(VLOOKUP(AG$2,X624:X$1003,1,FALSE)),IF(X623=AG$2,SUMIF(X$4:X623,AG$2,Z$4:Z623)+VLOOKUP(AF$2,$B$1057:$F$1068,5,FALSE)+SUM(AR$4:AR$1003)+SUMIF(COSTI!$X$1379:$X$1430,AG$2,COSTI!$Z$1379:$Z$1430),0),0)</f>
        <v>#N/A</v>
      </c>
      <c r="AG623" s="859"/>
      <c r="AH623" s="27" t="str">
        <f t="shared" si="117"/>
        <v/>
      </c>
      <c r="AI623" s="152">
        <f ca="1">IF(W624&gt;0,0,IF(AH623=0,(Z623*-1)+BC623+SUM(BB$4:BB622),BC623+SUM(BB$4:BB622)))</f>
        <v>-2.1316282072803006E-13</v>
      </c>
      <c r="AJ623" s="931">
        <f>IF(AND(AL623&gt;=$U$1,AL623&lt;=$U$2),IF(AM623='ESTRATTO CONTO'!$E$2,1+COUNTIF(AJ$4:AJ622,"&gt;0")+U$1015,0),0)</f>
        <v>0</v>
      </c>
      <c r="AK623" s="203">
        <f>IF(AND(OR((AK622+1)&lt;AL$1015,(AK622+1)=AL$1015),MAX(AK$4:AK622)&lt;AL$1015),AK622+1,0)</f>
        <v>0</v>
      </c>
      <c r="AL623" s="309">
        <f>VLOOKUP($AK623,ENTI!$AF$4:AG$1003,2,FALSE)</f>
        <v>0</v>
      </c>
      <c r="AM623" s="224">
        <f>VLOOKUP($AK623,ENTI!$AF$4:AH$1003,3,FALSE)</f>
        <v>0</v>
      </c>
      <c r="AN623" s="224">
        <f>VLOOKUP($AK623,ENTI!$AF$4:AI$1003,4,FALSE)</f>
        <v>0</v>
      </c>
      <c r="AO623" s="781">
        <f>VLOOKUP($AK623,ENTI!$AF$4:AJ$1003,5,FALSE)</f>
        <v>0</v>
      </c>
      <c r="AP623" s="315">
        <f>VLOOKUP($AK623,ENTI!$AF$4:AK$1003,6,FALSE)</f>
        <v>0</v>
      </c>
      <c r="AQ623" s="208">
        <f t="shared" si="124"/>
        <v>0</v>
      </c>
      <c r="AR623" s="152" t="e">
        <f t="shared" si="125"/>
        <v>#N/A</v>
      </c>
      <c r="AS623" s="1"/>
      <c r="AT623" s="88" t="str">
        <f t="shared" si="118"/>
        <v/>
      </c>
      <c r="AU623" s="1"/>
      <c r="AV623" s="175">
        <f>IF(AW623&gt;0,COUNTIF(AV$4:AV622,"&gt;0")+1,0)</f>
        <v>0</v>
      </c>
      <c r="AW623" s="164">
        <f t="shared" si="119"/>
        <v>0</v>
      </c>
      <c r="AX623" s="310">
        <f>IF($AW623=0,0,VLOOKUP(VLOOKUP($X623,$B$34:$T$38,19,FALSE),ENTI!$A$9:$B$13,2,FALSE))</f>
        <v>0</v>
      </c>
      <c r="AY623" s="310">
        <f t="shared" si="121"/>
        <v>0</v>
      </c>
      <c r="AZ623" s="316">
        <f t="shared" si="122"/>
        <v>0</v>
      </c>
      <c r="BA623" s="1"/>
      <c r="BB623" s="152">
        <f t="shared" si="123"/>
        <v>0</v>
      </c>
      <c r="BC623" s="152">
        <f ca="1">SUM(Z$4:Z623)+SUM(BB$4:BB623)+COSTI!S$6-COSTI!L$1076</f>
        <v>-31.760000000000218</v>
      </c>
      <c r="BD623" s="1"/>
    </row>
    <row r="624" spans="1:56" ht="16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435">
        <f>IF(AND(W624&gt;=$U$1,W624&lt;=$U$2),IF(X624='ESTRATTO CONTO'!$E$2,1+COUNTIF(U$4:U623,"&gt;0"),0),0)</f>
        <v>0</v>
      </c>
      <c r="V624" s="417">
        <f t="shared" si="120"/>
        <v>621</v>
      </c>
      <c r="W624" s="509"/>
      <c r="X624" s="321"/>
      <c r="Y624" s="321"/>
      <c r="Z624" s="508"/>
      <c r="AA624" s="356"/>
      <c r="AB624" s="306" t="str">
        <f t="shared" si="116"/>
        <v/>
      </c>
      <c r="AC624" s="637">
        <f t="shared" ca="1" si="115"/>
        <v>-2.1316282072803006E-13</v>
      </c>
      <c r="AD624" s="935">
        <f>IF(ISERROR(VLOOKUP(AD$2,X625:X$1003,1,FALSE)),IF(X624=AD$2,SUMIF(X$4:X624,AD$2,Z$4:Z624)+$E$9+SUM(AQ$4:AQ$1003)+SUMIF(COSTI!$X$1379:$X$1430,AD$2,COSTI!$Z$1379:$Z$1430),0),0)</f>
        <v>0</v>
      </c>
      <c r="AE624" s="26"/>
      <c r="AF624" s="856" t="e">
        <f>IF(ISERROR(VLOOKUP(AG$2,X625:X$1003,1,FALSE)),IF(X624=AG$2,SUMIF(X$4:X624,AG$2,Z$4:Z624)+VLOOKUP(AF$2,$B$1057:$F$1068,5,FALSE)+SUM(AR$4:AR$1003)+SUMIF(COSTI!$X$1379:$X$1430,AG$2,COSTI!$Z$1379:$Z$1430),0),0)</f>
        <v>#N/A</v>
      </c>
      <c r="AG624" s="859"/>
      <c r="AH624" s="27" t="str">
        <f t="shared" si="117"/>
        <v/>
      </c>
      <c r="AI624" s="152">
        <f ca="1">IF(W625&gt;0,0,IF(AH624=0,(Z624*-1)+BC624+SUM(BB$4:BB623),BC624+SUM(BB$4:BB623)))</f>
        <v>-2.1316282072803006E-13</v>
      </c>
      <c r="AJ624" s="931">
        <f>IF(AND(AL624&gt;=$U$1,AL624&lt;=$U$2),IF(AM624='ESTRATTO CONTO'!$E$2,1+COUNTIF(AJ$4:AJ623,"&gt;0")+U$1015,0),0)</f>
        <v>0</v>
      </c>
      <c r="AK624" s="203">
        <f>IF(AND(OR((AK623+1)&lt;AL$1015,(AK623+1)=AL$1015),MAX(AK$4:AK623)&lt;AL$1015),AK623+1,0)</f>
        <v>0</v>
      </c>
      <c r="AL624" s="309">
        <f>VLOOKUP($AK624,ENTI!$AF$4:AG$1003,2,FALSE)</f>
        <v>0</v>
      </c>
      <c r="AM624" s="224">
        <f>VLOOKUP($AK624,ENTI!$AF$4:AH$1003,3,FALSE)</f>
        <v>0</v>
      </c>
      <c r="AN624" s="224">
        <f>VLOOKUP($AK624,ENTI!$AF$4:AI$1003,4,FALSE)</f>
        <v>0</v>
      </c>
      <c r="AO624" s="781">
        <f>VLOOKUP($AK624,ENTI!$AF$4:AJ$1003,5,FALSE)</f>
        <v>0</v>
      </c>
      <c r="AP624" s="315">
        <f>VLOOKUP($AK624,ENTI!$AF$4:AK$1003,6,FALSE)</f>
        <v>0</v>
      </c>
      <c r="AQ624" s="208">
        <f t="shared" si="124"/>
        <v>0</v>
      </c>
      <c r="AR624" s="152" t="e">
        <f t="shared" si="125"/>
        <v>#N/A</v>
      </c>
      <c r="AS624" s="1"/>
      <c r="AT624" s="88" t="str">
        <f t="shared" si="118"/>
        <v/>
      </c>
      <c r="AU624" s="1"/>
      <c r="AV624" s="175">
        <f>IF(AW624&gt;0,COUNTIF(AV$4:AV623,"&gt;0")+1,0)</f>
        <v>0</v>
      </c>
      <c r="AW624" s="164">
        <f t="shared" si="119"/>
        <v>0</v>
      </c>
      <c r="AX624" s="310">
        <f>IF($AW624=0,0,VLOOKUP(VLOOKUP($X624,$B$34:$T$38,19,FALSE),ENTI!$A$9:$B$13,2,FALSE))</f>
        <v>0</v>
      </c>
      <c r="AY624" s="310">
        <f t="shared" si="121"/>
        <v>0</v>
      </c>
      <c r="AZ624" s="316">
        <f t="shared" si="122"/>
        <v>0</v>
      </c>
      <c r="BA624" s="1"/>
      <c r="BB624" s="152">
        <f t="shared" si="123"/>
        <v>0</v>
      </c>
      <c r="BC624" s="152">
        <f ca="1">SUM(Z$4:Z624)+SUM(BB$4:BB624)+COSTI!S$6-COSTI!L$1076</f>
        <v>-31.760000000000218</v>
      </c>
      <c r="BD624" s="1"/>
    </row>
    <row r="625" spans="1:56" ht="16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435">
        <f>IF(AND(W625&gt;=$U$1,W625&lt;=$U$2),IF(X625='ESTRATTO CONTO'!$E$2,1+COUNTIF(U$4:U624,"&gt;0"),0),0)</f>
        <v>0</v>
      </c>
      <c r="V625" s="417">
        <f t="shared" si="120"/>
        <v>622</v>
      </c>
      <c r="W625" s="509"/>
      <c r="X625" s="321"/>
      <c r="Y625" s="321"/>
      <c r="Z625" s="508"/>
      <c r="AA625" s="356"/>
      <c r="AB625" s="306" t="str">
        <f t="shared" si="116"/>
        <v/>
      </c>
      <c r="AC625" s="637">
        <f t="shared" ca="1" si="115"/>
        <v>-2.1316282072803006E-13</v>
      </c>
      <c r="AD625" s="935">
        <f>IF(ISERROR(VLOOKUP(AD$2,X626:X$1003,1,FALSE)),IF(X625=AD$2,SUMIF(X$4:X625,AD$2,Z$4:Z625)+$E$9+SUM(AQ$4:AQ$1003)+SUMIF(COSTI!$X$1379:$X$1430,AD$2,COSTI!$Z$1379:$Z$1430),0),0)</f>
        <v>0</v>
      </c>
      <c r="AE625" s="26"/>
      <c r="AF625" s="856" t="e">
        <f>IF(ISERROR(VLOOKUP(AG$2,X626:X$1003,1,FALSE)),IF(X625=AG$2,SUMIF(X$4:X625,AG$2,Z$4:Z625)+VLOOKUP(AF$2,$B$1057:$F$1068,5,FALSE)+SUM(AR$4:AR$1003)+SUMIF(COSTI!$X$1379:$X$1430,AG$2,COSTI!$Z$1379:$Z$1430),0),0)</f>
        <v>#N/A</v>
      </c>
      <c r="AG625" s="859"/>
      <c r="AH625" s="27" t="str">
        <f t="shared" si="117"/>
        <v/>
      </c>
      <c r="AI625" s="152">
        <f ca="1">IF(W626&gt;0,0,IF(AH625=0,(Z625*-1)+BC625+SUM(BB$4:BB624),BC625+SUM(BB$4:BB624)))</f>
        <v>-2.1316282072803006E-13</v>
      </c>
      <c r="AJ625" s="931">
        <f>IF(AND(AL625&gt;=$U$1,AL625&lt;=$U$2),IF(AM625='ESTRATTO CONTO'!$E$2,1+COUNTIF(AJ$4:AJ624,"&gt;0")+U$1015,0),0)</f>
        <v>0</v>
      </c>
      <c r="AK625" s="203">
        <f>IF(AND(OR((AK624+1)&lt;AL$1015,(AK624+1)=AL$1015),MAX(AK$4:AK624)&lt;AL$1015),AK624+1,0)</f>
        <v>0</v>
      </c>
      <c r="AL625" s="309">
        <f>VLOOKUP($AK625,ENTI!$AF$4:AG$1003,2,FALSE)</f>
        <v>0</v>
      </c>
      <c r="AM625" s="224">
        <f>VLOOKUP($AK625,ENTI!$AF$4:AH$1003,3,FALSE)</f>
        <v>0</v>
      </c>
      <c r="AN625" s="224">
        <f>VLOOKUP($AK625,ENTI!$AF$4:AI$1003,4,FALSE)</f>
        <v>0</v>
      </c>
      <c r="AO625" s="781">
        <f>VLOOKUP($AK625,ENTI!$AF$4:AJ$1003,5,FALSE)</f>
        <v>0</v>
      </c>
      <c r="AP625" s="315">
        <f>VLOOKUP($AK625,ENTI!$AF$4:AK$1003,6,FALSE)</f>
        <v>0</v>
      </c>
      <c r="AQ625" s="208">
        <f t="shared" si="124"/>
        <v>0</v>
      </c>
      <c r="AR625" s="152" t="e">
        <f t="shared" si="125"/>
        <v>#N/A</v>
      </c>
      <c r="AS625" s="1"/>
      <c r="AT625" s="88" t="str">
        <f t="shared" si="118"/>
        <v/>
      </c>
      <c r="AU625" s="1"/>
      <c r="AV625" s="175">
        <f>IF(AW625&gt;0,COUNTIF(AV$4:AV624,"&gt;0")+1,0)</f>
        <v>0</v>
      </c>
      <c r="AW625" s="164">
        <f t="shared" si="119"/>
        <v>0</v>
      </c>
      <c r="AX625" s="310">
        <f>IF($AW625=0,0,VLOOKUP(VLOOKUP($X625,$B$34:$T$38,19,FALSE),ENTI!$A$9:$B$13,2,FALSE))</f>
        <v>0</v>
      </c>
      <c r="AY625" s="310">
        <f t="shared" si="121"/>
        <v>0</v>
      </c>
      <c r="AZ625" s="316">
        <f t="shared" si="122"/>
        <v>0</v>
      </c>
      <c r="BA625" s="1"/>
      <c r="BB625" s="152">
        <f t="shared" si="123"/>
        <v>0</v>
      </c>
      <c r="BC625" s="152">
        <f ca="1">SUM(Z$4:Z625)+SUM(BB$4:BB625)+COSTI!S$6-COSTI!L$1076</f>
        <v>-31.760000000000218</v>
      </c>
      <c r="BD625" s="1"/>
    </row>
    <row r="626" spans="1:56" ht="16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435">
        <f>IF(AND(W626&gt;=$U$1,W626&lt;=$U$2),IF(X626='ESTRATTO CONTO'!$E$2,1+COUNTIF(U$4:U625,"&gt;0"),0),0)</f>
        <v>0</v>
      </c>
      <c r="V626" s="417">
        <f t="shared" si="120"/>
        <v>623</v>
      </c>
      <c r="W626" s="509"/>
      <c r="X626" s="321"/>
      <c r="Y626" s="321"/>
      <c r="Z626" s="508"/>
      <c r="AA626" s="356"/>
      <c r="AB626" s="306" t="str">
        <f t="shared" si="116"/>
        <v/>
      </c>
      <c r="AC626" s="637">
        <f t="shared" ca="1" si="115"/>
        <v>-2.1316282072803006E-13</v>
      </c>
      <c r="AD626" s="935">
        <f>IF(ISERROR(VLOOKUP(AD$2,X627:X$1003,1,FALSE)),IF(X626=AD$2,SUMIF(X$4:X626,AD$2,Z$4:Z626)+$E$9+SUM(AQ$4:AQ$1003)+SUMIF(COSTI!$X$1379:$X$1430,AD$2,COSTI!$Z$1379:$Z$1430),0),0)</f>
        <v>0</v>
      </c>
      <c r="AE626" s="26"/>
      <c r="AF626" s="856" t="e">
        <f>IF(ISERROR(VLOOKUP(AG$2,X627:X$1003,1,FALSE)),IF(X626=AG$2,SUMIF(X$4:X626,AG$2,Z$4:Z626)+VLOOKUP(AF$2,$B$1057:$F$1068,5,FALSE)+SUM(AR$4:AR$1003)+SUMIF(COSTI!$X$1379:$X$1430,AG$2,COSTI!$Z$1379:$Z$1430),0),0)</f>
        <v>#N/A</v>
      </c>
      <c r="AG626" s="859"/>
      <c r="AH626" s="27" t="str">
        <f t="shared" si="117"/>
        <v/>
      </c>
      <c r="AI626" s="152">
        <f ca="1">IF(W627&gt;0,0,IF(AH626=0,(Z626*-1)+BC626+SUM(BB$4:BB625),BC626+SUM(BB$4:BB625)))</f>
        <v>-2.1316282072803006E-13</v>
      </c>
      <c r="AJ626" s="931">
        <f>IF(AND(AL626&gt;=$U$1,AL626&lt;=$U$2),IF(AM626='ESTRATTO CONTO'!$E$2,1+COUNTIF(AJ$4:AJ625,"&gt;0")+U$1015,0),0)</f>
        <v>0</v>
      </c>
      <c r="AK626" s="203">
        <f>IF(AND(OR((AK625+1)&lt;AL$1015,(AK625+1)=AL$1015),MAX(AK$4:AK625)&lt;AL$1015),AK625+1,0)</f>
        <v>0</v>
      </c>
      <c r="AL626" s="309">
        <f>VLOOKUP($AK626,ENTI!$AF$4:AG$1003,2,FALSE)</f>
        <v>0</v>
      </c>
      <c r="AM626" s="224">
        <f>VLOOKUP($AK626,ENTI!$AF$4:AH$1003,3,FALSE)</f>
        <v>0</v>
      </c>
      <c r="AN626" s="224">
        <f>VLOOKUP($AK626,ENTI!$AF$4:AI$1003,4,FALSE)</f>
        <v>0</v>
      </c>
      <c r="AO626" s="781">
        <f>VLOOKUP($AK626,ENTI!$AF$4:AJ$1003,5,FALSE)</f>
        <v>0</v>
      </c>
      <c r="AP626" s="315">
        <f>VLOOKUP($AK626,ENTI!$AF$4:AK$1003,6,FALSE)</f>
        <v>0</v>
      </c>
      <c r="AQ626" s="208">
        <f t="shared" si="124"/>
        <v>0</v>
      </c>
      <c r="AR626" s="152" t="e">
        <f t="shared" si="125"/>
        <v>#N/A</v>
      </c>
      <c r="AS626" s="1"/>
      <c r="AT626" s="88" t="str">
        <f t="shared" si="118"/>
        <v/>
      </c>
      <c r="AU626" s="1"/>
      <c r="AV626" s="175">
        <f>IF(AW626&gt;0,COUNTIF(AV$4:AV625,"&gt;0")+1,0)</f>
        <v>0</v>
      </c>
      <c r="AW626" s="164">
        <f t="shared" si="119"/>
        <v>0</v>
      </c>
      <c r="AX626" s="310">
        <f>IF($AW626=0,0,VLOOKUP(VLOOKUP($X626,$B$34:$T$38,19,FALSE),ENTI!$A$9:$B$13,2,FALSE))</f>
        <v>0</v>
      </c>
      <c r="AY626" s="310">
        <f t="shared" si="121"/>
        <v>0</v>
      </c>
      <c r="AZ626" s="316">
        <f t="shared" si="122"/>
        <v>0</v>
      </c>
      <c r="BA626" s="1"/>
      <c r="BB626" s="152">
        <f t="shared" si="123"/>
        <v>0</v>
      </c>
      <c r="BC626" s="152">
        <f ca="1">SUM(Z$4:Z626)+SUM(BB$4:BB626)+COSTI!S$6-COSTI!L$1076</f>
        <v>-31.760000000000218</v>
      </c>
      <c r="BD626" s="1"/>
    </row>
    <row r="627" spans="1:56" ht="16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435">
        <f>IF(AND(W627&gt;=$U$1,W627&lt;=$U$2),IF(X627='ESTRATTO CONTO'!$E$2,1+COUNTIF(U$4:U626,"&gt;0"),0),0)</f>
        <v>0</v>
      </c>
      <c r="V627" s="417">
        <f t="shared" si="120"/>
        <v>624</v>
      </c>
      <c r="W627" s="509"/>
      <c r="X627" s="321"/>
      <c r="Y627" s="321"/>
      <c r="Z627" s="508"/>
      <c r="AA627" s="356"/>
      <c r="AB627" s="306" t="str">
        <f t="shared" si="116"/>
        <v/>
      </c>
      <c r="AC627" s="637">
        <f t="shared" ca="1" si="115"/>
        <v>-2.1316282072803006E-13</v>
      </c>
      <c r="AD627" s="935">
        <f>IF(ISERROR(VLOOKUP(AD$2,X628:X$1003,1,FALSE)),IF(X627=AD$2,SUMIF(X$4:X627,AD$2,Z$4:Z627)+$E$9+SUM(AQ$4:AQ$1003)+SUMIF(COSTI!$X$1379:$X$1430,AD$2,COSTI!$Z$1379:$Z$1430),0),0)</f>
        <v>0</v>
      </c>
      <c r="AE627" s="26"/>
      <c r="AF627" s="856" t="e">
        <f>IF(ISERROR(VLOOKUP(AG$2,X628:X$1003,1,FALSE)),IF(X627=AG$2,SUMIF(X$4:X627,AG$2,Z$4:Z627)+VLOOKUP(AF$2,$B$1057:$F$1068,5,FALSE)+SUM(AR$4:AR$1003)+SUMIF(COSTI!$X$1379:$X$1430,AG$2,COSTI!$Z$1379:$Z$1430),0),0)</f>
        <v>#N/A</v>
      </c>
      <c r="AG627" s="859"/>
      <c r="AH627" s="27" t="str">
        <f t="shared" si="117"/>
        <v/>
      </c>
      <c r="AI627" s="152">
        <f ca="1">IF(W628&gt;0,0,IF(AH627=0,(Z627*-1)+BC627+SUM(BB$4:BB626),BC627+SUM(BB$4:BB626)))</f>
        <v>-2.1316282072803006E-13</v>
      </c>
      <c r="AJ627" s="931">
        <f>IF(AND(AL627&gt;=$U$1,AL627&lt;=$U$2),IF(AM627='ESTRATTO CONTO'!$E$2,1+COUNTIF(AJ$4:AJ626,"&gt;0")+U$1015,0),0)</f>
        <v>0</v>
      </c>
      <c r="AK627" s="203">
        <f>IF(AND(OR((AK626+1)&lt;AL$1015,(AK626+1)=AL$1015),MAX(AK$4:AK626)&lt;AL$1015),AK626+1,0)</f>
        <v>0</v>
      </c>
      <c r="AL627" s="309">
        <f>VLOOKUP($AK627,ENTI!$AF$4:AG$1003,2,FALSE)</f>
        <v>0</v>
      </c>
      <c r="AM627" s="224">
        <f>VLOOKUP($AK627,ENTI!$AF$4:AH$1003,3,FALSE)</f>
        <v>0</v>
      </c>
      <c r="AN627" s="224">
        <f>VLOOKUP($AK627,ENTI!$AF$4:AI$1003,4,FALSE)</f>
        <v>0</v>
      </c>
      <c r="AO627" s="781">
        <f>VLOOKUP($AK627,ENTI!$AF$4:AJ$1003,5,FALSE)</f>
        <v>0</v>
      </c>
      <c r="AP627" s="315">
        <f>VLOOKUP($AK627,ENTI!$AF$4:AK$1003,6,FALSE)</f>
        <v>0</v>
      </c>
      <c r="AQ627" s="208">
        <f t="shared" si="124"/>
        <v>0</v>
      </c>
      <c r="AR627" s="152" t="e">
        <f t="shared" si="125"/>
        <v>#N/A</v>
      </c>
      <c r="AS627" s="1"/>
      <c r="AT627" s="88" t="str">
        <f t="shared" si="118"/>
        <v/>
      </c>
      <c r="AU627" s="1"/>
      <c r="AV627" s="175">
        <f>IF(AW627&gt;0,COUNTIF(AV$4:AV626,"&gt;0")+1,0)</f>
        <v>0</v>
      </c>
      <c r="AW627" s="164">
        <f t="shared" si="119"/>
        <v>0</v>
      </c>
      <c r="AX627" s="310">
        <f>IF($AW627=0,0,VLOOKUP(VLOOKUP($X627,$B$34:$T$38,19,FALSE),ENTI!$A$9:$B$13,2,FALSE))</f>
        <v>0</v>
      </c>
      <c r="AY627" s="310">
        <f t="shared" si="121"/>
        <v>0</v>
      </c>
      <c r="AZ627" s="316">
        <f t="shared" si="122"/>
        <v>0</v>
      </c>
      <c r="BA627" s="1"/>
      <c r="BB627" s="152">
        <f t="shared" si="123"/>
        <v>0</v>
      </c>
      <c r="BC627" s="152">
        <f ca="1">SUM(Z$4:Z627)+SUM(BB$4:BB627)+COSTI!S$6-COSTI!L$1076</f>
        <v>-31.760000000000218</v>
      </c>
      <c r="BD627" s="1"/>
    </row>
    <row r="628" spans="1:56" ht="16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435">
        <f>IF(AND(W628&gt;=$U$1,W628&lt;=$U$2),IF(X628='ESTRATTO CONTO'!$E$2,1+COUNTIF(U$4:U627,"&gt;0"),0),0)</f>
        <v>0</v>
      </c>
      <c r="V628" s="417">
        <f t="shared" si="120"/>
        <v>625</v>
      </c>
      <c r="W628" s="509"/>
      <c r="X628" s="321"/>
      <c r="Y628" s="321"/>
      <c r="Z628" s="508"/>
      <c r="AA628" s="356"/>
      <c r="AB628" s="306" t="str">
        <f t="shared" si="116"/>
        <v/>
      </c>
      <c r="AC628" s="637">
        <f t="shared" ca="1" si="115"/>
        <v>-2.1316282072803006E-13</v>
      </c>
      <c r="AD628" s="935">
        <f>IF(ISERROR(VLOOKUP(AD$2,X629:X$1003,1,FALSE)),IF(X628=AD$2,SUMIF(X$4:X628,AD$2,Z$4:Z628)+$E$9+SUM(AQ$4:AQ$1003)+SUMIF(COSTI!$X$1379:$X$1430,AD$2,COSTI!$Z$1379:$Z$1430),0),0)</f>
        <v>0</v>
      </c>
      <c r="AE628" s="26"/>
      <c r="AF628" s="856" t="e">
        <f>IF(ISERROR(VLOOKUP(AG$2,X629:X$1003,1,FALSE)),IF(X628=AG$2,SUMIF(X$4:X628,AG$2,Z$4:Z628)+VLOOKUP(AF$2,$B$1057:$F$1068,5,FALSE)+SUM(AR$4:AR$1003)+SUMIF(COSTI!$X$1379:$X$1430,AG$2,COSTI!$Z$1379:$Z$1430),0),0)</f>
        <v>#N/A</v>
      </c>
      <c r="AG628" s="859"/>
      <c r="AH628" s="27" t="str">
        <f t="shared" si="117"/>
        <v/>
      </c>
      <c r="AI628" s="152">
        <f ca="1">IF(W629&gt;0,0,IF(AH628=0,(Z628*-1)+BC628+SUM(BB$4:BB627),BC628+SUM(BB$4:BB627)))</f>
        <v>-2.1316282072803006E-13</v>
      </c>
      <c r="AJ628" s="931">
        <f>IF(AND(AL628&gt;=$U$1,AL628&lt;=$U$2),IF(AM628='ESTRATTO CONTO'!$E$2,1+COUNTIF(AJ$4:AJ627,"&gt;0")+U$1015,0),0)</f>
        <v>0</v>
      </c>
      <c r="AK628" s="203">
        <f>IF(AND(OR((AK627+1)&lt;AL$1015,(AK627+1)=AL$1015),MAX(AK$4:AK627)&lt;AL$1015),AK627+1,0)</f>
        <v>0</v>
      </c>
      <c r="AL628" s="309">
        <f>VLOOKUP($AK628,ENTI!$AF$4:AG$1003,2,FALSE)</f>
        <v>0</v>
      </c>
      <c r="AM628" s="224">
        <f>VLOOKUP($AK628,ENTI!$AF$4:AH$1003,3,FALSE)</f>
        <v>0</v>
      </c>
      <c r="AN628" s="224">
        <f>VLOOKUP($AK628,ENTI!$AF$4:AI$1003,4,FALSE)</f>
        <v>0</v>
      </c>
      <c r="AO628" s="781">
        <f>VLOOKUP($AK628,ENTI!$AF$4:AJ$1003,5,FALSE)</f>
        <v>0</v>
      </c>
      <c r="AP628" s="315">
        <f>VLOOKUP($AK628,ENTI!$AF$4:AK$1003,6,FALSE)</f>
        <v>0</v>
      </c>
      <c r="AQ628" s="208">
        <f t="shared" si="124"/>
        <v>0</v>
      </c>
      <c r="AR628" s="152" t="e">
        <f t="shared" si="125"/>
        <v>#N/A</v>
      </c>
      <c r="AS628" s="1"/>
      <c r="AT628" s="88" t="str">
        <f t="shared" si="118"/>
        <v/>
      </c>
      <c r="AU628" s="1"/>
      <c r="AV628" s="175">
        <f>IF(AW628&gt;0,COUNTIF(AV$4:AV627,"&gt;0")+1,0)</f>
        <v>0</v>
      </c>
      <c r="AW628" s="164">
        <f t="shared" si="119"/>
        <v>0</v>
      </c>
      <c r="AX628" s="310">
        <f>IF($AW628=0,0,VLOOKUP(VLOOKUP($X628,$B$34:$T$38,19,FALSE),ENTI!$A$9:$B$13,2,FALSE))</f>
        <v>0</v>
      </c>
      <c r="AY628" s="310">
        <f t="shared" si="121"/>
        <v>0</v>
      </c>
      <c r="AZ628" s="316">
        <f t="shared" si="122"/>
        <v>0</v>
      </c>
      <c r="BA628" s="1"/>
      <c r="BB628" s="152">
        <f t="shared" si="123"/>
        <v>0</v>
      </c>
      <c r="BC628" s="152">
        <f ca="1">SUM(Z$4:Z628)+SUM(BB$4:BB628)+COSTI!S$6-COSTI!L$1076</f>
        <v>-31.760000000000218</v>
      </c>
      <c r="BD628" s="1"/>
    </row>
    <row r="629" spans="1:56" ht="16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435">
        <f>IF(AND(W629&gt;=$U$1,W629&lt;=$U$2),IF(X629='ESTRATTO CONTO'!$E$2,1+COUNTIF(U$4:U628,"&gt;0"),0),0)</f>
        <v>0</v>
      </c>
      <c r="V629" s="417">
        <f t="shared" si="120"/>
        <v>626</v>
      </c>
      <c r="W629" s="509"/>
      <c r="X629" s="321"/>
      <c r="Y629" s="321"/>
      <c r="Z629" s="508"/>
      <c r="AA629" s="356"/>
      <c r="AB629" s="306" t="str">
        <f t="shared" si="116"/>
        <v/>
      </c>
      <c r="AC629" s="637">
        <f t="shared" ca="1" si="115"/>
        <v>-2.1316282072803006E-13</v>
      </c>
      <c r="AD629" s="935">
        <f>IF(ISERROR(VLOOKUP(AD$2,X630:X$1003,1,FALSE)),IF(X629=AD$2,SUMIF(X$4:X629,AD$2,Z$4:Z629)+$E$9+SUM(AQ$4:AQ$1003)+SUMIF(COSTI!$X$1379:$X$1430,AD$2,COSTI!$Z$1379:$Z$1430),0),0)</f>
        <v>0</v>
      </c>
      <c r="AE629" s="26"/>
      <c r="AF629" s="856" t="e">
        <f>IF(ISERROR(VLOOKUP(AG$2,X630:X$1003,1,FALSE)),IF(X629=AG$2,SUMIF(X$4:X629,AG$2,Z$4:Z629)+VLOOKUP(AF$2,$B$1057:$F$1068,5,FALSE)+SUM(AR$4:AR$1003)+SUMIF(COSTI!$X$1379:$X$1430,AG$2,COSTI!$Z$1379:$Z$1430),0),0)</f>
        <v>#N/A</v>
      </c>
      <c r="AG629" s="859"/>
      <c r="AH629" s="27" t="str">
        <f t="shared" si="117"/>
        <v/>
      </c>
      <c r="AI629" s="152">
        <f ca="1">IF(W630&gt;0,0,IF(AH629=0,(Z629*-1)+BC629+SUM(BB$4:BB628),BC629+SUM(BB$4:BB628)))</f>
        <v>-2.1316282072803006E-13</v>
      </c>
      <c r="AJ629" s="931">
        <f>IF(AND(AL629&gt;=$U$1,AL629&lt;=$U$2),IF(AM629='ESTRATTO CONTO'!$E$2,1+COUNTIF(AJ$4:AJ628,"&gt;0")+U$1015,0),0)</f>
        <v>0</v>
      </c>
      <c r="AK629" s="203">
        <f>IF(AND(OR((AK628+1)&lt;AL$1015,(AK628+1)=AL$1015),MAX(AK$4:AK628)&lt;AL$1015),AK628+1,0)</f>
        <v>0</v>
      </c>
      <c r="AL629" s="309">
        <f>VLOOKUP($AK629,ENTI!$AF$4:AG$1003,2,FALSE)</f>
        <v>0</v>
      </c>
      <c r="AM629" s="224">
        <f>VLOOKUP($AK629,ENTI!$AF$4:AH$1003,3,FALSE)</f>
        <v>0</v>
      </c>
      <c r="AN629" s="224">
        <f>VLOOKUP($AK629,ENTI!$AF$4:AI$1003,4,FALSE)</f>
        <v>0</v>
      </c>
      <c r="AO629" s="781">
        <f>VLOOKUP($AK629,ENTI!$AF$4:AJ$1003,5,FALSE)</f>
        <v>0</v>
      </c>
      <c r="AP629" s="315">
        <f>VLOOKUP($AK629,ENTI!$AF$4:AK$1003,6,FALSE)</f>
        <v>0</v>
      </c>
      <c r="AQ629" s="208">
        <f t="shared" si="124"/>
        <v>0</v>
      </c>
      <c r="AR629" s="152" t="e">
        <f t="shared" si="125"/>
        <v>#N/A</v>
      </c>
      <c r="AS629" s="1"/>
      <c r="AT629" s="88" t="str">
        <f t="shared" si="118"/>
        <v/>
      </c>
      <c r="AU629" s="1"/>
      <c r="AV629" s="175">
        <f>IF(AW629&gt;0,COUNTIF(AV$4:AV628,"&gt;0")+1,0)</f>
        <v>0</v>
      </c>
      <c r="AW629" s="164">
        <f t="shared" si="119"/>
        <v>0</v>
      </c>
      <c r="AX629" s="310">
        <f>IF($AW629=0,0,VLOOKUP(VLOOKUP($X629,$B$34:$T$38,19,FALSE),ENTI!$A$9:$B$13,2,FALSE))</f>
        <v>0</v>
      </c>
      <c r="AY629" s="310">
        <f t="shared" si="121"/>
        <v>0</v>
      </c>
      <c r="AZ629" s="316">
        <f t="shared" si="122"/>
        <v>0</v>
      </c>
      <c r="BA629" s="1"/>
      <c r="BB629" s="152">
        <f t="shared" si="123"/>
        <v>0</v>
      </c>
      <c r="BC629" s="152">
        <f ca="1">SUM(Z$4:Z629)+SUM(BB$4:BB629)+COSTI!S$6-COSTI!L$1076</f>
        <v>-31.760000000000218</v>
      </c>
      <c r="BD629" s="1"/>
    </row>
    <row r="630" spans="1:56" ht="16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435">
        <f>IF(AND(W630&gt;=$U$1,W630&lt;=$U$2),IF(X630='ESTRATTO CONTO'!$E$2,1+COUNTIF(U$4:U629,"&gt;0"),0),0)</f>
        <v>0</v>
      </c>
      <c r="V630" s="417">
        <f t="shared" si="120"/>
        <v>627</v>
      </c>
      <c r="W630" s="509"/>
      <c r="X630" s="321"/>
      <c r="Y630" s="321"/>
      <c r="Z630" s="508"/>
      <c r="AA630" s="356"/>
      <c r="AB630" s="306" t="str">
        <f t="shared" si="116"/>
        <v/>
      </c>
      <c r="AC630" s="637">
        <f t="shared" ca="1" si="115"/>
        <v>-2.1316282072803006E-13</v>
      </c>
      <c r="AD630" s="935">
        <f>IF(ISERROR(VLOOKUP(AD$2,X631:X$1003,1,FALSE)),IF(X630=AD$2,SUMIF(X$4:X630,AD$2,Z$4:Z630)+$E$9+SUM(AQ$4:AQ$1003)+SUMIF(COSTI!$X$1379:$X$1430,AD$2,COSTI!$Z$1379:$Z$1430),0),0)</f>
        <v>0</v>
      </c>
      <c r="AE630" s="26"/>
      <c r="AF630" s="856" t="e">
        <f>IF(ISERROR(VLOOKUP(AG$2,X631:X$1003,1,FALSE)),IF(X630=AG$2,SUMIF(X$4:X630,AG$2,Z$4:Z630)+VLOOKUP(AF$2,$B$1057:$F$1068,5,FALSE)+SUM(AR$4:AR$1003)+SUMIF(COSTI!$X$1379:$X$1430,AG$2,COSTI!$Z$1379:$Z$1430),0),0)</f>
        <v>#N/A</v>
      </c>
      <c r="AG630" s="859"/>
      <c r="AH630" s="27" t="str">
        <f t="shared" si="117"/>
        <v/>
      </c>
      <c r="AI630" s="152">
        <f ca="1">IF(W631&gt;0,0,IF(AH630=0,(Z630*-1)+BC630+SUM(BB$4:BB629),BC630+SUM(BB$4:BB629)))</f>
        <v>-2.1316282072803006E-13</v>
      </c>
      <c r="AJ630" s="931">
        <f>IF(AND(AL630&gt;=$U$1,AL630&lt;=$U$2),IF(AM630='ESTRATTO CONTO'!$E$2,1+COUNTIF(AJ$4:AJ629,"&gt;0")+U$1015,0),0)</f>
        <v>0</v>
      </c>
      <c r="AK630" s="203">
        <f>IF(AND(OR((AK629+1)&lt;AL$1015,(AK629+1)=AL$1015),MAX(AK$4:AK629)&lt;AL$1015),AK629+1,0)</f>
        <v>0</v>
      </c>
      <c r="AL630" s="309">
        <f>VLOOKUP($AK630,ENTI!$AF$4:AG$1003,2,FALSE)</f>
        <v>0</v>
      </c>
      <c r="AM630" s="224">
        <f>VLOOKUP($AK630,ENTI!$AF$4:AH$1003,3,FALSE)</f>
        <v>0</v>
      </c>
      <c r="AN630" s="224">
        <f>VLOOKUP($AK630,ENTI!$AF$4:AI$1003,4,FALSE)</f>
        <v>0</v>
      </c>
      <c r="AO630" s="781">
        <f>VLOOKUP($AK630,ENTI!$AF$4:AJ$1003,5,FALSE)</f>
        <v>0</v>
      </c>
      <c r="AP630" s="315">
        <f>VLOOKUP($AK630,ENTI!$AF$4:AK$1003,6,FALSE)</f>
        <v>0</v>
      </c>
      <c r="AQ630" s="208">
        <f t="shared" si="124"/>
        <v>0</v>
      </c>
      <c r="AR630" s="152" t="e">
        <f t="shared" si="125"/>
        <v>#N/A</v>
      </c>
      <c r="AS630" s="1"/>
      <c r="AT630" s="88" t="str">
        <f t="shared" si="118"/>
        <v/>
      </c>
      <c r="AU630" s="1"/>
      <c r="AV630" s="175">
        <f>IF(AW630&gt;0,COUNTIF(AV$4:AV629,"&gt;0")+1,0)</f>
        <v>0</v>
      </c>
      <c r="AW630" s="164">
        <f t="shared" si="119"/>
        <v>0</v>
      </c>
      <c r="AX630" s="310">
        <f>IF($AW630=0,0,VLOOKUP(VLOOKUP($X630,$B$34:$T$38,19,FALSE),ENTI!$A$9:$B$13,2,FALSE))</f>
        <v>0</v>
      </c>
      <c r="AY630" s="310">
        <f t="shared" si="121"/>
        <v>0</v>
      </c>
      <c r="AZ630" s="316">
        <f t="shared" si="122"/>
        <v>0</v>
      </c>
      <c r="BA630" s="1"/>
      <c r="BB630" s="152">
        <f t="shared" si="123"/>
        <v>0</v>
      </c>
      <c r="BC630" s="152">
        <f ca="1">SUM(Z$4:Z630)+SUM(BB$4:BB630)+COSTI!S$6-COSTI!L$1076</f>
        <v>-31.760000000000218</v>
      </c>
      <c r="BD630" s="1"/>
    </row>
    <row r="631" spans="1:56" ht="16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435">
        <f>IF(AND(W631&gt;=$U$1,W631&lt;=$U$2),IF(X631='ESTRATTO CONTO'!$E$2,1+COUNTIF(U$4:U630,"&gt;0"),0),0)</f>
        <v>0</v>
      </c>
      <c r="V631" s="417">
        <f t="shared" si="120"/>
        <v>628</v>
      </c>
      <c r="W631" s="509"/>
      <c r="X631" s="321"/>
      <c r="Y631" s="321"/>
      <c r="Z631" s="508"/>
      <c r="AA631" s="356"/>
      <c r="AB631" s="306" t="str">
        <f t="shared" si="116"/>
        <v/>
      </c>
      <c r="AC631" s="637">
        <f t="shared" ca="1" si="115"/>
        <v>-2.1316282072803006E-13</v>
      </c>
      <c r="AD631" s="935">
        <f>IF(ISERROR(VLOOKUP(AD$2,X632:X$1003,1,FALSE)),IF(X631=AD$2,SUMIF(X$4:X631,AD$2,Z$4:Z631)+$E$9+SUM(AQ$4:AQ$1003)+SUMIF(COSTI!$X$1379:$X$1430,AD$2,COSTI!$Z$1379:$Z$1430),0),0)</f>
        <v>0</v>
      </c>
      <c r="AE631" s="26"/>
      <c r="AF631" s="856" t="e">
        <f>IF(ISERROR(VLOOKUP(AG$2,X632:X$1003,1,FALSE)),IF(X631=AG$2,SUMIF(X$4:X631,AG$2,Z$4:Z631)+VLOOKUP(AF$2,$B$1057:$F$1068,5,FALSE)+SUM(AR$4:AR$1003)+SUMIF(COSTI!$X$1379:$X$1430,AG$2,COSTI!$Z$1379:$Z$1430),0),0)</f>
        <v>#N/A</v>
      </c>
      <c r="AG631" s="859"/>
      <c r="AH631" s="27" t="str">
        <f t="shared" si="117"/>
        <v/>
      </c>
      <c r="AI631" s="152">
        <f ca="1">IF(W632&gt;0,0,IF(AH631=0,(Z631*-1)+BC631+SUM(BB$4:BB630),BC631+SUM(BB$4:BB630)))</f>
        <v>-2.1316282072803006E-13</v>
      </c>
      <c r="AJ631" s="931">
        <f>IF(AND(AL631&gt;=$U$1,AL631&lt;=$U$2),IF(AM631='ESTRATTO CONTO'!$E$2,1+COUNTIF(AJ$4:AJ630,"&gt;0")+U$1015,0),0)</f>
        <v>0</v>
      </c>
      <c r="AK631" s="203">
        <f>IF(AND(OR((AK630+1)&lt;AL$1015,(AK630+1)=AL$1015),MAX(AK$4:AK630)&lt;AL$1015),AK630+1,0)</f>
        <v>0</v>
      </c>
      <c r="AL631" s="309">
        <f>VLOOKUP($AK631,ENTI!$AF$4:AG$1003,2,FALSE)</f>
        <v>0</v>
      </c>
      <c r="AM631" s="224">
        <f>VLOOKUP($AK631,ENTI!$AF$4:AH$1003,3,FALSE)</f>
        <v>0</v>
      </c>
      <c r="AN631" s="224">
        <f>VLOOKUP($AK631,ENTI!$AF$4:AI$1003,4,FALSE)</f>
        <v>0</v>
      </c>
      <c r="AO631" s="781">
        <f>VLOOKUP($AK631,ENTI!$AF$4:AJ$1003,5,FALSE)</f>
        <v>0</v>
      </c>
      <c r="AP631" s="315">
        <f>VLOOKUP($AK631,ENTI!$AF$4:AK$1003,6,FALSE)</f>
        <v>0</v>
      </c>
      <c r="AQ631" s="208">
        <f t="shared" si="124"/>
        <v>0</v>
      </c>
      <c r="AR631" s="152" t="e">
        <f t="shared" si="125"/>
        <v>#N/A</v>
      </c>
      <c r="AS631" s="1"/>
      <c r="AT631" s="88" t="str">
        <f t="shared" si="118"/>
        <v/>
      </c>
      <c r="AU631" s="1"/>
      <c r="AV631" s="175">
        <f>IF(AW631&gt;0,COUNTIF(AV$4:AV630,"&gt;0")+1,0)</f>
        <v>0</v>
      </c>
      <c r="AW631" s="164">
        <f t="shared" si="119"/>
        <v>0</v>
      </c>
      <c r="AX631" s="310">
        <f>IF($AW631=0,0,VLOOKUP(VLOOKUP($X631,$B$34:$T$38,19,FALSE),ENTI!$A$9:$B$13,2,FALSE))</f>
        <v>0</v>
      </c>
      <c r="AY631" s="310">
        <f t="shared" si="121"/>
        <v>0</v>
      </c>
      <c r="AZ631" s="316">
        <f t="shared" si="122"/>
        <v>0</v>
      </c>
      <c r="BA631" s="1"/>
      <c r="BB631" s="152">
        <f t="shared" si="123"/>
        <v>0</v>
      </c>
      <c r="BC631" s="152">
        <f ca="1">SUM(Z$4:Z631)+SUM(BB$4:BB631)+COSTI!S$6-COSTI!L$1076</f>
        <v>-31.760000000000218</v>
      </c>
      <c r="BD631" s="1"/>
    </row>
    <row r="632" spans="1:56" ht="16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435">
        <f>IF(AND(W632&gt;=$U$1,W632&lt;=$U$2),IF(X632='ESTRATTO CONTO'!$E$2,1+COUNTIF(U$4:U631,"&gt;0"),0),0)</f>
        <v>0</v>
      </c>
      <c r="V632" s="417">
        <f t="shared" si="120"/>
        <v>629</v>
      </c>
      <c r="W632" s="509"/>
      <c r="X632" s="321"/>
      <c r="Y632" s="321"/>
      <c r="Z632" s="508"/>
      <c r="AA632" s="356"/>
      <c r="AB632" s="306" t="str">
        <f t="shared" si="116"/>
        <v/>
      </c>
      <c r="AC632" s="637">
        <f t="shared" ca="1" si="115"/>
        <v>-2.1316282072803006E-13</v>
      </c>
      <c r="AD632" s="935">
        <f>IF(ISERROR(VLOOKUP(AD$2,X633:X$1003,1,FALSE)),IF(X632=AD$2,SUMIF(X$4:X632,AD$2,Z$4:Z632)+$E$9+SUM(AQ$4:AQ$1003)+SUMIF(COSTI!$X$1379:$X$1430,AD$2,COSTI!$Z$1379:$Z$1430),0),0)</f>
        <v>0</v>
      </c>
      <c r="AE632" s="26"/>
      <c r="AF632" s="856" t="e">
        <f>IF(ISERROR(VLOOKUP(AG$2,X633:X$1003,1,FALSE)),IF(X632=AG$2,SUMIF(X$4:X632,AG$2,Z$4:Z632)+VLOOKUP(AF$2,$B$1057:$F$1068,5,FALSE)+SUM(AR$4:AR$1003)+SUMIF(COSTI!$X$1379:$X$1430,AG$2,COSTI!$Z$1379:$Z$1430),0),0)</f>
        <v>#N/A</v>
      </c>
      <c r="AG632" s="859"/>
      <c r="AH632" s="27" t="str">
        <f t="shared" si="117"/>
        <v/>
      </c>
      <c r="AI632" s="152">
        <f ca="1">IF(W633&gt;0,0,IF(AH632=0,(Z632*-1)+BC632+SUM(BB$4:BB631),BC632+SUM(BB$4:BB631)))</f>
        <v>-2.1316282072803006E-13</v>
      </c>
      <c r="AJ632" s="931">
        <f>IF(AND(AL632&gt;=$U$1,AL632&lt;=$U$2),IF(AM632='ESTRATTO CONTO'!$E$2,1+COUNTIF(AJ$4:AJ631,"&gt;0")+U$1015,0),0)</f>
        <v>0</v>
      </c>
      <c r="AK632" s="203">
        <f>IF(AND(OR((AK631+1)&lt;AL$1015,(AK631+1)=AL$1015),MAX(AK$4:AK631)&lt;AL$1015),AK631+1,0)</f>
        <v>0</v>
      </c>
      <c r="AL632" s="309">
        <f>VLOOKUP($AK632,ENTI!$AF$4:AG$1003,2,FALSE)</f>
        <v>0</v>
      </c>
      <c r="AM632" s="224">
        <f>VLOOKUP($AK632,ENTI!$AF$4:AH$1003,3,FALSE)</f>
        <v>0</v>
      </c>
      <c r="AN632" s="224">
        <f>VLOOKUP($AK632,ENTI!$AF$4:AI$1003,4,FALSE)</f>
        <v>0</v>
      </c>
      <c r="AO632" s="781">
        <f>VLOOKUP($AK632,ENTI!$AF$4:AJ$1003,5,FALSE)</f>
        <v>0</v>
      </c>
      <c r="AP632" s="315">
        <f>VLOOKUP($AK632,ENTI!$AF$4:AK$1003,6,FALSE)</f>
        <v>0</v>
      </c>
      <c r="AQ632" s="208">
        <f t="shared" si="124"/>
        <v>0</v>
      </c>
      <c r="AR632" s="152" t="e">
        <f t="shared" si="125"/>
        <v>#N/A</v>
      </c>
      <c r="AS632" s="1"/>
      <c r="AT632" s="88" t="str">
        <f t="shared" si="118"/>
        <v/>
      </c>
      <c r="AU632" s="1"/>
      <c r="AV632" s="175">
        <f>IF(AW632&gt;0,COUNTIF(AV$4:AV631,"&gt;0")+1,0)</f>
        <v>0</v>
      </c>
      <c r="AW632" s="164">
        <f t="shared" si="119"/>
        <v>0</v>
      </c>
      <c r="AX632" s="310">
        <f>IF($AW632=0,0,VLOOKUP(VLOOKUP($X632,$B$34:$T$38,19,FALSE),ENTI!$A$9:$B$13,2,FALSE))</f>
        <v>0</v>
      </c>
      <c r="AY632" s="310">
        <f t="shared" si="121"/>
        <v>0</v>
      </c>
      <c r="AZ632" s="316">
        <f t="shared" si="122"/>
        <v>0</v>
      </c>
      <c r="BA632" s="1"/>
      <c r="BB632" s="152">
        <f t="shared" si="123"/>
        <v>0</v>
      </c>
      <c r="BC632" s="152">
        <f ca="1">SUM(Z$4:Z632)+SUM(BB$4:BB632)+COSTI!S$6-COSTI!L$1076</f>
        <v>-31.760000000000218</v>
      </c>
      <c r="BD632" s="1"/>
    </row>
    <row r="633" spans="1:56" ht="16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435">
        <f>IF(AND(W633&gt;=$U$1,W633&lt;=$U$2),IF(X633='ESTRATTO CONTO'!$E$2,1+COUNTIF(U$4:U632,"&gt;0"),0),0)</f>
        <v>0</v>
      </c>
      <c r="V633" s="417">
        <f t="shared" si="120"/>
        <v>630</v>
      </c>
      <c r="W633" s="509"/>
      <c r="X633" s="321"/>
      <c r="Y633" s="321"/>
      <c r="Z633" s="508"/>
      <c r="AA633" s="356"/>
      <c r="AB633" s="306" t="str">
        <f t="shared" si="116"/>
        <v/>
      </c>
      <c r="AC633" s="637">
        <f t="shared" ref="AC633:AC696" ca="1" si="126">AI633</f>
        <v>-2.1316282072803006E-13</v>
      </c>
      <c r="AD633" s="935">
        <f>IF(ISERROR(VLOOKUP(AD$2,X634:X$1003,1,FALSE)),IF(X633=AD$2,SUMIF(X$4:X633,AD$2,Z$4:Z633)+$E$9+SUM(AQ$4:AQ$1003)+SUMIF(COSTI!$X$1379:$X$1430,AD$2,COSTI!$Z$1379:$Z$1430),0),0)</f>
        <v>0</v>
      </c>
      <c r="AE633" s="26"/>
      <c r="AF633" s="856" t="e">
        <f>IF(ISERROR(VLOOKUP(AG$2,X634:X$1003,1,FALSE)),IF(X633=AG$2,SUMIF(X$4:X633,AG$2,Z$4:Z633)+VLOOKUP(AF$2,$B$1057:$F$1068,5,FALSE)+SUM(AR$4:AR$1003)+SUMIF(COSTI!$X$1379:$X$1430,AG$2,COSTI!$Z$1379:$Z$1430),0),0)</f>
        <v>#N/A</v>
      </c>
      <c r="AG633" s="859"/>
      <c r="AH633" s="27" t="str">
        <f t="shared" si="117"/>
        <v/>
      </c>
      <c r="AI633" s="152">
        <f ca="1">IF(W634&gt;0,0,IF(AH633=0,(Z633*-1)+BC633+SUM(BB$4:BB632),BC633+SUM(BB$4:BB632)))</f>
        <v>-2.1316282072803006E-13</v>
      </c>
      <c r="AJ633" s="931">
        <f>IF(AND(AL633&gt;=$U$1,AL633&lt;=$U$2),IF(AM633='ESTRATTO CONTO'!$E$2,1+COUNTIF(AJ$4:AJ632,"&gt;0")+U$1015,0),0)</f>
        <v>0</v>
      </c>
      <c r="AK633" s="203">
        <f>IF(AND(OR((AK632+1)&lt;AL$1015,(AK632+1)=AL$1015),MAX(AK$4:AK632)&lt;AL$1015),AK632+1,0)</f>
        <v>0</v>
      </c>
      <c r="AL633" s="309">
        <f>VLOOKUP($AK633,ENTI!$AF$4:AG$1003,2,FALSE)</f>
        <v>0</v>
      </c>
      <c r="AM633" s="224">
        <f>VLOOKUP($AK633,ENTI!$AF$4:AH$1003,3,FALSE)</f>
        <v>0</v>
      </c>
      <c r="AN633" s="224">
        <f>VLOOKUP($AK633,ENTI!$AF$4:AI$1003,4,FALSE)</f>
        <v>0</v>
      </c>
      <c r="AO633" s="781">
        <f>VLOOKUP($AK633,ENTI!$AF$4:AJ$1003,5,FALSE)</f>
        <v>0</v>
      </c>
      <c r="AP633" s="315">
        <f>VLOOKUP($AK633,ENTI!$AF$4:AK$1003,6,FALSE)</f>
        <v>0</v>
      </c>
      <c r="AQ633" s="208">
        <f t="shared" si="124"/>
        <v>0</v>
      </c>
      <c r="AR633" s="152" t="e">
        <f t="shared" si="125"/>
        <v>#N/A</v>
      </c>
      <c r="AS633" s="1"/>
      <c r="AT633" s="88" t="str">
        <f t="shared" si="118"/>
        <v/>
      </c>
      <c r="AU633" s="1"/>
      <c r="AV633" s="175">
        <f>IF(AW633&gt;0,COUNTIF(AV$4:AV632,"&gt;0")+1,0)</f>
        <v>0</v>
      </c>
      <c r="AW633" s="164">
        <f t="shared" si="119"/>
        <v>0</v>
      </c>
      <c r="AX633" s="310">
        <f>IF($AW633=0,0,VLOOKUP(VLOOKUP($X633,$B$34:$T$38,19,FALSE),ENTI!$A$9:$B$13,2,FALSE))</f>
        <v>0</v>
      </c>
      <c r="AY633" s="310">
        <f t="shared" si="121"/>
        <v>0</v>
      </c>
      <c r="AZ633" s="316">
        <f t="shared" si="122"/>
        <v>0</v>
      </c>
      <c r="BA633" s="1"/>
      <c r="BB633" s="152">
        <f t="shared" si="123"/>
        <v>0</v>
      </c>
      <c r="BC633" s="152">
        <f ca="1">SUM(Z$4:Z633)+SUM(BB$4:BB633)+COSTI!S$6-COSTI!L$1076</f>
        <v>-31.760000000000218</v>
      </c>
      <c r="BD633" s="1"/>
    </row>
    <row r="634" spans="1:56" ht="16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435">
        <f>IF(AND(W634&gt;=$U$1,W634&lt;=$U$2),IF(X634='ESTRATTO CONTO'!$E$2,1+COUNTIF(U$4:U633,"&gt;0"),0),0)</f>
        <v>0</v>
      </c>
      <c r="V634" s="417">
        <f t="shared" si="120"/>
        <v>631</v>
      </c>
      <c r="W634" s="509"/>
      <c r="X634" s="321"/>
      <c r="Y634" s="321"/>
      <c r="Z634" s="508"/>
      <c r="AA634" s="356"/>
      <c r="AB634" s="306" t="str">
        <f t="shared" si="116"/>
        <v/>
      </c>
      <c r="AC634" s="637">
        <f t="shared" ca="1" si="126"/>
        <v>-2.1316282072803006E-13</v>
      </c>
      <c r="AD634" s="935">
        <f>IF(ISERROR(VLOOKUP(AD$2,X635:X$1003,1,FALSE)),IF(X634=AD$2,SUMIF(X$4:X634,AD$2,Z$4:Z634)+$E$9+SUM(AQ$4:AQ$1003)+SUMIF(COSTI!$X$1379:$X$1430,AD$2,COSTI!$Z$1379:$Z$1430),0),0)</f>
        <v>0</v>
      </c>
      <c r="AE634" s="26"/>
      <c r="AF634" s="856" t="e">
        <f>IF(ISERROR(VLOOKUP(AG$2,X635:X$1003,1,FALSE)),IF(X634=AG$2,SUMIF(X$4:X634,AG$2,Z$4:Z634)+VLOOKUP(AF$2,$B$1057:$F$1068,5,FALSE)+SUM(AR$4:AR$1003)+SUMIF(COSTI!$X$1379:$X$1430,AG$2,COSTI!$Z$1379:$Z$1430),0),0)</f>
        <v>#N/A</v>
      </c>
      <c r="AG634" s="859"/>
      <c r="AH634" s="27" t="str">
        <f t="shared" si="117"/>
        <v/>
      </c>
      <c r="AI634" s="152">
        <f ca="1">IF(W635&gt;0,0,IF(AH634=0,(Z634*-1)+BC634+SUM(BB$4:BB633),BC634+SUM(BB$4:BB633)))</f>
        <v>-2.1316282072803006E-13</v>
      </c>
      <c r="AJ634" s="931">
        <f>IF(AND(AL634&gt;=$U$1,AL634&lt;=$U$2),IF(AM634='ESTRATTO CONTO'!$E$2,1+COUNTIF(AJ$4:AJ633,"&gt;0")+U$1015,0),0)</f>
        <v>0</v>
      </c>
      <c r="AK634" s="203">
        <f>IF(AND(OR((AK633+1)&lt;AL$1015,(AK633+1)=AL$1015),MAX(AK$4:AK633)&lt;AL$1015),AK633+1,0)</f>
        <v>0</v>
      </c>
      <c r="AL634" s="309">
        <f>VLOOKUP($AK634,ENTI!$AF$4:AG$1003,2,FALSE)</f>
        <v>0</v>
      </c>
      <c r="AM634" s="224">
        <f>VLOOKUP($AK634,ENTI!$AF$4:AH$1003,3,FALSE)</f>
        <v>0</v>
      </c>
      <c r="AN634" s="224">
        <f>VLOOKUP($AK634,ENTI!$AF$4:AI$1003,4,FALSE)</f>
        <v>0</v>
      </c>
      <c r="AO634" s="781">
        <f>VLOOKUP($AK634,ENTI!$AF$4:AJ$1003,5,FALSE)</f>
        <v>0</v>
      </c>
      <c r="AP634" s="315">
        <f>VLOOKUP($AK634,ENTI!$AF$4:AK$1003,6,FALSE)</f>
        <v>0</v>
      </c>
      <c r="AQ634" s="208">
        <f t="shared" si="124"/>
        <v>0</v>
      </c>
      <c r="AR634" s="152" t="e">
        <f t="shared" si="125"/>
        <v>#N/A</v>
      </c>
      <c r="AS634" s="1"/>
      <c r="AT634" s="88" t="str">
        <f t="shared" si="118"/>
        <v/>
      </c>
      <c r="AU634" s="1"/>
      <c r="AV634" s="175">
        <f>IF(AW634&gt;0,COUNTIF(AV$4:AV633,"&gt;0")+1,0)</f>
        <v>0</v>
      </c>
      <c r="AW634" s="164">
        <f t="shared" si="119"/>
        <v>0</v>
      </c>
      <c r="AX634" s="310">
        <f>IF($AW634=0,0,VLOOKUP(VLOOKUP($X634,$B$34:$T$38,19,FALSE),ENTI!$A$9:$B$13,2,FALSE))</f>
        <v>0</v>
      </c>
      <c r="AY634" s="310">
        <f t="shared" si="121"/>
        <v>0</v>
      </c>
      <c r="AZ634" s="316">
        <f t="shared" si="122"/>
        <v>0</v>
      </c>
      <c r="BA634" s="1"/>
      <c r="BB634" s="152">
        <f t="shared" si="123"/>
        <v>0</v>
      </c>
      <c r="BC634" s="152">
        <f ca="1">SUM(Z$4:Z634)+SUM(BB$4:BB634)+COSTI!S$6-COSTI!L$1076</f>
        <v>-31.760000000000218</v>
      </c>
      <c r="BD634" s="1"/>
    </row>
    <row r="635" spans="1:56" ht="16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435">
        <f>IF(AND(W635&gt;=$U$1,W635&lt;=$U$2),IF(X635='ESTRATTO CONTO'!$E$2,1+COUNTIF(U$4:U634,"&gt;0"),0),0)</f>
        <v>0</v>
      </c>
      <c r="V635" s="417">
        <f t="shared" si="120"/>
        <v>632</v>
      </c>
      <c r="W635" s="509"/>
      <c r="X635" s="321"/>
      <c r="Y635" s="321"/>
      <c r="Z635" s="508"/>
      <c r="AA635" s="356"/>
      <c r="AB635" s="306" t="str">
        <f t="shared" si="116"/>
        <v/>
      </c>
      <c r="AC635" s="637">
        <f t="shared" ca="1" si="126"/>
        <v>-2.1316282072803006E-13</v>
      </c>
      <c r="AD635" s="935">
        <f>IF(ISERROR(VLOOKUP(AD$2,X636:X$1003,1,FALSE)),IF(X635=AD$2,SUMIF(X$4:X635,AD$2,Z$4:Z635)+$E$9+SUM(AQ$4:AQ$1003)+SUMIF(COSTI!$X$1379:$X$1430,AD$2,COSTI!$Z$1379:$Z$1430),0),0)</f>
        <v>0</v>
      </c>
      <c r="AE635" s="26"/>
      <c r="AF635" s="856" t="e">
        <f>IF(ISERROR(VLOOKUP(AG$2,X636:X$1003,1,FALSE)),IF(X635=AG$2,SUMIF(X$4:X635,AG$2,Z$4:Z635)+VLOOKUP(AF$2,$B$1057:$F$1068,5,FALSE)+SUM(AR$4:AR$1003)+SUMIF(COSTI!$X$1379:$X$1430,AG$2,COSTI!$Z$1379:$Z$1430),0),0)</f>
        <v>#N/A</v>
      </c>
      <c r="AG635" s="859"/>
      <c r="AH635" s="27" t="str">
        <f t="shared" si="117"/>
        <v/>
      </c>
      <c r="AI635" s="152">
        <f ca="1">IF(W636&gt;0,0,IF(AH635=0,(Z635*-1)+BC635+SUM(BB$4:BB634),BC635+SUM(BB$4:BB634)))</f>
        <v>-2.1316282072803006E-13</v>
      </c>
      <c r="AJ635" s="931">
        <f>IF(AND(AL635&gt;=$U$1,AL635&lt;=$U$2),IF(AM635='ESTRATTO CONTO'!$E$2,1+COUNTIF(AJ$4:AJ634,"&gt;0")+U$1015,0),0)</f>
        <v>0</v>
      </c>
      <c r="AK635" s="203">
        <f>IF(AND(OR((AK634+1)&lt;AL$1015,(AK634+1)=AL$1015),MAX(AK$4:AK634)&lt;AL$1015),AK634+1,0)</f>
        <v>0</v>
      </c>
      <c r="AL635" s="309">
        <f>VLOOKUP($AK635,ENTI!$AF$4:AG$1003,2,FALSE)</f>
        <v>0</v>
      </c>
      <c r="AM635" s="224">
        <f>VLOOKUP($AK635,ENTI!$AF$4:AH$1003,3,FALSE)</f>
        <v>0</v>
      </c>
      <c r="AN635" s="224">
        <f>VLOOKUP($AK635,ENTI!$AF$4:AI$1003,4,FALSE)</f>
        <v>0</v>
      </c>
      <c r="AO635" s="781">
        <f>VLOOKUP($AK635,ENTI!$AF$4:AJ$1003,5,FALSE)</f>
        <v>0</v>
      </c>
      <c r="AP635" s="315">
        <f>VLOOKUP($AK635,ENTI!$AF$4:AK$1003,6,FALSE)</f>
        <v>0</v>
      </c>
      <c r="AQ635" s="208">
        <f t="shared" si="124"/>
        <v>0</v>
      </c>
      <c r="AR635" s="152" t="e">
        <f t="shared" si="125"/>
        <v>#N/A</v>
      </c>
      <c r="AS635" s="1"/>
      <c r="AT635" s="88" t="str">
        <f t="shared" si="118"/>
        <v/>
      </c>
      <c r="AU635" s="1"/>
      <c r="AV635" s="175">
        <f>IF(AW635&gt;0,COUNTIF(AV$4:AV634,"&gt;0")+1,0)</f>
        <v>0</v>
      </c>
      <c r="AW635" s="164">
        <f t="shared" si="119"/>
        <v>0</v>
      </c>
      <c r="AX635" s="310">
        <f>IF($AW635=0,0,VLOOKUP(VLOOKUP($X635,$B$34:$T$38,19,FALSE),ENTI!$A$9:$B$13,2,FALSE))</f>
        <v>0</v>
      </c>
      <c r="AY635" s="310">
        <f t="shared" si="121"/>
        <v>0</v>
      </c>
      <c r="AZ635" s="316">
        <f t="shared" si="122"/>
        <v>0</v>
      </c>
      <c r="BA635" s="1"/>
      <c r="BB635" s="152">
        <f t="shared" si="123"/>
        <v>0</v>
      </c>
      <c r="BC635" s="152">
        <f ca="1">SUM(Z$4:Z635)+SUM(BB$4:BB635)+COSTI!S$6-COSTI!L$1076</f>
        <v>-31.760000000000218</v>
      </c>
      <c r="BD635" s="1"/>
    </row>
    <row r="636" spans="1:56" ht="16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435">
        <f>IF(AND(W636&gt;=$U$1,W636&lt;=$U$2),IF(X636='ESTRATTO CONTO'!$E$2,1+COUNTIF(U$4:U635,"&gt;0"),0),0)</f>
        <v>0</v>
      </c>
      <c r="V636" s="417">
        <f t="shared" si="120"/>
        <v>633</v>
      </c>
      <c r="W636" s="509"/>
      <c r="X636" s="321"/>
      <c r="Y636" s="321"/>
      <c r="Z636" s="508"/>
      <c r="AA636" s="356"/>
      <c r="AB636" s="306" t="str">
        <f t="shared" si="116"/>
        <v/>
      </c>
      <c r="AC636" s="637">
        <f t="shared" ca="1" si="126"/>
        <v>-2.1316282072803006E-13</v>
      </c>
      <c r="AD636" s="935">
        <f>IF(ISERROR(VLOOKUP(AD$2,X637:X$1003,1,FALSE)),IF(X636=AD$2,SUMIF(X$4:X636,AD$2,Z$4:Z636)+$E$9+SUM(AQ$4:AQ$1003)+SUMIF(COSTI!$X$1379:$X$1430,AD$2,COSTI!$Z$1379:$Z$1430),0),0)</f>
        <v>0</v>
      </c>
      <c r="AE636" s="26"/>
      <c r="AF636" s="856" t="e">
        <f>IF(ISERROR(VLOOKUP(AG$2,X637:X$1003,1,FALSE)),IF(X636=AG$2,SUMIF(X$4:X636,AG$2,Z$4:Z636)+VLOOKUP(AF$2,$B$1057:$F$1068,5,FALSE)+SUM(AR$4:AR$1003)+SUMIF(COSTI!$X$1379:$X$1430,AG$2,COSTI!$Z$1379:$Z$1430),0),0)</f>
        <v>#N/A</v>
      </c>
      <c r="AG636" s="859"/>
      <c r="AH636" s="27" t="str">
        <f t="shared" si="117"/>
        <v/>
      </c>
      <c r="AI636" s="152">
        <f ca="1">IF(W637&gt;0,0,IF(AH636=0,(Z636*-1)+BC636+SUM(BB$4:BB635),BC636+SUM(BB$4:BB635)))</f>
        <v>-2.1316282072803006E-13</v>
      </c>
      <c r="AJ636" s="931">
        <f>IF(AND(AL636&gt;=$U$1,AL636&lt;=$U$2),IF(AM636='ESTRATTO CONTO'!$E$2,1+COUNTIF(AJ$4:AJ635,"&gt;0")+U$1015,0),0)</f>
        <v>0</v>
      </c>
      <c r="AK636" s="203">
        <f>IF(AND(OR((AK635+1)&lt;AL$1015,(AK635+1)=AL$1015),MAX(AK$4:AK635)&lt;AL$1015),AK635+1,0)</f>
        <v>0</v>
      </c>
      <c r="AL636" s="309">
        <f>VLOOKUP($AK636,ENTI!$AF$4:AG$1003,2,FALSE)</f>
        <v>0</v>
      </c>
      <c r="AM636" s="224">
        <f>VLOOKUP($AK636,ENTI!$AF$4:AH$1003,3,FALSE)</f>
        <v>0</v>
      </c>
      <c r="AN636" s="224">
        <f>VLOOKUP($AK636,ENTI!$AF$4:AI$1003,4,FALSE)</f>
        <v>0</v>
      </c>
      <c r="AO636" s="781">
        <f>VLOOKUP($AK636,ENTI!$AF$4:AJ$1003,5,FALSE)</f>
        <v>0</v>
      </c>
      <c r="AP636" s="315">
        <f>VLOOKUP($AK636,ENTI!$AF$4:AK$1003,6,FALSE)</f>
        <v>0</v>
      </c>
      <c r="AQ636" s="208">
        <f t="shared" si="124"/>
        <v>0</v>
      </c>
      <c r="AR636" s="152" t="e">
        <f t="shared" si="125"/>
        <v>#N/A</v>
      </c>
      <c r="AS636" s="1"/>
      <c r="AT636" s="88" t="str">
        <f t="shared" si="118"/>
        <v/>
      </c>
      <c r="AU636" s="1"/>
      <c r="AV636" s="175">
        <f>IF(AW636&gt;0,COUNTIF(AV$4:AV635,"&gt;0")+1,0)</f>
        <v>0</v>
      </c>
      <c r="AW636" s="164">
        <f t="shared" si="119"/>
        <v>0</v>
      </c>
      <c r="AX636" s="310">
        <f>IF($AW636=0,0,VLOOKUP(VLOOKUP($X636,$B$34:$T$38,19,FALSE),ENTI!$A$9:$B$13,2,FALSE))</f>
        <v>0</v>
      </c>
      <c r="AY636" s="310">
        <f t="shared" si="121"/>
        <v>0</v>
      </c>
      <c r="AZ636" s="316">
        <f t="shared" si="122"/>
        <v>0</v>
      </c>
      <c r="BA636" s="1"/>
      <c r="BB636" s="152">
        <f t="shared" si="123"/>
        <v>0</v>
      </c>
      <c r="BC636" s="152">
        <f ca="1">SUM(Z$4:Z636)+SUM(BB$4:BB636)+COSTI!S$6-COSTI!L$1076</f>
        <v>-31.760000000000218</v>
      </c>
      <c r="BD636" s="1"/>
    </row>
    <row r="637" spans="1:56" ht="16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435">
        <f>IF(AND(W637&gt;=$U$1,W637&lt;=$U$2),IF(X637='ESTRATTO CONTO'!$E$2,1+COUNTIF(U$4:U636,"&gt;0"),0),0)</f>
        <v>0</v>
      </c>
      <c r="V637" s="417">
        <f t="shared" si="120"/>
        <v>634</v>
      </c>
      <c r="W637" s="509"/>
      <c r="X637" s="321"/>
      <c r="Y637" s="321"/>
      <c r="Z637" s="508"/>
      <c r="AA637" s="356"/>
      <c r="AB637" s="306" t="str">
        <f t="shared" si="116"/>
        <v/>
      </c>
      <c r="AC637" s="637">
        <f t="shared" ca="1" si="126"/>
        <v>-2.1316282072803006E-13</v>
      </c>
      <c r="AD637" s="935">
        <f>IF(ISERROR(VLOOKUP(AD$2,X638:X$1003,1,FALSE)),IF(X637=AD$2,SUMIF(X$4:X637,AD$2,Z$4:Z637)+$E$9+SUM(AQ$4:AQ$1003)+SUMIF(COSTI!$X$1379:$X$1430,AD$2,COSTI!$Z$1379:$Z$1430),0),0)</f>
        <v>0</v>
      </c>
      <c r="AE637" s="26"/>
      <c r="AF637" s="856" t="e">
        <f>IF(ISERROR(VLOOKUP(AG$2,X638:X$1003,1,FALSE)),IF(X637=AG$2,SUMIF(X$4:X637,AG$2,Z$4:Z637)+VLOOKUP(AF$2,$B$1057:$F$1068,5,FALSE)+SUM(AR$4:AR$1003)+SUMIF(COSTI!$X$1379:$X$1430,AG$2,COSTI!$Z$1379:$Z$1430),0),0)</f>
        <v>#N/A</v>
      </c>
      <c r="AG637" s="859"/>
      <c r="AH637" s="27" t="str">
        <f t="shared" si="117"/>
        <v/>
      </c>
      <c r="AI637" s="152">
        <f ca="1">IF(W638&gt;0,0,IF(AH637=0,(Z637*-1)+BC637+SUM(BB$4:BB636),BC637+SUM(BB$4:BB636)))</f>
        <v>-2.1316282072803006E-13</v>
      </c>
      <c r="AJ637" s="931">
        <f>IF(AND(AL637&gt;=$U$1,AL637&lt;=$U$2),IF(AM637='ESTRATTO CONTO'!$E$2,1+COUNTIF(AJ$4:AJ636,"&gt;0")+U$1015,0),0)</f>
        <v>0</v>
      </c>
      <c r="AK637" s="203">
        <f>IF(AND(OR((AK636+1)&lt;AL$1015,(AK636+1)=AL$1015),MAX(AK$4:AK636)&lt;AL$1015),AK636+1,0)</f>
        <v>0</v>
      </c>
      <c r="AL637" s="309">
        <f>VLOOKUP($AK637,ENTI!$AF$4:AG$1003,2,FALSE)</f>
        <v>0</v>
      </c>
      <c r="AM637" s="224">
        <f>VLOOKUP($AK637,ENTI!$AF$4:AH$1003,3,FALSE)</f>
        <v>0</v>
      </c>
      <c r="AN637" s="224">
        <f>VLOOKUP($AK637,ENTI!$AF$4:AI$1003,4,FALSE)</f>
        <v>0</v>
      </c>
      <c r="AO637" s="781">
        <f>VLOOKUP($AK637,ENTI!$AF$4:AJ$1003,5,FALSE)</f>
        <v>0</v>
      </c>
      <c r="AP637" s="315">
        <f>VLOOKUP($AK637,ENTI!$AF$4:AK$1003,6,FALSE)</f>
        <v>0</v>
      </c>
      <c r="AQ637" s="208">
        <f t="shared" si="124"/>
        <v>0</v>
      </c>
      <c r="AR637" s="152" t="e">
        <f t="shared" si="125"/>
        <v>#N/A</v>
      </c>
      <c r="AS637" s="1"/>
      <c r="AT637" s="88" t="str">
        <f t="shared" si="118"/>
        <v/>
      </c>
      <c r="AU637" s="1"/>
      <c r="AV637" s="175">
        <f>IF(AW637&gt;0,COUNTIF(AV$4:AV636,"&gt;0")+1,0)</f>
        <v>0</v>
      </c>
      <c r="AW637" s="164">
        <f t="shared" si="119"/>
        <v>0</v>
      </c>
      <c r="AX637" s="310">
        <f>IF($AW637=0,0,VLOOKUP(VLOOKUP($X637,$B$34:$T$38,19,FALSE),ENTI!$A$9:$B$13,2,FALSE))</f>
        <v>0</v>
      </c>
      <c r="AY637" s="310">
        <f t="shared" si="121"/>
        <v>0</v>
      </c>
      <c r="AZ637" s="316">
        <f t="shared" si="122"/>
        <v>0</v>
      </c>
      <c r="BA637" s="1"/>
      <c r="BB637" s="152">
        <f t="shared" si="123"/>
        <v>0</v>
      </c>
      <c r="BC637" s="152">
        <f ca="1">SUM(Z$4:Z637)+SUM(BB$4:BB637)+COSTI!S$6-COSTI!L$1076</f>
        <v>-31.760000000000218</v>
      </c>
      <c r="BD637" s="1"/>
    </row>
    <row r="638" spans="1:56" ht="16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435">
        <f>IF(AND(W638&gt;=$U$1,W638&lt;=$U$2),IF(X638='ESTRATTO CONTO'!$E$2,1+COUNTIF(U$4:U637,"&gt;0"),0),0)</f>
        <v>0</v>
      </c>
      <c r="V638" s="417">
        <f t="shared" si="120"/>
        <v>635</v>
      </c>
      <c r="W638" s="509"/>
      <c r="X638" s="321"/>
      <c r="Y638" s="321"/>
      <c r="Z638" s="508"/>
      <c r="AA638" s="356"/>
      <c r="AB638" s="306" t="str">
        <f t="shared" si="116"/>
        <v/>
      </c>
      <c r="AC638" s="637">
        <f t="shared" ca="1" si="126"/>
        <v>-2.1316282072803006E-13</v>
      </c>
      <c r="AD638" s="935">
        <f>IF(ISERROR(VLOOKUP(AD$2,X639:X$1003,1,FALSE)),IF(X638=AD$2,SUMIF(X$4:X638,AD$2,Z$4:Z638)+$E$9+SUM(AQ$4:AQ$1003)+SUMIF(COSTI!$X$1379:$X$1430,AD$2,COSTI!$Z$1379:$Z$1430),0),0)</f>
        <v>0</v>
      </c>
      <c r="AE638" s="26"/>
      <c r="AF638" s="856" t="e">
        <f>IF(ISERROR(VLOOKUP(AG$2,X639:X$1003,1,FALSE)),IF(X638=AG$2,SUMIF(X$4:X638,AG$2,Z$4:Z638)+VLOOKUP(AF$2,$B$1057:$F$1068,5,FALSE)+SUM(AR$4:AR$1003)+SUMIF(COSTI!$X$1379:$X$1430,AG$2,COSTI!$Z$1379:$Z$1430),0),0)</f>
        <v>#N/A</v>
      </c>
      <c r="AG638" s="859"/>
      <c r="AH638" s="27" t="str">
        <f t="shared" si="117"/>
        <v/>
      </c>
      <c r="AI638" s="152">
        <f ca="1">IF(W639&gt;0,0,IF(AH638=0,(Z638*-1)+BC638+SUM(BB$4:BB637),BC638+SUM(BB$4:BB637)))</f>
        <v>-2.1316282072803006E-13</v>
      </c>
      <c r="AJ638" s="931">
        <f>IF(AND(AL638&gt;=$U$1,AL638&lt;=$U$2),IF(AM638='ESTRATTO CONTO'!$E$2,1+COUNTIF(AJ$4:AJ637,"&gt;0")+U$1015,0),0)</f>
        <v>0</v>
      </c>
      <c r="AK638" s="203">
        <f>IF(AND(OR((AK637+1)&lt;AL$1015,(AK637+1)=AL$1015),MAX(AK$4:AK637)&lt;AL$1015),AK637+1,0)</f>
        <v>0</v>
      </c>
      <c r="AL638" s="309">
        <f>VLOOKUP($AK638,ENTI!$AF$4:AG$1003,2,FALSE)</f>
        <v>0</v>
      </c>
      <c r="AM638" s="224">
        <f>VLOOKUP($AK638,ENTI!$AF$4:AH$1003,3,FALSE)</f>
        <v>0</v>
      </c>
      <c r="AN638" s="224">
        <f>VLOOKUP($AK638,ENTI!$AF$4:AI$1003,4,FALSE)</f>
        <v>0</v>
      </c>
      <c r="AO638" s="781">
        <f>VLOOKUP($AK638,ENTI!$AF$4:AJ$1003,5,FALSE)</f>
        <v>0</v>
      </c>
      <c r="AP638" s="315">
        <f>VLOOKUP($AK638,ENTI!$AF$4:AK$1003,6,FALSE)</f>
        <v>0</v>
      </c>
      <c r="AQ638" s="208">
        <f t="shared" si="124"/>
        <v>0</v>
      </c>
      <c r="AR638" s="152" t="e">
        <f t="shared" si="125"/>
        <v>#N/A</v>
      </c>
      <c r="AS638" s="1"/>
      <c r="AT638" s="88" t="str">
        <f t="shared" si="118"/>
        <v/>
      </c>
      <c r="AU638" s="1"/>
      <c r="AV638" s="175">
        <f>IF(AW638&gt;0,COUNTIF(AV$4:AV637,"&gt;0")+1,0)</f>
        <v>0</v>
      </c>
      <c r="AW638" s="164">
        <f t="shared" si="119"/>
        <v>0</v>
      </c>
      <c r="AX638" s="310">
        <f>IF($AW638=0,0,VLOOKUP(VLOOKUP($X638,$B$34:$T$38,19,FALSE),ENTI!$A$9:$B$13,2,FALSE))</f>
        <v>0</v>
      </c>
      <c r="AY638" s="310">
        <f t="shared" si="121"/>
        <v>0</v>
      </c>
      <c r="AZ638" s="316">
        <f t="shared" si="122"/>
        <v>0</v>
      </c>
      <c r="BA638" s="1"/>
      <c r="BB638" s="152">
        <f t="shared" si="123"/>
        <v>0</v>
      </c>
      <c r="BC638" s="152">
        <f ca="1">SUM(Z$4:Z638)+SUM(BB$4:BB638)+COSTI!S$6-COSTI!L$1076</f>
        <v>-31.760000000000218</v>
      </c>
      <c r="BD638" s="1"/>
    </row>
    <row r="639" spans="1:56" ht="16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435">
        <f>IF(AND(W639&gt;=$U$1,W639&lt;=$U$2),IF(X639='ESTRATTO CONTO'!$E$2,1+COUNTIF(U$4:U638,"&gt;0"),0),0)</f>
        <v>0</v>
      </c>
      <c r="V639" s="417">
        <f t="shared" si="120"/>
        <v>636</v>
      </c>
      <c r="W639" s="509"/>
      <c r="X639" s="321"/>
      <c r="Y639" s="321"/>
      <c r="Z639" s="508"/>
      <c r="AA639" s="356"/>
      <c r="AB639" s="306" t="str">
        <f t="shared" si="116"/>
        <v/>
      </c>
      <c r="AC639" s="637">
        <f t="shared" ca="1" si="126"/>
        <v>-2.1316282072803006E-13</v>
      </c>
      <c r="AD639" s="935">
        <f>IF(ISERROR(VLOOKUP(AD$2,X640:X$1003,1,FALSE)),IF(X639=AD$2,SUMIF(X$4:X639,AD$2,Z$4:Z639)+$E$9+SUM(AQ$4:AQ$1003)+SUMIF(COSTI!$X$1379:$X$1430,AD$2,COSTI!$Z$1379:$Z$1430),0),0)</f>
        <v>0</v>
      </c>
      <c r="AE639" s="26"/>
      <c r="AF639" s="856" t="e">
        <f>IF(ISERROR(VLOOKUP(AG$2,X640:X$1003,1,FALSE)),IF(X639=AG$2,SUMIF(X$4:X639,AG$2,Z$4:Z639)+VLOOKUP(AF$2,$B$1057:$F$1068,5,FALSE)+SUM(AR$4:AR$1003)+SUMIF(COSTI!$X$1379:$X$1430,AG$2,COSTI!$Z$1379:$Z$1430),0),0)</f>
        <v>#N/A</v>
      </c>
      <c r="AG639" s="859"/>
      <c r="AH639" s="27" t="str">
        <f t="shared" si="117"/>
        <v/>
      </c>
      <c r="AI639" s="152">
        <f ca="1">IF(W640&gt;0,0,IF(AH639=0,(Z639*-1)+BC639+SUM(BB$4:BB638),BC639+SUM(BB$4:BB638)))</f>
        <v>-2.1316282072803006E-13</v>
      </c>
      <c r="AJ639" s="931">
        <f>IF(AND(AL639&gt;=$U$1,AL639&lt;=$U$2),IF(AM639='ESTRATTO CONTO'!$E$2,1+COUNTIF(AJ$4:AJ638,"&gt;0")+U$1015,0),0)</f>
        <v>0</v>
      </c>
      <c r="AK639" s="203">
        <f>IF(AND(OR((AK638+1)&lt;AL$1015,(AK638+1)=AL$1015),MAX(AK$4:AK638)&lt;AL$1015),AK638+1,0)</f>
        <v>0</v>
      </c>
      <c r="AL639" s="309">
        <f>VLOOKUP($AK639,ENTI!$AF$4:AG$1003,2,FALSE)</f>
        <v>0</v>
      </c>
      <c r="AM639" s="224">
        <f>VLOOKUP($AK639,ENTI!$AF$4:AH$1003,3,FALSE)</f>
        <v>0</v>
      </c>
      <c r="AN639" s="224">
        <f>VLOOKUP($AK639,ENTI!$AF$4:AI$1003,4,FALSE)</f>
        <v>0</v>
      </c>
      <c r="AO639" s="781">
        <f>VLOOKUP($AK639,ENTI!$AF$4:AJ$1003,5,FALSE)</f>
        <v>0</v>
      </c>
      <c r="AP639" s="315">
        <f>VLOOKUP($AK639,ENTI!$AF$4:AK$1003,6,FALSE)</f>
        <v>0</v>
      </c>
      <c r="AQ639" s="208">
        <f t="shared" si="124"/>
        <v>0</v>
      </c>
      <c r="AR639" s="152" t="e">
        <f t="shared" si="125"/>
        <v>#N/A</v>
      </c>
      <c r="AS639" s="1"/>
      <c r="AT639" s="88" t="str">
        <f t="shared" si="118"/>
        <v/>
      </c>
      <c r="AU639" s="1"/>
      <c r="AV639" s="175">
        <f>IF(AW639&gt;0,COUNTIF(AV$4:AV638,"&gt;0")+1,0)</f>
        <v>0</v>
      </c>
      <c r="AW639" s="164">
        <f t="shared" si="119"/>
        <v>0</v>
      </c>
      <c r="AX639" s="310">
        <f>IF($AW639=0,0,VLOOKUP(VLOOKUP($X639,$B$34:$T$38,19,FALSE),ENTI!$A$9:$B$13,2,FALSE))</f>
        <v>0</v>
      </c>
      <c r="AY639" s="310">
        <f t="shared" si="121"/>
        <v>0</v>
      </c>
      <c r="AZ639" s="316">
        <f t="shared" si="122"/>
        <v>0</v>
      </c>
      <c r="BA639" s="1"/>
      <c r="BB639" s="152">
        <f t="shared" si="123"/>
        <v>0</v>
      </c>
      <c r="BC639" s="152">
        <f ca="1">SUM(Z$4:Z639)+SUM(BB$4:BB639)+COSTI!S$6-COSTI!L$1076</f>
        <v>-31.760000000000218</v>
      </c>
      <c r="BD639" s="1"/>
    </row>
    <row r="640" spans="1:56" ht="16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435">
        <f>IF(AND(W640&gt;=$U$1,W640&lt;=$U$2),IF(X640='ESTRATTO CONTO'!$E$2,1+COUNTIF(U$4:U639,"&gt;0"),0),0)</f>
        <v>0</v>
      </c>
      <c r="V640" s="417">
        <f t="shared" si="120"/>
        <v>637</v>
      </c>
      <c r="W640" s="509"/>
      <c r="X640" s="321"/>
      <c r="Y640" s="321"/>
      <c r="Z640" s="508"/>
      <c r="AA640" s="356"/>
      <c r="AB640" s="306" t="str">
        <f t="shared" si="116"/>
        <v/>
      </c>
      <c r="AC640" s="637">
        <f t="shared" ca="1" si="126"/>
        <v>-2.1316282072803006E-13</v>
      </c>
      <c r="AD640" s="935">
        <f>IF(ISERROR(VLOOKUP(AD$2,X641:X$1003,1,FALSE)),IF(X640=AD$2,SUMIF(X$4:X640,AD$2,Z$4:Z640)+$E$9+SUM(AQ$4:AQ$1003)+SUMIF(COSTI!$X$1379:$X$1430,AD$2,COSTI!$Z$1379:$Z$1430),0),0)</f>
        <v>0</v>
      </c>
      <c r="AE640" s="26"/>
      <c r="AF640" s="856" t="e">
        <f>IF(ISERROR(VLOOKUP(AG$2,X641:X$1003,1,FALSE)),IF(X640=AG$2,SUMIF(X$4:X640,AG$2,Z$4:Z640)+VLOOKUP(AF$2,$B$1057:$F$1068,5,FALSE)+SUM(AR$4:AR$1003)+SUMIF(COSTI!$X$1379:$X$1430,AG$2,COSTI!$Z$1379:$Z$1430),0),0)</f>
        <v>#N/A</v>
      </c>
      <c r="AG640" s="859"/>
      <c r="AH640" s="27" t="str">
        <f t="shared" si="117"/>
        <v/>
      </c>
      <c r="AI640" s="152">
        <f ca="1">IF(W641&gt;0,0,IF(AH640=0,(Z640*-1)+BC640+SUM(BB$4:BB639),BC640+SUM(BB$4:BB639)))</f>
        <v>-2.1316282072803006E-13</v>
      </c>
      <c r="AJ640" s="931">
        <f>IF(AND(AL640&gt;=$U$1,AL640&lt;=$U$2),IF(AM640='ESTRATTO CONTO'!$E$2,1+COUNTIF(AJ$4:AJ639,"&gt;0")+U$1015,0),0)</f>
        <v>0</v>
      </c>
      <c r="AK640" s="203">
        <f>IF(AND(OR((AK639+1)&lt;AL$1015,(AK639+1)=AL$1015),MAX(AK$4:AK639)&lt;AL$1015),AK639+1,0)</f>
        <v>0</v>
      </c>
      <c r="AL640" s="309">
        <f>VLOOKUP($AK640,ENTI!$AF$4:AG$1003,2,FALSE)</f>
        <v>0</v>
      </c>
      <c r="AM640" s="224">
        <f>VLOOKUP($AK640,ENTI!$AF$4:AH$1003,3,FALSE)</f>
        <v>0</v>
      </c>
      <c r="AN640" s="224">
        <f>VLOOKUP($AK640,ENTI!$AF$4:AI$1003,4,FALSE)</f>
        <v>0</v>
      </c>
      <c r="AO640" s="781">
        <f>VLOOKUP($AK640,ENTI!$AF$4:AJ$1003,5,FALSE)</f>
        <v>0</v>
      </c>
      <c r="AP640" s="315">
        <f>VLOOKUP($AK640,ENTI!$AF$4:AK$1003,6,FALSE)</f>
        <v>0</v>
      </c>
      <c r="AQ640" s="208">
        <f t="shared" si="124"/>
        <v>0</v>
      </c>
      <c r="AR640" s="152" t="e">
        <f t="shared" si="125"/>
        <v>#N/A</v>
      </c>
      <c r="AS640" s="1"/>
      <c r="AT640" s="88" t="str">
        <f t="shared" si="118"/>
        <v/>
      </c>
      <c r="AU640" s="1"/>
      <c r="AV640" s="175">
        <f>IF(AW640&gt;0,COUNTIF(AV$4:AV639,"&gt;0")+1,0)</f>
        <v>0</v>
      </c>
      <c r="AW640" s="164">
        <f t="shared" si="119"/>
        <v>0</v>
      </c>
      <c r="AX640" s="310">
        <f>IF($AW640=0,0,VLOOKUP(VLOOKUP($X640,$B$34:$T$38,19,FALSE),ENTI!$A$9:$B$13,2,FALSE))</f>
        <v>0</v>
      </c>
      <c r="AY640" s="310">
        <f t="shared" si="121"/>
        <v>0</v>
      </c>
      <c r="AZ640" s="316">
        <f t="shared" si="122"/>
        <v>0</v>
      </c>
      <c r="BA640" s="1"/>
      <c r="BB640" s="152">
        <f t="shared" si="123"/>
        <v>0</v>
      </c>
      <c r="BC640" s="152">
        <f ca="1">SUM(Z$4:Z640)+SUM(BB$4:BB640)+COSTI!S$6-COSTI!L$1076</f>
        <v>-31.760000000000218</v>
      </c>
      <c r="BD640" s="1"/>
    </row>
    <row r="641" spans="1:56" ht="16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435">
        <f>IF(AND(W641&gt;=$U$1,W641&lt;=$U$2),IF(X641='ESTRATTO CONTO'!$E$2,1+COUNTIF(U$4:U640,"&gt;0"),0),0)</f>
        <v>0</v>
      </c>
      <c r="V641" s="417">
        <f t="shared" si="120"/>
        <v>638</v>
      </c>
      <c r="W641" s="509"/>
      <c r="X641" s="321"/>
      <c r="Y641" s="321"/>
      <c r="Z641" s="508"/>
      <c r="AA641" s="356"/>
      <c r="AB641" s="306" t="str">
        <f t="shared" si="116"/>
        <v/>
      </c>
      <c r="AC641" s="637">
        <f t="shared" ca="1" si="126"/>
        <v>-2.1316282072803006E-13</v>
      </c>
      <c r="AD641" s="935">
        <f>IF(ISERROR(VLOOKUP(AD$2,X642:X$1003,1,FALSE)),IF(X641=AD$2,SUMIF(X$4:X641,AD$2,Z$4:Z641)+$E$9+SUM(AQ$4:AQ$1003)+SUMIF(COSTI!$X$1379:$X$1430,AD$2,COSTI!$Z$1379:$Z$1430),0),0)</f>
        <v>0</v>
      </c>
      <c r="AE641" s="26"/>
      <c r="AF641" s="856" t="e">
        <f>IF(ISERROR(VLOOKUP(AG$2,X642:X$1003,1,FALSE)),IF(X641=AG$2,SUMIF(X$4:X641,AG$2,Z$4:Z641)+VLOOKUP(AF$2,$B$1057:$F$1068,5,FALSE)+SUM(AR$4:AR$1003)+SUMIF(COSTI!$X$1379:$X$1430,AG$2,COSTI!$Z$1379:$Z$1430),0),0)</f>
        <v>#N/A</v>
      </c>
      <c r="AG641" s="859"/>
      <c r="AH641" s="27" t="str">
        <f t="shared" si="117"/>
        <v/>
      </c>
      <c r="AI641" s="152">
        <f ca="1">IF(W642&gt;0,0,IF(AH641=0,(Z641*-1)+BC641+SUM(BB$4:BB640),BC641+SUM(BB$4:BB640)))</f>
        <v>-2.1316282072803006E-13</v>
      </c>
      <c r="AJ641" s="931">
        <f>IF(AND(AL641&gt;=$U$1,AL641&lt;=$U$2),IF(AM641='ESTRATTO CONTO'!$E$2,1+COUNTIF(AJ$4:AJ640,"&gt;0")+U$1015,0),0)</f>
        <v>0</v>
      </c>
      <c r="AK641" s="203">
        <f>IF(AND(OR((AK640+1)&lt;AL$1015,(AK640+1)=AL$1015),MAX(AK$4:AK640)&lt;AL$1015),AK640+1,0)</f>
        <v>0</v>
      </c>
      <c r="AL641" s="309">
        <f>VLOOKUP($AK641,ENTI!$AF$4:AG$1003,2,FALSE)</f>
        <v>0</v>
      </c>
      <c r="AM641" s="224">
        <f>VLOOKUP($AK641,ENTI!$AF$4:AH$1003,3,FALSE)</f>
        <v>0</v>
      </c>
      <c r="AN641" s="224">
        <f>VLOOKUP($AK641,ENTI!$AF$4:AI$1003,4,FALSE)</f>
        <v>0</v>
      </c>
      <c r="AO641" s="781">
        <f>VLOOKUP($AK641,ENTI!$AF$4:AJ$1003,5,FALSE)</f>
        <v>0</v>
      </c>
      <c r="AP641" s="315">
        <f>VLOOKUP($AK641,ENTI!$AF$4:AK$1003,6,FALSE)</f>
        <v>0</v>
      </c>
      <c r="AQ641" s="208">
        <f t="shared" si="124"/>
        <v>0</v>
      </c>
      <c r="AR641" s="152" t="e">
        <f t="shared" si="125"/>
        <v>#N/A</v>
      </c>
      <c r="AS641" s="1"/>
      <c r="AT641" s="88" t="str">
        <f t="shared" si="118"/>
        <v/>
      </c>
      <c r="AU641" s="1"/>
      <c r="AV641" s="175">
        <f>IF(AW641&gt;0,COUNTIF(AV$4:AV640,"&gt;0")+1,0)</f>
        <v>0</v>
      </c>
      <c r="AW641" s="164">
        <f t="shared" si="119"/>
        <v>0</v>
      </c>
      <c r="AX641" s="310">
        <f>IF($AW641=0,0,VLOOKUP(VLOOKUP($X641,$B$34:$T$38,19,FALSE),ENTI!$A$9:$B$13,2,FALSE))</f>
        <v>0</v>
      </c>
      <c r="AY641" s="310">
        <f t="shared" si="121"/>
        <v>0</v>
      </c>
      <c r="AZ641" s="316">
        <f t="shared" si="122"/>
        <v>0</v>
      </c>
      <c r="BA641" s="1"/>
      <c r="BB641" s="152">
        <f t="shared" si="123"/>
        <v>0</v>
      </c>
      <c r="BC641" s="152">
        <f ca="1">SUM(Z$4:Z641)+SUM(BB$4:BB641)+COSTI!S$6-COSTI!L$1076</f>
        <v>-31.760000000000218</v>
      </c>
      <c r="BD641" s="1"/>
    </row>
    <row r="642" spans="1:56" ht="16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435">
        <f>IF(AND(W642&gt;=$U$1,W642&lt;=$U$2),IF(X642='ESTRATTO CONTO'!$E$2,1+COUNTIF(U$4:U641,"&gt;0"),0),0)</f>
        <v>0</v>
      </c>
      <c r="V642" s="417">
        <f t="shared" si="120"/>
        <v>639</v>
      </c>
      <c r="W642" s="509"/>
      <c r="X642" s="321"/>
      <c r="Y642" s="321"/>
      <c r="Z642" s="508"/>
      <c r="AA642" s="356"/>
      <c r="AB642" s="306" t="str">
        <f t="shared" si="116"/>
        <v/>
      </c>
      <c r="AC642" s="637">
        <f t="shared" ca="1" si="126"/>
        <v>-2.1316282072803006E-13</v>
      </c>
      <c r="AD642" s="935">
        <f>IF(ISERROR(VLOOKUP(AD$2,X643:X$1003,1,FALSE)),IF(X642=AD$2,SUMIF(X$4:X642,AD$2,Z$4:Z642)+$E$9+SUM(AQ$4:AQ$1003)+SUMIF(COSTI!$X$1379:$X$1430,AD$2,COSTI!$Z$1379:$Z$1430),0),0)</f>
        <v>0</v>
      </c>
      <c r="AE642" s="26"/>
      <c r="AF642" s="856" t="e">
        <f>IF(ISERROR(VLOOKUP(AG$2,X643:X$1003,1,FALSE)),IF(X642=AG$2,SUMIF(X$4:X642,AG$2,Z$4:Z642)+VLOOKUP(AF$2,$B$1057:$F$1068,5,FALSE)+SUM(AR$4:AR$1003)+SUMIF(COSTI!$X$1379:$X$1430,AG$2,COSTI!$Z$1379:$Z$1430),0),0)</f>
        <v>#N/A</v>
      </c>
      <c r="AG642" s="859"/>
      <c r="AH642" s="27" t="str">
        <f t="shared" si="117"/>
        <v/>
      </c>
      <c r="AI642" s="152">
        <f ca="1">IF(W643&gt;0,0,IF(AH642=0,(Z642*-1)+BC642+SUM(BB$4:BB641),BC642+SUM(BB$4:BB641)))</f>
        <v>-2.1316282072803006E-13</v>
      </c>
      <c r="AJ642" s="931">
        <f>IF(AND(AL642&gt;=$U$1,AL642&lt;=$U$2),IF(AM642='ESTRATTO CONTO'!$E$2,1+COUNTIF(AJ$4:AJ641,"&gt;0")+U$1015,0),0)</f>
        <v>0</v>
      </c>
      <c r="AK642" s="203">
        <f>IF(AND(OR((AK641+1)&lt;AL$1015,(AK641+1)=AL$1015),MAX(AK$4:AK641)&lt;AL$1015),AK641+1,0)</f>
        <v>0</v>
      </c>
      <c r="AL642" s="309">
        <f>VLOOKUP($AK642,ENTI!$AF$4:AG$1003,2,FALSE)</f>
        <v>0</v>
      </c>
      <c r="AM642" s="224">
        <f>VLOOKUP($AK642,ENTI!$AF$4:AH$1003,3,FALSE)</f>
        <v>0</v>
      </c>
      <c r="AN642" s="224">
        <f>VLOOKUP($AK642,ENTI!$AF$4:AI$1003,4,FALSE)</f>
        <v>0</v>
      </c>
      <c r="AO642" s="781">
        <f>VLOOKUP($AK642,ENTI!$AF$4:AJ$1003,5,FALSE)</f>
        <v>0</v>
      </c>
      <c r="AP642" s="315">
        <f>VLOOKUP($AK642,ENTI!$AF$4:AK$1003,6,FALSE)</f>
        <v>0</v>
      </c>
      <c r="AQ642" s="208">
        <f t="shared" si="124"/>
        <v>0</v>
      </c>
      <c r="AR642" s="152" t="e">
        <f t="shared" si="125"/>
        <v>#N/A</v>
      </c>
      <c r="AS642" s="1"/>
      <c r="AT642" s="88" t="str">
        <f t="shared" si="118"/>
        <v/>
      </c>
      <c r="AU642" s="1"/>
      <c r="AV642" s="175">
        <f>IF(AW642&gt;0,COUNTIF(AV$4:AV641,"&gt;0")+1,0)</f>
        <v>0</v>
      </c>
      <c r="AW642" s="164">
        <f t="shared" si="119"/>
        <v>0</v>
      </c>
      <c r="AX642" s="310">
        <f>IF($AW642=0,0,VLOOKUP(VLOOKUP($X642,$B$34:$T$38,19,FALSE),ENTI!$A$9:$B$13,2,FALSE))</f>
        <v>0</v>
      </c>
      <c r="AY642" s="310">
        <f t="shared" si="121"/>
        <v>0</v>
      </c>
      <c r="AZ642" s="316">
        <f t="shared" si="122"/>
        <v>0</v>
      </c>
      <c r="BA642" s="1"/>
      <c r="BB642" s="152">
        <f t="shared" si="123"/>
        <v>0</v>
      </c>
      <c r="BC642" s="152">
        <f ca="1">SUM(Z$4:Z642)+SUM(BB$4:BB642)+COSTI!S$6-COSTI!L$1076</f>
        <v>-31.760000000000218</v>
      </c>
      <c r="BD642" s="1"/>
    </row>
    <row r="643" spans="1:56" ht="16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435">
        <f>IF(AND(W643&gt;=$U$1,W643&lt;=$U$2),IF(X643='ESTRATTO CONTO'!$E$2,1+COUNTIF(U$4:U642,"&gt;0"),0),0)</f>
        <v>0</v>
      </c>
      <c r="V643" s="417">
        <f t="shared" si="120"/>
        <v>640</v>
      </c>
      <c r="W643" s="509"/>
      <c r="X643" s="321"/>
      <c r="Y643" s="321"/>
      <c r="Z643" s="508"/>
      <c r="AA643" s="356"/>
      <c r="AB643" s="306" t="str">
        <f t="shared" si="116"/>
        <v/>
      </c>
      <c r="AC643" s="637">
        <f t="shared" ca="1" si="126"/>
        <v>-2.1316282072803006E-13</v>
      </c>
      <c r="AD643" s="935">
        <f>IF(ISERROR(VLOOKUP(AD$2,X644:X$1003,1,FALSE)),IF(X643=AD$2,SUMIF(X$4:X643,AD$2,Z$4:Z643)+$E$9+SUM(AQ$4:AQ$1003)+SUMIF(COSTI!$X$1379:$X$1430,AD$2,COSTI!$Z$1379:$Z$1430),0),0)</f>
        <v>0</v>
      </c>
      <c r="AE643" s="26"/>
      <c r="AF643" s="856" t="e">
        <f>IF(ISERROR(VLOOKUP(AG$2,X644:X$1003,1,FALSE)),IF(X643=AG$2,SUMIF(X$4:X643,AG$2,Z$4:Z643)+VLOOKUP(AF$2,$B$1057:$F$1068,5,FALSE)+SUM(AR$4:AR$1003)+SUMIF(COSTI!$X$1379:$X$1430,AG$2,COSTI!$Z$1379:$Z$1430),0),0)</f>
        <v>#N/A</v>
      </c>
      <c r="AG643" s="859"/>
      <c r="AH643" s="27" t="str">
        <f t="shared" si="117"/>
        <v/>
      </c>
      <c r="AI643" s="152">
        <f ca="1">IF(W644&gt;0,0,IF(AH643=0,(Z643*-1)+BC643+SUM(BB$4:BB642),BC643+SUM(BB$4:BB642)))</f>
        <v>-2.1316282072803006E-13</v>
      </c>
      <c r="AJ643" s="931">
        <f>IF(AND(AL643&gt;=$U$1,AL643&lt;=$U$2),IF(AM643='ESTRATTO CONTO'!$E$2,1+COUNTIF(AJ$4:AJ642,"&gt;0")+U$1015,0),0)</f>
        <v>0</v>
      </c>
      <c r="AK643" s="203">
        <f>IF(AND(OR((AK642+1)&lt;AL$1015,(AK642+1)=AL$1015),MAX(AK$4:AK642)&lt;AL$1015),AK642+1,0)</f>
        <v>0</v>
      </c>
      <c r="AL643" s="309">
        <f>VLOOKUP($AK643,ENTI!$AF$4:AG$1003,2,FALSE)</f>
        <v>0</v>
      </c>
      <c r="AM643" s="224">
        <f>VLOOKUP($AK643,ENTI!$AF$4:AH$1003,3,FALSE)</f>
        <v>0</v>
      </c>
      <c r="AN643" s="224">
        <f>VLOOKUP($AK643,ENTI!$AF$4:AI$1003,4,FALSE)</f>
        <v>0</v>
      </c>
      <c r="AO643" s="781">
        <f>VLOOKUP($AK643,ENTI!$AF$4:AJ$1003,5,FALSE)</f>
        <v>0</v>
      </c>
      <c r="AP643" s="315">
        <f>VLOOKUP($AK643,ENTI!$AF$4:AK$1003,6,FALSE)</f>
        <v>0</v>
      </c>
      <c r="AQ643" s="208">
        <f t="shared" si="124"/>
        <v>0</v>
      </c>
      <c r="AR643" s="152" t="e">
        <f t="shared" si="125"/>
        <v>#N/A</v>
      </c>
      <c r="AS643" s="1"/>
      <c r="AT643" s="88" t="str">
        <f t="shared" si="118"/>
        <v/>
      </c>
      <c r="AU643" s="1"/>
      <c r="AV643" s="175">
        <f>IF(AW643&gt;0,COUNTIF(AV$4:AV642,"&gt;0")+1,0)</f>
        <v>0</v>
      </c>
      <c r="AW643" s="164">
        <f t="shared" si="119"/>
        <v>0</v>
      </c>
      <c r="AX643" s="310">
        <f>IF($AW643=0,0,VLOOKUP(VLOOKUP($X643,$B$34:$T$38,19,FALSE),ENTI!$A$9:$B$13,2,FALSE))</f>
        <v>0</v>
      </c>
      <c r="AY643" s="310">
        <f t="shared" si="121"/>
        <v>0</v>
      </c>
      <c r="AZ643" s="316">
        <f t="shared" si="122"/>
        <v>0</v>
      </c>
      <c r="BA643" s="1"/>
      <c r="BB643" s="152">
        <f t="shared" si="123"/>
        <v>0</v>
      </c>
      <c r="BC643" s="152">
        <f ca="1">SUM(Z$4:Z643)+SUM(BB$4:BB643)+COSTI!S$6-COSTI!L$1076</f>
        <v>-31.760000000000218</v>
      </c>
      <c r="BD643" s="1"/>
    </row>
    <row r="644" spans="1:56" ht="16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435">
        <f>IF(AND(W644&gt;=$U$1,W644&lt;=$U$2),IF(X644='ESTRATTO CONTO'!$E$2,1+COUNTIF(U$4:U643,"&gt;0"),0),0)</f>
        <v>0</v>
      </c>
      <c r="V644" s="417">
        <f t="shared" si="120"/>
        <v>641</v>
      </c>
      <c r="W644" s="509"/>
      <c r="X644" s="321"/>
      <c r="Y644" s="321"/>
      <c r="Z644" s="508"/>
      <c r="AA644" s="356"/>
      <c r="AB644" s="306" t="str">
        <f t="shared" ref="AB644:AB707" si="127">IF(W644&gt;0,IF(AND(W644&gt;=W$1012,W644&lt;=W$1013),CONCATENATE(MONTH(W644)&amp;X644),0),"")</f>
        <v/>
      </c>
      <c r="AC644" s="637">
        <f t="shared" ca="1" si="126"/>
        <v>-2.1316282072803006E-13</v>
      </c>
      <c r="AD644" s="935">
        <f>IF(ISERROR(VLOOKUP(AD$2,X645:X$1003,1,FALSE)),IF(X644=AD$2,SUMIF(X$4:X644,AD$2,Z$4:Z644)+$E$9+SUM(AQ$4:AQ$1003)+SUMIF(COSTI!$X$1379:$X$1430,AD$2,COSTI!$Z$1379:$Z$1430),0),0)</f>
        <v>0</v>
      </c>
      <c r="AE644" s="26"/>
      <c r="AF644" s="856" t="e">
        <f>IF(ISERROR(VLOOKUP(AG$2,X645:X$1003,1,FALSE)),IF(X644=AG$2,SUMIF(X$4:X644,AG$2,Z$4:Z644)+VLOOKUP(AF$2,$B$1057:$F$1068,5,FALSE)+SUM(AR$4:AR$1003)+SUMIF(COSTI!$X$1379:$X$1430,AG$2,COSTI!$Z$1379:$Z$1430),0),0)</f>
        <v>#N/A</v>
      </c>
      <c r="AG644" s="859"/>
      <c r="AH644" s="27" t="str">
        <f t="shared" ref="AH644:AH707" si="128">IF(ISBLANK(X644),"",IF(ISERROR(VLOOKUP(X644,B$34:B$38,1,FALSE)),1,0))</f>
        <v/>
      </c>
      <c r="AI644" s="152">
        <f ca="1">IF(W645&gt;0,0,IF(AH644=0,(Z644*-1)+BC644+SUM(BB$4:BB643),BC644+SUM(BB$4:BB643)))</f>
        <v>-2.1316282072803006E-13</v>
      </c>
      <c r="AJ644" s="931">
        <f>IF(AND(AL644&gt;=$U$1,AL644&lt;=$U$2),IF(AM644='ESTRATTO CONTO'!$E$2,1+COUNTIF(AJ$4:AJ643,"&gt;0")+U$1015,0),0)</f>
        <v>0</v>
      </c>
      <c r="AK644" s="203">
        <f>IF(AND(OR((AK643+1)&lt;AL$1015,(AK643+1)=AL$1015),MAX(AK$4:AK643)&lt;AL$1015),AK643+1,0)</f>
        <v>0</v>
      </c>
      <c r="AL644" s="309">
        <f>VLOOKUP($AK644,ENTI!$AF$4:AG$1003,2,FALSE)</f>
        <v>0</v>
      </c>
      <c r="AM644" s="224">
        <f>VLOOKUP($AK644,ENTI!$AF$4:AH$1003,3,FALSE)</f>
        <v>0</v>
      </c>
      <c r="AN644" s="224">
        <f>VLOOKUP($AK644,ENTI!$AF$4:AI$1003,4,FALSE)</f>
        <v>0</v>
      </c>
      <c r="AO644" s="781">
        <f>VLOOKUP($AK644,ENTI!$AF$4:AJ$1003,5,FALSE)</f>
        <v>0</v>
      </c>
      <c r="AP644" s="315">
        <f>VLOOKUP($AK644,ENTI!$AF$4:AK$1003,6,FALSE)</f>
        <v>0</v>
      </c>
      <c r="AQ644" s="208">
        <f t="shared" si="124"/>
        <v>0</v>
      </c>
      <c r="AR644" s="152" t="e">
        <f t="shared" si="125"/>
        <v>#N/A</v>
      </c>
      <c r="AS644" s="1"/>
      <c r="AT644" s="88" t="str">
        <f t="shared" ref="AT644:AT707" si="129">IF(AL644&gt;0,IF(AND(AL644&gt;=W$1012,AL644&lt;=W$1013),CONCATENATE(MONTH(AL644)&amp;AM644),0),"")</f>
        <v/>
      </c>
      <c r="AU644" s="1"/>
      <c r="AV644" s="175">
        <f>IF(AW644&gt;0,COUNTIF(AV$4:AV643,"&gt;0")+1,0)</f>
        <v>0</v>
      </c>
      <c r="AW644" s="164">
        <f t="shared" ref="AW644:AW707" si="130">IF(ISERROR(VLOOKUP($X644,$B$34:$B$38,1,FALSE)),0,W644)</f>
        <v>0</v>
      </c>
      <c r="AX644" s="310">
        <f>IF($AW644=0,0,VLOOKUP(VLOOKUP($X644,$B$34:$T$38,19,FALSE),ENTI!$A$9:$B$13,2,FALSE))</f>
        <v>0</v>
      </c>
      <c r="AY644" s="310">
        <f t="shared" si="121"/>
        <v>0</v>
      </c>
      <c r="AZ644" s="316">
        <f t="shared" si="122"/>
        <v>0</v>
      </c>
      <c r="BA644" s="1"/>
      <c r="BB644" s="152">
        <f t="shared" si="123"/>
        <v>0</v>
      </c>
      <c r="BC644" s="152">
        <f ca="1">SUM(Z$4:Z644)+SUM(BB$4:BB644)+COSTI!S$6-COSTI!L$1076</f>
        <v>-31.760000000000218</v>
      </c>
      <c r="BD644" s="1"/>
    </row>
    <row r="645" spans="1:56" ht="16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435">
        <f>IF(AND(W645&gt;=$U$1,W645&lt;=$U$2),IF(X645='ESTRATTO CONTO'!$E$2,1+COUNTIF(U$4:U644,"&gt;0"),0),0)</f>
        <v>0</v>
      </c>
      <c r="V645" s="417">
        <f t="shared" si="120"/>
        <v>642</v>
      </c>
      <c r="W645" s="509"/>
      <c r="X645" s="321"/>
      <c r="Y645" s="321"/>
      <c r="Z645" s="508"/>
      <c r="AA645" s="356"/>
      <c r="AB645" s="306" t="str">
        <f t="shared" si="127"/>
        <v/>
      </c>
      <c r="AC645" s="637">
        <f t="shared" ca="1" si="126"/>
        <v>-2.1316282072803006E-13</v>
      </c>
      <c r="AD645" s="935">
        <f>IF(ISERROR(VLOOKUP(AD$2,X646:X$1003,1,FALSE)),IF(X645=AD$2,SUMIF(X$4:X645,AD$2,Z$4:Z645)+$E$9+SUM(AQ$4:AQ$1003)+SUMIF(COSTI!$X$1379:$X$1430,AD$2,COSTI!$Z$1379:$Z$1430),0),0)</f>
        <v>0</v>
      </c>
      <c r="AE645" s="26"/>
      <c r="AF645" s="856" t="e">
        <f>IF(ISERROR(VLOOKUP(AG$2,X646:X$1003,1,FALSE)),IF(X645=AG$2,SUMIF(X$4:X645,AG$2,Z$4:Z645)+VLOOKUP(AF$2,$B$1057:$F$1068,5,FALSE)+SUM(AR$4:AR$1003)+SUMIF(COSTI!$X$1379:$X$1430,AG$2,COSTI!$Z$1379:$Z$1430),0),0)</f>
        <v>#N/A</v>
      </c>
      <c r="AG645" s="859"/>
      <c r="AH645" s="27" t="str">
        <f t="shared" si="128"/>
        <v/>
      </c>
      <c r="AI645" s="152">
        <f ca="1">IF(W646&gt;0,0,IF(AH645=0,(Z645*-1)+BC645+SUM(BB$4:BB644),BC645+SUM(BB$4:BB644)))</f>
        <v>-2.1316282072803006E-13</v>
      </c>
      <c r="AJ645" s="931">
        <f>IF(AND(AL645&gt;=$U$1,AL645&lt;=$U$2),IF(AM645='ESTRATTO CONTO'!$E$2,1+COUNTIF(AJ$4:AJ644,"&gt;0")+U$1015,0),0)</f>
        <v>0</v>
      </c>
      <c r="AK645" s="203">
        <f>IF(AND(OR((AK644+1)&lt;AL$1015,(AK644+1)=AL$1015),MAX(AK$4:AK644)&lt;AL$1015),AK644+1,0)</f>
        <v>0</v>
      </c>
      <c r="AL645" s="309">
        <f>VLOOKUP($AK645,ENTI!$AF$4:AG$1003,2,FALSE)</f>
        <v>0</v>
      </c>
      <c r="AM645" s="224">
        <f>VLOOKUP($AK645,ENTI!$AF$4:AH$1003,3,FALSE)</f>
        <v>0</v>
      </c>
      <c r="AN645" s="224">
        <f>VLOOKUP($AK645,ENTI!$AF$4:AI$1003,4,FALSE)</f>
        <v>0</v>
      </c>
      <c r="AO645" s="781">
        <f>VLOOKUP($AK645,ENTI!$AF$4:AJ$1003,5,FALSE)</f>
        <v>0</v>
      </c>
      <c r="AP645" s="315">
        <f>VLOOKUP($AK645,ENTI!$AF$4:AK$1003,6,FALSE)</f>
        <v>0</v>
      </c>
      <c r="AQ645" s="208">
        <f t="shared" si="124"/>
        <v>0</v>
      </c>
      <c r="AR645" s="152" t="e">
        <f t="shared" si="125"/>
        <v>#N/A</v>
      </c>
      <c r="AS645" s="1"/>
      <c r="AT645" s="88" t="str">
        <f t="shared" si="129"/>
        <v/>
      </c>
      <c r="AU645" s="1"/>
      <c r="AV645" s="175">
        <f>IF(AW645&gt;0,COUNTIF(AV$4:AV644,"&gt;0")+1,0)</f>
        <v>0</v>
      </c>
      <c r="AW645" s="164">
        <f t="shared" si="130"/>
        <v>0</v>
      </c>
      <c r="AX645" s="310">
        <f>IF($AW645=0,0,VLOOKUP(VLOOKUP($X645,$B$34:$T$38,19,FALSE),ENTI!$A$9:$B$13,2,FALSE))</f>
        <v>0</v>
      </c>
      <c r="AY645" s="310">
        <f t="shared" si="121"/>
        <v>0</v>
      </c>
      <c r="AZ645" s="316">
        <f t="shared" si="122"/>
        <v>0</v>
      </c>
      <c r="BA645" s="1"/>
      <c r="BB645" s="152">
        <f t="shared" si="123"/>
        <v>0</v>
      </c>
      <c r="BC645" s="152">
        <f ca="1">SUM(Z$4:Z645)+SUM(BB$4:BB645)+COSTI!S$6-COSTI!L$1076</f>
        <v>-31.760000000000218</v>
      </c>
      <c r="BD645" s="1"/>
    </row>
    <row r="646" spans="1:56" ht="16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435">
        <f>IF(AND(W646&gt;=$U$1,W646&lt;=$U$2),IF(X646='ESTRATTO CONTO'!$E$2,1+COUNTIF(U$4:U645,"&gt;0"),0),0)</f>
        <v>0</v>
      </c>
      <c r="V646" s="417">
        <f t="shared" ref="V646:V709" si="131">V645+1</f>
        <v>643</v>
      </c>
      <c r="W646" s="509"/>
      <c r="X646" s="321"/>
      <c r="Y646" s="321"/>
      <c r="Z646" s="508"/>
      <c r="AA646" s="356"/>
      <c r="AB646" s="306" t="str">
        <f t="shared" si="127"/>
        <v/>
      </c>
      <c r="AC646" s="637">
        <f t="shared" ca="1" si="126"/>
        <v>-2.1316282072803006E-13</v>
      </c>
      <c r="AD646" s="935">
        <f>IF(ISERROR(VLOOKUP(AD$2,X647:X$1003,1,FALSE)),IF(X646=AD$2,SUMIF(X$4:X646,AD$2,Z$4:Z646)+$E$9+SUM(AQ$4:AQ$1003)+SUMIF(COSTI!$X$1379:$X$1430,AD$2,COSTI!$Z$1379:$Z$1430),0),0)</f>
        <v>0</v>
      </c>
      <c r="AE646" s="26"/>
      <c r="AF646" s="856" t="e">
        <f>IF(ISERROR(VLOOKUP(AG$2,X647:X$1003,1,FALSE)),IF(X646=AG$2,SUMIF(X$4:X646,AG$2,Z$4:Z646)+VLOOKUP(AF$2,$B$1057:$F$1068,5,FALSE)+SUM(AR$4:AR$1003)+SUMIF(COSTI!$X$1379:$X$1430,AG$2,COSTI!$Z$1379:$Z$1430),0),0)</f>
        <v>#N/A</v>
      </c>
      <c r="AG646" s="859"/>
      <c r="AH646" s="27" t="str">
        <f t="shared" si="128"/>
        <v/>
      </c>
      <c r="AI646" s="152">
        <f ca="1">IF(W647&gt;0,0,IF(AH646=0,(Z646*-1)+BC646+SUM(BB$4:BB645),BC646+SUM(BB$4:BB645)))</f>
        <v>-2.1316282072803006E-13</v>
      </c>
      <c r="AJ646" s="931">
        <f>IF(AND(AL646&gt;=$U$1,AL646&lt;=$U$2),IF(AM646='ESTRATTO CONTO'!$E$2,1+COUNTIF(AJ$4:AJ645,"&gt;0")+U$1015,0),0)</f>
        <v>0</v>
      </c>
      <c r="AK646" s="203">
        <f>IF(AND(OR((AK645+1)&lt;AL$1015,(AK645+1)=AL$1015),MAX(AK$4:AK645)&lt;AL$1015),AK645+1,0)</f>
        <v>0</v>
      </c>
      <c r="AL646" s="309">
        <f>VLOOKUP($AK646,ENTI!$AF$4:AG$1003,2,FALSE)</f>
        <v>0</v>
      </c>
      <c r="AM646" s="224">
        <f>VLOOKUP($AK646,ENTI!$AF$4:AH$1003,3,FALSE)</f>
        <v>0</v>
      </c>
      <c r="AN646" s="224">
        <f>VLOOKUP($AK646,ENTI!$AF$4:AI$1003,4,FALSE)</f>
        <v>0</v>
      </c>
      <c r="AO646" s="781">
        <f>VLOOKUP($AK646,ENTI!$AF$4:AJ$1003,5,FALSE)</f>
        <v>0</v>
      </c>
      <c r="AP646" s="315">
        <f>VLOOKUP($AK646,ENTI!$AF$4:AK$1003,6,FALSE)</f>
        <v>0</v>
      </c>
      <c r="AQ646" s="208">
        <f t="shared" si="124"/>
        <v>0</v>
      </c>
      <c r="AR646" s="152" t="e">
        <f t="shared" si="125"/>
        <v>#N/A</v>
      </c>
      <c r="AS646" s="1"/>
      <c r="AT646" s="88" t="str">
        <f t="shared" si="129"/>
        <v/>
      </c>
      <c r="AU646" s="1"/>
      <c r="AV646" s="175">
        <f>IF(AW646&gt;0,COUNTIF(AV$4:AV645,"&gt;0")+1,0)</f>
        <v>0</v>
      </c>
      <c r="AW646" s="164">
        <f t="shared" si="130"/>
        <v>0</v>
      </c>
      <c r="AX646" s="310">
        <f>IF($AW646=0,0,VLOOKUP(VLOOKUP($X646,$B$34:$T$38,19,FALSE),ENTI!$A$9:$B$13,2,FALSE))</f>
        <v>0</v>
      </c>
      <c r="AY646" s="310">
        <f t="shared" ref="AY646:AY709" si="132">IF(AW646=0,0,Y646)</f>
        <v>0</v>
      </c>
      <c r="AZ646" s="316">
        <f t="shared" ref="AZ646:AZ709" si="133">IF(AW646=0,0,Z646)</f>
        <v>0</v>
      </c>
      <c r="BA646" s="1"/>
      <c r="BB646" s="152">
        <f t="shared" ref="BB646:BB709" si="134">IF(ISERROR(VLOOKUP(X646,B$9:D$15,1,FALSE)),Z646*-1,0)</f>
        <v>0</v>
      </c>
      <c r="BC646" s="152">
        <f ca="1">SUM(Z$4:Z646)+SUM(BB$4:BB646)+COSTI!S$6-COSTI!L$1076</f>
        <v>-31.760000000000218</v>
      </c>
      <c r="BD646" s="1"/>
    </row>
    <row r="647" spans="1:56" ht="16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435">
        <f>IF(AND(W647&gt;=$U$1,W647&lt;=$U$2),IF(X647='ESTRATTO CONTO'!$E$2,1+COUNTIF(U$4:U646,"&gt;0"),0),0)</f>
        <v>0</v>
      </c>
      <c r="V647" s="417">
        <f t="shared" si="131"/>
        <v>644</v>
      </c>
      <c r="W647" s="509"/>
      <c r="X647" s="321"/>
      <c r="Y647" s="321"/>
      <c r="Z647" s="508"/>
      <c r="AA647" s="356"/>
      <c r="AB647" s="306" t="str">
        <f t="shared" si="127"/>
        <v/>
      </c>
      <c r="AC647" s="637">
        <f t="shared" ca="1" si="126"/>
        <v>-2.1316282072803006E-13</v>
      </c>
      <c r="AD647" s="935">
        <f>IF(ISERROR(VLOOKUP(AD$2,X648:X$1003,1,FALSE)),IF(X647=AD$2,SUMIF(X$4:X647,AD$2,Z$4:Z647)+$E$9+SUM(AQ$4:AQ$1003)+SUMIF(COSTI!$X$1379:$X$1430,AD$2,COSTI!$Z$1379:$Z$1430),0),0)</f>
        <v>0</v>
      </c>
      <c r="AE647" s="26"/>
      <c r="AF647" s="856" t="e">
        <f>IF(ISERROR(VLOOKUP(AG$2,X648:X$1003,1,FALSE)),IF(X647=AG$2,SUMIF(X$4:X647,AG$2,Z$4:Z647)+VLOOKUP(AF$2,$B$1057:$F$1068,5,FALSE)+SUM(AR$4:AR$1003)+SUMIF(COSTI!$X$1379:$X$1430,AG$2,COSTI!$Z$1379:$Z$1430),0),0)</f>
        <v>#N/A</v>
      </c>
      <c r="AG647" s="859"/>
      <c r="AH647" s="27" t="str">
        <f t="shared" si="128"/>
        <v/>
      </c>
      <c r="AI647" s="152">
        <f ca="1">IF(W648&gt;0,0,IF(AH647=0,(Z647*-1)+BC647+SUM(BB$4:BB646),BC647+SUM(BB$4:BB646)))</f>
        <v>-2.1316282072803006E-13</v>
      </c>
      <c r="AJ647" s="931">
        <f>IF(AND(AL647&gt;=$U$1,AL647&lt;=$U$2),IF(AM647='ESTRATTO CONTO'!$E$2,1+COUNTIF(AJ$4:AJ646,"&gt;0")+U$1015,0),0)</f>
        <v>0</v>
      </c>
      <c r="AK647" s="203">
        <f>IF(AND(OR((AK646+1)&lt;AL$1015,(AK646+1)=AL$1015),MAX(AK$4:AK646)&lt;AL$1015),AK646+1,0)</f>
        <v>0</v>
      </c>
      <c r="AL647" s="309">
        <f>VLOOKUP($AK647,ENTI!$AF$4:AG$1003,2,FALSE)</f>
        <v>0</v>
      </c>
      <c r="AM647" s="224">
        <f>VLOOKUP($AK647,ENTI!$AF$4:AH$1003,3,FALSE)</f>
        <v>0</v>
      </c>
      <c r="AN647" s="224">
        <f>VLOOKUP($AK647,ENTI!$AF$4:AI$1003,4,FALSE)</f>
        <v>0</v>
      </c>
      <c r="AO647" s="781">
        <f>VLOOKUP($AK647,ENTI!$AF$4:AJ$1003,5,FALSE)</f>
        <v>0</v>
      </c>
      <c r="AP647" s="315">
        <f>VLOOKUP($AK647,ENTI!$AF$4:AK$1003,6,FALSE)</f>
        <v>0</v>
      </c>
      <c r="AQ647" s="208">
        <f t="shared" si="124"/>
        <v>0</v>
      </c>
      <c r="AR647" s="152" t="e">
        <f t="shared" si="125"/>
        <v>#N/A</v>
      </c>
      <c r="AS647" s="1"/>
      <c r="AT647" s="88" t="str">
        <f t="shared" si="129"/>
        <v/>
      </c>
      <c r="AU647" s="1"/>
      <c r="AV647" s="175">
        <f>IF(AW647&gt;0,COUNTIF(AV$4:AV646,"&gt;0")+1,0)</f>
        <v>0</v>
      </c>
      <c r="AW647" s="164">
        <f t="shared" si="130"/>
        <v>0</v>
      </c>
      <c r="AX647" s="310">
        <f>IF($AW647=0,0,VLOOKUP(VLOOKUP($X647,$B$34:$T$38,19,FALSE),ENTI!$A$9:$B$13,2,FALSE))</f>
        <v>0</v>
      </c>
      <c r="AY647" s="310">
        <f t="shared" si="132"/>
        <v>0</v>
      </c>
      <c r="AZ647" s="316">
        <f t="shared" si="133"/>
        <v>0</v>
      </c>
      <c r="BA647" s="1"/>
      <c r="BB647" s="152">
        <f t="shared" si="134"/>
        <v>0</v>
      </c>
      <c r="BC647" s="152">
        <f ca="1">SUM(Z$4:Z647)+SUM(BB$4:BB647)+COSTI!S$6-COSTI!L$1076</f>
        <v>-31.760000000000218</v>
      </c>
      <c r="BD647" s="1"/>
    </row>
    <row r="648" spans="1:56" ht="16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435">
        <f>IF(AND(W648&gt;=$U$1,W648&lt;=$U$2),IF(X648='ESTRATTO CONTO'!$E$2,1+COUNTIF(U$4:U647,"&gt;0"),0),0)</f>
        <v>0</v>
      </c>
      <c r="V648" s="417">
        <f t="shared" si="131"/>
        <v>645</v>
      </c>
      <c r="W648" s="509"/>
      <c r="X648" s="321"/>
      <c r="Y648" s="321"/>
      <c r="Z648" s="508"/>
      <c r="AA648" s="356"/>
      <c r="AB648" s="306" t="str">
        <f t="shared" si="127"/>
        <v/>
      </c>
      <c r="AC648" s="637">
        <f t="shared" ca="1" si="126"/>
        <v>-2.1316282072803006E-13</v>
      </c>
      <c r="AD648" s="935">
        <f>IF(ISERROR(VLOOKUP(AD$2,X649:X$1003,1,FALSE)),IF(X648=AD$2,SUMIF(X$4:X648,AD$2,Z$4:Z648)+$E$9+SUM(AQ$4:AQ$1003)+SUMIF(COSTI!$X$1379:$X$1430,AD$2,COSTI!$Z$1379:$Z$1430),0),0)</f>
        <v>0</v>
      </c>
      <c r="AE648" s="26"/>
      <c r="AF648" s="856" t="e">
        <f>IF(ISERROR(VLOOKUP(AG$2,X649:X$1003,1,FALSE)),IF(X648=AG$2,SUMIF(X$4:X648,AG$2,Z$4:Z648)+VLOOKUP(AF$2,$B$1057:$F$1068,5,FALSE)+SUM(AR$4:AR$1003)+SUMIF(COSTI!$X$1379:$X$1430,AG$2,COSTI!$Z$1379:$Z$1430),0),0)</f>
        <v>#N/A</v>
      </c>
      <c r="AG648" s="859"/>
      <c r="AH648" s="27" t="str">
        <f t="shared" si="128"/>
        <v/>
      </c>
      <c r="AI648" s="152">
        <f ca="1">IF(W649&gt;0,0,IF(AH648=0,(Z648*-1)+BC648+SUM(BB$4:BB647),BC648+SUM(BB$4:BB647)))</f>
        <v>-2.1316282072803006E-13</v>
      </c>
      <c r="AJ648" s="931">
        <f>IF(AND(AL648&gt;=$U$1,AL648&lt;=$U$2),IF(AM648='ESTRATTO CONTO'!$E$2,1+COUNTIF(AJ$4:AJ647,"&gt;0")+U$1015,0),0)</f>
        <v>0</v>
      </c>
      <c r="AK648" s="203">
        <f>IF(AND(OR((AK647+1)&lt;AL$1015,(AK647+1)=AL$1015),MAX(AK$4:AK647)&lt;AL$1015),AK647+1,0)</f>
        <v>0</v>
      </c>
      <c r="AL648" s="309">
        <f>VLOOKUP($AK648,ENTI!$AF$4:AG$1003,2,FALSE)</f>
        <v>0</v>
      </c>
      <c r="AM648" s="224">
        <f>VLOOKUP($AK648,ENTI!$AF$4:AH$1003,3,FALSE)</f>
        <v>0</v>
      </c>
      <c r="AN648" s="224">
        <f>VLOOKUP($AK648,ENTI!$AF$4:AI$1003,4,FALSE)</f>
        <v>0</v>
      </c>
      <c r="AO648" s="781">
        <f>VLOOKUP($AK648,ENTI!$AF$4:AJ$1003,5,FALSE)</f>
        <v>0</v>
      </c>
      <c r="AP648" s="315">
        <f>VLOOKUP($AK648,ENTI!$AF$4:AK$1003,6,FALSE)</f>
        <v>0</v>
      </c>
      <c r="AQ648" s="208">
        <f t="shared" si="124"/>
        <v>0</v>
      </c>
      <c r="AR648" s="152" t="e">
        <f t="shared" si="125"/>
        <v>#N/A</v>
      </c>
      <c r="AS648" s="1"/>
      <c r="AT648" s="88" t="str">
        <f t="shared" si="129"/>
        <v/>
      </c>
      <c r="AU648" s="1"/>
      <c r="AV648" s="175">
        <f>IF(AW648&gt;0,COUNTIF(AV$4:AV647,"&gt;0")+1,0)</f>
        <v>0</v>
      </c>
      <c r="AW648" s="164">
        <f t="shared" si="130"/>
        <v>0</v>
      </c>
      <c r="AX648" s="310">
        <f>IF($AW648=0,0,VLOOKUP(VLOOKUP($X648,$B$34:$T$38,19,FALSE),ENTI!$A$9:$B$13,2,FALSE))</f>
        <v>0</v>
      </c>
      <c r="AY648" s="310">
        <f t="shared" si="132"/>
        <v>0</v>
      </c>
      <c r="AZ648" s="316">
        <f t="shared" si="133"/>
        <v>0</v>
      </c>
      <c r="BA648" s="1"/>
      <c r="BB648" s="152">
        <f t="shared" si="134"/>
        <v>0</v>
      </c>
      <c r="BC648" s="152">
        <f ca="1">SUM(Z$4:Z648)+SUM(BB$4:BB648)+COSTI!S$6-COSTI!L$1076</f>
        <v>-31.760000000000218</v>
      </c>
      <c r="BD648" s="1"/>
    </row>
    <row r="649" spans="1:56" ht="16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435">
        <f>IF(AND(W649&gt;=$U$1,W649&lt;=$U$2),IF(X649='ESTRATTO CONTO'!$E$2,1+COUNTIF(U$4:U648,"&gt;0"),0),0)</f>
        <v>0</v>
      </c>
      <c r="V649" s="417">
        <f t="shared" si="131"/>
        <v>646</v>
      </c>
      <c r="W649" s="509"/>
      <c r="X649" s="321"/>
      <c r="Y649" s="321"/>
      <c r="Z649" s="508"/>
      <c r="AA649" s="356"/>
      <c r="AB649" s="306" t="str">
        <f t="shared" si="127"/>
        <v/>
      </c>
      <c r="AC649" s="637">
        <f t="shared" ca="1" si="126"/>
        <v>-2.1316282072803006E-13</v>
      </c>
      <c r="AD649" s="935">
        <f>IF(ISERROR(VLOOKUP(AD$2,X650:X$1003,1,FALSE)),IF(X649=AD$2,SUMIF(X$4:X649,AD$2,Z$4:Z649)+$E$9+SUM(AQ$4:AQ$1003)+SUMIF(COSTI!$X$1379:$X$1430,AD$2,COSTI!$Z$1379:$Z$1430),0),0)</f>
        <v>0</v>
      </c>
      <c r="AE649" s="26"/>
      <c r="AF649" s="856" t="e">
        <f>IF(ISERROR(VLOOKUP(AG$2,X650:X$1003,1,FALSE)),IF(X649=AG$2,SUMIF(X$4:X649,AG$2,Z$4:Z649)+VLOOKUP(AF$2,$B$1057:$F$1068,5,FALSE)+SUM(AR$4:AR$1003)+SUMIF(COSTI!$X$1379:$X$1430,AG$2,COSTI!$Z$1379:$Z$1430),0),0)</f>
        <v>#N/A</v>
      </c>
      <c r="AG649" s="859"/>
      <c r="AH649" s="27" t="str">
        <f t="shared" si="128"/>
        <v/>
      </c>
      <c r="AI649" s="152">
        <f ca="1">IF(W650&gt;0,0,IF(AH649=0,(Z649*-1)+BC649+SUM(BB$4:BB648),BC649+SUM(BB$4:BB648)))</f>
        <v>-2.1316282072803006E-13</v>
      </c>
      <c r="AJ649" s="931">
        <f>IF(AND(AL649&gt;=$U$1,AL649&lt;=$U$2),IF(AM649='ESTRATTO CONTO'!$E$2,1+COUNTIF(AJ$4:AJ648,"&gt;0")+U$1015,0),0)</f>
        <v>0</v>
      </c>
      <c r="AK649" s="203">
        <f>IF(AND(OR((AK648+1)&lt;AL$1015,(AK648+1)=AL$1015),MAX(AK$4:AK648)&lt;AL$1015),AK648+1,0)</f>
        <v>0</v>
      </c>
      <c r="AL649" s="309">
        <f>VLOOKUP($AK649,ENTI!$AF$4:AG$1003,2,FALSE)</f>
        <v>0</v>
      </c>
      <c r="AM649" s="224">
        <f>VLOOKUP($AK649,ENTI!$AF$4:AH$1003,3,FALSE)</f>
        <v>0</v>
      </c>
      <c r="AN649" s="224">
        <f>VLOOKUP($AK649,ENTI!$AF$4:AI$1003,4,FALSE)</f>
        <v>0</v>
      </c>
      <c r="AO649" s="781">
        <f>VLOOKUP($AK649,ENTI!$AF$4:AJ$1003,5,FALSE)</f>
        <v>0</v>
      </c>
      <c r="AP649" s="315">
        <f>VLOOKUP($AK649,ENTI!$AF$4:AK$1003,6,FALSE)</f>
        <v>0</v>
      </c>
      <c r="AQ649" s="208">
        <f t="shared" si="124"/>
        <v>0</v>
      </c>
      <c r="AR649" s="152" t="e">
        <f t="shared" si="125"/>
        <v>#N/A</v>
      </c>
      <c r="AS649" s="1"/>
      <c r="AT649" s="88" t="str">
        <f t="shared" si="129"/>
        <v/>
      </c>
      <c r="AU649" s="1"/>
      <c r="AV649" s="175">
        <f>IF(AW649&gt;0,COUNTIF(AV$4:AV648,"&gt;0")+1,0)</f>
        <v>0</v>
      </c>
      <c r="AW649" s="164">
        <f t="shared" si="130"/>
        <v>0</v>
      </c>
      <c r="AX649" s="310">
        <f>IF($AW649=0,0,VLOOKUP(VLOOKUP($X649,$B$34:$T$38,19,FALSE),ENTI!$A$9:$B$13,2,FALSE))</f>
        <v>0</v>
      </c>
      <c r="AY649" s="310">
        <f t="shared" si="132"/>
        <v>0</v>
      </c>
      <c r="AZ649" s="316">
        <f t="shared" si="133"/>
        <v>0</v>
      </c>
      <c r="BA649" s="1"/>
      <c r="BB649" s="152">
        <f t="shared" si="134"/>
        <v>0</v>
      </c>
      <c r="BC649" s="152">
        <f ca="1">SUM(Z$4:Z649)+SUM(BB$4:BB649)+COSTI!S$6-COSTI!L$1076</f>
        <v>-31.760000000000218</v>
      </c>
      <c r="BD649" s="1"/>
    </row>
    <row r="650" spans="1:56" ht="16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435">
        <f>IF(AND(W650&gt;=$U$1,W650&lt;=$U$2),IF(X650='ESTRATTO CONTO'!$E$2,1+COUNTIF(U$4:U649,"&gt;0"),0),0)</f>
        <v>0</v>
      </c>
      <c r="V650" s="417">
        <f t="shared" si="131"/>
        <v>647</v>
      </c>
      <c r="W650" s="509"/>
      <c r="X650" s="321"/>
      <c r="Y650" s="321"/>
      <c r="Z650" s="508"/>
      <c r="AA650" s="356"/>
      <c r="AB650" s="306" t="str">
        <f t="shared" si="127"/>
        <v/>
      </c>
      <c r="AC650" s="637">
        <f t="shared" ca="1" si="126"/>
        <v>-2.1316282072803006E-13</v>
      </c>
      <c r="AD650" s="935">
        <f>IF(ISERROR(VLOOKUP(AD$2,X651:X$1003,1,FALSE)),IF(X650=AD$2,SUMIF(X$4:X650,AD$2,Z$4:Z650)+$E$9+SUM(AQ$4:AQ$1003)+SUMIF(COSTI!$X$1379:$X$1430,AD$2,COSTI!$Z$1379:$Z$1430),0),0)</f>
        <v>0</v>
      </c>
      <c r="AE650" s="26"/>
      <c r="AF650" s="856" t="e">
        <f>IF(ISERROR(VLOOKUP(AG$2,X651:X$1003,1,FALSE)),IF(X650=AG$2,SUMIF(X$4:X650,AG$2,Z$4:Z650)+VLOOKUP(AF$2,$B$1057:$F$1068,5,FALSE)+SUM(AR$4:AR$1003)+SUMIF(COSTI!$X$1379:$X$1430,AG$2,COSTI!$Z$1379:$Z$1430),0),0)</f>
        <v>#N/A</v>
      </c>
      <c r="AG650" s="859"/>
      <c r="AH650" s="27" t="str">
        <f t="shared" si="128"/>
        <v/>
      </c>
      <c r="AI650" s="152">
        <f ca="1">IF(W651&gt;0,0,IF(AH650=0,(Z650*-1)+BC650+SUM(BB$4:BB649),BC650+SUM(BB$4:BB649)))</f>
        <v>-2.1316282072803006E-13</v>
      </c>
      <c r="AJ650" s="931">
        <f>IF(AND(AL650&gt;=$U$1,AL650&lt;=$U$2),IF(AM650='ESTRATTO CONTO'!$E$2,1+COUNTIF(AJ$4:AJ649,"&gt;0")+U$1015,0),0)</f>
        <v>0</v>
      </c>
      <c r="AK650" s="203">
        <f>IF(AND(OR((AK649+1)&lt;AL$1015,(AK649+1)=AL$1015),MAX(AK$4:AK649)&lt;AL$1015),AK649+1,0)</f>
        <v>0</v>
      </c>
      <c r="AL650" s="309">
        <f>VLOOKUP($AK650,ENTI!$AF$4:AG$1003,2,FALSE)</f>
        <v>0</v>
      </c>
      <c r="AM650" s="224">
        <f>VLOOKUP($AK650,ENTI!$AF$4:AH$1003,3,FALSE)</f>
        <v>0</v>
      </c>
      <c r="AN650" s="224">
        <f>VLOOKUP($AK650,ENTI!$AF$4:AI$1003,4,FALSE)</f>
        <v>0</v>
      </c>
      <c r="AO650" s="781">
        <f>VLOOKUP($AK650,ENTI!$AF$4:AJ$1003,5,FALSE)</f>
        <v>0</v>
      </c>
      <c r="AP650" s="315">
        <f>VLOOKUP($AK650,ENTI!$AF$4:AK$1003,6,FALSE)</f>
        <v>0</v>
      </c>
      <c r="AQ650" s="208">
        <f t="shared" si="124"/>
        <v>0</v>
      </c>
      <c r="AR650" s="152" t="e">
        <f t="shared" si="125"/>
        <v>#N/A</v>
      </c>
      <c r="AS650" s="1"/>
      <c r="AT650" s="88" t="str">
        <f t="shared" si="129"/>
        <v/>
      </c>
      <c r="AU650" s="1"/>
      <c r="AV650" s="175">
        <f>IF(AW650&gt;0,COUNTIF(AV$4:AV649,"&gt;0")+1,0)</f>
        <v>0</v>
      </c>
      <c r="AW650" s="164">
        <f t="shared" si="130"/>
        <v>0</v>
      </c>
      <c r="AX650" s="310">
        <f>IF($AW650=0,0,VLOOKUP(VLOOKUP($X650,$B$34:$T$38,19,FALSE),ENTI!$A$9:$B$13,2,FALSE))</f>
        <v>0</v>
      </c>
      <c r="AY650" s="310">
        <f t="shared" si="132"/>
        <v>0</v>
      </c>
      <c r="AZ650" s="316">
        <f t="shared" si="133"/>
        <v>0</v>
      </c>
      <c r="BA650" s="1"/>
      <c r="BB650" s="152">
        <f t="shared" si="134"/>
        <v>0</v>
      </c>
      <c r="BC650" s="152">
        <f ca="1">SUM(Z$4:Z650)+SUM(BB$4:BB650)+COSTI!S$6-COSTI!L$1076</f>
        <v>-31.760000000000218</v>
      </c>
      <c r="BD650" s="1"/>
    </row>
    <row r="651" spans="1:56" ht="16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435">
        <f>IF(AND(W651&gt;=$U$1,W651&lt;=$U$2),IF(X651='ESTRATTO CONTO'!$E$2,1+COUNTIF(U$4:U650,"&gt;0"),0),0)</f>
        <v>0</v>
      </c>
      <c r="V651" s="417">
        <f t="shared" si="131"/>
        <v>648</v>
      </c>
      <c r="W651" s="509"/>
      <c r="X651" s="321"/>
      <c r="Y651" s="321"/>
      <c r="Z651" s="508"/>
      <c r="AA651" s="356"/>
      <c r="AB651" s="306" t="str">
        <f t="shared" si="127"/>
        <v/>
      </c>
      <c r="AC651" s="637">
        <f t="shared" ca="1" si="126"/>
        <v>-2.1316282072803006E-13</v>
      </c>
      <c r="AD651" s="935">
        <f>IF(ISERROR(VLOOKUP(AD$2,X652:X$1003,1,FALSE)),IF(X651=AD$2,SUMIF(X$4:X651,AD$2,Z$4:Z651)+$E$9+SUM(AQ$4:AQ$1003)+SUMIF(COSTI!$X$1379:$X$1430,AD$2,COSTI!$Z$1379:$Z$1430),0),0)</f>
        <v>0</v>
      </c>
      <c r="AE651" s="26"/>
      <c r="AF651" s="856" t="e">
        <f>IF(ISERROR(VLOOKUP(AG$2,X652:X$1003,1,FALSE)),IF(X651=AG$2,SUMIF(X$4:X651,AG$2,Z$4:Z651)+VLOOKUP(AF$2,$B$1057:$F$1068,5,FALSE)+SUM(AR$4:AR$1003)+SUMIF(COSTI!$X$1379:$X$1430,AG$2,COSTI!$Z$1379:$Z$1430),0),0)</f>
        <v>#N/A</v>
      </c>
      <c r="AG651" s="859"/>
      <c r="AH651" s="27" t="str">
        <f t="shared" si="128"/>
        <v/>
      </c>
      <c r="AI651" s="152">
        <f ca="1">IF(W652&gt;0,0,IF(AH651=0,(Z651*-1)+BC651+SUM(BB$4:BB650),BC651+SUM(BB$4:BB650)))</f>
        <v>-2.1316282072803006E-13</v>
      </c>
      <c r="AJ651" s="931">
        <f>IF(AND(AL651&gt;=$U$1,AL651&lt;=$U$2),IF(AM651='ESTRATTO CONTO'!$E$2,1+COUNTIF(AJ$4:AJ650,"&gt;0")+U$1015,0),0)</f>
        <v>0</v>
      </c>
      <c r="AK651" s="203">
        <f>IF(AND(OR((AK650+1)&lt;AL$1015,(AK650+1)=AL$1015),MAX(AK$4:AK650)&lt;AL$1015),AK650+1,0)</f>
        <v>0</v>
      </c>
      <c r="AL651" s="309">
        <f>VLOOKUP($AK651,ENTI!$AF$4:AG$1003,2,FALSE)</f>
        <v>0</v>
      </c>
      <c r="AM651" s="224">
        <f>VLOOKUP($AK651,ENTI!$AF$4:AH$1003,3,FALSE)</f>
        <v>0</v>
      </c>
      <c r="AN651" s="224">
        <f>VLOOKUP($AK651,ENTI!$AF$4:AI$1003,4,FALSE)</f>
        <v>0</v>
      </c>
      <c r="AO651" s="781">
        <f>VLOOKUP($AK651,ENTI!$AF$4:AJ$1003,5,FALSE)</f>
        <v>0</v>
      </c>
      <c r="AP651" s="315">
        <f>VLOOKUP($AK651,ENTI!$AF$4:AK$1003,6,FALSE)</f>
        <v>0</v>
      </c>
      <c r="AQ651" s="208">
        <f t="shared" si="124"/>
        <v>0</v>
      </c>
      <c r="AR651" s="152" t="e">
        <f t="shared" si="125"/>
        <v>#N/A</v>
      </c>
      <c r="AS651" s="1"/>
      <c r="AT651" s="88" t="str">
        <f t="shared" si="129"/>
        <v/>
      </c>
      <c r="AU651" s="1"/>
      <c r="AV651" s="175">
        <f>IF(AW651&gt;0,COUNTIF(AV$4:AV650,"&gt;0")+1,0)</f>
        <v>0</v>
      </c>
      <c r="AW651" s="164">
        <f t="shared" si="130"/>
        <v>0</v>
      </c>
      <c r="AX651" s="310">
        <f>IF($AW651=0,0,VLOOKUP(VLOOKUP($X651,$B$34:$T$38,19,FALSE),ENTI!$A$9:$B$13,2,FALSE))</f>
        <v>0</v>
      </c>
      <c r="AY651" s="310">
        <f t="shared" si="132"/>
        <v>0</v>
      </c>
      <c r="AZ651" s="316">
        <f t="shared" si="133"/>
        <v>0</v>
      </c>
      <c r="BA651" s="1"/>
      <c r="BB651" s="152">
        <f t="shared" si="134"/>
        <v>0</v>
      </c>
      <c r="BC651" s="152">
        <f ca="1">SUM(Z$4:Z651)+SUM(BB$4:BB651)+COSTI!S$6-COSTI!L$1076</f>
        <v>-31.760000000000218</v>
      </c>
      <c r="BD651" s="1"/>
    </row>
    <row r="652" spans="1:56" ht="16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435">
        <f>IF(AND(W652&gt;=$U$1,W652&lt;=$U$2),IF(X652='ESTRATTO CONTO'!$E$2,1+COUNTIF(U$4:U651,"&gt;0"),0),0)</f>
        <v>0</v>
      </c>
      <c r="V652" s="417">
        <f t="shared" si="131"/>
        <v>649</v>
      </c>
      <c r="W652" s="509"/>
      <c r="X652" s="321"/>
      <c r="Y652" s="321"/>
      <c r="Z652" s="508"/>
      <c r="AA652" s="356"/>
      <c r="AB652" s="306" t="str">
        <f t="shared" si="127"/>
        <v/>
      </c>
      <c r="AC652" s="637">
        <f t="shared" ca="1" si="126"/>
        <v>-2.1316282072803006E-13</v>
      </c>
      <c r="AD652" s="935">
        <f>IF(ISERROR(VLOOKUP(AD$2,X653:X$1003,1,FALSE)),IF(X652=AD$2,SUMIF(X$4:X652,AD$2,Z$4:Z652)+$E$9+SUM(AQ$4:AQ$1003)+SUMIF(COSTI!$X$1379:$X$1430,AD$2,COSTI!$Z$1379:$Z$1430),0),0)</f>
        <v>0</v>
      </c>
      <c r="AE652" s="26"/>
      <c r="AF652" s="856" t="e">
        <f>IF(ISERROR(VLOOKUP(AG$2,X653:X$1003,1,FALSE)),IF(X652=AG$2,SUMIF(X$4:X652,AG$2,Z$4:Z652)+VLOOKUP(AF$2,$B$1057:$F$1068,5,FALSE)+SUM(AR$4:AR$1003)+SUMIF(COSTI!$X$1379:$X$1430,AG$2,COSTI!$Z$1379:$Z$1430),0),0)</f>
        <v>#N/A</v>
      </c>
      <c r="AG652" s="859"/>
      <c r="AH652" s="27" t="str">
        <f t="shared" si="128"/>
        <v/>
      </c>
      <c r="AI652" s="152">
        <f ca="1">IF(W653&gt;0,0,IF(AH652=0,(Z652*-1)+BC652+SUM(BB$4:BB651),BC652+SUM(BB$4:BB651)))</f>
        <v>-2.1316282072803006E-13</v>
      </c>
      <c r="AJ652" s="931">
        <f>IF(AND(AL652&gt;=$U$1,AL652&lt;=$U$2),IF(AM652='ESTRATTO CONTO'!$E$2,1+COUNTIF(AJ$4:AJ651,"&gt;0")+U$1015,0),0)</f>
        <v>0</v>
      </c>
      <c r="AK652" s="203">
        <f>IF(AND(OR((AK651+1)&lt;AL$1015,(AK651+1)=AL$1015),MAX(AK$4:AK651)&lt;AL$1015),AK651+1,0)</f>
        <v>0</v>
      </c>
      <c r="AL652" s="309">
        <f>VLOOKUP($AK652,ENTI!$AF$4:AG$1003,2,FALSE)</f>
        <v>0</v>
      </c>
      <c r="AM652" s="224">
        <f>VLOOKUP($AK652,ENTI!$AF$4:AH$1003,3,FALSE)</f>
        <v>0</v>
      </c>
      <c r="AN652" s="224">
        <f>VLOOKUP($AK652,ENTI!$AF$4:AI$1003,4,FALSE)</f>
        <v>0</v>
      </c>
      <c r="AO652" s="781">
        <f>VLOOKUP($AK652,ENTI!$AF$4:AJ$1003,5,FALSE)</f>
        <v>0</v>
      </c>
      <c r="AP652" s="315">
        <f>VLOOKUP($AK652,ENTI!$AF$4:AK$1003,6,FALSE)</f>
        <v>0</v>
      </c>
      <c r="AQ652" s="208">
        <f t="shared" si="124"/>
        <v>0</v>
      </c>
      <c r="AR652" s="152" t="e">
        <f t="shared" si="125"/>
        <v>#N/A</v>
      </c>
      <c r="AS652" s="1"/>
      <c r="AT652" s="88" t="str">
        <f t="shared" si="129"/>
        <v/>
      </c>
      <c r="AU652" s="1"/>
      <c r="AV652" s="175">
        <f>IF(AW652&gt;0,COUNTIF(AV$4:AV651,"&gt;0")+1,0)</f>
        <v>0</v>
      </c>
      <c r="AW652" s="164">
        <f t="shared" si="130"/>
        <v>0</v>
      </c>
      <c r="AX652" s="310">
        <f>IF($AW652=0,0,VLOOKUP(VLOOKUP($X652,$B$34:$T$38,19,FALSE),ENTI!$A$9:$B$13,2,FALSE))</f>
        <v>0</v>
      </c>
      <c r="AY652" s="310">
        <f t="shared" si="132"/>
        <v>0</v>
      </c>
      <c r="AZ652" s="316">
        <f t="shared" si="133"/>
        <v>0</v>
      </c>
      <c r="BA652" s="1"/>
      <c r="BB652" s="152">
        <f t="shared" si="134"/>
        <v>0</v>
      </c>
      <c r="BC652" s="152">
        <f ca="1">SUM(Z$4:Z652)+SUM(BB$4:BB652)+COSTI!S$6-COSTI!L$1076</f>
        <v>-31.760000000000218</v>
      </c>
      <c r="BD652" s="1"/>
    </row>
    <row r="653" spans="1:56" ht="16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435">
        <f>IF(AND(W653&gt;=$U$1,W653&lt;=$U$2),IF(X653='ESTRATTO CONTO'!$E$2,1+COUNTIF(U$4:U652,"&gt;0"),0),0)</f>
        <v>0</v>
      </c>
      <c r="V653" s="417">
        <f t="shared" si="131"/>
        <v>650</v>
      </c>
      <c r="W653" s="509"/>
      <c r="X653" s="321"/>
      <c r="Y653" s="321"/>
      <c r="Z653" s="508"/>
      <c r="AA653" s="356"/>
      <c r="AB653" s="306" t="str">
        <f t="shared" si="127"/>
        <v/>
      </c>
      <c r="AC653" s="637">
        <f t="shared" ca="1" si="126"/>
        <v>-2.1316282072803006E-13</v>
      </c>
      <c r="AD653" s="935">
        <f>IF(ISERROR(VLOOKUP(AD$2,X654:X$1003,1,FALSE)),IF(X653=AD$2,SUMIF(X$4:X653,AD$2,Z$4:Z653)+$E$9+SUM(AQ$4:AQ$1003)+SUMIF(COSTI!$X$1379:$X$1430,AD$2,COSTI!$Z$1379:$Z$1430),0),0)</f>
        <v>0</v>
      </c>
      <c r="AE653" s="26"/>
      <c r="AF653" s="856" t="e">
        <f>IF(ISERROR(VLOOKUP(AG$2,X654:X$1003,1,FALSE)),IF(X653=AG$2,SUMIF(X$4:X653,AG$2,Z$4:Z653)+VLOOKUP(AF$2,$B$1057:$F$1068,5,FALSE)+SUM(AR$4:AR$1003)+SUMIF(COSTI!$X$1379:$X$1430,AG$2,COSTI!$Z$1379:$Z$1430),0),0)</f>
        <v>#N/A</v>
      </c>
      <c r="AG653" s="859"/>
      <c r="AH653" s="27" t="str">
        <f t="shared" si="128"/>
        <v/>
      </c>
      <c r="AI653" s="152">
        <f ca="1">IF(W654&gt;0,0,IF(AH653=0,(Z653*-1)+BC653+SUM(BB$4:BB652),BC653+SUM(BB$4:BB652)))</f>
        <v>-2.1316282072803006E-13</v>
      </c>
      <c r="AJ653" s="931">
        <f>IF(AND(AL653&gt;=$U$1,AL653&lt;=$U$2),IF(AM653='ESTRATTO CONTO'!$E$2,1+COUNTIF(AJ$4:AJ652,"&gt;0")+U$1015,0),0)</f>
        <v>0</v>
      </c>
      <c r="AK653" s="203">
        <f>IF(AND(OR((AK652+1)&lt;AL$1015,(AK652+1)=AL$1015),MAX(AK$4:AK652)&lt;AL$1015),AK652+1,0)</f>
        <v>0</v>
      </c>
      <c r="AL653" s="309">
        <f>VLOOKUP($AK653,ENTI!$AF$4:AG$1003,2,FALSE)</f>
        <v>0</v>
      </c>
      <c r="AM653" s="224">
        <f>VLOOKUP($AK653,ENTI!$AF$4:AH$1003,3,FALSE)</f>
        <v>0</v>
      </c>
      <c r="AN653" s="224">
        <f>VLOOKUP($AK653,ENTI!$AF$4:AI$1003,4,FALSE)</f>
        <v>0</v>
      </c>
      <c r="AO653" s="781">
        <f>VLOOKUP($AK653,ENTI!$AF$4:AJ$1003,5,FALSE)</f>
        <v>0</v>
      </c>
      <c r="AP653" s="315">
        <f>VLOOKUP($AK653,ENTI!$AF$4:AK$1003,6,FALSE)</f>
        <v>0</v>
      </c>
      <c r="AQ653" s="208">
        <f t="shared" si="124"/>
        <v>0</v>
      </c>
      <c r="AR653" s="152" t="e">
        <f t="shared" si="125"/>
        <v>#N/A</v>
      </c>
      <c r="AS653" s="1"/>
      <c r="AT653" s="88" t="str">
        <f t="shared" si="129"/>
        <v/>
      </c>
      <c r="AU653" s="1"/>
      <c r="AV653" s="175">
        <f>IF(AW653&gt;0,COUNTIF(AV$4:AV652,"&gt;0")+1,0)</f>
        <v>0</v>
      </c>
      <c r="AW653" s="164">
        <f t="shared" si="130"/>
        <v>0</v>
      </c>
      <c r="AX653" s="310">
        <f>IF($AW653=0,0,VLOOKUP(VLOOKUP($X653,$B$34:$T$38,19,FALSE),ENTI!$A$9:$B$13,2,FALSE))</f>
        <v>0</v>
      </c>
      <c r="AY653" s="310">
        <f t="shared" si="132"/>
        <v>0</v>
      </c>
      <c r="AZ653" s="316">
        <f t="shared" si="133"/>
        <v>0</v>
      </c>
      <c r="BA653" s="1"/>
      <c r="BB653" s="152">
        <f t="shared" si="134"/>
        <v>0</v>
      </c>
      <c r="BC653" s="152">
        <f ca="1">SUM(Z$4:Z653)+SUM(BB$4:BB653)+COSTI!S$6-COSTI!L$1076</f>
        <v>-31.760000000000218</v>
      </c>
      <c r="BD653" s="1"/>
    </row>
    <row r="654" spans="1:56" ht="16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435">
        <f>IF(AND(W654&gt;=$U$1,W654&lt;=$U$2),IF(X654='ESTRATTO CONTO'!$E$2,1+COUNTIF(U$4:U653,"&gt;0"),0),0)</f>
        <v>0</v>
      </c>
      <c r="V654" s="417">
        <f t="shared" si="131"/>
        <v>651</v>
      </c>
      <c r="W654" s="509"/>
      <c r="X654" s="321"/>
      <c r="Y654" s="321"/>
      <c r="Z654" s="508"/>
      <c r="AA654" s="356"/>
      <c r="AB654" s="306" t="str">
        <f t="shared" si="127"/>
        <v/>
      </c>
      <c r="AC654" s="637">
        <f t="shared" ca="1" si="126"/>
        <v>-2.1316282072803006E-13</v>
      </c>
      <c r="AD654" s="935">
        <f>IF(ISERROR(VLOOKUP(AD$2,X655:X$1003,1,FALSE)),IF(X654=AD$2,SUMIF(X$4:X654,AD$2,Z$4:Z654)+$E$9+SUM(AQ$4:AQ$1003)+SUMIF(COSTI!$X$1379:$X$1430,AD$2,COSTI!$Z$1379:$Z$1430),0),0)</f>
        <v>0</v>
      </c>
      <c r="AE654" s="26"/>
      <c r="AF654" s="856" t="e">
        <f>IF(ISERROR(VLOOKUP(AG$2,X655:X$1003,1,FALSE)),IF(X654=AG$2,SUMIF(X$4:X654,AG$2,Z$4:Z654)+VLOOKUP(AF$2,$B$1057:$F$1068,5,FALSE)+SUM(AR$4:AR$1003)+SUMIF(COSTI!$X$1379:$X$1430,AG$2,COSTI!$Z$1379:$Z$1430),0),0)</f>
        <v>#N/A</v>
      </c>
      <c r="AG654" s="859"/>
      <c r="AH654" s="27" t="str">
        <f t="shared" si="128"/>
        <v/>
      </c>
      <c r="AI654" s="152">
        <f ca="1">IF(W655&gt;0,0,IF(AH654=0,(Z654*-1)+BC654+SUM(BB$4:BB653),BC654+SUM(BB$4:BB653)))</f>
        <v>-2.1316282072803006E-13</v>
      </c>
      <c r="AJ654" s="931">
        <f>IF(AND(AL654&gt;=$U$1,AL654&lt;=$U$2),IF(AM654='ESTRATTO CONTO'!$E$2,1+COUNTIF(AJ$4:AJ653,"&gt;0")+U$1015,0),0)</f>
        <v>0</v>
      </c>
      <c r="AK654" s="203">
        <f>IF(AND(OR((AK653+1)&lt;AL$1015,(AK653+1)=AL$1015),MAX(AK$4:AK653)&lt;AL$1015),AK653+1,0)</f>
        <v>0</v>
      </c>
      <c r="AL654" s="309">
        <f>VLOOKUP($AK654,ENTI!$AF$4:AG$1003,2,FALSE)</f>
        <v>0</v>
      </c>
      <c r="AM654" s="224">
        <f>VLOOKUP($AK654,ENTI!$AF$4:AH$1003,3,FALSE)</f>
        <v>0</v>
      </c>
      <c r="AN654" s="224">
        <f>VLOOKUP($AK654,ENTI!$AF$4:AI$1003,4,FALSE)</f>
        <v>0</v>
      </c>
      <c r="AO654" s="781">
        <f>VLOOKUP($AK654,ENTI!$AF$4:AJ$1003,5,FALSE)</f>
        <v>0</v>
      </c>
      <c r="AP654" s="315">
        <f>VLOOKUP($AK654,ENTI!$AF$4:AK$1003,6,FALSE)</f>
        <v>0</v>
      </c>
      <c r="AQ654" s="208">
        <f t="shared" si="124"/>
        <v>0</v>
      </c>
      <c r="AR654" s="152" t="e">
        <f t="shared" si="125"/>
        <v>#N/A</v>
      </c>
      <c r="AS654" s="1"/>
      <c r="AT654" s="88" t="str">
        <f t="shared" si="129"/>
        <v/>
      </c>
      <c r="AU654" s="1"/>
      <c r="AV654" s="175">
        <f>IF(AW654&gt;0,COUNTIF(AV$4:AV653,"&gt;0")+1,0)</f>
        <v>0</v>
      </c>
      <c r="AW654" s="164">
        <f t="shared" si="130"/>
        <v>0</v>
      </c>
      <c r="AX654" s="310">
        <f>IF($AW654=0,0,VLOOKUP(VLOOKUP($X654,$B$34:$T$38,19,FALSE),ENTI!$A$9:$B$13,2,FALSE))</f>
        <v>0</v>
      </c>
      <c r="AY654" s="310">
        <f t="shared" si="132"/>
        <v>0</v>
      </c>
      <c r="AZ654" s="316">
        <f t="shared" si="133"/>
        <v>0</v>
      </c>
      <c r="BA654" s="1"/>
      <c r="BB654" s="152">
        <f t="shared" si="134"/>
        <v>0</v>
      </c>
      <c r="BC654" s="152">
        <f ca="1">SUM(Z$4:Z654)+SUM(BB$4:BB654)+COSTI!S$6-COSTI!L$1076</f>
        <v>-31.760000000000218</v>
      </c>
      <c r="BD654" s="1"/>
    </row>
    <row r="655" spans="1:56" ht="16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435">
        <f>IF(AND(W655&gt;=$U$1,W655&lt;=$U$2),IF(X655='ESTRATTO CONTO'!$E$2,1+COUNTIF(U$4:U654,"&gt;0"),0),0)</f>
        <v>0</v>
      </c>
      <c r="V655" s="417">
        <f t="shared" si="131"/>
        <v>652</v>
      </c>
      <c r="W655" s="509"/>
      <c r="X655" s="321"/>
      <c r="Y655" s="321"/>
      <c r="Z655" s="508"/>
      <c r="AA655" s="356"/>
      <c r="AB655" s="306" t="str">
        <f t="shared" si="127"/>
        <v/>
      </c>
      <c r="AC655" s="637">
        <f t="shared" ca="1" si="126"/>
        <v>-2.1316282072803006E-13</v>
      </c>
      <c r="AD655" s="935">
        <f>IF(ISERROR(VLOOKUP(AD$2,X656:X$1003,1,FALSE)),IF(X655=AD$2,SUMIF(X$4:X655,AD$2,Z$4:Z655)+$E$9+SUM(AQ$4:AQ$1003)+SUMIF(COSTI!$X$1379:$X$1430,AD$2,COSTI!$Z$1379:$Z$1430),0),0)</f>
        <v>0</v>
      </c>
      <c r="AE655" s="26"/>
      <c r="AF655" s="856" t="e">
        <f>IF(ISERROR(VLOOKUP(AG$2,X656:X$1003,1,FALSE)),IF(X655=AG$2,SUMIF(X$4:X655,AG$2,Z$4:Z655)+VLOOKUP(AF$2,$B$1057:$F$1068,5,FALSE)+SUM(AR$4:AR$1003)+SUMIF(COSTI!$X$1379:$X$1430,AG$2,COSTI!$Z$1379:$Z$1430),0),0)</f>
        <v>#N/A</v>
      </c>
      <c r="AG655" s="859"/>
      <c r="AH655" s="27" t="str">
        <f t="shared" si="128"/>
        <v/>
      </c>
      <c r="AI655" s="152">
        <f ca="1">IF(W656&gt;0,0,IF(AH655=0,(Z655*-1)+BC655+SUM(BB$4:BB654),BC655+SUM(BB$4:BB654)))</f>
        <v>-2.1316282072803006E-13</v>
      </c>
      <c r="AJ655" s="931">
        <f>IF(AND(AL655&gt;=$U$1,AL655&lt;=$U$2),IF(AM655='ESTRATTO CONTO'!$E$2,1+COUNTIF(AJ$4:AJ654,"&gt;0")+U$1015,0),0)</f>
        <v>0</v>
      </c>
      <c r="AK655" s="203">
        <f>IF(AND(OR((AK654+1)&lt;AL$1015,(AK654+1)=AL$1015),MAX(AK$4:AK654)&lt;AL$1015),AK654+1,0)</f>
        <v>0</v>
      </c>
      <c r="AL655" s="309">
        <f>VLOOKUP($AK655,ENTI!$AF$4:AG$1003,2,FALSE)</f>
        <v>0</v>
      </c>
      <c r="AM655" s="224">
        <f>VLOOKUP($AK655,ENTI!$AF$4:AH$1003,3,FALSE)</f>
        <v>0</v>
      </c>
      <c r="AN655" s="224">
        <f>VLOOKUP($AK655,ENTI!$AF$4:AI$1003,4,FALSE)</f>
        <v>0</v>
      </c>
      <c r="AO655" s="781">
        <f>VLOOKUP($AK655,ENTI!$AF$4:AJ$1003,5,FALSE)</f>
        <v>0</v>
      </c>
      <c r="AP655" s="315">
        <f>VLOOKUP($AK655,ENTI!$AF$4:AK$1003,6,FALSE)</f>
        <v>0</v>
      </c>
      <c r="AQ655" s="208">
        <f t="shared" ref="AQ655:AQ718" si="135">IF(AM655=AQ$2,AO655,0)</f>
        <v>0</v>
      </c>
      <c r="AR655" s="152" t="e">
        <f t="shared" ref="AR655:AR718" si="136">IF(AM655=AR$1,AO655,0)</f>
        <v>#N/A</v>
      </c>
      <c r="AS655" s="1"/>
      <c r="AT655" s="88" t="str">
        <f t="shared" si="129"/>
        <v/>
      </c>
      <c r="AU655" s="1"/>
      <c r="AV655" s="175">
        <f>IF(AW655&gt;0,COUNTIF(AV$4:AV654,"&gt;0")+1,0)</f>
        <v>0</v>
      </c>
      <c r="AW655" s="164">
        <f t="shared" si="130"/>
        <v>0</v>
      </c>
      <c r="AX655" s="310">
        <f>IF($AW655=0,0,VLOOKUP(VLOOKUP($X655,$B$34:$T$38,19,FALSE),ENTI!$A$9:$B$13,2,FALSE))</f>
        <v>0</v>
      </c>
      <c r="AY655" s="310">
        <f t="shared" si="132"/>
        <v>0</v>
      </c>
      <c r="AZ655" s="316">
        <f t="shared" si="133"/>
        <v>0</v>
      </c>
      <c r="BA655" s="1"/>
      <c r="BB655" s="152">
        <f t="shared" si="134"/>
        <v>0</v>
      </c>
      <c r="BC655" s="152">
        <f ca="1">SUM(Z$4:Z655)+SUM(BB$4:BB655)+COSTI!S$6-COSTI!L$1076</f>
        <v>-31.760000000000218</v>
      </c>
      <c r="BD655" s="1"/>
    </row>
    <row r="656" spans="1:56" ht="16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435">
        <f>IF(AND(W656&gt;=$U$1,W656&lt;=$U$2),IF(X656='ESTRATTO CONTO'!$E$2,1+COUNTIF(U$4:U655,"&gt;0"),0),0)</f>
        <v>0</v>
      </c>
      <c r="V656" s="417">
        <f t="shared" si="131"/>
        <v>653</v>
      </c>
      <c r="W656" s="509"/>
      <c r="X656" s="321"/>
      <c r="Y656" s="321"/>
      <c r="Z656" s="508"/>
      <c r="AA656" s="356"/>
      <c r="AB656" s="306" t="str">
        <f t="shared" si="127"/>
        <v/>
      </c>
      <c r="AC656" s="637">
        <f t="shared" ca="1" si="126"/>
        <v>-2.1316282072803006E-13</v>
      </c>
      <c r="AD656" s="935">
        <f>IF(ISERROR(VLOOKUP(AD$2,X657:X$1003,1,FALSE)),IF(X656=AD$2,SUMIF(X$4:X656,AD$2,Z$4:Z656)+$E$9+SUM(AQ$4:AQ$1003)+SUMIF(COSTI!$X$1379:$X$1430,AD$2,COSTI!$Z$1379:$Z$1430),0),0)</f>
        <v>0</v>
      </c>
      <c r="AE656" s="26"/>
      <c r="AF656" s="856" t="e">
        <f>IF(ISERROR(VLOOKUP(AG$2,X657:X$1003,1,FALSE)),IF(X656=AG$2,SUMIF(X$4:X656,AG$2,Z$4:Z656)+VLOOKUP(AF$2,$B$1057:$F$1068,5,FALSE)+SUM(AR$4:AR$1003)+SUMIF(COSTI!$X$1379:$X$1430,AG$2,COSTI!$Z$1379:$Z$1430),0),0)</f>
        <v>#N/A</v>
      </c>
      <c r="AG656" s="859"/>
      <c r="AH656" s="27" t="str">
        <f t="shared" si="128"/>
        <v/>
      </c>
      <c r="AI656" s="152">
        <f ca="1">IF(W657&gt;0,0,IF(AH656=0,(Z656*-1)+BC656+SUM(BB$4:BB655),BC656+SUM(BB$4:BB655)))</f>
        <v>-2.1316282072803006E-13</v>
      </c>
      <c r="AJ656" s="931">
        <f>IF(AND(AL656&gt;=$U$1,AL656&lt;=$U$2),IF(AM656='ESTRATTO CONTO'!$E$2,1+COUNTIF(AJ$4:AJ655,"&gt;0")+U$1015,0),0)</f>
        <v>0</v>
      </c>
      <c r="AK656" s="203">
        <f>IF(AND(OR((AK655+1)&lt;AL$1015,(AK655+1)=AL$1015),MAX(AK$4:AK655)&lt;AL$1015),AK655+1,0)</f>
        <v>0</v>
      </c>
      <c r="AL656" s="309">
        <f>VLOOKUP($AK656,ENTI!$AF$4:AG$1003,2,FALSE)</f>
        <v>0</v>
      </c>
      <c r="AM656" s="224">
        <f>VLOOKUP($AK656,ENTI!$AF$4:AH$1003,3,FALSE)</f>
        <v>0</v>
      </c>
      <c r="AN656" s="224">
        <f>VLOOKUP($AK656,ENTI!$AF$4:AI$1003,4,FALSE)</f>
        <v>0</v>
      </c>
      <c r="AO656" s="781">
        <f>VLOOKUP($AK656,ENTI!$AF$4:AJ$1003,5,FALSE)</f>
        <v>0</v>
      </c>
      <c r="AP656" s="315">
        <f>VLOOKUP($AK656,ENTI!$AF$4:AK$1003,6,FALSE)</f>
        <v>0</v>
      </c>
      <c r="AQ656" s="208">
        <f t="shared" si="135"/>
        <v>0</v>
      </c>
      <c r="AR656" s="152" t="e">
        <f t="shared" si="136"/>
        <v>#N/A</v>
      </c>
      <c r="AS656" s="1"/>
      <c r="AT656" s="88" t="str">
        <f t="shared" si="129"/>
        <v/>
      </c>
      <c r="AU656" s="1"/>
      <c r="AV656" s="175">
        <f>IF(AW656&gt;0,COUNTIF(AV$4:AV655,"&gt;0")+1,0)</f>
        <v>0</v>
      </c>
      <c r="AW656" s="164">
        <f t="shared" si="130"/>
        <v>0</v>
      </c>
      <c r="AX656" s="310">
        <f>IF($AW656=0,0,VLOOKUP(VLOOKUP($X656,$B$34:$T$38,19,FALSE),ENTI!$A$9:$B$13,2,FALSE))</f>
        <v>0</v>
      </c>
      <c r="AY656" s="310">
        <f t="shared" si="132"/>
        <v>0</v>
      </c>
      <c r="AZ656" s="316">
        <f t="shared" si="133"/>
        <v>0</v>
      </c>
      <c r="BA656" s="1"/>
      <c r="BB656" s="152">
        <f t="shared" si="134"/>
        <v>0</v>
      </c>
      <c r="BC656" s="152">
        <f ca="1">SUM(Z$4:Z656)+SUM(BB$4:BB656)+COSTI!S$6-COSTI!L$1076</f>
        <v>-31.760000000000218</v>
      </c>
      <c r="BD656" s="1"/>
    </row>
    <row r="657" spans="1:56" ht="16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435">
        <f>IF(AND(W657&gt;=$U$1,W657&lt;=$U$2),IF(X657='ESTRATTO CONTO'!$E$2,1+COUNTIF(U$4:U656,"&gt;0"),0),0)</f>
        <v>0</v>
      </c>
      <c r="V657" s="417">
        <f t="shared" si="131"/>
        <v>654</v>
      </c>
      <c r="W657" s="509"/>
      <c r="X657" s="321"/>
      <c r="Y657" s="321"/>
      <c r="Z657" s="508"/>
      <c r="AA657" s="356"/>
      <c r="AB657" s="306" t="str">
        <f t="shared" si="127"/>
        <v/>
      </c>
      <c r="AC657" s="637">
        <f t="shared" ca="1" si="126"/>
        <v>-2.1316282072803006E-13</v>
      </c>
      <c r="AD657" s="935">
        <f>IF(ISERROR(VLOOKUP(AD$2,X658:X$1003,1,FALSE)),IF(X657=AD$2,SUMIF(X$4:X657,AD$2,Z$4:Z657)+$E$9+SUM(AQ$4:AQ$1003)+SUMIF(COSTI!$X$1379:$X$1430,AD$2,COSTI!$Z$1379:$Z$1430),0),0)</f>
        <v>0</v>
      </c>
      <c r="AE657" s="26"/>
      <c r="AF657" s="856" t="e">
        <f>IF(ISERROR(VLOOKUP(AG$2,X658:X$1003,1,FALSE)),IF(X657=AG$2,SUMIF(X$4:X657,AG$2,Z$4:Z657)+VLOOKUP(AF$2,$B$1057:$F$1068,5,FALSE)+SUM(AR$4:AR$1003)+SUMIF(COSTI!$X$1379:$X$1430,AG$2,COSTI!$Z$1379:$Z$1430),0),0)</f>
        <v>#N/A</v>
      </c>
      <c r="AG657" s="859"/>
      <c r="AH657" s="27" t="str">
        <f t="shared" si="128"/>
        <v/>
      </c>
      <c r="AI657" s="152">
        <f ca="1">IF(W658&gt;0,0,IF(AH657=0,(Z657*-1)+BC657+SUM(BB$4:BB656),BC657+SUM(BB$4:BB656)))</f>
        <v>-2.1316282072803006E-13</v>
      </c>
      <c r="AJ657" s="931">
        <f>IF(AND(AL657&gt;=$U$1,AL657&lt;=$U$2),IF(AM657='ESTRATTO CONTO'!$E$2,1+COUNTIF(AJ$4:AJ656,"&gt;0")+U$1015,0),0)</f>
        <v>0</v>
      </c>
      <c r="AK657" s="203">
        <f>IF(AND(OR((AK656+1)&lt;AL$1015,(AK656+1)=AL$1015),MAX(AK$4:AK656)&lt;AL$1015),AK656+1,0)</f>
        <v>0</v>
      </c>
      <c r="AL657" s="309">
        <f>VLOOKUP($AK657,ENTI!$AF$4:AG$1003,2,FALSE)</f>
        <v>0</v>
      </c>
      <c r="AM657" s="224">
        <f>VLOOKUP($AK657,ENTI!$AF$4:AH$1003,3,FALSE)</f>
        <v>0</v>
      </c>
      <c r="AN657" s="224">
        <f>VLOOKUP($AK657,ENTI!$AF$4:AI$1003,4,FALSE)</f>
        <v>0</v>
      </c>
      <c r="AO657" s="781">
        <f>VLOOKUP($AK657,ENTI!$AF$4:AJ$1003,5,FALSE)</f>
        <v>0</v>
      </c>
      <c r="AP657" s="315">
        <f>VLOOKUP($AK657,ENTI!$AF$4:AK$1003,6,FALSE)</f>
        <v>0</v>
      </c>
      <c r="AQ657" s="208">
        <f t="shared" si="135"/>
        <v>0</v>
      </c>
      <c r="AR657" s="152" t="e">
        <f t="shared" si="136"/>
        <v>#N/A</v>
      </c>
      <c r="AS657" s="1"/>
      <c r="AT657" s="88" t="str">
        <f t="shared" si="129"/>
        <v/>
      </c>
      <c r="AU657" s="1"/>
      <c r="AV657" s="175">
        <f>IF(AW657&gt;0,COUNTIF(AV$4:AV656,"&gt;0")+1,0)</f>
        <v>0</v>
      </c>
      <c r="AW657" s="164">
        <f t="shared" si="130"/>
        <v>0</v>
      </c>
      <c r="AX657" s="310">
        <f>IF($AW657=0,0,VLOOKUP(VLOOKUP($X657,$B$34:$T$38,19,FALSE),ENTI!$A$9:$B$13,2,FALSE))</f>
        <v>0</v>
      </c>
      <c r="AY657" s="310">
        <f t="shared" si="132"/>
        <v>0</v>
      </c>
      <c r="AZ657" s="316">
        <f t="shared" si="133"/>
        <v>0</v>
      </c>
      <c r="BA657" s="1"/>
      <c r="BB657" s="152">
        <f t="shared" si="134"/>
        <v>0</v>
      </c>
      <c r="BC657" s="152">
        <f ca="1">SUM(Z$4:Z657)+SUM(BB$4:BB657)+COSTI!S$6-COSTI!L$1076</f>
        <v>-31.760000000000218</v>
      </c>
      <c r="BD657" s="1"/>
    </row>
    <row r="658" spans="1:56" ht="16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435">
        <f>IF(AND(W658&gt;=$U$1,W658&lt;=$U$2),IF(X658='ESTRATTO CONTO'!$E$2,1+COUNTIF(U$4:U657,"&gt;0"),0),0)</f>
        <v>0</v>
      </c>
      <c r="V658" s="417">
        <f t="shared" si="131"/>
        <v>655</v>
      </c>
      <c r="W658" s="509"/>
      <c r="X658" s="321"/>
      <c r="Y658" s="321"/>
      <c r="Z658" s="508"/>
      <c r="AA658" s="356"/>
      <c r="AB658" s="306" t="str">
        <f t="shared" si="127"/>
        <v/>
      </c>
      <c r="AC658" s="637">
        <f t="shared" ca="1" si="126"/>
        <v>-2.1316282072803006E-13</v>
      </c>
      <c r="AD658" s="935">
        <f>IF(ISERROR(VLOOKUP(AD$2,X659:X$1003,1,FALSE)),IF(X658=AD$2,SUMIF(X$4:X658,AD$2,Z$4:Z658)+$E$9+SUM(AQ$4:AQ$1003)+SUMIF(COSTI!$X$1379:$X$1430,AD$2,COSTI!$Z$1379:$Z$1430),0),0)</f>
        <v>0</v>
      </c>
      <c r="AE658" s="26"/>
      <c r="AF658" s="856" t="e">
        <f>IF(ISERROR(VLOOKUP(AG$2,X659:X$1003,1,FALSE)),IF(X658=AG$2,SUMIF(X$4:X658,AG$2,Z$4:Z658)+VLOOKUP(AF$2,$B$1057:$F$1068,5,FALSE)+SUM(AR$4:AR$1003)+SUMIF(COSTI!$X$1379:$X$1430,AG$2,COSTI!$Z$1379:$Z$1430),0),0)</f>
        <v>#N/A</v>
      </c>
      <c r="AG658" s="859"/>
      <c r="AH658" s="27" t="str">
        <f t="shared" si="128"/>
        <v/>
      </c>
      <c r="AI658" s="152">
        <f ca="1">IF(W659&gt;0,0,IF(AH658=0,(Z658*-1)+BC658+SUM(BB$4:BB657),BC658+SUM(BB$4:BB657)))</f>
        <v>-2.1316282072803006E-13</v>
      </c>
      <c r="AJ658" s="931">
        <f>IF(AND(AL658&gt;=$U$1,AL658&lt;=$U$2),IF(AM658='ESTRATTO CONTO'!$E$2,1+COUNTIF(AJ$4:AJ657,"&gt;0")+U$1015,0),0)</f>
        <v>0</v>
      </c>
      <c r="AK658" s="203">
        <f>IF(AND(OR((AK657+1)&lt;AL$1015,(AK657+1)=AL$1015),MAX(AK$4:AK657)&lt;AL$1015),AK657+1,0)</f>
        <v>0</v>
      </c>
      <c r="AL658" s="309">
        <f>VLOOKUP($AK658,ENTI!$AF$4:AG$1003,2,FALSE)</f>
        <v>0</v>
      </c>
      <c r="AM658" s="224">
        <f>VLOOKUP($AK658,ENTI!$AF$4:AH$1003,3,FALSE)</f>
        <v>0</v>
      </c>
      <c r="AN658" s="224">
        <f>VLOOKUP($AK658,ENTI!$AF$4:AI$1003,4,FALSE)</f>
        <v>0</v>
      </c>
      <c r="AO658" s="781">
        <f>VLOOKUP($AK658,ENTI!$AF$4:AJ$1003,5,FALSE)</f>
        <v>0</v>
      </c>
      <c r="AP658" s="315">
        <f>VLOOKUP($AK658,ENTI!$AF$4:AK$1003,6,FALSE)</f>
        <v>0</v>
      </c>
      <c r="AQ658" s="208">
        <f t="shared" si="135"/>
        <v>0</v>
      </c>
      <c r="AR658" s="152" t="e">
        <f t="shared" si="136"/>
        <v>#N/A</v>
      </c>
      <c r="AS658" s="1"/>
      <c r="AT658" s="88" t="str">
        <f t="shared" si="129"/>
        <v/>
      </c>
      <c r="AU658" s="1"/>
      <c r="AV658" s="175">
        <f>IF(AW658&gt;0,COUNTIF(AV$4:AV657,"&gt;0")+1,0)</f>
        <v>0</v>
      </c>
      <c r="AW658" s="164">
        <f t="shared" si="130"/>
        <v>0</v>
      </c>
      <c r="AX658" s="310">
        <f>IF($AW658=0,0,VLOOKUP(VLOOKUP($X658,$B$34:$T$38,19,FALSE),ENTI!$A$9:$B$13,2,FALSE))</f>
        <v>0</v>
      </c>
      <c r="AY658" s="310">
        <f t="shared" si="132"/>
        <v>0</v>
      </c>
      <c r="AZ658" s="316">
        <f t="shared" si="133"/>
        <v>0</v>
      </c>
      <c r="BA658" s="1"/>
      <c r="BB658" s="152">
        <f t="shared" si="134"/>
        <v>0</v>
      </c>
      <c r="BC658" s="152">
        <f ca="1">SUM(Z$4:Z658)+SUM(BB$4:BB658)+COSTI!S$6-COSTI!L$1076</f>
        <v>-31.760000000000218</v>
      </c>
      <c r="BD658" s="1"/>
    </row>
    <row r="659" spans="1:56" ht="16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435">
        <f>IF(AND(W659&gt;=$U$1,W659&lt;=$U$2),IF(X659='ESTRATTO CONTO'!$E$2,1+COUNTIF(U$4:U658,"&gt;0"),0),0)</f>
        <v>0</v>
      </c>
      <c r="V659" s="417">
        <f t="shared" si="131"/>
        <v>656</v>
      </c>
      <c r="W659" s="509"/>
      <c r="X659" s="321"/>
      <c r="Y659" s="321"/>
      <c r="Z659" s="508"/>
      <c r="AA659" s="356"/>
      <c r="AB659" s="306" t="str">
        <f t="shared" si="127"/>
        <v/>
      </c>
      <c r="AC659" s="637">
        <f t="shared" ca="1" si="126"/>
        <v>-2.1316282072803006E-13</v>
      </c>
      <c r="AD659" s="935">
        <f>IF(ISERROR(VLOOKUP(AD$2,X660:X$1003,1,FALSE)),IF(X659=AD$2,SUMIF(X$4:X659,AD$2,Z$4:Z659)+$E$9+SUM(AQ$4:AQ$1003)+SUMIF(COSTI!$X$1379:$X$1430,AD$2,COSTI!$Z$1379:$Z$1430),0),0)</f>
        <v>0</v>
      </c>
      <c r="AE659" s="26"/>
      <c r="AF659" s="856" t="e">
        <f>IF(ISERROR(VLOOKUP(AG$2,X660:X$1003,1,FALSE)),IF(X659=AG$2,SUMIF(X$4:X659,AG$2,Z$4:Z659)+VLOOKUP(AF$2,$B$1057:$F$1068,5,FALSE)+SUM(AR$4:AR$1003)+SUMIF(COSTI!$X$1379:$X$1430,AG$2,COSTI!$Z$1379:$Z$1430),0),0)</f>
        <v>#N/A</v>
      </c>
      <c r="AG659" s="859"/>
      <c r="AH659" s="27" t="str">
        <f t="shared" si="128"/>
        <v/>
      </c>
      <c r="AI659" s="152">
        <f ca="1">IF(W660&gt;0,0,IF(AH659=0,(Z659*-1)+BC659+SUM(BB$4:BB658),BC659+SUM(BB$4:BB658)))</f>
        <v>-2.1316282072803006E-13</v>
      </c>
      <c r="AJ659" s="931">
        <f>IF(AND(AL659&gt;=$U$1,AL659&lt;=$U$2),IF(AM659='ESTRATTO CONTO'!$E$2,1+COUNTIF(AJ$4:AJ658,"&gt;0")+U$1015,0),0)</f>
        <v>0</v>
      </c>
      <c r="AK659" s="203">
        <f>IF(AND(OR((AK658+1)&lt;AL$1015,(AK658+1)=AL$1015),MAX(AK$4:AK658)&lt;AL$1015),AK658+1,0)</f>
        <v>0</v>
      </c>
      <c r="AL659" s="309">
        <f>VLOOKUP($AK659,ENTI!$AF$4:AG$1003,2,FALSE)</f>
        <v>0</v>
      </c>
      <c r="AM659" s="224">
        <f>VLOOKUP($AK659,ENTI!$AF$4:AH$1003,3,FALSE)</f>
        <v>0</v>
      </c>
      <c r="AN659" s="224">
        <f>VLOOKUP($AK659,ENTI!$AF$4:AI$1003,4,FALSE)</f>
        <v>0</v>
      </c>
      <c r="AO659" s="781">
        <f>VLOOKUP($AK659,ENTI!$AF$4:AJ$1003,5,FALSE)</f>
        <v>0</v>
      </c>
      <c r="AP659" s="315">
        <f>VLOOKUP($AK659,ENTI!$AF$4:AK$1003,6,FALSE)</f>
        <v>0</v>
      </c>
      <c r="AQ659" s="208">
        <f t="shared" si="135"/>
        <v>0</v>
      </c>
      <c r="AR659" s="152" t="e">
        <f t="shared" si="136"/>
        <v>#N/A</v>
      </c>
      <c r="AS659" s="1"/>
      <c r="AT659" s="88" t="str">
        <f t="shared" si="129"/>
        <v/>
      </c>
      <c r="AU659" s="1"/>
      <c r="AV659" s="175">
        <f>IF(AW659&gt;0,COUNTIF(AV$4:AV658,"&gt;0")+1,0)</f>
        <v>0</v>
      </c>
      <c r="AW659" s="164">
        <f t="shared" si="130"/>
        <v>0</v>
      </c>
      <c r="AX659" s="310">
        <f>IF($AW659=0,0,VLOOKUP(VLOOKUP($X659,$B$34:$T$38,19,FALSE),ENTI!$A$9:$B$13,2,FALSE))</f>
        <v>0</v>
      </c>
      <c r="AY659" s="310">
        <f t="shared" si="132"/>
        <v>0</v>
      </c>
      <c r="AZ659" s="316">
        <f t="shared" si="133"/>
        <v>0</v>
      </c>
      <c r="BA659" s="1"/>
      <c r="BB659" s="152">
        <f t="shared" si="134"/>
        <v>0</v>
      </c>
      <c r="BC659" s="152">
        <f ca="1">SUM(Z$4:Z659)+SUM(BB$4:BB659)+COSTI!S$6-COSTI!L$1076</f>
        <v>-31.760000000000218</v>
      </c>
      <c r="BD659" s="1"/>
    </row>
    <row r="660" spans="1:56" ht="16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435">
        <f>IF(AND(W660&gt;=$U$1,W660&lt;=$U$2),IF(X660='ESTRATTO CONTO'!$E$2,1+COUNTIF(U$4:U659,"&gt;0"),0),0)</f>
        <v>0</v>
      </c>
      <c r="V660" s="417">
        <f t="shared" si="131"/>
        <v>657</v>
      </c>
      <c r="W660" s="509"/>
      <c r="X660" s="321"/>
      <c r="Y660" s="321"/>
      <c r="Z660" s="508"/>
      <c r="AA660" s="356"/>
      <c r="AB660" s="306" t="str">
        <f t="shared" si="127"/>
        <v/>
      </c>
      <c r="AC660" s="637">
        <f t="shared" ca="1" si="126"/>
        <v>-2.1316282072803006E-13</v>
      </c>
      <c r="AD660" s="935">
        <f>IF(ISERROR(VLOOKUP(AD$2,X661:X$1003,1,FALSE)),IF(X660=AD$2,SUMIF(X$4:X660,AD$2,Z$4:Z660)+$E$9+SUM(AQ$4:AQ$1003)+SUMIF(COSTI!$X$1379:$X$1430,AD$2,COSTI!$Z$1379:$Z$1430),0),0)</f>
        <v>0</v>
      </c>
      <c r="AE660" s="26"/>
      <c r="AF660" s="856" t="e">
        <f>IF(ISERROR(VLOOKUP(AG$2,X661:X$1003,1,FALSE)),IF(X660=AG$2,SUMIF(X$4:X660,AG$2,Z$4:Z660)+VLOOKUP(AF$2,$B$1057:$F$1068,5,FALSE)+SUM(AR$4:AR$1003)+SUMIF(COSTI!$X$1379:$X$1430,AG$2,COSTI!$Z$1379:$Z$1430),0),0)</f>
        <v>#N/A</v>
      </c>
      <c r="AG660" s="859"/>
      <c r="AH660" s="27" t="str">
        <f t="shared" si="128"/>
        <v/>
      </c>
      <c r="AI660" s="152">
        <f ca="1">IF(W661&gt;0,0,IF(AH660=0,(Z660*-1)+BC660+SUM(BB$4:BB659),BC660+SUM(BB$4:BB659)))</f>
        <v>-2.1316282072803006E-13</v>
      </c>
      <c r="AJ660" s="931">
        <f>IF(AND(AL660&gt;=$U$1,AL660&lt;=$U$2),IF(AM660='ESTRATTO CONTO'!$E$2,1+COUNTIF(AJ$4:AJ659,"&gt;0")+U$1015,0),0)</f>
        <v>0</v>
      </c>
      <c r="AK660" s="203">
        <f>IF(AND(OR((AK659+1)&lt;AL$1015,(AK659+1)=AL$1015),MAX(AK$4:AK659)&lt;AL$1015),AK659+1,0)</f>
        <v>0</v>
      </c>
      <c r="AL660" s="309">
        <f>VLOOKUP($AK660,ENTI!$AF$4:AG$1003,2,FALSE)</f>
        <v>0</v>
      </c>
      <c r="AM660" s="224">
        <f>VLOOKUP($AK660,ENTI!$AF$4:AH$1003,3,FALSE)</f>
        <v>0</v>
      </c>
      <c r="AN660" s="224">
        <f>VLOOKUP($AK660,ENTI!$AF$4:AI$1003,4,FALSE)</f>
        <v>0</v>
      </c>
      <c r="AO660" s="781">
        <f>VLOOKUP($AK660,ENTI!$AF$4:AJ$1003,5,FALSE)</f>
        <v>0</v>
      </c>
      <c r="AP660" s="315">
        <f>VLOOKUP($AK660,ENTI!$AF$4:AK$1003,6,FALSE)</f>
        <v>0</v>
      </c>
      <c r="AQ660" s="208">
        <f t="shared" si="135"/>
        <v>0</v>
      </c>
      <c r="AR660" s="152" t="e">
        <f t="shared" si="136"/>
        <v>#N/A</v>
      </c>
      <c r="AS660" s="1"/>
      <c r="AT660" s="88" t="str">
        <f t="shared" si="129"/>
        <v/>
      </c>
      <c r="AU660" s="1"/>
      <c r="AV660" s="175">
        <f>IF(AW660&gt;0,COUNTIF(AV$4:AV659,"&gt;0")+1,0)</f>
        <v>0</v>
      </c>
      <c r="AW660" s="164">
        <f t="shared" si="130"/>
        <v>0</v>
      </c>
      <c r="AX660" s="310">
        <f>IF($AW660=0,0,VLOOKUP(VLOOKUP($X660,$B$34:$T$38,19,FALSE),ENTI!$A$9:$B$13,2,FALSE))</f>
        <v>0</v>
      </c>
      <c r="AY660" s="310">
        <f t="shared" si="132"/>
        <v>0</v>
      </c>
      <c r="AZ660" s="316">
        <f t="shared" si="133"/>
        <v>0</v>
      </c>
      <c r="BA660" s="1"/>
      <c r="BB660" s="152">
        <f t="shared" si="134"/>
        <v>0</v>
      </c>
      <c r="BC660" s="152">
        <f ca="1">SUM(Z$4:Z660)+SUM(BB$4:BB660)+COSTI!S$6-COSTI!L$1076</f>
        <v>-31.760000000000218</v>
      </c>
      <c r="BD660" s="1"/>
    </row>
    <row r="661" spans="1:56" ht="16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435">
        <f>IF(AND(W661&gt;=$U$1,W661&lt;=$U$2),IF(X661='ESTRATTO CONTO'!$E$2,1+COUNTIF(U$4:U660,"&gt;0"),0),0)</f>
        <v>0</v>
      </c>
      <c r="V661" s="417">
        <f t="shared" si="131"/>
        <v>658</v>
      </c>
      <c r="W661" s="509"/>
      <c r="X661" s="321"/>
      <c r="Y661" s="321"/>
      <c r="Z661" s="508"/>
      <c r="AA661" s="356"/>
      <c r="AB661" s="306" t="str">
        <f t="shared" si="127"/>
        <v/>
      </c>
      <c r="AC661" s="637">
        <f t="shared" ca="1" si="126"/>
        <v>-2.1316282072803006E-13</v>
      </c>
      <c r="AD661" s="935">
        <f>IF(ISERROR(VLOOKUP(AD$2,X662:X$1003,1,FALSE)),IF(X661=AD$2,SUMIF(X$4:X661,AD$2,Z$4:Z661)+$E$9+SUM(AQ$4:AQ$1003)+SUMIF(COSTI!$X$1379:$X$1430,AD$2,COSTI!$Z$1379:$Z$1430),0),0)</f>
        <v>0</v>
      </c>
      <c r="AE661" s="26"/>
      <c r="AF661" s="856" t="e">
        <f>IF(ISERROR(VLOOKUP(AG$2,X662:X$1003,1,FALSE)),IF(X661=AG$2,SUMIF(X$4:X661,AG$2,Z$4:Z661)+VLOOKUP(AF$2,$B$1057:$F$1068,5,FALSE)+SUM(AR$4:AR$1003)+SUMIF(COSTI!$X$1379:$X$1430,AG$2,COSTI!$Z$1379:$Z$1430),0),0)</f>
        <v>#N/A</v>
      </c>
      <c r="AG661" s="859"/>
      <c r="AH661" s="27" t="str">
        <f t="shared" si="128"/>
        <v/>
      </c>
      <c r="AI661" s="152">
        <f ca="1">IF(W662&gt;0,0,IF(AH661=0,(Z661*-1)+BC661+SUM(BB$4:BB660),BC661+SUM(BB$4:BB660)))</f>
        <v>-2.1316282072803006E-13</v>
      </c>
      <c r="AJ661" s="931">
        <f>IF(AND(AL661&gt;=$U$1,AL661&lt;=$U$2),IF(AM661='ESTRATTO CONTO'!$E$2,1+COUNTIF(AJ$4:AJ660,"&gt;0")+U$1015,0),0)</f>
        <v>0</v>
      </c>
      <c r="AK661" s="203">
        <f>IF(AND(OR((AK660+1)&lt;AL$1015,(AK660+1)=AL$1015),MAX(AK$4:AK660)&lt;AL$1015),AK660+1,0)</f>
        <v>0</v>
      </c>
      <c r="AL661" s="309">
        <f>VLOOKUP($AK661,ENTI!$AF$4:AG$1003,2,FALSE)</f>
        <v>0</v>
      </c>
      <c r="AM661" s="224">
        <f>VLOOKUP($AK661,ENTI!$AF$4:AH$1003,3,FALSE)</f>
        <v>0</v>
      </c>
      <c r="AN661" s="224">
        <f>VLOOKUP($AK661,ENTI!$AF$4:AI$1003,4,FALSE)</f>
        <v>0</v>
      </c>
      <c r="AO661" s="781">
        <f>VLOOKUP($AK661,ENTI!$AF$4:AJ$1003,5,FALSE)</f>
        <v>0</v>
      </c>
      <c r="AP661" s="315">
        <f>VLOOKUP($AK661,ENTI!$AF$4:AK$1003,6,FALSE)</f>
        <v>0</v>
      </c>
      <c r="AQ661" s="208">
        <f t="shared" si="135"/>
        <v>0</v>
      </c>
      <c r="AR661" s="152" t="e">
        <f t="shared" si="136"/>
        <v>#N/A</v>
      </c>
      <c r="AS661" s="1"/>
      <c r="AT661" s="88" t="str">
        <f t="shared" si="129"/>
        <v/>
      </c>
      <c r="AU661" s="1"/>
      <c r="AV661" s="175">
        <f>IF(AW661&gt;0,COUNTIF(AV$4:AV660,"&gt;0")+1,0)</f>
        <v>0</v>
      </c>
      <c r="AW661" s="164">
        <f t="shared" si="130"/>
        <v>0</v>
      </c>
      <c r="AX661" s="310">
        <f>IF($AW661=0,0,VLOOKUP(VLOOKUP($X661,$B$34:$T$38,19,FALSE),ENTI!$A$9:$B$13,2,FALSE))</f>
        <v>0</v>
      </c>
      <c r="AY661" s="310">
        <f t="shared" si="132"/>
        <v>0</v>
      </c>
      <c r="AZ661" s="316">
        <f t="shared" si="133"/>
        <v>0</v>
      </c>
      <c r="BA661" s="1"/>
      <c r="BB661" s="152">
        <f t="shared" si="134"/>
        <v>0</v>
      </c>
      <c r="BC661" s="152">
        <f ca="1">SUM(Z$4:Z661)+SUM(BB$4:BB661)+COSTI!S$6-COSTI!L$1076</f>
        <v>-31.760000000000218</v>
      </c>
      <c r="BD661" s="1"/>
    </row>
    <row r="662" spans="1:56" ht="16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435">
        <f>IF(AND(W662&gt;=$U$1,W662&lt;=$U$2),IF(X662='ESTRATTO CONTO'!$E$2,1+COUNTIF(U$4:U661,"&gt;0"),0),0)</f>
        <v>0</v>
      </c>
      <c r="V662" s="417">
        <f t="shared" si="131"/>
        <v>659</v>
      </c>
      <c r="W662" s="509"/>
      <c r="X662" s="321"/>
      <c r="Y662" s="321"/>
      <c r="Z662" s="508"/>
      <c r="AA662" s="356"/>
      <c r="AB662" s="306" t="str">
        <f t="shared" si="127"/>
        <v/>
      </c>
      <c r="AC662" s="637">
        <f t="shared" ca="1" si="126"/>
        <v>-2.1316282072803006E-13</v>
      </c>
      <c r="AD662" s="935">
        <f>IF(ISERROR(VLOOKUP(AD$2,X663:X$1003,1,FALSE)),IF(X662=AD$2,SUMIF(X$4:X662,AD$2,Z$4:Z662)+$E$9+SUM(AQ$4:AQ$1003)+SUMIF(COSTI!$X$1379:$X$1430,AD$2,COSTI!$Z$1379:$Z$1430),0),0)</f>
        <v>0</v>
      </c>
      <c r="AE662" s="26"/>
      <c r="AF662" s="856" t="e">
        <f>IF(ISERROR(VLOOKUP(AG$2,X663:X$1003,1,FALSE)),IF(X662=AG$2,SUMIF(X$4:X662,AG$2,Z$4:Z662)+VLOOKUP(AF$2,$B$1057:$F$1068,5,FALSE)+SUM(AR$4:AR$1003)+SUMIF(COSTI!$X$1379:$X$1430,AG$2,COSTI!$Z$1379:$Z$1430),0),0)</f>
        <v>#N/A</v>
      </c>
      <c r="AG662" s="859"/>
      <c r="AH662" s="27" t="str">
        <f t="shared" si="128"/>
        <v/>
      </c>
      <c r="AI662" s="152">
        <f ca="1">IF(W663&gt;0,0,IF(AH662=0,(Z662*-1)+BC662+SUM(BB$4:BB661),BC662+SUM(BB$4:BB661)))</f>
        <v>-2.1316282072803006E-13</v>
      </c>
      <c r="AJ662" s="931">
        <f>IF(AND(AL662&gt;=$U$1,AL662&lt;=$U$2),IF(AM662='ESTRATTO CONTO'!$E$2,1+COUNTIF(AJ$4:AJ661,"&gt;0")+U$1015,0),0)</f>
        <v>0</v>
      </c>
      <c r="AK662" s="203">
        <f>IF(AND(OR((AK661+1)&lt;AL$1015,(AK661+1)=AL$1015),MAX(AK$4:AK661)&lt;AL$1015),AK661+1,0)</f>
        <v>0</v>
      </c>
      <c r="AL662" s="309">
        <f>VLOOKUP($AK662,ENTI!$AF$4:AG$1003,2,FALSE)</f>
        <v>0</v>
      </c>
      <c r="AM662" s="224">
        <f>VLOOKUP($AK662,ENTI!$AF$4:AH$1003,3,FALSE)</f>
        <v>0</v>
      </c>
      <c r="AN662" s="224">
        <f>VLOOKUP($AK662,ENTI!$AF$4:AI$1003,4,FALSE)</f>
        <v>0</v>
      </c>
      <c r="AO662" s="781">
        <f>VLOOKUP($AK662,ENTI!$AF$4:AJ$1003,5,FALSE)</f>
        <v>0</v>
      </c>
      <c r="AP662" s="315">
        <f>VLOOKUP($AK662,ENTI!$AF$4:AK$1003,6,FALSE)</f>
        <v>0</v>
      </c>
      <c r="AQ662" s="208">
        <f t="shared" si="135"/>
        <v>0</v>
      </c>
      <c r="AR662" s="152" t="e">
        <f t="shared" si="136"/>
        <v>#N/A</v>
      </c>
      <c r="AS662" s="1"/>
      <c r="AT662" s="88" t="str">
        <f t="shared" si="129"/>
        <v/>
      </c>
      <c r="AU662" s="1"/>
      <c r="AV662" s="175">
        <f>IF(AW662&gt;0,COUNTIF(AV$4:AV661,"&gt;0")+1,0)</f>
        <v>0</v>
      </c>
      <c r="AW662" s="164">
        <f t="shared" si="130"/>
        <v>0</v>
      </c>
      <c r="AX662" s="310">
        <f>IF($AW662=0,0,VLOOKUP(VLOOKUP($X662,$B$34:$T$38,19,FALSE),ENTI!$A$9:$B$13,2,FALSE))</f>
        <v>0</v>
      </c>
      <c r="AY662" s="310">
        <f t="shared" si="132"/>
        <v>0</v>
      </c>
      <c r="AZ662" s="316">
        <f t="shared" si="133"/>
        <v>0</v>
      </c>
      <c r="BA662" s="1"/>
      <c r="BB662" s="152">
        <f t="shared" si="134"/>
        <v>0</v>
      </c>
      <c r="BC662" s="152">
        <f ca="1">SUM(Z$4:Z662)+SUM(BB$4:BB662)+COSTI!S$6-COSTI!L$1076</f>
        <v>-31.760000000000218</v>
      </c>
      <c r="BD662" s="1"/>
    </row>
    <row r="663" spans="1:56" ht="16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435">
        <f>IF(AND(W663&gt;=$U$1,W663&lt;=$U$2),IF(X663='ESTRATTO CONTO'!$E$2,1+COUNTIF(U$4:U662,"&gt;0"),0),0)</f>
        <v>0</v>
      </c>
      <c r="V663" s="417">
        <f t="shared" si="131"/>
        <v>660</v>
      </c>
      <c r="W663" s="509"/>
      <c r="X663" s="321"/>
      <c r="Y663" s="321"/>
      <c r="Z663" s="508"/>
      <c r="AA663" s="356"/>
      <c r="AB663" s="306" t="str">
        <f t="shared" si="127"/>
        <v/>
      </c>
      <c r="AC663" s="637">
        <f t="shared" ca="1" si="126"/>
        <v>-2.1316282072803006E-13</v>
      </c>
      <c r="AD663" s="935">
        <f>IF(ISERROR(VLOOKUP(AD$2,X664:X$1003,1,FALSE)),IF(X663=AD$2,SUMIF(X$4:X663,AD$2,Z$4:Z663)+$E$9+SUM(AQ$4:AQ$1003)+SUMIF(COSTI!$X$1379:$X$1430,AD$2,COSTI!$Z$1379:$Z$1430),0),0)</f>
        <v>0</v>
      </c>
      <c r="AE663" s="26"/>
      <c r="AF663" s="856" t="e">
        <f>IF(ISERROR(VLOOKUP(AG$2,X664:X$1003,1,FALSE)),IF(X663=AG$2,SUMIF(X$4:X663,AG$2,Z$4:Z663)+VLOOKUP(AF$2,$B$1057:$F$1068,5,FALSE)+SUM(AR$4:AR$1003)+SUMIF(COSTI!$X$1379:$X$1430,AG$2,COSTI!$Z$1379:$Z$1430),0),0)</f>
        <v>#N/A</v>
      </c>
      <c r="AG663" s="859"/>
      <c r="AH663" s="27" t="str">
        <f t="shared" si="128"/>
        <v/>
      </c>
      <c r="AI663" s="152">
        <f ca="1">IF(W664&gt;0,0,IF(AH663=0,(Z663*-1)+BC663+SUM(BB$4:BB662),BC663+SUM(BB$4:BB662)))</f>
        <v>-2.1316282072803006E-13</v>
      </c>
      <c r="AJ663" s="931">
        <f>IF(AND(AL663&gt;=$U$1,AL663&lt;=$U$2),IF(AM663='ESTRATTO CONTO'!$E$2,1+COUNTIF(AJ$4:AJ662,"&gt;0")+U$1015,0),0)</f>
        <v>0</v>
      </c>
      <c r="AK663" s="203">
        <f>IF(AND(OR((AK662+1)&lt;AL$1015,(AK662+1)=AL$1015),MAX(AK$4:AK662)&lt;AL$1015),AK662+1,0)</f>
        <v>0</v>
      </c>
      <c r="AL663" s="309">
        <f>VLOOKUP($AK663,ENTI!$AF$4:AG$1003,2,FALSE)</f>
        <v>0</v>
      </c>
      <c r="AM663" s="224">
        <f>VLOOKUP($AK663,ENTI!$AF$4:AH$1003,3,FALSE)</f>
        <v>0</v>
      </c>
      <c r="AN663" s="224">
        <f>VLOOKUP($AK663,ENTI!$AF$4:AI$1003,4,FALSE)</f>
        <v>0</v>
      </c>
      <c r="AO663" s="781">
        <f>VLOOKUP($AK663,ENTI!$AF$4:AJ$1003,5,FALSE)</f>
        <v>0</v>
      </c>
      <c r="AP663" s="315">
        <f>VLOOKUP($AK663,ENTI!$AF$4:AK$1003,6,FALSE)</f>
        <v>0</v>
      </c>
      <c r="AQ663" s="208">
        <f t="shared" si="135"/>
        <v>0</v>
      </c>
      <c r="AR663" s="152" t="e">
        <f t="shared" si="136"/>
        <v>#N/A</v>
      </c>
      <c r="AS663" s="1"/>
      <c r="AT663" s="88" t="str">
        <f t="shared" si="129"/>
        <v/>
      </c>
      <c r="AU663" s="1"/>
      <c r="AV663" s="175">
        <f>IF(AW663&gt;0,COUNTIF(AV$4:AV662,"&gt;0")+1,0)</f>
        <v>0</v>
      </c>
      <c r="AW663" s="164">
        <f t="shared" si="130"/>
        <v>0</v>
      </c>
      <c r="AX663" s="310">
        <f>IF($AW663=0,0,VLOOKUP(VLOOKUP($X663,$B$34:$T$38,19,FALSE),ENTI!$A$9:$B$13,2,FALSE))</f>
        <v>0</v>
      </c>
      <c r="AY663" s="310">
        <f t="shared" si="132"/>
        <v>0</v>
      </c>
      <c r="AZ663" s="316">
        <f t="shared" si="133"/>
        <v>0</v>
      </c>
      <c r="BA663" s="1"/>
      <c r="BB663" s="152">
        <f t="shared" si="134"/>
        <v>0</v>
      </c>
      <c r="BC663" s="152">
        <f ca="1">SUM(Z$4:Z663)+SUM(BB$4:BB663)+COSTI!S$6-COSTI!L$1076</f>
        <v>-31.760000000000218</v>
      </c>
      <c r="BD663" s="1"/>
    </row>
    <row r="664" spans="1:56" ht="16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435">
        <f>IF(AND(W664&gt;=$U$1,W664&lt;=$U$2),IF(X664='ESTRATTO CONTO'!$E$2,1+COUNTIF(U$4:U663,"&gt;0"),0),0)</f>
        <v>0</v>
      </c>
      <c r="V664" s="417">
        <f t="shared" si="131"/>
        <v>661</v>
      </c>
      <c r="W664" s="509"/>
      <c r="X664" s="321"/>
      <c r="Y664" s="321"/>
      <c r="Z664" s="508"/>
      <c r="AA664" s="356"/>
      <c r="AB664" s="306" t="str">
        <f t="shared" si="127"/>
        <v/>
      </c>
      <c r="AC664" s="637">
        <f t="shared" ca="1" si="126"/>
        <v>-2.1316282072803006E-13</v>
      </c>
      <c r="AD664" s="935">
        <f>IF(ISERROR(VLOOKUP(AD$2,X665:X$1003,1,FALSE)),IF(X664=AD$2,SUMIF(X$4:X664,AD$2,Z$4:Z664)+$E$9+SUM(AQ$4:AQ$1003)+SUMIF(COSTI!$X$1379:$X$1430,AD$2,COSTI!$Z$1379:$Z$1430),0),0)</f>
        <v>0</v>
      </c>
      <c r="AE664" s="26"/>
      <c r="AF664" s="856" t="e">
        <f>IF(ISERROR(VLOOKUP(AG$2,X665:X$1003,1,FALSE)),IF(X664=AG$2,SUMIF(X$4:X664,AG$2,Z$4:Z664)+VLOOKUP(AF$2,$B$1057:$F$1068,5,FALSE)+SUM(AR$4:AR$1003)+SUMIF(COSTI!$X$1379:$X$1430,AG$2,COSTI!$Z$1379:$Z$1430),0),0)</f>
        <v>#N/A</v>
      </c>
      <c r="AG664" s="859"/>
      <c r="AH664" s="27" t="str">
        <f t="shared" si="128"/>
        <v/>
      </c>
      <c r="AI664" s="152">
        <f ca="1">IF(W665&gt;0,0,IF(AH664=0,(Z664*-1)+BC664+SUM(BB$4:BB663),BC664+SUM(BB$4:BB663)))</f>
        <v>-2.1316282072803006E-13</v>
      </c>
      <c r="AJ664" s="931">
        <f>IF(AND(AL664&gt;=$U$1,AL664&lt;=$U$2),IF(AM664='ESTRATTO CONTO'!$E$2,1+COUNTIF(AJ$4:AJ663,"&gt;0")+U$1015,0),0)</f>
        <v>0</v>
      </c>
      <c r="AK664" s="203">
        <f>IF(AND(OR((AK663+1)&lt;AL$1015,(AK663+1)=AL$1015),MAX(AK$4:AK663)&lt;AL$1015),AK663+1,0)</f>
        <v>0</v>
      </c>
      <c r="AL664" s="309">
        <f>VLOOKUP($AK664,ENTI!$AF$4:AG$1003,2,FALSE)</f>
        <v>0</v>
      </c>
      <c r="AM664" s="224">
        <f>VLOOKUP($AK664,ENTI!$AF$4:AH$1003,3,FALSE)</f>
        <v>0</v>
      </c>
      <c r="AN664" s="224">
        <f>VLOOKUP($AK664,ENTI!$AF$4:AI$1003,4,FALSE)</f>
        <v>0</v>
      </c>
      <c r="AO664" s="781">
        <f>VLOOKUP($AK664,ENTI!$AF$4:AJ$1003,5,FALSE)</f>
        <v>0</v>
      </c>
      <c r="AP664" s="315">
        <f>VLOOKUP($AK664,ENTI!$AF$4:AK$1003,6,FALSE)</f>
        <v>0</v>
      </c>
      <c r="AQ664" s="208">
        <f t="shared" si="135"/>
        <v>0</v>
      </c>
      <c r="AR664" s="152" t="e">
        <f t="shared" si="136"/>
        <v>#N/A</v>
      </c>
      <c r="AS664" s="1"/>
      <c r="AT664" s="88" t="str">
        <f t="shared" si="129"/>
        <v/>
      </c>
      <c r="AU664" s="1"/>
      <c r="AV664" s="175">
        <f>IF(AW664&gt;0,COUNTIF(AV$4:AV663,"&gt;0")+1,0)</f>
        <v>0</v>
      </c>
      <c r="AW664" s="164">
        <f t="shared" si="130"/>
        <v>0</v>
      </c>
      <c r="AX664" s="310">
        <f>IF($AW664=0,0,VLOOKUP(VLOOKUP($X664,$B$34:$T$38,19,FALSE),ENTI!$A$9:$B$13,2,FALSE))</f>
        <v>0</v>
      </c>
      <c r="AY664" s="310">
        <f t="shared" si="132"/>
        <v>0</v>
      </c>
      <c r="AZ664" s="316">
        <f t="shared" si="133"/>
        <v>0</v>
      </c>
      <c r="BA664" s="1"/>
      <c r="BB664" s="152">
        <f t="shared" si="134"/>
        <v>0</v>
      </c>
      <c r="BC664" s="152">
        <f ca="1">SUM(Z$4:Z664)+SUM(BB$4:BB664)+COSTI!S$6-COSTI!L$1076</f>
        <v>-31.760000000000218</v>
      </c>
      <c r="BD664" s="1"/>
    </row>
    <row r="665" spans="1:56" ht="16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435">
        <f>IF(AND(W665&gt;=$U$1,W665&lt;=$U$2),IF(X665='ESTRATTO CONTO'!$E$2,1+COUNTIF(U$4:U664,"&gt;0"),0),0)</f>
        <v>0</v>
      </c>
      <c r="V665" s="417">
        <f t="shared" si="131"/>
        <v>662</v>
      </c>
      <c r="W665" s="509"/>
      <c r="X665" s="321"/>
      <c r="Y665" s="321"/>
      <c r="Z665" s="508"/>
      <c r="AA665" s="356"/>
      <c r="AB665" s="306" t="str">
        <f t="shared" si="127"/>
        <v/>
      </c>
      <c r="AC665" s="637">
        <f t="shared" ca="1" si="126"/>
        <v>-2.1316282072803006E-13</v>
      </c>
      <c r="AD665" s="935">
        <f>IF(ISERROR(VLOOKUP(AD$2,X666:X$1003,1,FALSE)),IF(X665=AD$2,SUMIF(X$4:X665,AD$2,Z$4:Z665)+$E$9+SUM(AQ$4:AQ$1003)+SUMIF(COSTI!$X$1379:$X$1430,AD$2,COSTI!$Z$1379:$Z$1430),0),0)</f>
        <v>0</v>
      </c>
      <c r="AE665" s="26"/>
      <c r="AF665" s="856" t="e">
        <f>IF(ISERROR(VLOOKUP(AG$2,X666:X$1003,1,FALSE)),IF(X665=AG$2,SUMIF(X$4:X665,AG$2,Z$4:Z665)+VLOOKUP(AF$2,$B$1057:$F$1068,5,FALSE)+SUM(AR$4:AR$1003)+SUMIF(COSTI!$X$1379:$X$1430,AG$2,COSTI!$Z$1379:$Z$1430),0),0)</f>
        <v>#N/A</v>
      </c>
      <c r="AG665" s="859"/>
      <c r="AH665" s="27" t="str">
        <f t="shared" si="128"/>
        <v/>
      </c>
      <c r="AI665" s="152">
        <f ca="1">IF(W666&gt;0,0,IF(AH665=0,(Z665*-1)+BC665+SUM(BB$4:BB664),BC665+SUM(BB$4:BB664)))</f>
        <v>-2.1316282072803006E-13</v>
      </c>
      <c r="AJ665" s="931">
        <f>IF(AND(AL665&gt;=$U$1,AL665&lt;=$U$2),IF(AM665='ESTRATTO CONTO'!$E$2,1+COUNTIF(AJ$4:AJ664,"&gt;0")+U$1015,0),0)</f>
        <v>0</v>
      </c>
      <c r="AK665" s="203">
        <f>IF(AND(OR((AK664+1)&lt;AL$1015,(AK664+1)=AL$1015),MAX(AK$4:AK664)&lt;AL$1015),AK664+1,0)</f>
        <v>0</v>
      </c>
      <c r="AL665" s="309">
        <f>VLOOKUP($AK665,ENTI!$AF$4:AG$1003,2,FALSE)</f>
        <v>0</v>
      </c>
      <c r="AM665" s="224">
        <f>VLOOKUP($AK665,ENTI!$AF$4:AH$1003,3,FALSE)</f>
        <v>0</v>
      </c>
      <c r="AN665" s="224">
        <f>VLOOKUP($AK665,ENTI!$AF$4:AI$1003,4,FALSE)</f>
        <v>0</v>
      </c>
      <c r="AO665" s="781">
        <f>VLOOKUP($AK665,ENTI!$AF$4:AJ$1003,5,FALSE)</f>
        <v>0</v>
      </c>
      <c r="AP665" s="315">
        <f>VLOOKUP($AK665,ENTI!$AF$4:AK$1003,6,FALSE)</f>
        <v>0</v>
      </c>
      <c r="AQ665" s="208">
        <f t="shared" si="135"/>
        <v>0</v>
      </c>
      <c r="AR665" s="152" t="e">
        <f t="shared" si="136"/>
        <v>#N/A</v>
      </c>
      <c r="AS665" s="1"/>
      <c r="AT665" s="88" t="str">
        <f t="shared" si="129"/>
        <v/>
      </c>
      <c r="AU665" s="1"/>
      <c r="AV665" s="175">
        <f>IF(AW665&gt;0,COUNTIF(AV$4:AV664,"&gt;0")+1,0)</f>
        <v>0</v>
      </c>
      <c r="AW665" s="164">
        <f t="shared" si="130"/>
        <v>0</v>
      </c>
      <c r="AX665" s="310">
        <f>IF($AW665=0,0,VLOOKUP(VLOOKUP($X665,$B$34:$T$38,19,FALSE),ENTI!$A$9:$B$13,2,FALSE))</f>
        <v>0</v>
      </c>
      <c r="AY665" s="310">
        <f t="shared" si="132"/>
        <v>0</v>
      </c>
      <c r="AZ665" s="316">
        <f t="shared" si="133"/>
        <v>0</v>
      </c>
      <c r="BA665" s="1"/>
      <c r="BB665" s="152">
        <f t="shared" si="134"/>
        <v>0</v>
      </c>
      <c r="BC665" s="152">
        <f ca="1">SUM(Z$4:Z665)+SUM(BB$4:BB665)+COSTI!S$6-COSTI!L$1076</f>
        <v>-31.760000000000218</v>
      </c>
      <c r="BD665" s="1"/>
    </row>
    <row r="666" spans="1:56" ht="16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435">
        <f>IF(AND(W666&gt;=$U$1,W666&lt;=$U$2),IF(X666='ESTRATTO CONTO'!$E$2,1+COUNTIF(U$4:U665,"&gt;0"),0),0)</f>
        <v>0</v>
      </c>
      <c r="V666" s="417">
        <f t="shared" si="131"/>
        <v>663</v>
      </c>
      <c r="W666" s="509"/>
      <c r="X666" s="321"/>
      <c r="Y666" s="321"/>
      <c r="Z666" s="508"/>
      <c r="AA666" s="356"/>
      <c r="AB666" s="306" t="str">
        <f t="shared" si="127"/>
        <v/>
      </c>
      <c r="AC666" s="637">
        <f t="shared" ca="1" si="126"/>
        <v>-2.1316282072803006E-13</v>
      </c>
      <c r="AD666" s="935">
        <f>IF(ISERROR(VLOOKUP(AD$2,X667:X$1003,1,FALSE)),IF(X666=AD$2,SUMIF(X$4:X666,AD$2,Z$4:Z666)+$E$9+SUM(AQ$4:AQ$1003)+SUMIF(COSTI!$X$1379:$X$1430,AD$2,COSTI!$Z$1379:$Z$1430),0),0)</f>
        <v>0</v>
      </c>
      <c r="AE666" s="26"/>
      <c r="AF666" s="856" t="e">
        <f>IF(ISERROR(VLOOKUP(AG$2,X667:X$1003,1,FALSE)),IF(X666=AG$2,SUMIF(X$4:X666,AG$2,Z$4:Z666)+VLOOKUP(AF$2,$B$1057:$F$1068,5,FALSE)+SUM(AR$4:AR$1003)+SUMIF(COSTI!$X$1379:$X$1430,AG$2,COSTI!$Z$1379:$Z$1430),0),0)</f>
        <v>#N/A</v>
      </c>
      <c r="AG666" s="859"/>
      <c r="AH666" s="27" t="str">
        <f t="shared" si="128"/>
        <v/>
      </c>
      <c r="AI666" s="152">
        <f ca="1">IF(W667&gt;0,0,IF(AH666=0,(Z666*-1)+BC666+SUM(BB$4:BB665),BC666+SUM(BB$4:BB665)))</f>
        <v>-2.1316282072803006E-13</v>
      </c>
      <c r="AJ666" s="931">
        <f>IF(AND(AL666&gt;=$U$1,AL666&lt;=$U$2),IF(AM666='ESTRATTO CONTO'!$E$2,1+COUNTIF(AJ$4:AJ665,"&gt;0")+U$1015,0),0)</f>
        <v>0</v>
      </c>
      <c r="AK666" s="203">
        <f>IF(AND(OR((AK665+1)&lt;AL$1015,(AK665+1)=AL$1015),MAX(AK$4:AK665)&lt;AL$1015),AK665+1,0)</f>
        <v>0</v>
      </c>
      <c r="AL666" s="309">
        <f>VLOOKUP($AK666,ENTI!$AF$4:AG$1003,2,FALSE)</f>
        <v>0</v>
      </c>
      <c r="AM666" s="224">
        <f>VLOOKUP($AK666,ENTI!$AF$4:AH$1003,3,FALSE)</f>
        <v>0</v>
      </c>
      <c r="AN666" s="224">
        <f>VLOOKUP($AK666,ENTI!$AF$4:AI$1003,4,FALSE)</f>
        <v>0</v>
      </c>
      <c r="AO666" s="781">
        <f>VLOOKUP($AK666,ENTI!$AF$4:AJ$1003,5,FALSE)</f>
        <v>0</v>
      </c>
      <c r="AP666" s="315">
        <f>VLOOKUP($AK666,ENTI!$AF$4:AK$1003,6,FALSE)</f>
        <v>0</v>
      </c>
      <c r="AQ666" s="208">
        <f t="shared" si="135"/>
        <v>0</v>
      </c>
      <c r="AR666" s="152" t="e">
        <f t="shared" si="136"/>
        <v>#N/A</v>
      </c>
      <c r="AS666" s="1"/>
      <c r="AT666" s="88" t="str">
        <f t="shared" si="129"/>
        <v/>
      </c>
      <c r="AU666" s="1"/>
      <c r="AV666" s="175">
        <f>IF(AW666&gt;0,COUNTIF(AV$4:AV665,"&gt;0")+1,0)</f>
        <v>0</v>
      </c>
      <c r="AW666" s="164">
        <f t="shared" si="130"/>
        <v>0</v>
      </c>
      <c r="AX666" s="310">
        <f>IF($AW666=0,0,VLOOKUP(VLOOKUP($X666,$B$34:$T$38,19,FALSE),ENTI!$A$9:$B$13,2,FALSE))</f>
        <v>0</v>
      </c>
      <c r="AY666" s="310">
        <f t="shared" si="132"/>
        <v>0</v>
      </c>
      <c r="AZ666" s="316">
        <f t="shared" si="133"/>
        <v>0</v>
      </c>
      <c r="BA666" s="1"/>
      <c r="BB666" s="152">
        <f t="shared" si="134"/>
        <v>0</v>
      </c>
      <c r="BC666" s="152">
        <f ca="1">SUM(Z$4:Z666)+SUM(BB$4:BB666)+COSTI!S$6-COSTI!L$1076</f>
        <v>-31.760000000000218</v>
      </c>
      <c r="BD666" s="1"/>
    </row>
    <row r="667" spans="1:56" ht="16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435">
        <f>IF(AND(W667&gt;=$U$1,W667&lt;=$U$2),IF(X667='ESTRATTO CONTO'!$E$2,1+COUNTIF(U$4:U666,"&gt;0"),0),0)</f>
        <v>0</v>
      </c>
      <c r="V667" s="417">
        <f t="shared" si="131"/>
        <v>664</v>
      </c>
      <c r="W667" s="509"/>
      <c r="X667" s="321"/>
      <c r="Y667" s="321"/>
      <c r="Z667" s="508"/>
      <c r="AA667" s="356"/>
      <c r="AB667" s="306" t="str">
        <f t="shared" si="127"/>
        <v/>
      </c>
      <c r="AC667" s="637">
        <f t="shared" ca="1" si="126"/>
        <v>-2.1316282072803006E-13</v>
      </c>
      <c r="AD667" s="935">
        <f>IF(ISERROR(VLOOKUP(AD$2,X668:X$1003,1,FALSE)),IF(X667=AD$2,SUMIF(X$4:X667,AD$2,Z$4:Z667)+$E$9+SUM(AQ$4:AQ$1003)+SUMIF(COSTI!$X$1379:$X$1430,AD$2,COSTI!$Z$1379:$Z$1430),0),0)</f>
        <v>0</v>
      </c>
      <c r="AE667" s="26"/>
      <c r="AF667" s="856" t="e">
        <f>IF(ISERROR(VLOOKUP(AG$2,X668:X$1003,1,FALSE)),IF(X667=AG$2,SUMIF(X$4:X667,AG$2,Z$4:Z667)+VLOOKUP(AF$2,$B$1057:$F$1068,5,FALSE)+SUM(AR$4:AR$1003)+SUMIF(COSTI!$X$1379:$X$1430,AG$2,COSTI!$Z$1379:$Z$1430),0),0)</f>
        <v>#N/A</v>
      </c>
      <c r="AG667" s="859"/>
      <c r="AH667" s="27" t="str">
        <f t="shared" si="128"/>
        <v/>
      </c>
      <c r="AI667" s="152">
        <f ca="1">IF(W668&gt;0,0,IF(AH667=0,(Z667*-1)+BC667+SUM(BB$4:BB666),BC667+SUM(BB$4:BB666)))</f>
        <v>-2.1316282072803006E-13</v>
      </c>
      <c r="AJ667" s="931">
        <f>IF(AND(AL667&gt;=$U$1,AL667&lt;=$U$2),IF(AM667='ESTRATTO CONTO'!$E$2,1+COUNTIF(AJ$4:AJ666,"&gt;0")+U$1015,0),0)</f>
        <v>0</v>
      </c>
      <c r="AK667" s="203">
        <f>IF(AND(OR((AK666+1)&lt;AL$1015,(AK666+1)=AL$1015),MAX(AK$4:AK666)&lt;AL$1015),AK666+1,0)</f>
        <v>0</v>
      </c>
      <c r="AL667" s="309">
        <f>VLOOKUP($AK667,ENTI!$AF$4:AG$1003,2,FALSE)</f>
        <v>0</v>
      </c>
      <c r="AM667" s="224">
        <f>VLOOKUP($AK667,ENTI!$AF$4:AH$1003,3,FALSE)</f>
        <v>0</v>
      </c>
      <c r="AN667" s="224">
        <f>VLOOKUP($AK667,ENTI!$AF$4:AI$1003,4,FALSE)</f>
        <v>0</v>
      </c>
      <c r="AO667" s="781">
        <f>VLOOKUP($AK667,ENTI!$AF$4:AJ$1003,5,FALSE)</f>
        <v>0</v>
      </c>
      <c r="AP667" s="315">
        <f>VLOOKUP($AK667,ENTI!$AF$4:AK$1003,6,FALSE)</f>
        <v>0</v>
      </c>
      <c r="AQ667" s="208">
        <f t="shared" si="135"/>
        <v>0</v>
      </c>
      <c r="AR667" s="152" t="e">
        <f t="shared" si="136"/>
        <v>#N/A</v>
      </c>
      <c r="AS667" s="1"/>
      <c r="AT667" s="88" t="str">
        <f t="shared" si="129"/>
        <v/>
      </c>
      <c r="AU667" s="1"/>
      <c r="AV667" s="175">
        <f>IF(AW667&gt;0,COUNTIF(AV$4:AV666,"&gt;0")+1,0)</f>
        <v>0</v>
      </c>
      <c r="AW667" s="164">
        <f t="shared" si="130"/>
        <v>0</v>
      </c>
      <c r="AX667" s="310">
        <f>IF($AW667=0,0,VLOOKUP(VLOOKUP($X667,$B$34:$T$38,19,FALSE),ENTI!$A$9:$B$13,2,FALSE))</f>
        <v>0</v>
      </c>
      <c r="AY667" s="310">
        <f t="shared" si="132"/>
        <v>0</v>
      </c>
      <c r="AZ667" s="316">
        <f t="shared" si="133"/>
        <v>0</v>
      </c>
      <c r="BA667" s="1"/>
      <c r="BB667" s="152">
        <f t="shared" si="134"/>
        <v>0</v>
      </c>
      <c r="BC667" s="152">
        <f ca="1">SUM(Z$4:Z667)+SUM(BB$4:BB667)+COSTI!S$6-COSTI!L$1076</f>
        <v>-31.760000000000218</v>
      </c>
      <c r="BD667" s="1"/>
    </row>
    <row r="668" spans="1:56" ht="16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435">
        <f>IF(AND(W668&gt;=$U$1,W668&lt;=$U$2),IF(X668='ESTRATTO CONTO'!$E$2,1+COUNTIF(U$4:U667,"&gt;0"),0),0)</f>
        <v>0</v>
      </c>
      <c r="V668" s="417">
        <f t="shared" si="131"/>
        <v>665</v>
      </c>
      <c r="W668" s="509"/>
      <c r="X668" s="321"/>
      <c r="Y668" s="321"/>
      <c r="Z668" s="508"/>
      <c r="AA668" s="356"/>
      <c r="AB668" s="306" t="str">
        <f t="shared" si="127"/>
        <v/>
      </c>
      <c r="AC668" s="637">
        <f t="shared" ca="1" si="126"/>
        <v>-2.1316282072803006E-13</v>
      </c>
      <c r="AD668" s="935">
        <f>IF(ISERROR(VLOOKUP(AD$2,X669:X$1003,1,FALSE)),IF(X668=AD$2,SUMIF(X$4:X668,AD$2,Z$4:Z668)+$E$9+SUM(AQ$4:AQ$1003)+SUMIF(COSTI!$X$1379:$X$1430,AD$2,COSTI!$Z$1379:$Z$1430),0),0)</f>
        <v>0</v>
      </c>
      <c r="AE668" s="26"/>
      <c r="AF668" s="856" t="e">
        <f>IF(ISERROR(VLOOKUP(AG$2,X669:X$1003,1,FALSE)),IF(X668=AG$2,SUMIF(X$4:X668,AG$2,Z$4:Z668)+VLOOKUP(AF$2,$B$1057:$F$1068,5,FALSE)+SUM(AR$4:AR$1003)+SUMIF(COSTI!$X$1379:$X$1430,AG$2,COSTI!$Z$1379:$Z$1430),0),0)</f>
        <v>#N/A</v>
      </c>
      <c r="AG668" s="859"/>
      <c r="AH668" s="27" t="str">
        <f t="shared" si="128"/>
        <v/>
      </c>
      <c r="AI668" s="152">
        <f ca="1">IF(W669&gt;0,0,IF(AH668=0,(Z668*-1)+BC668+SUM(BB$4:BB667),BC668+SUM(BB$4:BB667)))</f>
        <v>-2.1316282072803006E-13</v>
      </c>
      <c r="AJ668" s="931">
        <f>IF(AND(AL668&gt;=$U$1,AL668&lt;=$U$2),IF(AM668='ESTRATTO CONTO'!$E$2,1+COUNTIF(AJ$4:AJ667,"&gt;0")+U$1015,0),0)</f>
        <v>0</v>
      </c>
      <c r="AK668" s="203">
        <f>IF(AND(OR((AK667+1)&lt;AL$1015,(AK667+1)=AL$1015),MAX(AK$4:AK667)&lt;AL$1015),AK667+1,0)</f>
        <v>0</v>
      </c>
      <c r="AL668" s="309">
        <f>VLOOKUP($AK668,ENTI!$AF$4:AG$1003,2,FALSE)</f>
        <v>0</v>
      </c>
      <c r="AM668" s="224">
        <f>VLOOKUP($AK668,ENTI!$AF$4:AH$1003,3,FALSE)</f>
        <v>0</v>
      </c>
      <c r="AN668" s="224">
        <f>VLOOKUP($AK668,ENTI!$AF$4:AI$1003,4,FALSE)</f>
        <v>0</v>
      </c>
      <c r="AO668" s="781">
        <f>VLOOKUP($AK668,ENTI!$AF$4:AJ$1003,5,FALSE)</f>
        <v>0</v>
      </c>
      <c r="AP668" s="315">
        <f>VLOOKUP($AK668,ENTI!$AF$4:AK$1003,6,FALSE)</f>
        <v>0</v>
      </c>
      <c r="AQ668" s="208">
        <f t="shared" si="135"/>
        <v>0</v>
      </c>
      <c r="AR668" s="152" t="e">
        <f t="shared" si="136"/>
        <v>#N/A</v>
      </c>
      <c r="AS668" s="1"/>
      <c r="AT668" s="88" t="str">
        <f t="shared" si="129"/>
        <v/>
      </c>
      <c r="AU668" s="1"/>
      <c r="AV668" s="175">
        <f>IF(AW668&gt;0,COUNTIF(AV$4:AV667,"&gt;0")+1,0)</f>
        <v>0</v>
      </c>
      <c r="AW668" s="164">
        <f t="shared" si="130"/>
        <v>0</v>
      </c>
      <c r="AX668" s="310">
        <f>IF($AW668=0,0,VLOOKUP(VLOOKUP($X668,$B$34:$T$38,19,FALSE),ENTI!$A$9:$B$13,2,FALSE))</f>
        <v>0</v>
      </c>
      <c r="AY668" s="310">
        <f t="shared" si="132"/>
        <v>0</v>
      </c>
      <c r="AZ668" s="316">
        <f t="shared" si="133"/>
        <v>0</v>
      </c>
      <c r="BA668" s="1"/>
      <c r="BB668" s="152">
        <f t="shared" si="134"/>
        <v>0</v>
      </c>
      <c r="BC668" s="152">
        <f ca="1">SUM(Z$4:Z668)+SUM(BB$4:BB668)+COSTI!S$6-COSTI!L$1076</f>
        <v>-31.760000000000218</v>
      </c>
      <c r="BD668" s="1"/>
    </row>
    <row r="669" spans="1:56" ht="16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435">
        <f>IF(AND(W669&gt;=$U$1,W669&lt;=$U$2),IF(X669='ESTRATTO CONTO'!$E$2,1+COUNTIF(U$4:U668,"&gt;0"),0),0)</f>
        <v>0</v>
      </c>
      <c r="V669" s="417">
        <f t="shared" si="131"/>
        <v>666</v>
      </c>
      <c r="W669" s="509"/>
      <c r="X669" s="321"/>
      <c r="Y669" s="321"/>
      <c r="Z669" s="508"/>
      <c r="AA669" s="356"/>
      <c r="AB669" s="306" t="str">
        <f t="shared" si="127"/>
        <v/>
      </c>
      <c r="AC669" s="637">
        <f t="shared" ca="1" si="126"/>
        <v>-2.1316282072803006E-13</v>
      </c>
      <c r="AD669" s="935">
        <f>IF(ISERROR(VLOOKUP(AD$2,X670:X$1003,1,FALSE)),IF(X669=AD$2,SUMIF(X$4:X669,AD$2,Z$4:Z669)+$E$9+SUM(AQ$4:AQ$1003)+SUMIF(COSTI!$X$1379:$X$1430,AD$2,COSTI!$Z$1379:$Z$1430),0),0)</f>
        <v>0</v>
      </c>
      <c r="AE669" s="26"/>
      <c r="AF669" s="856" t="e">
        <f>IF(ISERROR(VLOOKUP(AG$2,X670:X$1003,1,FALSE)),IF(X669=AG$2,SUMIF(X$4:X669,AG$2,Z$4:Z669)+VLOOKUP(AF$2,$B$1057:$F$1068,5,FALSE)+SUM(AR$4:AR$1003)+SUMIF(COSTI!$X$1379:$X$1430,AG$2,COSTI!$Z$1379:$Z$1430),0),0)</f>
        <v>#N/A</v>
      </c>
      <c r="AG669" s="859"/>
      <c r="AH669" s="27" t="str">
        <f t="shared" si="128"/>
        <v/>
      </c>
      <c r="AI669" s="152">
        <f ca="1">IF(W670&gt;0,0,IF(AH669=0,(Z669*-1)+BC669+SUM(BB$4:BB668),BC669+SUM(BB$4:BB668)))</f>
        <v>-2.1316282072803006E-13</v>
      </c>
      <c r="AJ669" s="931">
        <f>IF(AND(AL669&gt;=$U$1,AL669&lt;=$U$2),IF(AM669='ESTRATTO CONTO'!$E$2,1+COUNTIF(AJ$4:AJ668,"&gt;0")+U$1015,0),0)</f>
        <v>0</v>
      </c>
      <c r="AK669" s="203">
        <f>IF(AND(OR((AK668+1)&lt;AL$1015,(AK668+1)=AL$1015),MAX(AK$4:AK668)&lt;AL$1015),AK668+1,0)</f>
        <v>0</v>
      </c>
      <c r="AL669" s="309">
        <f>VLOOKUP($AK669,ENTI!$AF$4:AG$1003,2,FALSE)</f>
        <v>0</v>
      </c>
      <c r="AM669" s="224">
        <f>VLOOKUP($AK669,ENTI!$AF$4:AH$1003,3,FALSE)</f>
        <v>0</v>
      </c>
      <c r="AN669" s="224">
        <f>VLOOKUP($AK669,ENTI!$AF$4:AI$1003,4,FALSE)</f>
        <v>0</v>
      </c>
      <c r="AO669" s="781">
        <f>VLOOKUP($AK669,ENTI!$AF$4:AJ$1003,5,FALSE)</f>
        <v>0</v>
      </c>
      <c r="AP669" s="315">
        <f>VLOOKUP($AK669,ENTI!$AF$4:AK$1003,6,FALSE)</f>
        <v>0</v>
      </c>
      <c r="AQ669" s="208">
        <f t="shared" si="135"/>
        <v>0</v>
      </c>
      <c r="AR669" s="152" t="e">
        <f t="shared" si="136"/>
        <v>#N/A</v>
      </c>
      <c r="AS669" s="1"/>
      <c r="AT669" s="88" t="str">
        <f t="shared" si="129"/>
        <v/>
      </c>
      <c r="AU669" s="1"/>
      <c r="AV669" s="175">
        <f>IF(AW669&gt;0,COUNTIF(AV$4:AV668,"&gt;0")+1,0)</f>
        <v>0</v>
      </c>
      <c r="AW669" s="164">
        <f t="shared" si="130"/>
        <v>0</v>
      </c>
      <c r="AX669" s="310">
        <f>IF($AW669=0,0,VLOOKUP(VLOOKUP($X669,$B$34:$T$38,19,FALSE),ENTI!$A$9:$B$13,2,FALSE))</f>
        <v>0</v>
      </c>
      <c r="AY669" s="310">
        <f t="shared" si="132"/>
        <v>0</v>
      </c>
      <c r="AZ669" s="316">
        <f t="shared" si="133"/>
        <v>0</v>
      </c>
      <c r="BA669" s="1"/>
      <c r="BB669" s="152">
        <f t="shared" si="134"/>
        <v>0</v>
      </c>
      <c r="BC669" s="152">
        <f ca="1">SUM(Z$4:Z669)+SUM(BB$4:BB669)+COSTI!S$6-COSTI!L$1076</f>
        <v>-31.760000000000218</v>
      </c>
      <c r="BD669" s="1"/>
    </row>
    <row r="670" spans="1:56" ht="16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435">
        <f>IF(AND(W670&gt;=$U$1,W670&lt;=$U$2),IF(X670='ESTRATTO CONTO'!$E$2,1+COUNTIF(U$4:U669,"&gt;0"),0),0)</f>
        <v>0</v>
      </c>
      <c r="V670" s="417">
        <f t="shared" si="131"/>
        <v>667</v>
      </c>
      <c r="W670" s="509"/>
      <c r="X670" s="321"/>
      <c r="Y670" s="321"/>
      <c r="Z670" s="508"/>
      <c r="AA670" s="356"/>
      <c r="AB670" s="306" t="str">
        <f t="shared" si="127"/>
        <v/>
      </c>
      <c r="AC670" s="637">
        <f t="shared" ca="1" si="126"/>
        <v>-2.1316282072803006E-13</v>
      </c>
      <c r="AD670" s="935">
        <f>IF(ISERROR(VLOOKUP(AD$2,X671:X$1003,1,FALSE)),IF(X670=AD$2,SUMIF(X$4:X670,AD$2,Z$4:Z670)+$E$9+SUM(AQ$4:AQ$1003)+SUMIF(COSTI!$X$1379:$X$1430,AD$2,COSTI!$Z$1379:$Z$1430),0),0)</f>
        <v>0</v>
      </c>
      <c r="AE670" s="26"/>
      <c r="AF670" s="856" t="e">
        <f>IF(ISERROR(VLOOKUP(AG$2,X671:X$1003,1,FALSE)),IF(X670=AG$2,SUMIF(X$4:X670,AG$2,Z$4:Z670)+VLOOKUP(AF$2,$B$1057:$F$1068,5,FALSE)+SUM(AR$4:AR$1003)+SUMIF(COSTI!$X$1379:$X$1430,AG$2,COSTI!$Z$1379:$Z$1430),0),0)</f>
        <v>#N/A</v>
      </c>
      <c r="AG670" s="859"/>
      <c r="AH670" s="27" t="str">
        <f t="shared" si="128"/>
        <v/>
      </c>
      <c r="AI670" s="152">
        <f ca="1">IF(W671&gt;0,0,IF(AH670=0,(Z670*-1)+BC670+SUM(BB$4:BB669),BC670+SUM(BB$4:BB669)))</f>
        <v>-2.1316282072803006E-13</v>
      </c>
      <c r="AJ670" s="931">
        <f>IF(AND(AL670&gt;=$U$1,AL670&lt;=$U$2),IF(AM670='ESTRATTO CONTO'!$E$2,1+COUNTIF(AJ$4:AJ669,"&gt;0")+U$1015,0),0)</f>
        <v>0</v>
      </c>
      <c r="AK670" s="203">
        <f>IF(AND(OR((AK669+1)&lt;AL$1015,(AK669+1)=AL$1015),MAX(AK$4:AK669)&lt;AL$1015),AK669+1,0)</f>
        <v>0</v>
      </c>
      <c r="AL670" s="309">
        <f>VLOOKUP($AK670,ENTI!$AF$4:AG$1003,2,FALSE)</f>
        <v>0</v>
      </c>
      <c r="AM670" s="224">
        <f>VLOOKUP($AK670,ENTI!$AF$4:AH$1003,3,FALSE)</f>
        <v>0</v>
      </c>
      <c r="AN670" s="224">
        <f>VLOOKUP($AK670,ENTI!$AF$4:AI$1003,4,FALSE)</f>
        <v>0</v>
      </c>
      <c r="AO670" s="781">
        <f>VLOOKUP($AK670,ENTI!$AF$4:AJ$1003,5,FALSE)</f>
        <v>0</v>
      </c>
      <c r="AP670" s="315">
        <f>VLOOKUP($AK670,ENTI!$AF$4:AK$1003,6,FALSE)</f>
        <v>0</v>
      </c>
      <c r="AQ670" s="208">
        <f t="shared" si="135"/>
        <v>0</v>
      </c>
      <c r="AR670" s="152" t="e">
        <f t="shared" si="136"/>
        <v>#N/A</v>
      </c>
      <c r="AS670" s="1"/>
      <c r="AT670" s="88" t="str">
        <f t="shared" si="129"/>
        <v/>
      </c>
      <c r="AU670" s="1"/>
      <c r="AV670" s="175">
        <f>IF(AW670&gt;0,COUNTIF(AV$4:AV669,"&gt;0")+1,0)</f>
        <v>0</v>
      </c>
      <c r="AW670" s="164">
        <f t="shared" si="130"/>
        <v>0</v>
      </c>
      <c r="AX670" s="310">
        <f>IF($AW670=0,0,VLOOKUP(VLOOKUP($X670,$B$34:$T$38,19,FALSE),ENTI!$A$9:$B$13,2,FALSE))</f>
        <v>0</v>
      </c>
      <c r="AY670" s="310">
        <f t="shared" si="132"/>
        <v>0</v>
      </c>
      <c r="AZ670" s="316">
        <f t="shared" si="133"/>
        <v>0</v>
      </c>
      <c r="BA670" s="1"/>
      <c r="BB670" s="152">
        <f t="shared" si="134"/>
        <v>0</v>
      </c>
      <c r="BC670" s="152">
        <f ca="1">SUM(Z$4:Z670)+SUM(BB$4:BB670)+COSTI!S$6-COSTI!L$1076</f>
        <v>-31.760000000000218</v>
      </c>
      <c r="BD670" s="1"/>
    </row>
    <row r="671" spans="1:56" ht="16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435">
        <f>IF(AND(W671&gt;=$U$1,W671&lt;=$U$2),IF(X671='ESTRATTO CONTO'!$E$2,1+COUNTIF(U$4:U670,"&gt;0"),0),0)</f>
        <v>0</v>
      </c>
      <c r="V671" s="417">
        <f t="shared" si="131"/>
        <v>668</v>
      </c>
      <c r="W671" s="509"/>
      <c r="X671" s="321"/>
      <c r="Y671" s="321"/>
      <c r="Z671" s="508"/>
      <c r="AA671" s="356"/>
      <c r="AB671" s="306" t="str">
        <f t="shared" si="127"/>
        <v/>
      </c>
      <c r="AC671" s="637">
        <f t="shared" ca="1" si="126"/>
        <v>-2.1316282072803006E-13</v>
      </c>
      <c r="AD671" s="935">
        <f>IF(ISERROR(VLOOKUP(AD$2,X672:X$1003,1,FALSE)),IF(X671=AD$2,SUMIF(X$4:X671,AD$2,Z$4:Z671)+$E$9+SUM(AQ$4:AQ$1003)+SUMIF(COSTI!$X$1379:$X$1430,AD$2,COSTI!$Z$1379:$Z$1430),0),0)</f>
        <v>0</v>
      </c>
      <c r="AE671" s="26"/>
      <c r="AF671" s="856" t="e">
        <f>IF(ISERROR(VLOOKUP(AG$2,X672:X$1003,1,FALSE)),IF(X671=AG$2,SUMIF(X$4:X671,AG$2,Z$4:Z671)+VLOOKUP(AF$2,$B$1057:$F$1068,5,FALSE)+SUM(AR$4:AR$1003)+SUMIF(COSTI!$X$1379:$X$1430,AG$2,COSTI!$Z$1379:$Z$1430),0),0)</f>
        <v>#N/A</v>
      </c>
      <c r="AG671" s="859"/>
      <c r="AH671" s="27" t="str">
        <f t="shared" si="128"/>
        <v/>
      </c>
      <c r="AI671" s="152">
        <f ca="1">IF(W672&gt;0,0,IF(AH671=0,(Z671*-1)+BC671+SUM(BB$4:BB670),BC671+SUM(BB$4:BB670)))</f>
        <v>-2.1316282072803006E-13</v>
      </c>
      <c r="AJ671" s="931">
        <f>IF(AND(AL671&gt;=$U$1,AL671&lt;=$U$2),IF(AM671='ESTRATTO CONTO'!$E$2,1+COUNTIF(AJ$4:AJ670,"&gt;0")+U$1015,0),0)</f>
        <v>0</v>
      </c>
      <c r="AK671" s="203">
        <f>IF(AND(OR((AK670+1)&lt;AL$1015,(AK670+1)=AL$1015),MAX(AK$4:AK670)&lt;AL$1015),AK670+1,0)</f>
        <v>0</v>
      </c>
      <c r="AL671" s="309">
        <f>VLOOKUP($AK671,ENTI!$AF$4:AG$1003,2,FALSE)</f>
        <v>0</v>
      </c>
      <c r="AM671" s="224">
        <f>VLOOKUP($AK671,ENTI!$AF$4:AH$1003,3,FALSE)</f>
        <v>0</v>
      </c>
      <c r="AN671" s="224">
        <f>VLOOKUP($AK671,ENTI!$AF$4:AI$1003,4,FALSE)</f>
        <v>0</v>
      </c>
      <c r="AO671" s="781">
        <f>VLOOKUP($AK671,ENTI!$AF$4:AJ$1003,5,FALSE)</f>
        <v>0</v>
      </c>
      <c r="AP671" s="315">
        <f>VLOOKUP($AK671,ENTI!$AF$4:AK$1003,6,FALSE)</f>
        <v>0</v>
      </c>
      <c r="AQ671" s="208">
        <f t="shared" si="135"/>
        <v>0</v>
      </c>
      <c r="AR671" s="152" t="e">
        <f t="shared" si="136"/>
        <v>#N/A</v>
      </c>
      <c r="AS671" s="1"/>
      <c r="AT671" s="88" t="str">
        <f t="shared" si="129"/>
        <v/>
      </c>
      <c r="AU671" s="1"/>
      <c r="AV671" s="175">
        <f>IF(AW671&gt;0,COUNTIF(AV$4:AV670,"&gt;0")+1,0)</f>
        <v>0</v>
      </c>
      <c r="AW671" s="164">
        <f t="shared" si="130"/>
        <v>0</v>
      </c>
      <c r="AX671" s="310">
        <f>IF($AW671=0,0,VLOOKUP(VLOOKUP($X671,$B$34:$T$38,19,FALSE),ENTI!$A$9:$B$13,2,FALSE))</f>
        <v>0</v>
      </c>
      <c r="AY671" s="310">
        <f t="shared" si="132"/>
        <v>0</v>
      </c>
      <c r="AZ671" s="316">
        <f t="shared" si="133"/>
        <v>0</v>
      </c>
      <c r="BA671" s="1"/>
      <c r="BB671" s="152">
        <f t="shared" si="134"/>
        <v>0</v>
      </c>
      <c r="BC671" s="152">
        <f ca="1">SUM(Z$4:Z671)+SUM(BB$4:BB671)+COSTI!S$6-COSTI!L$1076</f>
        <v>-31.760000000000218</v>
      </c>
      <c r="BD671" s="1"/>
    </row>
    <row r="672" spans="1:56" ht="16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435">
        <f>IF(AND(W672&gt;=$U$1,W672&lt;=$U$2),IF(X672='ESTRATTO CONTO'!$E$2,1+COUNTIF(U$4:U671,"&gt;0"),0),0)</f>
        <v>0</v>
      </c>
      <c r="V672" s="417">
        <f t="shared" si="131"/>
        <v>669</v>
      </c>
      <c r="W672" s="509"/>
      <c r="X672" s="321"/>
      <c r="Y672" s="321"/>
      <c r="Z672" s="508"/>
      <c r="AA672" s="356"/>
      <c r="AB672" s="306" t="str">
        <f t="shared" si="127"/>
        <v/>
      </c>
      <c r="AC672" s="637">
        <f t="shared" ca="1" si="126"/>
        <v>-2.1316282072803006E-13</v>
      </c>
      <c r="AD672" s="935">
        <f>IF(ISERROR(VLOOKUP(AD$2,X673:X$1003,1,FALSE)),IF(X672=AD$2,SUMIF(X$4:X672,AD$2,Z$4:Z672)+$E$9+SUM(AQ$4:AQ$1003)+SUMIF(COSTI!$X$1379:$X$1430,AD$2,COSTI!$Z$1379:$Z$1430),0),0)</f>
        <v>0</v>
      </c>
      <c r="AE672" s="26"/>
      <c r="AF672" s="856" t="e">
        <f>IF(ISERROR(VLOOKUP(AG$2,X673:X$1003,1,FALSE)),IF(X672=AG$2,SUMIF(X$4:X672,AG$2,Z$4:Z672)+VLOOKUP(AF$2,$B$1057:$F$1068,5,FALSE)+SUM(AR$4:AR$1003)+SUMIF(COSTI!$X$1379:$X$1430,AG$2,COSTI!$Z$1379:$Z$1430),0),0)</f>
        <v>#N/A</v>
      </c>
      <c r="AG672" s="859"/>
      <c r="AH672" s="27" t="str">
        <f t="shared" si="128"/>
        <v/>
      </c>
      <c r="AI672" s="152">
        <f ca="1">IF(W673&gt;0,0,IF(AH672=0,(Z672*-1)+BC672+SUM(BB$4:BB671),BC672+SUM(BB$4:BB671)))</f>
        <v>-2.1316282072803006E-13</v>
      </c>
      <c r="AJ672" s="931">
        <f>IF(AND(AL672&gt;=$U$1,AL672&lt;=$U$2),IF(AM672='ESTRATTO CONTO'!$E$2,1+COUNTIF(AJ$4:AJ671,"&gt;0")+U$1015,0),0)</f>
        <v>0</v>
      </c>
      <c r="AK672" s="203">
        <f>IF(AND(OR((AK671+1)&lt;AL$1015,(AK671+1)=AL$1015),MAX(AK$4:AK671)&lt;AL$1015),AK671+1,0)</f>
        <v>0</v>
      </c>
      <c r="AL672" s="309">
        <f>VLOOKUP($AK672,ENTI!$AF$4:AG$1003,2,FALSE)</f>
        <v>0</v>
      </c>
      <c r="AM672" s="224">
        <f>VLOOKUP($AK672,ENTI!$AF$4:AH$1003,3,FALSE)</f>
        <v>0</v>
      </c>
      <c r="AN672" s="224">
        <f>VLOOKUP($AK672,ENTI!$AF$4:AI$1003,4,FALSE)</f>
        <v>0</v>
      </c>
      <c r="AO672" s="781">
        <f>VLOOKUP($AK672,ENTI!$AF$4:AJ$1003,5,FALSE)</f>
        <v>0</v>
      </c>
      <c r="AP672" s="315">
        <f>VLOOKUP($AK672,ENTI!$AF$4:AK$1003,6,FALSE)</f>
        <v>0</v>
      </c>
      <c r="AQ672" s="208">
        <f t="shared" si="135"/>
        <v>0</v>
      </c>
      <c r="AR672" s="152" t="e">
        <f t="shared" si="136"/>
        <v>#N/A</v>
      </c>
      <c r="AS672" s="1"/>
      <c r="AT672" s="88" t="str">
        <f t="shared" si="129"/>
        <v/>
      </c>
      <c r="AU672" s="1"/>
      <c r="AV672" s="175">
        <f>IF(AW672&gt;0,COUNTIF(AV$4:AV671,"&gt;0")+1,0)</f>
        <v>0</v>
      </c>
      <c r="AW672" s="164">
        <f t="shared" si="130"/>
        <v>0</v>
      </c>
      <c r="AX672" s="310">
        <f>IF($AW672=0,0,VLOOKUP(VLOOKUP($X672,$B$34:$T$38,19,FALSE),ENTI!$A$9:$B$13,2,FALSE))</f>
        <v>0</v>
      </c>
      <c r="AY672" s="310">
        <f t="shared" si="132"/>
        <v>0</v>
      </c>
      <c r="AZ672" s="316">
        <f t="shared" si="133"/>
        <v>0</v>
      </c>
      <c r="BA672" s="1"/>
      <c r="BB672" s="152">
        <f t="shared" si="134"/>
        <v>0</v>
      </c>
      <c r="BC672" s="152">
        <f ca="1">SUM(Z$4:Z672)+SUM(BB$4:BB672)+COSTI!S$6-COSTI!L$1076</f>
        <v>-31.760000000000218</v>
      </c>
      <c r="BD672" s="1"/>
    </row>
    <row r="673" spans="1:56" ht="16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435">
        <f>IF(AND(W673&gt;=$U$1,W673&lt;=$U$2),IF(X673='ESTRATTO CONTO'!$E$2,1+COUNTIF(U$4:U672,"&gt;0"),0),0)</f>
        <v>0</v>
      </c>
      <c r="V673" s="417">
        <f t="shared" si="131"/>
        <v>670</v>
      </c>
      <c r="W673" s="509"/>
      <c r="X673" s="321"/>
      <c r="Y673" s="321"/>
      <c r="Z673" s="508"/>
      <c r="AA673" s="356"/>
      <c r="AB673" s="306" t="str">
        <f t="shared" si="127"/>
        <v/>
      </c>
      <c r="AC673" s="637">
        <f t="shared" ca="1" si="126"/>
        <v>-2.1316282072803006E-13</v>
      </c>
      <c r="AD673" s="935">
        <f>IF(ISERROR(VLOOKUP(AD$2,X674:X$1003,1,FALSE)),IF(X673=AD$2,SUMIF(X$4:X673,AD$2,Z$4:Z673)+$E$9+SUM(AQ$4:AQ$1003)+SUMIF(COSTI!$X$1379:$X$1430,AD$2,COSTI!$Z$1379:$Z$1430),0),0)</f>
        <v>0</v>
      </c>
      <c r="AE673" s="26"/>
      <c r="AF673" s="856" t="e">
        <f>IF(ISERROR(VLOOKUP(AG$2,X674:X$1003,1,FALSE)),IF(X673=AG$2,SUMIF(X$4:X673,AG$2,Z$4:Z673)+VLOOKUP(AF$2,$B$1057:$F$1068,5,FALSE)+SUM(AR$4:AR$1003)+SUMIF(COSTI!$X$1379:$X$1430,AG$2,COSTI!$Z$1379:$Z$1430),0),0)</f>
        <v>#N/A</v>
      </c>
      <c r="AG673" s="859"/>
      <c r="AH673" s="27" t="str">
        <f t="shared" si="128"/>
        <v/>
      </c>
      <c r="AI673" s="152">
        <f ca="1">IF(W674&gt;0,0,IF(AH673=0,(Z673*-1)+BC673+SUM(BB$4:BB672),BC673+SUM(BB$4:BB672)))</f>
        <v>-2.1316282072803006E-13</v>
      </c>
      <c r="AJ673" s="931">
        <f>IF(AND(AL673&gt;=$U$1,AL673&lt;=$U$2),IF(AM673='ESTRATTO CONTO'!$E$2,1+COUNTIF(AJ$4:AJ672,"&gt;0")+U$1015,0),0)</f>
        <v>0</v>
      </c>
      <c r="AK673" s="203">
        <f>IF(AND(OR((AK672+1)&lt;AL$1015,(AK672+1)=AL$1015),MAX(AK$4:AK672)&lt;AL$1015),AK672+1,0)</f>
        <v>0</v>
      </c>
      <c r="AL673" s="309">
        <f>VLOOKUP($AK673,ENTI!$AF$4:AG$1003,2,FALSE)</f>
        <v>0</v>
      </c>
      <c r="AM673" s="224">
        <f>VLOOKUP($AK673,ENTI!$AF$4:AH$1003,3,FALSE)</f>
        <v>0</v>
      </c>
      <c r="AN673" s="224">
        <f>VLOOKUP($AK673,ENTI!$AF$4:AI$1003,4,FALSE)</f>
        <v>0</v>
      </c>
      <c r="AO673" s="781">
        <f>VLOOKUP($AK673,ENTI!$AF$4:AJ$1003,5,FALSE)</f>
        <v>0</v>
      </c>
      <c r="AP673" s="315">
        <f>VLOOKUP($AK673,ENTI!$AF$4:AK$1003,6,FALSE)</f>
        <v>0</v>
      </c>
      <c r="AQ673" s="208">
        <f t="shared" si="135"/>
        <v>0</v>
      </c>
      <c r="AR673" s="152" t="e">
        <f t="shared" si="136"/>
        <v>#N/A</v>
      </c>
      <c r="AS673" s="1"/>
      <c r="AT673" s="88" t="str">
        <f t="shared" si="129"/>
        <v/>
      </c>
      <c r="AU673" s="1"/>
      <c r="AV673" s="175">
        <f>IF(AW673&gt;0,COUNTIF(AV$4:AV672,"&gt;0")+1,0)</f>
        <v>0</v>
      </c>
      <c r="AW673" s="164">
        <f t="shared" si="130"/>
        <v>0</v>
      </c>
      <c r="AX673" s="310">
        <f>IF($AW673=0,0,VLOOKUP(VLOOKUP($X673,$B$34:$T$38,19,FALSE),ENTI!$A$9:$B$13,2,FALSE))</f>
        <v>0</v>
      </c>
      <c r="AY673" s="310">
        <f t="shared" si="132"/>
        <v>0</v>
      </c>
      <c r="AZ673" s="316">
        <f t="shared" si="133"/>
        <v>0</v>
      </c>
      <c r="BA673" s="1"/>
      <c r="BB673" s="152">
        <f t="shared" si="134"/>
        <v>0</v>
      </c>
      <c r="BC673" s="152">
        <f ca="1">SUM(Z$4:Z673)+SUM(BB$4:BB673)+COSTI!S$6-COSTI!L$1076</f>
        <v>-31.760000000000218</v>
      </c>
      <c r="BD673" s="1"/>
    </row>
    <row r="674" spans="1:56" ht="16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435">
        <f>IF(AND(W674&gt;=$U$1,W674&lt;=$U$2),IF(X674='ESTRATTO CONTO'!$E$2,1+COUNTIF(U$4:U673,"&gt;0"),0),0)</f>
        <v>0</v>
      </c>
      <c r="V674" s="417">
        <f t="shared" si="131"/>
        <v>671</v>
      </c>
      <c r="W674" s="509"/>
      <c r="X674" s="321"/>
      <c r="Y674" s="321"/>
      <c r="Z674" s="508"/>
      <c r="AA674" s="356"/>
      <c r="AB674" s="306" t="str">
        <f t="shared" si="127"/>
        <v/>
      </c>
      <c r="AC674" s="637">
        <f t="shared" ca="1" si="126"/>
        <v>-2.1316282072803006E-13</v>
      </c>
      <c r="AD674" s="935">
        <f>IF(ISERROR(VLOOKUP(AD$2,X675:X$1003,1,FALSE)),IF(X674=AD$2,SUMIF(X$4:X674,AD$2,Z$4:Z674)+$E$9+SUM(AQ$4:AQ$1003)+SUMIF(COSTI!$X$1379:$X$1430,AD$2,COSTI!$Z$1379:$Z$1430),0),0)</f>
        <v>0</v>
      </c>
      <c r="AE674" s="26"/>
      <c r="AF674" s="856" t="e">
        <f>IF(ISERROR(VLOOKUP(AG$2,X675:X$1003,1,FALSE)),IF(X674=AG$2,SUMIF(X$4:X674,AG$2,Z$4:Z674)+VLOOKUP(AF$2,$B$1057:$F$1068,5,FALSE)+SUM(AR$4:AR$1003)+SUMIF(COSTI!$X$1379:$X$1430,AG$2,COSTI!$Z$1379:$Z$1430),0),0)</f>
        <v>#N/A</v>
      </c>
      <c r="AG674" s="859"/>
      <c r="AH674" s="27" t="str">
        <f t="shared" si="128"/>
        <v/>
      </c>
      <c r="AI674" s="152">
        <f ca="1">IF(W675&gt;0,0,IF(AH674=0,(Z674*-1)+BC674+SUM(BB$4:BB673),BC674+SUM(BB$4:BB673)))</f>
        <v>-2.1316282072803006E-13</v>
      </c>
      <c r="AJ674" s="931">
        <f>IF(AND(AL674&gt;=$U$1,AL674&lt;=$U$2),IF(AM674='ESTRATTO CONTO'!$E$2,1+COUNTIF(AJ$4:AJ673,"&gt;0")+U$1015,0),0)</f>
        <v>0</v>
      </c>
      <c r="AK674" s="203">
        <f>IF(AND(OR((AK673+1)&lt;AL$1015,(AK673+1)=AL$1015),MAX(AK$4:AK673)&lt;AL$1015),AK673+1,0)</f>
        <v>0</v>
      </c>
      <c r="AL674" s="309">
        <f>VLOOKUP($AK674,ENTI!$AF$4:AG$1003,2,FALSE)</f>
        <v>0</v>
      </c>
      <c r="AM674" s="224">
        <f>VLOOKUP($AK674,ENTI!$AF$4:AH$1003,3,FALSE)</f>
        <v>0</v>
      </c>
      <c r="AN674" s="224">
        <f>VLOOKUP($AK674,ENTI!$AF$4:AI$1003,4,FALSE)</f>
        <v>0</v>
      </c>
      <c r="AO674" s="781">
        <f>VLOOKUP($AK674,ENTI!$AF$4:AJ$1003,5,FALSE)</f>
        <v>0</v>
      </c>
      <c r="AP674" s="315">
        <f>VLOOKUP($AK674,ENTI!$AF$4:AK$1003,6,FALSE)</f>
        <v>0</v>
      </c>
      <c r="AQ674" s="208">
        <f t="shared" si="135"/>
        <v>0</v>
      </c>
      <c r="AR674" s="152" t="e">
        <f t="shared" si="136"/>
        <v>#N/A</v>
      </c>
      <c r="AS674" s="1"/>
      <c r="AT674" s="88" t="str">
        <f t="shared" si="129"/>
        <v/>
      </c>
      <c r="AU674" s="1"/>
      <c r="AV674" s="175">
        <f>IF(AW674&gt;0,COUNTIF(AV$4:AV673,"&gt;0")+1,0)</f>
        <v>0</v>
      </c>
      <c r="AW674" s="164">
        <f t="shared" si="130"/>
        <v>0</v>
      </c>
      <c r="AX674" s="310">
        <f>IF($AW674=0,0,VLOOKUP(VLOOKUP($X674,$B$34:$T$38,19,FALSE),ENTI!$A$9:$B$13,2,FALSE))</f>
        <v>0</v>
      </c>
      <c r="AY674" s="310">
        <f t="shared" si="132"/>
        <v>0</v>
      </c>
      <c r="AZ674" s="316">
        <f t="shared" si="133"/>
        <v>0</v>
      </c>
      <c r="BA674" s="1"/>
      <c r="BB674" s="152">
        <f t="shared" si="134"/>
        <v>0</v>
      </c>
      <c r="BC674" s="152">
        <f ca="1">SUM(Z$4:Z674)+SUM(BB$4:BB674)+COSTI!S$6-COSTI!L$1076</f>
        <v>-31.760000000000218</v>
      </c>
      <c r="BD674" s="1"/>
    </row>
    <row r="675" spans="1:56" ht="16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435">
        <f>IF(AND(W675&gt;=$U$1,W675&lt;=$U$2),IF(X675='ESTRATTO CONTO'!$E$2,1+COUNTIF(U$4:U674,"&gt;0"),0),0)</f>
        <v>0</v>
      </c>
      <c r="V675" s="417">
        <f t="shared" si="131"/>
        <v>672</v>
      </c>
      <c r="W675" s="509"/>
      <c r="X675" s="321"/>
      <c r="Y675" s="321"/>
      <c r="Z675" s="508"/>
      <c r="AA675" s="356"/>
      <c r="AB675" s="306" t="str">
        <f t="shared" si="127"/>
        <v/>
      </c>
      <c r="AC675" s="637">
        <f t="shared" ca="1" si="126"/>
        <v>-2.1316282072803006E-13</v>
      </c>
      <c r="AD675" s="935">
        <f>IF(ISERROR(VLOOKUP(AD$2,X676:X$1003,1,FALSE)),IF(X675=AD$2,SUMIF(X$4:X675,AD$2,Z$4:Z675)+$E$9+SUM(AQ$4:AQ$1003)+SUMIF(COSTI!$X$1379:$X$1430,AD$2,COSTI!$Z$1379:$Z$1430),0),0)</f>
        <v>0</v>
      </c>
      <c r="AE675" s="26"/>
      <c r="AF675" s="856" t="e">
        <f>IF(ISERROR(VLOOKUP(AG$2,X676:X$1003,1,FALSE)),IF(X675=AG$2,SUMIF(X$4:X675,AG$2,Z$4:Z675)+VLOOKUP(AF$2,$B$1057:$F$1068,5,FALSE)+SUM(AR$4:AR$1003)+SUMIF(COSTI!$X$1379:$X$1430,AG$2,COSTI!$Z$1379:$Z$1430),0),0)</f>
        <v>#N/A</v>
      </c>
      <c r="AG675" s="859"/>
      <c r="AH675" s="27" t="str">
        <f t="shared" si="128"/>
        <v/>
      </c>
      <c r="AI675" s="152">
        <f ca="1">IF(W676&gt;0,0,IF(AH675=0,(Z675*-1)+BC675+SUM(BB$4:BB674),BC675+SUM(BB$4:BB674)))</f>
        <v>-2.1316282072803006E-13</v>
      </c>
      <c r="AJ675" s="931">
        <f>IF(AND(AL675&gt;=$U$1,AL675&lt;=$U$2),IF(AM675='ESTRATTO CONTO'!$E$2,1+COUNTIF(AJ$4:AJ674,"&gt;0")+U$1015,0),0)</f>
        <v>0</v>
      </c>
      <c r="AK675" s="203">
        <f>IF(AND(OR((AK674+1)&lt;AL$1015,(AK674+1)=AL$1015),MAX(AK$4:AK674)&lt;AL$1015),AK674+1,0)</f>
        <v>0</v>
      </c>
      <c r="AL675" s="309">
        <f>VLOOKUP($AK675,ENTI!$AF$4:AG$1003,2,FALSE)</f>
        <v>0</v>
      </c>
      <c r="AM675" s="224">
        <f>VLOOKUP($AK675,ENTI!$AF$4:AH$1003,3,FALSE)</f>
        <v>0</v>
      </c>
      <c r="AN675" s="224">
        <f>VLOOKUP($AK675,ENTI!$AF$4:AI$1003,4,FALSE)</f>
        <v>0</v>
      </c>
      <c r="AO675" s="781">
        <f>VLOOKUP($AK675,ENTI!$AF$4:AJ$1003,5,FALSE)</f>
        <v>0</v>
      </c>
      <c r="AP675" s="315">
        <f>VLOOKUP($AK675,ENTI!$AF$4:AK$1003,6,FALSE)</f>
        <v>0</v>
      </c>
      <c r="AQ675" s="208">
        <f t="shared" si="135"/>
        <v>0</v>
      </c>
      <c r="AR675" s="152" t="e">
        <f t="shared" si="136"/>
        <v>#N/A</v>
      </c>
      <c r="AS675" s="1"/>
      <c r="AT675" s="88" t="str">
        <f t="shared" si="129"/>
        <v/>
      </c>
      <c r="AU675" s="1"/>
      <c r="AV675" s="175">
        <f>IF(AW675&gt;0,COUNTIF(AV$4:AV674,"&gt;0")+1,0)</f>
        <v>0</v>
      </c>
      <c r="AW675" s="164">
        <f t="shared" si="130"/>
        <v>0</v>
      </c>
      <c r="AX675" s="310">
        <f>IF($AW675=0,0,VLOOKUP(VLOOKUP($X675,$B$34:$T$38,19,FALSE),ENTI!$A$9:$B$13,2,FALSE))</f>
        <v>0</v>
      </c>
      <c r="AY675" s="310">
        <f t="shared" si="132"/>
        <v>0</v>
      </c>
      <c r="AZ675" s="316">
        <f t="shared" si="133"/>
        <v>0</v>
      </c>
      <c r="BA675" s="1"/>
      <c r="BB675" s="152">
        <f t="shared" si="134"/>
        <v>0</v>
      </c>
      <c r="BC675" s="152">
        <f ca="1">SUM(Z$4:Z675)+SUM(BB$4:BB675)+COSTI!S$6-COSTI!L$1076</f>
        <v>-31.760000000000218</v>
      </c>
      <c r="BD675" s="1"/>
    </row>
    <row r="676" spans="1:56" ht="16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435">
        <f>IF(AND(W676&gt;=$U$1,W676&lt;=$U$2),IF(X676='ESTRATTO CONTO'!$E$2,1+COUNTIF(U$4:U675,"&gt;0"),0),0)</f>
        <v>0</v>
      </c>
      <c r="V676" s="417">
        <f t="shared" si="131"/>
        <v>673</v>
      </c>
      <c r="W676" s="509"/>
      <c r="X676" s="321"/>
      <c r="Y676" s="321"/>
      <c r="Z676" s="508"/>
      <c r="AA676" s="356"/>
      <c r="AB676" s="306" t="str">
        <f t="shared" si="127"/>
        <v/>
      </c>
      <c r="AC676" s="637">
        <f t="shared" ca="1" si="126"/>
        <v>-2.1316282072803006E-13</v>
      </c>
      <c r="AD676" s="935">
        <f>IF(ISERROR(VLOOKUP(AD$2,X677:X$1003,1,FALSE)),IF(X676=AD$2,SUMIF(X$4:X676,AD$2,Z$4:Z676)+$E$9+SUM(AQ$4:AQ$1003)+SUMIF(COSTI!$X$1379:$X$1430,AD$2,COSTI!$Z$1379:$Z$1430),0),0)</f>
        <v>0</v>
      </c>
      <c r="AE676" s="26"/>
      <c r="AF676" s="856" t="e">
        <f>IF(ISERROR(VLOOKUP(AG$2,X677:X$1003,1,FALSE)),IF(X676=AG$2,SUMIF(X$4:X676,AG$2,Z$4:Z676)+VLOOKUP(AF$2,$B$1057:$F$1068,5,FALSE)+SUM(AR$4:AR$1003)+SUMIF(COSTI!$X$1379:$X$1430,AG$2,COSTI!$Z$1379:$Z$1430),0),0)</f>
        <v>#N/A</v>
      </c>
      <c r="AG676" s="859"/>
      <c r="AH676" s="27" t="str">
        <f t="shared" si="128"/>
        <v/>
      </c>
      <c r="AI676" s="152">
        <f ca="1">IF(W677&gt;0,0,IF(AH676=0,(Z676*-1)+BC676+SUM(BB$4:BB675),BC676+SUM(BB$4:BB675)))</f>
        <v>-2.1316282072803006E-13</v>
      </c>
      <c r="AJ676" s="931">
        <f>IF(AND(AL676&gt;=$U$1,AL676&lt;=$U$2),IF(AM676='ESTRATTO CONTO'!$E$2,1+COUNTIF(AJ$4:AJ675,"&gt;0")+U$1015,0),0)</f>
        <v>0</v>
      </c>
      <c r="AK676" s="203">
        <f>IF(AND(OR((AK675+1)&lt;AL$1015,(AK675+1)=AL$1015),MAX(AK$4:AK675)&lt;AL$1015),AK675+1,0)</f>
        <v>0</v>
      </c>
      <c r="AL676" s="309">
        <f>VLOOKUP($AK676,ENTI!$AF$4:AG$1003,2,FALSE)</f>
        <v>0</v>
      </c>
      <c r="AM676" s="224">
        <f>VLOOKUP($AK676,ENTI!$AF$4:AH$1003,3,FALSE)</f>
        <v>0</v>
      </c>
      <c r="AN676" s="224">
        <f>VLOOKUP($AK676,ENTI!$AF$4:AI$1003,4,FALSE)</f>
        <v>0</v>
      </c>
      <c r="AO676" s="781">
        <f>VLOOKUP($AK676,ENTI!$AF$4:AJ$1003,5,FALSE)</f>
        <v>0</v>
      </c>
      <c r="AP676" s="315">
        <f>VLOOKUP($AK676,ENTI!$AF$4:AK$1003,6,FALSE)</f>
        <v>0</v>
      </c>
      <c r="AQ676" s="208">
        <f t="shared" si="135"/>
        <v>0</v>
      </c>
      <c r="AR676" s="152" t="e">
        <f t="shared" si="136"/>
        <v>#N/A</v>
      </c>
      <c r="AS676" s="1"/>
      <c r="AT676" s="88" t="str">
        <f t="shared" si="129"/>
        <v/>
      </c>
      <c r="AU676" s="1"/>
      <c r="AV676" s="175">
        <f>IF(AW676&gt;0,COUNTIF(AV$4:AV675,"&gt;0")+1,0)</f>
        <v>0</v>
      </c>
      <c r="AW676" s="164">
        <f t="shared" si="130"/>
        <v>0</v>
      </c>
      <c r="AX676" s="310">
        <f>IF($AW676=0,0,VLOOKUP(VLOOKUP($X676,$B$34:$T$38,19,FALSE),ENTI!$A$9:$B$13,2,FALSE))</f>
        <v>0</v>
      </c>
      <c r="AY676" s="310">
        <f t="shared" si="132"/>
        <v>0</v>
      </c>
      <c r="AZ676" s="316">
        <f t="shared" si="133"/>
        <v>0</v>
      </c>
      <c r="BA676" s="1"/>
      <c r="BB676" s="152">
        <f t="shared" si="134"/>
        <v>0</v>
      </c>
      <c r="BC676" s="152">
        <f ca="1">SUM(Z$4:Z676)+SUM(BB$4:BB676)+COSTI!S$6-COSTI!L$1076</f>
        <v>-31.760000000000218</v>
      </c>
      <c r="BD676" s="1"/>
    </row>
    <row r="677" spans="1:56" ht="16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435">
        <f>IF(AND(W677&gt;=$U$1,W677&lt;=$U$2),IF(X677='ESTRATTO CONTO'!$E$2,1+COUNTIF(U$4:U676,"&gt;0"),0),0)</f>
        <v>0</v>
      </c>
      <c r="V677" s="417">
        <f t="shared" si="131"/>
        <v>674</v>
      </c>
      <c r="W677" s="509"/>
      <c r="X677" s="321"/>
      <c r="Y677" s="321"/>
      <c r="Z677" s="508"/>
      <c r="AA677" s="356"/>
      <c r="AB677" s="306" t="str">
        <f t="shared" si="127"/>
        <v/>
      </c>
      <c r="AC677" s="637">
        <f t="shared" ca="1" si="126"/>
        <v>-2.1316282072803006E-13</v>
      </c>
      <c r="AD677" s="935">
        <f>IF(ISERROR(VLOOKUP(AD$2,X678:X$1003,1,FALSE)),IF(X677=AD$2,SUMIF(X$4:X677,AD$2,Z$4:Z677)+$E$9+SUM(AQ$4:AQ$1003)+SUMIF(COSTI!$X$1379:$X$1430,AD$2,COSTI!$Z$1379:$Z$1430),0),0)</f>
        <v>0</v>
      </c>
      <c r="AE677" s="26"/>
      <c r="AF677" s="856" t="e">
        <f>IF(ISERROR(VLOOKUP(AG$2,X678:X$1003,1,FALSE)),IF(X677=AG$2,SUMIF(X$4:X677,AG$2,Z$4:Z677)+VLOOKUP(AF$2,$B$1057:$F$1068,5,FALSE)+SUM(AR$4:AR$1003)+SUMIF(COSTI!$X$1379:$X$1430,AG$2,COSTI!$Z$1379:$Z$1430),0),0)</f>
        <v>#N/A</v>
      </c>
      <c r="AG677" s="859"/>
      <c r="AH677" s="27" t="str">
        <f t="shared" si="128"/>
        <v/>
      </c>
      <c r="AI677" s="152">
        <f ca="1">IF(W678&gt;0,0,IF(AH677=0,(Z677*-1)+BC677+SUM(BB$4:BB676),BC677+SUM(BB$4:BB676)))</f>
        <v>-2.1316282072803006E-13</v>
      </c>
      <c r="AJ677" s="931">
        <f>IF(AND(AL677&gt;=$U$1,AL677&lt;=$U$2),IF(AM677='ESTRATTO CONTO'!$E$2,1+COUNTIF(AJ$4:AJ676,"&gt;0")+U$1015,0),0)</f>
        <v>0</v>
      </c>
      <c r="AK677" s="203">
        <f>IF(AND(OR((AK676+1)&lt;AL$1015,(AK676+1)=AL$1015),MAX(AK$4:AK676)&lt;AL$1015),AK676+1,0)</f>
        <v>0</v>
      </c>
      <c r="AL677" s="309">
        <f>VLOOKUP($AK677,ENTI!$AF$4:AG$1003,2,FALSE)</f>
        <v>0</v>
      </c>
      <c r="AM677" s="224">
        <f>VLOOKUP($AK677,ENTI!$AF$4:AH$1003,3,FALSE)</f>
        <v>0</v>
      </c>
      <c r="AN677" s="224">
        <f>VLOOKUP($AK677,ENTI!$AF$4:AI$1003,4,FALSE)</f>
        <v>0</v>
      </c>
      <c r="AO677" s="781">
        <f>VLOOKUP($AK677,ENTI!$AF$4:AJ$1003,5,FALSE)</f>
        <v>0</v>
      </c>
      <c r="AP677" s="315">
        <f>VLOOKUP($AK677,ENTI!$AF$4:AK$1003,6,FALSE)</f>
        <v>0</v>
      </c>
      <c r="AQ677" s="208">
        <f t="shared" si="135"/>
        <v>0</v>
      </c>
      <c r="AR677" s="152" t="e">
        <f t="shared" si="136"/>
        <v>#N/A</v>
      </c>
      <c r="AS677" s="1"/>
      <c r="AT677" s="88" t="str">
        <f t="shared" si="129"/>
        <v/>
      </c>
      <c r="AU677" s="1"/>
      <c r="AV677" s="175">
        <f>IF(AW677&gt;0,COUNTIF(AV$4:AV676,"&gt;0")+1,0)</f>
        <v>0</v>
      </c>
      <c r="AW677" s="164">
        <f t="shared" si="130"/>
        <v>0</v>
      </c>
      <c r="AX677" s="310">
        <f>IF($AW677=0,0,VLOOKUP(VLOOKUP($X677,$B$34:$T$38,19,FALSE),ENTI!$A$9:$B$13,2,FALSE))</f>
        <v>0</v>
      </c>
      <c r="AY677" s="310">
        <f t="shared" si="132"/>
        <v>0</v>
      </c>
      <c r="AZ677" s="316">
        <f t="shared" si="133"/>
        <v>0</v>
      </c>
      <c r="BA677" s="1"/>
      <c r="BB677" s="152">
        <f t="shared" si="134"/>
        <v>0</v>
      </c>
      <c r="BC677" s="152">
        <f ca="1">SUM(Z$4:Z677)+SUM(BB$4:BB677)+COSTI!S$6-COSTI!L$1076</f>
        <v>-31.760000000000218</v>
      </c>
      <c r="BD677" s="1"/>
    </row>
    <row r="678" spans="1:56" ht="16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435">
        <f>IF(AND(W678&gt;=$U$1,W678&lt;=$U$2),IF(X678='ESTRATTO CONTO'!$E$2,1+COUNTIF(U$4:U677,"&gt;0"),0),0)</f>
        <v>0</v>
      </c>
      <c r="V678" s="417">
        <f t="shared" si="131"/>
        <v>675</v>
      </c>
      <c r="W678" s="509"/>
      <c r="X678" s="321"/>
      <c r="Y678" s="321"/>
      <c r="Z678" s="508"/>
      <c r="AA678" s="356"/>
      <c r="AB678" s="306" t="str">
        <f t="shared" si="127"/>
        <v/>
      </c>
      <c r="AC678" s="637">
        <f t="shared" ca="1" si="126"/>
        <v>-2.1316282072803006E-13</v>
      </c>
      <c r="AD678" s="935">
        <f>IF(ISERROR(VLOOKUP(AD$2,X679:X$1003,1,FALSE)),IF(X678=AD$2,SUMIF(X$4:X678,AD$2,Z$4:Z678)+$E$9+SUM(AQ$4:AQ$1003)+SUMIF(COSTI!$X$1379:$X$1430,AD$2,COSTI!$Z$1379:$Z$1430),0),0)</f>
        <v>0</v>
      </c>
      <c r="AE678" s="26"/>
      <c r="AF678" s="856" t="e">
        <f>IF(ISERROR(VLOOKUP(AG$2,X679:X$1003,1,FALSE)),IF(X678=AG$2,SUMIF(X$4:X678,AG$2,Z$4:Z678)+VLOOKUP(AF$2,$B$1057:$F$1068,5,FALSE)+SUM(AR$4:AR$1003)+SUMIF(COSTI!$X$1379:$X$1430,AG$2,COSTI!$Z$1379:$Z$1430),0),0)</f>
        <v>#N/A</v>
      </c>
      <c r="AG678" s="859"/>
      <c r="AH678" s="27" t="str">
        <f t="shared" si="128"/>
        <v/>
      </c>
      <c r="AI678" s="152">
        <f ca="1">IF(W679&gt;0,0,IF(AH678=0,(Z678*-1)+BC678+SUM(BB$4:BB677),BC678+SUM(BB$4:BB677)))</f>
        <v>-2.1316282072803006E-13</v>
      </c>
      <c r="AJ678" s="931">
        <f>IF(AND(AL678&gt;=$U$1,AL678&lt;=$U$2),IF(AM678='ESTRATTO CONTO'!$E$2,1+COUNTIF(AJ$4:AJ677,"&gt;0")+U$1015,0),0)</f>
        <v>0</v>
      </c>
      <c r="AK678" s="203">
        <f>IF(AND(OR((AK677+1)&lt;AL$1015,(AK677+1)=AL$1015),MAX(AK$4:AK677)&lt;AL$1015),AK677+1,0)</f>
        <v>0</v>
      </c>
      <c r="AL678" s="309">
        <f>VLOOKUP($AK678,ENTI!$AF$4:AG$1003,2,FALSE)</f>
        <v>0</v>
      </c>
      <c r="AM678" s="224">
        <f>VLOOKUP($AK678,ENTI!$AF$4:AH$1003,3,FALSE)</f>
        <v>0</v>
      </c>
      <c r="AN678" s="224">
        <f>VLOOKUP($AK678,ENTI!$AF$4:AI$1003,4,FALSE)</f>
        <v>0</v>
      </c>
      <c r="AO678" s="781">
        <f>VLOOKUP($AK678,ENTI!$AF$4:AJ$1003,5,FALSE)</f>
        <v>0</v>
      </c>
      <c r="AP678" s="315">
        <f>VLOOKUP($AK678,ENTI!$AF$4:AK$1003,6,FALSE)</f>
        <v>0</v>
      </c>
      <c r="AQ678" s="208">
        <f t="shared" si="135"/>
        <v>0</v>
      </c>
      <c r="AR678" s="152" t="e">
        <f t="shared" si="136"/>
        <v>#N/A</v>
      </c>
      <c r="AS678" s="1"/>
      <c r="AT678" s="88" t="str">
        <f t="shared" si="129"/>
        <v/>
      </c>
      <c r="AU678" s="1"/>
      <c r="AV678" s="175">
        <f>IF(AW678&gt;0,COUNTIF(AV$4:AV677,"&gt;0")+1,0)</f>
        <v>0</v>
      </c>
      <c r="AW678" s="164">
        <f t="shared" si="130"/>
        <v>0</v>
      </c>
      <c r="AX678" s="310">
        <f>IF($AW678=0,0,VLOOKUP(VLOOKUP($X678,$B$34:$T$38,19,FALSE),ENTI!$A$9:$B$13,2,FALSE))</f>
        <v>0</v>
      </c>
      <c r="AY678" s="310">
        <f t="shared" si="132"/>
        <v>0</v>
      </c>
      <c r="AZ678" s="316">
        <f t="shared" si="133"/>
        <v>0</v>
      </c>
      <c r="BA678" s="1"/>
      <c r="BB678" s="152">
        <f t="shared" si="134"/>
        <v>0</v>
      </c>
      <c r="BC678" s="152">
        <f ca="1">SUM(Z$4:Z678)+SUM(BB$4:BB678)+COSTI!S$6-COSTI!L$1076</f>
        <v>-31.760000000000218</v>
      </c>
      <c r="BD678" s="1"/>
    </row>
    <row r="679" spans="1:56" ht="16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435">
        <f>IF(AND(W679&gt;=$U$1,W679&lt;=$U$2),IF(X679='ESTRATTO CONTO'!$E$2,1+COUNTIF(U$4:U678,"&gt;0"),0),0)</f>
        <v>0</v>
      </c>
      <c r="V679" s="417">
        <f t="shared" si="131"/>
        <v>676</v>
      </c>
      <c r="W679" s="509"/>
      <c r="X679" s="321"/>
      <c r="Y679" s="321"/>
      <c r="Z679" s="508"/>
      <c r="AA679" s="356"/>
      <c r="AB679" s="306" t="str">
        <f t="shared" si="127"/>
        <v/>
      </c>
      <c r="AC679" s="637">
        <f t="shared" ca="1" si="126"/>
        <v>-2.1316282072803006E-13</v>
      </c>
      <c r="AD679" s="935">
        <f>IF(ISERROR(VLOOKUP(AD$2,X680:X$1003,1,FALSE)),IF(X679=AD$2,SUMIF(X$4:X679,AD$2,Z$4:Z679)+$E$9+SUM(AQ$4:AQ$1003)+SUMIF(COSTI!$X$1379:$X$1430,AD$2,COSTI!$Z$1379:$Z$1430),0),0)</f>
        <v>0</v>
      </c>
      <c r="AE679" s="26"/>
      <c r="AF679" s="856" t="e">
        <f>IF(ISERROR(VLOOKUP(AG$2,X680:X$1003,1,FALSE)),IF(X679=AG$2,SUMIF(X$4:X679,AG$2,Z$4:Z679)+VLOOKUP(AF$2,$B$1057:$F$1068,5,FALSE)+SUM(AR$4:AR$1003)+SUMIF(COSTI!$X$1379:$X$1430,AG$2,COSTI!$Z$1379:$Z$1430),0),0)</f>
        <v>#N/A</v>
      </c>
      <c r="AG679" s="859"/>
      <c r="AH679" s="27" t="str">
        <f t="shared" si="128"/>
        <v/>
      </c>
      <c r="AI679" s="152">
        <f ca="1">IF(W680&gt;0,0,IF(AH679=0,(Z679*-1)+BC679+SUM(BB$4:BB678),BC679+SUM(BB$4:BB678)))</f>
        <v>-2.1316282072803006E-13</v>
      </c>
      <c r="AJ679" s="931">
        <f>IF(AND(AL679&gt;=$U$1,AL679&lt;=$U$2),IF(AM679='ESTRATTO CONTO'!$E$2,1+COUNTIF(AJ$4:AJ678,"&gt;0")+U$1015,0),0)</f>
        <v>0</v>
      </c>
      <c r="AK679" s="203">
        <f>IF(AND(OR((AK678+1)&lt;AL$1015,(AK678+1)=AL$1015),MAX(AK$4:AK678)&lt;AL$1015),AK678+1,0)</f>
        <v>0</v>
      </c>
      <c r="AL679" s="309">
        <f>VLOOKUP($AK679,ENTI!$AF$4:AG$1003,2,FALSE)</f>
        <v>0</v>
      </c>
      <c r="AM679" s="224">
        <f>VLOOKUP($AK679,ENTI!$AF$4:AH$1003,3,FALSE)</f>
        <v>0</v>
      </c>
      <c r="AN679" s="224">
        <f>VLOOKUP($AK679,ENTI!$AF$4:AI$1003,4,FALSE)</f>
        <v>0</v>
      </c>
      <c r="AO679" s="781">
        <f>VLOOKUP($AK679,ENTI!$AF$4:AJ$1003,5,FALSE)</f>
        <v>0</v>
      </c>
      <c r="AP679" s="315">
        <f>VLOOKUP($AK679,ENTI!$AF$4:AK$1003,6,FALSE)</f>
        <v>0</v>
      </c>
      <c r="AQ679" s="208">
        <f t="shared" si="135"/>
        <v>0</v>
      </c>
      <c r="AR679" s="152" t="e">
        <f t="shared" si="136"/>
        <v>#N/A</v>
      </c>
      <c r="AS679" s="1"/>
      <c r="AT679" s="88" t="str">
        <f t="shared" si="129"/>
        <v/>
      </c>
      <c r="AU679" s="1"/>
      <c r="AV679" s="175">
        <f>IF(AW679&gt;0,COUNTIF(AV$4:AV678,"&gt;0")+1,0)</f>
        <v>0</v>
      </c>
      <c r="AW679" s="164">
        <f t="shared" si="130"/>
        <v>0</v>
      </c>
      <c r="AX679" s="310">
        <f>IF($AW679=0,0,VLOOKUP(VLOOKUP($X679,$B$34:$T$38,19,FALSE),ENTI!$A$9:$B$13,2,FALSE))</f>
        <v>0</v>
      </c>
      <c r="AY679" s="310">
        <f t="shared" si="132"/>
        <v>0</v>
      </c>
      <c r="AZ679" s="316">
        <f t="shared" si="133"/>
        <v>0</v>
      </c>
      <c r="BA679" s="1"/>
      <c r="BB679" s="152">
        <f t="shared" si="134"/>
        <v>0</v>
      </c>
      <c r="BC679" s="152">
        <f ca="1">SUM(Z$4:Z679)+SUM(BB$4:BB679)+COSTI!S$6-COSTI!L$1076</f>
        <v>-31.760000000000218</v>
      </c>
      <c r="BD679" s="1"/>
    </row>
    <row r="680" spans="1:56" ht="16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435">
        <f>IF(AND(W680&gt;=$U$1,W680&lt;=$U$2),IF(X680='ESTRATTO CONTO'!$E$2,1+COUNTIF(U$4:U679,"&gt;0"),0),0)</f>
        <v>0</v>
      </c>
      <c r="V680" s="417">
        <f t="shared" si="131"/>
        <v>677</v>
      </c>
      <c r="W680" s="509"/>
      <c r="X680" s="321"/>
      <c r="Y680" s="321"/>
      <c r="Z680" s="508"/>
      <c r="AA680" s="356"/>
      <c r="AB680" s="306" t="str">
        <f t="shared" si="127"/>
        <v/>
      </c>
      <c r="AC680" s="637">
        <f t="shared" ca="1" si="126"/>
        <v>-2.1316282072803006E-13</v>
      </c>
      <c r="AD680" s="935">
        <f>IF(ISERROR(VLOOKUP(AD$2,X681:X$1003,1,FALSE)),IF(X680=AD$2,SUMIF(X$4:X680,AD$2,Z$4:Z680)+$E$9+SUM(AQ$4:AQ$1003)+SUMIF(COSTI!$X$1379:$X$1430,AD$2,COSTI!$Z$1379:$Z$1430),0),0)</f>
        <v>0</v>
      </c>
      <c r="AE680" s="26"/>
      <c r="AF680" s="856" t="e">
        <f>IF(ISERROR(VLOOKUP(AG$2,X681:X$1003,1,FALSE)),IF(X680=AG$2,SUMIF(X$4:X680,AG$2,Z$4:Z680)+VLOOKUP(AF$2,$B$1057:$F$1068,5,FALSE)+SUM(AR$4:AR$1003)+SUMIF(COSTI!$X$1379:$X$1430,AG$2,COSTI!$Z$1379:$Z$1430),0),0)</f>
        <v>#N/A</v>
      </c>
      <c r="AG680" s="859"/>
      <c r="AH680" s="27" t="str">
        <f t="shared" si="128"/>
        <v/>
      </c>
      <c r="AI680" s="152">
        <f ca="1">IF(W681&gt;0,0,IF(AH680=0,(Z680*-1)+BC680+SUM(BB$4:BB679),BC680+SUM(BB$4:BB679)))</f>
        <v>-2.1316282072803006E-13</v>
      </c>
      <c r="AJ680" s="931">
        <f>IF(AND(AL680&gt;=$U$1,AL680&lt;=$U$2),IF(AM680='ESTRATTO CONTO'!$E$2,1+COUNTIF(AJ$4:AJ679,"&gt;0")+U$1015,0),0)</f>
        <v>0</v>
      </c>
      <c r="AK680" s="203">
        <f>IF(AND(OR((AK679+1)&lt;AL$1015,(AK679+1)=AL$1015),MAX(AK$4:AK679)&lt;AL$1015),AK679+1,0)</f>
        <v>0</v>
      </c>
      <c r="AL680" s="309">
        <f>VLOOKUP($AK680,ENTI!$AF$4:AG$1003,2,FALSE)</f>
        <v>0</v>
      </c>
      <c r="AM680" s="224">
        <f>VLOOKUP($AK680,ENTI!$AF$4:AH$1003,3,FALSE)</f>
        <v>0</v>
      </c>
      <c r="AN680" s="224">
        <f>VLOOKUP($AK680,ENTI!$AF$4:AI$1003,4,FALSE)</f>
        <v>0</v>
      </c>
      <c r="AO680" s="781">
        <f>VLOOKUP($AK680,ENTI!$AF$4:AJ$1003,5,FALSE)</f>
        <v>0</v>
      </c>
      <c r="AP680" s="315">
        <f>VLOOKUP($AK680,ENTI!$AF$4:AK$1003,6,FALSE)</f>
        <v>0</v>
      </c>
      <c r="AQ680" s="208">
        <f t="shared" si="135"/>
        <v>0</v>
      </c>
      <c r="AR680" s="152" t="e">
        <f t="shared" si="136"/>
        <v>#N/A</v>
      </c>
      <c r="AS680" s="1"/>
      <c r="AT680" s="88" t="str">
        <f t="shared" si="129"/>
        <v/>
      </c>
      <c r="AU680" s="1"/>
      <c r="AV680" s="175">
        <f>IF(AW680&gt;0,COUNTIF(AV$4:AV679,"&gt;0")+1,0)</f>
        <v>0</v>
      </c>
      <c r="AW680" s="164">
        <f t="shared" si="130"/>
        <v>0</v>
      </c>
      <c r="AX680" s="310">
        <f>IF($AW680=0,0,VLOOKUP(VLOOKUP($X680,$B$34:$T$38,19,FALSE),ENTI!$A$9:$B$13,2,FALSE))</f>
        <v>0</v>
      </c>
      <c r="AY680" s="310">
        <f t="shared" si="132"/>
        <v>0</v>
      </c>
      <c r="AZ680" s="316">
        <f t="shared" si="133"/>
        <v>0</v>
      </c>
      <c r="BA680" s="1"/>
      <c r="BB680" s="152">
        <f t="shared" si="134"/>
        <v>0</v>
      </c>
      <c r="BC680" s="152">
        <f ca="1">SUM(Z$4:Z680)+SUM(BB$4:BB680)+COSTI!S$6-COSTI!L$1076</f>
        <v>-31.760000000000218</v>
      </c>
      <c r="BD680" s="1"/>
    </row>
    <row r="681" spans="1:56" ht="16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435">
        <f>IF(AND(W681&gt;=$U$1,W681&lt;=$U$2),IF(X681='ESTRATTO CONTO'!$E$2,1+COUNTIF(U$4:U680,"&gt;0"),0),0)</f>
        <v>0</v>
      </c>
      <c r="V681" s="417">
        <f t="shared" si="131"/>
        <v>678</v>
      </c>
      <c r="W681" s="509"/>
      <c r="X681" s="321"/>
      <c r="Y681" s="321"/>
      <c r="Z681" s="508"/>
      <c r="AA681" s="356"/>
      <c r="AB681" s="306" t="str">
        <f t="shared" si="127"/>
        <v/>
      </c>
      <c r="AC681" s="637">
        <f t="shared" ca="1" si="126"/>
        <v>-2.1316282072803006E-13</v>
      </c>
      <c r="AD681" s="935">
        <f>IF(ISERROR(VLOOKUP(AD$2,X682:X$1003,1,FALSE)),IF(X681=AD$2,SUMIF(X$4:X681,AD$2,Z$4:Z681)+$E$9+SUM(AQ$4:AQ$1003)+SUMIF(COSTI!$X$1379:$X$1430,AD$2,COSTI!$Z$1379:$Z$1430),0),0)</f>
        <v>0</v>
      </c>
      <c r="AE681" s="26"/>
      <c r="AF681" s="856" t="e">
        <f>IF(ISERROR(VLOOKUP(AG$2,X682:X$1003,1,FALSE)),IF(X681=AG$2,SUMIF(X$4:X681,AG$2,Z$4:Z681)+VLOOKUP(AF$2,$B$1057:$F$1068,5,FALSE)+SUM(AR$4:AR$1003)+SUMIF(COSTI!$X$1379:$X$1430,AG$2,COSTI!$Z$1379:$Z$1430),0),0)</f>
        <v>#N/A</v>
      </c>
      <c r="AG681" s="859"/>
      <c r="AH681" s="27" t="str">
        <f t="shared" si="128"/>
        <v/>
      </c>
      <c r="AI681" s="152">
        <f ca="1">IF(W682&gt;0,0,IF(AH681=0,(Z681*-1)+BC681+SUM(BB$4:BB680),BC681+SUM(BB$4:BB680)))</f>
        <v>-2.1316282072803006E-13</v>
      </c>
      <c r="AJ681" s="931">
        <f>IF(AND(AL681&gt;=$U$1,AL681&lt;=$U$2),IF(AM681='ESTRATTO CONTO'!$E$2,1+COUNTIF(AJ$4:AJ680,"&gt;0")+U$1015,0),0)</f>
        <v>0</v>
      </c>
      <c r="AK681" s="203">
        <f>IF(AND(OR((AK680+1)&lt;AL$1015,(AK680+1)=AL$1015),MAX(AK$4:AK680)&lt;AL$1015),AK680+1,0)</f>
        <v>0</v>
      </c>
      <c r="AL681" s="309">
        <f>VLOOKUP($AK681,ENTI!$AF$4:AG$1003,2,FALSE)</f>
        <v>0</v>
      </c>
      <c r="AM681" s="224">
        <f>VLOOKUP($AK681,ENTI!$AF$4:AH$1003,3,FALSE)</f>
        <v>0</v>
      </c>
      <c r="AN681" s="224">
        <f>VLOOKUP($AK681,ENTI!$AF$4:AI$1003,4,FALSE)</f>
        <v>0</v>
      </c>
      <c r="AO681" s="781">
        <f>VLOOKUP($AK681,ENTI!$AF$4:AJ$1003,5,FALSE)</f>
        <v>0</v>
      </c>
      <c r="AP681" s="315">
        <f>VLOOKUP($AK681,ENTI!$AF$4:AK$1003,6,FALSE)</f>
        <v>0</v>
      </c>
      <c r="AQ681" s="208">
        <f t="shared" si="135"/>
        <v>0</v>
      </c>
      <c r="AR681" s="152" t="e">
        <f t="shared" si="136"/>
        <v>#N/A</v>
      </c>
      <c r="AS681" s="1"/>
      <c r="AT681" s="88" t="str">
        <f t="shared" si="129"/>
        <v/>
      </c>
      <c r="AU681" s="1"/>
      <c r="AV681" s="175">
        <f>IF(AW681&gt;0,COUNTIF(AV$4:AV680,"&gt;0")+1,0)</f>
        <v>0</v>
      </c>
      <c r="AW681" s="164">
        <f t="shared" si="130"/>
        <v>0</v>
      </c>
      <c r="AX681" s="310">
        <f>IF($AW681=0,0,VLOOKUP(VLOOKUP($X681,$B$34:$T$38,19,FALSE),ENTI!$A$9:$B$13,2,FALSE))</f>
        <v>0</v>
      </c>
      <c r="AY681" s="310">
        <f t="shared" si="132"/>
        <v>0</v>
      </c>
      <c r="AZ681" s="316">
        <f t="shared" si="133"/>
        <v>0</v>
      </c>
      <c r="BA681" s="1"/>
      <c r="BB681" s="152">
        <f t="shared" si="134"/>
        <v>0</v>
      </c>
      <c r="BC681" s="152">
        <f ca="1">SUM(Z$4:Z681)+SUM(BB$4:BB681)+COSTI!S$6-COSTI!L$1076</f>
        <v>-31.760000000000218</v>
      </c>
      <c r="BD681" s="1"/>
    </row>
    <row r="682" spans="1:56" ht="16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435">
        <f>IF(AND(W682&gt;=$U$1,W682&lt;=$U$2),IF(X682='ESTRATTO CONTO'!$E$2,1+COUNTIF(U$4:U681,"&gt;0"),0),0)</f>
        <v>0</v>
      </c>
      <c r="V682" s="417">
        <f t="shared" si="131"/>
        <v>679</v>
      </c>
      <c r="W682" s="509"/>
      <c r="X682" s="321"/>
      <c r="Y682" s="321"/>
      <c r="Z682" s="508"/>
      <c r="AA682" s="356"/>
      <c r="AB682" s="306" t="str">
        <f t="shared" si="127"/>
        <v/>
      </c>
      <c r="AC682" s="637">
        <f t="shared" ca="1" si="126"/>
        <v>-2.1316282072803006E-13</v>
      </c>
      <c r="AD682" s="935">
        <f>IF(ISERROR(VLOOKUP(AD$2,X683:X$1003,1,FALSE)),IF(X682=AD$2,SUMIF(X$4:X682,AD$2,Z$4:Z682)+$E$9+SUM(AQ$4:AQ$1003)+SUMIF(COSTI!$X$1379:$X$1430,AD$2,COSTI!$Z$1379:$Z$1430),0),0)</f>
        <v>0</v>
      </c>
      <c r="AE682" s="26"/>
      <c r="AF682" s="856" t="e">
        <f>IF(ISERROR(VLOOKUP(AG$2,X683:X$1003,1,FALSE)),IF(X682=AG$2,SUMIF(X$4:X682,AG$2,Z$4:Z682)+VLOOKUP(AF$2,$B$1057:$F$1068,5,FALSE)+SUM(AR$4:AR$1003)+SUMIF(COSTI!$X$1379:$X$1430,AG$2,COSTI!$Z$1379:$Z$1430),0),0)</f>
        <v>#N/A</v>
      </c>
      <c r="AG682" s="859"/>
      <c r="AH682" s="27" t="str">
        <f t="shared" si="128"/>
        <v/>
      </c>
      <c r="AI682" s="152">
        <f ca="1">IF(W683&gt;0,0,IF(AH682=0,(Z682*-1)+BC682+SUM(BB$4:BB681),BC682+SUM(BB$4:BB681)))</f>
        <v>-2.1316282072803006E-13</v>
      </c>
      <c r="AJ682" s="931">
        <f>IF(AND(AL682&gt;=$U$1,AL682&lt;=$U$2),IF(AM682='ESTRATTO CONTO'!$E$2,1+COUNTIF(AJ$4:AJ681,"&gt;0")+U$1015,0),0)</f>
        <v>0</v>
      </c>
      <c r="AK682" s="203">
        <f>IF(AND(OR((AK681+1)&lt;AL$1015,(AK681+1)=AL$1015),MAX(AK$4:AK681)&lt;AL$1015),AK681+1,0)</f>
        <v>0</v>
      </c>
      <c r="AL682" s="309">
        <f>VLOOKUP($AK682,ENTI!$AF$4:AG$1003,2,FALSE)</f>
        <v>0</v>
      </c>
      <c r="AM682" s="224">
        <f>VLOOKUP($AK682,ENTI!$AF$4:AH$1003,3,FALSE)</f>
        <v>0</v>
      </c>
      <c r="AN682" s="224">
        <f>VLOOKUP($AK682,ENTI!$AF$4:AI$1003,4,FALSE)</f>
        <v>0</v>
      </c>
      <c r="AO682" s="781">
        <f>VLOOKUP($AK682,ENTI!$AF$4:AJ$1003,5,FALSE)</f>
        <v>0</v>
      </c>
      <c r="AP682" s="315">
        <f>VLOOKUP($AK682,ENTI!$AF$4:AK$1003,6,FALSE)</f>
        <v>0</v>
      </c>
      <c r="AQ682" s="208">
        <f t="shared" si="135"/>
        <v>0</v>
      </c>
      <c r="AR682" s="152" t="e">
        <f t="shared" si="136"/>
        <v>#N/A</v>
      </c>
      <c r="AS682" s="1"/>
      <c r="AT682" s="88" t="str">
        <f t="shared" si="129"/>
        <v/>
      </c>
      <c r="AU682" s="1"/>
      <c r="AV682" s="175">
        <f>IF(AW682&gt;0,COUNTIF(AV$4:AV681,"&gt;0")+1,0)</f>
        <v>0</v>
      </c>
      <c r="AW682" s="164">
        <f t="shared" si="130"/>
        <v>0</v>
      </c>
      <c r="AX682" s="310">
        <f>IF($AW682=0,0,VLOOKUP(VLOOKUP($X682,$B$34:$T$38,19,FALSE),ENTI!$A$9:$B$13,2,FALSE))</f>
        <v>0</v>
      </c>
      <c r="AY682" s="310">
        <f t="shared" si="132"/>
        <v>0</v>
      </c>
      <c r="AZ682" s="316">
        <f t="shared" si="133"/>
        <v>0</v>
      </c>
      <c r="BA682" s="1"/>
      <c r="BB682" s="152">
        <f t="shared" si="134"/>
        <v>0</v>
      </c>
      <c r="BC682" s="152">
        <f ca="1">SUM(Z$4:Z682)+SUM(BB$4:BB682)+COSTI!S$6-COSTI!L$1076</f>
        <v>-31.760000000000218</v>
      </c>
      <c r="BD682" s="1"/>
    </row>
    <row r="683" spans="1:56" ht="16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435">
        <f>IF(AND(W683&gt;=$U$1,W683&lt;=$U$2),IF(X683='ESTRATTO CONTO'!$E$2,1+COUNTIF(U$4:U682,"&gt;0"),0),0)</f>
        <v>0</v>
      </c>
      <c r="V683" s="417">
        <f t="shared" si="131"/>
        <v>680</v>
      </c>
      <c r="W683" s="509"/>
      <c r="X683" s="321"/>
      <c r="Y683" s="321"/>
      <c r="Z683" s="508"/>
      <c r="AA683" s="356"/>
      <c r="AB683" s="306" t="str">
        <f t="shared" si="127"/>
        <v/>
      </c>
      <c r="AC683" s="637">
        <f t="shared" ca="1" si="126"/>
        <v>-2.1316282072803006E-13</v>
      </c>
      <c r="AD683" s="935">
        <f>IF(ISERROR(VLOOKUP(AD$2,X684:X$1003,1,FALSE)),IF(X683=AD$2,SUMIF(X$4:X683,AD$2,Z$4:Z683)+$E$9+SUM(AQ$4:AQ$1003)+SUMIF(COSTI!$X$1379:$X$1430,AD$2,COSTI!$Z$1379:$Z$1430),0),0)</f>
        <v>0</v>
      </c>
      <c r="AE683" s="26"/>
      <c r="AF683" s="856" t="e">
        <f>IF(ISERROR(VLOOKUP(AG$2,X684:X$1003,1,FALSE)),IF(X683=AG$2,SUMIF(X$4:X683,AG$2,Z$4:Z683)+VLOOKUP(AF$2,$B$1057:$F$1068,5,FALSE)+SUM(AR$4:AR$1003)+SUMIF(COSTI!$X$1379:$X$1430,AG$2,COSTI!$Z$1379:$Z$1430),0),0)</f>
        <v>#N/A</v>
      </c>
      <c r="AG683" s="859"/>
      <c r="AH683" s="27" t="str">
        <f t="shared" si="128"/>
        <v/>
      </c>
      <c r="AI683" s="152">
        <f ca="1">IF(W684&gt;0,0,IF(AH683=0,(Z683*-1)+BC683+SUM(BB$4:BB682),BC683+SUM(BB$4:BB682)))</f>
        <v>-2.1316282072803006E-13</v>
      </c>
      <c r="AJ683" s="931">
        <f>IF(AND(AL683&gt;=$U$1,AL683&lt;=$U$2),IF(AM683='ESTRATTO CONTO'!$E$2,1+COUNTIF(AJ$4:AJ682,"&gt;0")+U$1015,0),0)</f>
        <v>0</v>
      </c>
      <c r="AK683" s="203">
        <f>IF(AND(OR((AK682+1)&lt;AL$1015,(AK682+1)=AL$1015),MAX(AK$4:AK682)&lt;AL$1015),AK682+1,0)</f>
        <v>0</v>
      </c>
      <c r="AL683" s="309">
        <f>VLOOKUP($AK683,ENTI!$AF$4:AG$1003,2,FALSE)</f>
        <v>0</v>
      </c>
      <c r="AM683" s="224">
        <f>VLOOKUP($AK683,ENTI!$AF$4:AH$1003,3,FALSE)</f>
        <v>0</v>
      </c>
      <c r="AN683" s="224">
        <f>VLOOKUP($AK683,ENTI!$AF$4:AI$1003,4,FALSE)</f>
        <v>0</v>
      </c>
      <c r="AO683" s="781">
        <f>VLOOKUP($AK683,ENTI!$AF$4:AJ$1003,5,FALSE)</f>
        <v>0</v>
      </c>
      <c r="AP683" s="315">
        <f>VLOOKUP($AK683,ENTI!$AF$4:AK$1003,6,FALSE)</f>
        <v>0</v>
      </c>
      <c r="AQ683" s="208">
        <f t="shared" si="135"/>
        <v>0</v>
      </c>
      <c r="AR683" s="152" t="e">
        <f t="shared" si="136"/>
        <v>#N/A</v>
      </c>
      <c r="AS683" s="1"/>
      <c r="AT683" s="88" t="str">
        <f t="shared" si="129"/>
        <v/>
      </c>
      <c r="AU683" s="1"/>
      <c r="AV683" s="175">
        <f>IF(AW683&gt;0,COUNTIF(AV$4:AV682,"&gt;0")+1,0)</f>
        <v>0</v>
      </c>
      <c r="AW683" s="164">
        <f t="shared" si="130"/>
        <v>0</v>
      </c>
      <c r="AX683" s="310">
        <f>IF($AW683=0,0,VLOOKUP(VLOOKUP($X683,$B$34:$T$38,19,FALSE),ENTI!$A$9:$B$13,2,FALSE))</f>
        <v>0</v>
      </c>
      <c r="AY683" s="310">
        <f t="shared" si="132"/>
        <v>0</v>
      </c>
      <c r="AZ683" s="316">
        <f t="shared" si="133"/>
        <v>0</v>
      </c>
      <c r="BA683" s="1"/>
      <c r="BB683" s="152">
        <f t="shared" si="134"/>
        <v>0</v>
      </c>
      <c r="BC683" s="152">
        <f ca="1">SUM(Z$4:Z683)+SUM(BB$4:BB683)+COSTI!S$6-COSTI!L$1076</f>
        <v>-31.760000000000218</v>
      </c>
      <c r="BD683" s="1"/>
    </row>
    <row r="684" spans="1:56" ht="16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435">
        <f>IF(AND(W684&gt;=$U$1,W684&lt;=$U$2),IF(X684='ESTRATTO CONTO'!$E$2,1+COUNTIF(U$4:U683,"&gt;0"),0),0)</f>
        <v>0</v>
      </c>
      <c r="V684" s="417">
        <f t="shared" si="131"/>
        <v>681</v>
      </c>
      <c r="W684" s="509"/>
      <c r="X684" s="321"/>
      <c r="Y684" s="321"/>
      <c r="Z684" s="508"/>
      <c r="AA684" s="356"/>
      <c r="AB684" s="306" t="str">
        <f t="shared" si="127"/>
        <v/>
      </c>
      <c r="AC684" s="637">
        <f t="shared" ca="1" si="126"/>
        <v>-2.1316282072803006E-13</v>
      </c>
      <c r="AD684" s="935">
        <f>IF(ISERROR(VLOOKUP(AD$2,X685:X$1003,1,FALSE)),IF(X684=AD$2,SUMIF(X$4:X684,AD$2,Z$4:Z684)+$E$9+SUM(AQ$4:AQ$1003)+SUMIF(COSTI!$X$1379:$X$1430,AD$2,COSTI!$Z$1379:$Z$1430),0),0)</f>
        <v>0</v>
      </c>
      <c r="AE684" s="26"/>
      <c r="AF684" s="856" t="e">
        <f>IF(ISERROR(VLOOKUP(AG$2,X685:X$1003,1,FALSE)),IF(X684=AG$2,SUMIF(X$4:X684,AG$2,Z$4:Z684)+VLOOKUP(AF$2,$B$1057:$F$1068,5,FALSE)+SUM(AR$4:AR$1003)+SUMIF(COSTI!$X$1379:$X$1430,AG$2,COSTI!$Z$1379:$Z$1430),0),0)</f>
        <v>#N/A</v>
      </c>
      <c r="AG684" s="859"/>
      <c r="AH684" s="27" t="str">
        <f t="shared" si="128"/>
        <v/>
      </c>
      <c r="AI684" s="152">
        <f ca="1">IF(W685&gt;0,0,IF(AH684=0,(Z684*-1)+BC684+SUM(BB$4:BB683),BC684+SUM(BB$4:BB683)))</f>
        <v>-2.1316282072803006E-13</v>
      </c>
      <c r="AJ684" s="931">
        <f>IF(AND(AL684&gt;=$U$1,AL684&lt;=$U$2),IF(AM684='ESTRATTO CONTO'!$E$2,1+COUNTIF(AJ$4:AJ683,"&gt;0")+U$1015,0),0)</f>
        <v>0</v>
      </c>
      <c r="AK684" s="203">
        <f>IF(AND(OR((AK683+1)&lt;AL$1015,(AK683+1)=AL$1015),MAX(AK$4:AK683)&lt;AL$1015),AK683+1,0)</f>
        <v>0</v>
      </c>
      <c r="AL684" s="309">
        <f>VLOOKUP($AK684,ENTI!$AF$4:AG$1003,2,FALSE)</f>
        <v>0</v>
      </c>
      <c r="AM684" s="224">
        <f>VLOOKUP($AK684,ENTI!$AF$4:AH$1003,3,FALSE)</f>
        <v>0</v>
      </c>
      <c r="AN684" s="224">
        <f>VLOOKUP($AK684,ENTI!$AF$4:AI$1003,4,FALSE)</f>
        <v>0</v>
      </c>
      <c r="AO684" s="781">
        <f>VLOOKUP($AK684,ENTI!$AF$4:AJ$1003,5,FALSE)</f>
        <v>0</v>
      </c>
      <c r="AP684" s="315">
        <f>VLOOKUP($AK684,ENTI!$AF$4:AK$1003,6,FALSE)</f>
        <v>0</v>
      </c>
      <c r="AQ684" s="208">
        <f t="shared" si="135"/>
        <v>0</v>
      </c>
      <c r="AR684" s="152" t="e">
        <f t="shared" si="136"/>
        <v>#N/A</v>
      </c>
      <c r="AS684" s="1"/>
      <c r="AT684" s="88" t="str">
        <f t="shared" si="129"/>
        <v/>
      </c>
      <c r="AU684" s="1"/>
      <c r="AV684" s="175">
        <f>IF(AW684&gt;0,COUNTIF(AV$4:AV683,"&gt;0")+1,0)</f>
        <v>0</v>
      </c>
      <c r="AW684" s="164">
        <f t="shared" si="130"/>
        <v>0</v>
      </c>
      <c r="AX684" s="310">
        <f>IF($AW684=0,0,VLOOKUP(VLOOKUP($X684,$B$34:$T$38,19,FALSE),ENTI!$A$9:$B$13,2,FALSE))</f>
        <v>0</v>
      </c>
      <c r="AY684" s="310">
        <f t="shared" si="132"/>
        <v>0</v>
      </c>
      <c r="AZ684" s="316">
        <f t="shared" si="133"/>
        <v>0</v>
      </c>
      <c r="BA684" s="1"/>
      <c r="BB684" s="152">
        <f t="shared" si="134"/>
        <v>0</v>
      </c>
      <c r="BC684" s="152">
        <f ca="1">SUM(Z$4:Z684)+SUM(BB$4:BB684)+COSTI!S$6-COSTI!L$1076</f>
        <v>-31.760000000000218</v>
      </c>
      <c r="BD684" s="1"/>
    </row>
    <row r="685" spans="1:56" ht="16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435">
        <f>IF(AND(W685&gt;=$U$1,W685&lt;=$U$2),IF(X685='ESTRATTO CONTO'!$E$2,1+COUNTIF(U$4:U684,"&gt;0"),0),0)</f>
        <v>0</v>
      </c>
      <c r="V685" s="417">
        <f t="shared" si="131"/>
        <v>682</v>
      </c>
      <c r="W685" s="509"/>
      <c r="X685" s="321"/>
      <c r="Y685" s="321"/>
      <c r="Z685" s="508"/>
      <c r="AA685" s="356"/>
      <c r="AB685" s="306" t="str">
        <f t="shared" si="127"/>
        <v/>
      </c>
      <c r="AC685" s="637">
        <f t="shared" ca="1" si="126"/>
        <v>-2.1316282072803006E-13</v>
      </c>
      <c r="AD685" s="935">
        <f>IF(ISERROR(VLOOKUP(AD$2,X686:X$1003,1,FALSE)),IF(X685=AD$2,SUMIF(X$4:X685,AD$2,Z$4:Z685)+$E$9+SUM(AQ$4:AQ$1003)+SUMIF(COSTI!$X$1379:$X$1430,AD$2,COSTI!$Z$1379:$Z$1430),0),0)</f>
        <v>0</v>
      </c>
      <c r="AE685" s="26"/>
      <c r="AF685" s="856" t="e">
        <f>IF(ISERROR(VLOOKUP(AG$2,X686:X$1003,1,FALSE)),IF(X685=AG$2,SUMIF(X$4:X685,AG$2,Z$4:Z685)+VLOOKUP(AF$2,$B$1057:$F$1068,5,FALSE)+SUM(AR$4:AR$1003)+SUMIF(COSTI!$X$1379:$X$1430,AG$2,COSTI!$Z$1379:$Z$1430),0),0)</f>
        <v>#N/A</v>
      </c>
      <c r="AG685" s="859"/>
      <c r="AH685" s="27" t="str">
        <f t="shared" si="128"/>
        <v/>
      </c>
      <c r="AI685" s="152">
        <f ca="1">IF(W686&gt;0,0,IF(AH685=0,(Z685*-1)+BC685+SUM(BB$4:BB684),BC685+SUM(BB$4:BB684)))</f>
        <v>-2.1316282072803006E-13</v>
      </c>
      <c r="AJ685" s="931">
        <f>IF(AND(AL685&gt;=$U$1,AL685&lt;=$U$2),IF(AM685='ESTRATTO CONTO'!$E$2,1+COUNTIF(AJ$4:AJ684,"&gt;0")+U$1015,0),0)</f>
        <v>0</v>
      </c>
      <c r="AK685" s="203">
        <f>IF(AND(OR((AK684+1)&lt;AL$1015,(AK684+1)=AL$1015),MAX(AK$4:AK684)&lt;AL$1015),AK684+1,0)</f>
        <v>0</v>
      </c>
      <c r="AL685" s="309">
        <f>VLOOKUP($AK685,ENTI!$AF$4:AG$1003,2,FALSE)</f>
        <v>0</v>
      </c>
      <c r="AM685" s="224">
        <f>VLOOKUP($AK685,ENTI!$AF$4:AH$1003,3,FALSE)</f>
        <v>0</v>
      </c>
      <c r="AN685" s="224">
        <f>VLOOKUP($AK685,ENTI!$AF$4:AI$1003,4,FALSE)</f>
        <v>0</v>
      </c>
      <c r="AO685" s="781">
        <f>VLOOKUP($AK685,ENTI!$AF$4:AJ$1003,5,FALSE)</f>
        <v>0</v>
      </c>
      <c r="AP685" s="315">
        <f>VLOOKUP($AK685,ENTI!$AF$4:AK$1003,6,FALSE)</f>
        <v>0</v>
      </c>
      <c r="AQ685" s="208">
        <f t="shared" si="135"/>
        <v>0</v>
      </c>
      <c r="AR685" s="152" t="e">
        <f t="shared" si="136"/>
        <v>#N/A</v>
      </c>
      <c r="AS685" s="1"/>
      <c r="AT685" s="88" t="str">
        <f t="shared" si="129"/>
        <v/>
      </c>
      <c r="AU685" s="1"/>
      <c r="AV685" s="175">
        <f>IF(AW685&gt;0,COUNTIF(AV$4:AV684,"&gt;0")+1,0)</f>
        <v>0</v>
      </c>
      <c r="AW685" s="164">
        <f t="shared" si="130"/>
        <v>0</v>
      </c>
      <c r="AX685" s="310">
        <f>IF($AW685=0,0,VLOOKUP(VLOOKUP($X685,$B$34:$T$38,19,FALSE),ENTI!$A$9:$B$13,2,FALSE))</f>
        <v>0</v>
      </c>
      <c r="AY685" s="310">
        <f t="shared" si="132"/>
        <v>0</v>
      </c>
      <c r="AZ685" s="316">
        <f t="shared" si="133"/>
        <v>0</v>
      </c>
      <c r="BA685" s="1"/>
      <c r="BB685" s="152">
        <f t="shared" si="134"/>
        <v>0</v>
      </c>
      <c r="BC685" s="152">
        <f ca="1">SUM(Z$4:Z685)+SUM(BB$4:BB685)+COSTI!S$6-COSTI!L$1076</f>
        <v>-31.760000000000218</v>
      </c>
      <c r="BD685" s="1"/>
    </row>
    <row r="686" spans="1:56" ht="16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435">
        <f>IF(AND(W686&gt;=$U$1,W686&lt;=$U$2),IF(X686='ESTRATTO CONTO'!$E$2,1+COUNTIF(U$4:U685,"&gt;0"),0),0)</f>
        <v>0</v>
      </c>
      <c r="V686" s="417">
        <f t="shared" si="131"/>
        <v>683</v>
      </c>
      <c r="W686" s="509"/>
      <c r="X686" s="321"/>
      <c r="Y686" s="321"/>
      <c r="Z686" s="508"/>
      <c r="AA686" s="356"/>
      <c r="AB686" s="306" t="str">
        <f t="shared" si="127"/>
        <v/>
      </c>
      <c r="AC686" s="637">
        <f t="shared" ca="1" si="126"/>
        <v>-2.1316282072803006E-13</v>
      </c>
      <c r="AD686" s="935">
        <f>IF(ISERROR(VLOOKUP(AD$2,X687:X$1003,1,FALSE)),IF(X686=AD$2,SUMIF(X$4:X686,AD$2,Z$4:Z686)+$E$9+SUM(AQ$4:AQ$1003)+SUMIF(COSTI!$X$1379:$X$1430,AD$2,COSTI!$Z$1379:$Z$1430),0),0)</f>
        <v>0</v>
      </c>
      <c r="AE686" s="26"/>
      <c r="AF686" s="856" t="e">
        <f>IF(ISERROR(VLOOKUP(AG$2,X687:X$1003,1,FALSE)),IF(X686=AG$2,SUMIF(X$4:X686,AG$2,Z$4:Z686)+VLOOKUP(AF$2,$B$1057:$F$1068,5,FALSE)+SUM(AR$4:AR$1003)+SUMIF(COSTI!$X$1379:$X$1430,AG$2,COSTI!$Z$1379:$Z$1430),0),0)</f>
        <v>#N/A</v>
      </c>
      <c r="AG686" s="859"/>
      <c r="AH686" s="27" t="str">
        <f t="shared" si="128"/>
        <v/>
      </c>
      <c r="AI686" s="152">
        <f ca="1">IF(W687&gt;0,0,IF(AH686=0,(Z686*-1)+BC686+SUM(BB$4:BB685),BC686+SUM(BB$4:BB685)))</f>
        <v>-2.1316282072803006E-13</v>
      </c>
      <c r="AJ686" s="931">
        <f>IF(AND(AL686&gt;=$U$1,AL686&lt;=$U$2),IF(AM686='ESTRATTO CONTO'!$E$2,1+COUNTIF(AJ$4:AJ685,"&gt;0")+U$1015,0),0)</f>
        <v>0</v>
      </c>
      <c r="AK686" s="203">
        <f>IF(AND(OR((AK685+1)&lt;AL$1015,(AK685+1)=AL$1015),MAX(AK$4:AK685)&lt;AL$1015),AK685+1,0)</f>
        <v>0</v>
      </c>
      <c r="AL686" s="309">
        <f>VLOOKUP($AK686,ENTI!$AF$4:AG$1003,2,FALSE)</f>
        <v>0</v>
      </c>
      <c r="AM686" s="224">
        <f>VLOOKUP($AK686,ENTI!$AF$4:AH$1003,3,FALSE)</f>
        <v>0</v>
      </c>
      <c r="AN686" s="224">
        <f>VLOOKUP($AK686,ENTI!$AF$4:AI$1003,4,FALSE)</f>
        <v>0</v>
      </c>
      <c r="AO686" s="781">
        <f>VLOOKUP($AK686,ENTI!$AF$4:AJ$1003,5,FALSE)</f>
        <v>0</v>
      </c>
      <c r="AP686" s="315">
        <f>VLOOKUP($AK686,ENTI!$AF$4:AK$1003,6,FALSE)</f>
        <v>0</v>
      </c>
      <c r="AQ686" s="208">
        <f t="shared" si="135"/>
        <v>0</v>
      </c>
      <c r="AR686" s="152" t="e">
        <f t="shared" si="136"/>
        <v>#N/A</v>
      </c>
      <c r="AS686" s="1"/>
      <c r="AT686" s="88" t="str">
        <f t="shared" si="129"/>
        <v/>
      </c>
      <c r="AU686" s="1"/>
      <c r="AV686" s="175">
        <f>IF(AW686&gt;0,COUNTIF(AV$4:AV685,"&gt;0")+1,0)</f>
        <v>0</v>
      </c>
      <c r="AW686" s="164">
        <f t="shared" si="130"/>
        <v>0</v>
      </c>
      <c r="AX686" s="310">
        <f>IF($AW686=0,0,VLOOKUP(VLOOKUP($X686,$B$34:$T$38,19,FALSE),ENTI!$A$9:$B$13,2,FALSE))</f>
        <v>0</v>
      </c>
      <c r="AY686" s="310">
        <f t="shared" si="132"/>
        <v>0</v>
      </c>
      <c r="AZ686" s="316">
        <f t="shared" si="133"/>
        <v>0</v>
      </c>
      <c r="BA686" s="1"/>
      <c r="BB686" s="152">
        <f t="shared" si="134"/>
        <v>0</v>
      </c>
      <c r="BC686" s="152">
        <f ca="1">SUM(Z$4:Z686)+SUM(BB$4:BB686)+COSTI!S$6-COSTI!L$1076</f>
        <v>-31.760000000000218</v>
      </c>
      <c r="BD686" s="1"/>
    </row>
    <row r="687" spans="1:56" ht="16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435">
        <f>IF(AND(W687&gt;=$U$1,W687&lt;=$U$2),IF(X687='ESTRATTO CONTO'!$E$2,1+COUNTIF(U$4:U686,"&gt;0"),0),0)</f>
        <v>0</v>
      </c>
      <c r="V687" s="417">
        <f t="shared" si="131"/>
        <v>684</v>
      </c>
      <c r="W687" s="509"/>
      <c r="X687" s="321"/>
      <c r="Y687" s="321"/>
      <c r="Z687" s="508"/>
      <c r="AA687" s="356"/>
      <c r="AB687" s="306" t="str">
        <f t="shared" si="127"/>
        <v/>
      </c>
      <c r="AC687" s="637">
        <f t="shared" ca="1" si="126"/>
        <v>-2.1316282072803006E-13</v>
      </c>
      <c r="AD687" s="935">
        <f>IF(ISERROR(VLOOKUP(AD$2,X688:X$1003,1,FALSE)),IF(X687=AD$2,SUMIF(X$4:X687,AD$2,Z$4:Z687)+$E$9+SUM(AQ$4:AQ$1003)+SUMIF(COSTI!$X$1379:$X$1430,AD$2,COSTI!$Z$1379:$Z$1430),0),0)</f>
        <v>0</v>
      </c>
      <c r="AE687" s="26"/>
      <c r="AF687" s="856" t="e">
        <f>IF(ISERROR(VLOOKUP(AG$2,X688:X$1003,1,FALSE)),IF(X687=AG$2,SUMIF(X$4:X687,AG$2,Z$4:Z687)+VLOOKUP(AF$2,$B$1057:$F$1068,5,FALSE)+SUM(AR$4:AR$1003)+SUMIF(COSTI!$X$1379:$X$1430,AG$2,COSTI!$Z$1379:$Z$1430),0),0)</f>
        <v>#N/A</v>
      </c>
      <c r="AG687" s="859"/>
      <c r="AH687" s="27" t="str">
        <f t="shared" si="128"/>
        <v/>
      </c>
      <c r="AI687" s="152">
        <f ca="1">IF(W688&gt;0,0,IF(AH687=0,(Z687*-1)+BC687+SUM(BB$4:BB686),BC687+SUM(BB$4:BB686)))</f>
        <v>-2.1316282072803006E-13</v>
      </c>
      <c r="AJ687" s="931">
        <f>IF(AND(AL687&gt;=$U$1,AL687&lt;=$U$2),IF(AM687='ESTRATTO CONTO'!$E$2,1+COUNTIF(AJ$4:AJ686,"&gt;0")+U$1015,0),0)</f>
        <v>0</v>
      </c>
      <c r="AK687" s="203">
        <f>IF(AND(OR((AK686+1)&lt;AL$1015,(AK686+1)=AL$1015),MAX(AK$4:AK686)&lt;AL$1015),AK686+1,0)</f>
        <v>0</v>
      </c>
      <c r="AL687" s="309">
        <f>VLOOKUP($AK687,ENTI!$AF$4:AG$1003,2,FALSE)</f>
        <v>0</v>
      </c>
      <c r="AM687" s="224">
        <f>VLOOKUP($AK687,ENTI!$AF$4:AH$1003,3,FALSE)</f>
        <v>0</v>
      </c>
      <c r="AN687" s="224">
        <f>VLOOKUP($AK687,ENTI!$AF$4:AI$1003,4,FALSE)</f>
        <v>0</v>
      </c>
      <c r="AO687" s="781">
        <f>VLOOKUP($AK687,ENTI!$AF$4:AJ$1003,5,FALSE)</f>
        <v>0</v>
      </c>
      <c r="AP687" s="315">
        <f>VLOOKUP($AK687,ENTI!$AF$4:AK$1003,6,FALSE)</f>
        <v>0</v>
      </c>
      <c r="AQ687" s="208">
        <f t="shared" si="135"/>
        <v>0</v>
      </c>
      <c r="AR687" s="152" t="e">
        <f t="shared" si="136"/>
        <v>#N/A</v>
      </c>
      <c r="AS687" s="1"/>
      <c r="AT687" s="88" t="str">
        <f t="shared" si="129"/>
        <v/>
      </c>
      <c r="AU687" s="1"/>
      <c r="AV687" s="175">
        <f>IF(AW687&gt;0,COUNTIF(AV$4:AV686,"&gt;0")+1,0)</f>
        <v>0</v>
      </c>
      <c r="AW687" s="164">
        <f t="shared" si="130"/>
        <v>0</v>
      </c>
      <c r="AX687" s="310">
        <f>IF($AW687=0,0,VLOOKUP(VLOOKUP($X687,$B$34:$T$38,19,FALSE),ENTI!$A$9:$B$13,2,FALSE))</f>
        <v>0</v>
      </c>
      <c r="AY687" s="310">
        <f t="shared" si="132"/>
        <v>0</v>
      </c>
      <c r="AZ687" s="316">
        <f t="shared" si="133"/>
        <v>0</v>
      </c>
      <c r="BA687" s="1"/>
      <c r="BB687" s="152">
        <f t="shared" si="134"/>
        <v>0</v>
      </c>
      <c r="BC687" s="152">
        <f ca="1">SUM(Z$4:Z687)+SUM(BB$4:BB687)+COSTI!S$6-COSTI!L$1076</f>
        <v>-31.760000000000218</v>
      </c>
      <c r="BD687" s="1"/>
    </row>
    <row r="688" spans="1:56" ht="16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435">
        <f>IF(AND(W688&gt;=$U$1,W688&lt;=$U$2),IF(X688='ESTRATTO CONTO'!$E$2,1+COUNTIF(U$4:U687,"&gt;0"),0),0)</f>
        <v>0</v>
      </c>
      <c r="V688" s="417">
        <f t="shared" si="131"/>
        <v>685</v>
      </c>
      <c r="W688" s="509"/>
      <c r="X688" s="321"/>
      <c r="Y688" s="321"/>
      <c r="Z688" s="508"/>
      <c r="AA688" s="356"/>
      <c r="AB688" s="306" t="str">
        <f t="shared" si="127"/>
        <v/>
      </c>
      <c r="AC688" s="637">
        <f t="shared" ca="1" si="126"/>
        <v>-2.1316282072803006E-13</v>
      </c>
      <c r="AD688" s="935">
        <f>IF(ISERROR(VLOOKUP(AD$2,X689:X$1003,1,FALSE)),IF(X688=AD$2,SUMIF(X$4:X688,AD$2,Z$4:Z688)+$E$9+SUM(AQ$4:AQ$1003)+SUMIF(COSTI!$X$1379:$X$1430,AD$2,COSTI!$Z$1379:$Z$1430),0),0)</f>
        <v>0</v>
      </c>
      <c r="AE688" s="26"/>
      <c r="AF688" s="856" t="e">
        <f>IF(ISERROR(VLOOKUP(AG$2,X689:X$1003,1,FALSE)),IF(X688=AG$2,SUMIF(X$4:X688,AG$2,Z$4:Z688)+VLOOKUP(AF$2,$B$1057:$F$1068,5,FALSE)+SUM(AR$4:AR$1003)+SUMIF(COSTI!$X$1379:$X$1430,AG$2,COSTI!$Z$1379:$Z$1430),0),0)</f>
        <v>#N/A</v>
      </c>
      <c r="AG688" s="859"/>
      <c r="AH688" s="27" t="str">
        <f t="shared" si="128"/>
        <v/>
      </c>
      <c r="AI688" s="152">
        <f ca="1">IF(W689&gt;0,0,IF(AH688=0,(Z688*-1)+BC688+SUM(BB$4:BB687),BC688+SUM(BB$4:BB687)))</f>
        <v>-2.1316282072803006E-13</v>
      </c>
      <c r="AJ688" s="931">
        <f>IF(AND(AL688&gt;=$U$1,AL688&lt;=$U$2),IF(AM688='ESTRATTO CONTO'!$E$2,1+COUNTIF(AJ$4:AJ687,"&gt;0")+U$1015,0),0)</f>
        <v>0</v>
      </c>
      <c r="AK688" s="203">
        <f>IF(AND(OR((AK687+1)&lt;AL$1015,(AK687+1)=AL$1015),MAX(AK$4:AK687)&lt;AL$1015),AK687+1,0)</f>
        <v>0</v>
      </c>
      <c r="AL688" s="309">
        <f>VLOOKUP($AK688,ENTI!$AF$4:AG$1003,2,FALSE)</f>
        <v>0</v>
      </c>
      <c r="AM688" s="224">
        <f>VLOOKUP($AK688,ENTI!$AF$4:AH$1003,3,FALSE)</f>
        <v>0</v>
      </c>
      <c r="AN688" s="224">
        <f>VLOOKUP($AK688,ENTI!$AF$4:AI$1003,4,FALSE)</f>
        <v>0</v>
      </c>
      <c r="AO688" s="781">
        <f>VLOOKUP($AK688,ENTI!$AF$4:AJ$1003,5,FALSE)</f>
        <v>0</v>
      </c>
      <c r="AP688" s="315">
        <f>VLOOKUP($AK688,ENTI!$AF$4:AK$1003,6,FALSE)</f>
        <v>0</v>
      </c>
      <c r="AQ688" s="208">
        <f t="shared" si="135"/>
        <v>0</v>
      </c>
      <c r="AR688" s="152" t="e">
        <f t="shared" si="136"/>
        <v>#N/A</v>
      </c>
      <c r="AS688" s="1"/>
      <c r="AT688" s="88" t="str">
        <f t="shared" si="129"/>
        <v/>
      </c>
      <c r="AU688" s="1"/>
      <c r="AV688" s="175">
        <f>IF(AW688&gt;0,COUNTIF(AV$4:AV687,"&gt;0")+1,0)</f>
        <v>0</v>
      </c>
      <c r="AW688" s="164">
        <f t="shared" si="130"/>
        <v>0</v>
      </c>
      <c r="AX688" s="310">
        <f>IF($AW688=0,0,VLOOKUP(VLOOKUP($X688,$B$34:$T$38,19,FALSE),ENTI!$A$9:$B$13,2,FALSE))</f>
        <v>0</v>
      </c>
      <c r="AY688" s="310">
        <f t="shared" si="132"/>
        <v>0</v>
      </c>
      <c r="AZ688" s="316">
        <f t="shared" si="133"/>
        <v>0</v>
      </c>
      <c r="BA688" s="1"/>
      <c r="BB688" s="152">
        <f t="shared" si="134"/>
        <v>0</v>
      </c>
      <c r="BC688" s="152">
        <f ca="1">SUM(Z$4:Z688)+SUM(BB$4:BB688)+COSTI!S$6-COSTI!L$1076</f>
        <v>-31.760000000000218</v>
      </c>
      <c r="BD688" s="1"/>
    </row>
    <row r="689" spans="1:56" ht="16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435">
        <f>IF(AND(W689&gt;=$U$1,W689&lt;=$U$2),IF(X689='ESTRATTO CONTO'!$E$2,1+COUNTIF(U$4:U688,"&gt;0"),0),0)</f>
        <v>0</v>
      </c>
      <c r="V689" s="417">
        <f t="shared" si="131"/>
        <v>686</v>
      </c>
      <c r="W689" s="509"/>
      <c r="X689" s="321"/>
      <c r="Y689" s="321"/>
      <c r="Z689" s="508"/>
      <c r="AA689" s="356"/>
      <c r="AB689" s="306" t="str">
        <f t="shared" si="127"/>
        <v/>
      </c>
      <c r="AC689" s="637">
        <f t="shared" ca="1" si="126"/>
        <v>-2.1316282072803006E-13</v>
      </c>
      <c r="AD689" s="935">
        <f>IF(ISERROR(VLOOKUP(AD$2,X690:X$1003,1,FALSE)),IF(X689=AD$2,SUMIF(X$4:X689,AD$2,Z$4:Z689)+$E$9+SUM(AQ$4:AQ$1003)+SUMIF(COSTI!$X$1379:$X$1430,AD$2,COSTI!$Z$1379:$Z$1430),0),0)</f>
        <v>0</v>
      </c>
      <c r="AE689" s="26"/>
      <c r="AF689" s="856" t="e">
        <f>IF(ISERROR(VLOOKUP(AG$2,X690:X$1003,1,FALSE)),IF(X689=AG$2,SUMIF(X$4:X689,AG$2,Z$4:Z689)+VLOOKUP(AF$2,$B$1057:$F$1068,5,FALSE)+SUM(AR$4:AR$1003)+SUMIF(COSTI!$X$1379:$X$1430,AG$2,COSTI!$Z$1379:$Z$1430),0),0)</f>
        <v>#N/A</v>
      </c>
      <c r="AG689" s="859"/>
      <c r="AH689" s="27" t="str">
        <f t="shared" si="128"/>
        <v/>
      </c>
      <c r="AI689" s="152">
        <f ca="1">IF(W690&gt;0,0,IF(AH689=0,(Z689*-1)+BC689+SUM(BB$4:BB688),BC689+SUM(BB$4:BB688)))</f>
        <v>-2.1316282072803006E-13</v>
      </c>
      <c r="AJ689" s="931">
        <f>IF(AND(AL689&gt;=$U$1,AL689&lt;=$U$2),IF(AM689='ESTRATTO CONTO'!$E$2,1+COUNTIF(AJ$4:AJ688,"&gt;0")+U$1015,0),0)</f>
        <v>0</v>
      </c>
      <c r="AK689" s="203">
        <f>IF(AND(OR((AK688+1)&lt;AL$1015,(AK688+1)=AL$1015),MAX(AK$4:AK688)&lt;AL$1015),AK688+1,0)</f>
        <v>0</v>
      </c>
      <c r="AL689" s="309">
        <f>VLOOKUP($AK689,ENTI!$AF$4:AG$1003,2,FALSE)</f>
        <v>0</v>
      </c>
      <c r="AM689" s="224">
        <f>VLOOKUP($AK689,ENTI!$AF$4:AH$1003,3,FALSE)</f>
        <v>0</v>
      </c>
      <c r="AN689" s="224">
        <f>VLOOKUP($AK689,ENTI!$AF$4:AI$1003,4,FALSE)</f>
        <v>0</v>
      </c>
      <c r="AO689" s="781">
        <f>VLOOKUP($AK689,ENTI!$AF$4:AJ$1003,5,FALSE)</f>
        <v>0</v>
      </c>
      <c r="AP689" s="315">
        <f>VLOOKUP($AK689,ENTI!$AF$4:AK$1003,6,FALSE)</f>
        <v>0</v>
      </c>
      <c r="AQ689" s="208">
        <f t="shared" si="135"/>
        <v>0</v>
      </c>
      <c r="AR689" s="152" t="e">
        <f t="shared" si="136"/>
        <v>#N/A</v>
      </c>
      <c r="AS689" s="1"/>
      <c r="AT689" s="88" t="str">
        <f t="shared" si="129"/>
        <v/>
      </c>
      <c r="AU689" s="1"/>
      <c r="AV689" s="175">
        <f>IF(AW689&gt;0,COUNTIF(AV$4:AV688,"&gt;0")+1,0)</f>
        <v>0</v>
      </c>
      <c r="AW689" s="164">
        <f t="shared" si="130"/>
        <v>0</v>
      </c>
      <c r="AX689" s="310">
        <f>IF($AW689=0,0,VLOOKUP(VLOOKUP($X689,$B$34:$T$38,19,FALSE),ENTI!$A$9:$B$13,2,FALSE))</f>
        <v>0</v>
      </c>
      <c r="AY689" s="310">
        <f t="shared" si="132"/>
        <v>0</v>
      </c>
      <c r="AZ689" s="316">
        <f t="shared" si="133"/>
        <v>0</v>
      </c>
      <c r="BA689" s="1"/>
      <c r="BB689" s="152">
        <f t="shared" si="134"/>
        <v>0</v>
      </c>
      <c r="BC689" s="152">
        <f ca="1">SUM(Z$4:Z689)+SUM(BB$4:BB689)+COSTI!S$6-COSTI!L$1076</f>
        <v>-31.760000000000218</v>
      </c>
      <c r="BD689" s="1"/>
    </row>
    <row r="690" spans="1:56" ht="16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435">
        <f>IF(AND(W690&gt;=$U$1,W690&lt;=$U$2),IF(X690='ESTRATTO CONTO'!$E$2,1+COUNTIF(U$4:U689,"&gt;0"),0),0)</f>
        <v>0</v>
      </c>
      <c r="V690" s="417">
        <f t="shared" si="131"/>
        <v>687</v>
      </c>
      <c r="W690" s="509"/>
      <c r="X690" s="321"/>
      <c r="Y690" s="321"/>
      <c r="Z690" s="508"/>
      <c r="AA690" s="356"/>
      <c r="AB690" s="306" t="str">
        <f t="shared" si="127"/>
        <v/>
      </c>
      <c r="AC690" s="637">
        <f t="shared" ca="1" si="126"/>
        <v>-2.1316282072803006E-13</v>
      </c>
      <c r="AD690" s="935">
        <f>IF(ISERROR(VLOOKUP(AD$2,X691:X$1003,1,FALSE)),IF(X690=AD$2,SUMIF(X$4:X690,AD$2,Z$4:Z690)+$E$9+SUM(AQ$4:AQ$1003)+SUMIF(COSTI!$X$1379:$X$1430,AD$2,COSTI!$Z$1379:$Z$1430),0),0)</f>
        <v>0</v>
      </c>
      <c r="AE690" s="26"/>
      <c r="AF690" s="856" t="e">
        <f>IF(ISERROR(VLOOKUP(AG$2,X691:X$1003,1,FALSE)),IF(X690=AG$2,SUMIF(X$4:X690,AG$2,Z$4:Z690)+VLOOKUP(AF$2,$B$1057:$F$1068,5,FALSE)+SUM(AR$4:AR$1003)+SUMIF(COSTI!$X$1379:$X$1430,AG$2,COSTI!$Z$1379:$Z$1430),0),0)</f>
        <v>#N/A</v>
      </c>
      <c r="AG690" s="859"/>
      <c r="AH690" s="27" t="str">
        <f t="shared" si="128"/>
        <v/>
      </c>
      <c r="AI690" s="152">
        <f ca="1">IF(W691&gt;0,0,IF(AH690=0,(Z690*-1)+BC690+SUM(BB$4:BB689),BC690+SUM(BB$4:BB689)))</f>
        <v>-2.1316282072803006E-13</v>
      </c>
      <c r="AJ690" s="931">
        <f>IF(AND(AL690&gt;=$U$1,AL690&lt;=$U$2),IF(AM690='ESTRATTO CONTO'!$E$2,1+COUNTIF(AJ$4:AJ689,"&gt;0")+U$1015,0),0)</f>
        <v>0</v>
      </c>
      <c r="AK690" s="203">
        <f>IF(AND(OR((AK689+1)&lt;AL$1015,(AK689+1)=AL$1015),MAX(AK$4:AK689)&lt;AL$1015),AK689+1,0)</f>
        <v>0</v>
      </c>
      <c r="AL690" s="309">
        <f>VLOOKUP($AK690,ENTI!$AF$4:AG$1003,2,FALSE)</f>
        <v>0</v>
      </c>
      <c r="AM690" s="224">
        <f>VLOOKUP($AK690,ENTI!$AF$4:AH$1003,3,FALSE)</f>
        <v>0</v>
      </c>
      <c r="AN690" s="224">
        <f>VLOOKUP($AK690,ENTI!$AF$4:AI$1003,4,FALSE)</f>
        <v>0</v>
      </c>
      <c r="AO690" s="781">
        <f>VLOOKUP($AK690,ENTI!$AF$4:AJ$1003,5,FALSE)</f>
        <v>0</v>
      </c>
      <c r="AP690" s="315">
        <f>VLOOKUP($AK690,ENTI!$AF$4:AK$1003,6,FALSE)</f>
        <v>0</v>
      </c>
      <c r="AQ690" s="208">
        <f t="shared" si="135"/>
        <v>0</v>
      </c>
      <c r="AR690" s="152" t="e">
        <f t="shared" si="136"/>
        <v>#N/A</v>
      </c>
      <c r="AS690" s="1"/>
      <c r="AT690" s="88" t="str">
        <f t="shared" si="129"/>
        <v/>
      </c>
      <c r="AU690" s="1"/>
      <c r="AV690" s="175">
        <f>IF(AW690&gt;0,COUNTIF(AV$4:AV689,"&gt;0")+1,0)</f>
        <v>0</v>
      </c>
      <c r="AW690" s="164">
        <f t="shared" si="130"/>
        <v>0</v>
      </c>
      <c r="AX690" s="310">
        <f>IF($AW690=0,0,VLOOKUP(VLOOKUP($X690,$B$34:$T$38,19,FALSE),ENTI!$A$9:$B$13,2,FALSE))</f>
        <v>0</v>
      </c>
      <c r="AY690" s="310">
        <f t="shared" si="132"/>
        <v>0</v>
      </c>
      <c r="AZ690" s="316">
        <f t="shared" si="133"/>
        <v>0</v>
      </c>
      <c r="BA690" s="1"/>
      <c r="BB690" s="152">
        <f t="shared" si="134"/>
        <v>0</v>
      </c>
      <c r="BC690" s="152">
        <f ca="1">SUM(Z$4:Z690)+SUM(BB$4:BB690)+COSTI!S$6-COSTI!L$1076</f>
        <v>-31.760000000000218</v>
      </c>
      <c r="BD690" s="1"/>
    </row>
    <row r="691" spans="1:56" ht="16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435">
        <f>IF(AND(W691&gt;=$U$1,W691&lt;=$U$2),IF(X691='ESTRATTO CONTO'!$E$2,1+COUNTIF(U$4:U690,"&gt;0"),0),0)</f>
        <v>0</v>
      </c>
      <c r="V691" s="417">
        <f t="shared" si="131"/>
        <v>688</v>
      </c>
      <c r="W691" s="509"/>
      <c r="X691" s="321"/>
      <c r="Y691" s="321"/>
      <c r="Z691" s="508"/>
      <c r="AA691" s="356"/>
      <c r="AB691" s="306" t="str">
        <f t="shared" si="127"/>
        <v/>
      </c>
      <c r="AC691" s="637">
        <f t="shared" ca="1" si="126"/>
        <v>-2.1316282072803006E-13</v>
      </c>
      <c r="AD691" s="935">
        <f>IF(ISERROR(VLOOKUP(AD$2,X692:X$1003,1,FALSE)),IF(X691=AD$2,SUMIF(X$4:X691,AD$2,Z$4:Z691)+$E$9+SUM(AQ$4:AQ$1003)+SUMIF(COSTI!$X$1379:$X$1430,AD$2,COSTI!$Z$1379:$Z$1430),0),0)</f>
        <v>0</v>
      </c>
      <c r="AE691" s="26"/>
      <c r="AF691" s="856" t="e">
        <f>IF(ISERROR(VLOOKUP(AG$2,X692:X$1003,1,FALSE)),IF(X691=AG$2,SUMIF(X$4:X691,AG$2,Z$4:Z691)+VLOOKUP(AF$2,$B$1057:$F$1068,5,FALSE)+SUM(AR$4:AR$1003)+SUMIF(COSTI!$X$1379:$X$1430,AG$2,COSTI!$Z$1379:$Z$1430),0),0)</f>
        <v>#N/A</v>
      </c>
      <c r="AG691" s="859"/>
      <c r="AH691" s="27" t="str">
        <f t="shared" si="128"/>
        <v/>
      </c>
      <c r="AI691" s="152">
        <f ca="1">IF(W692&gt;0,0,IF(AH691=0,(Z691*-1)+BC691+SUM(BB$4:BB690),BC691+SUM(BB$4:BB690)))</f>
        <v>-2.1316282072803006E-13</v>
      </c>
      <c r="AJ691" s="931">
        <f>IF(AND(AL691&gt;=$U$1,AL691&lt;=$U$2),IF(AM691='ESTRATTO CONTO'!$E$2,1+COUNTIF(AJ$4:AJ690,"&gt;0")+U$1015,0),0)</f>
        <v>0</v>
      </c>
      <c r="AK691" s="203">
        <f>IF(AND(OR((AK690+1)&lt;AL$1015,(AK690+1)=AL$1015),MAX(AK$4:AK690)&lt;AL$1015),AK690+1,0)</f>
        <v>0</v>
      </c>
      <c r="AL691" s="309">
        <f>VLOOKUP($AK691,ENTI!$AF$4:AG$1003,2,FALSE)</f>
        <v>0</v>
      </c>
      <c r="AM691" s="224">
        <f>VLOOKUP($AK691,ENTI!$AF$4:AH$1003,3,FALSE)</f>
        <v>0</v>
      </c>
      <c r="AN691" s="224">
        <f>VLOOKUP($AK691,ENTI!$AF$4:AI$1003,4,FALSE)</f>
        <v>0</v>
      </c>
      <c r="AO691" s="781">
        <f>VLOOKUP($AK691,ENTI!$AF$4:AJ$1003,5,FALSE)</f>
        <v>0</v>
      </c>
      <c r="AP691" s="315">
        <f>VLOOKUP($AK691,ENTI!$AF$4:AK$1003,6,FALSE)</f>
        <v>0</v>
      </c>
      <c r="AQ691" s="208">
        <f t="shared" si="135"/>
        <v>0</v>
      </c>
      <c r="AR691" s="152" t="e">
        <f t="shared" si="136"/>
        <v>#N/A</v>
      </c>
      <c r="AS691" s="1"/>
      <c r="AT691" s="88" t="str">
        <f t="shared" si="129"/>
        <v/>
      </c>
      <c r="AU691" s="1"/>
      <c r="AV691" s="175">
        <f>IF(AW691&gt;0,COUNTIF(AV$4:AV690,"&gt;0")+1,0)</f>
        <v>0</v>
      </c>
      <c r="AW691" s="164">
        <f t="shared" si="130"/>
        <v>0</v>
      </c>
      <c r="AX691" s="310">
        <f>IF($AW691=0,0,VLOOKUP(VLOOKUP($X691,$B$34:$T$38,19,FALSE),ENTI!$A$9:$B$13,2,FALSE))</f>
        <v>0</v>
      </c>
      <c r="AY691" s="310">
        <f t="shared" si="132"/>
        <v>0</v>
      </c>
      <c r="AZ691" s="316">
        <f t="shared" si="133"/>
        <v>0</v>
      </c>
      <c r="BA691" s="1"/>
      <c r="BB691" s="152">
        <f t="shared" si="134"/>
        <v>0</v>
      </c>
      <c r="BC691" s="152">
        <f ca="1">SUM(Z$4:Z691)+SUM(BB$4:BB691)+COSTI!S$6-COSTI!L$1076</f>
        <v>-31.760000000000218</v>
      </c>
      <c r="BD691" s="1"/>
    </row>
    <row r="692" spans="1:56" ht="16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435">
        <f>IF(AND(W692&gt;=$U$1,W692&lt;=$U$2),IF(X692='ESTRATTO CONTO'!$E$2,1+COUNTIF(U$4:U691,"&gt;0"),0),0)</f>
        <v>0</v>
      </c>
      <c r="V692" s="417">
        <f t="shared" si="131"/>
        <v>689</v>
      </c>
      <c r="W692" s="509"/>
      <c r="X692" s="321"/>
      <c r="Y692" s="321"/>
      <c r="Z692" s="508"/>
      <c r="AA692" s="356"/>
      <c r="AB692" s="306" t="str">
        <f t="shared" si="127"/>
        <v/>
      </c>
      <c r="AC692" s="637">
        <f t="shared" ca="1" si="126"/>
        <v>-2.1316282072803006E-13</v>
      </c>
      <c r="AD692" s="935">
        <f>IF(ISERROR(VLOOKUP(AD$2,X693:X$1003,1,FALSE)),IF(X692=AD$2,SUMIF(X$4:X692,AD$2,Z$4:Z692)+$E$9+SUM(AQ$4:AQ$1003)+SUMIF(COSTI!$X$1379:$X$1430,AD$2,COSTI!$Z$1379:$Z$1430),0),0)</f>
        <v>0</v>
      </c>
      <c r="AE692" s="26"/>
      <c r="AF692" s="856" t="e">
        <f>IF(ISERROR(VLOOKUP(AG$2,X693:X$1003,1,FALSE)),IF(X692=AG$2,SUMIF(X$4:X692,AG$2,Z$4:Z692)+VLOOKUP(AF$2,$B$1057:$F$1068,5,FALSE)+SUM(AR$4:AR$1003)+SUMIF(COSTI!$X$1379:$X$1430,AG$2,COSTI!$Z$1379:$Z$1430),0),0)</f>
        <v>#N/A</v>
      </c>
      <c r="AG692" s="859"/>
      <c r="AH692" s="27" t="str">
        <f t="shared" si="128"/>
        <v/>
      </c>
      <c r="AI692" s="152">
        <f ca="1">IF(W693&gt;0,0,IF(AH692=0,(Z692*-1)+BC692+SUM(BB$4:BB691),BC692+SUM(BB$4:BB691)))</f>
        <v>-2.1316282072803006E-13</v>
      </c>
      <c r="AJ692" s="931">
        <f>IF(AND(AL692&gt;=$U$1,AL692&lt;=$U$2),IF(AM692='ESTRATTO CONTO'!$E$2,1+COUNTIF(AJ$4:AJ691,"&gt;0")+U$1015,0),0)</f>
        <v>0</v>
      </c>
      <c r="AK692" s="203">
        <f>IF(AND(OR((AK691+1)&lt;AL$1015,(AK691+1)=AL$1015),MAX(AK$4:AK691)&lt;AL$1015),AK691+1,0)</f>
        <v>0</v>
      </c>
      <c r="AL692" s="309">
        <f>VLOOKUP($AK692,ENTI!$AF$4:AG$1003,2,FALSE)</f>
        <v>0</v>
      </c>
      <c r="AM692" s="224">
        <f>VLOOKUP($AK692,ENTI!$AF$4:AH$1003,3,FALSE)</f>
        <v>0</v>
      </c>
      <c r="AN692" s="224">
        <f>VLOOKUP($AK692,ENTI!$AF$4:AI$1003,4,FALSE)</f>
        <v>0</v>
      </c>
      <c r="AO692" s="781">
        <f>VLOOKUP($AK692,ENTI!$AF$4:AJ$1003,5,FALSE)</f>
        <v>0</v>
      </c>
      <c r="AP692" s="315">
        <f>VLOOKUP($AK692,ENTI!$AF$4:AK$1003,6,FALSE)</f>
        <v>0</v>
      </c>
      <c r="AQ692" s="208">
        <f t="shared" si="135"/>
        <v>0</v>
      </c>
      <c r="AR692" s="152" t="e">
        <f t="shared" si="136"/>
        <v>#N/A</v>
      </c>
      <c r="AS692" s="1"/>
      <c r="AT692" s="88" t="str">
        <f t="shared" si="129"/>
        <v/>
      </c>
      <c r="AU692" s="1"/>
      <c r="AV692" s="175">
        <f>IF(AW692&gt;0,COUNTIF(AV$4:AV691,"&gt;0")+1,0)</f>
        <v>0</v>
      </c>
      <c r="AW692" s="164">
        <f t="shared" si="130"/>
        <v>0</v>
      </c>
      <c r="AX692" s="310">
        <f>IF($AW692=0,0,VLOOKUP(VLOOKUP($X692,$B$34:$T$38,19,FALSE),ENTI!$A$9:$B$13,2,FALSE))</f>
        <v>0</v>
      </c>
      <c r="AY692" s="310">
        <f t="shared" si="132"/>
        <v>0</v>
      </c>
      <c r="AZ692" s="316">
        <f t="shared" si="133"/>
        <v>0</v>
      </c>
      <c r="BA692" s="1"/>
      <c r="BB692" s="152">
        <f t="shared" si="134"/>
        <v>0</v>
      </c>
      <c r="BC692" s="152">
        <f ca="1">SUM(Z$4:Z692)+SUM(BB$4:BB692)+COSTI!S$6-COSTI!L$1076</f>
        <v>-31.760000000000218</v>
      </c>
      <c r="BD692" s="1"/>
    </row>
    <row r="693" spans="1:56" ht="16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435">
        <f>IF(AND(W693&gt;=$U$1,W693&lt;=$U$2),IF(X693='ESTRATTO CONTO'!$E$2,1+COUNTIF(U$4:U692,"&gt;0"),0),0)</f>
        <v>0</v>
      </c>
      <c r="V693" s="417">
        <f t="shared" si="131"/>
        <v>690</v>
      </c>
      <c r="W693" s="509"/>
      <c r="X693" s="321"/>
      <c r="Y693" s="321"/>
      <c r="Z693" s="508"/>
      <c r="AA693" s="356"/>
      <c r="AB693" s="306" t="str">
        <f t="shared" si="127"/>
        <v/>
      </c>
      <c r="AC693" s="637">
        <f t="shared" ca="1" si="126"/>
        <v>-2.1316282072803006E-13</v>
      </c>
      <c r="AD693" s="935">
        <f>IF(ISERROR(VLOOKUP(AD$2,X694:X$1003,1,FALSE)),IF(X693=AD$2,SUMIF(X$4:X693,AD$2,Z$4:Z693)+$E$9+SUM(AQ$4:AQ$1003)+SUMIF(COSTI!$X$1379:$X$1430,AD$2,COSTI!$Z$1379:$Z$1430),0),0)</f>
        <v>0</v>
      </c>
      <c r="AE693" s="26"/>
      <c r="AF693" s="856" t="e">
        <f>IF(ISERROR(VLOOKUP(AG$2,X694:X$1003,1,FALSE)),IF(X693=AG$2,SUMIF(X$4:X693,AG$2,Z$4:Z693)+VLOOKUP(AF$2,$B$1057:$F$1068,5,FALSE)+SUM(AR$4:AR$1003)+SUMIF(COSTI!$X$1379:$X$1430,AG$2,COSTI!$Z$1379:$Z$1430),0),0)</f>
        <v>#N/A</v>
      </c>
      <c r="AG693" s="859"/>
      <c r="AH693" s="27" t="str">
        <f t="shared" si="128"/>
        <v/>
      </c>
      <c r="AI693" s="152">
        <f ca="1">IF(W694&gt;0,0,IF(AH693=0,(Z693*-1)+BC693+SUM(BB$4:BB692),BC693+SUM(BB$4:BB692)))</f>
        <v>-2.1316282072803006E-13</v>
      </c>
      <c r="AJ693" s="931">
        <f>IF(AND(AL693&gt;=$U$1,AL693&lt;=$U$2),IF(AM693='ESTRATTO CONTO'!$E$2,1+COUNTIF(AJ$4:AJ692,"&gt;0")+U$1015,0),0)</f>
        <v>0</v>
      </c>
      <c r="AK693" s="203">
        <f>IF(AND(OR((AK692+1)&lt;AL$1015,(AK692+1)=AL$1015),MAX(AK$4:AK692)&lt;AL$1015),AK692+1,0)</f>
        <v>0</v>
      </c>
      <c r="AL693" s="309">
        <f>VLOOKUP($AK693,ENTI!$AF$4:AG$1003,2,FALSE)</f>
        <v>0</v>
      </c>
      <c r="AM693" s="224">
        <f>VLOOKUP($AK693,ENTI!$AF$4:AH$1003,3,FALSE)</f>
        <v>0</v>
      </c>
      <c r="AN693" s="224">
        <f>VLOOKUP($AK693,ENTI!$AF$4:AI$1003,4,FALSE)</f>
        <v>0</v>
      </c>
      <c r="AO693" s="781">
        <f>VLOOKUP($AK693,ENTI!$AF$4:AJ$1003,5,FALSE)</f>
        <v>0</v>
      </c>
      <c r="AP693" s="315">
        <f>VLOOKUP($AK693,ENTI!$AF$4:AK$1003,6,FALSE)</f>
        <v>0</v>
      </c>
      <c r="AQ693" s="208">
        <f t="shared" si="135"/>
        <v>0</v>
      </c>
      <c r="AR693" s="152" t="e">
        <f t="shared" si="136"/>
        <v>#N/A</v>
      </c>
      <c r="AS693" s="1"/>
      <c r="AT693" s="88" t="str">
        <f t="shared" si="129"/>
        <v/>
      </c>
      <c r="AU693" s="1"/>
      <c r="AV693" s="175">
        <f>IF(AW693&gt;0,COUNTIF(AV$4:AV692,"&gt;0")+1,0)</f>
        <v>0</v>
      </c>
      <c r="AW693" s="164">
        <f t="shared" si="130"/>
        <v>0</v>
      </c>
      <c r="AX693" s="310">
        <f>IF($AW693=0,0,VLOOKUP(VLOOKUP($X693,$B$34:$T$38,19,FALSE),ENTI!$A$9:$B$13,2,FALSE))</f>
        <v>0</v>
      </c>
      <c r="AY693" s="310">
        <f t="shared" si="132"/>
        <v>0</v>
      </c>
      <c r="AZ693" s="316">
        <f t="shared" si="133"/>
        <v>0</v>
      </c>
      <c r="BA693" s="1"/>
      <c r="BB693" s="152">
        <f t="shared" si="134"/>
        <v>0</v>
      </c>
      <c r="BC693" s="152">
        <f ca="1">SUM(Z$4:Z693)+SUM(BB$4:BB693)+COSTI!S$6-COSTI!L$1076</f>
        <v>-31.760000000000218</v>
      </c>
      <c r="BD693" s="1"/>
    </row>
    <row r="694" spans="1:56" ht="16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435">
        <f>IF(AND(W694&gt;=$U$1,W694&lt;=$U$2),IF(X694='ESTRATTO CONTO'!$E$2,1+COUNTIF(U$4:U693,"&gt;0"),0),0)</f>
        <v>0</v>
      </c>
      <c r="V694" s="417">
        <f t="shared" si="131"/>
        <v>691</v>
      </c>
      <c r="W694" s="509"/>
      <c r="X694" s="321"/>
      <c r="Y694" s="321"/>
      <c r="Z694" s="508"/>
      <c r="AA694" s="356"/>
      <c r="AB694" s="306" t="str">
        <f t="shared" si="127"/>
        <v/>
      </c>
      <c r="AC694" s="637">
        <f t="shared" ca="1" si="126"/>
        <v>-2.1316282072803006E-13</v>
      </c>
      <c r="AD694" s="935">
        <f>IF(ISERROR(VLOOKUP(AD$2,X695:X$1003,1,FALSE)),IF(X694=AD$2,SUMIF(X$4:X694,AD$2,Z$4:Z694)+$E$9+SUM(AQ$4:AQ$1003)+SUMIF(COSTI!$X$1379:$X$1430,AD$2,COSTI!$Z$1379:$Z$1430),0),0)</f>
        <v>0</v>
      </c>
      <c r="AE694" s="26"/>
      <c r="AF694" s="856" t="e">
        <f>IF(ISERROR(VLOOKUP(AG$2,X695:X$1003,1,FALSE)),IF(X694=AG$2,SUMIF(X$4:X694,AG$2,Z$4:Z694)+VLOOKUP(AF$2,$B$1057:$F$1068,5,FALSE)+SUM(AR$4:AR$1003)+SUMIF(COSTI!$X$1379:$X$1430,AG$2,COSTI!$Z$1379:$Z$1430),0),0)</f>
        <v>#N/A</v>
      </c>
      <c r="AG694" s="859"/>
      <c r="AH694" s="27" t="str">
        <f t="shared" si="128"/>
        <v/>
      </c>
      <c r="AI694" s="152">
        <f ca="1">IF(W695&gt;0,0,IF(AH694=0,(Z694*-1)+BC694+SUM(BB$4:BB693),BC694+SUM(BB$4:BB693)))</f>
        <v>-2.1316282072803006E-13</v>
      </c>
      <c r="AJ694" s="931">
        <f>IF(AND(AL694&gt;=$U$1,AL694&lt;=$U$2),IF(AM694='ESTRATTO CONTO'!$E$2,1+COUNTIF(AJ$4:AJ693,"&gt;0")+U$1015,0),0)</f>
        <v>0</v>
      </c>
      <c r="AK694" s="203">
        <f>IF(AND(OR((AK693+1)&lt;AL$1015,(AK693+1)=AL$1015),MAX(AK$4:AK693)&lt;AL$1015),AK693+1,0)</f>
        <v>0</v>
      </c>
      <c r="AL694" s="309">
        <f>VLOOKUP($AK694,ENTI!$AF$4:AG$1003,2,FALSE)</f>
        <v>0</v>
      </c>
      <c r="AM694" s="224">
        <f>VLOOKUP($AK694,ENTI!$AF$4:AH$1003,3,FALSE)</f>
        <v>0</v>
      </c>
      <c r="AN694" s="224">
        <f>VLOOKUP($AK694,ENTI!$AF$4:AI$1003,4,FALSE)</f>
        <v>0</v>
      </c>
      <c r="AO694" s="781">
        <f>VLOOKUP($AK694,ENTI!$AF$4:AJ$1003,5,FALSE)</f>
        <v>0</v>
      </c>
      <c r="AP694" s="315">
        <f>VLOOKUP($AK694,ENTI!$AF$4:AK$1003,6,FALSE)</f>
        <v>0</v>
      </c>
      <c r="AQ694" s="208">
        <f t="shared" si="135"/>
        <v>0</v>
      </c>
      <c r="AR694" s="152" t="e">
        <f t="shared" si="136"/>
        <v>#N/A</v>
      </c>
      <c r="AS694" s="1"/>
      <c r="AT694" s="88" t="str">
        <f t="shared" si="129"/>
        <v/>
      </c>
      <c r="AU694" s="1"/>
      <c r="AV694" s="175">
        <f>IF(AW694&gt;0,COUNTIF(AV$4:AV693,"&gt;0")+1,0)</f>
        <v>0</v>
      </c>
      <c r="AW694" s="164">
        <f t="shared" si="130"/>
        <v>0</v>
      </c>
      <c r="AX694" s="310">
        <f>IF($AW694=0,0,VLOOKUP(VLOOKUP($X694,$B$34:$T$38,19,FALSE),ENTI!$A$9:$B$13,2,FALSE))</f>
        <v>0</v>
      </c>
      <c r="AY694" s="310">
        <f t="shared" si="132"/>
        <v>0</v>
      </c>
      <c r="AZ694" s="316">
        <f t="shared" si="133"/>
        <v>0</v>
      </c>
      <c r="BA694" s="1"/>
      <c r="BB694" s="152">
        <f t="shared" si="134"/>
        <v>0</v>
      </c>
      <c r="BC694" s="152">
        <f ca="1">SUM(Z$4:Z694)+SUM(BB$4:BB694)+COSTI!S$6-COSTI!L$1076</f>
        <v>-31.760000000000218</v>
      </c>
      <c r="BD694" s="1"/>
    </row>
    <row r="695" spans="1:56" ht="16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435">
        <f>IF(AND(W695&gt;=$U$1,W695&lt;=$U$2),IF(X695='ESTRATTO CONTO'!$E$2,1+COUNTIF(U$4:U694,"&gt;0"),0),0)</f>
        <v>0</v>
      </c>
      <c r="V695" s="417">
        <f t="shared" si="131"/>
        <v>692</v>
      </c>
      <c r="W695" s="509"/>
      <c r="X695" s="321"/>
      <c r="Y695" s="321"/>
      <c r="Z695" s="508"/>
      <c r="AA695" s="356"/>
      <c r="AB695" s="306" t="str">
        <f t="shared" si="127"/>
        <v/>
      </c>
      <c r="AC695" s="637">
        <f t="shared" ca="1" si="126"/>
        <v>-2.1316282072803006E-13</v>
      </c>
      <c r="AD695" s="935">
        <f>IF(ISERROR(VLOOKUP(AD$2,X696:X$1003,1,FALSE)),IF(X695=AD$2,SUMIF(X$4:X695,AD$2,Z$4:Z695)+$E$9+SUM(AQ$4:AQ$1003)+SUMIF(COSTI!$X$1379:$X$1430,AD$2,COSTI!$Z$1379:$Z$1430),0),0)</f>
        <v>0</v>
      </c>
      <c r="AE695" s="26"/>
      <c r="AF695" s="856" t="e">
        <f>IF(ISERROR(VLOOKUP(AG$2,X696:X$1003,1,FALSE)),IF(X695=AG$2,SUMIF(X$4:X695,AG$2,Z$4:Z695)+VLOOKUP(AF$2,$B$1057:$F$1068,5,FALSE)+SUM(AR$4:AR$1003)+SUMIF(COSTI!$X$1379:$X$1430,AG$2,COSTI!$Z$1379:$Z$1430),0),0)</f>
        <v>#N/A</v>
      </c>
      <c r="AG695" s="859"/>
      <c r="AH695" s="27" t="str">
        <f t="shared" si="128"/>
        <v/>
      </c>
      <c r="AI695" s="152">
        <f ca="1">IF(W696&gt;0,0,IF(AH695=0,(Z695*-1)+BC695+SUM(BB$4:BB694),BC695+SUM(BB$4:BB694)))</f>
        <v>-2.1316282072803006E-13</v>
      </c>
      <c r="AJ695" s="931">
        <f>IF(AND(AL695&gt;=$U$1,AL695&lt;=$U$2),IF(AM695='ESTRATTO CONTO'!$E$2,1+COUNTIF(AJ$4:AJ694,"&gt;0")+U$1015,0),0)</f>
        <v>0</v>
      </c>
      <c r="AK695" s="203">
        <f>IF(AND(OR((AK694+1)&lt;AL$1015,(AK694+1)=AL$1015),MAX(AK$4:AK694)&lt;AL$1015),AK694+1,0)</f>
        <v>0</v>
      </c>
      <c r="AL695" s="309">
        <f>VLOOKUP($AK695,ENTI!$AF$4:AG$1003,2,FALSE)</f>
        <v>0</v>
      </c>
      <c r="AM695" s="224">
        <f>VLOOKUP($AK695,ENTI!$AF$4:AH$1003,3,FALSE)</f>
        <v>0</v>
      </c>
      <c r="AN695" s="224">
        <f>VLOOKUP($AK695,ENTI!$AF$4:AI$1003,4,FALSE)</f>
        <v>0</v>
      </c>
      <c r="AO695" s="781">
        <f>VLOOKUP($AK695,ENTI!$AF$4:AJ$1003,5,FALSE)</f>
        <v>0</v>
      </c>
      <c r="AP695" s="315">
        <f>VLOOKUP($AK695,ENTI!$AF$4:AK$1003,6,FALSE)</f>
        <v>0</v>
      </c>
      <c r="AQ695" s="208">
        <f t="shared" si="135"/>
        <v>0</v>
      </c>
      <c r="AR695" s="152" t="e">
        <f t="shared" si="136"/>
        <v>#N/A</v>
      </c>
      <c r="AS695" s="1"/>
      <c r="AT695" s="88" t="str">
        <f t="shared" si="129"/>
        <v/>
      </c>
      <c r="AU695" s="1"/>
      <c r="AV695" s="175">
        <f>IF(AW695&gt;0,COUNTIF(AV$4:AV694,"&gt;0")+1,0)</f>
        <v>0</v>
      </c>
      <c r="AW695" s="164">
        <f t="shared" si="130"/>
        <v>0</v>
      </c>
      <c r="AX695" s="310">
        <f>IF($AW695=0,0,VLOOKUP(VLOOKUP($X695,$B$34:$T$38,19,FALSE),ENTI!$A$9:$B$13,2,FALSE))</f>
        <v>0</v>
      </c>
      <c r="AY695" s="310">
        <f t="shared" si="132"/>
        <v>0</v>
      </c>
      <c r="AZ695" s="316">
        <f t="shared" si="133"/>
        <v>0</v>
      </c>
      <c r="BA695" s="1"/>
      <c r="BB695" s="152">
        <f t="shared" si="134"/>
        <v>0</v>
      </c>
      <c r="BC695" s="152">
        <f ca="1">SUM(Z$4:Z695)+SUM(BB$4:BB695)+COSTI!S$6-COSTI!L$1076</f>
        <v>-31.760000000000218</v>
      </c>
      <c r="BD695" s="1"/>
    </row>
    <row r="696" spans="1:56" ht="16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435">
        <f>IF(AND(W696&gt;=$U$1,W696&lt;=$U$2),IF(X696='ESTRATTO CONTO'!$E$2,1+COUNTIF(U$4:U695,"&gt;0"),0),0)</f>
        <v>0</v>
      </c>
      <c r="V696" s="417">
        <f t="shared" si="131"/>
        <v>693</v>
      </c>
      <c r="W696" s="509"/>
      <c r="X696" s="321"/>
      <c r="Y696" s="321"/>
      <c r="Z696" s="508"/>
      <c r="AA696" s="356"/>
      <c r="AB696" s="306" t="str">
        <f t="shared" si="127"/>
        <v/>
      </c>
      <c r="AC696" s="637">
        <f t="shared" ca="1" si="126"/>
        <v>-2.1316282072803006E-13</v>
      </c>
      <c r="AD696" s="935">
        <f>IF(ISERROR(VLOOKUP(AD$2,X697:X$1003,1,FALSE)),IF(X696=AD$2,SUMIF(X$4:X696,AD$2,Z$4:Z696)+$E$9+SUM(AQ$4:AQ$1003)+SUMIF(COSTI!$X$1379:$X$1430,AD$2,COSTI!$Z$1379:$Z$1430),0),0)</f>
        <v>0</v>
      </c>
      <c r="AE696" s="26"/>
      <c r="AF696" s="856" t="e">
        <f>IF(ISERROR(VLOOKUP(AG$2,X697:X$1003,1,FALSE)),IF(X696=AG$2,SUMIF(X$4:X696,AG$2,Z$4:Z696)+VLOOKUP(AF$2,$B$1057:$F$1068,5,FALSE)+SUM(AR$4:AR$1003)+SUMIF(COSTI!$X$1379:$X$1430,AG$2,COSTI!$Z$1379:$Z$1430),0),0)</f>
        <v>#N/A</v>
      </c>
      <c r="AG696" s="859"/>
      <c r="AH696" s="27" t="str">
        <f t="shared" si="128"/>
        <v/>
      </c>
      <c r="AI696" s="152">
        <f ca="1">IF(W697&gt;0,0,IF(AH696=0,(Z696*-1)+BC696+SUM(BB$4:BB695),BC696+SUM(BB$4:BB695)))</f>
        <v>-2.1316282072803006E-13</v>
      </c>
      <c r="AJ696" s="931">
        <f>IF(AND(AL696&gt;=$U$1,AL696&lt;=$U$2),IF(AM696='ESTRATTO CONTO'!$E$2,1+COUNTIF(AJ$4:AJ695,"&gt;0")+U$1015,0),0)</f>
        <v>0</v>
      </c>
      <c r="AK696" s="203">
        <f>IF(AND(OR((AK695+1)&lt;AL$1015,(AK695+1)=AL$1015),MAX(AK$4:AK695)&lt;AL$1015),AK695+1,0)</f>
        <v>0</v>
      </c>
      <c r="AL696" s="309">
        <f>VLOOKUP($AK696,ENTI!$AF$4:AG$1003,2,FALSE)</f>
        <v>0</v>
      </c>
      <c r="AM696" s="224">
        <f>VLOOKUP($AK696,ENTI!$AF$4:AH$1003,3,FALSE)</f>
        <v>0</v>
      </c>
      <c r="AN696" s="224">
        <f>VLOOKUP($AK696,ENTI!$AF$4:AI$1003,4,FALSE)</f>
        <v>0</v>
      </c>
      <c r="AO696" s="781">
        <f>VLOOKUP($AK696,ENTI!$AF$4:AJ$1003,5,FALSE)</f>
        <v>0</v>
      </c>
      <c r="AP696" s="315">
        <f>VLOOKUP($AK696,ENTI!$AF$4:AK$1003,6,FALSE)</f>
        <v>0</v>
      </c>
      <c r="AQ696" s="208">
        <f t="shared" si="135"/>
        <v>0</v>
      </c>
      <c r="AR696" s="152" t="e">
        <f t="shared" si="136"/>
        <v>#N/A</v>
      </c>
      <c r="AS696" s="1"/>
      <c r="AT696" s="88" t="str">
        <f t="shared" si="129"/>
        <v/>
      </c>
      <c r="AU696" s="1"/>
      <c r="AV696" s="175">
        <f>IF(AW696&gt;0,COUNTIF(AV$4:AV695,"&gt;0")+1,0)</f>
        <v>0</v>
      </c>
      <c r="AW696" s="164">
        <f t="shared" si="130"/>
        <v>0</v>
      </c>
      <c r="AX696" s="310">
        <f>IF($AW696=0,0,VLOOKUP(VLOOKUP($X696,$B$34:$T$38,19,FALSE),ENTI!$A$9:$B$13,2,FALSE))</f>
        <v>0</v>
      </c>
      <c r="AY696" s="310">
        <f t="shared" si="132"/>
        <v>0</v>
      </c>
      <c r="AZ696" s="316">
        <f t="shared" si="133"/>
        <v>0</v>
      </c>
      <c r="BA696" s="1"/>
      <c r="BB696" s="152">
        <f t="shared" si="134"/>
        <v>0</v>
      </c>
      <c r="BC696" s="152">
        <f ca="1">SUM(Z$4:Z696)+SUM(BB$4:BB696)+COSTI!S$6-COSTI!L$1076</f>
        <v>-31.760000000000218</v>
      </c>
      <c r="BD696" s="1"/>
    </row>
    <row r="697" spans="1:56" ht="16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435">
        <f>IF(AND(W697&gt;=$U$1,W697&lt;=$U$2),IF(X697='ESTRATTO CONTO'!$E$2,1+COUNTIF(U$4:U696,"&gt;0"),0),0)</f>
        <v>0</v>
      </c>
      <c r="V697" s="417">
        <f t="shared" si="131"/>
        <v>694</v>
      </c>
      <c r="W697" s="509"/>
      <c r="X697" s="321"/>
      <c r="Y697" s="321"/>
      <c r="Z697" s="508"/>
      <c r="AA697" s="356"/>
      <c r="AB697" s="306" t="str">
        <f t="shared" si="127"/>
        <v/>
      </c>
      <c r="AC697" s="637">
        <f t="shared" ref="AC697:AC760" ca="1" si="137">AI697</f>
        <v>-2.1316282072803006E-13</v>
      </c>
      <c r="AD697" s="935">
        <f>IF(ISERROR(VLOOKUP(AD$2,X698:X$1003,1,FALSE)),IF(X697=AD$2,SUMIF(X$4:X697,AD$2,Z$4:Z697)+$E$9+SUM(AQ$4:AQ$1003)+SUMIF(COSTI!$X$1379:$X$1430,AD$2,COSTI!$Z$1379:$Z$1430),0),0)</f>
        <v>0</v>
      </c>
      <c r="AE697" s="26"/>
      <c r="AF697" s="856" t="e">
        <f>IF(ISERROR(VLOOKUP(AG$2,X698:X$1003,1,FALSE)),IF(X697=AG$2,SUMIF(X$4:X697,AG$2,Z$4:Z697)+VLOOKUP(AF$2,$B$1057:$F$1068,5,FALSE)+SUM(AR$4:AR$1003)+SUMIF(COSTI!$X$1379:$X$1430,AG$2,COSTI!$Z$1379:$Z$1430),0),0)</f>
        <v>#N/A</v>
      </c>
      <c r="AG697" s="859"/>
      <c r="AH697" s="27" t="str">
        <f t="shared" si="128"/>
        <v/>
      </c>
      <c r="AI697" s="152">
        <f ca="1">IF(W698&gt;0,0,IF(AH697=0,(Z697*-1)+BC697+SUM(BB$4:BB696),BC697+SUM(BB$4:BB696)))</f>
        <v>-2.1316282072803006E-13</v>
      </c>
      <c r="AJ697" s="931">
        <f>IF(AND(AL697&gt;=$U$1,AL697&lt;=$U$2),IF(AM697='ESTRATTO CONTO'!$E$2,1+COUNTIF(AJ$4:AJ696,"&gt;0")+U$1015,0),0)</f>
        <v>0</v>
      </c>
      <c r="AK697" s="203">
        <f>IF(AND(OR((AK696+1)&lt;AL$1015,(AK696+1)=AL$1015),MAX(AK$4:AK696)&lt;AL$1015),AK696+1,0)</f>
        <v>0</v>
      </c>
      <c r="AL697" s="309">
        <f>VLOOKUP($AK697,ENTI!$AF$4:AG$1003,2,FALSE)</f>
        <v>0</v>
      </c>
      <c r="AM697" s="224">
        <f>VLOOKUP($AK697,ENTI!$AF$4:AH$1003,3,FALSE)</f>
        <v>0</v>
      </c>
      <c r="AN697" s="224">
        <f>VLOOKUP($AK697,ENTI!$AF$4:AI$1003,4,FALSE)</f>
        <v>0</v>
      </c>
      <c r="AO697" s="781">
        <f>VLOOKUP($AK697,ENTI!$AF$4:AJ$1003,5,FALSE)</f>
        <v>0</v>
      </c>
      <c r="AP697" s="315">
        <f>VLOOKUP($AK697,ENTI!$AF$4:AK$1003,6,FALSE)</f>
        <v>0</v>
      </c>
      <c r="AQ697" s="208">
        <f t="shared" si="135"/>
        <v>0</v>
      </c>
      <c r="AR697" s="152" t="e">
        <f t="shared" si="136"/>
        <v>#N/A</v>
      </c>
      <c r="AS697" s="1"/>
      <c r="AT697" s="88" t="str">
        <f t="shared" si="129"/>
        <v/>
      </c>
      <c r="AU697" s="1"/>
      <c r="AV697" s="175">
        <f>IF(AW697&gt;0,COUNTIF(AV$4:AV696,"&gt;0")+1,0)</f>
        <v>0</v>
      </c>
      <c r="AW697" s="164">
        <f t="shared" si="130"/>
        <v>0</v>
      </c>
      <c r="AX697" s="310">
        <f>IF($AW697=0,0,VLOOKUP(VLOOKUP($X697,$B$34:$T$38,19,FALSE),ENTI!$A$9:$B$13,2,FALSE))</f>
        <v>0</v>
      </c>
      <c r="AY697" s="310">
        <f t="shared" si="132"/>
        <v>0</v>
      </c>
      <c r="AZ697" s="316">
        <f t="shared" si="133"/>
        <v>0</v>
      </c>
      <c r="BA697" s="1"/>
      <c r="BB697" s="152">
        <f t="shared" si="134"/>
        <v>0</v>
      </c>
      <c r="BC697" s="152">
        <f ca="1">SUM(Z$4:Z697)+SUM(BB$4:BB697)+COSTI!S$6-COSTI!L$1076</f>
        <v>-31.760000000000218</v>
      </c>
      <c r="BD697" s="1"/>
    </row>
    <row r="698" spans="1:56" ht="16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435">
        <f>IF(AND(W698&gt;=$U$1,W698&lt;=$U$2),IF(X698='ESTRATTO CONTO'!$E$2,1+COUNTIF(U$4:U697,"&gt;0"),0),0)</f>
        <v>0</v>
      </c>
      <c r="V698" s="417">
        <f t="shared" si="131"/>
        <v>695</v>
      </c>
      <c r="W698" s="509"/>
      <c r="X698" s="321"/>
      <c r="Y698" s="321"/>
      <c r="Z698" s="508"/>
      <c r="AA698" s="356"/>
      <c r="AB698" s="306" t="str">
        <f t="shared" si="127"/>
        <v/>
      </c>
      <c r="AC698" s="637">
        <f t="shared" ca="1" si="137"/>
        <v>-2.1316282072803006E-13</v>
      </c>
      <c r="AD698" s="935">
        <f>IF(ISERROR(VLOOKUP(AD$2,X699:X$1003,1,FALSE)),IF(X698=AD$2,SUMIF(X$4:X698,AD$2,Z$4:Z698)+$E$9+SUM(AQ$4:AQ$1003)+SUMIF(COSTI!$X$1379:$X$1430,AD$2,COSTI!$Z$1379:$Z$1430),0),0)</f>
        <v>0</v>
      </c>
      <c r="AE698" s="26"/>
      <c r="AF698" s="856" t="e">
        <f>IF(ISERROR(VLOOKUP(AG$2,X699:X$1003,1,FALSE)),IF(X698=AG$2,SUMIF(X$4:X698,AG$2,Z$4:Z698)+VLOOKUP(AF$2,$B$1057:$F$1068,5,FALSE)+SUM(AR$4:AR$1003)+SUMIF(COSTI!$X$1379:$X$1430,AG$2,COSTI!$Z$1379:$Z$1430),0),0)</f>
        <v>#N/A</v>
      </c>
      <c r="AG698" s="859"/>
      <c r="AH698" s="27" t="str">
        <f t="shared" si="128"/>
        <v/>
      </c>
      <c r="AI698" s="152">
        <f ca="1">IF(W699&gt;0,0,IF(AH698=0,(Z698*-1)+BC698+SUM(BB$4:BB697),BC698+SUM(BB$4:BB697)))</f>
        <v>-2.1316282072803006E-13</v>
      </c>
      <c r="AJ698" s="931">
        <f>IF(AND(AL698&gt;=$U$1,AL698&lt;=$U$2),IF(AM698='ESTRATTO CONTO'!$E$2,1+COUNTIF(AJ$4:AJ697,"&gt;0")+U$1015,0),0)</f>
        <v>0</v>
      </c>
      <c r="AK698" s="203">
        <f>IF(AND(OR((AK697+1)&lt;AL$1015,(AK697+1)=AL$1015),MAX(AK$4:AK697)&lt;AL$1015),AK697+1,0)</f>
        <v>0</v>
      </c>
      <c r="AL698" s="309">
        <f>VLOOKUP($AK698,ENTI!$AF$4:AG$1003,2,FALSE)</f>
        <v>0</v>
      </c>
      <c r="AM698" s="224">
        <f>VLOOKUP($AK698,ENTI!$AF$4:AH$1003,3,FALSE)</f>
        <v>0</v>
      </c>
      <c r="AN698" s="224">
        <f>VLOOKUP($AK698,ENTI!$AF$4:AI$1003,4,FALSE)</f>
        <v>0</v>
      </c>
      <c r="AO698" s="781">
        <f>VLOOKUP($AK698,ENTI!$AF$4:AJ$1003,5,FALSE)</f>
        <v>0</v>
      </c>
      <c r="AP698" s="315">
        <f>VLOOKUP($AK698,ENTI!$AF$4:AK$1003,6,FALSE)</f>
        <v>0</v>
      </c>
      <c r="AQ698" s="208">
        <f t="shared" si="135"/>
        <v>0</v>
      </c>
      <c r="AR698" s="152" t="e">
        <f t="shared" si="136"/>
        <v>#N/A</v>
      </c>
      <c r="AS698" s="1"/>
      <c r="AT698" s="88" t="str">
        <f t="shared" si="129"/>
        <v/>
      </c>
      <c r="AU698" s="1"/>
      <c r="AV698" s="175">
        <f>IF(AW698&gt;0,COUNTIF(AV$4:AV697,"&gt;0")+1,0)</f>
        <v>0</v>
      </c>
      <c r="AW698" s="164">
        <f t="shared" si="130"/>
        <v>0</v>
      </c>
      <c r="AX698" s="310">
        <f>IF($AW698=0,0,VLOOKUP(VLOOKUP($X698,$B$34:$T$38,19,FALSE),ENTI!$A$9:$B$13,2,FALSE))</f>
        <v>0</v>
      </c>
      <c r="AY698" s="310">
        <f t="shared" si="132"/>
        <v>0</v>
      </c>
      <c r="AZ698" s="316">
        <f t="shared" si="133"/>
        <v>0</v>
      </c>
      <c r="BA698" s="1"/>
      <c r="BB698" s="152">
        <f t="shared" si="134"/>
        <v>0</v>
      </c>
      <c r="BC698" s="152">
        <f ca="1">SUM(Z$4:Z698)+SUM(BB$4:BB698)+COSTI!S$6-COSTI!L$1076</f>
        <v>-31.760000000000218</v>
      </c>
      <c r="BD698" s="1"/>
    </row>
    <row r="699" spans="1:56" ht="16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435">
        <f>IF(AND(W699&gt;=$U$1,W699&lt;=$U$2),IF(X699='ESTRATTO CONTO'!$E$2,1+COUNTIF(U$4:U698,"&gt;0"),0),0)</f>
        <v>0</v>
      </c>
      <c r="V699" s="417">
        <f t="shared" si="131"/>
        <v>696</v>
      </c>
      <c r="W699" s="509"/>
      <c r="X699" s="321"/>
      <c r="Y699" s="321"/>
      <c r="Z699" s="508"/>
      <c r="AA699" s="356"/>
      <c r="AB699" s="306" t="str">
        <f t="shared" si="127"/>
        <v/>
      </c>
      <c r="AC699" s="637">
        <f t="shared" ca="1" si="137"/>
        <v>-2.1316282072803006E-13</v>
      </c>
      <c r="AD699" s="935">
        <f>IF(ISERROR(VLOOKUP(AD$2,X700:X$1003,1,FALSE)),IF(X699=AD$2,SUMIF(X$4:X699,AD$2,Z$4:Z699)+$E$9+SUM(AQ$4:AQ$1003)+SUMIF(COSTI!$X$1379:$X$1430,AD$2,COSTI!$Z$1379:$Z$1430),0),0)</f>
        <v>0</v>
      </c>
      <c r="AE699" s="26"/>
      <c r="AF699" s="856" t="e">
        <f>IF(ISERROR(VLOOKUP(AG$2,X700:X$1003,1,FALSE)),IF(X699=AG$2,SUMIF(X$4:X699,AG$2,Z$4:Z699)+VLOOKUP(AF$2,$B$1057:$F$1068,5,FALSE)+SUM(AR$4:AR$1003)+SUMIF(COSTI!$X$1379:$X$1430,AG$2,COSTI!$Z$1379:$Z$1430),0),0)</f>
        <v>#N/A</v>
      </c>
      <c r="AG699" s="859"/>
      <c r="AH699" s="27" t="str">
        <f t="shared" si="128"/>
        <v/>
      </c>
      <c r="AI699" s="152">
        <f ca="1">IF(W700&gt;0,0,IF(AH699=0,(Z699*-1)+BC699+SUM(BB$4:BB698),BC699+SUM(BB$4:BB698)))</f>
        <v>-2.1316282072803006E-13</v>
      </c>
      <c r="AJ699" s="931">
        <f>IF(AND(AL699&gt;=$U$1,AL699&lt;=$U$2),IF(AM699='ESTRATTO CONTO'!$E$2,1+COUNTIF(AJ$4:AJ698,"&gt;0")+U$1015,0),0)</f>
        <v>0</v>
      </c>
      <c r="AK699" s="203">
        <f>IF(AND(OR((AK698+1)&lt;AL$1015,(AK698+1)=AL$1015),MAX(AK$4:AK698)&lt;AL$1015),AK698+1,0)</f>
        <v>0</v>
      </c>
      <c r="AL699" s="309">
        <f>VLOOKUP($AK699,ENTI!$AF$4:AG$1003,2,FALSE)</f>
        <v>0</v>
      </c>
      <c r="AM699" s="224">
        <f>VLOOKUP($AK699,ENTI!$AF$4:AH$1003,3,FALSE)</f>
        <v>0</v>
      </c>
      <c r="AN699" s="224">
        <f>VLOOKUP($AK699,ENTI!$AF$4:AI$1003,4,FALSE)</f>
        <v>0</v>
      </c>
      <c r="AO699" s="781">
        <f>VLOOKUP($AK699,ENTI!$AF$4:AJ$1003,5,FALSE)</f>
        <v>0</v>
      </c>
      <c r="AP699" s="315">
        <f>VLOOKUP($AK699,ENTI!$AF$4:AK$1003,6,FALSE)</f>
        <v>0</v>
      </c>
      <c r="AQ699" s="208">
        <f t="shared" si="135"/>
        <v>0</v>
      </c>
      <c r="AR699" s="152" t="e">
        <f t="shared" si="136"/>
        <v>#N/A</v>
      </c>
      <c r="AS699" s="1"/>
      <c r="AT699" s="88" t="str">
        <f t="shared" si="129"/>
        <v/>
      </c>
      <c r="AU699" s="1"/>
      <c r="AV699" s="175">
        <f>IF(AW699&gt;0,COUNTIF(AV$4:AV698,"&gt;0")+1,0)</f>
        <v>0</v>
      </c>
      <c r="AW699" s="164">
        <f t="shared" si="130"/>
        <v>0</v>
      </c>
      <c r="AX699" s="310">
        <f>IF($AW699=0,0,VLOOKUP(VLOOKUP($X699,$B$34:$T$38,19,FALSE),ENTI!$A$9:$B$13,2,FALSE))</f>
        <v>0</v>
      </c>
      <c r="AY699" s="310">
        <f t="shared" si="132"/>
        <v>0</v>
      </c>
      <c r="AZ699" s="316">
        <f t="shared" si="133"/>
        <v>0</v>
      </c>
      <c r="BA699" s="1"/>
      <c r="BB699" s="152">
        <f t="shared" si="134"/>
        <v>0</v>
      </c>
      <c r="BC699" s="152">
        <f ca="1">SUM(Z$4:Z699)+SUM(BB$4:BB699)+COSTI!S$6-COSTI!L$1076</f>
        <v>-31.760000000000218</v>
      </c>
      <c r="BD699" s="1"/>
    </row>
    <row r="700" spans="1:56" ht="16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435">
        <f>IF(AND(W700&gt;=$U$1,W700&lt;=$U$2),IF(X700='ESTRATTO CONTO'!$E$2,1+COUNTIF(U$4:U699,"&gt;0"),0),0)</f>
        <v>0</v>
      </c>
      <c r="V700" s="417">
        <f t="shared" si="131"/>
        <v>697</v>
      </c>
      <c r="W700" s="509"/>
      <c r="X700" s="321"/>
      <c r="Y700" s="321"/>
      <c r="Z700" s="508"/>
      <c r="AA700" s="356"/>
      <c r="AB700" s="306" t="str">
        <f t="shared" si="127"/>
        <v/>
      </c>
      <c r="AC700" s="637">
        <f t="shared" ca="1" si="137"/>
        <v>-2.1316282072803006E-13</v>
      </c>
      <c r="AD700" s="935">
        <f>IF(ISERROR(VLOOKUP(AD$2,X701:X$1003,1,FALSE)),IF(X700=AD$2,SUMIF(X$4:X700,AD$2,Z$4:Z700)+$E$9+SUM(AQ$4:AQ$1003)+SUMIF(COSTI!$X$1379:$X$1430,AD$2,COSTI!$Z$1379:$Z$1430),0),0)</f>
        <v>0</v>
      </c>
      <c r="AE700" s="26"/>
      <c r="AF700" s="856" t="e">
        <f>IF(ISERROR(VLOOKUP(AG$2,X701:X$1003,1,FALSE)),IF(X700=AG$2,SUMIF(X$4:X700,AG$2,Z$4:Z700)+VLOOKUP(AF$2,$B$1057:$F$1068,5,FALSE)+SUM(AR$4:AR$1003)+SUMIF(COSTI!$X$1379:$X$1430,AG$2,COSTI!$Z$1379:$Z$1430),0),0)</f>
        <v>#N/A</v>
      </c>
      <c r="AG700" s="859"/>
      <c r="AH700" s="27" t="str">
        <f t="shared" si="128"/>
        <v/>
      </c>
      <c r="AI700" s="152">
        <f ca="1">IF(W701&gt;0,0,IF(AH700=0,(Z700*-1)+BC700+SUM(BB$4:BB699),BC700+SUM(BB$4:BB699)))</f>
        <v>-2.1316282072803006E-13</v>
      </c>
      <c r="AJ700" s="931">
        <f>IF(AND(AL700&gt;=$U$1,AL700&lt;=$U$2),IF(AM700='ESTRATTO CONTO'!$E$2,1+COUNTIF(AJ$4:AJ699,"&gt;0")+U$1015,0),0)</f>
        <v>0</v>
      </c>
      <c r="AK700" s="203">
        <f>IF(AND(OR((AK699+1)&lt;AL$1015,(AK699+1)=AL$1015),MAX(AK$4:AK699)&lt;AL$1015),AK699+1,0)</f>
        <v>0</v>
      </c>
      <c r="AL700" s="309">
        <f>VLOOKUP($AK700,ENTI!$AF$4:AG$1003,2,FALSE)</f>
        <v>0</v>
      </c>
      <c r="AM700" s="224">
        <f>VLOOKUP($AK700,ENTI!$AF$4:AH$1003,3,FALSE)</f>
        <v>0</v>
      </c>
      <c r="AN700" s="224">
        <f>VLOOKUP($AK700,ENTI!$AF$4:AI$1003,4,FALSE)</f>
        <v>0</v>
      </c>
      <c r="AO700" s="781">
        <f>VLOOKUP($AK700,ENTI!$AF$4:AJ$1003,5,FALSE)</f>
        <v>0</v>
      </c>
      <c r="AP700" s="315">
        <f>VLOOKUP($AK700,ENTI!$AF$4:AK$1003,6,FALSE)</f>
        <v>0</v>
      </c>
      <c r="AQ700" s="208">
        <f t="shared" si="135"/>
        <v>0</v>
      </c>
      <c r="AR700" s="152" t="e">
        <f t="shared" si="136"/>
        <v>#N/A</v>
      </c>
      <c r="AS700" s="1"/>
      <c r="AT700" s="88" t="str">
        <f t="shared" si="129"/>
        <v/>
      </c>
      <c r="AU700" s="1"/>
      <c r="AV700" s="175">
        <f>IF(AW700&gt;0,COUNTIF(AV$4:AV699,"&gt;0")+1,0)</f>
        <v>0</v>
      </c>
      <c r="AW700" s="164">
        <f t="shared" si="130"/>
        <v>0</v>
      </c>
      <c r="AX700" s="310">
        <f>IF($AW700=0,0,VLOOKUP(VLOOKUP($X700,$B$34:$T$38,19,FALSE),ENTI!$A$9:$B$13,2,FALSE))</f>
        <v>0</v>
      </c>
      <c r="AY700" s="310">
        <f t="shared" si="132"/>
        <v>0</v>
      </c>
      <c r="AZ700" s="316">
        <f t="shared" si="133"/>
        <v>0</v>
      </c>
      <c r="BA700" s="1"/>
      <c r="BB700" s="152">
        <f t="shared" si="134"/>
        <v>0</v>
      </c>
      <c r="BC700" s="152">
        <f ca="1">SUM(Z$4:Z700)+SUM(BB$4:BB700)+COSTI!S$6-COSTI!L$1076</f>
        <v>-31.760000000000218</v>
      </c>
      <c r="BD700" s="1"/>
    </row>
    <row r="701" spans="1:56" ht="16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435">
        <f>IF(AND(W701&gt;=$U$1,W701&lt;=$U$2),IF(X701='ESTRATTO CONTO'!$E$2,1+COUNTIF(U$4:U700,"&gt;0"),0),0)</f>
        <v>0</v>
      </c>
      <c r="V701" s="417">
        <f t="shared" si="131"/>
        <v>698</v>
      </c>
      <c r="W701" s="509"/>
      <c r="X701" s="321"/>
      <c r="Y701" s="321"/>
      <c r="Z701" s="508"/>
      <c r="AA701" s="356"/>
      <c r="AB701" s="306" t="str">
        <f t="shared" si="127"/>
        <v/>
      </c>
      <c r="AC701" s="637">
        <f t="shared" ca="1" si="137"/>
        <v>-2.1316282072803006E-13</v>
      </c>
      <c r="AD701" s="935">
        <f>IF(ISERROR(VLOOKUP(AD$2,X702:X$1003,1,FALSE)),IF(X701=AD$2,SUMIF(X$4:X701,AD$2,Z$4:Z701)+$E$9+SUM(AQ$4:AQ$1003)+SUMIF(COSTI!$X$1379:$X$1430,AD$2,COSTI!$Z$1379:$Z$1430),0),0)</f>
        <v>0</v>
      </c>
      <c r="AE701" s="26"/>
      <c r="AF701" s="856" t="e">
        <f>IF(ISERROR(VLOOKUP(AG$2,X702:X$1003,1,FALSE)),IF(X701=AG$2,SUMIF(X$4:X701,AG$2,Z$4:Z701)+VLOOKUP(AF$2,$B$1057:$F$1068,5,FALSE)+SUM(AR$4:AR$1003)+SUMIF(COSTI!$X$1379:$X$1430,AG$2,COSTI!$Z$1379:$Z$1430),0),0)</f>
        <v>#N/A</v>
      </c>
      <c r="AG701" s="859"/>
      <c r="AH701" s="27" t="str">
        <f t="shared" si="128"/>
        <v/>
      </c>
      <c r="AI701" s="152">
        <f ca="1">IF(W702&gt;0,0,IF(AH701=0,(Z701*-1)+BC701+SUM(BB$4:BB700),BC701+SUM(BB$4:BB700)))</f>
        <v>-2.1316282072803006E-13</v>
      </c>
      <c r="AJ701" s="931">
        <f>IF(AND(AL701&gt;=$U$1,AL701&lt;=$U$2),IF(AM701='ESTRATTO CONTO'!$E$2,1+COUNTIF(AJ$4:AJ700,"&gt;0")+U$1015,0),0)</f>
        <v>0</v>
      </c>
      <c r="AK701" s="203">
        <f>IF(AND(OR((AK700+1)&lt;AL$1015,(AK700+1)=AL$1015),MAX(AK$4:AK700)&lt;AL$1015),AK700+1,0)</f>
        <v>0</v>
      </c>
      <c r="AL701" s="309">
        <f>VLOOKUP($AK701,ENTI!$AF$4:AG$1003,2,FALSE)</f>
        <v>0</v>
      </c>
      <c r="AM701" s="224">
        <f>VLOOKUP($AK701,ENTI!$AF$4:AH$1003,3,FALSE)</f>
        <v>0</v>
      </c>
      <c r="AN701" s="224">
        <f>VLOOKUP($AK701,ENTI!$AF$4:AI$1003,4,FALSE)</f>
        <v>0</v>
      </c>
      <c r="AO701" s="781">
        <f>VLOOKUP($AK701,ENTI!$AF$4:AJ$1003,5,FALSE)</f>
        <v>0</v>
      </c>
      <c r="AP701" s="315">
        <f>VLOOKUP($AK701,ENTI!$AF$4:AK$1003,6,FALSE)</f>
        <v>0</v>
      </c>
      <c r="AQ701" s="208">
        <f t="shared" si="135"/>
        <v>0</v>
      </c>
      <c r="AR701" s="152" t="e">
        <f t="shared" si="136"/>
        <v>#N/A</v>
      </c>
      <c r="AS701" s="1"/>
      <c r="AT701" s="88" t="str">
        <f t="shared" si="129"/>
        <v/>
      </c>
      <c r="AU701" s="1"/>
      <c r="AV701" s="175">
        <f>IF(AW701&gt;0,COUNTIF(AV$4:AV700,"&gt;0")+1,0)</f>
        <v>0</v>
      </c>
      <c r="AW701" s="164">
        <f t="shared" si="130"/>
        <v>0</v>
      </c>
      <c r="AX701" s="310">
        <f>IF($AW701=0,0,VLOOKUP(VLOOKUP($X701,$B$34:$T$38,19,FALSE),ENTI!$A$9:$B$13,2,FALSE))</f>
        <v>0</v>
      </c>
      <c r="AY701" s="310">
        <f t="shared" si="132"/>
        <v>0</v>
      </c>
      <c r="AZ701" s="316">
        <f t="shared" si="133"/>
        <v>0</v>
      </c>
      <c r="BA701" s="1"/>
      <c r="BB701" s="152">
        <f t="shared" si="134"/>
        <v>0</v>
      </c>
      <c r="BC701" s="152">
        <f ca="1">SUM(Z$4:Z701)+SUM(BB$4:BB701)+COSTI!S$6-COSTI!L$1076</f>
        <v>-31.760000000000218</v>
      </c>
      <c r="BD701" s="1"/>
    </row>
    <row r="702" spans="1:56" ht="16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435">
        <f>IF(AND(W702&gt;=$U$1,W702&lt;=$U$2),IF(X702='ESTRATTO CONTO'!$E$2,1+COUNTIF(U$4:U701,"&gt;0"),0),0)</f>
        <v>0</v>
      </c>
      <c r="V702" s="417">
        <f t="shared" si="131"/>
        <v>699</v>
      </c>
      <c r="W702" s="509"/>
      <c r="X702" s="321"/>
      <c r="Y702" s="321"/>
      <c r="Z702" s="508"/>
      <c r="AA702" s="356"/>
      <c r="AB702" s="306" t="str">
        <f t="shared" si="127"/>
        <v/>
      </c>
      <c r="AC702" s="637">
        <f t="shared" ca="1" si="137"/>
        <v>-2.1316282072803006E-13</v>
      </c>
      <c r="AD702" s="935">
        <f>IF(ISERROR(VLOOKUP(AD$2,X703:X$1003,1,FALSE)),IF(X702=AD$2,SUMIF(X$4:X702,AD$2,Z$4:Z702)+$E$9+SUM(AQ$4:AQ$1003)+SUMIF(COSTI!$X$1379:$X$1430,AD$2,COSTI!$Z$1379:$Z$1430),0),0)</f>
        <v>0</v>
      </c>
      <c r="AE702" s="26"/>
      <c r="AF702" s="856" t="e">
        <f>IF(ISERROR(VLOOKUP(AG$2,X703:X$1003,1,FALSE)),IF(X702=AG$2,SUMIF(X$4:X702,AG$2,Z$4:Z702)+VLOOKUP(AF$2,$B$1057:$F$1068,5,FALSE)+SUM(AR$4:AR$1003)+SUMIF(COSTI!$X$1379:$X$1430,AG$2,COSTI!$Z$1379:$Z$1430),0),0)</f>
        <v>#N/A</v>
      </c>
      <c r="AG702" s="859"/>
      <c r="AH702" s="27" t="str">
        <f t="shared" si="128"/>
        <v/>
      </c>
      <c r="AI702" s="152">
        <f ca="1">IF(W703&gt;0,0,IF(AH702=0,(Z702*-1)+BC702+SUM(BB$4:BB701),BC702+SUM(BB$4:BB701)))</f>
        <v>-2.1316282072803006E-13</v>
      </c>
      <c r="AJ702" s="931">
        <f>IF(AND(AL702&gt;=$U$1,AL702&lt;=$U$2),IF(AM702='ESTRATTO CONTO'!$E$2,1+COUNTIF(AJ$4:AJ701,"&gt;0")+U$1015,0),0)</f>
        <v>0</v>
      </c>
      <c r="AK702" s="203">
        <f>IF(AND(OR((AK701+1)&lt;AL$1015,(AK701+1)=AL$1015),MAX(AK$4:AK701)&lt;AL$1015),AK701+1,0)</f>
        <v>0</v>
      </c>
      <c r="AL702" s="309">
        <f>VLOOKUP($AK702,ENTI!$AF$4:AG$1003,2,FALSE)</f>
        <v>0</v>
      </c>
      <c r="AM702" s="224">
        <f>VLOOKUP($AK702,ENTI!$AF$4:AH$1003,3,FALSE)</f>
        <v>0</v>
      </c>
      <c r="AN702" s="224">
        <f>VLOOKUP($AK702,ENTI!$AF$4:AI$1003,4,FALSE)</f>
        <v>0</v>
      </c>
      <c r="AO702" s="781">
        <f>VLOOKUP($AK702,ENTI!$AF$4:AJ$1003,5,FALSE)</f>
        <v>0</v>
      </c>
      <c r="AP702" s="315">
        <f>VLOOKUP($AK702,ENTI!$AF$4:AK$1003,6,FALSE)</f>
        <v>0</v>
      </c>
      <c r="AQ702" s="208">
        <f t="shared" si="135"/>
        <v>0</v>
      </c>
      <c r="AR702" s="152" t="e">
        <f t="shared" si="136"/>
        <v>#N/A</v>
      </c>
      <c r="AS702" s="1"/>
      <c r="AT702" s="88" t="str">
        <f t="shared" si="129"/>
        <v/>
      </c>
      <c r="AU702" s="1"/>
      <c r="AV702" s="175">
        <f>IF(AW702&gt;0,COUNTIF(AV$4:AV701,"&gt;0")+1,0)</f>
        <v>0</v>
      </c>
      <c r="AW702" s="164">
        <f t="shared" si="130"/>
        <v>0</v>
      </c>
      <c r="AX702" s="310">
        <f>IF($AW702=0,0,VLOOKUP(VLOOKUP($X702,$B$34:$T$38,19,FALSE),ENTI!$A$9:$B$13,2,FALSE))</f>
        <v>0</v>
      </c>
      <c r="AY702" s="310">
        <f t="shared" si="132"/>
        <v>0</v>
      </c>
      <c r="AZ702" s="316">
        <f t="shared" si="133"/>
        <v>0</v>
      </c>
      <c r="BA702" s="1"/>
      <c r="BB702" s="152">
        <f t="shared" si="134"/>
        <v>0</v>
      </c>
      <c r="BC702" s="152">
        <f ca="1">SUM(Z$4:Z702)+SUM(BB$4:BB702)+COSTI!S$6-COSTI!L$1076</f>
        <v>-31.760000000000218</v>
      </c>
      <c r="BD702" s="1"/>
    </row>
    <row r="703" spans="1:56" ht="16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435">
        <f>IF(AND(W703&gt;=$U$1,W703&lt;=$U$2),IF(X703='ESTRATTO CONTO'!$E$2,1+COUNTIF(U$4:U702,"&gt;0"),0),0)</f>
        <v>0</v>
      </c>
      <c r="V703" s="417">
        <f t="shared" si="131"/>
        <v>700</v>
      </c>
      <c r="W703" s="509"/>
      <c r="X703" s="321"/>
      <c r="Y703" s="321"/>
      <c r="Z703" s="508"/>
      <c r="AA703" s="356"/>
      <c r="AB703" s="306" t="str">
        <f t="shared" si="127"/>
        <v/>
      </c>
      <c r="AC703" s="637">
        <f t="shared" ca="1" si="137"/>
        <v>-2.1316282072803006E-13</v>
      </c>
      <c r="AD703" s="935">
        <f>IF(ISERROR(VLOOKUP(AD$2,X704:X$1003,1,FALSE)),IF(X703=AD$2,SUMIF(X$4:X703,AD$2,Z$4:Z703)+$E$9+SUM(AQ$4:AQ$1003)+SUMIF(COSTI!$X$1379:$X$1430,AD$2,COSTI!$Z$1379:$Z$1430),0),0)</f>
        <v>0</v>
      </c>
      <c r="AE703" s="26"/>
      <c r="AF703" s="856" t="e">
        <f>IF(ISERROR(VLOOKUP(AG$2,X704:X$1003,1,FALSE)),IF(X703=AG$2,SUMIF(X$4:X703,AG$2,Z$4:Z703)+VLOOKUP(AF$2,$B$1057:$F$1068,5,FALSE)+SUM(AR$4:AR$1003)+SUMIF(COSTI!$X$1379:$X$1430,AG$2,COSTI!$Z$1379:$Z$1430),0),0)</f>
        <v>#N/A</v>
      </c>
      <c r="AG703" s="859"/>
      <c r="AH703" s="27" t="str">
        <f t="shared" si="128"/>
        <v/>
      </c>
      <c r="AI703" s="152">
        <f ca="1">IF(W704&gt;0,0,IF(AH703=0,(Z703*-1)+BC703+SUM(BB$4:BB702),BC703+SUM(BB$4:BB702)))</f>
        <v>-2.1316282072803006E-13</v>
      </c>
      <c r="AJ703" s="931">
        <f>IF(AND(AL703&gt;=$U$1,AL703&lt;=$U$2),IF(AM703='ESTRATTO CONTO'!$E$2,1+COUNTIF(AJ$4:AJ702,"&gt;0")+U$1015,0),0)</f>
        <v>0</v>
      </c>
      <c r="AK703" s="203">
        <f>IF(AND(OR((AK702+1)&lt;AL$1015,(AK702+1)=AL$1015),MAX(AK$4:AK702)&lt;AL$1015),AK702+1,0)</f>
        <v>0</v>
      </c>
      <c r="AL703" s="309">
        <f>VLOOKUP($AK703,ENTI!$AF$4:AG$1003,2,FALSE)</f>
        <v>0</v>
      </c>
      <c r="AM703" s="224">
        <f>VLOOKUP($AK703,ENTI!$AF$4:AH$1003,3,FALSE)</f>
        <v>0</v>
      </c>
      <c r="AN703" s="224">
        <f>VLOOKUP($AK703,ENTI!$AF$4:AI$1003,4,FALSE)</f>
        <v>0</v>
      </c>
      <c r="AO703" s="781">
        <f>VLOOKUP($AK703,ENTI!$AF$4:AJ$1003,5,FALSE)</f>
        <v>0</v>
      </c>
      <c r="AP703" s="315">
        <f>VLOOKUP($AK703,ENTI!$AF$4:AK$1003,6,FALSE)</f>
        <v>0</v>
      </c>
      <c r="AQ703" s="208">
        <f t="shared" si="135"/>
        <v>0</v>
      </c>
      <c r="AR703" s="152" t="e">
        <f t="shared" si="136"/>
        <v>#N/A</v>
      </c>
      <c r="AS703" s="1"/>
      <c r="AT703" s="88" t="str">
        <f t="shared" si="129"/>
        <v/>
      </c>
      <c r="AU703" s="1"/>
      <c r="AV703" s="175">
        <f>IF(AW703&gt;0,COUNTIF(AV$4:AV702,"&gt;0")+1,0)</f>
        <v>0</v>
      </c>
      <c r="AW703" s="164">
        <f t="shared" si="130"/>
        <v>0</v>
      </c>
      <c r="AX703" s="310">
        <f>IF($AW703=0,0,VLOOKUP(VLOOKUP($X703,$B$34:$T$38,19,FALSE),ENTI!$A$9:$B$13,2,FALSE))</f>
        <v>0</v>
      </c>
      <c r="AY703" s="310">
        <f t="shared" si="132"/>
        <v>0</v>
      </c>
      <c r="AZ703" s="316">
        <f t="shared" si="133"/>
        <v>0</v>
      </c>
      <c r="BA703" s="1"/>
      <c r="BB703" s="152">
        <f t="shared" si="134"/>
        <v>0</v>
      </c>
      <c r="BC703" s="152">
        <f ca="1">SUM(Z$4:Z703)+SUM(BB$4:BB703)+COSTI!S$6-COSTI!L$1076</f>
        <v>-31.760000000000218</v>
      </c>
      <c r="BD703" s="1"/>
    </row>
    <row r="704" spans="1:56" ht="16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435">
        <f>IF(AND(W704&gt;=$U$1,W704&lt;=$U$2),IF(X704='ESTRATTO CONTO'!$E$2,1+COUNTIF(U$4:U703,"&gt;0"),0),0)</f>
        <v>0</v>
      </c>
      <c r="V704" s="417">
        <f t="shared" si="131"/>
        <v>701</v>
      </c>
      <c r="W704" s="509"/>
      <c r="X704" s="321"/>
      <c r="Y704" s="321"/>
      <c r="Z704" s="508"/>
      <c r="AA704" s="356"/>
      <c r="AB704" s="306" t="str">
        <f t="shared" si="127"/>
        <v/>
      </c>
      <c r="AC704" s="637">
        <f t="shared" ca="1" si="137"/>
        <v>-2.1316282072803006E-13</v>
      </c>
      <c r="AD704" s="935">
        <f>IF(ISERROR(VLOOKUP(AD$2,X705:X$1003,1,FALSE)),IF(X704=AD$2,SUMIF(X$4:X704,AD$2,Z$4:Z704)+$E$9+SUM(AQ$4:AQ$1003)+SUMIF(COSTI!$X$1379:$X$1430,AD$2,COSTI!$Z$1379:$Z$1430),0),0)</f>
        <v>0</v>
      </c>
      <c r="AE704" s="26"/>
      <c r="AF704" s="856" t="e">
        <f>IF(ISERROR(VLOOKUP(AG$2,X705:X$1003,1,FALSE)),IF(X704=AG$2,SUMIF(X$4:X704,AG$2,Z$4:Z704)+VLOOKUP(AF$2,$B$1057:$F$1068,5,FALSE)+SUM(AR$4:AR$1003)+SUMIF(COSTI!$X$1379:$X$1430,AG$2,COSTI!$Z$1379:$Z$1430),0),0)</f>
        <v>#N/A</v>
      </c>
      <c r="AG704" s="859"/>
      <c r="AH704" s="27" t="str">
        <f t="shared" si="128"/>
        <v/>
      </c>
      <c r="AI704" s="152">
        <f ca="1">IF(W705&gt;0,0,IF(AH704=0,(Z704*-1)+BC704+SUM(BB$4:BB703),BC704+SUM(BB$4:BB703)))</f>
        <v>-2.1316282072803006E-13</v>
      </c>
      <c r="AJ704" s="931">
        <f>IF(AND(AL704&gt;=$U$1,AL704&lt;=$U$2),IF(AM704='ESTRATTO CONTO'!$E$2,1+COUNTIF(AJ$4:AJ703,"&gt;0")+U$1015,0),0)</f>
        <v>0</v>
      </c>
      <c r="AK704" s="203">
        <f>IF(AND(OR((AK703+1)&lt;AL$1015,(AK703+1)=AL$1015),MAX(AK$4:AK703)&lt;AL$1015),AK703+1,0)</f>
        <v>0</v>
      </c>
      <c r="AL704" s="309">
        <f>VLOOKUP($AK704,ENTI!$AF$4:AG$1003,2,FALSE)</f>
        <v>0</v>
      </c>
      <c r="AM704" s="224">
        <f>VLOOKUP($AK704,ENTI!$AF$4:AH$1003,3,FALSE)</f>
        <v>0</v>
      </c>
      <c r="AN704" s="224">
        <f>VLOOKUP($AK704,ENTI!$AF$4:AI$1003,4,FALSE)</f>
        <v>0</v>
      </c>
      <c r="AO704" s="781">
        <f>VLOOKUP($AK704,ENTI!$AF$4:AJ$1003,5,FALSE)</f>
        <v>0</v>
      </c>
      <c r="AP704" s="315">
        <f>VLOOKUP($AK704,ENTI!$AF$4:AK$1003,6,FALSE)</f>
        <v>0</v>
      </c>
      <c r="AQ704" s="208">
        <f t="shared" si="135"/>
        <v>0</v>
      </c>
      <c r="AR704" s="152" t="e">
        <f t="shared" si="136"/>
        <v>#N/A</v>
      </c>
      <c r="AS704" s="1"/>
      <c r="AT704" s="88" t="str">
        <f t="shared" si="129"/>
        <v/>
      </c>
      <c r="AU704" s="1"/>
      <c r="AV704" s="175">
        <f>IF(AW704&gt;0,COUNTIF(AV$4:AV703,"&gt;0")+1,0)</f>
        <v>0</v>
      </c>
      <c r="AW704" s="164">
        <f t="shared" si="130"/>
        <v>0</v>
      </c>
      <c r="AX704" s="310">
        <f>IF($AW704=0,0,VLOOKUP(VLOOKUP($X704,$B$34:$T$38,19,FALSE),ENTI!$A$9:$B$13,2,FALSE))</f>
        <v>0</v>
      </c>
      <c r="AY704" s="310">
        <f t="shared" si="132"/>
        <v>0</v>
      </c>
      <c r="AZ704" s="316">
        <f t="shared" si="133"/>
        <v>0</v>
      </c>
      <c r="BA704" s="1"/>
      <c r="BB704" s="152">
        <f t="shared" si="134"/>
        <v>0</v>
      </c>
      <c r="BC704" s="152">
        <f ca="1">SUM(Z$4:Z704)+SUM(BB$4:BB704)+COSTI!S$6-COSTI!L$1076</f>
        <v>-31.760000000000218</v>
      </c>
      <c r="BD704" s="1"/>
    </row>
    <row r="705" spans="1:56" ht="16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435">
        <f>IF(AND(W705&gt;=$U$1,W705&lt;=$U$2),IF(X705='ESTRATTO CONTO'!$E$2,1+COUNTIF(U$4:U704,"&gt;0"),0),0)</f>
        <v>0</v>
      </c>
      <c r="V705" s="417">
        <f t="shared" si="131"/>
        <v>702</v>
      </c>
      <c r="W705" s="509"/>
      <c r="X705" s="321"/>
      <c r="Y705" s="321"/>
      <c r="Z705" s="508"/>
      <c r="AA705" s="356"/>
      <c r="AB705" s="306" t="str">
        <f t="shared" si="127"/>
        <v/>
      </c>
      <c r="AC705" s="637">
        <f t="shared" ca="1" si="137"/>
        <v>-2.1316282072803006E-13</v>
      </c>
      <c r="AD705" s="935">
        <f>IF(ISERROR(VLOOKUP(AD$2,X706:X$1003,1,FALSE)),IF(X705=AD$2,SUMIF(X$4:X705,AD$2,Z$4:Z705)+$E$9+SUM(AQ$4:AQ$1003)+SUMIF(COSTI!$X$1379:$X$1430,AD$2,COSTI!$Z$1379:$Z$1430),0),0)</f>
        <v>0</v>
      </c>
      <c r="AE705" s="26"/>
      <c r="AF705" s="856" t="e">
        <f>IF(ISERROR(VLOOKUP(AG$2,X706:X$1003,1,FALSE)),IF(X705=AG$2,SUMIF(X$4:X705,AG$2,Z$4:Z705)+VLOOKUP(AF$2,$B$1057:$F$1068,5,FALSE)+SUM(AR$4:AR$1003)+SUMIF(COSTI!$X$1379:$X$1430,AG$2,COSTI!$Z$1379:$Z$1430),0),0)</f>
        <v>#N/A</v>
      </c>
      <c r="AG705" s="859"/>
      <c r="AH705" s="27" t="str">
        <f t="shared" si="128"/>
        <v/>
      </c>
      <c r="AI705" s="152">
        <f ca="1">IF(W706&gt;0,0,IF(AH705=0,(Z705*-1)+BC705+SUM(BB$4:BB704),BC705+SUM(BB$4:BB704)))</f>
        <v>-2.1316282072803006E-13</v>
      </c>
      <c r="AJ705" s="931">
        <f>IF(AND(AL705&gt;=$U$1,AL705&lt;=$U$2),IF(AM705='ESTRATTO CONTO'!$E$2,1+COUNTIF(AJ$4:AJ704,"&gt;0")+U$1015,0),0)</f>
        <v>0</v>
      </c>
      <c r="AK705" s="203">
        <f>IF(AND(OR((AK704+1)&lt;AL$1015,(AK704+1)=AL$1015),MAX(AK$4:AK704)&lt;AL$1015),AK704+1,0)</f>
        <v>0</v>
      </c>
      <c r="AL705" s="309">
        <f>VLOOKUP($AK705,ENTI!$AF$4:AG$1003,2,FALSE)</f>
        <v>0</v>
      </c>
      <c r="AM705" s="224">
        <f>VLOOKUP($AK705,ENTI!$AF$4:AH$1003,3,FALSE)</f>
        <v>0</v>
      </c>
      <c r="AN705" s="224">
        <f>VLOOKUP($AK705,ENTI!$AF$4:AI$1003,4,FALSE)</f>
        <v>0</v>
      </c>
      <c r="AO705" s="781">
        <f>VLOOKUP($AK705,ENTI!$AF$4:AJ$1003,5,FALSE)</f>
        <v>0</v>
      </c>
      <c r="AP705" s="315">
        <f>VLOOKUP($AK705,ENTI!$AF$4:AK$1003,6,FALSE)</f>
        <v>0</v>
      </c>
      <c r="AQ705" s="208">
        <f t="shared" si="135"/>
        <v>0</v>
      </c>
      <c r="AR705" s="152" t="e">
        <f t="shared" si="136"/>
        <v>#N/A</v>
      </c>
      <c r="AS705" s="1"/>
      <c r="AT705" s="88" t="str">
        <f t="shared" si="129"/>
        <v/>
      </c>
      <c r="AU705" s="1"/>
      <c r="AV705" s="175">
        <f>IF(AW705&gt;0,COUNTIF(AV$4:AV704,"&gt;0")+1,0)</f>
        <v>0</v>
      </c>
      <c r="AW705" s="164">
        <f t="shared" si="130"/>
        <v>0</v>
      </c>
      <c r="AX705" s="310">
        <f>IF($AW705=0,0,VLOOKUP(VLOOKUP($X705,$B$34:$T$38,19,FALSE),ENTI!$A$9:$B$13,2,FALSE))</f>
        <v>0</v>
      </c>
      <c r="AY705" s="310">
        <f t="shared" si="132"/>
        <v>0</v>
      </c>
      <c r="AZ705" s="316">
        <f t="shared" si="133"/>
        <v>0</v>
      </c>
      <c r="BA705" s="1"/>
      <c r="BB705" s="152">
        <f t="shared" si="134"/>
        <v>0</v>
      </c>
      <c r="BC705" s="152">
        <f ca="1">SUM(Z$4:Z705)+SUM(BB$4:BB705)+COSTI!S$6-COSTI!L$1076</f>
        <v>-31.760000000000218</v>
      </c>
      <c r="BD705" s="1"/>
    </row>
    <row r="706" spans="1:56" ht="16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435">
        <f>IF(AND(W706&gt;=$U$1,W706&lt;=$U$2),IF(X706='ESTRATTO CONTO'!$E$2,1+COUNTIF(U$4:U705,"&gt;0"),0),0)</f>
        <v>0</v>
      </c>
      <c r="V706" s="417">
        <f t="shared" si="131"/>
        <v>703</v>
      </c>
      <c r="W706" s="509"/>
      <c r="X706" s="321"/>
      <c r="Y706" s="321"/>
      <c r="Z706" s="508"/>
      <c r="AA706" s="356"/>
      <c r="AB706" s="306" t="str">
        <f t="shared" si="127"/>
        <v/>
      </c>
      <c r="AC706" s="637">
        <f t="shared" ca="1" si="137"/>
        <v>-2.1316282072803006E-13</v>
      </c>
      <c r="AD706" s="935">
        <f>IF(ISERROR(VLOOKUP(AD$2,X707:X$1003,1,FALSE)),IF(X706=AD$2,SUMIF(X$4:X706,AD$2,Z$4:Z706)+$E$9+SUM(AQ$4:AQ$1003)+SUMIF(COSTI!$X$1379:$X$1430,AD$2,COSTI!$Z$1379:$Z$1430),0),0)</f>
        <v>0</v>
      </c>
      <c r="AE706" s="26"/>
      <c r="AF706" s="856" t="e">
        <f>IF(ISERROR(VLOOKUP(AG$2,X707:X$1003,1,FALSE)),IF(X706=AG$2,SUMIF(X$4:X706,AG$2,Z$4:Z706)+VLOOKUP(AF$2,$B$1057:$F$1068,5,FALSE)+SUM(AR$4:AR$1003)+SUMIF(COSTI!$X$1379:$X$1430,AG$2,COSTI!$Z$1379:$Z$1430),0),0)</f>
        <v>#N/A</v>
      </c>
      <c r="AG706" s="859"/>
      <c r="AH706" s="27" t="str">
        <f t="shared" si="128"/>
        <v/>
      </c>
      <c r="AI706" s="152">
        <f ca="1">IF(W707&gt;0,0,IF(AH706=0,(Z706*-1)+BC706+SUM(BB$4:BB705),BC706+SUM(BB$4:BB705)))</f>
        <v>-2.1316282072803006E-13</v>
      </c>
      <c r="AJ706" s="931">
        <f>IF(AND(AL706&gt;=$U$1,AL706&lt;=$U$2),IF(AM706='ESTRATTO CONTO'!$E$2,1+COUNTIF(AJ$4:AJ705,"&gt;0")+U$1015,0),0)</f>
        <v>0</v>
      </c>
      <c r="AK706" s="203">
        <f>IF(AND(OR((AK705+1)&lt;AL$1015,(AK705+1)=AL$1015),MAX(AK$4:AK705)&lt;AL$1015),AK705+1,0)</f>
        <v>0</v>
      </c>
      <c r="AL706" s="309">
        <f>VLOOKUP($AK706,ENTI!$AF$4:AG$1003,2,FALSE)</f>
        <v>0</v>
      </c>
      <c r="AM706" s="224">
        <f>VLOOKUP($AK706,ENTI!$AF$4:AH$1003,3,FALSE)</f>
        <v>0</v>
      </c>
      <c r="AN706" s="224">
        <f>VLOOKUP($AK706,ENTI!$AF$4:AI$1003,4,FALSE)</f>
        <v>0</v>
      </c>
      <c r="AO706" s="781">
        <f>VLOOKUP($AK706,ENTI!$AF$4:AJ$1003,5,FALSE)</f>
        <v>0</v>
      </c>
      <c r="AP706" s="315">
        <f>VLOOKUP($AK706,ENTI!$AF$4:AK$1003,6,FALSE)</f>
        <v>0</v>
      </c>
      <c r="AQ706" s="208">
        <f t="shared" si="135"/>
        <v>0</v>
      </c>
      <c r="AR706" s="152" t="e">
        <f t="shared" si="136"/>
        <v>#N/A</v>
      </c>
      <c r="AS706" s="1"/>
      <c r="AT706" s="88" t="str">
        <f t="shared" si="129"/>
        <v/>
      </c>
      <c r="AU706" s="1"/>
      <c r="AV706" s="175">
        <f>IF(AW706&gt;0,COUNTIF(AV$4:AV705,"&gt;0")+1,0)</f>
        <v>0</v>
      </c>
      <c r="AW706" s="164">
        <f t="shared" si="130"/>
        <v>0</v>
      </c>
      <c r="AX706" s="310">
        <f>IF($AW706=0,0,VLOOKUP(VLOOKUP($X706,$B$34:$T$38,19,FALSE),ENTI!$A$9:$B$13,2,FALSE))</f>
        <v>0</v>
      </c>
      <c r="AY706" s="310">
        <f t="shared" si="132"/>
        <v>0</v>
      </c>
      <c r="AZ706" s="316">
        <f t="shared" si="133"/>
        <v>0</v>
      </c>
      <c r="BA706" s="1"/>
      <c r="BB706" s="152">
        <f t="shared" si="134"/>
        <v>0</v>
      </c>
      <c r="BC706" s="152">
        <f ca="1">SUM(Z$4:Z706)+SUM(BB$4:BB706)+COSTI!S$6-COSTI!L$1076</f>
        <v>-31.760000000000218</v>
      </c>
      <c r="BD706" s="1"/>
    </row>
    <row r="707" spans="1:56" ht="16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435">
        <f>IF(AND(W707&gt;=$U$1,W707&lt;=$U$2),IF(X707='ESTRATTO CONTO'!$E$2,1+COUNTIF(U$4:U706,"&gt;0"),0),0)</f>
        <v>0</v>
      </c>
      <c r="V707" s="417">
        <f t="shared" si="131"/>
        <v>704</v>
      </c>
      <c r="W707" s="509"/>
      <c r="X707" s="321"/>
      <c r="Y707" s="321"/>
      <c r="Z707" s="508"/>
      <c r="AA707" s="356"/>
      <c r="AB707" s="306" t="str">
        <f t="shared" si="127"/>
        <v/>
      </c>
      <c r="AC707" s="637">
        <f t="shared" ca="1" si="137"/>
        <v>-2.1316282072803006E-13</v>
      </c>
      <c r="AD707" s="935">
        <f>IF(ISERROR(VLOOKUP(AD$2,X708:X$1003,1,FALSE)),IF(X707=AD$2,SUMIF(X$4:X707,AD$2,Z$4:Z707)+$E$9+SUM(AQ$4:AQ$1003)+SUMIF(COSTI!$X$1379:$X$1430,AD$2,COSTI!$Z$1379:$Z$1430),0),0)</f>
        <v>0</v>
      </c>
      <c r="AE707" s="26"/>
      <c r="AF707" s="856" t="e">
        <f>IF(ISERROR(VLOOKUP(AG$2,X708:X$1003,1,FALSE)),IF(X707=AG$2,SUMIF(X$4:X707,AG$2,Z$4:Z707)+VLOOKUP(AF$2,$B$1057:$F$1068,5,FALSE)+SUM(AR$4:AR$1003)+SUMIF(COSTI!$X$1379:$X$1430,AG$2,COSTI!$Z$1379:$Z$1430),0),0)</f>
        <v>#N/A</v>
      </c>
      <c r="AG707" s="859"/>
      <c r="AH707" s="27" t="str">
        <f t="shared" si="128"/>
        <v/>
      </c>
      <c r="AI707" s="152">
        <f ca="1">IF(W708&gt;0,0,IF(AH707=0,(Z707*-1)+BC707+SUM(BB$4:BB706),BC707+SUM(BB$4:BB706)))</f>
        <v>-2.1316282072803006E-13</v>
      </c>
      <c r="AJ707" s="931">
        <f>IF(AND(AL707&gt;=$U$1,AL707&lt;=$U$2),IF(AM707='ESTRATTO CONTO'!$E$2,1+COUNTIF(AJ$4:AJ706,"&gt;0")+U$1015,0),0)</f>
        <v>0</v>
      </c>
      <c r="AK707" s="203">
        <f>IF(AND(OR((AK706+1)&lt;AL$1015,(AK706+1)=AL$1015),MAX(AK$4:AK706)&lt;AL$1015),AK706+1,0)</f>
        <v>0</v>
      </c>
      <c r="AL707" s="309">
        <f>VLOOKUP($AK707,ENTI!$AF$4:AG$1003,2,FALSE)</f>
        <v>0</v>
      </c>
      <c r="AM707" s="224">
        <f>VLOOKUP($AK707,ENTI!$AF$4:AH$1003,3,FALSE)</f>
        <v>0</v>
      </c>
      <c r="AN707" s="224">
        <f>VLOOKUP($AK707,ENTI!$AF$4:AI$1003,4,FALSE)</f>
        <v>0</v>
      </c>
      <c r="AO707" s="781">
        <f>VLOOKUP($AK707,ENTI!$AF$4:AJ$1003,5,FALSE)</f>
        <v>0</v>
      </c>
      <c r="AP707" s="315">
        <f>VLOOKUP($AK707,ENTI!$AF$4:AK$1003,6,FALSE)</f>
        <v>0</v>
      </c>
      <c r="AQ707" s="208">
        <f t="shared" si="135"/>
        <v>0</v>
      </c>
      <c r="AR707" s="152" t="e">
        <f t="shared" si="136"/>
        <v>#N/A</v>
      </c>
      <c r="AS707" s="1"/>
      <c r="AT707" s="88" t="str">
        <f t="shared" si="129"/>
        <v/>
      </c>
      <c r="AU707" s="1"/>
      <c r="AV707" s="175">
        <f>IF(AW707&gt;0,COUNTIF(AV$4:AV706,"&gt;0")+1,0)</f>
        <v>0</v>
      </c>
      <c r="AW707" s="164">
        <f t="shared" si="130"/>
        <v>0</v>
      </c>
      <c r="AX707" s="310">
        <f>IF($AW707=0,0,VLOOKUP(VLOOKUP($X707,$B$34:$T$38,19,FALSE),ENTI!$A$9:$B$13,2,FALSE))</f>
        <v>0</v>
      </c>
      <c r="AY707" s="310">
        <f t="shared" si="132"/>
        <v>0</v>
      </c>
      <c r="AZ707" s="316">
        <f t="shared" si="133"/>
        <v>0</v>
      </c>
      <c r="BA707" s="1"/>
      <c r="BB707" s="152">
        <f t="shared" si="134"/>
        <v>0</v>
      </c>
      <c r="BC707" s="152">
        <f ca="1">SUM(Z$4:Z707)+SUM(BB$4:BB707)+COSTI!S$6-COSTI!L$1076</f>
        <v>-31.760000000000218</v>
      </c>
      <c r="BD707" s="1"/>
    </row>
    <row r="708" spans="1:56" ht="16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435">
        <f>IF(AND(W708&gt;=$U$1,W708&lt;=$U$2),IF(X708='ESTRATTO CONTO'!$E$2,1+COUNTIF(U$4:U707,"&gt;0"),0),0)</f>
        <v>0</v>
      </c>
      <c r="V708" s="417">
        <f t="shared" si="131"/>
        <v>705</v>
      </c>
      <c r="W708" s="509"/>
      <c r="X708" s="321"/>
      <c r="Y708" s="321"/>
      <c r="Z708" s="508"/>
      <c r="AA708" s="356"/>
      <c r="AB708" s="306" t="str">
        <f t="shared" ref="AB708:AB771" si="138">IF(W708&gt;0,IF(AND(W708&gt;=W$1012,W708&lt;=W$1013),CONCATENATE(MONTH(W708)&amp;X708),0),"")</f>
        <v/>
      </c>
      <c r="AC708" s="637">
        <f t="shared" ca="1" si="137"/>
        <v>-2.1316282072803006E-13</v>
      </c>
      <c r="AD708" s="935">
        <f>IF(ISERROR(VLOOKUP(AD$2,X709:X$1003,1,FALSE)),IF(X708=AD$2,SUMIF(X$4:X708,AD$2,Z$4:Z708)+$E$9+SUM(AQ$4:AQ$1003)+SUMIF(COSTI!$X$1379:$X$1430,AD$2,COSTI!$Z$1379:$Z$1430),0),0)</f>
        <v>0</v>
      </c>
      <c r="AE708" s="26"/>
      <c r="AF708" s="856" t="e">
        <f>IF(ISERROR(VLOOKUP(AG$2,X709:X$1003,1,FALSE)),IF(X708=AG$2,SUMIF(X$4:X708,AG$2,Z$4:Z708)+VLOOKUP(AF$2,$B$1057:$F$1068,5,FALSE)+SUM(AR$4:AR$1003)+SUMIF(COSTI!$X$1379:$X$1430,AG$2,COSTI!$Z$1379:$Z$1430),0),0)</f>
        <v>#N/A</v>
      </c>
      <c r="AG708" s="859"/>
      <c r="AH708" s="27" t="str">
        <f t="shared" ref="AH708:AH771" si="139">IF(ISBLANK(X708),"",IF(ISERROR(VLOOKUP(X708,B$34:B$38,1,FALSE)),1,0))</f>
        <v/>
      </c>
      <c r="AI708" s="152">
        <f ca="1">IF(W709&gt;0,0,IF(AH708=0,(Z708*-1)+BC708+SUM(BB$4:BB707),BC708+SUM(BB$4:BB707)))</f>
        <v>-2.1316282072803006E-13</v>
      </c>
      <c r="AJ708" s="931">
        <f>IF(AND(AL708&gt;=$U$1,AL708&lt;=$U$2),IF(AM708='ESTRATTO CONTO'!$E$2,1+COUNTIF(AJ$4:AJ707,"&gt;0")+U$1015,0),0)</f>
        <v>0</v>
      </c>
      <c r="AK708" s="203">
        <f>IF(AND(OR((AK707+1)&lt;AL$1015,(AK707+1)=AL$1015),MAX(AK$4:AK707)&lt;AL$1015),AK707+1,0)</f>
        <v>0</v>
      </c>
      <c r="AL708" s="309">
        <f>VLOOKUP($AK708,ENTI!$AF$4:AG$1003,2,FALSE)</f>
        <v>0</v>
      </c>
      <c r="AM708" s="224">
        <f>VLOOKUP($AK708,ENTI!$AF$4:AH$1003,3,FALSE)</f>
        <v>0</v>
      </c>
      <c r="AN708" s="224">
        <f>VLOOKUP($AK708,ENTI!$AF$4:AI$1003,4,FALSE)</f>
        <v>0</v>
      </c>
      <c r="AO708" s="781">
        <f>VLOOKUP($AK708,ENTI!$AF$4:AJ$1003,5,FALSE)</f>
        <v>0</v>
      </c>
      <c r="AP708" s="315">
        <f>VLOOKUP($AK708,ENTI!$AF$4:AK$1003,6,FALSE)</f>
        <v>0</v>
      </c>
      <c r="AQ708" s="208">
        <f t="shared" si="135"/>
        <v>0</v>
      </c>
      <c r="AR708" s="152" t="e">
        <f t="shared" si="136"/>
        <v>#N/A</v>
      </c>
      <c r="AS708" s="1"/>
      <c r="AT708" s="88" t="str">
        <f t="shared" ref="AT708:AT771" si="140">IF(AL708&gt;0,IF(AND(AL708&gt;=W$1012,AL708&lt;=W$1013),CONCATENATE(MONTH(AL708)&amp;AM708),0),"")</f>
        <v/>
      </c>
      <c r="AU708" s="1"/>
      <c r="AV708" s="175">
        <f>IF(AW708&gt;0,COUNTIF(AV$4:AV707,"&gt;0")+1,0)</f>
        <v>0</v>
      </c>
      <c r="AW708" s="164">
        <f t="shared" ref="AW708:AW771" si="141">IF(ISERROR(VLOOKUP($X708,$B$34:$B$38,1,FALSE)),0,W708)</f>
        <v>0</v>
      </c>
      <c r="AX708" s="310">
        <f>IF($AW708=0,0,VLOOKUP(VLOOKUP($X708,$B$34:$T$38,19,FALSE),ENTI!$A$9:$B$13,2,FALSE))</f>
        <v>0</v>
      </c>
      <c r="AY708" s="310">
        <f t="shared" si="132"/>
        <v>0</v>
      </c>
      <c r="AZ708" s="316">
        <f t="shared" si="133"/>
        <v>0</v>
      </c>
      <c r="BA708" s="1"/>
      <c r="BB708" s="152">
        <f t="shared" si="134"/>
        <v>0</v>
      </c>
      <c r="BC708" s="152">
        <f ca="1">SUM(Z$4:Z708)+SUM(BB$4:BB708)+COSTI!S$6-COSTI!L$1076</f>
        <v>-31.760000000000218</v>
      </c>
      <c r="BD708" s="1"/>
    </row>
    <row r="709" spans="1:56" ht="16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435">
        <f>IF(AND(W709&gt;=$U$1,W709&lt;=$U$2),IF(X709='ESTRATTO CONTO'!$E$2,1+COUNTIF(U$4:U708,"&gt;0"),0),0)</f>
        <v>0</v>
      </c>
      <c r="V709" s="417">
        <f t="shared" si="131"/>
        <v>706</v>
      </c>
      <c r="W709" s="509"/>
      <c r="X709" s="321"/>
      <c r="Y709" s="321"/>
      <c r="Z709" s="508"/>
      <c r="AA709" s="356"/>
      <c r="AB709" s="306" t="str">
        <f t="shared" si="138"/>
        <v/>
      </c>
      <c r="AC709" s="637">
        <f t="shared" ca="1" si="137"/>
        <v>-2.1316282072803006E-13</v>
      </c>
      <c r="AD709" s="935">
        <f>IF(ISERROR(VLOOKUP(AD$2,X710:X$1003,1,FALSE)),IF(X709=AD$2,SUMIF(X$4:X709,AD$2,Z$4:Z709)+$E$9+SUM(AQ$4:AQ$1003)+SUMIF(COSTI!$X$1379:$X$1430,AD$2,COSTI!$Z$1379:$Z$1430),0),0)</f>
        <v>0</v>
      </c>
      <c r="AE709" s="26"/>
      <c r="AF709" s="856" t="e">
        <f>IF(ISERROR(VLOOKUP(AG$2,X710:X$1003,1,FALSE)),IF(X709=AG$2,SUMIF(X$4:X709,AG$2,Z$4:Z709)+VLOOKUP(AF$2,$B$1057:$F$1068,5,FALSE)+SUM(AR$4:AR$1003)+SUMIF(COSTI!$X$1379:$X$1430,AG$2,COSTI!$Z$1379:$Z$1430),0),0)</f>
        <v>#N/A</v>
      </c>
      <c r="AG709" s="859"/>
      <c r="AH709" s="27" t="str">
        <f t="shared" si="139"/>
        <v/>
      </c>
      <c r="AI709" s="152">
        <f ca="1">IF(W710&gt;0,0,IF(AH709=0,(Z709*-1)+BC709+SUM(BB$4:BB708),BC709+SUM(BB$4:BB708)))</f>
        <v>-2.1316282072803006E-13</v>
      </c>
      <c r="AJ709" s="931">
        <f>IF(AND(AL709&gt;=$U$1,AL709&lt;=$U$2),IF(AM709='ESTRATTO CONTO'!$E$2,1+COUNTIF(AJ$4:AJ708,"&gt;0")+U$1015,0),0)</f>
        <v>0</v>
      </c>
      <c r="AK709" s="203">
        <f>IF(AND(OR((AK708+1)&lt;AL$1015,(AK708+1)=AL$1015),MAX(AK$4:AK708)&lt;AL$1015),AK708+1,0)</f>
        <v>0</v>
      </c>
      <c r="AL709" s="309">
        <f>VLOOKUP($AK709,ENTI!$AF$4:AG$1003,2,FALSE)</f>
        <v>0</v>
      </c>
      <c r="AM709" s="224">
        <f>VLOOKUP($AK709,ENTI!$AF$4:AH$1003,3,FALSE)</f>
        <v>0</v>
      </c>
      <c r="AN709" s="224">
        <f>VLOOKUP($AK709,ENTI!$AF$4:AI$1003,4,FALSE)</f>
        <v>0</v>
      </c>
      <c r="AO709" s="781">
        <f>VLOOKUP($AK709,ENTI!$AF$4:AJ$1003,5,FALSE)</f>
        <v>0</v>
      </c>
      <c r="AP709" s="315">
        <f>VLOOKUP($AK709,ENTI!$AF$4:AK$1003,6,FALSE)</f>
        <v>0</v>
      </c>
      <c r="AQ709" s="208">
        <f t="shared" si="135"/>
        <v>0</v>
      </c>
      <c r="AR709" s="152" t="e">
        <f t="shared" si="136"/>
        <v>#N/A</v>
      </c>
      <c r="AS709" s="1"/>
      <c r="AT709" s="88" t="str">
        <f t="shared" si="140"/>
        <v/>
      </c>
      <c r="AU709" s="1"/>
      <c r="AV709" s="175">
        <f>IF(AW709&gt;0,COUNTIF(AV$4:AV708,"&gt;0")+1,0)</f>
        <v>0</v>
      </c>
      <c r="AW709" s="164">
        <f t="shared" si="141"/>
        <v>0</v>
      </c>
      <c r="AX709" s="310">
        <f>IF($AW709=0,0,VLOOKUP(VLOOKUP($X709,$B$34:$T$38,19,FALSE),ENTI!$A$9:$B$13,2,FALSE))</f>
        <v>0</v>
      </c>
      <c r="AY709" s="310">
        <f t="shared" si="132"/>
        <v>0</v>
      </c>
      <c r="AZ709" s="316">
        <f t="shared" si="133"/>
        <v>0</v>
      </c>
      <c r="BA709" s="1"/>
      <c r="BB709" s="152">
        <f t="shared" si="134"/>
        <v>0</v>
      </c>
      <c r="BC709" s="152">
        <f ca="1">SUM(Z$4:Z709)+SUM(BB$4:BB709)+COSTI!S$6-COSTI!L$1076</f>
        <v>-31.760000000000218</v>
      </c>
      <c r="BD709" s="1"/>
    </row>
    <row r="710" spans="1:56" ht="16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435">
        <f>IF(AND(W710&gt;=$U$1,W710&lt;=$U$2),IF(X710='ESTRATTO CONTO'!$E$2,1+COUNTIF(U$4:U709,"&gt;0"),0),0)</f>
        <v>0</v>
      </c>
      <c r="V710" s="417">
        <f t="shared" ref="V710:V773" si="142">V709+1</f>
        <v>707</v>
      </c>
      <c r="W710" s="509"/>
      <c r="X710" s="321"/>
      <c r="Y710" s="321"/>
      <c r="Z710" s="508"/>
      <c r="AA710" s="356"/>
      <c r="AB710" s="306" t="str">
        <f t="shared" si="138"/>
        <v/>
      </c>
      <c r="AC710" s="637">
        <f t="shared" ca="1" si="137"/>
        <v>-2.1316282072803006E-13</v>
      </c>
      <c r="AD710" s="935">
        <f>IF(ISERROR(VLOOKUP(AD$2,X711:X$1003,1,FALSE)),IF(X710=AD$2,SUMIF(X$4:X710,AD$2,Z$4:Z710)+$E$9+SUM(AQ$4:AQ$1003)+SUMIF(COSTI!$X$1379:$X$1430,AD$2,COSTI!$Z$1379:$Z$1430),0),0)</f>
        <v>0</v>
      </c>
      <c r="AE710" s="26"/>
      <c r="AF710" s="856" t="e">
        <f>IF(ISERROR(VLOOKUP(AG$2,X711:X$1003,1,FALSE)),IF(X710=AG$2,SUMIF(X$4:X710,AG$2,Z$4:Z710)+VLOOKUP(AF$2,$B$1057:$F$1068,5,FALSE)+SUM(AR$4:AR$1003)+SUMIF(COSTI!$X$1379:$X$1430,AG$2,COSTI!$Z$1379:$Z$1430),0),0)</f>
        <v>#N/A</v>
      </c>
      <c r="AG710" s="859"/>
      <c r="AH710" s="27" t="str">
        <f t="shared" si="139"/>
        <v/>
      </c>
      <c r="AI710" s="152">
        <f ca="1">IF(W711&gt;0,0,IF(AH710=0,(Z710*-1)+BC710+SUM(BB$4:BB709),BC710+SUM(BB$4:BB709)))</f>
        <v>-2.1316282072803006E-13</v>
      </c>
      <c r="AJ710" s="931">
        <f>IF(AND(AL710&gt;=$U$1,AL710&lt;=$U$2),IF(AM710='ESTRATTO CONTO'!$E$2,1+COUNTIF(AJ$4:AJ709,"&gt;0")+U$1015,0),0)</f>
        <v>0</v>
      </c>
      <c r="AK710" s="203">
        <f>IF(AND(OR((AK709+1)&lt;AL$1015,(AK709+1)=AL$1015),MAX(AK$4:AK709)&lt;AL$1015),AK709+1,0)</f>
        <v>0</v>
      </c>
      <c r="AL710" s="309">
        <f>VLOOKUP($AK710,ENTI!$AF$4:AG$1003,2,FALSE)</f>
        <v>0</v>
      </c>
      <c r="AM710" s="224">
        <f>VLOOKUP($AK710,ENTI!$AF$4:AH$1003,3,FALSE)</f>
        <v>0</v>
      </c>
      <c r="AN710" s="224">
        <f>VLOOKUP($AK710,ENTI!$AF$4:AI$1003,4,FALSE)</f>
        <v>0</v>
      </c>
      <c r="AO710" s="781">
        <f>VLOOKUP($AK710,ENTI!$AF$4:AJ$1003,5,FALSE)</f>
        <v>0</v>
      </c>
      <c r="AP710" s="315">
        <f>VLOOKUP($AK710,ENTI!$AF$4:AK$1003,6,FALSE)</f>
        <v>0</v>
      </c>
      <c r="AQ710" s="208">
        <f t="shared" si="135"/>
        <v>0</v>
      </c>
      <c r="AR710" s="152" t="e">
        <f t="shared" si="136"/>
        <v>#N/A</v>
      </c>
      <c r="AS710" s="1"/>
      <c r="AT710" s="88" t="str">
        <f t="shared" si="140"/>
        <v/>
      </c>
      <c r="AU710" s="1"/>
      <c r="AV710" s="175">
        <f>IF(AW710&gt;0,COUNTIF(AV$4:AV709,"&gt;0")+1,0)</f>
        <v>0</v>
      </c>
      <c r="AW710" s="164">
        <f t="shared" si="141"/>
        <v>0</v>
      </c>
      <c r="AX710" s="310">
        <f>IF($AW710=0,0,VLOOKUP(VLOOKUP($X710,$B$34:$T$38,19,FALSE),ENTI!$A$9:$B$13,2,FALSE))</f>
        <v>0</v>
      </c>
      <c r="AY710" s="310">
        <f t="shared" ref="AY710:AY773" si="143">IF(AW710=0,0,Y710)</f>
        <v>0</v>
      </c>
      <c r="AZ710" s="316">
        <f t="shared" ref="AZ710:AZ773" si="144">IF(AW710=0,0,Z710)</f>
        <v>0</v>
      </c>
      <c r="BA710" s="1"/>
      <c r="BB710" s="152">
        <f t="shared" ref="BB710:BB773" si="145">IF(ISERROR(VLOOKUP(X710,B$9:D$15,1,FALSE)),Z710*-1,0)</f>
        <v>0</v>
      </c>
      <c r="BC710" s="152">
        <f ca="1">SUM(Z$4:Z710)+SUM(BB$4:BB710)+COSTI!S$6-COSTI!L$1076</f>
        <v>-31.760000000000218</v>
      </c>
      <c r="BD710" s="1"/>
    </row>
    <row r="711" spans="1:56" ht="16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435">
        <f>IF(AND(W711&gt;=$U$1,W711&lt;=$U$2),IF(X711='ESTRATTO CONTO'!$E$2,1+COUNTIF(U$4:U710,"&gt;0"),0),0)</f>
        <v>0</v>
      </c>
      <c r="V711" s="417">
        <f t="shared" si="142"/>
        <v>708</v>
      </c>
      <c r="W711" s="509"/>
      <c r="X711" s="321"/>
      <c r="Y711" s="321"/>
      <c r="Z711" s="508"/>
      <c r="AA711" s="356"/>
      <c r="AB711" s="306" t="str">
        <f t="shared" si="138"/>
        <v/>
      </c>
      <c r="AC711" s="637">
        <f t="shared" ca="1" si="137"/>
        <v>-2.1316282072803006E-13</v>
      </c>
      <c r="AD711" s="935">
        <f>IF(ISERROR(VLOOKUP(AD$2,X712:X$1003,1,FALSE)),IF(X711=AD$2,SUMIF(X$4:X711,AD$2,Z$4:Z711)+$E$9+SUM(AQ$4:AQ$1003)+SUMIF(COSTI!$X$1379:$X$1430,AD$2,COSTI!$Z$1379:$Z$1430),0),0)</f>
        <v>0</v>
      </c>
      <c r="AE711" s="26"/>
      <c r="AF711" s="856" t="e">
        <f>IF(ISERROR(VLOOKUP(AG$2,X712:X$1003,1,FALSE)),IF(X711=AG$2,SUMIF(X$4:X711,AG$2,Z$4:Z711)+VLOOKUP(AF$2,$B$1057:$F$1068,5,FALSE)+SUM(AR$4:AR$1003)+SUMIF(COSTI!$X$1379:$X$1430,AG$2,COSTI!$Z$1379:$Z$1430),0),0)</f>
        <v>#N/A</v>
      </c>
      <c r="AG711" s="859"/>
      <c r="AH711" s="27" t="str">
        <f t="shared" si="139"/>
        <v/>
      </c>
      <c r="AI711" s="152">
        <f ca="1">IF(W712&gt;0,0,IF(AH711=0,(Z711*-1)+BC711+SUM(BB$4:BB710),BC711+SUM(BB$4:BB710)))</f>
        <v>-2.1316282072803006E-13</v>
      </c>
      <c r="AJ711" s="931">
        <f>IF(AND(AL711&gt;=$U$1,AL711&lt;=$U$2),IF(AM711='ESTRATTO CONTO'!$E$2,1+COUNTIF(AJ$4:AJ710,"&gt;0")+U$1015,0),0)</f>
        <v>0</v>
      </c>
      <c r="AK711" s="203">
        <f>IF(AND(OR((AK710+1)&lt;AL$1015,(AK710+1)=AL$1015),MAX(AK$4:AK710)&lt;AL$1015),AK710+1,0)</f>
        <v>0</v>
      </c>
      <c r="AL711" s="309">
        <f>VLOOKUP($AK711,ENTI!$AF$4:AG$1003,2,FALSE)</f>
        <v>0</v>
      </c>
      <c r="AM711" s="224">
        <f>VLOOKUP($AK711,ENTI!$AF$4:AH$1003,3,FALSE)</f>
        <v>0</v>
      </c>
      <c r="AN711" s="224">
        <f>VLOOKUP($AK711,ENTI!$AF$4:AI$1003,4,FALSE)</f>
        <v>0</v>
      </c>
      <c r="AO711" s="781">
        <f>VLOOKUP($AK711,ENTI!$AF$4:AJ$1003,5,FALSE)</f>
        <v>0</v>
      </c>
      <c r="AP711" s="315">
        <f>VLOOKUP($AK711,ENTI!$AF$4:AK$1003,6,FALSE)</f>
        <v>0</v>
      </c>
      <c r="AQ711" s="208">
        <f t="shared" si="135"/>
        <v>0</v>
      </c>
      <c r="AR711" s="152" t="e">
        <f t="shared" si="136"/>
        <v>#N/A</v>
      </c>
      <c r="AS711" s="1"/>
      <c r="AT711" s="88" t="str">
        <f t="shared" si="140"/>
        <v/>
      </c>
      <c r="AU711" s="1"/>
      <c r="AV711" s="175">
        <f>IF(AW711&gt;0,COUNTIF(AV$4:AV710,"&gt;0")+1,0)</f>
        <v>0</v>
      </c>
      <c r="AW711" s="164">
        <f t="shared" si="141"/>
        <v>0</v>
      </c>
      <c r="AX711" s="310">
        <f>IF($AW711=0,0,VLOOKUP(VLOOKUP($X711,$B$34:$T$38,19,FALSE),ENTI!$A$9:$B$13,2,FALSE))</f>
        <v>0</v>
      </c>
      <c r="AY711" s="310">
        <f t="shared" si="143"/>
        <v>0</v>
      </c>
      <c r="AZ711" s="316">
        <f t="shared" si="144"/>
        <v>0</v>
      </c>
      <c r="BA711" s="1"/>
      <c r="BB711" s="152">
        <f t="shared" si="145"/>
        <v>0</v>
      </c>
      <c r="BC711" s="152">
        <f ca="1">SUM(Z$4:Z711)+SUM(BB$4:BB711)+COSTI!S$6-COSTI!L$1076</f>
        <v>-31.760000000000218</v>
      </c>
      <c r="BD711" s="1"/>
    </row>
    <row r="712" spans="1:56" ht="16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435">
        <f>IF(AND(W712&gt;=$U$1,W712&lt;=$U$2),IF(X712='ESTRATTO CONTO'!$E$2,1+COUNTIF(U$4:U711,"&gt;0"),0),0)</f>
        <v>0</v>
      </c>
      <c r="V712" s="417">
        <f t="shared" si="142"/>
        <v>709</v>
      </c>
      <c r="W712" s="509"/>
      <c r="X712" s="321"/>
      <c r="Y712" s="321"/>
      <c r="Z712" s="508"/>
      <c r="AA712" s="356"/>
      <c r="AB712" s="306" t="str">
        <f t="shared" si="138"/>
        <v/>
      </c>
      <c r="AC712" s="637">
        <f t="shared" ca="1" si="137"/>
        <v>-2.1316282072803006E-13</v>
      </c>
      <c r="AD712" s="935">
        <f>IF(ISERROR(VLOOKUP(AD$2,X713:X$1003,1,FALSE)),IF(X712=AD$2,SUMIF(X$4:X712,AD$2,Z$4:Z712)+$E$9+SUM(AQ$4:AQ$1003)+SUMIF(COSTI!$X$1379:$X$1430,AD$2,COSTI!$Z$1379:$Z$1430),0),0)</f>
        <v>0</v>
      </c>
      <c r="AE712" s="26"/>
      <c r="AF712" s="856" t="e">
        <f>IF(ISERROR(VLOOKUP(AG$2,X713:X$1003,1,FALSE)),IF(X712=AG$2,SUMIF(X$4:X712,AG$2,Z$4:Z712)+VLOOKUP(AF$2,$B$1057:$F$1068,5,FALSE)+SUM(AR$4:AR$1003)+SUMIF(COSTI!$X$1379:$X$1430,AG$2,COSTI!$Z$1379:$Z$1430),0),0)</f>
        <v>#N/A</v>
      </c>
      <c r="AG712" s="859"/>
      <c r="AH712" s="27" t="str">
        <f t="shared" si="139"/>
        <v/>
      </c>
      <c r="AI712" s="152">
        <f ca="1">IF(W713&gt;0,0,IF(AH712=0,(Z712*-1)+BC712+SUM(BB$4:BB711),BC712+SUM(BB$4:BB711)))</f>
        <v>-2.1316282072803006E-13</v>
      </c>
      <c r="AJ712" s="931">
        <f>IF(AND(AL712&gt;=$U$1,AL712&lt;=$U$2),IF(AM712='ESTRATTO CONTO'!$E$2,1+COUNTIF(AJ$4:AJ711,"&gt;0")+U$1015,0),0)</f>
        <v>0</v>
      </c>
      <c r="AK712" s="203">
        <f>IF(AND(OR((AK711+1)&lt;AL$1015,(AK711+1)=AL$1015),MAX(AK$4:AK711)&lt;AL$1015),AK711+1,0)</f>
        <v>0</v>
      </c>
      <c r="AL712" s="309">
        <f>VLOOKUP($AK712,ENTI!$AF$4:AG$1003,2,FALSE)</f>
        <v>0</v>
      </c>
      <c r="AM712" s="224">
        <f>VLOOKUP($AK712,ENTI!$AF$4:AH$1003,3,FALSE)</f>
        <v>0</v>
      </c>
      <c r="AN712" s="224">
        <f>VLOOKUP($AK712,ENTI!$AF$4:AI$1003,4,FALSE)</f>
        <v>0</v>
      </c>
      <c r="AO712" s="781">
        <f>VLOOKUP($AK712,ENTI!$AF$4:AJ$1003,5,FALSE)</f>
        <v>0</v>
      </c>
      <c r="AP712" s="315">
        <f>VLOOKUP($AK712,ENTI!$AF$4:AK$1003,6,FALSE)</f>
        <v>0</v>
      </c>
      <c r="AQ712" s="208">
        <f t="shared" si="135"/>
        <v>0</v>
      </c>
      <c r="AR712" s="152" t="e">
        <f t="shared" si="136"/>
        <v>#N/A</v>
      </c>
      <c r="AS712" s="1"/>
      <c r="AT712" s="88" t="str">
        <f t="shared" si="140"/>
        <v/>
      </c>
      <c r="AU712" s="1"/>
      <c r="AV712" s="175">
        <f>IF(AW712&gt;0,COUNTIF(AV$4:AV711,"&gt;0")+1,0)</f>
        <v>0</v>
      </c>
      <c r="AW712" s="164">
        <f t="shared" si="141"/>
        <v>0</v>
      </c>
      <c r="AX712" s="310">
        <f>IF($AW712=0,0,VLOOKUP(VLOOKUP($X712,$B$34:$T$38,19,FALSE),ENTI!$A$9:$B$13,2,FALSE))</f>
        <v>0</v>
      </c>
      <c r="AY712" s="310">
        <f t="shared" si="143"/>
        <v>0</v>
      </c>
      <c r="AZ712" s="316">
        <f t="shared" si="144"/>
        <v>0</v>
      </c>
      <c r="BA712" s="1"/>
      <c r="BB712" s="152">
        <f t="shared" si="145"/>
        <v>0</v>
      </c>
      <c r="BC712" s="152">
        <f ca="1">SUM(Z$4:Z712)+SUM(BB$4:BB712)+COSTI!S$6-COSTI!L$1076</f>
        <v>-31.760000000000218</v>
      </c>
      <c r="BD712" s="1"/>
    </row>
    <row r="713" spans="1:56" ht="16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435">
        <f>IF(AND(W713&gt;=$U$1,W713&lt;=$U$2),IF(X713='ESTRATTO CONTO'!$E$2,1+COUNTIF(U$4:U712,"&gt;0"),0),0)</f>
        <v>0</v>
      </c>
      <c r="V713" s="417">
        <f t="shared" si="142"/>
        <v>710</v>
      </c>
      <c r="W713" s="509"/>
      <c r="X713" s="321"/>
      <c r="Y713" s="321"/>
      <c r="Z713" s="508"/>
      <c r="AA713" s="356"/>
      <c r="AB713" s="306" t="str">
        <f t="shared" si="138"/>
        <v/>
      </c>
      <c r="AC713" s="637">
        <f t="shared" ca="1" si="137"/>
        <v>-2.1316282072803006E-13</v>
      </c>
      <c r="AD713" s="935">
        <f>IF(ISERROR(VLOOKUP(AD$2,X714:X$1003,1,FALSE)),IF(X713=AD$2,SUMIF(X$4:X713,AD$2,Z$4:Z713)+$E$9+SUM(AQ$4:AQ$1003)+SUMIF(COSTI!$X$1379:$X$1430,AD$2,COSTI!$Z$1379:$Z$1430),0),0)</f>
        <v>0</v>
      </c>
      <c r="AE713" s="26"/>
      <c r="AF713" s="856" t="e">
        <f>IF(ISERROR(VLOOKUP(AG$2,X714:X$1003,1,FALSE)),IF(X713=AG$2,SUMIF(X$4:X713,AG$2,Z$4:Z713)+VLOOKUP(AF$2,$B$1057:$F$1068,5,FALSE)+SUM(AR$4:AR$1003)+SUMIF(COSTI!$X$1379:$X$1430,AG$2,COSTI!$Z$1379:$Z$1430),0),0)</f>
        <v>#N/A</v>
      </c>
      <c r="AG713" s="859"/>
      <c r="AH713" s="27" t="str">
        <f t="shared" si="139"/>
        <v/>
      </c>
      <c r="AI713" s="152">
        <f ca="1">IF(W714&gt;0,0,IF(AH713=0,(Z713*-1)+BC713+SUM(BB$4:BB712),BC713+SUM(BB$4:BB712)))</f>
        <v>-2.1316282072803006E-13</v>
      </c>
      <c r="AJ713" s="931">
        <f>IF(AND(AL713&gt;=$U$1,AL713&lt;=$U$2),IF(AM713='ESTRATTO CONTO'!$E$2,1+COUNTIF(AJ$4:AJ712,"&gt;0")+U$1015,0),0)</f>
        <v>0</v>
      </c>
      <c r="AK713" s="203">
        <f>IF(AND(OR((AK712+1)&lt;AL$1015,(AK712+1)=AL$1015),MAX(AK$4:AK712)&lt;AL$1015),AK712+1,0)</f>
        <v>0</v>
      </c>
      <c r="AL713" s="309">
        <f>VLOOKUP($AK713,ENTI!$AF$4:AG$1003,2,FALSE)</f>
        <v>0</v>
      </c>
      <c r="AM713" s="224">
        <f>VLOOKUP($AK713,ENTI!$AF$4:AH$1003,3,FALSE)</f>
        <v>0</v>
      </c>
      <c r="AN713" s="224">
        <f>VLOOKUP($AK713,ENTI!$AF$4:AI$1003,4,FALSE)</f>
        <v>0</v>
      </c>
      <c r="AO713" s="781">
        <f>VLOOKUP($AK713,ENTI!$AF$4:AJ$1003,5,FALSE)</f>
        <v>0</v>
      </c>
      <c r="AP713" s="315">
        <f>VLOOKUP($AK713,ENTI!$AF$4:AK$1003,6,FALSE)</f>
        <v>0</v>
      </c>
      <c r="AQ713" s="208">
        <f t="shared" si="135"/>
        <v>0</v>
      </c>
      <c r="AR713" s="152" t="e">
        <f t="shared" si="136"/>
        <v>#N/A</v>
      </c>
      <c r="AS713" s="1"/>
      <c r="AT713" s="88" t="str">
        <f t="shared" si="140"/>
        <v/>
      </c>
      <c r="AU713" s="1"/>
      <c r="AV713" s="175">
        <f>IF(AW713&gt;0,COUNTIF(AV$4:AV712,"&gt;0")+1,0)</f>
        <v>0</v>
      </c>
      <c r="AW713" s="164">
        <f t="shared" si="141"/>
        <v>0</v>
      </c>
      <c r="AX713" s="310">
        <f>IF($AW713=0,0,VLOOKUP(VLOOKUP($X713,$B$34:$T$38,19,FALSE),ENTI!$A$9:$B$13,2,FALSE))</f>
        <v>0</v>
      </c>
      <c r="AY713" s="310">
        <f t="shared" si="143"/>
        <v>0</v>
      </c>
      <c r="AZ713" s="316">
        <f t="shared" si="144"/>
        <v>0</v>
      </c>
      <c r="BA713" s="1"/>
      <c r="BB713" s="152">
        <f t="shared" si="145"/>
        <v>0</v>
      </c>
      <c r="BC713" s="152">
        <f ca="1">SUM(Z$4:Z713)+SUM(BB$4:BB713)+COSTI!S$6-COSTI!L$1076</f>
        <v>-31.760000000000218</v>
      </c>
      <c r="BD713" s="1"/>
    </row>
    <row r="714" spans="1:56" ht="16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435">
        <f>IF(AND(W714&gt;=$U$1,W714&lt;=$U$2),IF(X714='ESTRATTO CONTO'!$E$2,1+COUNTIF(U$4:U713,"&gt;0"),0),0)</f>
        <v>0</v>
      </c>
      <c r="V714" s="417">
        <f t="shared" si="142"/>
        <v>711</v>
      </c>
      <c r="W714" s="509"/>
      <c r="X714" s="321"/>
      <c r="Y714" s="321"/>
      <c r="Z714" s="508"/>
      <c r="AA714" s="356"/>
      <c r="AB714" s="306" t="str">
        <f t="shared" si="138"/>
        <v/>
      </c>
      <c r="AC714" s="637">
        <f t="shared" ca="1" si="137"/>
        <v>-2.1316282072803006E-13</v>
      </c>
      <c r="AD714" s="935">
        <f>IF(ISERROR(VLOOKUP(AD$2,X715:X$1003,1,FALSE)),IF(X714=AD$2,SUMIF(X$4:X714,AD$2,Z$4:Z714)+$E$9+SUM(AQ$4:AQ$1003)+SUMIF(COSTI!$X$1379:$X$1430,AD$2,COSTI!$Z$1379:$Z$1430),0),0)</f>
        <v>0</v>
      </c>
      <c r="AE714" s="26"/>
      <c r="AF714" s="856" t="e">
        <f>IF(ISERROR(VLOOKUP(AG$2,X715:X$1003,1,FALSE)),IF(X714=AG$2,SUMIF(X$4:X714,AG$2,Z$4:Z714)+VLOOKUP(AF$2,$B$1057:$F$1068,5,FALSE)+SUM(AR$4:AR$1003)+SUMIF(COSTI!$X$1379:$X$1430,AG$2,COSTI!$Z$1379:$Z$1430),0),0)</f>
        <v>#N/A</v>
      </c>
      <c r="AG714" s="859"/>
      <c r="AH714" s="27" t="str">
        <f t="shared" si="139"/>
        <v/>
      </c>
      <c r="AI714" s="152">
        <f ca="1">IF(W715&gt;0,0,IF(AH714=0,(Z714*-1)+BC714+SUM(BB$4:BB713),BC714+SUM(BB$4:BB713)))</f>
        <v>-2.1316282072803006E-13</v>
      </c>
      <c r="AJ714" s="931">
        <f>IF(AND(AL714&gt;=$U$1,AL714&lt;=$U$2),IF(AM714='ESTRATTO CONTO'!$E$2,1+COUNTIF(AJ$4:AJ713,"&gt;0")+U$1015,0),0)</f>
        <v>0</v>
      </c>
      <c r="AK714" s="203">
        <f>IF(AND(OR((AK713+1)&lt;AL$1015,(AK713+1)=AL$1015),MAX(AK$4:AK713)&lt;AL$1015),AK713+1,0)</f>
        <v>0</v>
      </c>
      <c r="AL714" s="309">
        <f>VLOOKUP($AK714,ENTI!$AF$4:AG$1003,2,FALSE)</f>
        <v>0</v>
      </c>
      <c r="AM714" s="224">
        <f>VLOOKUP($AK714,ENTI!$AF$4:AH$1003,3,FALSE)</f>
        <v>0</v>
      </c>
      <c r="AN714" s="224">
        <f>VLOOKUP($AK714,ENTI!$AF$4:AI$1003,4,FALSE)</f>
        <v>0</v>
      </c>
      <c r="AO714" s="781">
        <f>VLOOKUP($AK714,ENTI!$AF$4:AJ$1003,5,FALSE)</f>
        <v>0</v>
      </c>
      <c r="AP714" s="315">
        <f>VLOOKUP($AK714,ENTI!$AF$4:AK$1003,6,FALSE)</f>
        <v>0</v>
      </c>
      <c r="AQ714" s="208">
        <f t="shared" si="135"/>
        <v>0</v>
      </c>
      <c r="AR714" s="152" t="e">
        <f t="shared" si="136"/>
        <v>#N/A</v>
      </c>
      <c r="AS714" s="1"/>
      <c r="AT714" s="88" t="str">
        <f t="shared" si="140"/>
        <v/>
      </c>
      <c r="AU714" s="1"/>
      <c r="AV714" s="175">
        <f>IF(AW714&gt;0,COUNTIF(AV$4:AV713,"&gt;0")+1,0)</f>
        <v>0</v>
      </c>
      <c r="AW714" s="164">
        <f t="shared" si="141"/>
        <v>0</v>
      </c>
      <c r="AX714" s="310">
        <f>IF($AW714=0,0,VLOOKUP(VLOOKUP($X714,$B$34:$T$38,19,FALSE),ENTI!$A$9:$B$13,2,FALSE))</f>
        <v>0</v>
      </c>
      <c r="AY714" s="310">
        <f t="shared" si="143"/>
        <v>0</v>
      </c>
      <c r="AZ714" s="316">
        <f t="shared" si="144"/>
        <v>0</v>
      </c>
      <c r="BA714" s="1"/>
      <c r="BB714" s="152">
        <f t="shared" si="145"/>
        <v>0</v>
      </c>
      <c r="BC714" s="152">
        <f ca="1">SUM(Z$4:Z714)+SUM(BB$4:BB714)+COSTI!S$6-COSTI!L$1076</f>
        <v>-31.760000000000218</v>
      </c>
      <c r="BD714" s="1"/>
    </row>
    <row r="715" spans="1:56" ht="16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435">
        <f>IF(AND(W715&gt;=$U$1,W715&lt;=$U$2),IF(X715='ESTRATTO CONTO'!$E$2,1+COUNTIF(U$4:U714,"&gt;0"),0),0)</f>
        <v>0</v>
      </c>
      <c r="V715" s="417">
        <f t="shared" si="142"/>
        <v>712</v>
      </c>
      <c r="W715" s="509"/>
      <c r="X715" s="321"/>
      <c r="Y715" s="321"/>
      <c r="Z715" s="508"/>
      <c r="AA715" s="356"/>
      <c r="AB715" s="306" t="str">
        <f t="shared" si="138"/>
        <v/>
      </c>
      <c r="AC715" s="637">
        <f t="shared" ca="1" si="137"/>
        <v>-2.1316282072803006E-13</v>
      </c>
      <c r="AD715" s="935">
        <f>IF(ISERROR(VLOOKUP(AD$2,X716:X$1003,1,FALSE)),IF(X715=AD$2,SUMIF(X$4:X715,AD$2,Z$4:Z715)+$E$9+SUM(AQ$4:AQ$1003)+SUMIF(COSTI!$X$1379:$X$1430,AD$2,COSTI!$Z$1379:$Z$1430),0),0)</f>
        <v>0</v>
      </c>
      <c r="AE715" s="26"/>
      <c r="AF715" s="856" t="e">
        <f>IF(ISERROR(VLOOKUP(AG$2,X716:X$1003,1,FALSE)),IF(X715=AG$2,SUMIF(X$4:X715,AG$2,Z$4:Z715)+VLOOKUP(AF$2,$B$1057:$F$1068,5,FALSE)+SUM(AR$4:AR$1003)+SUMIF(COSTI!$X$1379:$X$1430,AG$2,COSTI!$Z$1379:$Z$1430),0),0)</f>
        <v>#N/A</v>
      </c>
      <c r="AG715" s="859"/>
      <c r="AH715" s="27" t="str">
        <f t="shared" si="139"/>
        <v/>
      </c>
      <c r="AI715" s="152">
        <f ca="1">IF(W716&gt;0,0,IF(AH715=0,(Z715*-1)+BC715+SUM(BB$4:BB714),BC715+SUM(BB$4:BB714)))</f>
        <v>-2.1316282072803006E-13</v>
      </c>
      <c r="AJ715" s="931">
        <f>IF(AND(AL715&gt;=$U$1,AL715&lt;=$U$2),IF(AM715='ESTRATTO CONTO'!$E$2,1+COUNTIF(AJ$4:AJ714,"&gt;0")+U$1015,0),0)</f>
        <v>0</v>
      </c>
      <c r="AK715" s="203">
        <f>IF(AND(OR((AK714+1)&lt;AL$1015,(AK714+1)=AL$1015),MAX(AK$4:AK714)&lt;AL$1015),AK714+1,0)</f>
        <v>0</v>
      </c>
      <c r="AL715" s="309">
        <f>VLOOKUP($AK715,ENTI!$AF$4:AG$1003,2,FALSE)</f>
        <v>0</v>
      </c>
      <c r="AM715" s="224">
        <f>VLOOKUP($AK715,ENTI!$AF$4:AH$1003,3,FALSE)</f>
        <v>0</v>
      </c>
      <c r="AN715" s="224">
        <f>VLOOKUP($AK715,ENTI!$AF$4:AI$1003,4,FALSE)</f>
        <v>0</v>
      </c>
      <c r="AO715" s="781">
        <f>VLOOKUP($AK715,ENTI!$AF$4:AJ$1003,5,FALSE)</f>
        <v>0</v>
      </c>
      <c r="AP715" s="315">
        <f>VLOOKUP($AK715,ENTI!$AF$4:AK$1003,6,FALSE)</f>
        <v>0</v>
      </c>
      <c r="AQ715" s="208">
        <f t="shared" si="135"/>
        <v>0</v>
      </c>
      <c r="AR715" s="152" t="e">
        <f t="shared" si="136"/>
        <v>#N/A</v>
      </c>
      <c r="AS715" s="1"/>
      <c r="AT715" s="88" t="str">
        <f t="shared" si="140"/>
        <v/>
      </c>
      <c r="AU715" s="1"/>
      <c r="AV715" s="175">
        <f>IF(AW715&gt;0,COUNTIF(AV$4:AV714,"&gt;0")+1,0)</f>
        <v>0</v>
      </c>
      <c r="AW715" s="164">
        <f t="shared" si="141"/>
        <v>0</v>
      </c>
      <c r="AX715" s="310">
        <f>IF($AW715=0,0,VLOOKUP(VLOOKUP($X715,$B$34:$T$38,19,FALSE),ENTI!$A$9:$B$13,2,FALSE))</f>
        <v>0</v>
      </c>
      <c r="AY715" s="310">
        <f t="shared" si="143"/>
        <v>0</v>
      </c>
      <c r="AZ715" s="316">
        <f t="shared" si="144"/>
        <v>0</v>
      </c>
      <c r="BA715" s="1"/>
      <c r="BB715" s="152">
        <f t="shared" si="145"/>
        <v>0</v>
      </c>
      <c r="BC715" s="152">
        <f ca="1">SUM(Z$4:Z715)+SUM(BB$4:BB715)+COSTI!S$6-COSTI!L$1076</f>
        <v>-31.760000000000218</v>
      </c>
      <c r="BD715" s="1"/>
    </row>
    <row r="716" spans="1:56" ht="16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435">
        <f>IF(AND(W716&gt;=$U$1,W716&lt;=$U$2),IF(X716='ESTRATTO CONTO'!$E$2,1+COUNTIF(U$4:U715,"&gt;0"),0),0)</f>
        <v>0</v>
      </c>
      <c r="V716" s="417">
        <f t="shared" si="142"/>
        <v>713</v>
      </c>
      <c r="W716" s="509"/>
      <c r="X716" s="321"/>
      <c r="Y716" s="321"/>
      <c r="Z716" s="508"/>
      <c r="AA716" s="356"/>
      <c r="AB716" s="306" t="str">
        <f t="shared" si="138"/>
        <v/>
      </c>
      <c r="AC716" s="637">
        <f t="shared" ca="1" si="137"/>
        <v>-2.1316282072803006E-13</v>
      </c>
      <c r="AD716" s="935">
        <f>IF(ISERROR(VLOOKUP(AD$2,X717:X$1003,1,FALSE)),IF(X716=AD$2,SUMIF(X$4:X716,AD$2,Z$4:Z716)+$E$9+SUM(AQ$4:AQ$1003)+SUMIF(COSTI!$X$1379:$X$1430,AD$2,COSTI!$Z$1379:$Z$1430),0),0)</f>
        <v>0</v>
      </c>
      <c r="AE716" s="26"/>
      <c r="AF716" s="856" t="e">
        <f>IF(ISERROR(VLOOKUP(AG$2,X717:X$1003,1,FALSE)),IF(X716=AG$2,SUMIF(X$4:X716,AG$2,Z$4:Z716)+VLOOKUP(AF$2,$B$1057:$F$1068,5,FALSE)+SUM(AR$4:AR$1003)+SUMIF(COSTI!$X$1379:$X$1430,AG$2,COSTI!$Z$1379:$Z$1430),0),0)</f>
        <v>#N/A</v>
      </c>
      <c r="AG716" s="859"/>
      <c r="AH716" s="27" t="str">
        <f t="shared" si="139"/>
        <v/>
      </c>
      <c r="AI716" s="152">
        <f ca="1">IF(W717&gt;0,0,IF(AH716=0,(Z716*-1)+BC716+SUM(BB$4:BB715),BC716+SUM(BB$4:BB715)))</f>
        <v>-2.1316282072803006E-13</v>
      </c>
      <c r="AJ716" s="931">
        <f>IF(AND(AL716&gt;=$U$1,AL716&lt;=$U$2),IF(AM716='ESTRATTO CONTO'!$E$2,1+COUNTIF(AJ$4:AJ715,"&gt;0")+U$1015,0),0)</f>
        <v>0</v>
      </c>
      <c r="AK716" s="203">
        <f>IF(AND(OR((AK715+1)&lt;AL$1015,(AK715+1)=AL$1015),MAX(AK$4:AK715)&lt;AL$1015),AK715+1,0)</f>
        <v>0</v>
      </c>
      <c r="AL716" s="309">
        <f>VLOOKUP($AK716,ENTI!$AF$4:AG$1003,2,FALSE)</f>
        <v>0</v>
      </c>
      <c r="AM716" s="224">
        <f>VLOOKUP($AK716,ENTI!$AF$4:AH$1003,3,FALSE)</f>
        <v>0</v>
      </c>
      <c r="AN716" s="224">
        <f>VLOOKUP($AK716,ENTI!$AF$4:AI$1003,4,FALSE)</f>
        <v>0</v>
      </c>
      <c r="AO716" s="781">
        <f>VLOOKUP($AK716,ENTI!$AF$4:AJ$1003,5,FALSE)</f>
        <v>0</v>
      </c>
      <c r="AP716" s="315">
        <f>VLOOKUP($AK716,ENTI!$AF$4:AK$1003,6,FALSE)</f>
        <v>0</v>
      </c>
      <c r="AQ716" s="208">
        <f t="shared" si="135"/>
        <v>0</v>
      </c>
      <c r="AR716" s="152" t="e">
        <f t="shared" si="136"/>
        <v>#N/A</v>
      </c>
      <c r="AS716" s="1"/>
      <c r="AT716" s="88" t="str">
        <f t="shared" si="140"/>
        <v/>
      </c>
      <c r="AU716" s="1"/>
      <c r="AV716" s="175">
        <f>IF(AW716&gt;0,COUNTIF(AV$4:AV715,"&gt;0")+1,0)</f>
        <v>0</v>
      </c>
      <c r="AW716" s="164">
        <f t="shared" si="141"/>
        <v>0</v>
      </c>
      <c r="AX716" s="310">
        <f>IF($AW716=0,0,VLOOKUP(VLOOKUP($X716,$B$34:$T$38,19,FALSE),ENTI!$A$9:$B$13,2,FALSE))</f>
        <v>0</v>
      </c>
      <c r="AY716" s="310">
        <f t="shared" si="143"/>
        <v>0</v>
      </c>
      <c r="AZ716" s="316">
        <f t="shared" si="144"/>
        <v>0</v>
      </c>
      <c r="BA716" s="1"/>
      <c r="BB716" s="152">
        <f t="shared" si="145"/>
        <v>0</v>
      </c>
      <c r="BC716" s="152">
        <f ca="1">SUM(Z$4:Z716)+SUM(BB$4:BB716)+COSTI!S$6-COSTI!L$1076</f>
        <v>-31.760000000000218</v>
      </c>
      <c r="BD716" s="1"/>
    </row>
    <row r="717" spans="1:56" ht="16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435">
        <f>IF(AND(W717&gt;=$U$1,W717&lt;=$U$2),IF(X717='ESTRATTO CONTO'!$E$2,1+COUNTIF(U$4:U716,"&gt;0"),0),0)</f>
        <v>0</v>
      </c>
      <c r="V717" s="417">
        <f t="shared" si="142"/>
        <v>714</v>
      </c>
      <c r="W717" s="509"/>
      <c r="X717" s="321"/>
      <c r="Y717" s="321"/>
      <c r="Z717" s="508"/>
      <c r="AA717" s="356"/>
      <c r="AB717" s="306" t="str">
        <f t="shared" si="138"/>
        <v/>
      </c>
      <c r="AC717" s="637">
        <f t="shared" ca="1" si="137"/>
        <v>-2.1316282072803006E-13</v>
      </c>
      <c r="AD717" s="935">
        <f>IF(ISERROR(VLOOKUP(AD$2,X718:X$1003,1,FALSE)),IF(X717=AD$2,SUMIF(X$4:X717,AD$2,Z$4:Z717)+$E$9+SUM(AQ$4:AQ$1003)+SUMIF(COSTI!$X$1379:$X$1430,AD$2,COSTI!$Z$1379:$Z$1430),0),0)</f>
        <v>0</v>
      </c>
      <c r="AE717" s="26"/>
      <c r="AF717" s="856" t="e">
        <f>IF(ISERROR(VLOOKUP(AG$2,X718:X$1003,1,FALSE)),IF(X717=AG$2,SUMIF(X$4:X717,AG$2,Z$4:Z717)+VLOOKUP(AF$2,$B$1057:$F$1068,5,FALSE)+SUM(AR$4:AR$1003)+SUMIF(COSTI!$X$1379:$X$1430,AG$2,COSTI!$Z$1379:$Z$1430),0),0)</f>
        <v>#N/A</v>
      </c>
      <c r="AG717" s="859"/>
      <c r="AH717" s="27" t="str">
        <f t="shared" si="139"/>
        <v/>
      </c>
      <c r="AI717" s="152">
        <f ca="1">IF(W718&gt;0,0,IF(AH717=0,(Z717*-1)+BC717+SUM(BB$4:BB716),BC717+SUM(BB$4:BB716)))</f>
        <v>-2.1316282072803006E-13</v>
      </c>
      <c r="AJ717" s="931">
        <f>IF(AND(AL717&gt;=$U$1,AL717&lt;=$U$2),IF(AM717='ESTRATTO CONTO'!$E$2,1+COUNTIF(AJ$4:AJ716,"&gt;0")+U$1015,0),0)</f>
        <v>0</v>
      </c>
      <c r="AK717" s="203">
        <f>IF(AND(OR((AK716+1)&lt;AL$1015,(AK716+1)=AL$1015),MAX(AK$4:AK716)&lt;AL$1015),AK716+1,0)</f>
        <v>0</v>
      </c>
      <c r="AL717" s="309">
        <f>VLOOKUP($AK717,ENTI!$AF$4:AG$1003,2,FALSE)</f>
        <v>0</v>
      </c>
      <c r="AM717" s="224">
        <f>VLOOKUP($AK717,ENTI!$AF$4:AH$1003,3,FALSE)</f>
        <v>0</v>
      </c>
      <c r="AN717" s="224">
        <f>VLOOKUP($AK717,ENTI!$AF$4:AI$1003,4,FALSE)</f>
        <v>0</v>
      </c>
      <c r="AO717" s="781">
        <f>VLOOKUP($AK717,ENTI!$AF$4:AJ$1003,5,FALSE)</f>
        <v>0</v>
      </c>
      <c r="AP717" s="315">
        <f>VLOOKUP($AK717,ENTI!$AF$4:AK$1003,6,FALSE)</f>
        <v>0</v>
      </c>
      <c r="AQ717" s="208">
        <f t="shared" si="135"/>
        <v>0</v>
      </c>
      <c r="AR717" s="152" t="e">
        <f t="shared" si="136"/>
        <v>#N/A</v>
      </c>
      <c r="AS717" s="1"/>
      <c r="AT717" s="88" t="str">
        <f t="shared" si="140"/>
        <v/>
      </c>
      <c r="AU717" s="1"/>
      <c r="AV717" s="175">
        <f>IF(AW717&gt;0,COUNTIF(AV$4:AV716,"&gt;0")+1,0)</f>
        <v>0</v>
      </c>
      <c r="AW717" s="164">
        <f t="shared" si="141"/>
        <v>0</v>
      </c>
      <c r="AX717" s="310">
        <f>IF($AW717=0,0,VLOOKUP(VLOOKUP($X717,$B$34:$T$38,19,FALSE),ENTI!$A$9:$B$13,2,FALSE))</f>
        <v>0</v>
      </c>
      <c r="AY717" s="310">
        <f t="shared" si="143"/>
        <v>0</v>
      </c>
      <c r="AZ717" s="316">
        <f t="shared" si="144"/>
        <v>0</v>
      </c>
      <c r="BA717" s="1"/>
      <c r="BB717" s="152">
        <f t="shared" si="145"/>
        <v>0</v>
      </c>
      <c r="BC717" s="152">
        <f ca="1">SUM(Z$4:Z717)+SUM(BB$4:BB717)+COSTI!S$6-COSTI!L$1076</f>
        <v>-31.760000000000218</v>
      </c>
      <c r="BD717" s="1"/>
    </row>
    <row r="718" spans="1:56" ht="16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435">
        <f>IF(AND(W718&gt;=$U$1,W718&lt;=$U$2),IF(X718='ESTRATTO CONTO'!$E$2,1+COUNTIF(U$4:U717,"&gt;0"),0),0)</f>
        <v>0</v>
      </c>
      <c r="V718" s="417">
        <f t="shared" si="142"/>
        <v>715</v>
      </c>
      <c r="W718" s="509"/>
      <c r="X718" s="321"/>
      <c r="Y718" s="321"/>
      <c r="Z718" s="508"/>
      <c r="AA718" s="356"/>
      <c r="AB718" s="306" t="str">
        <f t="shared" si="138"/>
        <v/>
      </c>
      <c r="AC718" s="637">
        <f t="shared" ca="1" si="137"/>
        <v>-2.1316282072803006E-13</v>
      </c>
      <c r="AD718" s="935">
        <f>IF(ISERROR(VLOOKUP(AD$2,X719:X$1003,1,FALSE)),IF(X718=AD$2,SUMIF(X$4:X718,AD$2,Z$4:Z718)+$E$9+SUM(AQ$4:AQ$1003)+SUMIF(COSTI!$X$1379:$X$1430,AD$2,COSTI!$Z$1379:$Z$1430),0),0)</f>
        <v>0</v>
      </c>
      <c r="AE718" s="26"/>
      <c r="AF718" s="856" t="e">
        <f>IF(ISERROR(VLOOKUP(AG$2,X719:X$1003,1,FALSE)),IF(X718=AG$2,SUMIF(X$4:X718,AG$2,Z$4:Z718)+VLOOKUP(AF$2,$B$1057:$F$1068,5,FALSE)+SUM(AR$4:AR$1003)+SUMIF(COSTI!$X$1379:$X$1430,AG$2,COSTI!$Z$1379:$Z$1430),0),0)</f>
        <v>#N/A</v>
      </c>
      <c r="AG718" s="859"/>
      <c r="AH718" s="27" t="str">
        <f t="shared" si="139"/>
        <v/>
      </c>
      <c r="AI718" s="152">
        <f ca="1">IF(W719&gt;0,0,IF(AH718=0,(Z718*-1)+BC718+SUM(BB$4:BB717),BC718+SUM(BB$4:BB717)))</f>
        <v>-2.1316282072803006E-13</v>
      </c>
      <c r="AJ718" s="931">
        <f>IF(AND(AL718&gt;=$U$1,AL718&lt;=$U$2),IF(AM718='ESTRATTO CONTO'!$E$2,1+COUNTIF(AJ$4:AJ717,"&gt;0")+U$1015,0),0)</f>
        <v>0</v>
      </c>
      <c r="AK718" s="203">
        <f>IF(AND(OR((AK717+1)&lt;AL$1015,(AK717+1)=AL$1015),MAX(AK$4:AK717)&lt;AL$1015),AK717+1,0)</f>
        <v>0</v>
      </c>
      <c r="AL718" s="309">
        <f>VLOOKUP($AK718,ENTI!$AF$4:AG$1003,2,FALSE)</f>
        <v>0</v>
      </c>
      <c r="AM718" s="224">
        <f>VLOOKUP($AK718,ENTI!$AF$4:AH$1003,3,FALSE)</f>
        <v>0</v>
      </c>
      <c r="AN718" s="224">
        <f>VLOOKUP($AK718,ENTI!$AF$4:AI$1003,4,FALSE)</f>
        <v>0</v>
      </c>
      <c r="AO718" s="781">
        <f>VLOOKUP($AK718,ENTI!$AF$4:AJ$1003,5,FALSE)</f>
        <v>0</v>
      </c>
      <c r="AP718" s="315">
        <f>VLOOKUP($AK718,ENTI!$AF$4:AK$1003,6,FALSE)</f>
        <v>0</v>
      </c>
      <c r="AQ718" s="208">
        <f t="shared" si="135"/>
        <v>0</v>
      </c>
      <c r="AR718" s="152" t="e">
        <f t="shared" si="136"/>
        <v>#N/A</v>
      </c>
      <c r="AS718" s="1"/>
      <c r="AT718" s="88" t="str">
        <f t="shared" si="140"/>
        <v/>
      </c>
      <c r="AU718" s="1"/>
      <c r="AV718" s="175">
        <f>IF(AW718&gt;0,COUNTIF(AV$4:AV717,"&gt;0")+1,0)</f>
        <v>0</v>
      </c>
      <c r="AW718" s="164">
        <f t="shared" si="141"/>
        <v>0</v>
      </c>
      <c r="AX718" s="310">
        <f>IF($AW718=0,0,VLOOKUP(VLOOKUP($X718,$B$34:$T$38,19,FALSE),ENTI!$A$9:$B$13,2,FALSE))</f>
        <v>0</v>
      </c>
      <c r="AY718" s="310">
        <f t="shared" si="143"/>
        <v>0</v>
      </c>
      <c r="AZ718" s="316">
        <f t="shared" si="144"/>
        <v>0</v>
      </c>
      <c r="BA718" s="1"/>
      <c r="BB718" s="152">
        <f t="shared" si="145"/>
        <v>0</v>
      </c>
      <c r="BC718" s="152">
        <f ca="1">SUM(Z$4:Z718)+SUM(BB$4:BB718)+COSTI!S$6-COSTI!L$1076</f>
        <v>-31.760000000000218</v>
      </c>
      <c r="BD718" s="1"/>
    </row>
    <row r="719" spans="1:56" ht="16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435">
        <f>IF(AND(W719&gt;=$U$1,W719&lt;=$U$2),IF(X719='ESTRATTO CONTO'!$E$2,1+COUNTIF(U$4:U718,"&gt;0"),0),0)</f>
        <v>0</v>
      </c>
      <c r="V719" s="417">
        <f t="shared" si="142"/>
        <v>716</v>
      </c>
      <c r="W719" s="509"/>
      <c r="X719" s="321"/>
      <c r="Y719" s="321"/>
      <c r="Z719" s="508"/>
      <c r="AA719" s="356"/>
      <c r="AB719" s="306" t="str">
        <f t="shared" si="138"/>
        <v/>
      </c>
      <c r="AC719" s="637">
        <f t="shared" ca="1" si="137"/>
        <v>-2.1316282072803006E-13</v>
      </c>
      <c r="AD719" s="935">
        <f>IF(ISERROR(VLOOKUP(AD$2,X720:X$1003,1,FALSE)),IF(X719=AD$2,SUMIF(X$4:X719,AD$2,Z$4:Z719)+$E$9+SUM(AQ$4:AQ$1003)+SUMIF(COSTI!$X$1379:$X$1430,AD$2,COSTI!$Z$1379:$Z$1430),0),0)</f>
        <v>0</v>
      </c>
      <c r="AE719" s="26"/>
      <c r="AF719" s="856" t="e">
        <f>IF(ISERROR(VLOOKUP(AG$2,X720:X$1003,1,FALSE)),IF(X719=AG$2,SUMIF(X$4:X719,AG$2,Z$4:Z719)+VLOOKUP(AF$2,$B$1057:$F$1068,5,FALSE)+SUM(AR$4:AR$1003)+SUMIF(COSTI!$X$1379:$X$1430,AG$2,COSTI!$Z$1379:$Z$1430),0),0)</f>
        <v>#N/A</v>
      </c>
      <c r="AG719" s="859"/>
      <c r="AH719" s="27" t="str">
        <f t="shared" si="139"/>
        <v/>
      </c>
      <c r="AI719" s="152">
        <f ca="1">IF(W720&gt;0,0,IF(AH719=0,(Z719*-1)+BC719+SUM(BB$4:BB718),BC719+SUM(BB$4:BB718)))</f>
        <v>-2.1316282072803006E-13</v>
      </c>
      <c r="AJ719" s="931">
        <f>IF(AND(AL719&gt;=$U$1,AL719&lt;=$U$2),IF(AM719='ESTRATTO CONTO'!$E$2,1+COUNTIF(AJ$4:AJ718,"&gt;0")+U$1015,0),0)</f>
        <v>0</v>
      </c>
      <c r="AK719" s="203">
        <f>IF(AND(OR((AK718+1)&lt;AL$1015,(AK718+1)=AL$1015),MAX(AK$4:AK718)&lt;AL$1015),AK718+1,0)</f>
        <v>0</v>
      </c>
      <c r="AL719" s="309">
        <f>VLOOKUP($AK719,ENTI!$AF$4:AG$1003,2,FALSE)</f>
        <v>0</v>
      </c>
      <c r="AM719" s="224">
        <f>VLOOKUP($AK719,ENTI!$AF$4:AH$1003,3,FALSE)</f>
        <v>0</v>
      </c>
      <c r="AN719" s="224">
        <f>VLOOKUP($AK719,ENTI!$AF$4:AI$1003,4,FALSE)</f>
        <v>0</v>
      </c>
      <c r="AO719" s="781">
        <f>VLOOKUP($AK719,ENTI!$AF$4:AJ$1003,5,FALSE)</f>
        <v>0</v>
      </c>
      <c r="AP719" s="315">
        <f>VLOOKUP($AK719,ENTI!$AF$4:AK$1003,6,FALSE)</f>
        <v>0</v>
      </c>
      <c r="AQ719" s="208">
        <f t="shared" ref="AQ719:AQ782" si="146">IF(AM719=AQ$2,AO719,0)</f>
        <v>0</v>
      </c>
      <c r="AR719" s="152" t="e">
        <f t="shared" ref="AR719:AR782" si="147">IF(AM719=AR$1,AO719,0)</f>
        <v>#N/A</v>
      </c>
      <c r="AS719" s="1"/>
      <c r="AT719" s="88" t="str">
        <f t="shared" si="140"/>
        <v/>
      </c>
      <c r="AU719" s="1"/>
      <c r="AV719" s="175">
        <f>IF(AW719&gt;0,COUNTIF(AV$4:AV718,"&gt;0")+1,0)</f>
        <v>0</v>
      </c>
      <c r="AW719" s="164">
        <f t="shared" si="141"/>
        <v>0</v>
      </c>
      <c r="AX719" s="310">
        <f>IF($AW719=0,0,VLOOKUP(VLOOKUP($X719,$B$34:$T$38,19,FALSE),ENTI!$A$9:$B$13,2,FALSE))</f>
        <v>0</v>
      </c>
      <c r="AY719" s="310">
        <f t="shared" si="143"/>
        <v>0</v>
      </c>
      <c r="AZ719" s="316">
        <f t="shared" si="144"/>
        <v>0</v>
      </c>
      <c r="BA719" s="1"/>
      <c r="BB719" s="152">
        <f t="shared" si="145"/>
        <v>0</v>
      </c>
      <c r="BC719" s="152">
        <f ca="1">SUM(Z$4:Z719)+SUM(BB$4:BB719)+COSTI!S$6-COSTI!L$1076</f>
        <v>-31.760000000000218</v>
      </c>
      <c r="BD719" s="1"/>
    </row>
    <row r="720" spans="1:56" ht="16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435">
        <f>IF(AND(W720&gt;=$U$1,W720&lt;=$U$2),IF(X720='ESTRATTO CONTO'!$E$2,1+COUNTIF(U$4:U719,"&gt;0"),0),0)</f>
        <v>0</v>
      </c>
      <c r="V720" s="417">
        <f t="shared" si="142"/>
        <v>717</v>
      </c>
      <c r="W720" s="509"/>
      <c r="X720" s="321"/>
      <c r="Y720" s="321"/>
      <c r="Z720" s="508"/>
      <c r="AA720" s="356"/>
      <c r="AB720" s="306" t="str">
        <f t="shared" si="138"/>
        <v/>
      </c>
      <c r="AC720" s="637">
        <f t="shared" ca="1" si="137"/>
        <v>-2.1316282072803006E-13</v>
      </c>
      <c r="AD720" s="935">
        <f>IF(ISERROR(VLOOKUP(AD$2,X721:X$1003,1,FALSE)),IF(X720=AD$2,SUMIF(X$4:X720,AD$2,Z$4:Z720)+$E$9+SUM(AQ$4:AQ$1003)+SUMIF(COSTI!$X$1379:$X$1430,AD$2,COSTI!$Z$1379:$Z$1430),0),0)</f>
        <v>0</v>
      </c>
      <c r="AE720" s="26"/>
      <c r="AF720" s="856" t="e">
        <f>IF(ISERROR(VLOOKUP(AG$2,X721:X$1003,1,FALSE)),IF(X720=AG$2,SUMIF(X$4:X720,AG$2,Z$4:Z720)+VLOOKUP(AF$2,$B$1057:$F$1068,5,FALSE)+SUM(AR$4:AR$1003)+SUMIF(COSTI!$X$1379:$X$1430,AG$2,COSTI!$Z$1379:$Z$1430),0),0)</f>
        <v>#N/A</v>
      </c>
      <c r="AG720" s="859"/>
      <c r="AH720" s="27" t="str">
        <f t="shared" si="139"/>
        <v/>
      </c>
      <c r="AI720" s="152">
        <f ca="1">IF(W721&gt;0,0,IF(AH720=0,(Z720*-1)+BC720+SUM(BB$4:BB719),BC720+SUM(BB$4:BB719)))</f>
        <v>-2.1316282072803006E-13</v>
      </c>
      <c r="AJ720" s="931">
        <f>IF(AND(AL720&gt;=$U$1,AL720&lt;=$U$2),IF(AM720='ESTRATTO CONTO'!$E$2,1+COUNTIF(AJ$4:AJ719,"&gt;0")+U$1015,0),0)</f>
        <v>0</v>
      </c>
      <c r="AK720" s="203">
        <f>IF(AND(OR((AK719+1)&lt;AL$1015,(AK719+1)=AL$1015),MAX(AK$4:AK719)&lt;AL$1015),AK719+1,0)</f>
        <v>0</v>
      </c>
      <c r="AL720" s="309">
        <f>VLOOKUP($AK720,ENTI!$AF$4:AG$1003,2,FALSE)</f>
        <v>0</v>
      </c>
      <c r="AM720" s="224">
        <f>VLOOKUP($AK720,ENTI!$AF$4:AH$1003,3,FALSE)</f>
        <v>0</v>
      </c>
      <c r="AN720" s="224">
        <f>VLOOKUP($AK720,ENTI!$AF$4:AI$1003,4,FALSE)</f>
        <v>0</v>
      </c>
      <c r="AO720" s="781">
        <f>VLOOKUP($AK720,ENTI!$AF$4:AJ$1003,5,FALSE)</f>
        <v>0</v>
      </c>
      <c r="AP720" s="315">
        <f>VLOOKUP($AK720,ENTI!$AF$4:AK$1003,6,FALSE)</f>
        <v>0</v>
      </c>
      <c r="AQ720" s="208">
        <f t="shared" si="146"/>
        <v>0</v>
      </c>
      <c r="AR720" s="152" t="e">
        <f t="shared" si="147"/>
        <v>#N/A</v>
      </c>
      <c r="AS720" s="1"/>
      <c r="AT720" s="88" t="str">
        <f t="shared" si="140"/>
        <v/>
      </c>
      <c r="AU720" s="1"/>
      <c r="AV720" s="175">
        <f>IF(AW720&gt;0,COUNTIF(AV$4:AV719,"&gt;0")+1,0)</f>
        <v>0</v>
      </c>
      <c r="AW720" s="164">
        <f t="shared" si="141"/>
        <v>0</v>
      </c>
      <c r="AX720" s="310">
        <f>IF($AW720=0,0,VLOOKUP(VLOOKUP($X720,$B$34:$T$38,19,FALSE),ENTI!$A$9:$B$13,2,FALSE))</f>
        <v>0</v>
      </c>
      <c r="AY720" s="310">
        <f t="shared" si="143"/>
        <v>0</v>
      </c>
      <c r="AZ720" s="316">
        <f t="shared" si="144"/>
        <v>0</v>
      </c>
      <c r="BA720" s="1"/>
      <c r="BB720" s="152">
        <f t="shared" si="145"/>
        <v>0</v>
      </c>
      <c r="BC720" s="152">
        <f ca="1">SUM(Z$4:Z720)+SUM(BB$4:BB720)+COSTI!S$6-COSTI!L$1076</f>
        <v>-31.760000000000218</v>
      </c>
      <c r="BD720" s="1"/>
    </row>
    <row r="721" spans="1:56" ht="16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435">
        <f>IF(AND(W721&gt;=$U$1,W721&lt;=$U$2),IF(X721='ESTRATTO CONTO'!$E$2,1+COUNTIF(U$4:U720,"&gt;0"),0),0)</f>
        <v>0</v>
      </c>
      <c r="V721" s="417">
        <f t="shared" si="142"/>
        <v>718</v>
      </c>
      <c r="W721" s="509"/>
      <c r="X721" s="321"/>
      <c r="Y721" s="321"/>
      <c r="Z721" s="508"/>
      <c r="AA721" s="356"/>
      <c r="AB721" s="306" t="str">
        <f t="shared" si="138"/>
        <v/>
      </c>
      <c r="AC721" s="637">
        <f t="shared" ca="1" si="137"/>
        <v>-2.1316282072803006E-13</v>
      </c>
      <c r="AD721" s="935">
        <f>IF(ISERROR(VLOOKUP(AD$2,X722:X$1003,1,FALSE)),IF(X721=AD$2,SUMIF(X$4:X721,AD$2,Z$4:Z721)+$E$9+SUM(AQ$4:AQ$1003)+SUMIF(COSTI!$X$1379:$X$1430,AD$2,COSTI!$Z$1379:$Z$1430),0),0)</f>
        <v>0</v>
      </c>
      <c r="AE721" s="26"/>
      <c r="AF721" s="856" t="e">
        <f>IF(ISERROR(VLOOKUP(AG$2,X722:X$1003,1,FALSE)),IF(X721=AG$2,SUMIF(X$4:X721,AG$2,Z$4:Z721)+VLOOKUP(AF$2,$B$1057:$F$1068,5,FALSE)+SUM(AR$4:AR$1003)+SUMIF(COSTI!$X$1379:$X$1430,AG$2,COSTI!$Z$1379:$Z$1430),0),0)</f>
        <v>#N/A</v>
      </c>
      <c r="AG721" s="859"/>
      <c r="AH721" s="27" t="str">
        <f t="shared" si="139"/>
        <v/>
      </c>
      <c r="AI721" s="152">
        <f ca="1">IF(W722&gt;0,0,IF(AH721=0,(Z721*-1)+BC721+SUM(BB$4:BB720),BC721+SUM(BB$4:BB720)))</f>
        <v>-2.1316282072803006E-13</v>
      </c>
      <c r="AJ721" s="931">
        <f>IF(AND(AL721&gt;=$U$1,AL721&lt;=$U$2),IF(AM721='ESTRATTO CONTO'!$E$2,1+COUNTIF(AJ$4:AJ720,"&gt;0")+U$1015,0),0)</f>
        <v>0</v>
      </c>
      <c r="AK721" s="203">
        <f>IF(AND(OR((AK720+1)&lt;AL$1015,(AK720+1)=AL$1015),MAX(AK$4:AK720)&lt;AL$1015),AK720+1,0)</f>
        <v>0</v>
      </c>
      <c r="AL721" s="309">
        <f>VLOOKUP($AK721,ENTI!$AF$4:AG$1003,2,FALSE)</f>
        <v>0</v>
      </c>
      <c r="AM721" s="224">
        <f>VLOOKUP($AK721,ENTI!$AF$4:AH$1003,3,FALSE)</f>
        <v>0</v>
      </c>
      <c r="AN721" s="224">
        <f>VLOOKUP($AK721,ENTI!$AF$4:AI$1003,4,FALSE)</f>
        <v>0</v>
      </c>
      <c r="AO721" s="781">
        <f>VLOOKUP($AK721,ENTI!$AF$4:AJ$1003,5,FALSE)</f>
        <v>0</v>
      </c>
      <c r="AP721" s="315">
        <f>VLOOKUP($AK721,ENTI!$AF$4:AK$1003,6,FALSE)</f>
        <v>0</v>
      </c>
      <c r="AQ721" s="208">
        <f t="shared" si="146"/>
        <v>0</v>
      </c>
      <c r="AR721" s="152" t="e">
        <f t="shared" si="147"/>
        <v>#N/A</v>
      </c>
      <c r="AS721" s="1"/>
      <c r="AT721" s="88" t="str">
        <f t="shared" si="140"/>
        <v/>
      </c>
      <c r="AU721" s="1"/>
      <c r="AV721" s="175">
        <f>IF(AW721&gt;0,COUNTIF(AV$4:AV720,"&gt;0")+1,0)</f>
        <v>0</v>
      </c>
      <c r="AW721" s="164">
        <f t="shared" si="141"/>
        <v>0</v>
      </c>
      <c r="AX721" s="310">
        <f>IF($AW721=0,0,VLOOKUP(VLOOKUP($X721,$B$34:$T$38,19,FALSE),ENTI!$A$9:$B$13,2,FALSE))</f>
        <v>0</v>
      </c>
      <c r="AY721" s="310">
        <f t="shared" si="143"/>
        <v>0</v>
      </c>
      <c r="AZ721" s="316">
        <f t="shared" si="144"/>
        <v>0</v>
      </c>
      <c r="BA721" s="1"/>
      <c r="BB721" s="152">
        <f t="shared" si="145"/>
        <v>0</v>
      </c>
      <c r="BC721" s="152">
        <f ca="1">SUM(Z$4:Z721)+SUM(BB$4:BB721)+COSTI!S$6-COSTI!L$1076</f>
        <v>-31.760000000000218</v>
      </c>
      <c r="BD721" s="1"/>
    </row>
    <row r="722" spans="1:56" ht="16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435">
        <f>IF(AND(W722&gt;=$U$1,W722&lt;=$U$2),IF(X722='ESTRATTO CONTO'!$E$2,1+COUNTIF(U$4:U721,"&gt;0"),0),0)</f>
        <v>0</v>
      </c>
      <c r="V722" s="417">
        <f t="shared" si="142"/>
        <v>719</v>
      </c>
      <c r="W722" s="509"/>
      <c r="X722" s="321"/>
      <c r="Y722" s="321"/>
      <c r="Z722" s="508"/>
      <c r="AA722" s="356"/>
      <c r="AB722" s="306" t="str">
        <f t="shared" si="138"/>
        <v/>
      </c>
      <c r="AC722" s="637">
        <f t="shared" ca="1" si="137"/>
        <v>-2.1316282072803006E-13</v>
      </c>
      <c r="AD722" s="935">
        <f>IF(ISERROR(VLOOKUP(AD$2,X723:X$1003,1,FALSE)),IF(X722=AD$2,SUMIF(X$4:X722,AD$2,Z$4:Z722)+$E$9+SUM(AQ$4:AQ$1003)+SUMIF(COSTI!$X$1379:$X$1430,AD$2,COSTI!$Z$1379:$Z$1430),0),0)</f>
        <v>0</v>
      </c>
      <c r="AE722" s="26"/>
      <c r="AF722" s="856" t="e">
        <f>IF(ISERROR(VLOOKUP(AG$2,X723:X$1003,1,FALSE)),IF(X722=AG$2,SUMIF(X$4:X722,AG$2,Z$4:Z722)+VLOOKUP(AF$2,$B$1057:$F$1068,5,FALSE)+SUM(AR$4:AR$1003)+SUMIF(COSTI!$X$1379:$X$1430,AG$2,COSTI!$Z$1379:$Z$1430),0),0)</f>
        <v>#N/A</v>
      </c>
      <c r="AG722" s="859"/>
      <c r="AH722" s="27" t="str">
        <f t="shared" si="139"/>
        <v/>
      </c>
      <c r="AI722" s="152">
        <f ca="1">IF(W723&gt;0,0,IF(AH722=0,(Z722*-1)+BC722+SUM(BB$4:BB721),BC722+SUM(BB$4:BB721)))</f>
        <v>-2.1316282072803006E-13</v>
      </c>
      <c r="AJ722" s="931">
        <f>IF(AND(AL722&gt;=$U$1,AL722&lt;=$U$2),IF(AM722='ESTRATTO CONTO'!$E$2,1+COUNTIF(AJ$4:AJ721,"&gt;0")+U$1015,0),0)</f>
        <v>0</v>
      </c>
      <c r="AK722" s="203">
        <f>IF(AND(OR((AK721+1)&lt;AL$1015,(AK721+1)=AL$1015),MAX(AK$4:AK721)&lt;AL$1015),AK721+1,0)</f>
        <v>0</v>
      </c>
      <c r="AL722" s="309">
        <f>VLOOKUP($AK722,ENTI!$AF$4:AG$1003,2,FALSE)</f>
        <v>0</v>
      </c>
      <c r="AM722" s="224">
        <f>VLOOKUP($AK722,ENTI!$AF$4:AH$1003,3,FALSE)</f>
        <v>0</v>
      </c>
      <c r="AN722" s="224">
        <f>VLOOKUP($AK722,ENTI!$AF$4:AI$1003,4,FALSE)</f>
        <v>0</v>
      </c>
      <c r="AO722" s="781">
        <f>VLOOKUP($AK722,ENTI!$AF$4:AJ$1003,5,FALSE)</f>
        <v>0</v>
      </c>
      <c r="AP722" s="315">
        <f>VLOOKUP($AK722,ENTI!$AF$4:AK$1003,6,FALSE)</f>
        <v>0</v>
      </c>
      <c r="AQ722" s="208">
        <f t="shared" si="146"/>
        <v>0</v>
      </c>
      <c r="AR722" s="152" t="e">
        <f t="shared" si="147"/>
        <v>#N/A</v>
      </c>
      <c r="AS722" s="1"/>
      <c r="AT722" s="88" t="str">
        <f t="shared" si="140"/>
        <v/>
      </c>
      <c r="AU722" s="1"/>
      <c r="AV722" s="175">
        <f>IF(AW722&gt;0,COUNTIF(AV$4:AV721,"&gt;0")+1,0)</f>
        <v>0</v>
      </c>
      <c r="AW722" s="164">
        <f t="shared" si="141"/>
        <v>0</v>
      </c>
      <c r="AX722" s="310">
        <f>IF($AW722=0,0,VLOOKUP(VLOOKUP($X722,$B$34:$T$38,19,FALSE),ENTI!$A$9:$B$13,2,FALSE))</f>
        <v>0</v>
      </c>
      <c r="AY722" s="310">
        <f t="shared" si="143"/>
        <v>0</v>
      </c>
      <c r="AZ722" s="316">
        <f t="shared" si="144"/>
        <v>0</v>
      </c>
      <c r="BA722" s="1"/>
      <c r="BB722" s="152">
        <f t="shared" si="145"/>
        <v>0</v>
      </c>
      <c r="BC722" s="152">
        <f ca="1">SUM(Z$4:Z722)+SUM(BB$4:BB722)+COSTI!S$6-COSTI!L$1076</f>
        <v>-31.760000000000218</v>
      </c>
      <c r="BD722" s="1"/>
    </row>
    <row r="723" spans="1:56" ht="16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435">
        <f>IF(AND(W723&gt;=$U$1,W723&lt;=$U$2),IF(X723='ESTRATTO CONTO'!$E$2,1+COUNTIF(U$4:U722,"&gt;0"),0),0)</f>
        <v>0</v>
      </c>
      <c r="V723" s="417">
        <f t="shared" si="142"/>
        <v>720</v>
      </c>
      <c r="W723" s="509"/>
      <c r="X723" s="321"/>
      <c r="Y723" s="321"/>
      <c r="Z723" s="508"/>
      <c r="AA723" s="356"/>
      <c r="AB723" s="306" t="str">
        <f t="shared" si="138"/>
        <v/>
      </c>
      <c r="AC723" s="637">
        <f t="shared" ca="1" si="137"/>
        <v>-2.1316282072803006E-13</v>
      </c>
      <c r="AD723" s="935">
        <f>IF(ISERROR(VLOOKUP(AD$2,X724:X$1003,1,FALSE)),IF(X723=AD$2,SUMIF(X$4:X723,AD$2,Z$4:Z723)+$E$9+SUM(AQ$4:AQ$1003)+SUMIF(COSTI!$X$1379:$X$1430,AD$2,COSTI!$Z$1379:$Z$1430),0),0)</f>
        <v>0</v>
      </c>
      <c r="AE723" s="26"/>
      <c r="AF723" s="856" t="e">
        <f>IF(ISERROR(VLOOKUP(AG$2,X724:X$1003,1,FALSE)),IF(X723=AG$2,SUMIF(X$4:X723,AG$2,Z$4:Z723)+VLOOKUP(AF$2,$B$1057:$F$1068,5,FALSE)+SUM(AR$4:AR$1003)+SUMIF(COSTI!$X$1379:$X$1430,AG$2,COSTI!$Z$1379:$Z$1430),0),0)</f>
        <v>#N/A</v>
      </c>
      <c r="AG723" s="859"/>
      <c r="AH723" s="27" t="str">
        <f t="shared" si="139"/>
        <v/>
      </c>
      <c r="AI723" s="152">
        <f ca="1">IF(W724&gt;0,0,IF(AH723=0,(Z723*-1)+BC723+SUM(BB$4:BB722),BC723+SUM(BB$4:BB722)))</f>
        <v>-2.1316282072803006E-13</v>
      </c>
      <c r="AJ723" s="931">
        <f>IF(AND(AL723&gt;=$U$1,AL723&lt;=$U$2),IF(AM723='ESTRATTO CONTO'!$E$2,1+COUNTIF(AJ$4:AJ722,"&gt;0")+U$1015,0),0)</f>
        <v>0</v>
      </c>
      <c r="AK723" s="203">
        <f>IF(AND(OR((AK722+1)&lt;AL$1015,(AK722+1)=AL$1015),MAX(AK$4:AK722)&lt;AL$1015),AK722+1,0)</f>
        <v>0</v>
      </c>
      <c r="AL723" s="309">
        <f>VLOOKUP($AK723,ENTI!$AF$4:AG$1003,2,FALSE)</f>
        <v>0</v>
      </c>
      <c r="AM723" s="224">
        <f>VLOOKUP($AK723,ENTI!$AF$4:AH$1003,3,FALSE)</f>
        <v>0</v>
      </c>
      <c r="AN723" s="224">
        <f>VLOOKUP($AK723,ENTI!$AF$4:AI$1003,4,FALSE)</f>
        <v>0</v>
      </c>
      <c r="AO723" s="781">
        <f>VLOOKUP($AK723,ENTI!$AF$4:AJ$1003,5,FALSE)</f>
        <v>0</v>
      </c>
      <c r="AP723" s="315">
        <f>VLOOKUP($AK723,ENTI!$AF$4:AK$1003,6,FALSE)</f>
        <v>0</v>
      </c>
      <c r="AQ723" s="208">
        <f t="shared" si="146"/>
        <v>0</v>
      </c>
      <c r="AR723" s="152" t="e">
        <f t="shared" si="147"/>
        <v>#N/A</v>
      </c>
      <c r="AS723" s="1"/>
      <c r="AT723" s="88" t="str">
        <f t="shared" si="140"/>
        <v/>
      </c>
      <c r="AU723" s="1"/>
      <c r="AV723" s="175">
        <f>IF(AW723&gt;0,COUNTIF(AV$4:AV722,"&gt;0")+1,0)</f>
        <v>0</v>
      </c>
      <c r="AW723" s="164">
        <f t="shared" si="141"/>
        <v>0</v>
      </c>
      <c r="AX723" s="310">
        <f>IF($AW723=0,0,VLOOKUP(VLOOKUP($X723,$B$34:$T$38,19,FALSE),ENTI!$A$9:$B$13,2,FALSE))</f>
        <v>0</v>
      </c>
      <c r="AY723" s="310">
        <f t="shared" si="143"/>
        <v>0</v>
      </c>
      <c r="AZ723" s="316">
        <f t="shared" si="144"/>
        <v>0</v>
      </c>
      <c r="BA723" s="1"/>
      <c r="BB723" s="152">
        <f t="shared" si="145"/>
        <v>0</v>
      </c>
      <c r="BC723" s="152">
        <f ca="1">SUM(Z$4:Z723)+SUM(BB$4:BB723)+COSTI!S$6-COSTI!L$1076</f>
        <v>-31.760000000000218</v>
      </c>
      <c r="BD723" s="1"/>
    </row>
    <row r="724" spans="1:56" ht="16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435">
        <f>IF(AND(W724&gt;=$U$1,W724&lt;=$U$2),IF(X724='ESTRATTO CONTO'!$E$2,1+COUNTIF(U$4:U723,"&gt;0"),0),0)</f>
        <v>0</v>
      </c>
      <c r="V724" s="417">
        <f t="shared" si="142"/>
        <v>721</v>
      </c>
      <c r="W724" s="509"/>
      <c r="X724" s="321"/>
      <c r="Y724" s="321"/>
      <c r="Z724" s="508"/>
      <c r="AA724" s="356"/>
      <c r="AB724" s="306" t="str">
        <f t="shared" si="138"/>
        <v/>
      </c>
      <c r="AC724" s="637">
        <f t="shared" ca="1" si="137"/>
        <v>-2.1316282072803006E-13</v>
      </c>
      <c r="AD724" s="935">
        <f>IF(ISERROR(VLOOKUP(AD$2,X725:X$1003,1,FALSE)),IF(X724=AD$2,SUMIF(X$4:X724,AD$2,Z$4:Z724)+$E$9+SUM(AQ$4:AQ$1003)+SUMIF(COSTI!$X$1379:$X$1430,AD$2,COSTI!$Z$1379:$Z$1430),0),0)</f>
        <v>0</v>
      </c>
      <c r="AE724" s="26"/>
      <c r="AF724" s="856" t="e">
        <f>IF(ISERROR(VLOOKUP(AG$2,X725:X$1003,1,FALSE)),IF(X724=AG$2,SUMIF(X$4:X724,AG$2,Z$4:Z724)+VLOOKUP(AF$2,$B$1057:$F$1068,5,FALSE)+SUM(AR$4:AR$1003)+SUMIF(COSTI!$X$1379:$X$1430,AG$2,COSTI!$Z$1379:$Z$1430),0),0)</f>
        <v>#N/A</v>
      </c>
      <c r="AG724" s="859"/>
      <c r="AH724" s="27" t="str">
        <f t="shared" si="139"/>
        <v/>
      </c>
      <c r="AI724" s="152">
        <f ca="1">IF(W725&gt;0,0,IF(AH724=0,(Z724*-1)+BC724+SUM(BB$4:BB723),BC724+SUM(BB$4:BB723)))</f>
        <v>-2.1316282072803006E-13</v>
      </c>
      <c r="AJ724" s="931">
        <f>IF(AND(AL724&gt;=$U$1,AL724&lt;=$U$2),IF(AM724='ESTRATTO CONTO'!$E$2,1+COUNTIF(AJ$4:AJ723,"&gt;0")+U$1015,0),0)</f>
        <v>0</v>
      </c>
      <c r="AK724" s="203">
        <f>IF(AND(OR((AK723+1)&lt;AL$1015,(AK723+1)=AL$1015),MAX(AK$4:AK723)&lt;AL$1015),AK723+1,0)</f>
        <v>0</v>
      </c>
      <c r="AL724" s="309">
        <f>VLOOKUP($AK724,ENTI!$AF$4:AG$1003,2,FALSE)</f>
        <v>0</v>
      </c>
      <c r="AM724" s="224">
        <f>VLOOKUP($AK724,ENTI!$AF$4:AH$1003,3,FALSE)</f>
        <v>0</v>
      </c>
      <c r="AN724" s="224">
        <f>VLOOKUP($AK724,ENTI!$AF$4:AI$1003,4,FALSE)</f>
        <v>0</v>
      </c>
      <c r="AO724" s="781">
        <f>VLOOKUP($AK724,ENTI!$AF$4:AJ$1003,5,FALSE)</f>
        <v>0</v>
      </c>
      <c r="AP724" s="315">
        <f>VLOOKUP($AK724,ENTI!$AF$4:AK$1003,6,FALSE)</f>
        <v>0</v>
      </c>
      <c r="AQ724" s="208">
        <f t="shared" si="146"/>
        <v>0</v>
      </c>
      <c r="AR724" s="152" t="e">
        <f t="shared" si="147"/>
        <v>#N/A</v>
      </c>
      <c r="AS724" s="1"/>
      <c r="AT724" s="88" t="str">
        <f t="shared" si="140"/>
        <v/>
      </c>
      <c r="AU724" s="1"/>
      <c r="AV724" s="175">
        <f>IF(AW724&gt;0,COUNTIF(AV$4:AV723,"&gt;0")+1,0)</f>
        <v>0</v>
      </c>
      <c r="AW724" s="164">
        <f t="shared" si="141"/>
        <v>0</v>
      </c>
      <c r="AX724" s="310">
        <f>IF($AW724=0,0,VLOOKUP(VLOOKUP($X724,$B$34:$T$38,19,FALSE),ENTI!$A$9:$B$13,2,FALSE))</f>
        <v>0</v>
      </c>
      <c r="AY724" s="310">
        <f t="shared" si="143"/>
        <v>0</v>
      </c>
      <c r="AZ724" s="316">
        <f t="shared" si="144"/>
        <v>0</v>
      </c>
      <c r="BA724" s="1"/>
      <c r="BB724" s="152">
        <f t="shared" si="145"/>
        <v>0</v>
      </c>
      <c r="BC724" s="152">
        <f ca="1">SUM(Z$4:Z724)+SUM(BB$4:BB724)+COSTI!S$6-COSTI!L$1076</f>
        <v>-31.760000000000218</v>
      </c>
      <c r="BD724" s="1"/>
    </row>
    <row r="725" spans="1:56" ht="16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435">
        <f>IF(AND(W725&gt;=$U$1,W725&lt;=$U$2),IF(X725='ESTRATTO CONTO'!$E$2,1+COUNTIF(U$4:U724,"&gt;0"),0),0)</f>
        <v>0</v>
      </c>
      <c r="V725" s="417">
        <f t="shared" si="142"/>
        <v>722</v>
      </c>
      <c r="W725" s="509"/>
      <c r="X725" s="321"/>
      <c r="Y725" s="321"/>
      <c r="Z725" s="508"/>
      <c r="AA725" s="356"/>
      <c r="AB725" s="306" t="str">
        <f t="shared" si="138"/>
        <v/>
      </c>
      <c r="AC725" s="637">
        <f t="shared" ca="1" si="137"/>
        <v>-2.1316282072803006E-13</v>
      </c>
      <c r="AD725" s="935">
        <f>IF(ISERROR(VLOOKUP(AD$2,X726:X$1003,1,FALSE)),IF(X725=AD$2,SUMIF(X$4:X725,AD$2,Z$4:Z725)+$E$9+SUM(AQ$4:AQ$1003)+SUMIF(COSTI!$X$1379:$X$1430,AD$2,COSTI!$Z$1379:$Z$1430),0),0)</f>
        <v>0</v>
      </c>
      <c r="AE725" s="26"/>
      <c r="AF725" s="856" t="e">
        <f>IF(ISERROR(VLOOKUP(AG$2,X726:X$1003,1,FALSE)),IF(X725=AG$2,SUMIF(X$4:X725,AG$2,Z$4:Z725)+VLOOKUP(AF$2,$B$1057:$F$1068,5,FALSE)+SUM(AR$4:AR$1003)+SUMIF(COSTI!$X$1379:$X$1430,AG$2,COSTI!$Z$1379:$Z$1430),0),0)</f>
        <v>#N/A</v>
      </c>
      <c r="AG725" s="859"/>
      <c r="AH725" s="27" t="str">
        <f t="shared" si="139"/>
        <v/>
      </c>
      <c r="AI725" s="152">
        <f ca="1">IF(W726&gt;0,0,IF(AH725=0,(Z725*-1)+BC725+SUM(BB$4:BB724),BC725+SUM(BB$4:BB724)))</f>
        <v>-2.1316282072803006E-13</v>
      </c>
      <c r="AJ725" s="931">
        <f>IF(AND(AL725&gt;=$U$1,AL725&lt;=$U$2),IF(AM725='ESTRATTO CONTO'!$E$2,1+COUNTIF(AJ$4:AJ724,"&gt;0")+U$1015,0),0)</f>
        <v>0</v>
      </c>
      <c r="AK725" s="203">
        <f>IF(AND(OR((AK724+1)&lt;AL$1015,(AK724+1)=AL$1015),MAX(AK$4:AK724)&lt;AL$1015),AK724+1,0)</f>
        <v>0</v>
      </c>
      <c r="AL725" s="309">
        <f>VLOOKUP($AK725,ENTI!$AF$4:AG$1003,2,FALSE)</f>
        <v>0</v>
      </c>
      <c r="AM725" s="224">
        <f>VLOOKUP($AK725,ENTI!$AF$4:AH$1003,3,FALSE)</f>
        <v>0</v>
      </c>
      <c r="AN725" s="224">
        <f>VLOOKUP($AK725,ENTI!$AF$4:AI$1003,4,FALSE)</f>
        <v>0</v>
      </c>
      <c r="AO725" s="781">
        <f>VLOOKUP($AK725,ENTI!$AF$4:AJ$1003,5,FALSE)</f>
        <v>0</v>
      </c>
      <c r="AP725" s="315">
        <f>VLOOKUP($AK725,ENTI!$AF$4:AK$1003,6,FALSE)</f>
        <v>0</v>
      </c>
      <c r="AQ725" s="208">
        <f t="shared" si="146"/>
        <v>0</v>
      </c>
      <c r="AR725" s="152" t="e">
        <f t="shared" si="147"/>
        <v>#N/A</v>
      </c>
      <c r="AS725" s="1"/>
      <c r="AT725" s="88" t="str">
        <f t="shared" si="140"/>
        <v/>
      </c>
      <c r="AU725" s="1"/>
      <c r="AV725" s="175">
        <f>IF(AW725&gt;0,COUNTIF(AV$4:AV724,"&gt;0")+1,0)</f>
        <v>0</v>
      </c>
      <c r="AW725" s="164">
        <f t="shared" si="141"/>
        <v>0</v>
      </c>
      <c r="AX725" s="310">
        <f>IF($AW725=0,0,VLOOKUP(VLOOKUP($X725,$B$34:$T$38,19,FALSE),ENTI!$A$9:$B$13,2,FALSE))</f>
        <v>0</v>
      </c>
      <c r="AY725" s="310">
        <f t="shared" si="143"/>
        <v>0</v>
      </c>
      <c r="AZ725" s="316">
        <f t="shared" si="144"/>
        <v>0</v>
      </c>
      <c r="BA725" s="1"/>
      <c r="BB725" s="152">
        <f t="shared" si="145"/>
        <v>0</v>
      </c>
      <c r="BC725" s="152">
        <f ca="1">SUM(Z$4:Z725)+SUM(BB$4:BB725)+COSTI!S$6-COSTI!L$1076</f>
        <v>-31.760000000000218</v>
      </c>
      <c r="BD725" s="1"/>
    </row>
    <row r="726" spans="1:56" ht="16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435">
        <f>IF(AND(W726&gt;=$U$1,W726&lt;=$U$2),IF(X726='ESTRATTO CONTO'!$E$2,1+COUNTIF(U$4:U725,"&gt;0"),0),0)</f>
        <v>0</v>
      </c>
      <c r="V726" s="417">
        <f t="shared" si="142"/>
        <v>723</v>
      </c>
      <c r="W726" s="509"/>
      <c r="X726" s="321"/>
      <c r="Y726" s="321"/>
      <c r="Z726" s="508"/>
      <c r="AA726" s="356"/>
      <c r="AB726" s="306" t="str">
        <f t="shared" si="138"/>
        <v/>
      </c>
      <c r="AC726" s="637">
        <f t="shared" ca="1" si="137"/>
        <v>-2.1316282072803006E-13</v>
      </c>
      <c r="AD726" s="935">
        <f>IF(ISERROR(VLOOKUP(AD$2,X727:X$1003,1,FALSE)),IF(X726=AD$2,SUMIF(X$4:X726,AD$2,Z$4:Z726)+$E$9+SUM(AQ$4:AQ$1003)+SUMIF(COSTI!$X$1379:$X$1430,AD$2,COSTI!$Z$1379:$Z$1430),0),0)</f>
        <v>0</v>
      </c>
      <c r="AE726" s="26"/>
      <c r="AF726" s="856" t="e">
        <f>IF(ISERROR(VLOOKUP(AG$2,X727:X$1003,1,FALSE)),IF(X726=AG$2,SUMIF(X$4:X726,AG$2,Z$4:Z726)+VLOOKUP(AF$2,$B$1057:$F$1068,5,FALSE)+SUM(AR$4:AR$1003)+SUMIF(COSTI!$X$1379:$X$1430,AG$2,COSTI!$Z$1379:$Z$1430),0),0)</f>
        <v>#N/A</v>
      </c>
      <c r="AG726" s="859"/>
      <c r="AH726" s="27" t="str">
        <f t="shared" si="139"/>
        <v/>
      </c>
      <c r="AI726" s="152">
        <f ca="1">IF(W727&gt;0,0,IF(AH726=0,(Z726*-1)+BC726+SUM(BB$4:BB725),BC726+SUM(BB$4:BB725)))</f>
        <v>-2.1316282072803006E-13</v>
      </c>
      <c r="AJ726" s="931">
        <f>IF(AND(AL726&gt;=$U$1,AL726&lt;=$U$2),IF(AM726='ESTRATTO CONTO'!$E$2,1+COUNTIF(AJ$4:AJ725,"&gt;0")+U$1015,0),0)</f>
        <v>0</v>
      </c>
      <c r="AK726" s="203">
        <f>IF(AND(OR((AK725+1)&lt;AL$1015,(AK725+1)=AL$1015),MAX(AK$4:AK725)&lt;AL$1015),AK725+1,0)</f>
        <v>0</v>
      </c>
      <c r="AL726" s="309">
        <f>VLOOKUP($AK726,ENTI!$AF$4:AG$1003,2,FALSE)</f>
        <v>0</v>
      </c>
      <c r="AM726" s="224">
        <f>VLOOKUP($AK726,ENTI!$AF$4:AH$1003,3,FALSE)</f>
        <v>0</v>
      </c>
      <c r="AN726" s="224">
        <f>VLOOKUP($AK726,ENTI!$AF$4:AI$1003,4,FALSE)</f>
        <v>0</v>
      </c>
      <c r="AO726" s="781">
        <f>VLOOKUP($AK726,ENTI!$AF$4:AJ$1003,5,FALSE)</f>
        <v>0</v>
      </c>
      <c r="AP726" s="315">
        <f>VLOOKUP($AK726,ENTI!$AF$4:AK$1003,6,FALSE)</f>
        <v>0</v>
      </c>
      <c r="AQ726" s="208">
        <f t="shared" si="146"/>
        <v>0</v>
      </c>
      <c r="AR726" s="152" t="e">
        <f t="shared" si="147"/>
        <v>#N/A</v>
      </c>
      <c r="AS726" s="1"/>
      <c r="AT726" s="88" t="str">
        <f t="shared" si="140"/>
        <v/>
      </c>
      <c r="AU726" s="1"/>
      <c r="AV726" s="175">
        <f>IF(AW726&gt;0,COUNTIF(AV$4:AV725,"&gt;0")+1,0)</f>
        <v>0</v>
      </c>
      <c r="AW726" s="164">
        <f t="shared" si="141"/>
        <v>0</v>
      </c>
      <c r="AX726" s="310">
        <f>IF($AW726=0,0,VLOOKUP(VLOOKUP($X726,$B$34:$T$38,19,FALSE),ENTI!$A$9:$B$13,2,FALSE))</f>
        <v>0</v>
      </c>
      <c r="AY726" s="310">
        <f t="shared" si="143"/>
        <v>0</v>
      </c>
      <c r="AZ726" s="316">
        <f t="shared" si="144"/>
        <v>0</v>
      </c>
      <c r="BA726" s="1"/>
      <c r="BB726" s="152">
        <f t="shared" si="145"/>
        <v>0</v>
      </c>
      <c r="BC726" s="152">
        <f ca="1">SUM(Z$4:Z726)+SUM(BB$4:BB726)+COSTI!S$6-COSTI!L$1076</f>
        <v>-31.760000000000218</v>
      </c>
      <c r="BD726" s="1"/>
    </row>
    <row r="727" spans="1:56" ht="16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435">
        <f>IF(AND(W727&gt;=$U$1,W727&lt;=$U$2),IF(X727='ESTRATTO CONTO'!$E$2,1+COUNTIF(U$4:U726,"&gt;0"),0),0)</f>
        <v>0</v>
      </c>
      <c r="V727" s="417">
        <f t="shared" si="142"/>
        <v>724</v>
      </c>
      <c r="W727" s="509"/>
      <c r="X727" s="321"/>
      <c r="Y727" s="321"/>
      <c r="Z727" s="508"/>
      <c r="AA727" s="356"/>
      <c r="AB727" s="306" t="str">
        <f t="shared" si="138"/>
        <v/>
      </c>
      <c r="AC727" s="637">
        <f t="shared" ca="1" si="137"/>
        <v>-2.1316282072803006E-13</v>
      </c>
      <c r="AD727" s="935">
        <f>IF(ISERROR(VLOOKUP(AD$2,X728:X$1003,1,FALSE)),IF(X727=AD$2,SUMIF(X$4:X727,AD$2,Z$4:Z727)+$E$9+SUM(AQ$4:AQ$1003)+SUMIF(COSTI!$X$1379:$X$1430,AD$2,COSTI!$Z$1379:$Z$1430),0),0)</f>
        <v>0</v>
      </c>
      <c r="AE727" s="26"/>
      <c r="AF727" s="856" t="e">
        <f>IF(ISERROR(VLOOKUP(AG$2,X728:X$1003,1,FALSE)),IF(X727=AG$2,SUMIF(X$4:X727,AG$2,Z$4:Z727)+VLOOKUP(AF$2,$B$1057:$F$1068,5,FALSE)+SUM(AR$4:AR$1003)+SUMIF(COSTI!$X$1379:$X$1430,AG$2,COSTI!$Z$1379:$Z$1430),0),0)</f>
        <v>#N/A</v>
      </c>
      <c r="AG727" s="859"/>
      <c r="AH727" s="27" t="str">
        <f t="shared" si="139"/>
        <v/>
      </c>
      <c r="AI727" s="152">
        <f ca="1">IF(W728&gt;0,0,IF(AH727=0,(Z727*-1)+BC727+SUM(BB$4:BB726),BC727+SUM(BB$4:BB726)))</f>
        <v>-2.1316282072803006E-13</v>
      </c>
      <c r="AJ727" s="931">
        <f>IF(AND(AL727&gt;=$U$1,AL727&lt;=$U$2),IF(AM727='ESTRATTO CONTO'!$E$2,1+COUNTIF(AJ$4:AJ726,"&gt;0")+U$1015,0),0)</f>
        <v>0</v>
      </c>
      <c r="AK727" s="203">
        <f>IF(AND(OR((AK726+1)&lt;AL$1015,(AK726+1)=AL$1015),MAX(AK$4:AK726)&lt;AL$1015),AK726+1,0)</f>
        <v>0</v>
      </c>
      <c r="AL727" s="309">
        <f>VLOOKUP($AK727,ENTI!$AF$4:AG$1003,2,FALSE)</f>
        <v>0</v>
      </c>
      <c r="AM727" s="224">
        <f>VLOOKUP($AK727,ENTI!$AF$4:AH$1003,3,FALSE)</f>
        <v>0</v>
      </c>
      <c r="AN727" s="224">
        <f>VLOOKUP($AK727,ENTI!$AF$4:AI$1003,4,FALSE)</f>
        <v>0</v>
      </c>
      <c r="AO727" s="781">
        <f>VLOOKUP($AK727,ENTI!$AF$4:AJ$1003,5,FALSE)</f>
        <v>0</v>
      </c>
      <c r="AP727" s="315">
        <f>VLOOKUP($AK727,ENTI!$AF$4:AK$1003,6,FALSE)</f>
        <v>0</v>
      </c>
      <c r="AQ727" s="208">
        <f t="shared" si="146"/>
        <v>0</v>
      </c>
      <c r="AR727" s="152" t="e">
        <f t="shared" si="147"/>
        <v>#N/A</v>
      </c>
      <c r="AS727" s="1"/>
      <c r="AT727" s="88" t="str">
        <f t="shared" si="140"/>
        <v/>
      </c>
      <c r="AU727" s="1"/>
      <c r="AV727" s="175">
        <f>IF(AW727&gt;0,COUNTIF(AV$4:AV726,"&gt;0")+1,0)</f>
        <v>0</v>
      </c>
      <c r="AW727" s="164">
        <f t="shared" si="141"/>
        <v>0</v>
      </c>
      <c r="AX727" s="310">
        <f>IF($AW727=0,0,VLOOKUP(VLOOKUP($X727,$B$34:$T$38,19,FALSE),ENTI!$A$9:$B$13,2,FALSE))</f>
        <v>0</v>
      </c>
      <c r="AY727" s="310">
        <f t="shared" si="143"/>
        <v>0</v>
      </c>
      <c r="AZ727" s="316">
        <f t="shared" si="144"/>
        <v>0</v>
      </c>
      <c r="BA727" s="1"/>
      <c r="BB727" s="152">
        <f t="shared" si="145"/>
        <v>0</v>
      </c>
      <c r="BC727" s="152">
        <f ca="1">SUM(Z$4:Z727)+SUM(BB$4:BB727)+COSTI!S$6-COSTI!L$1076</f>
        <v>-31.760000000000218</v>
      </c>
      <c r="BD727" s="1"/>
    </row>
    <row r="728" spans="1:56" ht="16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435">
        <f>IF(AND(W728&gt;=$U$1,W728&lt;=$U$2),IF(X728='ESTRATTO CONTO'!$E$2,1+COUNTIF(U$4:U727,"&gt;0"),0),0)</f>
        <v>0</v>
      </c>
      <c r="V728" s="417">
        <f t="shared" si="142"/>
        <v>725</v>
      </c>
      <c r="W728" s="509"/>
      <c r="X728" s="321"/>
      <c r="Y728" s="321"/>
      <c r="Z728" s="508"/>
      <c r="AA728" s="356"/>
      <c r="AB728" s="306" t="str">
        <f t="shared" si="138"/>
        <v/>
      </c>
      <c r="AC728" s="637">
        <f t="shared" ca="1" si="137"/>
        <v>-2.1316282072803006E-13</v>
      </c>
      <c r="AD728" s="935">
        <f>IF(ISERROR(VLOOKUP(AD$2,X729:X$1003,1,FALSE)),IF(X728=AD$2,SUMIF(X$4:X728,AD$2,Z$4:Z728)+$E$9+SUM(AQ$4:AQ$1003)+SUMIF(COSTI!$X$1379:$X$1430,AD$2,COSTI!$Z$1379:$Z$1430),0),0)</f>
        <v>0</v>
      </c>
      <c r="AE728" s="26"/>
      <c r="AF728" s="856" t="e">
        <f>IF(ISERROR(VLOOKUP(AG$2,X729:X$1003,1,FALSE)),IF(X728=AG$2,SUMIF(X$4:X728,AG$2,Z$4:Z728)+VLOOKUP(AF$2,$B$1057:$F$1068,5,FALSE)+SUM(AR$4:AR$1003)+SUMIF(COSTI!$X$1379:$X$1430,AG$2,COSTI!$Z$1379:$Z$1430),0),0)</f>
        <v>#N/A</v>
      </c>
      <c r="AG728" s="859"/>
      <c r="AH728" s="27" t="str">
        <f t="shared" si="139"/>
        <v/>
      </c>
      <c r="AI728" s="152">
        <f ca="1">IF(W729&gt;0,0,IF(AH728=0,(Z728*-1)+BC728+SUM(BB$4:BB727),BC728+SUM(BB$4:BB727)))</f>
        <v>-2.1316282072803006E-13</v>
      </c>
      <c r="AJ728" s="931">
        <f>IF(AND(AL728&gt;=$U$1,AL728&lt;=$U$2),IF(AM728='ESTRATTO CONTO'!$E$2,1+COUNTIF(AJ$4:AJ727,"&gt;0")+U$1015,0),0)</f>
        <v>0</v>
      </c>
      <c r="AK728" s="203">
        <f>IF(AND(OR((AK727+1)&lt;AL$1015,(AK727+1)=AL$1015),MAX(AK$4:AK727)&lt;AL$1015),AK727+1,0)</f>
        <v>0</v>
      </c>
      <c r="AL728" s="309">
        <f>VLOOKUP($AK728,ENTI!$AF$4:AG$1003,2,FALSE)</f>
        <v>0</v>
      </c>
      <c r="AM728" s="224">
        <f>VLOOKUP($AK728,ENTI!$AF$4:AH$1003,3,FALSE)</f>
        <v>0</v>
      </c>
      <c r="AN728" s="224">
        <f>VLOOKUP($AK728,ENTI!$AF$4:AI$1003,4,FALSE)</f>
        <v>0</v>
      </c>
      <c r="AO728" s="781">
        <f>VLOOKUP($AK728,ENTI!$AF$4:AJ$1003,5,FALSE)</f>
        <v>0</v>
      </c>
      <c r="AP728" s="315">
        <f>VLOOKUP($AK728,ENTI!$AF$4:AK$1003,6,FALSE)</f>
        <v>0</v>
      </c>
      <c r="AQ728" s="208">
        <f t="shared" si="146"/>
        <v>0</v>
      </c>
      <c r="AR728" s="152" t="e">
        <f t="shared" si="147"/>
        <v>#N/A</v>
      </c>
      <c r="AS728" s="1"/>
      <c r="AT728" s="88" t="str">
        <f t="shared" si="140"/>
        <v/>
      </c>
      <c r="AU728" s="1"/>
      <c r="AV728" s="175">
        <f>IF(AW728&gt;0,COUNTIF(AV$4:AV727,"&gt;0")+1,0)</f>
        <v>0</v>
      </c>
      <c r="AW728" s="164">
        <f t="shared" si="141"/>
        <v>0</v>
      </c>
      <c r="AX728" s="310">
        <f>IF($AW728=0,0,VLOOKUP(VLOOKUP($X728,$B$34:$T$38,19,FALSE),ENTI!$A$9:$B$13,2,FALSE))</f>
        <v>0</v>
      </c>
      <c r="AY728" s="310">
        <f t="shared" si="143"/>
        <v>0</v>
      </c>
      <c r="AZ728" s="316">
        <f t="shared" si="144"/>
        <v>0</v>
      </c>
      <c r="BA728" s="1"/>
      <c r="BB728" s="152">
        <f t="shared" si="145"/>
        <v>0</v>
      </c>
      <c r="BC728" s="152">
        <f ca="1">SUM(Z$4:Z728)+SUM(BB$4:BB728)+COSTI!S$6-COSTI!L$1076</f>
        <v>-31.760000000000218</v>
      </c>
      <c r="BD728" s="1"/>
    </row>
    <row r="729" spans="1:56" ht="16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435">
        <f>IF(AND(W729&gt;=$U$1,W729&lt;=$U$2),IF(X729='ESTRATTO CONTO'!$E$2,1+COUNTIF(U$4:U728,"&gt;0"),0),0)</f>
        <v>0</v>
      </c>
      <c r="V729" s="417">
        <f t="shared" si="142"/>
        <v>726</v>
      </c>
      <c r="W729" s="509"/>
      <c r="X729" s="321"/>
      <c r="Y729" s="321"/>
      <c r="Z729" s="508"/>
      <c r="AA729" s="356"/>
      <c r="AB729" s="306" t="str">
        <f t="shared" si="138"/>
        <v/>
      </c>
      <c r="AC729" s="637">
        <f t="shared" ca="1" si="137"/>
        <v>-2.1316282072803006E-13</v>
      </c>
      <c r="AD729" s="935">
        <f>IF(ISERROR(VLOOKUP(AD$2,X730:X$1003,1,FALSE)),IF(X729=AD$2,SUMIF(X$4:X729,AD$2,Z$4:Z729)+$E$9+SUM(AQ$4:AQ$1003)+SUMIF(COSTI!$X$1379:$X$1430,AD$2,COSTI!$Z$1379:$Z$1430),0),0)</f>
        <v>0</v>
      </c>
      <c r="AE729" s="26"/>
      <c r="AF729" s="856" t="e">
        <f>IF(ISERROR(VLOOKUP(AG$2,X730:X$1003,1,FALSE)),IF(X729=AG$2,SUMIF(X$4:X729,AG$2,Z$4:Z729)+VLOOKUP(AF$2,$B$1057:$F$1068,5,FALSE)+SUM(AR$4:AR$1003)+SUMIF(COSTI!$X$1379:$X$1430,AG$2,COSTI!$Z$1379:$Z$1430),0),0)</f>
        <v>#N/A</v>
      </c>
      <c r="AG729" s="859"/>
      <c r="AH729" s="27" t="str">
        <f t="shared" si="139"/>
        <v/>
      </c>
      <c r="AI729" s="152">
        <f ca="1">IF(W730&gt;0,0,IF(AH729=0,(Z729*-1)+BC729+SUM(BB$4:BB728),BC729+SUM(BB$4:BB728)))</f>
        <v>-2.1316282072803006E-13</v>
      </c>
      <c r="AJ729" s="931">
        <f>IF(AND(AL729&gt;=$U$1,AL729&lt;=$U$2),IF(AM729='ESTRATTO CONTO'!$E$2,1+COUNTIF(AJ$4:AJ728,"&gt;0")+U$1015,0),0)</f>
        <v>0</v>
      </c>
      <c r="AK729" s="203">
        <f>IF(AND(OR((AK728+1)&lt;AL$1015,(AK728+1)=AL$1015),MAX(AK$4:AK728)&lt;AL$1015),AK728+1,0)</f>
        <v>0</v>
      </c>
      <c r="AL729" s="309">
        <f>VLOOKUP($AK729,ENTI!$AF$4:AG$1003,2,FALSE)</f>
        <v>0</v>
      </c>
      <c r="AM729" s="224">
        <f>VLOOKUP($AK729,ENTI!$AF$4:AH$1003,3,FALSE)</f>
        <v>0</v>
      </c>
      <c r="AN729" s="224">
        <f>VLOOKUP($AK729,ENTI!$AF$4:AI$1003,4,FALSE)</f>
        <v>0</v>
      </c>
      <c r="AO729" s="781">
        <f>VLOOKUP($AK729,ENTI!$AF$4:AJ$1003,5,FALSE)</f>
        <v>0</v>
      </c>
      <c r="AP729" s="315">
        <f>VLOOKUP($AK729,ENTI!$AF$4:AK$1003,6,FALSE)</f>
        <v>0</v>
      </c>
      <c r="AQ729" s="208">
        <f t="shared" si="146"/>
        <v>0</v>
      </c>
      <c r="AR729" s="152" t="e">
        <f t="shared" si="147"/>
        <v>#N/A</v>
      </c>
      <c r="AS729" s="1"/>
      <c r="AT729" s="88" t="str">
        <f t="shared" si="140"/>
        <v/>
      </c>
      <c r="AU729" s="1"/>
      <c r="AV729" s="175">
        <f>IF(AW729&gt;0,COUNTIF(AV$4:AV728,"&gt;0")+1,0)</f>
        <v>0</v>
      </c>
      <c r="AW729" s="164">
        <f t="shared" si="141"/>
        <v>0</v>
      </c>
      <c r="AX729" s="310">
        <f>IF($AW729=0,0,VLOOKUP(VLOOKUP($X729,$B$34:$T$38,19,FALSE),ENTI!$A$9:$B$13,2,FALSE))</f>
        <v>0</v>
      </c>
      <c r="AY729" s="310">
        <f t="shared" si="143"/>
        <v>0</v>
      </c>
      <c r="AZ729" s="316">
        <f t="shared" si="144"/>
        <v>0</v>
      </c>
      <c r="BA729" s="1"/>
      <c r="BB729" s="152">
        <f t="shared" si="145"/>
        <v>0</v>
      </c>
      <c r="BC729" s="152">
        <f ca="1">SUM(Z$4:Z729)+SUM(BB$4:BB729)+COSTI!S$6-COSTI!L$1076</f>
        <v>-31.760000000000218</v>
      </c>
      <c r="BD729" s="1"/>
    </row>
    <row r="730" spans="1:56" ht="16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435">
        <f>IF(AND(W730&gt;=$U$1,W730&lt;=$U$2),IF(X730='ESTRATTO CONTO'!$E$2,1+COUNTIF(U$4:U729,"&gt;0"),0),0)</f>
        <v>0</v>
      </c>
      <c r="V730" s="417">
        <f t="shared" si="142"/>
        <v>727</v>
      </c>
      <c r="W730" s="509"/>
      <c r="X730" s="321"/>
      <c r="Y730" s="321"/>
      <c r="Z730" s="508"/>
      <c r="AA730" s="356"/>
      <c r="AB730" s="306" t="str">
        <f t="shared" si="138"/>
        <v/>
      </c>
      <c r="AC730" s="637">
        <f t="shared" ca="1" si="137"/>
        <v>-2.1316282072803006E-13</v>
      </c>
      <c r="AD730" s="935">
        <f>IF(ISERROR(VLOOKUP(AD$2,X731:X$1003,1,FALSE)),IF(X730=AD$2,SUMIF(X$4:X730,AD$2,Z$4:Z730)+$E$9+SUM(AQ$4:AQ$1003)+SUMIF(COSTI!$X$1379:$X$1430,AD$2,COSTI!$Z$1379:$Z$1430),0),0)</f>
        <v>0</v>
      </c>
      <c r="AE730" s="26"/>
      <c r="AF730" s="856" t="e">
        <f>IF(ISERROR(VLOOKUP(AG$2,X731:X$1003,1,FALSE)),IF(X730=AG$2,SUMIF(X$4:X730,AG$2,Z$4:Z730)+VLOOKUP(AF$2,$B$1057:$F$1068,5,FALSE)+SUM(AR$4:AR$1003)+SUMIF(COSTI!$X$1379:$X$1430,AG$2,COSTI!$Z$1379:$Z$1430),0),0)</f>
        <v>#N/A</v>
      </c>
      <c r="AG730" s="859"/>
      <c r="AH730" s="27" t="str">
        <f t="shared" si="139"/>
        <v/>
      </c>
      <c r="AI730" s="152">
        <f ca="1">IF(W731&gt;0,0,IF(AH730=0,(Z730*-1)+BC730+SUM(BB$4:BB729),BC730+SUM(BB$4:BB729)))</f>
        <v>-2.1316282072803006E-13</v>
      </c>
      <c r="AJ730" s="931">
        <f>IF(AND(AL730&gt;=$U$1,AL730&lt;=$U$2),IF(AM730='ESTRATTO CONTO'!$E$2,1+COUNTIF(AJ$4:AJ729,"&gt;0")+U$1015,0),0)</f>
        <v>0</v>
      </c>
      <c r="AK730" s="203">
        <f>IF(AND(OR((AK729+1)&lt;AL$1015,(AK729+1)=AL$1015),MAX(AK$4:AK729)&lt;AL$1015),AK729+1,0)</f>
        <v>0</v>
      </c>
      <c r="AL730" s="309">
        <f>VLOOKUP($AK730,ENTI!$AF$4:AG$1003,2,FALSE)</f>
        <v>0</v>
      </c>
      <c r="AM730" s="224">
        <f>VLOOKUP($AK730,ENTI!$AF$4:AH$1003,3,FALSE)</f>
        <v>0</v>
      </c>
      <c r="AN730" s="224">
        <f>VLOOKUP($AK730,ENTI!$AF$4:AI$1003,4,FALSE)</f>
        <v>0</v>
      </c>
      <c r="AO730" s="781">
        <f>VLOOKUP($AK730,ENTI!$AF$4:AJ$1003,5,FALSE)</f>
        <v>0</v>
      </c>
      <c r="AP730" s="315">
        <f>VLOOKUP($AK730,ENTI!$AF$4:AK$1003,6,FALSE)</f>
        <v>0</v>
      </c>
      <c r="AQ730" s="208">
        <f t="shared" si="146"/>
        <v>0</v>
      </c>
      <c r="AR730" s="152" t="e">
        <f t="shared" si="147"/>
        <v>#N/A</v>
      </c>
      <c r="AS730" s="1"/>
      <c r="AT730" s="88" t="str">
        <f t="shared" si="140"/>
        <v/>
      </c>
      <c r="AU730" s="1"/>
      <c r="AV730" s="175">
        <f>IF(AW730&gt;0,COUNTIF(AV$4:AV729,"&gt;0")+1,0)</f>
        <v>0</v>
      </c>
      <c r="AW730" s="164">
        <f t="shared" si="141"/>
        <v>0</v>
      </c>
      <c r="AX730" s="310">
        <f>IF($AW730=0,0,VLOOKUP(VLOOKUP($X730,$B$34:$T$38,19,FALSE),ENTI!$A$9:$B$13,2,FALSE))</f>
        <v>0</v>
      </c>
      <c r="AY730" s="310">
        <f t="shared" si="143"/>
        <v>0</v>
      </c>
      <c r="AZ730" s="316">
        <f t="shared" si="144"/>
        <v>0</v>
      </c>
      <c r="BA730" s="1"/>
      <c r="BB730" s="152">
        <f t="shared" si="145"/>
        <v>0</v>
      </c>
      <c r="BC730" s="152">
        <f ca="1">SUM(Z$4:Z730)+SUM(BB$4:BB730)+COSTI!S$6-COSTI!L$1076</f>
        <v>-31.760000000000218</v>
      </c>
      <c r="BD730" s="1"/>
    </row>
    <row r="731" spans="1:56" ht="16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435">
        <f>IF(AND(W731&gt;=$U$1,W731&lt;=$U$2),IF(X731='ESTRATTO CONTO'!$E$2,1+COUNTIF(U$4:U730,"&gt;0"),0),0)</f>
        <v>0</v>
      </c>
      <c r="V731" s="417">
        <f t="shared" si="142"/>
        <v>728</v>
      </c>
      <c r="W731" s="509"/>
      <c r="X731" s="321"/>
      <c r="Y731" s="321"/>
      <c r="Z731" s="508"/>
      <c r="AA731" s="356"/>
      <c r="AB731" s="306" t="str">
        <f t="shared" si="138"/>
        <v/>
      </c>
      <c r="AC731" s="637">
        <f t="shared" ca="1" si="137"/>
        <v>-2.1316282072803006E-13</v>
      </c>
      <c r="AD731" s="935">
        <f>IF(ISERROR(VLOOKUP(AD$2,X732:X$1003,1,FALSE)),IF(X731=AD$2,SUMIF(X$4:X731,AD$2,Z$4:Z731)+$E$9+SUM(AQ$4:AQ$1003)+SUMIF(COSTI!$X$1379:$X$1430,AD$2,COSTI!$Z$1379:$Z$1430),0),0)</f>
        <v>0</v>
      </c>
      <c r="AE731" s="26"/>
      <c r="AF731" s="856" t="e">
        <f>IF(ISERROR(VLOOKUP(AG$2,X732:X$1003,1,FALSE)),IF(X731=AG$2,SUMIF(X$4:X731,AG$2,Z$4:Z731)+VLOOKUP(AF$2,$B$1057:$F$1068,5,FALSE)+SUM(AR$4:AR$1003)+SUMIF(COSTI!$X$1379:$X$1430,AG$2,COSTI!$Z$1379:$Z$1430),0),0)</f>
        <v>#N/A</v>
      </c>
      <c r="AG731" s="859"/>
      <c r="AH731" s="27" t="str">
        <f t="shared" si="139"/>
        <v/>
      </c>
      <c r="AI731" s="152">
        <f ca="1">IF(W732&gt;0,0,IF(AH731=0,(Z731*-1)+BC731+SUM(BB$4:BB730),BC731+SUM(BB$4:BB730)))</f>
        <v>-2.1316282072803006E-13</v>
      </c>
      <c r="AJ731" s="931">
        <f>IF(AND(AL731&gt;=$U$1,AL731&lt;=$U$2),IF(AM731='ESTRATTO CONTO'!$E$2,1+COUNTIF(AJ$4:AJ730,"&gt;0")+U$1015,0),0)</f>
        <v>0</v>
      </c>
      <c r="AK731" s="203">
        <f>IF(AND(OR((AK730+1)&lt;AL$1015,(AK730+1)=AL$1015),MAX(AK$4:AK730)&lt;AL$1015),AK730+1,0)</f>
        <v>0</v>
      </c>
      <c r="AL731" s="309">
        <f>VLOOKUP($AK731,ENTI!$AF$4:AG$1003,2,FALSE)</f>
        <v>0</v>
      </c>
      <c r="AM731" s="224">
        <f>VLOOKUP($AK731,ENTI!$AF$4:AH$1003,3,FALSE)</f>
        <v>0</v>
      </c>
      <c r="AN731" s="224">
        <f>VLOOKUP($AK731,ENTI!$AF$4:AI$1003,4,FALSE)</f>
        <v>0</v>
      </c>
      <c r="AO731" s="781">
        <f>VLOOKUP($AK731,ENTI!$AF$4:AJ$1003,5,FALSE)</f>
        <v>0</v>
      </c>
      <c r="AP731" s="315">
        <f>VLOOKUP($AK731,ENTI!$AF$4:AK$1003,6,FALSE)</f>
        <v>0</v>
      </c>
      <c r="AQ731" s="208">
        <f t="shared" si="146"/>
        <v>0</v>
      </c>
      <c r="AR731" s="152" t="e">
        <f t="shared" si="147"/>
        <v>#N/A</v>
      </c>
      <c r="AS731" s="1"/>
      <c r="AT731" s="88" t="str">
        <f t="shared" si="140"/>
        <v/>
      </c>
      <c r="AU731" s="1"/>
      <c r="AV731" s="175">
        <f>IF(AW731&gt;0,COUNTIF(AV$4:AV730,"&gt;0")+1,0)</f>
        <v>0</v>
      </c>
      <c r="AW731" s="164">
        <f t="shared" si="141"/>
        <v>0</v>
      </c>
      <c r="AX731" s="310">
        <f>IF($AW731=0,0,VLOOKUP(VLOOKUP($X731,$B$34:$T$38,19,FALSE),ENTI!$A$9:$B$13,2,FALSE))</f>
        <v>0</v>
      </c>
      <c r="AY731" s="310">
        <f t="shared" si="143"/>
        <v>0</v>
      </c>
      <c r="AZ731" s="316">
        <f t="shared" si="144"/>
        <v>0</v>
      </c>
      <c r="BA731" s="1"/>
      <c r="BB731" s="152">
        <f t="shared" si="145"/>
        <v>0</v>
      </c>
      <c r="BC731" s="152">
        <f ca="1">SUM(Z$4:Z731)+SUM(BB$4:BB731)+COSTI!S$6-COSTI!L$1076</f>
        <v>-31.760000000000218</v>
      </c>
      <c r="BD731" s="1"/>
    </row>
    <row r="732" spans="1:56" ht="16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435">
        <f>IF(AND(W732&gt;=$U$1,W732&lt;=$U$2),IF(X732='ESTRATTO CONTO'!$E$2,1+COUNTIF(U$4:U731,"&gt;0"),0),0)</f>
        <v>0</v>
      </c>
      <c r="V732" s="417">
        <f t="shared" si="142"/>
        <v>729</v>
      </c>
      <c r="W732" s="509"/>
      <c r="X732" s="321"/>
      <c r="Y732" s="321"/>
      <c r="Z732" s="508"/>
      <c r="AA732" s="356"/>
      <c r="AB732" s="306" t="str">
        <f t="shared" si="138"/>
        <v/>
      </c>
      <c r="AC732" s="637">
        <f t="shared" ca="1" si="137"/>
        <v>-2.1316282072803006E-13</v>
      </c>
      <c r="AD732" s="935">
        <f>IF(ISERROR(VLOOKUP(AD$2,X733:X$1003,1,FALSE)),IF(X732=AD$2,SUMIF(X$4:X732,AD$2,Z$4:Z732)+$E$9+SUM(AQ$4:AQ$1003)+SUMIF(COSTI!$X$1379:$X$1430,AD$2,COSTI!$Z$1379:$Z$1430),0),0)</f>
        <v>0</v>
      </c>
      <c r="AE732" s="26"/>
      <c r="AF732" s="856" t="e">
        <f>IF(ISERROR(VLOOKUP(AG$2,X733:X$1003,1,FALSE)),IF(X732=AG$2,SUMIF(X$4:X732,AG$2,Z$4:Z732)+VLOOKUP(AF$2,$B$1057:$F$1068,5,FALSE)+SUM(AR$4:AR$1003)+SUMIF(COSTI!$X$1379:$X$1430,AG$2,COSTI!$Z$1379:$Z$1430),0),0)</f>
        <v>#N/A</v>
      </c>
      <c r="AG732" s="859"/>
      <c r="AH732" s="27" t="str">
        <f t="shared" si="139"/>
        <v/>
      </c>
      <c r="AI732" s="152">
        <f ca="1">IF(W733&gt;0,0,IF(AH732=0,(Z732*-1)+BC732+SUM(BB$4:BB731),BC732+SUM(BB$4:BB731)))</f>
        <v>-2.1316282072803006E-13</v>
      </c>
      <c r="AJ732" s="931">
        <f>IF(AND(AL732&gt;=$U$1,AL732&lt;=$U$2),IF(AM732='ESTRATTO CONTO'!$E$2,1+COUNTIF(AJ$4:AJ731,"&gt;0")+U$1015,0),0)</f>
        <v>0</v>
      </c>
      <c r="AK732" s="203">
        <f>IF(AND(OR((AK731+1)&lt;AL$1015,(AK731+1)=AL$1015),MAX(AK$4:AK731)&lt;AL$1015),AK731+1,0)</f>
        <v>0</v>
      </c>
      <c r="AL732" s="309">
        <f>VLOOKUP($AK732,ENTI!$AF$4:AG$1003,2,FALSE)</f>
        <v>0</v>
      </c>
      <c r="AM732" s="224">
        <f>VLOOKUP($AK732,ENTI!$AF$4:AH$1003,3,FALSE)</f>
        <v>0</v>
      </c>
      <c r="AN732" s="224">
        <f>VLOOKUP($AK732,ENTI!$AF$4:AI$1003,4,FALSE)</f>
        <v>0</v>
      </c>
      <c r="AO732" s="781">
        <f>VLOOKUP($AK732,ENTI!$AF$4:AJ$1003,5,FALSE)</f>
        <v>0</v>
      </c>
      <c r="AP732" s="315">
        <f>VLOOKUP($AK732,ENTI!$AF$4:AK$1003,6,FALSE)</f>
        <v>0</v>
      </c>
      <c r="AQ732" s="208">
        <f t="shared" si="146"/>
        <v>0</v>
      </c>
      <c r="AR732" s="152" t="e">
        <f t="shared" si="147"/>
        <v>#N/A</v>
      </c>
      <c r="AS732" s="1"/>
      <c r="AT732" s="88" t="str">
        <f t="shared" si="140"/>
        <v/>
      </c>
      <c r="AU732" s="1"/>
      <c r="AV732" s="175">
        <f>IF(AW732&gt;0,COUNTIF(AV$4:AV731,"&gt;0")+1,0)</f>
        <v>0</v>
      </c>
      <c r="AW732" s="164">
        <f t="shared" si="141"/>
        <v>0</v>
      </c>
      <c r="AX732" s="310">
        <f>IF($AW732=0,0,VLOOKUP(VLOOKUP($X732,$B$34:$T$38,19,FALSE),ENTI!$A$9:$B$13,2,FALSE))</f>
        <v>0</v>
      </c>
      <c r="AY732" s="310">
        <f t="shared" si="143"/>
        <v>0</v>
      </c>
      <c r="AZ732" s="316">
        <f t="shared" si="144"/>
        <v>0</v>
      </c>
      <c r="BA732" s="1"/>
      <c r="BB732" s="152">
        <f t="shared" si="145"/>
        <v>0</v>
      </c>
      <c r="BC732" s="152">
        <f ca="1">SUM(Z$4:Z732)+SUM(BB$4:BB732)+COSTI!S$6-COSTI!L$1076</f>
        <v>-31.760000000000218</v>
      </c>
      <c r="BD732" s="1"/>
    </row>
    <row r="733" spans="1:56" ht="16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435">
        <f>IF(AND(W733&gt;=$U$1,W733&lt;=$U$2),IF(X733='ESTRATTO CONTO'!$E$2,1+COUNTIF(U$4:U732,"&gt;0"),0),0)</f>
        <v>0</v>
      </c>
      <c r="V733" s="417">
        <f t="shared" si="142"/>
        <v>730</v>
      </c>
      <c r="W733" s="509"/>
      <c r="X733" s="321"/>
      <c r="Y733" s="321"/>
      <c r="Z733" s="508"/>
      <c r="AA733" s="356"/>
      <c r="AB733" s="306" t="str">
        <f t="shared" si="138"/>
        <v/>
      </c>
      <c r="AC733" s="637">
        <f t="shared" ca="1" si="137"/>
        <v>-2.1316282072803006E-13</v>
      </c>
      <c r="AD733" s="935">
        <f>IF(ISERROR(VLOOKUP(AD$2,X734:X$1003,1,FALSE)),IF(X733=AD$2,SUMIF(X$4:X733,AD$2,Z$4:Z733)+$E$9+SUM(AQ$4:AQ$1003)+SUMIF(COSTI!$X$1379:$X$1430,AD$2,COSTI!$Z$1379:$Z$1430),0),0)</f>
        <v>0</v>
      </c>
      <c r="AE733" s="26"/>
      <c r="AF733" s="856" t="e">
        <f>IF(ISERROR(VLOOKUP(AG$2,X734:X$1003,1,FALSE)),IF(X733=AG$2,SUMIF(X$4:X733,AG$2,Z$4:Z733)+VLOOKUP(AF$2,$B$1057:$F$1068,5,FALSE)+SUM(AR$4:AR$1003)+SUMIF(COSTI!$X$1379:$X$1430,AG$2,COSTI!$Z$1379:$Z$1430),0),0)</f>
        <v>#N/A</v>
      </c>
      <c r="AG733" s="859"/>
      <c r="AH733" s="27" t="str">
        <f t="shared" si="139"/>
        <v/>
      </c>
      <c r="AI733" s="152">
        <f ca="1">IF(W734&gt;0,0,IF(AH733=0,(Z733*-1)+BC733+SUM(BB$4:BB732),BC733+SUM(BB$4:BB732)))</f>
        <v>-2.1316282072803006E-13</v>
      </c>
      <c r="AJ733" s="931">
        <f>IF(AND(AL733&gt;=$U$1,AL733&lt;=$U$2),IF(AM733='ESTRATTO CONTO'!$E$2,1+COUNTIF(AJ$4:AJ732,"&gt;0")+U$1015,0),0)</f>
        <v>0</v>
      </c>
      <c r="AK733" s="203">
        <f>IF(AND(OR((AK732+1)&lt;AL$1015,(AK732+1)=AL$1015),MAX(AK$4:AK732)&lt;AL$1015),AK732+1,0)</f>
        <v>0</v>
      </c>
      <c r="AL733" s="309">
        <f>VLOOKUP($AK733,ENTI!$AF$4:AG$1003,2,FALSE)</f>
        <v>0</v>
      </c>
      <c r="AM733" s="224">
        <f>VLOOKUP($AK733,ENTI!$AF$4:AH$1003,3,FALSE)</f>
        <v>0</v>
      </c>
      <c r="AN733" s="224">
        <f>VLOOKUP($AK733,ENTI!$AF$4:AI$1003,4,FALSE)</f>
        <v>0</v>
      </c>
      <c r="AO733" s="781">
        <f>VLOOKUP($AK733,ENTI!$AF$4:AJ$1003,5,FALSE)</f>
        <v>0</v>
      </c>
      <c r="AP733" s="315">
        <f>VLOOKUP($AK733,ENTI!$AF$4:AK$1003,6,FALSE)</f>
        <v>0</v>
      </c>
      <c r="AQ733" s="208">
        <f t="shared" si="146"/>
        <v>0</v>
      </c>
      <c r="AR733" s="152" t="e">
        <f t="shared" si="147"/>
        <v>#N/A</v>
      </c>
      <c r="AS733" s="1"/>
      <c r="AT733" s="88" t="str">
        <f t="shared" si="140"/>
        <v/>
      </c>
      <c r="AU733" s="1"/>
      <c r="AV733" s="175">
        <f>IF(AW733&gt;0,COUNTIF(AV$4:AV732,"&gt;0")+1,0)</f>
        <v>0</v>
      </c>
      <c r="AW733" s="164">
        <f t="shared" si="141"/>
        <v>0</v>
      </c>
      <c r="AX733" s="310">
        <f>IF($AW733=0,0,VLOOKUP(VLOOKUP($X733,$B$34:$T$38,19,FALSE),ENTI!$A$9:$B$13,2,FALSE))</f>
        <v>0</v>
      </c>
      <c r="AY733" s="310">
        <f t="shared" si="143"/>
        <v>0</v>
      </c>
      <c r="AZ733" s="316">
        <f t="shared" si="144"/>
        <v>0</v>
      </c>
      <c r="BA733" s="1"/>
      <c r="BB733" s="152">
        <f t="shared" si="145"/>
        <v>0</v>
      </c>
      <c r="BC733" s="152">
        <f ca="1">SUM(Z$4:Z733)+SUM(BB$4:BB733)+COSTI!S$6-COSTI!L$1076</f>
        <v>-31.760000000000218</v>
      </c>
      <c r="BD733" s="1"/>
    </row>
    <row r="734" spans="1:56" ht="16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435">
        <f>IF(AND(W734&gt;=$U$1,W734&lt;=$U$2),IF(X734='ESTRATTO CONTO'!$E$2,1+COUNTIF(U$4:U733,"&gt;0"),0),0)</f>
        <v>0</v>
      </c>
      <c r="V734" s="417">
        <f t="shared" si="142"/>
        <v>731</v>
      </c>
      <c r="W734" s="509"/>
      <c r="X734" s="321"/>
      <c r="Y734" s="321"/>
      <c r="Z734" s="508"/>
      <c r="AA734" s="356"/>
      <c r="AB734" s="306" t="str">
        <f t="shared" si="138"/>
        <v/>
      </c>
      <c r="AC734" s="637">
        <f t="shared" ca="1" si="137"/>
        <v>-2.1316282072803006E-13</v>
      </c>
      <c r="AD734" s="935">
        <f>IF(ISERROR(VLOOKUP(AD$2,X735:X$1003,1,FALSE)),IF(X734=AD$2,SUMIF(X$4:X734,AD$2,Z$4:Z734)+$E$9+SUM(AQ$4:AQ$1003)+SUMIF(COSTI!$X$1379:$X$1430,AD$2,COSTI!$Z$1379:$Z$1430),0),0)</f>
        <v>0</v>
      </c>
      <c r="AE734" s="26"/>
      <c r="AF734" s="856" t="e">
        <f>IF(ISERROR(VLOOKUP(AG$2,X735:X$1003,1,FALSE)),IF(X734=AG$2,SUMIF(X$4:X734,AG$2,Z$4:Z734)+VLOOKUP(AF$2,$B$1057:$F$1068,5,FALSE)+SUM(AR$4:AR$1003)+SUMIF(COSTI!$X$1379:$X$1430,AG$2,COSTI!$Z$1379:$Z$1430),0),0)</f>
        <v>#N/A</v>
      </c>
      <c r="AG734" s="859"/>
      <c r="AH734" s="27" t="str">
        <f t="shared" si="139"/>
        <v/>
      </c>
      <c r="AI734" s="152">
        <f ca="1">IF(W735&gt;0,0,IF(AH734=0,(Z734*-1)+BC734+SUM(BB$4:BB733),BC734+SUM(BB$4:BB733)))</f>
        <v>-2.1316282072803006E-13</v>
      </c>
      <c r="AJ734" s="931">
        <f>IF(AND(AL734&gt;=$U$1,AL734&lt;=$U$2),IF(AM734='ESTRATTO CONTO'!$E$2,1+COUNTIF(AJ$4:AJ733,"&gt;0")+U$1015,0),0)</f>
        <v>0</v>
      </c>
      <c r="AK734" s="203">
        <f>IF(AND(OR((AK733+1)&lt;AL$1015,(AK733+1)=AL$1015),MAX(AK$4:AK733)&lt;AL$1015),AK733+1,0)</f>
        <v>0</v>
      </c>
      <c r="AL734" s="309">
        <f>VLOOKUP($AK734,ENTI!$AF$4:AG$1003,2,FALSE)</f>
        <v>0</v>
      </c>
      <c r="AM734" s="224">
        <f>VLOOKUP($AK734,ENTI!$AF$4:AH$1003,3,FALSE)</f>
        <v>0</v>
      </c>
      <c r="AN734" s="224">
        <f>VLOOKUP($AK734,ENTI!$AF$4:AI$1003,4,FALSE)</f>
        <v>0</v>
      </c>
      <c r="AO734" s="781">
        <f>VLOOKUP($AK734,ENTI!$AF$4:AJ$1003,5,FALSE)</f>
        <v>0</v>
      </c>
      <c r="AP734" s="315">
        <f>VLOOKUP($AK734,ENTI!$AF$4:AK$1003,6,FALSE)</f>
        <v>0</v>
      </c>
      <c r="AQ734" s="208">
        <f t="shared" si="146"/>
        <v>0</v>
      </c>
      <c r="AR734" s="152" t="e">
        <f t="shared" si="147"/>
        <v>#N/A</v>
      </c>
      <c r="AS734" s="1"/>
      <c r="AT734" s="88" t="str">
        <f t="shared" si="140"/>
        <v/>
      </c>
      <c r="AU734" s="1"/>
      <c r="AV734" s="175">
        <f>IF(AW734&gt;0,COUNTIF(AV$4:AV733,"&gt;0")+1,0)</f>
        <v>0</v>
      </c>
      <c r="AW734" s="164">
        <f t="shared" si="141"/>
        <v>0</v>
      </c>
      <c r="AX734" s="310">
        <f>IF($AW734=0,0,VLOOKUP(VLOOKUP($X734,$B$34:$T$38,19,FALSE),ENTI!$A$9:$B$13,2,FALSE))</f>
        <v>0</v>
      </c>
      <c r="AY734" s="310">
        <f t="shared" si="143"/>
        <v>0</v>
      </c>
      <c r="AZ734" s="316">
        <f t="shared" si="144"/>
        <v>0</v>
      </c>
      <c r="BA734" s="1"/>
      <c r="BB734" s="152">
        <f t="shared" si="145"/>
        <v>0</v>
      </c>
      <c r="BC734" s="152">
        <f ca="1">SUM(Z$4:Z734)+SUM(BB$4:BB734)+COSTI!S$6-COSTI!L$1076</f>
        <v>-31.760000000000218</v>
      </c>
      <c r="BD734" s="1"/>
    </row>
    <row r="735" spans="1:56" ht="16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435">
        <f>IF(AND(W735&gt;=$U$1,W735&lt;=$U$2),IF(X735='ESTRATTO CONTO'!$E$2,1+COUNTIF(U$4:U734,"&gt;0"),0),0)</f>
        <v>0</v>
      </c>
      <c r="V735" s="417">
        <f t="shared" si="142"/>
        <v>732</v>
      </c>
      <c r="W735" s="509"/>
      <c r="X735" s="321"/>
      <c r="Y735" s="321"/>
      <c r="Z735" s="508"/>
      <c r="AA735" s="356"/>
      <c r="AB735" s="306" t="str">
        <f t="shared" si="138"/>
        <v/>
      </c>
      <c r="AC735" s="637">
        <f t="shared" ca="1" si="137"/>
        <v>-2.1316282072803006E-13</v>
      </c>
      <c r="AD735" s="935">
        <f>IF(ISERROR(VLOOKUP(AD$2,X736:X$1003,1,FALSE)),IF(X735=AD$2,SUMIF(X$4:X735,AD$2,Z$4:Z735)+$E$9+SUM(AQ$4:AQ$1003)+SUMIF(COSTI!$X$1379:$X$1430,AD$2,COSTI!$Z$1379:$Z$1430),0),0)</f>
        <v>0</v>
      </c>
      <c r="AE735" s="26"/>
      <c r="AF735" s="856" t="e">
        <f>IF(ISERROR(VLOOKUP(AG$2,X736:X$1003,1,FALSE)),IF(X735=AG$2,SUMIF(X$4:X735,AG$2,Z$4:Z735)+VLOOKUP(AF$2,$B$1057:$F$1068,5,FALSE)+SUM(AR$4:AR$1003)+SUMIF(COSTI!$X$1379:$X$1430,AG$2,COSTI!$Z$1379:$Z$1430),0),0)</f>
        <v>#N/A</v>
      </c>
      <c r="AG735" s="859"/>
      <c r="AH735" s="27" t="str">
        <f t="shared" si="139"/>
        <v/>
      </c>
      <c r="AI735" s="152">
        <f ca="1">IF(W736&gt;0,0,IF(AH735=0,(Z735*-1)+BC735+SUM(BB$4:BB734),BC735+SUM(BB$4:BB734)))</f>
        <v>-2.1316282072803006E-13</v>
      </c>
      <c r="AJ735" s="931">
        <f>IF(AND(AL735&gt;=$U$1,AL735&lt;=$U$2),IF(AM735='ESTRATTO CONTO'!$E$2,1+COUNTIF(AJ$4:AJ734,"&gt;0")+U$1015,0),0)</f>
        <v>0</v>
      </c>
      <c r="AK735" s="203">
        <f>IF(AND(OR((AK734+1)&lt;AL$1015,(AK734+1)=AL$1015),MAX(AK$4:AK734)&lt;AL$1015),AK734+1,0)</f>
        <v>0</v>
      </c>
      <c r="AL735" s="309">
        <f>VLOOKUP($AK735,ENTI!$AF$4:AG$1003,2,FALSE)</f>
        <v>0</v>
      </c>
      <c r="AM735" s="224">
        <f>VLOOKUP($AK735,ENTI!$AF$4:AH$1003,3,FALSE)</f>
        <v>0</v>
      </c>
      <c r="AN735" s="224">
        <f>VLOOKUP($AK735,ENTI!$AF$4:AI$1003,4,FALSE)</f>
        <v>0</v>
      </c>
      <c r="AO735" s="781">
        <f>VLOOKUP($AK735,ENTI!$AF$4:AJ$1003,5,FALSE)</f>
        <v>0</v>
      </c>
      <c r="AP735" s="315">
        <f>VLOOKUP($AK735,ENTI!$AF$4:AK$1003,6,FALSE)</f>
        <v>0</v>
      </c>
      <c r="AQ735" s="208">
        <f t="shared" si="146"/>
        <v>0</v>
      </c>
      <c r="AR735" s="152" t="e">
        <f t="shared" si="147"/>
        <v>#N/A</v>
      </c>
      <c r="AS735" s="1"/>
      <c r="AT735" s="88" t="str">
        <f t="shared" si="140"/>
        <v/>
      </c>
      <c r="AU735" s="1"/>
      <c r="AV735" s="175">
        <f>IF(AW735&gt;0,COUNTIF(AV$4:AV734,"&gt;0")+1,0)</f>
        <v>0</v>
      </c>
      <c r="AW735" s="164">
        <f t="shared" si="141"/>
        <v>0</v>
      </c>
      <c r="AX735" s="310">
        <f>IF($AW735=0,0,VLOOKUP(VLOOKUP($X735,$B$34:$T$38,19,FALSE),ENTI!$A$9:$B$13,2,FALSE))</f>
        <v>0</v>
      </c>
      <c r="AY735" s="310">
        <f t="shared" si="143"/>
        <v>0</v>
      </c>
      <c r="AZ735" s="316">
        <f t="shared" si="144"/>
        <v>0</v>
      </c>
      <c r="BA735" s="1"/>
      <c r="BB735" s="152">
        <f t="shared" si="145"/>
        <v>0</v>
      </c>
      <c r="BC735" s="152">
        <f ca="1">SUM(Z$4:Z735)+SUM(BB$4:BB735)+COSTI!S$6-COSTI!L$1076</f>
        <v>-31.760000000000218</v>
      </c>
      <c r="BD735" s="1"/>
    </row>
    <row r="736" spans="1:56" ht="16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435">
        <f>IF(AND(W736&gt;=$U$1,W736&lt;=$U$2),IF(X736='ESTRATTO CONTO'!$E$2,1+COUNTIF(U$4:U735,"&gt;0"),0),0)</f>
        <v>0</v>
      </c>
      <c r="V736" s="417">
        <f t="shared" si="142"/>
        <v>733</v>
      </c>
      <c r="W736" s="509"/>
      <c r="X736" s="321"/>
      <c r="Y736" s="321"/>
      <c r="Z736" s="508"/>
      <c r="AA736" s="356"/>
      <c r="AB736" s="306" t="str">
        <f t="shared" si="138"/>
        <v/>
      </c>
      <c r="AC736" s="637">
        <f t="shared" ca="1" si="137"/>
        <v>-2.1316282072803006E-13</v>
      </c>
      <c r="AD736" s="935">
        <f>IF(ISERROR(VLOOKUP(AD$2,X737:X$1003,1,FALSE)),IF(X736=AD$2,SUMIF(X$4:X736,AD$2,Z$4:Z736)+$E$9+SUM(AQ$4:AQ$1003)+SUMIF(COSTI!$X$1379:$X$1430,AD$2,COSTI!$Z$1379:$Z$1430),0),0)</f>
        <v>0</v>
      </c>
      <c r="AE736" s="26"/>
      <c r="AF736" s="856" t="e">
        <f>IF(ISERROR(VLOOKUP(AG$2,X737:X$1003,1,FALSE)),IF(X736=AG$2,SUMIF(X$4:X736,AG$2,Z$4:Z736)+VLOOKUP(AF$2,$B$1057:$F$1068,5,FALSE)+SUM(AR$4:AR$1003)+SUMIF(COSTI!$X$1379:$X$1430,AG$2,COSTI!$Z$1379:$Z$1430),0),0)</f>
        <v>#N/A</v>
      </c>
      <c r="AG736" s="859"/>
      <c r="AH736" s="27" t="str">
        <f t="shared" si="139"/>
        <v/>
      </c>
      <c r="AI736" s="152">
        <f ca="1">IF(W737&gt;0,0,IF(AH736=0,(Z736*-1)+BC736+SUM(BB$4:BB735),BC736+SUM(BB$4:BB735)))</f>
        <v>-2.1316282072803006E-13</v>
      </c>
      <c r="AJ736" s="931">
        <f>IF(AND(AL736&gt;=$U$1,AL736&lt;=$U$2),IF(AM736='ESTRATTO CONTO'!$E$2,1+COUNTIF(AJ$4:AJ735,"&gt;0")+U$1015,0),0)</f>
        <v>0</v>
      </c>
      <c r="AK736" s="203">
        <f>IF(AND(OR((AK735+1)&lt;AL$1015,(AK735+1)=AL$1015),MAX(AK$4:AK735)&lt;AL$1015),AK735+1,0)</f>
        <v>0</v>
      </c>
      <c r="AL736" s="309">
        <f>VLOOKUP($AK736,ENTI!$AF$4:AG$1003,2,FALSE)</f>
        <v>0</v>
      </c>
      <c r="AM736" s="224">
        <f>VLOOKUP($AK736,ENTI!$AF$4:AH$1003,3,FALSE)</f>
        <v>0</v>
      </c>
      <c r="AN736" s="224">
        <f>VLOOKUP($AK736,ENTI!$AF$4:AI$1003,4,FALSE)</f>
        <v>0</v>
      </c>
      <c r="AO736" s="781">
        <f>VLOOKUP($AK736,ENTI!$AF$4:AJ$1003,5,FALSE)</f>
        <v>0</v>
      </c>
      <c r="AP736" s="315">
        <f>VLOOKUP($AK736,ENTI!$AF$4:AK$1003,6,FALSE)</f>
        <v>0</v>
      </c>
      <c r="AQ736" s="208">
        <f t="shared" si="146"/>
        <v>0</v>
      </c>
      <c r="AR736" s="152" t="e">
        <f t="shared" si="147"/>
        <v>#N/A</v>
      </c>
      <c r="AS736" s="1"/>
      <c r="AT736" s="88" t="str">
        <f t="shared" si="140"/>
        <v/>
      </c>
      <c r="AU736" s="1"/>
      <c r="AV736" s="175">
        <f>IF(AW736&gt;0,COUNTIF(AV$4:AV735,"&gt;0")+1,0)</f>
        <v>0</v>
      </c>
      <c r="AW736" s="164">
        <f t="shared" si="141"/>
        <v>0</v>
      </c>
      <c r="AX736" s="310">
        <f>IF($AW736=0,0,VLOOKUP(VLOOKUP($X736,$B$34:$T$38,19,FALSE),ENTI!$A$9:$B$13,2,FALSE))</f>
        <v>0</v>
      </c>
      <c r="AY736" s="310">
        <f t="shared" si="143"/>
        <v>0</v>
      </c>
      <c r="AZ736" s="316">
        <f t="shared" si="144"/>
        <v>0</v>
      </c>
      <c r="BA736" s="1"/>
      <c r="BB736" s="152">
        <f t="shared" si="145"/>
        <v>0</v>
      </c>
      <c r="BC736" s="152">
        <f ca="1">SUM(Z$4:Z736)+SUM(BB$4:BB736)+COSTI!S$6-COSTI!L$1076</f>
        <v>-31.760000000000218</v>
      </c>
      <c r="BD736" s="1"/>
    </row>
    <row r="737" spans="1:56" ht="16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435">
        <f>IF(AND(W737&gt;=$U$1,W737&lt;=$U$2),IF(X737='ESTRATTO CONTO'!$E$2,1+COUNTIF(U$4:U736,"&gt;0"),0),0)</f>
        <v>0</v>
      </c>
      <c r="V737" s="417">
        <f t="shared" si="142"/>
        <v>734</v>
      </c>
      <c r="W737" s="509"/>
      <c r="X737" s="321"/>
      <c r="Y737" s="321"/>
      <c r="Z737" s="508"/>
      <c r="AA737" s="356"/>
      <c r="AB737" s="306" t="str">
        <f t="shared" si="138"/>
        <v/>
      </c>
      <c r="AC737" s="637">
        <f t="shared" ca="1" si="137"/>
        <v>-2.1316282072803006E-13</v>
      </c>
      <c r="AD737" s="935">
        <f>IF(ISERROR(VLOOKUP(AD$2,X738:X$1003,1,FALSE)),IF(X737=AD$2,SUMIF(X$4:X737,AD$2,Z$4:Z737)+$E$9+SUM(AQ$4:AQ$1003)+SUMIF(COSTI!$X$1379:$X$1430,AD$2,COSTI!$Z$1379:$Z$1430),0),0)</f>
        <v>0</v>
      </c>
      <c r="AE737" s="26"/>
      <c r="AF737" s="856" t="e">
        <f>IF(ISERROR(VLOOKUP(AG$2,X738:X$1003,1,FALSE)),IF(X737=AG$2,SUMIF(X$4:X737,AG$2,Z$4:Z737)+VLOOKUP(AF$2,$B$1057:$F$1068,5,FALSE)+SUM(AR$4:AR$1003)+SUMIF(COSTI!$X$1379:$X$1430,AG$2,COSTI!$Z$1379:$Z$1430),0),0)</f>
        <v>#N/A</v>
      </c>
      <c r="AG737" s="859"/>
      <c r="AH737" s="27" t="str">
        <f t="shared" si="139"/>
        <v/>
      </c>
      <c r="AI737" s="152">
        <f ca="1">IF(W738&gt;0,0,IF(AH737=0,(Z737*-1)+BC737+SUM(BB$4:BB736),BC737+SUM(BB$4:BB736)))</f>
        <v>-2.1316282072803006E-13</v>
      </c>
      <c r="AJ737" s="931">
        <f>IF(AND(AL737&gt;=$U$1,AL737&lt;=$U$2),IF(AM737='ESTRATTO CONTO'!$E$2,1+COUNTIF(AJ$4:AJ736,"&gt;0")+U$1015,0),0)</f>
        <v>0</v>
      </c>
      <c r="AK737" s="203">
        <f>IF(AND(OR((AK736+1)&lt;AL$1015,(AK736+1)=AL$1015),MAX(AK$4:AK736)&lt;AL$1015),AK736+1,0)</f>
        <v>0</v>
      </c>
      <c r="AL737" s="309">
        <f>VLOOKUP($AK737,ENTI!$AF$4:AG$1003,2,FALSE)</f>
        <v>0</v>
      </c>
      <c r="AM737" s="224">
        <f>VLOOKUP($AK737,ENTI!$AF$4:AH$1003,3,FALSE)</f>
        <v>0</v>
      </c>
      <c r="AN737" s="224">
        <f>VLOOKUP($AK737,ENTI!$AF$4:AI$1003,4,FALSE)</f>
        <v>0</v>
      </c>
      <c r="AO737" s="781">
        <f>VLOOKUP($AK737,ENTI!$AF$4:AJ$1003,5,FALSE)</f>
        <v>0</v>
      </c>
      <c r="AP737" s="315">
        <f>VLOOKUP($AK737,ENTI!$AF$4:AK$1003,6,FALSE)</f>
        <v>0</v>
      </c>
      <c r="AQ737" s="208">
        <f t="shared" si="146"/>
        <v>0</v>
      </c>
      <c r="AR737" s="152" t="e">
        <f t="shared" si="147"/>
        <v>#N/A</v>
      </c>
      <c r="AS737" s="1"/>
      <c r="AT737" s="88" t="str">
        <f t="shared" si="140"/>
        <v/>
      </c>
      <c r="AU737" s="1"/>
      <c r="AV737" s="175">
        <f>IF(AW737&gt;0,COUNTIF(AV$4:AV736,"&gt;0")+1,0)</f>
        <v>0</v>
      </c>
      <c r="AW737" s="164">
        <f t="shared" si="141"/>
        <v>0</v>
      </c>
      <c r="AX737" s="310">
        <f>IF($AW737=0,0,VLOOKUP(VLOOKUP($X737,$B$34:$T$38,19,FALSE),ENTI!$A$9:$B$13,2,FALSE))</f>
        <v>0</v>
      </c>
      <c r="AY737" s="310">
        <f t="shared" si="143"/>
        <v>0</v>
      </c>
      <c r="AZ737" s="316">
        <f t="shared" si="144"/>
        <v>0</v>
      </c>
      <c r="BA737" s="1"/>
      <c r="BB737" s="152">
        <f t="shared" si="145"/>
        <v>0</v>
      </c>
      <c r="BC737" s="152">
        <f ca="1">SUM(Z$4:Z737)+SUM(BB$4:BB737)+COSTI!S$6-COSTI!L$1076</f>
        <v>-31.760000000000218</v>
      </c>
      <c r="BD737" s="1"/>
    </row>
    <row r="738" spans="1:56" ht="16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435">
        <f>IF(AND(W738&gt;=$U$1,W738&lt;=$U$2),IF(X738='ESTRATTO CONTO'!$E$2,1+COUNTIF(U$4:U737,"&gt;0"),0),0)</f>
        <v>0</v>
      </c>
      <c r="V738" s="417">
        <f t="shared" si="142"/>
        <v>735</v>
      </c>
      <c r="W738" s="509"/>
      <c r="X738" s="321"/>
      <c r="Y738" s="321"/>
      <c r="Z738" s="508"/>
      <c r="AA738" s="356"/>
      <c r="AB738" s="306" t="str">
        <f t="shared" si="138"/>
        <v/>
      </c>
      <c r="AC738" s="637">
        <f t="shared" ca="1" si="137"/>
        <v>-2.1316282072803006E-13</v>
      </c>
      <c r="AD738" s="935">
        <f>IF(ISERROR(VLOOKUP(AD$2,X739:X$1003,1,FALSE)),IF(X738=AD$2,SUMIF(X$4:X738,AD$2,Z$4:Z738)+$E$9+SUM(AQ$4:AQ$1003)+SUMIF(COSTI!$X$1379:$X$1430,AD$2,COSTI!$Z$1379:$Z$1430),0),0)</f>
        <v>0</v>
      </c>
      <c r="AE738" s="26"/>
      <c r="AF738" s="856" t="e">
        <f>IF(ISERROR(VLOOKUP(AG$2,X739:X$1003,1,FALSE)),IF(X738=AG$2,SUMIF(X$4:X738,AG$2,Z$4:Z738)+VLOOKUP(AF$2,$B$1057:$F$1068,5,FALSE)+SUM(AR$4:AR$1003)+SUMIF(COSTI!$X$1379:$X$1430,AG$2,COSTI!$Z$1379:$Z$1430),0),0)</f>
        <v>#N/A</v>
      </c>
      <c r="AG738" s="859"/>
      <c r="AH738" s="27" t="str">
        <f t="shared" si="139"/>
        <v/>
      </c>
      <c r="AI738" s="152">
        <f ca="1">IF(W739&gt;0,0,IF(AH738=0,(Z738*-1)+BC738+SUM(BB$4:BB737),BC738+SUM(BB$4:BB737)))</f>
        <v>-2.1316282072803006E-13</v>
      </c>
      <c r="AJ738" s="931">
        <f>IF(AND(AL738&gt;=$U$1,AL738&lt;=$U$2),IF(AM738='ESTRATTO CONTO'!$E$2,1+COUNTIF(AJ$4:AJ737,"&gt;0")+U$1015,0),0)</f>
        <v>0</v>
      </c>
      <c r="AK738" s="203">
        <f>IF(AND(OR((AK737+1)&lt;AL$1015,(AK737+1)=AL$1015),MAX(AK$4:AK737)&lt;AL$1015),AK737+1,0)</f>
        <v>0</v>
      </c>
      <c r="AL738" s="309">
        <f>VLOOKUP($AK738,ENTI!$AF$4:AG$1003,2,FALSE)</f>
        <v>0</v>
      </c>
      <c r="AM738" s="224">
        <f>VLOOKUP($AK738,ENTI!$AF$4:AH$1003,3,FALSE)</f>
        <v>0</v>
      </c>
      <c r="AN738" s="224">
        <f>VLOOKUP($AK738,ENTI!$AF$4:AI$1003,4,FALSE)</f>
        <v>0</v>
      </c>
      <c r="AO738" s="781">
        <f>VLOOKUP($AK738,ENTI!$AF$4:AJ$1003,5,FALSE)</f>
        <v>0</v>
      </c>
      <c r="AP738" s="315">
        <f>VLOOKUP($AK738,ENTI!$AF$4:AK$1003,6,FALSE)</f>
        <v>0</v>
      </c>
      <c r="AQ738" s="208">
        <f t="shared" si="146"/>
        <v>0</v>
      </c>
      <c r="AR738" s="152" t="e">
        <f t="shared" si="147"/>
        <v>#N/A</v>
      </c>
      <c r="AS738" s="1"/>
      <c r="AT738" s="88" t="str">
        <f t="shared" si="140"/>
        <v/>
      </c>
      <c r="AU738" s="1"/>
      <c r="AV738" s="175">
        <f>IF(AW738&gt;0,COUNTIF(AV$4:AV737,"&gt;0")+1,0)</f>
        <v>0</v>
      </c>
      <c r="AW738" s="164">
        <f t="shared" si="141"/>
        <v>0</v>
      </c>
      <c r="AX738" s="310">
        <f>IF($AW738=0,0,VLOOKUP(VLOOKUP($X738,$B$34:$T$38,19,FALSE),ENTI!$A$9:$B$13,2,FALSE))</f>
        <v>0</v>
      </c>
      <c r="AY738" s="310">
        <f t="shared" si="143"/>
        <v>0</v>
      </c>
      <c r="AZ738" s="316">
        <f t="shared" si="144"/>
        <v>0</v>
      </c>
      <c r="BA738" s="1"/>
      <c r="BB738" s="152">
        <f t="shared" si="145"/>
        <v>0</v>
      </c>
      <c r="BC738" s="152">
        <f ca="1">SUM(Z$4:Z738)+SUM(BB$4:BB738)+COSTI!S$6-COSTI!L$1076</f>
        <v>-31.760000000000218</v>
      </c>
      <c r="BD738" s="1"/>
    </row>
    <row r="739" spans="1:56" ht="16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435">
        <f>IF(AND(W739&gt;=$U$1,W739&lt;=$U$2),IF(X739='ESTRATTO CONTO'!$E$2,1+COUNTIF(U$4:U738,"&gt;0"),0),0)</f>
        <v>0</v>
      </c>
      <c r="V739" s="417">
        <f t="shared" si="142"/>
        <v>736</v>
      </c>
      <c r="W739" s="509"/>
      <c r="X739" s="321"/>
      <c r="Y739" s="321"/>
      <c r="Z739" s="508"/>
      <c r="AA739" s="356"/>
      <c r="AB739" s="306" t="str">
        <f t="shared" si="138"/>
        <v/>
      </c>
      <c r="AC739" s="637">
        <f t="shared" ca="1" si="137"/>
        <v>-2.1316282072803006E-13</v>
      </c>
      <c r="AD739" s="935">
        <f>IF(ISERROR(VLOOKUP(AD$2,X740:X$1003,1,FALSE)),IF(X739=AD$2,SUMIF(X$4:X739,AD$2,Z$4:Z739)+$E$9+SUM(AQ$4:AQ$1003)+SUMIF(COSTI!$X$1379:$X$1430,AD$2,COSTI!$Z$1379:$Z$1430),0),0)</f>
        <v>0</v>
      </c>
      <c r="AE739" s="26"/>
      <c r="AF739" s="856" t="e">
        <f>IF(ISERROR(VLOOKUP(AG$2,X740:X$1003,1,FALSE)),IF(X739=AG$2,SUMIF(X$4:X739,AG$2,Z$4:Z739)+VLOOKUP(AF$2,$B$1057:$F$1068,5,FALSE)+SUM(AR$4:AR$1003)+SUMIF(COSTI!$X$1379:$X$1430,AG$2,COSTI!$Z$1379:$Z$1430),0),0)</f>
        <v>#N/A</v>
      </c>
      <c r="AG739" s="859"/>
      <c r="AH739" s="27" t="str">
        <f t="shared" si="139"/>
        <v/>
      </c>
      <c r="AI739" s="152">
        <f ca="1">IF(W740&gt;0,0,IF(AH739=0,(Z739*-1)+BC739+SUM(BB$4:BB738),BC739+SUM(BB$4:BB738)))</f>
        <v>-2.1316282072803006E-13</v>
      </c>
      <c r="AJ739" s="931">
        <f>IF(AND(AL739&gt;=$U$1,AL739&lt;=$U$2),IF(AM739='ESTRATTO CONTO'!$E$2,1+COUNTIF(AJ$4:AJ738,"&gt;0")+U$1015,0),0)</f>
        <v>0</v>
      </c>
      <c r="AK739" s="203">
        <f>IF(AND(OR((AK738+1)&lt;AL$1015,(AK738+1)=AL$1015),MAX(AK$4:AK738)&lt;AL$1015),AK738+1,0)</f>
        <v>0</v>
      </c>
      <c r="AL739" s="309">
        <f>VLOOKUP($AK739,ENTI!$AF$4:AG$1003,2,FALSE)</f>
        <v>0</v>
      </c>
      <c r="AM739" s="224">
        <f>VLOOKUP($AK739,ENTI!$AF$4:AH$1003,3,FALSE)</f>
        <v>0</v>
      </c>
      <c r="AN739" s="224">
        <f>VLOOKUP($AK739,ENTI!$AF$4:AI$1003,4,FALSE)</f>
        <v>0</v>
      </c>
      <c r="AO739" s="781">
        <f>VLOOKUP($AK739,ENTI!$AF$4:AJ$1003,5,FALSE)</f>
        <v>0</v>
      </c>
      <c r="AP739" s="315">
        <f>VLOOKUP($AK739,ENTI!$AF$4:AK$1003,6,FALSE)</f>
        <v>0</v>
      </c>
      <c r="AQ739" s="208">
        <f t="shared" si="146"/>
        <v>0</v>
      </c>
      <c r="AR739" s="152" t="e">
        <f t="shared" si="147"/>
        <v>#N/A</v>
      </c>
      <c r="AS739" s="1"/>
      <c r="AT739" s="88" t="str">
        <f t="shared" si="140"/>
        <v/>
      </c>
      <c r="AU739" s="1"/>
      <c r="AV739" s="175">
        <f>IF(AW739&gt;0,COUNTIF(AV$4:AV738,"&gt;0")+1,0)</f>
        <v>0</v>
      </c>
      <c r="AW739" s="164">
        <f t="shared" si="141"/>
        <v>0</v>
      </c>
      <c r="AX739" s="310">
        <f>IF($AW739=0,0,VLOOKUP(VLOOKUP($X739,$B$34:$T$38,19,FALSE),ENTI!$A$9:$B$13,2,FALSE))</f>
        <v>0</v>
      </c>
      <c r="AY739" s="310">
        <f t="shared" si="143"/>
        <v>0</v>
      </c>
      <c r="AZ739" s="316">
        <f t="shared" si="144"/>
        <v>0</v>
      </c>
      <c r="BA739" s="1"/>
      <c r="BB739" s="152">
        <f t="shared" si="145"/>
        <v>0</v>
      </c>
      <c r="BC739" s="152">
        <f ca="1">SUM(Z$4:Z739)+SUM(BB$4:BB739)+COSTI!S$6-COSTI!L$1076</f>
        <v>-31.760000000000218</v>
      </c>
      <c r="BD739" s="1"/>
    </row>
    <row r="740" spans="1:56" ht="16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435">
        <f>IF(AND(W740&gt;=$U$1,W740&lt;=$U$2),IF(X740='ESTRATTO CONTO'!$E$2,1+COUNTIF(U$4:U739,"&gt;0"),0),0)</f>
        <v>0</v>
      </c>
      <c r="V740" s="417">
        <f t="shared" si="142"/>
        <v>737</v>
      </c>
      <c r="W740" s="509"/>
      <c r="X740" s="321"/>
      <c r="Y740" s="321"/>
      <c r="Z740" s="508"/>
      <c r="AA740" s="356"/>
      <c r="AB740" s="306" t="str">
        <f t="shared" si="138"/>
        <v/>
      </c>
      <c r="AC740" s="637">
        <f t="shared" ca="1" si="137"/>
        <v>-2.1316282072803006E-13</v>
      </c>
      <c r="AD740" s="935">
        <f>IF(ISERROR(VLOOKUP(AD$2,X741:X$1003,1,FALSE)),IF(X740=AD$2,SUMIF(X$4:X740,AD$2,Z$4:Z740)+$E$9+SUM(AQ$4:AQ$1003)+SUMIF(COSTI!$X$1379:$X$1430,AD$2,COSTI!$Z$1379:$Z$1430),0),0)</f>
        <v>0</v>
      </c>
      <c r="AE740" s="26"/>
      <c r="AF740" s="856" t="e">
        <f>IF(ISERROR(VLOOKUP(AG$2,X741:X$1003,1,FALSE)),IF(X740=AG$2,SUMIF(X$4:X740,AG$2,Z$4:Z740)+VLOOKUP(AF$2,$B$1057:$F$1068,5,FALSE)+SUM(AR$4:AR$1003)+SUMIF(COSTI!$X$1379:$X$1430,AG$2,COSTI!$Z$1379:$Z$1430),0),0)</f>
        <v>#N/A</v>
      </c>
      <c r="AG740" s="859"/>
      <c r="AH740" s="27" t="str">
        <f t="shared" si="139"/>
        <v/>
      </c>
      <c r="AI740" s="152">
        <f ca="1">IF(W741&gt;0,0,IF(AH740=0,(Z740*-1)+BC740+SUM(BB$4:BB739),BC740+SUM(BB$4:BB739)))</f>
        <v>-2.1316282072803006E-13</v>
      </c>
      <c r="AJ740" s="931">
        <f>IF(AND(AL740&gt;=$U$1,AL740&lt;=$U$2),IF(AM740='ESTRATTO CONTO'!$E$2,1+COUNTIF(AJ$4:AJ739,"&gt;0")+U$1015,0),0)</f>
        <v>0</v>
      </c>
      <c r="AK740" s="203">
        <f>IF(AND(OR((AK739+1)&lt;AL$1015,(AK739+1)=AL$1015),MAX(AK$4:AK739)&lt;AL$1015),AK739+1,0)</f>
        <v>0</v>
      </c>
      <c r="AL740" s="309">
        <f>VLOOKUP($AK740,ENTI!$AF$4:AG$1003,2,FALSE)</f>
        <v>0</v>
      </c>
      <c r="AM740" s="224">
        <f>VLOOKUP($AK740,ENTI!$AF$4:AH$1003,3,FALSE)</f>
        <v>0</v>
      </c>
      <c r="AN740" s="224">
        <f>VLOOKUP($AK740,ENTI!$AF$4:AI$1003,4,FALSE)</f>
        <v>0</v>
      </c>
      <c r="AO740" s="781">
        <f>VLOOKUP($AK740,ENTI!$AF$4:AJ$1003,5,FALSE)</f>
        <v>0</v>
      </c>
      <c r="AP740" s="315">
        <f>VLOOKUP($AK740,ENTI!$AF$4:AK$1003,6,FALSE)</f>
        <v>0</v>
      </c>
      <c r="AQ740" s="208">
        <f t="shared" si="146"/>
        <v>0</v>
      </c>
      <c r="AR740" s="152" t="e">
        <f t="shared" si="147"/>
        <v>#N/A</v>
      </c>
      <c r="AS740" s="1"/>
      <c r="AT740" s="88" t="str">
        <f t="shared" si="140"/>
        <v/>
      </c>
      <c r="AU740" s="1"/>
      <c r="AV740" s="175">
        <f>IF(AW740&gt;0,COUNTIF(AV$4:AV739,"&gt;0")+1,0)</f>
        <v>0</v>
      </c>
      <c r="AW740" s="164">
        <f t="shared" si="141"/>
        <v>0</v>
      </c>
      <c r="AX740" s="310">
        <f>IF($AW740=0,0,VLOOKUP(VLOOKUP($X740,$B$34:$T$38,19,FALSE),ENTI!$A$9:$B$13,2,FALSE))</f>
        <v>0</v>
      </c>
      <c r="AY740" s="310">
        <f t="shared" si="143"/>
        <v>0</v>
      </c>
      <c r="AZ740" s="316">
        <f t="shared" si="144"/>
        <v>0</v>
      </c>
      <c r="BA740" s="1"/>
      <c r="BB740" s="152">
        <f t="shared" si="145"/>
        <v>0</v>
      </c>
      <c r="BC740" s="152">
        <f ca="1">SUM(Z$4:Z740)+SUM(BB$4:BB740)+COSTI!S$6-COSTI!L$1076</f>
        <v>-31.760000000000218</v>
      </c>
      <c r="BD740" s="1"/>
    </row>
    <row r="741" spans="1:56" ht="16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435">
        <f>IF(AND(W741&gt;=$U$1,W741&lt;=$U$2),IF(X741='ESTRATTO CONTO'!$E$2,1+COUNTIF(U$4:U740,"&gt;0"),0),0)</f>
        <v>0</v>
      </c>
      <c r="V741" s="417">
        <f t="shared" si="142"/>
        <v>738</v>
      </c>
      <c r="W741" s="509"/>
      <c r="X741" s="321"/>
      <c r="Y741" s="321"/>
      <c r="Z741" s="508"/>
      <c r="AA741" s="356"/>
      <c r="AB741" s="306" t="str">
        <f t="shared" si="138"/>
        <v/>
      </c>
      <c r="AC741" s="637">
        <f t="shared" ca="1" si="137"/>
        <v>-2.1316282072803006E-13</v>
      </c>
      <c r="AD741" s="935">
        <f>IF(ISERROR(VLOOKUP(AD$2,X742:X$1003,1,FALSE)),IF(X741=AD$2,SUMIF(X$4:X741,AD$2,Z$4:Z741)+$E$9+SUM(AQ$4:AQ$1003)+SUMIF(COSTI!$X$1379:$X$1430,AD$2,COSTI!$Z$1379:$Z$1430),0),0)</f>
        <v>0</v>
      </c>
      <c r="AE741" s="26"/>
      <c r="AF741" s="856" t="e">
        <f>IF(ISERROR(VLOOKUP(AG$2,X742:X$1003,1,FALSE)),IF(X741=AG$2,SUMIF(X$4:X741,AG$2,Z$4:Z741)+VLOOKUP(AF$2,$B$1057:$F$1068,5,FALSE)+SUM(AR$4:AR$1003)+SUMIF(COSTI!$X$1379:$X$1430,AG$2,COSTI!$Z$1379:$Z$1430),0),0)</f>
        <v>#N/A</v>
      </c>
      <c r="AG741" s="859"/>
      <c r="AH741" s="27" t="str">
        <f t="shared" si="139"/>
        <v/>
      </c>
      <c r="AI741" s="152">
        <f ca="1">IF(W742&gt;0,0,IF(AH741=0,(Z741*-1)+BC741+SUM(BB$4:BB740),BC741+SUM(BB$4:BB740)))</f>
        <v>-2.1316282072803006E-13</v>
      </c>
      <c r="AJ741" s="931">
        <f>IF(AND(AL741&gt;=$U$1,AL741&lt;=$U$2),IF(AM741='ESTRATTO CONTO'!$E$2,1+COUNTIF(AJ$4:AJ740,"&gt;0")+U$1015,0),0)</f>
        <v>0</v>
      </c>
      <c r="AK741" s="203">
        <f>IF(AND(OR((AK740+1)&lt;AL$1015,(AK740+1)=AL$1015),MAX(AK$4:AK740)&lt;AL$1015),AK740+1,0)</f>
        <v>0</v>
      </c>
      <c r="AL741" s="309">
        <f>VLOOKUP($AK741,ENTI!$AF$4:AG$1003,2,FALSE)</f>
        <v>0</v>
      </c>
      <c r="AM741" s="224">
        <f>VLOOKUP($AK741,ENTI!$AF$4:AH$1003,3,FALSE)</f>
        <v>0</v>
      </c>
      <c r="AN741" s="224">
        <f>VLOOKUP($AK741,ENTI!$AF$4:AI$1003,4,FALSE)</f>
        <v>0</v>
      </c>
      <c r="AO741" s="781">
        <f>VLOOKUP($AK741,ENTI!$AF$4:AJ$1003,5,FALSE)</f>
        <v>0</v>
      </c>
      <c r="AP741" s="315">
        <f>VLOOKUP($AK741,ENTI!$AF$4:AK$1003,6,FALSE)</f>
        <v>0</v>
      </c>
      <c r="AQ741" s="208">
        <f t="shared" si="146"/>
        <v>0</v>
      </c>
      <c r="AR741" s="152" t="e">
        <f t="shared" si="147"/>
        <v>#N/A</v>
      </c>
      <c r="AS741" s="1"/>
      <c r="AT741" s="88" t="str">
        <f t="shared" si="140"/>
        <v/>
      </c>
      <c r="AU741" s="1"/>
      <c r="AV741" s="175">
        <f>IF(AW741&gt;0,COUNTIF(AV$4:AV740,"&gt;0")+1,0)</f>
        <v>0</v>
      </c>
      <c r="AW741" s="164">
        <f t="shared" si="141"/>
        <v>0</v>
      </c>
      <c r="AX741" s="310">
        <f>IF($AW741=0,0,VLOOKUP(VLOOKUP($X741,$B$34:$T$38,19,FALSE),ENTI!$A$9:$B$13,2,FALSE))</f>
        <v>0</v>
      </c>
      <c r="AY741" s="310">
        <f t="shared" si="143"/>
        <v>0</v>
      </c>
      <c r="AZ741" s="316">
        <f t="shared" si="144"/>
        <v>0</v>
      </c>
      <c r="BA741" s="1"/>
      <c r="BB741" s="152">
        <f t="shared" si="145"/>
        <v>0</v>
      </c>
      <c r="BC741" s="152">
        <f ca="1">SUM(Z$4:Z741)+SUM(BB$4:BB741)+COSTI!S$6-COSTI!L$1076</f>
        <v>-31.760000000000218</v>
      </c>
      <c r="BD741" s="1"/>
    </row>
    <row r="742" spans="1:56" ht="16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435">
        <f>IF(AND(W742&gt;=$U$1,W742&lt;=$U$2),IF(X742='ESTRATTO CONTO'!$E$2,1+COUNTIF(U$4:U741,"&gt;0"),0),0)</f>
        <v>0</v>
      </c>
      <c r="V742" s="417">
        <f t="shared" si="142"/>
        <v>739</v>
      </c>
      <c r="W742" s="509"/>
      <c r="X742" s="321"/>
      <c r="Y742" s="321"/>
      <c r="Z742" s="508"/>
      <c r="AA742" s="356"/>
      <c r="AB742" s="306" t="str">
        <f t="shared" si="138"/>
        <v/>
      </c>
      <c r="AC742" s="637">
        <f t="shared" ca="1" si="137"/>
        <v>-2.1316282072803006E-13</v>
      </c>
      <c r="AD742" s="935">
        <f>IF(ISERROR(VLOOKUP(AD$2,X743:X$1003,1,FALSE)),IF(X742=AD$2,SUMIF(X$4:X742,AD$2,Z$4:Z742)+$E$9+SUM(AQ$4:AQ$1003)+SUMIF(COSTI!$X$1379:$X$1430,AD$2,COSTI!$Z$1379:$Z$1430),0),0)</f>
        <v>0</v>
      </c>
      <c r="AE742" s="26"/>
      <c r="AF742" s="856" t="e">
        <f>IF(ISERROR(VLOOKUP(AG$2,X743:X$1003,1,FALSE)),IF(X742=AG$2,SUMIF(X$4:X742,AG$2,Z$4:Z742)+VLOOKUP(AF$2,$B$1057:$F$1068,5,FALSE)+SUM(AR$4:AR$1003)+SUMIF(COSTI!$X$1379:$X$1430,AG$2,COSTI!$Z$1379:$Z$1430),0),0)</f>
        <v>#N/A</v>
      </c>
      <c r="AG742" s="859"/>
      <c r="AH742" s="27" t="str">
        <f t="shared" si="139"/>
        <v/>
      </c>
      <c r="AI742" s="152">
        <f ca="1">IF(W743&gt;0,0,IF(AH742=0,(Z742*-1)+BC742+SUM(BB$4:BB741),BC742+SUM(BB$4:BB741)))</f>
        <v>-2.1316282072803006E-13</v>
      </c>
      <c r="AJ742" s="931">
        <f>IF(AND(AL742&gt;=$U$1,AL742&lt;=$U$2),IF(AM742='ESTRATTO CONTO'!$E$2,1+COUNTIF(AJ$4:AJ741,"&gt;0")+U$1015,0),0)</f>
        <v>0</v>
      </c>
      <c r="AK742" s="203">
        <f>IF(AND(OR((AK741+1)&lt;AL$1015,(AK741+1)=AL$1015),MAX(AK$4:AK741)&lt;AL$1015),AK741+1,0)</f>
        <v>0</v>
      </c>
      <c r="AL742" s="309">
        <f>VLOOKUP($AK742,ENTI!$AF$4:AG$1003,2,FALSE)</f>
        <v>0</v>
      </c>
      <c r="AM742" s="224">
        <f>VLOOKUP($AK742,ENTI!$AF$4:AH$1003,3,FALSE)</f>
        <v>0</v>
      </c>
      <c r="AN742" s="224">
        <f>VLOOKUP($AK742,ENTI!$AF$4:AI$1003,4,FALSE)</f>
        <v>0</v>
      </c>
      <c r="AO742" s="781">
        <f>VLOOKUP($AK742,ENTI!$AF$4:AJ$1003,5,FALSE)</f>
        <v>0</v>
      </c>
      <c r="AP742" s="315">
        <f>VLOOKUP($AK742,ENTI!$AF$4:AK$1003,6,FALSE)</f>
        <v>0</v>
      </c>
      <c r="AQ742" s="208">
        <f t="shared" si="146"/>
        <v>0</v>
      </c>
      <c r="AR742" s="152" t="e">
        <f t="shared" si="147"/>
        <v>#N/A</v>
      </c>
      <c r="AS742" s="1"/>
      <c r="AT742" s="88" t="str">
        <f t="shared" si="140"/>
        <v/>
      </c>
      <c r="AU742" s="1"/>
      <c r="AV742" s="175">
        <f>IF(AW742&gt;0,COUNTIF(AV$4:AV741,"&gt;0")+1,0)</f>
        <v>0</v>
      </c>
      <c r="AW742" s="164">
        <f t="shared" si="141"/>
        <v>0</v>
      </c>
      <c r="AX742" s="310">
        <f>IF($AW742=0,0,VLOOKUP(VLOOKUP($X742,$B$34:$T$38,19,FALSE),ENTI!$A$9:$B$13,2,FALSE))</f>
        <v>0</v>
      </c>
      <c r="AY742" s="310">
        <f t="shared" si="143"/>
        <v>0</v>
      </c>
      <c r="AZ742" s="316">
        <f t="shared" si="144"/>
        <v>0</v>
      </c>
      <c r="BA742" s="1"/>
      <c r="BB742" s="152">
        <f t="shared" si="145"/>
        <v>0</v>
      </c>
      <c r="BC742" s="152">
        <f ca="1">SUM(Z$4:Z742)+SUM(BB$4:BB742)+COSTI!S$6-COSTI!L$1076</f>
        <v>-31.760000000000218</v>
      </c>
      <c r="BD742" s="1"/>
    </row>
    <row r="743" spans="1:56" ht="16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435">
        <f>IF(AND(W743&gt;=$U$1,W743&lt;=$U$2),IF(X743='ESTRATTO CONTO'!$E$2,1+COUNTIF(U$4:U742,"&gt;0"),0),0)</f>
        <v>0</v>
      </c>
      <c r="V743" s="417">
        <f t="shared" si="142"/>
        <v>740</v>
      </c>
      <c r="W743" s="509"/>
      <c r="X743" s="321"/>
      <c r="Y743" s="321"/>
      <c r="Z743" s="508"/>
      <c r="AA743" s="356"/>
      <c r="AB743" s="306" t="str">
        <f t="shared" si="138"/>
        <v/>
      </c>
      <c r="AC743" s="637">
        <f t="shared" ca="1" si="137"/>
        <v>-2.1316282072803006E-13</v>
      </c>
      <c r="AD743" s="935">
        <f>IF(ISERROR(VLOOKUP(AD$2,X744:X$1003,1,FALSE)),IF(X743=AD$2,SUMIF(X$4:X743,AD$2,Z$4:Z743)+$E$9+SUM(AQ$4:AQ$1003)+SUMIF(COSTI!$X$1379:$X$1430,AD$2,COSTI!$Z$1379:$Z$1430),0),0)</f>
        <v>0</v>
      </c>
      <c r="AE743" s="26"/>
      <c r="AF743" s="856" t="e">
        <f>IF(ISERROR(VLOOKUP(AG$2,X744:X$1003,1,FALSE)),IF(X743=AG$2,SUMIF(X$4:X743,AG$2,Z$4:Z743)+VLOOKUP(AF$2,$B$1057:$F$1068,5,FALSE)+SUM(AR$4:AR$1003)+SUMIF(COSTI!$X$1379:$X$1430,AG$2,COSTI!$Z$1379:$Z$1430),0),0)</f>
        <v>#N/A</v>
      </c>
      <c r="AG743" s="859"/>
      <c r="AH743" s="27" t="str">
        <f t="shared" si="139"/>
        <v/>
      </c>
      <c r="AI743" s="152">
        <f ca="1">IF(W744&gt;0,0,IF(AH743=0,(Z743*-1)+BC743+SUM(BB$4:BB742),BC743+SUM(BB$4:BB742)))</f>
        <v>-2.1316282072803006E-13</v>
      </c>
      <c r="AJ743" s="931">
        <f>IF(AND(AL743&gt;=$U$1,AL743&lt;=$U$2),IF(AM743='ESTRATTO CONTO'!$E$2,1+COUNTIF(AJ$4:AJ742,"&gt;0")+U$1015,0),0)</f>
        <v>0</v>
      </c>
      <c r="AK743" s="203">
        <f>IF(AND(OR((AK742+1)&lt;AL$1015,(AK742+1)=AL$1015),MAX(AK$4:AK742)&lt;AL$1015),AK742+1,0)</f>
        <v>0</v>
      </c>
      <c r="AL743" s="309">
        <f>VLOOKUP($AK743,ENTI!$AF$4:AG$1003,2,FALSE)</f>
        <v>0</v>
      </c>
      <c r="AM743" s="224">
        <f>VLOOKUP($AK743,ENTI!$AF$4:AH$1003,3,FALSE)</f>
        <v>0</v>
      </c>
      <c r="AN743" s="224">
        <f>VLOOKUP($AK743,ENTI!$AF$4:AI$1003,4,FALSE)</f>
        <v>0</v>
      </c>
      <c r="AO743" s="781">
        <f>VLOOKUP($AK743,ENTI!$AF$4:AJ$1003,5,FALSE)</f>
        <v>0</v>
      </c>
      <c r="AP743" s="315">
        <f>VLOOKUP($AK743,ENTI!$AF$4:AK$1003,6,FALSE)</f>
        <v>0</v>
      </c>
      <c r="AQ743" s="208">
        <f t="shared" si="146"/>
        <v>0</v>
      </c>
      <c r="AR743" s="152" t="e">
        <f t="shared" si="147"/>
        <v>#N/A</v>
      </c>
      <c r="AS743" s="1"/>
      <c r="AT743" s="88" t="str">
        <f t="shared" si="140"/>
        <v/>
      </c>
      <c r="AU743" s="1"/>
      <c r="AV743" s="175">
        <f>IF(AW743&gt;0,COUNTIF(AV$4:AV742,"&gt;0")+1,0)</f>
        <v>0</v>
      </c>
      <c r="AW743" s="164">
        <f t="shared" si="141"/>
        <v>0</v>
      </c>
      <c r="AX743" s="310">
        <f>IF($AW743=0,0,VLOOKUP(VLOOKUP($X743,$B$34:$T$38,19,FALSE),ENTI!$A$9:$B$13,2,FALSE))</f>
        <v>0</v>
      </c>
      <c r="AY743" s="310">
        <f t="shared" si="143"/>
        <v>0</v>
      </c>
      <c r="AZ743" s="316">
        <f t="shared" si="144"/>
        <v>0</v>
      </c>
      <c r="BA743" s="1"/>
      <c r="BB743" s="152">
        <f t="shared" si="145"/>
        <v>0</v>
      </c>
      <c r="BC743" s="152">
        <f ca="1">SUM(Z$4:Z743)+SUM(BB$4:BB743)+COSTI!S$6-COSTI!L$1076</f>
        <v>-31.760000000000218</v>
      </c>
      <c r="BD743" s="1"/>
    </row>
    <row r="744" spans="1:56" ht="16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435">
        <f>IF(AND(W744&gt;=$U$1,W744&lt;=$U$2),IF(X744='ESTRATTO CONTO'!$E$2,1+COUNTIF(U$4:U743,"&gt;0"),0),0)</f>
        <v>0</v>
      </c>
      <c r="V744" s="417">
        <f t="shared" si="142"/>
        <v>741</v>
      </c>
      <c r="W744" s="509"/>
      <c r="X744" s="321"/>
      <c r="Y744" s="321"/>
      <c r="Z744" s="508"/>
      <c r="AA744" s="356"/>
      <c r="AB744" s="306" t="str">
        <f t="shared" si="138"/>
        <v/>
      </c>
      <c r="AC744" s="637">
        <f t="shared" ca="1" si="137"/>
        <v>-2.1316282072803006E-13</v>
      </c>
      <c r="AD744" s="935">
        <f>IF(ISERROR(VLOOKUP(AD$2,X745:X$1003,1,FALSE)),IF(X744=AD$2,SUMIF(X$4:X744,AD$2,Z$4:Z744)+$E$9+SUM(AQ$4:AQ$1003)+SUMIF(COSTI!$X$1379:$X$1430,AD$2,COSTI!$Z$1379:$Z$1430),0),0)</f>
        <v>0</v>
      </c>
      <c r="AE744" s="26"/>
      <c r="AF744" s="856" t="e">
        <f>IF(ISERROR(VLOOKUP(AG$2,X745:X$1003,1,FALSE)),IF(X744=AG$2,SUMIF(X$4:X744,AG$2,Z$4:Z744)+VLOOKUP(AF$2,$B$1057:$F$1068,5,FALSE)+SUM(AR$4:AR$1003)+SUMIF(COSTI!$X$1379:$X$1430,AG$2,COSTI!$Z$1379:$Z$1430),0),0)</f>
        <v>#N/A</v>
      </c>
      <c r="AG744" s="859"/>
      <c r="AH744" s="27" t="str">
        <f t="shared" si="139"/>
        <v/>
      </c>
      <c r="AI744" s="152">
        <f ca="1">IF(W745&gt;0,0,IF(AH744=0,(Z744*-1)+BC744+SUM(BB$4:BB743),BC744+SUM(BB$4:BB743)))</f>
        <v>-2.1316282072803006E-13</v>
      </c>
      <c r="AJ744" s="931">
        <f>IF(AND(AL744&gt;=$U$1,AL744&lt;=$U$2),IF(AM744='ESTRATTO CONTO'!$E$2,1+COUNTIF(AJ$4:AJ743,"&gt;0")+U$1015,0),0)</f>
        <v>0</v>
      </c>
      <c r="AK744" s="203">
        <f>IF(AND(OR((AK743+1)&lt;AL$1015,(AK743+1)=AL$1015),MAX(AK$4:AK743)&lt;AL$1015),AK743+1,0)</f>
        <v>0</v>
      </c>
      <c r="AL744" s="309">
        <f>VLOOKUP($AK744,ENTI!$AF$4:AG$1003,2,FALSE)</f>
        <v>0</v>
      </c>
      <c r="AM744" s="224">
        <f>VLOOKUP($AK744,ENTI!$AF$4:AH$1003,3,FALSE)</f>
        <v>0</v>
      </c>
      <c r="AN744" s="224">
        <f>VLOOKUP($AK744,ENTI!$AF$4:AI$1003,4,FALSE)</f>
        <v>0</v>
      </c>
      <c r="AO744" s="781">
        <f>VLOOKUP($AK744,ENTI!$AF$4:AJ$1003,5,FALSE)</f>
        <v>0</v>
      </c>
      <c r="AP744" s="315">
        <f>VLOOKUP($AK744,ENTI!$AF$4:AK$1003,6,FALSE)</f>
        <v>0</v>
      </c>
      <c r="AQ744" s="208">
        <f t="shared" si="146"/>
        <v>0</v>
      </c>
      <c r="AR744" s="152" t="e">
        <f t="shared" si="147"/>
        <v>#N/A</v>
      </c>
      <c r="AS744" s="1"/>
      <c r="AT744" s="88" t="str">
        <f t="shared" si="140"/>
        <v/>
      </c>
      <c r="AU744" s="1"/>
      <c r="AV744" s="175">
        <f>IF(AW744&gt;0,COUNTIF(AV$4:AV743,"&gt;0")+1,0)</f>
        <v>0</v>
      </c>
      <c r="AW744" s="164">
        <f t="shared" si="141"/>
        <v>0</v>
      </c>
      <c r="AX744" s="310">
        <f>IF($AW744=0,0,VLOOKUP(VLOOKUP($X744,$B$34:$T$38,19,FALSE),ENTI!$A$9:$B$13,2,FALSE))</f>
        <v>0</v>
      </c>
      <c r="AY744" s="310">
        <f t="shared" si="143"/>
        <v>0</v>
      </c>
      <c r="AZ744" s="316">
        <f t="shared" si="144"/>
        <v>0</v>
      </c>
      <c r="BA744" s="1"/>
      <c r="BB744" s="152">
        <f t="shared" si="145"/>
        <v>0</v>
      </c>
      <c r="BC744" s="152">
        <f ca="1">SUM(Z$4:Z744)+SUM(BB$4:BB744)+COSTI!S$6-COSTI!L$1076</f>
        <v>-31.760000000000218</v>
      </c>
      <c r="BD744" s="1"/>
    </row>
    <row r="745" spans="1:56" ht="16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435">
        <f>IF(AND(W745&gt;=$U$1,W745&lt;=$U$2),IF(X745='ESTRATTO CONTO'!$E$2,1+COUNTIF(U$4:U744,"&gt;0"),0),0)</f>
        <v>0</v>
      </c>
      <c r="V745" s="417">
        <f t="shared" si="142"/>
        <v>742</v>
      </c>
      <c r="W745" s="509"/>
      <c r="X745" s="321"/>
      <c r="Y745" s="321"/>
      <c r="Z745" s="508"/>
      <c r="AA745" s="356"/>
      <c r="AB745" s="306" t="str">
        <f t="shared" si="138"/>
        <v/>
      </c>
      <c r="AC745" s="637">
        <f t="shared" ca="1" si="137"/>
        <v>-2.1316282072803006E-13</v>
      </c>
      <c r="AD745" s="935">
        <f>IF(ISERROR(VLOOKUP(AD$2,X746:X$1003,1,FALSE)),IF(X745=AD$2,SUMIF(X$4:X745,AD$2,Z$4:Z745)+$E$9+SUM(AQ$4:AQ$1003)+SUMIF(COSTI!$X$1379:$X$1430,AD$2,COSTI!$Z$1379:$Z$1430),0),0)</f>
        <v>0</v>
      </c>
      <c r="AE745" s="26"/>
      <c r="AF745" s="856" t="e">
        <f>IF(ISERROR(VLOOKUP(AG$2,X746:X$1003,1,FALSE)),IF(X745=AG$2,SUMIF(X$4:X745,AG$2,Z$4:Z745)+VLOOKUP(AF$2,$B$1057:$F$1068,5,FALSE)+SUM(AR$4:AR$1003)+SUMIF(COSTI!$X$1379:$X$1430,AG$2,COSTI!$Z$1379:$Z$1430),0),0)</f>
        <v>#N/A</v>
      </c>
      <c r="AG745" s="859"/>
      <c r="AH745" s="27" t="str">
        <f t="shared" si="139"/>
        <v/>
      </c>
      <c r="AI745" s="152">
        <f ca="1">IF(W746&gt;0,0,IF(AH745=0,(Z745*-1)+BC745+SUM(BB$4:BB744),BC745+SUM(BB$4:BB744)))</f>
        <v>-2.1316282072803006E-13</v>
      </c>
      <c r="AJ745" s="931">
        <f>IF(AND(AL745&gt;=$U$1,AL745&lt;=$U$2),IF(AM745='ESTRATTO CONTO'!$E$2,1+COUNTIF(AJ$4:AJ744,"&gt;0")+U$1015,0),0)</f>
        <v>0</v>
      </c>
      <c r="AK745" s="203">
        <f>IF(AND(OR((AK744+1)&lt;AL$1015,(AK744+1)=AL$1015),MAX(AK$4:AK744)&lt;AL$1015),AK744+1,0)</f>
        <v>0</v>
      </c>
      <c r="AL745" s="309">
        <f>VLOOKUP($AK745,ENTI!$AF$4:AG$1003,2,FALSE)</f>
        <v>0</v>
      </c>
      <c r="AM745" s="224">
        <f>VLOOKUP($AK745,ENTI!$AF$4:AH$1003,3,FALSE)</f>
        <v>0</v>
      </c>
      <c r="AN745" s="224">
        <f>VLOOKUP($AK745,ENTI!$AF$4:AI$1003,4,FALSE)</f>
        <v>0</v>
      </c>
      <c r="AO745" s="781">
        <f>VLOOKUP($AK745,ENTI!$AF$4:AJ$1003,5,FALSE)</f>
        <v>0</v>
      </c>
      <c r="AP745" s="315">
        <f>VLOOKUP($AK745,ENTI!$AF$4:AK$1003,6,FALSE)</f>
        <v>0</v>
      </c>
      <c r="AQ745" s="208">
        <f t="shared" si="146"/>
        <v>0</v>
      </c>
      <c r="AR745" s="152" t="e">
        <f t="shared" si="147"/>
        <v>#N/A</v>
      </c>
      <c r="AS745" s="1"/>
      <c r="AT745" s="88" t="str">
        <f t="shared" si="140"/>
        <v/>
      </c>
      <c r="AU745" s="1"/>
      <c r="AV745" s="175">
        <f>IF(AW745&gt;0,COUNTIF(AV$4:AV744,"&gt;0")+1,0)</f>
        <v>0</v>
      </c>
      <c r="AW745" s="164">
        <f t="shared" si="141"/>
        <v>0</v>
      </c>
      <c r="AX745" s="310">
        <f>IF($AW745=0,0,VLOOKUP(VLOOKUP($X745,$B$34:$T$38,19,FALSE),ENTI!$A$9:$B$13,2,FALSE))</f>
        <v>0</v>
      </c>
      <c r="AY745" s="310">
        <f t="shared" si="143"/>
        <v>0</v>
      </c>
      <c r="AZ745" s="316">
        <f t="shared" si="144"/>
        <v>0</v>
      </c>
      <c r="BA745" s="1"/>
      <c r="BB745" s="152">
        <f t="shared" si="145"/>
        <v>0</v>
      </c>
      <c r="BC745" s="152">
        <f ca="1">SUM(Z$4:Z745)+SUM(BB$4:BB745)+COSTI!S$6-COSTI!L$1076</f>
        <v>-31.760000000000218</v>
      </c>
      <c r="BD745" s="1"/>
    </row>
    <row r="746" spans="1:56" ht="16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435">
        <f>IF(AND(W746&gt;=$U$1,W746&lt;=$U$2),IF(X746='ESTRATTO CONTO'!$E$2,1+COUNTIF(U$4:U745,"&gt;0"),0),0)</f>
        <v>0</v>
      </c>
      <c r="V746" s="417">
        <f t="shared" si="142"/>
        <v>743</v>
      </c>
      <c r="W746" s="509"/>
      <c r="X746" s="321"/>
      <c r="Y746" s="321"/>
      <c r="Z746" s="508"/>
      <c r="AA746" s="356"/>
      <c r="AB746" s="306" t="str">
        <f t="shared" si="138"/>
        <v/>
      </c>
      <c r="AC746" s="637">
        <f t="shared" ca="1" si="137"/>
        <v>-2.1316282072803006E-13</v>
      </c>
      <c r="AD746" s="935">
        <f>IF(ISERROR(VLOOKUP(AD$2,X747:X$1003,1,FALSE)),IF(X746=AD$2,SUMIF(X$4:X746,AD$2,Z$4:Z746)+$E$9+SUM(AQ$4:AQ$1003)+SUMIF(COSTI!$X$1379:$X$1430,AD$2,COSTI!$Z$1379:$Z$1430),0),0)</f>
        <v>0</v>
      </c>
      <c r="AE746" s="26"/>
      <c r="AF746" s="856" t="e">
        <f>IF(ISERROR(VLOOKUP(AG$2,X747:X$1003,1,FALSE)),IF(X746=AG$2,SUMIF(X$4:X746,AG$2,Z$4:Z746)+VLOOKUP(AF$2,$B$1057:$F$1068,5,FALSE)+SUM(AR$4:AR$1003)+SUMIF(COSTI!$X$1379:$X$1430,AG$2,COSTI!$Z$1379:$Z$1430),0),0)</f>
        <v>#N/A</v>
      </c>
      <c r="AG746" s="859"/>
      <c r="AH746" s="27" t="str">
        <f t="shared" si="139"/>
        <v/>
      </c>
      <c r="AI746" s="152">
        <f ca="1">IF(W747&gt;0,0,IF(AH746=0,(Z746*-1)+BC746+SUM(BB$4:BB745),BC746+SUM(BB$4:BB745)))</f>
        <v>-2.1316282072803006E-13</v>
      </c>
      <c r="AJ746" s="931">
        <f>IF(AND(AL746&gt;=$U$1,AL746&lt;=$U$2),IF(AM746='ESTRATTO CONTO'!$E$2,1+COUNTIF(AJ$4:AJ745,"&gt;0")+U$1015,0),0)</f>
        <v>0</v>
      </c>
      <c r="AK746" s="203">
        <f>IF(AND(OR((AK745+1)&lt;AL$1015,(AK745+1)=AL$1015),MAX(AK$4:AK745)&lt;AL$1015),AK745+1,0)</f>
        <v>0</v>
      </c>
      <c r="AL746" s="309">
        <f>VLOOKUP($AK746,ENTI!$AF$4:AG$1003,2,FALSE)</f>
        <v>0</v>
      </c>
      <c r="AM746" s="224">
        <f>VLOOKUP($AK746,ENTI!$AF$4:AH$1003,3,FALSE)</f>
        <v>0</v>
      </c>
      <c r="AN746" s="224">
        <f>VLOOKUP($AK746,ENTI!$AF$4:AI$1003,4,FALSE)</f>
        <v>0</v>
      </c>
      <c r="AO746" s="781">
        <f>VLOOKUP($AK746,ENTI!$AF$4:AJ$1003,5,FALSE)</f>
        <v>0</v>
      </c>
      <c r="AP746" s="315">
        <f>VLOOKUP($AK746,ENTI!$AF$4:AK$1003,6,FALSE)</f>
        <v>0</v>
      </c>
      <c r="AQ746" s="208">
        <f t="shared" si="146"/>
        <v>0</v>
      </c>
      <c r="AR746" s="152" t="e">
        <f t="shared" si="147"/>
        <v>#N/A</v>
      </c>
      <c r="AS746" s="1"/>
      <c r="AT746" s="88" t="str">
        <f t="shared" si="140"/>
        <v/>
      </c>
      <c r="AU746" s="1"/>
      <c r="AV746" s="175">
        <f>IF(AW746&gt;0,COUNTIF(AV$4:AV745,"&gt;0")+1,0)</f>
        <v>0</v>
      </c>
      <c r="AW746" s="164">
        <f t="shared" si="141"/>
        <v>0</v>
      </c>
      <c r="AX746" s="310">
        <f>IF($AW746=0,0,VLOOKUP(VLOOKUP($X746,$B$34:$T$38,19,FALSE),ENTI!$A$9:$B$13,2,FALSE))</f>
        <v>0</v>
      </c>
      <c r="AY746" s="310">
        <f t="shared" si="143"/>
        <v>0</v>
      </c>
      <c r="AZ746" s="316">
        <f t="shared" si="144"/>
        <v>0</v>
      </c>
      <c r="BA746" s="1"/>
      <c r="BB746" s="152">
        <f t="shared" si="145"/>
        <v>0</v>
      </c>
      <c r="BC746" s="152">
        <f ca="1">SUM(Z$4:Z746)+SUM(BB$4:BB746)+COSTI!S$6-COSTI!L$1076</f>
        <v>-31.760000000000218</v>
      </c>
      <c r="BD746" s="1"/>
    </row>
    <row r="747" spans="1:56" ht="16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435">
        <f>IF(AND(W747&gt;=$U$1,W747&lt;=$U$2),IF(X747='ESTRATTO CONTO'!$E$2,1+COUNTIF(U$4:U746,"&gt;0"),0),0)</f>
        <v>0</v>
      </c>
      <c r="V747" s="417">
        <f t="shared" si="142"/>
        <v>744</v>
      </c>
      <c r="W747" s="509"/>
      <c r="X747" s="321"/>
      <c r="Y747" s="321"/>
      <c r="Z747" s="508"/>
      <c r="AA747" s="356"/>
      <c r="AB747" s="306" t="str">
        <f t="shared" si="138"/>
        <v/>
      </c>
      <c r="AC747" s="637">
        <f t="shared" ca="1" si="137"/>
        <v>-2.1316282072803006E-13</v>
      </c>
      <c r="AD747" s="935">
        <f>IF(ISERROR(VLOOKUP(AD$2,X748:X$1003,1,FALSE)),IF(X747=AD$2,SUMIF(X$4:X747,AD$2,Z$4:Z747)+$E$9+SUM(AQ$4:AQ$1003)+SUMIF(COSTI!$X$1379:$X$1430,AD$2,COSTI!$Z$1379:$Z$1430),0),0)</f>
        <v>0</v>
      </c>
      <c r="AE747" s="26"/>
      <c r="AF747" s="856" t="e">
        <f>IF(ISERROR(VLOOKUP(AG$2,X748:X$1003,1,FALSE)),IF(X747=AG$2,SUMIF(X$4:X747,AG$2,Z$4:Z747)+VLOOKUP(AF$2,$B$1057:$F$1068,5,FALSE)+SUM(AR$4:AR$1003)+SUMIF(COSTI!$X$1379:$X$1430,AG$2,COSTI!$Z$1379:$Z$1430),0),0)</f>
        <v>#N/A</v>
      </c>
      <c r="AG747" s="859"/>
      <c r="AH747" s="27" t="str">
        <f t="shared" si="139"/>
        <v/>
      </c>
      <c r="AI747" s="152">
        <f ca="1">IF(W748&gt;0,0,IF(AH747=0,(Z747*-1)+BC747+SUM(BB$4:BB746),BC747+SUM(BB$4:BB746)))</f>
        <v>-2.1316282072803006E-13</v>
      </c>
      <c r="AJ747" s="931">
        <f>IF(AND(AL747&gt;=$U$1,AL747&lt;=$U$2),IF(AM747='ESTRATTO CONTO'!$E$2,1+COUNTIF(AJ$4:AJ746,"&gt;0")+U$1015,0),0)</f>
        <v>0</v>
      </c>
      <c r="AK747" s="203">
        <f>IF(AND(OR((AK746+1)&lt;AL$1015,(AK746+1)=AL$1015),MAX(AK$4:AK746)&lt;AL$1015),AK746+1,0)</f>
        <v>0</v>
      </c>
      <c r="AL747" s="309">
        <f>VLOOKUP($AK747,ENTI!$AF$4:AG$1003,2,FALSE)</f>
        <v>0</v>
      </c>
      <c r="AM747" s="224">
        <f>VLOOKUP($AK747,ENTI!$AF$4:AH$1003,3,FALSE)</f>
        <v>0</v>
      </c>
      <c r="AN747" s="224">
        <f>VLOOKUP($AK747,ENTI!$AF$4:AI$1003,4,FALSE)</f>
        <v>0</v>
      </c>
      <c r="AO747" s="781">
        <f>VLOOKUP($AK747,ENTI!$AF$4:AJ$1003,5,FALSE)</f>
        <v>0</v>
      </c>
      <c r="AP747" s="315">
        <f>VLOOKUP($AK747,ENTI!$AF$4:AK$1003,6,FALSE)</f>
        <v>0</v>
      </c>
      <c r="AQ747" s="208">
        <f t="shared" si="146"/>
        <v>0</v>
      </c>
      <c r="AR747" s="152" t="e">
        <f t="shared" si="147"/>
        <v>#N/A</v>
      </c>
      <c r="AS747" s="1"/>
      <c r="AT747" s="88" t="str">
        <f t="shared" si="140"/>
        <v/>
      </c>
      <c r="AU747" s="1"/>
      <c r="AV747" s="175">
        <f>IF(AW747&gt;0,COUNTIF(AV$4:AV746,"&gt;0")+1,0)</f>
        <v>0</v>
      </c>
      <c r="AW747" s="164">
        <f t="shared" si="141"/>
        <v>0</v>
      </c>
      <c r="AX747" s="310">
        <f>IF($AW747=0,0,VLOOKUP(VLOOKUP($X747,$B$34:$T$38,19,FALSE),ENTI!$A$9:$B$13,2,FALSE))</f>
        <v>0</v>
      </c>
      <c r="AY747" s="310">
        <f t="shared" si="143"/>
        <v>0</v>
      </c>
      <c r="AZ747" s="316">
        <f t="shared" si="144"/>
        <v>0</v>
      </c>
      <c r="BA747" s="1"/>
      <c r="BB747" s="152">
        <f t="shared" si="145"/>
        <v>0</v>
      </c>
      <c r="BC747" s="152">
        <f ca="1">SUM(Z$4:Z747)+SUM(BB$4:BB747)+COSTI!S$6-COSTI!L$1076</f>
        <v>-31.760000000000218</v>
      </c>
      <c r="BD747" s="1"/>
    </row>
    <row r="748" spans="1:56" ht="16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435">
        <f>IF(AND(W748&gt;=$U$1,W748&lt;=$U$2),IF(X748='ESTRATTO CONTO'!$E$2,1+COUNTIF(U$4:U747,"&gt;0"),0),0)</f>
        <v>0</v>
      </c>
      <c r="V748" s="417">
        <f t="shared" si="142"/>
        <v>745</v>
      </c>
      <c r="W748" s="509"/>
      <c r="X748" s="321"/>
      <c r="Y748" s="321"/>
      <c r="Z748" s="508"/>
      <c r="AA748" s="356"/>
      <c r="AB748" s="306" t="str">
        <f t="shared" si="138"/>
        <v/>
      </c>
      <c r="AC748" s="637">
        <f t="shared" ca="1" si="137"/>
        <v>-2.1316282072803006E-13</v>
      </c>
      <c r="AD748" s="935">
        <f>IF(ISERROR(VLOOKUP(AD$2,X749:X$1003,1,FALSE)),IF(X748=AD$2,SUMIF(X$4:X748,AD$2,Z$4:Z748)+$E$9+SUM(AQ$4:AQ$1003)+SUMIF(COSTI!$X$1379:$X$1430,AD$2,COSTI!$Z$1379:$Z$1430),0),0)</f>
        <v>0</v>
      </c>
      <c r="AE748" s="26"/>
      <c r="AF748" s="856" t="e">
        <f>IF(ISERROR(VLOOKUP(AG$2,X749:X$1003,1,FALSE)),IF(X748=AG$2,SUMIF(X$4:X748,AG$2,Z$4:Z748)+VLOOKUP(AF$2,$B$1057:$F$1068,5,FALSE)+SUM(AR$4:AR$1003)+SUMIF(COSTI!$X$1379:$X$1430,AG$2,COSTI!$Z$1379:$Z$1430),0),0)</f>
        <v>#N/A</v>
      </c>
      <c r="AG748" s="859"/>
      <c r="AH748" s="27" t="str">
        <f t="shared" si="139"/>
        <v/>
      </c>
      <c r="AI748" s="152">
        <f ca="1">IF(W749&gt;0,0,IF(AH748=0,(Z748*-1)+BC748+SUM(BB$4:BB747),BC748+SUM(BB$4:BB747)))</f>
        <v>-2.1316282072803006E-13</v>
      </c>
      <c r="AJ748" s="931">
        <f>IF(AND(AL748&gt;=$U$1,AL748&lt;=$U$2),IF(AM748='ESTRATTO CONTO'!$E$2,1+COUNTIF(AJ$4:AJ747,"&gt;0")+U$1015,0),0)</f>
        <v>0</v>
      </c>
      <c r="AK748" s="203">
        <f>IF(AND(OR((AK747+1)&lt;AL$1015,(AK747+1)=AL$1015),MAX(AK$4:AK747)&lt;AL$1015),AK747+1,0)</f>
        <v>0</v>
      </c>
      <c r="AL748" s="309">
        <f>VLOOKUP($AK748,ENTI!$AF$4:AG$1003,2,FALSE)</f>
        <v>0</v>
      </c>
      <c r="AM748" s="224">
        <f>VLOOKUP($AK748,ENTI!$AF$4:AH$1003,3,FALSE)</f>
        <v>0</v>
      </c>
      <c r="AN748" s="224">
        <f>VLOOKUP($AK748,ENTI!$AF$4:AI$1003,4,FALSE)</f>
        <v>0</v>
      </c>
      <c r="AO748" s="781">
        <f>VLOOKUP($AK748,ENTI!$AF$4:AJ$1003,5,FALSE)</f>
        <v>0</v>
      </c>
      <c r="AP748" s="315">
        <f>VLOOKUP($AK748,ENTI!$AF$4:AK$1003,6,FALSE)</f>
        <v>0</v>
      </c>
      <c r="AQ748" s="208">
        <f t="shared" si="146"/>
        <v>0</v>
      </c>
      <c r="AR748" s="152" t="e">
        <f t="shared" si="147"/>
        <v>#N/A</v>
      </c>
      <c r="AS748" s="1"/>
      <c r="AT748" s="88" t="str">
        <f t="shared" si="140"/>
        <v/>
      </c>
      <c r="AU748" s="1"/>
      <c r="AV748" s="175">
        <f>IF(AW748&gt;0,COUNTIF(AV$4:AV747,"&gt;0")+1,0)</f>
        <v>0</v>
      </c>
      <c r="AW748" s="164">
        <f t="shared" si="141"/>
        <v>0</v>
      </c>
      <c r="AX748" s="310">
        <f>IF($AW748=0,0,VLOOKUP(VLOOKUP($X748,$B$34:$T$38,19,FALSE),ENTI!$A$9:$B$13,2,FALSE))</f>
        <v>0</v>
      </c>
      <c r="AY748" s="310">
        <f t="shared" si="143"/>
        <v>0</v>
      </c>
      <c r="AZ748" s="316">
        <f t="shared" si="144"/>
        <v>0</v>
      </c>
      <c r="BA748" s="1"/>
      <c r="BB748" s="152">
        <f t="shared" si="145"/>
        <v>0</v>
      </c>
      <c r="BC748" s="152">
        <f ca="1">SUM(Z$4:Z748)+SUM(BB$4:BB748)+COSTI!S$6-COSTI!L$1076</f>
        <v>-31.760000000000218</v>
      </c>
      <c r="BD748" s="1"/>
    </row>
    <row r="749" spans="1:56" ht="16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435">
        <f>IF(AND(W749&gt;=$U$1,W749&lt;=$U$2),IF(X749='ESTRATTO CONTO'!$E$2,1+COUNTIF(U$4:U748,"&gt;0"),0),0)</f>
        <v>0</v>
      </c>
      <c r="V749" s="417">
        <f t="shared" si="142"/>
        <v>746</v>
      </c>
      <c r="W749" s="509"/>
      <c r="X749" s="321"/>
      <c r="Y749" s="321"/>
      <c r="Z749" s="508"/>
      <c r="AA749" s="356"/>
      <c r="AB749" s="306" t="str">
        <f t="shared" si="138"/>
        <v/>
      </c>
      <c r="AC749" s="637">
        <f t="shared" ca="1" si="137"/>
        <v>-2.1316282072803006E-13</v>
      </c>
      <c r="AD749" s="935">
        <f>IF(ISERROR(VLOOKUP(AD$2,X750:X$1003,1,FALSE)),IF(X749=AD$2,SUMIF(X$4:X749,AD$2,Z$4:Z749)+$E$9+SUM(AQ$4:AQ$1003)+SUMIF(COSTI!$X$1379:$X$1430,AD$2,COSTI!$Z$1379:$Z$1430),0),0)</f>
        <v>0</v>
      </c>
      <c r="AE749" s="26"/>
      <c r="AF749" s="856" t="e">
        <f>IF(ISERROR(VLOOKUP(AG$2,X750:X$1003,1,FALSE)),IF(X749=AG$2,SUMIF(X$4:X749,AG$2,Z$4:Z749)+VLOOKUP(AF$2,$B$1057:$F$1068,5,FALSE)+SUM(AR$4:AR$1003)+SUMIF(COSTI!$X$1379:$X$1430,AG$2,COSTI!$Z$1379:$Z$1430),0),0)</f>
        <v>#N/A</v>
      </c>
      <c r="AG749" s="859"/>
      <c r="AH749" s="27" t="str">
        <f t="shared" si="139"/>
        <v/>
      </c>
      <c r="AI749" s="152">
        <f ca="1">IF(W750&gt;0,0,IF(AH749=0,(Z749*-1)+BC749+SUM(BB$4:BB748),BC749+SUM(BB$4:BB748)))</f>
        <v>-2.1316282072803006E-13</v>
      </c>
      <c r="AJ749" s="931">
        <f>IF(AND(AL749&gt;=$U$1,AL749&lt;=$U$2),IF(AM749='ESTRATTO CONTO'!$E$2,1+COUNTIF(AJ$4:AJ748,"&gt;0")+U$1015,0),0)</f>
        <v>0</v>
      </c>
      <c r="AK749" s="203">
        <f>IF(AND(OR((AK748+1)&lt;AL$1015,(AK748+1)=AL$1015),MAX(AK$4:AK748)&lt;AL$1015),AK748+1,0)</f>
        <v>0</v>
      </c>
      <c r="AL749" s="309">
        <f>VLOOKUP($AK749,ENTI!$AF$4:AG$1003,2,FALSE)</f>
        <v>0</v>
      </c>
      <c r="AM749" s="224">
        <f>VLOOKUP($AK749,ENTI!$AF$4:AH$1003,3,FALSE)</f>
        <v>0</v>
      </c>
      <c r="AN749" s="224">
        <f>VLOOKUP($AK749,ENTI!$AF$4:AI$1003,4,FALSE)</f>
        <v>0</v>
      </c>
      <c r="AO749" s="781">
        <f>VLOOKUP($AK749,ENTI!$AF$4:AJ$1003,5,FALSE)</f>
        <v>0</v>
      </c>
      <c r="AP749" s="315">
        <f>VLOOKUP($AK749,ENTI!$AF$4:AK$1003,6,FALSE)</f>
        <v>0</v>
      </c>
      <c r="AQ749" s="208">
        <f t="shared" si="146"/>
        <v>0</v>
      </c>
      <c r="AR749" s="152" t="e">
        <f t="shared" si="147"/>
        <v>#N/A</v>
      </c>
      <c r="AS749" s="1"/>
      <c r="AT749" s="88" t="str">
        <f t="shared" si="140"/>
        <v/>
      </c>
      <c r="AU749" s="1"/>
      <c r="AV749" s="175">
        <f>IF(AW749&gt;0,COUNTIF(AV$4:AV748,"&gt;0")+1,0)</f>
        <v>0</v>
      </c>
      <c r="AW749" s="164">
        <f t="shared" si="141"/>
        <v>0</v>
      </c>
      <c r="AX749" s="310">
        <f>IF($AW749=0,0,VLOOKUP(VLOOKUP($X749,$B$34:$T$38,19,FALSE),ENTI!$A$9:$B$13,2,FALSE))</f>
        <v>0</v>
      </c>
      <c r="AY749" s="310">
        <f t="shared" si="143"/>
        <v>0</v>
      </c>
      <c r="AZ749" s="316">
        <f t="shared" si="144"/>
        <v>0</v>
      </c>
      <c r="BA749" s="1"/>
      <c r="BB749" s="152">
        <f t="shared" si="145"/>
        <v>0</v>
      </c>
      <c r="BC749" s="152">
        <f ca="1">SUM(Z$4:Z749)+SUM(BB$4:BB749)+COSTI!S$6-COSTI!L$1076</f>
        <v>-31.760000000000218</v>
      </c>
      <c r="BD749" s="1"/>
    </row>
    <row r="750" spans="1:56" ht="16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435">
        <f>IF(AND(W750&gt;=$U$1,W750&lt;=$U$2),IF(X750='ESTRATTO CONTO'!$E$2,1+COUNTIF(U$4:U749,"&gt;0"),0),0)</f>
        <v>0</v>
      </c>
      <c r="V750" s="417">
        <f t="shared" si="142"/>
        <v>747</v>
      </c>
      <c r="W750" s="509"/>
      <c r="X750" s="321"/>
      <c r="Y750" s="321"/>
      <c r="Z750" s="508"/>
      <c r="AA750" s="356"/>
      <c r="AB750" s="306" t="str">
        <f t="shared" si="138"/>
        <v/>
      </c>
      <c r="AC750" s="637">
        <f t="shared" ca="1" si="137"/>
        <v>-2.1316282072803006E-13</v>
      </c>
      <c r="AD750" s="935">
        <f>IF(ISERROR(VLOOKUP(AD$2,X751:X$1003,1,FALSE)),IF(X750=AD$2,SUMIF(X$4:X750,AD$2,Z$4:Z750)+$E$9+SUM(AQ$4:AQ$1003)+SUMIF(COSTI!$X$1379:$X$1430,AD$2,COSTI!$Z$1379:$Z$1430),0),0)</f>
        <v>0</v>
      </c>
      <c r="AE750" s="26"/>
      <c r="AF750" s="856" t="e">
        <f>IF(ISERROR(VLOOKUP(AG$2,X751:X$1003,1,FALSE)),IF(X750=AG$2,SUMIF(X$4:X750,AG$2,Z$4:Z750)+VLOOKUP(AF$2,$B$1057:$F$1068,5,FALSE)+SUM(AR$4:AR$1003)+SUMIF(COSTI!$X$1379:$X$1430,AG$2,COSTI!$Z$1379:$Z$1430),0),0)</f>
        <v>#N/A</v>
      </c>
      <c r="AG750" s="859"/>
      <c r="AH750" s="27" t="str">
        <f t="shared" si="139"/>
        <v/>
      </c>
      <c r="AI750" s="152">
        <f ca="1">IF(W751&gt;0,0,IF(AH750=0,(Z750*-1)+BC750+SUM(BB$4:BB749),BC750+SUM(BB$4:BB749)))</f>
        <v>-2.1316282072803006E-13</v>
      </c>
      <c r="AJ750" s="931">
        <f>IF(AND(AL750&gt;=$U$1,AL750&lt;=$U$2),IF(AM750='ESTRATTO CONTO'!$E$2,1+COUNTIF(AJ$4:AJ749,"&gt;0")+U$1015,0),0)</f>
        <v>0</v>
      </c>
      <c r="AK750" s="203">
        <f>IF(AND(OR((AK749+1)&lt;AL$1015,(AK749+1)=AL$1015),MAX(AK$4:AK749)&lt;AL$1015),AK749+1,0)</f>
        <v>0</v>
      </c>
      <c r="AL750" s="309">
        <f>VLOOKUP($AK750,ENTI!$AF$4:AG$1003,2,FALSE)</f>
        <v>0</v>
      </c>
      <c r="AM750" s="224">
        <f>VLOOKUP($AK750,ENTI!$AF$4:AH$1003,3,FALSE)</f>
        <v>0</v>
      </c>
      <c r="AN750" s="224">
        <f>VLOOKUP($AK750,ENTI!$AF$4:AI$1003,4,FALSE)</f>
        <v>0</v>
      </c>
      <c r="AO750" s="781">
        <f>VLOOKUP($AK750,ENTI!$AF$4:AJ$1003,5,FALSE)</f>
        <v>0</v>
      </c>
      <c r="AP750" s="315">
        <f>VLOOKUP($AK750,ENTI!$AF$4:AK$1003,6,FALSE)</f>
        <v>0</v>
      </c>
      <c r="AQ750" s="208">
        <f t="shared" si="146"/>
        <v>0</v>
      </c>
      <c r="AR750" s="152" t="e">
        <f t="shared" si="147"/>
        <v>#N/A</v>
      </c>
      <c r="AS750" s="1"/>
      <c r="AT750" s="88" t="str">
        <f t="shared" si="140"/>
        <v/>
      </c>
      <c r="AU750" s="1"/>
      <c r="AV750" s="175">
        <f>IF(AW750&gt;0,COUNTIF(AV$4:AV749,"&gt;0")+1,0)</f>
        <v>0</v>
      </c>
      <c r="AW750" s="164">
        <f t="shared" si="141"/>
        <v>0</v>
      </c>
      <c r="AX750" s="310">
        <f>IF($AW750=0,0,VLOOKUP(VLOOKUP($X750,$B$34:$T$38,19,FALSE),ENTI!$A$9:$B$13,2,FALSE))</f>
        <v>0</v>
      </c>
      <c r="AY750" s="310">
        <f t="shared" si="143"/>
        <v>0</v>
      </c>
      <c r="AZ750" s="316">
        <f t="shared" si="144"/>
        <v>0</v>
      </c>
      <c r="BA750" s="1"/>
      <c r="BB750" s="152">
        <f t="shared" si="145"/>
        <v>0</v>
      </c>
      <c r="BC750" s="152">
        <f ca="1">SUM(Z$4:Z750)+SUM(BB$4:BB750)+COSTI!S$6-COSTI!L$1076</f>
        <v>-31.760000000000218</v>
      </c>
      <c r="BD750" s="1"/>
    </row>
    <row r="751" spans="1:56" ht="16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435">
        <f>IF(AND(W751&gt;=$U$1,W751&lt;=$U$2),IF(X751='ESTRATTO CONTO'!$E$2,1+COUNTIF(U$4:U750,"&gt;0"),0),0)</f>
        <v>0</v>
      </c>
      <c r="V751" s="417">
        <f t="shared" si="142"/>
        <v>748</v>
      </c>
      <c r="W751" s="509"/>
      <c r="X751" s="321"/>
      <c r="Y751" s="321"/>
      <c r="Z751" s="508"/>
      <c r="AA751" s="356"/>
      <c r="AB751" s="306" t="str">
        <f t="shared" si="138"/>
        <v/>
      </c>
      <c r="AC751" s="637">
        <f t="shared" ca="1" si="137"/>
        <v>-2.1316282072803006E-13</v>
      </c>
      <c r="AD751" s="935">
        <f>IF(ISERROR(VLOOKUP(AD$2,X752:X$1003,1,FALSE)),IF(X751=AD$2,SUMIF(X$4:X751,AD$2,Z$4:Z751)+$E$9+SUM(AQ$4:AQ$1003)+SUMIF(COSTI!$X$1379:$X$1430,AD$2,COSTI!$Z$1379:$Z$1430),0),0)</f>
        <v>0</v>
      </c>
      <c r="AE751" s="26"/>
      <c r="AF751" s="856" t="e">
        <f>IF(ISERROR(VLOOKUP(AG$2,X752:X$1003,1,FALSE)),IF(X751=AG$2,SUMIF(X$4:X751,AG$2,Z$4:Z751)+VLOOKUP(AF$2,$B$1057:$F$1068,5,FALSE)+SUM(AR$4:AR$1003)+SUMIF(COSTI!$X$1379:$X$1430,AG$2,COSTI!$Z$1379:$Z$1430),0),0)</f>
        <v>#N/A</v>
      </c>
      <c r="AG751" s="859"/>
      <c r="AH751" s="27" t="str">
        <f t="shared" si="139"/>
        <v/>
      </c>
      <c r="AI751" s="152">
        <f ca="1">IF(W752&gt;0,0,IF(AH751=0,(Z751*-1)+BC751+SUM(BB$4:BB750),BC751+SUM(BB$4:BB750)))</f>
        <v>-2.1316282072803006E-13</v>
      </c>
      <c r="AJ751" s="931">
        <f>IF(AND(AL751&gt;=$U$1,AL751&lt;=$U$2),IF(AM751='ESTRATTO CONTO'!$E$2,1+COUNTIF(AJ$4:AJ750,"&gt;0")+U$1015,0),0)</f>
        <v>0</v>
      </c>
      <c r="AK751" s="203">
        <f>IF(AND(OR((AK750+1)&lt;AL$1015,(AK750+1)=AL$1015),MAX(AK$4:AK750)&lt;AL$1015),AK750+1,0)</f>
        <v>0</v>
      </c>
      <c r="AL751" s="309">
        <f>VLOOKUP($AK751,ENTI!$AF$4:AG$1003,2,FALSE)</f>
        <v>0</v>
      </c>
      <c r="AM751" s="224">
        <f>VLOOKUP($AK751,ENTI!$AF$4:AH$1003,3,FALSE)</f>
        <v>0</v>
      </c>
      <c r="AN751" s="224">
        <f>VLOOKUP($AK751,ENTI!$AF$4:AI$1003,4,FALSE)</f>
        <v>0</v>
      </c>
      <c r="AO751" s="781">
        <f>VLOOKUP($AK751,ENTI!$AF$4:AJ$1003,5,FALSE)</f>
        <v>0</v>
      </c>
      <c r="AP751" s="315">
        <f>VLOOKUP($AK751,ENTI!$AF$4:AK$1003,6,FALSE)</f>
        <v>0</v>
      </c>
      <c r="AQ751" s="208">
        <f t="shared" si="146"/>
        <v>0</v>
      </c>
      <c r="AR751" s="152" t="e">
        <f t="shared" si="147"/>
        <v>#N/A</v>
      </c>
      <c r="AS751" s="1"/>
      <c r="AT751" s="88" t="str">
        <f t="shared" si="140"/>
        <v/>
      </c>
      <c r="AU751" s="1"/>
      <c r="AV751" s="175">
        <f>IF(AW751&gt;0,COUNTIF(AV$4:AV750,"&gt;0")+1,0)</f>
        <v>0</v>
      </c>
      <c r="AW751" s="164">
        <f t="shared" si="141"/>
        <v>0</v>
      </c>
      <c r="AX751" s="310">
        <f>IF($AW751=0,0,VLOOKUP(VLOOKUP($X751,$B$34:$T$38,19,FALSE),ENTI!$A$9:$B$13,2,FALSE))</f>
        <v>0</v>
      </c>
      <c r="AY751" s="310">
        <f t="shared" si="143"/>
        <v>0</v>
      </c>
      <c r="AZ751" s="316">
        <f t="shared" si="144"/>
        <v>0</v>
      </c>
      <c r="BA751" s="1"/>
      <c r="BB751" s="152">
        <f t="shared" si="145"/>
        <v>0</v>
      </c>
      <c r="BC751" s="152">
        <f ca="1">SUM(Z$4:Z751)+SUM(BB$4:BB751)+COSTI!S$6-COSTI!L$1076</f>
        <v>-31.760000000000218</v>
      </c>
      <c r="BD751" s="1"/>
    </row>
    <row r="752" spans="1:56" ht="16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435">
        <f>IF(AND(W752&gt;=$U$1,W752&lt;=$U$2),IF(X752='ESTRATTO CONTO'!$E$2,1+COUNTIF(U$4:U751,"&gt;0"),0),0)</f>
        <v>0</v>
      </c>
      <c r="V752" s="417">
        <f t="shared" si="142"/>
        <v>749</v>
      </c>
      <c r="W752" s="509"/>
      <c r="X752" s="321"/>
      <c r="Y752" s="321"/>
      <c r="Z752" s="508"/>
      <c r="AA752" s="356"/>
      <c r="AB752" s="306" t="str">
        <f t="shared" si="138"/>
        <v/>
      </c>
      <c r="AC752" s="637">
        <f t="shared" ca="1" si="137"/>
        <v>-2.1316282072803006E-13</v>
      </c>
      <c r="AD752" s="935">
        <f>IF(ISERROR(VLOOKUP(AD$2,X753:X$1003,1,FALSE)),IF(X752=AD$2,SUMIF(X$4:X752,AD$2,Z$4:Z752)+$E$9+SUM(AQ$4:AQ$1003)+SUMIF(COSTI!$X$1379:$X$1430,AD$2,COSTI!$Z$1379:$Z$1430),0),0)</f>
        <v>0</v>
      </c>
      <c r="AE752" s="26"/>
      <c r="AF752" s="856" t="e">
        <f>IF(ISERROR(VLOOKUP(AG$2,X753:X$1003,1,FALSE)),IF(X752=AG$2,SUMIF(X$4:X752,AG$2,Z$4:Z752)+VLOOKUP(AF$2,$B$1057:$F$1068,5,FALSE)+SUM(AR$4:AR$1003)+SUMIF(COSTI!$X$1379:$X$1430,AG$2,COSTI!$Z$1379:$Z$1430),0),0)</f>
        <v>#N/A</v>
      </c>
      <c r="AG752" s="859"/>
      <c r="AH752" s="27" t="str">
        <f t="shared" si="139"/>
        <v/>
      </c>
      <c r="AI752" s="152">
        <f ca="1">IF(W753&gt;0,0,IF(AH752=0,(Z752*-1)+BC752+SUM(BB$4:BB751),BC752+SUM(BB$4:BB751)))</f>
        <v>-2.1316282072803006E-13</v>
      </c>
      <c r="AJ752" s="931">
        <f>IF(AND(AL752&gt;=$U$1,AL752&lt;=$U$2),IF(AM752='ESTRATTO CONTO'!$E$2,1+COUNTIF(AJ$4:AJ751,"&gt;0")+U$1015,0),0)</f>
        <v>0</v>
      </c>
      <c r="AK752" s="203">
        <f>IF(AND(OR((AK751+1)&lt;AL$1015,(AK751+1)=AL$1015),MAX(AK$4:AK751)&lt;AL$1015),AK751+1,0)</f>
        <v>0</v>
      </c>
      <c r="AL752" s="309">
        <f>VLOOKUP($AK752,ENTI!$AF$4:AG$1003,2,FALSE)</f>
        <v>0</v>
      </c>
      <c r="AM752" s="224">
        <f>VLOOKUP($AK752,ENTI!$AF$4:AH$1003,3,FALSE)</f>
        <v>0</v>
      </c>
      <c r="AN752" s="224">
        <f>VLOOKUP($AK752,ENTI!$AF$4:AI$1003,4,FALSE)</f>
        <v>0</v>
      </c>
      <c r="AO752" s="781">
        <f>VLOOKUP($AK752,ENTI!$AF$4:AJ$1003,5,FALSE)</f>
        <v>0</v>
      </c>
      <c r="AP752" s="315">
        <f>VLOOKUP($AK752,ENTI!$AF$4:AK$1003,6,FALSE)</f>
        <v>0</v>
      </c>
      <c r="AQ752" s="208">
        <f t="shared" si="146"/>
        <v>0</v>
      </c>
      <c r="AR752" s="152" t="e">
        <f t="shared" si="147"/>
        <v>#N/A</v>
      </c>
      <c r="AS752" s="1"/>
      <c r="AT752" s="88" t="str">
        <f t="shared" si="140"/>
        <v/>
      </c>
      <c r="AU752" s="1"/>
      <c r="AV752" s="175">
        <f>IF(AW752&gt;0,COUNTIF(AV$4:AV751,"&gt;0")+1,0)</f>
        <v>0</v>
      </c>
      <c r="AW752" s="164">
        <f t="shared" si="141"/>
        <v>0</v>
      </c>
      <c r="AX752" s="310">
        <f>IF($AW752=0,0,VLOOKUP(VLOOKUP($X752,$B$34:$T$38,19,FALSE),ENTI!$A$9:$B$13,2,FALSE))</f>
        <v>0</v>
      </c>
      <c r="AY752" s="310">
        <f t="shared" si="143"/>
        <v>0</v>
      </c>
      <c r="AZ752" s="316">
        <f t="shared" si="144"/>
        <v>0</v>
      </c>
      <c r="BA752" s="1"/>
      <c r="BB752" s="152">
        <f t="shared" si="145"/>
        <v>0</v>
      </c>
      <c r="BC752" s="152">
        <f ca="1">SUM(Z$4:Z752)+SUM(BB$4:BB752)+COSTI!S$6-COSTI!L$1076</f>
        <v>-31.760000000000218</v>
      </c>
      <c r="BD752" s="1"/>
    </row>
    <row r="753" spans="1:56" ht="16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435">
        <f>IF(AND(W753&gt;=$U$1,W753&lt;=$U$2),IF(X753='ESTRATTO CONTO'!$E$2,1+COUNTIF(U$4:U752,"&gt;0"),0),0)</f>
        <v>0</v>
      </c>
      <c r="V753" s="417">
        <f t="shared" si="142"/>
        <v>750</v>
      </c>
      <c r="W753" s="509"/>
      <c r="X753" s="321"/>
      <c r="Y753" s="321"/>
      <c r="Z753" s="508"/>
      <c r="AA753" s="356"/>
      <c r="AB753" s="306" t="str">
        <f t="shared" si="138"/>
        <v/>
      </c>
      <c r="AC753" s="637">
        <f t="shared" ca="1" si="137"/>
        <v>-2.1316282072803006E-13</v>
      </c>
      <c r="AD753" s="935">
        <f>IF(ISERROR(VLOOKUP(AD$2,X754:X$1003,1,FALSE)),IF(X753=AD$2,SUMIF(X$4:X753,AD$2,Z$4:Z753)+$E$9+SUM(AQ$4:AQ$1003)+SUMIF(COSTI!$X$1379:$X$1430,AD$2,COSTI!$Z$1379:$Z$1430),0),0)</f>
        <v>0</v>
      </c>
      <c r="AE753" s="26"/>
      <c r="AF753" s="856" t="e">
        <f>IF(ISERROR(VLOOKUP(AG$2,X754:X$1003,1,FALSE)),IF(X753=AG$2,SUMIF(X$4:X753,AG$2,Z$4:Z753)+VLOOKUP(AF$2,$B$1057:$F$1068,5,FALSE)+SUM(AR$4:AR$1003)+SUMIF(COSTI!$X$1379:$X$1430,AG$2,COSTI!$Z$1379:$Z$1430),0),0)</f>
        <v>#N/A</v>
      </c>
      <c r="AG753" s="859"/>
      <c r="AH753" s="27" t="str">
        <f t="shared" si="139"/>
        <v/>
      </c>
      <c r="AI753" s="152">
        <f ca="1">IF(W754&gt;0,0,IF(AH753=0,(Z753*-1)+BC753+SUM(BB$4:BB752),BC753+SUM(BB$4:BB752)))</f>
        <v>-2.1316282072803006E-13</v>
      </c>
      <c r="AJ753" s="931">
        <f>IF(AND(AL753&gt;=$U$1,AL753&lt;=$U$2),IF(AM753='ESTRATTO CONTO'!$E$2,1+COUNTIF(AJ$4:AJ752,"&gt;0")+U$1015,0),0)</f>
        <v>0</v>
      </c>
      <c r="AK753" s="203">
        <f>IF(AND(OR((AK752+1)&lt;AL$1015,(AK752+1)=AL$1015),MAX(AK$4:AK752)&lt;AL$1015),AK752+1,0)</f>
        <v>0</v>
      </c>
      <c r="AL753" s="309">
        <f>VLOOKUP($AK753,ENTI!$AF$4:AG$1003,2,FALSE)</f>
        <v>0</v>
      </c>
      <c r="AM753" s="224">
        <f>VLOOKUP($AK753,ENTI!$AF$4:AH$1003,3,FALSE)</f>
        <v>0</v>
      </c>
      <c r="AN753" s="224">
        <f>VLOOKUP($AK753,ENTI!$AF$4:AI$1003,4,FALSE)</f>
        <v>0</v>
      </c>
      <c r="AO753" s="781">
        <f>VLOOKUP($AK753,ENTI!$AF$4:AJ$1003,5,FALSE)</f>
        <v>0</v>
      </c>
      <c r="AP753" s="315">
        <f>VLOOKUP($AK753,ENTI!$AF$4:AK$1003,6,FALSE)</f>
        <v>0</v>
      </c>
      <c r="AQ753" s="208">
        <f t="shared" si="146"/>
        <v>0</v>
      </c>
      <c r="AR753" s="152" t="e">
        <f t="shared" si="147"/>
        <v>#N/A</v>
      </c>
      <c r="AS753" s="1"/>
      <c r="AT753" s="88" t="str">
        <f t="shared" si="140"/>
        <v/>
      </c>
      <c r="AU753" s="1"/>
      <c r="AV753" s="175">
        <f>IF(AW753&gt;0,COUNTIF(AV$4:AV752,"&gt;0")+1,0)</f>
        <v>0</v>
      </c>
      <c r="AW753" s="164">
        <f t="shared" si="141"/>
        <v>0</v>
      </c>
      <c r="AX753" s="310">
        <f>IF($AW753=0,0,VLOOKUP(VLOOKUP($X753,$B$34:$T$38,19,FALSE),ENTI!$A$9:$B$13,2,FALSE))</f>
        <v>0</v>
      </c>
      <c r="AY753" s="310">
        <f t="shared" si="143"/>
        <v>0</v>
      </c>
      <c r="AZ753" s="316">
        <f t="shared" si="144"/>
        <v>0</v>
      </c>
      <c r="BA753" s="1"/>
      <c r="BB753" s="152">
        <f t="shared" si="145"/>
        <v>0</v>
      </c>
      <c r="BC753" s="152">
        <f ca="1">SUM(Z$4:Z753)+SUM(BB$4:BB753)+COSTI!S$6-COSTI!L$1076</f>
        <v>-31.760000000000218</v>
      </c>
      <c r="BD753" s="1"/>
    </row>
    <row r="754" spans="1:56" ht="16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435">
        <f>IF(AND(W754&gt;=$U$1,W754&lt;=$U$2),IF(X754='ESTRATTO CONTO'!$E$2,1+COUNTIF(U$4:U753,"&gt;0"),0),0)</f>
        <v>0</v>
      </c>
      <c r="V754" s="417">
        <f t="shared" si="142"/>
        <v>751</v>
      </c>
      <c r="W754" s="509"/>
      <c r="X754" s="321"/>
      <c r="Y754" s="321"/>
      <c r="Z754" s="508"/>
      <c r="AA754" s="356"/>
      <c r="AB754" s="306" t="str">
        <f t="shared" si="138"/>
        <v/>
      </c>
      <c r="AC754" s="637">
        <f t="shared" ca="1" si="137"/>
        <v>-2.1316282072803006E-13</v>
      </c>
      <c r="AD754" s="935">
        <f>IF(ISERROR(VLOOKUP(AD$2,X755:X$1003,1,FALSE)),IF(X754=AD$2,SUMIF(X$4:X754,AD$2,Z$4:Z754)+$E$9+SUM(AQ$4:AQ$1003)+SUMIF(COSTI!$X$1379:$X$1430,AD$2,COSTI!$Z$1379:$Z$1430),0),0)</f>
        <v>0</v>
      </c>
      <c r="AE754" s="26"/>
      <c r="AF754" s="856" t="e">
        <f>IF(ISERROR(VLOOKUP(AG$2,X755:X$1003,1,FALSE)),IF(X754=AG$2,SUMIF(X$4:X754,AG$2,Z$4:Z754)+VLOOKUP(AF$2,$B$1057:$F$1068,5,FALSE)+SUM(AR$4:AR$1003)+SUMIF(COSTI!$X$1379:$X$1430,AG$2,COSTI!$Z$1379:$Z$1430),0),0)</f>
        <v>#N/A</v>
      </c>
      <c r="AG754" s="859"/>
      <c r="AH754" s="27" t="str">
        <f t="shared" si="139"/>
        <v/>
      </c>
      <c r="AI754" s="152">
        <f ca="1">IF(W755&gt;0,0,IF(AH754=0,(Z754*-1)+BC754+SUM(BB$4:BB753),BC754+SUM(BB$4:BB753)))</f>
        <v>-2.1316282072803006E-13</v>
      </c>
      <c r="AJ754" s="931">
        <f>IF(AND(AL754&gt;=$U$1,AL754&lt;=$U$2),IF(AM754='ESTRATTO CONTO'!$E$2,1+COUNTIF(AJ$4:AJ753,"&gt;0")+U$1015,0),0)</f>
        <v>0</v>
      </c>
      <c r="AK754" s="203">
        <f>IF(AND(OR((AK753+1)&lt;AL$1015,(AK753+1)=AL$1015),MAX(AK$4:AK753)&lt;AL$1015),AK753+1,0)</f>
        <v>0</v>
      </c>
      <c r="AL754" s="309">
        <f>VLOOKUP($AK754,ENTI!$AF$4:AG$1003,2,FALSE)</f>
        <v>0</v>
      </c>
      <c r="AM754" s="224">
        <f>VLOOKUP($AK754,ENTI!$AF$4:AH$1003,3,FALSE)</f>
        <v>0</v>
      </c>
      <c r="AN754" s="224">
        <f>VLOOKUP($AK754,ENTI!$AF$4:AI$1003,4,FALSE)</f>
        <v>0</v>
      </c>
      <c r="AO754" s="781">
        <f>VLOOKUP($AK754,ENTI!$AF$4:AJ$1003,5,FALSE)</f>
        <v>0</v>
      </c>
      <c r="AP754" s="315">
        <f>VLOOKUP($AK754,ENTI!$AF$4:AK$1003,6,FALSE)</f>
        <v>0</v>
      </c>
      <c r="AQ754" s="208">
        <f t="shared" si="146"/>
        <v>0</v>
      </c>
      <c r="AR754" s="152" t="e">
        <f t="shared" si="147"/>
        <v>#N/A</v>
      </c>
      <c r="AS754" s="1"/>
      <c r="AT754" s="88" t="str">
        <f t="shared" si="140"/>
        <v/>
      </c>
      <c r="AU754" s="1"/>
      <c r="AV754" s="175">
        <f>IF(AW754&gt;0,COUNTIF(AV$4:AV753,"&gt;0")+1,0)</f>
        <v>0</v>
      </c>
      <c r="AW754" s="164">
        <f t="shared" si="141"/>
        <v>0</v>
      </c>
      <c r="AX754" s="310">
        <f>IF($AW754=0,0,VLOOKUP(VLOOKUP($X754,$B$34:$T$38,19,FALSE),ENTI!$A$9:$B$13,2,FALSE))</f>
        <v>0</v>
      </c>
      <c r="AY754" s="310">
        <f t="shared" si="143"/>
        <v>0</v>
      </c>
      <c r="AZ754" s="316">
        <f t="shared" si="144"/>
        <v>0</v>
      </c>
      <c r="BA754" s="1"/>
      <c r="BB754" s="152">
        <f t="shared" si="145"/>
        <v>0</v>
      </c>
      <c r="BC754" s="152">
        <f ca="1">SUM(Z$4:Z754)+SUM(BB$4:BB754)+COSTI!S$6-COSTI!L$1076</f>
        <v>-31.760000000000218</v>
      </c>
      <c r="BD754" s="1"/>
    </row>
    <row r="755" spans="1:56" ht="16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435">
        <f>IF(AND(W755&gt;=$U$1,W755&lt;=$U$2),IF(X755='ESTRATTO CONTO'!$E$2,1+COUNTIF(U$4:U754,"&gt;0"),0),0)</f>
        <v>0</v>
      </c>
      <c r="V755" s="417">
        <f t="shared" si="142"/>
        <v>752</v>
      </c>
      <c r="W755" s="509"/>
      <c r="X755" s="321"/>
      <c r="Y755" s="321"/>
      <c r="Z755" s="508"/>
      <c r="AA755" s="356"/>
      <c r="AB755" s="306" t="str">
        <f t="shared" si="138"/>
        <v/>
      </c>
      <c r="AC755" s="637">
        <f t="shared" ca="1" si="137"/>
        <v>-2.1316282072803006E-13</v>
      </c>
      <c r="AD755" s="935">
        <f>IF(ISERROR(VLOOKUP(AD$2,X756:X$1003,1,FALSE)),IF(X755=AD$2,SUMIF(X$4:X755,AD$2,Z$4:Z755)+$E$9+SUM(AQ$4:AQ$1003)+SUMIF(COSTI!$X$1379:$X$1430,AD$2,COSTI!$Z$1379:$Z$1430),0),0)</f>
        <v>0</v>
      </c>
      <c r="AE755" s="26"/>
      <c r="AF755" s="856" t="e">
        <f>IF(ISERROR(VLOOKUP(AG$2,X756:X$1003,1,FALSE)),IF(X755=AG$2,SUMIF(X$4:X755,AG$2,Z$4:Z755)+VLOOKUP(AF$2,$B$1057:$F$1068,5,FALSE)+SUM(AR$4:AR$1003)+SUMIF(COSTI!$X$1379:$X$1430,AG$2,COSTI!$Z$1379:$Z$1430),0),0)</f>
        <v>#N/A</v>
      </c>
      <c r="AG755" s="859"/>
      <c r="AH755" s="27" t="str">
        <f t="shared" si="139"/>
        <v/>
      </c>
      <c r="AI755" s="152">
        <f ca="1">IF(W756&gt;0,0,IF(AH755=0,(Z755*-1)+BC755+SUM(BB$4:BB754),BC755+SUM(BB$4:BB754)))</f>
        <v>-2.1316282072803006E-13</v>
      </c>
      <c r="AJ755" s="931">
        <f>IF(AND(AL755&gt;=$U$1,AL755&lt;=$U$2),IF(AM755='ESTRATTO CONTO'!$E$2,1+COUNTIF(AJ$4:AJ754,"&gt;0")+U$1015,0),0)</f>
        <v>0</v>
      </c>
      <c r="AK755" s="203">
        <f>IF(AND(OR((AK754+1)&lt;AL$1015,(AK754+1)=AL$1015),MAX(AK$4:AK754)&lt;AL$1015),AK754+1,0)</f>
        <v>0</v>
      </c>
      <c r="AL755" s="309">
        <f>VLOOKUP($AK755,ENTI!$AF$4:AG$1003,2,FALSE)</f>
        <v>0</v>
      </c>
      <c r="AM755" s="224">
        <f>VLOOKUP($AK755,ENTI!$AF$4:AH$1003,3,FALSE)</f>
        <v>0</v>
      </c>
      <c r="AN755" s="224">
        <f>VLOOKUP($AK755,ENTI!$AF$4:AI$1003,4,FALSE)</f>
        <v>0</v>
      </c>
      <c r="AO755" s="781">
        <f>VLOOKUP($AK755,ENTI!$AF$4:AJ$1003,5,FALSE)</f>
        <v>0</v>
      </c>
      <c r="AP755" s="315">
        <f>VLOOKUP($AK755,ENTI!$AF$4:AK$1003,6,FALSE)</f>
        <v>0</v>
      </c>
      <c r="AQ755" s="208">
        <f t="shared" si="146"/>
        <v>0</v>
      </c>
      <c r="AR755" s="152" t="e">
        <f t="shared" si="147"/>
        <v>#N/A</v>
      </c>
      <c r="AS755" s="1"/>
      <c r="AT755" s="88" t="str">
        <f t="shared" si="140"/>
        <v/>
      </c>
      <c r="AU755" s="1"/>
      <c r="AV755" s="175">
        <f>IF(AW755&gt;0,COUNTIF(AV$4:AV754,"&gt;0")+1,0)</f>
        <v>0</v>
      </c>
      <c r="AW755" s="164">
        <f t="shared" si="141"/>
        <v>0</v>
      </c>
      <c r="AX755" s="310">
        <f>IF($AW755=0,0,VLOOKUP(VLOOKUP($X755,$B$34:$T$38,19,FALSE),ENTI!$A$9:$B$13,2,FALSE))</f>
        <v>0</v>
      </c>
      <c r="AY755" s="310">
        <f t="shared" si="143"/>
        <v>0</v>
      </c>
      <c r="AZ755" s="316">
        <f t="shared" si="144"/>
        <v>0</v>
      </c>
      <c r="BA755" s="1"/>
      <c r="BB755" s="152">
        <f t="shared" si="145"/>
        <v>0</v>
      </c>
      <c r="BC755" s="152">
        <f ca="1">SUM(Z$4:Z755)+SUM(BB$4:BB755)+COSTI!S$6-COSTI!L$1076</f>
        <v>-31.760000000000218</v>
      </c>
      <c r="BD755" s="1"/>
    </row>
    <row r="756" spans="1:56" ht="16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435">
        <f>IF(AND(W756&gt;=$U$1,W756&lt;=$U$2),IF(X756='ESTRATTO CONTO'!$E$2,1+COUNTIF(U$4:U755,"&gt;0"),0),0)</f>
        <v>0</v>
      </c>
      <c r="V756" s="417">
        <f t="shared" si="142"/>
        <v>753</v>
      </c>
      <c r="W756" s="509"/>
      <c r="X756" s="321"/>
      <c r="Y756" s="321"/>
      <c r="Z756" s="508"/>
      <c r="AA756" s="356"/>
      <c r="AB756" s="306" t="str">
        <f t="shared" si="138"/>
        <v/>
      </c>
      <c r="AC756" s="637">
        <f t="shared" ca="1" si="137"/>
        <v>-2.1316282072803006E-13</v>
      </c>
      <c r="AD756" s="935">
        <f>IF(ISERROR(VLOOKUP(AD$2,X757:X$1003,1,FALSE)),IF(X756=AD$2,SUMIF(X$4:X756,AD$2,Z$4:Z756)+$E$9+SUM(AQ$4:AQ$1003)+SUMIF(COSTI!$X$1379:$X$1430,AD$2,COSTI!$Z$1379:$Z$1430),0),0)</f>
        <v>0</v>
      </c>
      <c r="AE756" s="26"/>
      <c r="AF756" s="856" t="e">
        <f>IF(ISERROR(VLOOKUP(AG$2,X757:X$1003,1,FALSE)),IF(X756=AG$2,SUMIF(X$4:X756,AG$2,Z$4:Z756)+VLOOKUP(AF$2,$B$1057:$F$1068,5,FALSE)+SUM(AR$4:AR$1003)+SUMIF(COSTI!$X$1379:$X$1430,AG$2,COSTI!$Z$1379:$Z$1430),0),0)</f>
        <v>#N/A</v>
      </c>
      <c r="AG756" s="859"/>
      <c r="AH756" s="27" t="str">
        <f t="shared" si="139"/>
        <v/>
      </c>
      <c r="AI756" s="152">
        <f ca="1">IF(W757&gt;0,0,IF(AH756=0,(Z756*-1)+BC756+SUM(BB$4:BB755),BC756+SUM(BB$4:BB755)))</f>
        <v>-2.1316282072803006E-13</v>
      </c>
      <c r="AJ756" s="931">
        <f>IF(AND(AL756&gt;=$U$1,AL756&lt;=$U$2),IF(AM756='ESTRATTO CONTO'!$E$2,1+COUNTIF(AJ$4:AJ755,"&gt;0")+U$1015,0),0)</f>
        <v>0</v>
      </c>
      <c r="AK756" s="203">
        <f>IF(AND(OR((AK755+1)&lt;AL$1015,(AK755+1)=AL$1015),MAX(AK$4:AK755)&lt;AL$1015),AK755+1,0)</f>
        <v>0</v>
      </c>
      <c r="AL756" s="309">
        <f>VLOOKUP($AK756,ENTI!$AF$4:AG$1003,2,FALSE)</f>
        <v>0</v>
      </c>
      <c r="AM756" s="224">
        <f>VLOOKUP($AK756,ENTI!$AF$4:AH$1003,3,FALSE)</f>
        <v>0</v>
      </c>
      <c r="AN756" s="224">
        <f>VLOOKUP($AK756,ENTI!$AF$4:AI$1003,4,FALSE)</f>
        <v>0</v>
      </c>
      <c r="AO756" s="781">
        <f>VLOOKUP($AK756,ENTI!$AF$4:AJ$1003,5,FALSE)</f>
        <v>0</v>
      </c>
      <c r="AP756" s="315">
        <f>VLOOKUP($AK756,ENTI!$AF$4:AK$1003,6,FALSE)</f>
        <v>0</v>
      </c>
      <c r="AQ756" s="208">
        <f t="shared" si="146"/>
        <v>0</v>
      </c>
      <c r="AR756" s="152" t="e">
        <f t="shared" si="147"/>
        <v>#N/A</v>
      </c>
      <c r="AS756" s="1"/>
      <c r="AT756" s="88" t="str">
        <f t="shared" si="140"/>
        <v/>
      </c>
      <c r="AU756" s="1"/>
      <c r="AV756" s="175">
        <f>IF(AW756&gt;0,COUNTIF(AV$4:AV755,"&gt;0")+1,0)</f>
        <v>0</v>
      </c>
      <c r="AW756" s="164">
        <f t="shared" si="141"/>
        <v>0</v>
      </c>
      <c r="AX756" s="310">
        <f>IF($AW756=0,0,VLOOKUP(VLOOKUP($X756,$B$34:$T$38,19,FALSE),ENTI!$A$9:$B$13,2,FALSE))</f>
        <v>0</v>
      </c>
      <c r="AY756" s="310">
        <f t="shared" si="143"/>
        <v>0</v>
      </c>
      <c r="AZ756" s="316">
        <f t="shared" si="144"/>
        <v>0</v>
      </c>
      <c r="BA756" s="1"/>
      <c r="BB756" s="152">
        <f t="shared" si="145"/>
        <v>0</v>
      </c>
      <c r="BC756" s="152">
        <f ca="1">SUM(Z$4:Z756)+SUM(BB$4:BB756)+COSTI!S$6-COSTI!L$1076</f>
        <v>-31.760000000000218</v>
      </c>
      <c r="BD756" s="1"/>
    </row>
    <row r="757" spans="1:56" ht="16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435">
        <f>IF(AND(W757&gt;=$U$1,W757&lt;=$U$2),IF(X757='ESTRATTO CONTO'!$E$2,1+COUNTIF(U$4:U756,"&gt;0"),0),0)</f>
        <v>0</v>
      </c>
      <c r="V757" s="417">
        <f t="shared" si="142"/>
        <v>754</v>
      </c>
      <c r="W757" s="509"/>
      <c r="X757" s="321"/>
      <c r="Y757" s="321"/>
      <c r="Z757" s="508"/>
      <c r="AA757" s="356"/>
      <c r="AB757" s="306" t="str">
        <f t="shared" si="138"/>
        <v/>
      </c>
      <c r="AC757" s="637">
        <f t="shared" ca="1" si="137"/>
        <v>-2.1316282072803006E-13</v>
      </c>
      <c r="AD757" s="935">
        <f>IF(ISERROR(VLOOKUP(AD$2,X758:X$1003,1,FALSE)),IF(X757=AD$2,SUMIF(X$4:X757,AD$2,Z$4:Z757)+$E$9+SUM(AQ$4:AQ$1003)+SUMIF(COSTI!$X$1379:$X$1430,AD$2,COSTI!$Z$1379:$Z$1430),0),0)</f>
        <v>0</v>
      </c>
      <c r="AE757" s="26"/>
      <c r="AF757" s="856" t="e">
        <f>IF(ISERROR(VLOOKUP(AG$2,X758:X$1003,1,FALSE)),IF(X757=AG$2,SUMIF(X$4:X757,AG$2,Z$4:Z757)+VLOOKUP(AF$2,$B$1057:$F$1068,5,FALSE)+SUM(AR$4:AR$1003)+SUMIF(COSTI!$X$1379:$X$1430,AG$2,COSTI!$Z$1379:$Z$1430),0),0)</f>
        <v>#N/A</v>
      </c>
      <c r="AG757" s="859"/>
      <c r="AH757" s="27" t="str">
        <f t="shared" si="139"/>
        <v/>
      </c>
      <c r="AI757" s="152">
        <f ca="1">IF(W758&gt;0,0,IF(AH757=0,(Z757*-1)+BC757+SUM(BB$4:BB756),BC757+SUM(BB$4:BB756)))</f>
        <v>-2.1316282072803006E-13</v>
      </c>
      <c r="AJ757" s="931">
        <f>IF(AND(AL757&gt;=$U$1,AL757&lt;=$U$2),IF(AM757='ESTRATTO CONTO'!$E$2,1+COUNTIF(AJ$4:AJ756,"&gt;0")+U$1015,0),0)</f>
        <v>0</v>
      </c>
      <c r="AK757" s="203">
        <f>IF(AND(OR((AK756+1)&lt;AL$1015,(AK756+1)=AL$1015),MAX(AK$4:AK756)&lt;AL$1015),AK756+1,0)</f>
        <v>0</v>
      </c>
      <c r="AL757" s="309">
        <f>VLOOKUP($AK757,ENTI!$AF$4:AG$1003,2,FALSE)</f>
        <v>0</v>
      </c>
      <c r="AM757" s="224">
        <f>VLOOKUP($AK757,ENTI!$AF$4:AH$1003,3,FALSE)</f>
        <v>0</v>
      </c>
      <c r="AN757" s="224">
        <f>VLOOKUP($AK757,ENTI!$AF$4:AI$1003,4,FALSE)</f>
        <v>0</v>
      </c>
      <c r="AO757" s="781">
        <f>VLOOKUP($AK757,ENTI!$AF$4:AJ$1003,5,FALSE)</f>
        <v>0</v>
      </c>
      <c r="AP757" s="315">
        <f>VLOOKUP($AK757,ENTI!$AF$4:AK$1003,6,FALSE)</f>
        <v>0</v>
      </c>
      <c r="AQ757" s="208">
        <f t="shared" si="146"/>
        <v>0</v>
      </c>
      <c r="AR757" s="152" t="e">
        <f t="shared" si="147"/>
        <v>#N/A</v>
      </c>
      <c r="AS757" s="1"/>
      <c r="AT757" s="88" t="str">
        <f t="shared" si="140"/>
        <v/>
      </c>
      <c r="AU757" s="1"/>
      <c r="AV757" s="175">
        <f>IF(AW757&gt;0,COUNTIF(AV$4:AV756,"&gt;0")+1,0)</f>
        <v>0</v>
      </c>
      <c r="AW757" s="164">
        <f t="shared" si="141"/>
        <v>0</v>
      </c>
      <c r="AX757" s="310">
        <f>IF($AW757=0,0,VLOOKUP(VLOOKUP($X757,$B$34:$T$38,19,FALSE),ENTI!$A$9:$B$13,2,FALSE))</f>
        <v>0</v>
      </c>
      <c r="AY757" s="310">
        <f t="shared" si="143"/>
        <v>0</v>
      </c>
      <c r="AZ757" s="316">
        <f t="shared" si="144"/>
        <v>0</v>
      </c>
      <c r="BA757" s="1"/>
      <c r="BB757" s="152">
        <f t="shared" si="145"/>
        <v>0</v>
      </c>
      <c r="BC757" s="152">
        <f ca="1">SUM(Z$4:Z757)+SUM(BB$4:BB757)+COSTI!S$6-COSTI!L$1076</f>
        <v>-31.760000000000218</v>
      </c>
      <c r="BD757" s="1"/>
    </row>
    <row r="758" spans="1:56" ht="16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435">
        <f>IF(AND(W758&gt;=$U$1,W758&lt;=$U$2),IF(X758='ESTRATTO CONTO'!$E$2,1+COUNTIF(U$4:U757,"&gt;0"),0),0)</f>
        <v>0</v>
      </c>
      <c r="V758" s="417">
        <f t="shared" si="142"/>
        <v>755</v>
      </c>
      <c r="W758" s="509"/>
      <c r="X758" s="321"/>
      <c r="Y758" s="321"/>
      <c r="Z758" s="508"/>
      <c r="AA758" s="356"/>
      <c r="AB758" s="306" t="str">
        <f t="shared" si="138"/>
        <v/>
      </c>
      <c r="AC758" s="637">
        <f t="shared" ca="1" si="137"/>
        <v>-2.1316282072803006E-13</v>
      </c>
      <c r="AD758" s="935">
        <f>IF(ISERROR(VLOOKUP(AD$2,X759:X$1003,1,FALSE)),IF(X758=AD$2,SUMIF(X$4:X758,AD$2,Z$4:Z758)+$E$9+SUM(AQ$4:AQ$1003)+SUMIF(COSTI!$X$1379:$X$1430,AD$2,COSTI!$Z$1379:$Z$1430),0),0)</f>
        <v>0</v>
      </c>
      <c r="AE758" s="26"/>
      <c r="AF758" s="856" t="e">
        <f>IF(ISERROR(VLOOKUP(AG$2,X759:X$1003,1,FALSE)),IF(X758=AG$2,SUMIF(X$4:X758,AG$2,Z$4:Z758)+VLOOKUP(AF$2,$B$1057:$F$1068,5,FALSE)+SUM(AR$4:AR$1003)+SUMIF(COSTI!$X$1379:$X$1430,AG$2,COSTI!$Z$1379:$Z$1430),0),0)</f>
        <v>#N/A</v>
      </c>
      <c r="AG758" s="859"/>
      <c r="AH758" s="27" t="str">
        <f t="shared" si="139"/>
        <v/>
      </c>
      <c r="AI758" s="152">
        <f ca="1">IF(W759&gt;0,0,IF(AH758=0,(Z758*-1)+BC758+SUM(BB$4:BB757),BC758+SUM(BB$4:BB757)))</f>
        <v>-2.1316282072803006E-13</v>
      </c>
      <c r="AJ758" s="931">
        <f>IF(AND(AL758&gt;=$U$1,AL758&lt;=$U$2),IF(AM758='ESTRATTO CONTO'!$E$2,1+COUNTIF(AJ$4:AJ757,"&gt;0")+U$1015,0),0)</f>
        <v>0</v>
      </c>
      <c r="AK758" s="203">
        <f>IF(AND(OR((AK757+1)&lt;AL$1015,(AK757+1)=AL$1015),MAX(AK$4:AK757)&lt;AL$1015),AK757+1,0)</f>
        <v>0</v>
      </c>
      <c r="AL758" s="309">
        <f>VLOOKUP($AK758,ENTI!$AF$4:AG$1003,2,FALSE)</f>
        <v>0</v>
      </c>
      <c r="AM758" s="224">
        <f>VLOOKUP($AK758,ENTI!$AF$4:AH$1003,3,FALSE)</f>
        <v>0</v>
      </c>
      <c r="AN758" s="224">
        <f>VLOOKUP($AK758,ENTI!$AF$4:AI$1003,4,FALSE)</f>
        <v>0</v>
      </c>
      <c r="AO758" s="781">
        <f>VLOOKUP($AK758,ENTI!$AF$4:AJ$1003,5,FALSE)</f>
        <v>0</v>
      </c>
      <c r="AP758" s="315">
        <f>VLOOKUP($AK758,ENTI!$AF$4:AK$1003,6,FALSE)</f>
        <v>0</v>
      </c>
      <c r="AQ758" s="208">
        <f t="shared" si="146"/>
        <v>0</v>
      </c>
      <c r="AR758" s="152" t="e">
        <f t="shared" si="147"/>
        <v>#N/A</v>
      </c>
      <c r="AS758" s="1"/>
      <c r="AT758" s="88" t="str">
        <f t="shared" si="140"/>
        <v/>
      </c>
      <c r="AU758" s="1"/>
      <c r="AV758" s="175">
        <f>IF(AW758&gt;0,COUNTIF(AV$4:AV757,"&gt;0")+1,0)</f>
        <v>0</v>
      </c>
      <c r="AW758" s="164">
        <f t="shared" si="141"/>
        <v>0</v>
      </c>
      <c r="AX758" s="310">
        <f>IF($AW758=0,0,VLOOKUP(VLOOKUP($X758,$B$34:$T$38,19,FALSE),ENTI!$A$9:$B$13,2,FALSE))</f>
        <v>0</v>
      </c>
      <c r="AY758" s="310">
        <f t="shared" si="143"/>
        <v>0</v>
      </c>
      <c r="AZ758" s="316">
        <f t="shared" si="144"/>
        <v>0</v>
      </c>
      <c r="BA758" s="1"/>
      <c r="BB758" s="152">
        <f t="shared" si="145"/>
        <v>0</v>
      </c>
      <c r="BC758" s="152">
        <f ca="1">SUM(Z$4:Z758)+SUM(BB$4:BB758)+COSTI!S$6-COSTI!L$1076</f>
        <v>-31.760000000000218</v>
      </c>
      <c r="BD758" s="1"/>
    </row>
    <row r="759" spans="1:56" ht="16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435">
        <f>IF(AND(W759&gt;=$U$1,W759&lt;=$U$2),IF(X759='ESTRATTO CONTO'!$E$2,1+COUNTIF(U$4:U758,"&gt;0"),0),0)</f>
        <v>0</v>
      </c>
      <c r="V759" s="417">
        <f t="shared" si="142"/>
        <v>756</v>
      </c>
      <c r="W759" s="509"/>
      <c r="X759" s="321"/>
      <c r="Y759" s="321"/>
      <c r="Z759" s="508"/>
      <c r="AA759" s="356"/>
      <c r="AB759" s="306" t="str">
        <f t="shared" si="138"/>
        <v/>
      </c>
      <c r="AC759" s="637">
        <f t="shared" ca="1" si="137"/>
        <v>-2.1316282072803006E-13</v>
      </c>
      <c r="AD759" s="935">
        <f>IF(ISERROR(VLOOKUP(AD$2,X760:X$1003,1,FALSE)),IF(X759=AD$2,SUMIF(X$4:X759,AD$2,Z$4:Z759)+$E$9+SUM(AQ$4:AQ$1003)+SUMIF(COSTI!$X$1379:$X$1430,AD$2,COSTI!$Z$1379:$Z$1430),0),0)</f>
        <v>0</v>
      </c>
      <c r="AE759" s="26"/>
      <c r="AF759" s="856" t="e">
        <f>IF(ISERROR(VLOOKUP(AG$2,X760:X$1003,1,FALSE)),IF(X759=AG$2,SUMIF(X$4:X759,AG$2,Z$4:Z759)+VLOOKUP(AF$2,$B$1057:$F$1068,5,FALSE)+SUM(AR$4:AR$1003)+SUMIF(COSTI!$X$1379:$X$1430,AG$2,COSTI!$Z$1379:$Z$1430),0),0)</f>
        <v>#N/A</v>
      </c>
      <c r="AG759" s="859"/>
      <c r="AH759" s="27" t="str">
        <f t="shared" si="139"/>
        <v/>
      </c>
      <c r="AI759" s="152">
        <f ca="1">IF(W760&gt;0,0,IF(AH759=0,(Z759*-1)+BC759+SUM(BB$4:BB758),BC759+SUM(BB$4:BB758)))</f>
        <v>-2.1316282072803006E-13</v>
      </c>
      <c r="AJ759" s="931">
        <f>IF(AND(AL759&gt;=$U$1,AL759&lt;=$U$2),IF(AM759='ESTRATTO CONTO'!$E$2,1+COUNTIF(AJ$4:AJ758,"&gt;0")+U$1015,0),0)</f>
        <v>0</v>
      </c>
      <c r="AK759" s="203">
        <f>IF(AND(OR((AK758+1)&lt;AL$1015,(AK758+1)=AL$1015),MAX(AK$4:AK758)&lt;AL$1015),AK758+1,0)</f>
        <v>0</v>
      </c>
      <c r="AL759" s="309">
        <f>VLOOKUP($AK759,ENTI!$AF$4:AG$1003,2,FALSE)</f>
        <v>0</v>
      </c>
      <c r="AM759" s="224">
        <f>VLOOKUP($AK759,ENTI!$AF$4:AH$1003,3,FALSE)</f>
        <v>0</v>
      </c>
      <c r="AN759" s="224">
        <f>VLOOKUP($AK759,ENTI!$AF$4:AI$1003,4,FALSE)</f>
        <v>0</v>
      </c>
      <c r="AO759" s="781">
        <f>VLOOKUP($AK759,ENTI!$AF$4:AJ$1003,5,FALSE)</f>
        <v>0</v>
      </c>
      <c r="AP759" s="315">
        <f>VLOOKUP($AK759,ENTI!$AF$4:AK$1003,6,FALSE)</f>
        <v>0</v>
      </c>
      <c r="AQ759" s="208">
        <f t="shared" si="146"/>
        <v>0</v>
      </c>
      <c r="AR759" s="152" t="e">
        <f t="shared" si="147"/>
        <v>#N/A</v>
      </c>
      <c r="AS759" s="1"/>
      <c r="AT759" s="88" t="str">
        <f t="shared" si="140"/>
        <v/>
      </c>
      <c r="AU759" s="1"/>
      <c r="AV759" s="175">
        <f>IF(AW759&gt;0,COUNTIF(AV$4:AV758,"&gt;0")+1,0)</f>
        <v>0</v>
      </c>
      <c r="AW759" s="164">
        <f t="shared" si="141"/>
        <v>0</v>
      </c>
      <c r="AX759" s="310">
        <f>IF($AW759=0,0,VLOOKUP(VLOOKUP($X759,$B$34:$T$38,19,FALSE),ENTI!$A$9:$B$13,2,FALSE))</f>
        <v>0</v>
      </c>
      <c r="AY759" s="310">
        <f t="shared" si="143"/>
        <v>0</v>
      </c>
      <c r="AZ759" s="316">
        <f t="shared" si="144"/>
        <v>0</v>
      </c>
      <c r="BA759" s="1"/>
      <c r="BB759" s="152">
        <f t="shared" si="145"/>
        <v>0</v>
      </c>
      <c r="BC759" s="152">
        <f ca="1">SUM(Z$4:Z759)+SUM(BB$4:BB759)+COSTI!S$6-COSTI!L$1076</f>
        <v>-31.760000000000218</v>
      </c>
      <c r="BD759" s="1"/>
    </row>
    <row r="760" spans="1:56" ht="16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435">
        <f>IF(AND(W760&gt;=$U$1,W760&lt;=$U$2),IF(X760='ESTRATTO CONTO'!$E$2,1+COUNTIF(U$4:U759,"&gt;0"),0),0)</f>
        <v>0</v>
      </c>
      <c r="V760" s="417">
        <f t="shared" si="142"/>
        <v>757</v>
      </c>
      <c r="W760" s="509"/>
      <c r="X760" s="321"/>
      <c r="Y760" s="321"/>
      <c r="Z760" s="508"/>
      <c r="AA760" s="356"/>
      <c r="AB760" s="306" t="str">
        <f t="shared" si="138"/>
        <v/>
      </c>
      <c r="AC760" s="637">
        <f t="shared" ca="1" si="137"/>
        <v>-2.1316282072803006E-13</v>
      </c>
      <c r="AD760" s="935">
        <f>IF(ISERROR(VLOOKUP(AD$2,X761:X$1003,1,FALSE)),IF(X760=AD$2,SUMIF(X$4:X760,AD$2,Z$4:Z760)+$E$9+SUM(AQ$4:AQ$1003)+SUMIF(COSTI!$X$1379:$X$1430,AD$2,COSTI!$Z$1379:$Z$1430),0),0)</f>
        <v>0</v>
      </c>
      <c r="AE760" s="26"/>
      <c r="AF760" s="856" t="e">
        <f>IF(ISERROR(VLOOKUP(AG$2,X761:X$1003,1,FALSE)),IF(X760=AG$2,SUMIF(X$4:X760,AG$2,Z$4:Z760)+VLOOKUP(AF$2,$B$1057:$F$1068,5,FALSE)+SUM(AR$4:AR$1003)+SUMIF(COSTI!$X$1379:$X$1430,AG$2,COSTI!$Z$1379:$Z$1430),0),0)</f>
        <v>#N/A</v>
      </c>
      <c r="AG760" s="859"/>
      <c r="AH760" s="27" t="str">
        <f t="shared" si="139"/>
        <v/>
      </c>
      <c r="AI760" s="152">
        <f ca="1">IF(W761&gt;0,0,IF(AH760=0,(Z760*-1)+BC760+SUM(BB$4:BB759),BC760+SUM(BB$4:BB759)))</f>
        <v>-2.1316282072803006E-13</v>
      </c>
      <c r="AJ760" s="931">
        <f>IF(AND(AL760&gt;=$U$1,AL760&lt;=$U$2),IF(AM760='ESTRATTO CONTO'!$E$2,1+COUNTIF(AJ$4:AJ759,"&gt;0")+U$1015,0),0)</f>
        <v>0</v>
      </c>
      <c r="AK760" s="203">
        <f>IF(AND(OR((AK759+1)&lt;AL$1015,(AK759+1)=AL$1015),MAX(AK$4:AK759)&lt;AL$1015),AK759+1,0)</f>
        <v>0</v>
      </c>
      <c r="AL760" s="309">
        <f>VLOOKUP($AK760,ENTI!$AF$4:AG$1003,2,FALSE)</f>
        <v>0</v>
      </c>
      <c r="AM760" s="224">
        <f>VLOOKUP($AK760,ENTI!$AF$4:AH$1003,3,FALSE)</f>
        <v>0</v>
      </c>
      <c r="AN760" s="224">
        <f>VLOOKUP($AK760,ENTI!$AF$4:AI$1003,4,FALSE)</f>
        <v>0</v>
      </c>
      <c r="AO760" s="781">
        <f>VLOOKUP($AK760,ENTI!$AF$4:AJ$1003,5,FALSE)</f>
        <v>0</v>
      </c>
      <c r="AP760" s="315">
        <f>VLOOKUP($AK760,ENTI!$AF$4:AK$1003,6,FALSE)</f>
        <v>0</v>
      </c>
      <c r="AQ760" s="208">
        <f t="shared" si="146"/>
        <v>0</v>
      </c>
      <c r="AR760" s="152" t="e">
        <f t="shared" si="147"/>
        <v>#N/A</v>
      </c>
      <c r="AS760" s="1"/>
      <c r="AT760" s="88" t="str">
        <f t="shared" si="140"/>
        <v/>
      </c>
      <c r="AU760" s="1"/>
      <c r="AV760" s="175">
        <f>IF(AW760&gt;0,COUNTIF(AV$4:AV759,"&gt;0")+1,0)</f>
        <v>0</v>
      </c>
      <c r="AW760" s="164">
        <f t="shared" si="141"/>
        <v>0</v>
      </c>
      <c r="AX760" s="310">
        <f>IF($AW760=0,0,VLOOKUP(VLOOKUP($X760,$B$34:$T$38,19,FALSE),ENTI!$A$9:$B$13,2,FALSE))</f>
        <v>0</v>
      </c>
      <c r="AY760" s="310">
        <f t="shared" si="143"/>
        <v>0</v>
      </c>
      <c r="AZ760" s="316">
        <f t="shared" si="144"/>
        <v>0</v>
      </c>
      <c r="BA760" s="1"/>
      <c r="BB760" s="152">
        <f t="shared" si="145"/>
        <v>0</v>
      </c>
      <c r="BC760" s="152">
        <f ca="1">SUM(Z$4:Z760)+SUM(BB$4:BB760)+COSTI!S$6-COSTI!L$1076</f>
        <v>-31.760000000000218</v>
      </c>
      <c r="BD760" s="1"/>
    </row>
    <row r="761" spans="1:56" ht="16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435">
        <f>IF(AND(W761&gt;=$U$1,W761&lt;=$U$2),IF(X761='ESTRATTO CONTO'!$E$2,1+COUNTIF(U$4:U760,"&gt;0"),0),0)</f>
        <v>0</v>
      </c>
      <c r="V761" s="417">
        <f t="shared" si="142"/>
        <v>758</v>
      </c>
      <c r="W761" s="509"/>
      <c r="X761" s="321"/>
      <c r="Y761" s="321"/>
      <c r="Z761" s="508"/>
      <c r="AA761" s="356"/>
      <c r="AB761" s="306" t="str">
        <f t="shared" si="138"/>
        <v/>
      </c>
      <c r="AC761" s="637">
        <f t="shared" ref="AC761:AC824" ca="1" si="148">AI761</f>
        <v>-2.1316282072803006E-13</v>
      </c>
      <c r="AD761" s="935">
        <f>IF(ISERROR(VLOOKUP(AD$2,X762:X$1003,1,FALSE)),IF(X761=AD$2,SUMIF(X$4:X761,AD$2,Z$4:Z761)+$E$9+SUM(AQ$4:AQ$1003)+SUMIF(COSTI!$X$1379:$X$1430,AD$2,COSTI!$Z$1379:$Z$1430),0),0)</f>
        <v>0</v>
      </c>
      <c r="AE761" s="26"/>
      <c r="AF761" s="856" t="e">
        <f>IF(ISERROR(VLOOKUP(AG$2,X762:X$1003,1,FALSE)),IF(X761=AG$2,SUMIF(X$4:X761,AG$2,Z$4:Z761)+VLOOKUP(AF$2,$B$1057:$F$1068,5,FALSE)+SUM(AR$4:AR$1003)+SUMIF(COSTI!$X$1379:$X$1430,AG$2,COSTI!$Z$1379:$Z$1430),0),0)</f>
        <v>#N/A</v>
      </c>
      <c r="AG761" s="859"/>
      <c r="AH761" s="27" t="str">
        <f t="shared" si="139"/>
        <v/>
      </c>
      <c r="AI761" s="152">
        <f ca="1">IF(W762&gt;0,0,IF(AH761=0,(Z761*-1)+BC761+SUM(BB$4:BB760),BC761+SUM(BB$4:BB760)))</f>
        <v>-2.1316282072803006E-13</v>
      </c>
      <c r="AJ761" s="931">
        <f>IF(AND(AL761&gt;=$U$1,AL761&lt;=$U$2),IF(AM761='ESTRATTO CONTO'!$E$2,1+COUNTIF(AJ$4:AJ760,"&gt;0")+U$1015,0),0)</f>
        <v>0</v>
      </c>
      <c r="AK761" s="203">
        <f>IF(AND(OR((AK760+1)&lt;AL$1015,(AK760+1)=AL$1015),MAX(AK$4:AK760)&lt;AL$1015),AK760+1,0)</f>
        <v>0</v>
      </c>
      <c r="AL761" s="309">
        <f>VLOOKUP($AK761,ENTI!$AF$4:AG$1003,2,FALSE)</f>
        <v>0</v>
      </c>
      <c r="AM761" s="224">
        <f>VLOOKUP($AK761,ENTI!$AF$4:AH$1003,3,FALSE)</f>
        <v>0</v>
      </c>
      <c r="AN761" s="224">
        <f>VLOOKUP($AK761,ENTI!$AF$4:AI$1003,4,FALSE)</f>
        <v>0</v>
      </c>
      <c r="AO761" s="781">
        <f>VLOOKUP($AK761,ENTI!$AF$4:AJ$1003,5,FALSE)</f>
        <v>0</v>
      </c>
      <c r="AP761" s="315">
        <f>VLOOKUP($AK761,ENTI!$AF$4:AK$1003,6,FALSE)</f>
        <v>0</v>
      </c>
      <c r="AQ761" s="208">
        <f t="shared" si="146"/>
        <v>0</v>
      </c>
      <c r="AR761" s="152" t="e">
        <f t="shared" si="147"/>
        <v>#N/A</v>
      </c>
      <c r="AS761" s="1"/>
      <c r="AT761" s="88" t="str">
        <f t="shared" si="140"/>
        <v/>
      </c>
      <c r="AU761" s="1"/>
      <c r="AV761" s="175">
        <f>IF(AW761&gt;0,COUNTIF(AV$4:AV760,"&gt;0")+1,0)</f>
        <v>0</v>
      </c>
      <c r="AW761" s="164">
        <f t="shared" si="141"/>
        <v>0</v>
      </c>
      <c r="AX761" s="310">
        <f>IF($AW761=0,0,VLOOKUP(VLOOKUP($X761,$B$34:$T$38,19,FALSE),ENTI!$A$9:$B$13,2,FALSE))</f>
        <v>0</v>
      </c>
      <c r="AY761" s="310">
        <f t="shared" si="143"/>
        <v>0</v>
      </c>
      <c r="AZ761" s="316">
        <f t="shared" si="144"/>
        <v>0</v>
      </c>
      <c r="BA761" s="1"/>
      <c r="BB761" s="152">
        <f t="shared" si="145"/>
        <v>0</v>
      </c>
      <c r="BC761" s="152">
        <f ca="1">SUM(Z$4:Z761)+SUM(BB$4:BB761)+COSTI!S$6-COSTI!L$1076</f>
        <v>-31.760000000000218</v>
      </c>
      <c r="BD761" s="1"/>
    </row>
    <row r="762" spans="1:56" ht="16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435">
        <f>IF(AND(W762&gt;=$U$1,W762&lt;=$U$2),IF(X762='ESTRATTO CONTO'!$E$2,1+COUNTIF(U$4:U761,"&gt;0"),0),0)</f>
        <v>0</v>
      </c>
      <c r="V762" s="417">
        <f t="shared" si="142"/>
        <v>759</v>
      </c>
      <c r="W762" s="509"/>
      <c r="X762" s="321"/>
      <c r="Y762" s="321"/>
      <c r="Z762" s="508"/>
      <c r="AA762" s="356"/>
      <c r="AB762" s="306" t="str">
        <f t="shared" si="138"/>
        <v/>
      </c>
      <c r="AC762" s="637">
        <f t="shared" ca="1" si="148"/>
        <v>-2.1316282072803006E-13</v>
      </c>
      <c r="AD762" s="935">
        <f>IF(ISERROR(VLOOKUP(AD$2,X763:X$1003,1,FALSE)),IF(X762=AD$2,SUMIF(X$4:X762,AD$2,Z$4:Z762)+$E$9+SUM(AQ$4:AQ$1003)+SUMIF(COSTI!$X$1379:$X$1430,AD$2,COSTI!$Z$1379:$Z$1430),0),0)</f>
        <v>0</v>
      </c>
      <c r="AE762" s="26"/>
      <c r="AF762" s="856" t="e">
        <f>IF(ISERROR(VLOOKUP(AG$2,X763:X$1003,1,FALSE)),IF(X762=AG$2,SUMIF(X$4:X762,AG$2,Z$4:Z762)+VLOOKUP(AF$2,$B$1057:$F$1068,5,FALSE)+SUM(AR$4:AR$1003)+SUMIF(COSTI!$X$1379:$X$1430,AG$2,COSTI!$Z$1379:$Z$1430),0),0)</f>
        <v>#N/A</v>
      </c>
      <c r="AG762" s="859"/>
      <c r="AH762" s="27" t="str">
        <f t="shared" si="139"/>
        <v/>
      </c>
      <c r="AI762" s="152">
        <f ca="1">IF(W763&gt;0,0,IF(AH762=0,(Z762*-1)+BC762+SUM(BB$4:BB761),BC762+SUM(BB$4:BB761)))</f>
        <v>-2.1316282072803006E-13</v>
      </c>
      <c r="AJ762" s="931">
        <f>IF(AND(AL762&gt;=$U$1,AL762&lt;=$U$2),IF(AM762='ESTRATTO CONTO'!$E$2,1+COUNTIF(AJ$4:AJ761,"&gt;0")+U$1015,0),0)</f>
        <v>0</v>
      </c>
      <c r="AK762" s="203">
        <f>IF(AND(OR((AK761+1)&lt;AL$1015,(AK761+1)=AL$1015),MAX(AK$4:AK761)&lt;AL$1015),AK761+1,0)</f>
        <v>0</v>
      </c>
      <c r="AL762" s="309">
        <f>VLOOKUP($AK762,ENTI!$AF$4:AG$1003,2,FALSE)</f>
        <v>0</v>
      </c>
      <c r="AM762" s="224">
        <f>VLOOKUP($AK762,ENTI!$AF$4:AH$1003,3,FALSE)</f>
        <v>0</v>
      </c>
      <c r="AN762" s="224">
        <f>VLOOKUP($AK762,ENTI!$AF$4:AI$1003,4,FALSE)</f>
        <v>0</v>
      </c>
      <c r="AO762" s="781">
        <f>VLOOKUP($AK762,ENTI!$AF$4:AJ$1003,5,FALSE)</f>
        <v>0</v>
      </c>
      <c r="AP762" s="315">
        <f>VLOOKUP($AK762,ENTI!$AF$4:AK$1003,6,FALSE)</f>
        <v>0</v>
      </c>
      <c r="AQ762" s="208">
        <f t="shared" si="146"/>
        <v>0</v>
      </c>
      <c r="AR762" s="152" t="e">
        <f t="shared" si="147"/>
        <v>#N/A</v>
      </c>
      <c r="AS762" s="1"/>
      <c r="AT762" s="88" t="str">
        <f t="shared" si="140"/>
        <v/>
      </c>
      <c r="AU762" s="1"/>
      <c r="AV762" s="175">
        <f>IF(AW762&gt;0,COUNTIF(AV$4:AV761,"&gt;0")+1,0)</f>
        <v>0</v>
      </c>
      <c r="AW762" s="164">
        <f t="shared" si="141"/>
        <v>0</v>
      </c>
      <c r="AX762" s="310">
        <f>IF($AW762=0,0,VLOOKUP(VLOOKUP($X762,$B$34:$T$38,19,FALSE),ENTI!$A$9:$B$13,2,FALSE))</f>
        <v>0</v>
      </c>
      <c r="AY762" s="310">
        <f t="shared" si="143"/>
        <v>0</v>
      </c>
      <c r="AZ762" s="316">
        <f t="shared" si="144"/>
        <v>0</v>
      </c>
      <c r="BA762" s="1"/>
      <c r="BB762" s="152">
        <f t="shared" si="145"/>
        <v>0</v>
      </c>
      <c r="BC762" s="152">
        <f ca="1">SUM(Z$4:Z762)+SUM(BB$4:BB762)+COSTI!S$6-COSTI!L$1076</f>
        <v>-31.760000000000218</v>
      </c>
      <c r="BD762" s="1"/>
    </row>
    <row r="763" spans="1:56" ht="16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435">
        <f>IF(AND(W763&gt;=$U$1,W763&lt;=$U$2),IF(X763='ESTRATTO CONTO'!$E$2,1+COUNTIF(U$4:U762,"&gt;0"),0),0)</f>
        <v>0</v>
      </c>
      <c r="V763" s="417">
        <f t="shared" si="142"/>
        <v>760</v>
      </c>
      <c r="W763" s="509"/>
      <c r="X763" s="321"/>
      <c r="Y763" s="321"/>
      <c r="Z763" s="508"/>
      <c r="AA763" s="356"/>
      <c r="AB763" s="306" t="str">
        <f t="shared" si="138"/>
        <v/>
      </c>
      <c r="AC763" s="637">
        <f t="shared" ca="1" si="148"/>
        <v>-2.1316282072803006E-13</v>
      </c>
      <c r="AD763" s="935">
        <f>IF(ISERROR(VLOOKUP(AD$2,X764:X$1003,1,FALSE)),IF(X763=AD$2,SUMIF(X$4:X763,AD$2,Z$4:Z763)+$E$9+SUM(AQ$4:AQ$1003)+SUMIF(COSTI!$X$1379:$X$1430,AD$2,COSTI!$Z$1379:$Z$1430),0),0)</f>
        <v>0</v>
      </c>
      <c r="AE763" s="26"/>
      <c r="AF763" s="856" t="e">
        <f>IF(ISERROR(VLOOKUP(AG$2,X764:X$1003,1,FALSE)),IF(X763=AG$2,SUMIF(X$4:X763,AG$2,Z$4:Z763)+VLOOKUP(AF$2,$B$1057:$F$1068,5,FALSE)+SUM(AR$4:AR$1003)+SUMIF(COSTI!$X$1379:$X$1430,AG$2,COSTI!$Z$1379:$Z$1430),0),0)</f>
        <v>#N/A</v>
      </c>
      <c r="AG763" s="859"/>
      <c r="AH763" s="27" t="str">
        <f t="shared" si="139"/>
        <v/>
      </c>
      <c r="AI763" s="152">
        <f ca="1">IF(W764&gt;0,0,IF(AH763=0,(Z763*-1)+BC763+SUM(BB$4:BB762),BC763+SUM(BB$4:BB762)))</f>
        <v>-2.1316282072803006E-13</v>
      </c>
      <c r="AJ763" s="931">
        <f>IF(AND(AL763&gt;=$U$1,AL763&lt;=$U$2),IF(AM763='ESTRATTO CONTO'!$E$2,1+COUNTIF(AJ$4:AJ762,"&gt;0")+U$1015,0),0)</f>
        <v>0</v>
      </c>
      <c r="AK763" s="203">
        <f>IF(AND(OR((AK762+1)&lt;AL$1015,(AK762+1)=AL$1015),MAX(AK$4:AK762)&lt;AL$1015),AK762+1,0)</f>
        <v>0</v>
      </c>
      <c r="AL763" s="309">
        <f>VLOOKUP($AK763,ENTI!$AF$4:AG$1003,2,FALSE)</f>
        <v>0</v>
      </c>
      <c r="AM763" s="224">
        <f>VLOOKUP($AK763,ENTI!$AF$4:AH$1003,3,FALSE)</f>
        <v>0</v>
      </c>
      <c r="AN763" s="224">
        <f>VLOOKUP($AK763,ENTI!$AF$4:AI$1003,4,FALSE)</f>
        <v>0</v>
      </c>
      <c r="AO763" s="781">
        <f>VLOOKUP($AK763,ENTI!$AF$4:AJ$1003,5,FALSE)</f>
        <v>0</v>
      </c>
      <c r="AP763" s="315">
        <f>VLOOKUP($AK763,ENTI!$AF$4:AK$1003,6,FALSE)</f>
        <v>0</v>
      </c>
      <c r="AQ763" s="208">
        <f t="shared" si="146"/>
        <v>0</v>
      </c>
      <c r="AR763" s="152" t="e">
        <f t="shared" si="147"/>
        <v>#N/A</v>
      </c>
      <c r="AS763" s="1"/>
      <c r="AT763" s="88" t="str">
        <f t="shared" si="140"/>
        <v/>
      </c>
      <c r="AU763" s="1"/>
      <c r="AV763" s="175">
        <f>IF(AW763&gt;0,COUNTIF(AV$4:AV762,"&gt;0")+1,0)</f>
        <v>0</v>
      </c>
      <c r="AW763" s="164">
        <f t="shared" si="141"/>
        <v>0</v>
      </c>
      <c r="AX763" s="310">
        <f>IF($AW763=0,0,VLOOKUP(VLOOKUP($X763,$B$34:$T$38,19,FALSE),ENTI!$A$9:$B$13,2,FALSE))</f>
        <v>0</v>
      </c>
      <c r="AY763" s="310">
        <f t="shared" si="143"/>
        <v>0</v>
      </c>
      <c r="AZ763" s="316">
        <f t="shared" si="144"/>
        <v>0</v>
      </c>
      <c r="BA763" s="1"/>
      <c r="BB763" s="152">
        <f t="shared" si="145"/>
        <v>0</v>
      </c>
      <c r="BC763" s="152">
        <f ca="1">SUM(Z$4:Z763)+SUM(BB$4:BB763)+COSTI!S$6-COSTI!L$1076</f>
        <v>-31.760000000000218</v>
      </c>
      <c r="BD763" s="1"/>
    </row>
    <row r="764" spans="1:56" ht="16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435">
        <f>IF(AND(W764&gt;=$U$1,W764&lt;=$U$2),IF(X764='ESTRATTO CONTO'!$E$2,1+COUNTIF(U$4:U763,"&gt;0"),0),0)</f>
        <v>0</v>
      </c>
      <c r="V764" s="417">
        <f t="shared" si="142"/>
        <v>761</v>
      </c>
      <c r="W764" s="509"/>
      <c r="X764" s="321"/>
      <c r="Y764" s="321"/>
      <c r="Z764" s="508"/>
      <c r="AA764" s="356"/>
      <c r="AB764" s="306" t="str">
        <f t="shared" si="138"/>
        <v/>
      </c>
      <c r="AC764" s="637">
        <f t="shared" ca="1" si="148"/>
        <v>-2.1316282072803006E-13</v>
      </c>
      <c r="AD764" s="935">
        <f>IF(ISERROR(VLOOKUP(AD$2,X765:X$1003,1,FALSE)),IF(X764=AD$2,SUMIF(X$4:X764,AD$2,Z$4:Z764)+$E$9+SUM(AQ$4:AQ$1003)+SUMIF(COSTI!$X$1379:$X$1430,AD$2,COSTI!$Z$1379:$Z$1430),0),0)</f>
        <v>0</v>
      </c>
      <c r="AE764" s="26"/>
      <c r="AF764" s="856" t="e">
        <f>IF(ISERROR(VLOOKUP(AG$2,X765:X$1003,1,FALSE)),IF(X764=AG$2,SUMIF(X$4:X764,AG$2,Z$4:Z764)+VLOOKUP(AF$2,$B$1057:$F$1068,5,FALSE)+SUM(AR$4:AR$1003)+SUMIF(COSTI!$X$1379:$X$1430,AG$2,COSTI!$Z$1379:$Z$1430),0),0)</f>
        <v>#N/A</v>
      </c>
      <c r="AG764" s="859"/>
      <c r="AH764" s="27" t="str">
        <f t="shared" si="139"/>
        <v/>
      </c>
      <c r="AI764" s="152">
        <f ca="1">IF(W765&gt;0,0,IF(AH764=0,(Z764*-1)+BC764+SUM(BB$4:BB763),BC764+SUM(BB$4:BB763)))</f>
        <v>-2.1316282072803006E-13</v>
      </c>
      <c r="AJ764" s="931">
        <f>IF(AND(AL764&gt;=$U$1,AL764&lt;=$U$2),IF(AM764='ESTRATTO CONTO'!$E$2,1+COUNTIF(AJ$4:AJ763,"&gt;0")+U$1015,0),0)</f>
        <v>0</v>
      </c>
      <c r="AK764" s="203">
        <f>IF(AND(OR((AK763+1)&lt;AL$1015,(AK763+1)=AL$1015),MAX(AK$4:AK763)&lt;AL$1015),AK763+1,0)</f>
        <v>0</v>
      </c>
      <c r="AL764" s="309">
        <f>VLOOKUP($AK764,ENTI!$AF$4:AG$1003,2,FALSE)</f>
        <v>0</v>
      </c>
      <c r="AM764" s="224">
        <f>VLOOKUP($AK764,ENTI!$AF$4:AH$1003,3,FALSE)</f>
        <v>0</v>
      </c>
      <c r="AN764" s="224">
        <f>VLOOKUP($AK764,ENTI!$AF$4:AI$1003,4,FALSE)</f>
        <v>0</v>
      </c>
      <c r="AO764" s="781">
        <f>VLOOKUP($AK764,ENTI!$AF$4:AJ$1003,5,FALSE)</f>
        <v>0</v>
      </c>
      <c r="AP764" s="315">
        <f>VLOOKUP($AK764,ENTI!$AF$4:AK$1003,6,FALSE)</f>
        <v>0</v>
      </c>
      <c r="AQ764" s="208">
        <f t="shared" si="146"/>
        <v>0</v>
      </c>
      <c r="AR764" s="152" t="e">
        <f t="shared" si="147"/>
        <v>#N/A</v>
      </c>
      <c r="AS764" s="1"/>
      <c r="AT764" s="88" t="str">
        <f t="shared" si="140"/>
        <v/>
      </c>
      <c r="AU764" s="1"/>
      <c r="AV764" s="175">
        <f>IF(AW764&gt;0,COUNTIF(AV$4:AV763,"&gt;0")+1,0)</f>
        <v>0</v>
      </c>
      <c r="AW764" s="164">
        <f t="shared" si="141"/>
        <v>0</v>
      </c>
      <c r="AX764" s="310">
        <f>IF($AW764=0,0,VLOOKUP(VLOOKUP($X764,$B$34:$T$38,19,FALSE),ENTI!$A$9:$B$13,2,FALSE))</f>
        <v>0</v>
      </c>
      <c r="AY764" s="310">
        <f t="shared" si="143"/>
        <v>0</v>
      </c>
      <c r="AZ764" s="316">
        <f t="shared" si="144"/>
        <v>0</v>
      </c>
      <c r="BA764" s="1"/>
      <c r="BB764" s="152">
        <f t="shared" si="145"/>
        <v>0</v>
      </c>
      <c r="BC764" s="152">
        <f ca="1">SUM(Z$4:Z764)+SUM(BB$4:BB764)+COSTI!S$6-COSTI!L$1076</f>
        <v>-31.760000000000218</v>
      </c>
      <c r="BD764" s="1"/>
    </row>
    <row r="765" spans="1:56" ht="16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435">
        <f>IF(AND(W765&gt;=$U$1,W765&lt;=$U$2),IF(X765='ESTRATTO CONTO'!$E$2,1+COUNTIF(U$4:U764,"&gt;0"),0),0)</f>
        <v>0</v>
      </c>
      <c r="V765" s="417">
        <f t="shared" si="142"/>
        <v>762</v>
      </c>
      <c r="W765" s="509"/>
      <c r="X765" s="321"/>
      <c r="Y765" s="321"/>
      <c r="Z765" s="508"/>
      <c r="AA765" s="356"/>
      <c r="AB765" s="306" t="str">
        <f t="shared" si="138"/>
        <v/>
      </c>
      <c r="AC765" s="637">
        <f t="shared" ca="1" si="148"/>
        <v>-2.1316282072803006E-13</v>
      </c>
      <c r="AD765" s="935">
        <f>IF(ISERROR(VLOOKUP(AD$2,X766:X$1003,1,FALSE)),IF(X765=AD$2,SUMIF(X$4:X765,AD$2,Z$4:Z765)+$E$9+SUM(AQ$4:AQ$1003)+SUMIF(COSTI!$X$1379:$X$1430,AD$2,COSTI!$Z$1379:$Z$1430),0),0)</f>
        <v>0</v>
      </c>
      <c r="AE765" s="26"/>
      <c r="AF765" s="856" t="e">
        <f>IF(ISERROR(VLOOKUP(AG$2,X766:X$1003,1,FALSE)),IF(X765=AG$2,SUMIF(X$4:X765,AG$2,Z$4:Z765)+VLOOKUP(AF$2,$B$1057:$F$1068,5,FALSE)+SUM(AR$4:AR$1003)+SUMIF(COSTI!$X$1379:$X$1430,AG$2,COSTI!$Z$1379:$Z$1430),0),0)</f>
        <v>#N/A</v>
      </c>
      <c r="AG765" s="859"/>
      <c r="AH765" s="27" t="str">
        <f t="shared" si="139"/>
        <v/>
      </c>
      <c r="AI765" s="152">
        <f ca="1">IF(W766&gt;0,0,IF(AH765=0,(Z765*-1)+BC765+SUM(BB$4:BB764),BC765+SUM(BB$4:BB764)))</f>
        <v>-2.1316282072803006E-13</v>
      </c>
      <c r="AJ765" s="931">
        <f>IF(AND(AL765&gt;=$U$1,AL765&lt;=$U$2),IF(AM765='ESTRATTO CONTO'!$E$2,1+COUNTIF(AJ$4:AJ764,"&gt;0")+U$1015,0),0)</f>
        <v>0</v>
      </c>
      <c r="AK765" s="203">
        <f>IF(AND(OR((AK764+1)&lt;AL$1015,(AK764+1)=AL$1015),MAX(AK$4:AK764)&lt;AL$1015),AK764+1,0)</f>
        <v>0</v>
      </c>
      <c r="AL765" s="309">
        <f>VLOOKUP($AK765,ENTI!$AF$4:AG$1003,2,FALSE)</f>
        <v>0</v>
      </c>
      <c r="AM765" s="224">
        <f>VLOOKUP($AK765,ENTI!$AF$4:AH$1003,3,FALSE)</f>
        <v>0</v>
      </c>
      <c r="AN765" s="224">
        <f>VLOOKUP($AK765,ENTI!$AF$4:AI$1003,4,FALSE)</f>
        <v>0</v>
      </c>
      <c r="AO765" s="781">
        <f>VLOOKUP($AK765,ENTI!$AF$4:AJ$1003,5,FALSE)</f>
        <v>0</v>
      </c>
      <c r="AP765" s="315">
        <f>VLOOKUP($AK765,ENTI!$AF$4:AK$1003,6,FALSE)</f>
        <v>0</v>
      </c>
      <c r="AQ765" s="208">
        <f t="shared" si="146"/>
        <v>0</v>
      </c>
      <c r="AR765" s="152" t="e">
        <f t="shared" si="147"/>
        <v>#N/A</v>
      </c>
      <c r="AS765" s="1"/>
      <c r="AT765" s="88" t="str">
        <f t="shared" si="140"/>
        <v/>
      </c>
      <c r="AU765" s="1"/>
      <c r="AV765" s="175">
        <f>IF(AW765&gt;0,COUNTIF(AV$4:AV764,"&gt;0")+1,0)</f>
        <v>0</v>
      </c>
      <c r="AW765" s="164">
        <f t="shared" si="141"/>
        <v>0</v>
      </c>
      <c r="AX765" s="310">
        <f>IF($AW765=0,0,VLOOKUP(VLOOKUP($X765,$B$34:$T$38,19,FALSE),ENTI!$A$9:$B$13,2,FALSE))</f>
        <v>0</v>
      </c>
      <c r="AY765" s="310">
        <f t="shared" si="143"/>
        <v>0</v>
      </c>
      <c r="AZ765" s="316">
        <f t="shared" si="144"/>
        <v>0</v>
      </c>
      <c r="BA765" s="1"/>
      <c r="BB765" s="152">
        <f t="shared" si="145"/>
        <v>0</v>
      </c>
      <c r="BC765" s="152">
        <f ca="1">SUM(Z$4:Z765)+SUM(BB$4:BB765)+COSTI!S$6-COSTI!L$1076</f>
        <v>-31.760000000000218</v>
      </c>
      <c r="BD765" s="1"/>
    </row>
    <row r="766" spans="1:56" ht="16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435">
        <f>IF(AND(W766&gt;=$U$1,W766&lt;=$U$2),IF(X766='ESTRATTO CONTO'!$E$2,1+COUNTIF(U$4:U765,"&gt;0"),0),0)</f>
        <v>0</v>
      </c>
      <c r="V766" s="417">
        <f t="shared" si="142"/>
        <v>763</v>
      </c>
      <c r="W766" s="509"/>
      <c r="X766" s="321"/>
      <c r="Y766" s="321"/>
      <c r="Z766" s="508"/>
      <c r="AA766" s="356"/>
      <c r="AB766" s="306" t="str">
        <f t="shared" si="138"/>
        <v/>
      </c>
      <c r="AC766" s="637">
        <f t="shared" ca="1" si="148"/>
        <v>-2.1316282072803006E-13</v>
      </c>
      <c r="AD766" s="935">
        <f>IF(ISERROR(VLOOKUP(AD$2,X767:X$1003,1,FALSE)),IF(X766=AD$2,SUMIF(X$4:X766,AD$2,Z$4:Z766)+$E$9+SUM(AQ$4:AQ$1003)+SUMIF(COSTI!$X$1379:$X$1430,AD$2,COSTI!$Z$1379:$Z$1430),0),0)</f>
        <v>0</v>
      </c>
      <c r="AE766" s="26"/>
      <c r="AF766" s="856" t="e">
        <f>IF(ISERROR(VLOOKUP(AG$2,X767:X$1003,1,FALSE)),IF(X766=AG$2,SUMIF(X$4:X766,AG$2,Z$4:Z766)+VLOOKUP(AF$2,$B$1057:$F$1068,5,FALSE)+SUM(AR$4:AR$1003)+SUMIF(COSTI!$X$1379:$X$1430,AG$2,COSTI!$Z$1379:$Z$1430),0),0)</f>
        <v>#N/A</v>
      </c>
      <c r="AG766" s="859"/>
      <c r="AH766" s="27" t="str">
        <f t="shared" si="139"/>
        <v/>
      </c>
      <c r="AI766" s="152">
        <f ca="1">IF(W767&gt;0,0,IF(AH766=0,(Z766*-1)+BC766+SUM(BB$4:BB765),BC766+SUM(BB$4:BB765)))</f>
        <v>-2.1316282072803006E-13</v>
      </c>
      <c r="AJ766" s="931">
        <f>IF(AND(AL766&gt;=$U$1,AL766&lt;=$U$2),IF(AM766='ESTRATTO CONTO'!$E$2,1+COUNTIF(AJ$4:AJ765,"&gt;0")+U$1015,0),0)</f>
        <v>0</v>
      </c>
      <c r="AK766" s="203">
        <f>IF(AND(OR((AK765+1)&lt;AL$1015,(AK765+1)=AL$1015),MAX(AK$4:AK765)&lt;AL$1015),AK765+1,0)</f>
        <v>0</v>
      </c>
      <c r="AL766" s="309">
        <f>VLOOKUP($AK766,ENTI!$AF$4:AG$1003,2,FALSE)</f>
        <v>0</v>
      </c>
      <c r="AM766" s="224">
        <f>VLOOKUP($AK766,ENTI!$AF$4:AH$1003,3,FALSE)</f>
        <v>0</v>
      </c>
      <c r="AN766" s="224">
        <f>VLOOKUP($AK766,ENTI!$AF$4:AI$1003,4,FALSE)</f>
        <v>0</v>
      </c>
      <c r="AO766" s="781">
        <f>VLOOKUP($AK766,ENTI!$AF$4:AJ$1003,5,FALSE)</f>
        <v>0</v>
      </c>
      <c r="AP766" s="315">
        <f>VLOOKUP($AK766,ENTI!$AF$4:AK$1003,6,FALSE)</f>
        <v>0</v>
      </c>
      <c r="AQ766" s="208">
        <f t="shared" si="146"/>
        <v>0</v>
      </c>
      <c r="AR766" s="152" t="e">
        <f t="shared" si="147"/>
        <v>#N/A</v>
      </c>
      <c r="AS766" s="1"/>
      <c r="AT766" s="88" t="str">
        <f t="shared" si="140"/>
        <v/>
      </c>
      <c r="AU766" s="1"/>
      <c r="AV766" s="175">
        <f>IF(AW766&gt;0,COUNTIF(AV$4:AV765,"&gt;0")+1,0)</f>
        <v>0</v>
      </c>
      <c r="AW766" s="164">
        <f t="shared" si="141"/>
        <v>0</v>
      </c>
      <c r="AX766" s="310">
        <f>IF($AW766=0,0,VLOOKUP(VLOOKUP($X766,$B$34:$T$38,19,FALSE),ENTI!$A$9:$B$13,2,FALSE))</f>
        <v>0</v>
      </c>
      <c r="AY766" s="310">
        <f t="shared" si="143"/>
        <v>0</v>
      </c>
      <c r="AZ766" s="316">
        <f t="shared" si="144"/>
        <v>0</v>
      </c>
      <c r="BA766" s="1"/>
      <c r="BB766" s="152">
        <f t="shared" si="145"/>
        <v>0</v>
      </c>
      <c r="BC766" s="152">
        <f ca="1">SUM(Z$4:Z766)+SUM(BB$4:BB766)+COSTI!S$6-COSTI!L$1076</f>
        <v>-31.760000000000218</v>
      </c>
      <c r="BD766" s="1"/>
    </row>
    <row r="767" spans="1:56" ht="16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435">
        <f>IF(AND(W767&gt;=$U$1,W767&lt;=$U$2),IF(X767='ESTRATTO CONTO'!$E$2,1+COUNTIF(U$4:U766,"&gt;0"),0),0)</f>
        <v>0</v>
      </c>
      <c r="V767" s="417">
        <f t="shared" si="142"/>
        <v>764</v>
      </c>
      <c r="W767" s="509"/>
      <c r="X767" s="321"/>
      <c r="Y767" s="321"/>
      <c r="Z767" s="508"/>
      <c r="AA767" s="356"/>
      <c r="AB767" s="306" t="str">
        <f t="shared" si="138"/>
        <v/>
      </c>
      <c r="AC767" s="637">
        <f t="shared" ca="1" si="148"/>
        <v>-2.1316282072803006E-13</v>
      </c>
      <c r="AD767" s="935">
        <f>IF(ISERROR(VLOOKUP(AD$2,X768:X$1003,1,FALSE)),IF(X767=AD$2,SUMIF(X$4:X767,AD$2,Z$4:Z767)+$E$9+SUM(AQ$4:AQ$1003)+SUMIF(COSTI!$X$1379:$X$1430,AD$2,COSTI!$Z$1379:$Z$1430),0),0)</f>
        <v>0</v>
      </c>
      <c r="AE767" s="26"/>
      <c r="AF767" s="856" t="e">
        <f>IF(ISERROR(VLOOKUP(AG$2,X768:X$1003,1,FALSE)),IF(X767=AG$2,SUMIF(X$4:X767,AG$2,Z$4:Z767)+VLOOKUP(AF$2,$B$1057:$F$1068,5,FALSE)+SUM(AR$4:AR$1003)+SUMIF(COSTI!$X$1379:$X$1430,AG$2,COSTI!$Z$1379:$Z$1430),0),0)</f>
        <v>#N/A</v>
      </c>
      <c r="AG767" s="859"/>
      <c r="AH767" s="27" t="str">
        <f t="shared" si="139"/>
        <v/>
      </c>
      <c r="AI767" s="152">
        <f ca="1">IF(W768&gt;0,0,IF(AH767=0,(Z767*-1)+BC767+SUM(BB$4:BB766),BC767+SUM(BB$4:BB766)))</f>
        <v>-2.1316282072803006E-13</v>
      </c>
      <c r="AJ767" s="931">
        <f>IF(AND(AL767&gt;=$U$1,AL767&lt;=$U$2),IF(AM767='ESTRATTO CONTO'!$E$2,1+COUNTIF(AJ$4:AJ766,"&gt;0")+U$1015,0),0)</f>
        <v>0</v>
      </c>
      <c r="AK767" s="203">
        <f>IF(AND(OR((AK766+1)&lt;AL$1015,(AK766+1)=AL$1015),MAX(AK$4:AK766)&lt;AL$1015),AK766+1,0)</f>
        <v>0</v>
      </c>
      <c r="AL767" s="309">
        <f>VLOOKUP($AK767,ENTI!$AF$4:AG$1003,2,FALSE)</f>
        <v>0</v>
      </c>
      <c r="AM767" s="224">
        <f>VLOOKUP($AK767,ENTI!$AF$4:AH$1003,3,FALSE)</f>
        <v>0</v>
      </c>
      <c r="AN767" s="224">
        <f>VLOOKUP($AK767,ENTI!$AF$4:AI$1003,4,FALSE)</f>
        <v>0</v>
      </c>
      <c r="AO767" s="781">
        <f>VLOOKUP($AK767,ENTI!$AF$4:AJ$1003,5,FALSE)</f>
        <v>0</v>
      </c>
      <c r="AP767" s="315">
        <f>VLOOKUP($AK767,ENTI!$AF$4:AK$1003,6,FALSE)</f>
        <v>0</v>
      </c>
      <c r="AQ767" s="208">
        <f t="shared" si="146"/>
        <v>0</v>
      </c>
      <c r="AR767" s="152" t="e">
        <f t="shared" si="147"/>
        <v>#N/A</v>
      </c>
      <c r="AS767" s="1"/>
      <c r="AT767" s="88" t="str">
        <f t="shared" si="140"/>
        <v/>
      </c>
      <c r="AU767" s="1"/>
      <c r="AV767" s="175">
        <f>IF(AW767&gt;0,COUNTIF(AV$4:AV766,"&gt;0")+1,0)</f>
        <v>0</v>
      </c>
      <c r="AW767" s="164">
        <f t="shared" si="141"/>
        <v>0</v>
      </c>
      <c r="AX767" s="310">
        <f>IF($AW767=0,0,VLOOKUP(VLOOKUP($X767,$B$34:$T$38,19,FALSE),ENTI!$A$9:$B$13,2,FALSE))</f>
        <v>0</v>
      </c>
      <c r="AY767" s="310">
        <f t="shared" si="143"/>
        <v>0</v>
      </c>
      <c r="AZ767" s="316">
        <f t="shared" si="144"/>
        <v>0</v>
      </c>
      <c r="BA767" s="1"/>
      <c r="BB767" s="152">
        <f t="shared" si="145"/>
        <v>0</v>
      </c>
      <c r="BC767" s="152">
        <f ca="1">SUM(Z$4:Z767)+SUM(BB$4:BB767)+COSTI!S$6-COSTI!L$1076</f>
        <v>-31.760000000000218</v>
      </c>
      <c r="BD767" s="1"/>
    </row>
    <row r="768" spans="1:56" ht="16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435">
        <f>IF(AND(W768&gt;=$U$1,W768&lt;=$U$2),IF(X768='ESTRATTO CONTO'!$E$2,1+COUNTIF(U$4:U767,"&gt;0"),0),0)</f>
        <v>0</v>
      </c>
      <c r="V768" s="417">
        <f t="shared" si="142"/>
        <v>765</v>
      </c>
      <c r="W768" s="509"/>
      <c r="X768" s="321"/>
      <c r="Y768" s="321"/>
      <c r="Z768" s="508"/>
      <c r="AA768" s="356"/>
      <c r="AB768" s="306" t="str">
        <f t="shared" si="138"/>
        <v/>
      </c>
      <c r="AC768" s="637">
        <f t="shared" ca="1" si="148"/>
        <v>-2.1316282072803006E-13</v>
      </c>
      <c r="AD768" s="935">
        <f>IF(ISERROR(VLOOKUP(AD$2,X769:X$1003,1,FALSE)),IF(X768=AD$2,SUMIF(X$4:X768,AD$2,Z$4:Z768)+$E$9+SUM(AQ$4:AQ$1003)+SUMIF(COSTI!$X$1379:$X$1430,AD$2,COSTI!$Z$1379:$Z$1430),0),0)</f>
        <v>0</v>
      </c>
      <c r="AE768" s="26"/>
      <c r="AF768" s="856" t="e">
        <f>IF(ISERROR(VLOOKUP(AG$2,X769:X$1003,1,FALSE)),IF(X768=AG$2,SUMIF(X$4:X768,AG$2,Z$4:Z768)+VLOOKUP(AF$2,$B$1057:$F$1068,5,FALSE)+SUM(AR$4:AR$1003)+SUMIF(COSTI!$X$1379:$X$1430,AG$2,COSTI!$Z$1379:$Z$1430),0),0)</f>
        <v>#N/A</v>
      </c>
      <c r="AG768" s="859"/>
      <c r="AH768" s="27" t="str">
        <f t="shared" si="139"/>
        <v/>
      </c>
      <c r="AI768" s="152">
        <f ca="1">IF(W769&gt;0,0,IF(AH768=0,(Z768*-1)+BC768+SUM(BB$4:BB767),BC768+SUM(BB$4:BB767)))</f>
        <v>-2.1316282072803006E-13</v>
      </c>
      <c r="AJ768" s="931">
        <f>IF(AND(AL768&gt;=$U$1,AL768&lt;=$U$2),IF(AM768='ESTRATTO CONTO'!$E$2,1+COUNTIF(AJ$4:AJ767,"&gt;0")+U$1015,0),0)</f>
        <v>0</v>
      </c>
      <c r="AK768" s="203">
        <f>IF(AND(OR((AK767+1)&lt;AL$1015,(AK767+1)=AL$1015),MAX(AK$4:AK767)&lt;AL$1015),AK767+1,0)</f>
        <v>0</v>
      </c>
      <c r="AL768" s="309">
        <f>VLOOKUP($AK768,ENTI!$AF$4:AG$1003,2,FALSE)</f>
        <v>0</v>
      </c>
      <c r="AM768" s="224">
        <f>VLOOKUP($AK768,ENTI!$AF$4:AH$1003,3,FALSE)</f>
        <v>0</v>
      </c>
      <c r="AN768" s="224">
        <f>VLOOKUP($AK768,ENTI!$AF$4:AI$1003,4,FALSE)</f>
        <v>0</v>
      </c>
      <c r="AO768" s="781">
        <f>VLOOKUP($AK768,ENTI!$AF$4:AJ$1003,5,FALSE)</f>
        <v>0</v>
      </c>
      <c r="AP768" s="315">
        <f>VLOOKUP($AK768,ENTI!$AF$4:AK$1003,6,FALSE)</f>
        <v>0</v>
      </c>
      <c r="AQ768" s="208">
        <f t="shared" si="146"/>
        <v>0</v>
      </c>
      <c r="AR768" s="152" t="e">
        <f t="shared" si="147"/>
        <v>#N/A</v>
      </c>
      <c r="AS768" s="1"/>
      <c r="AT768" s="88" t="str">
        <f t="shared" si="140"/>
        <v/>
      </c>
      <c r="AU768" s="1"/>
      <c r="AV768" s="175">
        <f>IF(AW768&gt;0,COUNTIF(AV$4:AV767,"&gt;0")+1,0)</f>
        <v>0</v>
      </c>
      <c r="AW768" s="164">
        <f t="shared" si="141"/>
        <v>0</v>
      </c>
      <c r="AX768" s="310">
        <f>IF($AW768=0,0,VLOOKUP(VLOOKUP($X768,$B$34:$T$38,19,FALSE),ENTI!$A$9:$B$13,2,FALSE))</f>
        <v>0</v>
      </c>
      <c r="AY768" s="310">
        <f t="shared" si="143"/>
        <v>0</v>
      </c>
      <c r="AZ768" s="316">
        <f t="shared" si="144"/>
        <v>0</v>
      </c>
      <c r="BA768" s="1"/>
      <c r="BB768" s="152">
        <f t="shared" si="145"/>
        <v>0</v>
      </c>
      <c r="BC768" s="152">
        <f ca="1">SUM(Z$4:Z768)+SUM(BB$4:BB768)+COSTI!S$6-COSTI!L$1076</f>
        <v>-31.760000000000218</v>
      </c>
      <c r="BD768" s="1"/>
    </row>
    <row r="769" spans="1:56" ht="16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435">
        <f>IF(AND(W769&gt;=$U$1,W769&lt;=$U$2),IF(X769='ESTRATTO CONTO'!$E$2,1+COUNTIF(U$4:U768,"&gt;0"),0),0)</f>
        <v>0</v>
      </c>
      <c r="V769" s="417">
        <f t="shared" si="142"/>
        <v>766</v>
      </c>
      <c r="W769" s="509"/>
      <c r="X769" s="321"/>
      <c r="Y769" s="321"/>
      <c r="Z769" s="508"/>
      <c r="AA769" s="356"/>
      <c r="AB769" s="306" t="str">
        <f t="shared" si="138"/>
        <v/>
      </c>
      <c r="AC769" s="637">
        <f t="shared" ca="1" si="148"/>
        <v>-2.1316282072803006E-13</v>
      </c>
      <c r="AD769" s="935">
        <f>IF(ISERROR(VLOOKUP(AD$2,X770:X$1003,1,FALSE)),IF(X769=AD$2,SUMIF(X$4:X769,AD$2,Z$4:Z769)+$E$9+SUM(AQ$4:AQ$1003)+SUMIF(COSTI!$X$1379:$X$1430,AD$2,COSTI!$Z$1379:$Z$1430),0),0)</f>
        <v>0</v>
      </c>
      <c r="AE769" s="26"/>
      <c r="AF769" s="856" t="e">
        <f>IF(ISERROR(VLOOKUP(AG$2,X770:X$1003,1,FALSE)),IF(X769=AG$2,SUMIF(X$4:X769,AG$2,Z$4:Z769)+VLOOKUP(AF$2,$B$1057:$F$1068,5,FALSE)+SUM(AR$4:AR$1003)+SUMIF(COSTI!$X$1379:$X$1430,AG$2,COSTI!$Z$1379:$Z$1430),0),0)</f>
        <v>#N/A</v>
      </c>
      <c r="AG769" s="859"/>
      <c r="AH769" s="27" t="str">
        <f t="shared" si="139"/>
        <v/>
      </c>
      <c r="AI769" s="152">
        <f ca="1">IF(W770&gt;0,0,IF(AH769=0,(Z769*-1)+BC769+SUM(BB$4:BB768),BC769+SUM(BB$4:BB768)))</f>
        <v>-2.1316282072803006E-13</v>
      </c>
      <c r="AJ769" s="931">
        <f>IF(AND(AL769&gt;=$U$1,AL769&lt;=$U$2),IF(AM769='ESTRATTO CONTO'!$E$2,1+COUNTIF(AJ$4:AJ768,"&gt;0")+U$1015,0),0)</f>
        <v>0</v>
      </c>
      <c r="AK769" s="203">
        <f>IF(AND(OR((AK768+1)&lt;AL$1015,(AK768+1)=AL$1015),MAX(AK$4:AK768)&lt;AL$1015),AK768+1,0)</f>
        <v>0</v>
      </c>
      <c r="AL769" s="309">
        <f>VLOOKUP($AK769,ENTI!$AF$4:AG$1003,2,FALSE)</f>
        <v>0</v>
      </c>
      <c r="AM769" s="224">
        <f>VLOOKUP($AK769,ENTI!$AF$4:AH$1003,3,FALSE)</f>
        <v>0</v>
      </c>
      <c r="AN769" s="224">
        <f>VLOOKUP($AK769,ENTI!$AF$4:AI$1003,4,FALSE)</f>
        <v>0</v>
      </c>
      <c r="AO769" s="781">
        <f>VLOOKUP($AK769,ENTI!$AF$4:AJ$1003,5,FALSE)</f>
        <v>0</v>
      </c>
      <c r="AP769" s="315">
        <f>VLOOKUP($AK769,ENTI!$AF$4:AK$1003,6,FALSE)</f>
        <v>0</v>
      </c>
      <c r="AQ769" s="208">
        <f t="shared" si="146"/>
        <v>0</v>
      </c>
      <c r="AR769" s="152" t="e">
        <f t="shared" si="147"/>
        <v>#N/A</v>
      </c>
      <c r="AS769" s="1"/>
      <c r="AT769" s="88" t="str">
        <f t="shared" si="140"/>
        <v/>
      </c>
      <c r="AU769" s="1"/>
      <c r="AV769" s="175">
        <f>IF(AW769&gt;0,COUNTIF(AV$4:AV768,"&gt;0")+1,0)</f>
        <v>0</v>
      </c>
      <c r="AW769" s="164">
        <f t="shared" si="141"/>
        <v>0</v>
      </c>
      <c r="AX769" s="310">
        <f>IF($AW769=0,0,VLOOKUP(VLOOKUP($X769,$B$34:$T$38,19,FALSE),ENTI!$A$9:$B$13,2,FALSE))</f>
        <v>0</v>
      </c>
      <c r="AY769" s="310">
        <f t="shared" si="143"/>
        <v>0</v>
      </c>
      <c r="AZ769" s="316">
        <f t="shared" si="144"/>
        <v>0</v>
      </c>
      <c r="BA769" s="1"/>
      <c r="BB769" s="152">
        <f t="shared" si="145"/>
        <v>0</v>
      </c>
      <c r="BC769" s="152">
        <f ca="1">SUM(Z$4:Z769)+SUM(BB$4:BB769)+COSTI!S$6-COSTI!L$1076</f>
        <v>-31.760000000000218</v>
      </c>
      <c r="BD769" s="1"/>
    </row>
    <row r="770" spans="1:56" ht="16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435">
        <f>IF(AND(W770&gt;=$U$1,W770&lt;=$U$2),IF(X770='ESTRATTO CONTO'!$E$2,1+COUNTIF(U$4:U769,"&gt;0"),0),0)</f>
        <v>0</v>
      </c>
      <c r="V770" s="417">
        <f t="shared" si="142"/>
        <v>767</v>
      </c>
      <c r="W770" s="509"/>
      <c r="X770" s="321"/>
      <c r="Y770" s="321"/>
      <c r="Z770" s="508"/>
      <c r="AA770" s="356"/>
      <c r="AB770" s="306" t="str">
        <f t="shared" si="138"/>
        <v/>
      </c>
      <c r="AC770" s="637">
        <f t="shared" ca="1" si="148"/>
        <v>-2.1316282072803006E-13</v>
      </c>
      <c r="AD770" s="935">
        <f>IF(ISERROR(VLOOKUP(AD$2,X771:X$1003,1,FALSE)),IF(X770=AD$2,SUMIF(X$4:X770,AD$2,Z$4:Z770)+$E$9+SUM(AQ$4:AQ$1003)+SUMIF(COSTI!$X$1379:$X$1430,AD$2,COSTI!$Z$1379:$Z$1430),0),0)</f>
        <v>0</v>
      </c>
      <c r="AE770" s="26"/>
      <c r="AF770" s="856" t="e">
        <f>IF(ISERROR(VLOOKUP(AG$2,X771:X$1003,1,FALSE)),IF(X770=AG$2,SUMIF(X$4:X770,AG$2,Z$4:Z770)+VLOOKUP(AF$2,$B$1057:$F$1068,5,FALSE)+SUM(AR$4:AR$1003)+SUMIF(COSTI!$X$1379:$X$1430,AG$2,COSTI!$Z$1379:$Z$1430),0),0)</f>
        <v>#N/A</v>
      </c>
      <c r="AG770" s="859"/>
      <c r="AH770" s="27" t="str">
        <f t="shared" si="139"/>
        <v/>
      </c>
      <c r="AI770" s="152">
        <f ca="1">IF(W771&gt;0,0,IF(AH770=0,(Z770*-1)+BC770+SUM(BB$4:BB769),BC770+SUM(BB$4:BB769)))</f>
        <v>-2.1316282072803006E-13</v>
      </c>
      <c r="AJ770" s="931">
        <f>IF(AND(AL770&gt;=$U$1,AL770&lt;=$U$2),IF(AM770='ESTRATTO CONTO'!$E$2,1+COUNTIF(AJ$4:AJ769,"&gt;0")+U$1015,0),0)</f>
        <v>0</v>
      </c>
      <c r="AK770" s="203">
        <f>IF(AND(OR((AK769+1)&lt;AL$1015,(AK769+1)=AL$1015),MAX(AK$4:AK769)&lt;AL$1015),AK769+1,0)</f>
        <v>0</v>
      </c>
      <c r="AL770" s="309">
        <f>VLOOKUP($AK770,ENTI!$AF$4:AG$1003,2,FALSE)</f>
        <v>0</v>
      </c>
      <c r="AM770" s="224">
        <f>VLOOKUP($AK770,ENTI!$AF$4:AH$1003,3,FALSE)</f>
        <v>0</v>
      </c>
      <c r="AN770" s="224">
        <f>VLOOKUP($AK770,ENTI!$AF$4:AI$1003,4,FALSE)</f>
        <v>0</v>
      </c>
      <c r="AO770" s="781">
        <f>VLOOKUP($AK770,ENTI!$AF$4:AJ$1003,5,FALSE)</f>
        <v>0</v>
      </c>
      <c r="AP770" s="315">
        <f>VLOOKUP($AK770,ENTI!$AF$4:AK$1003,6,FALSE)</f>
        <v>0</v>
      </c>
      <c r="AQ770" s="208">
        <f t="shared" si="146"/>
        <v>0</v>
      </c>
      <c r="AR770" s="152" t="e">
        <f t="shared" si="147"/>
        <v>#N/A</v>
      </c>
      <c r="AS770" s="1"/>
      <c r="AT770" s="88" t="str">
        <f t="shared" si="140"/>
        <v/>
      </c>
      <c r="AU770" s="1"/>
      <c r="AV770" s="175">
        <f>IF(AW770&gt;0,COUNTIF(AV$4:AV769,"&gt;0")+1,0)</f>
        <v>0</v>
      </c>
      <c r="AW770" s="164">
        <f t="shared" si="141"/>
        <v>0</v>
      </c>
      <c r="AX770" s="310">
        <f>IF($AW770=0,0,VLOOKUP(VLOOKUP($X770,$B$34:$T$38,19,FALSE),ENTI!$A$9:$B$13,2,FALSE))</f>
        <v>0</v>
      </c>
      <c r="AY770" s="310">
        <f t="shared" si="143"/>
        <v>0</v>
      </c>
      <c r="AZ770" s="316">
        <f t="shared" si="144"/>
        <v>0</v>
      </c>
      <c r="BA770" s="1"/>
      <c r="BB770" s="152">
        <f t="shared" si="145"/>
        <v>0</v>
      </c>
      <c r="BC770" s="152">
        <f ca="1">SUM(Z$4:Z770)+SUM(BB$4:BB770)+COSTI!S$6-COSTI!L$1076</f>
        <v>-31.760000000000218</v>
      </c>
      <c r="BD770" s="1"/>
    </row>
    <row r="771" spans="1:56" ht="16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435">
        <f>IF(AND(W771&gt;=$U$1,W771&lt;=$U$2),IF(X771='ESTRATTO CONTO'!$E$2,1+COUNTIF(U$4:U770,"&gt;0"),0),0)</f>
        <v>0</v>
      </c>
      <c r="V771" s="417">
        <f t="shared" si="142"/>
        <v>768</v>
      </c>
      <c r="W771" s="509"/>
      <c r="X771" s="321"/>
      <c r="Y771" s="321"/>
      <c r="Z771" s="508"/>
      <c r="AA771" s="356"/>
      <c r="AB771" s="306" t="str">
        <f t="shared" si="138"/>
        <v/>
      </c>
      <c r="AC771" s="637">
        <f t="shared" ca="1" si="148"/>
        <v>-2.1316282072803006E-13</v>
      </c>
      <c r="AD771" s="935">
        <f>IF(ISERROR(VLOOKUP(AD$2,X772:X$1003,1,FALSE)),IF(X771=AD$2,SUMIF(X$4:X771,AD$2,Z$4:Z771)+$E$9+SUM(AQ$4:AQ$1003)+SUMIF(COSTI!$X$1379:$X$1430,AD$2,COSTI!$Z$1379:$Z$1430),0),0)</f>
        <v>0</v>
      </c>
      <c r="AE771" s="26"/>
      <c r="AF771" s="856" t="e">
        <f>IF(ISERROR(VLOOKUP(AG$2,X772:X$1003,1,FALSE)),IF(X771=AG$2,SUMIF(X$4:X771,AG$2,Z$4:Z771)+VLOOKUP(AF$2,$B$1057:$F$1068,5,FALSE)+SUM(AR$4:AR$1003)+SUMIF(COSTI!$X$1379:$X$1430,AG$2,COSTI!$Z$1379:$Z$1430),0),0)</f>
        <v>#N/A</v>
      </c>
      <c r="AG771" s="859"/>
      <c r="AH771" s="27" t="str">
        <f t="shared" si="139"/>
        <v/>
      </c>
      <c r="AI771" s="152">
        <f ca="1">IF(W772&gt;0,0,IF(AH771=0,(Z771*-1)+BC771+SUM(BB$4:BB770),BC771+SUM(BB$4:BB770)))</f>
        <v>-2.1316282072803006E-13</v>
      </c>
      <c r="AJ771" s="931">
        <f>IF(AND(AL771&gt;=$U$1,AL771&lt;=$U$2),IF(AM771='ESTRATTO CONTO'!$E$2,1+COUNTIF(AJ$4:AJ770,"&gt;0")+U$1015,0),0)</f>
        <v>0</v>
      </c>
      <c r="AK771" s="203">
        <f>IF(AND(OR((AK770+1)&lt;AL$1015,(AK770+1)=AL$1015),MAX(AK$4:AK770)&lt;AL$1015),AK770+1,0)</f>
        <v>0</v>
      </c>
      <c r="AL771" s="309">
        <f>VLOOKUP($AK771,ENTI!$AF$4:AG$1003,2,FALSE)</f>
        <v>0</v>
      </c>
      <c r="AM771" s="224">
        <f>VLOOKUP($AK771,ENTI!$AF$4:AH$1003,3,FALSE)</f>
        <v>0</v>
      </c>
      <c r="AN771" s="224">
        <f>VLOOKUP($AK771,ENTI!$AF$4:AI$1003,4,FALSE)</f>
        <v>0</v>
      </c>
      <c r="AO771" s="781">
        <f>VLOOKUP($AK771,ENTI!$AF$4:AJ$1003,5,FALSE)</f>
        <v>0</v>
      </c>
      <c r="AP771" s="315">
        <f>VLOOKUP($AK771,ENTI!$AF$4:AK$1003,6,FALSE)</f>
        <v>0</v>
      </c>
      <c r="AQ771" s="208">
        <f t="shared" si="146"/>
        <v>0</v>
      </c>
      <c r="AR771" s="152" t="e">
        <f t="shared" si="147"/>
        <v>#N/A</v>
      </c>
      <c r="AS771" s="1"/>
      <c r="AT771" s="88" t="str">
        <f t="shared" si="140"/>
        <v/>
      </c>
      <c r="AU771" s="1"/>
      <c r="AV771" s="175">
        <f>IF(AW771&gt;0,COUNTIF(AV$4:AV770,"&gt;0")+1,0)</f>
        <v>0</v>
      </c>
      <c r="AW771" s="164">
        <f t="shared" si="141"/>
        <v>0</v>
      </c>
      <c r="AX771" s="310">
        <f>IF($AW771=0,0,VLOOKUP(VLOOKUP($X771,$B$34:$T$38,19,FALSE),ENTI!$A$9:$B$13,2,FALSE))</f>
        <v>0</v>
      </c>
      <c r="AY771" s="310">
        <f t="shared" si="143"/>
        <v>0</v>
      </c>
      <c r="AZ771" s="316">
        <f t="shared" si="144"/>
        <v>0</v>
      </c>
      <c r="BA771" s="1"/>
      <c r="BB771" s="152">
        <f t="shared" si="145"/>
        <v>0</v>
      </c>
      <c r="BC771" s="152">
        <f ca="1">SUM(Z$4:Z771)+SUM(BB$4:BB771)+COSTI!S$6-COSTI!L$1076</f>
        <v>-31.760000000000218</v>
      </c>
      <c r="BD771" s="1"/>
    </row>
    <row r="772" spans="1:56" ht="16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435">
        <f>IF(AND(W772&gt;=$U$1,W772&lt;=$U$2),IF(X772='ESTRATTO CONTO'!$E$2,1+COUNTIF(U$4:U771,"&gt;0"),0),0)</f>
        <v>0</v>
      </c>
      <c r="V772" s="417">
        <f t="shared" si="142"/>
        <v>769</v>
      </c>
      <c r="W772" s="509"/>
      <c r="X772" s="321"/>
      <c r="Y772" s="321"/>
      <c r="Z772" s="508"/>
      <c r="AA772" s="356"/>
      <c r="AB772" s="306" t="str">
        <f t="shared" ref="AB772:AB835" si="149">IF(W772&gt;0,IF(AND(W772&gt;=W$1012,W772&lt;=W$1013),CONCATENATE(MONTH(W772)&amp;X772),0),"")</f>
        <v/>
      </c>
      <c r="AC772" s="637">
        <f t="shared" ca="1" si="148"/>
        <v>-2.1316282072803006E-13</v>
      </c>
      <c r="AD772" s="935">
        <f>IF(ISERROR(VLOOKUP(AD$2,X773:X$1003,1,FALSE)),IF(X772=AD$2,SUMIF(X$4:X772,AD$2,Z$4:Z772)+$E$9+SUM(AQ$4:AQ$1003)+SUMIF(COSTI!$X$1379:$X$1430,AD$2,COSTI!$Z$1379:$Z$1430),0),0)</f>
        <v>0</v>
      </c>
      <c r="AE772" s="26"/>
      <c r="AF772" s="856" t="e">
        <f>IF(ISERROR(VLOOKUP(AG$2,X773:X$1003,1,FALSE)),IF(X772=AG$2,SUMIF(X$4:X772,AG$2,Z$4:Z772)+VLOOKUP(AF$2,$B$1057:$F$1068,5,FALSE)+SUM(AR$4:AR$1003)+SUMIF(COSTI!$X$1379:$X$1430,AG$2,COSTI!$Z$1379:$Z$1430),0),0)</f>
        <v>#N/A</v>
      </c>
      <c r="AG772" s="859"/>
      <c r="AH772" s="27" t="str">
        <f t="shared" ref="AH772:AH835" si="150">IF(ISBLANK(X772),"",IF(ISERROR(VLOOKUP(X772,B$34:B$38,1,FALSE)),1,0))</f>
        <v/>
      </c>
      <c r="AI772" s="152">
        <f ca="1">IF(W773&gt;0,0,IF(AH772=0,(Z772*-1)+BC772+SUM(BB$4:BB771),BC772+SUM(BB$4:BB771)))</f>
        <v>-2.1316282072803006E-13</v>
      </c>
      <c r="AJ772" s="931">
        <f>IF(AND(AL772&gt;=$U$1,AL772&lt;=$U$2),IF(AM772='ESTRATTO CONTO'!$E$2,1+COUNTIF(AJ$4:AJ771,"&gt;0")+U$1015,0),0)</f>
        <v>0</v>
      </c>
      <c r="AK772" s="203">
        <f>IF(AND(OR((AK771+1)&lt;AL$1015,(AK771+1)=AL$1015),MAX(AK$4:AK771)&lt;AL$1015),AK771+1,0)</f>
        <v>0</v>
      </c>
      <c r="AL772" s="309">
        <f>VLOOKUP($AK772,ENTI!$AF$4:AG$1003,2,FALSE)</f>
        <v>0</v>
      </c>
      <c r="AM772" s="224">
        <f>VLOOKUP($AK772,ENTI!$AF$4:AH$1003,3,FALSE)</f>
        <v>0</v>
      </c>
      <c r="AN772" s="224">
        <f>VLOOKUP($AK772,ENTI!$AF$4:AI$1003,4,FALSE)</f>
        <v>0</v>
      </c>
      <c r="AO772" s="781">
        <f>VLOOKUP($AK772,ENTI!$AF$4:AJ$1003,5,FALSE)</f>
        <v>0</v>
      </c>
      <c r="AP772" s="315">
        <f>VLOOKUP($AK772,ENTI!$AF$4:AK$1003,6,FALSE)</f>
        <v>0</v>
      </c>
      <c r="AQ772" s="208">
        <f t="shared" si="146"/>
        <v>0</v>
      </c>
      <c r="AR772" s="152" t="e">
        <f t="shared" si="147"/>
        <v>#N/A</v>
      </c>
      <c r="AS772" s="1"/>
      <c r="AT772" s="88" t="str">
        <f t="shared" ref="AT772:AT835" si="151">IF(AL772&gt;0,IF(AND(AL772&gt;=W$1012,AL772&lt;=W$1013),CONCATENATE(MONTH(AL772)&amp;AM772),0),"")</f>
        <v/>
      </c>
      <c r="AU772" s="1"/>
      <c r="AV772" s="175">
        <f>IF(AW772&gt;0,COUNTIF(AV$4:AV771,"&gt;0")+1,0)</f>
        <v>0</v>
      </c>
      <c r="AW772" s="164">
        <f t="shared" ref="AW772:AW835" si="152">IF(ISERROR(VLOOKUP($X772,$B$34:$B$38,1,FALSE)),0,W772)</f>
        <v>0</v>
      </c>
      <c r="AX772" s="310">
        <f>IF($AW772=0,0,VLOOKUP(VLOOKUP($X772,$B$34:$T$38,19,FALSE),ENTI!$A$9:$B$13,2,FALSE))</f>
        <v>0</v>
      </c>
      <c r="AY772" s="310">
        <f t="shared" si="143"/>
        <v>0</v>
      </c>
      <c r="AZ772" s="316">
        <f t="shared" si="144"/>
        <v>0</v>
      </c>
      <c r="BA772" s="1"/>
      <c r="BB772" s="152">
        <f t="shared" si="145"/>
        <v>0</v>
      </c>
      <c r="BC772" s="152">
        <f ca="1">SUM(Z$4:Z772)+SUM(BB$4:BB772)+COSTI!S$6-COSTI!L$1076</f>
        <v>-31.760000000000218</v>
      </c>
      <c r="BD772" s="1"/>
    </row>
    <row r="773" spans="1:56" ht="16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435">
        <f>IF(AND(W773&gt;=$U$1,W773&lt;=$U$2),IF(X773='ESTRATTO CONTO'!$E$2,1+COUNTIF(U$4:U772,"&gt;0"),0),0)</f>
        <v>0</v>
      </c>
      <c r="V773" s="417">
        <f t="shared" si="142"/>
        <v>770</v>
      </c>
      <c r="W773" s="509"/>
      <c r="X773" s="321"/>
      <c r="Y773" s="321"/>
      <c r="Z773" s="508"/>
      <c r="AA773" s="356"/>
      <c r="AB773" s="306" t="str">
        <f t="shared" si="149"/>
        <v/>
      </c>
      <c r="AC773" s="637">
        <f t="shared" ca="1" si="148"/>
        <v>-2.1316282072803006E-13</v>
      </c>
      <c r="AD773" s="935">
        <f>IF(ISERROR(VLOOKUP(AD$2,X774:X$1003,1,FALSE)),IF(X773=AD$2,SUMIF(X$4:X773,AD$2,Z$4:Z773)+$E$9+SUM(AQ$4:AQ$1003)+SUMIF(COSTI!$X$1379:$X$1430,AD$2,COSTI!$Z$1379:$Z$1430),0),0)</f>
        <v>0</v>
      </c>
      <c r="AE773" s="26"/>
      <c r="AF773" s="856" t="e">
        <f>IF(ISERROR(VLOOKUP(AG$2,X774:X$1003,1,FALSE)),IF(X773=AG$2,SUMIF(X$4:X773,AG$2,Z$4:Z773)+VLOOKUP(AF$2,$B$1057:$F$1068,5,FALSE)+SUM(AR$4:AR$1003)+SUMIF(COSTI!$X$1379:$X$1430,AG$2,COSTI!$Z$1379:$Z$1430),0),0)</f>
        <v>#N/A</v>
      </c>
      <c r="AG773" s="859"/>
      <c r="AH773" s="27" t="str">
        <f t="shared" si="150"/>
        <v/>
      </c>
      <c r="AI773" s="152">
        <f ca="1">IF(W774&gt;0,0,IF(AH773=0,(Z773*-1)+BC773+SUM(BB$4:BB772),BC773+SUM(BB$4:BB772)))</f>
        <v>-2.1316282072803006E-13</v>
      </c>
      <c r="AJ773" s="931">
        <f>IF(AND(AL773&gt;=$U$1,AL773&lt;=$U$2),IF(AM773='ESTRATTO CONTO'!$E$2,1+COUNTIF(AJ$4:AJ772,"&gt;0")+U$1015,0),0)</f>
        <v>0</v>
      </c>
      <c r="AK773" s="203">
        <f>IF(AND(OR((AK772+1)&lt;AL$1015,(AK772+1)=AL$1015),MAX(AK$4:AK772)&lt;AL$1015),AK772+1,0)</f>
        <v>0</v>
      </c>
      <c r="AL773" s="309">
        <f>VLOOKUP($AK773,ENTI!$AF$4:AG$1003,2,FALSE)</f>
        <v>0</v>
      </c>
      <c r="AM773" s="224">
        <f>VLOOKUP($AK773,ENTI!$AF$4:AH$1003,3,FALSE)</f>
        <v>0</v>
      </c>
      <c r="AN773" s="224">
        <f>VLOOKUP($AK773,ENTI!$AF$4:AI$1003,4,FALSE)</f>
        <v>0</v>
      </c>
      <c r="AO773" s="781">
        <f>VLOOKUP($AK773,ENTI!$AF$4:AJ$1003,5,FALSE)</f>
        <v>0</v>
      </c>
      <c r="AP773" s="315">
        <f>VLOOKUP($AK773,ENTI!$AF$4:AK$1003,6,FALSE)</f>
        <v>0</v>
      </c>
      <c r="AQ773" s="208">
        <f t="shared" si="146"/>
        <v>0</v>
      </c>
      <c r="AR773" s="152" t="e">
        <f t="shared" si="147"/>
        <v>#N/A</v>
      </c>
      <c r="AS773" s="1"/>
      <c r="AT773" s="88" t="str">
        <f t="shared" si="151"/>
        <v/>
      </c>
      <c r="AU773" s="1"/>
      <c r="AV773" s="175">
        <f>IF(AW773&gt;0,COUNTIF(AV$4:AV772,"&gt;0")+1,0)</f>
        <v>0</v>
      </c>
      <c r="AW773" s="164">
        <f t="shared" si="152"/>
        <v>0</v>
      </c>
      <c r="AX773" s="310">
        <f>IF($AW773=0,0,VLOOKUP(VLOOKUP($X773,$B$34:$T$38,19,FALSE),ENTI!$A$9:$B$13,2,FALSE))</f>
        <v>0</v>
      </c>
      <c r="AY773" s="310">
        <f t="shared" si="143"/>
        <v>0</v>
      </c>
      <c r="AZ773" s="316">
        <f t="shared" si="144"/>
        <v>0</v>
      </c>
      <c r="BA773" s="1"/>
      <c r="BB773" s="152">
        <f t="shared" si="145"/>
        <v>0</v>
      </c>
      <c r="BC773" s="152">
        <f ca="1">SUM(Z$4:Z773)+SUM(BB$4:BB773)+COSTI!S$6-COSTI!L$1076</f>
        <v>-31.760000000000218</v>
      </c>
      <c r="BD773" s="1"/>
    </row>
    <row r="774" spans="1:56" ht="16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435">
        <f>IF(AND(W774&gt;=$U$1,W774&lt;=$U$2),IF(X774='ESTRATTO CONTO'!$E$2,1+COUNTIF(U$4:U773,"&gt;0"),0),0)</f>
        <v>0</v>
      </c>
      <c r="V774" s="417">
        <f t="shared" ref="V774:V837" si="153">V773+1</f>
        <v>771</v>
      </c>
      <c r="W774" s="509"/>
      <c r="X774" s="321"/>
      <c r="Y774" s="321"/>
      <c r="Z774" s="508"/>
      <c r="AA774" s="356"/>
      <c r="AB774" s="306" t="str">
        <f t="shared" si="149"/>
        <v/>
      </c>
      <c r="AC774" s="637">
        <f t="shared" ca="1" si="148"/>
        <v>-2.1316282072803006E-13</v>
      </c>
      <c r="AD774" s="935">
        <f>IF(ISERROR(VLOOKUP(AD$2,X775:X$1003,1,FALSE)),IF(X774=AD$2,SUMIF(X$4:X774,AD$2,Z$4:Z774)+$E$9+SUM(AQ$4:AQ$1003)+SUMIF(COSTI!$X$1379:$X$1430,AD$2,COSTI!$Z$1379:$Z$1430),0),0)</f>
        <v>0</v>
      </c>
      <c r="AE774" s="26"/>
      <c r="AF774" s="856" t="e">
        <f>IF(ISERROR(VLOOKUP(AG$2,X775:X$1003,1,FALSE)),IF(X774=AG$2,SUMIF(X$4:X774,AG$2,Z$4:Z774)+VLOOKUP(AF$2,$B$1057:$F$1068,5,FALSE)+SUM(AR$4:AR$1003)+SUMIF(COSTI!$X$1379:$X$1430,AG$2,COSTI!$Z$1379:$Z$1430),0),0)</f>
        <v>#N/A</v>
      </c>
      <c r="AG774" s="859"/>
      <c r="AH774" s="27" t="str">
        <f t="shared" si="150"/>
        <v/>
      </c>
      <c r="AI774" s="152">
        <f ca="1">IF(W775&gt;0,0,IF(AH774=0,(Z774*-1)+BC774+SUM(BB$4:BB773),BC774+SUM(BB$4:BB773)))</f>
        <v>-2.1316282072803006E-13</v>
      </c>
      <c r="AJ774" s="931">
        <f>IF(AND(AL774&gt;=$U$1,AL774&lt;=$U$2),IF(AM774='ESTRATTO CONTO'!$E$2,1+COUNTIF(AJ$4:AJ773,"&gt;0")+U$1015,0),0)</f>
        <v>0</v>
      </c>
      <c r="AK774" s="203">
        <f>IF(AND(OR((AK773+1)&lt;AL$1015,(AK773+1)=AL$1015),MAX(AK$4:AK773)&lt;AL$1015),AK773+1,0)</f>
        <v>0</v>
      </c>
      <c r="AL774" s="309">
        <f>VLOOKUP($AK774,ENTI!$AF$4:AG$1003,2,FALSE)</f>
        <v>0</v>
      </c>
      <c r="AM774" s="224">
        <f>VLOOKUP($AK774,ENTI!$AF$4:AH$1003,3,FALSE)</f>
        <v>0</v>
      </c>
      <c r="AN774" s="224">
        <f>VLOOKUP($AK774,ENTI!$AF$4:AI$1003,4,FALSE)</f>
        <v>0</v>
      </c>
      <c r="AO774" s="781">
        <f>VLOOKUP($AK774,ENTI!$AF$4:AJ$1003,5,FALSE)</f>
        <v>0</v>
      </c>
      <c r="AP774" s="315">
        <f>VLOOKUP($AK774,ENTI!$AF$4:AK$1003,6,FALSE)</f>
        <v>0</v>
      </c>
      <c r="AQ774" s="208">
        <f t="shared" si="146"/>
        <v>0</v>
      </c>
      <c r="AR774" s="152" t="e">
        <f t="shared" si="147"/>
        <v>#N/A</v>
      </c>
      <c r="AS774" s="1"/>
      <c r="AT774" s="88" t="str">
        <f t="shared" si="151"/>
        <v/>
      </c>
      <c r="AU774" s="1"/>
      <c r="AV774" s="175">
        <f>IF(AW774&gt;0,COUNTIF(AV$4:AV773,"&gt;0")+1,0)</f>
        <v>0</v>
      </c>
      <c r="AW774" s="164">
        <f t="shared" si="152"/>
        <v>0</v>
      </c>
      <c r="AX774" s="310">
        <f>IF($AW774=0,0,VLOOKUP(VLOOKUP($X774,$B$34:$T$38,19,FALSE),ENTI!$A$9:$B$13,2,FALSE))</f>
        <v>0</v>
      </c>
      <c r="AY774" s="310">
        <f t="shared" ref="AY774:AY837" si="154">IF(AW774=0,0,Y774)</f>
        <v>0</v>
      </c>
      <c r="AZ774" s="316">
        <f t="shared" ref="AZ774:AZ837" si="155">IF(AW774=0,0,Z774)</f>
        <v>0</v>
      </c>
      <c r="BA774" s="1"/>
      <c r="BB774" s="152">
        <f t="shared" ref="BB774:BB837" si="156">IF(ISERROR(VLOOKUP(X774,B$9:D$15,1,FALSE)),Z774*-1,0)</f>
        <v>0</v>
      </c>
      <c r="BC774" s="152">
        <f ca="1">SUM(Z$4:Z774)+SUM(BB$4:BB774)+COSTI!S$6-COSTI!L$1076</f>
        <v>-31.760000000000218</v>
      </c>
      <c r="BD774" s="1"/>
    </row>
    <row r="775" spans="1:56" ht="16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435">
        <f>IF(AND(W775&gt;=$U$1,W775&lt;=$U$2),IF(X775='ESTRATTO CONTO'!$E$2,1+COUNTIF(U$4:U774,"&gt;0"),0),0)</f>
        <v>0</v>
      </c>
      <c r="V775" s="417">
        <f t="shared" si="153"/>
        <v>772</v>
      </c>
      <c r="W775" s="509"/>
      <c r="X775" s="321"/>
      <c r="Y775" s="321"/>
      <c r="Z775" s="508"/>
      <c r="AA775" s="356"/>
      <c r="AB775" s="306" t="str">
        <f t="shared" si="149"/>
        <v/>
      </c>
      <c r="AC775" s="637">
        <f t="shared" ca="1" si="148"/>
        <v>-2.1316282072803006E-13</v>
      </c>
      <c r="AD775" s="935">
        <f>IF(ISERROR(VLOOKUP(AD$2,X776:X$1003,1,FALSE)),IF(X775=AD$2,SUMIF(X$4:X775,AD$2,Z$4:Z775)+$E$9+SUM(AQ$4:AQ$1003)+SUMIF(COSTI!$X$1379:$X$1430,AD$2,COSTI!$Z$1379:$Z$1430),0),0)</f>
        <v>0</v>
      </c>
      <c r="AE775" s="26"/>
      <c r="AF775" s="856" t="e">
        <f>IF(ISERROR(VLOOKUP(AG$2,X776:X$1003,1,FALSE)),IF(X775=AG$2,SUMIF(X$4:X775,AG$2,Z$4:Z775)+VLOOKUP(AF$2,$B$1057:$F$1068,5,FALSE)+SUM(AR$4:AR$1003)+SUMIF(COSTI!$X$1379:$X$1430,AG$2,COSTI!$Z$1379:$Z$1430),0),0)</f>
        <v>#N/A</v>
      </c>
      <c r="AG775" s="859"/>
      <c r="AH775" s="27" t="str">
        <f t="shared" si="150"/>
        <v/>
      </c>
      <c r="AI775" s="152">
        <f ca="1">IF(W776&gt;0,0,IF(AH775=0,(Z775*-1)+BC775+SUM(BB$4:BB774),BC775+SUM(BB$4:BB774)))</f>
        <v>-2.1316282072803006E-13</v>
      </c>
      <c r="AJ775" s="931">
        <f>IF(AND(AL775&gt;=$U$1,AL775&lt;=$U$2),IF(AM775='ESTRATTO CONTO'!$E$2,1+COUNTIF(AJ$4:AJ774,"&gt;0")+U$1015,0),0)</f>
        <v>0</v>
      </c>
      <c r="AK775" s="203">
        <f>IF(AND(OR((AK774+1)&lt;AL$1015,(AK774+1)=AL$1015),MAX(AK$4:AK774)&lt;AL$1015),AK774+1,0)</f>
        <v>0</v>
      </c>
      <c r="AL775" s="309">
        <f>VLOOKUP($AK775,ENTI!$AF$4:AG$1003,2,FALSE)</f>
        <v>0</v>
      </c>
      <c r="AM775" s="224">
        <f>VLOOKUP($AK775,ENTI!$AF$4:AH$1003,3,FALSE)</f>
        <v>0</v>
      </c>
      <c r="AN775" s="224">
        <f>VLOOKUP($AK775,ENTI!$AF$4:AI$1003,4,FALSE)</f>
        <v>0</v>
      </c>
      <c r="AO775" s="781">
        <f>VLOOKUP($AK775,ENTI!$AF$4:AJ$1003,5,FALSE)</f>
        <v>0</v>
      </c>
      <c r="AP775" s="315">
        <f>VLOOKUP($AK775,ENTI!$AF$4:AK$1003,6,FALSE)</f>
        <v>0</v>
      </c>
      <c r="AQ775" s="208">
        <f t="shared" si="146"/>
        <v>0</v>
      </c>
      <c r="AR775" s="152" t="e">
        <f t="shared" si="147"/>
        <v>#N/A</v>
      </c>
      <c r="AS775" s="1"/>
      <c r="AT775" s="88" t="str">
        <f t="shared" si="151"/>
        <v/>
      </c>
      <c r="AU775" s="1"/>
      <c r="AV775" s="175">
        <f>IF(AW775&gt;0,COUNTIF(AV$4:AV774,"&gt;0")+1,0)</f>
        <v>0</v>
      </c>
      <c r="AW775" s="164">
        <f t="shared" si="152"/>
        <v>0</v>
      </c>
      <c r="AX775" s="310">
        <f>IF($AW775=0,0,VLOOKUP(VLOOKUP($X775,$B$34:$T$38,19,FALSE),ENTI!$A$9:$B$13,2,FALSE))</f>
        <v>0</v>
      </c>
      <c r="AY775" s="310">
        <f t="shared" si="154"/>
        <v>0</v>
      </c>
      <c r="AZ775" s="316">
        <f t="shared" si="155"/>
        <v>0</v>
      </c>
      <c r="BA775" s="1"/>
      <c r="BB775" s="152">
        <f t="shared" si="156"/>
        <v>0</v>
      </c>
      <c r="BC775" s="152">
        <f ca="1">SUM(Z$4:Z775)+SUM(BB$4:BB775)+COSTI!S$6-COSTI!L$1076</f>
        <v>-31.760000000000218</v>
      </c>
      <c r="BD775" s="1"/>
    </row>
    <row r="776" spans="1:56" ht="16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435">
        <f>IF(AND(W776&gt;=$U$1,W776&lt;=$U$2),IF(X776='ESTRATTO CONTO'!$E$2,1+COUNTIF(U$4:U775,"&gt;0"),0),0)</f>
        <v>0</v>
      </c>
      <c r="V776" s="417">
        <f t="shared" si="153"/>
        <v>773</v>
      </c>
      <c r="W776" s="509"/>
      <c r="X776" s="321"/>
      <c r="Y776" s="321"/>
      <c r="Z776" s="508"/>
      <c r="AA776" s="356"/>
      <c r="AB776" s="306" t="str">
        <f t="shared" si="149"/>
        <v/>
      </c>
      <c r="AC776" s="637">
        <f t="shared" ca="1" si="148"/>
        <v>-2.1316282072803006E-13</v>
      </c>
      <c r="AD776" s="935">
        <f>IF(ISERROR(VLOOKUP(AD$2,X777:X$1003,1,FALSE)),IF(X776=AD$2,SUMIF(X$4:X776,AD$2,Z$4:Z776)+$E$9+SUM(AQ$4:AQ$1003)+SUMIF(COSTI!$X$1379:$X$1430,AD$2,COSTI!$Z$1379:$Z$1430),0),0)</f>
        <v>0</v>
      </c>
      <c r="AE776" s="26"/>
      <c r="AF776" s="856" t="e">
        <f>IF(ISERROR(VLOOKUP(AG$2,X777:X$1003,1,FALSE)),IF(X776=AG$2,SUMIF(X$4:X776,AG$2,Z$4:Z776)+VLOOKUP(AF$2,$B$1057:$F$1068,5,FALSE)+SUM(AR$4:AR$1003)+SUMIF(COSTI!$X$1379:$X$1430,AG$2,COSTI!$Z$1379:$Z$1430),0),0)</f>
        <v>#N/A</v>
      </c>
      <c r="AG776" s="859"/>
      <c r="AH776" s="27" t="str">
        <f t="shared" si="150"/>
        <v/>
      </c>
      <c r="AI776" s="152">
        <f ca="1">IF(W777&gt;0,0,IF(AH776=0,(Z776*-1)+BC776+SUM(BB$4:BB775),BC776+SUM(BB$4:BB775)))</f>
        <v>-2.1316282072803006E-13</v>
      </c>
      <c r="AJ776" s="931">
        <f>IF(AND(AL776&gt;=$U$1,AL776&lt;=$U$2),IF(AM776='ESTRATTO CONTO'!$E$2,1+COUNTIF(AJ$4:AJ775,"&gt;0")+U$1015,0),0)</f>
        <v>0</v>
      </c>
      <c r="AK776" s="203">
        <f>IF(AND(OR((AK775+1)&lt;AL$1015,(AK775+1)=AL$1015),MAX(AK$4:AK775)&lt;AL$1015),AK775+1,0)</f>
        <v>0</v>
      </c>
      <c r="AL776" s="309">
        <f>VLOOKUP($AK776,ENTI!$AF$4:AG$1003,2,FALSE)</f>
        <v>0</v>
      </c>
      <c r="AM776" s="224">
        <f>VLOOKUP($AK776,ENTI!$AF$4:AH$1003,3,FALSE)</f>
        <v>0</v>
      </c>
      <c r="AN776" s="224">
        <f>VLOOKUP($AK776,ENTI!$AF$4:AI$1003,4,FALSE)</f>
        <v>0</v>
      </c>
      <c r="AO776" s="781">
        <f>VLOOKUP($AK776,ENTI!$AF$4:AJ$1003,5,FALSE)</f>
        <v>0</v>
      </c>
      <c r="AP776" s="315">
        <f>VLOOKUP($AK776,ENTI!$AF$4:AK$1003,6,FALSE)</f>
        <v>0</v>
      </c>
      <c r="AQ776" s="208">
        <f t="shared" si="146"/>
        <v>0</v>
      </c>
      <c r="AR776" s="152" t="e">
        <f t="shared" si="147"/>
        <v>#N/A</v>
      </c>
      <c r="AS776" s="1"/>
      <c r="AT776" s="88" t="str">
        <f t="shared" si="151"/>
        <v/>
      </c>
      <c r="AU776" s="1"/>
      <c r="AV776" s="175">
        <f>IF(AW776&gt;0,COUNTIF(AV$4:AV775,"&gt;0")+1,0)</f>
        <v>0</v>
      </c>
      <c r="AW776" s="164">
        <f t="shared" si="152"/>
        <v>0</v>
      </c>
      <c r="AX776" s="310">
        <f>IF($AW776=0,0,VLOOKUP(VLOOKUP($X776,$B$34:$T$38,19,FALSE),ENTI!$A$9:$B$13,2,FALSE))</f>
        <v>0</v>
      </c>
      <c r="AY776" s="310">
        <f t="shared" si="154"/>
        <v>0</v>
      </c>
      <c r="AZ776" s="316">
        <f t="shared" si="155"/>
        <v>0</v>
      </c>
      <c r="BA776" s="1"/>
      <c r="BB776" s="152">
        <f t="shared" si="156"/>
        <v>0</v>
      </c>
      <c r="BC776" s="152">
        <f ca="1">SUM(Z$4:Z776)+SUM(BB$4:BB776)+COSTI!S$6-COSTI!L$1076</f>
        <v>-31.760000000000218</v>
      </c>
      <c r="BD776" s="1"/>
    </row>
    <row r="777" spans="1:56" ht="16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435">
        <f>IF(AND(W777&gt;=$U$1,W777&lt;=$U$2),IF(X777='ESTRATTO CONTO'!$E$2,1+COUNTIF(U$4:U776,"&gt;0"),0),0)</f>
        <v>0</v>
      </c>
      <c r="V777" s="417">
        <f t="shared" si="153"/>
        <v>774</v>
      </c>
      <c r="W777" s="509"/>
      <c r="X777" s="321"/>
      <c r="Y777" s="321"/>
      <c r="Z777" s="508"/>
      <c r="AA777" s="356"/>
      <c r="AB777" s="306" t="str">
        <f t="shared" si="149"/>
        <v/>
      </c>
      <c r="AC777" s="637">
        <f t="shared" ca="1" si="148"/>
        <v>-2.1316282072803006E-13</v>
      </c>
      <c r="AD777" s="935">
        <f>IF(ISERROR(VLOOKUP(AD$2,X778:X$1003,1,FALSE)),IF(X777=AD$2,SUMIF(X$4:X777,AD$2,Z$4:Z777)+$E$9+SUM(AQ$4:AQ$1003)+SUMIF(COSTI!$X$1379:$X$1430,AD$2,COSTI!$Z$1379:$Z$1430),0),0)</f>
        <v>0</v>
      </c>
      <c r="AE777" s="26"/>
      <c r="AF777" s="856" t="e">
        <f>IF(ISERROR(VLOOKUP(AG$2,X778:X$1003,1,FALSE)),IF(X777=AG$2,SUMIF(X$4:X777,AG$2,Z$4:Z777)+VLOOKUP(AF$2,$B$1057:$F$1068,5,FALSE)+SUM(AR$4:AR$1003)+SUMIF(COSTI!$X$1379:$X$1430,AG$2,COSTI!$Z$1379:$Z$1430),0),0)</f>
        <v>#N/A</v>
      </c>
      <c r="AG777" s="859"/>
      <c r="AH777" s="27" t="str">
        <f t="shared" si="150"/>
        <v/>
      </c>
      <c r="AI777" s="152">
        <f ca="1">IF(W778&gt;0,0,IF(AH777=0,(Z777*-1)+BC777+SUM(BB$4:BB776),BC777+SUM(BB$4:BB776)))</f>
        <v>-2.1316282072803006E-13</v>
      </c>
      <c r="AJ777" s="931">
        <f>IF(AND(AL777&gt;=$U$1,AL777&lt;=$U$2),IF(AM777='ESTRATTO CONTO'!$E$2,1+COUNTIF(AJ$4:AJ776,"&gt;0")+U$1015,0),0)</f>
        <v>0</v>
      </c>
      <c r="AK777" s="203">
        <f>IF(AND(OR((AK776+1)&lt;AL$1015,(AK776+1)=AL$1015),MAX(AK$4:AK776)&lt;AL$1015),AK776+1,0)</f>
        <v>0</v>
      </c>
      <c r="AL777" s="309">
        <f>VLOOKUP($AK777,ENTI!$AF$4:AG$1003,2,FALSE)</f>
        <v>0</v>
      </c>
      <c r="AM777" s="224">
        <f>VLOOKUP($AK777,ENTI!$AF$4:AH$1003,3,FALSE)</f>
        <v>0</v>
      </c>
      <c r="AN777" s="224">
        <f>VLOOKUP($AK777,ENTI!$AF$4:AI$1003,4,FALSE)</f>
        <v>0</v>
      </c>
      <c r="AO777" s="781">
        <f>VLOOKUP($AK777,ENTI!$AF$4:AJ$1003,5,FALSE)</f>
        <v>0</v>
      </c>
      <c r="AP777" s="315">
        <f>VLOOKUP($AK777,ENTI!$AF$4:AK$1003,6,FALSE)</f>
        <v>0</v>
      </c>
      <c r="AQ777" s="208">
        <f t="shared" si="146"/>
        <v>0</v>
      </c>
      <c r="AR777" s="152" t="e">
        <f t="shared" si="147"/>
        <v>#N/A</v>
      </c>
      <c r="AS777" s="1"/>
      <c r="AT777" s="88" t="str">
        <f t="shared" si="151"/>
        <v/>
      </c>
      <c r="AU777" s="1"/>
      <c r="AV777" s="175">
        <f>IF(AW777&gt;0,COUNTIF(AV$4:AV776,"&gt;0")+1,0)</f>
        <v>0</v>
      </c>
      <c r="AW777" s="164">
        <f t="shared" si="152"/>
        <v>0</v>
      </c>
      <c r="AX777" s="310">
        <f>IF($AW777=0,0,VLOOKUP(VLOOKUP($X777,$B$34:$T$38,19,FALSE),ENTI!$A$9:$B$13,2,FALSE))</f>
        <v>0</v>
      </c>
      <c r="AY777" s="310">
        <f t="shared" si="154"/>
        <v>0</v>
      </c>
      <c r="AZ777" s="316">
        <f t="shared" si="155"/>
        <v>0</v>
      </c>
      <c r="BA777" s="1"/>
      <c r="BB777" s="152">
        <f t="shared" si="156"/>
        <v>0</v>
      </c>
      <c r="BC777" s="152">
        <f ca="1">SUM(Z$4:Z777)+SUM(BB$4:BB777)+COSTI!S$6-COSTI!L$1076</f>
        <v>-31.760000000000218</v>
      </c>
      <c r="BD777" s="1"/>
    </row>
    <row r="778" spans="1:56" ht="16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435">
        <f>IF(AND(W778&gt;=$U$1,W778&lt;=$U$2),IF(X778='ESTRATTO CONTO'!$E$2,1+COUNTIF(U$4:U777,"&gt;0"),0),0)</f>
        <v>0</v>
      </c>
      <c r="V778" s="417">
        <f t="shared" si="153"/>
        <v>775</v>
      </c>
      <c r="W778" s="509"/>
      <c r="X778" s="321"/>
      <c r="Y778" s="321"/>
      <c r="Z778" s="508"/>
      <c r="AA778" s="356"/>
      <c r="AB778" s="306" t="str">
        <f t="shared" si="149"/>
        <v/>
      </c>
      <c r="AC778" s="637">
        <f t="shared" ca="1" si="148"/>
        <v>-2.1316282072803006E-13</v>
      </c>
      <c r="AD778" s="935">
        <f>IF(ISERROR(VLOOKUP(AD$2,X779:X$1003,1,FALSE)),IF(X778=AD$2,SUMIF(X$4:X778,AD$2,Z$4:Z778)+$E$9+SUM(AQ$4:AQ$1003)+SUMIF(COSTI!$X$1379:$X$1430,AD$2,COSTI!$Z$1379:$Z$1430),0),0)</f>
        <v>0</v>
      </c>
      <c r="AE778" s="26"/>
      <c r="AF778" s="856" t="e">
        <f>IF(ISERROR(VLOOKUP(AG$2,X779:X$1003,1,FALSE)),IF(X778=AG$2,SUMIF(X$4:X778,AG$2,Z$4:Z778)+VLOOKUP(AF$2,$B$1057:$F$1068,5,FALSE)+SUM(AR$4:AR$1003)+SUMIF(COSTI!$X$1379:$X$1430,AG$2,COSTI!$Z$1379:$Z$1430),0),0)</f>
        <v>#N/A</v>
      </c>
      <c r="AG778" s="859"/>
      <c r="AH778" s="27" t="str">
        <f t="shared" si="150"/>
        <v/>
      </c>
      <c r="AI778" s="152">
        <f ca="1">IF(W779&gt;0,0,IF(AH778=0,(Z778*-1)+BC778+SUM(BB$4:BB777),BC778+SUM(BB$4:BB777)))</f>
        <v>-2.1316282072803006E-13</v>
      </c>
      <c r="AJ778" s="931">
        <f>IF(AND(AL778&gt;=$U$1,AL778&lt;=$U$2),IF(AM778='ESTRATTO CONTO'!$E$2,1+COUNTIF(AJ$4:AJ777,"&gt;0")+U$1015,0),0)</f>
        <v>0</v>
      </c>
      <c r="AK778" s="203">
        <f>IF(AND(OR((AK777+1)&lt;AL$1015,(AK777+1)=AL$1015),MAX(AK$4:AK777)&lt;AL$1015),AK777+1,0)</f>
        <v>0</v>
      </c>
      <c r="AL778" s="309">
        <f>VLOOKUP($AK778,ENTI!$AF$4:AG$1003,2,FALSE)</f>
        <v>0</v>
      </c>
      <c r="AM778" s="224">
        <f>VLOOKUP($AK778,ENTI!$AF$4:AH$1003,3,FALSE)</f>
        <v>0</v>
      </c>
      <c r="AN778" s="224">
        <f>VLOOKUP($AK778,ENTI!$AF$4:AI$1003,4,FALSE)</f>
        <v>0</v>
      </c>
      <c r="AO778" s="781">
        <f>VLOOKUP($AK778,ENTI!$AF$4:AJ$1003,5,FALSE)</f>
        <v>0</v>
      </c>
      <c r="AP778" s="315">
        <f>VLOOKUP($AK778,ENTI!$AF$4:AK$1003,6,FALSE)</f>
        <v>0</v>
      </c>
      <c r="AQ778" s="208">
        <f t="shared" si="146"/>
        <v>0</v>
      </c>
      <c r="AR778" s="152" t="e">
        <f t="shared" si="147"/>
        <v>#N/A</v>
      </c>
      <c r="AS778" s="1"/>
      <c r="AT778" s="88" t="str">
        <f t="shared" si="151"/>
        <v/>
      </c>
      <c r="AU778" s="1"/>
      <c r="AV778" s="175">
        <f>IF(AW778&gt;0,COUNTIF(AV$4:AV777,"&gt;0")+1,0)</f>
        <v>0</v>
      </c>
      <c r="AW778" s="164">
        <f t="shared" si="152"/>
        <v>0</v>
      </c>
      <c r="AX778" s="310">
        <f>IF($AW778=0,0,VLOOKUP(VLOOKUP($X778,$B$34:$T$38,19,FALSE),ENTI!$A$9:$B$13,2,FALSE))</f>
        <v>0</v>
      </c>
      <c r="AY778" s="310">
        <f t="shared" si="154"/>
        <v>0</v>
      </c>
      <c r="AZ778" s="316">
        <f t="shared" si="155"/>
        <v>0</v>
      </c>
      <c r="BA778" s="1"/>
      <c r="BB778" s="152">
        <f t="shared" si="156"/>
        <v>0</v>
      </c>
      <c r="BC778" s="152">
        <f ca="1">SUM(Z$4:Z778)+SUM(BB$4:BB778)+COSTI!S$6-COSTI!L$1076</f>
        <v>-31.760000000000218</v>
      </c>
      <c r="BD778" s="1"/>
    </row>
    <row r="779" spans="1:56" ht="16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435">
        <f>IF(AND(W779&gt;=$U$1,W779&lt;=$U$2),IF(X779='ESTRATTO CONTO'!$E$2,1+COUNTIF(U$4:U778,"&gt;0"),0),0)</f>
        <v>0</v>
      </c>
      <c r="V779" s="417">
        <f t="shared" si="153"/>
        <v>776</v>
      </c>
      <c r="W779" s="509"/>
      <c r="X779" s="321"/>
      <c r="Y779" s="321"/>
      <c r="Z779" s="508"/>
      <c r="AA779" s="356"/>
      <c r="AB779" s="306" t="str">
        <f t="shared" si="149"/>
        <v/>
      </c>
      <c r="AC779" s="637">
        <f t="shared" ca="1" si="148"/>
        <v>-2.1316282072803006E-13</v>
      </c>
      <c r="AD779" s="935">
        <f>IF(ISERROR(VLOOKUP(AD$2,X780:X$1003,1,FALSE)),IF(X779=AD$2,SUMIF(X$4:X779,AD$2,Z$4:Z779)+$E$9+SUM(AQ$4:AQ$1003)+SUMIF(COSTI!$X$1379:$X$1430,AD$2,COSTI!$Z$1379:$Z$1430),0),0)</f>
        <v>0</v>
      </c>
      <c r="AE779" s="26"/>
      <c r="AF779" s="856" t="e">
        <f>IF(ISERROR(VLOOKUP(AG$2,X780:X$1003,1,FALSE)),IF(X779=AG$2,SUMIF(X$4:X779,AG$2,Z$4:Z779)+VLOOKUP(AF$2,$B$1057:$F$1068,5,FALSE)+SUM(AR$4:AR$1003)+SUMIF(COSTI!$X$1379:$X$1430,AG$2,COSTI!$Z$1379:$Z$1430),0),0)</f>
        <v>#N/A</v>
      </c>
      <c r="AG779" s="859"/>
      <c r="AH779" s="27" t="str">
        <f t="shared" si="150"/>
        <v/>
      </c>
      <c r="AI779" s="152">
        <f ca="1">IF(W780&gt;0,0,IF(AH779=0,(Z779*-1)+BC779+SUM(BB$4:BB778),BC779+SUM(BB$4:BB778)))</f>
        <v>-2.1316282072803006E-13</v>
      </c>
      <c r="AJ779" s="931">
        <f>IF(AND(AL779&gt;=$U$1,AL779&lt;=$U$2),IF(AM779='ESTRATTO CONTO'!$E$2,1+COUNTIF(AJ$4:AJ778,"&gt;0")+U$1015,0),0)</f>
        <v>0</v>
      </c>
      <c r="AK779" s="203">
        <f>IF(AND(OR((AK778+1)&lt;AL$1015,(AK778+1)=AL$1015),MAX(AK$4:AK778)&lt;AL$1015),AK778+1,0)</f>
        <v>0</v>
      </c>
      <c r="AL779" s="309">
        <f>VLOOKUP($AK779,ENTI!$AF$4:AG$1003,2,FALSE)</f>
        <v>0</v>
      </c>
      <c r="AM779" s="224">
        <f>VLOOKUP($AK779,ENTI!$AF$4:AH$1003,3,FALSE)</f>
        <v>0</v>
      </c>
      <c r="AN779" s="224">
        <f>VLOOKUP($AK779,ENTI!$AF$4:AI$1003,4,FALSE)</f>
        <v>0</v>
      </c>
      <c r="AO779" s="781">
        <f>VLOOKUP($AK779,ENTI!$AF$4:AJ$1003,5,FALSE)</f>
        <v>0</v>
      </c>
      <c r="AP779" s="315">
        <f>VLOOKUP($AK779,ENTI!$AF$4:AK$1003,6,FALSE)</f>
        <v>0</v>
      </c>
      <c r="AQ779" s="208">
        <f t="shared" si="146"/>
        <v>0</v>
      </c>
      <c r="AR779" s="152" t="e">
        <f t="shared" si="147"/>
        <v>#N/A</v>
      </c>
      <c r="AS779" s="1"/>
      <c r="AT779" s="88" t="str">
        <f t="shared" si="151"/>
        <v/>
      </c>
      <c r="AU779" s="1"/>
      <c r="AV779" s="175">
        <f>IF(AW779&gt;0,COUNTIF(AV$4:AV778,"&gt;0")+1,0)</f>
        <v>0</v>
      </c>
      <c r="AW779" s="164">
        <f t="shared" si="152"/>
        <v>0</v>
      </c>
      <c r="AX779" s="310">
        <f>IF($AW779=0,0,VLOOKUP(VLOOKUP($X779,$B$34:$T$38,19,FALSE),ENTI!$A$9:$B$13,2,FALSE))</f>
        <v>0</v>
      </c>
      <c r="AY779" s="310">
        <f t="shared" si="154"/>
        <v>0</v>
      </c>
      <c r="AZ779" s="316">
        <f t="shared" si="155"/>
        <v>0</v>
      </c>
      <c r="BA779" s="1"/>
      <c r="BB779" s="152">
        <f t="shared" si="156"/>
        <v>0</v>
      </c>
      <c r="BC779" s="152">
        <f ca="1">SUM(Z$4:Z779)+SUM(BB$4:BB779)+COSTI!S$6-COSTI!L$1076</f>
        <v>-31.760000000000218</v>
      </c>
      <c r="BD779" s="1"/>
    </row>
    <row r="780" spans="1:56" ht="16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435">
        <f>IF(AND(W780&gt;=$U$1,W780&lt;=$U$2),IF(X780='ESTRATTO CONTO'!$E$2,1+COUNTIF(U$4:U779,"&gt;0"),0),0)</f>
        <v>0</v>
      </c>
      <c r="V780" s="417">
        <f t="shared" si="153"/>
        <v>777</v>
      </c>
      <c r="W780" s="509"/>
      <c r="X780" s="321"/>
      <c r="Y780" s="321"/>
      <c r="Z780" s="508"/>
      <c r="AA780" s="356"/>
      <c r="AB780" s="306" t="str">
        <f t="shared" si="149"/>
        <v/>
      </c>
      <c r="AC780" s="637">
        <f t="shared" ca="1" si="148"/>
        <v>-2.1316282072803006E-13</v>
      </c>
      <c r="AD780" s="935">
        <f>IF(ISERROR(VLOOKUP(AD$2,X781:X$1003,1,FALSE)),IF(X780=AD$2,SUMIF(X$4:X780,AD$2,Z$4:Z780)+$E$9+SUM(AQ$4:AQ$1003)+SUMIF(COSTI!$X$1379:$X$1430,AD$2,COSTI!$Z$1379:$Z$1430),0),0)</f>
        <v>0</v>
      </c>
      <c r="AE780" s="26"/>
      <c r="AF780" s="856" t="e">
        <f>IF(ISERROR(VLOOKUP(AG$2,X781:X$1003,1,FALSE)),IF(X780=AG$2,SUMIF(X$4:X780,AG$2,Z$4:Z780)+VLOOKUP(AF$2,$B$1057:$F$1068,5,FALSE)+SUM(AR$4:AR$1003)+SUMIF(COSTI!$X$1379:$X$1430,AG$2,COSTI!$Z$1379:$Z$1430),0),0)</f>
        <v>#N/A</v>
      </c>
      <c r="AG780" s="859"/>
      <c r="AH780" s="27" t="str">
        <f t="shared" si="150"/>
        <v/>
      </c>
      <c r="AI780" s="152">
        <f ca="1">IF(W781&gt;0,0,IF(AH780=0,(Z780*-1)+BC780+SUM(BB$4:BB779),BC780+SUM(BB$4:BB779)))</f>
        <v>-2.1316282072803006E-13</v>
      </c>
      <c r="AJ780" s="931">
        <f>IF(AND(AL780&gt;=$U$1,AL780&lt;=$U$2),IF(AM780='ESTRATTO CONTO'!$E$2,1+COUNTIF(AJ$4:AJ779,"&gt;0")+U$1015,0),0)</f>
        <v>0</v>
      </c>
      <c r="AK780" s="203">
        <f>IF(AND(OR((AK779+1)&lt;AL$1015,(AK779+1)=AL$1015),MAX(AK$4:AK779)&lt;AL$1015),AK779+1,0)</f>
        <v>0</v>
      </c>
      <c r="AL780" s="309">
        <f>VLOOKUP($AK780,ENTI!$AF$4:AG$1003,2,FALSE)</f>
        <v>0</v>
      </c>
      <c r="AM780" s="224">
        <f>VLOOKUP($AK780,ENTI!$AF$4:AH$1003,3,FALSE)</f>
        <v>0</v>
      </c>
      <c r="AN780" s="224">
        <f>VLOOKUP($AK780,ENTI!$AF$4:AI$1003,4,FALSE)</f>
        <v>0</v>
      </c>
      <c r="AO780" s="781">
        <f>VLOOKUP($AK780,ENTI!$AF$4:AJ$1003,5,FALSE)</f>
        <v>0</v>
      </c>
      <c r="AP780" s="315">
        <f>VLOOKUP($AK780,ENTI!$AF$4:AK$1003,6,FALSE)</f>
        <v>0</v>
      </c>
      <c r="AQ780" s="208">
        <f t="shared" si="146"/>
        <v>0</v>
      </c>
      <c r="AR780" s="152" t="e">
        <f t="shared" si="147"/>
        <v>#N/A</v>
      </c>
      <c r="AS780" s="1"/>
      <c r="AT780" s="88" t="str">
        <f t="shared" si="151"/>
        <v/>
      </c>
      <c r="AU780" s="1"/>
      <c r="AV780" s="175">
        <f>IF(AW780&gt;0,COUNTIF(AV$4:AV779,"&gt;0")+1,0)</f>
        <v>0</v>
      </c>
      <c r="AW780" s="164">
        <f t="shared" si="152"/>
        <v>0</v>
      </c>
      <c r="AX780" s="310">
        <f>IF($AW780=0,0,VLOOKUP(VLOOKUP($X780,$B$34:$T$38,19,FALSE),ENTI!$A$9:$B$13,2,FALSE))</f>
        <v>0</v>
      </c>
      <c r="AY780" s="310">
        <f t="shared" si="154"/>
        <v>0</v>
      </c>
      <c r="AZ780" s="316">
        <f t="shared" si="155"/>
        <v>0</v>
      </c>
      <c r="BA780" s="1"/>
      <c r="BB780" s="152">
        <f t="shared" si="156"/>
        <v>0</v>
      </c>
      <c r="BC780" s="152">
        <f ca="1">SUM(Z$4:Z780)+SUM(BB$4:BB780)+COSTI!S$6-COSTI!L$1076</f>
        <v>-31.760000000000218</v>
      </c>
      <c r="BD780" s="1"/>
    </row>
    <row r="781" spans="1:56" ht="16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435">
        <f>IF(AND(W781&gt;=$U$1,W781&lt;=$U$2),IF(X781='ESTRATTO CONTO'!$E$2,1+COUNTIF(U$4:U780,"&gt;0"),0),0)</f>
        <v>0</v>
      </c>
      <c r="V781" s="417">
        <f t="shared" si="153"/>
        <v>778</v>
      </c>
      <c r="W781" s="509"/>
      <c r="X781" s="321"/>
      <c r="Y781" s="321"/>
      <c r="Z781" s="508"/>
      <c r="AA781" s="356"/>
      <c r="AB781" s="306" t="str">
        <f t="shared" si="149"/>
        <v/>
      </c>
      <c r="AC781" s="637">
        <f t="shared" ca="1" si="148"/>
        <v>-2.1316282072803006E-13</v>
      </c>
      <c r="AD781" s="935">
        <f>IF(ISERROR(VLOOKUP(AD$2,X782:X$1003,1,FALSE)),IF(X781=AD$2,SUMIF(X$4:X781,AD$2,Z$4:Z781)+$E$9+SUM(AQ$4:AQ$1003)+SUMIF(COSTI!$X$1379:$X$1430,AD$2,COSTI!$Z$1379:$Z$1430),0),0)</f>
        <v>0</v>
      </c>
      <c r="AE781" s="26"/>
      <c r="AF781" s="856" t="e">
        <f>IF(ISERROR(VLOOKUP(AG$2,X782:X$1003,1,FALSE)),IF(X781=AG$2,SUMIF(X$4:X781,AG$2,Z$4:Z781)+VLOOKUP(AF$2,$B$1057:$F$1068,5,FALSE)+SUM(AR$4:AR$1003)+SUMIF(COSTI!$X$1379:$X$1430,AG$2,COSTI!$Z$1379:$Z$1430),0),0)</f>
        <v>#N/A</v>
      </c>
      <c r="AG781" s="859"/>
      <c r="AH781" s="27" t="str">
        <f t="shared" si="150"/>
        <v/>
      </c>
      <c r="AI781" s="152">
        <f ca="1">IF(W782&gt;0,0,IF(AH781=0,(Z781*-1)+BC781+SUM(BB$4:BB780),BC781+SUM(BB$4:BB780)))</f>
        <v>-2.1316282072803006E-13</v>
      </c>
      <c r="AJ781" s="931">
        <f>IF(AND(AL781&gt;=$U$1,AL781&lt;=$U$2),IF(AM781='ESTRATTO CONTO'!$E$2,1+COUNTIF(AJ$4:AJ780,"&gt;0")+U$1015,0),0)</f>
        <v>0</v>
      </c>
      <c r="AK781" s="203">
        <f>IF(AND(OR((AK780+1)&lt;AL$1015,(AK780+1)=AL$1015),MAX(AK$4:AK780)&lt;AL$1015),AK780+1,0)</f>
        <v>0</v>
      </c>
      <c r="AL781" s="309">
        <f>VLOOKUP($AK781,ENTI!$AF$4:AG$1003,2,FALSE)</f>
        <v>0</v>
      </c>
      <c r="AM781" s="224">
        <f>VLOOKUP($AK781,ENTI!$AF$4:AH$1003,3,FALSE)</f>
        <v>0</v>
      </c>
      <c r="AN781" s="224">
        <f>VLOOKUP($AK781,ENTI!$AF$4:AI$1003,4,FALSE)</f>
        <v>0</v>
      </c>
      <c r="AO781" s="781">
        <f>VLOOKUP($AK781,ENTI!$AF$4:AJ$1003,5,FALSE)</f>
        <v>0</v>
      </c>
      <c r="AP781" s="315">
        <f>VLOOKUP($AK781,ENTI!$AF$4:AK$1003,6,FALSE)</f>
        <v>0</v>
      </c>
      <c r="AQ781" s="208">
        <f t="shared" si="146"/>
        <v>0</v>
      </c>
      <c r="AR781" s="152" t="e">
        <f t="shared" si="147"/>
        <v>#N/A</v>
      </c>
      <c r="AS781" s="1"/>
      <c r="AT781" s="88" t="str">
        <f t="shared" si="151"/>
        <v/>
      </c>
      <c r="AU781" s="1"/>
      <c r="AV781" s="175">
        <f>IF(AW781&gt;0,COUNTIF(AV$4:AV780,"&gt;0")+1,0)</f>
        <v>0</v>
      </c>
      <c r="AW781" s="164">
        <f t="shared" si="152"/>
        <v>0</v>
      </c>
      <c r="AX781" s="310">
        <f>IF($AW781=0,0,VLOOKUP(VLOOKUP($X781,$B$34:$T$38,19,FALSE),ENTI!$A$9:$B$13,2,FALSE))</f>
        <v>0</v>
      </c>
      <c r="AY781" s="310">
        <f t="shared" si="154"/>
        <v>0</v>
      </c>
      <c r="AZ781" s="316">
        <f t="shared" si="155"/>
        <v>0</v>
      </c>
      <c r="BA781" s="1"/>
      <c r="BB781" s="152">
        <f t="shared" si="156"/>
        <v>0</v>
      </c>
      <c r="BC781" s="152">
        <f ca="1">SUM(Z$4:Z781)+SUM(BB$4:BB781)+COSTI!S$6-COSTI!L$1076</f>
        <v>-31.760000000000218</v>
      </c>
      <c r="BD781" s="1"/>
    </row>
    <row r="782" spans="1:56" ht="16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435">
        <f>IF(AND(W782&gt;=$U$1,W782&lt;=$U$2),IF(X782='ESTRATTO CONTO'!$E$2,1+COUNTIF(U$4:U781,"&gt;0"),0),0)</f>
        <v>0</v>
      </c>
      <c r="V782" s="417">
        <f t="shared" si="153"/>
        <v>779</v>
      </c>
      <c r="W782" s="509"/>
      <c r="X782" s="321"/>
      <c r="Y782" s="321"/>
      <c r="Z782" s="508"/>
      <c r="AA782" s="356"/>
      <c r="AB782" s="306" t="str">
        <f t="shared" si="149"/>
        <v/>
      </c>
      <c r="AC782" s="637">
        <f t="shared" ca="1" si="148"/>
        <v>-2.1316282072803006E-13</v>
      </c>
      <c r="AD782" s="935">
        <f>IF(ISERROR(VLOOKUP(AD$2,X783:X$1003,1,FALSE)),IF(X782=AD$2,SUMIF(X$4:X782,AD$2,Z$4:Z782)+$E$9+SUM(AQ$4:AQ$1003)+SUMIF(COSTI!$X$1379:$X$1430,AD$2,COSTI!$Z$1379:$Z$1430),0),0)</f>
        <v>0</v>
      </c>
      <c r="AE782" s="26"/>
      <c r="AF782" s="856" t="e">
        <f>IF(ISERROR(VLOOKUP(AG$2,X783:X$1003,1,FALSE)),IF(X782=AG$2,SUMIF(X$4:X782,AG$2,Z$4:Z782)+VLOOKUP(AF$2,$B$1057:$F$1068,5,FALSE)+SUM(AR$4:AR$1003)+SUMIF(COSTI!$X$1379:$X$1430,AG$2,COSTI!$Z$1379:$Z$1430),0),0)</f>
        <v>#N/A</v>
      </c>
      <c r="AG782" s="859"/>
      <c r="AH782" s="27" t="str">
        <f t="shared" si="150"/>
        <v/>
      </c>
      <c r="AI782" s="152">
        <f ca="1">IF(W783&gt;0,0,IF(AH782=0,(Z782*-1)+BC782+SUM(BB$4:BB781),BC782+SUM(BB$4:BB781)))</f>
        <v>-2.1316282072803006E-13</v>
      </c>
      <c r="AJ782" s="931">
        <f>IF(AND(AL782&gt;=$U$1,AL782&lt;=$U$2),IF(AM782='ESTRATTO CONTO'!$E$2,1+COUNTIF(AJ$4:AJ781,"&gt;0")+U$1015,0),0)</f>
        <v>0</v>
      </c>
      <c r="AK782" s="203">
        <f>IF(AND(OR((AK781+1)&lt;AL$1015,(AK781+1)=AL$1015),MAX(AK$4:AK781)&lt;AL$1015),AK781+1,0)</f>
        <v>0</v>
      </c>
      <c r="AL782" s="309">
        <f>VLOOKUP($AK782,ENTI!$AF$4:AG$1003,2,FALSE)</f>
        <v>0</v>
      </c>
      <c r="AM782" s="224">
        <f>VLOOKUP($AK782,ENTI!$AF$4:AH$1003,3,FALSE)</f>
        <v>0</v>
      </c>
      <c r="AN782" s="224">
        <f>VLOOKUP($AK782,ENTI!$AF$4:AI$1003,4,FALSE)</f>
        <v>0</v>
      </c>
      <c r="AO782" s="781">
        <f>VLOOKUP($AK782,ENTI!$AF$4:AJ$1003,5,FALSE)</f>
        <v>0</v>
      </c>
      <c r="AP782" s="315">
        <f>VLOOKUP($AK782,ENTI!$AF$4:AK$1003,6,FALSE)</f>
        <v>0</v>
      </c>
      <c r="AQ782" s="208">
        <f t="shared" si="146"/>
        <v>0</v>
      </c>
      <c r="AR782" s="152" t="e">
        <f t="shared" si="147"/>
        <v>#N/A</v>
      </c>
      <c r="AS782" s="1"/>
      <c r="AT782" s="88" t="str">
        <f t="shared" si="151"/>
        <v/>
      </c>
      <c r="AU782" s="1"/>
      <c r="AV782" s="175">
        <f>IF(AW782&gt;0,COUNTIF(AV$4:AV781,"&gt;0")+1,0)</f>
        <v>0</v>
      </c>
      <c r="AW782" s="164">
        <f t="shared" si="152"/>
        <v>0</v>
      </c>
      <c r="AX782" s="310">
        <f>IF($AW782=0,0,VLOOKUP(VLOOKUP($X782,$B$34:$T$38,19,FALSE),ENTI!$A$9:$B$13,2,FALSE))</f>
        <v>0</v>
      </c>
      <c r="AY782" s="310">
        <f t="shared" si="154"/>
        <v>0</v>
      </c>
      <c r="AZ782" s="316">
        <f t="shared" si="155"/>
        <v>0</v>
      </c>
      <c r="BA782" s="1"/>
      <c r="BB782" s="152">
        <f t="shared" si="156"/>
        <v>0</v>
      </c>
      <c r="BC782" s="152">
        <f ca="1">SUM(Z$4:Z782)+SUM(BB$4:BB782)+COSTI!S$6-COSTI!L$1076</f>
        <v>-31.760000000000218</v>
      </c>
      <c r="BD782" s="1"/>
    </row>
    <row r="783" spans="1:56" ht="16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435">
        <f>IF(AND(W783&gt;=$U$1,W783&lt;=$U$2),IF(X783='ESTRATTO CONTO'!$E$2,1+COUNTIF(U$4:U782,"&gt;0"),0),0)</f>
        <v>0</v>
      </c>
      <c r="V783" s="417">
        <f t="shared" si="153"/>
        <v>780</v>
      </c>
      <c r="W783" s="509"/>
      <c r="X783" s="321"/>
      <c r="Y783" s="321"/>
      <c r="Z783" s="508"/>
      <c r="AA783" s="356"/>
      <c r="AB783" s="306" t="str">
        <f t="shared" si="149"/>
        <v/>
      </c>
      <c r="AC783" s="637">
        <f t="shared" ca="1" si="148"/>
        <v>-2.1316282072803006E-13</v>
      </c>
      <c r="AD783" s="935">
        <f>IF(ISERROR(VLOOKUP(AD$2,X784:X$1003,1,FALSE)),IF(X783=AD$2,SUMIF(X$4:X783,AD$2,Z$4:Z783)+$E$9+SUM(AQ$4:AQ$1003)+SUMIF(COSTI!$X$1379:$X$1430,AD$2,COSTI!$Z$1379:$Z$1430),0),0)</f>
        <v>0</v>
      </c>
      <c r="AE783" s="26"/>
      <c r="AF783" s="856" t="e">
        <f>IF(ISERROR(VLOOKUP(AG$2,X784:X$1003,1,FALSE)),IF(X783=AG$2,SUMIF(X$4:X783,AG$2,Z$4:Z783)+VLOOKUP(AF$2,$B$1057:$F$1068,5,FALSE)+SUM(AR$4:AR$1003)+SUMIF(COSTI!$X$1379:$X$1430,AG$2,COSTI!$Z$1379:$Z$1430),0),0)</f>
        <v>#N/A</v>
      </c>
      <c r="AG783" s="859"/>
      <c r="AH783" s="27" t="str">
        <f t="shared" si="150"/>
        <v/>
      </c>
      <c r="AI783" s="152">
        <f ca="1">IF(W784&gt;0,0,IF(AH783=0,(Z783*-1)+BC783+SUM(BB$4:BB782),BC783+SUM(BB$4:BB782)))</f>
        <v>-2.1316282072803006E-13</v>
      </c>
      <c r="AJ783" s="931">
        <f>IF(AND(AL783&gt;=$U$1,AL783&lt;=$U$2),IF(AM783='ESTRATTO CONTO'!$E$2,1+COUNTIF(AJ$4:AJ782,"&gt;0")+U$1015,0),0)</f>
        <v>0</v>
      </c>
      <c r="AK783" s="203">
        <f>IF(AND(OR((AK782+1)&lt;AL$1015,(AK782+1)=AL$1015),MAX(AK$4:AK782)&lt;AL$1015),AK782+1,0)</f>
        <v>0</v>
      </c>
      <c r="AL783" s="309">
        <f>VLOOKUP($AK783,ENTI!$AF$4:AG$1003,2,FALSE)</f>
        <v>0</v>
      </c>
      <c r="AM783" s="224">
        <f>VLOOKUP($AK783,ENTI!$AF$4:AH$1003,3,FALSE)</f>
        <v>0</v>
      </c>
      <c r="AN783" s="224">
        <f>VLOOKUP($AK783,ENTI!$AF$4:AI$1003,4,FALSE)</f>
        <v>0</v>
      </c>
      <c r="AO783" s="781">
        <f>VLOOKUP($AK783,ENTI!$AF$4:AJ$1003,5,FALSE)</f>
        <v>0</v>
      </c>
      <c r="AP783" s="315">
        <f>VLOOKUP($AK783,ENTI!$AF$4:AK$1003,6,FALSE)</f>
        <v>0</v>
      </c>
      <c r="AQ783" s="208">
        <f t="shared" ref="AQ783:AQ846" si="157">IF(AM783=AQ$2,AO783,0)</f>
        <v>0</v>
      </c>
      <c r="AR783" s="152" t="e">
        <f t="shared" ref="AR783:AR846" si="158">IF(AM783=AR$1,AO783,0)</f>
        <v>#N/A</v>
      </c>
      <c r="AS783" s="1"/>
      <c r="AT783" s="88" t="str">
        <f t="shared" si="151"/>
        <v/>
      </c>
      <c r="AU783" s="1"/>
      <c r="AV783" s="175">
        <f>IF(AW783&gt;0,COUNTIF(AV$4:AV782,"&gt;0")+1,0)</f>
        <v>0</v>
      </c>
      <c r="AW783" s="164">
        <f t="shared" si="152"/>
        <v>0</v>
      </c>
      <c r="AX783" s="310">
        <f>IF($AW783=0,0,VLOOKUP(VLOOKUP($X783,$B$34:$T$38,19,FALSE),ENTI!$A$9:$B$13,2,FALSE))</f>
        <v>0</v>
      </c>
      <c r="AY783" s="310">
        <f t="shared" si="154"/>
        <v>0</v>
      </c>
      <c r="AZ783" s="316">
        <f t="shared" si="155"/>
        <v>0</v>
      </c>
      <c r="BA783" s="1"/>
      <c r="BB783" s="152">
        <f t="shared" si="156"/>
        <v>0</v>
      </c>
      <c r="BC783" s="152">
        <f ca="1">SUM(Z$4:Z783)+SUM(BB$4:BB783)+COSTI!S$6-COSTI!L$1076</f>
        <v>-31.760000000000218</v>
      </c>
      <c r="BD783" s="1"/>
    </row>
    <row r="784" spans="1:56" ht="16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435">
        <f>IF(AND(W784&gt;=$U$1,W784&lt;=$U$2),IF(X784='ESTRATTO CONTO'!$E$2,1+COUNTIF(U$4:U783,"&gt;0"),0),0)</f>
        <v>0</v>
      </c>
      <c r="V784" s="417">
        <f t="shared" si="153"/>
        <v>781</v>
      </c>
      <c r="W784" s="509"/>
      <c r="X784" s="321"/>
      <c r="Y784" s="321"/>
      <c r="Z784" s="508"/>
      <c r="AA784" s="356"/>
      <c r="AB784" s="306" t="str">
        <f t="shared" si="149"/>
        <v/>
      </c>
      <c r="AC784" s="637">
        <f t="shared" ca="1" si="148"/>
        <v>-2.1316282072803006E-13</v>
      </c>
      <c r="AD784" s="935">
        <f>IF(ISERROR(VLOOKUP(AD$2,X785:X$1003,1,FALSE)),IF(X784=AD$2,SUMIF(X$4:X784,AD$2,Z$4:Z784)+$E$9+SUM(AQ$4:AQ$1003)+SUMIF(COSTI!$X$1379:$X$1430,AD$2,COSTI!$Z$1379:$Z$1430),0),0)</f>
        <v>0</v>
      </c>
      <c r="AE784" s="26"/>
      <c r="AF784" s="856" t="e">
        <f>IF(ISERROR(VLOOKUP(AG$2,X785:X$1003,1,FALSE)),IF(X784=AG$2,SUMIF(X$4:X784,AG$2,Z$4:Z784)+VLOOKUP(AF$2,$B$1057:$F$1068,5,FALSE)+SUM(AR$4:AR$1003)+SUMIF(COSTI!$X$1379:$X$1430,AG$2,COSTI!$Z$1379:$Z$1430),0),0)</f>
        <v>#N/A</v>
      </c>
      <c r="AG784" s="859"/>
      <c r="AH784" s="27" t="str">
        <f t="shared" si="150"/>
        <v/>
      </c>
      <c r="AI784" s="152">
        <f ca="1">IF(W785&gt;0,0,IF(AH784=0,(Z784*-1)+BC784+SUM(BB$4:BB783),BC784+SUM(BB$4:BB783)))</f>
        <v>-2.1316282072803006E-13</v>
      </c>
      <c r="AJ784" s="931">
        <f>IF(AND(AL784&gt;=$U$1,AL784&lt;=$U$2),IF(AM784='ESTRATTO CONTO'!$E$2,1+COUNTIF(AJ$4:AJ783,"&gt;0")+U$1015,0),0)</f>
        <v>0</v>
      </c>
      <c r="AK784" s="203">
        <f>IF(AND(OR((AK783+1)&lt;AL$1015,(AK783+1)=AL$1015),MAX(AK$4:AK783)&lt;AL$1015),AK783+1,0)</f>
        <v>0</v>
      </c>
      <c r="AL784" s="309">
        <f>VLOOKUP($AK784,ENTI!$AF$4:AG$1003,2,FALSE)</f>
        <v>0</v>
      </c>
      <c r="AM784" s="224">
        <f>VLOOKUP($AK784,ENTI!$AF$4:AH$1003,3,FALSE)</f>
        <v>0</v>
      </c>
      <c r="AN784" s="224">
        <f>VLOOKUP($AK784,ENTI!$AF$4:AI$1003,4,FALSE)</f>
        <v>0</v>
      </c>
      <c r="AO784" s="781">
        <f>VLOOKUP($AK784,ENTI!$AF$4:AJ$1003,5,FALSE)</f>
        <v>0</v>
      </c>
      <c r="AP784" s="315">
        <f>VLOOKUP($AK784,ENTI!$AF$4:AK$1003,6,FALSE)</f>
        <v>0</v>
      </c>
      <c r="AQ784" s="208">
        <f t="shared" si="157"/>
        <v>0</v>
      </c>
      <c r="AR784" s="152" t="e">
        <f t="shared" si="158"/>
        <v>#N/A</v>
      </c>
      <c r="AS784" s="1"/>
      <c r="AT784" s="88" t="str">
        <f t="shared" si="151"/>
        <v/>
      </c>
      <c r="AU784" s="1"/>
      <c r="AV784" s="175">
        <f>IF(AW784&gt;0,COUNTIF(AV$4:AV783,"&gt;0")+1,0)</f>
        <v>0</v>
      </c>
      <c r="AW784" s="164">
        <f t="shared" si="152"/>
        <v>0</v>
      </c>
      <c r="AX784" s="310">
        <f>IF($AW784=0,0,VLOOKUP(VLOOKUP($X784,$B$34:$T$38,19,FALSE),ENTI!$A$9:$B$13,2,FALSE))</f>
        <v>0</v>
      </c>
      <c r="AY784" s="310">
        <f t="shared" si="154"/>
        <v>0</v>
      </c>
      <c r="AZ784" s="316">
        <f t="shared" si="155"/>
        <v>0</v>
      </c>
      <c r="BA784" s="1"/>
      <c r="BB784" s="152">
        <f t="shared" si="156"/>
        <v>0</v>
      </c>
      <c r="BC784" s="152">
        <f ca="1">SUM(Z$4:Z784)+SUM(BB$4:BB784)+COSTI!S$6-COSTI!L$1076</f>
        <v>-31.760000000000218</v>
      </c>
      <c r="BD784" s="1"/>
    </row>
    <row r="785" spans="1:56" ht="16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435">
        <f>IF(AND(W785&gt;=$U$1,W785&lt;=$U$2),IF(X785='ESTRATTO CONTO'!$E$2,1+COUNTIF(U$4:U784,"&gt;0"),0),0)</f>
        <v>0</v>
      </c>
      <c r="V785" s="417">
        <f t="shared" si="153"/>
        <v>782</v>
      </c>
      <c r="W785" s="509"/>
      <c r="X785" s="321"/>
      <c r="Y785" s="321"/>
      <c r="Z785" s="508"/>
      <c r="AA785" s="356"/>
      <c r="AB785" s="306" t="str">
        <f t="shared" si="149"/>
        <v/>
      </c>
      <c r="AC785" s="637">
        <f t="shared" ca="1" si="148"/>
        <v>-2.1316282072803006E-13</v>
      </c>
      <c r="AD785" s="935">
        <f>IF(ISERROR(VLOOKUP(AD$2,X786:X$1003,1,FALSE)),IF(X785=AD$2,SUMIF(X$4:X785,AD$2,Z$4:Z785)+$E$9+SUM(AQ$4:AQ$1003)+SUMIF(COSTI!$X$1379:$X$1430,AD$2,COSTI!$Z$1379:$Z$1430),0),0)</f>
        <v>0</v>
      </c>
      <c r="AE785" s="26"/>
      <c r="AF785" s="856" t="e">
        <f>IF(ISERROR(VLOOKUP(AG$2,X786:X$1003,1,FALSE)),IF(X785=AG$2,SUMIF(X$4:X785,AG$2,Z$4:Z785)+VLOOKUP(AF$2,$B$1057:$F$1068,5,FALSE)+SUM(AR$4:AR$1003)+SUMIF(COSTI!$X$1379:$X$1430,AG$2,COSTI!$Z$1379:$Z$1430),0),0)</f>
        <v>#N/A</v>
      </c>
      <c r="AG785" s="859"/>
      <c r="AH785" s="27" t="str">
        <f t="shared" si="150"/>
        <v/>
      </c>
      <c r="AI785" s="152">
        <f ca="1">IF(W786&gt;0,0,IF(AH785=0,(Z785*-1)+BC785+SUM(BB$4:BB784),BC785+SUM(BB$4:BB784)))</f>
        <v>-2.1316282072803006E-13</v>
      </c>
      <c r="AJ785" s="931">
        <f>IF(AND(AL785&gt;=$U$1,AL785&lt;=$U$2),IF(AM785='ESTRATTO CONTO'!$E$2,1+COUNTIF(AJ$4:AJ784,"&gt;0")+U$1015,0),0)</f>
        <v>0</v>
      </c>
      <c r="AK785" s="203">
        <f>IF(AND(OR((AK784+1)&lt;AL$1015,(AK784+1)=AL$1015),MAX(AK$4:AK784)&lt;AL$1015),AK784+1,0)</f>
        <v>0</v>
      </c>
      <c r="AL785" s="309">
        <f>VLOOKUP($AK785,ENTI!$AF$4:AG$1003,2,FALSE)</f>
        <v>0</v>
      </c>
      <c r="AM785" s="224">
        <f>VLOOKUP($AK785,ENTI!$AF$4:AH$1003,3,FALSE)</f>
        <v>0</v>
      </c>
      <c r="AN785" s="224">
        <f>VLOOKUP($AK785,ENTI!$AF$4:AI$1003,4,FALSE)</f>
        <v>0</v>
      </c>
      <c r="AO785" s="781">
        <f>VLOOKUP($AK785,ENTI!$AF$4:AJ$1003,5,FALSE)</f>
        <v>0</v>
      </c>
      <c r="AP785" s="315">
        <f>VLOOKUP($AK785,ENTI!$AF$4:AK$1003,6,FALSE)</f>
        <v>0</v>
      </c>
      <c r="AQ785" s="208">
        <f t="shared" si="157"/>
        <v>0</v>
      </c>
      <c r="AR785" s="152" t="e">
        <f t="shared" si="158"/>
        <v>#N/A</v>
      </c>
      <c r="AS785" s="1"/>
      <c r="AT785" s="88" t="str">
        <f t="shared" si="151"/>
        <v/>
      </c>
      <c r="AU785" s="1"/>
      <c r="AV785" s="175">
        <f>IF(AW785&gt;0,COUNTIF(AV$4:AV784,"&gt;0")+1,0)</f>
        <v>0</v>
      </c>
      <c r="AW785" s="164">
        <f t="shared" si="152"/>
        <v>0</v>
      </c>
      <c r="AX785" s="310">
        <f>IF($AW785=0,0,VLOOKUP(VLOOKUP($X785,$B$34:$T$38,19,FALSE),ENTI!$A$9:$B$13,2,FALSE))</f>
        <v>0</v>
      </c>
      <c r="AY785" s="310">
        <f t="shared" si="154"/>
        <v>0</v>
      </c>
      <c r="AZ785" s="316">
        <f t="shared" si="155"/>
        <v>0</v>
      </c>
      <c r="BA785" s="1"/>
      <c r="BB785" s="152">
        <f t="shared" si="156"/>
        <v>0</v>
      </c>
      <c r="BC785" s="152">
        <f ca="1">SUM(Z$4:Z785)+SUM(BB$4:BB785)+COSTI!S$6-COSTI!L$1076</f>
        <v>-31.760000000000218</v>
      </c>
      <c r="BD785" s="1"/>
    </row>
    <row r="786" spans="1:56" ht="16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435">
        <f>IF(AND(W786&gt;=$U$1,W786&lt;=$U$2),IF(X786='ESTRATTO CONTO'!$E$2,1+COUNTIF(U$4:U785,"&gt;0"),0),0)</f>
        <v>0</v>
      </c>
      <c r="V786" s="417">
        <f t="shared" si="153"/>
        <v>783</v>
      </c>
      <c r="W786" s="509"/>
      <c r="X786" s="321"/>
      <c r="Y786" s="321"/>
      <c r="Z786" s="508"/>
      <c r="AA786" s="356"/>
      <c r="AB786" s="306" t="str">
        <f t="shared" si="149"/>
        <v/>
      </c>
      <c r="AC786" s="637">
        <f t="shared" ca="1" si="148"/>
        <v>-2.1316282072803006E-13</v>
      </c>
      <c r="AD786" s="935">
        <f>IF(ISERROR(VLOOKUP(AD$2,X787:X$1003,1,FALSE)),IF(X786=AD$2,SUMIF(X$4:X786,AD$2,Z$4:Z786)+$E$9+SUM(AQ$4:AQ$1003)+SUMIF(COSTI!$X$1379:$X$1430,AD$2,COSTI!$Z$1379:$Z$1430),0),0)</f>
        <v>0</v>
      </c>
      <c r="AE786" s="26"/>
      <c r="AF786" s="856" t="e">
        <f>IF(ISERROR(VLOOKUP(AG$2,X787:X$1003,1,FALSE)),IF(X786=AG$2,SUMIF(X$4:X786,AG$2,Z$4:Z786)+VLOOKUP(AF$2,$B$1057:$F$1068,5,FALSE)+SUM(AR$4:AR$1003)+SUMIF(COSTI!$X$1379:$X$1430,AG$2,COSTI!$Z$1379:$Z$1430),0),0)</f>
        <v>#N/A</v>
      </c>
      <c r="AG786" s="859"/>
      <c r="AH786" s="27" t="str">
        <f t="shared" si="150"/>
        <v/>
      </c>
      <c r="AI786" s="152">
        <f ca="1">IF(W787&gt;0,0,IF(AH786=0,(Z786*-1)+BC786+SUM(BB$4:BB785),BC786+SUM(BB$4:BB785)))</f>
        <v>-2.1316282072803006E-13</v>
      </c>
      <c r="AJ786" s="931">
        <f>IF(AND(AL786&gt;=$U$1,AL786&lt;=$U$2),IF(AM786='ESTRATTO CONTO'!$E$2,1+COUNTIF(AJ$4:AJ785,"&gt;0")+U$1015,0),0)</f>
        <v>0</v>
      </c>
      <c r="AK786" s="203">
        <f>IF(AND(OR((AK785+1)&lt;AL$1015,(AK785+1)=AL$1015),MAX(AK$4:AK785)&lt;AL$1015),AK785+1,0)</f>
        <v>0</v>
      </c>
      <c r="AL786" s="309">
        <f>VLOOKUP($AK786,ENTI!$AF$4:AG$1003,2,FALSE)</f>
        <v>0</v>
      </c>
      <c r="AM786" s="224">
        <f>VLOOKUP($AK786,ENTI!$AF$4:AH$1003,3,FALSE)</f>
        <v>0</v>
      </c>
      <c r="AN786" s="224">
        <f>VLOOKUP($AK786,ENTI!$AF$4:AI$1003,4,FALSE)</f>
        <v>0</v>
      </c>
      <c r="AO786" s="781">
        <f>VLOOKUP($AK786,ENTI!$AF$4:AJ$1003,5,FALSE)</f>
        <v>0</v>
      </c>
      <c r="AP786" s="315">
        <f>VLOOKUP($AK786,ENTI!$AF$4:AK$1003,6,FALSE)</f>
        <v>0</v>
      </c>
      <c r="AQ786" s="208">
        <f t="shared" si="157"/>
        <v>0</v>
      </c>
      <c r="AR786" s="152" t="e">
        <f t="shared" si="158"/>
        <v>#N/A</v>
      </c>
      <c r="AS786" s="1"/>
      <c r="AT786" s="88" t="str">
        <f t="shared" si="151"/>
        <v/>
      </c>
      <c r="AU786" s="1"/>
      <c r="AV786" s="175">
        <f>IF(AW786&gt;0,COUNTIF(AV$4:AV785,"&gt;0")+1,0)</f>
        <v>0</v>
      </c>
      <c r="AW786" s="164">
        <f t="shared" si="152"/>
        <v>0</v>
      </c>
      <c r="AX786" s="310">
        <f>IF($AW786=0,0,VLOOKUP(VLOOKUP($X786,$B$34:$T$38,19,FALSE),ENTI!$A$9:$B$13,2,FALSE))</f>
        <v>0</v>
      </c>
      <c r="AY786" s="310">
        <f t="shared" si="154"/>
        <v>0</v>
      </c>
      <c r="AZ786" s="316">
        <f t="shared" si="155"/>
        <v>0</v>
      </c>
      <c r="BA786" s="1"/>
      <c r="BB786" s="152">
        <f t="shared" si="156"/>
        <v>0</v>
      </c>
      <c r="BC786" s="152">
        <f ca="1">SUM(Z$4:Z786)+SUM(BB$4:BB786)+COSTI!S$6-COSTI!L$1076</f>
        <v>-31.760000000000218</v>
      </c>
      <c r="BD786" s="1"/>
    </row>
    <row r="787" spans="1:56" ht="16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435">
        <f>IF(AND(W787&gt;=$U$1,W787&lt;=$U$2),IF(X787='ESTRATTO CONTO'!$E$2,1+COUNTIF(U$4:U786,"&gt;0"),0),0)</f>
        <v>0</v>
      </c>
      <c r="V787" s="417">
        <f t="shared" si="153"/>
        <v>784</v>
      </c>
      <c r="W787" s="509"/>
      <c r="X787" s="321"/>
      <c r="Y787" s="321"/>
      <c r="Z787" s="508"/>
      <c r="AA787" s="356"/>
      <c r="AB787" s="306" t="str">
        <f t="shared" si="149"/>
        <v/>
      </c>
      <c r="AC787" s="637">
        <f t="shared" ca="1" si="148"/>
        <v>-2.1316282072803006E-13</v>
      </c>
      <c r="AD787" s="935">
        <f>IF(ISERROR(VLOOKUP(AD$2,X788:X$1003,1,FALSE)),IF(X787=AD$2,SUMIF(X$4:X787,AD$2,Z$4:Z787)+$E$9+SUM(AQ$4:AQ$1003)+SUMIF(COSTI!$X$1379:$X$1430,AD$2,COSTI!$Z$1379:$Z$1430),0),0)</f>
        <v>0</v>
      </c>
      <c r="AE787" s="26"/>
      <c r="AF787" s="856" t="e">
        <f>IF(ISERROR(VLOOKUP(AG$2,X788:X$1003,1,FALSE)),IF(X787=AG$2,SUMIF(X$4:X787,AG$2,Z$4:Z787)+VLOOKUP(AF$2,$B$1057:$F$1068,5,FALSE)+SUM(AR$4:AR$1003)+SUMIF(COSTI!$X$1379:$X$1430,AG$2,COSTI!$Z$1379:$Z$1430),0),0)</f>
        <v>#N/A</v>
      </c>
      <c r="AG787" s="859"/>
      <c r="AH787" s="27" t="str">
        <f t="shared" si="150"/>
        <v/>
      </c>
      <c r="AI787" s="152">
        <f ca="1">IF(W788&gt;0,0,IF(AH787=0,(Z787*-1)+BC787+SUM(BB$4:BB786),BC787+SUM(BB$4:BB786)))</f>
        <v>-2.1316282072803006E-13</v>
      </c>
      <c r="AJ787" s="931">
        <f>IF(AND(AL787&gt;=$U$1,AL787&lt;=$U$2),IF(AM787='ESTRATTO CONTO'!$E$2,1+COUNTIF(AJ$4:AJ786,"&gt;0")+U$1015,0),0)</f>
        <v>0</v>
      </c>
      <c r="AK787" s="203">
        <f>IF(AND(OR((AK786+1)&lt;AL$1015,(AK786+1)=AL$1015),MAX(AK$4:AK786)&lt;AL$1015),AK786+1,0)</f>
        <v>0</v>
      </c>
      <c r="AL787" s="309">
        <f>VLOOKUP($AK787,ENTI!$AF$4:AG$1003,2,FALSE)</f>
        <v>0</v>
      </c>
      <c r="AM787" s="224">
        <f>VLOOKUP($AK787,ENTI!$AF$4:AH$1003,3,FALSE)</f>
        <v>0</v>
      </c>
      <c r="AN787" s="224">
        <f>VLOOKUP($AK787,ENTI!$AF$4:AI$1003,4,FALSE)</f>
        <v>0</v>
      </c>
      <c r="AO787" s="781">
        <f>VLOOKUP($AK787,ENTI!$AF$4:AJ$1003,5,FALSE)</f>
        <v>0</v>
      </c>
      <c r="AP787" s="315">
        <f>VLOOKUP($AK787,ENTI!$AF$4:AK$1003,6,FALSE)</f>
        <v>0</v>
      </c>
      <c r="AQ787" s="208">
        <f t="shared" si="157"/>
        <v>0</v>
      </c>
      <c r="AR787" s="152" t="e">
        <f t="shared" si="158"/>
        <v>#N/A</v>
      </c>
      <c r="AS787" s="1"/>
      <c r="AT787" s="88" t="str">
        <f t="shared" si="151"/>
        <v/>
      </c>
      <c r="AU787" s="1"/>
      <c r="AV787" s="175">
        <f>IF(AW787&gt;0,COUNTIF(AV$4:AV786,"&gt;0")+1,0)</f>
        <v>0</v>
      </c>
      <c r="AW787" s="164">
        <f t="shared" si="152"/>
        <v>0</v>
      </c>
      <c r="AX787" s="310">
        <f>IF($AW787=0,0,VLOOKUP(VLOOKUP($X787,$B$34:$T$38,19,FALSE),ENTI!$A$9:$B$13,2,FALSE))</f>
        <v>0</v>
      </c>
      <c r="AY787" s="310">
        <f t="shared" si="154"/>
        <v>0</v>
      </c>
      <c r="AZ787" s="316">
        <f t="shared" si="155"/>
        <v>0</v>
      </c>
      <c r="BA787" s="1"/>
      <c r="BB787" s="152">
        <f t="shared" si="156"/>
        <v>0</v>
      </c>
      <c r="BC787" s="152">
        <f ca="1">SUM(Z$4:Z787)+SUM(BB$4:BB787)+COSTI!S$6-COSTI!L$1076</f>
        <v>-31.760000000000218</v>
      </c>
      <c r="BD787" s="1"/>
    </row>
    <row r="788" spans="1:56" ht="16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435">
        <f>IF(AND(W788&gt;=$U$1,W788&lt;=$U$2),IF(X788='ESTRATTO CONTO'!$E$2,1+COUNTIF(U$4:U787,"&gt;0"),0),0)</f>
        <v>0</v>
      </c>
      <c r="V788" s="417">
        <f t="shared" si="153"/>
        <v>785</v>
      </c>
      <c r="W788" s="509"/>
      <c r="X788" s="321"/>
      <c r="Y788" s="321"/>
      <c r="Z788" s="508"/>
      <c r="AA788" s="356"/>
      <c r="AB788" s="306" t="str">
        <f t="shared" si="149"/>
        <v/>
      </c>
      <c r="AC788" s="637">
        <f t="shared" ca="1" si="148"/>
        <v>-2.1316282072803006E-13</v>
      </c>
      <c r="AD788" s="935">
        <f>IF(ISERROR(VLOOKUP(AD$2,X789:X$1003,1,FALSE)),IF(X788=AD$2,SUMIF(X$4:X788,AD$2,Z$4:Z788)+$E$9+SUM(AQ$4:AQ$1003)+SUMIF(COSTI!$X$1379:$X$1430,AD$2,COSTI!$Z$1379:$Z$1430),0),0)</f>
        <v>0</v>
      </c>
      <c r="AE788" s="26"/>
      <c r="AF788" s="856" t="e">
        <f>IF(ISERROR(VLOOKUP(AG$2,X789:X$1003,1,FALSE)),IF(X788=AG$2,SUMIF(X$4:X788,AG$2,Z$4:Z788)+VLOOKUP(AF$2,$B$1057:$F$1068,5,FALSE)+SUM(AR$4:AR$1003)+SUMIF(COSTI!$X$1379:$X$1430,AG$2,COSTI!$Z$1379:$Z$1430),0),0)</f>
        <v>#N/A</v>
      </c>
      <c r="AG788" s="859"/>
      <c r="AH788" s="27" t="str">
        <f t="shared" si="150"/>
        <v/>
      </c>
      <c r="AI788" s="152">
        <f ca="1">IF(W789&gt;0,0,IF(AH788=0,(Z788*-1)+BC788+SUM(BB$4:BB787),BC788+SUM(BB$4:BB787)))</f>
        <v>-2.1316282072803006E-13</v>
      </c>
      <c r="AJ788" s="931">
        <f>IF(AND(AL788&gt;=$U$1,AL788&lt;=$U$2),IF(AM788='ESTRATTO CONTO'!$E$2,1+COUNTIF(AJ$4:AJ787,"&gt;0")+U$1015,0),0)</f>
        <v>0</v>
      </c>
      <c r="AK788" s="203">
        <f>IF(AND(OR((AK787+1)&lt;AL$1015,(AK787+1)=AL$1015),MAX(AK$4:AK787)&lt;AL$1015),AK787+1,0)</f>
        <v>0</v>
      </c>
      <c r="AL788" s="309">
        <f>VLOOKUP($AK788,ENTI!$AF$4:AG$1003,2,FALSE)</f>
        <v>0</v>
      </c>
      <c r="AM788" s="224">
        <f>VLOOKUP($AK788,ENTI!$AF$4:AH$1003,3,FALSE)</f>
        <v>0</v>
      </c>
      <c r="AN788" s="224">
        <f>VLOOKUP($AK788,ENTI!$AF$4:AI$1003,4,FALSE)</f>
        <v>0</v>
      </c>
      <c r="AO788" s="781">
        <f>VLOOKUP($AK788,ENTI!$AF$4:AJ$1003,5,FALSE)</f>
        <v>0</v>
      </c>
      <c r="AP788" s="315">
        <f>VLOOKUP($AK788,ENTI!$AF$4:AK$1003,6,FALSE)</f>
        <v>0</v>
      </c>
      <c r="AQ788" s="208">
        <f t="shared" si="157"/>
        <v>0</v>
      </c>
      <c r="AR788" s="152" t="e">
        <f t="shared" si="158"/>
        <v>#N/A</v>
      </c>
      <c r="AS788" s="1"/>
      <c r="AT788" s="88" t="str">
        <f t="shared" si="151"/>
        <v/>
      </c>
      <c r="AU788" s="1"/>
      <c r="AV788" s="175">
        <f>IF(AW788&gt;0,COUNTIF(AV$4:AV787,"&gt;0")+1,0)</f>
        <v>0</v>
      </c>
      <c r="AW788" s="164">
        <f t="shared" si="152"/>
        <v>0</v>
      </c>
      <c r="AX788" s="310">
        <f>IF($AW788=0,0,VLOOKUP(VLOOKUP($X788,$B$34:$T$38,19,FALSE),ENTI!$A$9:$B$13,2,FALSE))</f>
        <v>0</v>
      </c>
      <c r="AY788" s="310">
        <f t="shared" si="154"/>
        <v>0</v>
      </c>
      <c r="AZ788" s="316">
        <f t="shared" si="155"/>
        <v>0</v>
      </c>
      <c r="BA788" s="1"/>
      <c r="BB788" s="152">
        <f t="shared" si="156"/>
        <v>0</v>
      </c>
      <c r="BC788" s="152">
        <f ca="1">SUM(Z$4:Z788)+SUM(BB$4:BB788)+COSTI!S$6-COSTI!L$1076</f>
        <v>-31.760000000000218</v>
      </c>
      <c r="BD788" s="1"/>
    </row>
    <row r="789" spans="1:56" ht="16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435">
        <f>IF(AND(W789&gt;=$U$1,W789&lt;=$U$2),IF(X789='ESTRATTO CONTO'!$E$2,1+COUNTIF(U$4:U788,"&gt;0"),0),0)</f>
        <v>0</v>
      </c>
      <c r="V789" s="417">
        <f t="shared" si="153"/>
        <v>786</v>
      </c>
      <c r="W789" s="509"/>
      <c r="X789" s="321"/>
      <c r="Y789" s="321"/>
      <c r="Z789" s="508"/>
      <c r="AA789" s="356"/>
      <c r="AB789" s="306" t="str">
        <f t="shared" si="149"/>
        <v/>
      </c>
      <c r="AC789" s="637">
        <f t="shared" ca="1" si="148"/>
        <v>-2.1316282072803006E-13</v>
      </c>
      <c r="AD789" s="935">
        <f>IF(ISERROR(VLOOKUP(AD$2,X790:X$1003,1,FALSE)),IF(X789=AD$2,SUMIF(X$4:X789,AD$2,Z$4:Z789)+$E$9+SUM(AQ$4:AQ$1003)+SUMIF(COSTI!$X$1379:$X$1430,AD$2,COSTI!$Z$1379:$Z$1430),0),0)</f>
        <v>0</v>
      </c>
      <c r="AE789" s="26"/>
      <c r="AF789" s="856" t="e">
        <f>IF(ISERROR(VLOOKUP(AG$2,X790:X$1003,1,FALSE)),IF(X789=AG$2,SUMIF(X$4:X789,AG$2,Z$4:Z789)+VLOOKUP(AF$2,$B$1057:$F$1068,5,FALSE)+SUM(AR$4:AR$1003)+SUMIF(COSTI!$X$1379:$X$1430,AG$2,COSTI!$Z$1379:$Z$1430),0),0)</f>
        <v>#N/A</v>
      </c>
      <c r="AG789" s="859"/>
      <c r="AH789" s="27" t="str">
        <f t="shared" si="150"/>
        <v/>
      </c>
      <c r="AI789" s="152">
        <f ca="1">IF(W790&gt;0,0,IF(AH789=0,(Z789*-1)+BC789+SUM(BB$4:BB788),BC789+SUM(BB$4:BB788)))</f>
        <v>-2.1316282072803006E-13</v>
      </c>
      <c r="AJ789" s="931">
        <f>IF(AND(AL789&gt;=$U$1,AL789&lt;=$U$2),IF(AM789='ESTRATTO CONTO'!$E$2,1+COUNTIF(AJ$4:AJ788,"&gt;0")+U$1015,0),0)</f>
        <v>0</v>
      </c>
      <c r="AK789" s="203">
        <f>IF(AND(OR((AK788+1)&lt;AL$1015,(AK788+1)=AL$1015),MAX(AK$4:AK788)&lt;AL$1015),AK788+1,0)</f>
        <v>0</v>
      </c>
      <c r="AL789" s="309">
        <f>VLOOKUP($AK789,ENTI!$AF$4:AG$1003,2,FALSE)</f>
        <v>0</v>
      </c>
      <c r="AM789" s="224">
        <f>VLOOKUP($AK789,ENTI!$AF$4:AH$1003,3,FALSE)</f>
        <v>0</v>
      </c>
      <c r="AN789" s="224">
        <f>VLOOKUP($AK789,ENTI!$AF$4:AI$1003,4,FALSE)</f>
        <v>0</v>
      </c>
      <c r="AO789" s="781">
        <f>VLOOKUP($AK789,ENTI!$AF$4:AJ$1003,5,FALSE)</f>
        <v>0</v>
      </c>
      <c r="AP789" s="315">
        <f>VLOOKUP($AK789,ENTI!$AF$4:AK$1003,6,FALSE)</f>
        <v>0</v>
      </c>
      <c r="AQ789" s="208">
        <f t="shared" si="157"/>
        <v>0</v>
      </c>
      <c r="AR789" s="152" t="e">
        <f t="shared" si="158"/>
        <v>#N/A</v>
      </c>
      <c r="AS789" s="1"/>
      <c r="AT789" s="88" t="str">
        <f t="shared" si="151"/>
        <v/>
      </c>
      <c r="AU789" s="1"/>
      <c r="AV789" s="175">
        <f>IF(AW789&gt;0,COUNTIF(AV$4:AV788,"&gt;0")+1,0)</f>
        <v>0</v>
      </c>
      <c r="AW789" s="164">
        <f t="shared" si="152"/>
        <v>0</v>
      </c>
      <c r="AX789" s="310">
        <f>IF($AW789=0,0,VLOOKUP(VLOOKUP($X789,$B$34:$T$38,19,FALSE),ENTI!$A$9:$B$13,2,FALSE))</f>
        <v>0</v>
      </c>
      <c r="AY789" s="310">
        <f t="shared" si="154"/>
        <v>0</v>
      </c>
      <c r="AZ789" s="316">
        <f t="shared" si="155"/>
        <v>0</v>
      </c>
      <c r="BA789" s="1"/>
      <c r="BB789" s="152">
        <f t="shared" si="156"/>
        <v>0</v>
      </c>
      <c r="BC789" s="152">
        <f ca="1">SUM(Z$4:Z789)+SUM(BB$4:BB789)+COSTI!S$6-COSTI!L$1076</f>
        <v>-31.760000000000218</v>
      </c>
      <c r="BD789" s="1"/>
    </row>
    <row r="790" spans="1:56" ht="16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435">
        <f>IF(AND(W790&gt;=$U$1,W790&lt;=$U$2),IF(X790='ESTRATTO CONTO'!$E$2,1+COUNTIF(U$4:U789,"&gt;0"),0),0)</f>
        <v>0</v>
      </c>
      <c r="V790" s="417">
        <f t="shared" si="153"/>
        <v>787</v>
      </c>
      <c r="W790" s="509"/>
      <c r="X790" s="321"/>
      <c r="Y790" s="321"/>
      <c r="Z790" s="508"/>
      <c r="AA790" s="356"/>
      <c r="AB790" s="306" t="str">
        <f t="shared" si="149"/>
        <v/>
      </c>
      <c r="AC790" s="637">
        <f t="shared" ca="1" si="148"/>
        <v>-2.1316282072803006E-13</v>
      </c>
      <c r="AD790" s="935">
        <f>IF(ISERROR(VLOOKUP(AD$2,X791:X$1003,1,FALSE)),IF(X790=AD$2,SUMIF(X$4:X790,AD$2,Z$4:Z790)+$E$9+SUM(AQ$4:AQ$1003)+SUMIF(COSTI!$X$1379:$X$1430,AD$2,COSTI!$Z$1379:$Z$1430),0),0)</f>
        <v>0</v>
      </c>
      <c r="AE790" s="26"/>
      <c r="AF790" s="856" t="e">
        <f>IF(ISERROR(VLOOKUP(AG$2,X791:X$1003,1,FALSE)),IF(X790=AG$2,SUMIF(X$4:X790,AG$2,Z$4:Z790)+VLOOKUP(AF$2,$B$1057:$F$1068,5,FALSE)+SUM(AR$4:AR$1003)+SUMIF(COSTI!$X$1379:$X$1430,AG$2,COSTI!$Z$1379:$Z$1430),0),0)</f>
        <v>#N/A</v>
      </c>
      <c r="AG790" s="859"/>
      <c r="AH790" s="27" t="str">
        <f t="shared" si="150"/>
        <v/>
      </c>
      <c r="AI790" s="152">
        <f ca="1">IF(W791&gt;0,0,IF(AH790=0,(Z790*-1)+BC790+SUM(BB$4:BB789),BC790+SUM(BB$4:BB789)))</f>
        <v>-2.1316282072803006E-13</v>
      </c>
      <c r="AJ790" s="931">
        <f>IF(AND(AL790&gt;=$U$1,AL790&lt;=$U$2),IF(AM790='ESTRATTO CONTO'!$E$2,1+COUNTIF(AJ$4:AJ789,"&gt;0")+U$1015,0),0)</f>
        <v>0</v>
      </c>
      <c r="AK790" s="203">
        <f>IF(AND(OR((AK789+1)&lt;AL$1015,(AK789+1)=AL$1015),MAX(AK$4:AK789)&lt;AL$1015),AK789+1,0)</f>
        <v>0</v>
      </c>
      <c r="AL790" s="309">
        <f>VLOOKUP($AK790,ENTI!$AF$4:AG$1003,2,FALSE)</f>
        <v>0</v>
      </c>
      <c r="AM790" s="224">
        <f>VLOOKUP($AK790,ENTI!$AF$4:AH$1003,3,FALSE)</f>
        <v>0</v>
      </c>
      <c r="AN790" s="224">
        <f>VLOOKUP($AK790,ENTI!$AF$4:AI$1003,4,FALSE)</f>
        <v>0</v>
      </c>
      <c r="AO790" s="781">
        <f>VLOOKUP($AK790,ENTI!$AF$4:AJ$1003,5,FALSE)</f>
        <v>0</v>
      </c>
      <c r="AP790" s="315">
        <f>VLOOKUP($AK790,ENTI!$AF$4:AK$1003,6,FALSE)</f>
        <v>0</v>
      </c>
      <c r="AQ790" s="208">
        <f t="shared" si="157"/>
        <v>0</v>
      </c>
      <c r="AR790" s="152" t="e">
        <f t="shared" si="158"/>
        <v>#N/A</v>
      </c>
      <c r="AS790" s="1"/>
      <c r="AT790" s="88" t="str">
        <f t="shared" si="151"/>
        <v/>
      </c>
      <c r="AU790" s="1"/>
      <c r="AV790" s="175">
        <f>IF(AW790&gt;0,COUNTIF(AV$4:AV789,"&gt;0")+1,0)</f>
        <v>0</v>
      </c>
      <c r="AW790" s="164">
        <f t="shared" si="152"/>
        <v>0</v>
      </c>
      <c r="AX790" s="310">
        <f>IF($AW790=0,0,VLOOKUP(VLOOKUP($X790,$B$34:$T$38,19,FALSE),ENTI!$A$9:$B$13,2,FALSE))</f>
        <v>0</v>
      </c>
      <c r="AY790" s="310">
        <f t="shared" si="154"/>
        <v>0</v>
      </c>
      <c r="AZ790" s="316">
        <f t="shared" si="155"/>
        <v>0</v>
      </c>
      <c r="BA790" s="1"/>
      <c r="BB790" s="152">
        <f t="shared" si="156"/>
        <v>0</v>
      </c>
      <c r="BC790" s="152">
        <f ca="1">SUM(Z$4:Z790)+SUM(BB$4:BB790)+COSTI!S$6-COSTI!L$1076</f>
        <v>-31.760000000000218</v>
      </c>
      <c r="BD790" s="1"/>
    </row>
    <row r="791" spans="1:56" ht="16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435">
        <f>IF(AND(W791&gt;=$U$1,W791&lt;=$U$2),IF(X791='ESTRATTO CONTO'!$E$2,1+COUNTIF(U$4:U790,"&gt;0"),0),0)</f>
        <v>0</v>
      </c>
      <c r="V791" s="417">
        <f t="shared" si="153"/>
        <v>788</v>
      </c>
      <c r="W791" s="509"/>
      <c r="X791" s="321"/>
      <c r="Y791" s="321"/>
      <c r="Z791" s="508"/>
      <c r="AA791" s="356"/>
      <c r="AB791" s="306" t="str">
        <f t="shared" si="149"/>
        <v/>
      </c>
      <c r="AC791" s="637">
        <f t="shared" ca="1" si="148"/>
        <v>-2.1316282072803006E-13</v>
      </c>
      <c r="AD791" s="935">
        <f>IF(ISERROR(VLOOKUP(AD$2,X792:X$1003,1,FALSE)),IF(X791=AD$2,SUMIF(X$4:X791,AD$2,Z$4:Z791)+$E$9+SUM(AQ$4:AQ$1003)+SUMIF(COSTI!$X$1379:$X$1430,AD$2,COSTI!$Z$1379:$Z$1430),0),0)</f>
        <v>0</v>
      </c>
      <c r="AE791" s="26"/>
      <c r="AF791" s="856" t="e">
        <f>IF(ISERROR(VLOOKUP(AG$2,X792:X$1003,1,FALSE)),IF(X791=AG$2,SUMIF(X$4:X791,AG$2,Z$4:Z791)+VLOOKUP(AF$2,$B$1057:$F$1068,5,FALSE)+SUM(AR$4:AR$1003)+SUMIF(COSTI!$X$1379:$X$1430,AG$2,COSTI!$Z$1379:$Z$1430),0),0)</f>
        <v>#N/A</v>
      </c>
      <c r="AG791" s="859"/>
      <c r="AH791" s="27" t="str">
        <f t="shared" si="150"/>
        <v/>
      </c>
      <c r="AI791" s="152">
        <f ca="1">IF(W792&gt;0,0,IF(AH791=0,(Z791*-1)+BC791+SUM(BB$4:BB790),BC791+SUM(BB$4:BB790)))</f>
        <v>-2.1316282072803006E-13</v>
      </c>
      <c r="AJ791" s="931">
        <f>IF(AND(AL791&gt;=$U$1,AL791&lt;=$U$2),IF(AM791='ESTRATTO CONTO'!$E$2,1+COUNTIF(AJ$4:AJ790,"&gt;0")+U$1015,0),0)</f>
        <v>0</v>
      </c>
      <c r="AK791" s="203">
        <f>IF(AND(OR((AK790+1)&lt;AL$1015,(AK790+1)=AL$1015),MAX(AK$4:AK790)&lt;AL$1015),AK790+1,0)</f>
        <v>0</v>
      </c>
      <c r="AL791" s="309">
        <f>VLOOKUP($AK791,ENTI!$AF$4:AG$1003,2,FALSE)</f>
        <v>0</v>
      </c>
      <c r="AM791" s="224">
        <f>VLOOKUP($AK791,ENTI!$AF$4:AH$1003,3,FALSE)</f>
        <v>0</v>
      </c>
      <c r="AN791" s="224">
        <f>VLOOKUP($AK791,ENTI!$AF$4:AI$1003,4,FALSE)</f>
        <v>0</v>
      </c>
      <c r="AO791" s="781">
        <f>VLOOKUP($AK791,ENTI!$AF$4:AJ$1003,5,FALSE)</f>
        <v>0</v>
      </c>
      <c r="AP791" s="315">
        <f>VLOOKUP($AK791,ENTI!$AF$4:AK$1003,6,FALSE)</f>
        <v>0</v>
      </c>
      <c r="AQ791" s="208">
        <f t="shared" si="157"/>
        <v>0</v>
      </c>
      <c r="AR791" s="152" t="e">
        <f t="shared" si="158"/>
        <v>#N/A</v>
      </c>
      <c r="AS791" s="1"/>
      <c r="AT791" s="88" t="str">
        <f t="shared" si="151"/>
        <v/>
      </c>
      <c r="AU791" s="1"/>
      <c r="AV791" s="175">
        <f>IF(AW791&gt;0,COUNTIF(AV$4:AV790,"&gt;0")+1,0)</f>
        <v>0</v>
      </c>
      <c r="AW791" s="164">
        <f t="shared" si="152"/>
        <v>0</v>
      </c>
      <c r="AX791" s="310">
        <f>IF($AW791=0,0,VLOOKUP(VLOOKUP($X791,$B$34:$T$38,19,FALSE),ENTI!$A$9:$B$13,2,FALSE))</f>
        <v>0</v>
      </c>
      <c r="AY791" s="310">
        <f t="shared" si="154"/>
        <v>0</v>
      </c>
      <c r="AZ791" s="316">
        <f t="shared" si="155"/>
        <v>0</v>
      </c>
      <c r="BA791" s="1"/>
      <c r="BB791" s="152">
        <f t="shared" si="156"/>
        <v>0</v>
      </c>
      <c r="BC791" s="152">
        <f ca="1">SUM(Z$4:Z791)+SUM(BB$4:BB791)+COSTI!S$6-COSTI!L$1076</f>
        <v>-31.760000000000218</v>
      </c>
      <c r="BD791" s="1"/>
    </row>
    <row r="792" spans="1:56" ht="16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435">
        <f>IF(AND(W792&gt;=$U$1,W792&lt;=$U$2),IF(X792='ESTRATTO CONTO'!$E$2,1+COUNTIF(U$4:U791,"&gt;0"),0),0)</f>
        <v>0</v>
      </c>
      <c r="V792" s="417">
        <f t="shared" si="153"/>
        <v>789</v>
      </c>
      <c r="W792" s="509"/>
      <c r="X792" s="321"/>
      <c r="Y792" s="321"/>
      <c r="Z792" s="508"/>
      <c r="AA792" s="356"/>
      <c r="AB792" s="306" t="str">
        <f t="shared" si="149"/>
        <v/>
      </c>
      <c r="AC792" s="637">
        <f t="shared" ca="1" si="148"/>
        <v>-2.1316282072803006E-13</v>
      </c>
      <c r="AD792" s="935">
        <f>IF(ISERROR(VLOOKUP(AD$2,X793:X$1003,1,FALSE)),IF(X792=AD$2,SUMIF(X$4:X792,AD$2,Z$4:Z792)+$E$9+SUM(AQ$4:AQ$1003)+SUMIF(COSTI!$X$1379:$X$1430,AD$2,COSTI!$Z$1379:$Z$1430),0),0)</f>
        <v>0</v>
      </c>
      <c r="AE792" s="26"/>
      <c r="AF792" s="856" t="e">
        <f>IF(ISERROR(VLOOKUP(AG$2,X793:X$1003,1,FALSE)),IF(X792=AG$2,SUMIF(X$4:X792,AG$2,Z$4:Z792)+VLOOKUP(AF$2,$B$1057:$F$1068,5,FALSE)+SUM(AR$4:AR$1003)+SUMIF(COSTI!$X$1379:$X$1430,AG$2,COSTI!$Z$1379:$Z$1430),0),0)</f>
        <v>#N/A</v>
      </c>
      <c r="AG792" s="859"/>
      <c r="AH792" s="27" t="str">
        <f t="shared" si="150"/>
        <v/>
      </c>
      <c r="AI792" s="152">
        <f ca="1">IF(W793&gt;0,0,IF(AH792=0,(Z792*-1)+BC792+SUM(BB$4:BB791),BC792+SUM(BB$4:BB791)))</f>
        <v>-2.1316282072803006E-13</v>
      </c>
      <c r="AJ792" s="931">
        <f>IF(AND(AL792&gt;=$U$1,AL792&lt;=$U$2),IF(AM792='ESTRATTO CONTO'!$E$2,1+COUNTIF(AJ$4:AJ791,"&gt;0")+U$1015,0),0)</f>
        <v>0</v>
      </c>
      <c r="AK792" s="203">
        <f>IF(AND(OR((AK791+1)&lt;AL$1015,(AK791+1)=AL$1015),MAX(AK$4:AK791)&lt;AL$1015),AK791+1,0)</f>
        <v>0</v>
      </c>
      <c r="AL792" s="309">
        <f>VLOOKUP($AK792,ENTI!$AF$4:AG$1003,2,FALSE)</f>
        <v>0</v>
      </c>
      <c r="AM792" s="224">
        <f>VLOOKUP($AK792,ENTI!$AF$4:AH$1003,3,FALSE)</f>
        <v>0</v>
      </c>
      <c r="AN792" s="224">
        <f>VLOOKUP($AK792,ENTI!$AF$4:AI$1003,4,FALSE)</f>
        <v>0</v>
      </c>
      <c r="AO792" s="781">
        <f>VLOOKUP($AK792,ENTI!$AF$4:AJ$1003,5,FALSE)</f>
        <v>0</v>
      </c>
      <c r="AP792" s="315">
        <f>VLOOKUP($AK792,ENTI!$AF$4:AK$1003,6,FALSE)</f>
        <v>0</v>
      </c>
      <c r="AQ792" s="208">
        <f t="shared" si="157"/>
        <v>0</v>
      </c>
      <c r="AR792" s="152" t="e">
        <f t="shared" si="158"/>
        <v>#N/A</v>
      </c>
      <c r="AS792" s="1"/>
      <c r="AT792" s="88" t="str">
        <f t="shared" si="151"/>
        <v/>
      </c>
      <c r="AU792" s="1"/>
      <c r="AV792" s="175">
        <f>IF(AW792&gt;0,COUNTIF(AV$4:AV791,"&gt;0")+1,0)</f>
        <v>0</v>
      </c>
      <c r="AW792" s="164">
        <f t="shared" si="152"/>
        <v>0</v>
      </c>
      <c r="AX792" s="310">
        <f>IF($AW792=0,0,VLOOKUP(VLOOKUP($X792,$B$34:$T$38,19,FALSE),ENTI!$A$9:$B$13,2,FALSE))</f>
        <v>0</v>
      </c>
      <c r="AY792" s="310">
        <f t="shared" si="154"/>
        <v>0</v>
      </c>
      <c r="AZ792" s="316">
        <f t="shared" si="155"/>
        <v>0</v>
      </c>
      <c r="BA792" s="1"/>
      <c r="BB792" s="152">
        <f t="shared" si="156"/>
        <v>0</v>
      </c>
      <c r="BC792" s="152">
        <f ca="1">SUM(Z$4:Z792)+SUM(BB$4:BB792)+COSTI!S$6-COSTI!L$1076</f>
        <v>-31.760000000000218</v>
      </c>
      <c r="BD792" s="1"/>
    </row>
    <row r="793" spans="1:56" ht="16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435">
        <f>IF(AND(W793&gt;=$U$1,W793&lt;=$U$2),IF(X793='ESTRATTO CONTO'!$E$2,1+COUNTIF(U$4:U792,"&gt;0"),0),0)</f>
        <v>0</v>
      </c>
      <c r="V793" s="417">
        <f t="shared" si="153"/>
        <v>790</v>
      </c>
      <c r="W793" s="509"/>
      <c r="X793" s="321"/>
      <c r="Y793" s="321"/>
      <c r="Z793" s="508"/>
      <c r="AA793" s="356"/>
      <c r="AB793" s="306" t="str">
        <f t="shared" si="149"/>
        <v/>
      </c>
      <c r="AC793" s="637">
        <f t="shared" ca="1" si="148"/>
        <v>-2.1316282072803006E-13</v>
      </c>
      <c r="AD793" s="935">
        <f>IF(ISERROR(VLOOKUP(AD$2,X794:X$1003,1,FALSE)),IF(X793=AD$2,SUMIF(X$4:X793,AD$2,Z$4:Z793)+$E$9+SUM(AQ$4:AQ$1003)+SUMIF(COSTI!$X$1379:$X$1430,AD$2,COSTI!$Z$1379:$Z$1430),0),0)</f>
        <v>0</v>
      </c>
      <c r="AE793" s="26"/>
      <c r="AF793" s="856" t="e">
        <f>IF(ISERROR(VLOOKUP(AG$2,X794:X$1003,1,FALSE)),IF(X793=AG$2,SUMIF(X$4:X793,AG$2,Z$4:Z793)+VLOOKUP(AF$2,$B$1057:$F$1068,5,FALSE)+SUM(AR$4:AR$1003)+SUMIF(COSTI!$X$1379:$X$1430,AG$2,COSTI!$Z$1379:$Z$1430),0),0)</f>
        <v>#N/A</v>
      </c>
      <c r="AG793" s="859"/>
      <c r="AH793" s="27" t="str">
        <f t="shared" si="150"/>
        <v/>
      </c>
      <c r="AI793" s="152">
        <f ca="1">IF(W794&gt;0,0,IF(AH793=0,(Z793*-1)+BC793+SUM(BB$4:BB792),BC793+SUM(BB$4:BB792)))</f>
        <v>-2.1316282072803006E-13</v>
      </c>
      <c r="AJ793" s="931">
        <f>IF(AND(AL793&gt;=$U$1,AL793&lt;=$U$2),IF(AM793='ESTRATTO CONTO'!$E$2,1+COUNTIF(AJ$4:AJ792,"&gt;0")+U$1015,0),0)</f>
        <v>0</v>
      </c>
      <c r="AK793" s="203">
        <f>IF(AND(OR((AK792+1)&lt;AL$1015,(AK792+1)=AL$1015),MAX(AK$4:AK792)&lt;AL$1015),AK792+1,0)</f>
        <v>0</v>
      </c>
      <c r="AL793" s="309">
        <f>VLOOKUP($AK793,ENTI!$AF$4:AG$1003,2,FALSE)</f>
        <v>0</v>
      </c>
      <c r="AM793" s="224">
        <f>VLOOKUP($AK793,ENTI!$AF$4:AH$1003,3,FALSE)</f>
        <v>0</v>
      </c>
      <c r="AN793" s="224">
        <f>VLOOKUP($AK793,ENTI!$AF$4:AI$1003,4,FALSE)</f>
        <v>0</v>
      </c>
      <c r="AO793" s="781">
        <f>VLOOKUP($AK793,ENTI!$AF$4:AJ$1003,5,FALSE)</f>
        <v>0</v>
      </c>
      <c r="AP793" s="315">
        <f>VLOOKUP($AK793,ENTI!$AF$4:AK$1003,6,FALSE)</f>
        <v>0</v>
      </c>
      <c r="AQ793" s="208">
        <f t="shared" si="157"/>
        <v>0</v>
      </c>
      <c r="AR793" s="152" t="e">
        <f t="shared" si="158"/>
        <v>#N/A</v>
      </c>
      <c r="AS793" s="1"/>
      <c r="AT793" s="88" t="str">
        <f t="shared" si="151"/>
        <v/>
      </c>
      <c r="AU793" s="1"/>
      <c r="AV793" s="175">
        <f>IF(AW793&gt;0,COUNTIF(AV$4:AV792,"&gt;0")+1,0)</f>
        <v>0</v>
      </c>
      <c r="AW793" s="164">
        <f t="shared" si="152"/>
        <v>0</v>
      </c>
      <c r="AX793" s="310">
        <f>IF($AW793=0,0,VLOOKUP(VLOOKUP($X793,$B$34:$T$38,19,FALSE),ENTI!$A$9:$B$13,2,FALSE))</f>
        <v>0</v>
      </c>
      <c r="AY793" s="310">
        <f t="shared" si="154"/>
        <v>0</v>
      </c>
      <c r="AZ793" s="316">
        <f t="shared" si="155"/>
        <v>0</v>
      </c>
      <c r="BA793" s="1"/>
      <c r="BB793" s="152">
        <f t="shared" si="156"/>
        <v>0</v>
      </c>
      <c r="BC793" s="152">
        <f ca="1">SUM(Z$4:Z793)+SUM(BB$4:BB793)+COSTI!S$6-COSTI!L$1076</f>
        <v>-31.760000000000218</v>
      </c>
      <c r="BD793" s="1"/>
    </row>
    <row r="794" spans="1:56" ht="16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435">
        <f>IF(AND(W794&gt;=$U$1,W794&lt;=$U$2),IF(X794='ESTRATTO CONTO'!$E$2,1+COUNTIF(U$4:U793,"&gt;0"),0),0)</f>
        <v>0</v>
      </c>
      <c r="V794" s="417">
        <f t="shared" si="153"/>
        <v>791</v>
      </c>
      <c r="W794" s="509"/>
      <c r="X794" s="321"/>
      <c r="Y794" s="321"/>
      <c r="Z794" s="508"/>
      <c r="AA794" s="356"/>
      <c r="AB794" s="306" t="str">
        <f t="shared" si="149"/>
        <v/>
      </c>
      <c r="AC794" s="637">
        <f t="shared" ca="1" si="148"/>
        <v>-2.1316282072803006E-13</v>
      </c>
      <c r="AD794" s="935">
        <f>IF(ISERROR(VLOOKUP(AD$2,X795:X$1003,1,FALSE)),IF(X794=AD$2,SUMIF(X$4:X794,AD$2,Z$4:Z794)+$E$9+SUM(AQ$4:AQ$1003)+SUMIF(COSTI!$X$1379:$X$1430,AD$2,COSTI!$Z$1379:$Z$1430),0),0)</f>
        <v>0</v>
      </c>
      <c r="AE794" s="26"/>
      <c r="AF794" s="856" t="e">
        <f>IF(ISERROR(VLOOKUP(AG$2,X795:X$1003,1,FALSE)),IF(X794=AG$2,SUMIF(X$4:X794,AG$2,Z$4:Z794)+VLOOKUP(AF$2,$B$1057:$F$1068,5,FALSE)+SUM(AR$4:AR$1003)+SUMIF(COSTI!$X$1379:$X$1430,AG$2,COSTI!$Z$1379:$Z$1430),0),0)</f>
        <v>#N/A</v>
      </c>
      <c r="AG794" s="859"/>
      <c r="AH794" s="27" t="str">
        <f t="shared" si="150"/>
        <v/>
      </c>
      <c r="AI794" s="152">
        <f ca="1">IF(W795&gt;0,0,IF(AH794=0,(Z794*-1)+BC794+SUM(BB$4:BB793),BC794+SUM(BB$4:BB793)))</f>
        <v>-2.1316282072803006E-13</v>
      </c>
      <c r="AJ794" s="931">
        <f>IF(AND(AL794&gt;=$U$1,AL794&lt;=$U$2),IF(AM794='ESTRATTO CONTO'!$E$2,1+COUNTIF(AJ$4:AJ793,"&gt;0")+U$1015,0),0)</f>
        <v>0</v>
      </c>
      <c r="AK794" s="203">
        <f>IF(AND(OR((AK793+1)&lt;AL$1015,(AK793+1)=AL$1015),MAX(AK$4:AK793)&lt;AL$1015),AK793+1,0)</f>
        <v>0</v>
      </c>
      <c r="AL794" s="309">
        <f>VLOOKUP($AK794,ENTI!$AF$4:AG$1003,2,FALSE)</f>
        <v>0</v>
      </c>
      <c r="AM794" s="224">
        <f>VLOOKUP($AK794,ENTI!$AF$4:AH$1003,3,FALSE)</f>
        <v>0</v>
      </c>
      <c r="AN794" s="224">
        <f>VLOOKUP($AK794,ENTI!$AF$4:AI$1003,4,FALSE)</f>
        <v>0</v>
      </c>
      <c r="AO794" s="781">
        <f>VLOOKUP($AK794,ENTI!$AF$4:AJ$1003,5,FALSE)</f>
        <v>0</v>
      </c>
      <c r="AP794" s="315">
        <f>VLOOKUP($AK794,ENTI!$AF$4:AK$1003,6,FALSE)</f>
        <v>0</v>
      </c>
      <c r="AQ794" s="208">
        <f t="shared" si="157"/>
        <v>0</v>
      </c>
      <c r="AR794" s="152" t="e">
        <f t="shared" si="158"/>
        <v>#N/A</v>
      </c>
      <c r="AS794" s="1"/>
      <c r="AT794" s="88" t="str">
        <f t="shared" si="151"/>
        <v/>
      </c>
      <c r="AU794" s="1"/>
      <c r="AV794" s="175">
        <f>IF(AW794&gt;0,COUNTIF(AV$4:AV793,"&gt;0")+1,0)</f>
        <v>0</v>
      </c>
      <c r="AW794" s="164">
        <f t="shared" si="152"/>
        <v>0</v>
      </c>
      <c r="AX794" s="310">
        <f>IF($AW794=0,0,VLOOKUP(VLOOKUP($X794,$B$34:$T$38,19,FALSE),ENTI!$A$9:$B$13,2,FALSE))</f>
        <v>0</v>
      </c>
      <c r="AY794" s="310">
        <f t="shared" si="154"/>
        <v>0</v>
      </c>
      <c r="AZ794" s="316">
        <f t="shared" si="155"/>
        <v>0</v>
      </c>
      <c r="BA794" s="1"/>
      <c r="BB794" s="152">
        <f t="shared" si="156"/>
        <v>0</v>
      </c>
      <c r="BC794" s="152">
        <f ca="1">SUM(Z$4:Z794)+SUM(BB$4:BB794)+COSTI!S$6-COSTI!L$1076</f>
        <v>-31.760000000000218</v>
      </c>
      <c r="BD794" s="1"/>
    </row>
    <row r="795" spans="1:56" ht="16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435">
        <f>IF(AND(W795&gt;=$U$1,W795&lt;=$U$2),IF(X795='ESTRATTO CONTO'!$E$2,1+COUNTIF(U$4:U794,"&gt;0"),0),0)</f>
        <v>0</v>
      </c>
      <c r="V795" s="417">
        <f t="shared" si="153"/>
        <v>792</v>
      </c>
      <c r="W795" s="509"/>
      <c r="X795" s="321"/>
      <c r="Y795" s="321"/>
      <c r="Z795" s="508"/>
      <c r="AA795" s="356"/>
      <c r="AB795" s="306" t="str">
        <f t="shared" si="149"/>
        <v/>
      </c>
      <c r="AC795" s="637">
        <f t="shared" ca="1" si="148"/>
        <v>-2.1316282072803006E-13</v>
      </c>
      <c r="AD795" s="935">
        <f>IF(ISERROR(VLOOKUP(AD$2,X796:X$1003,1,FALSE)),IF(X795=AD$2,SUMIF(X$4:X795,AD$2,Z$4:Z795)+$E$9+SUM(AQ$4:AQ$1003)+SUMIF(COSTI!$X$1379:$X$1430,AD$2,COSTI!$Z$1379:$Z$1430),0),0)</f>
        <v>0</v>
      </c>
      <c r="AE795" s="26"/>
      <c r="AF795" s="856" t="e">
        <f>IF(ISERROR(VLOOKUP(AG$2,X796:X$1003,1,FALSE)),IF(X795=AG$2,SUMIF(X$4:X795,AG$2,Z$4:Z795)+VLOOKUP(AF$2,$B$1057:$F$1068,5,FALSE)+SUM(AR$4:AR$1003)+SUMIF(COSTI!$X$1379:$X$1430,AG$2,COSTI!$Z$1379:$Z$1430),0),0)</f>
        <v>#N/A</v>
      </c>
      <c r="AG795" s="859"/>
      <c r="AH795" s="27" t="str">
        <f t="shared" si="150"/>
        <v/>
      </c>
      <c r="AI795" s="152">
        <f ca="1">IF(W796&gt;0,0,IF(AH795=0,(Z795*-1)+BC795+SUM(BB$4:BB794),BC795+SUM(BB$4:BB794)))</f>
        <v>-2.1316282072803006E-13</v>
      </c>
      <c r="AJ795" s="931">
        <f>IF(AND(AL795&gt;=$U$1,AL795&lt;=$U$2),IF(AM795='ESTRATTO CONTO'!$E$2,1+COUNTIF(AJ$4:AJ794,"&gt;0")+U$1015,0),0)</f>
        <v>0</v>
      </c>
      <c r="AK795" s="203">
        <f>IF(AND(OR((AK794+1)&lt;AL$1015,(AK794+1)=AL$1015),MAX(AK$4:AK794)&lt;AL$1015),AK794+1,0)</f>
        <v>0</v>
      </c>
      <c r="AL795" s="309">
        <f>VLOOKUP($AK795,ENTI!$AF$4:AG$1003,2,FALSE)</f>
        <v>0</v>
      </c>
      <c r="AM795" s="224">
        <f>VLOOKUP($AK795,ENTI!$AF$4:AH$1003,3,FALSE)</f>
        <v>0</v>
      </c>
      <c r="AN795" s="224">
        <f>VLOOKUP($AK795,ENTI!$AF$4:AI$1003,4,FALSE)</f>
        <v>0</v>
      </c>
      <c r="AO795" s="781">
        <f>VLOOKUP($AK795,ENTI!$AF$4:AJ$1003,5,FALSE)</f>
        <v>0</v>
      </c>
      <c r="AP795" s="315">
        <f>VLOOKUP($AK795,ENTI!$AF$4:AK$1003,6,FALSE)</f>
        <v>0</v>
      </c>
      <c r="AQ795" s="208">
        <f t="shared" si="157"/>
        <v>0</v>
      </c>
      <c r="AR795" s="152" t="e">
        <f t="shared" si="158"/>
        <v>#N/A</v>
      </c>
      <c r="AS795" s="1"/>
      <c r="AT795" s="88" t="str">
        <f t="shared" si="151"/>
        <v/>
      </c>
      <c r="AU795" s="1"/>
      <c r="AV795" s="175">
        <f>IF(AW795&gt;0,COUNTIF(AV$4:AV794,"&gt;0")+1,0)</f>
        <v>0</v>
      </c>
      <c r="AW795" s="164">
        <f t="shared" si="152"/>
        <v>0</v>
      </c>
      <c r="AX795" s="310">
        <f>IF($AW795=0,0,VLOOKUP(VLOOKUP($X795,$B$34:$T$38,19,FALSE),ENTI!$A$9:$B$13,2,FALSE))</f>
        <v>0</v>
      </c>
      <c r="AY795" s="310">
        <f t="shared" si="154"/>
        <v>0</v>
      </c>
      <c r="AZ795" s="316">
        <f t="shared" si="155"/>
        <v>0</v>
      </c>
      <c r="BA795" s="1"/>
      <c r="BB795" s="152">
        <f t="shared" si="156"/>
        <v>0</v>
      </c>
      <c r="BC795" s="152">
        <f ca="1">SUM(Z$4:Z795)+SUM(BB$4:BB795)+COSTI!S$6-COSTI!L$1076</f>
        <v>-31.760000000000218</v>
      </c>
      <c r="BD795" s="1"/>
    </row>
    <row r="796" spans="1:56" ht="16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435">
        <f>IF(AND(W796&gt;=$U$1,W796&lt;=$U$2),IF(X796='ESTRATTO CONTO'!$E$2,1+COUNTIF(U$4:U795,"&gt;0"),0),0)</f>
        <v>0</v>
      </c>
      <c r="V796" s="417">
        <f t="shared" si="153"/>
        <v>793</v>
      </c>
      <c r="W796" s="509"/>
      <c r="X796" s="321"/>
      <c r="Y796" s="321"/>
      <c r="Z796" s="508"/>
      <c r="AA796" s="356"/>
      <c r="AB796" s="306" t="str">
        <f t="shared" si="149"/>
        <v/>
      </c>
      <c r="AC796" s="637">
        <f t="shared" ca="1" si="148"/>
        <v>-2.1316282072803006E-13</v>
      </c>
      <c r="AD796" s="935">
        <f>IF(ISERROR(VLOOKUP(AD$2,X797:X$1003,1,FALSE)),IF(X796=AD$2,SUMIF(X$4:X796,AD$2,Z$4:Z796)+$E$9+SUM(AQ$4:AQ$1003)+SUMIF(COSTI!$X$1379:$X$1430,AD$2,COSTI!$Z$1379:$Z$1430),0),0)</f>
        <v>0</v>
      </c>
      <c r="AE796" s="26"/>
      <c r="AF796" s="856" t="e">
        <f>IF(ISERROR(VLOOKUP(AG$2,X797:X$1003,1,FALSE)),IF(X796=AG$2,SUMIF(X$4:X796,AG$2,Z$4:Z796)+VLOOKUP(AF$2,$B$1057:$F$1068,5,FALSE)+SUM(AR$4:AR$1003)+SUMIF(COSTI!$X$1379:$X$1430,AG$2,COSTI!$Z$1379:$Z$1430),0),0)</f>
        <v>#N/A</v>
      </c>
      <c r="AG796" s="859"/>
      <c r="AH796" s="27" t="str">
        <f t="shared" si="150"/>
        <v/>
      </c>
      <c r="AI796" s="152">
        <f ca="1">IF(W797&gt;0,0,IF(AH796=0,(Z796*-1)+BC796+SUM(BB$4:BB795),BC796+SUM(BB$4:BB795)))</f>
        <v>-2.1316282072803006E-13</v>
      </c>
      <c r="AJ796" s="931">
        <f>IF(AND(AL796&gt;=$U$1,AL796&lt;=$U$2),IF(AM796='ESTRATTO CONTO'!$E$2,1+COUNTIF(AJ$4:AJ795,"&gt;0")+U$1015,0),0)</f>
        <v>0</v>
      </c>
      <c r="AK796" s="203">
        <f>IF(AND(OR((AK795+1)&lt;AL$1015,(AK795+1)=AL$1015),MAX(AK$4:AK795)&lt;AL$1015),AK795+1,0)</f>
        <v>0</v>
      </c>
      <c r="AL796" s="309">
        <f>VLOOKUP($AK796,ENTI!$AF$4:AG$1003,2,FALSE)</f>
        <v>0</v>
      </c>
      <c r="AM796" s="224">
        <f>VLOOKUP($AK796,ENTI!$AF$4:AH$1003,3,FALSE)</f>
        <v>0</v>
      </c>
      <c r="AN796" s="224">
        <f>VLOOKUP($AK796,ENTI!$AF$4:AI$1003,4,FALSE)</f>
        <v>0</v>
      </c>
      <c r="AO796" s="781">
        <f>VLOOKUP($AK796,ENTI!$AF$4:AJ$1003,5,FALSE)</f>
        <v>0</v>
      </c>
      <c r="AP796" s="315">
        <f>VLOOKUP($AK796,ENTI!$AF$4:AK$1003,6,FALSE)</f>
        <v>0</v>
      </c>
      <c r="AQ796" s="208">
        <f t="shared" si="157"/>
        <v>0</v>
      </c>
      <c r="AR796" s="152" t="e">
        <f t="shared" si="158"/>
        <v>#N/A</v>
      </c>
      <c r="AS796" s="1"/>
      <c r="AT796" s="88" t="str">
        <f t="shared" si="151"/>
        <v/>
      </c>
      <c r="AU796" s="1"/>
      <c r="AV796" s="175">
        <f>IF(AW796&gt;0,COUNTIF(AV$4:AV795,"&gt;0")+1,0)</f>
        <v>0</v>
      </c>
      <c r="AW796" s="164">
        <f t="shared" si="152"/>
        <v>0</v>
      </c>
      <c r="AX796" s="310">
        <f>IF($AW796=0,0,VLOOKUP(VLOOKUP($X796,$B$34:$T$38,19,FALSE),ENTI!$A$9:$B$13,2,FALSE))</f>
        <v>0</v>
      </c>
      <c r="AY796" s="310">
        <f t="shared" si="154"/>
        <v>0</v>
      </c>
      <c r="AZ796" s="316">
        <f t="shared" si="155"/>
        <v>0</v>
      </c>
      <c r="BA796" s="1"/>
      <c r="BB796" s="152">
        <f t="shared" si="156"/>
        <v>0</v>
      </c>
      <c r="BC796" s="152">
        <f ca="1">SUM(Z$4:Z796)+SUM(BB$4:BB796)+COSTI!S$6-COSTI!L$1076</f>
        <v>-31.760000000000218</v>
      </c>
      <c r="BD796" s="1"/>
    </row>
    <row r="797" spans="1:56" ht="16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435">
        <f>IF(AND(W797&gt;=$U$1,W797&lt;=$U$2),IF(X797='ESTRATTO CONTO'!$E$2,1+COUNTIF(U$4:U796,"&gt;0"),0),0)</f>
        <v>0</v>
      </c>
      <c r="V797" s="417">
        <f t="shared" si="153"/>
        <v>794</v>
      </c>
      <c r="W797" s="509"/>
      <c r="X797" s="321"/>
      <c r="Y797" s="321"/>
      <c r="Z797" s="508"/>
      <c r="AA797" s="356"/>
      <c r="AB797" s="306" t="str">
        <f t="shared" si="149"/>
        <v/>
      </c>
      <c r="AC797" s="637">
        <f t="shared" ca="1" si="148"/>
        <v>-2.1316282072803006E-13</v>
      </c>
      <c r="AD797" s="935">
        <f>IF(ISERROR(VLOOKUP(AD$2,X798:X$1003,1,FALSE)),IF(X797=AD$2,SUMIF(X$4:X797,AD$2,Z$4:Z797)+$E$9+SUM(AQ$4:AQ$1003)+SUMIF(COSTI!$X$1379:$X$1430,AD$2,COSTI!$Z$1379:$Z$1430),0),0)</f>
        <v>0</v>
      </c>
      <c r="AE797" s="26"/>
      <c r="AF797" s="856" t="e">
        <f>IF(ISERROR(VLOOKUP(AG$2,X798:X$1003,1,FALSE)),IF(X797=AG$2,SUMIF(X$4:X797,AG$2,Z$4:Z797)+VLOOKUP(AF$2,$B$1057:$F$1068,5,FALSE)+SUM(AR$4:AR$1003)+SUMIF(COSTI!$X$1379:$X$1430,AG$2,COSTI!$Z$1379:$Z$1430),0),0)</f>
        <v>#N/A</v>
      </c>
      <c r="AG797" s="859"/>
      <c r="AH797" s="27" t="str">
        <f t="shared" si="150"/>
        <v/>
      </c>
      <c r="AI797" s="152">
        <f ca="1">IF(W798&gt;0,0,IF(AH797=0,(Z797*-1)+BC797+SUM(BB$4:BB796),BC797+SUM(BB$4:BB796)))</f>
        <v>-2.1316282072803006E-13</v>
      </c>
      <c r="AJ797" s="931">
        <f>IF(AND(AL797&gt;=$U$1,AL797&lt;=$U$2),IF(AM797='ESTRATTO CONTO'!$E$2,1+COUNTIF(AJ$4:AJ796,"&gt;0")+U$1015,0),0)</f>
        <v>0</v>
      </c>
      <c r="AK797" s="203">
        <f>IF(AND(OR((AK796+1)&lt;AL$1015,(AK796+1)=AL$1015),MAX(AK$4:AK796)&lt;AL$1015),AK796+1,0)</f>
        <v>0</v>
      </c>
      <c r="AL797" s="309">
        <f>VLOOKUP($AK797,ENTI!$AF$4:AG$1003,2,FALSE)</f>
        <v>0</v>
      </c>
      <c r="AM797" s="224">
        <f>VLOOKUP($AK797,ENTI!$AF$4:AH$1003,3,FALSE)</f>
        <v>0</v>
      </c>
      <c r="AN797" s="224">
        <f>VLOOKUP($AK797,ENTI!$AF$4:AI$1003,4,FALSE)</f>
        <v>0</v>
      </c>
      <c r="AO797" s="781">
        <f>VLOOKUP($AK797,ENTI!$AF$4:AJ$1003,5,FALSE)</f>
        <v>0</v>
      </c>
      <c r="AP797" s="315">
        <f>VLOOKUP($AK797,ENTI!$AF$4:AK$1003,6,FALSE)</f>
        <v>0</v>
      </c>
      <c r="AQ797" s="208">
        <f t="shared" si="157"/>
        <v>0</v>
      </c>
      <c r="AR797" s="152" t="e">
        <f t="shared" si="158"/>
        <v>#N/A</v>
      </c>
      <c r="AS797" s="1"/>
      <c r="AT797" s="88" t="str">
        <f t="shared" si="151"/>
        <v/>
      </c>
      <c r="AU797" s="1"/>
      <c r="AV797" s="175">
        <f>IF(AW797&gt;0,COUNTIF(AV$4:AV796,"&gt;0")+1,0)</f>
        <v>0</v>
      </c>
      <c r="AW797" s="164">
        <f t="shared" si="152"/>
        <v>0</v>
      </c>
      <c r="AX797" s="310">
        <f>IF($AW797=0,0,VLOOKUP(VLOOKUP($X797,$B$34:$T$38,19,FALSE),ENTI!$A$9:$B$13,2,FALSE))</f>
        <v>0</v>
      </c>
      <c r="AY797" s="310">
        <f t="shared" si="154"/>
        <v>0</v>
      </c>
      <c r="AZ797" s="316">
        <f t="shared" si="155"/>
        <v>0</v>
      </c>
      <c r="BA797" s="1"/>
      <c r="BB797" s="152">
        <f t="shared" si="156"/>
        <v>0</v>
      </c>
      <c r="BC797" s="152">
        <f ca="1">SUM(Z$4:Z797)+SUM(BB$4:BB797)+COSTI!S$6-COSTI!L$1076</f>
        <v>-31.760000000000218</v>
      </c>
      <c r="BD797" s="1"/>
    </row>
    <row r="798" spans="1:56" ht="16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435">
        <f>IF(AND(W798&gt;=$U$1,W798&lt;=$U$2),IF(X798='ESTRATTO CONTO'!$E$2,1+COUNTIF(U$4:U797,"&gt;0"),0),0)</f>
        <v>0</v>
      </c>
      <c r="V798" s="417">
        <f t="shared" si="153"/>
        <v>795</v>
      </c>
      <c r="W798" s="509"/>
      <c r="X798" s="321"/>
      <c r="Y798" s="321"/>
      <c r="Z798" s="508"/>
      <c r="AA798" s="356"/>
      <c r="AB798" s="306" t="str">
        <f t="shared" si="149"/>
        <v/>
      </c>
      <c r="AC798" s="637">
        <f t="shared" ca="1" si="148"/>
        <v>-2.1316282072803006E-13</v>
      </c>
      <c r="AD798" s="935">
        <f>IF(ISERROR(VLOOKUP(AD$2,X799:X$1003,1,FALSE)),IF(X798=AD$2,SUMIF(X$4:X798,AD$2,Z$4:Z798)+$E$9+SUM(AQ$4:AQ$1003)+SUMIF(COSTI!$X$1379:$X$1430,AD$2,COSTI!$Z$1379:$Z$1430),0),0)</f>
        <v>0</v>
      </c>
      <c r="AE798" s="26"/>
      <c r="AF798" s="856" t="e">
        <f>IF(ISERROR(VLOOKUP(AG$2,X799:X$1003,1,FALSE)),IF(X798=AG$2,SUMIF(X$4:X798,AG$2,Z$4:Z798)+VLOOKUP(AF$2,$B$1057:$F$1068,5,FALSE)+SUM(AR$4:AR$1003)+SUMIF(COSTI!$X$1379:$X$1430,AG$2,COSTI!$Z$1379:$Z$1430),0),0)</f>
        <v>#N/A</v>
      </c>
      <c r="AG798" s="859"/>
      <c r="AH798" s="27" t="str">
        <f t="shared" si="150"/>
        <v/>
      </c>
      <c r="AI798" s="152">
        <f ca="1">IF(W799&gt;0,0,IF(AH798=0,(Z798*-1)+BC798+SUM(BB$4:BB797),BC798+SUM(BB$4:BB797)))</f>
        <v>-2.1316282072803006E-13</v>
      </c>
      <c r="AJ798" s="931">
        <f>IF(AND(AL798&gt;=$U$1,AL798&lt;=$U$2),IF(AM798='ESTRATTO CONTO'!$E$2,1+COUNTIF(AJ$4:AJ797,"&gt;0")+U$1015,0),0)</f>
        <v>0</v>
      </c>
      <c r="AK798" s="203">
        <f>IF(AND(OR((AK797+1)&lt;AL$1015,(AK797+1)=AL$1015),MAX(AK$4:AK797)&lt;AL$1015),AK797+1,0)</f>
        <v>0</v>
      </c>
      <c r="AL798" s="309">
        <f>VLOOKUP($AK798,ENTI!$AF$4:AG$1003,2,FALSE)</f>
        <v>0</v>
      </c>
      <c r="AM798" s="224">
        <f>VLOOKUP($AK798,ENTI!$AF$4:AH$1003,3,FALSE)</f>
        <v>0</v>
      </c>
      <c r="AN798" s="224">
        <f>VLOOKUP($AK798,ENTI!$AF$4:AI$1003,4,FALSE)</f>
        <v>0</v>
      </c>
      <c r="AO798" s="781">
        <f>VLOOKUP($AK798,ENTI!$AF$4:AJ$1003,5,FALSE)</f>
        <v>0</v>
      </c>
      <c r="AP798" s="315">
        <f>VLOOKUP($AK798,ENTI!$AF$4:AK$1003,6,FALSE)</f>
        <v>0</v>
      </c>
      <c r="AQ798" s="208">
        <f t="shared" si="157"/>
        <v>0</v>
      </c>
      <c r="AR798" s="152" t="e">
        <f t="shared" si="158"/>
        <v>#N/A</v>
      </c>
      <c r="AS798" s="1"/>
      <c r="AT798" s="88" t="str">
        <f t="shared" si="151"/>
        <v/>
      </c>
      <c r="AU798" s="1"/>
      <c r="AV798" s="175">
        <f>IF(AW798&gt;0,COUNTIF(AV$4:AV797,"&gt;0")+1,0)</f>
        <v>0</v>
      </c>
      <c r="AW798" s="164">
        <f t="shared" si="152"/>
        <v>0</v>
      </c>
      <c r="AX798" s="310">
        <f>IF($AW798=0,0,VLOOKUP(VLOOKUP($X798,$B$34:$T$38,19,FALSE),ENTI!$A$9:$B$13,2,FALSE))</f>
        <v>0</v>
      </c>
      <c r="AY798" s="310">
        <f t="shared" si="154"/>
        <v>0</v>
      </c>
      <c r="AZ798" s="316">
        <f t="shared" si="155"/>
        <v>0</v>
      </c>
      <c r="BA798" s="1"/>
      <c r="BB798" s="152">
        <f t="shared" si="156"/>
        <v>0</v>
      </c>
      <c r="BC798" s="152">
        <f ca="1">SUM(Z$4:Z798)+SUM(BB$4:BB798)+COSTI!S$6-COSTI!L$1076</f>
        <v>-31.760000000000218</v>
      </c>
      <c r="BD798" s="1"/>
    </row>
    <row r="799" spans="1:56" ht="16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435">
        <f>IF(AND(W799&gt;=$U$1,W799&lt;=$U$2),IF(X799='ESTRATTO CONTO'!$E$2,1+COUNTIF(U$4:U798,"&gt;0"),0),0)</f>
        <v>0</v>
      </c>
      <c r="V799" s="417">
        <f t="shared" si="153"/>
        <v>796</v>
      </c>
      <c r="W799" s="509"/>
      <c r="X799" s="321"/>
      <c r="Y799" s="321"/>
      <c r="Z799" s="508"/>
      <c r="AA799" s="356"/>
      <c r="AB799" s="306" t="str">
        <f t="shared" si="149"/>
        <v/>
      </c>
      <c r="AC799" s="637">
        <f t="shared" ca="1" si="148"/>
        <v>-2.1316282072803006E-13</v>
      </c>
      <c r="AD799" s="935">
        <f>IF(ISERROR(VLOOKUP(AD$2,X800:X$1003,1,FALSE)),IF(X799=AD$2,SUMIF(X$4:X799,AD$2,Z$4:Z799)+$E$9+SUM(AQ$4:AQ$1003)+SUMIF(COSTI!$X$1379:$X$1430,AD$2,COSTI!$Z$1379:$Z$1430),0),0)</f>
        <v>0</v>
      </c>
      <c r="AE799" s="26"/>
      <c r="AF799" s="856" t="e">
        <f>IF(ISERROR(VLOOKUP(AG$2,X800:X$1003,1,FALSE)),IF(X799=AG$2,SUMIF(X$4:X799,AG$2,Z$4:Z799)+VLOOKUP(AF$2,$B$1057:$F$1068,5,FALSE)+SUM(AR$4:AR$1003)+SUMIF(COSTI!$X$1379:$X$1430,AG$2,COSTI!$Z$1379:$Z$1430),0),0)</f>
        <v>#N/A</v>
      </c>
      <c r="AG799" s="859"/>
      <c r="AH799" s="27" t="str">
        <f t="shared" si="150"/>
        <v/>
      </c>
      <c r="AI799" s="152">
        <f ca="1">IF(W800&gt;0,0,IF(AH799=0,(Z799*-1)+BC799+SUM(BB$4:BB798),BC799+SUM(BB$4:BB798)))</f>
        <v>-2.1316282072803006E-13</v>
      </c>
      <c r="AJ799" s="931">
        <f>IF(AND(AL799&gt;=$U$1,AL799&lt;=$U$2),IF(AM799='ESTRATTO CONTO'!$E$2,1+COUNTIF(AJ$4:AJ798,"&gt;0")+U$1015,0),0)</f>
        <v>0</v>
      </c>
      <c r="AK799" s="203">
        <f>IF(AND(OR((AK798+1)&lt;AL$1015,(AK798+1)=AL$1015),MAX(AK$4:AK798)&lt;AL$1015),AK798+1,0)</f>
        <v>0</v>
      </c>
      <c r="AL799" s="309">
        <f>VLOOKUP($AK799,ENTI!$AF$4:AG$1003,2,FALSE)</f>
        <v>0</v>
      </c>
      <c r="AM799" s="224">
        <f>VLOOKUP($AK799,ENTI!$AF$4:AH$1003,3,FALSE)</f>
        <v>0</v>
      </c>
      <c r="AN799" s="224">
        <f>VLOOKUP($AK799,ENTI!$AF$4:AI$1003,4,FALSE)</f>
        <v>0</v>
      </c>
      <c r="AO799" s="781">
        <f>VLOOKUP($AK799,ENTI!$AF$4:AJ$1003,5,FALSE)</f>
        <v>0</v>
      </c>
      <c r="AP799" s="315">
        <f>VLOOKUP($AK799,ENTI!$AF$4:AK$1003,6,FALSE)</f>
        <v>0</v>
      </c>
      <c r="AQ799" s="208">
        <f t="shared" si="157"/>
        <v>0</v>
      </c>
      <c r="AR799" s="152" t="e">
        <f t="shared" si="158"/>
        <v>#N/A</v>
      </c>
      <c r="AS799" s="1"/>
      <c r="AT799" s="88" t="str">
        <f t="shared" si="151"/>
        <v/>
      </c>
      <c r="AU799" s="1"/>
      <c r="AV799" s="175">
        <f>IF(AW799&gt;0,COUNTIF(AV$4:AV798,"&gt;0")+1,0)</f>
        <v>0</v>
      </c>
      <c r="AW799" s="164">
        <f t="shared" si="152"/>
        <v>0</v>
      </c>
      <c r="AX799" s="310">
        <f>IF($AW799=0,0,VLOOKUP(VLOOKUP($X799,$B$34:$T$38,19,FALSE),ENTI!$A$9:$B$13,2,FALSE))</f>
        <v>0</v>
      </c>
      <c r="AY799" s="310">
        <f t="shared" si="154"/>
        <v>0</v>
      </c>
      <c r="AZ799" s="316">
        <f t="shared" si="155"/>
        <v>0</v>
      </c>
      <c r="BA799" s="1"/>
      <c r="BB799" s="152">
        <f t="shared" si="156"/>
        <v>0</v>
      </c>
      <c r="BC799" s="152">
        <f ca="1">SUM(Z$4:Z799)+SUM(BB$4:BB799)+COSTI!S$6-COSTI!L$1076</f>
        <v>-31.760000000000218</v>
      </c>
      <c r="BD799" s="1"/>
    </row>
    <row r="800" spans="1:56" ht="16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435">
        <f>IF(AND(W800&gt;=$U$1,W800&lt;=$U$2),IF(X800='ESTRATTO CONTO'!$E$2,1+COUNTIF(U$4:U799,"&gt;0"),0),0)</f>
        <v>0</v>
      </c>
      <c r="V800" s="417">
        <f t="shared" si="153"/>
        <v>797</v>
      </c>
      <c r="W800" s="509"/>
      <c r="X800" s="321"/>
      <c r="Y800" s="321"/>
      <c r="Z800" s="508"/>
      <c r="AA800" s="356"/>
      <c r="AB800" s="306" t="str">
        <f t="shared" si="149"/>
        <v/>
      </c>
      <c r="AC800" s="637">
        <f t="shared" ca="1" si="148"/>
        <v>-2.1316282072803006E-13</v>
      </c>
      <c r="AD800" s="935">
        <f>IF(ISERROR(VLOOKUP(AD$2,X801:X$1003,1,FALSE)),IF(X800=AD$2,SUMIF(X$4:X800,AD$2,Z$4:Z800)+$E$9+SUM(AQ$4:AQ$1003)+SUMIF(COSTI!$X$1379:$X$1430,AD$2,COSTI!$Z$1379:$Z$1430),0),0)</f>
        <v>0</v>
      </c>
      <c r="AE800" s="26"/>
      <c r="AF800" s="856" t="e">
        <f>IF(ISERROR(VLOOKUP(AG$2,X801:X$1003,1,FALSE)),IF(X800=AG$2,SUMIF(X$4:X800,AG$2,Z$4:Z800)+VLOOKUP(AF$2,$B$1057:$F$1068,5,FALSE)+SUM(AR$4:AR$1003)+SUMIF(COSTI!$X$1379:$X$1430,AG$2,COSTI!$Z$1379:$Z$1430),0),0)</f>
        <v>#N/A</v>
      </c>
      <c r="AG800" s="859"/>
      <c r="AH800" s="27" t="str">
        <f t="shared" si="150"/>
        <v/>
      </c>
      <c r="AI800" s="152">
        <f ca="1">IF(W801&gt;0,0,IF(AH800=0,(Z800*-1)+BC800+SUM(BB$4:BB799),BC800+SUM(BB$4:BB799)))</f>
        <v>-2.1316282072803006E-13</v>
      </c>
      <c r="AJ800" s="931">
        <f>IF(AND(AL800&gt;=$U$1,AL800&lt;=$U$2),IF(AM800='ESTRATTO CONTO'!$E$2,1+COUNTIF(AJ$4:AJ799,"&gt;0")+U$1015,0),0)</f>
        <v>0</v>
      </c>
      <c r="AK800" s="203">
        <f>IF(AND(OR((AK799+1)&lt;AL$1015,(AK799+1)=AL$1015),MAX(AK$4:AK799)&lt;AL$1015),AK799+1,0)</f>
        <v>0</v>
      </c>
      <c r="AL800" s="309">
        <f>VLOOKUP($AK800,ENTI!$AF$4:AG$1003,2,FALSE)</f>
        <v>0</v>
      </c>
      <c r="AM800" s="224">
        <f>VLOOKUP($AK800,ENTI!$AF$4:AH$1003,3,FALSE)</f>
        <v>0</v>
      </c>
      <c r="AN800" s="224">
        <f>VLOOKUP($AK800,ENTI!$AF$4:AI$1003,4,FALSE)</f>
        <v>0</v>
      </c>
      <c r="AO800" s="781">
        <f>VLOOKUP($AK800,ENTI!$AF$4:AJ$1003,5,FALSE)</f>
        <v>0</v>
      </c>
      <c r="AP800" s="315">
        <f>VLOOKUP($AK800,ENTI!$AF$4:AK$1003,6,FALSE)</f>
        <v>0</v>
      </c>
      <c r="AQ800" s="208">
        <f t="shared" si="157"/>
        <v>0</v>
      </c>
      <c r="AR800" s="152" t="e">
        <f t="shared" si="158"/>
        <v>#N/A</v>
      </c>
      <c r="AS800" s="1"/>
      <c r="AT800" s="88" t="str">
        <f t="shared" si="151"/>
        <v/>
      </c>
      <c r="AU800" s="1"/>
      <c r="AV800" s="175">
        <f>IF(AW800&gt;0,COUNTIF(AV$4:AV799,"&gt;0")+1,0)</f>
        <v>0</v>
      </c>
      <c r="AW800" s="164">
        <f t="shared" si="152"/>
        <v>0</v>
      </c>
      <c r="AX800" s="310">
        <f>IF($AW800=0,0,VLOOKUP(VLOOKUP($X800,$B$34:$T$38,19,FALSE),ENTI!$A$9:$B$13,2,FALSE))</f>
        <v>0</v>
      </c>
      <c r="AY800" s="310">
        <f t="shared" si="154"/>
        <v>0</v>
      </c>
      <c r="AZ800" s="316">
        <f t="shared" si="155"/>
        <v>0</v>
      </c>
      <c r="BA800" s="1"/>
      <c r="BB800" s="152">
        <f t="shared" si="156"/>
        <v>0</v>
      </c>
      <c r="BC800" s="152">
        <f ca="1">SUM(Z$4:Z800)+SUM(BB$4:BB800)+COSTI!S$6-COSTI!L$1076</f>
        <v>-31.760000000000218</v>
      </c>
      <c r="BD800" s="1"/>
    </row>
    <row r="801" spans="1:56" ht="16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435">
        <f>IF(AND(W801&gt;=$U$1,W801&lt;=$U$2),IF(X801='ESTRATTO CONTO'!$E$2,1+COUNTIF(U$4:U800,"&gt;0"),0),0)</f>
        <v>0</v>
      </c>
      <c r="V801" s="417">
        <f t="shared" si="153"/>
        <v>798</v>
      </c>
      <c r="W801" s="509"/>
      <c r="X801" s="321"/>
      <c r="Y801" s="321"/>
      <c r="Z801" s="508"/>
      <c r="AA801" s="356"/>
      <c r="AB801" s="306" t="str">
        <f t="shared" si="149"/>
        <v/>
      </c>
      <c r="AC801" s="637">
        <f t="shared" ca="1" si="148"/>
        <v>-2.1316282072803006E-13</v>
      </c>
      <c r="AD801" s="935">
        <f>IF(ISERROR(VLOOKUP(AD$2,X802:X$1003,1,FALSE)),IF(X801=AD$2,SUMIF(X$4:X801,AD$2,Z$4:Z801)+$E$9+SUM(AQ$4:AQ$1003)+SUMIF(COSTI!$X$1379:$X$1430,AD$2,COSTI!$Z$1379:$Z$1430),0),0)</f>
        <v>0</v>
      </c>
      <c r="AE801" s="26"/>
      <c r="AF801" s="856" t="e">
        <f>IF(ISERROR(VLOOKUP(AG$2,X802:X$1003,1,FALSE)),IF(X801=AG$2,SUMIF(X$4:X801,AG$2,Z$4:Z801)+VLOOKUP(AF$2,$B$1057:$F$1068,5,FALSE)+SUM(AR$4:AR$1003)+SUMIF(COSTI!$X$1379:$X$1430,AG$2,COSTI!$Z$1379:$Z$1430),0),0)</f>
        <v>#N/A</v>
      </c>
      <c r="AG801" s="859"/>
      <c r="AH801" s="27" t="str">
        <f t="shared" si="150"/>
        <v/>
      </c>
      <c r="AI801" s="152">
        <f ca="1">IF(W802&gt;0,0,IF(AH801=0,(Z801*-1)+BC801+SUM(BB$4:BB800),BC801+SUM(BB$4:BB800)))</f>
        <v>-2.1316282072803006E-13</v>
      </c>
      <c r="AJ801" s="931">
        <f>IF(AND(AL801&gt;=$U$1,AL801&lt;=$U$2),IF(AM801='ESTRATTO CONTO'!$E$2,1+COUNTIF(AJ$4:AJ800,"&gt;0")+U$1015,0),0)</f>
        <v>0</v>
      </c>
      <c r="AK801" s="203">
        <f>IF(AND(OR((AK800+1)&lt;AL$1015,(AK800+1)=AL$1015),MAX(AK$4:AK800)&lt;AL$1015),AK800+1,0)</f>
        <v>0</v>
      </c>
      <c r="AL801" s="309">
        <f>VLOOKUP($AK801,ENTI!$AF$4:AG$1003,2,FALSE)</f>
        <v>0</v>
      </c>
      <c r="AM801" s="224">
        <f>VLOOKUP($AK801,ENTI!$AF$4:AH$1003,3,FALSE)</f>
        <v>0</v>
      </c>
      <c r="AN801" s="224">
        <f>VLOOKUP($AK801,ENTI!$AF$4:AI$1003,4,FALSE)</f>
        <v>0</v>
      </c>
      <c r="AO801" s="781">
        <f>VLOOKUP($AK801,ENTI!$AF$4:AJ$1003,5,FALSE)</f>
        <v>0</v>
      </c>
      <c r="AP801" s="315">
        <f>VLOOKUP($AK801,ENTI!$AF$4:AK$1003,6,FALSE)</f>
        <v>0</v>
      </c>
      <c r="AQ801" s="208">
        <f t="shared" si="157"/>
        <v>0</v>
      </c>
      <c r="AR801" s="152" t="e">
        <f t="shared" si="158"/>
        <v>#N/A</v>
      </c>
      <c r="AS801" s="1"/>
      <c r="AT801" s="88" t="str">
        <f t="shared" si="151"/>
        <v/>
      </c>
      <c r="AU801" s="1"/>
      <c r="AV801" s="175">
        <f>IF(AW801&gt;0,COUNTIF(AV$4:AV800,"&gt;0")+1,0)</f>
        <v>0</v>
      </c>
      <c r="AW801" s="164">
        <f t="shared" si="152"/>
        <v>0</v>
      </c>
      <c r="AX801" s="310">
        <f>IF($AW801=0,0,VLOOKUP(VLOOKUP($X801,$B$34:$T$38,19,FALSE),ENTI!$A$9:$B$13,2,FALSE))</f>
        <v>0</v>
      </c>
      <c r="AY801" s="310">
        <f t="shared" si="154"/>
        <v>0</v>
      </c>
      <c r="AZ801" s="316">
        <f t="shared" si="155"/>
        <v>0</v>
      </c>
      <c r="BA801" s="1"/>
      <c r="BB801" s="152">
        <f t="shared" si="156"/>
        <v>0</v>
      </c>
      <c r="BC801" s="152">
        <f ca="1">SUM(Z$4:Z801)+SUM(BB$4:BB801)+COSTI!S$6-COSTI!L$1076</f>
        <v>-31.760000000000218</v>
      </c>
      <c r="BD801" s="1"/>
    </row>
    <row r="802" spans="1:56" ht="16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435">
        <f>IF(AND(W802&gt;=$U$1,W802&lt;=$U$2),IF(X802='ESTRATTO CONTO'!$E$2,1+COUNTIF(U$4:U801,"&gt;0"),0),0)</f>
        <v>0</v>
      </c>
      <c r="V802" s="417">
        <f t="shared" si="153"/>
        <v>799</v>
      </c>
      <c r="W802" s="509"/>
      <c r="X802" s="321"/>
      <c r="Y802" s="321"/>
      <c r="Z802" s="508"/>
      <c r="AA802" s="356"/>
      <c r="AB802" s="306" t="str">
        <f t="shared" si="149"/>
        <v/>
      </c>
      <c r="AC802" s="637">
        <f t="shared" ca="1" si="148"/>
        <v>-2.1316282072803006E-13</v>
      </c>
      <c r="AD802" s="935">
        <f>IF(ISERROR(VLOOKUP(AD$2,X803:X$1003,1,FALSE)),IF(X802=AD$2,SUMIF(X$4:X802,AD$2,Z$4:Z802)+$E$9+SUM(AQ$4:AQ$1003)+SUMIF(COSTI!$X$1379:$X$1430,AD$2,COSTI!$Z$1379:$Z$1430),0),0)</f>
        <v>0</v>
      </c>
      <c r="AE802" s="26"/>
      <c r="AF802" s="856" t="e">
        <f>IF(ISERROR(VLOOKUP(AG$2,X803:X$1003,1,FALSE)),IF(X802=AG$2,SUMIF(X$4:X802,AG$2,Z$4:Z802)+VLOOKUP(AF$2,$B$1057:$F$1068,5,FALSE)+SUM(AR$4:AR$1003)+SUMIF(COSTI!$X$1379:$X$1430,AG$2,COSTI!$Z$1379:$Z$1430),0),0)</f>
        <v>#N/A</v>
      </c>
      <c r="AG802" s="859"/>
      <c r="AH802" s="27" t="str">
        <f t="shared" si="150"/>
        <v/>
      </c>
      <c r="AI802" s="152">
        <f ca="1">IF(W803&gt;0,0,IF(AH802=0,(Z802*-1)+BC802+SUM(BB$4:BB801),BC802+SUM(BB$4:BB801)))</f>
        <v>-2.1316282072803006E-13</v>
      </c>
      <c r="AJ802" s="931">
        <f>IF(AND(AL802&gt;=$U$1,AL802&lt;=$U$2),IF(AM802='ESTRATTO CONTO'!$E$2,1+COUNTIF(AJ$4:AJ801,"&gt;0")+U$1015,0),0)</f>
        <v>0</v>
      </c>
      <c r="AK802" s="203">
        <f>IF(AND(OR((AK801+1)&lt;AL$1015,(AK801+1)=AL$1015),MAX(AK$4:AK801)&lt;AL$1015),AK801+1,0)</f>
        <v>0</v>
      </c>
      <c r="AL802" s="309">
        <f>VLOOKUP($AK802,ENTI!$AF$4:AG$1003,2,FALSE)</f>
        <v>0</v>
      </c>
      <c r="AM802" s="224">
        <f>VLOOKUP($AK802,ENTI!$AF$4:AH$1003,3,FALSE)</f>
        <v>0</v>
      </c>
      <c r="AN802" s="224">
        <f>VLOOKUP($AK802,ENTI!$AF$4:AI$1003,4,FALSE)</f>
        <v>0</v>
      </c>
      <c r="AO802" s="781">
        <f>VLOOKUP($AK802,ENTI!$AF$4:AJ$1003,5,FALSE)</f>
        <v>0</v>
      </c>
      <c r="AP802" s="315">
        <f>VLOOKUP($AK802,ENTI!$AF$4:AK$1003,6,FALSE)</f>
        <v>0</v>
      </c>
      <c r="AQ802" s="208">
        <f t="shared" si="157"/>
        <v>0</v>
      </c>
      <c r="AR802" s="152" t="e">
        <f t="shared" si="158"/>
        <v>#N/A</v>
      </c>
      <c r="AS802" s="1"/>
      <c r="AT802" s="88" t="str">
        <f t="shared" si="151"/>
        <v/>
      </c>
      <c r="AU802" s="1"/>
      <c r="AV802" s="175">
        <f>IF(AW802&gt;0,COUNTIF(AV$4:AV801,"&gt;0")+1,0)</f>
        <v>0</v>
      </c>
      <c r="AW802" s="164">
        <f t="shared" si="152"/>
        <v>0</v>
      </c>
      <c r="AX802" s="310">
        <f>IF($AW802=0,0,VLOOKUP(VLOOKUP($X802,$B$34:$T$38,19,FALSE),ENTI!$A$9:$B$13,2,FALSE))</f>
        <v>0</v>
      </c>
      <c r="AY802" s="310">
        <f t="shared" si="154"/>
        <v>0</v>
      </c>
      <c r="AZ802" s="316">
        <f t="shared" si="155"/>
        <v>0</v>
      </c>
      <c r="BA802" s="1"/>
      <c r="BB802" s="152">
        <f t="shared" si="156"/>
        <v>0</v>
      </c>
      <c r="BC802" s="152">
        <f ca="1">SUM(Z$4:Z802)+SUM(BB$4:BB802)+COSTI!S$6-COSTI!L$1076</f>
        <v>-31.760000000000218</v>
      </c>
      <c r="BD802" s="1"/>
    </row>
    <row r="803" spans="1:56" ht="16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435">
        <f>IF(AND(W803&gt;=$U$1,W803&lt;=$U$2),IF(X803='ESTRATTO CONTO'!$E$2,1+COUNTIF(U$4:U802,"&gt;0"),0),0)</f>
        <v>0</v>
      </c>
      <c r="V803" s="417">
        <f t="shared" si="153"/>
        <v>800</v>
      </c>
      <c r="W803" s="509"/>
      <c r="X803" s="321"/>
      <c r="Y803" s="321"/>
      <c r="Z803" s="508"/>
      <c r="AA803" s="356"/>
      <c r="AB803" s="306" t="str">
        <f t="shared" si="149"/>
        <v/>
      </c>
      <c r="AC803" s="637">
        <f t="shared" ca="1" si="148"/>
        <v>-2.1316282072803006E-13</v>
      </c>
      <c r="AD803" s="935">
        <f>IF(ISERROR(VLOOKUP(AD$2,X804:X$1003,1,FALSE)),IF(X803=AD$2,SUMIF(X$4:X803,AD$2,Z$4:Z803)+$E$9+SUM(AQ$4:AQ$1003)+SUMIF(COSTI!$X$1379:$X$1430,AD$2,COSTI!$Z$1379:$Z$1430),0),0)</f>
        <v>0</v>
      </c>
      <c r="AE803" s="26"/>
      <c r="AF803" s="856" t="e">
        <f>IF(ISERROR(VLOOKUP(AG$2,X804:X$1003,1,FALSE)),IF(X803=AG$2,SUMIF(X$4:X803,AG$2,Z$4:Z803)+VLOOKUP(AF$2,$B$1057:$F$1068,5,FALSE)+SUM(AR$4:AR$1003)+SUMIF(COSTI!$X$1379:$X$1430,AG$2,COSTI!$Z$1379:$Z$1430),0),0)</f>
        <v>#N/A</v>
      </c>
      <c r="AG803" s="859"/>
      <c r="AH803" s="27" t="str">
        <f t="shared" si="150"/>
        <v/>
      </c>
      <c r="AI803" s="152">
        <f ca="1">IF(W804&gt;0,0,IF(AH803=0,(Z803*-1)+BC803+SUM(BB$4:BB802),BC803+SUM(BB$4:BB802)))</f>
        <v>-2.1316282072803006E-13</v>
      </c>
      <c r="AJ803" s="931">
        <f>IF(AND(AL803&gt;=$U$1,AL803&lt;=$U$2),IF(AM803='ESTRATTO CONTO'!$E$2,1+COUNTIF(AJ$4:AJ802,"&gt;0")+U$1015,0),0)</f>
        <v>0</v>
      </c>
      <c r="AK803" s="203">
        <f>IF(AND(OR((AK802+1)&lt;AL$1015,(AK802+1)=AL$1015),MAX(AK$4:AK802)&lt;AL$1015),AK802+1,0)</f>
        <v>0</v>
      </c>
      <c r="AL803" s="309">
        <f>VLOOKUP($AK803,ENTI!$AF$4:AG$1003,2,FALSE)</f>
        <v>0</v>
      </c>
      <c r="AM803" s="224">
        <f>VLOOKUP($AK803,ENTI!$AF$4:AH$1003,3,FALSE)</f>
        <v>0</v>
      </c>
      <c r="AN803" s="224">
        <f>VLOOKUP($AK803,ENTI!$AF$4:AI$1003,4,FALSE)</f>
        <v>0</v>
      </c>
      <c r="AO803" s="781">
        <f>VLOOKUP($AK803,ENTI!$AF$4:AJ$1003,5,FALSE)</f>
        <v>0</v>
      </c>
      <c r="AP803" s="315">
        <f>VLOOKUP($AK803,ENTI!$AF$4:AK$1003,6,FALSE)</f>
        <v>0</v>
      </c>
      <c r="AQ803" s="208">
        <f t="shared" si="157"/>
        <v>0</v>
      </c>
      <c r="AR803" s="152" t="e">
        <f t="shared" si="158"/>
        <v>#N/A</v>
      </c>
      <c r="AS803" s="1"/>
      <c r="AT803" s="88" t="str">
        <f t="shared" si="151"/>
        <v/>
      </c>
      <c r="AU803" s="1"/>
      <c r="AV803" s="175">
        <f>IF(AW803&gt;0,COUNTIF(AV$4:AV802,"&gt;0")+1,0)</f>
        <v>0</v>
      </c>
      <c r="AW803" s="164">
        <f t="shared" si="152"/>
        <v>0</v>
      </c>
      <c r="AX803" s="310">
        <f>IF($AW803=0,0,VLOOKUP(VLOOKUP($X803,$B$34:$T$38,19,FALSE),ENTI!$A$9:$B$13,2,FALSE))</f>
        <v>0</v>
      </c>
      <c r="AY803" s="310">
        <f t="shared" si="154"/>
        <v>0</v>
      </c>
      <c r="AZ803" s="316">
        <f t="shared" si="155"/>
        <v>0</v>
      </c>
      <c r="BA803" s="1"/>
      <c r="BB803" s="152">
        <f t="shared" si="156"/>
        <v>0</v>
      </c>
      <c r="BC803" s="152">
        <f ca="1">SUM(Z$4:Z803)+SUM(BB$4:BB803)+COSTI!S$6-COSTI!L$1076</f>
        <v>-31.760000000000218</v>
      </c>
      <c r="BD803" s="1"/>
    </row>
    <row r="804" spans="1:56" ht="16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435">
        <f>IF(AND(W804&gt;=$U$1,W804&lt;=$U$2),IF(X804='ESTRATTO CONTO'!$E$2,1+COUNTIF(U$4:U803,"&gt;0"),0),0)</f>
        <v>0</v>
      </c>
      <c r="V804" s="417">
        <f t="shared" si="153"/>
        <v>801</v>
      </c>
      <c r="W804" s="509"/>
      <c r="X804" s="321"/>
      <c r="Y804" s="321"/>
      <c r="Z804" s="508"/>
      <c r="AA804" s="356"/>
      <c r="AB804" s="306" t="str">
        <f t="shared" si="149"/>
        <v/>
      </c>
      <c r="AC804" s="637">
        <f t="shared" ca="1" si="148"/>
        <v>-2.1316282072803006E-13</v>
      </c>
      <c r="AD804" s="935">
        <f>IF(ISERROR(VLOOKUP(AD$2,X805:X$1003,1,FALSE)),IF(X804=AD$2,SUMIF(X$4:X804,AD$2,Z$4:Z804)+$E$9+SUM(AQ$4:AQ$1003)+SUMIF(COSTI!$X$1379:$X$1430,AD$2,COSTI!$Z$1379:$Z$1430),0),0)</f>
        <v>0</v>
      </c>
      <c r="AE804" s="26"/>
      <c r="AF804" s="856" t="e">
        <f>IF(ISERROR(VLOOKUP(AG$2,X805:X$1003,1,FALSE)),IF(X804=AG$2,SUMIF(X$4:X804,AG$2,Z$4:Z804)+VLOOKUP(AF$2,$B$1057:$F$1068,5,FALSE)+SUM(AR$4:AR$1003)+SUMIF(COSTI!$X$1379:$X$1430,AG$2,COSTI!$Z$1379:$Z$1430),0),0)</f>
        <v>#N/A</v>
      </c>
      <c r="AG804" s="859"/>
      <c r="AH804" s="27" t="str">
        <f t="shared" si="150"/>
        <v/>
      </c>
      <c r="AI804" s="152">
        <f ca="1">IF(W805&gt;0,0,IF(AH804=0,(Z804*-1)+BC804+SUM(BB$4:BB803),BC804+SUM(BB$4:BB803)))</f>
        <v>-2.1316282072803006E-13</v>
      </c>
      <c r="AJ804" s="931">
        <f>IF(AND(AL804&gt;=$U$1,AL804&lt;=$U$2),IF(AM804='ESTRATTO CONTO'!$E$2,1+COUNTIF(AJ$4:AJ803,"&gt;0")+U$1015,0),0)</f>
        <v>0</v>
      </c>
      <c r="AK804" s="203">
        <f>IF(AND(OR((AK803+1)&lt;AL$1015,(AK803+1)=AL$1015),MAX(AK$4:AK803)&lt;AL$1015),AK803+1,0)</f>
        <v>0</v>
      </c>
      <c r="AL804" s="309">
        <f>VLOOKUP($AK804,ENTI!$AF$4:AG$1003,2,FALSE)</f>
        <v>0</v>
      </c>
      <c r="AM804" s="224">
        <f>VLOOKUP($AK804,ENTI!$AF$4:AH$1003,3,FALSE)</f>
        <v>0</v>
      </c>
      <c r="AN804" s="224">
        <f>VLOOKUP($AK804,ENTI!$AF$4:AI$1003,4,FALSE)</f>
        <v>0</v>
      </c>
      <c r="AO804" s="781">
        <f>VLOOKUP($AK804,ENTI!$AF$4:AJ$1003,5,FALSE)</f>
        <v>0</v>
      </c>
      <c r="AP804" s="315">
        <f>VLOOKUP($AK804,ENTI!$AF$4:AK$1003,6,FALSE)</f>
        <v>0</v>
      </c>
      <c r="AQ804" s="208">
        <f t="shared" si="157"/>
        <v>0</v>
      </c>
      <c r="AR804" s="152" t="e">
        <f t="shared" si="158"/>
        <v>#N/A</v>
      </c>
      <c r="AS804" s="1"/>
      <c r="AT804" s="88" t="str">
        <f t="shared" si="151"/>
        <v/>
      </c>
      <c r="AU804" s="1"/>
      <c r="AV804" s="175">
        <f>IF(AW804&gt;0,COUNTIF(AV$4:AV803,"&gt;0")+1,0)</f>
        <v>0</v>
      </c>
      <c r="AW804" s="164">
        <f t="shared" si="152"/>
        <v>0</v>
      </c>
      <c r="AX804" s="310">
        <f>IF($AW804=0,0,VLOOKUP(VLOOKUP($X804,$B$34:$T$38,19,FALSE),ENTI!$A$9:$B$13,2,FALSE))</f>
        <v>0</v>
      </c>
      <c r="AY804" s="310">
        <f t="shared" si="154"/>
        <v>0</v>
      </c>
      <c r="AZ804" s="316">
        <f t="shared" si="155"/>
        <v>0</v>
      </c>
      <c r="BA804" s="1"/>
      <c r="BB804" s="152">
        <f t="shared" si="156"/>
        <v>0</v>
      </c>
      <c r="BC804" s="152">
        <f ca="1">SUM(Z$4:Z804)+SUM(BB$4:BB804)+COSTI!S$6-COSTI!L$1076</f>
        <v>-31.760000000000218</v>
      </c>
      <c r="BD804" s="1"/>
    </row>
    <row r="805" spans="1:56" ht="16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435">
        <f>IF(AND(W805&gt;=$U$1,W805&lt;=$U$2),IF(X805='ESTRATTO CONTO'!$E$2,1+COUNTIF(U$4:U804,"&gt;0"),0),0)</f>
        <v>0</v>
      </c>
      <c r="V805" s="417">
        <f t="shared" si="153"/>
        <v>802</v>
      </c>
      <c r="W805" s="509"/>
      <c r="X805" s="321"/>
      <c r="Y805" s="321"/>
      <c r="Z805" s="508"/>
      <c r="AA805" s="356"/>
      <c r="AB805" s="306" t="str">
        <f t="shared" si="149"/>
        <v/>
      </c>
      <c r="AC805" s="637">
        <f t="shared" ca="1" si="148"/>
        <v>-2.1316282072803006E-13</v>
      </c>
      <c r="AD805" s="935">
        <f>IF(ISERROR(VLOOKUP(AD$2,X806:X$1003,1,FALSE)),IF(X805=AD$2,SUMIF(X$4:X805,AD$2,Z$4:Z805)+$E$9+SUM(AQ$4:AQ$1003)+SUMIF(COSTI!$X$1379:$X$1430,AD$2,COSTI!$Z$1379:$Z$1430),0),0)</f>
        <v>0</v>
      </c>
      <c r="AE805" s="26"/>
      <c r="AF805" s="856" t="e">
        <f>IF(ISERROR(VLOOKUP(AG$2,X806:X$1003,1,FALSE)),IF(X805=AG$2,SUMIF(X$4:X805,AG$2,Z$4:Z805)+VLOOKUP(AF$2,$B$1057:$F$1068,5,FALSE)+SUM(AR$4:AR$1003)+SUMIF(COSTI!$X$1379:$X$1430,AG$2,COSTI!$Z$1379:$Z$1430),0),0)</f>
        <v>#N/A</v>
      </c>
      <c r="AG805" s="859"/>
      <c r="AH805" s="27" t="str">
        <f t="shared" si="150"/>
        <v/>
      </c>
      <c r="AI805" s="152">
        <f ca="1">IF(W806&gt;0,0,IF(AH805=0,(Z805*-1)+BC805+SUM(BB$4:BB804),BC805+SUM(BB$4:BB804)))</f>
        <v>-2.1316282072803006E-13</v>
      </c>
      <c r="AJ805" s="931">
        <f>IF(AND(AL805&gt;=$U$1,AL805&lt;=$U$2),IF(AM805='ESTRATTO CONTO'!$E$2,1+COUNTIF(AJ$4:AJ804,"&gt;0")+U$1015,0),0)</f>
        <v>0</v>
      </c>
      <c r="AK805" s="203">
        <f>IF(AND(OR((AK804+1)&lt;AL$1015,(AK804+1)=AL$1015),MAX(AK$4:AK804)&lt;AL$1015),AK804+1,0)</f>
        <v>0</v>
      </c>
      <c r="AL805" s="309">
        <f>VLOOKUP($AK805,ENTI!$AF$4:AG$1003,2,FALSE)</f>
        <v>0</v>
      </c>
      <c r="AM805" s="224">
        <f>VLOOKUP($AK805,ENTI!$AF$4:AH$1003,3,FALSE)</f>
        <v>0</v>
      </c>
      <c r="AN805" s="224">
        <f>VLOOKUP($AK805,ENTI!$AF$4:AI$1003,4,FALSE)</f>
        <v>0</v>
      </c>
      <c r="AO805" s="781">
        <f>VLOOKUP($AK805,ENTI!$AF$4:AJ$1003,5,FALSE)</f>
        <v>0</v>
      </c>
      <c r="AP805" s="315">
        <f>VLOOKUP($AK805,ENTI!$AF$4:AK$1003,6,FALSE)</f>
        <v>0</v>
      </c>
      <c r="AQ805" s="208">
        <f t="shared" si="157"/>
        <v>0</v>
      </c>
      <c r="AR805" s="152" t="e">
        <f t="shared" si="158"/>
        <v>#N/A</v>
      </c>
      <c r="AS805" s="1"/>
      <c r="AT805" s="88" t="str">
        <f t="shared" si="151"/>
        <v/>
      </c>
      <c r="AU805" s="1"/>
      <c r="AV805" s="175">
        <f>IF(AW805&gt;0,COUNTIF(AV$4:AV804,"&gt;0")+1,0)</f>
        <v>0</v>
      </c>
      <c r="AW805" s="164">
        <f t="shared" si="152"/>
        <v>0</v>
      </c>
      <c r="AX805" s="310">
        <f>IF($AW805=0,0,VLOOKUP(VLOOKUP($X805,$B$34:$T$38,19,FALSE),ENTI!$A$9:$B$13,2,FALSE))</f>
        <v>0</v>
      </c>
      <c r="AY805" s="310">
        <f t="shared" si="154"/>
        <v>0</v>
      </c>
      <c r="AZ805" s="316">
        <f t="shared" si="155"/>
        <v>0</v>
      </c>
      <c r="BA805" s="1"/>
      <c r="BB805" s="152">
        <f t="shared" si="156"/>
        <v>0</v>
      </c>
      <c r="BC805" s="152">
        <f ca="1">SUM(Z$4:Z805)+SUM(BB$4:BB805)+COSTI!S$6-COSTI!L$1076</f>
        <v>-31.760000000000218</v>
      </c>
      <c r="BD805" s="1"/>
    </row>
    <row r="806" spans="1:56" ht="16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435">
        <f>IF(AND(W806&gt;=$U$1,W806&lt;=$U$2),IF(X806='ESTRATTO CONTO'!$E$2,1+COUNTIF(U$4:U805,"&gt;0"),0),0)</f>
        <v>0</v>
      </c>
      <c r="V806" s="417">
        <f t="shared" si="153"/>
        <v>803</v>
      </c>
      <c r="W806" s="509"/>
      <c r="X806" s="321"/>
      <c r="Y806" s="321"/>
      <c r="Z806" s="508"/>
      <c r="AA806" s="356"/>
      <c r="AB806" s="306" t="str">
        <f t="shared" si="149"/>
        <v/>
      </c>
      <c r="AC806" s="637">
        <f t="shared" ca="1" si="148"/>
        <v>-2.1316282072803006E-13</v>
      </c>
      <c r="AD806" s="935">
        <f>IF(ISERROR(VLOOKUP(AD$2,X807:X$1003,1,FALSE)),IF(X806=AD$2,SUMIF(X$4:X806,AD$2,Z$4:Z806)+$E$9+SUM(AQ$4:AQ$1003)+SUMIF(COSTI!$X$1379:$X$1430,AD$2,COSTI!$Z$1379:$Z$1430),0),0)</f>
        <v>0</v>
      </c>
      <c r="AE806" s="26"/>
      <c r="AF806" s="856" t="e">
        <f>IF(ISERROR(VLOOKUP(AG$2,X807:X$1003,1,FALSE)),IF(X806=AG$2,SUMIF(X$4:X806,AG$2,Z$4:Z806)+VLOOKUP(AF$2,$B$1057:$F$1068,5,FALSE)+SUM(AR$4:AR$1003)+SUMIF(COSTI!$X$1379:$X$1430,AG$2,COSTI!$Z$1379:$Z$1430),0),0)</f>
        <v>#N/A</v>
      </c>
      <c r="AG806" s="859"/>
      <c r="AH806" s="27" t="str">
        <f t="shared" si="150"/>
        <v/>
      </c>
      <c r="AI806" s="152">
        <f ca="1">IF(W807&gt;0,0,IF(AH806=0,(Z806*-1)+BC806+SUM(BB$4:BB805),BC806+SUM(BB$4:BB805)))</f>
        <v>-2.1316282072803006E-13</v>
      </c>
      <c r="AJ806" s="931">
        <f>IF(AND(AL806&gt;=$U$1,AL806&lt;=$U$2),IF(AM806='ESTRATTO CONTO'!$E$2,1+COUNTIF(AJ$4:AJ805,"&gt;0")+U$1015,0),0)</f>
        <v>0</v>
      </c>
      <c r="AK806" s="203">
        <f>IF(AND(OR((AK805+1)&lt;AL$1015,(AK805+1)=AL$1015),MAX(AK$4:AK805)&lt;AL$1015),AK805+1,0)</f>
        <v>0</v>
      </c>
      <c r="AL806" s="309">
        <f>VLOOKUP($AK806,ENTI!$AF$4:AG$1003,2,FALSE)</f>
        <v>0</v>
      </c>
      <c r="AM806" s="224">
        <f>VLOOKUP($AK806,ENTI!$AF$4:AH$1003,3,FALSE)</f>
        <v>0</v>
      </c>
      <c r="AN806" s="224">
        <f>VLOOKUP($AK806,ENTI!$AF$4:AI$1003,4,FALSE)</f>
        <v>0</v>
      </c>
      <c r="AO806" s="781">
        <f>VLOOKUP($AK806,ENTI!$AF$4:AJ$1003,5,FALSE)</f>
        <v>0</v>
      </c>
      <c r="AP806" s="315">
        <f>VLOOKUP($AK806,ENTI!$AF$4:AK$1003,6,FALSE)</f>
        <v>0</v>
      </c>
      <c r="AQ806" s="208">
        <f t="shared" si="157"/>
        <v>0</v>
      </c>
      <c r="AR806" s="152" t="e">
        <f t="shared" si="158"/>
        <v>#N/A</v>
      </c>
      <c r="AS806" s="1"/>
      <c r="AT806" s="88" t="str">
        <f t="shared" si="151"/>
        <v/>
      </c>
      <c r="AU806" s="1"/>
      <c r="AV806" s="175">
        <f>IF(AW806&gt;0,COUNTIF(AV$4:AV805,"&gt;0")+1,0)</f>
        <v>0</v>
      </c>
      <c r="AW806" s="164">
        <f t="shared" si="152"/>
        <v>0</v>
      </c>
      <c r="AX806" s="310">
        <f>IF($AW806=0,0,VLOOKUP(VLOOKUP($X806,$B$34:$T$38,19,FALSE),ENTI!$A$9:$B$13,2,FALSE))</f>
        <v>0</v>
      </c>
      <c r="AY806" s="310">
        <f t="shared" si="154"/>
        <v>0</v>
      </c>
      <c r="AZ806" s="316">
        <f t="shared" si="155"/>
        <v>0</v>
      </c>
      <c r="BA806" s="1"/>
      <c r="BB806" s="152">
        <f t="shared" si="156"/>
        <v>0</v>
      </c>
      <c r="BC806" s="152">
        <f ca="1">SUM(Z$4:Z806)+SUM(BB$4:BB806)+COSTI!S$6-COSTI!L$1076</f>
        <v>-31.760000000000218</v>
      </c>
      <c r="BD806" s="1"/>
    </row>
    <row r="807" spans="1:56" ht="16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435">
        <f>IF(AND(W807&gt;=$U$1,W807&lt;=$U$2),IF(X807='ESTRATTO CONTO'!$E$2,1+COUNTIF(U$4:U806,"&gt;0"),0),0)</f>
        <v>0</v>
      </c>
      <c r="V807" s="417">
        <f t="shared" si="153"/>
        <v>804</v>
      </c>
      <c r="W807" s="509"/>
      <c r="X807" s="321"/>
      <c r="Y807" s="321"/>
      <c r="Z807" s="508"/>
      <c r="AA807" s="356"/>
      <c r="AB807" s="306" t="str">
        <f t="shared" si="149"/>
        <v/>
      </c>
      <c r="AC807" s="637">
        <f t="shared" ca="1" si="148"/>
        <v>-2.1316282072803006E-13</v>
      </c>
      <c r="AD807" s="935">
        <f>IF(ISERROR(VLOOKUP(AD$2,X808:X$1003,1,FALSE)),IF(X807=AD$2,SUMIF(X$4:X807,AD$2,Z$4:Z807)+$E$9+SUM(AQ$4:AQ$1003)+SUMIF(COSTI!$X$1379:$X$1430,AD$2,COSTI!$Z$1379:$Z$1430),0),0)</f>
        <v>0</v>
      </c>
      <c r="AE807" s="26"/>
      <c r="AF807" s="856" t="e">
        <f>IF(ISERROR(VLOOKUP(AG$2,X808:X$1003,1,FALSE)),IF(X807=AG$2,SUMIF(X$4:X807,AG$2,Z$4:Z807)+VLOOKUP(AF$2,$B$1057:$F$1068,5,FALSE)+SUM(AR$4:AR$1003)+SUMIF(COSTI!$X$1379:$X$1430,AG$2,COSTI!$Z$1379:$Z$1430),0),0)</f>
        <v>#N/A</v>
      </c>
      <c r="AG807" s="859"/>
      <c r="AH807" s="27" t="str">
        <f t="shared" si="150"/>
        <v/>
      </c>
      <c r="AI807" s="152">
        <f ca="1">IF(W808&gt;0,0,IF(AH807=0,(Z807*-1)+BC807+SUM(BB$4:BB806),BC807+SUM(BB$4:BB806)))</f>
        <v>-2.1316282072803006E-13</v>
      </c>
      <c r="AJ807" s="931">
        <f>IF(AND(AL807&gt;=$U$1,AL807&lt;=$U$2),IF(AM807='ESTRATTO CONTO'!$E$2,1+COUNTIF(AJ$4:AJ806,"&gt;0")+U$1015,0),0)</f>
        <v>0</v>
      </c>
      <c r="AK807" s="203">
        <f>IF(AND(OR((AK806+1)&lt;AL$1015,(AK806+1)=AL$1015),MAX(AK$4:AK806)&lt;AL$1015),AK806+1,0)</f>
        <v>0</v>
      </c>
      <c r="AL807" s="309">
        <f>VLOOKUP($AK807,ENTI!$AF$4:AG$1003,2,FALSE)</f>
        <v>0</v>
      </c>
      <c r="AM807" s="224">
        <f>VLOOKUP($AK807,ENTI!$AF$4:AH$1003,3,FALSE)</f>
        <v>0</v>
      </c>
      <c r="AN807" s="224">
        <f>VLOOKUP($AK807,ENTI!$AF$4:AI$1003,4,FALSE)</f>
        <v>0</v>
      </c>
      <c r="AO807" s="781">
        <f>VLOOKUP($AK807,ENTI!$AF$4:AJ$1003,5,FALSE)</f>
        <v>0</v>
      </c>
      <c r="AP807" s="315">
        <f>VLOOKUP($AK807,ENTI!$AF$4:AK$1003,6,FALSE)</f>
        <v>0</v>
      </c>
      <c r="AQ807" s="208">
        <f t="shared" si="157"/>
        <v>0</v>
      </c>
      <c r="AR807" s="152" t="e">
        <f t="shared" si="158"/>
        <v>#N/A</v>
      </c>
      <c r="AS807" s="1"/>
      <c r="AT807" s="88" t="str">
        <f t="shared" si="151"/>
        <v/>
      </c>
      <c r="AU807" s="1"/>
      <c r="AV807" s="175">
        <f>IF(AW807&gt;0,COUNTIF(AV$4:AV806,"&gt;0")+1,0)</f>
        <v>0</v>
      </c>
      <c r="AW807" s="164">
        <f t="shared" si="152"/>
        <v>0</v>
      </c>
      <c r="AX807" s="310">
        <f>IF($AW807=0,0,VLOOKUP(VLOOKUP($X807,$B$34:$T$38,19,FALSE),ENTI!$A$9:$B$13,2,FALSE))</f>
        <v>0</v>
      </c>
      <c r="AY807" s="310">
        <f t="shared" si="154"/>
        <v>0</v>
      </c>
      <c r="AZ807" s="316">
        <f t="shared" si="155"/>
        <v>0</v>
      </c>
      <c r="BA807" s="1"/>
      <c r="BB807" s="152">
        <f t="shared" si="156"/>
        <v>0</v>
      </c>
      <c r="BC807" s="152">
        <f ca="1">SUM(Z$4:Z807)+SUM(BB$4:BB807)+COSTI!S$6-COSTI!L$1076</f>
        <v>-31.760000000000218</v>
      </c>
      <c r="BD807" s="1"/>
    </row>
    <row r="808" spans="1:56" ht="16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435">
        <f>IF(AND(W808&gt;=$U$1,W808&lt;=$U$2),IF(X808='ESTRATTO CONTO'!$E$2,1+COUNTIF(U$4:U807,"&gt;0"),0),0)</f>
        <v>0</v>
      </c>
      <c r="V808" s="417">
        <f t="shared" si="153"/>
        <v>805</v>
      </c>
      <c r="W808" s="509"/>
      <c r="X808" s="321"/>
      <c r="Y808" s="321"/>
      <c r="Z808" s="508"/>
      <c r="AA808" s="356"/>
      <c r="AB808" s="306" t="str">
        <f t="shared" si="149"/>
        <v/>
      </c>
      <c r="AC808" s="637">
        <f t="shared" ca="1" si="148"/>
        <v>-2.1316282072803006E-13</v>
      </c>
      <c r="AD808" s="935">
        <f>IF(ISERROR(VLOOKUP(AD$2,X809:X$1003,1,FALSE)),IF(X808=AD$2,SUMIF(X$4:X808,AD$2,Z$4:Z808)+$E$9+SUM(AQ$4:AQ$1003)+SUMIF(COSTI!$X$1379:$X$1430,AD$2,COSTI!$Z$1379:$Z$1430),0),0)</f>
        <v>0</v>
      </c>
      <c r="AE808" s="26"/>
      <c r="AF808" s="856" t="e">
        <f>IF(ISERROR(VLOOKUP(AG$2,X809:X$1003,1,FALSE)),IF(X808=AG$2,SUMIF(X$4:X808,AG$2,Z$4:Z808)+VLOOKUP(AF$2,$B$1057:$F$1068,5,FALSE)+SUM(AR$4:AR$1003)+SUMIF(COSTI!$X$1379:$X$1430,AG$2,COSTI!$Z$1379:$Z$1430),0),0)</f>
        <v>#N/A</v>
      </c>
      <c r="AG808" s="859"/>
      <c r="AH808" s="27" t="str">
        <f t="shared" si="150"/>
        <v/>
      </c>
      <c r="AI808" s="152">
        <f ca="1">IF(W809&gt;0,0,IF(AH808=0,(Z808*-1)+BC808+SUM(BB$4:BB807),BC808+SUM(BB$4:BB807)))</f>
        <v>-2.1316282072803006E-13</v>
      </c>
      <c r="AJ808" s="931">
        <f>IF(AND(AL808&gt;=$U$1,AL808&lt;=$U$2),IF(AM808='ESTRATTO CONTO'!$E$2,1+COUNTIF(AJ$4:AJ807,"&gt;0")+U$1015,0),0)</f>
        <v>0</v>
      </c>
      <c r="AK808" s="203">
        <f>IF(AND(OR((AK807+1)&lt;AL$1015,(AK807+1)=AL$1015),MAX(AK$4:AK807)&lt;AL$1015),AK807+1,0)</f>
        <v>0</v>
      </c>
      <c r="AL808" s="309">
        <f>VLOOKUP($AK808,ENTI!$AF$4:AG$1003,2,FALSE)</f>
        <v>0</v>
      </c>
      <c r="AM808" s="224">
        <f>VLOOKUP($AK808,ENTI!$AF$4:AH$1003,3,FALSE)</f>
        <v>0</v>
      </c>
      <c r="AN808" s="224">
        <f>VLOOKUP($AK808,ENTI!$AF$4:AI$1003,4,FALSE)</f>
        <v>0</v>
      </c>
      <c r="AO808" s="781">
        <f>VLOOKUP($AK808,ENTI!$AF$4:AJ$1003,5,FALSE)</f>
        <v>0</v>
      </c>
      <c r="AP808" s="315">
        <f>VLOOKUP($AK808,ENTI!$AF$4:AK$1003,6,FALSE)</f>
        <v>0</v>
      </c>
      <c r="AQ808" s="208">
        <f t="shared" si="157"/>
        <v>0</v>
      </c>
      <c r="AR808" s="152" t="e">
        <f t="shared" si="158"/>
        <v>#N/A</v>
      </c>
      <c r="AS808" s="1"/>
      <c r="AT808" s="88" t="str">
        <f t="shared" si="151"/>
        <v/>
      </c>
      <c r="AU808" s="1"/>
      <c r="AV808" s="175">
        <f>IF(AW808&gt;0,COUNTIF(AV$4:AV807,"&gt;0")+1,0)</f>
        <v>0</v>
      </c>
      <c r="AW808" s="164">
        <f t="shared" si="152"/>
        <v>0</v>
      </c>
      <c r="AX808" s="310">
        <f>IF($AW808=0,0,VLOOKUP(VLOOKUP($X808,$B$34:$T$38,19,FALSE),ENTI!$A$9:$B$13,2,FALSE))</f>
        <v>0</v>
      </c>
      <c r="AY808" s="310">
        <f t="shared" si="154"/>
        <v>0</v>
      </c>
      <c r="AZ808" s="316">
        <f t="shared" si="155"/>
        <v>0</v>
      </c>
      <c r="BA808" s="1"/>
      <c r="BB808" s="152">
        <f t="shared" si="156"/>
        <v>0</v>
      </c>
      <c r="BC808" s="152">
        <f ca="1">SUM(Z$4:Z808)+SUM(BB$4:BB808)+COSTI!S$6-COSTI!L$1076</f>
        <v>-31.760000000000218</v>
      </c>
      <c r="BD808" s="1"/>
    </row>
    <row r="809" spans="1:56" ht="16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435">
        <f>IF(AND(W809&gt;=$U$1,W809&lt;=$U$2),IF(X809='ESTRATTO CONTO'!$E$2,1+COUNTIF(U$4:U808,"&gt;0"),0),0)</f>
        <v>0</v>
      </c>
      <c r="V809" s="417">
        <f t="shared" si="153"/>
        <v>806</v>
      </c>
      <c r="W809" s="509"/>
      <c r="X809" s="321"/>
      <c r="Y809" s="321"/>
      <c r="Z809" s="508"/>
      <c r="AA809" s="356"/>
      <c r="AB809" s="306" t="str">
        <f t="shared" si="149"/>
        <v/>
      </c>
      <c r="AC809" s="637">
        <f t="shared" ca="1" si="148"/>
        <v>-2.1316282072803006E-13</v>
      </c>
      <c r="AD809" s="935">
        <f>IF(ISERROR(VLOOKUP(AD$2,X810:X$1003,1,FALSE)),IF(X809=AD$2,SUMIF(X$4:X809,AD$2,Z$4:Z809)+$E$9+SUM(AQ$4:AQ$1003)+SUMIF(COSTI!$X$1379:$X$1430,AD$2,COSTI!$Z$1379:$Z$1430),0),0)</f>
        <v>0</v>
      </c>
      <c r="AE809" s="26"/>
      <c r="AF809" s="856" t="e">
        <f>IF(ISERROR(VLOOKUP(AG$2,X810:X$1003,1,FALSE)),IF(X809=AG$2,SUMIF(X$4:X809,AG$2,Z$4:Z809)+VLOOKUP(AF$2,$B$1057:$F$1068,5,FALSE)+SUM(AR$4:AR$1003)+SUMIF(COSTI!$X$1379:$X$1430,AG$2,COSTI!$Z$1379:$Z$1430),0),0)</f>
        <v>#N/A</v>
      </c>
      <c r="AG809" s="859"/>
      <c r="AH809" s="27" t="str">
        <f t="shared" si="150"/>
        <v/>
      </c>
      <c r="AI809" s="152">
        <f ca="1">IF(W810&gt;0,0,IF(AH809=0,(Z809*-1)+BC809+SUM(BB$4:BB808),BC809+SUM(BB$4:BB808)))</f>
        <v>-2.1316282072803006E-13</v>
      </c>
      <c r="AJ809" s="931">
        <f>IF(AND(AL809&gt;=$U$1,AL809&lt;=$U$2),IF(AM809='ESTRATTO CONTO'!$E$2,1+COUNTIF(AJ$4:AJ808,"&gt;0")+U$1015,0),0)</f>
        <v>0</v>
      </c>
      <c r="AK809" s="203">
        <f>IF(AND(OR((AK808+1)&lt;AL$1015,(AK808+1)=AL$1015),MAX(AK$4:AK808)&lt;AL$1015),AK808+1,0)</f>
        <v>0</v>
      </c>
      <c r="AL809" s="309">
        <f>VLOOKUP($AK809,ENTI!$AF$4:AG$1003,2,FALSE)</f>
        <v>0</v>
      </c>
      <c r="AM809" s="224">
        <f>VLOOKUP($AK809,ENTI!$AF$4:AH$1003,3,FALSE)</f>
        <v>0</v>
      </c>
      <c r="AN809" s="224">
        <f>VLOOKUP($AK809,ENTI!$AF$4:AI$1003,4,FALSE)</f>
        <v>0</v>
      </c>
      <c r="AO809" s="781">
        <f>VLOOKUP($AK809,ENTI!$AF$4:AJ$1003,5,FALSE)</f>
        <v>0</v>
      </c>
      <c r="AP809" s="315">
        <f>VLOOKUP($AK809,ENTI!$AF$4:AK$1003,6,FALSE)</f>
        <v>0</v>
      </c>
      <c r="AQ809" s="208">
        <f t="shared" si="157"/>
        <v>0</v>
      </c>
      <c r="AR809" s="152" t="e">
        <f t="shared" si="158"/>
        <v>#N/A</v>
      </c>
      <c r="AS809" s="1"/>
      <c r="AT809" s="88" t="str">
        <f t="shared" si="151"/>
        <v/>
      </c>
      <c r="AU809" s="1"/>
      <c r="AV809" s="175">
        <f>IF(AW809&gt;0,COUNTIF(AV$4:AV808,"&gt;0")+1,0)</f>
        <v>0</v>
      </c>
      <c r="AW809" s="164">
        <f t="shared" si="152"/>
        <v>0</v>
      </c>
      <c r="AX809" s="310">
        <f>IF($AW809=0,0,VLOOKUP(VLOOKUP($X809,$B$34:$T$38,19,FALSE),ENTI!$A$9:$B$13,2,FALSE))</f>
        <v>0</v>
      </c>
      <c r="AY809" s="310">
        <f t="shared" si="154"/>
        <v>0</v>
      </c>
      <c r="AZ809" s="316">
        <f t="shared" si="155"/>
        <v>0</v>
      </c>
      <c r="BA809" s="1"/>
      <c r="BB809" s="152">
        <f t="shared" si="156"/>
        <v>0</v>
      </c>
      <c r="BC809" s="152">
        <f ca="1">SUM(Z$4:Z809)+SUM(BB$4:BB809)+COSTI!S$6-COSTI!L$1076</f>
        <v>-31.760000000000218</v>
      </c>
      <c r="BD809" s="1"/>
    </row>
    <row r="810" spans="1:56" ht="16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435">
        <f>IF(AND(W810&gt;=$U$1,W810&lt;=$U$2),IF(X810='ESTRATTO CONTO'!$E$2,1+COUNTIF(U$4:U809,"&gt;0"),0),0)</f>
        <v>0</v>
      </c>
      <c r="V810" s="417">
        <f t="shared" si="153"/>
        <v>807</v>
      </c>
      <c r="W810" s="509"/>
      <c r="X810" s="321"/>
      <c r="Y810" s="321"/>
      <c r="Z810" s="508"/>
      <c r="AA810" s="356"/>
      <c r="AB810" s="306" t="str">
        <f t="shared" si="149"/>
        <v/>
      </c>
      <c r="AC810" s="637">
        <f t="shared" ca="1" si="148"/>
        <v>-2.1316282072803006E-13</v>
      </c>
      <c r="AD810" s="935">
        <f>IF(ISERROR(VLOOKUP(AD$2,X811:X$1003,1,FALSE)),IF(X810=AD$2,SUMIF(X$4:X810,AD$2,Z$4:Z810)+$E$9+SUM(AQ$4:AQ$1003)+SUMIF(COSTI!$X$1379:$X$1430,AD$2,COSTI!$Z$1379:$Z$1430),0),0)</f>
        <v>0</v>
      </c>
      <c r="AE810" s="26"/>
      <c r="AF810" s="856" t="e">
        <f>IF(ISERROR(VLOOKUP(AG$2,X811:X$1003,1,FALSE)),IF(X810=AG$2,SUMIF(X$4:X810,AG$2,Z$4:Z810)+VLOOKUP(AF$2,$B$1057:$F$1068,5,FALSE)+SUM(AR$4:AR$1003)+SUMIF(COSTI!$X$1379:$X$1430,AG$2,COSTI!$Z$1379:$Z$1430),0),0)</f>
        <v>#N/A</v>
      </c>
      <c r="AG810" s="859"/>
      <c r="AH810" s="27" t="str">
        <f t="shared" si="150"/>
        <v/>
      </c>
      <c r="AI810" s="152">
        <f ca="1">IF(W811&gt;0,0,IF(AH810=0,(Z810*-1)+BC810+SUM(BB$4:BB809),BC810+SUM(BB$4:BB809)))</f>
        <v>-2.1316282072803006E-13</v>
      </c>
      <c r="AJ810" s="931">
        <f>IF(AND(AL810&gt;=$U$1,AL810&lt;=$U$2),IF(AM810='ESTRATTO CONTO'!$E$2,1+COUNTIF(AJ$4:AJ809,"&gt;0")+U$1015,0),0)</f>
        <v>0</v>
      </c>
      <c r="AK810" s="203">
        <f>IF(AND(OR((AK809+1)&lt;AL$1015,(AK809+1)=AL$1015),MAX(AK$4:AK809)&lt;AL$1015),AK809+1,0)</f>
        <v>0</v>
      </c>
      <c r="AL810" s="309">
        <f>VLOOKUP($AK810,ENTI!$AF$4:AG$1003,2,FALSE)</f>
        <v>0</v>
      </c>
      <c r="AM810" s="224">
        <f>VLOOKUP($AK810,ENTI!$AF$4:AH$1003,3,FALSE)</f>
        <v>0</v>
      </c>
      <c r="AN810" s="224">
        <f>VLOOKUP($AK810,ENTI!$AF$4:AI$1003,4,FALSE)</f>
        <v>0</v>
      </c>
      <c r="AO810" s="781">
        <f>VLOOKUP($AK810,ENTI!$AF$4:AJ$1003,5,FALSE)</f>
        <v>0</v>
      </c>
      <c r="AP810" s="315">
        <f>VLOOKUP($AK810,ENTI!$AF$4:AK$1003,6,FALSE)</f>
        <v>0</v>
      </c>
      <c r="AQ810" s="208">
        <f t="shared" si="157"/>
        <v>0</v>
      </c>
      <c r="AR810" s="152" t="e">
        <f t="shared" si="158"/>
        <v>#N/A</v>
      </c>
      <c r="AS810" s="1"/>
      <c r="AT810" s="88" t="str">
        <f t="shared" si="151"/>
        <v/>
      </c>
      <c r="AU810" s="1"/>
      <c r="AV810" s="175">
        <f>IF(AW810&gt;0,COUNTIF(AV$4:AV809,"&gt;0")+1,0)</f>
        <v>0</v>
      </c>
      <c r="AW810" s="164">
        <f t="shared" si="152"/>
        <v>0</v>
      </c>
      <c r="AX810" s="310">
        <f>IF($AW810=0,0,VLOOKUP(VLOOKUP($X810,$B$34:$T$38,19,FALSE),ENTI!$A$9:$B$13,2,FALSE))</f>
        <v>0</v>
      </c>
      <c r="AY810" s="310">
        <f t="shared" si="154"/>
        <v>0</v>
      </c>
      <c r="AZ810" s="316">
        <f t="shared" si="155"/>
        <v>0</v>
      </c>
      <c r="BA810" s="1"/>
      <c r="BB810" s="152">
        <f t="shared" si="156"/>
        <v>0</v>
      </c>
      <c r="BC810" s="152">
        <f ca="1">SUM(Z$4:Z810)+SUM(BB$4:BB810)+COSTI!S$6-COSTI!L$1076</f>
        <v>-31.760000000000218</v>
      </c>
      <c r="BD810" s="1"/>
    </row>
    <row r="811" spans="1:56" ht="16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435">
        <f>IF(AND(W811&gt;=$U$1,W811&lt;=$U$2),IF(X811='ESTRATTO CONTO'!$E$2,1+COUNTIF(U$4:U810,"&gt;0"),0),0)</f>
        <v>0</v>
      </c>
      <c r="V811" s="417">
        <f t="shared" si="153"/>
        <v>808</v>
      </c>
      <c r="W811" s="509"/>
      <c r="X811" s="321"/>
      <c r="Y811" s="321"/>
      <c r="Z811" s="508"/>
      <c r="AA811" s="356"/>
      <c r="AB811" s="306" t="str">
        <f t="shared" si="149"/>
        <v/>
      </c>
      <c r="AC811" s="637">
        <f t="shared" ca="1" si="148"/>
        <v>-2.1316282072803006E-13</v>
      </c>
      <c r="AD811" s="935">
        <f>IF(ISERROR(VLOOKUP(AD$2,X812:X$1003,1,FALSE)),IF(X811=AD$2,SUMIF(X$4:X811,AD$2,Z$4:Z811)+$E$9+SUM(AQ$4:AQ$1003)+SUMIF(COSTI!$X$1379:$X$1430,AD$2,COSTI!$Z$1379:$Z$1430),0),0)</f>
        <v>0</v>
      </c>
      <c r="AE811" s="26"/>
      <c r="AF811" s="856" t="e">
        <f>IF(ISERROR(VLOOKUP(AG$2,X812:X$1003,1,FALSE)),IF(X811=AG$2,SUMIF(X$4:X811,AG$2,Z$4:Z811)+VLOOKUP(AF$2,$B$1057:$F$1068,5,FALSE)+SUM(AR$4:AR$1003)+SUMIF(COSTI!$X$1379:$X$1430,AG$2,COSTI!$Z$1379:$Z$1430),0),0)</f>
        <v>#N/A</v>
      </c>
      <c r="AG811" s="859"/>
      <c r="AH811" s="27" t="str">
        <f t="shared" si="150"/>
        <v/>
      </c>
      <c r="AI811" s="152">
        <f ca="1">IF(W812&gt;0,0,IF(AH811=0,(Z811*-1)+BC811+SUM(BB$4:BB810),BC811+SUM(BB$4:BB810)))</f>
        <v>-2.1316282072803006E-13</v>
      </c>
      <c r="AJ811" s="931">
        <f>IF(AND(AL811&gt;=$U$1,AL811&lt;=$U$2),IF(AM811='ESTRATTO CONTO'!$E$2,1+COUNTIF(AJ$4:AJ810,"&gt;0")+U$1015,0),0)</f>
        <v>0</v>
      </c>
      <c r="AK811" s="203">
        <f>IF(AND(OR((AK810+1)&lt;AL$1015,(AK810+1)=AL$1015),MAX(AK$4:AK810)&lt;AL$1015),AK810+1,0)</f>
        <v>0</v>
      </c>
      <c r="AL811" s="309">
        <f>VLOOKUP($AK811,ENTI!$AF$4:AG$1003,2,FALSE)</f>
        <v>0</v>
      </c>
      <c r="AM811" s="224">
        <f>VLOOKUP($AK811,ENTI!$AF$4:AH$1003,3,FALSE)</f>
        <v>0</v>
      </c>
      <c r="AN811" s="224">
        <f>VLOOKUP($AK811,ENTI!$AF$4:AI$1003,4,FALSE)</f>
        <v>0</v>
      </c>
      <c r="AO811" s="781">
        <f>VLOOKUP($AK811,ENTI!$AF$4:AJ$1003,5,FALSE)</f>
        <v>0</v>
      </c>
      <c r="AP811" s="315">
        <f>VLOOKUP($AK811,ENTI!$AF$4:AK$1003,6,FALSE)</f>
        <v>0</v>
      </c>
      <c r="AQ811" s="208">
        <f t="shared" si="157"/>
        <v>0</v>
      </c>
      <c r="AR811" s="152" t="e">
        <f t="shared" si="158"/>
        <v>#N/A</v>
      </c>
      <c r="AS811" s="1"/>
      <c r="AT811" s="88" t="str">
        <f t="shared" si="151"/>
        <v/>
      </c>
      <c r="AU811" s="1"/>
      <c r="AV811" s="175">
        <f>IF(AW811&gt;0,COUNTIF(AV$4:AV810,"&gt;0")+1,0)</f>
        <v>0</v>
      </c>
      <c r="AW811" s="164">
        <f t="shared" si="152"/>
        <v>0</v>
      </c>
      <c r="AX811" s="310">
        <f>IF($AW811=0,0,VLOOKUP(VLOOKUP($X811,$B$34:$T$38,19,FALSE),ENTI!$A$9:$B$13,2,FALSE))</f>
        <v>0</v>
      </c>
      <c r="AY811" s="310">
        <f t="shared" si="154"/>
        <v>0</v>
      </c>
      <c r="AZ811" s="316">
        <f t="shared" si="155"/>
        <v>0</v>
      </c>
      <c r="BA811" s="1"/>
      <c r="BB811" s="152">
        <f t="shared" si="156"/>
        <v>0</v>
      </c>
      <c r="BC811" s="152">
        <f ca="1">SUM(Z$4:Z811)+SUM(BB$4:BB811)+COSTI!S$6-COSTI!L$1076</f>
        <v>-31.760000000000218</v>
      </c>
      <c r="BD811" s="1"/>
    </row>
    <row r="812" spans="1:56" ht="16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435">
        <f>IF(AND(W812&gt;=$U$1,W812&lt;=$U$2),IF(X812='ESTRATTO CONTO'!$E$2,1+COUNTIF(U$4:U811,"&gt;0"),0),0)</f>
        <v>0</v>
      </c>
      <c r="V812" s="417">
        <f t="shared" si="153"/>
        <v>809</v>
      </c>
      <c r="W812" s="509"/>
      <c r="X812" s="321"/>
      <c r="Y812" s="321"/>
      <c r="Z812" s="508"/>
      <c r="AA812" s="356"/>
      <c r="AB812" s="306" t="str">
        <f t="shared" si="149"/>
        <v/>
      </c>
      <c r="AC812" s="637">
        <f t="shared" ca="1" si="148"/>
        <v>-2.1316282072803006E-13</v>
      </c>
      <c r="AD812" s="935">
        <f>IF(ISERROR(VLOOKUP(AD$2,X813:X$1003,1,FALSE)),IF(X812=AD$2,SUMIF(X$4:X812,AD$2,Z$4:Z812)+$E$9+SUM(AQ$4:AQ$1003)+SUMIF(COSTI!$X$1379:$X$1430,AD$2,COSTI!$Z$1379:$Z$1430),0),0)</f>
        <v>0</v>
      </c>
      <c r="AE812" s="26"/>
      <c r="AF812" s="856" t="e">
        <f>IF(ISERROR(VLOOKUP(AG$2,X813:X$1003,1,FALSE)),IF(X812=AG$2,SUMIF(X$4:X812,AG$2,Z$4:Z812)+VLOOKUP(AF$2,$B$1057:$F$1068,5,FALSE)+SUM(AR$4:AR$1003)+SUMIF(COSTI!$X$1379:$X$1430,AG$2,COSTI!$Z$1379:$Z$1430),0),0)</f>
        <v>#N/A</v>
      </c>
      <c r="AG812" s="859"/>
      <c r="AH812" s="27" t="str">
        <f t="shared" si="150"/>
        <v/>
      </c>
      <c r="AI812" s="152">
        <f ca="1">IF(W813&gt;0,0,IF(AH812=0,(Z812*-1)+BC812+SUM(BB$4:BB811),BC812+SUM(BB$4:BB811)))</f>
        <v>-2.1316282072803006E-13</v>
      </c>
      <c r="AJ812" s="931">
        <f>IF(AND(AL812&gt;=$U$1,AL812&lt;=$U$2),IF(AM812='ESTRATTO CONTO'!$E$2,1+COUNTIF(AJ$4:AJ811,"&gt;0")+U$1015,0),0)</f>
        <v>0</v>
      </c>
      <c r="AK812" s="203">
        <f>IF(AND(OR((AK811+1)&lt;AL$1015,(AK811+1)=AL$1015),MAX(AK$4:AK811)&lt;AL$1015),AK811+1,0)</f>
        <v>0</v>
      </c>
      <c r="AL812" s="309">
        <f>VLOOKUP($AK812,ENTI!$AF$4:AG$1003,2,FALSE)</f>
        <v>0</v>
      </c>
      <c r="AM812" s="224">
        <f>VLOOKUP($AK812,ENTI!$AF$4:AH$1003,3,FALSE)</f>
        <v>0</v>
      </c>
      <c r="AN812" s="224">
        <f>VLOOKUP($AK812,ENTI!$AF$4:AI$1003,4,FALSE)</f>
        <v>0</v>
      </c>
      <c r="AO812" s="781">
        <f>VLOOKUP($AK812,ENTI!$AF$4:AJ$1003,5,FALSE)</f>
        <v>0</v>
      </c>
      <c r="AP812" s="315">
        <f>VLOOKUP($AK812,ENTI!$AF$4:AK$1003,6,FALSE)</f>
        <v>0</v>
      </c>
      <c r="AQ812" s="208">
        <f t="shared" si="157"/>
        <v>0</v>
      </c>
      <c r="AR812" s="152" t="e">
        <f t="shared" si="158"/>
        <v>#N/A</v>
      </c>
      <c r="AS812" s="1"/>
      <c r="AT812" s="88" t="str">
        <f t="shared" si="151"/>
        <v/>
      </c>
      <c r="AU812" s="1"/>
      <c r="AV812" s="175">
        <f>IF(AW812&gt;0,COUNTIF(AV$4:AV811,"&gt;0")+1,0)</f>
        <v>0</v>
      </c>
      <c r="AW812" s="164">
        <f t="shared" si="152"/>
        <v>0</v>
      </c>
      <c r="AX812" s="310">
        <f>IF($AW812=0,0,VLOOKUP(VLOOKUP($X812,$B$34:$T$38,19,FALSE),ENTI!$A$9:$B$13,2,FALSE))</f>
        <v>0</v>
      </c>
      <c r="AY812" s="310">
        <f t="shared" si="154"/>
        <v>0</v>
      </c>
      <c r="AZ812" s="316">
        <f t="shared" si="155"/>
        <v>0</v>
      </c>
      <c r="BA812" s="1"/>
      <c r="BB812" s="152">
        <f t="shared" si="156"/>
        <v>0</v>
      </c>
      <c r="BC812" s="152">
        <f ca="1">SUM(Z$4:Z812)+SUM(BB$4:BB812)+COSTI!S$6-COSTI!L$1076</f>
        <v>-31.760000000000218</v>
      </c>
      <c r="BD812" s="1"/>
    </row>
    <row r="813" spans="1:56" ht="16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435">
        <f>IF(AND(W813&gt;=$U$1,W813&lt;=$U$2),IF(X813='ESTRATTO CONTO'!$E$2,1+COUNTIF(U$4:U812,"&gt;0"),0),0)</f>
        <v>0</v>
      </c>
      <c r="V813" s="417">
        <f t="shared" si="153"/>
        <v>810</v>
      </c>
      <c r="W813" s="509"/>
      <c r="X813" s="321"/>
      <c r="Y813" s="321"/>
      <c r="Z813" s="508"/>
      <c r="AA813" s="356"/>
      <c r="AB813" s="306" t="str">
        <f t="shared" si="149"/>
        <v/>
      </c>
      <c r="AC813" s="637">
        <f t="shared" ca="1" si="148"/>
        <v>-2.1316282072803006E-13</v>
      </c>
      <c r="AD813" s="935">
        <f>IF(ISERROR(VLOOKUP(AD$2,X814:X$1003,1,FALSE)),IF(X813=AD$2,SUMIF(X$4:X813,AD$2,Z$4:Z813)+$E$9+SUM(AQ$4:AQ$1003)+SUMIF(COSTI!$X$1379:$X$1430,AD$2,COSTI!$Z$1379:$Z$1430),0),0)</f>
        <v>0</v>
      </c>
      <c r="AE813" s="26"/>
      <c r="AF813" s="856" t="e">
        <f>IF(ISERROR(VLOOKUP(AG$2,X814:X$1003,1,FALSE)),IF(X813=AG$2,SUMIF(X$4:X813,AG$2,Z$4:Z813)+VLOOKUP(AF$2,$B$1057:$F$1068,5,FALSE)+SUM(AR$4:AR$1003)+SUMIF(COSTI!$X$1379:$X$1430,AG$2,COSTI!$Z$1379:$Z$1430),0),0)</f>
        <v>#N/A</v>
      </c>
      <c r="AG813" s="859"/>
      <c r="AH813" s="27" t="str">
        <f t="shared" si="150"/>
        <v/>
      </c>
      <c r="AI813" s="152">
        <f ca="1">IF(W814&gt;0,0,IF(AH813=0,(Z813*-1)+BC813+SUM(BB$4:BB812),BC813+SUM(BB$4:BB812)))</f>
        <v>-2.1316282072803006E-13</v>
      </c>
      <c r="AJ813" s="931">
        <f>IF(AND(AL813&gt;=$U$1,AL813&lt;=$U$2),IF(AM813='ESTRATTO CONTO'!$E$2,1+COUNTIF(AJ$4:AJ812,"&gt;0")+U$1015,0),0)</f>
        <v>0</v>
      </c>
      <c r="AK813" s="203">
        <f>IF(AND(OR((AK812+1)&lt;AL$1015,(AK812+1)=AL$1015),MAX(AK$4:AK812)&lt;AL$1015),AK812+1,0)</f>
        <v>0</v>
      </c>
      <c r="AL813" s="309">
        <f>VLOOKUP($AK813,ENTI!$AF$4:AG$1003,2,FALSE)</f>
        <v>0</v>
      </c>
      <c r="AM813" s="224">
        <f>VLOOKUP($AK813,ENTI!$AF$4:AH$1003,3,FALSE)</f>
        <v>0</v>
      </c>
      <c r="AN813" s="224">
        <f>VLOOKUP($AK813,ENTI!$AF$4:AI$1003,4,FALSE)</f>
        <v>0</v>
      </c>
      <c r="AO813" s="781">
        <f>VLOOKUP($AK813,ENTI!$AF$4:AJ$1003,5,FALSE)</f>
        <v>0</v>
      </c>
      <c r="AP813" s="315">
        <f>VLOOKUP($AK813,ENTI!$AF$4:AK$1003,6,FALSE)</f>
        <v>0</v>
      </c>
      <c r="AQ813" s="208">
        <f t="shared" si="157"/>
        <v>0</v>
      </c>
      <c r="AR813" s="152" t="e">
        <f t="shared" si="158"/>
        <v>#N/A</v>
      </c>
      <c r="AS813" s="1"/>
      <c r="AT813" s="88" t="str">
        <f t="shared" si="151"/>
        <v/>
      </c>
      <c r="AU813" s="1"/>
      <c r="AV813" s="175">
        <f>IF(AW813&gt;0,COUNTIF(AV$4:AV812,"&gt;0")+1,0)</f>
        <v>0</v>
      </c>
      <c r="AW813" s="164">
        <f t="shared" si="152"/>
        <v>0</v>
      </c>
      <c r="AX813" s="310">
        <f>IF($AW813=0,0,VLOOKUP(VLOOKUP($X813,$B$34:$T$38,19,FALSE),ENTI!$A$9:$B$13,2,FALSE))</f>
        <v>0</v>
      </c>
      <c r="AY813" s="310">
        <f t="shared" si="154"/>
        <v>0</v>
      </c>
      <c r="AZ813" s="316">
        <f t="shared" si="155"/>
        <v>0</v>
      </c>
      <c r="BA813" s="1"/>
      <c r="BB813" s="152">
        <f t="shared" si="156"/>
        <v>0</v>
      </c>
      <c r="BC813" s="152">
        <f ca="1">SUM(Z$4:Z813)+SUM(BB$4:BB813)+COSTI!S$6-COSTI!L$1076</f>
        <v>-31.760000000000218</v>
      </c>
      <c r="BD813" s="1"/>
    </row>
    <row r="814" spans="1:56" ht="16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435">
        <f>IF(AND(W814&gt;=$U$1,W814&lt;=$U$2),IF(X814='ESTRATTO CONTO'!$E$2,1+COUNTIF(U$4:U813,"&gt;0"),0),0)</f>
        <v>0</v>
      </c>
      <c r="V814" s="417">
        <f t="shared" si="153"/>
        <v>811</v>
      </c>
      <c r="W814" s="509"/>
      <c r="X814" s="321"/>
      <c r="Y814" s="321"/>
      <c r="Z814" s="508"/>
      <c r="AA814" s="356"/>
      <c r="AB814" s="306" t="str">
        <f t="shared" si="149"/>
        <v/>
      </c>
      <c r="AC814" s="637">
        <f t="shared" ca="1" si="148"/>
        <v>-2.1316282072803006E-13</v>
      </c>
      <c r="AD814" s="935">
        <f>IF(ISERROR(VLOOKUP(AD$2,X815:X$1003,1,FALSE)),IF(X814=AD$2,SUMIF(X$4:X814,AD$2,Z$4:Z814)+$E$9+SUM(AQ$4:AQ$1003)+SUMIF(COSTI!$X$1379:$X$1430,AD$2,COSTI!$Z$1379:$Z$1430),0),0)</f>
        <v>0</v>
      </c>
      <c r="AE814" s="26"/>
      <c r="AF814" s="856" t="e">
        <f>IF(ISERROR(VLOOKUP(AG$2,X815:X$1003,1,FALSE)),IF(X814=AG$2,SUMIF(X$4:X814,AG$2,Z$4:Z814)+VLOOKUP(AF$2,$B$1057:$F$1068,5,FALSE)+SUM(AR$4:AR$1003)+SUMIF(COSTI!$X$1379:$X$1430,AG$2,COSTI!$Z$1379:$Z$1430),0),0)</f>
        <v>#N/A</v>
      </c>
      <c r="AG814" s="859"/>
      <c r="AH814" s="27" t="str">
        <f t="shared" si="150"/>
        <v/>
      </c>
      <c r="AI814" s="152">
        <f ca="1">IF(W815&gt;0,0,IF(AH814=0,(Z814*-1)+BC814+SUM(BB$4:BB813),BC814+SUM(BB$4:BB813)))</f>
        <v>-2.1316282072803006E-13</v>
      </c>
      <c r="AJ814" s="931">
        <f>IF(AND(AL814&gt;=$U$1,AL814&lt;=$U$2),IF(AM814='ESTRATTO CONTO'!$E$2,1+COUNTIF(AJ$4:AJ813,"&gt;0")+U$1015,0),0)</f>
        <v>0</v>
      </c>
      <c r="AK814" s="203">
        <f>IF(AND(OR((AK813+1)&lt;AL$1015,(AK813+1)=AL$1015),MAX(AK$4:AK813)&lt;AL$1015),AK813+1,0)</f>
        <v>0</v>
      </c>
      <c r="AL814" s="309">
        <f>VLOOKUP($AK814,ENTI!$AF$4:AG$1003,2,FALSE)</f>
        <v>0</v>
      </c>
      <c r="AM814" s="224">
        <f>VLOOKUP($AK814,ENTI!$AF$4:AH$1003,3,FALSE)</f>
        <v>0</v>
      </c>
      <c r="AN814" s="224">
        <f>VLOOKUP($AK814,ENTI!$AF$4:AI$1003,4,FALSE)</f>
        <v>0</v>
      </c>
      <c r="AO814" s="781">
        <f>VLOOKUP($AK814,ENTI!$AF$4:AJ$1003,5,FALSE)</f>
        <v>0</v>
      </c>
      <c r="AP814" s="315">
        <f>VLOOKUP($AK814,ENTI!$AF$4:AK$1003,6,FALSE)</f>
        <v>0</v>
      </c>
      <c r="AQ814" s="208">
        <f t="shared" si="157"/>
        <v>0</v>
      </c>
      <c r="AR814" s="152" t="e">
        <f t="shared" si="158"/>
        <v>#N/A</v>
      </c>
      <c r="AS814" s="1"/>
      <c r="AT814" s="88" t="str">
        <f t="shared" si="151"/>
        <v/>
      </c>
      <c r="AU814" s="1"/>
      <c r="AV814" s="175">
        <f>IF(AW814&gt;0,COUNTIF(AV$4:AV813,"&gt;0")+1,0)</f>
        <v>0</v>
      </c>
      <c r="AW814" s="164">
        <f t="shared" si="152"/>
        <v>0</v>
      </c>
      <c r="AX814" s="310">
        <f>IF($AW814=0,0,VLOOKUP(VLOOKUP($X814,$B$34:$T$38,19,FALSE),ENTI!$A$9:$B$13,2,FALSE))</f>
        <v>0</v>
      </c>
      <c r="AY814" s="310">
        <f t="shared" si="154"/>
        <v>0</v>
      </c>
      <c r="AZ814" s="316">
        <f t="shared" si="155"/>
        <v>0</v>
      </c>
      <c r="BA814" s="1"/>
      <c r="BB814" s="152">
        <f t="shared" si="156"/>
        <v>0</v>
      </c>
      <c r="BC814" s="152">
        <f ca="1">SUM(Z$4:Z814)+SUM(BB$4:BB814)+COSTI!S$6-COSTI!L$1076</f>
        <v>-31.760000000000218</v>
      </c>
      <c r="BD814" s="1"/>
    </row>
    <row r="815" spans="1:56" ht="16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435">
        <f>IF(AND(W815&gt;=$U$1,W815&lt;=$U$2),IF(X815='ESTRATTO CONTO'!$E$2,1+COUNTIF(U$4:U814,"&gt;0"),0),0)</f>
        <v>0</v>
      </c>
      <c r="V815" s="417">
        <f t="shared" si="153"/>
        <v>812</v>
      </c>
      <c r="W815" s="509"/>
      <c r="X815" s="321"/>
      <c r="Y815" s="321"/>
      <c r="Z815" s="508"/>
      <c r="AA815" s="356"/>
      <c r="AB815" s="306" t="str">
        <f t="shared" si="149"/>
        <v/>
      </c>
      <c r="AC815" s="637">
        <f t="shared" ca="1" si="148"/>
        <v>-2.1316282072803006E-13</v>
      </c>
      <c r="AD815" s="935">
        <f>IF(ISERROR(VLOOKUP(AD$2,X816:X$1003,1,FALSE)),IF(X815=AD$2,SUMIF(X$4:X815,AD$2,Z$4:Z815)+$E$9+SUM(AQ$4:AQ$1003)+SUMIF(COSTI!$X$1379:$X$1430,AD$2,COSTI!$Z$1379:$Z$1430),0),0)</f>
        <v>0</v>
      </c>
      <c r="AE815" s="26"/>
      <c r="AF815" s="856" t="e">
        <f>IF(ISERROR(VLOOKUP(AG$2,X816:X$1003,1,FALSE)),IF(X815=AG$2,SUMIF(X$4:X815,AG$2,Z$4:Z815)+VLOOKUP(AF$2,$B$1057:$F$1068,5,FALSE)+SUM(AR$4:AR$1003)+SUMIF(COSTI!$X$1379:$X$1430,AG$2,COSTI!$Z$1379:$Z$1430),0),0)</f>
        <v>#N/A</v>
      </c>
      <c r="AG815" s="859"/>
      <c r="AH815" s="27" t="str">
        <f t="shared" si="150"/>
        <v/>
      </c>
      <c r="AI815" s="152">
        <f ca="1">IF(W816&gt;0,0,IF(AH815=0,(Z815*-1)+BC815+SUM(BB$4:BB814),BC815+SUM(BB$4:BB814)))</f>
        <v>-2.1316282072803006E-13</v>
      </c>
      <c r="AJ815" s="931">
        <f>IF(AND(AL815&gt;=$U$1,AL815&lt;=$U$2),IF(AM815='ESTRATTO CONTO'!$E$2,1+COUNTIF(AJ$4:AJ814,"&gt;0")+U$1015,0),0)</f>
        <v>0</v>
      </c>
      <c r="AK815" s="203">
        <f>IF(AND(OR((AK814+1)&lt;AL$1015,(AK814+1)=AL$1015),MAX(AK$4:AK814)&lt;AL$1015),AK814+1,0)</f>
        <v>0</v>
      </c>
      <c r="AL815" s="309">
        <f>VLOOKUP($AK815,ENTI!$AF$4:AG$1003,2,FALSE)</f>
        <v>0</v>
      </c>
      <c r="AM815" s="224">
        <f>VLOOKUP($AK815,ENTI!$AF$4:AH$1003,3,FALSE)</f>
        <v>0</v>
      </c>
      <c r="AN815" s="224">
        <f>VLOOKUP($AK815,ENTI!$AF$4:AI$1003,4,FALSE)</f>
        <v>0</v>
      </c>
      <c r="AO815" s="781">
        <f>VLOOKUP($AK815,ENTI!$AF$4:AJ$1003,5,FALSE)</f>
        <v>0</v>
      </c>
      <c r="AP815" s="315">
        <f>VLOOKUP($AK815,ENTI!$AF$4:AK$1003,6,FALSE)</f>
        <v>0</v>
      </c>
      <c r="AQ815" s="208">
        <f t="shared" si="157"/>
        <v>0</v>
      </c>
      <c r="AR815" s="152" t="e">
        <f t="shared" si="158"/>
        <v>#N/A</v>
      </c>
      <c r="AS815" s="1"/>
      <c r="AT815" s="88" t="str">
        <f t="shared" si="151"/>
        <v/>
      </c>
      <c r="AU815" s="1"/>
      <c r="AV815" s="175">
        <f>IF(AW815&gt;0,COUNTIF(AV$4:AV814,"&gt;0")+1,0)</f>
        <v>0</v>
      </c>
      <c r="AW815" s="164">
        <f t="shared" si="152"/>
        <v>0</v>
      </c>
      <c r="AX815" s="310">
        <f>IF($AW815=0,0,VLOOKUP(VLOOKUP($X815,$B$34:$T$38,19,FALSE),ENTI!$A$9:$B$13,2,FALSE))</f>
        <v>0</v>
      </c>
      <c r="AY815" s="310">
        <f t="shared" si="154"/>
        <v>0</v>
      </c>
      <c r="AZ815" s="316">
        <f t="shared" si="155"/>
        <v>0</v>
      </c>
      <c r="BA815" s="1"/>
      <c r="BB815" s="152">
        <f t="shared" si="156"/>
        <v>0</v>
      </c>
      <c r="BC815" s="152">
        <f ca="1">SUM(Z$4:Z815)+SUM(BB$4:BB815)+COSTI!S$6-COSTI!L$1076</f>
        <v>-31.760000000000218</v>
      </c>
      <c r="BD815" s="1"/>
    </row>
    <row r="816" spans="1:56" ht="16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435">
        <f>IF(AND(W816&gt;=$U$1,W816&lt;=$U$2),IF(X816='ESTRATTO CONTO'!$E$2,1+COUNTIF(U$4:U815,"&gt;0"),0),0)</f>
        <v>0</v>
      </c>
      <c r="V816" s="417">
        <f t="shared" si="153"/>
        <v>813</v>
      </c>
      <c r="W816" s="509"/>
      <c r="X816" s="321"/>
      <c r="Y816" s="321"/>
      <c r="Z816" s="508"/>
      <c r="AA816" s="356"/>
      <c r="AB816" s="306" t="str">
        <f t="shared" si="149"/>
        <v/>
      </c>
      <c r="AC816" s="637">
        <f t="shared" ca="1" si="148"/>
        <v>-2.1316282072803006E-13</v>
      </c>
      <c r="AD816" s="935">
        <f>IF(ISERROR(VLOOKUP(AD$2,X817:X$1003,1,FALSE)),IF(X816=AD$2,SUMIF(X$4:X816,AD$2,Z$4:Z816)+$E$9+SUM(AQ$4:AQ$1003)+SUMIF(COSTI!$X$1379:$X$1430,AD$2,COSTI!$Z$1379:$Z$1430),0),0)</f>
        <v>0</v>
      </c>
      <c r="AE816" s="26"/>
      <c r="AF816" s="856" t="e">
        <f>IF(ISERROR(VLOOKUP(AG$2,X817:X$1003,1,FALSE)),IF(X816=AG$2,SUMIF(X$4:X816,AG$2,Z$4:Z816)+VLOOKUP(AF$2,$B$1057:$F$1068,5,FALSE)+SUM(AR$4:AR$1003)+SUMIF(COSTI!$X$1379:$X$1430,AG$2,COSTI!$Z$1379:$Z$1430),0),0)</f>
        <v>#N/A</v>
      </c>
      <c r="AG816" s="859"/>
      <c r="AH816" s="27" t="str">
        <f t="shared" si="150"/>
        <v/>
      </c>
      <c r="AI816" s="152">
        <f ca="1">IF(W817&gt;0,0,IF(AH816=0,(Z816*-1)+BC816+SUM(BB$4:BB815),BC816+SUM(BB$4:BB815)))</f>
        <v>-2.1316282072803006E-13</v>
      </c>
      <c r="AJ816" s="931">
        <f>IF(AND(AL816&gt;=$U$1,AL816&lt;=$U$2),IF(AM816='ESTRATTO CONTO'!$E$2,1+COUNTIF(AJ$4:AJ815,"&gt;0")+U$1015,0),0)</f>
        <v>0</v>
      </c>
      <c r="AK816" s="203">
        <f>IF(AND(OR((AK815+1)&lt;AL$1015,(AK815+1)=AL$1015),MAX(AK$4:AK815)&lt;AL$1015),AK815+1,0)</f>
        <v>0</v>
      </c>
      <c r="AL816" s="309">
        <f>VLOOKUP($AK816,ENTI!$AF$4:AG$1003,2,FALSE)</f>
        <v>0</v>
      </c>
      <c r="AM816" s="224">
        <f>VLOOKUP($AK816,ENTI!$AF$4:AH$1003,3,FALSE)</f>
        <v>0</v>
      </c>
      <c r="AN816" s="224">
        <f>VLOOKUP($AK816,ENTI!$AF$4:AI$1003,4,FALSE)</f>
        <v>0</v>
      </c>
      <c r="AO816" s="781">
        <f>VLOOKUP($AK816,ENTI!$AF$4:AJ$1003,5,FALSE)</f>
        <v>0</v>
      </c>
      <c r="AP816" s="315">
        <f>VLOOKUP($AK816,ENTI!$AF$4:AK$1003,6,FALSE)</f>
        <v>0</v>
      </c>
      <c r="AQ816" s="208">
        <f t="shared" si="157"/>
        <v>0</v>
      </c>
      <c r="AR816" s="152" t="e">
        <f t="shared" si="158"/>
        <v>#N/A</v>
      </c>
      <c r="AS816" s="1"/>
      <c r="AT816" s="88" t="str">
        <f t="shared" si="151"/>
        <v/>
      </c>
      <c r="AU816" s="1"/>
      <c r="AV816" s="175">
        <f>IF(AW816&gt;0,COUNTIF(AV$4:AV815,"&gt;0")+1,0)</f>
        <v>0</v>
      </c>
      <c r="AW816" s="164">
        <f t="shared" si="152"/>
        <v>0</v>
      </c>
      <c r="AX816" s="310">
        <f>IF($AW816=0,0,VLOOKUP(VLOOKUP($X816,$B$34:$T$38,19,FALSE),ENTI!$A$9:$B$13,2,FALSE))</f>
        <v>0</v>
      </c>
      <c r="AY816" s="310">
        <f t="shared" si="154"/>
        <v>0</v>
      </c>
      <c r="AZ816" s="316">
        <f t="shared" si="155"/>
        <v>0</v>
      </c>
      <c r="BA816" s="1"/>
      <c r="BB816" s="152">
        <f t="shared" si="156"/>
        <v>0</v>
      </c>
      <c r="BC816" s="152">
        <f ca="1">SUM(Z$4:Z816)+SUM(BB$4:BB816)+COSTI!S$6-COSTI!L$1076</f>
        <v>-31.760000000000218</v>
      </c>
      <c r="BD816" s="1"/>
    </row>
    <row r="817" spans="1:56" ht="16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435">
        <f>IF(AND(W817&gt;=$U$1,W817&lt;=$U$2),IF(X817='ESTRATTO CONTO'!$E$2,1+COUNTIF(U$4:U816,"&gt;0"),0),0)</f>
        <v>0</v>
      </c>
      <c r="V817" s="417">
        <f t="shared" si="153"/>
        <v>814</v>
      </c>
      <c r="W817" s="509"/>
      <c r="X817" s="321"/>
      <c r="Y817" s="321"/>
      <c r="Z817" s="508"/>
      <c r="AA817" s="356"/>
      <c r="AB817" s="306" t="str">
        <f t="shared" si="149"/>
        <v/>
      </c>
      <c r="AC817" s="637">
        <f t="shared" ca="1" si="148"/>
        <v>-2.1316282072803006E-13</v>
      </c>
      <c r="AD817" s="935">
        <f>IF(ISERROR(VLOOKUP(AD$2,X818:X$1003,1,FALSE)),IF(X817=AD$2,SUMIF(X$4:X817,AD$2,Z$4:Z817)+$E$9+SUM(AQ$4:AQ$1003)+SUMIF(COSTI!$X$1379:$X$1430,AD$2,COSTI!$Z$1379:$Z$1430),0),0)</f>
        <v>0</v>
      </c>
      <c r="AE817" s="26"/>
      <c r="AF817" s="856" t="e">
        <f>IF(ISERROR(VLOOKUP(AG$2,X818:X$1003,1,FALSE)),IF(X817=AG$2,SUMIF(X$4:X817,AG$2,Z$4:Z817)+VLOOKUP(AF$2,$B$1057:$F$1068,5,FALSE)+SUM(AR$4:AR$1003)+SUMIF(COSTI!$X$1379:$X$1430,AG$2,COSTI!$Z$1379:$Z$1430),0),0)</f>
        <v>#N/A</v>
      </c>
      <c r="AG817" s="859"/>
      <c r="AH817" s="27" t="str">
        <f t="shared" si="150"/>
        <v/>
      </c>
      <c r="AI817" s="152">
        <f ca="1">IF(W818&gt;0,0,IF(AH817=0,(Z817*-1)+BC817+SUM(BB$4:BB816),BC817+SUM(BB$4:BB816)))</f>
        <v>-2.1316282072803006E-13</v>
      </c>
      <c r="AJ817" s="931">
        <f>IF(AND(AL817&gt;=$U$1,AL817&lt;=$U$2),IF(AM817='ESTRATTO CONTO'!$E$2,1+COUNTIF(AJ$4:AJ816,"&gt;0")+U$1015,0),0)</f>
        <v>0</v>
      </c>
      <c r="AK817" s="203">
        <f>IF(AND(OR((AK816+1)&lt;AL$1015,(AK816+1)=AL$1015),MAX(AK$4:AK816)&lt;AL$1015),AK816+1,0)</f>
        <v>0</v>
      </c>
      <c r="AL817" s="309">
        <f>VLOOKUP($AK817,ENTI!$AF$4:AG$1003,2,FALSE)</f>
        <v>0</v>
      </c>
      <c r="AM817" s="224">
        <f>VLOOKUP($AK817,ENTI!$AF$4:AH$1003,3,FALSE)</f>
        <v>0</v>
      </c>
      <c r="AN817" s="224">
        <f>VLOOKUP($AK817,ENTI!$AF$4:AI$1003,4,FALSE)</f>
        <v>0</v>
      </c>
      <c r="AO817" s="781">
        <f>VLOOKUP($AK817,ENTI!$AF$4:AJ$1003,5,FALSE)</f>
        <v>0</v>
      </c>
      <c r="AP817" s="315">
        <f>VLOOKUP($AK817,ENTI!$AF$4:AK$1003,6,FALSE)</f>
        <v>0</v>
      </c>
      <c r="AQ817" s="208">
        <f t="shared" si="157"/>
        <v>0</v>
      </c>
      <c r="AR817" s="152" t="e">
        <f t="shared" si="158"/>
        <v>#N/A</v>
      </c>
      <c r="AS817" s="1"/>
      <c r="AT817" s="88" t="str">
        <f t="shared" si="151"/>
        <v/>
      </c>
      <c r="AU817" s="1"/>
      <c r="AV817" s="175">
        <f>IF(AW817&gt;0,COUNTIF(AV$4:AV816,"&gt;0")+1,0)</f>
        <v>0</v>
      </c>
      <c r="AW817" s="164">
        <f t="shared" si="152"/>
        <v>0</v>
      </c>
      <c r="AX817" s="310">
        <f>IF($AW817=0,0,VLOOKUP(VLOOKUP($X817,$B$34:$T$38,19,FALSE),ENTI!$A$9:$B$13,2,FALSE))</f>
        <v>0</v>
      </c>
      <c r="AY817" s="310">
        <f t="shared" si="154"/>
        <v>0</v>
      </c>
      <c r="AZ817" s="316">
        <f t="shared" si="155"/>
        <v>0</v>
      </c>
      <c r="BA817" s="1"/>
      <c r="BB817" s="152">
        <f t="shared" si="156"/>
        <v>0</v>
      </c>
      <c r="BC817" s="152">
        <f ca="1">SUM(Z$4:Z817)+SUM(BB$4:BB817)+COSTI!S$6-COSTI!L$1076</f>
        <v>-31.760000000000218</v>
      </c>
      <c r="BD817" s="1"/>
    </row>
    <row r="818" spans="1:56" ht="16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435">
        <f>IF(AND(W818&gt;=$U$1,W818&lt;=$U$2),IF(X818='ESTRATTO CONTO'!$E$2,1+COUNTIF(U$4:U817,"&gt;0"),0),0)</f>
        <v>0</v>
      </c>
      <c r="V818" s="417">
        <f t="shared" si="153"/>
        <v>815</v>
      </c>
      <c r="W818" s="509"/>
      <c r="X818" s="321"/>
      <c r="Y818" s="321"/>
      <c r="Z818" s="508"/>
      <c r="AA818" s="356"/>
      <c r="AB818" s="306" t="str">
        <f t="shared" si="149"/>
        <v/>
      </c>
      <c r="AC818" s="637">
        <f t="shared" ca="1" si="148"/>
        <v>-2.1316282072803006E-13</v>
      </c>
      <c r="AD818" s="935">
        <f>IF(ISERROR(VLOOKUP(AD$2,X819:X$1003,1,FALSE)),IF(X818=AD$2,SUMIF(X$4:X818,AD$2,Z$4:Z818)+$E$9+SUM(AQ$4:AQ$1003)+SUMIF(COSTI!$X$1379:$X$1430,AD$2,COSTI!$Z$1379:$Z$1430),0),0)</f>
        <v>0</v>
      </c>
      <c r="AE818" s="26"/>
      <c r="AF818" s="856" t="e">
        <f>IF(ISERROR(VLOOKUP(AG$2,X819:X$1003,1,FALSE)),IF(X818=AG$2,SUMIF(X$4:X818,AG$2,Z$4:Z818)+VLOOKUP(AF$2,$B$1057:$F$1068,5,FALSE)+SUM(AR$4:AR$1003)+SUMIF(COSTI!$X$1379:$X$1430,AG$2,COSTI!$Z$1379:$Z$1430),0),0)</f>
        <v>#N/A</v>
      </c>
      <c r="AG818" s="859"/>
      <c r="AH818" s="27" t="str">
        <f t="shared" si="150"/>
        <v/>
      </c>
      <c r="AI818" s="152">
        <f ca="1">IF(W819&gt;0,0,IF(AH818=0,(Z818*-1)+BC818+SUM(BB$4:BB817),BC818+SUM(BB$4:BB817)))</f>
        <v>-2.1316282072803006E-13</v>
      </c>
      <c r="AJ818" s="931">
        <f>IF(AND(AL818&gt;=$U$1,AL818&lt;=$U$2),IF(AM818='ESTRATTO CONTO'!$E$2,1+COUNTIF(AJ$4:AJ817,"&gt;0")+U$1015,0),0)</f>
        <v>0</v>
      </c>
      <c r="AK818" s="203">
        <f>IF(AND(OR((AK817+1)&lt;AL$1015,(AK817+1)=AL$1015),MAX(AK$4:AK817)&lt;AL$1015),AK817+1,0)</f>
        <v>0</v>
      </c>
      <c r="AL818" s="309">
        <f>VLOOKUP($AK818,ENTI!$AF$4:AG$1003,2,FALSE)</f>
        <v>0</v>
      </c>
      <c r="AM818" s="224">
        <f>VLOOKUP($AK818,ENTI!$AF$4:AH$1003,3,FALSE)</f>
        <v>0</v>
      </c>
      <c r="AN818" s="224">
        <f>VLOOKUP($AK818,ENTI!$AF$4:AI$1003,4,FALSE)</f>
        <v>0</v>
      </c>
      <c r="AO818" s="781">
        <f>VLOOKUP($AK818,ENTI!$AF$4:AJ$1003,5,FALSE)</f>
        <v>0</v>
      </c>
      <c r="AP818" s="315">
        <f>VLOOKUP($AK818,ENTI!$AF$4:AK$1003,6,FALSE)</f>
        <v>0</v>
      </c>
      <c r="AQ818" s="208">
        <f t="shared" si="157"/>
        <v>0</v>
      </c>
      <c r="AR818" s="152" t="e">
        <f t="shared" si="158"/>
        <v>#N/A</v>
      </c>
      <c r="AS818" s="1"/>
      <c r="AT818" s="88" t="str">
        <f t="shared" si="151"/>
        <v/>
      </c>
      <c r="AU818" s="1"/>
      <c r="AV818" s="175">
        <f>IF(AW818&gt;0,COUNTIF(AV$4:AV817,"&gt;0")+1,0)</f>
        <v>0</v>
      </c>
      <c r="AW818" s="164">
        <f t="shared" si="152"/>
        <v>0</v>
      </c>
      <c r="AX818" s="310">
        <f>IF($AW818=0,0,VLOOKUP(VLOOKUP($X818,$B$34:$T$38,19,FALSE),ENTI!$A$9:$B$13,2,FALSE))</f>
        <v>0</v>
      </c>
      <c r="AY818" s="310">
        <f t="shared" si="154"/>
        <v>0</v>
      </c>
      <c r="AZ818" s="316">
        <f t="shared" si="155"/>
        <v>0</v>
      </c>
      <c r="BA818" s="1"/>
      <c r="BB818" s="152">
        <f t="shared" si="156"/>
        <v>0</v>
      </c>
      <c r="BC818" s="152">
        <f ca="1">SUM(Z$4:Z818)+SUM(BB$4:BB818)+COSTI!S$6-COSTI!L$1076</f>
        <v>-31.760000000000218</v>
      </c>
      <c r="BD818" s="1"/>
    </row>
    <row r="819" spans="1:56" ht="16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435">
        <f>IF(AND(W819&gt;=$U$1,W819&lt;=$U$2),IF(X819='ESTRATTO CONTO'!$E$2,1+COUNTIF(U$4:U818,"&gt;0"),0),0)</f>
        <v>0</v>
      </c>
      <c r="V819" s="417">
        <f t="shared" si="153"/>
        <v>816</v>
      </c>
      <c r="W819" s="509"/>
      <c r="X819" s="321"/>
      <c r="Y819" s="321"/>
      <c r="Z819" s="508"/>
      <c r="AA819" s="356"/>
      <c r="AB819" s="306" t="str">
        <f t="shared" si="149"/>
        <v/>
      </c>
      <c r="AC819" s="637">
        <f t="shared" ca="1" si="148"/>
        <v>-2.1316282072803006E-13</v>
      </c>
      <c r="AD819" s="935">
        <f>IF(ISERROR(VLOOKUP(AD$2,X820:X$1003,1,FALSE)),IF(X819=AD$2,SUMIF(X$4:X819,AD$2,Z$4:Z819)+$E$9+SUM(AQ$4:AQ$1003)+SUMIF(COSTI!$X$1379:$X$1430,AD$2,COSTI!$Z$1379:$Z$1430),0),0)</f>
        <v>0</v>
      </c>
      <c r="AE819" s="26"/>
      <c r="AF819" s="856" t="e">
        <f>IF(ISERROR(VLOOKUP(AG$2,X820:X$1003,1,FALSE)),IF(X819=AG$2,SUMIF(X$4:X819,AG$2,Z$4:Z819)+VLOOKUP(AF$2,$B$1057:$F$1068,5,FALSE)+SUM(AR$4:AR$1003)+SUMIF(COSTI!$X$1379:$X$1430,AG$2,COSTI!$Z$1379:$Z$1430),0),0)</f>
        <v>#N/A</v>
      </c>
      <c r="AG819" s="859"/>
      <c r="AH819" s="27" t="str">
        <f t="shared" si="150"/>
        <v/>
      </c>
      <c r="AI819" s="152">
        <f ca="1">IF(W820&gt;0,0,IF(AH819=0,(Z819*-1)+BC819+SUM(BB$4:BB818),BC819+SUM(BB$4:BB818)))</f>
        <v>-2.1316282072803006E-13</v>
      </c>
      <c r="AJ819" s="931">
        <f>IF(AND(AL819&gt;=$U$1,AL819&lt;=$U$2),IF(AM819='ESTRATTO CONTO'!$E$2,1+COUNTIF(AJ$4:AJ818,"&gt;0")+U$1015,0),0)</f>
        <v>0</v>
      </c>
      <c r="AK819" s="203">
        <f>IF(AND(OR((AK818+1)&lt;AL$1015,(AK818+1)=AL$1015),MAX(AK$4:AK818)&lt;AL$1015),AK818+1,0)</f>
        <v>0</v>
      </c>
      <c r="AL819" s="309">
        <f>VLOOKUP($AK819,ENTI!$AF$4:AG$1003,2,FALSE)</f>
        <v>0</v>
      </c>
      <c r="AM819" s="224">
        <f>VLOOKUP($AK819,ENTI!$AF$4:AH$1003,3,FALSE)</f>
        <v>0</v>
      </c>
      <c r="AN819" s="224">
        <f>VLOOKUP($AK819,ENTI!$AF$4:AI$1003,4,FALSE)</f>
        <v>0</v>
      </c>
      <c r="AO819" s="781">
        <f>VLOOKUP($AK819,ENTI!$AF$4:AJ$1003,5,FALSE)</f>
        <v>0</v>
      </c>
      <c r="AP819" s="315">
        <f>VLOOKUP($AK819,ENTI!$AF$4:AK$1003,6,FALSE)</f>
        <v>0</v>
      </c>
      <c r="AQ819" s="208">
        <f t="shared" si="157"/>
        <v>0</v>
      </c>
      <c r="AR819" s="152" t="e">
        <f t="shared" si="158"/>
        <v>#N/A</v>
      </c>
      <c r="AS819" s="1"/>
      <c r="AT819" s="88" t="str">
        <f t="shared" si="151"/>
        <v/>
      </c>
      <c r="AU819" s="1"/>
      <c r="AV819" s="175">
        <f>IF(AW819&gt;0,COUNTIF(AV$4:AV818,"&gt;0")+1,0)</f>
        <v>0</v>
      </c>
      <c r="AW819" s="164">
        <f t="shared" si="152"/>
        <v>0</v>
      </c>
      <c r="AX819" s="310">
        <f>IF($AW819=0,0,VLOOKUP(VLOOKUP($X819,$B$34:$T$38,19,FALSE),ENTI!$A$9:$B$13,2,FALSE))</f>
        <v>0</v>
      </c>
      <c r="AY819" s="310">
        <f t="shared" si="154"/>
        <v>0</v>
      </c>
      <c r="AZ819" s="316">
        <f t="shared" si="155"/>
        <v>0</v>
      </c>
      <c r="BA819" s="1"/>
      <c r="BB819" s="152">
        <f t="shared" si="156"/>
        <v>0</v>
      </c>
      <c r="BC819" s="152">
        <f ca="1">SUM(Z$4:Z819)+SUM(BB$4:BB819)+COSTI!S$6-COSTI!L$1076</f>
        <v>-31.760000000000218</v>
      </c>
      <c r="BD819" s="1"/>
    </row>
    <row r="820" spans="1:56" ht="16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435">
        <f>IF(AND(W820&gt;=$U$1,W820&lt;=$U$2),IF(X820='ESTRATTO CONTO'!$E$2,1+COUNTIF(U$4:U819,"&gt;0"),0),0)</f>
        <v>0</v>
      </c>
      <c r="V820" s="417">
        <f t="shared" si="153"/>
        <v>817</v>
      </c>
      <c r="W820" s="509"/>
      <c r="X820" s="321"/>
      <c r="Y820" s="321"/>
      <c r="Z820" s="508"/>
      <c r="AA820" s="356"/>
      <c r="AB820" s="306" t="str">
        <f t="shared" si="149"/>
        <v/>
      </c>
      <c r="AC820" s="637">
        <f t="shared" ca="1" si="148"/>
        <v>-2.1316282072803006E-13</v>
      </c>
      <c r="AD820" s="935">
        <f>IF(ISERROR(VLOOKUP(AD$2,X821:X$1003,1,FALSE)),IF(X820=AD$2,SUMIF(X$4:X820,AD$2,Z$4:Z820)+$E$9+SUM(AQ$4:AQ$1003)+SUMIF(COSTI!$X$1379:$X$1430,AD$2,COSTI!$Z$1379:$Z$1430),0),0)</f>
        <v>0</v>
      </c>
      <c r="AE820" s="26"/>
      <c r="AF820" s="856" t="e">
        <f>IF(ISERROR(VLOOKUP(AG$2,X821:X$1003,1,FALSE)),IF(X820=AG$2,SUMIF(X$4:X820,AG$2,Z$4:Z820)+VLOOKUP(AF$2,$B$1057:$F$1068,5,FALSE)+SUM(AR$4:AR$1003)+SUMIF(COSTI!$X$1379:$X$1430,AG$2,COSTI!$Z$1379:$Z$1430),0),0)</f>
        <v>#N/A</v>
      </c>
      <c r="AG820" s="859"/>
      <c r="AH820" s="27" t="str">
        <f t="shared" si="150"/>
        <v/>
      </c>
      <c r="AI820" s="152">
        <f ca="1">IF(W821&gt;0,0,IF(AH820=0,(Z820*-1)+BC820+SUM(BB$4:BB819),BC820+SUM(BB$4:BB819)))</f>
        <v>-2.1316282072803006E-13</v>
      </c>
      <c r="AJ820" s="931">
        <f>IF(AND(AL820&gt;=$U$1,AL820&lt;=$U$2),IF(AM820='ESTRATTO CONTO'!$E$2,1+COUNTIF(AJ$4:AJ819,"&gt;0")+U$1015,0),0)</f>
        <v>0</v>
      </c>
      <c r="AK820" s="203">
        <f>IF(AND(OR((AK819+1)&lt;AL$1015,(AK819+1)=AL$1015),MAX(AK$4:AK819)&lt;AL$1015),AK819+1,0)</f>
        <v>0</v>
      </c>
      <c r="AL820" s="309">
        <f>VLOOKUP($AK820,ENTI!$AF$4:AG$1003,2,FALSE)</f>
        <v>0</v>
      </c>
      <c r="AM820" s="224">
        <f>VLOOKUP($AK820,ENTI!$AF$4:AH$1003,3,FALSE)</f>
        <v>0</v>
      </c>
      <c r="AN820" s="224">
        <f>VLOOKUP($AK820,ENTI!$AF$4:AI$1003,4,FALSE)</f>
        <v>0</v>
      </c>
      <c r="AO820" s="781">
        <f>VLOOKUP($AK820,ENTI!$AF$4:AJ$1003,5,FALSE)</f>
        <v>0</v>
      </c>
      <c r="AP820" s="315">
        <f>VLOOKUP($AK820,ENTI!$AF$4:AK$1003,6,FALSE)</f>
        <v>0</v>
      </c>
      <c r="AQ820" s="208">
        <f t="shared" si="157"/>
        <v>0</v>
      </c>
      <c r="AR820" s="152" t="e">
        <f t="shared" si="158"/>
        <v>#N/A</v>
      </c>
      <c r="AS820" s="1"/>
      <c r="AT820" s="88" t="str">
        <f t="shared" si="151"/>
        <v/>
      </c>
      <c r="AU820" s="1"/>
      <c r="AV820" s="175">
        <f>IF(AW820&gt;0,COUNTIF(AV$4:AV819,"&gt;0")+1,0)</f>
        <v>0</v>
      </c>
      <c r="AW820" s="164">
        <f t="shared" si="152"/>
        <v>0</v>
      </c>
      <c r="AX820" s="310">
        <f>IF($AW820=0,0,VLOOKUP(VLOOKUP($X820,$B$34:$T$38,19,FALSE),ENTI!$A$9:$B$13,2,FALSE))</f>
        <v>0</v>
      </c>
      <c r="AY820" s="310">
        <f t="shared" si="154"/>
        <v>0</v>
      </c>
      <c r="AZ820" s="316">
        <f t="shared" si="155"/>
        <v>0</v>
      </c>
      <c r="BA820" s="1"/>
      <c r="BB820" s="152">
        <f t="shared" si="156"/>
        <v>0</v>
      </c>
      <c r="BC820" s="152">
        <f ca="1">SUM(Z$4:Z820)+SUM(BB$4:BB820)+COSTI!S$6-COSTI!L$1076</f>
        <v>-31.760000000000218</v>
      </c>
      <c r="BD820" s="1"/>
    </row>
    <row r="821" spans="1:56" ht="16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435">
        <f>IF(AND(W821&gt;=$U$1,W821&lt;=$U$2),IF(X821='ESTRATTO CONTO'!$E$2,1+COUNTIF(U$4:U820,"&gt;0"),0),0)</f>
        <v>0</v>
      </c>
      <c r="V821" s="417">
        <f t="shared" si="153"/>
        <v>818</v>
      </c>
      <c r="W821" s="509"/>
      <c r="X821" s="321"/>
      <c r="Y821" s="321"/>
      <c r="Z821" s="508"/>
      <c r="AA821" s="356"/>
      <c r="AB821" s="306" t="str">
        <f t="shared" si="149"/>
        <v/>
      </c>
      <c r="AC821" s="637">
        <f t="shared" ca="1" si="148"/>
        <v>-2.1316282072803006E-13</v>
      </c>
      <c r="AD821" s="935">
        <f>IF(ISERROR(VLOOKUP(AD$2,X822:X$1003,1,FALSE)),IF(X821=AD$2,SUMIF(X$4:X821,AD$2,Z$4:Z821)+$E$9+SUM(AQ$4:AQ$1003)+SUMIF(COSTI!$X$1379:$X$1430,AD$2,COSTI!$Z$1379:$Z$1430),0),0)</f>
        <v>0</v>
      </c>
      <c r="AE821" s="26"/>
      <c r="AF821" s="856" t="e">
        <f>IF(ISERROR(VLOOKUP(AG$2,X822:X$1003,1,FALSE)),IF(X821=AG$2,SUMIF(X$4:X821,AG$2,Z$4:Z821)+VLOOKUP(AF$2,$B$1057:$F$1068,5,FALSE)+SUM(AR$4:AR$1003)+SUMIF(COSTI!$X$1379:$X$1430,AG$2,COSTI!$Z$1379:$Z$1430),0),0)</f>
        <v>#N/A</v>
      </c>
      <c r="AG821" s="859"/>
      <c r="AH821" s="27" t="str">
        <f t="shared" si="150"/>
        <v/>
      </c>
      <c r="AI821" s="152">
        <f ca="1">IF(W822&gt;0,0,IF(AH821=0,(Z821*-1)+BC821+SUM(BB$4:BB820),BC821+SUM(BB$4:BB820)))</f>
        <v>-2.1316282072803006E-13</v>
      </c>
      <c r="AJ821" s="931">
        <f>IF(AND(AL821&gt;=$U$1,AL821&lt;=$U$2),IF(AM821='ESTRATTO CONTO'!$E$2,1+COUNTIF(AJ$4:AJ820,"&gt;0")+U$1015,0),0)</f>
        <v>0</v>
      </c>
      <c r="AK821" s="203">
        <f>IF(AND(OR((AK820+1)&lt;AL$1015,(AK820+1)=AL$1015),MAX(AK$4:AK820)&lt;AL$1015),AK820+1,0)</f>
        <v>0</v>
      </c>
      <c r="AL821" s="309">
        <f>VLOOKUP($AK821,ENTI!$AF$4:AG$1003,2,FALSE)</f>
        <v>0</v>
      </c>
      <c r="AM821" s="224">
        <f>VLOOKUP($AK821,ENTI!$AF$4:AH$1003,3,FALSE)</f>
        <v>0</v>
      </c>
      <c r="AN821" s="224">
        <f>VLOOKUP($AK821,ENTI!$AF$4:AI$1003,4,FALSE)</f>
        <v>0</v>
      </c>
      <c r="AO821" s="781">
        <f>VLOOKUP($AK821,ENTI!$AF$4:AJ$1003,5,FALSE)</f>
        <v>0</v>
      </c>
      <c r="AP821" s="315">
        <f>VLOOKUP($AK821,ENTI!$AF$4:AK$1003,6,FALSE)</f>
        <v>0</v>
      </c>
      <c r="AQ821" s="208">
        <f t="shared" si="157"/>
        <v>0</v>
      </c>
      <c r="AR821" s="152" t="e">
        <f t="shared" si="158"/>
        <v>#N/A</v>
      </c>
      <c r="AS821" s="1"/>
      <c r="AT821" s="88" t="str">
        <f t="shared" si="151"/>
        <v/>
      </c>
      <c r="AU821" s="1"/>
      <c r="AV821" s="175">
        <f>IF(AW821&gt;0,COUNTIF(AV$4:AV820,"&gt;0")+1,0)</f>
        <v>0</v>
      </c>
      <c r="AW821" s="164">
        <f t="shared" si="152"/>
        <v>0</v>
      </c>
      <c r="AX821" s="310">
        <f>IF($AW821=0,0,VLOOKUP(VLOOKUP($X821,$B$34:$T$38,19,FALSE),ENTI!$A$9:$B$13,2,FALSE))</f>
        <v>0</v>
      </c>
      <c r="AY821" s="310">
        <f t="shared" si="154"/>
        <v>0</v>
      </c>
      <c r="AZ821" s="316">
        <f t="shared" si="155"/>
        <v>0</v>
      </c>
      <c r="BA821" s="1"/>
      <c r="BB821" s="152">
        <f t="shared" si="156"/>
        <v>0</v>
      </c>
      <c r="BC821" s="152">
        <f ca="1">SUM(Z$4:Z821)+SUM(BB$4:BB821)+COSTI!S$6-COSTI!L$1076</f>
        <v>-31.760000000000218</v>
      </c>
      <c r="BD821" s="1"/>
    </row>
    <row r="822" spans="1:56" ht="16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435">
        <f>IF(AND(W822&gt;=$U$1,W822&lt;=$U$2),IF(X822='ESTRATTO CONTO'!$E$2,1+COUNTIF(U$4:U821,"&gt;0"),0),0)</f>
        <v>0</v>
      </c>
      <c r="V822" s="417">
        <f t="shared" si="153"/>
        <v>819</v>
      </c>
      <c r="W822" s="509"/>
      <c r="X822" s="321"/>
      <c r="Y822" s="321"/>
      <c r="Z822" s="508"/>
      <c r="AA822" s="356"/>
      <c r="AB822" s="306" t="str">
        <f t="shared" si="149"/>
        <v/>
      </c>
      <c r="AC822" s="637">
        <f t="shared" ca="1" si="148"/>
        <v>-2.1316282072803006E-13</v>
      </c>
      <c r="AD822" s="935">
        <f>IF(ISERROR(VLOOKUP(AD$2,X823:X$1003,1,FALSE)),IF(X822=AD$2,SUMIF(X$4:X822,AD$2,Z$4:Z822)+$E$9+SUM(AQ$4:AQ$1003)+SUMIF(COSTI!$X$1379:$X$1430,AD$2,COSTI!$Z$1379:$Z$1430),0),0)</f>
        <v>0</v>
      </c>
      <c r="AE822" s="26"/>
      <c r="AF822" s="856" t="e">
        <f>IF(ISERROR(VLOOKUP(AG$2,X823:X$1003,1,FALSE)),IF(X822=AG$2,SUMIF(X$4:X822,AG$2,Z$4:Z822)+VLOOKUP(AF$2,$B$1057:$F$1068,5,FALSE)+SUM(AR$4:AR$1003)+SUMIF(COSTI!$X$1379:$X$1430,AG$2,COSTI!$Z$1379:$Z$1430),0),0)</f>
        <v>#N/A</v>
      </c>
      <c r="AG822" s="859"/>
      <c r="AH822" s="27" t="str">
        <f t="shared" si="150"/>
        <v/>
      </c>
      <c r="AI822" s="152">
        <f ca="1">IF(W823&gt;0,0,IF(AH822=0,(Z822*-1)+BC822+SUM(BB$4:BB821),BC822+SUM(BB$4:BB821)))</f>
        <v>-2.1316282072803006E-13</v>
      </c>
      <c r="AJ822" s="931">
        <f>IF(AND(AL822&gt;=$U$1,AL822&lt;=$U$2),IF(AM822='ESTRATTO CONTO'!$E$2,1+COUNTIF(AJ$4:AJ821,"&gt;0")+U$1015,0),0)</f>
        <v>0</v>
      </c>
      <c r="AK822" s="203">
        <f>IF(AND(OR((AK821+1)&lt;AL$1015,(AK821+1)=AL$1015),MAX(AK$4:AK821)&lt;AL$1015),AK821+1,0)</f>
        <v>0</v>
      </c>
      <c r="AL822" s="309">
        <f>VLOOKUP($AK822,ENTI!$AF$4:AG$1003,2,FALSE)</f>
        <v>0</v>
      </c>
      <c r="AM822" s="224">
        <f>VLOOKUP($AK822,ENTI!$AF$4:AH$1003,3,FALSE)</f>
        <v>0</v>
      </c>
      <c r="AN822" s="224">
        <f>VLOOKUP($AK822,ENTI!$AF$4:AI$1003,4,FALSE)</f>
        <v>0</v>
      </c>
      <c r="AO822" s="781">
        <f>VLOOKUP($AK822,ENTI!$AF$4:AJ$1003,5,FALSE)</f>
        <v>0</v>
      </c>
      <c r="AP822" s="315">
        <f>VLOOKUP($AK822,ENTI!$AF$4:AK$1003,6,FALSE)</f>
        <v>0</v>
      </c>
      <c r="AQ822" s="208">
        <f t="shared" si="157"/>
        <v>0</v>
      </c>
      <c r="AR822" s="152" t="e">
        <f t="shared" si="158"/>
        <v>#N/A</v>
      </c>
      <c r="AS822" s="1"/>
      <c r="AT822" s="88" t="str">
        <f t="shared" si="151"/>
        <v/>
      </c>
      <c r="AU822" s="1"/>
      <c r="AV822" s="175">
        <f>IF(AW822&gt;0,COUNTIF(AV$4:AV821,"&gt;0")+1,0)</f>
        <v>0</v>
      </c>
      <c r="AW822" s="164">
        <f t="shared" si="152"/>
        <v>0</v>
      </c>
      <c r="AX822" s="310">
        <f>IF($AW822=0,0,VLOOKUP(VLOOKUP($X822,$B$34:$T$38,19,FALSE),ENTI!$A$9:$B$13,2,FALSE))</f>
        <v>0</v>
      </c>
      <c r="AY822" s="310">
        <f t="shared" si="154"/>
        <v>0</v>
      </c>
      <c r="AZ822" s="316">
        <f t="shared" si="155"/>
        <v>0</v>
      </c>
      <c r="BA822" s="1"/>
      <c r="BB822" s="152">
        <f t="shared" si="156"/>
        <v>0</v>
      </c>
      <c r="BC822" s="152">
        <f ca="1">SUM(Z$4:Z822)+SUM(BB$4:BB822)+COSTI!S$6-COSTI!L$1076</f>
        <v>-31.760000000000218</v>
      </c>
      <c r="BD822" s="1"/>
    </row>
    <row r="823" spans="1:56" ht="16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435">
        <f>IF(AND(W823&gt;=$U$1,W823&lt;=$U$2),IF(X823='ESTRATTO CONTO'!$E$2,1+COUNTIF(U$4:U822,"&gt;0"),0),0)</f>
        <v>0</v>
      </c>
      <c r="V823" s="417">
        <f t="shared" si="153"/>
        <v>820</v>
      </c>
      <c r="W823" s="509"/>
      <c r="X823" s="321"/>
      <c r="Y823" s="321"/>
      <c r="Z823" s="508"/>
      <c r="AA823" s="356"/>
      <c r="AB823" s="306" t="str">
        <f t="shared" si="149"/>
        <v/>
      </c>
      <c r="AC823" s="637">
        <f t="shared" ca="1" si="148"/>
        <v>-2.1316282072803006E-13</v>
      </c>
      <c r="AD823" s="935">
        <f>IF(ISERROR(VLOOKUP(AD$2,X824:X$1003,1,FALSE)),IF(X823=AD$2,SUMIF(X$4:X823,AD$2,Z$4:Z823)+$E$9+SUM(AQ$4:AQ$1003)+SUMIF(COSTI!$X$1379:$X$1430,AD$2,COSTI!$Z$1379:$Z$1430),0),0)</f>
        <v>0</v>
      </c>
      <c r="AE823" s="26"/>
      <c r="AF823" s="856" t="e">
        <f>IF(ISERROR(VLOOKUP(AG$2,X824:X$1003,1,FALSE)),IF(X823=AG$2,SUMIF(X$4:X823,AG$2,Z$4:Z823)+VLOOKUP(AF$2,$B$1057:$F$1068,5,FALSE)+SUM(AR$4:AR$1003)+SUMIF(COSTI!$X$1379:$X$1430,AG$2,COSTI!$Z$1379:$Z$1430),0),0)</f>
        <v>#N/A</v>
      </c>
      <c r="AG823" s="859"/>
      <c r="AH823" s="27" t="str">
        <f t="shared" si="150"/>
        <v/>
      </c>
      <c r="AI823" s="152">
        <f ca="1">IF(W824&gt;0,0,IF(AH823=0,(Z823*-1)+BC823+SUM(BB$4:BB822),BC823+SUM(BB$4:BB822)))</f>
        <v>-2.1316282072803006E-13</v>
      </c>
      <c r="AJ823" s="931">
        <f>IF(AND(AL823&gt;=$U$1,AL823&lt;=$U$2),IF(AM823='ESTRATTO CONTO'!$E$2,1+COUNTIF(AJ$4:AJ822,"&gt;0")+U$1015,0),0)</f>
        <v>0</v>
      </c>
      <c r="AK823" s="203">
        <f>IF(AND(OR((AK822+1)&lt;AL$1015,(AK822+1)=AL$1015),MAX(AK$4:AK822)&lt;AL$1015),AK822+1,0)</f>
        <v>0</v>
      </c>
      <c r="AL823" s="309">
        <f>VLOOKUP($AK823,ENTI!$AF$4:AG$1003,2,FALSE)</f>
        <v>0</v>
      </c>
      <c r="AM823" s="224">
        <f>VLOOKUP($AK823,ENTI!$AF$4:AH$1003,3,FALSE)</f>
        <v>0</v>
      </c>
      <c r="AN823" s="224">
        <f>VLOOKUP($AK823,ENTI!$AF$4:AI$1003,4,FALSE)</f>
        <v>0</v>
      </c>
      <c r="AO823" s="781">
        <f>VLOOKUP($AK823,ENTI!$AF$4:AJ$1003,5,FALSE)</f>
        <v>0</v>
      </c>
      <c r="AP823" s="315">
        <f>VLOOKUP($AK823,ENTI!$AF$4:AK$1003,6,FALSE)</f>
        <v>0</v>
      </c>
      <c r="AQ823" s="208">
        <f t="shared" si="157"/>
        <v>0</v>
      </c>
      <c r="AR823" s="152" t="e">
        <f t="shared" si="158"/>
        <v>#N/A</v>
      </c>
      <c r="AS823" s="1"/>
      <c r="AT823" s="88" t="str">
        <f t="shared" si="151"/>
        <v/>
      </c>
      <c r="AU823" s="1"/>
      <c r="AV823" s="175">
        <f>IF(AW823&gt;0,COUNTIF(AV$4:AV822,"&gt;0")+1,0)</f>
        <v>0</v>
      </c>
      <c r="AW823" s="164">
        <f t="shared" si="152"/>
        <v>0</v>
      </c>
      <c r="AX823" s="310">
        <f>IF($AW823=0,0,VLOOKUP(VLOOKUP($X823,$B$34:$T$38,19,FALSE),ENTI!$A$9:$B$13,2,FALSE))</f>
        <v>0</v>
      </c>
      <c r="AY823" s="310">
        <f t="shared" si="154"/>
        <v>0</v>
      </c>
      <c r="AZ823" s="316">
        <f t="shared" si="155"/>
        <v>0</v>
      </c>
      <c r="BA823" s="1"/>
      <c r="BB823" s="152">
        <f t="shared" si="156"/>
        <v>0</v>
      </c>
      <c r="BC823" s="152">
        <f ca="1">SUM(Z$4:Z823)+SUM(BB$4:BB823)+COSTI!S$6-COSTI!L$1076</f>
        <v>-31.760000000000218</v>
      </c>
      <c r="BD823" s="1"/>
    </row>
    <row r="824" spans="1:56" ht="16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435">
        <f>IF(AND(W824&gt;=$U$1,W824&lt;=$U$2),IF(X824='ESTRATTO CONTO'!$E$2,1+COUNTIF(U$4:U823,"&gt;0"),0),0)</f>
        <v>0</v>
      </c>
      <c r="V824" s="417">
        <f t="shared" si="153"/>
        <v>821</v>
      </c>
      <c r="W824" s="509"/>
      <c r="X824" s="321"/>
      <c r="Y824" s="321"/>
      <c r="Z824" s="508"/>
      <c r="AA824" s="356"/>
      <c r="AB824" s="306" t="str">
        <f t="shared" si="149"/>
        <v/>
      </c>
      <c r="AC824" s="637">
        <f t="shared" ca="1" si="148"/>
        <v>-2.1316282072803006E-13</v>
      </c>
      <c r="AD824" s="935">
        <f>IF(ISERROR(VLOOKUP(AD$2,X825:X$1003,1,FALSE)),IF(X824=AD$2,SUMIF(X$4:X824,AD$2,Z$4:Z824)+$E$9+SUM(AQ$4:AQ$1003)+SUMIF(COSTI!$X$1379:$X$1430,AD$2,COSTI!$Z$1379:$Z$1430),0),0)</f>
        <v>0</v>
      </c>
      <c r="AE824" s="26"/>
      <c r="AF824" s="856" t="e">
        <f>IF(ISERROR(VLOOKUP(AG$2,X825:X$1003,1,FALSE)),IF(X824=AG$2,SUMIF(X$4:X824,AG$2,Z$4:Z824)+VLOOKUP(AF$2,$B$1057:$F$1068,5,FALSE)+SUM(AR$4:AR$1003)+SUMIF(COSTI!$X$1379:$X$1430,AG$2,COSTI!$Z$1379:$Z$1430),0),0)</f>
        <v>#N/A</v>
      </c>
      <c r="AG824" s="859"/>
      <c r="AH824" s="27" t="str">
        <f t="shared" si="150"/>
        <v/>
      </c>
      <c r="AI824" s="152">
        <f ca="1">IF(W825&gt;0,0,IF(AH824=0,(Z824*-1)+BC824+SUM(BB$4:BB823),BC824+SUM(BB$4:BB823)))</f>
        <v>-2.1316282072803006E-13</v>
      </c>
      <c r="AJ824" s="931">
        <f>IF(AND(AL824&gt;=$U$1,AL824&lt;=$U$2),IF(AM824='ESTRATTO CONTO'!$E$2,1+COUNTIF(AJ$4:AJ823,"&gt;0")+U$1015,0),0)</f>
        <v>0</v>
      </c>
      <c r="AK824" s="203">
        <f>IF(AND(OR((AK823+1)&lt;AL$1015,(AK823+1)=AL$1015),MAX(AK$4:AK823)&lt;AL$1015),AK823+1,0)</f>
        <v>0</v>
      </c>
      <c r="AL824" s="309">
        <f>VLOOKUP($AK824,ENTI!$AF$4:AG$1003,2,FALSE)</f>
        <v>0</v>
      </c>
      <c r="AM824" s="224">
        <f>VLOOKUP($AK824,ENTI!$AF$4:AH$1003,3,FALSE)</f>
        <v>0</v>
      </c>
      <c r="AN824" s="224">
        <f>VLOOKUP($AK824,ENTI!$AF$4:AI$1003,4,FALSE)</f>
        <v>0</v>
      </c>
      <c r="AO824" s="781">
        <f>VLOOKUP($AK824,ENTI!$AF$4:AJ$1003,5,FALSE)</f>
        <v>0</v>
      </c>
      <c r="AP824" s="315">
        <f>VLOOKUP($AK824,ENTI!$AF$4:AK$1003,6,FALSE)</f>
        <v>0</v>
      </c>
      <c r="AQ824" s="208">
        <f t="shared" si="157"/>
        <v>0</v>
      </c>
      <c r="AR824" s="152" t="e">
        <f t="shared" si="158"/>
        <v>#N/A</v>
      </c>
      <c r="AS824" s="1"/>
      <c r="AT824" s="88" t="str">
        <f t="shared" si="151"/>
        <v/>
      </c>
      <c r="AU824" s="1"/>
      <c r="AV824" s="175">
        <f>IF(AW824&gt;0,COUNTIF(AV$4:AV823,"&gt;0")+1,0)</f>
        <v>0</v>
      </c>
      <c r="AW824" s="164">
        <f t="shared" si="152"/>
        <v>0</v>
      </c>
      <c r="AX824" s="310">
        <f>IF($AW824=0,0,VLOOKUP(VLOOKUP($X824,$B$34:$T$38,19,FALSE),ENTI!$A$9:$B$13,2,FALSE))</f>
        <v>0</v>
      </c>
      <c r="AY824" s="310">
        <f t="shared" si="154"/>
        <v>0</v>
      </c>
      <c r="AZ824" s="316">
        <f t="shared" si="155"/>
        <v>0</v>
      </c>
      <c r="BA824" s="1"/>
      <c r="BB824" s="152">
        <f t="shared" si="156"/>
        <v>0</v>
      </c>
      <c r="BC824" s="152">
        <f ca="1">SUM(Z$4:Z824)+SUM(BB$4:BB824)+COSTI!S$6-COSTI!L$1076</f>
        <v>-31.760000000000218</v>
      </c>
      <c r="BD824" s="1"/>
    </row>
    <row r="825" spans="1:56" ht="16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435">
        <f>IF(AND(W825&gt;=$U$1,W825&lt;=$U$2),IF(X825='ESTRATTO CONTO'!$E$2,1+COUNTIF(U$4:U824,"&gt;0"),0),0)</f>
        <v>0</v>
      </c>
      <c r="V825" s="417">
        <f t="shared" si="153"/>
        <v>822</v>
      </c>
      <c r="W825" s="509"/>
      <c r="X825" s="321"/>
      <c r="Y825" s="321"/>
      <c r="Z825" s="508"/>
      <c r="AA825" s="356"/>
      <c r="AB825" s="306" t="str">
        <f t="shared" si="149"/>
        <v/>
      </c>
      <c r="AC825" s="637">
        <f t="shared" ref="AC825:AC888" ca="1" si="159">AI825</f>
        <v>-2.1316282072803006E-13</v>
      </c>
      <c r="AD825" s="935">
        <f>IF(ISERROR(VLOOKUP(AD$2,X826:X$1003,1,FALSE)),IF(X825=AD$2,SUMIF(X$4:X825,AD$2,Z$4:Z825)+$E$9+SUM(AQ$4:AQ$1003)+SUMIF(COSTI!$X$1379:$X$1430,AD$2,COSTI!$Z$1379:$Z$1430),0),0)</f>
        <v>0</v>
      </c>
      <c r="AE825" s="26"/>
      <c r="AF825" s="856" t="e">
        <f>IF(ISERROR(VLOOKUP(AG$2,X826:X$1003,1,FALSE)),IF(X825=AG$2,SUMIF(X$4:X825,AG$2,Z$4:Z825)+VLOOKUP(AF$2,$B$1057:$F$1068,5,FALSE)+SUM(AR$4:AR$1003)+SUMIF(COSTI!$X$1379:$X$1430,AG$2,COSTI!$Z$1379:$Z$1430),0),0)</f>
        <v>#N/A</v>
      </c>
      <c r="AG825" s="859"/>
      <c r="AH825" s="27" t="str">
        <f t="shared" si="150"/>
        <v/>
      </c>
      <c r="AI825" s="152">
        <f ca="1">IF(W826&gt;0,0,IF(AH825=0,(Z825*-1)+BC825+SUM(BB$4:BB824),BC825+SUM(BB$4:BB824)))</f>
        <v>-2.1316282072803006E-13</v>
      </c>
      <c r="AJ825" s="931">
        <f>IF(AND(AL825&gt;=$U$1,AL825&lt;=$U$2),IF(AM825='ESTRATTO CONTO'!$E$2,1+COUNTIF(AJ$4:AJ824,"&gt;0")+U$1015,0),0)</f>
        <v>0</v>
      </c>
      <c r="AK825" s="203">
        <f>IF(AND(OR((AK824+1)&lt;AL$1015,(AK824+1)=AL$1015),MAX(AK$4:AK824)&lt;AL$1015),AK824+1,0)</f>
        <v>0</v>
      </c>
      <c r="AL825" s="309">
        <f>VLOOKUP($AK825,ENTI!$AF$4:AG$1003,2,FALSE)</f>
        <v>0</v>
      </c>
      <c r="AM825" s="224">
        <f>VLOOKUP($AK825,ENTI!$AF$4:AH$1003,3,FALSE)</f>
        <v>0</v>
      </c>
      <c r="AN825" s="224">
        <f>VLOOKUP($AK825,ENTI!$AF$4:AI$1003,4,FALSE)</f>
        <v>0</v>
      </c>
      <c r="AO825" s="781">
        <f>VLOOKUP($AK825,ENTI!$AF$4:AJ$1003,5,FALSE)</f>
        <v>0</v>
      </c>
      <c r="AP825" s="315">
        <f>VLOOKUP($AK825,ENTI!$AF$4:AK$1003,6,FALSE)</f>
        <v>0</v>
      </c>
      <c r="AQ825" s="208">
        <f t="shared" si="157"/>
        <v>0</v>
      </c>
      <c r="AR825" s="152" t="e">
        <f t="shared" si="158"/>
        <v>#N/A</v>
      </c>
      <c r="AS825" s="1"/>
      <c r="AT825" s="88" t="str">
        <f t="shared" si="151"/>
        <v/>
      </c>
      <c r="AU825" s="1"/>
      <c r="AV825" s="175">
        <f>IF(AW825&gt;0,COUNTIF(AV$4:AV824,"&gt;0")+1,0)</f>
        <v>0</v>
      </c>
      <c r="AW825" s="164">
        <f t="shared" si="152"/>
        <v>0</v>
      </c>
      <c r="AX825" s="310">
        <f>IF($AW825=0,0,VLOOKUP(VLOOKUP($X825,$B$34:$T$38,19,FALSE),ENTI!$A$9:$B$13,2,FALSE))</f>
        <v>0</v>
      </c>
      <c r="AY825" s="310">
        <f t="shared" si="154"/>
        <v>0</v>
      </c>
      <c r="AZ825" s="316">
        <f t="shared" si="155"/>
        <v>0</v>
      </c>
      <c r="BA825" s="1"/>
      <c r="BB825" s="152">
        <f t="shared" si="156"/>
        <v>0</v>
      </c>
      <c r="BC825" s="152">
        <f ca="1">SUM(Z$4:Z825)+SUM(BB$4:BB825)+COSTI!S$6-COSTI!L$1076</f>
        <v>-31.760000000000218</v>
      </c>
      <c r="BD825" s="1"/>
    </row>
    <row r="826" spans="1:56" ht="16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435">
        <f>IF(AND(W826&gt;=$U$1,W826&lt;=$U$2),IF(X826='ESTRATTO CONTO'!$E$2,1+COUNTIF(U$4:U825,"&gt;0"),0),0)</f>
        <v>0</v>
      </c>
      <c r="V826" s="417">
        <f t="shared" si="153"/>
        <v>823</v>
      </c>
      <c r="W826" s="509"/>
      <c r="X826" s="321"/>
      <c r="Y826" s="321"/>
      <c r="Z826" s="508"/>
      <c r="AA826" s="356"/>
      <c r="AB826" s="306" t="str">
        <f t="shared" si="149"/>
        <v/>
      </c>
      <c r="AC826" s="637">
        <f t="shared" ca="1" si="159"/>
        <v>-2.1316282072803006E-13</v>
      </c>
      <c r="AD826" s="935">
        <f>IF(ISERROR(VLOOKUP(AD$2,X827:X$1003,1,FALSE)),IF(X826=AD$2,SUMIF(X$4:X826,AD$2,Z$4:Z826)+$E$9+SUM(AQ$4:AQ$1003)+SUMIF(COSTI!$X$1379:$X$1430,AD$2,COSTI!$Z$1379:$Z$1430),0),0)</f>
        <v>0</v>
      </c>
      <c r="AE826" s="26"/>
      <c r="AF826" s="856" t="e">
        <f>IF(ISERROR(VLOOKUP(AG$2,X827:X$1003,1,FALSE)),IF(X826=AG$2,SUMIF(X$4:X826,AG$2,Z$4:Z826)+VLOOKUP(AF$2,$B$1057:$F$1068,5,FALSE)+SUM(AR$4:AR$1003)+SUMIF(COSTI!$X$1379:$X$1430,AG$2,COSTI!$Z$1379:$Z$1430),0),0)</f>
        <v>#N/A</v>
      </c>
      <c r="AG826" s="859"/>
      <c r="AH826" s="27" t="str">
        <f t="shared" si="150"/>
        <v/>
      </c>
      <c r="AI826" s="152">
        <f ca="1">IF(W827&gt;0,0,IF(AH826=0,(Z826*-1)+BC826+SUM(BB$4:BB825),BC826+SUM(BB$4:BB825)))</f>
        <v>-2.1316282072803006E-13</v>
      </c>
      <c r="AJ826" s="931">
        <f>IF(AND(AL826&gt;=$U$1,AL826&lt;=$U$2),IF(AM826='ESTRATTO CONTO'!$E$2,1+COUNTIF(AJ$4:AJ825,"&gt;0")+U$1015,0),0)</f>
        <v>0</v>
      </c>
      <c r="AK826" s="203">
        <f>IF(AND(OR((AK825+1)&lt;AL$1015,(AK825+1)=AL$1015),MAX(AK$4:AK825)&lt;AL$1015),AK825+1,0)</f>
        <v>0</v>
      </c>
      <c r="AL826" s="309">
        <f>VLOOKUP($AK826,ENTI!$AF$4:AG$1003,2,FALSE)</f>
        <v>0</v>
      </c>
      <c r="AM826" s="224">
        <f>VLOOKUP($AK826,ENTI!$AF$4:AH$1003,3,FALSE)</f>
        <v>0</v>
      </c>
      <c r="AN826" s="224">
        <f>VLOOKUP($AK826,ENTI!$AF$4:AI$1003,4,FALSE)</f>
        <v>0</v>
      </c>
      <c r="AO826" s="781">
        <f>VLOOKUP($AK826,ENTI!$AF$4:AJ$1003,5,FALSE)</f>
        <v>0</v>
      </c>
      <c r="AP826" s="315">
        <f>VLOOKUP($AK826,ENTI!$AF$4:AK$1003,6,FALSE)</f>
        <v>0</v>
      </c>
      <c r="AQ826" s="208">
        <f t="shared" si="157"/>
        <v>0</v>
      </c>
      <c r="AR826" s="152" t="e">
        <f t="shared" si="158"/>
        <v>#N/A</v>
      </c>
      <c r="AS826" s="1"/>
      <c r="AT826" s="88" t="str">
        <f t="shared" si="151"/>
        <v/>
      </c>
      <c r="AU826" s="1"/>
      <c r="AV826" s="175">
        <f>IF(AW826&gt;0,COUNTIF(AV$4:AV825,"&gt;0")+1,0)</f>
        <v>0</v>
      </c>
      <c r="AW826" s="164">
        <f t="shared" si="152"/>
        <v>0</v>
      </c>
      <c r="AX826" s="310">
        <f>IF($AW826=0,0,VLOOKUP(VLOOKUP($X826,$B$34:$T$38,19,FALSE),ENTI!$A$9:$B$13,2,FALSE))</f>
        <v>0</v>
      </c>
      <c r="AY826" s="310">
        <f t="shared" si="154"/>
        <v>0</v>
      </c>
      <c r="AZ826" s="316">
        <f t="shared" si="155"/>
        <v>0</v>
      </c>
      <c r="BA826" s="1"/>
      <c r="BB826" s="152">
        <f t="shared" si="156"/>
        <v>0</v>
      </c>
      <c r="BC826" s="152">
        <f ca="1">SUM(Z$4:Z826)+SUM(BB$4:BB826)+COSTI!S$6-COSTI!L$1076</f>
        <v>-31.760000000000218</v>
      </c>
      <c r="BD826" s="1"/>
    </row>
    <row r="827" spans="1:56" ht="16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435">
        <f>IF(AND(W827&gt;=$U$1,W827&lt;=$U$2),IF(X827='ESTRATTO CONTO'!$E$2,1+COUNTIF(U$4:U826,"&gt;0"),0),0)</f>
        <v>0</v>
      </c>
      <c r="V827" s="417">
        <f t="shared" si="153"/>
        <v>824</v>
      </c>
      <c r="W827" s="509"/>
      <c r="X827" s="321"/>
      <c r="Y827" s="321"/>
      <c r="Z827" s="508"/>
      <c r="AA827" s="356"/>
      <c r="AB827" s="306" t="str">
        <f t="shared" si="149"/>
        <v/>
      </c>
      <c r="AC827" s="637">
        <f t="shared" ca="1" si="159"/>
        <v>-2.1316282072803006E-13</v>
      </c>
      <c r="AD827" s="935">
        <f>IF(ISERROR(VLOOKUP(AD$2,X828:X$1003,1,FALSE)),IF(X827=AD$2,SUMIF(X$4:X827,AD$2,Z$4:Z827)+$E$9+SUM(AQ$4:AQ$1003)+SUMIF(COSTI!$X$1379:$X$1430,AD$2,COSTI!$Z$1379:$Z$1430),0),0)</f>
        <v>0</v>
      </c>
      <c r="AE827" s="26"/>
      <c r="AF827" s="856" t="e">
        <f>IF(ISERROR(VLOOKUP(AG$2,X828:X$1003,1,FALSE)),IF(X827=AG$2,SUMIF(X$4:X827,AG$2,Z$4:Z827)+VLOOKUP(AF$2,$B$1057:$F$1068,5,FALSE)+SUM(AR$4:AR$1003)+SUMIF(COSTI!$X$1379:$X$1430,AG$2,COSTI!$Z$1379:$Z$1430),0),0)</f>
        <v>#N/A</v>
      </c>
      <c r="AG827" s="859"/>
      <c r="AH827" s="27" t="str">
        <f t="shared" si="150"/>
        <v/>
      </c>
      <c r="AI827" s="152">
        <f ca="1">IF(W828&gt;0,0,IF(AH827=0,(Z827*-1)+BC827+SUM(BB$4:BB826),BC827+SUM(BB$4:BB826)))</f>
        <v>-2.1316282072803006E-13</v>
      </c>
      <c r="AJ827" s="931">
        <f>IF(AND(AL827&gt;=$U$1,AL827&lt;=$U$2),IF(AM827='ESTRATTO CONTO'!$E$2,1+COUNTIF(AJ$4:AJ826,"&gt;0")+U$1015,0),0)</f>
        <v>0</v>
      </c>
      <c r="AK827" s="203">
        <f>IF(AND(OR((AK826+1)&lt;AL$1015,(AK826+1)=AL$1015),MAX(AK$4:AK826)&lt;AL$1015),AK826+1,0)</f>
        <v>0</v>
      </c>
      <c r="AL827" s="309">
        <f>VLOOKUP($AK827,ENTI!$AF$4:AG$1003,2,FALSE)</f>
        <v>0</v>
      </c>
      <c r="AM827" s="224">
        <f>VLOOKUP($AK827,ENTI!$AF$4:AH$1003,3,FALSE)</f>
        <v>0</v>
      </c>
      <c r="AN827" s="224">
        <f>VLOOKUP($AK827,ENTI!$AF$4:AI$1003,4,FALSE)</f>
        <v>0</v>
      </c>
      <c r="AO827" s="781">
        <f>VLOOKUP($AK827,ENTI!$AF$4:AJ$1003,5,FALSE)</f>
        <v>0</v>
      </c>
      <c r="AP827" s="315">
        <f>VLOOKUP($AK827,ENTI!$AF$4:AK$1003,6,FALSE)</f>
        <v>0</v>
      </c>
      <c r="AQ827" s="208">
        <f t="shared" si="157"/>
        <v>0</v>
      </c>
      <c r="AR827" s="152" t="e">
        <f t="shared" si="158"/>
        <v>#N/A</v>
      </c>
      <c r="AS827" s="1"/>
      <c r="AT827" s="88" t="str">
        <f t="shared" si="151"/>
        <v/>
      </c>
      <c r="AU827" s="1"/>
      <c r="AV827" s="175">
        <f>IF(AW827&gt;0,COUNTIF(AV$4:AV826,"&gt;0")+1,0)</f>
        <v>0</v>
      </c>
      <c r="AW827" s="164">
        <f t="shared" si="152"/>
        <v>0</v>
      </c>
      <c r="AX827" s="310">
        <f>IF($AW827=0,0,VLOOKUP(VLOOKUP($X827,$B$34:$T$38,19,FALSE),ENTI!$A$9:$B$13,2,FALSE))</f>
        <v>0</v>
      </c>
      <c r="AY827" s="310">
        <f t="shared" si="154"/>
        <v>0</v>
      </c>
      <c r="AZ827" s="316">
        <f t="shared" si="155"/>
        <v>0</v>
      </c>
      <c r="BA827" s="1"/>
      <c r="BB827" s="152">
        <f t="shared" si="156"/>
        <v>0</v>
      </c>
      <c r="BC827" s="152">
        <f ca="1">SUM(Z$4:Z827)+SUM(BB$4:BB827)+COSTI!S$6-COSTI!L$1076</f>
        <v>-31.760000000000218</v>
      </c>
      <c r="BD827" s="1"/>
    </row>
    <row r="828" spans="1:56" ht="16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435">
        <f>IF(AND(W828&gt;=$U$1,W828&lt;=$U$2),IF(X828='ESTRATTO CONTO'!$E$2,1+COUNTIF(U$4:U827,"&gt;0"),0),0)</f>
        <v>0</v>
      </c>
      <c r="V828" s="417">
        <f t="shared" si="153"/>
        <v>825</v>
      </c>
      <c r="W828" s="509"/>
      <c r="X828" s="321"/>
      <c r="Y828" s="321"/>
      <c r="Z828" s="508"/>
      <c r="AA828" s="356"/>
      <c r="AB828" s="306" t="str">
        <f t="shared" si="149"/>
        <v/>
      </c>
      <c r="AC828" s="637">
        <f t="shared" ca="1" si="159"/>
        <v>-2.1316282072803006E-13</v>
      </c>
      <c r="AD828" s="935">
        <f>IF(ISERROR(VLOOKUP(AD$2,X829:X$1003,1,FALSE)),IF(X828=AD$2,SUMIF(X$4:X828,AD$2,Z$4:Z828)+$E$9+SUM(AQ$4:AQ$1003)+SUMIF(COSTI!$X$1379:$X$1430,AD$2,COSTI!$Z$1379:$Z$1430),0),0)</f>
        <v>0</v>
      </c>
      <c r="AE828" s="26"/>
      <c r="AF828" s="856" t="e">
        <f>IF(ISERROR(VLOOKUP(AG$2,X829:X$1003,1,FALSE)),IF(X828=AG$2,SUMIF(X$4:X828,AG$2,Z$4:Z828)+VLOOKUP(AF$2,$B$1057:$F$1068,5,FALSE)+SUM(AR$4:AR$1003)+SUMIF(COSTI!$X$1379:$X$1430,AG$2,COSTI!$Z$1379:$Z$1430),0),0)</f>
        <v>#N/A</v>
      </c>
      <c r="AG828" s="859"/>
      <c r="AH828" s="27" t="str">
        <f t="shared" si="150"/>
        <v/>
      </c>
      <c r="AI828" s="152">
        <f ca="1">IF(W829&gt;0,0,IF(AH828=0,(Z828*-1)+BC828+SUM(BB$4:BB827),BC828+SUM(BB$4:BB827)))</f>
        <v>-2.1316282072803006E-13</v>
      </c>
      <c r="AJ828" s="931">
        <f>IF(AND(AL828&gt;=$U$1,AL828&lt;=$U$2),IF(AM828='ESTRATTO CONTO'!$E$2,1+COUNTIF(AJ$4:AJ827,"&gt;0")+U$1015,0),0)</f>
        <v>0</v>
      </c>
      <c r="AK828" s="203">
        <f>IF(AND(OR((AK827+1)&lt;AL$1015,(AK827+1)=AL$1015),MAX(AK$4:AK827)&lt;AL$1015),AK827+1,0)</f>
        <v>0</v>
      </c>
      <c r="AL828" s="309">
        <f>VLOOKUP($AK828,ENTI!$AF$4:AG$1003,2,FALSE)</f>
        <v>0</v>
      </c>
      <c r="AM828" s="224">
        <f>VLOOKUP($AK828,ENTI!$AF$4:AH$1003,3,FALSE)</f>
        <v>0</v>
      </c>
      <c r="AN828" s="224">
        <f>VLOOKUP($AK828,ENTI!$AF$4:AI$1003,4,FALSE)</f>
        <v>0</v>
      </c>
      <c r="AO828" s="781">
        <f>VLOOKUP($AK828,ENTI!$AF$4:AJ$1003,5,FALSE)</f>
        <v>0</v>
      </c>
      <c r="AP828" s="315">
        <f>VLOOKUP($AK828,ENTI!$AF$4:AK$1003,6,FALSE)</f>
        <v>0</v>
      </c>
      <c r="AQ828" s="208">
        <f t="shared" si="157"/>
        <v>0</v>
      </c>
      <c r="AR828" s="152" t="e">
        <f t="shared" si="158"/>
        <v>#N/A</v>
      </c>
      <c r="AS828" s="1"/>
      <c r="AT828" s="88" t="str">
        <f t="shared" si="151"/>
        <v/>
      </c>
      <c r="AU828" s="1"/>
      <c r="AV828" s="175">
        <f>IF(AW828&gt;0,COUNTIF(AV$4:AV827,"&gt;0")+1,0)</f>
        <v>0</v>
      </c>
      <c r="AW828" s="164">
        <f t="shared" si="152"/>
        <v>0</v>
      </c>
      <c r="AX828" s="310">
        <f>IF($AW828=0,0,VLOOKUP(VLOOKUP($X828,$B$34:$T$38,19,FALSE),ENTI!$A$9:$B$13,2,FALSE))</f>
        <v>0</v>
      </c>
      <c r="AY828" s="310">
        <f t="shared" si="154"/>
        <v>0</v>
      </c>
      <c r="AZ828" s="316">
        <f t="shared" si="155"/>
        <v>0</v>
      </c>
      <c r="BA828" s="1"/>
      <c r="BB828" s="152">
        <f t="shared" si="156"/>
        <v>0</v>
      </c>
      <c r="BC828" s="152">
        <f ca="1">SUM(Z$4:Z828)+SUM(BB$4:BB828)+COSTI!S$6-COSTI!L$1076</f>
        <v>-31.760000000000218</v>
      </c>
      <c r="BD828" s="1"/>
    </row>
    <row r="829" spans="1:56" ht="16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435">
        <f>IF(AND(W829&gt;=$U$1,W829&lt;=$U$2),IF(X829='ESTRATTO CONTO'!$E$2,1+COUNTIF(U$4:U828,"&gt;0"),0),0)</f>
        <v>0</v>
      </c>
      <c r="V829" s="417">
        <f t="shared" si="153"/>
        <v>826</v>
      </c>
      <c r="W829" s="509"/>
      <c r="X829" s="321"/>
      <c r="Y829" s="321"/>
      <c r="Z829" s="508"/>
      <c r="AA829" s="356"/>
      <c r="AB829" s="306" t="str">
        <f t="shared" si="149"/>
        <v/>
      </c>
      <c r="AC829" s="637">
        <f t="shared" ca="1" si="159"/>
        <v>-2.1316282072803006E-13</v>
      </c>
      <c r="AD829" s="935">
        <f>IF(ISERROR(VLOOKUP(AD$2,X830:X$1003,1,FALSE)),IF(X829=AD$2,SUMIF(X$4:X829,AD$2,Z$4:Z829)+$E$9+SUM(AQ$4:AQ$1003)+SUMIF(COSTI!$X$1379:$X$1430,AD$2,COSTI!$Z$1379:$Z$1430),0),0)</f>
        <v>0</v>
      </c>
      <c r="AE829" s="26"/>
      <c r="AF829" s="856" t="e">
        <f>IF(ISERROR(VLOOKUP(AG$2,X830:X$1003,1,FALSE)),IF(X829=AG$2,SUMIF(X$4:X829,AG$2,Z$4:Z829)+VLOOKUP(AF$2,$B$1057:$F$1068,5,FALSE)+SUM(AR$4:AR$1003)+SUMIF(COSTI!$X$1379:$X$1430,AG$2,COSTI!$Z$1379:$Z$1430),0),0)</f>
        <v>#N/A</v>
      </c>
      <c r="AG829" s="859"/>
      <c r="AH829" s="27" t="str">
        <f t="shared" si="150"/>
        <v/>
      </c>
      <c r="AI829" s="152">
        <f ca="1">IF(W830&gt;0,0,IF(AH829=0,(Z829*-1)+BC829+SUM(BB$4:BB828),BC829+SUM(BB$4:BB828)))</f>
        <v>-2.1316282072803006E-13</v>
      </c>
      <c r="AJ829" s="931">
        <f>IF(AND(AL829&gt;=$U$1,AL829&lt;=$U$2),IF(AM829='ESTRATTO CONTO'!$E$2,1+COUNTIF(AJ$4:AJ828,"&gt;0")+U$1015,0),0)</f>
        <v>0</v>
      </c>
      <c r="AK829" s="203">
        <f>IF(AND(OR((AK828+1)&lt;AL$1015,(AK828+1)=AL$1015),MAX(AK$4:AK828)&lt;AL$1015),AK828+1,0)</f>
        <v>0</v>
      </c>
      <c r="AL829" s="309">
        <f>VLOOKUP($AK829,ENTI!$AF$4:AG$1003,2,FALSE)</f>
        <v>0</v>
      </c>
      <c r="AM829" s="224">
        <f>VLOOKUP($AK829,ENTI!$AF$4:AH$1003,3,FALSE)</f>
        <v>0</v>
      </c>
      <c r="AN829" s="224">
        <f>VLOOKUP($AK829,ENTI!$AF$4:AI$1003,4,FALSE)</f>
        <v>0</v>
      </c>
      <c r="AO829" s="781">
        <f>VLOOKUP($AK829,ENTI!$AF$4:AJ$1003,5,FALSE)</f>
        <v>0</v>
      </c>
      <c r="AP829" s="315">
        <f>VLOOKUP($AK829,ENTI!$AF$4:AK$1003,6,FALSE)</f>
        <v>0</v>
      </c>
      <c r="AQ829" s="208">
        <f t="shared" si="157"/>
        <v>0</v>
      </c>
      <c r="AR829" s="152" t="e">
        <f t="shared" si="158"/>
        <v>#N/A</v>
      </c>
      <c r="AS829" s="1"/>
      <c r="AT829" s="88" t="str">
        <f t="shared" si="151"/>
        <v/>
      </c>
      <c r="AU829" s="1"/>
      <c r="AV829" s="175">
        <f>IF(AW829&gt;0,COUNTIF(AV$4:AV828,"&gt;0")+1,0)</f>
        <v>0</v>
      </c>
      <c r="AW829" s="164">
        <f t="shared" si="152"/>
        <v>0</v>
      </c>
      <c r="AX829" s="310">
        <f>IF($AW829=0,0,VLOOKUP(VLOOKUP($X829,$B$34:$T$38,19,FALSE),ENTI!$A$9:$B$13,2,FALSE))</f>
        <v>0</v>
      </c>
      <c r="AY829" s="310">
        <f t="shared" si="154"/>
        <v>0</v>
      </c>
      <c r="AZ829" s="316">
        <f t="shared" si="155"/>
        <v>0</v>
      </c>
      <c r="BA829" s="1"/>
      <c r="BB829" s="152">
        <f t="shared" si="156"/>
        <v>0</v>
      </c>
      <c r="BC829" s="152">
        <f ca="1">SUM(Z$4:Z829)+SUM(BB$4:BB829)+COSTI!S$6-COSTI!L$1076</f>
        <v>-31.760000000000218</v>
      </c>
      <c r="BD829" s="1"/>
    </row>
    <row r="830" spans="1:56" ht="16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435">
        <f>IF(AND(W830&gt;=$U$1,W830&lt;=$U$2),IF(X830='ESTRATTO CONTO'!$E$2,1+COUNTIF(U$4:U829,"&gt;0"),0),0)</f>
        <v>0</v>
      </c>
      <c r="V830" s="417">
        <f t="shared" si="153"/>
        <v>827</v>
      </c>
      <c r="W830" s="509"/>
      <c r="X830" s="321"/>
      <c r="Y830" s="321"/>
      <c r="Z830" s="508"/>
      <c r="AA830" s="356"/>
      <c r="AB830" s="306" t="str">
        <f t="shared" si="149"/>
        <v/>
      </c>
      <c r="AC830" s="637">
        <f t="shared" ca="1" si="159"/>
        <v>-2.1316282072803006E-13</v>
      </c>
      <c r="AD830" s="935">
        <f>IF(ISERROR(VLOOKUP(AD$2,X831:X$1003,1,FALSE)),IF(X830=AD$2,SUMIF(X$4:X830,AD$2,Z$4:Z830)+$E$9+SUM(AQ$4:AQ$1003)+SUMIF(COSTI!$X$1379:$X$1430,AD$2,COSTI!$Z$1379:$Z$1430),0),0)</f>
        <v>0</v>
      </c>
      <c r="AE830" s="26"/>
      <c r="AF830" s="856" t="e">
        <f>IF(ISERROR(VLOOKUP(AG$2,X831:X$1003,1,FALSE)),IF(X830=AG$2,SUMIF(X$4:X830,AG$2,Z$4:Z830)+VLOOKUP(AF$2,$B$1057:$F$1068,5,FALSE)+SUM(AR$4:AR$1003)+SUMIF(COSTI!$X$1379:$X$1430,AG$2,COSTI!$Z$1379:$Z$1430),0),0)</f>
        <v>#N/A</v>
      </c>
      <c r="AG830" s="859"/>
      <c r="AH830" s="27" t="str">
        <f t="shared" si="150"/>
        <v/>
      </c>
      <c r="AI830" s="152">
        <f ca="1">IF(W831&gt;0,0,IF(AH830=0,(Z830*-1)+BC830+SUM(BB$4:BB829),BC830+SUM(BB$4:BB829)))</f>
        <v>-2.1316282072803006E-13</v>
      </c>
      <c r="AJ830" s="931">
        <f>IF(AND(AL830&gt;=$U$1,AL830&lt;=$U$2),IF(AM830='ESTRATTO CONTO'!$E$2,1+COUNTIF(AJ$4:AJ829,"&gt;0")+U$1015,0),0)</f>
        <v>0</v>
      </c>
      <c r="AK830" s="203">
        <f>IF(AND(OR((AK829+1)&lt;AL$1015,(AK829+1)=AL$1015),MAX(AK$4:AK829)&lt;AL$1015),AK829+1,0)</f>
        <v>0</v>
      </c>
      <c r="AL830" s="309">
        <f>VLOOKUP($AK830,ENTI!$AF$4:AG$1003,2,FALSE)</f>
        <v>0</v>
      </c>
      <c r="AM830" s="224">
        <f>VLOOKUP($AK830,ENTI!$AF$4:AH$1003,3,FALSE)</f>
        <v>0</v>
      </c>
      <c r="AN830" s="224">
        <f>VLOOKUP($AK830,ENTI!$AF$4:AI$1003,4,FALSE)</f>
        <v>0</v>
      </c>
      <c r="AO830" s="781">
        <f>VLOOKUP($AK830,ENTI!$AF$4:AJ$1003,5,FALSE)</f>
        <v>0</v>
      </c>
      <c r="AP830" s="315">
        <f>VLOOKUP($AK830,ENTI!$AF$4:AK$1003,6,FALSE)</f>
        <v>0</v>
      </c>
      <c r="AQ830" s="208">
        <f t="shared" si="157"/>
        <v>0</v>
      </c>
      <c r="AR830" s="152" t="e">
        <f t="shared" si="158"/>
        <v>#N/A</v>
      </c>
      <c r="AS830" s="1"/>
      <c r="AT830" s="88" t="str">
        <f t="shared" si="151"/>
        <v/>
      </c>
      <c r="AU830" s="1"/>
      <c r="AV830" s="175">
        <f>IF(AW830&gt;0,COUNTIF(AV$4:AV829,"&gt;0")+1,0)</f>
        <v>0</v>
      </c>
      <c r="AW830" s="164">
        <f t="shared" si="152"/>
        <v>0</v>
      </c>
      <c r="AX830" s="310">
        <f>IF($AW830=0,0,VLOOKUP(VLOOKUP($X830,$B$34:$T$38,19,FALSE),ENTI!$A$9:$B$13,2,FALSE))</f>
        <v>0</v>
      </c>
      <c r="AY830" s="310">
        <f t="shared" si="154"/>
        <v>0</v>
      </c>
      <c r="AZ830" s="316">
        <f t="shared" si="155"/>
        <v>0</v>
      </c>
      <c r="BA830" s="1"/>
      <c r="BB830" s="152">
        <f t="shared" si="156"/>
        <v>0</v>
      </c>
      <c r="BC830" s="152">
        <f ca="1">SUM(Z$4:Z830)+SUM(BB$4:BB830)+COSTI!S$6-COSTI!L$1076</f>
        <v>-31.760000000000218</v>
      </c>
      <c r="BD830" s="1"/>
    </row>
    <row r="831" spans="1:56" ht="16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435">
        <f>IF(AND(W831&gt;=$U$1,W831&lt;=$U$2),IF(X831='ESTRATTO CONTO'!$E$2,1+COUNTIF(U$4:U830,"&gt;0"),0),0)</f>
        <v>0</v>
      </c>
      <c r="V831" s="417">
        <f t="shared" si="153"/>
        <v>828</v>
      </c>
      <c r="W831" s="509"/>
      <c r="X831" s="321"/>
      <c r="Y831" s="321"/>
      <c r="Z831" s="508"/>
      <c r="AA831" s="356"/>
      <c r="AB831" s="306" t="str">
        <f t="shared" si="149"/>
        <v/>
      </c>
      <c r="AC831" s="637">
        <f t="shared" ca="1" si="159"/>
        <v>-2.1316282072803006E-13</v>
      </c>
      <c r="AD831" s="935">
        <f>IF(ISERROR(VLOOKUP(AD$2,X832:X$1003,1,FALSE)),IF(X831=AD$2,SUMIF(X$4:X831,AD$2,Z$4:Z831)+$E$9+SUM(AQ$4:AQ$1003)+SUMIF(COSTI!$X$1379:$X$1430,AD$2,COSTI!$Z$1379:$Z$1430),0),0)</f>
        <v>0</v>
      </c>
      <c r="AE831" s="26"/>
      <c r="AF831" s="856" t="e">
        <f>IF(ISERROR(VLOOKUP(AG$2,X832:X$1003,1,FALSE)),IF(X831=AG$2,SUMIF(X$4:X831,AG$2,Z$4:Z831)+VLOOKUP(AF$2,$B$1057:$F$1068,5,FALSE)+SUM(AR$4:AR$1003)+SUMIF(COSTI!$X$1379:$X$1430,AG$2,COSTI!$Z$1379:$Z$1430),0),0)</f>
        <v>#N/A</v>
      </c>
      <c r="AG831" s="859"/>
      <c r="AH831" s="27" t="str">
        <f t="shared" si="150"/>
        <v/>
      </c>
      <c r="AI831" s="152">
        <f ca="1">IF(W832&gt;0,0,IF(AH831=0,(Z831*-1)+BC831+SUM(BB$4:BB830),BC831+SUM(BB$4:BB830)))</f>
        <v>-2.1316282072803006E-13</v>
      </c>
      <c r="AJ831" s="931">
        <f>IF(AND(AL831&gt;=$U$1,AL831&lt;=$U$2),IF(AM831='ESTRATTO CONTO'!$E$2,1+COUNTIF(AJ$4:AJ830,"&gt;0")+U$1015,0),0)</f>
        <v>0</v>
      </c>
      <c r="AK831" s="203">
        <f>IF(AND(OR((AK830+1)&lt;AL$1015,(AK830+1)=AL$1015),MAX(AK$4:AK830)&lt;AL$1015),AK830+1,0)</f>
        <v>0</v>
      </c>
      <c r="AL831" s="309">
        <f>VLOOKUP($AK831,ENTI!$AF$4:AG$1003,2,FALSE)</f>
        <v>0</v>
      </c>
      <c r="AM831" s="224">
        <f>VLOOKUP($AK831,ENTI!$AF$4:AH$1003,3,FALSE)</f>
        <v>0</v>
      </c>
      <c r="AN831" s="224">
        <f>VLOOKUP($AK831,ENTI!$AF$4:AI$1003,4,FALSE)</f>
        <v>0</v>
      </c>
      <c r="AO831" s="781">
        <f>VLOOKUP($AK831,ENTI!$AF$4:AJ$1003,5,FALSE)</f>
        <v>0</v>
      </c>
      <c r="AP831" s="315">
        <f>VLOOKUP($AK831,ENTI!$AF$4:AK$1003,6,FALSE)</f>
        <v>0</v>
      </c>
      <c r="AQ831" s="208">
        <f t="shared" si="157"/>
        <v>0</v>
      </c>
      <c r="AR831" s="152" t="e">
        <f t="shared" si="158"/>
        <v>#N/A</v>
      </c>
      <c r="AS831" s="1"/>
      <c r="AT831" s="88" t="str">
        <f t="shared" si="151"/>
        <v/>
      </c>
      <c r="AU831" s="1"/>
      <c r="AV831" s="175">
        <f>IF(AW831&gt;0,COUNTIF(AV$4:AV830,"&gt;0")+1,0)</f>
        <v>0</v>
      </c>
      <c r="AW831" s="164">
        <f t="shared" si="152"/>
        <v>0</v>
      </c>
      <c r="AX831" s="310">
        <f>IF($AW831=0,0,VLOOKUP(VLOOKUP($X831,$B$34:$T$38,19,FALSE),ENTI!$A$9:$B$13,2,FALSE))</f>
        <v>0</v>
      </c>
      <c r="AY831" s="310">
        <f t="shared" si="154"/>
        <v>0</v>
      </c>
      <c r="AZ831" s="316">
        <f t="shared" si="155"/>
        <v>0</v>
      </c>
      <c r="BA831" s="1"/>
      <c r="BB831" s="152">
        <f t="shared" si="156"/>
        <v>0</v>
      </c>
      <c r="BC831" s="152">
        <f ca="1">SUM(Z$4:Z831)+SUM(BB$4:BB831)+COSTI!S$6-COSTI!L$1076</f>
        <v>-31.760000000000218</v>
      </c>
      <c r="BD831" s="1"/>
    </row>
    <row r="832" spans="1:56" ht="16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435">
        <f>IF(AND(W832&gt;=$U$1,W832&lt;=$U$2),IF(X832='ESTRATTO CONTO'!$E$2,1+COUNTIF(U$4:U831,"&gt;0"),0),0)</f>
        <v>0</v>
      </c>
      <c r="V832" s="417">
        <f t="shared" si="153"/>
        <v>829</v>
      </c>
      <c r="W832" s="509"/>
      <c r="X832" s="321"/>
      <c r="Y832" s="321"/>
      <c r="Z832" s="508"/>
      <c r="AA832" s="356"/>
      <c r="AB832" s="306" t="str">
        <f t="shared" si="149"/>
        <v/>
      </c>
      <c r="AC832" s="637">
        <f t="shared" ca="1" si="159"/>
        <v>-2.1316282072803006E-13</v>
      </c>
      <c r="AD832" s="935">
        <f>IF(ISERROR(VLOOKUP(AD$2,X833:X$1003,1,FALSE)),IF(X832=AD$2,SUMIF(X$4:X832,AD$2,Z$4:Z832)+$E$9+SUM(AQ$4:AQ$1003)+SUMIF(COSTI!$X$1379:$X$1430,AD$2,COSTI!$Z$1379:$Z$1430),0),0)</f>
        <v>0</v>
      </c>
      <c r="AE832" s="26"/>
      <c r="AF832" s="856" t="e">
        <f>IF(ISERROR(VLOOKUP(AG$2,X833:X$1003,1,FALSE)),IF(X832=AG$2,SUMIF(X$4:X832,AG$2,Z$4:Z832)+VLOOKUP(AF$2,$B$1057:$F$1068,5,FALSE)+SUM(AR$4:AR$1003)+SUMIF(COSTI!$X$1379:$X$1430,AG$2,COSTI!$Z$1379:$Z$1430),0),0)</f>
        <v>#N/A</v>
      </c>
      <c r="AG832" s="859"/>
      <c r="AH832" s="27" t="str">
        <f t="shared" si="150"/>
        <v/>
      </c>
      <c r="AI832" s="152">
        <f ca="1">IF(W833&gt;0,0,IF(AH832=0,(Z832*-1)+BC832+SUM(BB$4:BB831),BC832+SUM(BB$4:BB831)))</f>
        <v>-2.1316282072803006E-13</v>
      </c>
      <c r="AJ832" s="931">
        <f>IF(AND(AL832&gt;=$U$1,AL832&lt;=$U$2),IF(AM832='ESTRATTO CONTO'!$E$2,1+COUNTIF(AJ$4:AJ831,"&gt;0")+U$1015,0),0)</f>
        <v>0</v>
      </c>
      <c r="AK832" s="203">
        <f>IF(AND(OR((AK831+1)&lt;AL$1015,(AK831+1)=AL$1015),MAX(AK$4:AK831)&lt;AL$1015),AK831+1,0)</f>
        <v>0</v>
      </c>
      <c r="AL832" s="309">
        <f>VLOOKUP($AK832,ENTI!$AF$4:AG$1003,2,FALSE)</f>
        <v>0</v>
      </c>
      <c r="AM832" s="224">
        <f>VLOOKUP($AK832,ENTI!$AF$4:AH$1003,3,FALSE)</f>
        <v>0</v>
      </c>
      <c r="AN832" s="224">
        <f>VLOOKUP($AK832,ENTI!$AF$4:AI$1003,4,FALSE)</f>
        <v>0</v>
      </c>
      <c r="AO832" s="781">
        <f>VLOOKUP($AK832,ENTI!$AF$4:AJ$1003,5,FALSE)</f>
        <v>0</v>
      </c>
      <c r="AP832" s="315">
        <f>VLOOKUP($AK832,ENTI!$AF$4:AK$1003,6,FALSE)</f>
        <v>0</v>
      </c>
      <c r="AQ832" s="208">
        <f t="shared" si="157"/>
        <v>0</v>
      </c>
      <c r="AR832" s="152" t="e">
        <f t="shared" si="158"/>
        <v>#N/A</v>
      </c>
      <c r="AS832" s="1"/>
      <c r="AT832" s="88" t="str">
        <f t="shared" si="151"/>
        <v/>
      </c>
      <c r="AU832" s="1"/>
      <c r="AV832" s="175">
        <f>IF(AW832&gt;0,COUNTIF(AV$4:AV831,"&gt;0")+1,0)</f>
        <v>0</v>
      </c>
      <c r="AW832" s="164">
        <f t="shared" si="152"/>
        <v>0</v>
      </c>
      <c r="AX832" s="310">
        <f>IF($AW832=0,0,VLOOKUP(VLOOKUP($X832,$B$34:$T$38,19,FALSE),ENTI!$A$9:$B$13,2,FALSE))</f>
        <v>0</v>
      </c>
      <c r="AY832" s="310">
        <f t="shared" si="154"/>
        <v>0</v>
      </c>
      <c r="AZ832" s="316">
        <f t="shared" si="155"/>
        <v>0</v>
      </c>
      <c r="BA832" s="1"/>
      <c r="BB832" s="152">
        <f t="shared" si="156"/>
        <v>0</v>
      </c>
      <c r="BC832" s="152">
        <f ca="1">SUM(Z$4:Z832)+SUM(BB$4:BB832)+COSTI!S$6-COSTI!L$1076</f>
        <v>-31.760000000000218</v>
      </c>
      <c r="BD832" s="1"/>
    </row>
    <row r="833" spans="1:56" ht="16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435">
        <f>IF(AND(W833&gt;=$U$1,W833&lt;=$U$2),IF(X833='ESTRATTO CONTO'!$E$2,1+COUNTIF(U$4:U832,"&gt;0"),0),0)</f>
        <v>0</v>
      </c>
      <c r="V833" s="417">
        <f t="shared" si="153"/>
        <v>830</v>
      </c>
      <c r="W833" s="509"/>
      <c r="X833" s="321"/>
      <c r="Y833" s="321"/>
      <c r="Z833" s="508"/>
      <c r="AA833" s="356"/>
      <c r="AB833" s="306" t="str">
        <f t="shared" si="149"/>
        <v/>
      </c>
      <c r="AC833" s="637">
        <f t="shared" ca="1" si="159"/>
        <v>-2.1316282072803006E-13</v>
      </c>
      <c r="AD833" s="935">
        <f>IF(ISERROR(VLOOKUP(AD$2,X834:X$1003,1,FALSE)),IF(X833=AD$2,SUMIF(X$4:X833,AD$2,Z$4:Z833)+$E$9+SUM(AQ$4:AQ$1003)+SUMIF(COSTI!$X$1379:$X$1430,AD$2,COSTI!$Z$1379:$Z$1430),0),0)</f>
        <v>0</v>
      </c>
      <c r="AE833" s="26"/>
      <c r="AF833" s="856" t="e">
        <f>IF(ISERROR(VLOOKUP(AG$2,X834:X$1003,1,FALSE)),IF(X833=AG$2,SUMIF(X$4:X833,AG$2,Z$4:Z833)+VLOOKUP(AF$2,$B$1057:$F$1068,5,FALSE)+SUM(AR$4:AR$1003)+SUMIF(COSTI!$X$1379:$X$1430,AG$2,COSTI!$Z$1379:$Z$1430),0),0)</f>
        <v>#N/A</v>
      </c>
      <c r="AG833" s="859"/>
      <c r="AH833" s="27" t="str">
        <f t="shared" si="150"/>
        <v/>
      </c>
      <c r="AI833" s="152">
        <f ca="1">IF(W834&gt;0,0,IF(AH833=0,(Z833*-1)+BC833+SUM(BB$4:BB832),BC833+SUM(BB$4:BB832)))</f>
        <v>-2.1316282072803006E-13</v>
      </c>
      <c r="AJ833" s="931">
        <f>IF(AND(AL833&gt;=$U$1,AL833&lt;=$U$2),IF(AM833='ESTRATTO CONTO'!$E$2,1+COUNTIF(AJ$4:AJ832,"&gt;0")+U$1015,0),0)</f>
        <v>0</v>
      </c>
      <c r="AK833" s="203">
        <f>IF(AND(OR((AK832+1)&lt;AL$1015,(AK832+1)=AL$1015),MAX(AK$4:AK832)&lt;AL$1015),AK832+1,0)</f>
        <v>0</v>
      </c>
      <c r="AL833" s="309">
        <f>VLOOKUP($AK833,ENTI!$AF$4:AG$1003,2,FALSE)</f>
        <v>0</v>
      </c>
      <c r="AM833" s="224">
        <f>VLOOKUP($AK833,ENTI!$AF$4:AH$1003,3,FALSE)</f>
        <v>0</v>
      </c>
      <c r="AN833" s="224">
        <f>VLOOKUP($AK833,ENTI!$AF$4:AI$1003,4,FALSE)</f>
        <v>0</v>
      </c>
      <c r="AO833" s="781">
        <f>VLOOKUP($AK833,ENTI!$AF$4:AJ$1003,5,FALSE)</f>
        <v>0</v>
      </c>
      <c r="AP833" s="315">
        <f>VLOOKUP($AK833,ENTI!$AF$4:AK$1003,6,FALSE)</f>
        <v>0</v>
      </c>
      <c r="AQ833" s="208">
        <f t="shared" si="157"/>
        <v>0</v>
      </c>
      <c r="AR833" s="152" t="e">
        <f t="shared" si="158"/>
        <v>#N/A</v>
      </c>
      <c r="AS833" s="1"/>
      <c r="AT833" s="88" t="str">
        <f t="shared" si="151"/>
        <v/>
      </c>
      <c r="AU833" s="1"/>
      <c r="AV833" s="175">
        <f>IF(AW833&gt;0,COUNTIF(AV$4:AV832,"&gt;0")+1,0)</f>
        <v>0</v>
      </c>
      <c r="AW833" s="164">
        <f t="shared" si="152"/>
        <v>0</v>
      </c>
      <c r="AX833" s="310">
        <f>IF($AW833=0,0,VLOOKUP(VLOOKUP($X833,$B$34:$T$38,19,FALSE),ENTI!$A$9:$B$13,2,FALSE))</f>
        <v>0</v>
      </c>
      <c r="AY833" s="310">
        <f t="shared" si="154"/>
        <v>0</v>
      </c>
      <c r="AZ833" s="316">
        <f t="shared" si="155"/>
        <v>0</v>
      </c>
      <c r="BA833" s="1"/>
      <c r="BB833" s="152">
        <f t="shared" si="156"/>
        <v>0</v>
      </c>
      <c r="BC833" s="152">
        <f ca="1">SUM(Z$4:Z833)+SUM(BB$4:BB833)+COSTI!S$6-COSTI!L$1076</f>
        <v>-31.760000000000218</v>
      </c>
      <c r="BD833" s="1"/>
    </row>
    <row r="834" spans="1:56" ht="16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435">
        <f>IF(AND(W834&gt;=$U$1,W834&lt;=$U$2),IF(X834='ESTRATTO CONTO'!$E$2,1+COUNTIF(U$4:U833,"&gt;0"),0),0)</f>
        <v>0</v>
      </c>
      <c r="V834" s="417">
        <f t="shared" si="153"/>
        <v>831</v>
      </c>
      <c r="W834" s="509"/>
      <c r="X834" s="321"/>
      <c r="Y834" s="321"/>
      <c r="Z834" s="508"/>
      <c r="AA834" s="356"/>
      <c r="AB834" s="306" t="str">
        <f t="shared" si="149"/>
        <v/>
      </c>
      <c r="AC834" s="637">
        <f t="shared" ca="1" si="159"/>
        <v>-2.1316282072803006E-13</v>
      </c>
      <c r="AD834" s="935">
        <f>IF(ISERROR(VLOOKUP(AD$2,X835:X$1003,1,FALSE)),IF(X834=AD$2,SUMIF(X$4:X834,AD$2,Z$4:Z834)+$E$9+SUM(AQ$4:AQ$1003)+SUMIF(COSTI!$X$1379:$X$1430,AD$2,COSTI!$Z$1379:$Z$1430),0),0)</f>
        <v>0</v>
      </c>
      <c r="AE834" s="26"/>
      <c r="AF834" s="856" t="e">
        <f>IF(ISERROR(VLOOKUP(AG$2,X835:X$1003,1,FALSE)),IF(X834=AG$2,SUMIF(X$4:X834,AG$2,Z$4:Z834)+VLOOKUP(AF$2,$B$1057:$F$1068,5,FALSE)+SUM(AR$4:AR$1003)+SUMIF(COSTI!$X$1379:$X$1430,AG$2,COSTI!$Z$1379:$Z$1430),0),0)</f>
        <v>#N/A</v>
      </c>
      <c r="AG834" s="859"/>
      <c r="AH834" s="27" t="str">
        <f t="shared" si="150"/>
        <v/>
      </c>
      <c r="AI834" s="152">
        <f ca="1">IF(W835&gt;0,0,IF(AH834=0,(Z834*-1)+BC834+SUM(BB$4:BB833),BC834+SUM(BB$4:BB833)))</f>
        <v>-2.1316282072803006E-13</v>
      </c>
      <c r="AJ834" s="931">
        <f>IF(AND(AL834&gt;=$U$1,AL834&lt;=$U$2),IF(AM834='ESTRATTO CONTO'!$E$2,1+COUNTIF(AJ$4:AJ833,"&gt;0")+U$1015,0),0)</f>
        <v>0</v>
      </c>
      <c r="AK834" s="203">
        <f>IF(AND(OR((AK833+1)&lt;AL$1015,(AK833+1)=AL$1015),MAX(AK$4:AK833)&lt;AL$1015),AK833+1,0)</f>
        <v>0</v>
      </c>
      <c r="AL834" s="309">
        <f>VLOOKUP($AK834,ENTI!$AF$4:AG$1003,2,FALSE)</f>
        <v>0</v>
      </c>
      <c r="AM834" s="224">
        <f>VLOOKUP($AK834,ENTI!$AF$4:AH$1003,3,FALSE)</f>
        <v>0</v>
      </c>
      <c r="AN834" s="224">
        <f>VLOOKUP($AK834,ENTI!$AF$4:AI$1003,4,FALSE)</f>
        <v>0</v>
      </c>
      <c r="AO834" s="781">
        <f>VLOOKUP($AK834,ENTI!$AF$4:AJ$1003,5,FALSE)</f>
        <v>0</v>
      </c>
      <c r="AP834" s="315">
        <f>VLOOKUP($AK834,ENTI!$AF$4:AK$1003,6,FALSE)</f>
        <v>0</v>
      </c>
      <c r="AQ834" s="208">
        <f t="shared" si="157"/>
        <v>0</v>
      </c>
      <c r="AR834" s="152" t="e">
        <f t="shared" si="158"/>
        <v>#N/A</v>
      </c>
      <c r="AS834" s="1"/>
      <c r="AT834" s="88" t="str">
        <f t="shared" si="151"/>
        <v/>
      </c>
      <c r="AU834" s="1"/>
      <c r="AV834" s="175">
        <f>IF(AW834&gt;0,COUNTIF(AV$4:AV833,"&gt;0")+1,0)</f>
        <v>0</v>
      </c>
      <c r="AW834" s="164">
        <f t="shared" si="152"/>
        <v>0</v>
      </c>
      <c r="AX834" s="310">
        <f>IF($AW834=0,0,VLOOKUP(VLOOKUP($X834,$B$34:$T$38,19,FALSE),ENTI!$A$9:$B$13,2,FALSE))</f>
        <v>0</v>
      </c>
      <c r="AY834" s="310">
        <f t="shared" si="154"/>
        <v>0</v>
      </c>
      <c r="AZ834" s="316">
        <f t="shared" si="155"/>
        <v>0</v>
      </c>
      <c r="BA834" s="1"/>
      <c r="BB834" s="152">
        <f t="shared" si="156"/>
        <v>0</v>
      </c>
      <c r="BC834" s="152">
        <f ca="1">SUM(Z$4:Z834)+SUM(BB$4:BB834)+COSTI!S$6-COSTI!L$1076</f>
        <v>-31.760000000000218</v>
      </c>
      <c r="BD834" s="1"/>
    </row>
    <row r="835" spans="1:56" ht="16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435">
        <f>IF(AND(W835&gt;=$U$1,W835&lt;=$U$2),IF(X835='ESTRATTO CONTO'!$E$2,1+COUNTIF(U$4:U834,"&gt;0"),0),0)</f>
        <v>0</v>
      </c>
      <c r="V835" s="417">
        <f t="shared" si="153"/>
        <v>832</v>
      </c>
      <c r="W835" s="509"/>
      <c r="X835" s="321"/>
      <c r="Y835" s="321"/>
      <c r="Z835" s="508"/>
      <c r="AA835" s="356"/>
      <c r="AB835" s="306" t="str">
        <f t="shared" si="149"/>
        <v/>
      </c>
      <c r="AC835" s="637">
        <f t="shared" ca="1" si="159"/>
        <v>-2.1316282072803006E-13</v>
      </c>
      <c r="AD835" s="935">
        <f>IF(ISERROR(VLOOKUP(AD$2,X836:X$1003,1,FALSE)),IF(X835=AD$2,SUMIF(X$4:X835,AD$2,Z$4:Z835)+$E$9+SUM(AQ$4:AQ$1003)+SUMIF(COSTI!$X$1379:$X$1430,AD$2,COSTI!$Z$1379:$Z$1430),0),0)</f>
        <v>0</v>
      </c>
      <c r="AE835" s="26"/>
      <c r="AF835" s="856" t="e">
        <f>IF(ISERROR(VLOOKUP(AG$2,X836:X$1003,1,FALSE)),IF(X835=AG$2,SUMIF(X$4:X835,AG$2,Z$4:Z835)+VLOOKUP(AF$2,$B$1057:$F$1068,5,FALSE)+SUM(AR$4:AR$1003)+SUMIF(COSTI!$X$1379:$X$1430,AG$2,COSTI!$Z$1379:$Z$1430),0),0)</f>
        <v>#N/A</v>
      </c>
      <c r="AG835" s="859"/>
      <c r="AH835" s="27" t="str">
        <f t="shared" si="150"/>
        <v/>
      </c>
      <c r="AI835" s="152">
        <f ca="1">IF(W836&gt;0,0,IF(AH835=0,(Z835*-1)+BC835+SUM(BB$4:BB834),BC835+SUM(BB$4:BB834)))</f>
        <v>-2.1316282072803006E-13</v>
      </c>
      <c r="AJ835" s="931">
        <f>IF(AND(AL835&gt;=$U$1,AL835&lt;=$U$2),IF(AM835='ESTRATTO CONTO'!$E$2,1+COUNTIF(AJ$4:AJ834,"&gt;0")+U$1015,0),0)</f>
        <v>0</v>
      </c>
      <c r="AK835" s="203">
        <f>IF(AND(OR((AK834+1)&lt;AL$1015,(AK834+1)=AL$1015),MAX(AK$4:AK834)&lt;AL$1015),AK834+1,0)</f>
        <v>0</v>
      </c>
      <c r="AL835" s="309">
        <f>VLOOKUP($AK835,ENTI!$AF$4:AG$1003,2,FALSE)</f>
        <v>0</v>
      </c>
      <c r="AM835" s="224">
        <f>VLOOKUP($AK835,ENTI!$AF$4:AH$1003,3,FALSE)</f>
        <v>0</v>
      </c>
      <c r="AN835" s="224">
        <f>VLOOKUP($AK835,ENTI!$AF$4:AI$1003,4,FALSE)</f>
        <v>0</v>
      </c>
      <c r="AO835" s="781">
        <f>VLOOKUP($AK835,ENTI!$AF$4:AJ$1003,5,FALSE)</f>
        <v>0</v>
      </c>
      <c r="AP835" s="315">
        <f>VLOOKUP($AK835,ENTI!$AF$4:AK$1003,6,FALSE)</f>
        <v>0</v>
      </c>
      <c r="AQ835" s="208">
        <f t="shared" si="157"/>
        <v>0</v>
      </c>
      <c r="AR835" s="152" t="e">
        <f t="shared" si="158"/>
        <v>#N/A</v>
      </c>
      <c r="AS835" s="1"/>
      <c r="AT835" s="88" t="str">
        <f t="shared" si="151"/>
        <v/>
      </c>
      <c r="AU835" s="1"/>
      <c r="AV835" s="175">
        <f>IF(AW835&gt;0,COUNTIF(AV$4:AV834,"&gt;0")+1,0)</f>
        <v>0</v>
      </c>
      <c r="AW835" s="164">
        <f t="shared" si="152"/>
        <v>0</v>
      </c>
      <c r="AX835" s="310">
        <f>IF($AW835=0,0,VLOOKUP(VLOOKUP($X835,$B$34:$T$38,19,FALSE),ENTI!$A$9:$B$13,2,FALSE))</f>
        <v>0</v>
      </c>
      <c r="AY835" s="310">
        <f t="shared" si="154"/>
        <v>0</v>
      </c>
      <c r="AZ835" s="316">
        <f t="shared" si="155"/>
        <v>0</v>
      </c>
      <c r="BA835" s="1"/>
      <c r="BB835" s="152">
        <f t="shared" si="156"/>
        <v>0</v>
      </c>
      <c r="BC835" s="152">
        <f ca="1">SUM(Z$4:Z835)+SUM(BB$4:BB835)+COSTI!S$6-COSTI!L$1076</f>
        <v>-31.760000000000218</v>
      </c>
      <c r="BD835" s="1"/>
    </row>
    <row r="836" spans="1:56" ht="16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435">
        <f>IF(AND(W836&gt;=$U$1,W836&lt;=$U$2),IF(X836='ESTRATTO CONTO'!$E$2,1+COUNTIF(U$4:U835,"&gt;0"),0),0)</f>
        <v>0</v>
      </c>
      <c r="V836" s="417">
        <f t="shared" si="153"/>
        <v>833</v>
      </c>
      <c r="W836" s="509"/>
      <c r="X836" s="321"/>
      <c r="Y836" s="321"/>
      <c r="Z836" s="508"/>
      <c r="AA836" s="356"/>
      <c r="AB836" s="306" t="str">
        <f t="shared" ref="AB836:AB899" si="160">IF(W836&gt;0,IF(AND(W836&gt;=W$1012,W836&lt;=W$1013),CONCATENATE(MONTH(W836)&amp;X836),0),"")</f>
        <v/>
      </c>
      <c r="AC836" s="637">
        <f t="shared" ca="1" si="159"/>
        <v>-2.1316282072803006E-13</v>
      </c>
      <c r="AD836" s="935">
        <f>IF(ISERROR(VLOOKUP(AD$2,X837:X$1003,1,FALSE)),IF(X836=AD$2,SUMIF(X$4:X836,AD$2,Z$4:Z836)+$E$9+SUM(AQ$4:AQ$1003)+SUMIF(COSTI!$X$1379:$X$1430,AD$2,COSTI!$Z$1379:$Z$1430),0),0)</f>
        <v>0</v>
      </c>
      <c r="AE836" s="26"/>
      <c r="AF836" s="856" t="e">
        <f>IF(ISERROR(VLOOKUP(AG$2,X837:X$1003,1,FALSE)),IF(X836=AG$2,SUMIF(X$4:X836,AG$2,Z$4:Z836)+VLOOKUP(AF$2,$B$1057:$F$1068,5,FALSE)+SUM(AR$4:AR$1003)+SUMIF(COSTI!$X$1379:$X$1430,AG$2,COSTI!$Z$1379:$Z$1430),0),0)</f>
        <v>#N/A</v>
      </c>
      <c r="AG836" s="859"/>
      <c r="AH836" s="27" t="str">
        <f t="shared" ref="AH836:AH899" si="161">IF(ISBLANK(X836),"",IF(ISERROR(VLOOKUP(X836,B$34:B$38,1,FALSE)),1,0))</f>
        <v/>
      </c>
      <c r="AI836" s="152">
        <f ca="1">IF(W837&gt;0,0,IF(AH836=0,(Z836*-1)+BC836+SUM(BB$4:BB835),BC836+SUM(BB$4:BB835)))</f>
        <v>-2.1316282072803006E-13</v>
      </c>
      <c r="AJ836" s="931">
        <f>IF(AND(AL836&gt;=$U$1,AL836&lt;=$U$2),IF(AM836='ESTRATTO CONTO'!$E$2,1+COUNTIF(AJ$4:AJ835,"&gt;0")+U$1015,0),0)</f>
        <v>0</v>
      </c>
      <c r="AK836" s="203">
        <f>IF(AND(OR((AK835+1)&lt;AL$1015,(AK835+1)=AL$1015),MAX(AK$4:AK835)&lt;AL$1015),AK835+1,0)</f>
        <v>0</v>
      </c>
      <c r="AL836" s="309">
        <f>VLOOKUP($AK836,ENTI!$AF$4:AG$1003,2,FALSE)</f>
        <v>0</v>
      </c>
      <c r="AM836" s="224">
        <f>VLOOKUP($AK836,ENTI!$AF$4:AH$1003,3,FALSE)</f>
        <v>0</v>
      </c>
      <c r="AN836" s="224">
        <f>VLOOKUP($AK836,ENTI!$AF$4:AI$1003,4,FALSE)</f>
        <v>0</v>
      </c>
      <c r="AO836" s="781">
        <f>VLOOKUP($AK836,ENTI!$AF$4:AJ$1003,5,FALSE)</f>
        <v>0</v>
      </c>
      <c r="AP836" s="315">
        <f>VLOOKUP($AK836,ENTI!$AF$4:AK$1003,6,FALSE)</f>
        <v>0</v>
      </c>
      <c r="AQ836" s="208">
        <f t="shared" si="157"/>
        <v>0</v>
      </c>
      <c r="AR836" s="152" t="e">
        <f t="shared" si="158"/>
        <v>#N/A</v>
      </c>
      <c r="AS836" s="1"/>
      <c r="AT836" s="88" t="str">
        <f t="shared" ref="AT836:AT899" si="162">IF(AL836&gt;0,IF(AND(AL836&gt;=W$1012,AL836&lt;=W$1013),CONCATENATE(MONTH(AL836)&amp;AM836),0),"")</f>
        <v/>
      </c>
      <c r="AU836" s="1"/>
      <c r="AV836" s="175">
        <f>IF(AW836&gt;0,COUNTIF(AV$4:AV835,"&gt;0")+1,0)</f>
        <v>0</v>
      </c>
      <c r="AW836" s="164">
        <f t="shared" ref="AW836:AW899" si="163">IF(ISERROR(VLOOKUP($X836,$B$34:$B$38,1,FALSE)),0,W836)</f>
        <v>0</v>
      </c>
      <c r="AX836" s="310">
        <f>IF($AW836=0,0,VLOOKUP(VLOOKUP($X836,$B$34:$T$38,19,FALSE),ENTI!$A$9:$B$13,2,FALSE))</f>
        <v>0</v>
      </c>
      <c r="AY836" s="310">
        <f t="shared" si="154"/>
        <v>0</v>
      </c>
      <c r="AZ836" s="316">
        <f t="shared" si="155"/>
        <v>0</v>
      </c>
      <c r="BA836" s="1"/>
      <c r="BB836" s="152">
        <f t="shared" si="156"/>
        <v>0</v>
      </c>
      <c r="BC836" s="152">
        <f ca="1">SUM(Z$4:Z836)+SUM(BB$4:BB836)+COSTI!S$6-COSTI!L$1076</f>
        <v>-31.760000000000218</v>
      </c>
      <c r="BD836" s="1"/>
    </row>
    <row r="837" spans="1:56" ht="16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435">
        <f>IF(AND(W837&gt;=$U$1,W837&lt;=$U$2),IF(X837='ESTRATTO CONTO'!$E$2,1+COUNTIF(U$4:U836,"&gt;0"),0),0)</f>
        <v>0</v>
      </c>
      <c r="V837" s="417">
        <f t="shared" si="153"/>
        <v>834</v>
      </c>
      <c r="W837" s="509"/>
      <c r="X837" s="321"/>
      <c r="Y837" s="321"/>
      <c r="Z837" s="508"/>
      <c r="AA837" s="356"/>
      <c r="AB837" s="306" t="str">
        <f t="shared" si="160"/>
        <v/>
      </c>
      <c r="AC837" s="637">
        <f t="shared" ca="1" si="159"/>
        <v>-2.1316282072803006E-13</v>
      </c>
      <c r="AD837" s="935">
        <f>IF(ISERROR(VLOOKUP(AD$2,X838:X$1003,1,FALSE)),IF(X837=AD$2,SUMIF(X$4:X837,AD$2,Z$4:Z837)+$E$9+SUM(AQ$4:AQ$1003)+SUMIF(COSTI!$X$1379:$X$1430,AD$2,COSTI!$Z$1379:$Z$1430),0),0)</f>
        <v>0</v>
      </c>
      <c r="AE837" s="26"/>
      <c r="AF837" s="856" t="e">
        <f>IF(ISERROR(VLOOKUP(AG$2,X838:X$1003,1,FALSE)),IF(X837=AG$2,SUMIF(X$4:X837,AG$2,Z$4:Z837)+VLOOKUP(AF$2,$B$1057:$F$1068,5,FALSE)+SUM(AR$4:AR$1003)+SUMIF(COSTI!$X$1379:$X$1430,AG$2,COSTI!$Z$1379:$Z$1430),0),0)</f>
        <v>#N/A</v>
      </c>
      <c r="AG837" s="859"/>
      <c r="AH837" s="27" t="str">
        <f t="shared" si="161"/>
        <v/>
      </c>
      <c r="AI837" s="152">
        <f ca="1">IF(W838&gt;0,0,IF(AH837=0,(Z837*-1)+BC837+SUM(BB$4:BB836),BC837+SUM(BB$4:BB836)))</f>
        <v>-2.1316282072803006E-13</v>
      </c>
      <c r="AJ837" s="931">
        <f>IF(AND(AL837&gt;=$U$1,AL837&lt;=$U$2),IF(AM837='ESTRATTO CONTO'!$E$2,1+COUNTIF(AJ$4:AJ836,"&gt;0")+U$1015,0),0)</f>
        <v>0</v>
      </c>
      <c r="AK837" s="203">
        <f>IF(AND(OR((AK836+1)&lt;AL$1015,(AK836+1)=AL$1015),MAX(AK$4:AK836)&lt;AL$1015),AK836+1,0)</f>
        <v>0</v>
      </c>
      <c r="AL837" s="309">
        <f>VLOOKUP($AK837,ENTI!$AF$4:AG$1003,2,FALSE)</f>
        <v>0</v>
      </c>
      <c r="AM837" s="224">
        <f>VLOOKUP($AK837,ENTI!$AF$4:AH$1003,3,FALSE)</f>
        <v>0</v>
      </c>
      <c r="AN837" s="224">
        <f>VLOOKUP($AK837,ENTI!$AF$4:AI$1003,4,FALSE)</f>
        <v>0</v>
      </c>
      <c r="AO837" s="781">
        <f>VLOOKUP($AK837,ENTI!$AF$4:AJ$1003,5,FALSE)</f>
        <v>0</v>
      </c>
      <c r="AP837" s="315">
        <f>VLOOKUP($AK837,ENTI!$AF$4:AK$1003,6,FALSE)</f>
        <v>0</v>
      </c>
      <c r="AQ837" s="208">
        <f t="shared" si="157"/>
        <v>0</v>
      </c>
      <c r="AR837" s="152" t="e">
        <f t="shared" si="158"/>
        <v>#N/A</v>
      </c>
      <c r="AS837" s="1"/>
      <c r="AT837" s="88" t="str">
        <f t="shared" si="162"/>
        <v/>
      </c>
      <c r="AU837" s="1"/>
      <c r="AV837" s="175">
        <f>IF(AW837&gt;0,COUNTIF(AV$4:AV836,"&gt;0")+1,0)</f>
        <v>0</v>
      </c>
      <c r="AW837" s="164">
        <f t="shared" si="163"/>
        <v>0</v>
      </c>
      <c r="AX837" s="310">
        <f>IF($AW837=0,0,VLOOKUP(VLOOKUP($X837,$B$34:$T$38,19,FALSE),ENTI!$A$9:$B$13,2,FALSE))</f>
        <v>0</v>
      </c>
      <c r="AY837" s="310">
        <f t="shared" si="154"/>
        <v>0</v>
      </c>
      <c r="AZ837" s="316">
        <f t="shared" si="155"/>
        <v>0</v>
      </c>
      <c r="BA837" s="1"/>
      <c r="BB837" s="152">
        <f t="shared" si="156"/>
        <v>0</v>
      </c>
      <c r="BC837" s="152">
        <f ca="1">SUM(Z$4:Z837)+SUM(BB$4:BB837)+COSTI!S$6-COSTI!L$1076</f>
        <v>-31.760000000000218</v>
      </c>
      <c r="BD837" s="1"/>
    </row>
    <row r="838" spans="1:56" ht="16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435">
        <f>IF(AND(W838&gt;=$U$1,W838&lt;=$U$2),IF(X838='ESTRATTO CONTO'!$E$2,1+COUNTIF(U$4:U837,"&gt;0"),0),0)</f>
        <v>0</v>
      </c>
      <c r="V838" s="417">
        <f t="shared" ref="V838:V901" si="164">V837+1</f>
        <v>835</v>
      </c>
      <c r="W838" s="509"/>
      <c r="X838" s="321"/>
      <c r="Y838" s="321"/>
      <c r="Z838" s="508"/>
      <c r="AA838" s="356"/>
      <c r="AB838" s="306" t="str">
        <f t="shared" si="160"/>
        <v/>
      </c>
      <c r="AC838" s="637">
        <f t="shared" ca="1" si="159"/>
        <v>-2.1316282072803006E-13</v>
      </c>
      <c r="AD838" s="935">
        <f>IF(ISERROR(VLOOKUP(AD$2,X839:X$1003,1,FALSE)),IF(X838=AD$2,SUMIF(X$4:X838,AD$2,Z$4:Z838)+$E$9+SUM(AQ$4:AQ$1003)+SUMIF(COSTI!$X$1379:$X$1430,AD$2,COSTI!$Z$1379:$Z$1430),0),0)</f>
        <v>0</v>
      </c>
      <c r="AE838" s="26"/>
      <c r="AF838" s="856" t="e">
        <f>IF(ISERROR(VLOOKUP(AG$2,X839:X$1003,1,FALSE)),IF(X838=AG$2,SUMIF(X$4:X838,AG$2,Z$4:Z838)+VLOOKUP(AF$2,$B$1057:$F$1068,5,FALSE)+SUM(AR$4:AR$1003)+SUMIF(COSTI!$X$1379:$X$1430,AG$2,COSTI!$Z$1379:$Z$1430),0),0)</f>
        <v>#N/A</v>
      </c>
      <c r="AG838" s="859"/>
      <c r="AH838" s="27" t="str">
        <f t="shared" si="161"/>
        <v/>
      </c>
      <c r="AI838" s="152">
        <f ca="1">IF(W839&gt;0,0,IF(AH838=0,(Z838*-1)+BC838+SUM(BB$4:BB837),BC838+SUM(BB$4:BB837)))</f>
        <v>-2.1316282072803006E-13</v>
      </c>
      <c r="AJ838" s="931">
        <f>IF(AND(AL838&gt;=$U$1,AL838&lt;=$U$2),IF(AM838='ESTRATTO CONTO'!$E$2,1+COUNTIF(AJ$4:AJ837,"&gt;0")+U$1015,0),0)</f>
        <v>0</v>
      </c>
      <c r="AK838" s="203">
        <f>IF(AND(OR((AK837+1)&lt;AL$1015,(AK837+1)=AL$1015),MAX(AK$4:AK837)&lt;AL$1015),AK837+1,0)</f>
        <v>0</v>
      </c>
      <c r="AL838" s="309">
        <f>VLOOKUP($AK838,ENTI!$AF$4:AG$1003,2,FALSE)</f>
        <v>0</v>
      </c>
      <c r="AM838" s="224">
        <f>VLOOKUP($AK838,ENTI!$AF$4:AH$1003,3,FALSE)</f>
        <v>0</v>
      </c>
      <c r="AN838" s="224">
        <f>VLOOKUP($AK838,ENTI!$AF$4:AI$1003,4,FALSE)</f>
        <v>0</v>
      </c>
      <c r="AO838" s="781">
        <f>VLOOKUP($AK838,ENTI!$AF$4:AJ$1003,5,FALSE)</f>
        <v>0</v>
      </c>
      <c r="AP838" s="315">
        <f>VLOOKUP($AK838,ENTI!$AF$4:AK$1003,6,FALSE)</f>
        <v>0</v>
      </c>
      <c r="AQ838" s="208">
        <f t="shared" si="157"/>
        <v>0</v>
      </c>
      <c r="AR838" s="152" t="e">
        <f t="shared" si="158"/>
        <v>#N/A</v>
      </c>
      <c r="AS838" s="1"/>
      <c r="AT838" s="88" t="str">
        <f t="shared" si="162"/>
        <v/>
      </c>
      <c r="AU838" s="1"/>
      <c r="AV838" s="175">
        <f>IF(AW838&gt;0,COUNTIF(AV$4:AV837,"&gt;0")+1,0)</f>
        <v>0</v>
      </c>
      <c r="AW838" s="164">
        <f t="shared" si="163"/>
        <v>0</v>
      </c>
      <c r="AX838" s="310">
        <f>IF($AW838=0,0,VLOOKUP(VLOOKUP($X838,$B$34:$T$38,19,FALSE),ENTI!$A$9:$B$13,2,FALSE))</f>
        <v>0</v>
      </c>
      <c r="AY838" s="310">
        <f t="shared" ref="AY838:AY901" si="165">IF(AW838=0,0,Y838)</f>
        <v>0</v>
      </c>
      <c r="AZ838" s="316">
        <f t="shared" ref="AZ838:AZ901" si="166">IF(AW838=0,0,Z838)</f>
        <v>0</v>
      </c>
      <c r="BA838" s="1"/>
      <c r="BB838" s="152">
        <f t="shared" ref="BB838:BB901" si="167">IF(ISERROR(VLOOKUP(X838,B$9:D$15,1,FALSE)),Z838*-1,0)</f>
        <v>0</v>
      </c>
      <c r="BC838" s="152">
        <f ca="1">SUM(Z$4:Z838)+SUM(BB$4:BB838)+COSTI!S$6-COSTI!L$1076</f>
        <v>-31.760000000000218</v>
      </c>
      <c r="BD838" s="1"/>
    </row>
    <row r="839" spans="1:56" ht="16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435">
        <f>IF(AND(W839&gt;=$U$1,W839&lt;=$U$2),IF(X839='ESTRATTO CONTO'!$E$2,1+COUNTIF(U$4:U838,"&gt;0"),0),0)</f>
        <v>0</v>
      </c>
      <c r="V839" s="417">
        <f t="shared" si="164"/>
        <v>836</v>
      </c>
      <c r="W839" s="509"/>
      <c r="X839" s="321"/>
      <c r="Y839" s="321"/>
      <c r="Z839" s="508"/>
      <c r="AA839" s="356"/>
      <c r="AB839" s="306" t="str">
        <f t="shared" si="160"/>
        <v/>
      </c>
      <c r="AC839" s="637">
        <f t="shared" ca="1" si="159"/>
        <v>-2.1316282072803006E-13</v>
      </c>
      <c r="AD839" s="935">
        <f>IF(ISERROR(VLOOKUP(AD$2,X840:X$1003,1,FALSE)),IF(X839=AD$2,SUMIF(X$4:X839,AD$2,Z$4:Z839)+$E$9+SUM(AQ$4:AQ$1003)+SUMIF(COSTI!$X$1379:$X$1430,AD$2,COSTI!$Z$1379:$Z$1430),0),0)</f>
        <v>0</v>
      </c>
      <c r="AE839" s="26"/>
      <c r="AF839" s="856" t="e">
        <f>IF(ISERROR(VLOOKUP(AG$2,X840:X$1003,1,FALSE)),IF(X839=AG$2,SUMIF(X$4:X839,AG$2,Z$4:Z839)+VLOOKUP(AF$2,$B$1057:$F$1068,5,FALSE)+SUM(AR$4:AR$1003)+SUMIF(COSTI!$X$1379:$X$1430,AG$2,COSTI!$Z$1379:$Z$1430),0),0)</f>
        <v>#N/A</v>
      </c>
      <c r="AG839" s="859"/>
      <c r="AH839" s="27" t="str">
        <f t="shared" si="161"/>
        <v/>
      </c>
      <c r="AI839" s="152">
        <f ca="1">IF(W840&gt;0,0,IF(AH839=0,(Z839*-1)+BC839+SUM(BB$4:BB838),BC839+SUM(BB$4:BB838)))</f>
        <v>-2.1316282072803006E-13</v>
      </c>
      <c r="AJ839" s="931">
        <f>IF(AND(AL839&gt;=$U$1,AL839&lt;=$U$2),IF(AM839='ESTRATTO CONTO'!$E$2,1+COUNTIF(AJ$4:AJ838,"&gt;0")+U$1015,0),0)</f>
        <v>0</v>
      </c>
      <c r="AK839" s="203">
        <f>IF(AND(OR((AK838+1)&lt;AL$1015,(AK838+1)=AL$1015),MAX(AK$4:AK838)&lt;AL$1015),AK838+1,0)</f>
        <v>0</v>
      </c>
      <c r="AL839" s="309">
        <f>VLOOKUP($AK839,ENTI!$AF$4:AG$1003,2,FALSE)</f>
        <v>0</v>
      </c>
      <c r="AM839" s="224">
        <f>VLOOKUP($AK839,ENTI!$AF$4:AH$1003,3,FALSE)</f>
        <v>0</v>
      </c>
      <c r="AN839" s="224">
        <f>VLOOKUP($AK839,ENTI!$AF$4:AI$1003,4,FALSE)</f>
        <v>0</v>
      </c>
      <c r="AO839" s="781">
        <f>VLOOKUP($AK839,ENTI!$AF$4:AJ$1003,5,FALSE)</f>
        <v>0</v>
      </c>
      <c r="AP839" s="315">
        <f>VLOOKUP($AK839,ENTI!$AF$4:AK$1003,6,FALSE)</f>
        <v>0</v>
      </c>
      <c r="AQ839" s="208">
        <f t="shared" si="157"/>
        <v>0</v>
      </c>
      <c r="AR839" s="152" t="e">
        <f t="shared" si="158"/>
        <v>#N/A</v>
      </c>
      <c r="AS839" s="1"/>
      <c r="AT839" s="88" t="str">
        <f t="shared" si="162"/>
        <v/>
      </c>
      <c r="AU839" s="1"/>
      <c r="AV839" s="175">
        <f>IF(AW839&gt;0,COUNTIF(AV$4:AV838,"&gt;0")+1,0)</f>
        <v>0</v>
      </c>
      <c r="AW839" s="164">
        <f t="shared" si="163"/>
        <v>0</v>
      </c>
      <c r="AX839" s="310">
        <f>IF($AW839=0,0,VLOOKUP(VLOOKUP($X839,$B$34:$T$38,19,FALSE),ENTI!$A$9:$B$13,2,FALSE))</f>
        <v>0</v>
      </c>
      <c r="AY839" s="310">
        <f t="shared" si="165"/>
        <v>0</v>
      </c>
      <c r="AZ839" s="316">
        <f t="shared" si="166"/>
        <v>0</v>
      </c>
      <c r="BA839" s="1"/>
      <c r="BB839" s="152">
        <f t="shared" si="167"/>
        <v>0</v>
      </c>
      <c r="BC839" s="152">
        <f ca="1">SUM(Z$4:Z839)+SUM(BB$4:BB839)+COSTI!S$6-COSTI!L$1076</f>
        <v>-31.760000000000218</v>
      </c>
      <c r="BD839" s="1"/>
    </row>
    <row r="840" spans="1:56" ht="16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435">
        <f>IF(AND(W840&gt;=$U$1,W840&lt;=$U$2),IF(X840='ESTRATTO CONTO'!$E$2,1+COUNTIF(U$4:U839,"&gt;0"),0),0)</f>
        <v>0</v>
      </c>
      <c r="V840" s="417">
        <f t="shared" si="164"/>
        <v>837</v>
      </c>
      <c r="W840" s="509"/>
      <c r="X840" s="321"/>
      <c r="Y840" s="321"/>
      <c r="Z840" s="508"/>
      <c r="AA840" s="356"/>
      <c r="AB840" s="306" t="str">
        <f t="shared" si="160"/>
        <v/>
      </c>
      <c r="AC840" s="637">
        <f t="shared" ca="1" si="159"/>
        <v>-2.1316282072803006E-13</v>
      </c>
      <c r="AD840" s="935">
        <f>IF(ISERROR(VLOOKUP(AD$2,X841:X$1003,1,FALSE)),IF(X840=AD$2,SUMIF(X$4:X840,AD$2,Z$4:Z840)+$E$9+SUM(AQ$4:AQ$1003)+SUMIF(COSTI!$X$1379:$X$1430,AD$2,COSTI!$Z$1379:$Z$1430),0),0)</f>
        <v>0</v>
      </c>
      <c r="AE840" s="26"/>
      <c r="AF840" s="856" t="e">
        <f>IF(ISERROR(VLOOKUP(AG$2,X841:X$1003,1,FALSE)),IF(X840=AG$2,SUMIF(X$4:X840,AG$2,Z$4:Z840)+VLOOKUP(AF$2,$B$1057:$F$1068,5,FALSE)+SUM(AR$4:AR$1003)+SUMIF(COSTI!$X$1379:$X$1430,AG$2,COSTI!$Z$1379:$Z$1430),0),0)</f>
        <v>#N/A</v>
      </c>
      <c r="AG840" s="859"/>
      <c r="AH840" s="27" t="str">
        <f t="shared" si="161"/>
        <v/>
      </c>
      <c r="AI840" s="152">
        <f ca="1">IF(W841&gt;0,0,IF(AH840=0,(Z840*-1)+BC840+SUM(BB$4:BB839),BC840+SUM(BB$4:BB839)))</f>
        <v>-2.1316282072803006E-13</v>
      </c>
      <c r="AJ840" s="931">
        <f>IF(AND(AL840&gt;=$U$1,AL840&lt;=$U$2),IF(AM840='ESTRATTO CONTO'!$E$2,1+COUNTIF(AJ$4:AJ839,"&gt;0")+U$1015,0),0)</f>
        <v>0</v>
      </c>
      <c r="AK840" s="203">
        <f>IF(AND(OR((AK839+1)&lt;AL$1015,(AK839+1)=AL$1015),MAX(AK$4:AK839)&lt;AL$1015),AK839+1,0)</f>
        <v>0</v>
      </c>
      <c r="AL840" s="309">
        <f>VLOOKUP($AK840,ENTI!$AF$4:AG$1003,2,FALSE)</f>
        <v>0</v>
      </c>
      <c r="AM840" s="224">
        <f>VLOOKUP($AK840,ENTI!$AF$4:AH$1003,3,FALSE)</f>
        <v>0</v>
      </c>
      <c r="AN840" s="224">
        <f>VLOOKUP($AK840,ENTI!$AF$4:AI$1003,4,FALSE)</f>
        <v>0</v>
      </c>
      <c r="AO840" s="781">
        <f>VLOOKUP($AK840,ENTI!$AF$4:AJ$1003,5,FALSE)</f>
        <v>0</v>
      </c>
      <c r="AP840" s="315">
        <f>VLOOKUP($AK840,ENTI!$AF$4:AK$1003,6,FALSE)</f>
        <v>0</v>
      </c>
      <c r="AQ840" s="208">
        <f t="shared" si="157"/>
        <v>0</v>
      </c>
      <c r="AR840" s="152" t="e">
        <f t="shared" si="158"/>
        <v>#N/A</v>
      </c>
      <c r="AS840" s="1"/>
      <c r="AT840" s="88" t="str">
        <f t="shared" si="162"/>
        <v/>
      </c>
      <c r="AU840" s="1"/>
      <c r="AV840" s="175">
        <f>IF(AW840&gt;0,COUNTIF(AV$4:AV839,"&gt;0")+1,0)</f>
        <v>0</v>
      </c>
      <c r="AW840" s="164">
        <f t="shared" si="163"/>
        <v>0</v>
      </c>
      <c r="AX840" s="310">
        <f>IF($AW840=0,0,VLOOKUP(VLOOKUP($X840,$B$34:$T$38,19,FALSE),ENTI!$A$9:$B$13,2,FALSE))</f>
        <v>0</v>
      </c>
      <c r="AY840" s="310">
        <f t="shared" si="165"/>
        <v>0</v>
      </c>
      <c r="AZ840" s="316">
        <f t="shared" si="166"/>
        <v>0</v>
      </c>
      <c r="BA840" s="1"/>
      <c r="BB840" s="152">
        <f t="shared" si="167"/>
        <v>0</v>
      </c>
      <c r="BC840" s="152">
        <f ca="1">SUM(Z$4:Z840)+SUM(BB$4:BB840)+COSTI!S$6-COSTI!L$1076</f>
        <v>-31.760000000000218</v>
      </c>
      <c r="BD840" s="1"/>
    </row>
    <row r="841" spans="1:56" ht="16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435">
        <f>IF(AND(W841&gt;=$U$1,W841&lt;=$U$2),IF(X841='ESTRATTO CONTO'!$E$2,1+COUNTIF(U$4:U840,"&gt;0"),0),0)</f>
        <v>0</v>
      </c>
      <c r="V841" s="417">
        <f t="shared" si="164"/>
        <v>838</v>
      </c>
      <c r="W841" s="509"/>
      <c r="X841" s="321"/>
      <c r="Y841" s="321"/>
      <c r="Z841" s="508"/>
      <c r="AA841" s="356"/>
      <c r="AB841" s="306" t="str">
        <f t="shared" si="160"/>
        <v/>
      </c>
      <c r="AC841" s="637">
        <f t="shared" ca="1" si="159"/>
        <v>-2.1316282072803006E-13</v>
      </c>
      <c r="AD841" s="935">
        <f>IF(ISERROR(VLOOKUP(AD$2,X842:X$1003,1,FALSE)),IF(X841=AD$2,SUMIF(X$4:X841,AD$2,Z$4:Z841)+$E$9+SUM(AQ$4:AQ$1003)+SUMIF(COSTI!$X$1379:$X$1430,AD$2,COSTI!$Z$1379:$Z$1430),0),0)</f>
        <v>0</v>
      </c>
      <c r="AE841" s="26"/>
      <c r="AF841" s="856" t="e">
        <f>IF(ISERROR(VLOOKUP(AG$2,X842:X$1003,1,FALSE)),IF(X841=AG$2,SUMIF(X$4:X841,AG$2,Z$4:Z841)+VLOOKUP(AF$2,$B$1057:$F$1068,5,FALSE)+SUM(AR$4:AR$1003)+SUMIF(COSTI!$X$1379:$X$1430,AG$2,COSTI!$Z$1379:$Z$1430),0),0)</f>
        <v>#N/A</v>
      </c>
      <c r="AG841" s="859"/>
      <c r="AH841" s="27" t="str">
        <f t="shared" si="161"/>
        <v/>
      </c>
      <c r="AI841" s="152">
        <f ca="1">IF(W842&gt;0,0,IF(AH841=0,(Z841*-1)+BC841+SUM(BB$4:BB840),BC841+SUM(BB$4:BB840)))</f>
        <v>-2.1316282072803006E-13</v>
      </c>
      <c r="AJ841" s="931">
        <f>IF(AND(AL841&gt;=$U$1,AL841&lt;=$U$2),IF(AM841='ESTRATTO CONTO'!$E$2,1+COUNTIF(AJ$4:AJ840,"&gt;0")+U$1015,0),0)</f>
        <v>0</v>
      </c>
      <c r="AK841" s="203">
        <f>IF(AND(OR((AK840+1)&lt;AL$1015,(AK840+1)=AL$1015),MAX(AK$4:AK840)&lt;AL$1015),AK840+1,0)</f>
        <v>0</v>
      </c>
      <c r="AL841" s="309">
        <f>VLOOKUP($AK841,ENTI!$AF$4:AG$1003,2,FALSE)</f>
        <v>0</v>
      </c>
      <c r="AM841" s="224">
        <f>VLOOKUP($AK841,ENTI!$AF$4:AH$1003,3,FALSE)</f>
        <v>0</v>
      </c>
      <c r="AN841" s="224">
        <f>VLOOKUP($AK841,ENTI!$AF$4:AI$1003,4,FALSE)</f>
        <v>0</v>
      </c>
      <c r="AO841" s="781">
        <f>VLOOKUP($AK841,ENTI!$AF$4:AJ$1003,5,FALSE)</f>
        <v>0</v>
      </c>
      <c r="AP841" s="315">
        <f>VLOOKUP($AK841,ENTI!$AF$4:AK$1003,6,FALSE)</f>
        <v>0</v>
      </c>
      <c r="AQ841" s="208">
        <f t="shared" si="157"/>
        <v>0</v>
      </c>
      <c r="AR841" s="152" t="e">
        <f t="shared" si="158"/>
        <v>#N/A</v>
      </c>
      <c r="AS841" s="1"/>
      <c r="AT841" s="88" t="str">
        <f t="shared" si="162"/>
        <v/>
      </c>
      <c r="AU841" s="1"/>
      <c r="AV841" s="175">
        <f>IF(AW841&gt;0,COUNTIF(AV$4:AV840,"&gt;0")+1,0)</f>
        <v>0</v>
      </c>
      <c r="AW841" s="164">
        <f t="shared" si="163"/>
        <v>0</v>
      </c>
      <c r="AX841" s="310">
        <f>IF($AW841=0,0,VLOOKUP(VLOOKUP($X841,$B$34:$T$38,19,FALSE),ENTI!$A$9:$B$13,2,FALSE))</f>
        <v>0</v>
      </c>
      <c r="AY841" s="310">
        <f t="shared" si="165"/>
        <v>0</v>
      </c>
      <c r="AZ841" s="316">
        <f t="shared" si="166"/>
        <v>0</v>
      </c>
      <c r="BA841" s="1"/>
      <c r="BB841" s="152">
        <f t="shared" si="167"/>
        <v>0</v>
      </c>
      <c r="BC841" s="152">
        <f ca="1">SUM(Z$4:Z841)+SUM(BB$4:BB841)+COSTI!S$6-COSTI!L$1076</f>
        <v>-31.760000000000218</v>
      </c>
      <c r="BD841" s="1"/>
    </row>
    <row r="842" spans="1:56" ht="16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435">
        <f>IF(AND(W842&gt;=$U$1,W842&lt;=$U$2),IF(X842='ESTRATTO CONTO'!$E$2,1+COUNTIF(U$4:U841,"&gt;0"),0),0)</f>
        <v>0</v>
      </c>
      <c r="V842" s="417">
        <f t="shared" si="164"/>
        <v>839</v>
      </c>
      <c r="W842" s="509"/>
      <c r="X842" s="321"/>
      <c r="Y842" s="321"/>
      <c r="Z842" s="508"/>
      <c r="AA842" s="356"/>
      <c r="AB842" s="306" t="str">
        <f t="shared" si="160"/>
        <v/>
      </c>
      <c r="AC842" s="637">
        <f t="shared" ca="1" si="159"/>
        <v>-2.1316282072803006E-13</v>
      </c>
      <c r="AD842" s="935">
        <f>IF(ISERROR(VLOOKUP(AD$2,X843:X$1003,1,FALSE)),IF(X842=AD$2,SUMIF(X$4:X842,AD$2,Z$4:Z842)+$E$9+SUM(AQ$4:AQ$1003)+SUMIF(COSTI!$X$1379:$X$1430,AD$2,COSTI!$Z$1379:$Z$1430),0),0)</f>
        <v>0</v>
      </c>
      <c r="AE842" s="26"/>
      <c r="AF842" s="856" t="e">
        <f>IF(ISERROR(VLOOKUP(AG$2,X843:X$1003,1,FALSE)),IF(X842=AG$2,SUMIF(X$4:X842,AG$2,Z$4:Z842)+VLOOKUP(AF$2,$B$1057:$F$1068,5,FALSE)+SUM(AR$4:AR$1003)+SUMIF(COSTI!$X$1379:$X$1430,AG$2,COSTI!$Z$1379:$Z$1430),0),0)</f>
        <v>#N/A</v>
      </c>
      <c r="AG842" s="859"/>
      <c r="AH842" s="27" t="str">
        <f t="shared" si="161"/>
        <v/>
      </c>
      <c r="AI842" s="152">
        <f ca="1">IF(W843&gt;0,0,IF(AH842=0,(Z842*-1)+BC842+SUM(BB$4:BB841),BC842+SUM(BB$4:BB841)))</f>
        <v>-2.1316282072803006E-13</v>
      </c>
      <c r="AJ842" s="931">
        <f>IF(AND(AL842&gt;=$U$1,AL842&lt;=$U$2),IF(AM842='ESTRATTO CONTO'!$E$2,1+COUNTIF(AJ$4:AJ841,"&gt;0")+U$1015,0),0)</f>
        <v>0</v>
      </c>
      <c r="AK842" s="203">
        <f>IF(AND(OR((AK841+1)&lt;AL$1015,(AK841+1)=AL$1015),MAX(AK$4:AK841)&lt;AL$1015),AK841+1,0)</f>
        <v>0</v>
      </c>
      <c r="AL842" s="309">
        <f>VLOOKUP($AK842,ENTI!$AF$4:AG$1003,2,FALSE)</f>
        <v>0</v>
      </c>
      <c r="AM842" s="224">
        <f>VLOOKUP($AK842,ENTI!$AF$4:AH$1003,3,FALSE)</f>
        <v>0</v>
      </c>
      <c r="AN842" s="224">
        <f>VLOOKUP($AK842,ENTI!$AF$4:AI$1003,4,FALSE)</f>
        <v>0</v>
      </c>
      <c r="AO842" s="781">
        <f>VLOOKUP($AK842,ENTI!$AF$4:AJ$1003,5,FALSE)</f>
        <v>0</v>
      </c>
      <c r="AP842" s="315">
        <f>VLOOKUP($AK842,ENTI!$AF$4:AK$1003,6,FALSE)</f>
        <v>0</v>
      </c>
      <c r="AQ842" s="208">
        <f t="shared" si="157"/>
        <v>0</v>
      </c>
      <c r="AR842" s="152" t="e">
        <f t="shared" si="158"/>
        <v>#N/A</v>
      </c>
      <c r="AS842" s="1"/>
      <c r="AT842" s="88" t="str">
        <f t="shared" si="162"/>
        <v/>
      </c>
      <c r="AU842" s="1"/>
      <c r="AV842" s="175">
        <f>IF(AW842&gt;0,COUNTIF(AV$4:AV841,"&gt;0")+1,0)</f>
        <v>0</v>
      </c>
      <c r="AW842" s="164">
        <f t="shared" si="163"/>
        <v>0</v>
      </c>
      <c r="AX842" s="310">
        <f>IF($AW842=0,0,VLOOKUP(VLOOKUP($X842,$B$34:$T$38,19,FALSE),ENTI!$A$9:$B$13,2,FALSE))</f>
        <v>0</v>
      </c>
      <c r="AY842" s="310">
        <f t="shared" si="165"/>
        <v>0</v>
      </c>
      <c r="AZ842" s="316">
        <f t="shared" si="166"/>
        <v>0</v>
      </c>
      <c r="BA842" s="1"/>
      <c r="BB842" s="152">
        <f t="shared" si="167"/>
        <v>0</v>
      </c>
      <c r="BC842" s="152">
        <f ca="1">SUM(Z$4:Z842)+SUM(BB$4:BB842)+COSTI!S$6-COSTI!L$1076</f>
        <v>-31.760000000000218</v>
      </c>
      <c r="BD842" s="1"/>
    </row>
    <row r="843" spans="1:56" ht="16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435">
        <f>IF(AND(W843&gt;=$U$1,W843&lt;=$U$2),IF(X843='ESTRATTO CONTO'!$E$2,1+COUNTIF(U$4:U842,"&gt;0"),0),0)</f>
        <v>0</v>
      </c>
      <c r="V843" s="417">
        <f t="shared" si="164"/>
        <v>840</v>
      </c>
      <c r="W843" s="509"/>
      <c r="X843" s="321"/>
      <c r="Y843" s="321"/>
      <c r="Z843" s="508"/>
      <c r="AA843" s="356"/>
      <c r="AB843" s="306" t="str">
        <f t="shared" si="160"/>
        <v/>
      </c>
      <c r="AC843" s="637">
        <f t="shared" ca="1" si="159"/>
        <v>-2.1316282072803006E-13</v>
      </c>
      <c r="AD843" s="935">
        <f>IF(ISERROR(VLOOKUP(AD$2,X844:X$1003,1,FALSE)),IF(X843=AD$2,SUMIF(X$4:X843,AD$2,Z$4:Z843)+$E$9+SUM(AQ$4:AQ$1003)+SUMIF(COSTI!$X$1379:$X$1430,AD$2,COSTI!$Z$1379:$Z$1430),0),0)</f>
        <v>0</v>
      </c>
      <c r="AE843" s="26"/>
      <c r="AF843" s="856" t="e">
        <f>IF(ISERROR(VLOOKUP(AG$2,X844:X$1003,1,FALSE)),IF(X843=AG$2,SUMIF(X$4:X843,AG$2,Z$4:Z843)+VLOOKUP(AF$2,$B$1057:$F$1068,5,FALSE)+SUM(AR$4:AR$1003)+SUMIF(COSTI!$X$1379:$X$1430,AG$2,COSTI!$Z$1379:$Z$1430),0),0)</f>
        <v>#N/A</v>
      </c>
      <c r="AG843" s="859"/>
      <c r="AH843" s="27" t="str">
        <f t="shared" si="161"/>
        <v/>
      </c>
      <c r="AI843" s="152">
        <f ca="1">IF(W844&gt;0,0,IF(AH843=0,(Z843*-1)+BC843+SUM(BB$4:BB842),BC843+SUM(BB$4:BB842)))</f>
        <v>-2.1316282072803006E-13</v>
      </c>
      <c r="AJ843" s="931">
        <f>IF(AND(AL843&gt;=$U$1,AL843&lt;=$U$2),IF(AM843='ESTRATTO CONTO'!$E$2,1+COUNTIF(AJ$4:AJ842,"&gt;0")+U$1015,0),0)</f>
        <v>0</v>
      </c>
      <c r="AK843" s="203">
        <f>IF(AND(OR((AK842+1)&lt;AL$1015,(AK842+1)=AL$1015),MAX(AK$4:AK842)&lt;AL$1015),AK842+1,0)</f>
        <v>0</v>
      </c>
      <c r="AL843" s="309">
        <f>VLOOKUP($AK843,ENTI!$AF$4:AG$1003,2,FALSE)</f>
        <v>0</v>
      </c>
      <c r="AM843" s="224">
        <f>VLOOKUP($AK843,ENTI!$AF$4:AH$1003,3,FALSE)</f>
        <v>0</v>
      </c>
      <c r="AN843" s="224">
        <f>VLOOKUP($AK843,ENTI!$AF$4:AI$1003,4,FALSE)</f>
        <v>0</v>
      </c>
      <c r="AO843" s="781">
        <f>VLOOKUP($AK843,ENTI!$AF$4:AJ$1003,5,FALSE)</f>
        <v>0</v>
      </c>
      <c r="AP843" s="315">
        <f>VLOOKUP($AK843,ENTI!$AF$4:AK$1003,6,FALSE)</f>
        <v>0</v>
      </c>
      <c r="AQ843" s="208">
        <f t="shared" si="157"/>
        <v>0</v>
      </c>
      <c r="AR843" s="152" t="e">
        <f t="shared" si="158"/>
        <v>#N/A</v>
      </c>
      <c r="AS843" s="1"/>
      <c r="AT843" s="88" t="str">
        <f t="shared" si="162"/>
        <v/>
      </c>
      <c r="AU843" s="1"/>
      <c r="AV843" s="175">
        <f>IF(AW843&gt;0,COUNTIF(AV$4:AV842,"&gt;0")+1,0)</f>
        <v>0</v>
      </c>
      <c r="AW843" s="164">
        <f t="shared" si="163"/>
        <v>0</v>
      </c>
      <c r="AX843" s="310">
        <f>IF($AW843=0,0,VLOOKUP(VLOOKUP($X843,$B$34:$T$38,19,FALSE),ENTI!$A$9:$B$13,2,FALSE))</f>
        <v>0</v>
      </c>
      <c r="AY843" s="310">
        <f t="shared" si="165"/>
        <v>0</v>
      </c>
      <c r="AZ843" s="316">
        <f t="shared" si="166"/>
        <v>0</v>
      </c>
      <c r="BA843" s="1"/>
      <c r="BB843" s="152">
        <f t="shared" si="167"/>
        <v>0</v>
      </c>
      <c r="BC843" s="152">
        <f ca="1">SUM(Z$4:Z843)+SUM(BB$4:BB843)+COSTI!S$6-COSTI!L$1076</f>
        <v>-31.760000000000218</v>
      </c>
      <c r="BD843" s="1"/>
    </row>
    <row r="844" spans="1:56" ht="16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435">
        <f>IF(AND(W844&gt;=$U$1,W844&lt;=$U$2),IF(X844='ESTRATTO CONTO'!$E$2,1+COUNTIF(U$4:U843,"&gt;0"),0),0)</f>
        <v>0</v>
      </c>
      <c r="V844" s="417">
        <f t="shared" si="164"/>
        <v>841</v>
      </c>
      <c r="W844" s="509"/>
      <c r="X844" s="321"/>
      <c r="Y844" s="321"/>
      <c r="Z844" s="508"/>
      <c r="AA844" s="356"/>
      <c r="AB844" s="306" t="str">
        <f t="shared" si="160"/>
        <v/>
      </c>
      <c r="AC844" s="637">
        <f t="shared" ca="1" si="159"/>
        <v>-2.1316282072803006E-13</v>
      </c>
      <c r="AD844" s="935">
        <f>IF(ISERROR(VLOOKUP(AD$2,X845:X$1003,1,FALSE)),IF(X844=AD$2,SUMIF(X$4:X844,AD$2,Z$4:Z844)+$E$9+SUM(AQ$4:AQ$1003)+SUMIF(COSTI!$X$1379:$X$1430,AD$2,COSTI!$Z$1379:$Z$1430),0),0)</f>
        <v>0</v>
      </c>
      <c r="AE844" s="26"/>
      <c r="AF844" s="856" t="e">
        <f>IF(ISERROR(VLOOKUP(AG$2,X845:X$1003,1,FALSE)),IF(X844=AG$2,SUMIF(X$4:X844,AG$2,Z$4:Z844)+VLOOKUP(AF$2,$B$1057:$F$1068,5,FALSE)+SUM(AR$4:AR$1003)+SUMIF(COSTI!$X$1379:$X$1430,AG$2,COSTI!$Z$1379:$Z$1430),0),0)</f>
        <v>#N/A</v>
      </c>
      <c r="AG844" s="859"/>
      <c r="AH844" s="27" t="str">
        <f t="shared" si="161"/>
        <v/>
      </c>
      <c r="AI844" s="152">
        <f ca="1">IF(W845&gt;0,0,IF(AH844=0,(Z844*-1)+BC844+SUM(BB$4:BB843),BC844+SUM(BB$4:BB843)))</f>
        <v>-2.1316282072803006E-13</v>
      </c>
      <c r="AJ844" s="931">
        <f>IF(AND(AL844&gt;=$U$1,AL844&lt;=$U$2),IF(AM844='ESTRATTO CONTO'!$E$2,1+COUNTIF(AJ$4:AJ843,"&gt;0")+U$1015,0),0)</f>
        <v>0</v>
      </c>
      <c r="AK844" s="203">
        <f>IF(AND(OR((AK843+1)&lt;AL$1015,(AK843+1)=AL$1015),MAX(AK$4:AK843)&lt;AL$1015),AK843+1,0)</f>
        <v>0</v>
      </c>
      <c r="AL844" s="309">
        <f>VLOOKUP($AK844,ENTI!$AF$4:AG$1003,2,FALSE)</f>
        <v>0</v>
      </c>
      <c r="AM844" s="224">
        <f>VLOOKUP($AK844,ENTI!$AF$4:AH$1003,3,FALSE)</f>
        <v>0</v>
      </c>
      <c r="AN844" s="224">
        <f>VLOOKUP($AK844,ENTI!$AF$4:AI$1003,4,FALSE)</f>
        <v>0</v>
      </c>
      <c r="AO844" s="781">
        <f>VLOOKUP($AK844,ENTI!$AF$4:AJ$1003,5,FALSE)</f>
        <v>0</v>
      </c>
      <c r="AP844" s="315">
        <f>VLOOKUP($AK844,ENTI!$AF$4:AK$1003,6,FALSE)</f>
        <v>0</v>
      </c>
      <c r="AQ844" s="208">
        <f t="shared" si="157"/>
        <v>0</v>
      </c>
      <c r="AR844" s="152" t="e">
        <f t="shared" si="158"/>
        <v>#N/A</v>
      </c>
      <c r="AS844" s="1"/>
      <c r="AT844" s="88" t="str">
        <f t="shared" si="162"/>
        <v/>
      </c>
      <c r="AU844" s="1"/>
      <c r="AV844" s="175">
        <f>IF(AW844&gt;0,COUNTIF(AV$4:AV843,"&gt;0")+1,0)</f>
        <v>0</v>
      </c>
      <c r="AW844" s="164">
        <f t="shared" si="163"/>
        <v>0</v>
      </c>
      <c r="AX844" s="310">
        <f>IF($AW844=0,0,VLOOKUP(VLOOKUP($X844,$B$34:$T$38,19,FALSE),ENTI!$A$9:$B$13,2,FALSE))</f>
        <v>0</v>
      </c>
      <c r="AY844" s="310">
        <f t="shared" si="165"/>
        <v>0</v>
      </c>
      <c r="AZ844" s="316">
        <f t="shared" si="166"/>
        <v>0</v>
      </c>
      <c r="BA844" s="1"/>
      <c r="BB844" s="152">
        <f t="shared" si="167"/>
        <v>0</v>
      </c>
      <c r="BC844" s="152">
        <f ca="1">SUM(Z$4:Z844)+SUM(BB$4:BB844)+COSTI!S$6-COSTI!L$1076</f>
        <v>-31.760000000000218</v>
      </c>
      <c r="BD844" s="1"/>
    </row>
    <row r="845" spans="1:56" ht="16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435">
        <f>IF(AND(W845&gt;=$U$1,W845&lt;=$U$2),IF(X845='ESTRATTO CONTO'!$E$2,1+COUNTIF(U$4:U844,"&gt;0"),0),0)</f>
        <v>0</v>
      </c>
      <c r="V845" s="417">
        <f t="shared" si="164"/>
        <v>842</v>
      </c>
      <c r="W845" s="509"/>
      <c r="X845" s="321"/>
      <c r="Y845" s="321"/>
      <c r="Z845" s="508"/>
      <c r="AA845" s="356"/>
      <c r="AB845" s="306" t="str">
        <f t="shared" si="160"/>
        <v/>
      </c>
      <c r="AC845" s="637">
        <f t="shared" ca="1" si="159"/>
        <v>-2.1316282072803006E-13</v>
      </c>
      <c r="AD845" s="935">
        <f>IF(ISERROR(VLOOKUP(AD$2,X846:X$1003,1,FALSE)),IF(X845=AD$2,SUMIF(X$4:X845,AD$2,Z$4:Z845)+$E$9+SUM(AQ$4:AQ$1003)+SUMIF(COSTI!$X$1379:$X$1430,AD$2,COSTI!$Z$1379:$Z$1430),0),0)</f>
        <v>0</v>
      </c>
      <c r="AE845" s="26"/>
      <c r="AF845" s="856" t="e">
        <f>IF(ISERROR(VLOOKUP(AG$2,X846:X$1003,1,FALSE)),IF(X845=AG$2,SUMIF(X$4:X845,AG$2,Z$4:Z845)+VLOOKUP(AF$2,$B$1057:$F$1068,5,FALSE)+SUM(AR$4:AR$1003)+SUMIF(COSTI!$X$1379:$X$1430,AG$2,COSTI!$Z$1379:$Z$1430),0),0)</f>
        <v>#N/A</v>
      </c>
      <c r="AG845" s="859"/>
      <c r="AH845" s="27" t="str">
        <f t="shared" si="161"/>
        <v/>
      </c>
      <c r="AI845" s="152">
        <f ca="1">IF(W846&gt;0,0,IF(AH845=0,(Z845*-1)+BC845+SUM(BB$4:BB844),BC845+SUM(BB$4:BB844)))</f>
        <v>-2.1316282072803006E-13</v>
      </c>
      <c r="AJ845" s="931">
        <f>IF(AND(AL845&gt;=$U$1,AL845&lt;=$U$2),IF(AM845='ESTRATTO CONTO'!$E$2,1+COUNTIF(AJ$4:AJ844,"&gt;0")+U$1015,0),0)</f>
        <v>0</v>
      </c>
      <c r="AK845" s="203">
        <f>IF(AND(OR((AK844+1)&lt;AL$1015,(AK844+1)=AL$1015),MAX(AK$4:AK844)&lt;AL$1015),AK844+1,0)</f>
        <v>0</v>
      </c>
      <c r="AL845" s="309">
        <f>VLOOKUP($AK845,ENTI!$AF$4:AG$1003,2,FALSE)</f>
        <v>0</v>
      </c>
      <c r="AM845" s="224">
        <f>VLOOKUP($AK845,ENTI!$AF$4:AH$1003,3,FALSE)</f>
        <v>0</v>
      </c>
      <c r="AN845" s="224">
        <f>VLOOKUP($AK845,ENTI!$AF$4:AI$1003,4,FALSE)</f>
        <v>0</v>
      </c>
      <c r="AO845" s="781">
        <f>VLOOKUP($AK845,ENTI!$AF$4:AJ$1003,5,FALSE)</f>
        <v>0</v>
      </c>
      <c r="AP845" s="315">
        <f>VLOOKUP($AK845,ENTI!$AF$4:AK$1003,6,FALSE)</f>
        <v>0</v>
      </c>
      <c r="AQ845" s="208">
        <f t="shared" si="157"/>
        <v>0</v>
      </c>
      <c r="AR845" s="152" t="e">
        <f t="shared" si="158"/>
        <v>#N/A</v>
      </c>
      <c r="AS845" s="1"/>
      <c r="AT845" s="88" t="str">
        <f t="shared" si="162"/>
        <v/>
      </c>
      <c r="AU845" s="1"/>
      <c r="AV845" s="175">
        <f>IF(AW845&gt;0,COUNTIF(AV$4:AV844,"&gt;0")+1,0)</f>
        <v>0</v>
      </c>
      <c r="AW845" s="164">
        <f t="shared" si="163"/>
        <v>0</v>
      </c>
      <c r="AX845" s="310">
        <f>IF($AW845=0,0,VLOOKUP(VLOOKUP($X845,$B$34:$T$38,19,FALSE),ENTI!$A$9:$B$13,2,FALSE))</f>
        <v>0</v>
      </c>
      <c r="AY845" s="310">
        <f t="shared" si="165"/>
        <v>0</v>
      </c>
      <c r="AZ845" s="316">
        <f t="shared" si="166"/>
        <v>0</v>
      </c>
      <c r="BA845" s="1"/>
      <c r="BB845" s="152">
        <f t="shared" si="167"/>
        <v>0</v>
      </c>
      <c r="BC845" s="152">
        <f ca="1">SUM(Z$4:Z845)+SUM(BB$4:BB845)+COSTI!S$6-COSTI!L$1076</f>
        <v>-31.760000000000218</v>
      </c>
      <c r="BD845" s="1"/>
    </row>
    <row r="846" spans="1:56" ht="16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435">
        <f>IF(AND(W846&gt;=$U$1,W846&lt;=$U$2),IF(X846='ESTRATTO CONTO'!$E$2,1+COUNTIF(U$4:U845,"&gt;0"),0),0)</f>
        <v>0</v>
      </c>
      <c r="V846" s="417">
        <f t="shared" si="164"/>
        <v>843</v>
      </c>
      <c r="W846" s="509"/>
      <c r="X846" s="321"/>
      <c r="Y846" s="321"/>
      <c r="Z846" s="508"/>
      <c r="AA846" s="356"/>
      <c r="AB846" s="306" t="str">
        <f t="shared" si="160"/>
        <v/>
      </c>
      <c r="AC846" s="637">
        <f t="shared" ca="1" si="159"/>
        <v>-2.1316282072803006E-13</v>
      </c>
      <c r="AD846" s="935">
        <f>IF(ISERROR(VLOOKUP(AD$2,X847:X$1003,1,FALSE)),IF(X846=AD$2,SUMIF(X$4:X846,AD$2,Z$4:Z846)+$E$9+SUM(AQ$4:AQ$1003)+SUMIF(COSTI!$X$1379:$X$1430,AD$2,COSTI!$Z$1379:$Z$1430),0),0)</f>
        <v>0</v>
      </c>
      <c r="AE846" s="26"/>
      <c r="AF846" s="856" t="e">
        <f>IF(ISERROR(VLOOKUP(AG$2,X847:X$1003,1,FALSE)),IF(X846=AG$2,SUMIF(X$4:X846,AG$2,Z$4:Z846)+VLOOKUP(AF$2,$B$1057:$F$1068,5,FALSE)+SUM(AR$4:AR$1003)+SUMIF(COSTI!$X$1379:$X$1430,AG$2,COSTI!$Z$1379:$Z$1430),0),0)</f>
        <v>#N/A</v>
      </c>
      <c r="AG846" s="859"/>
      <c r="AH846" s="27" t="str">
        <f t="shared" si="161"/>
        <v/>
      </c>
      <c r="AI846" s="152">
        <f ca="1">IF(W847&gt;0,0,IF(AH846=0,(Z846*-1)+BC846+SUM(BB$4:BB845),BC846+SUM(BB$4:BB845)))</f>
        <v>-2.1316282072803006E-13</v>
      </c>
      <c r="AJ846" s="931">
        <f>IF(AND(AL846&gt;=$U$1,AL846&lt;=$U$2),IF(AM846='ESTRATTO CONTO'!$E$2,1+COUNTIF(AJ$4:AJ845,"&gt;0")+U$1015,0),0)</f>
        <v>0</v>
      </c>
      <c r="AK846" s="203">
        <f>IF(AND(OR((AK845+1)&lt;AL$1015,(AK845+1)=AL$1015),MAX(AK$4:AK845)&lt;AL$1015),AK845+1,0)</f>
        <v>0</v>
      </c>
      <c r="AL846" s="309">
        <f>VLOOKUP($AK846,ENTI!$AF$4:AG$1003,2,FALSE)</f>
        <v>0</v>
      </c>
      <c r="AM846" s="224">
        <f>VLOOKUP($AK846,ENTI!$AF$4:AH$1003,3,FALSE)</f>
        <v>0</v>
      </c>
      <c r="AN846" s="224">
        <f>VLOOKUP($AK846,ENTI!$AF$4:AI$1003,4,FALSE)</f>
        <v>0</v>
      </c>
      <c r="AO846" s="781">
        <f>VLOOKUP($AK846,ENTI!$AF$4:AJ$1003,5,FALSE)</f>
        <v>0</v>
      </c>
      <c r="AP846" s="315">
        <f>VLOOKUP($AK846,ENTI!$AF$4:AK$1003,6,FALSE)</f>
        <v>0</v>
      </c>
      <c r="AQ846" s="208">
        <f t="shared" si="157"/>
        <v>0</v>
      </c>
      <c r="AR846" s="152" t="e">
        <f t="shared" si="158"/>
        <v>#N/A</v>
      </c>
      <c r="AS846" s="1"/>
      <c r="AT846" s="88" t="str">
        <f t="shared" si="162"/>
        <v/>
      </c>
      <c r="AU846" s="1"/>
      <c r="AV846" s="175">
        <f>IF(AW846&gt;0,COUNTIF(AV$4:AV845,"&gt;0")+1,0)</f>
        <v>0</v>
      </c>
      <c r="AW846" s="164">
        <f t="shared" si="163"/>
        <v>0</v>
      </c>
      <c r="AX846" s="310">
        <f>IF($AW846=0,0,VLOOKUP(VLOOKUP($X846,$B$34:$T$38,19,FALSE),ENTI!$A$9:$B$13,2,FALSE))</f>
        <v>0</v>
      </c>
      <c r="AY846" s="310">
        <f t="shared" si="165"/>
        <v>0</v>
      </c>
      <c r="AZ846" s="316">
        <f t="shared" si="166"/>
        <v>0</v>
      </c>
      <c r="BA846" s="1"/>
      <c r="BB846" s="152">
        <f t="shared" si="167"/>
        <v>0</v>
      </c>
      <c r="BC846" s="152">
        <f ca="1">SUM(Z$4:Z846)+SUM(BB$4:BB846)+COSTI!S$6-COSTI!L$1076</f>
        <v>-31.760000000000218</v>
      </c>
      <c r="BD846" s="1"/>
    </row>
    <row r="847" spans="1:56" ht="16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435">
        <f>IF(AND(W847&gt;=$U$1,W847&lt;=$U$2),IF(X847='ESTRATTO CONTO'!$E$2,1+COUNTIF(U$4:U846,"&gt;0"),0),0)</f>
        <v>0</v>
      </c>
      <c r="V847" s="417">
        <f t="shared" si="164"/>
        <v>844</v>
      </c>
      <c r="W847" s="509"/>
      <c r="X847" s="321"/>
      <c r="Y847" s="321"/>
      <c r="Z847" s="508"/>
      <c r="AA847" s="356"/>
      <c r="AB847" s="306" t="str">
        <f t="shared" si="160"/>
        <v/>
      </c>
      <c r="AC847" s="637">
        <f t="shared" ca="1" si="159"/>
        <v>-2.1316282072803006E-13</v>
      </c>
      <c r="AD847" s="935">
        <f>IF(ISERROR(VLOOKUP(AD$2,X848:X$1003,1,FALSE)),IF(X847=AD$2,SUMIF(X$4:X847,AD$2,Z$4:Z847)+$E$9+SUM(AQ$4:AQ$1003)+SUMIF(COSTI!$X$1379:$X$1430,AD$2,COSTI!$Z$1379:$Z$1430),0),0)</f>
        <v>0</v>
      </c>
      <c r="AE847" s="26"/>
      <c r="AF847" s="856" t="e">
        <f>IF(ISERROR(VLOOKUP(AG$2,X848:X$1003,1,FALSE)),IF(X847=AG$2,SUMIF(X$4:X847,AG$2,Z$4:Z847)+VLOOKUP(AF$2,$B$1057:$F$1068,5,FALSE)+SUM(AR$4:AR$1003)+SUMIF(COSTI!$X$1379:$X$1430,AG$2,COSTI!$Z$1379:$Z$1430),0),0)</f>
        <v>#N/A</v>
      </c>
      <c r="AG847" s="859"/>
      <c r="AH847" s="27" t="str">
        <f t="shared" si="161"/>
        <v/>
      </c>
      <c r="AI847" s="152">
        <f ca="1">IF(W848&gt;0,0,IF(AH847=0,(Z847*-1)+BC847+SUM(BB$4:BB846),BC847+SUM(BB$4:BB846)))</f>
        <v>-2.1316282072803006E-13</v>
      </c>
      <c r="AJ847" s="931">
        <f>IF(AND(AL847&gt;=$U$1,AL847&lt;=$U$2),IF(AM847='ESTRATTO CONTO'!$E$2,1+COUNTIF(AJ$4:AJ846,"&gt;0")+U$1015,0),0)</f>
        <v>0</v>
      </c>
      <c r="AK847" s="203">
        <f>IF(AND(OR((AK846+1)&lt;AL$1015,(AK846+1)=AL$1015),MAX(AK$4:AK846)&lt;AL$1015),AK846+1,0)</f>
        <v>0</v>
      </c>
      <c r="AL847" s="309">
        <f>VLOOKUP($AK847,ENTI!$AF$4:AG$1003,2,FALSE)</f>
        <v>0</v>
      </c>
      <c r="AM847" s="224">
        <f>VLOOKUP($AK847,ENTI!$AF$4:AH$1003,3,FALSE)</f>
        <v>0</v>
      </c>
      <c r="AN847" s="224">
        <f>VLOOKUP($AK847,ENTI!$AF$4:AI$1003,4,FALSE)</f>
        <v>0</v>
      </c>
      <c r="AO847" s="781">
        <f>VLOOKUP($AK847,ENTI!$AF$4:AJ$1003,5,FALSE)</f>
        <v>0</v>
      </c>
      <c r="AP847" s="315">
        <f>VLOOKUP($AK847,ENTI!$AF$4:AK$1003,6,FALSE)</f>
        <v>0</v>
      </c>
      <c r="AQ847" s="208">
        <f t="shared" ref="AQ847:AQ910" si="168">IF(AM847=AQ$2,AO847,0)</f>
        <v>0</v>
      </c>
      <c r="AR847" s="152" t="e">
        <f t="shared" ref="AR847:AR910" si="169">IF(AM847=AR$1,AO847,0)</f>
        <v>#N/A</v>
      </c>
      <c r="AS847" s="1"/>
      <c r="AT847" s="88" t="str">
        <f t="shared" si="162"/>
        <v/>
      </c>
      <c r="AU847" s="1"/>
      <c r="AV847" s="175">
        <f>IF(AW847&gt;0,COUNTIF(AV$4:AV846,"&gt;0")+1,0)</f>
        <v>0</v>
      </c>
      <c r="AW847" s="164">
        <f t="shared" si="163"/>
        <v>0</v>
      </c>
      <c r="AX847" s="310">
        <f>IF($AW847=0,0,VLOOKUP(VLOOKUP($X847,$B$34:$T$38,19,FALSE),ENTI!$A$9:$B$13,2,FALSE))</f>
        <v>0</v>
      </c>
      <c r="AY847" s="310">
        <f t="shared" si="165"/>
        <v>0</v>
      </c>
      <c r="AZ847" s="316">
        <f t="shared" si="166"/>
        <v>0</v>
      </c>
      <c r="BA847" s="1"/>
      <c r="BB847" s="152">
        <f t="shared" si="167"/>
        <v>0</v>
      </c>
      <c r="BC847" s="152">
        <f ca="1">SUM(Z$4:Z847)+SUM(BB$4:BB847)+COSTI!S$6-COSTI!L$1076</f>
        <v>-31.760000000000218</v>
      </c>
      <c r="BD847" s="1"/>
    </row>
    <row r="848" spans="1:56" ht="16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435">
        <f>IF(AND(W848&gt;=$U$1,W848&lt;=$U$2),IF(X848='ESTRATTO CONTO'!$E$2,1+COUNTIF(U$4:U847,"&gt;0"),0),0)</f>
        <v>0</v>
      </c>
      <c r="V848" s="417">
        <f t="shared" si="164"/>
        <v>845</v>
      </c>
      <c r="W848" s="509"/>
      <c r="X848" s="321"/>
      <c r="Y848" s="321"/>
      <c r="Z848" s="508"/>
      <c r="AA848" s="356"/>
      <c r="AB848" s="306" t="str">
        <f t="shared" si="160"/>
        <v/>
      </c>
      <c r="AC848" s="637">
        <f t="shared" ca="1" si="159"/>
        <v>-2.1316282072803006E-13</v>
      </c>
      <c r="AD848" s="935">
        <f>IF(ISERROR(VLOOKUP(AD$2,X849:X$1003,1,FALSE)),IF(X848=AD$2,SUMIF(X$4:X848,AD$2,Z$4:Z848)+$E$9+SUM(AQ$4:AQ$1003)+SUMIF(COSTI!$X$1379:$X$1430,AD$2,COSTI!$Z$1379:$Z$1430),0),0)</f>
        <v>0</v>
      </c>
      <c r="AE848" s="26"/>
      <c r="AF848" s="856" t="e">
        <f>IF(ISERROR(VLOOKUP(AG$2,X849:X$1003,1,FALSE)),IF(X848=AG$2,SUMIF(X$4:X848,AG$2,Z$4:Z848)+VLOOKUP(AF$2,$B$1057:$F$1068,5,FALSE)+SUM(AR$4:AR$1003)+SUMIF(COSTI!$X$1379:$X$1430,AG$2,COSTI!$Z$1379:$Z$1430),0),0)</f>
        <v>#N/A</v>
      </c>
      <c r="AG848" s="859"/>
      <c r="AH848" s="27" t="str">
        <f t="shared" si="161"/>
        <v/>
      </c>
      <c r="AI848" s="152">
        <f ca="1">IF(W849&gt;0,0,IF(AH848=0,(Z848*-1)+BC848+SUM(BB$4:BB847),BC848+SUM(BB$4:BB847)))</f>
        <v>-2.1316282072803006E-13</v>
      </c>
      <c r="AJ848" s="931">
        <f>IF(AND(AL848&gt;=$U$1,AL848&lt;=$U$2),IF(AM848='ESTRATTO CONTO'!$E$2,1+COUNTIF(AJ$4:AJ847,"&gt;0")+U$1015,0),0)</f>
        <v>0</v>
      </c>
      <c r="AK848" s="203">
        <f>IF(AND(OR((AK847+1)&lt;AL$1015,(AK847+1)=AL$1015),MAX(AK$4:AK847)&lt;AL$1015),AK847+1,0)</f>
        <v>0</v>
      </c>
      <c r="AL848" s="309">
        <f>VLOOKUP($AK848,ENTI!$AF$4:AG$1003,2,FALSE)</f>
        <v>0</v>
      </c>
      <c r="AM848" s="224">
        <f>VLOOKUP($AK848,ENTI!$AF$4:AH$1003,3,FALSE)</f>
        <v>0</v>
      </c>
      <c r="AN848" s="224">
        <f>VLOOKUP($AK848,ENTI!$AF$4:AI$1003,4,FALSE)</f>
        <v>0</v>
      </c>
      <c r="AO848" s="781">
        <f>VLOOKUP($AK848,ENTI!$AF$4:AJ$1003,5,FALSE)</f>
        <v>0</v>
      </c>
      <c r="AP848" s="315">
        <f>VLOOKUP($AK848,ENTI!$AF$4:AK$1003,6,FALSE)</f>
        <v>0</v>
      </c>
      <c r="AQ848" s="208">
        <f t="shared" si="168"/>
        <v>0</v>
      </c>
      <c r="AR848" s="152" t="e">
        <f t="shared" si="169"/>
        <v>#N/A</v>
      </c>
      <c r="AS848" s="1"/>
      <c r="AT848" s="88" t="str">
        <f t="shared" si="162"/>
        <v/>
      </c>
      <c r="AU848" s="1"/>
      <c r="AV848" s="175">
        <f>IF(AW848&gt;0,COUNTIF(AV$4:AV847,"&gt;0")+1,0)</f>
        <v>0</v>
      </c>
      <c r="AW848" s="164">
        <f t="shared" si="163"/>
        <v>0</v>
      </c>
      <c r="AX848" s="310">
        <f>IF($AW848=0,0,VLOOKUP(VLOOKUP($X848,$B$34:$T$38,19,FALSE),ENTI!$A$9:$B$13,2,FALSE))</f>
        <v>0</v>
      </c>
      <c r="AY848" s="310">
        <f t="shared" si="165"/>
        <v>0</v>
      </c>
      <c r="AZ848" s="316">
        <f t="shared" si="166"/>
        <v>0</v>
      </c>
      <c r="BA848" s="1"/>
      <c r="BB848" s="152">
        <f t="shared" si="167"/>
        <v>0</v>
      </c>
      <c r="BC848" s="152">
        <f ca="1">SUM(Z$4:Z848)+SUM(BB$4:BB848)+COSTI!S$6-COSTI!L$1076</f>
        <v>-31.760000000000218</v>
      </c>
      <c r="BD848" s="1"/>
    </row>
    <row r="849" spans="1:56" ht="16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435">
        <f>IF(AND(W849&gt;=$U$1,W849&lt;=$U$2),IF(X849='ESTRATTO CONTO'!$E$2,1+COUNTIF(U$4:U848,"&gt;0"),0),0)</f>
        <v>0</v>
      </c>
      <c r="V849" s="417">
        <f t="shared" si="164"/>
        <v>846</v>
      </c>
      <c r="W849" s="509"/>
      <c r="X849" s="321"/>
      <c r="Y849" s="321"/>
      <c r="Z849" s="508"/>
      <c r="AA849" s="356"/>
      <c r="AB849" s="306" t="str">
        <f t="shared" si="160"/>
        <v/>
      </c>
      <c r="AC849" s="637">
        <f t="shared" ca="1" si="159"/>
        <v>-2.1316282072803006E-13</v>
      </c>
      <c r="AD849" s="935">
        <f>IF(ISERROR(VLOOKUP(AD$2,X850:X$1003,1,FALSE)),IF(X849=AD$2,SUMIF(X$4:X849,AD$2,Z$4:Z849)+$E$9+SUM(AQ$4:AQ$1003)+SUMIF(COSTI!$X$1379:$X$1430,AD$2,COSTI!$Z$1379:$Z$1430),0),0)</f>
        <v>0</v>
      </c>
      <c r="AE849" s="26"/>
      <c r="AF849" s="856" t="e">
        <f>IF(ISERROR(VLOOKUP(AG$2,X850:X$1003,1,FALSE)),IF(X849=AG$2,SUMIF(X$4:X849,AG$2,Z$4:Z849)+VLOOKUP(AF$2,$B$1057:$F$1068,5,FALSE)+SUM(AR$4:AR$1003)+SUMIF(COSTI!$X$1379:$X$1430,AG$2,COSTI!$Z$1379:$Z$1430),0),0)</f>
        <v>#N/A</v>
      </c>
      <c r="AG849" s="859"/>
      <c r="AH849" s="27" t="str">
        <f t="shared" si="161"/>
        <v/>
      </c>
      <c r="AI849" s="152">
        <f ca="1">IF(W850&gt;0,0,IF(AH849=0,(Z849*-1)+BC849+SUM(BB$4:BB848),BC849+SUM(BB$4:BB848)))</f>
        <v>-2.1316282072803006E-13</v>
      </c>
      <c r="AJ849" s="931">
        <f>IF(AND(AL849&gt;=$U$1,AL849&lt;=$U$2),IF(AM849='ESTRATTO CONTO'!$E$2,1+COUNTIF(AJ$4:AJ848,"&gt;0")+U$1015,0),0)</f>
        <v>0</v>
      </c>
      <c r="AK849" s="203">
        <f>IF(AND(OR((AK848+1)&lt;AL$1015,(AK848+1)=AL$1015),MAX(AK$4:AK848)&lt;AL$1015),AK848+1,0)</f>
        <v>0</v>
      </c>
      <c r="AL849" s="309">
        <f>VLOOKUP($AK849,ENTI!$AF$4:AG$1003,2,FALSE)</f>
        <v>0</v>
      </c>
      <c r="AM849" s="224">
        <f>VLOOKUP($AK849,ENTI!$AF$4:AH$1003,3,FALSE)</f>
        <v>0</v>
      </c>
      <c r="AN849" s="224">
        <f>VLOOKUP($AK849,ENTI!$AF$4:AI$1003,4,FALSE)</f>
        <v>0</v>
      </c>
      <c r="AO849" s="781">
        <f>VLOOKUP($AK849,ENTI!$AF$4:AJ$1003,5,FALSE)</f>
        <v>0</v>
      </c>
      <c r="AP849" s="315">
        <f>VLOOKUP($AK849,ENTI!$AF$4:AK$1003,6,FALSE)</f>
        <v>0</v>
      </c>
      <c r="AQ849" s="208">
        <f t="shared" si="168"/>
        <v>0</v>
      </c>
      <c r="AR849" s="152" t="e">
        <f t="shared" si="169"/>
        <v>#N/A</v>
      </c>
      <c r="AS849" s="1"/>
      <c r="AT849" s="88" t="str">
        <f t="shared" si="162"/>
        <v/>
      </c>
      <c r="AU849" s="1"/>
      <c r="AV849" s="175">
        <f>IF(AW849&gt;0,COUNTIF(AV$4:AV848,"&gt;0")+1,0)</f>
        <v>0</v>
      </c>
      <c r="AW849" s="164">
        <f t="shared" si="163"/>
        <v>0</v>
      </c>
      <c r="AX849" s="310">
        <f>IF($AW849=0,0,VLOOKUP(VLOOKUP($X849,$B$34:$T$38,19,FALSE),ENTI!$A$9:$B$13,2,FALSE))</f>
        <v>0</v>
      </c>
      <c r="AY849" s="310">
        <f t="shared" si="165"/>
        <v>0</v>
      </c>
      <c r="AZ849" s="316">
        <f t="shared" si="166"/>
        <v>0</v>
      </c>
      <c r="BA849" s="1"/>
      <c r="BB849" s="152">
        <f t="shared" si="167"/>
        <v>0</v>
      </c>
      <c r="BC849" s="152">
        <f ca="1">SUM(Z$4:Z849)+SUM(BB$4:BB849)+COSTI!S$6-COSTI!L$1076</f>
        <v>-31.760000000000218</v>
      </c>
      <c r="BD849" s="1"/>
    </row>
    <row r="850" spans="1:56" ht="16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435">
        <f>IF(AND(W850&gt;=$U$1,W850&lt;=$U$2),IF(X850='ESTRATTO CONTO'!$E$2,1+COUNTIF(U$4:U849,"&gt;0"),0),0)</f>
        <v>0</v>
      </c>
      <c r="V850" s="417">
        <f t="shared" si="164"/>
        <v>847</v>
      </c>
      <c r="W850" s="509"/>
      <c r="X850" s="321"/>
      <c r="Y850" s="321"/>
      <c r="Z850" s="508"/>
      <c r="AA850" s="356"/>
      <c r="AB850" s="306" t="str">
        <f t="shared" si="160"/>
        <v/>
      </c>
      <c r="AC850" s="637">
        <f t="shared" ca="1" si="159"/>
        <v>-2.1316282072803006E-13</v>
      </c>
      <c r="AD850" s="935">
        <f>IF(ISERROR(VLOOKUP(AD$2,X851:X$1003,1,FALSE)),IF(X850=AD$2,SUMIF(X$4:X850,AD$2,Z$4:Z850)+$E$9+SUM(AQ$4:AQ$1003)+SUMIF(COSTI!$X$1379:$X$1430,AD$2,COSTI!$Z$1379:$Z$1430),0),0)</f>
        <v>0</v>
      </c>
      <c r="AE850" s="26"/>
      <c r="AF850" s="856" t="e">
        <f>IF(ISERROR(VLOOKUP(AG$2,X851:X$1003,1,FALSE)),IF(X850=AG$2,SUMIF(X$4:X850,AG$2,Z$4:Z850)+VLOOKUP(AF$2,$B$1057:$F$1068,5,FALSE)+SUM(AR$4:AR$1003)+SUMIF(COSTI!$X$1379:$X$1430,AG$2,COSTI!$Z$1379:$Z$1430),0),0)</f>
        <v>#N/A</v>
      </c>
      <c r="AG850" s="859"/>
      <c r="AH850" s="27" t="str">
        <f t="shared" si="161"/>
        <v/>
      </c>
      <c r="AI850" s="152">
        <f ca="1">IF(W851&gt;0,0,IF(AH850=0,(Z850*-1)+BC850+SUM(BB$4:BB849),BC850+SUM(BB$4:BB849)))</f>
        <v>-2.1316282072803006E-13</v>
      </c>
      <c r="AJ850" s="931">
        <f>IF(AND(AL850&gt;=$U$1,AL850&lt;=$U$2),IF(AM850='ESTRATTO CONTO'!$E$2,1+COUNTIF(AJ$4:AJ849,"&gt;0")+U$1015,0),0)</f>
        <v>0</v>
      </c>
      <c r="AK850" s="203">
        <f>IF(AND(OR((AK849+1)&lt;AL$1015,(AK849+1)=AL$1015),MAX(AK$4:AK849)&lt;AL$1015),AK849+1,0)</f>
        <v>0</v>
      </c>
      <c r="AL850" s="309">
        <f>VLOOKUP($AK850,ENTI!$AF$4:AG$1003,2,FALSE)</f>
        <v>0</v>
      </c>
      <c r="AM850" s="224">
        <f>VLOOKUP($AK850,ENTI!$AF$4:AH$1003,3,FALSE)</f>
        <v>0</v>
      </c>
      <c r="AN850" s="224">
        <f>VLOOKUP($AK850,ENTI!$AF$4:AI$1003,4,FALSE)</f>
        <v>0</v>
      </c>
      <c r="AO850" s="781">
        <f>VLOOKUP($AK850,ENTI!$AF$4:AJ$1003,5,FALSE)</f>
        <v>0</v>
      </c>
      <c r="AP850" s="315">
        <f>VLOOKUP($AK850,ENTI!$AF$4:AK$1003,6,FALSE)</f>
        <v>0</v>
      </c>
      <c r="AQ850" s="208">
        <f t="shared" si="168"/>
        <v>0</v>
      </c>
      <c r="AR850" s="152" t="e">
        <f t="shared" si="169"/>
        <v>#N/A</v>
      </c>
      <c r="AS850" s="1"/>
      <c r="AT850" s="88" t="str">
        <f t="shared" si="162"/>
        <v/>
      </c>
      <c r="AU850" s="1"/>
      <c r="AV850" s="175">
        <f>IF(AW850&gt;0,COUNTIF(AV$4:AV849,"&gt;0")+1,0)</f>
        <v>0</v>
      </c>
      <c r="AW850" s="164">
        <f t="shared" si="163"/>
        <v>0</v>
      </c>
      <c r="AX850" s="310">
        <f>IF($AW850=0,0,VLOOKUP(VLOOKUP($X850,$B$34:$T$38,19,FALSE),ENTI!$A$9:$B$13,2,FALSE))</f>
        <v>0</v>
      </c>
      <c r="AY850" s="310">
        <f t="shared" si="165"/>
        <v>0</v>
      </c>
      <c r="AZ850" s="316">
        <f t="shared" si="166"/>
        <v>0</v>
      </c>
      <c r="BA850" s="1"/>
      <c r="BB850" s="152">
        <f t="shared" si="167"/>
        <v>0</v>
      </c>
      <c r="BC850" s="152">
        <f ca="1">SUM(Z$4:Z850)+SUM(BB$4:BB850)+COSTI!S$6-COSTI!L$1076</f>
        <v>-31.760000000000218</v>
      </c>
      <c r="BD850" s="1"/>
    </row>
    <row r="851" spans="1:56" ht="16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435">
        <f>IF(AND(W851&gt;=$U$1,W851&lt;=$U$2),IF(X851='ESTRATTO CONTO'!$E$2,1+COUNTIF(U$4:U850,"&gt;0"),0),0)</f>
        <v>0</v>
      </c>
      <c r="V851" s="417">
        <f t="shared" si="164"/>
        <v>848</v>
      </c>
      <c r="W851" s="509"/>
      <c r="X851" s="321"/>
      <c r="Y851" s="321"/>
      <c r="Z851" s="508"/>
      <c r="AA851" s="356"/>
      <c r="AB851" s="306" t="str">
        <f t="shared" si="160"/>
        <v/>
      </c>
      <c r="AC851" s="637">
        <f t="shared" ca="1" si="159"/>
        <v>-2.1316282072803006E-13</v>
      </c>
      <c r="AD851" s="935">
        <f>IF(ISERROR(VLOOKUP(AD$2,X852:X$1003,1,FALSE)),IF(X851=AD$2,SUMIF(X$4:X851,AD$2,Z$4:Z851)+$E$9+SUM(AQ$4:AQ$1003)+SUMIF(COSTI!$X$1379:$X$1430,AD$2,COSTI!$Z$1379:$Z$1430),0),0)</f>
        <v>0</v>
      </c>
      <c r="AE851" s="26"/>
      <c r="AF851" s="856" t="e">
        <f>IF(ISERROR(VLOOKUP(AG$2,X852:X$1003,1,FALSE)),IF(X851=AG$2,SUMIF(X$4:X851,AG$2,Z$4:Z851)+VLOOKUP(AF$2,$B$1057:$F$1068,5,FALSE)+SUM(AR$4:AR$1003)+SUMIF(COSTI!$X$1379:$X$1430,AG$2,COSTI!$Z$1379:$Z$1430),0),0)</f>
        <v>#N/A</v>
      </c>
      <c r="AG851" s="859"/>
      <c r="AH851" s="27" t="str">
        <f t="shared" si="161"/>
        <v/>
      </c>
      <c r="AI851" s="152">
        <f ca="1">IF(W852&gt;0,0,IF(AH851=0,(Z851*-1)+BC851+SUM(BB$4:BB850),BC851+SUM(BB$4:BB850)))</f>
        <v>-2.1316282072803006E-13</v>
      </c>
      <c r="AJ851" s="931">
        <f>IF(AND(AL851&gt;=$U$1,AL851&lt;=$U$2),IF(AM851='ESTRATTO CONTO'!$E$2,1+COUNTIF(AJ$4:AJ850,"&gt;0")+U$1015,0),0)</f>
        <v>0</v>
      </c>
      <c r="AK851" s="203">
        <f>IF(AND(OR((AK850+1)&lt;AL$1015,(AK850+1)=AL$1015),MAX(AK$4:AK850)&lt;AL$1015),AK850+1,0)</f>
        <v>0</v>
      </c>
      <c r="AL851" s="309">
        <f>VLOOKUP($AK851,ENTI!$AF$4:AG$1003,2,FALSE)</f>
        <v>0</v>
      </c>
      <c r="AM851" s="224">
        <f>VLOOKUP($AK851,ENTI!$AF$4:AH$1003,3,FALSE)</f>
        <v>0</v>
      </c>
      <c r="AN851" s="224">
        <f>VLOOKUP($AK851,ENTI!$AF$4:AI$1003,4,FALSE)</f>
        <v>0</v>
      </c>
      <c r="AO851" s="781">
        <f>VLOOKUP($AK851,ENTI!$AF$4:AJ$1003,5,FALSE)</f>
        <v>0</v>
      </c>
      <c r="AP851" s="315">
        <f>VLOOKUP($AK851,ENTI!$AF$4:AK$1003,6,FALSE)</f>
        <v>0</v>
      </c>
      <c r="AQ851" s="208">
        <f t="shared" si="168"/>
        <v>0</v>
      </c>
      <c r="AR851" s="152" t="e">
        <f t="shared" si="169"/>
        <v>#N/A</v>
      </c>
      <c r="AS851" s="1"/>
      <c r="AT851" s="88" t="str">
        <f t="shared" si="162"/>
        <v/>
      </c>
      <c r="AU851" s="1"/>
      <c r="AV851" s="175">
        <f>IF(AW851&gt;0,COUNTIF(AV$4:AV850,"&gt;0")+1,0)</f>
        <v>0</v>
      </c>
      <c r="AW851" s="164">
        <f t="shared" si="163"/>
        <v>0</v>
      </c>
      <c r="AX851" s="310">
        <f>IF($AW851=0,0,VLOOKUP(VLOOKUP($X851,$B$34:$T$38,19,FALSE),ENTI!$A$9:$B$13,2,FALSE))</f>
        <v>0</v>
      </c>
      <c r="AY851" s="310">
        <f t="shared" si="165"/>
        <v>0</v>
      </c>
      <c r="AZ851" s="316">
        <f t="shared" si="166"/>
        <v>0</v>
      </c>
      <c r="BA851" s="1"/>
      <c r="BB851" s="152">
        <f t="shared" si="167"/>
        <v>0</v>
      </c>
      <c r="BC851" s="152">
        <f ca="1">SUM(Z$4:Z851)+SUM(BB$4:BB851)+COSTI!S$6-COSTI!L$1076</f>
        <v>-31.760000000000218</v>
      </c>
      <c r="BD851" s="1"/>
    </row>
    <row r="852" spans="1:56" ht="16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435">
        <f>IF(AND(W852&gt;=$U$1,W852&lt;=$U$2),IF(X852='ESTRATTO CONTO'!$E$2,1+COUNTIF(U$4:U851,"&gt;0"),0),0)</f>
        <v>0</v>
      </c>
      <c r="V852" s="417">
        <f t="shared" si="164"/>
        <v>849</v>
      </c>
      <c r="W852" s="509"/>
      <c r="X852" s="321"/>
      <c r="Y852" s="321"/>
      <c r="Z852" s="508"/>
      <c r="AA852" s="356"/>
      <c r="AB852" s="306" t="str">
        <f t="shared" si="160"/>
        <v/>
      </c>
      <c r="AC852" s="637">
        <f t="shared" ca="1" si="159"/>
        <v>-2.1316282072803006E-13</v>
      </c>
      <c r="AD852" s="935">
        <f>IF(ISERROR(VLOOKUP(AD$2,X853:X$1003,1,FALSE)),IF(X852=AD$2,SUMIF(X$4:X852,AD$2,Z$4:Z852)+$E$9+SUM(AQ$4:AQ$1003)+SUMIF(COSTI!$X$1379:$X$1430,AD$2,COSTI!$Z$1379:$Z$1430),0),0)</f>
        <v>0</v>
      </c>
      <c r="AE852" s="26"/>
      <c r="AF852" s="856" t="e">
        <f>IF(ISERROR(VLOOKUP(AG$2,X853:X$1003,1,FALSE)),IF(X852=AG$2,SUMIF(X$4:X852,AG$2,Z$4:Z852)+VLOOKUP(AF$2,$B$1057:$F$1068,5,FALSE)+SUM(AR$4:AR$1003)+SUMIF(COSTI!$X$1379:$X$1430,AG$2,COSTI!$Z$1379:$Z$1430),0),0)</f>
        <v>#N/A</v>
      </c>
      <c r="AG852" s="859"/>
      <c r="AH852" s="27" t="str">
        <f t="shared" si="161"/>
        <v/>
      </c>
      <c r="AI852" s="152">
        <f ca="1">IF(W853&gt;0,0,IF(AH852=0,(Z852*-1)+BC852+SUM(BB$4:BB851),BC852+SUM(BB$4:BB851)))</f>
        <v>-2.1316282072803006E-13</v>
      </c>
      <c r="AJ852" s="931">
        <f>IF(AND(AL852&gt;=$U$1,AL852&lt;=$U$2),IF(AM852='ESTRATTO CONTO'!$E$2,1+COUNTIF(AJ$4:AJ851,"&gt;0")+U$1015,0),0)</f>
        <v>0</v>
      </c>
      <c r="AK852" s="203">
        <f>IF(AND(OR((AK851+1)&lt;AL$1015,(AK851+1)=AL$1015),MAX(AK$4:AK851)&lt;AL$1015),AK851+1,0)</f>
        <v>0</v>
      </c>
      <c r="AL852" s="309">
        <f>VLOOKUP($AK852,ENTI!$AF$4:AG$1003,2,FALSE)</f>
        <v>0</v>
      </c>
      <c r="AM852" s="224">
        <f>VLOOKUP($AK852,ENTI!$AF$4:AH$1003,3,FALSE)</f>
        <v>0</v>
      </c>
      <c r="AN852" s="224">
        <f>VLOOKUP($AK852,ENTI!$AF$4:AI$1003,4,FALSE)</f>
        <v>0</v>
      </c>
      <c r="AO852" s="781">
        <f>VLOOKUP($AK852,ENTI!$AF$4:AJ$1003,5,FALSE)</f>
        <v>0</v>
      </c>
      <c r="AP852" s="315">
        <f>VLOOKUP($AK852,ENTI!$AF$4:AK$1003,6,FALSE)</f>
        <v>0</v>
      </c>
      <c r="AQ852" s="208">
        <f t="shared" si="168"/>
        <v>0</v>
      </c>
      <c r="AR852" s="152" t="e">
        <f t="shared" si="169"/>
        <v>#N/A</v>
      </c>
      <c r="AS852" s="1"/>
      <c r="AT852" s="88" t="str">
        <f t="shared" si="162"/>
        <v/>
      </c>
      <c r="AU852" s="1"/>
      <c r="AV852" s="175">
        <f>IF(AW852&gt;0,COUNTIF(AV$4:AV851,"&gt;0")+1,0)</f>
        <v>0</v>
      </c>
      <c r="AW852" s="164">
        <f t="shared" si="163"/>
        <v>0</v>
      </c>
      <c r="AX852" s="310">
        <f>IF($AW852=0,0,VLOOKUP(VLOOKUP($X852,$B$34:$T$38,19,FALSE),ENTI!$A$9:$B$13,2,FALSE))</f>
        <v>0</v>
      </c>
      <c r="AY852" s="310">
        <f t="shared" si="165"/>
        <v>0</v>
      </c>
      <c r="AZ852" s="316">
        <f t="shared" si="166"/>
        <v>0</v>
      </c>
      <c r="BA852" s="1"/>
      <c r="BB852" s="152">
        <f t="shared" si="167"/>
        <v>0</v>
      </c>
      <c r="BC852" s="152">
        <f ca="1">SUM(Z$4:Z852)+SUM(BB$4:BB852)+COSTI!S$6-COSTI!L$1076</f>
        <v>-31.760000000000218</v>
      </c>
      <c r="BD852" s="1"/>
    </row>
    <row r="853" spans="1:56" ht="16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435">
        <f>IF(AND(W853&gt;=$U$1,W853&lt;=$U$2),IF(X853='ESTRATTO CONTO'!$E$2,1+COUNTIF(U$4:U852,"&gt;0"),0),0)</f>
        <v>0</v>
      </c>
      <c r="V853" s="417">
        <f t="shared" si="164"/>
        <v>850</v>
      </c>
      <c r="W853" s="509"/>
      <c r="X853" s="321"/>
      <c r="Y853" s="321"/>
      <c r="Z853" s="508"/>
      <c r="AA853" s="356"/>
      <c r="AB853" s="306" t="str">
        <f t="shared" si="160"/>
        <v/>
      </c>
      <c r="AC853" s="637">
        <f t="shared" ca="1" si="159"/>
        <v>-2.1316282072803006E-13</v>
      </c>
      <c r="AD853" s="935">
        <f>IF(ISERROR(VLOOKUP(AD$2,X854:X$1003,1,FALSE)),IF(X853=AD$2,SUMIF(X$4:X853,AD$2,Z$4:Z853)+$E$9+SUM(AQ$4:AQ$1003)+SUMIF(COSTI!$X$1379:$X$1430,AD$2,COSTI!$Z$1379:$Z$1430),0),0)</f>
        <v>0</v>
      </c>
      <c r="AE853" s="26"/>
      <c r="AF853" s="856" t="e">
        <f>IF(ISERROR(VLOOKUP(AG$2,X854:X$1003,1,FALSE)),IF(X853=AG$2,SUMIF(X$4:X853,AG$2,Z$4:Z853)+VLOOKUP(AF$2,$B$1057:$F$1068,5,FALSE)+SUM(AR$4:AR$1003)+SUMIF(COSTI!$X$1379:$X$1430,AG$2,COSTI!$Z$1379:$Z$1430),0),0)</f>
        <v>#N/A</v>
      </c>
      <c r="AG853" s="859"/>
      <c r="AH853" s="27" t="str">
        <f t="shared" si="161"/>
        <v/>
      </c>
      <c r="AI853" s="152">
        <f ca="1">IF(W854&gt;0,0,IF(AH853=0,(Z853*-1)+BC853+SUM(BB$4:BB852),BC853+SUM(BB$4:BB852)))</f>
        <v>-2.1316282072803006E-13</v>
      </c>
      <c r="AJ853" s="931">
        <f>IF(AND(AL853&gt;=$U$1,AL853&lt;=$U$2),IF(AM853='ESTRATTO CONTO'!$E$2,1+COUNTIF(AJ$4:AJ852,"&gt;0")+U$1015,0),0)</f>
        <v>0</v>
      </c>
      <c r="AK853" s="203">
        <f>IF(AND(OR((AK852+1)&lt;AL$1015,(AK852+1)=AL$1015),MAX(AK$4:AK852)&lt;AL$1015),AK852+1,0)</f>
        <v>0</v>
      </c>
      <c r="AL853" s="309">
        <f>VLOOKUP($AK853,ENTI!$AF$4:AG$1003,2,FALSE)</f>
        <v>0</v>
      </c>
      <c r="AM853" s="224">
        <f>VLOOKUP($AK853,ENTI!$AF$4:AH$1003,3,FALSE)</f>
        <v>0</v>
      </c>
      <c r="AN853" s="224">
        <f>VLOOKUP($AK853,ENTI!$AF$4:AI$1003,4,FALSE)</f>
        <v>0</v>
      </c>
      <c r="AO853" s="781">
        <f>VLOOKUP($AK853,ENTI!$AF$4:AJ$1003,5,FALSE)</f>
        <v>0</v>
      </c>
      <c r="AP853" s="315">
        <f>VLOOKUP($AK853,ENTI!$AF$4:AK$1003,6,FALSE)</f>
        <v>0</v>
      </c>
      <c r="AQ853" s="208">
        <f t="shared" si="168"/>
        <v>0</v>
      </c>
      <c r="AR853" s="152" t="e">
        <f t="shared" si="169"/>
        <v>#N/A</v>
      </c>
      <c r="AS853" s="1"/>
      <c r="AT853" s="88" t="str">
        <f t="shared" si="162"/>
        <v/>
      </c>
      <c r="AU853" s="1"/>
      <c r="AV853" s="175">
        <f>IF(AW853&gt;0,COUNTIF(AV$4:AV852,"&gt;0")+1,0)</f>
        <v>0</v>
      </c>
      <c r="AW853" s="164">
        <f t="shared" si="163"/>
        <v>0</v>
      </c>
      <c r="AX853" s="310">
        <f>IF($AW853=0,0,VLOOKUP(VLOOKUP($X853,$B$34:$T$38,19,FALSE),ENTI!$A$9:$B$13,2,FALSE))</f>
        <v>0</v>
      </c>
      <c r="AY853" s="310">
        <f t="shared" si="165"/>
        <v>0</v>
      </c>
      <c r="AZ853" s="316">
        <f t="shared" si="166"/>
        <v>0</v>
      </c>
      <c r="BA853" s="1"/>
      <c r="BB853" s="152">
        <f t="shared" si="167"/>
        <v>0</v>
      </c>
      <c r="BC853" s="152">
        <f ca="1">SUM(Z$4:Z853)+SUM(BB$4:BB853)+COSTI!S$6-COSTI!L$1076</f>
        <v>-31.760000000000218</v>
      </c>
      <c r="BD853" s="1"/>
    </row>
    <row r="854" spans="1:56" ht="16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435">
        <f>IF(AND(W854&gt;=$U$1,W854&lt;=$U$2),IF(X854='ESTRATTO CONTO'!$E$2,1+COUNTIF(U$4:U853,"&gt;0"),0),0)</f>
        <v>0</v>
      </c>
      <c r="V854" s="417">
        <f t="shared" si="164"/>
        <v>851</v>
      </c>
      <c r="W854" s="509"/>
      <c r="X854" s="321"/>
      <c r="Y854" s="321"/>
      <c r="Z854" s="508"/>
      <c r="AA854" s="356"/>
      <c r="AB854" s="306" t="str">
        <f t="shared" si="160"/>
        <v/>
      </c>
      <c r="AC854" s="637">
        <f t="shared" ca="1" si="159"/>
        <v>-2.1316282072803006E-13</v>
      </c>
      <c r="AD854" s="935">
        <f>IF(ISERROR(VLOOKUP(AD$2,X855:X$1003,1,FALSE)),IF(X854=AD$2,SUMIF(X$4:X854,AD$2,Z$4:Z854)+$E$9+SUM(AQ$4:AQ$1003)+SUMIF(COSTI!$X$1379:$X$1430,AD$2,COSTI!$Z$1379:$Z$1430),0),0)</f>
        <v>0</v>
      </c>
      <c r="AE854" s="26"/>
      <c r="AF854" s="856" t="e">
        <f>IF(ISERROR(VLOOKUP(AG$2,X855:X$1003,1,FALSE)),IF(X854=AG$2,SUMIF(X$4:X854,AG$2,Z$4:Z854)+VLOOKUP(AF$2,$B$1057:$F$1068,5,FALSE)+SUM(AR$4:AR$1003)+SUMIF(COSTI!$X$1379:$X$1430,AG$2,COSTI!$Z$1379:$Z$1430),0),0)</f>
        <v>#N/A</v>
      </c>
      <c r="AG854" s="859"/>
      <c r="AH854" s="27" t="str">
        <f t="shared" si="161"/>
        <v/>
      </c>
      <c r="AI854" s="152">
        <f ca="1">IF(W855&gt;0,0,IF(AH854=0,(Z854*-1)+BC854+SUM(BB$4:BB853),BC854+SUM(BB$4:BB853)))</f>
        <v>-2.1316282072803006E-13</v>
      </c>
      <c r="AJ854" s="931">
        <f>IF(AND(AL854&gt;=$U$1,AL854&lt;=$U$2),IF(AM854='ESTRATTO CONTO'!$E$2,1+COUNTIF(AJ$4:AJ853,"&gt;0")+U$1015,0),0)</f>
        <v>0</v>
      </c>
      <c r="AK854" s="203">
        <f>IF(AND(OR((AK853+1)&lt;AL$1015,(AK853+1)=AL$1015),MAX(AK$4:AK853)&lt;AL$1015),AK853+1,0)</f>
        <v>0</v>
      </c>
      <c r="AL854" s="309">
        <f>VLOOKUP($AK854,ENTI!$AF$4:AG$1003,2,FALSE)</f>
        <v>0</v>
      </c>
      <c r="AM854" s="224">
        <f>VLOOKUP($AK854,ENTI!$AF$4:AH$1003,3,FALSE)</f>
        <v>0</v>
      </c>
      <c r="AN854" s="224">
        <f>VLOOKUP($AK854,ENTI!$AF$4:AI$1003,4,FALSE)</f>
        <v>0</v>
      </c>
      <c r="AO854" s="781">
        <f>VLOOKUP($AK854,ENTI!$AF$4:AJ$1003,5,FALSE)</f>
        <v>0</v>
      </c>
      <c r="AP854" s="315">
        <f>VLOOKUP($AK854,ENTI!$AF$4:AK$1003,6,FALSE)</f>
        <v>0</v>
      </c>
      <c r="AQ854" s="208">
        <f t="shared" si="168"/>
        <v>0</v>
      </c>
      <c r="AR854" s="152" t="e">
        <f t="shared" si="169"/>
        <v>#N/A</v>
      </c>
      <c r="AS854" s="1"/>
      <c r="AT854" s="88" t="str">
        <f t="shared" si="162"/>
        <v/>
      </c>
      <c r="AU854" s="1"/>
      <c r="AV854" s="175">
        <f>IF(AW854&gt;0,COUNTIF(AV$4:AV853,"&gt;0")+1,0)</f>
        <v>0</v>
      </c>
      <c r="AW854" s="164">
        <f t="shared" si="163"/>
        <v>0</v>
      </c>
      <c r="AX854" s="310">
        <f>IF($AW854=0,0,VLOOKUP(VLOOKUP($X854,$B$34:$T$38,19,FALSE),ENTI!$A$9:$B$13,2,FALSE))</f>
        <v>0</v>
      </c>
      <c r="AY854" s="310">
        <f t="shared" si="165"/>
        <v>0</v>
      </c>
      <c r="AZ854" s="316">
        <f t="shared" si="166"/>
        <v>0</v>
      </c>
      <c r="BA854" s="1"/>
      <c r="BB854" s="152">
        <f t="shared" si="167"/>
        <v>0</v>
      </c>
      <c r="BC854" s="152">
        <f ca="1">SUM(Z$4:Z854)+SUM(BB$4:BB854)+COSTI!S$6-COSTI!L$1076</f>
        <v>-31.760000000000218</v>
      </c>
      <c r="BD854" s="1"/>
    </row>
    <row r="855" spans="1:56" ht="16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435">
        <f>IF(AND(W855&gt;=$U$1,W855&lt;=$U$2),IF(X855='ESTRATTO CONTO'!$E$2,1+COUNTIF(U$4:U854,"&gt;0"),0),0)</f>
        <v>0</v>
      </c>
      <c r="V855" s="417">
        <f t="shared" si="164"/>
        <v>852</v>
      </c>
      <c r="W855" s="509"/>
      <c r="X855" s="321"/>
      <c r="Y855" s="321"/>
      <c r="Z855" s="508"/>
      <c r="AA855" s="356"/>
      <c r="AB855" s="306" t="str">
        <f t="shared" si="160"/>
        <v/>
      </c>
      <c r="AC855" s="637">
        <f t="shared" ca="1" si="159"/>
        <v>-2.1316282072803006E-13</v>
      </c>
      <c r="AD855" s="935">
        <f>IF(ISERROR(VLOOKUP(AD$2,X856:X$1003,1,FALSE)),IF(X855=AD$2,SUMIF(X$4:X855,AD$2,Z$4:Z855)+$E$9+SUM(AQ$4:AQ$1003)+SUMIF(COSTI!$X$1379:$X$1430,AD$2,COSTI!$Z$1379:$Z$1430),0),0)</f>
        <v>0</v>
      </c>
      <c r="AE855" s="26"/>
      <c r="AF855" s="856" t="e">
        <f>IF(ISERROR(VLOOKUP(AG$2,X856:X$1003,1,FALSE)),IF(X855=AG$2,SUMIF(X$4:X855,AG$2,Z$4:Z855)+VLOOKUP(AF$2,$B$1057:$F$1068,5,FALSE)+SUM(AR$4:AR$1003)+SUMIF(COSTI!$X$1379:$X$1430,AG$2,COSTI!$Z$1379:$Z$1430),0),0)</f>
        <v>#N/A</v>
      </c>
      <c r="AG855" s="859"/>
      <c r="AH855" s="27" t="str">
        <f t="shared" si="161"/>
        <v/>
      </c>
      <c r="AI855" s="152">
        <f ca="1">IF(W856&gt;0,0,IF(AH855=0,(Z855*-1)+BC855+SUM(BB$4:BB854),BC855+SUM(BB$4:BB854)))</f>
        <v>-2.1316282072803006E-13</v>
      </c>
      <c r="AJ855" s="931">
        <f>IF(AND(AL855&gt;=$U$1,AL855&lt;=$U$2),IF(AM855='ESTRATTO CONTO'!$E$2,1+COUNTIF(AJ$4:AJ854,"&gt;0")+U$1015,0),0)</f>
        <v>0</v>
      </c>
      <c r="AK855" s="203">
        <f>IF(AND(OR((AK854+1)&lt;AL$1015,(AK854+1)=AL$1015),MAX(AK$4:AK854)&lt;AL$1015),AK854+1,0)</f>
        <v>0</v>
      </c>
      <c r="AL855" s="309">
        <f>VLOOKUP($AK855,ENTI!$AF$4:AG$1003,2,FALSE)</f>
        <v>0</v>
      </c>
      <c r="AM855" s="224">
        <f>VLOOKUP($AK855,ENTI!$AF$4:AH$1003,3,FALSE)</f>
        <v>0</v>
      </c>
      <c r="AN855" s="224">
        <f>VLOOKUP($AK855,ENTI!$AF$4:AI$1003,4,FALSE)</f>
        <v>0</v>
      </c>
      <c r="AO855" s="781">
        <f>VLOOKUP($AK855,ENTI!$AF$4:AJ$1003,5,FALSE)</f>
        <v>0</v>
      </c>
      <c r="AP855" s="315">
        <f>VLOOKUP($AK855,ENTI!$AF$4:AK$1003,6,FALSE)</f>
        <v>0</v>
      </c>
      <c r="AQ855" s="208">
        <f t="shared" si="168"/>
        <v>0</v>
      </c>
      <c r="AR855" s="152" t="e">
        <f t="shared" si="169"/>
        <v>#N/A</v>
      </c>
      <c r="AS855" s="1"/>
      <c r="AT855" s="88" t="str">
        <f t="shared" si="162"/>
        <v/>
      </c>
      <c r="AU855" s="1"/>
      <c r="AV855" s="175">
        <f>IF(AW855&gt;0,COUNTIF(AV$4:AV854,"&gt;0")+1,0)</f>
        <v>0</v>
      </c>
      <c r="AW855" s="164">
        <f t="shared" si="163"/>
        <v>0</v>
      </c>
      <c r="AX855" s="310">
        <f>IF($AW855=0,0,VLOOKUP(VLOOKUP($X855,$B$34:$T$38,19,FALSE),ENTI!$A$9:$B$13,2,FALSE))</f>
        <v>0</v>
      </c>
      <c r="AY855" s="310">
        <f t="shared" si="165"/>
        <v>0</v>
      </c>
      <c r="AZ855" s="316">
        <f t="shared" si="166"/>
        <v>0</v>
      </c>
      <c r="BA855" s="1"/>
      <c r="BB855" s="152">
        <f t="shared" si="167"/>
        <v>0</v>
      </c>
      <c r="BC855" s="152">
        <f ca="1">SUM(Z$4:Z855)+SUM(BB$4:BB855)+COSTI!S$6-COSTI!L$1076</f>
        <v>-31.760000000000218</v>
      </c>
      <c r="BD855" s="1"/>
    </row>
    <row r="856" spans="1:56" ht="16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435">
        <f>IF(AND(W856&gt;=$U$1,W856&lt;=$U$2),IF(X856='ESTRATTO CONTO'!$E$2,1+COUNTIF(U$4:U855,"&gt;0"),0),0)</f>
        <v>0</v>
      </c>
      <c r="V856" s="417">
        <f t="shared" si="164"/>
        <v>853</v>
      </c>
      <c r="W856" s="509"/>
      <c r="X856" s="321"/>
      <c r="Y856" s="321"/>
      <c r="Z856" s="508"/>
      <c r="AA856" s="356"/>
      <c r="AB856" s="306" t="str">
        <f t="shared" si="160"/>
        <v/>
      </c>
      <c r="AC856" s="637">
        <f t="shared" ca="1" si="159"/>
        <v>-2.1316282072803006E-13</v>
      </c>
      <c r="AD856" s="935">
        <f>IF(ISERROR(VLOOKUP(AD$2,X857:X$1003,1,FALSE)),IF(X856=AD$2,SUMIF(X$4:X856,AD$2,Z$4:Z856)+$E$9+SUM(AQ$4:AQ$1003)+SUMIF(COSTI!$X$1379:$X$1430,AD$2,COSTI!$Z$1379:$Z$1430),0),0)</f>
        <v>0</v>
      </c>
      <c r="AE856" s="26"/>
      <c r="AF856" s="856" t="e">
        <f>IF(ISERROR(VLOOKUP(AG$2,X857:X$1003,1,FALSE)),IF(X856=AG$2,SUMIF(X$4:X856,AG$2,Z$4:Z856)+VLOOKUP(AF$2,$B$1057:$F$1068,5,FALSE)+SUM(AR$4:AR$1003)+SUMIF(COSTI!$X$1379:$X$1430,AG$2,COSTI!$Z$1379:$Z$1430),0),0)</f>
        <v>#N/A</v>
      </c>
      <c r="AG856" s="859"/>
      <c r="AH856" s="27" t="str">
        <f t="shared" si="161"/>
        <v/>
      </c>
      <c r="AI856" s="152">
        <f ca="1">IF(W857&gt;0,0,IF(AH856=0,(Z856*-1)+BC856+SUM(BB$4:BB855),BC856+SUM(BB$4:BB855)))</f>
        <v>-2.1316282072803006E-13</v>
      </c>
      <c r="AJ856" s="931">
        <f>IF(AND(AL856&gt;=$U$1,AL856&lt;=$U$2),IF(AM856='ESTRATTO CONTO'!$E$2,1+COUNTIF(AJ$4:AJ855,"&gt;0")+U$1015,0),0)</f>
        <v>0</v>
      </c>
      <c r="AK856" s="203">
        <f>IF(AND(OR((AK855+1)&lt;AL$1015,(AK855+1)=AL$1015),MAX(AK$4:AK855)&lt;AL$1015),AK855+1,0)</f>
        <v>0</v>
      </c>
      <c r="AL856" s="309">
        <f>VLOOKUP($AK856,ENTI!$AF$4:AG$1003,2,FALSE)</f>
        <v>0</v>
      </c>
      <c r="AM856" s="224">
        <f>VLOOKUP($AK856,ENTI!$AF$4:AH$1003,3,FALSE)</f>
        <v>0</v>
      </c>
      <c r="AN856" s="224">
        <f>VLOOKUP($AK856,ENTI!$AF$4:AI$1003,4,FALSE)</f>
        <v>0</v>
      </c>
      <c r="AO856" s="781">
        <f>VLOOKUP($AK856,ENTI!$AF$4:AJ$1003,5,FALSE)</f>
        <v>0</v>
      </c>
      <c r="AP856" s="315">
        <f>VLOOKUP($AK856,ENTI!$AF$4:AK$1003,6,FALSE)</f>
        <v>0</v>
      </c>
      <c r="AQ856" s="208">
        <f t="shared" si="168"/>
        <v>0</v>
      </c>
      <c r="AR856" s="152" t="e">
        <f t="shared" si="169"/>
        <v>#N/A</v>
      </c>
      <c r="AS856" s="1"/>
      <c r="AT856" s="88" t="str">
        <f t="shared" si="162"/>
        <v/>
      </c>
      <c r="AU856" s="1"/>
      <c r="AV856" s="175">
        <f>IF(AW856&gt;0,COUNTIF(AV$4:AV855,"&gt;0")+1,0)</f>
        <v>0</v>
      </c>
      <c r="AW856" s="164">
        <f t="shared" si="163"/>
        <v>0</v>
      </c>
      <c r="AX856" s="310">
        <f>IF($AW856=0,0,VLOOKUP(VLOOKUP($X856,$B$34:$T$38,19,FALSE),ENTI!$A$9:$B$13,2,FALSE))</f>
        <v>0</v>
      </c>
      <c r="AY856" s="310">
        <f t="shared" si="165"/>
        <v>0</v>
      </c>
      <c r="AZ856" s="316">
        <f t="shared" si="166"/>
        <v>0</v>
      </c>
      <c r="BA856" s="1"/>
      <c r="BB856" s="152">
        <f t="shared" si="167"/>
        <v>0</v>
      </c>
      <c r="BC856" s="152">
        <f ca="1">SUM(Z$4:Z856)+SUM(BB$4:BB856)+COSTI!S$6-COSTI!L$1076</f>
        <v>-31.760000000000218</v>
      </c>
      <c r="BD856" s="1"/>
    </row>
    <row r="857" spans="1:56" ht="16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435">
        <f>IF(AND(W857&gt;=$U$1,W857&lt;=$U$2),IF(X857='ESTRATTO CONTO'!$E$2,1+COUNTIF(U$4:U856,"&gt;0"),0),0)</f>
        <v>0</v>
      </c>
      <c r="V857" s="417">
        <f t="shared" si="164"/>
        <v>854</v>
      </c>
      <c r="W857" s="509"/>
      <c r="X857" s="321"/>
      <c r="Y857" s="321"/>
      <c r="Z857" s="508"/>
      <c r="AA857" s="356"/>
      <c r="AB857" s="306" t="str">
        <f t="shared" si="160"/>
        <v/>
      </c>
      <c r="AC857" s="637">
        <f t="shared" ca="1" si="159"/>
        <v>-2.1316282072803006E-13</v>
      </c>
      <c r="AD857" s="935">
        <f>IF(ISERROR(VLOOKUP(AD$2,X858:X$1003,1,FALSE)),IF(X857=AD$2,SUMIF(X$4:X857,AD$2,Z$4:Z857)+$E$9+SUM(AQ$4:AQ$1003)+SUMIF(COSTI!$X$1379:$X$1430,AD$2,COSTI!$Z$1379:$Z$1430),0),0)</f>
        <v>0</v>
      </c>
      <c r="AE857" s="26"/>
      <c r="AF857" s="856" t="e">
        <f>IF(ISERROR(VLOOKUP(AG$2,X858:X$1003,1,FALSE)),IF(X857=AG$2,SUMIF(X$4:X857,AG$2,Z$4:Z857)+VLOOKUP(AF$2,$B$1057:$F$1068,5,FALSE)+SUM(AR$4:AR$1003)+SUMIF(COSTI!$X$1379:$X$1430,AG$2,COSTI!$Z$1379:$Z$1430),0),0)</f>
        <v>#N/A</v>
      </c>
      <c r="AG857" s="859"/>
      <c r="AH857" s="27" t="str">
        <f t="shared" si="161"/>
        <v/>
      </c>
      <c r="AI857" s="152">
        <f ca="1">IF(W858&gt;0,0,IF(AH857=0,(Z857*-1)+BC857+SUM(BB$4:BB856),BC857+SUM(BB$4:BB856)))</f>
        <v>-2.1316282072803006E-13</v>
      </c>
      <c r="AJ857" s="931">
        <f>IF(AND(AL857&gt;=$U$1,AL857&lt;=$U$2),IF(AM857='ESTRATTO CONTO'!$E$2,1+COUNTIF(AJ$4:AJ856,"&gt;0")+U$1015,0),0)</f>
        <v>0</v>
      </c>
      <c r="AK857" s="203">
        <f>IF(AND(OR((AK856+1)&lt;AL$1015,(AK856+1)=AL$1015),MAX(AK$4:AK856)&lt;AL$1015),AK856+1,0)</f>
        <v>0</v>
      </c>
      <c r="AL857" s="309">
        <f>VLOOKUP($AK857,ENTI!$AF$4:AG$1003,2,FALSE)</f>
        <v>0</v>
      </c>
      <c r="AM857" s="224">
        <f>VLOOKUP($AK857,ENTI!$AF$4:AH$1003,3,FALSE)</f>
        <v>0</v>
      </c>
      <c r="AN857" s="224">
        <f>VLOOKUP($AK857,ENTI!$AF$4:AI$1003,4,FALSE)</f>
        <v>0</v>
      </c>
      <c r="AO857" s="781">
        <f>VLOOKUP($AK857,ENTI!$AF$4:AJ$1003,5,FALSE)</f>
        <v>0</v>
      </c>
      <c r="AP857" s="315">
        <f>VLOOKUP($AK857,ENTI!$AF$4:AK$1003,6,FALSE)</f>
        <v>0</v>
      </c>
      <c r="AQ857" s="208">
        <f t="shared" si="168"/>
        <v>0</v>
      </c>
      <c r="AR857" s="152" t="e">
        <f t="shared" si="169"/>
        <v>#N/A</v>
      </c>
      <c r="AS857" s="1"/>
      <c r="AT857" s="88" t="str">
        <f t="shared" si="162"/>
        <v/>
      </c>
      <c r="AU857" s="1"/>
      <c r="AV857" s="175">
        <f>IF(AW857&gt;0,COUNTIF(AV$4:AV856,"&gt;0")+1,0)</f>
        <v>0</v>
      </c>
      <c r="AW857" s="164">
        <f t="shared" si="163"/>
        <v>0</v>
      </c>
      <c r="AX857" s="310">
        <f>IF($AW857=0,0,VLOOKUP(VLOOKUP($X857,$B$34:$T$38,19,FALSE),ENTI!$A$9:$B$13,2,FALSE))</f>
        <v>0</v>
      </c>
      <c r="AY857" s="310">
        <f t="shared" si="165"/>
        <v>0</v>
      </c>
      <c r="AZ857" s="316">
        <f t="shared" si="166"/>
        <v>0</v>
      </c>
      <c r="BA857" s="1"/>
      <c r="BB857" s="152">
        <f t="shared" si="167"/>
        <v>0</v>
      </c>
      <c r="BC857" s="152">
        <f ca="1">SUM(Z$4:Z857)+SUM(BB$4:BB857)+COSTI!S$6-COSTI!L$1076</f>
        <v>-31.760000000000218</v>
      </c>
      <c r="BD857" s="1"/>
    </row>
    <row r="858" spans="1:56" ht="16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435">
        <f>IF(AND(W858&gt;=$U$1,W858&lt;=$U$2),IF(X858='ESTRATTO CONTO'!$E$2,1+COUNTIF(U$4:U857,"&gt;0"),0),0)</f>
        <v>0</v>
      </c>
      <c r="V858" s="417">
        <f t="shared" si="164"/>
        <v>855</v>
      </c>
      <c r="W858" s="509"/>
      <c r="X858" s="321"/>
      <c r="Y858" s="321"/>
      <c r="Z858" s="508"/>
      <c r="AA858" s="356"/>
      <c r="AB858" s="306" t="str">
        <f t="shared" si="160"/>
        <v/>
      </c>
      <c r="AC858" s="637">
        <f t="shared" ca="1" si="159"/>
        <v>-2.1316282072803006E-13</v>
      </c>
      <c r="AD858" s="935">
        <f>IF(ISERROR(VLOOKUP(AD$2,X859:X$1003,1,FALSE)),IF(X858=AD$2,SUMIF(X$4:X858,AD$2,Z$4:Z858)+$E$9+SUM(AQ$4:AQ$1003)+SUMIF(COSTI!$X$1379:$X$1430,AD$2,COSTI!$Z$1379:$Z$1430),0),0)</f>
        <v>0</v>
      </c>
      <c r="AE858" s="26"/>
      <c r="AF858" s="856" t="e">
        <f>IF(ISERROR(VLOOKUP(AG$2,X859:X$1003,1,FALSE)),IF(X858=AG$2,SUMIF(X$4:X858,AG$2,Z$4:Z858)+VLOOKUP(AF$2,$B$1057:$F$1068,5,FALSE)+SUM(AR$4:AR$1003)+SUMIF(COSTI!$X$1379:$X$1430,AG$2,COSTI!$Z$1379:$Z$1430),0),0)</f>
        <v>#N/A</v>
      </c>
      <c r="AG858" s="859"/>
      <c r="AH858" s="27" t="str">
        <f t="shared" si="161"/>
        <v/>
      </c>
      <c r="AI858" s="152">
        <f ca="1">IF(W859&gt;0,0,IF(AH858=0,(Z858*-1)+BC858+SUM(BB$4:BB857),BC858+SUM(BB$4:BB857)))</f>
        <v>-2.1316282072803006E-13</v>
      </c>
      <c r="AJ858" s="931">
        <f>IF(AND(AL858&gt;=$U$1,AL858&lt;=$U$2),IF(AM858='ESTRATTO CONTO'!$E$2,1+COUNTIF(AJ$4:AJ857,"&gt;0")+U$1015,0),0)</f>
        <v>0</v>
      </c>
      <c r="AK858" s="203">
        <f>IF(AND(OR((AK857+1)&lt;AL$1015,(AK857+1)=AL$1015),MAX(AK$4:AK857)&lt;AL$1015),AK857+1,0)</f>
        <v>0</v>
      </c>
      <c r="AL858" s="309">
        <f>VLOOKUP($AK858,ENTI!$AF$4:AG$1003,2,FALSE)</f>
        <v>0</v>
      </c>
      <c r="AM858" s="224">
        <f>VLOOKUP($AK858,ENTI!$AF$4:AH$1003,3,FALSE)</f>
        <v>0</v>
      </c>
      <c r="AN858" s="224">
        <f>VLOOKUP($AK858,ENTI!$AF$4:AI$1003,4,FALSE)</f>
        <v>0</v>
      </c>
      <c r="AO858" s="781">
        <f>VLOOKUP($AK858,ENTI!$AF$4:AJ$1003,5,FALSE)</f>
        <v>0</v>
      </c>
      <c r="AP858" s="315">
        <f>VLOOKUP($AK858,ENTI!$AF$4:AK$1003,6,FALSE)</f>
        <v>0</v>
      </c>
      <c r="AQ858" s="208">
        <f t="shared" si="168"/>
        <v>0</v>
      </c>
      <c r="AR858" s="152" t="e">
        <f t="shared" si="169"/>
        <v>#N/A</v>
      </c>
      <c r="AS858" s="1"/>
      <c r="AT858" s="88" t="str">
        <f t="shared" si="162"/>
        <v/>
      </c>
      <c r="AU858" s="1"/>
      <c r="AV858" s="175">
        <f>IF(AW858&gt;0,COUNTIF(AV$4:AV857,"&gt;0")+1,0)</f>
        <v>0</v>
      </c>
      <c r="AW858" s="164">
        <f t="shared" si="163"/>
        <v>0</v>
      </c>
      <c r="AX858" s="310">
        <f>IF($AW858=0,0,VLOOKUP(VLOOKUP($X858,$B$34:$T$38,19,FALSE),ENTI!$A$9:$B$13,2,FALSE))</f>
        <v>0</v>
      </c>
      <c r="AY858" s="310">
        <f t="shared" si="165"/>
        <v>0</v>
      </c>
      <c r="AZ858" s="316">
        <f t="shared" si="166"/>
        <v>0</v>
      </c>
      <c r="BA858" s="1"/>
      <c r="BB858" s="152">
        <f t="shared" si="167"/>
        <v>0</v>
      </c>
      <c r="BC858" s="152">
        <f ca="1">SUM(Z$4:Z858)+SUM(BB$4:BB858)+COSTI!S$6-COSTI!L$1076</f>
        <v>-31.760000000000218</v>
      </c>
      <c r="BD858" s="1"/>
    </row>
    <row r="859" spans="1:56" ht="16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435">
        <f>IF(AND(W859&gt;=$U$1,W859&lt;=$U$2),IF(X859='ESTRATTO CONTO'!$E$2,1+COUNTIF(U$4:U858,"&gt;0"),0),0)</f>
        <v>0</v>
      </c>
      <c r="V859" s="417">
        <f t="shared" si="164"/>
        <v>856</v>
      </c>
      <c r="W859" s="509"/>
      <c r="X859" s="321"/>
      <c r="Y859" s="321"/>
      <c r="Z859" s="508"/>
      <c r="AA859" s="356"/>
      <c r="AB859" s="306" t="str">
        <f t="shared" si="160"/>
        <v/>
      </c>
      <c r="AC859" s="637">
        <f t="shared" ca="1" si="159"/>
        <v>-2.1316282072803006E-13</v>
      </c>
      <c r="AD859" s="935">
        <f>IF(ISERROR(VLOOKUP(AD$2,X860:X$1003,1,FALSE)),IF(X859=AD$2,SUMIF(X$4:X859,AD$2,Z$4:Z859)+$E$9+SUM(AQ$4:AQ$1003)+SUMIF(COSTI!$X$1379:$X$1430,AD$2,COSTI!$Z$1379:$Z$1430),0),0)</f>
        <v>0</v>
      </c>
      <c r="AE859" s="26"/>
      <c r="AF859" s="856" t="e">
        <f>IF(ISERROR(VLOOKUP(AG$2,X860:X$1003,1,FALSE)),IF(X859=AG$2,SUMIF(X$4:X859,AG$2,Z$4:Z859)+VLOOKUP(AF$2,$B$1057:$F$1068,5,FALSE)+SUM(AR$4:AR$1003)+SUMIF(COSTI!$X$1379:$X$1430,AG$2,COSTI!$Z$1379:$Z$1430),0),0)</f>
        <v>#N/A</v>
      </c>
      <c r="AG859" s="859"/>
      <c r="AH859" s="27" t="str">
        <f t="shared" si="161"/>
        <v/>
      </c>
      <c r="AI859" s="152">
        <f ca="1">IF(W860&gt;0,0,IF(AH859=0,(Z859*-1)+BC859+SUM(BB$4:BB858),BC859+SUM(BB$4:BB858)))</f>
        <v>-2.1316282072803006E-13</v>
      </c>
      <c r="AJ859" s="931">
        <f>IF(AND(AL859&gt;=$U$1,AL859&lt;=$U$2),IF(AM859='ESTRATTO CONTO'!$E$2,1+COUNTIF(AJ$4:AJ858,"&gt;0")+U$1015,0),0)</f>
        <v>0</v>
      </c>
      <c r="AK859" s="203">
        <f>IF(AND(OR((AK858+1)&lt;AL$1015,(AK858+1)=AL$1015),MAX(AK$4:AK858)&lt;AL$1015),AK858+1,0)</f>
        <v>0</v>
      </c>
      <c r="AL859" s="309">
        <f>VLOOKUP($AK859,ENTI!$AF$4:AG$1003,2,FALSE)</f>
        <v>0</v>
      </c>
      <c r="AM859" s="224">
        <f>VLOOKUP($AK859,ENTI!$AF$4:AH$1003,3,FALSE)</f>
        <v>0</v>
      </c>
      <c r="AN859" s="224">
        <f>VLOOKUP($AK859,ENTI!$AF$4:AI$1003,4,FALSE)</f>
        <v>0</v>
      </c>
      <c r="AO859" s="781">
        <f>VLOOKUP($AK859,ENTI!$AF$4:AJ$1003,5,FALSE)</f>
        <v>0</v>
      </c>
      <c r="AP859" s="315">
        <f>VLOOKUP($AK859,ENTI!$AF$4:AK$1003,6,FALSE)</f>
        <v>0</v>
      </c>
      <c r="AQ859" s="208">
        <f t="shared" si="168"/>
        <v>0</v>
      </c>
      <c r="AR859" s="152" t="e">
        <f t="shared" si="169"/>
        <v>#N/A</v>
      </c>
      <c r="AS859" s="1"/>
      <c r="AT859" s="88" t="str">
        <f t="shared" si="162"/>
        <v/>
      </c>
      <c r="AU859" s="1"/>
      <c r="AV859" s="175">
        <f>IF(AW859&gt;0,COUNTIF(AV$4:AV858,"&gt;0")+1,0)</f>
        <v>0</v>
      </c>
      <c r="AW859" s="164">
        <f t="shared" si="163"/>
        <v>0</v>
      </c>
      <c r="AX859" s="310">
        <f>IF($AW859=0,0,VLOOKUP(VLOOKUP($X859,$B$34:$T$38,19,FALSE),ENTI!$A$9:$B$13,2,FALSE))</f>
        <v>0</v>
      </c>
      <c r="AY859" s="310">
        <f t="shared" si="165"/>
        <v>0</v>
      </c>
      <c r="AZ859" s="316">
        <f t="shared" si="166"/>
        <v>0</v>
      </c>
      <c r="BA859" s="1"/>
      <c r="BB859" s="152">
        <f t="shared" si="167"/>
        <v>0</v>
      </c>
      <c r="BC859" s="152">
        <f ca="1">SUM(Z$4:Z859)+SUM(BB$4:BB859)+COSTI!S$6-COSTI!L$1076</f>
        <v>-31.760000000000218</v>
      </c>
      <c r="BD859" s="1"/>
    </row>
    <row r="860" spans="1:56" ht="16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435">
        <f>IF(AND(W860&gt;=$U$1,W860&lt;=$U$2),IF(X860='ESTRATTO CONTO'!$E$2,1+COUNTIF(U$4:U859,"&gt;0"),0),0)</f>
        <v>0</v>
      </c>
      <c r="V860" s="417">
        <f t="shared" si="164"/>
        <v>857</v>
      </c>
      <c r="W860" s="509"/>
      <c r="X860" s="321"/>
      <c r="Y860" s="321"/>
      <c r="Z860" s="508"/>
      <c r="AA860" s="356"/>
      <c r="AB860" s="306" t="str">
        <f t="shared" si="160"/>
        <v/>
      </c>
      <c r="AC860" s="637">
        <f t="shared" ca="1" si="159"/>
        <v>-2.1316282072803006E-13</v>
      </c>
      <c r="AD860" s="935">
        <f>IF(ISERROR(VLOOKUP(AD$2,X861:X$1003,1,FALSE)),IF(X860=AD$2,SUMIF(X$4:X860,AD$2,Z$4:Z860)+$E$9+SUM(AQ$4:AQ$1003)+SUMIF(COSTI!$X$1379:$X$1430,AD$2,COSTI!$Z$1379:$Z$1430),0),0)</f>
        <v>0</v>
      </c>
      <c r="AE860" s="26"/>
      <c r="AF860" s="856" t="e">
        <f>IF(ISERROR(VLOOKUP(AG$2,X861:X$1003,1,FALSE)),IF(X860=AG$2,SUMIF(X$4:X860,AG$2,Z$4:Z860)+VLOOKUP(AF$2,$B$1057:$F$1068,5,FALSE)+SUM(AR$4:AR$1003)+SUMIF(COSTI!$X$1379:$X$1430,AG$2,COSTI!$Z$1379:$Z$1430),0),0)</f>
        <v>#N/A</v>
      </c>
      <c r="AG860" s="859"/>
      <c r="AH860" s="27" t="str">
        <f t="shared" si="161"/>
        <v/>
      </c>
      <c r="AI860" s="152">
        <f ca="1">IF(W861&gt;0,0,IF(AH860=0,(Z860*-1)+BC860+SUM(BB$4:BB859),BC860+SUM(BB$4:BB859)))</f>
        <v>-2.1316282072803006E-13</v>
      </c>
      <c r="AJ860" s="931">
        <f>IF(AND(AL860&gt;=$U$1,AL860&lt;=$U$2),IF(AM860='ESTRATTO CONTO'!$E$2,1+COUNTIF(AJ$4:AJ859,"&gt;0")+U$1015,0),0)</f>
        <v>0</v>
      </c>
      <c r="AK860" s="203">
        <f>IF(AND(OR((AK859+1)&lt;AL$1015,(AK859+1)=AL$1015),MAX(AK$4:AK859)&lt;AL$1015),AK859+1,0)</f>
        <v>0</v>
      </c>
      <c r="AL860" s="309">
        <f>VLOOKUP($AK860,ENTI!$AF$4:AG$1003,2,FALSE)</f>
        <v>0</v>
      </c>
      <c r="AM860" s="224">
        <f>VLOOKUP($AK860,ENTI!$AF$4:AH$1003,3,FALSE)</f>
        <v>0</v>
      </c>
      <c r="AN860" s="224">
        <f>VLOOKUP($AK860,ENTI!$AF$4:AI$1003,4,FALSE)</f>
        <v>0</v>
      </c>
      <c r="AO860" s="781">
        <f>VLOOKUP($AK860,ENTI!$AF$4:AJ$1003,5,FALSE)</f>
        <v>0</v>
      </c>
      <c r="AP860" s="315">
        <f>VLOOKUP($AK860,ENTI!$AF$4:AK$1003,6,FALSE)</f>
        <v>0</v>
      </c>
      <c r="AQ860" s="208">
        <f t="shared" si="168"/>
        <v>0</v>
      </c>
      <c r="AR860" s="152" t="e">
        <f t="shared" si="169"/>
        <v>#N/A</v>
      </c>
      <c r="AS860" s="1"/>
      <c r="AT860" s="88" t="str">
        <f t="shared" si="162"/>
        <v/>
      </c>
      <c r="AU860" s="1"/>
      <c r="AV860" s="175">
        <f>IF(AW860&gt;0,COUNTIF(AV$4:AV859,"&gt;0")+1,0)</f>
        <v>0</v>
      </c>
      <c r="AW860" s="164">
        <f t="shared" si="163"/>
        <v>0</v>
      </c>
      <c r="AX860" s="310">
        <f>IF($AW860=0,0,VLOOKUP(VLOOKUP($X860,$B$34:$T$38,19,FALSE),ENTI!$A$9:$B$13,2,FALSE))</f>
        <v>0</v>
      </c>
      <c r="AY860" s="310">
        <f t="shared" si="165"/>
        <v>0</v>
      </c>
      <c r="AZ860" s="316">
        <f t="shared" si="166"/>
        <v>0</v>
      </c>
      <c r="BA860" s="1"/>
      <c r="BB860" s="152">
        <f t="shared" si="167"/>
        <v>0</v>
      </c>
      <c r="BC860" s="152">
        <f ca="1">SUM(Z$4:Z860)+SUM(BB$4:BB860)+COSTI!S$6-COSTI!L$1076</f>
        <v>-31.760000000000218</v>
      </c>
      <c r="BD860" s="1"/>
    </row>
    <row r="861" spans="1:56" ht="16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435">
        <f>IF(AND(W861&gt;=$U$1,W861&lt;=$U$2),IF(X861='ESTRATTO CONTO'!$E$2,1+COUNTIF(U$4:U860,"&gt;0"),0),0)</f>
        <v>0</v>
      </c>
      <c r="V861" s="417">
        <f t="shared" si="164"/>
        <v>858</v>
      </c>
      <c r="W861" s="509"/>
      <c r="X861" s="321"/>
      <c r="Y861" s="321"/>
      <c r="Z861" s="508"/>
      <c r="AA861" s="356"/>
      <c r="AB861" s="306" t="str">
        <f t="shared" si="160"/>
        <v/>
      </c>
      <c r="AC861" s="637">
        <f t="shared" ca="1" si="159"/>
        <v>-2.1316282072803006E-13</v>
      </c>
      <c r="AD861" s="935">
        <f>IF(ISERROR(VLOOKUP(AD$2,X862:X$1003,1,FALSE)),IF(X861=AD$2,SUMIF(X$4:X861,AD$2,Z$4:Z861)+$E$9+SUM(AQ$4:AQ$1003)+SUMIF(COSTI!$X$1379:$X$1430,AD$2,COSTI!$Z$1379:$Z$1430),0),0)</f>
        <v>0</v>
      </c>
      <c r="AE861" s="26"/>
      <c r="AF861" s="856" t="e">
        <f>IF(ISERROR(VLOOKUP(AG$2,X862:X$1003,1,FALSE)),IF(X861=AG$2,SUMIF(X$4:X861,AG$2,Z$4:Z861)+VLOOKUP(AF$2,$B$1057:$F$1068,5,FALSE)+SUM(AR$4:AR$1003)+SUMIF(COSTI!$X$1379:$X$1430,AG$2,COSTI!$Z$1379:$Z$1430),0),0)</f>
        <v>#N/A</v>
      </c>
      <c r="AG861" s="859"/>
      <c r="AH861" s="27" t="str">
        <f t="shared" si="161"/>
        <v/>
      </c>
      <c r="AI861" s="152">
        <f ca="1">IF(W862&gt;0,0,IF(AH861=0,(Z861*-1)+BC861+SUM(BB$4:BB860),BC861+SUM(BB$4:BB860)))</f>
        <v>-2.1316282072803006E-13</v>
      </c>
      <c r="AJ861" s="931">
        <f>IF(AND(AL861&gt;=$U$1,AL861&lt;=$U$2),IF(AM861='ESTRATTO CONTO'!$E$2,1+COUNTIF(AJ$4:AJ860,"&gt;0")+U$1015,0),0)</f>
        <v>0</v>
      </c>
      <c r="AK861" s="203">
        <f>IF(AND(OR((AK860+1)&lt;AL$1015,(AK860+1)=AL$1015),MAX(AK$4:AK860)&lt;AL$1015),AK860+1,0)</f>
        <v>0</v>
      </c>
      <c r="AL861" s="309">
        <f>VLOOKUP($AK861,ENTI!$AF$4:AG$1003,2,FALSE)</f>
        <v>0</v>
      </c>
      <c r="AM861" s="224">
        <f>VLOOKUP($AK861,ENTI!$AF$4:AH$1003,3,FALSE)</f>
        <v>0</v>
      </c>
      <c r="AN861" s="224">
        <f>VLOOKUP($AK861,ENTI!$AF$4:AI$1003,4,FALSE)</f>
        <v>0</v>
      </c>
      <c r="AO861" s="781">
        <f>VLOOKUP($AK861,ENTI!$AF$4:AJ$1003,5,FALSE)</f>
        <v>0</v>
      </c>
      <c r="AP861" s="315">
        <f>VLOOKUP($AK861,ENTI!$AF$4:AK$1003,6,FALSE)</f>
        <v>0</v>
      </c>
      <c r="AQ861" s="208">
        <f t="shared" si="168"/>
        <v>0</v>
      </c>
      <c r="AR861" s="152" t="e">
        <f t="shared" si="169"/>
        <v>#N/A</v>
      </c>
      <c r="AS861" s="1"/>
      <c r="AT861" s="88" t="str">
        <f t="shared" si="162"/>
        <v/>
      </c>
      <c r="AU861" s="1"/>
      <c r="AV861" s="175">
        <f>IF(AW861&gt;0,COUNTIF(AV$4:AV860,"&gt;0")+1,0)</f>
        <v>0</v>
      </c>
      <c r="AW861" s="164">
        <f t="shared" si="163"/>
        <v>0</v>
      </c>
      <c r="AX861" s="310">
        <f>IF($AW861=0,0,VLOOKUP(VLOOKUP($X861,$B$34:$T$38,19,FALSE),ENTI!$A$9:$B$13,2,FALSE))</f>
        <v>0</v>
      </c>
      <c r="AY861" s="310">
        <f t="shared" si="165"/>
        <v>0</v>
      </c>
      <c r="AZ861" s="316">
        <f t="shared" si="166"/>
        <v>0</v>
      </c>
      <c r="BA861" s="1"/>
      <c r="BB861" s="152">
        <f t="shared" si="167"/>
        <v>0</v>
      </c>
      <c r="BC861" s="152">
        <f ca="1">SUM(Z$4:Z861)+SUM(BB$4:BB861)+COSTI!S$6-COSTI!L$1076</f>
        <v>-31.760000000000218</v>
      </c>
      <c r="BD861" s="1"/>
    </row>
    <row r="862" spans="1:56" ht="16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435">
        <f>IF(AND(W862&gt;=$U$1,W862&lt;=$U$2),IF(X862='ESTRATTO CONTO'!$E$2,1+COUNTIF(U$4:U861,"&gt;0"),0),0)</f>
        <v>0</v>
      </c>
      <c r="V862" s="417">
        <f t="shared" si="164"/>
        <v>859</v>
      </c>
      <c r="W862" s="509"/>
      <c r="X862" s="321"/>
      <c r="Y862" s="321"/>
      <c r="Z862" s="508"/>
      <c r="AA862" s="356"/>
      <c r="AB862" s="306" t="str">
        <f t="shared" si="160"/>
        <v/>
      </c>
      <c r="AC862" s="637">
        <f t="shared" ca="1" si="159"/>
        <v>-2.1316282072803006E-13</v>
      </c>
      <c r="AD862" s="935">
        <f>IF(ISERROR(VLOOKUP(AD$2,X863:X$1003,1,FALSE)),IF(X862=AD$2,SUMIF(X$4:X862,AD$2,Z$4:Z862)+$E$9+SUM(AQ$4:AQ$1003)+SUMIF(COSTI!$X$1379:$X$1430,AD$2,COSTI!$Z$1379:$Z$1430),0),0)</f>
        <v>0</v>
      </c>
      <c r="AE862" s="26"/>
      <c r="AF862" s="856" t="e">
        <f>IF(ISERROR(VLOOKUP(AG$2,X863:X$1003,1,FALSE)),IF(X862=AG$2,SUMIF(X$4:X862,AG$2,Z$4:Z862)+VLOOKUP(AF$2,$B$1057:$F$1068,5,FALSE)+SUM(AR$4:AR$1003)+SUMIF(COSTI!$X$1379:$X$1430,AG$2,COSTI!$Z$1379:$Z$1430),0),0)</f>
        <v>#N/A</v>
      </c>
      <c r="AG862" s="859"/>
      <c r="AH862" s="27" t="str">
        <f t="shared" si="161"/>
        <v/>
      </c>
      <c r="AI862" s="152">
        <f ca="1">IF(W863&gt;0,0,IF(AH862=0,(Z862*-1)+BC862+SUM(BB$4:BB861),BC862+SUM(BB$4:BB861)))</f>
        <v>-2.1316282072803006E-13</v>
      </c>
      <c r="AJ862" s="931">
        <f>IF(AND(AL862&gt;=$U$1,AL862&lt;=$U$2),IF(AM862='ESTRATTO CONTO'!$E$2,1+COUNTIF(AJ$4:AJ861,"&gt;0")+U$1015,0),0)</f>
        <v>0</v>
      </c>
      <c r="AK862" s="203">
        <f>IF(AND(OR((AK861+1)&lt;AL$1015,(AK861+1)=AL$1015),MAX(AK$4:AK861)&lt;AL$1015),AK861+1,0)</f>
        <v>0</v>
      </c>
      <c r="AL862" s="309">
        <f>VLOOKUP($AK862,ENTI!$AF$4:AG$1003,2,FALSE)</f>
        <v>0</v>
      </c>
      <c r="AM862" s="224">
        <f>VLOOKUP($AK862,ENTI!$AF$4:AH$1003,3,FALSE)</f>
        <v>0</v>
      </c>
      <c r="AN862" s="224">
        <f>VLOOKUP($AK862,ENTI!$AF$4:AI$1003,4,FALSE)</f>
        <v>0</v>
      </c>
      <c r="AO862" s="781">
        <f>VLOOKUP($AK862,ENTI!$AF$4:AJ$1003,5,FALSE)</f>
        <v>0</v>
      </c>
      <c r="AP862" s="315">
        <f>VLOOKUP($AK862,ENTI!$AF$4:AK$1003,6,FALSE)</f>
        <v>0</v>
      </c>
      <c r="AQ862" s="208">
        <f t="shared" si="168"/>
        <v>0</v>
      </c>
      <c r="AR862" s="152" t="e">
        <f t="shared" si="169"/>
        <v>#N/A</v>
      </c>
      <c r="AS862" s="1"/>
      <c r="AT862" s="88" t="str">
        <f t="shared" si="162"/>
        <v/>
      </c>
      <c r="AU862" s="1"/>
      <c r="AV862" s="175">
        <f>IF(AW862&gt;0,COUNTIF(AV$4:AV861,"&gt;0")+1,0)</f>
        <v>0</v>
      </c>
      <c r="AW862" s="164">
        <f t="shared" si="163"/>
        <v>0</v>
      </c>
      <c r="AX862" s="310">
        <f>IF($AW862=0,0,VLOOKUP(VLOOKUP($X862,$B$34:$T$38,19,FALSE),ENTI!$A$9:$B$13,2,FALSE))</f>
        <v>0</v>
      </c>
      <c r="AY862" s="310">
        <f t="shared" si="165"/>
        <v>0</v>
      </c>
      <c r="AZ862" s="316">
        <f t="shared" si="166"/>
        <v>0</v>
      </c>
      <c r="BA862" s="1"/>
      <c r="BB862" s="152">
        <f t="shared" si="167"/>
        <v>0</v>
      </c>
      <c r="BC862" s="152">
        <f ca="1">SUM(Z$4:Z862)+SUM(BB$4:BB862)+COSTI!S$6-COSTI!L$1076</f>
        <v>-31.760000000000218</v>
      </c>
      <c r="BD862" s="1"/>
    </row>
    <row r="863" spans="1:56" ht="16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435">
        <f>IF(AND(W863&gt;=$U$1,W863&lt;=$U$2),IF(X863='ESTRATTO CONTO'!$E$2,1+COUNTIF(U$4:U862,"&gt;0"),0),0)</f>
        <v>0</v>
      </c>
      <c r="V863" s="417">
        <f t="shared" si="164"/>
        <v>860</v>
      </c>
      <c r="W863" s="509"/>
      <c r="X863" s="321"/>
      <c r="Y863" s="321"/>
      <c r="Z863" s="508"/>
      <c r="AA863" s="356"/>
      <c r="AB863" s="306" t="str">
        <f t="shared" si="160"/>
        <v/>
      </c>
      <c r="AC863" s="637">
        <f t="shared" ca="1" si="159"/>
        <v>-2.1316282072803006E-13</v>
      </c>
      <c r="AD863" s="935">
        <f>IF(ISERROR(VLOOKUP(AD$2,X864:X$1003,1,FALSE)),IF(X863=AD$2,SUMIF(X$4:X863,AD$2,Z$4:Z863)+$E$9+SUM(AQ$4:AQ$1003)+SUMIF(COSTI!$X$1379:$X$1430,AD$2,COSTI!$Z$1379:$Z$1430),0),0)</f>
        <v>0</v>
      </c>
      <c r="AE863" s="26"/>
      <c r="AF863" s="856" t="e">
        <f>IF(ISERROR(VLOOKUP(AG$2,X864:X$1003,1,FALSE)),IF(X863=AG$2,SUMIF(X$4:X863,AG$2,Z$4:Z863)+VLOOKUP(AF$2,$B$1057:$F$1068,5,FALSE)+SUM(AR$4:AR$1003)+SUMIF(COSTI!$X$1379:$X$1430,AG$2,COSTI!$Z$1379:$Z$1430),0),0)</f>
        <v>#N/A</v>
      </c>
      <c r="AG863" s="859"/>
      <c r="AH863" s="27" t="str">
        <f t="shared" si="161"/>
        <v/>
      </c>
      <c r="AI863" s="152">
        <f ca="1">IF(W864&gt;0,0,IF(AH863=0,(Z863*-1)+BC863+SUM(BB$4:BB862),BC863+SUM(BB$4:BB862)))</f>
        <v>-2.1316282072803006E-13</v>
      </c>
      <c r="AJ863" s="931">
        <f>IF(AND(AL863&gt;=$U$1,AL863&lt;=$U$2),IF(AM863='ESTRATTO CONTO'!$E$2,1+COUNTIF(AJ$4:AJ862,"&gt;0")+U$1015,0),0)</f>
        <v>0</v>
      </c>
      <c r="AK863" s="203">
        <f>IF(AND(OR((AK862+1)&lt;AL$1015,(AK862+1)=AL$1015),MAX(AK$4:AK862)&lt;AL$1015),AK862+1,0)</f>
        <v>0</v>
      </c>
      <c r="AL863" s="309">
        <f>VLOOKUP($AK863,ENTI!$AF$4:AG$1003,2,FALSE)</f>
        <v>0</v>
      </c>
      <c r="AM863" s="224">
        <f>VLOOKUP($AK863,ENTI!$AF$4:AH$1003,3,FALSE)</f>
        <v>0</v>
      </c>
      <c r="AN863" s="224">
        <f>VLOOKUP($AK863,ENTI!$AF$4:AI$1003,4,FALSE)</f>
        <v>0</v>
      </c>
      <c r="AO863" s="781">
        <f>VLOOKUP($AK863,ENTI!$AF$4:AJ$1003,5,FALSE)</f>
        <v>0</v>
      </c>
      <c r="AP863" s="315">
        <f>VLOOKUP($AK863,ENTI!$AF$4:AK$1003,6,FALSE)</f>
        <v>0</v>
      </c>
      <c r="AQ863" s="208">
        <f t="shared" si="168"/>
        <v>0</v>
      </c>
      <c r="AR863" s="152" t="e">
        <f t="shared" si="169"/>
        <v>#N/A</v>
      </c>
      <c r="AS863" s="1"/>
      <c r="AT863" s="88" t="str">
        <f t="shared" si="162"/>
        <v/>
      </c>
      <c r="AU863" s="1"/>
      <c r="AV863" s="175">
        <f>IF(AW863&gt;0,COUNTIF(AV$4:AV862,"&gt;0")+1,0)</f>
        <v>0</v>
      </c>
      <c r="AW863" s="164">
        <f t="shared" si="163"/>
        <v>0</v>
      </c>
      <c r="AX863" s="310">
        <f>IF($AW863=0,0,VLOOKUP(VLOOKUP($X863,$B$34:$T$38,19,FALSE),ENTI!$A$9:$B$13,2,FALSE))</f>
        <v>0</v>
      </c>
      <c r="AY863" s="310">
        <f t="shared" si="165"/>
        <v>0</v>
      </c>
      <c r="AZ863" s="316">
        <f t="shared" si="166"/>
        <v>0</v>
      </c>
      <c r="BA863" s="1"/>
      <c r="BB863" s="152">
        <f t="shared" si="167"/>
        <v>0</v>
      </c>
      <c r="BC863" s="152">
        <f ca="1">SUM(Z$4:Z863)+SUM(BB$4:BB863)+COSTI!S$6-COSTI!L$1076</f>
        <v>-31.760000000000218</v>
      </c>
      <c r="BD863" s="1"/>
    </row>
    <row r="864" spans="1:56" ht="16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435">
        <f>IF(AND(W864&gt;=$U$1,W864&lt;=$U$2),IF(X864='ESTRATTO CONTO'!$E$2,1+COUNTIF(U$4:U863,"&gt;0"),0),0)</f>
        <v>0</v>
      </c>
      <c r="V864" s="417">
        <f t="shared" si="164"/>
        <v>861</v>
      </c>
      <c r="W864" s="509"/>
      <c r="X864" s="321"/>
      <c r="Y864" s="321"/>
      <c r="Z864" s="508"/>
      <c r="AA864" s="356"/>
      <c r="AB864" s="306" t="str">
        <f t="shared" si="160"/>
        <v/>
      </c>
      <c r="AC864" s="637">
        <f t="shared" ca="1" si="159"/>
        <v>-2.1316282072803006E-13</v>
      </c>
      <c r="AD864" s="935">
        <f>IF(ISERROR(VLOOKUP(AD$2,X865:X$1003,1,FALSE)),IF(X864=AD$2,SUMIF(X$4:X864,AD$2,Z$4:Z864)+$E$9+SUM(AQ$4:AQ$1003)+SUMIF(COSTI!$X$1379:$X$1430,AD$2,COSTI!$Z$1379:$Z$1430),0),0)</f>
        <v>0</v>
      </c>
      <c r="AE864" s="26"/>
      <c r="AF864" s="856" t="e">
        <f>IF(ISERROR(VLOOKUP(AG$2,X865:X$1003,1,FALSE)),IF(X864=AG$2,SUMIF(X$4:X864,AG$2,Z$4:Z864)+VLOOKUP(AF$2,$B$1057:$F$1068,5,FALSE)+SUM(AR$4:AR$1003)+SUMIF(COSTI!$X$1379:$X$1430,AG$2,COSTI!$Z$1379:$Z$1430),0),0)</f>
        <v>#N/A</v>
      </c>
      <c r="AG864" s="859"/>
      <c r="AH864" s="27" t="str">
        <f t="shared" si="161"/>
        <v/>
      </c>
      <c r="AI864" s="152">
        <f ca="1">IF(W865&gt;0,0,IF(AH864=0,(Z864*-1)+BC864+SUM(BB$4:BB863),BC864+SUM(BB$4:BB863)))</f>
        <v>-2.1316282072803006E-13</v>
      </c>
      <c r="AJ864" s="931">
        <f>IF(AND(AL864&gt;=$U$1,AL864&lt;=$U$2),IF(AM864='ESTRATTO CONTO'!$E$2,1+COUNTIF(AJ$4:AJ863,"&gt;0")+U$1015,0),0)</f>
        <v>0</v>
      </c>
      <c r="AK864" s="203">
        <f>IF(AND(OR((AK863+1)&lt;AL$1015,(AK863+1)=AL$1015),MAX(AK$4:AK863)&lt;AL$1015),AK863+1,0)</f>
        <v>0</v>
      </c>
      <c r="AL864" s="309">
        <f>VLOOKUP($AK864,ENTI!$AF$4:AG$1003,2,FALSE)</f>
        <v>0</v>
      </c>
      <c r="AM864" s="224">
        <f>VLOOKUP($AK864,ENTI!$AF$4:AH$1003,3,FALSE)</f>
        <v>0</v>
      </c>
      <c r="AN864" s="224">
        <f>VLOOKUP($AK864,ENTI!$AF$4:AI$1003,4,FALSE)</f>
        <v>0</v>
      </c>
      <c r="AO864" s="781">
        <f>VLOOKUP($AK864,ENTI!$AF$4:AJ$1003,5,FALSE)</f>
        <v>0</v>
      </c>
      <c r="AP864" s="315">
        <f>VLOOKUP($AK864,ENTI!$AF$4:AK$1003,6,FALSE)</f>
        <v>0</v>
      </c>
      <c r="AQ864" s="208">
        <f t="shared" si="168"/>
        <v>0</v>
      </c>
      <c r="AR864" s="152" t="e">
        <f t="shared" si="169"/>
        <v>#N/A</v>
      </c>
      <c r="AS864" s="1"/>
      <c r="AT864" s="88" t="str">
        <f t="shared" si="162"/>
        <v/>
      </c>
      <c r="AU864" s="1"/>
      <c r="AV864" s="175">
        <f>IF(AW864&gt;0,COUNTIF(AV$4:AV863,"&gt;0")+1,0)</f>
        <v>0</v>
      </c>
      <c r="AW864" s="164">
        <f t="shared" si="163"/>
        <v>0</v>
      </c>
      <c r="AX864" s="310">
        <f>IF($AW864=0,0,VLOOKUP(VLOOKUP($X864,$B$34:$T$38,19,FALSE),ENTI!$A$9:$B$13,2,FALSE))</f>
        <v>0</v>
      </c>
      <c r="AY864" s="310">
        <f t="shared" si="165"/>
        <v>0</v>
      </c>
      <c r="AZ864" s="316">
        <f t="shared" si="166"/>
        <v>0</v>
      </c>
      <c r="BA864" s="1"/>
      <c r="BB864" s="152">
        <f t="shared" si="167"/>
        <v>0</v>
      </c>
      <c r="BC864" s="152">
        <f ca="1">SUM(Z$4:Z864)+SUM(BB$4:BB864)+COSTI!S$6-COSTI!L$1076</f>
        <v>-31.760000000000218</v>
      </c>
      <c r="BD864" s="1"/>
    </row>
    <row r="865" spans="1:56" ht="16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435">
        <f>IF(AND(W865&gt;=$U$1,W865&lt;=$U$2),IF(X865='ESTRATTO CONTO'!$E$2,1+COUNTIF(U$4:U864,"&gt;0"),0),0)</f>
        <v>0</v>
      </c>
      <c r="V865" s="417">
        <f t="shared" si="164"/>
        <v>862</v>
      </c>
      <c r="W865" s="509"/>
      <c r="X865" s="321"/>
      <c r="Y865" s="321"/>
      <c r="Z865" s="508"/>
      <c r="AA865" s="356"/>
      <c r="AB865" s="306" t="str">
        <f t="shared" si="160"/>
        <v/>
      </c>
      <c r="AC865" s="637">
        <f t="shared" ca="1" si="159"/>
        <v>-2.1316282072803006E-13</v>
      </c>
      <c r="AD865" s="935">
        <f>IF(ISERROR(VLOOKUP(AD$2,X866:X$1003,1,FALSE)),IF(X865=AD$2,SUMIF(X$4:X865,AD$2,Z$4:Z865)+$E$9+SUM(AQ$4:AQ$1003)+SUMIF(COSTI!$X$1379:$X$1430,AD$2,COSTI!$Z$1379:$Z$1430),0),0)</f>
        <v>0</v>
      </c>
      <c r="AE865" s="26"/>
      <c r="AF865" s="856" t="e">
        <f>IF(ISERROR(VLOOKUP(AG$2,X866:X$1003,1,FALSE)),IF(X865=AG$2,SUMIF(X$4:X865,AG$2,Z$4:Z865)+VLOOKUP(AF$2,$B$1057:$F$1068,5,FALSE)+SUM(AR$4:AR$1003)+SUMIF(COSTI!$X$1379:$X$1430,AG$2,COSTI!$Z$1379:$Z$1430),0),0)</f>
        <v>#N/A</v>
      </c>
      <c r="AG865" s="859"/>
      <c r="AH865" s="27" t="str">
        <f t="shared" si="161"/>
        <v/>
      </c>
      <c r="AI865" s="152">
        <f ca="1">IF(W866&gt;0,0,IF(AH865=0,(Z865*-1)+BC865+SUM(BB$4:BB864),BC865+SUM(BB$4:BB864)))</f>
        <v>-2.1316282072803006E-13</v>
      </c>
      <c r="AJ865" s="931">
        <f>IF(AND(AL865&gt;=$U$1,AL865&lt;=$U$2),IF(AM865='ESTRATTO CONTO'!$E$2,1+COUNTIF(AJ$4:AJ864,"&gt;0")+U$1015,0),0)</f>
        <v>0</v>
      </c>
      <c r="AK865" s="203">
        <f>IF(AND(OR((AK864+1)&lt;AL$1015,(AK864+1)=AL$1015),MAX(AK$4:AK864)&lt;AL$1015),AK864+1,0)</f>
        <v>0</v>
      </c>
      <c r="AL865" s="309">
        <f>VLOOKUP($AK865,ENTI!$AF$4:AG$1003,2,FALSE)</f>
        <v>0</v>
      </c>
      <c r="AM865" s="224">
        <f>VLOOKUP($AK865,ENTI!$AF$4:AH$1003,3,FALSE)</f>
        <v>0</v>
      </c>
      <c r="AN865" s="224">
        <f>VLOOKUP($AK865,ENTI!$AF$4:AI$1003,4,FALSE)</f>
        <v>0</v>
      </c>
      <c r="AO865" s="781">
        <f>VLOOKUP($AK865,ENTI!$AF$4:AJ$1003,5,FALSE)</f>
        <v>0</v>
      </c>
      <c r="AP865" s="315">
        <f>VLOOKUP($AK865,ENTI!$AF$4:AK$1003,6,FALSE)</f>
        <v>0</v>
      </c>
      <c r="AQ865" s="208">
        <f t="shared" si="168"/>
        <v>0</v>
      </c>
      <c r="AR865" s="152" t="e">
        <f t="shared" si="169"/>
        <v>#N/A</v>
      </c>
      <c r="AS865" s="1"/>
      <c r="AT865" s="88" t="str">
        <f t="shared" si="162"/>
        <v/>
      </c>
      <c r="AU865" s="1"/>
      <c r="AV865" s="175">
        <f>IF(AW865&gt;0,COUNTIF(AV$4:AV864,"&gt;0")+1,0)</f>
        <v>0</v>
      </c>
      <c r="AW865" s="164">
        <f t="shared" si="163"/>
        <v>0</v>
      </c>
      <c r="AX865" s="310">
        <f>IF($AW865=0,0,VLOOKUP(VLOOKUP($X865,$B$34:$T$38,19,FALSE),ENTI!$A$9:$B$13,2,FALSE))</f>
        <v>0</v>
      </c>
      <c r="AY865" s="310">
        <f t="shared" si="165"/>
        <v>0</v>
      </c>
      <c r="AZ865" s="316">
        <f t="shared" si="166"/>
        <v>0</v>
      </c>
      <c r="BA865" s="1"/>
      <c r="BB865" s="152">
        <f t="shared" si="167"/>
        <v>0</v>
      </c>
      <c r="BC865" s="152">
        <f ca="1">SUM(Z$4:Z865)+SUM(BB$4:BB865)+COSTI!S$6-COSTI!L$1076</f>
        <v>-31.760000000000218</v>
      </c>
      <c r="BD865" s="1"/>
    </row>
    <row r="866" spans="1:56" ht="16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435">
        <f>IF(AND(W866&gt;=$U$1,W866&lt;=$U$2),IF(X866='ESTRATTO CONTO'!$E$2,1+COUNTIF(U$4:U865,"&gt;0"),0),0)</f>
        <v>0</v>
      </c>
      <c r="V866" s="417">
        <f t="shared" si="164"/>
        <v>863</v>
      </c>
      <c r="W866" s="509"/>
      <c r="X866" s="321"/>
      <c r="Y866" s="321"/>
      <c r="Z866" s="508"/>
      <c r="AA866" s="356"/>
      <c r="AB866" s="306" t="str">
        <f t="shared" si="160"/>
        <v/>
      </c>
      <c r="AC866" s="637">
        <f t="shared" ca="1" si="159"/>
        <v>-2.1316282072803006E-13</v>
      </c>
      <c r="AD866" s="935">
        <f>IF(ISERROR(VLOOKUP(AD$2,X867:X$1003,1,FALSE)),IF(X866=AD$2,SUMIF(X$4:X866,AD$2,Z$4:Z866)+$E$9+SUM(AQ$4:AQ$1003)+SUMIF(COSTI!$X$1379:$X$1430,AD$2,COSTI!$Z$1379:$Z$1430),0),0)</f>
        <v>0</v>
      </c>
      <c r="AE866" s="26"/>
      <c r="AF866" s="856" t="e">
        <f>IF(ISERROR(VLOOKUP(AG$2,X867:X$1003,1,FALSE)),IF(X866=AG$2,SUMIF(X$4:X866,AG$2,Z$4:Z866)+VLOOKUP(AF$2,$B$1057:$F$1068,5,FALSE)+SUM(AR$4:AR$1003)+SUMIF(COSTI!$X$1379:$X$1430,AG$2,COSTI!$Z$1379:$Z$1430),0),0)</f>
        <v>#N/A</v>
      </c>
      <c r="AG866" s="859"/>
      <c r="AH866" s="27" t="str">
        <f t="shared" si="161"/>
        <v/>
      </c>
      <c r="AI866" s="152">
        <f ca="1">IF(W867&gt;0,0,IF(AH866=0,(Z866*-1)+BC866+SUM(BB$4:BB865),BC866+SUM(BB$4:BB865)))</f>
        <v>-2.1316282072803006E-13</v>
      </c>
      <c r="AJ866" s="931">
        <f>IF(AND(AL866&gt;=$U$1,AL866&lt;=$U$2),IF(AM866='ESTRATTO CONTO'!$E$2,1+COUNTIF(AJ$4:AJ865,"&gt;0")+U$1015,0),0)</f>
        <v>0</v>
      </c>
      <c r="AK866" s="203">
        <f>IF(AND(OR((AK865+1)&lt;AL$1015,(AK865+1)=AL$1015),MAX(AK$4:AK865)&lt;AL$1015),AK865+1,0)</f>
        <v>0</v>
      </c>
      <c r="AL866" s="309">
        <f>VLOOKUP($AK866,ENTI!$AF$4:AG$1003,2,FALSE)</f>
        <v>0</v>
      </c>
      <c r="AM866" s="224">
        <f>VLOOKUP($AK866,ENTI!$AF$4:AH$1003,3,FALSE)</f>
        <v>0</v>
      </c>
      <c r="AN866" s="224">
        <f>VLOOKUP($AK866,ENTI!$AF$4:AI$1003,4,FALSE)</f>
        <v>0</v>
      </c>
      <c r="AO866" s="781">
        <f>VLOOKUP($AK866,ENTI!$AF$4:AJ$1003,5,FALSE)</f>
        <v>0</v>
      </c>
      <c r="AP866" s="315">
        <f>VLOOKUP($AK866,ENTI!$AF$4:AK$1003,6,FALSE)</f>
        <v>0</v>
      </c>
      <c r="AQ866" s="208">
        <f t="shared" si="168"/>
        <v>0</v>
      </c>
      <c r="AR866" s="152" t="e">
        <f t="shared" si="169"/>
        <v>#N/A</v>
      </c>
      <c r="AS866" s="1"/>
      <c r="AT866" s="88" t="str">
        <f t="shared" si="162"/>
        <v/>
      </c>
      <c r="AU866" s="1"/>
      <c r="AV866" s="175">
        <f>IF(AW866&gt;0,COUNTIF(AV$4:AV865,"&gt;0")+1,0)</f>
        <v>0</v>
      </c>
      <c r="AW866" s="164">
        <f t="shared" si="163"/>
        <v>0</v>
      </c>
      <c r="AX866" s="310">
        <f>IF($AW866=0,0,VLOOKUP(VLOOKUP($X866,$B$34:$T$38,19,FALSE),ENTI!$A$9:$B$13,2,FALSE))</f>
        <v>0</v>
      </c>
      <c r="AY866" s="310">
        <f t="shared" si="165"/>
        <v>0</v>
      </c>
      <c r="AZ866" s="316">
        <f t="shared" si="166"/>
        <v>0</v>
      </c>
      <c r="BA866" s="1"/>
      <c r="BB866" s="152">
        <f t="shared" si="167"/>
        <v>0</v>
      </c>
      <c r="BC866" s="152">
        <f ca="1">SUM(Z$4:Z866)+SUM(BB$4:BB866)+COSTI!S$6-COSTI!L$1076</f>
        <v>-31.760000000000218</v>
      </c>
      <c r="BD866" s="1"/>
    </row>
    <row r="867" spans="1:56" ht="16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435">
        <f>IF(AND(W867&gt;=$U$1,W867&lt;=$U$2),IF(X867='ESTRATTO CONTO'!$E$2,1+COUNTIF(U$4:U866,"&gt;0"),0),0)</f>
        <v>0</v>
      </c>
      <c r="V867" s="417">
        <f t="shared" si="164"/>
        <v>864</v>
      </c>
      <c r="W867" s="509"/>
      <c r="X867" s="321"/>
      <c r="Y867" s="321"/>
      <c r="Z867" s="508"/>
      <c r="AA867" s="356"/>
      <c r="AB867" s="306" t="str">
        <f t="shared" si="160"/>
        <v/>
      </c>
      <c r="AC867" s="637">
        <f t="shared" ca="1" si="159"/>
        <v>-2.1316282072803006E-13</v>
      </c>
      <c r="AD867" s="935">
        <f>IF(ISERROR(VLOOKUP(AD$2,X868:X$1003,1,FALSE)),IF(X867=AD$2,SUMIF(X$4:X867,AD$2,Z$4:Z867)+$E$9+SUM(AQ$4:AQ$1003)+SUMIF(COSTI!$X$1379:$X$1430,AD$2,COSTI!$Z$1379:$Z$1430),0),0)</f>
        <v>0</v>
      </c>
      <c r="AE867" s="26"/>
      <c r="AF867" s="856" t="e">
        <f>IF(ISERROR(VLOOKUP(AG$2,X868:X$1003,1,FALSE)),IF(X867=AG$2,SUMIF(X$4:X867,AG$2,Z$4:Z867)+VLOOKUP(AF$2,$B$1057:$F$1068,5,FALSE)+SUM(AR$4:AR$1003)+SUMIF(COSTI!$X$1379:$X$1430,AG$2,COSTI!$Z$1379:$Z$1430),0),0)</f>
        <v>#N/A</v>
      </c>
      <c r="AG867" s="859"/>
      <c r="AH867" s="27" t="str">
        <f t="shared" si="161"/>
        <v/>
      </c>
      <c r="AI867" s="152">
        <f ca="1">IF(W868&gt;0,0,IF(AH867=0,(Z867*-1)+BC867+SUM(BB$4:BB866),BC867+SUM(BB$4:BB866)))</f>
        <v>-2.1316282072803006E-13</v>
      </c>
      <c r="AJ867" s="931">
        <f>IF(AND(AL867&gt;=$U$1,AL867&lt;=$U$2),IF(AM867='ESTRATTO CONTO'!$E$2,1+COUNTIF(AJ$4:AJ866,"&gt;0")+U$1015,0),0)</f>
        <v>0</v>
      </c>
      <c r="AK867" s="203">
        <f>IF(AND(OR((AK866+1)&lt;AL$1015,(AK866+1)=AL$1015),MAX(AK$4:AK866)&lt;AL$1015),AK866+1,0)</f>
        <v>0</v>
      </c>
      <c r="AL867" s="309">
        <f>VLOOKUP($AK867,ENTI!$AF$4:AG$1003,2,FALSE)</f>
        <v>0</v>
      </c>
      <c r="AM867" s="224">
        <f>VLOOKUP($AK867,ENTI!$AF$4:AH$1003,3,FALSE)</f>
        <v>0</v>
      </c>
      <c r="AN867" s="224">
        <f>VLOOKUP($AK867,ENTI!$AF$4:AI$1003,4,FALSE)</f>
        <v>0</v>
      </c>
      <c r="AO867" s="781">
        <f>VLOOKUP($AK867,ENTI!$AF$4:AJ$1003,5,FALSE)</f>
        <v>0</v>
      </c>
      <c r="AP867" s="315">
        <f>VLOOKUP($AK867,ENTI!$AF$4:AK$1003,6,FALSE)</f>
        <v>0</v>
      </c>
      <c r="AQ867" s="208">
        <f t="shared" si="168"/>
        <v>0</v>
      </c>
      <c r="AR867" s="152" t="e">
        <f t="shared" si="169"/>
        <v>#N/A</v>
      </c>
      <c r="AS867" s="1"/>
      <c r="AT867" s="88" t="str">
        <f t="shared" si="162"/>
        <v/>
      </c>
      <c r="AU867" s="1"/>
      <c r="AV867" s="175">
        <f>IF(AW867&gt;0,COUNTIF(AV$4:AV866,"&gt;0")+1,0)</f>
        <v>0</v>
      </c>
      <c r="AW867" s="164">
        <f t="shared" si="163"/>
        <v>0</v>
      </c>
      <c r="AX867" s="310">
        <f>IF($AW867=0,0,VLOOKUP(VLOOKUP($X867,$B$34:$T$38,19,FALSE),ENTI!$A$9:$B$13,2,FALSE))</f>
        <v>0</v>
      </c>
      <c r="AY867" s="310">
        <f t="shared" si="165"/>
        <v>0</v>
      </c>
      <c r="AZ867" s="316">
        <f t="shared" si="166"/>
        <v>0</v>
      </c>
      <c r="BA867" s="1"/>
      <c r="BB867" s="152">
        <f t="shared" si="167"/>
        <v>0</v>
      </c>
      <c r="BC867" s="152">
        <f ca="1">SUM(Z$4:Z867)+SUM(BB$4:BB867)+COSTI!S$6-COSTI!L$1076</f>
        <v>-31.760000000000218</v>
      </c>
      <c r="BD867" s="1"/>
    </row>
    <row r="868" spans="1:56" ht="16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435">
        <f>IF(AND(W868&gt;=$U$1,W868&lt;=$U$2),IF(X868='ESTRATTO CONTO'!$E$2,1+COUNTIF(U$4:U867,"&gt;0"),0),0)</f>
        <v>0</v>
      </c>
      <c r="V868" s="417">
        <f t="shared" si="164"/>
        <v>865</v>
      </c>
      <c r="W868" s="509"/>
      <c r="X868" s="321"/>
      <c r="Y868" s="321"/>
      <c r="Z868" s="508"/>
      <c r="AA868" s="356"/>
      <c r="AB868" s="306" t="str">
        <f t="shared" si="160"/>
        <v/>
      </c>
      <c r="AC868" s="637">
        <f t="shared" ca="1" si="159"/>
        <v>-2.1316282072803006E-13</v>
      </c>
      <c r="AD868" s="935">
        <f>IF(ISERROR(VLOOKUP(AD$2,X869:X$1003,1,FALSE)),IF(X868=AD$2,SUMIF(X$4:X868,AD$2,Z$4:Z868)+$E$9+SUM(AQ$4:AQ$1003)+SUMIF(COSTI!$X$1379:$X$1430,AD$2,COSTI!$Z$1379:$Z$1430),0),0)</f>
        <v>0</v>
      </c>
      <c r="AE868" s="26"/>
      <c r="AF868" s="856" t="e">
        <f>IF(ISERROR(VLOOKUP(AG$2,X869:X$1003,1,FALSE)),IF(X868=AG$2,SUMIF(X$4:X868,AG$2,Z$4:Z868)+VLOOKUP(AF$2,$B$1057:$F$1068,5,FALSE)+SUM(AR$4:AR$1003)+SUMIF(COSTI!$X$1379:$X$1430,AG$2,COSTI!$Z$1379:$Z$1430),0),0)</f>
        <v>#N/A</v>
      </c>
      <c r="AG868" s="859"/>
      <c r="AH868" s="27" t="str">
        <f t="shared" si="161"/>
        <v/>
      </c>
      <c r="AI868" s="152">
        <f ca="1">IF(W869&gt;0,0,IF(AH868=0,(Z868*-1)+BC868+SUM(BB$4:BB867),BC868+SUM(BB$4:BB867)))</f>
        <v>-2.1316282072803006E-13</v>
      </c>
      <c r="AJ868" s="931">
        <f>IF(AND(AL868&gt;=$U$1,AL868&lt;=$U$2),IF(AM868='ESTRATTO CONTO'!$E$2,1+COUNTIF(AJ$4:AJ867,"&gt;0")+U$1015,0),0)</f>
        <v>0</v>
      </c>
      <c r="AK868" s="203">
        <f>IF(AND(OR((AK867+1)&lt;AL$1015,(AK867+1)=AL$1015),MAX(AK$4:AK867)&lt;AL$1015),AK867+1,0)</f>
        <v>0</v>
      </c>
      <c r="AL868" s="309">
        <f>VLOOKUP($AK868,ENTI!$AF$4:AG$1003,2,FALSE)</f>
        <v>0</v>
      </c>
      <c r="AM868" s="224">
        <f>VLOOKUP($AK868,ENTI!$AF$4:AH$1003,3,FALSE)</f>
        <v>0</v>
      </c>
      <c r="AN868" s="224">
        <f>VLOOKUP($AK868,ENTI!$AF$4:AI$1003,4,FALSE)</f>
        <v>0</v>
      </c>
      <c r="AO868" s="781">
        <f>VLOOKUP($AK868,ENTI!$AF$4:AJ$1003,5,FALSE)</f>
        <v>0</v>
      </c>
      <c r="AP868" s="315">
        <f>VLOOKUP($AK868,ENTI!$AF$4:AK$1003,6,FALSE)</f>
        <v>0</v>
      </c>
      <c r="AQ868" s="208">
        <f t="shared" si="168"/>
        <v>0</v>
      </c>
      <c r="AR868" s="152" t="e">
        <f t="shared" si="169"/>
        <v>#N/A</v>
      </c>
      <c r="AS868" s="1"/>
      <c r="AT868" s="88" t="str">
        <f t="shared" si="162"/>
        <v/>
      </c>
      <c r="AU868" s="1"/>
      <c r="AV868" s="175">
        <f>IF(AW868&gt;0,COUNTIF(AV$4:AV867,"&gt;0")+1,0)</f>
        <v>0</v>
      </c>
      <c r="AW868" s="164">
        <f t="shared" si="163"/>
        <v>0</v>
      </c>
      <c r="AX868" s="310">
        <f>IF($AW868=0,0,VLOOKUP(VLOOKUP($X868,$B$34:$T$38,19,FALSE),ENTI!$A$9:$B$13,2,FALSE))</f>
        <v>0</v>
      </c>
      <c r="AY868" s="310">
        <f t="shared" si="165"/>
        <v>0</v>
      </c>
      <c r="AZ868" s="316">
        <f t="shared" si="166"/>
        <v>0</v>
      </c>
      <c r="BA868" s="1"/>
      <c r="BB868" s="152">
        <f t="shared" si="167"/>
        <v>0</v>
      </c>
      <c r="BC868" s="152">
        <f ca="1">SUM(Z$4:Z868)+SUM(BB$4:BB868)+COSTI!S$6-COSTI!L$1076</f>
        <v>-31.760000000000218</v>
      </c>
      <c r="BD868" s="1"/>
    </row>
    <row r="869" spans="1:56" ht="16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435">
        <f>IF(AND(W869&gt;=$U$1,W869&lt;=$U$2),IF(X869='ESTRATTO CONTO'!$E$2,1+COUNTIF(U$4:U868,"&gt;0"),0),0)</f>
        <v>0</v>
      </c>
      <c r="V869" s="417">
        <f t="shared" si="164"/>
        <v>866</v>
      </c>
      <c r="W869" s="509"/>
      <c r="X869" s="321"/>
      <c r="Y869" s="321"/>
      <c r="Z869" s="508"/>
      <c r="AA869" s="356"/>
      <c r="AB869" s="306" t="str">
        <f t="shared" si="160"/>
        <v/>
      </c>
      <c r="AC869" s="637">
        <f t="shared" ca="1" si="159"/>
        <v>-2.1316282072803006E-13</v>
      </c>
      <c r="AD869" s="935">
        <f>IF(ISERROR(VLOOKUP(AD$2,X870:X$1003,1,FALSE)),IF(X869=AD$2,SUMIF(X$4:X869,AD$2,Z$4:Z869)+$E$9+SUM(AQ$4:AQ$1003)+SUMIF(COSTI!$X$1379:$X$1430,AD$2,COSTI!$Z$1379:$Z$1430),0),0)</f>
        <v>0</v>
      </c>
      <c r="AE869" s="26"/>
      <c r="AF869" s="856" t="e">
        <f>IF(ISERROR(VLOOKUP(AG$2,X870:X$1003,1,FALSE)),IF(X869=AG$2,SUMIF(X$4:X869,AG$2,Z$4:Z869)+VLOOKUP(AF$2,$B$1057:$F$1068,5,FALSE)+SUM(AR$4:AR$1003)+SUMIF(COSTI!$X$1379:$X$1430,AG$2,COSTI!$Z$1379:$Z$1430),0),0)</f>
        <v>#N/A</v>
      </c>
      <c r="AG869" s="859"/>
      <c r="AH869" s="27" t="str">
        <f t="shared" si="161"/>
        <v/>
      </c>
      <c r="AI869" s="152">
        <f ca="1">IF(W870&gt;0,0,IF(AH869=0,(Z869*-1)+BC869+SUM(BB$4:BB868),BC869+SUM(BB$4:BB868)))</f>
        <v>-2.1316282072803006E-13</v>
      </c>
      <c r="AJ869" s="931">
        <f>IF(AND(AL869&gt;=$U$1,AL869&lt;=$U$2),IF(AM869='ESTRATTO CONTO'!$E$2,1+COUNTIF(AJ$4:AJ868,"&gt;0")+U$1015,0),0)</f>
        <v>0</v>
      </c>
      <c r="AK869" s="203">
        <f>IF(AND(OR((AK868+1)&lt;AL$1015,(AK868+1)=AL$1015),MAX(AK$4:AK868)&lt;AL$1015),AK868+1,0)</f>
        <v>0</v>
      </c>
      <c r="AL869" s="309">
        <f>VLOOKUP($AK869,ENTI!$AF$4:AG$1003,2,FALSE)</f>
        <v>0</v>
      </c>
      <c r="AM869" s="224">
        <f>VLOOKUP($AK869,ENTI!$AF$4:AH$1003,3,FALSE)</f>
        <v>0</v>
      </c>
      <c r="AN869" s="224">
        <f>VLOOKUP($AK869,ENTI!$AF$4:AI$1003,4,FALSE)</f>
        <v>0</v>
      </c>
      <c r="AO869" s="781">
        <f>VLOOKUP($AK869,ENTI!$AF$4:AJ$1003,5,FALSE)</f>
        <v>0</v>
      </c>
      <c r="AP869" s="315">
        <f>VLOOKUP($AK869,ENTI!$AF$4:AK$1003,6,FALSE)</f>
        <v>0</v>
      </c>
      <c r="AQ869" s="208">
        <f t="shared" si="168"/>
        <v>0</v>
      </c>
      <c r="AR869" s="152" t="e">
        <f t="shared" si="169"/>
        <v>#N/A</v>
      </c>
      <c r="AS869" s="1"/>
      <c r="AT869" s="88" t="str">
        <f t="shared" si="162"/>
        <v/>
      </c>
      <c r="AU869" s="1"/>
      <c r="AV869" s="175">
        <f>IF(AW869&gt;0,COUNTIF(AV$4:AV868,"&gt;0")+1,0)</f>
        <v>0</v>
      </c>
      <c r="AW869" s="164">
        <f t="shared" si="163"/>
        <v>0</v>
      </c>
      <c r="AX869" s="310">
        <f>IF($AW869=0,0,VLOOKUP(VLOOKUP($X869,$B$34:$T$38,19,FALSE),ENTI!$A$9:$B$13,2,FALSE))</f>
        <v>0</v>
      </c>
      <c r="AY869" s="310">
        <f t="shared" si="165"/>
        <v>0</v>
      </c>
      <c r="AZ869" s="316">
        <f t="shared" si="166"/>
        <v>0</v>
      </c>
      <c r="BA869" s="1"/>
      <c r="BB869" s="152">
        <f t="shared" si="167"/>
        <v>0</v>
      </c>
      <c r="BC869" s="152">
        <f ca="1">SUM(Z$4:Z869)+SUM(BB$4:BB869)+COSTI!S$6-COSTI!L$1076</f>
        <v>-31.760000000000218</v>
      </c>
      <c r="BD869" s="1"/>
    </row>
    <row r="870" spans="1:56" ht="16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435">
        <f>IF(AND(W870&gt;=$U$1,W870&lt;=$U$2),IF(X870='ESTRATTO CONTO'!$E$2,1+COUNTIF(U$4:U869,"&gt;0"),0),0)</f>
        <v>0</v>
      </c>
      <c r="V870" s="417">
        <f t="shared" si="164"/>
        <v>867</v>
      </c>
      <c r="W870" s="509"/>
      <c r="X870" s="321"/>
      <c r="Y870" s="321"/>
      <c r="Z870" s="508"/>
      <c r="AA870" s="356"/>
      <c r="AB870" s="306" t="str">
        <f t="shared" si="160"/>
        <v/>
      </c>
      <c r="AC870" s="637">
        <f t="shared" ca="1" si="159"/>
        <v>-2.1316282072803006E-13</v>
      </c>
      <c r="AD870" s="935">
        <f>IF(ISERROR(VLOOKUP(AD$2,X871:X$1003,1,FALSE)),IF(X870=AD$2,SUMIF(X$4:X870,AD$2,Z$4:Z870)+$E$9+SUM(AQ$4:AQ$1003)+SUMIF(COSTI!$X$1379:$X$1430,AD$2,COSTI!$Z$1379:$Z$1430),0),0)</f>
        <v>0</v>
      </c>
      <c r="AE870" s="26"/>
      <c r="AF870" s="856" t="e">
        <f>IF(ISERROR(VLOOKUP(AG$2,X871:X$1003,1,FALSE)),IF(X870=AG$2,SUMIF(X$4:X870,AG$2,Z$4:Z870)+VLOOKUP(AF$2,$B$1057:$F$1068,5,FALSE)+SUM(AR$4:AR$1003)+SUMIF(COSTI!$X$1379:$X$1430,AG$2,COSTI!$Z$1379:$Z$1430),0),0)</f>
        <v>#N/A</v>
      </c>
      <c r="AG870" s="859"/>
      <c r="AH870" s="27" t="str">
        <f t="shared" si="161"/>
        <v/>
      </c>
      <c r="AI870" s="152">
        <f ca="1">IF(W871&gt;0,0,IF(AH870=0,(Z870*-1)+BC870+SUM(BB$4:BB869),BC870+SUM(BB$4:BB869)))</f>
        <v>-2.1316282072803006E-13</v>
      </c>
      <c r="AJ870" s="931">
        <f>IF(AND(AL870&gt;=$U$1,AL870&lt;=$U$2),IF(AM870='ESTRATTO CONTO'!$E$2,1+COUNTIF(AJ$4:AJ869,"&gt;0")+U$1015,0),0)</f>
        <v>0</v>
      </c>
      <c r="AK870" s="203">
        <f>IF(AND(OR((AK869+1)&lt;AL$1015,(AK869+1)=AL$1015),MAX(AK$4:AK869)&lt;AL$1015),AK869+1,0)</f>
        <v>0</v>
      </c>
      <c r="AL870" s="309">
        <f>VLOOKUP($AK870,ENTI!$AF$4:AG$1003,2,FALSE)</f>
        <v>0</v>
      </c>
      <c r="AM870" s="224">
        <f>VLOOKUP($AK870,ENTI!$AF$4:AH$1003,3,FALSE)</f>
        <v>0</v>
      </c>
      <c r="AN870" s="224">
        <f>VLOOKUP($AK870,ENTI!$AF$4:AI$1003,4,FALSE)</f>
        <v>0</v>
      </c>
      <c r="AO870" s="781">
        <f>VLOOKUP($AK870,ENTI!$AF$4:AJ$1003,5,FALSE)</f>
        <v>0</v>
      </c>
      <c r="AP870" s="315">
        <f>VLOOKUP($AK870,ENTI!$AF$4:AK$1003,6,FALSE)</f>
        <v>0</v>
      </c>
      <c r="AQ870" s="208">
        <f t="shared" si="168"/>
        <v>0</v>
      </c>
      <c r="AR870" s="152" t="e">
        <f t="shared" si="169"/>
        <v>#N/A</v>
      </c>
      <c r="AS870" s="1"/>
      <c r="AT870" s="88" t="str">
        <f t="shared" si="162"/>
        <v/>
      </c>
      <c r="AU870" s="1"/>
      <c r="AV870" s="175">
        <f>IF(AW870&gt;0,COUNTIF(AV$4:AV869,"&gt;0")+1,0)</f>
        <v>0</v>
      </c>
      <c r="AW870" s="164">
        <f t="shared" si="163"/>
        <v>0</v>
      </c>
      <c r="AX870" s="310">
        <f>IF($AW870=0,0,VLOOKUP(VLOOKUP($X870,$B$34:$T$38,19,FALSE),ENTI!$A$9:$B$13,2,FALSE))</f>
        <v>0</v>
      </c>
      <c r="AY870" s="310">
        <f t="shared" si="165"/>
        <v>0</v>
      </c>
      <c r="AZ870" s="316">
        <f t="shared" si="166"/>
        <v>0</v>
      </c>
      <c r="BA870" s="1"/>
      <c r="BB870" s="152">
        <f t="shared" si="167"/>
        <v>0</v>
      </c>
      <c r="BC870" s="152">
        <f ca="1">SUM(Z$4:Z870)+SUM(BB$4:BB870)+COSTI!S$6-COSTI!L$1076</f>
        <v>-31.760000000000218</v>
      </c>
      <c r="BD870" s="1"/>
    </row>
    <row r="871" spans="1:56" ht="16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435">
        <f>IF(AND(W871&gt;=$U$1,W871&lt;=$U$2),IF(X871='ESTRATTO CONTO'!$E$2,1+COUNTIF(U$4:U870,"&gt;0"),0),0)</f>
        <v>0</v>
      </c>
      <c r="V871" s="417">
        <f t="shared" si="164"/>
        <v>868</v>
      </c>
      <c r="W871" s="509"/>
      <c r="X871" s="321"/>
      <c r="Y871" s="321"/>
      <c r="Z871" s="508"/>
      <c r="AA871" s="356"/>
      <c r="AB871" s="306" t="str">
        <f t="shared" si="160"/>
        <v/>
      </c>
      <c r="AC871" s="637">
        <f t="shared" ca="1" si="159"/>
        <v>-2.1316282072803006E-13</v>
      </c>
      <c r="AD871" s="935">
        <f>IF(ISERROR(VLOOKUP(AD$2,X872:X$1003,1,FALSE)),IF(X871=AD$2,SUMIF(X$4:X871,AD$2,Z$4:Z871)+$E$9+SUM(AQ$4:AQ$1003)+SUMIF(COSTI!$X$1379:$X$1430,AD$2,COSTI!$Z$1379:$Z$1430),0),0)</f>
        <v>0</v>
      </c>
      <c r="AE871" s="26"/>
      <c r="AF871" s="856" t="e">
        <f>IF(ISERROR(VLOOKUP(AG$2,X872:X$1003,1,FALSE)),IF(X871=AG$2,SUMIF(X$4:X871,AG$2,Z$4:Z871)+VLOOKUP(AF$2,$B$1057:$F$1068,5,FALSE)+SUM(AR$4:AR$1003)+SUMIF(COSTI!$X$1379:$X$1430,AG$2,COSTI!$Z$1379:$Z$1430),0),0)</f>
        <v>#N/A</v>
      </c>
      <c r="AG871" s="859"/>
      <c r="AH871" s="27" t="str">
        <f t="shared" si="161"/>
        <v/>
      </c>
      <c r="AI871" s="152">
        <f ca="1">IF(W872&gt;0,0,IF(AH871=0,(Z871*-1)+BC871+SUM(BB$4:BB870),BC871+SUM(BB$4:BB870)))</f>
        <v>-2.1316282072803006E-13</v>
      </c>
      <c r="AJ871" s="931">
        <f>IF(AND(AL871&gt;=$U$1,AL871&lt;=$U$2),IF(AM871='ESTRATTO CONTO'!$E$2,1+COUNTIF(AJ$4:AJ870,"&gt;0")+U$1015,0),0)</f>
        <v>0</v>
      </c>
      <c r="AK871" s="203">
        <f>IF(AND(OR((AK870+1)&lt;AL$1015,(AK870+1)=AL$1015),MAX(AK$4:AK870)&lt;AL$1015),AK870+1,0)</f>
        <v>0</v>
      </c>
      <c r="AL871" s="309">
        <f>VLOOKUP($AK871,ENTI!$AF$4:AG$1003,2,FALSE)</f>
        <v>0</v>
      </c>
      <c r="AM871" s="224">
        <f>VLOOKUP($AK871,ENTI!$AF$4:AH$1003,3,FALSE)</f>
        <v>0</v>
      </c>
      <c r="AN871" s="224">
        <f>VLOOKUP($AK871,ENTI!$AF$4:AI$1003,4,FALSE)</f>
        <v>0</v>
      </c>
      <c r="AO871" s="781">
        <f>VLOOKUP($AK871,ENTI!$AF$4:AJ$1003,5,FALSE)</f>
        <v>0</v>
      </c>
      <c r="AP871" s="315">
        <f>VLOOKUP($AK871,ENTI!$AF$4:AK$1003,6,FALSE)</f>
        <v>0</v>
      </c>
      <c r="AQ871" s="208">
        <f t="shared" si="168"/>
        <v>0</v>
      </c>
      <c r="AR871" s="152" t="e">
        <f t="shared" si="169"/>
        <v>#N/A</v>
      </c>
      <c r="AS871" s="1"/>
      <c r="AT871" s="88" t="str">
        <f t="shared" si="162"/>
        <v/>
      </c>
      <c r="AU871" s="1"/>
      <c r="AV871" s="175">
        <f>IF(AW871&gt;0,COUNTIF(AV$4:AV870,"&gt;0")+1,0)</f>
        <v>0</v>
      </c>
      <c r="AW871" s="164">
        <f t="shared" si="163"/>
        <v>0</v>
      </c>
      <c r="AX871" s="310">
        <f>IF($AW871=0,0,VLOOKUP(VLOOKUP($X871,$B$34:$T$38,19,FALSE),ENTI!$A$9:$B$13,2,FALSE))</f>
        <v>0</v>
      </c>
      <c r="AY871" s="310">
        <f t="shared" si="165"/>
        <v>0</v>
      </c>
      <c r="AZ871" s="316">
        <f t="shared" si="166"/>
        <v>0</v>
      </c>
      <c r="BA871" s="1"/>
      <c r="BB871" s="152">
        <f t="shared" si="167"/>
        <v>0</v>
      </c>
      <c r="BC871" s="152">
        <f ca="1">SUM(Z$4:Z871)+SUM(BB$4:BB871)+COSTI!S$6-COSTI!L$1076</f>
        <v>-31.760000000000218</v>
      </c>
      <c r="BD871" s="1"/>
    </row>
    <row r="872" spans="1:56" ht="16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435">
        <f>IF(AND(W872&gt;=$U$1,W872&lt;=$U$2),IF(X872='ESTRATTO CONTO'!$E$2,1+COUNTIF(U$4:U871,"&gt;0"),0),0)</f>
        <v>0</v>
      </c>
      <c r="V872" s="417">
        <f t="shared" si="164"/>
        <v>869</v>
      </c>
      <c r="W872" s="509"/>
      <c r="X872" s="321"/>
      <c r="Y872" s="321"/>
      <c r="Z872" s="508"/>
      <c r="AA872" s="356"/>
      <c r="AB872" s="306" t="str">
        <f t="shared" si="160"/>
        <v/>
      </c>
      <c r="AC872" s="637">
        <f t="shared" ca="1" si="159"/>
        <v>-2.1316282072803006E-13</v>
      </c>
      <c r="AD872" s="935">
        <f>IF(ISERROR(VLOOKUP(AD$2,X873:X$1003,1,FALSE)),IF(X872=AD$2,SUMIF(X$4:X872,AD$2,Z$4:Z872)+$E$9+SUM(AQ$4:AQ$1003)+SUMIF(COSTI!$X$1379:$X$1430,AD$2,COSTI!$Z$1379:$Z$1430),0),0)</f>
        <v>0</v>
      </c>
      <c r="AE872" s="26"/>
      <c r="AF872" s="856" t="e">
        <f>IF(ISERROR(VLOOKUP(AG$2,X873:X$1003,1,FALSE)),IF(X872=AG$2,SUMIF(X$4:X872,AG$2,Z$4:Z872)+VLOOKUP(AF$2,$B$1057:$F$1068,5,FALSE)+SUM(AR$4:AR$1003)+SUMIF(COSTI!$X$1379:$X$1430,AG$2,COSTI!$Z$1379:$Z$1430),0),0)</f>
        <v>#N/A</v>
      </c>
      <c r="AG872" s="859"/>
      <c r="AH872" s="27" t="str">
        <f t="shared" si="161"/>
        <v/>
      </c>
      <c r="AI872" s="152">
        <f ca="1">IF(W873&gt;0,0,IF(AH872=0,(Z872*-1)+BC872+SUM(BB$4:BB871),BC872+SUM(BB$4:BB871)))</f>
        <v>-2.1316282072803006E-13</v>
      </c>
      <c r="AJ872" s="931">
        <f>IF(AND(AL872&gt;=$U$1,AL872&lt;=$U$2),IF(AM872='ESTRATTO CONTO'!$E$2,1+COUNTIF(AJ$4:AJ871,"&gt;0")+U$1015,0),0)</f>
        <v>0</v>
      </c>
      <c r="AK872" s="203">
        <f>IF(AND(OR((AK871+1)&lt;AL$1015,(AK871+1)=AL$1015),MAX(AK$4:AK871)&lt;AL$1015),AK871+1,0)</f>
        <v>0</v>
      </c>
      <c r="AL872" s="309">
        <f>VLOOKUP($AK872,ENTI!$AF$4:AG$1003,2,FALSE)</f>
        <v>0</v>
      </c>
      <c r="AM872" s="224">
        <f>VLOOKUP($AK872,ENTI!$AF$4:AH$1003,3,FALSE)</f>
        <v>0</v>
      </c>
      <c r="AN872" s="224">
        <f>VLOOKUP($AK872,ENTI!$AF$4:AI$1003,4,FALSE)</f>
        <v>0</v>
      </c>
      <c r="AO872" s="781">
        <f>VLOOKUP($AK872,ENTI!$AF$4:AJ$1003,5,FALSE)</f>
        <v>0</v>
      </c>
      <c r="AP872" s="315">
        <f>VLOOKUP($AK872,ENTI!$AF$4:AK$1003,6,FALSE)</f>
        <v>0</v>
      </c>
      <c r="AQ872" s="208">
        <f t="shared" si="168"/>
        <v>0</v>
      </c>
      <c r="AR872" s="152" t="e">
        <f t="shared" si="169"/>
        <v>#N/A</v>
      </c>
      <c r="AS872" s="1"/>
      <c r="AT872" s="88" t="str">
        <f t="shared" si="162"/>
        <v/>
      </c>
      <c r="AU872" s="1"/>
      <c r="AV872" s="175">
        <f>IF(AW872&gt;0,COUNTIF(AV$4:AV871,"&gt;0")+1,0)</f>
        <v>0</v>
      </c>
      <c r="AW872" s="164">
        <f t="shared" si="163"/>
        <v>0</v>
      </c>
      <c r="AX872" s="310">
        <f>IF($AW872=0,0,VLOOKUP(VLOOKUP($X872,$B$34:$T$38,19,FALSE),ENTI!$A$9:$B$13,2,FALSE))</f>
        <v>0</v>
      </c>
      <c r="AY872" s="310">
        <f t="shared" si="165"/>
        <v>0</v>
      </c>
      <c r="AZ872" s="316">
        <f t="shared" si="166"/>
        <v>0</v>
      </c>
      <c r="BA872" s="1"/>
      <c r="BB872" s="152">
        <f t="shared" si="167"/>
        <v>0</v>
      </c>
      <c r="BC872" s="152">
        <f ca="1">SUM(Z$4:Z872)+SUM(BB$4:BB872)+COSTI!S$6-COSTI!L$1076</f>
        <v>-31.760000000000218</v>
      </c>
      <c r="BD872" s="1"/>
    </row>
    <row r="873" spans="1:56" ht="16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435">
        <f>IF(AND(W873&gt;=$U$1,W873&lt;=$U$2),IF(X873='ESTRATTO CONTO'!$E$2,1+COUNTIF(U$4:U872,"&gt;0"),0),0)</f>
        <v>0</v>
      </c>
      <c r="V873" s="417">
        <f t="shared" si="164"/>
        <v>870</v>
      </c>
      <c r="W873" s="509"/>
      <c r="X873" s="321"/>
      <c r="Y873" s="321"/>
      <c r="Z873" s="508"/>
      <c r="AA873" s="356"/>
      <c r="AB873" s="306" t="str">
        <f t="shared" si="160"/>
        <v/>
      </c>
      <c r="AC873" s="637">
        <f t="shared" ca="1" si="159"/>
        <v>-2.1316282072803006E-13</v>
      </c>
      <c r="AD873" s="935">
        <f>IF(ISERROR(VLOOKUP(AD$2,X874:X$1003,1,FALSE)),IF(X873=AD$2,SUMIF(X$4:X873,AD$2,Z$4:Z873)+$E$9+SUM(AQ$4:AQ$1003)+SUMIF(COSTI!$X$1379:$X$1430,AD$2,COSTI!$Z$1379:$Z$1430),0),0)</f>
        <v>0</v>
      </c>
      <c r="AE873" s="26"/>
      <c r="AF873" s="856" t="e">
        <f>IF(ISERROR(VLOOKUP(AG$2,X874:X$1003,1,FALSE)),IF(X873=AG$2,SUMIF(X$4:X873,AG$2,Z$4:Z873)+VLOOKUP(AF$2,$B$1057:$F$1068,5,FALSE)+SUM(AR$4:AR$1003)+SUMIF(COSTI!$X$1379:$X$1430,AG$2,COSTI!$Z$1379:$Z$1430),0),0)</f>
        <v>#N/A</v>
      </c>
      <c r="AG873" s="859"/>
      <c r="AH873" s="27" t="str">
        <f t="shared" si="161"/>
        <v/>
      </c>
      <c r="AI873" s="152">
        <f ca="1">IF(W874&gt;0,0,IF(AH873=0,(Z873*-1)+BC873+SUM(BB$4:BB872),BC873+SUM(BB$4:BB872)))</f>
        <v>-2.1316282072803006E-13</v>
      </c>
      <c r="AJ873" s="931">
        <f>IF(AND(AL873&gt;=$U$1,AL873&lt;=$U$2),IF(AM873='ESTRATTO CONTO'!$E$2,1+COUNTIF(AJ$4:AJ872,"&gt;0")+U$1015,0),0)</f>
        <v>0</v>
      </c>
      <c r="AK873" s="203">
        <f>IF(AND(OR((AK872+1)&lt;AL$1015,(AK872+1)=AL$1015),MAX(AK$4:AK872)&lt;AL$1015),AK872+1,0)</f>
        <v>0</v>
      </c>
      <c r="AL873" s="309">
        <f>VLOOKUP($AK873,ENTI!$AF$4:AG$1003,2,FALSE)</f>
        <v>0</v>
      </c>
      <c r="AM873" s="224">
        <f>VLOOKUP($AK873,ENTI!$AF$4:AH$1003,3,FALSE)</f>
        <v>0</v>
      </c>
      <c r="AN873" s="224">
        <f>VLOOKUP($AK873,ENTI!$AF$4:AI$1003,4,FALSE)</f>
        <v>0</v>
      </c>
      <c r="AO873" s="781">
        <f>VLOOKUP($AK873,ENTI!$AF$4:AJ$1003,5,FALSE)</f>
        <v>0</v>
      </c>
      <c r="AP873" s="315">
        <f>VLOOKUP($AK873,ENTI!$AF$4:AK$1003,6,FALSE)</f>
        <v>0</v>
      </c>
      <c r="AQ873" s="208">
        <f t="shared" si="168"/>
        <v>0</v>
      </c>
      <c r="AR873" s="152" t="e">
        <f t="shared" si="169"/>
        <v>#N/A</v>
      </c>
      <c r="AS873" s="1"/>
      <c r="AT873" s="88" t="str">
        <f t="shared" si="162"/>
        <v/>
      </c>
      <c r="AU873" s="1"/>
      <c r="AV873" s="175">
        <f>IF(AW873&gt;0,COUNTIF(AV$4:AV872,"&gt;0")+1,0)</f>
        <v>0</v>
      </c>
      <c r="AW873" s="164">
        <f t="shared" si="163"/>
        <v>0</v>
      </c>
      <c r="AX873" s="310">
        <f>IF($AW873=0,0,VLOOKUP(VLOOKUP($X873,$B$34:$T$38,19,FALSE),ENTI!$A$9:$B$13,2,FALSE))</f>
        <v>0</v>
      </c>
      <c r="AY873" s="310">
        <f t="shared" si="165"/>
        <v>0</v>
      </c>
      <c r="AZ873" s="316">
        <f t="shared" si="166"/>
        <v>0</v>
      </c>
      <c r="BA873" s="1"/>
      <c r="BB873" s="152">
        <f t="shared" si="167"/>
        <v>0</v>
      </c>
      <c r="BC873" s="152">
        <f ca="1">SUM(Z$4:Z873)+SUM(BB$4:BB873)+COSTI!S$6-COSTI!L$1076</f>
        <v>-31.760000000000218</v>
      </c>
      <c r="BD873" s="1"/>
    </row>
    <row r="874" spans="1:56" ht="16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435">
        <f>IF(AND(W874&gt;=$U$1,W874&lt;=$U$2),IF(X874='ESTRATTO CONTO'!$E$2,1+COUNTIF(U$4:U873,"&gt;0"),0),0)</f>
        <v>0</v>
      </c>
      <c r="V874" s="417">
        <f t="shared" si="164"/>
        <v>871</v>
      </c>
      <c r="W874" s="509"/>
      <c r="X874" s="321"/>
      <c r="Y874" s="321"/>
      <c r="Z874" s="508"/>
      <c r="AA874" s="356"/>
      <c r="AB874" s="306" t="str">
        <f t="shared" si="160"/>
        <v/>
      </c>
      <c r="AC874" s="637">
        <f t="shared" ca="1" si="159"/>
        <v>-2.1316282072803006E-13</v>
      </c>
      <c r="AD874" s="935">
        <f>IF(ISERROR(VLOOKUP(AD$2,X875:X$1003,1,FALSE)),IF(X874=AD$2,SUMIF(X$4:X874,AD$2,Z$4:Z874)+$E$9+SUM(AQ$4:AQ$1003)+SUMIF(COSTI!$X$1379:$X$1430,AD$2,COSTI!$Z$1379:$Z$1430),0),0)</f>
        <v>0</v>
      </c>
      <c r="AE874" s="26"/>
      <c r="AF874" s="856" t="e">
        <f>IF(ISERROR(VLOOKUP(AG$2,X875:X$1003,1,FALSE)),IF(X874=AG$2,SUMIF(X$4:X874,AG$2,Z$4:Z874)+VLOOKUP(AF$2,$B$1057:$F$1068,5,FALSE)+SUM(AR$4:AR$1003)+SUMIF(COSTI!$X$1379:$X$1430,AG$2,COSTI!$Z$1379:$Z$1430),0),0)</f>
        <v>#N/A</v>
      </c>
      <c r="AG874" s="859"/>
      <c r="AH874" s="27" t="str">
        <f t="shared" si="161"/>
        <v/>
      </c>
      <c r="AI874" s="152">
        <f ca="1">IF(W875&gt;0,0,IF(AH874=0,(Z874*-1)+BC874+SUM(BB$4:BB873),BC874+SUM(BB$4:BB873)))</f>
        <v>-2.1316282072803006E-13</v>
      </c>
      <c r="AJ874" s="931">
        <f>IF(AND(AL874&gt;=$U$1,AL874&lt;=$U$2),IF(AM874='ESTRATTO CONTO'!$E$2,1+COUNTIF(AJ$4:AJ873,"&gt;0")+U$1015,0),0)</f>
        <v>0</v>
      </c>
      <c r="AK874" s="203">
        <f>IF(AND(OR((AK873+1)&lt;AL$1015,(AK873+1)=AL$1015),MAX(AK$4:AK873)&lt;AL$1015),AK873+1,0)</f>
        <v>0</v>
      </c>
      <c r="AL874" s="309">
        <f>VLOOKUP($AK874,ENTI!$AF$4:AG$1003,2,FALSE)</f>
        <v>0</v>
      </c>
      <c r="AM874" s="224">
        <f>VLOOKUP($AK874,ENTI!$AF$4:AH$1003,3,FALSE)</f>
        <v>0</v>
      </c>
      <c r="AN874" s="224">
        <f>VLOOKUP($AK874,ENTI!$AF$4:AI$1003,4,FALSE)</f>
        <v>0</v>
      </c>
      <c r="AO874" s="781">
        <f>VLOOKUP($AK874,ENTI!$AF$4:AJ$1003,5,FALSE)</f>
        <v>0</v>
      </c>
      <c r="AP874" s="315">
        <f>VLOOKUP($AK874,ENTI!$AF$4:AK$1003,6,FALSE)</f>
        <v>0</v>
      </c>
      <c r="AQ874" s="208">
        <f t="shared" si="168"/>
        <v>0</v>
      </c>
      <c r="AR874" s="152" t="e">
        <f t="shared" si="169"/>
        <v>#N/A</v>
      </c>
      <c r="AS874" s="1"/>
      <c r="AT874" s="88" t="str">
        <f t="shared" si="162"/>
        <v/>
      </c>
      <c r="AU874" s="1"/>
      <c r="AV874" s="175">
        <f>IF(AW874&gt;0,COUNTIF(AV$4:AV873,"&gt;0")+1,0)</f>
        <v>0</v>
      </c>
      <c r="AW874" s="164">
        <f t="shared" si="163"/>
        <v>0</v>
      </c>
      <c r="AX874" s="310">
        <f>IF($AW874=0,0,VLOOKUP(VLOOKUP($X874,$B$34:$T$38,19,FALSE),ENTI!$A$9:$B$13,2,FALSE))</f>
        <v>0</v>
      </c>
      <c r="AY874" s="310">
        <f t="shared" si="165"/>
        <v>0</v>
      </c>
      <c r="AZ874" s="316">
        <f t="shared" si="166"/>
        <v>0</v>
      </c>
      <c r="BA874" s="1"/>
      <c r="BB874" s="152">
        <f t="shared" si="167"/>
        <v>0</v>
      </c>
      <c r="BC874" s="152">
        <f ca="1">SUM(Z$4:Z874)+SUM(BB$4:BB874)+COSTI!S$6-COSTI!L$1076</f>
        <v>-31.760000000000218</v>
      </c>
      <c r="BD874" s="1"/>
    </row>
    <row r="875" spans="1:56" ht="16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435">
        <f>IF(AND(W875&gt;=$U$1,W875&lt;=$U$2),IF(X875='ESTRATTO CONTO'!$E$2,1+COUNTIF(U$4:U874,"&gt;0"),0),0)</f>
        <v>0</v>
      </c>
      <c r="V875" s="417">
        <f t="shared" si="164"/>
        <v>872</v>
      </c>
      <c r="W875" s="509"/>
      <c r="X875" s="321"/>
      <c r="Y875" s="321"/>
      <c r="Z875" s="508"/>
      <c r="AA875" s="356"/>
      <c r="AB875" s="306" t="str">
        <f t="shared" si="160"/>
        <v/>
      </c>
      <c r="AC875" s="637">
        <f t="shared" ca="1" si="159"/>
        <v>-2.1316282072803006E-13</v>
      </c>
      <c r="AD875" s="935">
        <f>IF(ISERROR(VLOOKUP(AD$2,X876:X$1003,1,FALSE)),IF(X875=AD$2,SUMIF(X$4:X875,AD$2,Z$4:Z875)+$E$9+SUM(AQ$4:AQ$1003)+SUMIF(COSTI!$X$1379:$X$1430,AD$2,COSTI!$Z$1379:$Z$1430),0),0)</f>
        <v>0</v>
      </c>
      <c r="AE875" s="26"/>
      <c r="AF875" s="856" t="e">
        <f>IF(ISERROR(VLOOKUP(AG$2,X876:X$1003,1,FALSE)),IF(X875=AG$2,SUMIF(X$4:X875,AG$2,Z$4:Z875)+VLOOKUP(AF$2,$B$1057:$F$1068,5,FALSE)+SUM(AR$4:AR$1003)+SUMIF(COSTI!$X$1379:$X$1430,AG$2,COSTI!$Z$1379:$Z$1430),0),0)</f>
        <v>#N/A</v>
      </c>
      <c r="AG875" s="859"/>
      <c r="AH875" s="27" t="str">
        <f t="shared" si="161"/>
        <v/>
      </c>
      <c r="AI875" s="152">
        <f ca="1">IF(W876&gt;0,0,IF(AH875=0,(Z875*-1)+BC875+SUM(BB$4:BB874),BC875+SUM(BB$4:BB874)))</f>
        <v>-2.1316282072803006E-13</v>
      </c>
      <c r="AJ875" s="931">
        <f>IF(AND(AL875&gt;=$U$1,AL875&lt;=$U$2),IF(AM875='ESTRATTO CONTO'!$E$2,1+COUNTIF(AJ$4:AJ874,"&gt;0")+U$1015,0),0)</f>
        <v>0</v>
      </c>
      <c r="AK875" s="203">
        <f>IF(AND(OR((AK874+1)&lt;AL$1015,(AK874+1)=AL$1015),MAX(AK$4:AK874)&lt;AL$1015),AK874+1,0)</f>
        <v>0</v>
      </c>
      <c r="AL875" s="309">
        <f>VLOOKUP($AK875,ENTI!$AF$4:AG$1003,2,FALSE)</f>
        <v>0</v>
      </c>
      <c r="AM875" s="224">
        <f>VLOOKUP($AK875,ENTI!$AF$4:AH$1003,3,FALSE)</f>
        <v>0</v>
      </c>
      <c r="AN875" s="224">
        <f>VLOOKUP($AK875,ENTI!$AF$4:AI$1003,4,FALSE)</f>
        <v>0</v>
      </c>
      <c r="AO875" s="781">
        <f>VLOOKUP($AK875,ENTI!$AF$4:AJ$1003,5,FALSE)</f>
        <v>0</v>
      </c>
      <c r="AP875" s="315">
        <f>VLOOKUP($AK875,ENTI!$AF$4:AK$1003,6,FALSE)</f>
        <v>0</v>
      </c>
      <c r="AQ875" s="208">
        <f t="shared" si="168"/>
        <v>0</v>
      </c>
      <c r="AR875" s="152" t="e">
        <f t="shared" si="169"/>
        <v>#N/A</v>
      </c>
      <c r="AS875" s="1"/>
      <c r="AT875" s="88" t="str">
        <f t="shared" si="162"/>
        <v/>
      </c>
      <c r="AU875" s="1"/>
      <c r="AV875" s="175">
        <f>IF(AW875&gt;0,COUNTIF(AV$4:AV874,"&gt;0")+1,0)</f>
        <v>0</v>
      </c>
      <c r="AW875" s="164">
        <f t="shared" si="163"/>
        <v>0</v>
      </c>
      <c r="AX875" s="310">
        <f>IF($AW875=0,0,VLOOKUP(VLOOKUP($X875,$B$34:$T$38,19,FALSE),ENTI!$A$9:$B$13,2,FALSE))</f>
        <v>0</v>
      </c>
      <c r="AY875" s="310">
        <f t="shared" si="165"/>
        <v>0</v>
      </c>
      <c r="AZ875" s="316">
        <f t="shared" si="166"/>
        <v>0</v>
      </c>
      <c r="BA875" s="1"/>
      <c r="BB875" s="152">
        <f t="shared" si="167"/>
        <v>0</v>
      </c>
      <c r="BC875" s="152">
        <f ca="1">SUM(Z$4:Z875)+SUM(BB$4:BB875)+COSTI!S$6-COSTI!L$1076</f>
        <v>-31.760000000000218</v>
      </c>
      <c r="BD875" s="1"/>
    </row>
    <row r="876" spans="1:56" ht="16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435">
        <f>IF(AND(W876&gt;=$U$1,W876&lt;=$U$2),IF(X876='ESTRATTO CONTO'!$E$2,1+COUNTIF(U$4:U875,"&gt;0"),0),0)</f>
        <v>0</v>
      </c>
      <c r="V876" s="417">
        <f t="shared" si="164"/>
        <v>873</v>
      </c>
      <c r="W876" s="509"/>
      <c r="X876" s="321"/>
      <c r="Y876" s="321"/>
      <c r="Z876" s="508"/>
      <c r="AA876" s="356"/>
      <c r="AB876" s="306" t="str">
        <f t="shared" si="160"/>
        <v/>
      </c>
      <c r="AC876" s="637">
        <f t="shared" ca="1" si="159"/>
        <v>-2.1316282072803006E-13</v>
      </c>
      <c r="AD876" s="935">
        <f>IF(ISERROR(VLOOKUP(AD$2,X877:X$1003,1,FALSE)),IF(X876=AD$2,SUMIF(X$4:X876,AD$2,Z$4:Z876)+$E$9+SUM(AQ$4:AQ$1003)+SUMIF(COSTI!$X$1379:$X$1430,AD$2,COSTI!$Z$1379:$Z$1430),0),0)</f>
        <v>0</v>
      </c>
      <c r="AE876" s="26"/>
      <c r="AF876" s="856" t="e">
        <f>IF(ISERROR(VLOOKUP(AG$2,X877:X$1003,1,FALSE)),IF(X876=AG$2,SUMIF(X$4:X876,AG$2,Z$4:Z876)+VLOOKUP(AF$2,$B$1057:$F$1068,5,FALSE)+SUM(AR$4:AR$1003)+SUMIF(COSTI!$X$1379:$X$1430,AG$2,COSTI!$Z$1379:$Z$1430),0),0)</f>
        <v>#N/A</v>
      </c>
      <c r="AG876" s="859"/>
      <c r="AH876" s="27" t="str">
        <f t="shared" si="161"/>
        <v/>
      </c>
      <c r="AI876" s="152">
        <f ca="1">IF(W877&gt;0,0,IF(AH876=0,(Z876*-1)+BC876+SUM(BB$4:BB875),BC876+SUM(BB$4:BB875)))</f>
        <v>-2.1316282072803006E-13</v>
      </c>
      <c r="AJ876" s="931">
        <f>IF(AND(AL876&gt;=$U$1,AL876&lt;=$U$2),IF(AM876='ESTRATTO CONTO'!$E$2,1+COUNTIF(AJ$4:AJ875,"&gt;0")+U$1015,0),0)</f>
        <v>0</v>
      </c>
      <c r="AK876" s="203">
        <f>IF(AND(OR((AK875+1)&lt;AL$1015,(AK875+1)=AL$1015),MAX(AK$4:AK875)&lt;AL$1015),AK875+1,0)</f>
        <v>0</v>
      </c>
      <c r="AL876" s="309">
        <f>VLOOKUP($AK876,ENTI!$AF$4:AG$1003,2,FALSE)</f>
        <v>0</v>
      </c>
      <c r="AM876" s="224">
        <f>VLOOKUP($AK876,ENTI!$AF$4:AH$1003,3,FALSE)</f>
        <v>0</v>
      </c>
      <c r="AN876" s="224">
        <f>VLOOKUP($AK876,ENTI!$AF$4:AI$1003,4,FALSE)</f>
        <v>0</v>
      </c>
      <c r="AO876" s="781">
        <f>VLOOKUP($AK876,ENTI!$AF$4:AJ$1003,5,FALSE)</f>
        <v>0</v>
      </c>
      <c r="AP876" s="315">
        <f>VLOOKUP($AK876,ENTI!$AF$4:AK$1003,6,FALSE)</f>
        <v>0</v>
      </c>
      <c r="AQ876" s="208">
        <f t="shared" si="168"/>
        <v>0</v>
      </c>
      <c r="AR876" s="152" t="e">
        <f t="shared" si="169"/>
        <v>#N/A</v>
      </c>
      <c r="AS876" s="1"/>
      <c r="AT876" s="88" t="str">
        <f t="shared" si="162"/>
        <v/>
      </c>
      <c r="AU876" s="1"/>
      <c r="AV876" s="175">
        <f>IF(AW876&gt;0,COUNTIF(AV$4:AV875,"&gt;0")+1,0)</f>
        <v>0</v>
      </c>
      <c r="AW876" s="164">
        <f t="shared" si="163"/>
        <v>0</v>
      </c>
      <c r="AX876" s="310">
        <f>IF($AW876=0,0,VLOOKUP(VLOOKUP($X876,$B$34:$T$38,19,FALSE),ENTI!$A$9:$B$13,2,FALSE))</f>
        <v>0</v>
      </c>
      <c r="AY876" s="310">
        <f t="shared" si="165"/>
        <v>0</v>
      </c>
      <c r="AZ876" s="316">
        <f t="shared" si="166"/>
        <v>0</v>
      </c>
      <c r="BA876" s="1"/>
      <c r="BB876" s="152">
        <f t="shared" si="167"/>
        <v>0</v>
      </c>
      <c r="BC876" s="152">
        <f ca="1">SUM(Z$4:Z876)+SUM(BB$4:BB876)+COSTI!S$6-COSTI!L$1076</f>
        <v>-31.760000000000218</v>
      </c>
      <c r="BD876" s="1"/>
    </row>
    <row r="877" spans="1:56" ht="16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435">
        <f>IF(AND(W877&gt;=$U$1,W877&lt;=$U$2),IF(X877='ESTRATTO CONTO'!$E$2,1+COUNTIF(U$4:U876,"&gt;0"),0),0)</f>
        <v>0</v>
      </c>
      <c r="V877" s="417">
        <f t="shared" si="164"/>
        <v>874</v>
      </c>
      <c r="W877" s="509"/>
      <c r="X877" s="321"/>
      <c r="Y877" s="321"/>
      <c r="Z877" s="508"/>
      <c r="AA877" s="356"/>
      <c r="AB877" s="306" t="str">
        <f t="shared" si="160"/>
        <v/>
      </c>
      <c r="AC877" s="637">
        <f t="shared" ca="1" si="159"/>
        <v>-2.1316282072803006E-13</v>
      </c>
      <c r="AD877" s="935">
        <f>IF(ISERROR(VLOOKUP(AD$2,X878:X$1003,1,FALSE)),IF(X877=AD$2,SUMIF(X$4:X877,AD$2,Z$4:Z877)+$E$9+SUM(AQ$4:AQ$1003)+SUMIF(COSTI!$X$1379:$X$1430,AD$2,COSTI!$Z$1379:$Z$1430),0),0)</f>
        <v>0</v>
      </c>
      <c r="AE877" s="26"/>
      <c r="AF877" s="856" t="e">
        <f>IF(ISERROR(VLOOKUP(AG$2,X878:X$1003,1,FALSE)),IF(X877=AG$2,SUMIF(X$4:X877,AG$2,Z$4:Z877)+VLOOKUP(AF$2,$B$1057:$F$1068,5,FALSE)+SUM(AR$4:AR$1003)+SUMIF(COSTI!$X$1379:$X$1430,AG$2,COSTI!$Z$1379:$Z$1430),0),0)</f>
        <v>#N/A</v>
      </c>
      <c r="AG877" s="859"/>
      <c r="AH877" s="27" t="str">
        <f t="shared" si="161"/>
        <v/>
      </c>
      <c r="AI877" s="152">
        <f ca="1">IF(W878&gt;0,0,IF(AH877=0,(Z877*-1)+BC877+SUM(BB$4:BB876),BC877+SUM(BB$4:BB876)))</f>
        <v>-2.1316282072803006E-13</v>
      </c>
      <c r="AJ877" s="931">
        <f>IF(AND(AL877&gt;=$U$1,AL877&lt;=$U$2),IF(AM877='ESTRATTO CONTO'!$E$2,1+COUNTIF(AJ$4:AJ876,"&gt;0")+U$1015,0),0)</f>
        <v>0</v>
      </c>
      <c r="AK877" s="203">
        <f>IF(AND(OR((AK876+1)&lt;AL$1015,(AK876+1)=AL$1015),MAX(AK$4:AK876)&lt;AL$1015),AK876+1,0)</f>
        <v>0</v>
      </c>
      <c r="AL877" s="309">
        <f>VLOOKUP($AK877,ENTI!$AF$4:AG$1003,2,FALSE)</f>
        <v>0</v>
      </c>
      <c r="AM877" s="224">
        <f>VLOOKUP($AK877,ENTI!$AF$4:AH$1003,3,FALSE)</f>
        <v>0</v>
      </c>
      <c r="AN877" s="224">
        <f>VLOOKUP($AK877,ENTI!$AF$4:AI$1003,4,FALSE)</f>
        <v>0</v>
      </c>
      <c r="AO877" s="781">
        <f>VLOOKUP($AK877,ENTI!$AF$4:AJ$1003,5,FALSE)</f>
        <v>0</v>
      </c>
      <c r="AP877" s="315">
        <f>VLOOKUP($AK877,ENTI!$AF$4:AK$1003,6,FALSE)</f>
        <v>0</v>
      </c>
      <c r="AQ877" s="208">
        <f t="shared" si="168"/>
        <v>0</v>
      </c>
      <c r="AR877" s="152" t="e">
        <f t="shared" si="169"/>
        <v>#N/A</v>
      </c>
      <c r="AS877" s="1"/>
      <c r="AT877" s="88" t="str">
        <f t="shared" si="162"/>
        <v/>
      </c>
      <c r="AU877" s="1"/>
      <c r="AV877" s="175">
        <f>IF(AW877&gt;0,COUNTIF(AV$4:AV876,"&gt;0")+1,0)</f>
        <v>0</v>
      </c>
      <c r="AW877" s="164">
        <f t="shared" si="163"/>
        <v>0</v>
      </c>
      <c r="AX877" s="310">
        <f>IF($AW877=0,0,VLOOKUP(VLOOKUP($X877,$B$34:$T$38,19,FALSE),ENTI!$A$9:$B$13,2,FALSE))</f>
        <v>0</v>
      </c>
      <c r="AY877" s="310">
        <f t="shared" si="165"/>
        <v>0</v>
      </c>
      <c r="AZ877" s="316">
        <f t="shared" si="166"/>
        <v>0</v>
      </c>
      <c r="BA877" s="1"/>
      <c r="BB877" s="152">
        <f t="shared" si="167"/>
        <v>0</v>
      </c>
      <c r="BC877" s="152">
        <f ca="1">SUM(Z$4:Z877)+SUM(BB$4:BB877)+COSTI!S$6-COSTI!L$1076</f>
        <v>-31.760000000000218</v>
      </c>
      <c r="BD877" s="1"/>
    </row>
    <row r="878" spans="1:56" ht="16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435">
        <f>IF(AND(W878&gt;=$U$1,W878&lt;=$U$2),IF(X878='ESTRATTO CONTO'!$E$2,1+COUNTIF(U$4:U877,"&gt;0"),0),0)</f>
        <v>0</v>
      </c>
      <c r="V878" s="417">
        <f t="shared" si="164"/>
        <v>875</v>
      </c>
      <c r="W878" s="509"/>
      <c r="X878" s="321"/>
      <c r="Y878" s="321"/>
      <c r="Z878" s="508"/>
      <c r="AA878" s="356"/>
      <c r="AB878" s="306" t="str">
        <f t="shared" si="160"/>
        <v/>
      </c>
      <c r="AC878" s="637">
        <f t="shared" ca="1" si="159"/>
        <v>-2.1316282072803006E-13</v>
      </c>
      <c r="AD878" s="935">
        <f>IF(ISERROR(VLOOKUP(AD$2,X879:X$1003,1,FALSE)),IF(X878=AD$2,SUMIF(X$4:X878,AD$2,Z$4:Z878)+$E$9+SUM(AQ$4:AQ$1003)+SUMIF(COSTI!$X$1379:$X$1430,AD$2,COSTI!$Z$1379:$Z$1430),0),0)</f>
        <v>0</v>
      </c>
      <c r="AE878" s="26"/>
      <c r="AF878" s="856" t="e">
        <f>IF(ISERROR(VLOOKUP(AG$2,X879:X$1003,1,FALSE)),IF(X878=AG$2,SUMIF(X$4:X878,AG$2,Z$4:Z878)+VLOOKUP(AF$2,$B$1057:$F$1068,5,FALSE)+SUM(AR$4:AR$1003)+SUMIF(COSTI!$X$1379:$X$1430,AG$2,COSTI!$Z$1379:$Z$1430),0),0)</f>
        <v>#N/A</v>
      </c>
      <c r="AG878" s="859"/>
      <c r="AH878" s="27" t="str">
        <f t="shared" si="161"/>
        <v/>
      </c>
      <c r="AI878" s="152">
        <f ca="1">IF(W879&gt;0,0,IF(AH878=0,(Z878*-1)+BC878+SUM(BB$4:BB877),BC878+SUM(BB$4:BB877)))</f>
        <v>-2.1316282072803006E-13</v>
      </c>
      <c r="AJ878" s="931">
        <f>IF(AND(AL878&gt;=$U$1,AL878&lt;=$U$2),IF(AM878='ESTRATTO CONTO'!$E$2,1+COUNTIF(AJ$4:AJ877,"&gt;0")+U$1015,0),0)</f>
        <v>0</v>
      </c>
      <c r="AK878" s="203">
        <f>IF(AND(OR((AK877+1)&lt;AL$1015,(AK877+1)=AL$1015),MAX(AK$4:AK877)&lt;AL$1015),AK877+1,0)</f>
        <v>0</v>
      </c>
      <c r="AL878" s="309">
        <f>VLOOKUP($AK878,ENTI!$AF$4:AG$1003,2,FALSE)</f>
        <v>0</v>
      </c>
      <c r="AM878" s="224">
        <f>VLOOKUP($AK878,ENTI!$AF$4:AH$1003,3,FALSE)</f>
        <v>0</v>
      </c>
      <c r="AN878" s="224">
        <f>VLOOKUP($AK878,ENTI!$AF$4:AI$1003,4,FALSE)</f>
        <v>0</v>
      </c>
      <c r="AO878" s="781">
        <f>VLOOKUP($AK878,ENTI!$AF$4:AJ$1003,5,FALSE)</f>
        <v>0</v>
      </c>
      <c r="AP878" s="315">
        <f>VLOOKUP($AK878,ENTI!$AF$4:AK$1003,6,FALSE)</f>
        <v>0</v>
      </c>
      <c r="AQ878" s="208">
        <f t="shared" si="168"/>
        <v>0</v>
      </c>
      <c r="AR878" s="152" t="e">
        <f t="shared" si="169"/>
        <v>#N/A</v>
      </c>
      <c r="AS878" s="1"/>
      <c r="AT878" s="88" t="str">
        <f t="shared" si="162"/>
        <v/>
      </c>
      <c r="AU878" s="1"/>
      <c r="AV878" s="175">
        <f>IF(AW878&gt;0,COUNTIF(AV$4:AV877,"&gt;0")+1,0)</f>
        <v>0</v>
      </c>
      <c r="AW878" s="164">
        <f t="shared" si="163"/>
        <v>0</v>
      </c>
      <c r="AX878" s="310">
        <f>IF($AW878=0,0,VLOOKUP(VLOOKUP($X878,$B$34:$T$38,19,FALSE),ENTI!$A$9:$B$13,2,FALSE))</f>
        <v>0</v>
      </c>
      <c r="AY878" s="310">
        <f t="shared" si="165"/>
        <v>0</v>
      </c>
      <c r="AZ878" s="316">
        <f t="shared" si="166"/>
        <v>0</v>
      </c>
      <c r="BA878" s="1"/>
      <c r="BB878" s="152">
        <f t="shared" si="167"/>
        <v>0</v>
      </c>
      <c r="BC878" s="152">
        <f ca="1">SUM(Z$4:Z878)+SUM(BB$4:BB878)+COSTI!S$6-COSTI!L$1076</f>
        <v>-31.760000000000218</v>
      </c>
      <c r="BD878" s="1"/>
    </row>
    <row r="879" spans="1:56" ht="16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435">
        <f>IF(AND(W879&gt;=$U$1,W879&lt;=$U$2),IF(X879='ESTRATTO CONTO'!$E$2,1+COUNTIF(U$4:U878,"&gt;0"),0),0)</f>
        <v>0</v>
      </c>
      <c r="V879" s="417">
        <f t="shared" si="164"/>
        <v>876</v>
      </c>
      <c r="W879" s="509"/>
      <c r="X879" s="321"/>
      <c r="Y879" s="321"/>
      <c r="Z879" s="508"/>
      <c r="AA879" s="356"/>
      <c r="AB879" s="306" t="str">
        <f t="shared" si="160"/>
        <v/>
      </c>
      <c r="AC879" s="637">
        <f t="shared" ca="1" si="159"/>
        <v>-2.1316282072803006E-13</v>
      </c>
      <c r="AD879" s="935">
        <f>IF(ISERROR(VLOOKUP(AD$2,X880:X$1003,1,FALSE)),IF(X879=AD$2,SUMIF(X$4:X879,AD$2,Z$4:Z879)+$E$9+SUM(AQ$4:AQ$1003)+SUMIF(COSTI!$X$1379:$X$1430,AD$2,COSTI!$Z$1379:$Z$1430),0),0)</f>
        <v>0</v>
      </c>
      <c r="AE879" s="26"/>
      <c r="AF879" s="856" t="e">
        <f>IF(ISERROR(VLOOKUP(AG$2,X880:X$1003,1,FALSE)),IF(X879=AG$2,SUMIF(X$4:X879,AG$2,Z$4:Z879)+VLOOKUP(AF$2,$B$1057:$F$1068,5,FALSE)+SUM(AR$4:AR$1003)+SUMIF(COSTI!$X$1379:$X$1430,AG$2,COSTI!$Z$1379:$Z$1430),0),0)</f>
        <v>#N/A</v>
      </c>
      <c r="AG879" s="859"/>
      <c r="AH879" s="27" t="str">
        <f t="shared" si="161"/>
        <v/>
      </c>
      <c r="AI879" s="152">
        <f ca="1">IF(W880&gt;0,0,IF(AH879=0,(Z879*-1)+BC879+SUM(BB$4:BB878),BC879+SUM(BB$4:BB878)))</f>
        <v>-2.1316282072803006E-13</v>
      </c>
      <c r="AJ879" s="931">
        <f>IF(AND(AL879&gt;=$U$1,AL879&lt;=$U$2),IF(AM879='ESTRATTO CONTO'!$E$2,1+COUNTIF(AJ$4:AJ878,"&gt;0")+U$1015,0),0)</f>
        <v>0</v>
      </c>
      <c r="AK879" s="203">
        <f>IF(AND(OR((AK878+1)&lt;AL$1015,(AK878+1)=AL$1015),MAX(AK$4:AK878)&lt;AL$1015),AK878+1,0)</f>
        <v>0</v>
      </c>
      <c r="AL879" s="309">
        <f>VLOOKUP($AK879,ENTI!$AF$4:AG$1003,2,FALSE)</f>
        <v>0</v>
      </c>
      <c r="AM879" s="224">
        <f>VLOOKUP($AK879,ENTI!$AF$4:AH$1003,3,FALSE)</f>
        <v>0</v>
      </c>
      <c r="AN879" s="224">
        <f>VLOOKUP($AK879,ENTI!$AF$4:AI$1003,4,FALSE)</f>
        <v>0</v>
      </c>
      <c r="AO879" s="781">
        <f>VLOOKUP($AK879,ENTI!$AF$4:AJ$1003,5,FALSE)</f>
        <v>0</v>
      </c>
      <c r="AP879" s="315">
        <f>VLOOKUP($AK879,ENTI!$AF$4:AK$1003,6,FALSE)</f>
        <v>0</v>
      </c>
      <c r="AQ879" s="208">
        <f t="shared" si="168"/>
        <v>0</v>
      </c>
      <c r="AR879" s="152" t="e">
        <f t="shared" si="169"/>
        <v>#N/A</v>
      </c>
      <c r="AS879" s="1"/>
      <c r="AT879" s="88" t="str">
        <f t="shared" si="162"/>
        <v/>
      </c>
      <c r="AU879" s="1"/>
      <c r="AV879" s="175">
        <f>IF(AW879&gt;0,COUNTIF(AV$4:AV878,"&gt;0")+1,0)</f>
        <v>0</v>
      </c>
      <c r="AW879" s="164">
        <f t="shared" si="163"/>
        <v>0</v>
      </c>
      <c r="AX879" s="310">
        <f>IF($AW879=0,0,VLOOKUP(VLOOKUP($X879,$B$34:$T$38,19,FALSE),ENTI!$A$9:$B$13,2,FALSE))</f>
        <v>0</v>
      </c>
      <c r="AY879" s="310">
        <f t="shared" si="165"/>
        <v>0</v>
      </c>
      <c r="AZ879" s="316">
        <f t="shared" si="166"/>
        <v>0</v>
      </c>
      <c r="BA879" s="1"/>
      <c r="BB879" s="152">
        <f t="shared" si="167"/>
        <v>0</v>
      </c>
      <c r="BC879" s="152">
        <f ca="1">SUM(Z$4:Z879)+SUM(BB$4:BB879)+COSTI!S$6-COSTI!L$1076</f>
        <v>-31.760000000000218</v>
      </c>
      <c r="BD879" s="1"/>
    </row>
    <row r="880" spans="1:56" ht="16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435">
        <f>IF(AND(W880&gt;=$U$1,W880&lt;=$U$2),IF(X880='ESTRATTO CONTO'!$E$2,1+COUNTIF(U$4:U879,"&gt;0"),0),0)</f>
        <v>0</v>
      </c>
      <c r="V880" s="417">
        <f t="shared" si="164"/>
        <v>877</v>
      </c>
      <c r="W880" s="509"/>
      <c r="X880" s="321"/>
      <c r="Y880" s="321"/>
      <c r="Z880" s="508"/>
      <c r="AA880" s="356"/>
      <c r="AB880" s="306" t="str">
        <f t="shared" si="160"/>
        <v/>
      </c>
      <c r="AC880" s="637">
        <f t="shared" ca="1" si="159"/>
        <v>-2.1316282072803006E-13</v>
      </c>
      <c r="AD880" s="935">
        <f>IF(ISERROR(VLOOKUP(AD$2,X881:X$1003,1,FALSE)),IF(X880=AD$2,SUMIF(X$4:X880,AD$2,Z$4:Z880)+$E$9+SUM(AQ$4:AQ$1003)+SUMIF(COSTI!$X$1379:$X$1430,AD$2,COSTI!$Z$1379:$Z$1430),0),0)</f>
        <v>0</v>
      </c>
      <c r="AE880" s="26"/>
      <c r="AF880" s="856" t="e">
        <f>IF(ISERROR(VLOOKUP(AG$2,X881:X$1003,1,FALSE)),IF(X880=AG$2,SUMIF(X$4:X880,AG$2,Z$4:Z880)+VLOOKUP(AF$2,$B$1057:$F$1068,5,FALSE)+SUM(AR$4:AR$1003)+SUMIF(COSTI!$X$1379:$X$1430,AG$2,COSTI!$Z$1379:$Z$1430),0),0)</f>
        <v>#N/A</v>
      </c>
      <c r="AG880" s="859"/>
      <c r="AH880" s="27" t="str">
        <f t="shared" si="161"/>
        <v/>
      </c>
      <c r="AI880" s="152">
        <f ca="1">IF(W881&gt;0,0,IF(AH880=0,(Z880*-1)+BC880+SUM(BB$4:BB879),BC880+SUM(BB$4:BB879)))</f>
        <v>-2.1316282072803006E-13</v>
      </c>
      <c r="AJ880" s="931">
        <f>IF(AND(AL880&gt;=$U$1,AL880&lt;=$U$2),IF(AM880='ESTRATTO CONTO'!$E$2,1+COUNTIF(AJ$4:AJ879,"&gt;0")+U$1015,0),0)</f>
        <v>0</v>
      </c>
      <c r="AK880" s="203">
        <f>IF(AND(OR((AK879+1)&lt;AL$1015,(AK879+1)=AL$1015),MAX(AK$4:AK879)&lt;AL$1015),AK879+1,0)</f>
        <v>0</v>
      </c>
      <c r="AL880" s="309">
        <f>VLOOKUP($AK880,ENTI!$AF$4:AG$1003,2,FALSE)</f>
        <v>0</v>
      </c>
      <c r="AM880" s="224">
        <f>VLOOKUP($AK880,ENTI!$AF$4:AH$1003,3,FALSE)</f>
        <v>0</v>
      </c>
      <c r="AN880" s="224">
        <f>VLOOKUP($AK880,ENTI!$AF$4:AI$1003,4,FALSE)</f>
        <v>0</v>
      </c>
      <c r="AO880" s="781">
        <f>VLOOKUP($AK880,ENTI!$AF$4:AJ$1003,5,FALSE)</f>
        <v>0</v>
      </c>
      <c r="AP880" s="315">
        <f>VLOOKUP($AK880,ENTI!$AF$4:AK$1003,6,FALSE)</f>
        <v>0</v>
      </c>
      <c r="AQ880" s="208">
        <f t="shared" si="168"/>
        <v>0</v>
      </c>
      <c r="AR880" s="152" t="e">
        <f t="shared" si="169"/>
        <v>#N/A</v>
      </c>
      <c r="AS880" s="1"/>
      <c r="AT880" s="88" t="str">
        <f t="shared" si="162"/>
        <v/>
      </c>
      <c r="AU880" s="1"/>
      <c r="AV880" s="175">
        <f>IF(AW880&gt;0,COUNTIF(AV$4:AV879,"&gt;0")+1,0)</f>
        <v>0</v>
      </c>
      <c r="AW880" s="164">
        <f t="shared" si="163"/>
        <v>0</v>
      </c>
      <c r="AX880" s="310">
        <f>IF($AW880=0,0,VLOOKUP(VLOOKUP($X880,$B$34:$T$38,19,FALSE),ENTI!$A$9:$B$13,2,FALSE))</f>
        <v>0</v>
      </c>
      <c r="AY880" s="310">
        <f t="shared" si="165"/>
        <v>0</v>
      </c>
      <c r="AZ880" s="316">
        <f t="shared" si="166"/>
        <v>0</v>
      </c>
      <c r="BA880" s="1"/>
      <c r="BB880" s="152">
        <f t="shared" si="167"/>
        <v>0</v>
      </c>
      <c r="BC880" s="152">
        <f ca="1">SUM(Z$4:Z880)+SUM(BB$4:BB880)+COSTI!S$6-COSTI!L$1076</f>
        <v>-31.760000000000218</v>
      </c>
      <c r="BD880" s="1"/>
    </row>
    <row r="881" spans="1:56" ht="16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435">
        <f>IF(AND(W881&gt;=$U$1,W881&lt;=$U$2),IF(X881='ESTRATTO CONTO'!$E$2,1+COUNTIF(U$4:U880,"&gt;0"),0),0)</f>
        <v>0</v>
      </c>
      <c r="V881" s="417">
        <f t="shared" si="164"/>
        <v>878</v>
      </c>
      <c r="W881" s="509"/>
      <c r="X881" s="321"/>
      <c r="Y881" s="321"/>
      <c r="Z881" s="508"/>
      <c r="AA881" s="356"/>
      <c r="AB881" s="306" t="str">
        <f t="shared" si="160"/>
        <v/>
      </c>
      <c r="AC881" s="637">
        <f t="shared" ca="1" si="159"/>
        <v>-2.1316282072803006E-13</v>
      </c>
      <c r="AD881" s="935">
        <f>IF(ISERROR(VLOOKUP(AD$2,X882:X$1003,1,FALSE)),IF(X881=AD$2,SUMIF(X$4:X881,AD$2,Z$4:Z881)+$E$9+SUM(AQ$4:AQ$1003)+SUMIF(COSTI!$X$1379:$X$1430,AD$2,COSTI!$Z$1379:$Z$1430),0),0)</f>
        <v>0</v>
      </c>
      <c r="AE881" s="26"/>
      <c r="AF881" s="856" t="e">
        <f>IF(ISERROR(VLOOKUP(AG$2,X882:X$1003,1,FALSE)),IF(X881=AG$2,SUMIF(X$4:X881,AG$2,Z$4:Z881)+VLOOKUP(AF$2,$B$1057:$F$1068,5,FALSE)+SUM(AR$4:AR$1003)+SUMIF(COSTI!$X$1379:$X$1430,AG$2,COSTI!$Z$1379:$Z$1430),0),0)</f>
        <v>#N/A</v>
      </c>
      <c r="AG881" s="859"/>
      <c r="AH881" s="27" t="str">
        <f t="shared" si="161"/>
        <v/>
      </c>
      <c r="AI881" s="152">
        <f ca="1">IF(W882&gt;0,0,IF(AH881=0,(Z881*-1)+BC881+SUM(BB$4:BB880),BC881+SUM(BB$4:BB880)))</f>
        <v>-2.1316282072803006E-13</v>
      </c>
      <c r="AJ881" s="931">
        <f>IF(AND(AL881&gt;=$U$1,AL881&lt;=$U$2),IF(AM881='ESTRATTO CONTO'!$E$2,1+COUNTIF(AJ$4:AJ880,"&gt;0")+U$1015,0),0)</f>
        <v>0</v>
      </c>
      <c r="AK881" s="203">
        <f>IF(AND(OR((AK880+1)&lt;AL$1015,(AK880+1)=AL$1015),MAX(AK$4:AK880)&lt;AL$1015),AK880+1,0)</f>
        <v>0</v>
      </c>
      <c r="AL881" s="309">
        <f>VLOOKUP($AK881,ENTI!$AF$4:AG$1003,2,FALSE)</f>
        <v>0</v>
      </c>
      <c r="AM881" s="224">
        <f>VLOOKUP($AK881,ENTI!$AF$4:AH$1003,3,FALSE)</f>
        <v>0</v>
      </c>
      <c r="AN881" s="224">
        <f>VLOOKUP($AK881,ENTI!$AF$4:AI$1003,4,FALSE)</f>
        <v>0</v>
      </c>
      <c r="AO881" s="781">
        <f>VLOOKUP($AK881,ENTI!$AF$4:AJ$1003,5,FALSE)</f>
        <v>0</v>
      </c>
      <c r="AP881" s="315">
        <f>VLOOKUP($AK881,ENTI!$AF$4:AK$1003,6,FALSE)</f>
        <v>0</v>
      </c>
      <c r="AQ881" s="208">
        <f t="shared" si="168"/>
        <v>0</v>
      </c>
      <c r="AR881" s="152" t="e">
        <f t="shared" si="169"/>
        <v>#N/A</v>
      </c>
      <c r="AS881" s="1"/>
      <c r="AT881" s="88" t="str">
        <f t="shared" si="162"/>
        <v/>
      </c>
      <c r="AU881" s="1"/>
      <c r="AV881" s="175">
        <f>IF(AW881&gt;0,COUNTIF(AV$4:AV880,"&gt;0")+1,0)</f>
        <v>0</v>
      </c>
      <c r="AW881" s="164">
        <f t="shared" si="163"/>
        <v>0</v>
      </c>
      <c r="AX881" s="310">
        <f>IF($AW881=0,0,VLOOKUP(VLOOKUP($X881,$B$34:$T$38,19,FALSE),ENTI!$A$9:$B$13,2,FALSE))</f>
        <v>0</v>
      </c>
      <c r="AY881" s="310">
        <f t="shared" si="165"/>
        <v>0</v>
      </c>
      <c r="AZ881" s="316">
        <f t="shared" si="166"/>
        <v>0</v>
      </c>
      <c r="BA881" s="1"/>
      <c r="BB881" s="152">
        <f t="shared" si="167"/>
        <v>0</v>
      </c>
      <c r="BC881" s="152">
        <f ca="1">SUM(Z$4:Z881)+SUM(BB$4:BB881)+COSTI!S$6-COSTI!L$1076</f>
        <v>-31.760000000000218</v>
      </c>
      <c r="BD881" s="1"/>
    </row>
    <row r="882" spans="1:56" ht="16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435">
        <f>IF(AND(W882&gt;=$U$1,W882&lt;=$U$2),IF(X882='ESTRATTO CONTO'!$E$2,1+COUNTIF(U$4:U881,"&gt;0"),0),0)</f>
        <v>0</v>
      </c>
      <c r="V882" s="417">
        <f t="shared" si="164"/>
        <v>879</v>
      </c>
      <c r="W882" s="509"/>
      <c r="X882" s="321"/>
      <c r="Y882" s="321"/>
      <c r="Z882" s="508"/>
      <c r="AA882" s="356"/>
      <c r="AB882" s="306" t="str">
        <f t="shared" si="160"/>
        <v/>
      </c>
      <c r="AC882" s="637">
        <f t="shared" ca="1" si="159"/>
        <v>-2.1316282072803006E-13</v>
      </c>
      <c r="AD882" s="935">
        <f>IF(ISERROR(VLOOKUP(AD$2,X883:X$1003,1,FALSE)),IF(X882=AD$2,SUMIF(X$4:X882,AD$2,Z$4:Z882)+$E$9+SUM(AQ$4:AQ$1003)+SUMIF(COSTI!$X$1379:$X$1430,AD$2,COSTI!$Z$1379:$Z$1430),0),0)</f>
        <v>0</v>
      </c>
      <c r="AE882" s="26"/>
      <c r="AF882" s="856" t="e">
        <f>IF(ISERROR(VLOOKUP(AG$2,X883:X$1003,1,FALSE)),IF(X882=AG$2,SUMIF(X$4:X882,AG$2,Z$4:Z882)+VLOOKUP(AF$2,$B$1057:$F$1068,5,FALSE)+SUM(AR$4:AR$1003)+SUMIF(COSTI!$X$1379:$X$1430,AG$2,COSTI!$Z$1379:$Z$1430),0),0)</f>
        <v>#N/A</v>
      </c>
      <c r="AG882" s="859"/>
      <c r="AH882" s="27" t="str">
        <f t="shared" si="161"/>
        <v/>
      </c>
      <c r="AI882" s="152">
        <f ca="1">IF(W883&gt;0,0,IF(AH882=0,(Z882*-1)+BC882+SUM(BB$4:BB881),BC882+SUM(BB$4:BB881)))</f>
        <v>-2.1316282072803006E-13</v>
      </c>
      <c r="AJ882" s="931">
        <f>IF(AND(AL882&gt;=$U$1,AL882&lt;=$U$2),IF(AM882='ESTRATTO CONTO'!$E$2,1+COUNTIF(AJ$4:AJ881,"&gt;0")+U$1015,0),0)</f>
        <v>0</v>
      </c>
      <c r="AK882" s="203">
        <f>IF(AND(OR((AK881+1)&lt;AL$1015,(AK881+1)=AL$1015),MAX(AK$4:AK881)&lt;AL$1015),AK881+1,0)</f>
        <v>0</v>
      </c>
      <c r="AL882" s="309">
        <f>VLOOKUP($AK882,ENTI!$AF$4:AG$1003,2,FALSE)</f>
        <v>0</v>
      </c>
      <c r="AM882" s="224">
        <f>VLOOKUP($AK882,ENTI!$AF$4:AH$1003,3,FALSE)</f>
        <v>0</v>
      </c>
      <c r="AN882" s="224">
        <f>VLOOKUP($AK882,ENTI!$AF$4:AI$1003,4,FALSE)</f>
        <v>0</v>
      </c>
      <c r="AO882" s="781">
        <f>VLOOKUP($AK882,ENTI!$AF$4:AJ$1003,5,FALSE)</f>
        <v>0</v>
      </c>
      <c r="AP882" s="315">
        <f>VLOOKUP($AK882,ENTI!$AF$4:AK$1003,6,FALSE)</f>
        <v>0</v>
      </c>
      <c r="AQ882" s="208">
        <f t="shared" si="168"/>
        <v>0</v>
      </c>
      <c r="AR882" s="152" t="e">
        <f t="shared" si="169"/>
        <v>#N/A</v>
      </c>
      <c r="AS882" s="1"/>
      <c r="AT882" s="88" t="str">
        <f t="shared" si="162"/>
        <v/>
      </c>
      <c r="AU882" s="1"/>
      <c r="AV882" s="175">
        <f>IF(AW882&gt;0,COUNTIF(AV$4:AV881,"&gt;0")+1,0)</f>
        <v>0</v>
      </c>
      <c r="AW882" s="164">
        <f t="shared" si="163"/>
        <v>0</v>
      </c>
      <c r="AX882" s="310">
        <f>IF($AW882=0,0,VLOOKUP(VLOOKUP($X882,$B$34:$T$38,19,FALSE),ENTI!$A$9:$B$13,2,FALSE))</f>
        <v>0</v>
      </c>
      <c r="AY882" s="310">
        <f t="shared" si="165"/>
        <v>0</v>
      </c>
      <c r="AZ882" s="316">
        <f t="shared" si="166"/>
        <v>0</v>
      </c>
      <c r="BA882" s="1"/>
      <c r="BB882" s="152">
        <f t="shared" si="167"/>
        <v>0</v>
      </c>
      <c r="BC882" s="152">
        <f ca="1">SUM(Z$4:Z882)+SUM(BB$4:BB882)+COSTI!S$6-COSTI!L$1076</f>
        <v>-31.760000000000218</v>
      </c>
      <c r="BD882" s="1"/>
    </row>
    <row r="883" spans="1:56" ht="16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435">
        <f>IF(AND(W883&gt;=$U$1,W883&lt;=$U$2),IF(X883='ESTRATTO CONTO'!$E$2,1+COUNTIF(U$4:U882,"&gt;0"),0),0)</f>
        <v>0</v>
      </c>
      <c r="V883" s="417">
        <f t="shared" si="164"/>
        <v>880</v>
      </c>
      <c r="W883" s="509"/>
      <c r="X883" s="321"/>
      <c r="Y883" s="321"/>
      <c r="Z883" s="508"/>
      <c r="AA883" s="356"/>
      <c r="AB883" s="306" t="str">
        <f t="shared" si="160"/>
        <v/>
      </c>
      <c r="AC883" s="637">
        <f t="shared" ca="1" si="159"/>
        <v>-2.1316282072803006E-13</v>
      </c>
      <c r="AD883" s="935">
        <f>IF(ISERROR(VLOOKUP(AD$2,X884:X$1003,1,FALSE)),IF(X883=AD$2,SUMIF(X$4:X883,AD$2,Z$4:Z883)+$E$9+SUM(AQ$4:AQ$1003)+SUMIF(COSTI!$X$1379:$X$1430,AD$2,COSTI!$Z$1379:$Z$1430),0),0)</f>
        <v>0</v>
      </c>
      <c r="AE883" s="26"/>
      <c r="AF883" s="856" t="e">
        <f>IF(ISERROR(VLOOKUP(AG$2,X884:X$1003,1,FALSE)),IF(X883=AG$2,SUMIF(X$4:X883,AG$2,Z$4:Z883)+VLOOKUP(AF$2,$B$1057:$F$1068,5,FALSE)+SUM(AR$4:AR$1003)+SUMIF(COSTI!$X$1379:$X$1430,AG$2,COSTI!$Z$1379:$Z$1430),0),0)</f>
        <v>#N/A</v>
      </c>
      <c r="AG883" s="859"/>
      <c r="AH883" s="27" t="str">
        <f t="shared" si="161"/>
        <v/>
      </c>
      <c r="AI883" s="152">
        <f ca="1">IF(W884&gt;0,0,IF(AH883=0,(Z883*-1)+BC883+SUM(BB$4:BB882),BC883+SUM(BB$4:BB882)))</f>
        <v>-2.1316282072803006E-13</v>
      </c>
      <c r="AJ883" s="931">
        <f>IF(AND(AL883&gt;=$U$1,AL883&lt;=$U$2),IF(AM883='ESTRATTO CONTO'!$E$2,1+COUNTIF(AJ$4:AJ882,"&gt;0")+U$1015,0),0)</f>
        <v>0</v>
      </c>
      <c r="AK883" s="203">
        <f>IF(AND(OR((AK882+1)&lt;AL$1015,(AK882+1)=AL$1015),MAX(AK$4:AK882)&lt;AL$1015),AK882+1,0)</f>
        <v>0</v>
      </c>
      <c r="AL883" s="309">
        <f>VLOOKUP($AK883,ENTI!$AF$4:AG$1003,2,FALSE)</f>
        <v>0</v>
      </c>
      <c r="AM883" s="224">
        <f>VLOOKUP($AK883,ENTI!$AF$4:AH$1003,3,FALSE)</f>
        <v>0</v>
      </c>
      <c r="AN883" s="224">
        <f>VLOOKUP($AK883,ENTI!$AF$4:AI$1003,4,FALSE)</f>
        <v>0</v>
      </c>
      <c r="AO883" s="781">
        <f>VLOOKUP($AK883,ENTI!$AF$4:AJ$1003,5,FALSE)</f>
        <v>0</v>
      </c>
      <c r="AP883" s="315">
        <f>VLOOKUP($AK883,ENTI!$AF$4:AK$1003,6,FALSE)</f>
        <v>0</v>
      </c>
      <c r="AQ883" s="208">
        <f t="shared" si="168"/>
        <v>0</v>
      </c>
      <c r="AR883" s="152" t="e">
        <f t="shared" si="169"/>
        <v>#N/A</v>
      </c>
      <c r="AS883" s="1"/>
      <c r="AT883" s="88" t="str">
        <f t="shared" si="162"/>
        <v/>
      </c>
      <c r="AU883" s="1"/>
      <c r="AV883" s="175">
        <f>IF(AW883&gt;0,COUNTIF(AV$4:AV882,"&gt;0")+1,0)</f>
        <v>0</v>
      </c>
      <c r="AW883" s="164">
        <f t="shared" si="163"/>
        <v>0</v>
      </c>
      <c r="AX883" s="310">
        <f>IF($AW883=0,0,VLOOKUP(VLOOKUP($X883,$B$34:$T$38,19,FALSE),ENTI!$A$9:$B$13,2,FALSE))</f>
        <v>0</v>
      </c>
      <c r="AY883" s="310">
        <f t="shared" si="165"/>
        <v>0</v>
      </c>
      <c r="AZ883" s="316">
        <f t="shared" si="166"/>
        <v>0</v>
      </c>
      <c r="BA883" s="1"/>
      <c r="BB883" s="152">
        <f t="shared" si="167"/>
        <v>0</v>
      </c>
      <c r="BC883" s="152">
        <f ca="1">SUM(Z$4:Z883)+SUM(BB$4:BB883)+COSTI!S$6-COSTI!L$1076</f>
        <v>-31.760000000000218</v>
      </c>
      <c r="BD883" s="1"/>
    </row>
    <row r="884" spans="1:56" ht="16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435">
        <f>IF(AND(W884&gt;=$U$1,W884&lt;=$U$2),IF(X884='ESTRATTO CONTO'!$E$2,1+COUNTIF(U$4:U883,"&gt;0"),0),0)</f>
        <v>0</v>
      </c>
      <c r="V884" s="417">
        <f t="shared" si="164"/>
        <v>881</v>
      </c>
      <c r="W884" s="509"/>
      <c r="X884" s="321"/>
      <c r="Y884" s="321"/>
      <c r="Z884" s="508"/>
      <c r="AA884" s="356"/>
      <c r="AB884" s="306" t="str">
        <f t="shared" si="160"/>
        <v/>
      </c>
      <c r="AC884" s="637">
        <f t="shared" ca="1" si="159"/>
        <v>-2.1316282072803006E-13</v>
      </c>
      <c r="AD884" s="935">
        <f>IF(ISERROR(VLOOKUP(AD$2,X885:X$1003,1,FALSE)),IF(X884=AD$2,SUMIF(X$4:X884,AD$2,Z$4:Z884)+$E$9+SUM(AQ$4:AQ$1003)+SUMIF(COSTI!$X$1379:$X$1430,AD$2,COSTI!$Z$1379:$Z$1430),0),0)</f>
        <v>0</v>
      </c>
      <c r="AE884" s="26"/>
      <c r="AF884" s="856" t="e">
        <f>IF(ISERROR(VLOOKUP(AG$2,X885:X$1003,1,FALSE)),IF(X884=AG$2,SUMIF(X$4:X884,AG$2,Z$4:Z884)+VLOOKUP(AF$2,$B$1057:$F$1068,5,FALSE)+SUM(AR$4:AR$1003)+SUMIF(COSTI!$X$1379:$X$1430,AG$2,COSTI!$Z$1379:$Z$1430),0),0)</f>
        <v>#N/A</v>
      </c>
      <c r="AG884" s="859"/>
      <c r="AH884" s="27" t="str">
        <f t="shared" si="161"/>
        <v/>
      </c>
      <c r="AI884" s="152">
        <f ca="1">IF(W885&gt;0,0,IF(AH884=0,(Z884*-1)+BC884+SUM(BB$4:BB883),BC884+SUM(BB$4:BB883)))</f>
        <v>-2.1316282072803006E-13</v>
      </c>
      <c r="AJ884" s="931">
        <f>IF(AND(AL884&gt;=$U$1,AL884&lt;=$U$2),IF(AM884='ESTRATTO CONTO'!$E$2,1+COUNTIF(AJ$4:AJ883,"&gt;0")+U$1015,0),0)</f>
        <v>0</v>
      </c>
      <c r="AK884" s="203">
        <f>IF(AND(OR((AK883+1)&lt;AL$1015,(AK883+1)=AL$1015),MAX(AK$4:AK883)&lt;AL$1015),AK883+1,0)</f>
        <v>0</v>
      </c>
      <c r="AL884" s="309">
        <f>VLOOKUP($AK884,ENTI!$AF$4:AG$1003,2,FALSE)</f>
        <v>0</v>
      </c>
      <c r="AM884" s="224">
        <f>VLOOKUP($AK884,ENTI!$AF$4:AH$1003,3,FALSE)</f>
        <v>0</v>
      </c>
      <c r="AN884" s="224">
        <f>VLOOKUP($AK884,ENTI!$AF$4:AI$1003,4,FALSE)</f>
        <v>0</v>
      </c>
      <c r="AO884" s="781">
        <f>VLOOKUP($AK884,ENTI!$AF$4:AJ$1003,5,FALSE)</f>
        <v>0</v>
      </c>
      <c r="AP884" s="315">
        <f>VLOOKUP($AK884,ENTI!$AF$4:AK$1003,6,FALSE)</f>
        <v>0</v>
      </c>
      <c r="AQ884" s="208">
        <f t="shared" si="168"/>
        <v>0</v>
      </c>
      <c r="AR884" s="152" t="e">
        <f t="shared" si="169"/>
        <v>#N/A</v>
      </c>
      <c r="AS884" s="1"/>
      <c r="AT884" s="88" t="str">
        <f t="shared" si="162"/>
        <v/>
      </c>
      <c r="AU884" s="1"/>
      <c r="AV884" s="175">
        <f>IF(AW884&gt;0,COUNTIF(AV$4:AV883,"&gt;0")+1,0)</f>
        <v>0</v>
      </c>
      <c r="AW884" s="164">
        <f t="shared" si="163"/>
        <v>0</v>
      </c>
      <c r="AX884" s="310">
        <f>IF($AW884=0,0,VLOOKUP(VLOOKUP($X884,$B$34:$T$38,19,FALSE),ENTI!$A$9:$B$13,2,FALSE))</f>
        <v>0</v>
      </c>
      <c r="AY884" s="310">
        <f t="shared" si="165"/>
        <v>0</v>
      </c>
      <c r="AZ884" s="316">
        <f t="shared" si="166"/>
        <v>0</v>
      </c>
      <c r="BA884" s="1"/>
      <c r="BB884" s="152">
        <f t="shared" si="167"/>
        <v>0</v>
      </c>
      <c r="BC884" s="152">
        <f ca="1">SUM(Z$4:Z884)+SUM(BB$4:BB884)+COSTI!S$6-COSTI!L$1076</f>
        <v>-31.760000000000218</v>
      </c>
      <c r="BD884" s="1"/>
    </row>
    <row r="885" spans="1:56" ht="16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435">
        <f>IF(AND(W885&gt;=$U$1,W885&lt;=$U$2),IF(X885='ESTRATTO CONTO'!$E$2,1+COUNTIF(U$4:U884,"&gt;0"),0),0)</f>
        <v>0</v>
      </c>
      <c r="V885" s="417">
        <f t="shared" si="164"/>
        <v>882</v>
      </c>
      <c r="W885" s="509"/>
      <c r="X885" s="321"/>
      <c r="Y885" s="321"/>
      <c r="Z885" s="508"/>
      <c r="AA885" s="356"/>
      <c r="AB885" s="306" t="str">
        <f t="shared" si="160"/>
        <v/>
      </c>
      <c r="AC885" s="637">
        <f t="shared" ca="1" si="159"/>
        <v>-2.1316282072803006E-13</v>
      </c>
      <c r="AD885" s="935">
        <f>IF(ISERROR(VLOOKUP(AD$2,X886:X$1003,1,FALSE)),IF(X885=AD$2,SUMIF(X$4:X885,AD$2,Z$4:Z885)+$E$9+SUM(AQ$4:AQ$1003)+SUMIF(COSTI!$X$1379:$X$1430,AD$2,COSTI!$Z$1379:$Z$1430),0),0)</f>
        <v>0</v>
      </c>
      <c r="AE885" s="26"/>
      <c r="AF885" s="856" t="e">
        <f>IF(ISERROR(VLOOKUP(AG$2,X886:X$1003,1,FALSE)),IF(X885=AG$2,SUMIF(X$4:X885,AG$2,Z$4:Z885)+VLOOKUP(AF$2,$B$1057:$F$1068,5,FALSE)+SUM(AR$4:AR$1003)+SUMIF(COSTI!$X$1379:$X$1430,AG$2,COSTI!$Z$1379:$Z$1430),0),0)</f>
        <v>#N/A</v>
      </c>
      <c r="AG885" s="859"/>
      <c r="AH885" s="27" t="str">
        <f t="shared" si="161"/>
        <v/>
      </c>
      <c r="AI885" s="152">
        <f ca="1">IF(W886&gt;0,0,IF(AH885=0,(Z885*-1)+BC885+SUM(BB$4:BB884),BC885+SUM(BB$4:BB884)))</f>
        <v>-2.1316282072803006E-13</v>
      </c>
      <c r="AJ885" s="931">
        <f>IF(AND(AL885&gt;=$U$1,AL885&lt;=$U$2),IF(AM885='ESTRATTO CONTO'!$E$2,1+COUNTIF(AJ$4:AJ884,"&gt;0")+U$1015,0),0)</f>
        <v>0</v>
      </c>
      <c r="AK885" s="203">
        <f>IF(AND(OR((AK884+1)&lt;AL$1015,(AK884+1)=AL$1015),MAX(AK$4:AK884)&lt;AL$1015),AK884+1,0)</f>
        <v>0</v>
      </c>
      <c r="AL885" s="309">
        <f>VLOOKUP($AK885,ENTI!$AF$4:AG$1003,2,FALSE)</f>
        <v>0</v>
      </c>
      <c r="AM885" s="224">
        <f>VLOOKUP($AK885,ENTI!$AF$4:AH$1003,3,FALSE)</f>
        <v>0</v>
      </c>
      <c r="AN885" s="224">
        <f>VLOOKUP($AK885,ENTI!$AF$4:AI$1003,4,FALSE)</f>
        <v>0</v>
      </c>
      <c r="AO885" s="781">
        <f>VLOOKUP($AK885,ENTI!$AF$4:AJ$1003,5,FALSE)</f>
        <v>0</v>
      </c>
      <c r="AP885" s="315">
        <f>VLOOKUP($AK885,ENTI!$AF$4:AK$1003,6,FALSE)</f>
        <v>0</v>
      </c>
      <c r="AQ885" s="208">
        <f t="shared" si="168"/>
        <v>0</v>
      </c>
      <c r="AR885" s="152" t="e">
        <f t="shared" si="169"/>
        <v>#N/A</v>
      </c>
      <c r="AS885" s="1"/>
      <c r="AT885" s="88" t="str">
        <f t="shared" si="162"/>
        <v/>
      </c>
      <c r="AU885" s="1"/>
      <c r="AV885" s="175">
        <f>IF(AW885&gt;0,COUNTIF(AV$4:AV884,"&gt;0")+1,0)</f>
        <v>0</v>
      </c>
      <c r="AW885" s="164">
        <f t="shared" si="163"/>
        <v>0</v>
      </c>
      <c r="AX885" s="310">
        <f>IF($AW885=0,0,VLOOKUP(VLOOKUP($X885,$B$34:$T$38,19,FALSE),ENTI!$A$9:$B$13,2,FALSE))</f>
        <v>0</v>
      </c>
      <c r="AY885" s="310">
        <f t="shared" si="165"/>
        <v>0</v>
      </c>
      <c r="AZ885" s="316">
        <f t="shared" si="166"/>
        <v>0</v>
      </c>
      <c r="BA885" s="1"/>
      <c r="BB885" s="152">
        <f t="shared" si="167"/>
        <v>0</v>
      </c>
      <c r="BC885" s="152">
        <f ca="1">SUM(Z$4:Z885)+SUM(BB$4:BB885)+COSTI!S$6-COSTI!L$1076</f>
        <v>-31.760000000000218</v>
      </c>
      <c r="BD885" s="1"/>
    </row>
    <row r="886" spans="1:56" ht="16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435">
        <f>IF(AND(W886&gt;=$U$1,W886&lt;=$U$2),IF(X886='ESTRATTO CONTO'!$E$2,1+COUNTIF(U$4:U885,"&gt;0"),0),0)</f>
        <v>0</v>
      </c>
      <c r="V886" s="417">
        <f t="shared" si="164"/>
        <v>883</v>
      </c>
      <c r="W886" s="509"/>
      <c r="X886" s="321"/>
      <c r="Y886" s="321"/>
      <c r="Z886" s="508"/>
      <c r="AA886" s="356"/>
      <c r="AB886" s="306" t="str">
        <f t="shared" si="160"/>
        <v/>
      </c>
      <c r="AC886" s="637">
        <f t="shared" ca="1" si="159"/>
        <v>-2.1316282072803006E-13</v>
      </c>
      <c r="AD886" s="935">
        <f>IF(ISERROR(VLOOKUP(AD$2,X887:X$1003,1,FALSE)),IF(X886=AD$2,SUMIF(X$4:X886,AD$2,Z$4:Z886)+$E$9+SUM(AQ$4:AQ$1003)+SUMIF(COSTI!$X$1379:$X$1430,AD$2,COSTI!$Z$1379:$Z$1430),0),0)</f>
        <v>0</v>
      </c>
      <c r="AE886" s="26"/>
      <c r="AF886" s="856" t="e">
        <f>IF(ISERROR(VLOOKUP(AG$2,X887:X$1003,1,FALSE)),IF(X886=AG$2,SUMIF(X$4:X886,AG$2,Z$4:Z886)+VLOOKUP(AF$2,$B$1057:$F$1068,5,FALSE)+SUM(AR$4:AR$1003)+SUMIF(COSTI!$X$1379:$X$1430,AG$2,COSTI!$Z$1379:$Z$1430),0),0)</f>
        <v>#N/A</v>
      </c>
      <c r="AG886" s="859"/>
      <c r="AH886" s="27" t="str">
        <f t="shared" si="161"/>
        <v/>
      </c>
      <c r="AI886" s="152">
        <f ca="1">IF(W887&gt;0,0,IF(AH886=0,(Z886*-1)+BC886+SUM(BB$4:BB885),BC886+SUM(BB$4:BB885)))</f>
        <v>-2.1316282072803006E-13</v>
      </c>
      <c r="AJ886" s="931">
        <f>IF(AND(AL886&gt;=$U$1,AL886&lt;=$U$2),IF(AM886='ESTRATTO CONTO'!$E$2,1+COUNTIF(AJ$4:AJ885,"&gt;0")+U$1015,0),0)</f>
        <v>0</v>
      </c>
      <c r="AK886" s="203">
        <f>IF(AND(OR((AK885+1)&lt;AL$1015,(AK885+1)=AL$1015),MAX(AK$4:AK885)&lt;AL$1015),AK885+1,0)</f>
        <v>0</v>
      </c>
      <c r="AL886" s="309">
        <f>VLOOKUP($AK886,ENTI!$AF$4:AG$1003,2,FALSE)</f>
        <v>0</v>
      </c>
      <c r="AM886" s="224">
        <f>VLOOKUP($AK886,ENTI!$AF$4:AH$1003,3,FALSE)</f>
        <v>0</v>
      </c>
      <c r="AN886" s="224">
        <f>VLOOKUP($AK886,ENTI!$AF$4:AI$1003,4,FALSE)</f>
        <v>0</v>
      </c>
      <c r="AO886" s="781">
        <f>VLOOKUP($AK886,ENTI!$AF$4:AJ$1003,5,FALSE)</f>
        <v>0</v>
      </c>
      <c r="AP886" s="315">
        <f>VLOOKUP($AK886,ENTI!$AF$4:AK$1003,6,FALSE)</f>
        <v>0</v>
      </c>
      <c r="AQ886" s="208">
        <f t="shared" si="168"/>
        <v>0</v>
      </c>
      <c r="AR886" s="152" t="e">
        <f t="shared" si="169"/>
        <v>#N/A</v>
      </c>
      <c r="AS886" s="1"/>
      <c r="AT886" s="88" t="str">
        <f t="shared" si="162"/>
        <v/>
      </c>
      <c r="AU886" s="1"/>
      <c r="AV886" s="175">
        <f>IF(AW886&gt;0,COUNTIF(AV$4:AV885,"&gt;0")+1,0)</f>
        <v>0</v>
      </c>
      <c r="AW886" s="164">
        <f t="shared" si="163"/>
        <v>0</v>
      </c>
      <c r="AX886" s="310">
        <f>IF($AW886=0,0,VLOOKUP(VLOOKUP($X886,$B$34:$T$38,19,FALSE),ENTI!$A$9:$B$13,2,FALSE))</f>
        <v>0</v>
      </c>
      <c r="AY886" s="310">
        <f t="shared" si="165"/>
        <v>0</v>
      </c>
      <c r="AZ886" s="316">
        <f t="shared" si="166"/>
        <v>0</v>
      </c>
      <c r="BA886" s="1"/>
      <c r="BB886" s="152">
        <f t="shared" si="167"/>
        <v>0</v>
      </c>
      <c r="BC886" s="152">
        <f ca="1">SUM(Z$4:Z886)+SUM(BB$4:BB886)+COSTI!S$6-COSTI!L$1076</f>
        <v>-31.760000000000218</v>
      </c>
      <c r="BD886" s="1"/>
    </row>
    <row r="887" spans="1:56" ht="16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435">
        <f>IF(AND(W887&gt;=$U$1,W887&lt;=$U$2),IF(X887='ESTRATTO CONTO'!$E$2,1+COUNTIF(U$4:U886,"&gt;0"),0),0)</f>
        <v>0</v>
      </c>
      <c r="V887" s="417">
        <f t="shared" si="164"/>
        <v>884</v>
      </c>
      <c r="W887" s="509"/>
      <c r="X887" s="321"/>
      <c r="Y887" s="321"/>
      <c r="Z887" s="508"/>
      <c r="AA887" s="356"/>
      <c r="AB887" s="306" t="str">
        <f t="shared" si="160"/>
        <v/>
      </c>
      <c r="AC887" s="637">
        <f t="shared" ca="1" si="159"/>
        <v>-2.1316282072803006E-13</v>
      </c>
      <c r="AD887" s="935">
        <f>IF(ISERROR(VLOOKUP(AD$2,X888:X$1003,1,FALSE)),IF(X887=AD$2,SUMIF(X$4:X887,AD$2,Z$4:Z887)+$E$9+SUM(AQ$4:AQ$1003)+SUMIF(COSTI!$X$1379:$X$1430,AD$2,COSTI!$Z$1379:$Z$1430),0),0)</f>
        <v>0</v>
      </c>
      <c r="AE887" s="26"/>
      <c r="AF887" s="856" t="e">
        <f>IF(ISERROR(VLOOKUP(AG$2,X888:X$1003,1,FALSE)),IF(X887=AG$2,SUMIF(X$4:X887,AG$2,Z$4:Z887)+VLOOKUP(AF$2,$B$1057:$F$1068,5,FALSE)+SUM(AR$4:AR$1003)+SUMIF(COSTI!$X$1379:$X$1430,AG$2,COSTI!$Z$1379:$Z$1430),0),0)</f>
        <v>#N/A</v>
      </c>
      <c r="AG887" s="859"/>
      <c r="AH887" s="27" t="str">
        <f t="shared" si="161"/>
        <v/>
      </c>
      <c r="AI887" s="152">
        <f ca="1">IF(W888&gt;0,0,IF(AH887=0,(Z887*-1)+BC887+SUM(BB$4:BB886),BC887+SUM(BB$4:BB886)))</f>
        <v>-2.1316282072803006E-13</v>
      </c>
      <c r="AJ887" s="931">
        <f>IF(AND(AL887&gt;=$U$1,AL887&lt;=$U$2),IF(AM887='ESTRATTO CONTO'!$E$2,1+COUNTIF(AJ$4:AJ886,"&gt;0")+U$1015,0),0)</f>
        <v>0</v>
      </c>
      <c r="AK887" s="203">
        <f>IF(AND(OR((AK886+1)&lt;AL$1015,(AK886+1)=AL$1015),MAX(AK$4:AK886)&lt;AL$1015),AK886+1,0)</f>
        <v>0</v>
      </c>
      <c r="AL887" s="309">
        <f>VLOOKUP($AK887,ENTI!$AF$4:AG$1003,2,FALSE)</f>
        <v>0</v>
      </c>
      <c r="AM887" s="224">
        <f>VLOOKUP($AK887,ENTI!$AF$4:AH$1003,3,FALSE)</f>
        <v>0</v>
      </c>
      <c r="AN887" s="224">
        <f>VLOOKUP($AK887,ENTI!$AF$4:AI$1003,4,FALSE)</f>
        <v>0</v>
      </c>
      <c r="AO887" s="781">
        <f>VLOOKUP($AK887,ENTI!$AF$4:AJ$1003,5,FALSE)</f>
        <v>0</v>
      </c>
      <c r="AP887" s="315">
        <f>VLOOKUP($AK887,ENTI!$AF$4:AK$1003,6,FALSE)</f>
        <v>0</v>
      </c>
      <c r="AQ887" s="208">
        <f t="shared" si="168"/>
        <v>0</v>
      </c>
      <c r="AR887" s="152" t="e">
        <f t="shared" si="169"/>
        <v>#N/A</v>
      </c>
      <c r="AS887" s="1"/>
      <c r="AT887" s="88" t="str">
        <f t="shared" si="162"/>
        <v/>
      </c>
      <c r="AU887" s="1"/>
      <c r="AV887" s="175">
        <f>IF(AW887&gt;0,COUNTIF(AV$4:AV886,"&gt;0")+1,0)</f>
        <v>0</v>
      </c>
      <c r="AW887" s="164">
        <f t="shared" si="163"/>
        <v>0</v>
      </c>
      <c r="AX887" s="310">
        <f>IF($AW887=0,0,VLOOKUP(VLOOKUP($X887,$B$34:$T$38,19,FALSE),ENTI!$A$9:$B$13,2,FALSE))</f>
        <v>0</v>
      </c>
      <c r="AY887" s="310">
        <f t="shared" si="165"/>
        <v>0</v>
      </c>
      <c r="AZ887" s="316">
        <f t="shared" si="166"/>
        <v>0</v>
      </c>
      <c r="BA887" s="1"/>
      <c r="BB887" s="152">
        <f t="shared" si="167"/>
        <v>0</v>
      </c>
      <c r="BC887" s="152">
        <f ca="1">SUM(Z$4:Z887)+SUM(BB$4:BB887)+COSTI!S$6-COSTI!L$1076</f>
        <v>-31.760000000000218</v>
      </c>
      <c r="BD887" s="1"/>
    </row>
    <row r="888" spans="1:56" ht="16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435">
        <f>IF(AND(W888&gt;=$U$1,W888&lt;=$U$2),IF(X888='ESTRATTO CONTO'!$E$2,1+COUNTIF(U$4:U887,"&gt;0"),0),0)</f>
        <v>0</v>
      </c>
      <c r="V888" s="417">
        <f t="shared" si="164"/>
        <v>885</v>
      </c>
      <c r="W888" s="509"/>
      <c r="X888" s="321"/>
      <c r="Y888" s="321"/>
      <c r="Z888" s="508"/>
      <c r="AA888" s="356"/>
      <c r="AB888" s="306" t="str">
        <f t="shared" si="160"/>
        <v/>
      </c>
      <c r="AC888" s="637">
        <f t="shared" ca="1" si="159"/>
        <v>-2.1316282072803006E-13</v>
      </c>
      <c r="AD888" s="935">
        <f>IF(ISERROR(VLOOKUP(AD$2,X889:X$1003,1,FALSE)),IF(X888=AD$2,SUMIF(X$4:X888,AD$2,Z$4:Z888)+$E$9+SUM(AQ$4:AQ$1003)+SUMIF(COSTI!$X$1379:$X$1430,AD$2,COSTI!$Z$1379:$Z$1430),0),0)</f>
        <v>0</v>
      </c>
      <c r="AE888" s="26"/>
      <c r="AF888" s="856" t="e">
        <f>IF(ISERROR(VLOOKUP(AG$2,X889:X$1003,1,FALSE)),IF(X888=AG$2,SUMIF(X$4:X888,AG$2,Z$4:Z888)+VLOOKUP(AF$2,$B$1057:$F$1068,5,FALSE)+SUM(AR$4:AR$1003)+SUMIF(COSTI!$X$1379:$X$1430,AG$2,COSTI!$Z$1379:$Z$1430),0),0)</f>
        <v>#N/A</v>
      </c>
      <c r="AG888" s="859"/>
      <c r="AH888" s="27" t="str">
        <f t="shared" si="161"/>
        <v/>
      </c>
      <c r="AI888" s="152">
        <f ca="1">IF(W889&gt;0,0,IF(AH888=0,(Z888*-1)+BC888+SUM(BB$4:BB887),BC888+SUM(BB$4:BB887)))</f>
        <v>-2.1316282072803006E-13</v>
      </c>
      <c r="AJ888" s="931">
        <f>IF(AND(AL888&gt;=$U$1,AL888&lt;=$U$2),IF(AM888='ESTRATTO CONTO'!$E$2,1+COUNTIF(AJ$4:AJ887,"&gt;0")+U$1015,0),0)</f>
        <v>0</v>
      </c>
      <c r="AK888" s="203">
        <f>IF(AND(OR((AK887+1)&lt;AL$1015,(AK887+1)=AL$1015),MAX(AK$4:AK887)&lt;AL$1015),AK887+1,0)</f>
        <v>0</v>
      </c>
      <c r="AL888" s="309">
        <f>VLOOKUP($AK888,ENTI!$AF$4:AG$1003,2,FALSE)</f>
        <v>0</v>
      </c>
      <c r="AM888" s="224">
        <f>VLOOKUP($AK888,ENTI!$AF$4:AH$1003,3,FALSE)</f>
        <v>0</v>
      </c>
      <c r="AN888" s="224">
        <f>VLOOKUP($AK888,ENTI!$AF$4:AI$1003,4,FALSE)</f>
        <v>0</v>
      </c>
      <c r="AO888" s="781">
        <f>VLOOKUP($AK888,ENTI!$AF$4:AJ$1003,5,FALSE)</f>
        <v>0</v>
      </c>
      <c r="AP888" s="315">
        <f>VLOOKUP($AK888,ENTI!$AF$4:AK$1003,6,FALSE)</f>
        <v>0</v>
      </c>
      <c r="AQ888" s="208">
        <f t="shared" si="168"/>
        <v>0</v>
      </c>
      <c r="AR888" s="152" t="e">
        <f t="shared" si="169"/>
        <v>#N/A</v>
      </c>
      <c r="AS888" s="1"/>
      <c r="AT888" s="88" t="str">
        <f t="shared" si="162"/>
        <v/>
      </c>
      <c r="AU888" s="1"/>
      <c r="AV888" s="175">
        <f>IF(AW888&gt;0,COUNTIF(AV$4:AV887,"&gt;0")+1,0)</f>
        <v>0</v>
      </c>
      <c r="AW888" s="164">
        <f t="shared" si="163"/>
        <v>0</v>
      </c>
      <c r="AX888" s="310">
        <f>IF($AW888=0,0,VLOOKUP(VLOOKUP($X888,$B$34:$T$38,19,FALSE),ENTI!$A$9:$B$13,2,FALSE))</f>
        <v>0</v>
      </c>
      <c r="AY888" s="310">
        <f t="shared" si="165"/>
        <v>0</v>
      </c>
      <c r="AZ888" s="316">
        <f t="shared" si="166"/>
        <v>0</v>
      </c>
      <c r="BA888" s="1"/>
      <c r="BB888" s="152">
        <f t="shared" si="167"/>
        <v>0</v>
      </c>
      <c r="BC888" s="152">
        <f ca="1">SUM(Z$4:Z888)+SUM(BB$4:BB888)+COSTI!S$6-COSTI!L$1076</f>
        <v>-31.760000000000218</v>
      </c>
      <c r="BD888" s="1"/>
    </row>
    <row r="889" spans="1:56" ht="16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435">
        <f>IF(AND(W889&gt;=$U$1,W889&lt;=$U$2),IF(X889='ESTRATTO CONTO'!$E$2,1+COUNTIF(U$4:U888,"&gt;0"),0),0)</f>
        <v>0</v>
      </c>
      <c r="V889" s="417">
        <f t="shared" si="164"/>
        <v>886</v>
      </c>
      <c r="W889" s="509"/>
      <c r="X889" s="321"/>
      <c r="Y889" s="321"/>
      <c r="Z889" s="508"/>
      <c r="AA889" s="356"/>
      <c r="AB889" s="306" t="str">
        <f t="shared" si="160"/>
        <v/>
      </c>
      <c r="AC889" s="637">
        <f t="shared" ref="AC889:AC952" ca="1" si="170">AI889</f>
        <v>-2.1316282072803006E-13</v>
      </c>
      <c r="AD889" s="935">
        <f>IF(ISERROR(VLOOKUP(AD$2,X890:X$1003,1,FALSE)),IF(X889=AD$2,SUMIF(X$4:X889,AD$2,Z$4:Z889)+$E$9+SUM(AQ$4:AQ$1003)+SUMIF(COSTI!$X$1379:$X$1430,AD$2,COSTI!$Z$1379:$Z$1430),0),0)</f>
        <v>0</v>
      </c>
      <c r="AE889" s="26"/>
      <c r="AF889" s="856" t="e">
        <f>IF(ISERROR(VLOOKUP(AG$2,X890:X$1003,1,FALSE)),IF(X889=AG$2,SUMIF(X$4:X889,AG$2,Z$4:Z889)+VLOOKUP(AF$2,$B$1057:$F$1068,5,FALSE)+SUM(AR$4:AR$1003)+SUMIF(COSTI!$X$1379:$X$1430,AG$2,COSTI!$Z$1379:$Z$1430),0),0)</f>
        <v>#N/A</v>
      </c>
      <c r="AG889" s="859"/>
      <c r="AH889" s="27" t="str">
        <f t="shared" si="161"/>
        <v/>
      </c>
      <c r="AI889" s="152">
        <f ca="1">IF(W890&gt;0,0,IF(AH889=0,(Z889*-1)+BC889+SUM(BB$4:BB888),BC889+SUM(BB$4:BB888)))</f>
        <v>-2.1316282072803006E-13</v>
      </c>
      <c r="AJ889" s="931">
        <f>IF(AND(AL889&gt;=$U$1,AL889&lt;=$U$2),IF(AM889='ESTRATTO CONTO'!$E$2,1+COUNTIF(AJ$4:AJ888,"&gt;0")+U$1015,0),0)</f>
        <v>0</v>
      </c>
      <c r="AK889" s="203">
        <f>IF(AND(OR((AK888+1)&lt;AL$1015,(AK888+1)=AL$1015),MAX(AK$4:AK888)&lt;AL$1015),AK888+1,0)</f>
        <v>0</v>
      </c>
      <c r="AL889" s="309">
        <f>VLOOKUP($AK889,ENTI!$AF$4:AG$1003,2,FALSE)</f>
        <v>0</v>
      </c>
      <c r="AM889" s="224">
        <f>VLOOKUP($AK889,ENTI!$AF$4:AH$1003,3,FALSE)</f>
        <v>0</v>
      </c>
      <c r="AN889" s="224">
        <f>VLOOKUP($AK889,ENTI!$AF$4:AI$1003,4,FALSE)</f>
        <v>0</v>
      </c>
      <c r="AO889" s="781">
        <f>VLOOKUP($AK889,ENTI!$AF$4:AJ$1003,5,FALSE)</f>
        <v>0</v>
      </c>
      <c r="AP889" s="315">
        <f>VLOOKUP($AK889,ENTI!$AF$4:AK$1003,6,FALSE)</f>
        <v>0</v>
      </c>
      <c r="AQ889" s="208">
        <f t="shared" si="168"/>
        <v>0</v>
      </c>
      <c r="AR889" s="152" t="e">
        <f t="shared" si="169"/>
        <v>#N/A</v>
      </c>
      <c r="AS889" s="1"/>
      <c r="AT889" s="88" t="str">
        <f t="shared" si="162"/>
        <v/>
      </c>
      <c r="AU889" s="1"/>
      <c r="AV889" s="175">
        <f>IF(AW889&gt;0,COUNTIF(AV$4:AV888,"&gt;0")+1,0)</f>
        <v>0</v>
      </c>
      <c r="AW889" s="164">
        <f t="shared" si="163"/>
        <v>0</v>
      </c>
      <c r="AX889" s="310">
        <f>IF($AW889=0,0,VLOOKUP(VLOOKUP($X889,$B$34:$T$38,19,FALSE),ENTI!$A$9:$B$13,2,FALSE))</f>
        <v>0</v>
      </c>
      <c r="AY889" s="310">
        <f t="shared" si="165"/>
        <v>0</v>
      </c>
      <c r="AZ889" s="316">
        <f t="shared" si="166"/>
        <v>0</v>
      </c>
      <c r="BA889" s="1"/>
      <c r="BB889" s="152">
        <f t="shared" si="167"/>
        <v>0</v>
      </c>
      <c r="BC889" s="152">
        <f ca="1">SUM(Z$4:Z889)+SUM(BB$4:BB889)+COSTI!S$6-COSTI!L$1076</f>
        <v>-31.760000000000218</v>
      </c>
      <c r="BD889" s="1"/>
    </row>
    <row r="890" spans="1:56" ht="16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435">
        <f>IF(AND(W890&gt;=$U$1,W890&lt;=$U$2),IF(X890='ESTRATTO CONTO'!$E$2,1+COUNTIF(U$4:U889,"&gt;0"),0),0)</f>
        <v>0</v>
      </c>
      <c r="V890" s="417">
        <f t="shared" si="164"/>
        <v>887</v>
      </c>
      <c r="W890" s="509"/>
      <c r="X890" s="321"/>
      <c r="Y890" s="321"/>
      <c r="Z890" s="508"/>
      <c r="AA890" s="356"/>
      <c r="AB890" s="306" t="str">
        <f t="shared" si="160"/>
        <v/>
      </c>
      <c r="AC890" s="637">
        <f t="shared" ca="1" si="170"/>
        <v>-2.1316282072803006E-13</v>
      </c>
      <c r="AD890" s="935">
        <f>IF(ISERROR(VLOOKUP(AD$2,X891:X$1003,1,FALSE)),IF(X890=AD$2,SUMIF(X$4:X890,AD$2,Z$4:Z890)+$E$9+SUM(AQ$4:AQ$1003)+SUMIF(COSTI!$X$1379:$X$1430,AD$2,COSTI!$Z$1379:$Z$1430),0),0)</f>
        <v>0</v>
      </c>
      <c r="AE890" s="26"/>
      <c r="AF890" s="856" t="e">
        <f>IF(ISERROR(VLOOKUP(AG$2,X891:X$1003,1,FALSE)),IF(X890=AG$2,SUMIF(X$4:X890,AG$2,Z$4:Z890)+VLOOKUP(AF$2,$B$1057:$F$1068,5,FALSE)+SUM(AR$4:AR$1003)+SUMIF(COSTI!$X$1379:$X$1430,AG$2,COSTI!$Z$1379:$Z$1430),0),0)</f>
        <v>#N/A</v>
      </c>
      <c r="AG890" s="859"/>
      <c r="AH890" s="27" t="str">
        <f t="shared" si="161"/>
        <v/>
      </c>
      <c r="AI890" s="152">
        <f ca="1">IF(W891&gt;0,0,IF(AH890=0,(Z890*-1)+BC890+SUM(BB$4:BB889),BC890+SUM(BB$4:BB889)))</f>
        <v>-2.1316282072803006E-13</v>
      </c>
      <c r="AJ890" s="931">
        <f>IF(AND(AL890&gt;=$U$1,AL890&lt;=$U$2),IF(AM890='ESTRATTO CONTO'!$E$2,1+COUNTIF(AJ$4:AJ889,"&gt;0")+U$1015,0),0)</f>
        <v>0</v>
      </c>
      <c r="AK890" s="203">
        <f>IF(AND(OR((AK889+1)&lt;AL$1015,(AK889+1)=AL$1015),MAX(AK$4:AK889)&lt;AL$1015),AK889+1,0)</f>
        <v>0</v>
      </c>
      <c r="AL890" s="309">
        <f>VLOOKUP($AK890,ENTI!$AF$4:AG$1003,2,FALSE)</f>
        <v>0</v>
      </c>
      <c r="AM890" s="224">
        <f>VLOOKUP($AK890,ENTI!$AF$4:AH$1003,3,FALSE)</f>
        <v>0</v>
      </c>
      <c r="AN890" s="224">
        <f>VLOOKUP($AK890,ENTI!$AF$4:AI$1003,4,FALSE)</f>
        <v>0</v>
      </c>
      <c r="AO890" s="781">
        <f>VLOOKUP($AK890,ENTI!$AF$4:AJ$1003,5,FALSE)</f>
        <v>0</v>
      </c>
      <c r="AP890" s="315">
        <f>VLOOKUP($AK890,ENTI!$AF$4:AK$1003,6,FALSE)</f>
        <v>0</v>
      </c>
      <c r="AQ890" s="208">
        <f t="shared" si="168"/>
        <v>0</v>
      </c>
      <c r="AR890" s="152" t="e">
        <f t="shared" si="169"/>
        <v>#N/A</v>
      </c>
      <c r="AS890" s="1"/>
      <c r="AT890" s="88" t="str">
        <f t="shared" si="162"/>
        <v/>
      </c>
      <c r="AU890" s="1"/>
      <c r="AV890" s="175">
        <f>IF(AW890&gt;0,COUNTIF(AV$4:AV889,"&gt;0")+1,0)</f>
        <v>0</v>
      </c>
      <c r="AW890" s="164">
        <f t="shared" si="163"/>
        <v>0</v>
      </c>
      <c r="AX890" s="310">
        <f>IF($AW890=0,0,VLOOKUP(VLOOKUP($X890,$B$34:$T$38,19,FALSE),ENTI!$A$9:$B$13,2,FALSE))</f>
        <v>0</v>
      </c>
      <c r="AY890" s="310">
        <f t="shared" si="165"/>
        <v>0</v>
      </c>
      <c r="AZ890" s="316">
        <f t="shared" si="166"/>
        <v>0</v>
      </c>
      <c r="BA890" s="1"/>
      <c r="BB890" s="152">
        <f t="shared" si="167"/>
        <v>0</v>
      </c>
      <c r="BC890" s="152">
        <f ca="1">SUM(Z$4:Z890)+SUM(BB$4:BB890)+COSTI!S$6-COSTI!L$1076</f>
        <v>-31.760000000000218</v>
      </c>
      <c r="BD890" s="1"/>
    </row>
    <row r="891" spans="1:56" ht="16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435">
        <f>IF(AND(W891&gt;=$U$1,W891&lt;=$U$2),IF(X891='ESTRATTO CONTO'!$E$2,1+COUNTIF(U$4:U890,"&gt;0"),0),0)</f>
        <v>0</v>
      </c>
      <c r="V891" s="417">
        <f t="shared" si="164"/>
        <v>888</v>
      </c>
      <c r="W891" s="509"/>
      <c r="X891" s="321"/>
      <c r="Y891" s="321"/>
      <c r="Z891" s="508"/>
      <c r="AA891" s="356"/>
      <c r="AB891" s="306" t="str">
        <f t="shared" si="160"/>
        <v/>
      </c>
      <c r="AC891" s="637">
        <f t="shared" ca="1" si="170"/>
        <v>-2.1316282072803006E-13</v>
      </c>
      <c r="AD891" s="935">
        <f>IF(ISERROR(VLOOKUP(AD$2,X892:X$1003,1,FALSE)),IF(X891=AD$2,SUMIF(X$4:X891,AD$2,Z$4:Z891)+$E$9+SUM(AQ$4:AQ$1003)+SUMIF(COSTI!$X$1379:$X$1430,AD$2,COSTI!$Z$1379:$Z$1430),0),0)</f>
        <v>0</v>
      </c>
      <c r="AE891" s="26"/>
      <c r="AF891" s="856" t="e">
        <f>IF(ISERROR(VLOOKUP(AG$2,X892:X$1003,1,FALSE)),IF(X891=AG$2,SUMIF(X$4:X891,AG$2,Z$4:Z891)+VLOOKUP(AF$2,$B$1057:$F$1068,5,FALSE)+SUM(AR$4:AR$1003)+SUMIF(COSTI!$X$1379:$X$1430,AG$2,COSTI!$Z$1379:$Z$1430),0),0)</f>
        <v>#N/A</v>
      </c>
      <c r="AG891" s="859"/>
      <c r="AH891" s="27" t="str">
        <f t="shared" si="161"/>
        <v/>
      </c>
      <c r="AI891" s="152">
        <f ca="1">IF(W892&gt;0,0,IF(AH891=0,(Z891*-1)+BC891+SUM(BB$4:BB890),BC891+SUM(BB$4:BB890)))</f>
        <v>-2.1316282072803006E-13</v>
      </c>
      <c r="AJ891" s="931">
        <f>IF(AND(AL891&gt;=$U$1,AL891&lt;=$U$2),IF(AM891='ESTRATTO CONTO'!$E$2,1+COUNTIF(AJ$4:AJ890,"&gt;0")+U$1015,0),0)</f>
        <v>0</v>
      </c>
      <c r="AK891" s="203">
        <f>IF(AND(OR((AK890+1)&lt;AL$1015,(AK890+1)=AL$1015),MAX(AK$4:AK890)&lt;AL$1015),AK890+1,0)</f>
        <v>0</v>
      </c>
      <c r="AL891" s="309">
        <f>VLOOKUP($AK891,ENTI!$AF$4:AG$1003,2,FALSE)</f>
        <v>0</v>
      </c>
      <c r="AM891" s="224">
        <f>VLOOKUP($AK891,ENTI!$AF$4:AH$1003,3,FALSE)</f>
        <v>0</v>
      </c>
      <c r="AN891" s="224">
        <f>VLOOKUP($AK891,ENTI!$AF$4:AI$1003,4,FALSE)</f>
        <v>0</v>
      </c>
      <c r="AO891" s="781">
        <f>VLOOKUP($AK891,ENTI!$AF$4:AJ$1003,5,FALSE)</f>
        <v>0</v>
      </c>
      <c r="AP891" s="315">
        <f>VLOOKUP($AK891,ENTI!$AF$4:AK$1003,6,FALSE)</f>
        <v>0</v>
      </c>
      <c r="AQ891" s="208">
        <f t="shared" si="168"/>
        <v>0</v>
      </c>
      <c r="AR891" s="152" t="e">
        <f t="shared" si="169"/>
        <v>#N/A</v>
      </c>
      <c r="AS891" s="1"/>
      <c r="AT891" s="88" t="str">
        <f t="shared" si="162"/>
        <v/>
      </c>
      <c r="AU891" s="1"/>
      <c r="AV891" s="175">
        <f>IF(AW891&gt;0,COUNTIF(AV$4:AV890,"&gt;0")+1,0)</f>
        <v>0</v>
      </c>
      <c r="AW891" s="164">
        <f t="shared" si="163"/>
        <v>0</v>
      </c>
      <c r="AX891" s="310">
        <f>IF($AW891=0,0,VLOOKUP(VLOOKUP($X891,$B$34:$T$38,19,FALSE),ENTI!$A$9:$B$13,2,FALSE))</f>
        <v>0</v>
      </c>
      <c r="AY891" s="310">
        <f t="shared" si="165"/>
        <v>0</v>
      </c>
      <c r="AZ891" s="316">
        <f t="shared" si="166"/>
        <v>0</v>
      </c>
      <c r="BA891" s="1"/>
      <c r="BB891" s="152">
        <f t="shared" si="167"/>
        <v>0</v>
      </c>
      <c r="BC891" s="152">
        <f ca="1">SUM(Z$4:Z891)+SUM(BB$4:BB891)+COSTI!S$6-COSTI!L$1076</f>
        <v>-31.760000000000218</v>
      </c>
      <c r="BD891" s="1"/>
    </row>
    <row r="892" spans="1:56" ht="16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435">
        <f>IF(AND(W892&gt;=$U$1,W892&lt;=$U$2),IF(X892='ESTRATTO CONTO'!$E$2,1+COUNTIF(U$4:U891,"&gt;0"),0),0)</f>
        <v>0</v>
      </c>
      <c r="V892" s="417">
        <f t="shared" si="164"/>
        <v>889</v>
      </c>
      <c r="W892" s="509"/>
      <c r="X892" s="321"/>
      <c r="Y892" s="321"/>
      <c r="Z892" s="508"/>
      <c r="AA892" s="356"/>
      <c r="AB892" s="306" t="str">
        <f t="shared" si="160"/>
        <v/>
      </c>
      <c r="AC892" s="637">
        <f t="shared" ca="1" si="170"/>
        <v>-2.1316282072803006E-13</v>
      </c>
      <c r="AD892" s="935">
        <f>IF(ISERROR(VLOOKUP(AD$2,X893:X$1003,1,FALSE)),IF(X892=AD$2,SUMIF(X$4:X892,AD$2,Z$4:Z892)+$E$9+SUM(AQ$4:AQ$1003)+SUMIF(COSTI!$X$1379:$X$1430,AD$2,COSTI!$Z$1379:$Z$1430),0),0)</f>
        <v>0</v>
      </c>
      <c r="AE892" s="26"/>
      <c r="AF892" s="856" t="e">
        <f>IF(ISERROR(VLOOKUP(AG$2,X893:X$1003,1,FALSE)),IF(X892=AG$2,SUMIF(X$4:X892,AG$2,Z$4:Z892)+VLOOKUP(AF$2,$B$1057:$F$1068,5,FALSE)+SUM(AR$4:AR$1003)+SUMIF(COSTI!$X$1379:$X$1430,AG$2,COSTI!$Z$1379:$Z$1430),0),0)</f>
        <v>#N/A</v>
      </c>
      <c r="AG892" s="859"/>
      <c r="AH892" s="27" t="str">
        <f t="shared" si="161"/>
        <v/>
      </c>
      <c r="AI892" s="152">
        <f ca="1">IF(W893&gt;0,0,IF(AH892=0,(Z892*-1)+BC892+SUM(BB$4:BB891),BC892+SUM(BB$4:BB891)))</f>
        <v>-2.1316282072803006E-13</v>
      </c>
      <c r="AJ892" s="931">
        <f>IF(AND(AL892&gt;=$U$1,AL892&lt;=$U$2),IF(AM892='ESTRATTO CONTO'!$E$2,1+COUNTIF(AJ$4:AJ891,"&gt;0")+U$1015,0),0)</f>
        <v>0</v>
      </c>
      <c r="AK892" s="203">
        <f>IF(AND(OR((AK891+1)&lt;AL$1015,(AK891+1)=AL$1015),MAX(AK$4:AK891)&lt;AL$1015),AK891+1,0)</f>
        <v>0</v>
      </c>
      <c r="AL892" s="309">
        <f>VLOOKUP($AK892,ENTI!$AF$4:AG$1003,2,FALSE)</f>
        <v>0</v>
      </c>
      <c r="AM892" s="224">
        <f>VLOOKUP($AK892,ENTI!$AF$4:AH$1003,3,FALSE)</f>
        <v>0</v>
      </c>
      <c r="AN892" s="224">
        <f>VLOOKUP($AK892,ENTI!$AF$4:AI$1003,4,FALSE)</f>
        <v>0</v>
      </c>
      <c r="AO892" s="781">
        <f>VLOOKUP($AK892,ENTI!$AF$4:AJ$1003,5,FALSE)</f>
        <v>0</v>
      </c>
      <c r="AP892" s="315">
        <f>VLOOKUP($AK892,ENTI!$AF$4:AK$1003,6,FALSE)</f>
        <v>0</v>
      </c>
      <c r="AQ892" s="208">
        <f t="shared" si="168"/>
        <v>0</v>
      </c>
      <c r="AR892" s="152" t="e">
        <f t="shared" si="169"/>
        <v>#N/A</v>
      </c>
      <c r="AS892" s="1"/>
      <c r="AT892" s="88" t="str">
        <f t="shared" si="162"/>
        <v/>
      </c>
      <c r="AU892" s="1"/>
      <c r="AV892" s="175">
        <f>IF(AW892&gt;0,COUNTIF(AV$4:AV891,"&gt;0")+1,0)</f>
        <v>0</v>
      </c>
      <c r="AW892" s="164">
        <f t="shared" si="163"/>
        <v>0</v>
      </c>
      <c r="AX892" s="310">
        <f>IF($AW892=0,0,VLOOKUP(VLOOKUP($X892,$B$34:$T$38,19,FALSE),ENTI!$A$9:$B$13,2,FALSE))</f>
        <v>0</v>
      </c>
      <c r="AY892" s="310">
        <f t="shared" si="165"/>
        <v>0</v>
      </c>
      <c r="AZ892" s="316">
        <f t="shared" si="166"/>
        <v>0</v>
      </c>
      <c r="BA892" s="1"/>
      <c r="BB892" s="152">
        <f t="shared" si="167"/>
        <v>0</v>
      </c>
      <c r="BC892" s="152">
        <f ca="1">SUM(Z$4:Z892)+SUM(BB$4:BB892)+COSTI!S$6-COSTI!L$1076</f>
        <v>-31.760000000000218</v>
      </c>
      <c r="BD892" s="1"/>
    </row>
    <row r="893" spans="1:56" ht="16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435">
        <f>IF(AND(W893&gt;=$U$1,W893&lt;=$U$2),IF(X893='ESTRATTO CONTO'!$E$2,1+COUNTIF(U$4:U892,"&gt;0"),0),0)</f>
        <v>0</v>
      </c>
      <c r="V893" s="417">
        <f t="shared" si="164"/>
        <v>890</v>
      </c>
      <c r="W893" s="509"/>
      <c r="X893" s="321"/>
      <c r="Y893" s="321"/>
      <c r="Z893" s="508"/>
      <c r="AA893" s="356"/>
      <c r="AB893" s="306" t="str">
        <f t="shared" si="160"/>
        <v/>
      </c>
      <c r="AC893" s="637">
        <f t="shared" ca="1" si="170"/>
        <v>-2.1316282072803006E-13</v>
      </c>
      <c r="AD893" s="935">
        <f>IF(ISERROR(VLOOKUP(AD$2,X894:X$1003,1,FALSE)),IF(X893=AD$2,SUMIF(X$4:X893,AD$2,Z$4:Z893)+$E$9+SUM(AQ$4:AQ$1003)+SUMIF(COSTI!$X$1379:$X$1430,AD$2,COSTI!$Z$1379:$Z$1430),0),0)</f>
        <v>0</v>
      </c>
      <c r="AE893" s="26"/>
      <c r="AF893" s="856" t="e">
        <f>IF(ISERROR(VLOOKUP(AG$2,X894:X$1003,1,FALSE)),IF(X893=AG$2,SUMIF(X$4:X893,AG$2,Z$4:Z893)+VLOOKUP(AF$2,$B$1057:$F$1068,5,FALSE)+SUM(AR$4:AR$1003)+SUMIF(COSTI!$X$1379:$X$1430,AG$2,COSTI!$Z$1379:$Z$1430),0),0)</f>
        <v>#N/A</v>
      </c>
      <c r="AG893" s="859"/>
      <c r="AH893" s="27" t="str">
        <f t="shared" si="161"/>
        <v/>
      </c>
      <c r="AI893" s="152">
        <f ca="1">IF(W894&gt;0,0,IF(AH893=0,(Z893*-1)+BC893+SUM(BB$4:BB892),BC893+SUM(BB$4:BB892)))</f>
        <v>-2.1316282072803006E-13</v>
      </c>
      <c r="AJ893" s="931">
        <f>IF(AND(AL893&gt;=$U$1,AL893&lt;=$U$2),IF(AM893='ESTRATTO CONTO'!$E$2,1+COUNTIF(AJ$4:AJ892,"&gt;0")+U$1015,0),0)</f>
        <v>0</v>
      </c>
      <c r="AK893" s="203">
        <f>IF(AND(OR((AK892+1)&lt;AL$1015,(AK892+1)=AL$1015),MAX(AK$4:AK892)&lt;AL$1015),AK892+1,0)</f>
        <v>0</v>
      </c>
      <c r="AL893" s="309">
        <f>VLOOKUP($AK893,ENTI!$AF$4:AG$1003,2,FALSE)</f>
        <v>0</v>
      </c>
      <c r="AM893" s="224">
        <f>VLOOKUP($AK893,ENTI!$AF$4:AH$1003,3,FALSE)</f>
        <v>0</v>
      </c>
      <c r="AN893" s="224">
        <f>VLOOKUP($AK893,ENTI!$AF$4:AI$1003,4,FALSE)</f>
        <v>0</v>
      </c>
      <c r="AO893" s="781">
        <f>VLOOKUP($AK893,ENTI!$AF$4:AJ$1003,5,FALSE)</f>
        <v>0</v>
      </c>
      <c r="AP893" s="315">
        <f>VLOOKUP($AK893,ENTI!$AF$4:AK$1003,6,FALSE)</f>
        <v>0</v>
      </c>
      <c r="AQ893" s="208">
        <f t="shared" si="168"/>
        <v>0</v>
      </c>
      <c r="AR893" s="152" t="e">
        <f t="shared" si="169"/>
        <v>#N/A</v>
      </c>
      <c r="AS893" s="1"/>
      <c r="AT893" s="88" t="str">
        <f t="shared" si="162"/>
        <v/>
      </c>
      <c r="AU893" s="1"/>
      <c r="AV893" s="175">
        <f>IF(AW893&gt;0,COUNTIF(AV$4:AV892,"&gt;0")+1,0)</f>
        <v>0</v>
      </c>
      <c r="AW893" s="164">
        <f t="shared" si="163"/>
        <v>0</v>
      </c>
      <c r="AX893" s="310">
        <f>IF($AW893=0,0,VLOOKUP(VLOOKUP($X893,$B$34:$T$38,19,FALSE),ENTI!$A$9:$B$13,2,FALSE))</f>
        <v>0</v>
      </c>
      <c r="AY893" s="310">
        <f t="shared" si="165"/>
        <v>0</v>
      </c>
      <c r="AZ893" s="316">
        <f t="shared" si="166"/>
        <v>0</v>
      </c>
      <c r="BA893" s="1"/>
      <c r="BB893" s="152">
        <f t="shared" si="167"/>
        <v>0</v>
      </c>
      <c r="BC893" s="152">
        <f ca="1">SUM(Z$4:Z893)+SUM(BB$4:BB893)+COSTI!S$6-COSTI!L$1076</f>
        <v>-31.760000000000218</v>
      </c>
      <c r="BD893" s="1"/>
    </row>
    <row r="894" spans="1:56" ht="16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435">
        <f>IF(AND(W894&gt;=$U$1,W894&lt;=$U$2),IF(X894='ESTRATTO CONTO'!$E$2,1+COUNTIF(U$4:U893,"&gt;0"),0),0)</f>
        <v>0</v>
      </c>
      <c r="V894" s="417">
        <f t="shared" si="164"/>
        <v>891</v>
      </c>
      <c r="W894" s="509"/>
      <c r="X894" s="321"/>
      <c r="Y894" s="321"/>
      <c r="Z894" s="508"/>
      <c r="AA894" s="356"/>
      <c r="AB894" s="306" t="str">
        <f t="shared" si="160"/>
        <v/>
      </c>
      <c r="AC894" s="637">
        <f t="shared" ca="1" si="170"/>
        <v>-2.1316282072803006E-13</v>
      </c>
      <c r="AD894" s="935">
        <f>IF(ISERROR(VLOOKUP(AD$2,X895:X$1003,1,FALSE)),IF(X894=AD$2,SUMIF(X$4:X894,AD$2,Z$4:Z894)+$E$9+SUM(AQ$4:AQ$1003)+SUMIF(COSTI!$X$1379:$X$1430,AD$2,COSTI!$Z$1379:$Z$1430),0),0)</f>
        <v>0</v>
      </c>
      <c r="AE894" s="26"/>
      <c r="AF894" s="856" t="e">
        <f>IF(ISERROR(VLOOKUP(AG$2,X895:X$1003,1,FALSE)),IF(X894=AG$2,SUMIF(X$4:X894,AG$2,Z$4:Z894)+VLOOKUP(AF$2,$B$1057:$F$1068,5,FALSE)+SUM(AR$4:AR$1003)+SUMIF(COSTI!$X$1379:$X$1430,AG$2,COSTI!$Z$1379:$Z$1430),0),0)</f>
        <v>#N/A</v>
      </c>
      <c r="AG894" s="859"/>
      <c r="AH894" s="27" t="str">
        <f t="shared" si="161"/>
        <v/>
      </c>
      <c r="AI894" s="152">
        <f ca="1">IF(W895&gt;0,0,IF(AH894=0,(Z894*-1)+BC894+SUM(BB$4:BB893),BC894+SUM(BB$4:BB893)))</f>
        <v>-2.1316282072803006E-13</v>
      </c>
      <c r="AJ894" s="931">
        <f>IF(AND(AL894&gt;=$U$1,AL894&lt;=$U$2),IF(AM894='ESTRATTO CONTO'!$E$2,1+COUNTIF(AJ$4:AJ893,"&gt;0")+U$1015,0),0)</f>
        <v>0</v>
      </c>
      <c r="AK894" s="203">
        <f>IF(AND(OR((AK893+1)&lt;AL$1015,(AK893+1)=AL$1015),MAX(AK$4:AK893)&lt;AL$1015),AK893+1,0)</f>
        <v>0</v>
      </c>
      <c r="AL894" s="309">
        <f>VLOOKUP($AK894,ENTI!$AF$4:AG$1003,2,FALSE)</f>
        <v>0</v>
      </c>
      <c r="AM894" s="224">
        <f>VLOOKUP($AK894,ENTI!$AF$4:AH$1003,3,FALSE)</f>
        <v>0</v>
      </c>
      <c r="AN894" s="224">
        <f>VLOOKUP($AK894,ENTI!$AF$4:AI$1003,4,FALSE)</f>
        <v>0</v>
      </c>
      <c r="AO894" s="781">
        <f>VLOOKUP($AK894,ENTI!$AF$4:AJ$1003,5,FALSE)</f>
        <v>0</v>
      </c>
      <c r="AP894" s="315">
        <f>VLOOKUP($AK894,ENTI!$AF$4:AK$1003,6,FALSE)</f>
        <v>0</v>
      </c>
      <c r="AQ894" s="208">
        <f t="shared" si="168"/>
        <v>0</v>
      </c>
      <c r="AR894" s="152" t="e">
        <f t="shared" si="169"/>
        <v>#N/A</v>
      </c>
      <c r="AS894" s="1"/>
      <c r="AT894" s="88" t="str">
        <f t="shared" si="162"/>
        <v/>
      </c>
      <c r="AU894" s="1"/>
      <c r="AV894" s="175">
        <f>IF(AW894&gt;0,COUNTIF(AV$4:AV893,"&gt;0")+1,0)</f>
        <v>0</v>
      </c>
      <c r="AW894" s="164">
        <f t="shared" si="163"/>
        <v>0</v>
      </c>
      <c r="AX894" s="310">
        <f>IF($AW894=0,0,VLOOKUP(VLOOKUP($X894,$B$34:$T$38,19,FALSE),ENTI!$A$9:$B$13,2,FALSE))</f>
        <v>0</v>
      </c>
      <c r="AY894" s="310">
        <f t="shared" si="165"/>
        <v>0</v>
      </c>
      <c r="AZ894" s="316">
        <f t="shared" si="166"/>
        <v>0</v>
      </c>
      <c r="BA894" s="1"/>
      <c r="BB894" s="152">
        <f t="shared" si="167"/>
        <v>0</v>
      </c>
      <c r="BC894" s="152">
        <f ca="1">SUM(Z$4:Z894)+SUM(BB$4:BB894)+COSTI!S$6-COSTI!L$1076</f>
        <v>-31.760000000000218</v>
      </c>
      <c r="BD894" s="1"/>
    </row>
    <row r="895" spans="1:56" ht="16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435">
        <f>IF(AND(W895&gt;=$U$1,W895&lt;=$U$2),IF(X895='ESTRATTO CONTO'!$E$2,1+COUNTIF(U$4:U894,"&gt;0"),0),0)</f>
        <v>0</v>
      </c>
      <c r="V895" s="417">
        <f t="shared" si="164"/>
        <v>892</v>
      </c>
      <c r="W895" s="509"/>
      <c r="X895" s="321"/>
      <c r="Y895" s="321"/>
      <c r="Z895" s="508"/>
      <c r="AA895" s="356"/>
      <c r="AB895" s="306" t="str">
        <f t="shared" si="160"/>
        <v/>
      </c>
      <c r="AC895" s="637">
        <f t="shared" ca="1" si="170"/>
        <v>-2.1316282072803006E-13</v>
      </c>
      <c r="AD895" s="935">
        <f>IF(ISERROR(VLOOKUP(AD$2,X896:X$1003,1,FALSE)),IF(X895=AD$2,SUMIF(X$4:X895,AD$2,Z$4:Z895)+$E$9+SUM(AQ$4:AQ$1003)+SUMIF(COSTI!$X$1379:$X$1430,AD$2,COSTI!$Z$1379:$Z$1430),0),0)</f>
        <v>0</v>
      </c>
      <c r="AE895" s="26"/>
      <c r="AF895" s="856" t="e">
        <f>IF(ISERROR(VLOOKUP(AG$2,X896:X$1003,1,FALSE)),IF(X895=AG$2,SUMIF(X$4:X895,AG$2,Z$4:Z895)+VLOOKUP(AF$2,$B$1057:$F$1068,5,FALSE)+SUM(AR$4:AR$1003)+SUMIF(COSTI!$X$1379:$X$1430,AG$2,COSTI!$Z$1379:$Z$1430),0),0)</f>
        <v>#N/A</v>
      </c>
      <c r="AG895" s="859"/>
      <c r="AH895" s="27" t="str">
        <f t="shared" si="161"/>
        <v/>
      </c>
      <c r="AI895" s="152">
        <f ca="1">IF(W896&gt;0,0,IF(AH895=0,(Z895*-1)+BC895+SUM(BB$4:BB894),BC895+SUM(BB$4:BB894)))</f>
        <v>-2.1316282072803006E-13</v>
      </c>
      <c r="AJ895" s="931">
        <f>IF(AND(AL895&gt;=$U$1,AL895&lt;=$U$2),IF(AM895='ESTRATTO CONTO'!$E$2,1+COUNTIF(AJ$4:AJ894,"&gt;0")+U$1015,0),0)</f>
        <v>0</v>
      </c>
      <c r="AK895" s="203">
        <f>IF(AND(OR((AK894+1)&lt;AL$1015,(AK894+1)=AL$1015),MAX(AK$4:AK894)&lt;AL$1015),AK894+1,0)</f>
        <v>0</v>
      </c>
      <c r="AL895" s="309">
        <f>VLOOKUP($AK895,ENTI!$AF$4:AG$1003,2,FALSE)</f>
        <v>0</v>
      </c>
      <c r="AM895" s="224">
        <f>VLOOKUP($AK895,ENTI!$AF$4:AH$1003,3,FALSE)</f>
        <v>0</v>
      </c>
      <c r="AN895" s="224">
        <f>VLOOKUP($AK895,ENTI!$AF$4:AI$1003,4,FALSE)</f>
        <v>0</v>
      </c>
      <c r="AO895" s="781">
        <f>VLOOKUP($AK895,ENTI!$AF$4:AJ$1003,5,FALSE)</f>
        <v>0</v>
      </c>
      <c r="AP895" s="315">
        <f>VLOOKUP($AK895,ENTI!$AF$4:AK$1003,6,FALSE)</f>
        <v>0</v>
      </c>
      <c r="AQ895" s="208">
        <f t="shared" si="168"/>
        <v>0</v>
      </c>
      <c r="AR895" s="152" t="e">
        <f t="shared" si="169"/>
        <v>#N/A</v>
      </c>
      <c r="AS895" s="1"/>
      <c r="AT895" s="88" t="str">
        <f t="shared" si="162"/>
        <v/>
      </c>
      <c r="AU895" s="1"/>
      <c r="AV895" s="175">
        <f>IF(AW895&gt;0,COUNTIF(AV$4:AV894,"&gt;0")+1,0)</f>
        <v>0</v>
      </c>
      <c r="AW895" s="164">
        <f t="shared" si="163"/>
        <v>0</v>
      </c>
      <c r="AX895" s="310">
        <f>IF($AW895=0,0,VLOOKUP(VLOOKUP($X895,$B$34:$T$38,19,FALSE),ENTI!$A$9:$B$13,2,FALSE))</f>
        <v>0</v>
      </c>
      <c r="AY895" s="310">
        <f t="shared" si="165"/>
        <v>0</v>
      </c>
      <c r="AZ895" s="316">
        <f t="shared" si="166"/>
        <v>0</v>
      </c>
      <c r="BA895" s="1"/>
      <c r="BB895" s="152">
        <f t="shared" si="167"/>
        <v>0</v>
      </c>
      <c r="BC895" s="152">
        <f ca="1">SUM(Z$4:Z895)+SUM(BB$4:BB895)+COSTI!S$6-COSTI!L$1076</f>
        <v>-31.760000000000218</v>
      </c>
      <c r="BD895" s="1"/>
    </row>
    <row r="896" spans="1:56" ht="16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435">
        <f>IF(AND(W896&gt;=$U$1,W896&lt;=$U$2),IF(X896='ESTRATTO CONTO'!$E$2,1+COUNTIF(U$4:U895,"&gt;0"),0),0)</f>
        <v>0</v>
      </c>
      <c r="V896" s="417">
        <f t="shared" si="164"/>
        <v>893</v>
      </c>
      <c r="W896" s="509"/>
      <c r="X896" s="321"/>
      <c r="Y896" s="321"/>
      <c r="Z896" s="508"/>
      <c r="AA896" s="356"/>
      <c r="AB896" s="306" t="str">
        <f t="shared" si="160"/>
        <v/>
      </c>
      <c r="AC896" s="637">
        <f t="shared" ca="1" si="170"/>
        <v>-2.1316282072803006E-13</v>
      </c>
      <c r="AD896" s="935">
        <f>IF(ISERROR(VLOOKUP(AD$2,X897:X$1003,1,FALSE)),IF(X896=AD$2,SUMIF(X$4:X896,AD$2,Z$4:Z896)+$E$9+SUM(AQ$4:AQ$1003)+SUMIF(COSTI!$X$1379:$X$1430,AD$2,COSTI!$Z$1379:$Z$1430),0),0)</f>
        <v>0</v>
      </c>
      <c r="AE896" s="26"/>
      <c r="AF896" s="856" t="e">
        <f>IF(ISERROR(VLOOKUP(AG$2,X897:X$1003,1,FALSE)),IF(X896=AG$2,SUMIF(X$4:X896,AG$2,Z$4:Z896)+VLOOKUP(AF$2,$B$1057:$F$1068,5,FALSE)+SUM(AR$4:AR$1003)+SUMIF(COSTI!$X$1379:$X$1430,AG$2,COSTI!$Z$1379:$Z$1430),0),0)</f>
        <v>#N/A</v>
      </c>
      <c r="AG896" s="859"/>
      <c r="AH896" s="27" t="str">
        <f t="shared" si="161"/>
        <v/>
      </c>
      <c r="AI896" s="152">
        <f ca="1">IF(W897&gt;0,0,IF(AH896=0,(Z896*-1)+BC896+SUM(BB$4:BB895),BC896+SUM(BB$4:BB895)))</f>
        <v>-2.1316282072803006E-13</v>
      </c>
      <c r="AJ896" s="931">
        <f>IF(AND(AL896&gt;=$U$1,AL896&lt;=$U$2),IF(AM896='ESTRATTO CONTO'!$E$2,1+COUNTIF(AJ$4:AJ895,"&gt;0")+U$1015,0),0)</f>
        <v>0</v>
      </c>
      <c r="AK896" s="203">
        <f>IF(AND(OR((AK895+1)&lt;AL$1015,(AK895+1)=AL$1015),MAX(AK$4:AK895)&lt;AL$1015),AK895+1,0)</f>
        <v>0</v>
      </c>
      <c r="AL896" s="309">
        <f>VLOOKUP($AK896,ENTI!$AF$4:AG$1003,2,FALSE)</f>
        <v>0</v>
      </c>
      <c r="AM896" s="224">
        <f>VLOOKUP($AK896,ENTI!$AF$4:AH$1003,3,FALSE)</f>
        <v>0</v>
      </c>
      <c r="AN896" s="224">
        <f>VLOOKUP($AK896,ENTI!$AF$4:AI$1003,4,FALSE)</f>
        <v>0</v>
      </c>
      <c r="AO896" s="781">
        <f>VLOOKUP($AK896,ENTI!$AF$4:AJ$1003,5,FALSE)</f>
        <v>0</v>
      </c>
      <c r="AP896" s="315">
        <f>VLOOKUP($AK896,ENTI!$AF$4:AK$1003,6,FALSE)</f>
        <v>0</v>
      </c>
      <c r="AQ896" s="208">
        <f t="shared" si="168"/>
        <v>0</v>
      </c>
      <c r="AR896" s="152" t="e">
        <f t="shared" si="169"/>
        <v>#N/A</v>
      </c>
      <c r="AS896" s="1"/>
      <c r="AT896" s="88" t="str">
        <f t="shared" si="162"/>
        <v/>
      </c>
      <c r="AU896" s="1"/>
      <c r="AV896" s="175">
        <f>IF(AW896&gt;0,COUNTIF(AV$4:AV895,"&gt;0")+1,0)</f>
        <v>0</v>
      </c>
      <c r="AW896" s="164">
        <f t="shared" si="163"/>
        <v>0</v>
      </c>
      <c r="AX896" s="310">
        <f>IF($AW896=0,0,VLOOKUP(VLOOKUP($X896,$B$34:$T$38,19,FALSE),ENTI!$A$9:$B$13,2,FALSE))</f>
        <v>0</v>
      </c>
      <c r="AY896" s="310">
        <f t="shared" si="165"/>
        <v>0</v>
      </c>
      <c r="AZ896" s="316">
        <f t="shared" si="166"/>
        <v>0</v>
      </c>
      <c r="BA896" s="1"/>
      <c r="BB896" s="152">
        <f t="shared" si="167"/>
        <v>0</v>
      </c>
      <c r="BC896" s="152">
        <f ca="1">SUM(Z$4:Z896)+SUM(BB$4:BB896)+COSTI!S$6-COSTI!L$1076</f>
        <v>-31.760000000000218</v>
      </c>
      <c r="BD896" s="1"/>
    </row>
    <row r="897" spans="1:56" ht="16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435">
        <f>IF(AND(W897&gt;=$U$1,W897&lt;=$U$2),IF(X897='ESTRATTO CONTO'!$E$2,1+COUNTIF(U$4:U896,"&gt;0"),0),0)</f>
        <v>0</v>
      </c>
      <c r="V897" s="417">
        <f t="shared" si="164"/>
        <v>894</v>
      </c>
      <c r="W897" s="509"/>
      <c r="X897" s="321"/>
      <c r="Y897" s="321"/>
      <c r="Z897" s="508"/>
      <c r="AA897" s="356"/>
      <c r="AB897" s="306" t="str">
        <f t="shared" si="160"/>
        <v/>
      </c>
      <c r="AC897" s="637">
        <f t="shared" ca="1" si="170"/>
        <v>-2.1316282072803006E-13</v>
      </c>
      <c r="AD897" s="935">
        <f>IF(ISERROR(VLOOKUP(AD$2,X898:X$1003,1,FALSE)),IF(X897=AD$2,SUMIF(X$4:X897,AD$2,Z$4:Z897)+$E$9+SUM(AQ$4:AQ$1003)+SUMIF(COSTI!$X$1379:$X$1430,AD$2,COSTI!$Z$1379:$Z$1430),0),0)</f>
        <v>0</v>
      </c>
      <c r="AE897" s="26"/>
      <c r="AF897" s="856" t="e">
        <f>IF(ISERROR(VLOOKUP(AG$2,X898:X$1003,1,FALSE)),IF(X897=AG$2,SUMIF(X$4:X897,AG$2,Z$4:Z897)+VLOOKUP(AF$2,$B$1057:$F$1068,5,FALSE)+SUM(AR$4:AR$1003)+SUMIF(COSTI!$X$1379:$X$1430,AG$2,COSTI!$Z$1379:$Z$1430),0),0)</f>
        <v>#N/A</v>
      </c>
      <c r="AG897" s="859"/>
      <c r="AH897" s="27" t="str">
        <f t="shared" si="161"/>
        <v/>
      </c>
      <c r="AI897" s="152">
        <f ca="1">IF(W898&gt;0,0,IF(AH897=0,(Z897*-1)+BC897+SUM(BB$4:BB896),BC897+SUM(BB$4:BB896)))</f>
        <v>-2.1316282072803006E-13</v>
      </c>
      <c r="AJ897" s="931">
        <f>IF(AND(AL897&gt;=$U$1,AL897&lt;=$U$2),IF(AM897='ESTRATTO CONTO'!$E$2,1+COUNTIF(AJ$4:AJ896,"&gt;0")+U$1015,0),0)</f>
        <v>0</v>
      </c>
      <c r="AK897" s="203">
        <f>IF(AND(OR((AK896+1)&lt;AL$1015,(AK896+1)=AL$1015),MAX(AK$4:AK896)&lt;AL$1015),AK896+1,0)</f>
        <v>0</v>
      </c>
      <c r="AL897" s="309">
        <f>VLOOKUP($AK897,ENTI!$AF$4:AG$1003,2,FALSE)</f>
        <v>0</v>
      </c>
      <c r="AM897" s="224">
        <f>VLOOKUP($AK897,ENTI!$AF$4:AH$1003,3,FALSE)</f>
        <v>0</v>
      </c>
      <c r="AN897" s="224">
        <f>VLOOKUP($AK897,ENTI!$AF$4:AI$1003,4,FALSE)</f>
        <v>0</v>
      </c>
      <c r="AO897" s="781">
        <f>VLOOKUP($AK897,ENTI!$AF$4:AJ$1003,5,FALSE)</f>
        <v>0</v>
      </c>
      <c r="AP897" s="315">
        <f>VLOOKUP($AK897,ENTI!$AF$4:AK$1003,6,FALSE)</f>
        <v>0</v>
      </c>
      <c r="AQ897" s="208">
        <f t="shared" si="168"/>
        <v>0</v>
      </c>
      <c r="AR897" s="152" t="e">
        <f t="shared" si="169"/>
        <v>#N/A</v>
      </c>
      <c r="AS897" s="1"/>
      <c r="AT897" s="88" t="str">
        <f t="shared" si="162"/>
        <v/>
      </c>
      <c r="AU897" s="1"/>
      <c r="AV897" s="175">
        <f>IF(AW897&gt;0,COUNTIF(AV$4:AV896,"&gt;0")+1,0)</f>
        <v>0</v>
      </c>
      <c r="AW897" s="164">
        <f t="shared" si="163"/>
        <v>0</v>
      </c>
      <c r="AX897" s="310">
        <f>IF($AW897=0,0,VLOOKUP(VLOOKUP($X897,$B$34:$T$38,19,FALSE),ENTI!$A$9:$B$13,2,FALSE))</f>
        <v>0</v>
      </c>
      <c r="AY897" s="310">
        <f t="shared" si="165"/>
        <v>0</v>
      </c>
      <c r="AZ897" s="316">
        <f t="shared" si="166"/>
        <v>0</v>
      </c>
      <c r="BA897" s="1"/>
      <c r="BB897" s="152">
        <f t="shared" si="167"/>
        <v>0</v>
      </c>
      <c r="BC897" s="152">
        <f ca="1">SUM(Z$4:Z897)+SUM(BB$4:BB897)+COSTI!S$6-COSTI!L$1076</f>
        <v>-31.760000000000218</v>
      </c>
      <c r="BD897" s="1"/>
    </row>
    <row r="898" spans="1:56" ht="16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435">
        <f>IF(AND(W898&gt;=$U$1,W898&lt;=$U$2),IF(X898='ESTRATTO CONTO'!$E$2,1+COUNTIF(U$4:U897,"&gt;0"),0),0)</f>
        <v>0</v>
      </c>
      <c r="V898" s="417">
        <f t="shared" si="164"/>
        <v>895</v>
      </c>
      <c r="W898" s="509"/>
      <c r="X898" s="321"/>
      <c r="Y898" s="321"/>
      <c r="Z898" s="508"/>
      <c r="AA898" s="356"/>
      <c r="AB898" s="306" t="str">
        <f t="shared" si="160"/>
        <v/>
      </c>
      <c r="AC898" s="637">
        <f t="shared" ca="1" si="170"/>
        <v>-2.1316282072803006E-13</v>
      </c>
      <c r="AD898" s="935">
        <f>IF(ISERROR(VLOOKUP(AD$2,X899:X$1003,1,FALSE)),IF(X898=AD$2,SUMIF(X$4:X898,AD$2,Z$4:Z898)+$E$9+SUM(AQ$4:AQ$1003)+SUMIF(COSTI!$X$1379:$X$1430,AD$2,COSTI!$Z$1379:$Z$1430),0),0)</f>
        <v>0</v>
      </c>
      <c r="AE898" s="26"/>
      <c r="AF898" s="856" t="e">
        <f>IF(ISERROR(VLOOKUP(AG$2,X899:X$1003,1,FALSE)),IF(X898=AG$2,SUMIF(X$4:X898,AG$2,Z$4:Z898)+VLOOKUP(AF$2,$B$1057:$F$1068,5,FALSE)+SUM(AR$4:AR$1003)+SUMIF(COSTI!$X$1379:$X$1430,AG$2,COSTI!$Z$1379:$Z$1430),0),0)</f>
        <v>#N/A</v>
      </c>
      <c r="AG898" s="859"/>
      <c r="AH898" s="27" t="str">
        <f t="shared" si="161"/>
        <v/>
      </c>
      <c r="AI898" s="152">
        <f ca="1">IF(W899&gt;0,0,IF(AH898=0,(Z898*-1)+BC898+SUM(BB$4:BB897),BC898+SUM(BB$4:BB897)))</f>
        <v>-2.1316282072803006E-13</v>
      </c>
      <c r="AJ898" s="931">
        <f>IF(AND(AL898&gt;=$U$1,AL898&lt;=$U$2),IF(AM898='ESTRATTO CONTO'!$E$2,1+COUNTIF(AJ$4:AJ897,"&gt;0")+U$1015,0),0)</f>
        <v>0</v>
      </c>
      <c r="AK898" s="203">
        <f>IF(AND(OR((AK897+1)&lt;AL$1015,(AK897+1)=AL$1015),MAX(AK$4:AK897)&lt;AL$1015),AK897+1,0)</f>
        <v>0</v>
      </c>
      <c r="AL898" s="309">
        <f>VLOOKUP($AK898,ENTI!$AF$4:AG$1003,2,FALSE)</f>
        <v>0</v>
      </c>
      <c r="AM898" s="224">
        <f>VLOOKUP($AK898,ENTI!$AF$4:AH$1003,3,FALSE)</f>
        <v>0</v>
      </c>
      <c r="AN898" s="224">
        <f>VLOOKUP($AK898,ENTI!$AF$4:AI$1003,4,FALSE)</f>
        <v>0</v>
      </c>
      <c r="AO898" s="781">
        <f>VLOOKUP($AK898,ENTI!$AF$4:AJ$1003,5,FALSE)</f>
        <v>0</v>
      </c>
      <c r="AP898" s="315">
        <f>VLOOKUP($AK898,ENTI!$AF$4:AK$1003,6,FALSE)</f>
        <v>0</v>
      </c>
      <c r="AQ898" s="208">
        <f t="shared" si="168"/>
        <v>0</v>
      </c>
      <c r="AR898" s="152" t="e">
        <f t="shared" si="169"/>
        <v>#N/A</v>
      </c>
      <c r="AS898" s="1"/>
      <c r="AT898" s="88" t="str">
        <f t="shared" si="162"/>
        <v/>
      </c>
      <c r="AU898" s="1"/>
      <c r="AV898" s="175">
        <f>IF(AW898&gt;0,COUNTIF(AV$4:AV897,"&gt;0")+1,0)</f>
        <v>0</v>
      </c>
      <c r="AW898" s="164">
        <f t="shared" si="163"/>
        <v>0</v>
      </c>
      <c r="AX898" s="310">
        <f>IF($AW898=0,0,VLOOKUP(VLOOKUP($X898,$B$34:$T$38,19,FALSE),ENTI!$A$9:$B$13,2,FALSE))</f>
        <v>0</v>
      </c>
      <c r="AY898" s="310">
        <f t="shared" si="165"/>
        <v>0</v>
      </c>
      <c r="AZ898" s="316">
        <f t="shared" si="166"/>
        <v>0</v>
      </c>
      <c r="BA898" s="1"/>
      <c r="BB898" s="152">
        <f t="shared" si="167"/>
        <v>0</v>
      </c>
      <c r="BC898" s="152">
        <f ca="1">SUM(Z$4:Z898)+SUM(BB$4:BB898)+COSTI!S$6-COSTI!L$1076</f>
        <v>-31.760000000000218</v>
      </c>
      <c r="BD898" s="1"/>
    </row>
    <row r="899" spans="1:56" ht="16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435">
        <f>IF(AND(W899&gt;=$U$1,W899&lt;=$U$2),IF(X899='ESTRATTO CONTO'!$E$2,1+COUNTIF(U$4:U898,"&gt;0"),0),0)</f>
        <v>0</v>
      </c>
      <c r="V899" s="417">
        <f t="shared" si="164"/>
        <v>896</v>
      </c>
      <c r="W899" s="509"/>
      <c r="X899" s="321"/>
      <c r="Y899" s="321"/>
      <c r="Z899" s="508"/>
      <c r="AA899" s="356"/>
      <c r="AB899" s="306" t="str">
        <f t="shared" si="160"/>
        <v/>
      </c>
      <c r="AC899" s="637">
        <f t="shared" ca="1" si="170"/>
        <v>-2.1316282072803006E-13</v>
      </c>
      <c r="AD899" s="935">
        <f>IF(ISERROR(VLOOKUP(AD$2,X900:X$1003,1,FALSE)),IF(X899=AD$2,SUMIF(X$4:X899,AD$2,Z$4:Z899)+$E$9+SUM(AQ$4:AQ$1003)+SUMIF(COSTI!$X$1379:$X$1430,AD$2,COSTI!$Z$1379:$Z$1430),0),0)</f>
        <v>0</v>
      </c>
      <c r="AE899" s="26"/>
      <c r="AF899" s="856" t="e">
        <f>IF(ISERROR(VLOOKUP(AG$2,X900:X$1003,1,FALSE)),IF(X899=AG$2,SUMIF(X$4:X899,AG$2,Z$4:Z899)+VLOOKUP(AF$2,$B$1057:$F$1068,5,FALSE)+SUM(AR$4:AR$1003)+SUMIF(COSTI!$X$1379:$X$1430,AG$2,COSTI!$Z$1379:$Z$1430),0),0)</f>
        <v>#N/A</v>
      </c>
      <c r="AG899" s="859"/>
      <c r="AH899" s="27" t="str">
        <f t="shared" si="161"/>
        <v/>
      </c>
      <c r="AI899" s="152">
        <f ca="1">IF(W900&gt;0,0,IF(AH899=0,(Z899*-1)+BC899+SUM(BB$4:BB898),BC899+SUM(BB$4:BB898)))</f>
        <v>-2.1316282072803006E-13</v>
      </c>
      <c r="AJ899" s="931">
        <f>IF(AND(AL899&gt;=$U$1,AL899&lt;=$U$2),IF(AM899='ESTRATTO CONTO'!$E$2,1+COUNTIF(AJ$4:AJ898,"&gt;0")+U$1015,0),0)</f>
        <v>0</v>
      </c>
      <c r="AK899" s="203">
        <f>IF(AND(OR((AK898+1)&lt;AL$1015,(AK898+1)=AL$1015),MAX(AK$4:AK898)&lt;AL$1015),AK898+1,0)</f>
        <v>0</v>
      </c>
      <c r="AL899" s="309">
        <f>VLOOKUP($AK899,ENTI!$AF$4:AG$1003,2,FALSE)</f>
        <v>0</v>
      </c>
      <c r="AM899" s="224">
        <f>VLOOKUP($AK899,ENTI!$AF$4:AH$1003,3,FALSE)</f>
        <v>0</v>
      </c>
      <c r="AN899" s="224">
        <f>VLOOKUP($AK899,ENTI!$AF$4:AI$1003,4,FALSE)</f>
        <v>0</v>
      </c>
      <c r="AO899" s="781">
        <f>VLOOKUP($AK899,ENTI!$AF$4:AJ$1003,5,FALSE)</f>
        <v>0</v>
      </c>
      <c r="AP899" s="315">
        <f>VLOOKUP($AK899,ENTI!$AF$4:AK$1003,6,FALSE)</f>
        <v>0</v>
      </c>
      <c r="AQ899" s="208">
        <f t="shared" si="168"/>
        <v>0</v>
      </c>
      <c r="AR899" s="152" t="e">
        <f t="shared" si="169"/>
        <v>#N/A</v>
      </c>
      <c r="AS899" s="1"/>
      <c r="AT899" s="88" t="str">
        <f t="shared" si="162"/>
        <v/>
      </c>
      <c r="AU899" s="1"/>
      <c r="AV899" s="175">
        <f>IF(AW899&gt;0,COUNTIF(AV$4:AV898,"&gt;0")+1,0)</f>
        <v>0</v>
      </c>
      <c r="AW899" s="164">
        <f t="shared" si="163"/>
        <v>0</v>
      </c>
      <c r="AX899" s="310">
        <f>IF($AW899=0,0,VLOOKUP(VLOOKUP($X899,$B$34:$T$38,19,FALSE),ENTI!$A$9:$B$13,2,FALSE))</f>
        <v>0</v>
      </c>
      <c r="AY899" s="310">
        <f t="shared" si="165"/>
        <v>0</v>
      </c>
      <c r="AZ899" s="316">
        <f t="shared" si="166"/>
        <v>0</v>
      </c>
      <c r="BA899" s="1"/>
      <c r="BB899" s="152">
        <f t="shared" si="167"/>
        <v>0</v>
      </c>
      <c r="BC899" s="152">
        <f ca="1">SUM(Z$4:Z899)+SUM(BB$4:BB899)+COSTI!S$6-COSTI!L$1076</f>
        <v>-31.760000000000218</v>
      </c>
      <c r="BD899" s="1"/>
    </row>
    <row r="900" spans="1:56" ht="16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435">
        <f>IF(AND(W900&gt;=$U$1,W900&lt;=$U$2),IF(X900='ESTRATTO CONTO'!$E$2,1+COUNTIF(U$4:U899,"&gt;0"),0),0)</f>
        <v>0</v>
      </c>
      <c r="V900" s="417">
        <f t="shared" si="164"/>
        <v>897</v>
      </c>
      <c r="W900" s="509"/>
      <c r="X900" s="321"/>
      <c r="Y900" s="321"/>
      <c r="Z900" s="508"/>
      <c r="AA900" s="356"/>
      <c r="AB900" s="306" t="str">
        <f t="shared" ref="AB900:AB963" si="171">IF(W900&gt;0,IF(AND(W900&gt;=W$1012,W900&lt;=W$1013),CONCATENATE(MONTH(W900)&amp;X900),0),"")</f>
        <v/>
      </c>
      <c r="AC900" s="637">
        <f t="shared" ca="1" si="170"/>
        <v>-2.1316282072803006E-13</v>
      </c>
      <c r="AD900" s="935">
        <f>IF(ISERROR(VLOOKUP(AD$2,X901:X$1003,1,FALSE)),IF(X900=AD$2,SUMIF(X$4:X900,AD$2,Z$4:Z900)+$E$9+SUM(AQ$4:AQ$1003)+SUMIF(COSTI!$X$1379:$X$1430,AD$2,COSTI!$Z$1379:$Z$1430),0),0)</f>
        <v>0</v>
      </c>
      <c r="AE900" s="26"/>
      <c r="AF900" s="856" t="e">
        <f>IF(ISERROR(VLOOKUP(AG$2,X901:X$1003,1,FALSE)),IF(X900=AG$2,SUMIF(X$4:X900,AG$2,Z$4:Z900)+VLOOKUP(AF$2,$B$1057:$F$1068,5,FALSE)+SUM(AR$4:AR$1003)+SUMIF(COSTI!$X$1379:$X$1430,AG$2,COSTI!$Z$1379:$Z$1430),0),0)</f>
        <v>#N/A</v>
      </c>
      <c r="AG900" s="859"/>
      <c r="AH900" s="27" t="str">
        <f t="shared" ref="AH900:AH963" si="172">IF(ISBLANK(X900),"",IF(ISERROR(VLOOKUP(X900,B$34:B$38,1,FALSE)),1,0))</f>
        <v/>
      </c>
      <c r="AI900" s="152">
        <f ca="1">IF(W901&gt;0,0,IF(AH900=0,(Z900*-1)+BC900+SUM(BB$4:BB899),BC900+SUM(BB$4:BB899)))</f>
        <v>-2.1316282072803006E-13</v>
      </c>
      <c r="AJ900" s="931">
        <f>IF(AND(AL900&gt;=$U$1,AL900&lt;=$U$2),IF(AM900='ESTRATTO CONTO'!$E$2,1+COUNTIF(AJ$4:AJ899,"&gt;0")+U$1015,0),0)</f>
        <v>0</v>
      </c>
      <c r="AK900" s="203">
        <f>IF(AND(OR((AK899+1)&lt;AL$1015,(AK899+1)=AL$1015),MAX(AK$4:AK899)&lt;AL$1015),AK899+1,0)</f>
        <v>0</v>
      </c>
      <c r="AL900" s="309">
        <f>VLOOKUP($AK900,ENTI!$AF$4:AG$1003,2,FALSE)</f>
        <v>0</v>
      </c>
      <c r="AM900" s="224">
        <f>VLOOKUP($AK900,ENTI!$AF$4:AH$1003,3,FALSE)</f>
        <v>0</v>
      </c>
      <c r="AN900" s="224">
        <f>VLOOKUP($AK900,ENTI!$AF$4:AI$1003,4,FALSE)</f>
        <v>0</v>
      </c>
      <c r="AO900" s="781">
        <f>VLOOKUP($AK900,ENTI!$AF$4:AJ$1003,5,FALSE)</f>
        <v>0</v>
      </c>
      <c r="AP900" s="315">
        <f>VLOOKUP($AK900,ENTI!$AF$4:AK$1003,6,FALSE)</f>
        <v>0</v>
      </c>
      <c r="AQ900" s="208">
        <f t="shared" si="168"/>
        <v>0</v>
      </c>
      <c r="AR900" s="152" t="e">
        <f t="shared" si="169"/>
        <v>#N/A</v>
      </c>
      <c r="AS900" s="1"/>
      <c r="AT900" s="88" t="str">
        <f t="shared" ref="AT900:AT963" si="173">IF(AL900&gt;0,IF(AND(AL900&gt;=W$1012,AL900&lt;=W$1013),CONCATENATE(MONTH(AL900)&amp;AM900),0),"")</f>
        <v/>
      </c>
      <c r="AU900" s="1"/>
      <c r="AV900" s="175">
        <f>IF(AW900&gt;0,COUNTIF(AV$4:AV899,"&gt;0")+1,0)</f>
        <v>0</v>
      </c>
      <c r="AW900" s="164">
        <f t="shared" ref="AW900:AW963" si="174">IF(ISERROR(VLOOKUP($X900,$B$34:$B$38,1,FALSE)),0,W900)</f>
        <v>0</v>
      </c>
      <c r="AX900" s="310">
        <f>IF($AW900=0,0,VLOOKUP(VLOOKUP($X900,$B$34:$T$38,19,FALSE),ENTI!$A$9:$B$13,2,FALSE))</f>
        <v>0</v>
      </c>
      <c r="AY900" s="310">
        <f t="shared" si="165"/>
        <v>0</v>
      </c>
      <c r="AZ900" s="316">
        <f t="shared" si="166"/>
        <v>0</v>
      </c>
      <c r="BA900" s="1"/>
      <c r="BB900" s="152">
        <f t="shared" si="167"/>
        <v>0</v>
      </c>
      <c r="BC900" s="152">
        <f ca="1">SUM(Z$4:Z900)+SUM(BB$4:BB900)+COSTI!S$6-COSTI!L$1076</f>
        <v>-31.760000000000218</v>
      </c>
      <c r="BD900" s="1"/>
    </row>
    <row r="901" spans="1:56" ht="16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435">
        <f>IF(AND(W901&gt;=$U$1,W901&lt;=$U$2),IF(X901='ESTRATTO CONTO'!$E$2,1+COUNTIF(U$4:U900,"&gt;0"),0),0)</f>
        <v>0</v>
      </c>
      <c r="V901" s="417">
        <f t="shared" si="164"/>
        <v>898</v>
      </c>
      <c r="W901" s="509"/>
      <c r="X901" s="321"/>
      <c r="Y901" s="321"/>
      <c r="Z901" s="508"/>
      <c r="AA901" s="356"/>
      <c r="AB901" s="306" t="str">
        <f t="shared" si="171"/>
        <v/>
      </c>
      <c r="AC901" s="637">
        <f t="shared" ca="1" si="170"/>
        <v>-2.1316282072803006E-13</v>
      </c>
      <c r="AD901" s="935">
        <f>IF(ISERROR(VLOOKUP(AD$2,X902:X$1003,1,FALSE)),IF(X901=AD$2,SUMIF(X$4:X901,AD$2,Z$4:Z901)+$E$9+SUM(AQ$4:AQ$1003)+SUMIF(COSTI!$X$1379:$X$1430,AD$2,COSTI!$Z$1379:$Z$1430),0),0)</f>
        <v>0</v>
      </c>
      <c r="AE901" s="26"/>
      <c r="AF901" s="856" t="e">
        <f>IF(ISERROR(VLOOKUP(AG$2,X902:X$1003,1,FALSE)),IF(X901=AG$2,SUMIF(X$4:X901,AG$2,Z$4:Z901)+VLOOKUP(AF$2,$B$1057:$F$1068,5,FALSE)+SUM(AR$4:AR$1003)+SUMIF(COSTI!$X$1379:$X$1430,AG$2,COSTI!$Z$1379:$Z$1430),0),0)</f>
        <v>#N/A</v>
      </c>
      <c r="AG901" s="859"/>
      <c r="AH901" s="27" t="str">
        <f t="shared" si="172"/>
        <v/>
      </c>
      <c r="AI901" s="152">
        <f ca="1">IF(W902&gt;0,0,IF(AH901=0,(Z901*-1)+BC901+SUM(BB$4:BB900),BC901+SUM(BB$4:BB900)))</f>
        <v>-2.1316282072803006E-13</v>
      </c>
      <c r="AJ901" s="931">
        <f>IF(AND(AL901&gt;=$U$1,AL901&lt;=$U$2),IF(AM901='ESTRATTO CONTO'!$E$2,1+COUNTIF(AJ$4:AJ900,"&gt;0")+U$1015,0),0)</f>
        <v>0</v>
      </c>
      <c r="AK901" s="203">
        <f>IF(AND(OR((AK900+1)&lt;AL$1015,(AK900+1)=AL$1015),MAX(AK$4:AK900)&lt;AL$1015),AK900+1,0)</f>
        <v>0</v>
      </c>
      <c r="AL901" s="309">
        <f>VLOOKUP($AK901,ENTI!$AF$4:AG$1003,2,FALSE)</f>
        <v>0</v>
      </c>
      <c r="AM901" s="224">
        <f>VLOOKUP($AK901,ENTI!$AF$4:AH$1003,3,FALSE)</f>
        <v>0</v>
      </c>
      <c r="AN901" s="224">
        <f>VLOOKUP($AK901,ENTI!$AF$4:AI$1003,4,FALSE)</f>
        <v>0</v>
      </c>
      <c r="AO901" s="781">
        <f>VLOOKUP($AK901,ENTI!$AF$4:AJ$1003,5,FALSE)</f>
        <v>0</v>
      </c>
      <c r="AP901" s="315">
        <f>VLOOKUP($AK901,ENTI!$AF$4:AK$1003,6,FALSE)</f>
        <v>0</v>
      </c>
      <c r="AQ901" s="208">
        <f t="shared" si="168"/>
        <v>0</v>
      </c>
      <c r="AR901" s="152" t="e">
        <f t="shared" si="169"/>
        <v>#N/A</v>
      </c>
      <c r="AS901" s="1"/>
      <c r="AT901" s="88" t="str">
        <f t="shared" si="173"/>
        <v/>
      </c>
      <c r="AU901" s="1"/>
      <c r="AV901" s="175">
        <f>IF(AW901&gt;0,COUNTIF(AV$4:AV900,"&gt;0")+1,0)</f>
        <v>0</v>
      </c>
      <c r="AW901" s="164">
        <f t="shared" si="174"/>
        <v>0</v>
      </c>
      <c r="AX901" s="310">
        <f>IF($AW901=0,0,VLOOKUP(VLOOKUP($X901,$B$34:$T$38,19,FALSE),ENTI!$A$9:$B$13,2,FALSE))</f>
        <v>0</v>
      </c>
      <c r="AY901" s="310">
        <f t="shared" si="165"/>
        <v>0</v>
      </c>
      <c r="AZ901" s="316">
        <f t="shared" si="166"/>
        <v>0</v>
      </c>
      <c r="BA901" s="1"/>
      <c r="BB901" s="152">
        <f t="shared" si="167"/>
        <v>0</v>
      </c>
      <c r="BC901" s="152">
        <f ca="1">SUM(Z$4:Z901)+SUM(BB$4:BB901)+COSTI!S$6-COSTI!L$1076</f>
        <v>-31.760000000000218</v>
      </c>
      <c r="BD901" s="1"/>
    </row>
    <row r="902" spans="1:56" ht="16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435">
        <f>IF(AND(W902&gt;=$U$1,W902&lt;=$U$2),IF(X902='ESTRATTO CONTO'!$E$2,1+COUNTIF(U$4:U901,"&gt;0"),0),0)</f>
        <v>0</v>
      </c>
      <c r="V902" s="417">
        <f t="shared" ref="V902:V965" si="175">V901+1</f>
        <v>899</v>
      </c>
      <c r="W902" s="509"/>
      <c r="X902" s="321"/>
      <c r="Y902" s="321"/>
      <c r="Z902" s="508"/>
      <c r="AA902" s="356"/>
      <c r="AB902" s="306" t="str">
        <f t="shared" si="171"/>
        <v/>
      </c>
      <c r="AC902" s="637">
        <f t="shared" ca="1" si="170"/>
        <v>-2.1316282072803006E-13</v>
      </c>
      <c r="AD902" s="935">
        <f>IF(ISERROR(VLOOKUP(AD$2,X903:X$1003,1,FALSE)),IF(X902=AD$2,SUMIF(X$4:X902,AD$2,Z$4:Z902)+$E$9+SUM(AQ$4:AQ$1003)+SUMIF(COSTI!$X$1379:$X$1430,AD$2,COSTI!$Z$1379:$Z$1430),0),0)</f>
        <v>0</v>
      </c>
      <c r="AE902" s="26"/>
      <c r="AF902" s="856" t="e">
        <f>IF(ISERROR(VLOOKUP(AG$2,X903:X$1003,1,FALSE)),IF(X902=AG$2,SUMIF(X$4:X902,AG$2,Z$4:Z902)+VLOOKUP(AF$2,$B$1057:$F$1068,5,FALSE)+SUM(AR$4:AR$1003)+SUMIF(COSTI!$X$1379:$X$1430,AG$2,COSTI!$Z$1379:$Z$1430),0),0)</f>
        <v>#N/A</v>
      </c>
      <c r="AG902" s="859"/>
      <c r="AH902" s="27" t="str">
        <f t="shared" si="172"/>
        <v/>
      </c>
      <c r="AI902" s="152">
        <f ca="1">IF(W903&gt;0,0,IF(AH902=0,(Z902*-1)+BC902+SUM(BB$4:BB901),BC902+SUM(BB$4:BB901)))</f>
        <v>-2.1316282072803006E-13</v>
      </c>
      <c r="AJ902" s="931">
        <f>IF(AND(AL902&gt;=$U$1,AL902&lt;=$U$2),IF(AM902='ESTRATTO CONTO'!$E$2,1+COUNTIF(AJ$4:AJ901,"&gt;0")+U$1015,0),0)</f>
        <v>0</v>
      </c>
      <c r="AK902" s="203">
        <f>IF(AND(OR((AK901+1)&lt;AL$1015,(AK901+1)=AL$1015),MAX(AK$4:AK901)&lt;AL$1015),AK901+1,0)</f>
        <v>0</v>
      </c>
      <c r="AL902" s="309">
        <f>VLOOKUP($AK902,ENTI!$AF$4:AG$1003,2,FALSE)</f>
        <v>0</v>
      </c>
      <c r="AM902" s="224">
        <f>VLOOKUP($AK902,ENTI!$AF$4:AH$1003,3,FALSE)</f>
        <v>0</v>
      </c>
      <c r="AN902" s="224">
        <f>VLOOKUP($AK902,ENTI!$AF$4:AI$1003,4,FALSE)</f>
        <v>0</v>
      </c>
      <c r="AO902" s="781">
        <f>VLOOKUP($AK902,ENTI!$AF$4:AJ$1003,5,FALSE)</f>
        <v>0</v>
      </c>
      <c r="AP902" s="315">
        <f>VLOOKUP($AK902,ENTI!$AF$4:AK$1003,6,FALSE)</f>
        <v>0</v>
      </c>
      <c r="AQ902" s="208">
        <f t="shared" si="168"/>
        <v>0</v>
      </c>
      <c r="AR902" s="152" t="e">
        <f t="shared" si="169"/>
        <v>#N/A</v>
      </c>
      <c r="AS902" s="1"/>
      <c r="AT902" s="88" t="str">
        <f t="shared" si="173"/>
        <v/>
      </c>
      <c r="AU902" s="1"/>
      <c r="AV902" s="175">
        <f>IF(AW902&gt;0,COUNTIF(AV$4:AV901,"&gt;0")+1,0)</f>
        <v>0</v>
      </c>
      <c r="AW902" s="164">
        <f t="shared" si="174"/>
        <v>0</v>
      </c>
      <c r="AX902" s="310">
        <f>IF($AW902=0,0,VLOOKUP(VLOOKUP($X902,$B$34:$T$38,19,FALSE),ENTI!$A$9:$B$13,2,FALSE))</f>
        <v>0</v>
      </c>
      <c r="AY902" s="310">
        <f t="shared" ref="AY902:AY965" si="176">IF(AW902=0,0,Y902)</f>
        <v>0</v>
      </c>
      <c r="AZ902" s="316">
        <f t="shared" ref="AZ902:AZ965" si="177">IF(AW902=0,0,Z902)</f>
        <v>0</v>
      </c>
      <c r="BA902" s="1"/>
      <c r="BB902" s="152">
        <f t="shared" ref="BB902:BB965" si="178">IF(ISERROR(VLOOKUP(X902,B$9:D$15,1,FALSE)),Z902*-1,0)</f>
        <v>0</v>
      </c>
      <c r="BC902" s="152">
        <f ca="1">SUM(Z$4:Z902)+SUM(BB$4:BB902)+COSTI!S$6-COSTI!L$1076</f>
        <v>-31.760000000000218</v>
      </c>
      <c r="BD902" s="1"/>
    </row>
    <row r="903" spans="1:56" ht="16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435">
        <f>IF(AND(W903&gt;=$U$1,W903&lt;=$U$2),IF(X903='ESTRATTO CONTO'!$E$2,1+COUNTIF(U$4:U902,"&gt;0"),0),0)</f>
        <v>0</v>
      </c>
      <c r="V903" s="417">
        <f t="shared" si="175"/>
        <v>900</v>
      </c>
      <c r="W903" s="509"/>
      <c r="X903" s="321"/>
      <c r="Y903" s="321"/>
      <c r="Z903" s="508"/>
      <c r="AA903" s="356"/>
      <c r="AB903" s="306" t="str">
        <f t="shared" si="171"/>
        <v/>
      </c>
      <c r="AC903" s="637">
        <f t="shared" ca="1" si="170"/>
        <v>-2.1316282072803006E-13</v>
      </c>
      <c r="AD903" s="935">
        <f>IF(ISERROR(VLOOKUP(AD$2,X904:X$1003,1,FALSE)),IF(X903=AD$2,SUMIF(X$4:X903,AD$2,Z$4:Z903)+$E$9+SUM(AQ$4:AQ$1003)+SUMIF(COSTI!$X$1379:$X$1430,AD$2,COSTI!$Z$1379:$Z$1430),0),0)</f>
        <v>0</v>
      </c>
      <c r="AE903" s="26"/>
      <c r="AF903" s="856" t="e">
        <f>IF(ISERROR(VLOOKUP(AG$2,X904:X$1003,1,FALSE)),IF(X903=AG$2,SUMIF(X$4:X903,AG$2,Z$4:Z903)+VLOOKUP(AF$2,$B$1057:$F$1068,5,FALSE)+SUM(AR$4:AR$1003)+SUMIF(COSTI!$X$1379:$X$1430,AG$2,COSTI!$Z$1379:$Z$1430),0),0)</f>
        <v>#N/A</v>
      </c>
      <c r="AG903" s="859"/>
      <c r="AH903" s="27" t="str">
        <f t="shared" si="172"/>
        <v/>
      </c>
      <c r="AI903" s="152">
        <f ca="1">IF(W904&gt;0,0,IF(AH903=0,(Z903*-1)+BC903+SUM(BB$4:BB902),BC903+SUM(BB$4:BB902)))</f>
        <v>-2.1316282072803006E-13</v>
      </c>
      <c r="AJ903" s="931">
        <f>IF(AND(AL903&gt;=$U$1,AL903&lt;=$U$2),IF(AM903='ESTRATTO CONTO'!$E$2,1+COUNTIF(AJ$4:AJ902,"&gt;0")+U$1015,0),0)</f>
        <v>0</v>
      </c>
      <c r="AK903" s="203">
        <f>IF(AND(OR((AK902+1)&lt;AL$1015,(AK902+1)=AL$1015),MAX(AK$4:AK902)&lt;AL$1015),AK902+1,0)</f>
        <v>0</v>
      </c>
      <c r="AL903" s="309">
        <f>VLOOKUP($AK903,ENTI!$AF$4:AG$1003,2,FALSE)</f>
        <v>0</v>
      </c>
      <c r="AM903" s="224">
        <f>VLOOKUP($AK903,ENTI!$AF$4:AH$1003,3,FALSE)</f>
        <v>0</v>
      </c>
      <c r="AN903" s="224">
        <f>VLOOKUP($AK903,ENTI!$AF$4:AI$1003,4,FALSE)</f>
        <v>0</v>
      </c>
      <c r="AO903" s="781">
        <f>VLOOKUP($AK903,ENTI!$AF$4:AJ$1003,5,FALSE)</f>
        <v>0</v>
      </c>
      <c r="AP903" s="315">
        <f>VLOOKUP($AK903,ENTI!$AF$4:AK$1003,6,FALSE)</f>
        <v>0</v>
      </c>
      <c r="AQ903" s="208">
        <f t="shared" si="168"/>
        <v>0</v>
      </c>
      <c r="AR903" s="152" t="e">
        <f t="shared" si="169"/>
        <v>#N/A</v>
      </c>
      <c r="AS903" s="1"/>
      <c r="AT903" s="88" t="str">
        <f t="shared" si="173"/>
        <v/>
      </c>
      <c r="AU903" s="1"/>
      <c r="AV903" s="175">
        <f>IF(AW903&gt;0,COUNTIF(AV$4:AV902,"&gt;0")+1,0)</f>
        <v>0</v>
      </c>
      <c r="AW903" s="164">
        <f t="shared" si="174"/>
        <v>0</v>
      </c>
      <c r="AX903" s="310">
        <f>IF($AW903=0,0,VLOOKUP(VLOOKUP($X903,$B$34:$T$38,19,FALSE),ENTI!$A$9:$B$13,2,FALSE))</f>
        <v>0</v>
      </c>
      <c r="AY903" s="310">
        <f t="shared" si="176"/>
        <v>0</v>
      </c>
      <c r="AZ903" s="316">
        <f t="shared" si="177"/>
        <v>0</v>
      </c>
      <c r="BA903" s="1"/>
      <c r="BB903" s="152">
        <f t="shared" si="178"/>
        <v>0</v>
      </c>
      <c r="BC903" s="152">
        <f ca="1">SUM(Z$4:Z903)+SUM(BB$4:BB903)+COSTI!S$6-COSTI!L$1076</f>
        <v>-31.760000000000218</v>
      </c>
      <c r="BD903" s="1"/>
    </row>
    <row r="904" spans="1:56" ht="16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435">
        <f>IF(AND(W904&gt;=$U$1,W904&lt;=$U$2),IF(X904='ESTRATTO CONTO'!$E$2,1+COUNTIF(U$4:U903,"&gt;0"),0),0)</f>
        <v>0</v>
      </c>
      <c r="V904" s="417">
        <f t="shared" si="175"/>
        <v>901</v>
      </c>
      <c r="W904" s="509"/>
      <c r="X904" s="321"/>
      <c r="Y904" s="321"/>
      <c r="Z904" s="508"/>
      <c r="AA904" s="356"/>
      <c r="AB904" s="306" t="str">
        <f t="shared" si="171"/>
        <v/>
      </c>
      <c r="AC904" s="637">
        <f t="shared" ca="1" si="170"/>
        <v>-2.1316282072803006E-13</v>
      </c>
      <c r="AD904" s="935">
        <f>IF(ISERROR(VLOOKUP(AD$2,X905:X$1003,1,FALSE)),IF(X904=AD$2,SUMIF(X$4:X904,AD$2,Z$4:Z904)+$E$9+SUM(AQ$4:AQ$1003)+SUMIF(COSTI!$X$1379:$X$1430,AD$2,COSTI!$Z$1379:$Z$1430),0),0)</f>
        <v>0</v>
      </c>
      <c r="AE904" s="26"/>
      <c r="AF904" s="856" t="e">
        <f>IF(ISERROR(VLOOKUP(AG$2,X905:X$1003,1,FALSE)),IF(X904=AG$2,SUMIF(X$4:X904,AG$2,Z$4:Z904)+VLOOKUP(AF$2,$B$1057:$F$1068,5,FALSE)+SUM(AR$4:AR$1003)+SUMIF(COSTI!$X$1379:$X$1430,AG$2,COSTI!$Z$1379:$Z$1430),0),0)</f>
        <v>#N/A</v>
      </c>
      <c r="AG904" s="859"/>
      <c r="AH904" s="27" t="str">
        <f t="shared" si="172"/>
        <v/>
      </c>
      <c r="AI904" s="152">
        <f ca="1">IF(W905&gt;0,0,IF(AH904=0,(Z904*-1)+BC904+SUM(BB$4:BB903),BC904+SUM(BB$4:BB903)))</f>
        <v>-2.1316282072803006E-13</v>
      </c>
      <c r="AJ904" s="931">
        <f>IF(AND(AL904&gt;=$U$1,AL904&lt;=$U$2),IF(AM904='ESTRATTO CONTO'!$E$2,1+COUNTIF(AJ$4:AJ903,"&gt;0")+U$1015,0),0)</f>
        <v>0</v>
      </c>
      <c r="AK904" s="203">
        <f>IF(AND(OR((AK903+1)&lt;AL$1015,(AK903+1)=AL$1015),MAX(AK$4:AK903)&lt;AL$1015),AK903+1,0)</f>
        <v>0</v>
      </c>
      <c r="AL904" s="309">
        <f>VLOOKUP($AK904,ENTI!$AF$4:AG$1003,2,FALSE)</f>
        <v>0</v>
      </c>
      <c r="AM904" s="224">
        <f>VLOOKUP($AK904,ENTI!$AF$4:AH$1003,3,FALSE)</f>
        <v>0</v>
      </c>
      <c r="AN904" s="224">
        <f>VLOOKUP($AK904,ENTI!$AF$4:AI$1003,4,FALSE)</f>
        <v>0</v>
      </c>
      <c r="AO904" s="781">
        <f>VLOOKUP($AK904,ENTI!$AF$4:AJ$1003,5,FALSE)</f>
        <v>0</v>
      </c>
      <c r="AP904" s="315">
        <f>VLOOKUP($AK904,ENTI!$AF$4:AK$1003,6,FALSE)</f>
        <v>0</v>
      </c>
      <c r="AQ904" s="208">
        <f t="shared" si="168"/>
        <v>0</v>
      </c>
      <c r="AR904" s="152" t="e">
        <f t="shared" si="169"/>
        <v>#N/A</v>
      </c>
      <c r="AS904" s="1"/>
      <c r="AT904" s="88" t="str">
        <f t="shared" si="173"/>
        <v/>
      </c>
      <c r="AU904" s="1"/>
      <c r="AV904" s="175">
        <f>IF(AW904&gt;0,COUNTIF(AV$4:AV903,"&gt;0")+1,0)</f>
        <v>0</v>
      </c>
      <c r="AW904" s="164">
        <f t="shared" si="174"/>
        <v>0</v>
      </c>
      <c r="AX904" s="310">
        <f>IF($AW904=0,0,VLOOKUP(VLOOKUP($X904,$B$34:$T$38,19,FALSE),ENTI!$A$9:$B$13,2,FALSE))</f>
        <v>0</v>
      </c>
      <c r="AY904" s="310">
        <f t="shared" si="176"/>
        <v>0</v>
      </c>
      <c r="AZ904" s="316">
        <f t="shared" si="177"/>
        <v>0</v>
      </c>
      <c r="BA904" s="1"/>
      <c r="BB904" s="152">
        <f t="shared" si="178"/>
        <v>0</v>
      </c>
      <c r="BC904" s="152">
        <f ca="1">SUM(Z$4:Z904)+SUM(BB$4:BB904)+COSTI!S$6-COSTI!L$1076</f>
        <v>-31.760000000000218</v>
      </c>
      <c r="BD904" s="1"/>
    </row>
    <row r="905" spans="1:56" ht="16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435">
        <f>IF(AND(W905&gt;=$U$1,W905&lt;=$U$2),IF(X905='ESTRATTO CONTO'!$E$2,1+COUNTIF(U$4:U904,"&gt;0"),0),0)</f>
        <v>0</v>
      </c>
      <c r="V905" s="417">
        <f t="shared" si="175"/>
        <v>902</v>
      </c>
      <c r="W905" s="509"/>
      <c r="X905" s="321"/>
      <c r="Y905" s="321"/>
      <c r="Z905" s="508"/>
      <c r="AA905" s="356"/>
      <c r="AB905" s="306" t="str">
        <f t="shared" si="171"/>
        <v/>
      </c>
      <c r="AC905" s="637">
        <f t="shared" ca="1" si="170"/>
        <v>-2.1316282072803006E-13</v>
      </c>
      <c r="AD905" s="935">
        <f>IF(ISERROR(VLOOKUP(AD$2,X906:X$1003,1,FALSE)),IF(X905=AD$2,SUMIF(X$4:X905,AD$2,Z$4:Z905)+$E$9+SUM(AQ$4:AQ$1003)+SUMIF(COSTI!$X$1379:$X$1430,AD$2,COSTI!$Z$1379:$Z$1430),0),0)</f>
        <v>0</v>
      </c>
      <c r="AE905" s="26"/>
      <c r="AF905" s="856" t="e">
        <f>IF(ISERROR(VLOOKUP(AG$2,X906:X$1003,1,FALSE)),IF(X905=AG$2,SUMIF(X$4:X905,AG$2,Z$4:Z905)+VLOOKUP(AF$2,$B$1057:$F$1068,5,FALSE)+SUM(AR$4:AR$1003)+SUMIF(COSTI!$X$1379:$X$1430,AG$2,COSTI!$Z$1379:$Z$1430),0),0)</f>
        <v>#N/A</v>
      </c>
      <c r="AG905" s="859"/>
      <c r="AH905" s="27" t="str">
        <f t="shared" si="172"/>
        <v/>
      </c>
      <c r="AI905" s="152">
        <f ca="1">IF(W906&gt;0,0,IF(AH905=0,(Z905*-1)+BC905+SUM(BB$4:BB904),BC905+SUM(BB$4:BB904)))</f>
        <v>-2.1316282072803006E-13</v>
      </c>
      <c r="AJ905" s="931">
        <f>IF(AND(AL905&gt;=$U$1,AL905&lt;=$U$2),IF(AM905='ESTRATTO CONTO'!$E$2,1+COUNTIF(AJ$4:AJ904,"&gt;0")+U$1015,0),0)</f>
        <v>0</v>
      </c>
      <c r="AK905" s="203">
        <f>IF(AND(OR((AK904+1)&lt;AL$1015,(AK904+1)=AL$1015),MAX(AK$4:AK904)&lt;AL$1015),AK904+1,0)</f>
        <v>0</v>
      </c>
      <c r="AL905" s="309">
        <f>VLOOKUP($AK905,ENTI!$AF$4:AG$1003,2,FALSE)</f>
        <v>0</v>
      </c>
      <c r="AM905" s="224">
        <f>VLOOKUP($AK905,ENTI!$AF$4:AH$1003,3,FALSE)</f>
        <v>0</v>
      </c>
      <c r="AN905" s="224">
        <f>VLOOKUP($AK905,ENTI!$AF$4:AI$1003,4,FALSE)</f>
        <v>0</v>
      </c>
      <c r="AO905" s="781">
        <f>VLOOKUP($AK905,ENTI!$AF$4:AJ$1003,5,FALSE)</f>
        <v>0</v>
      </c>
      <c r="AP905" s="315">
        <f>VLOOKUP($AK905,ENTI!$AF$4:AK$1003,6,FALSE)</f>
        <v>0</v>
      </c>
      <c r="AQ905" s="208">
        <f t="shared" si="168"/>
        <v>0</v>
      </c>
      <c r="AR905" s="152" t="e">
        <f t="shared" si="169"/>
        <v>#N/A</v>
      </c>
      <c r="AS905" s="1"/>
      <c r="AT905" s="88" t="str">
        <f t="shared" si="173"/>
        <v/>
      </c>
      <c r="AU905" s="1"/>
      <c r="AV905" s="175">
        <f>IF(AW905&gt;0,COUNTIF(AV$4:AV904,"&gt;0")+1,0)</f>
        <v>0</v>
      </c>
      <c r="AW905" s="164">
        <f t="shared" si="174"/>
        <v>0</v>
      </c>
      <c r="AX905" s="310">
        <f>IF($AW905=0,0,VLOOKUP(VLOOKUP($X905,$B$34:$T$38,19,FALSE),ENTI!$A$9:$B$13,2,FALSE))</f>
        <v>0</v>
      </c>
      <c r="AY905" s="310">
        <f t="shared" si="176"/>
        <v>0</v>
      </c>
      <c r="AZ905" s="316">
        <f t="shared" si="177"/>
        <v>0</v>
      </c>
      <c r="BA905" s="1"/>
      <c r="BB905" s="152">
        <f t="shared" si="178"/>
        <v>0</v>
      </c>
      <c r="BC905" s="152">
        <f ca="1">SUM(Z$4:Z905)+SUM(BB$4:BB905)+COSTI!S$6-COSTI!L$1076</f>
        <v>-31.760000000000218</v>
      </c>
      <c r="BD905" s="1"/>
    </row>
    <row r="906" spans="1:56" ht="16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435">
        <f>IF(AND(W906&gt;=$U$1,W906&lt;=$U$2),IF(X906='ESTRATTO CONTO'!$E$2,1+COUNTIF(U$4:U905,"&gt;0"),0),0)</f>
        <v>0</v>
      </c>
      <c r="V906" s="417">
        <f t="shared" si="175"/>
        <v>903</v>
      </c>
      <c r="W906" s="509"/>
      <c r="X906" s="321"/>
      <c r="Y906" s="321"/>
      <c r="Z906" s="508"/>
      <c r="AA906" s="356"/>
      <c r="AB906" s="306" t="str">
        <f t="shared" si="171"/>
        <v/>
      </c>
      <c r="AC906" s="637">
        <f t="shared" ca="1" si="170"/>
        <v>-2.1316282072803006E-13</v>
      </c>
      <c r="AD906" s="935">
        <f>IF(ISERROR(VLOOKUP(AD$2,X907:X$1003,1,FALSE)),IF(X906=AD$2,SUMIF(X$4:X906,AD$2,Z$4:Z906)+$E$9+SUM(AQ$4:AQ$1003)+SUMIF(COSTI!$X$1379:$X$1430,AD$2,COSTI!$Z$1379:$Z$1430),0),0)</f>
        <v>0</v>
      </c>
      <c r="AE906" s="26"/>
      <c r="AF906" s="856" t="e">
        <f>IF(ISERROR(VLOOKUP(AG$2,X907:X$1003,1,FALSE)),IF(X906=AG$2,SUMIF(X$4:X906,AG$2,Z$4:Z906)+VLOOKUP(AF$2,$B$1057:$F$1068,5,FALSE)+SUM(AR$4:AR$1003)+SUMIF(COSTI!$X$1379:$X$1430,AG$2,COSTI!$Z$1379:$Z$1430),0),0)</f>
        <v>#N/A</v>
      </c>
      <c r="AG906" s="859"/>
      <c r="AH906" s="27" t="str">
        <f t="shared" si="172"/>
        <v/>
      </c>
      <c r="AI906" s="152">
        <f ca="1">IF(W907&gt;0,0,IF(AH906=0,(Z906*-1)+BC906+SUM(BB$4:BB905),BC906+SUM(BB$4:BB905)))</f>
        <v>-2.1316282072803006E-13</v>
      </c>
      <c r="AJ906" s="931">
        <f>IF(AND(AL906&gt;=$U$1,AL906&lt;=$U$2),IF(AM906='ESTRATTO CONTO'!$E$2,1+COUNTIF(AJ$4:AJ905,"&gt;0")+U$1015,0),0)</f>
        <v>0</v>
      </c>
      <c r="AK906" s="203">
        <f>IF(AND(OR((AK905+1)&lt;AL$1015,(AK905+1)=AL$1015),MAX(AK$4:AK905)&lt;AL$1015),AK905+1,0)</f>
        <v>0</v>
      </c>
      <c r="AL906" s="309">
        <f>VLOOKUP($AK906,ENTI!$AF$4:AG$1003,2,FALSE)</f>
        <v>0</v>
      </c>
      <c r="AM906" s="224">
        <f>VLOOKUP($AK906,ENTI!$AF$4:AH$1003,3,FALSE)</f>
        <v>0</v>
      </c>
      <c r="AN906" s="224">
        <f>VLOOKUP($AK906,ENTI!$AF$4:AI$1003,4,FALSE)</f>
        <v>0</v>
      </c>
      <c r="AO906" s="781">
        <f>VLOOKUP($AK906,ENTI!$AF$4:AJ$1003,5,FALSE)</f>
        <v>0</v>
      </c>
      <c r="AP906" s="315">
        <f>VLOOKUP($AK906,ENTI!$AF$4:AK$1003,6,FALSE)</f>
        <v>0</v>
      </c>
      <c r="AQ906" s="208">
        <f t="shared" si="168"/>
        <v>0</v>
      </c>
      <c r="AR906" s="152" t="e">
        <f t="shared" si="169"/>
        <v>#N/A</v>
      </c>
      <c r="AS906" s="1"/>
      <c r="AT906" s="88" t="str">
        <f t="shared" si="173"/>
        <v/>
      </c>
      <c r="AU906" s="1"/>
      <c r="AV906" s="175">
        <f>IF(AW906&gt;0,COUNTIF(AV$4:AV905,"&gt;0")+1,0)</f>
        <v>0</v>
      </c>
      <c r="AW906" s="164">
        <f t="shared" si="174"/>
        <v>0</v>
      </c>
      <c r="AX906" s="310">
        <f>IF($AW906=0,0,VLOOKUP(VLOOKUP($X906,$B$34:$T$38,19,FALSE),ENTI!$A$9:$B$13,2,FALSE))</f>
        <v>0</v>
      </c>
      <c r="AY906" s="310">
        <f t="shared" si="176"/>
        <v>0</v>
      </c>
      <c r="AZ906" s="316">
        <f t="shared" si="177"/>
        <v>0</v>
      </c>
      <c r="BA906" s="1"/>
      <c r="BB906" s="152">
        <f t="shared" si="178"/>
        <v>0</v>
      </c>
      <c r="BC906" s="152">
        <f ca="1">SUM(Z$4:Z906)+SUM(BB$4:BB906)+COSTI!S$6-COSTI!L$1076</f>
        <v>-31.760000000000218</v>
      </c>
      <c r="BD906" s="1"/>
    </row>
    <row r="907" spans="1:56" ht="16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435">
        <f>IF(AND(W907&gt;=$U$1,W907&lt;=$U$2),IF(X907='ESTRATTO CONTO'!$E$2,1+COUNTIF(U$4:U906,"&gt;0"),0),0)</f>
        <v>0</v>
      </c>
      <c r="V907" s="417">
        <f t="shared" si="175"/>
        <v>904</v>
      </c>
      <c r="W907" s="509"/>
      <c r="X907" s="321"/>
      <c r="Y907" s="321"/>
      <c r="Z907" s="508"/>
      <c r="AA907" s="356"/>
      <c r="AB907" s="306" t="str">
        <f t="shared" si="171"/>
        <v/>
      </c>
      <c r="AC907" s="637">
        <f t="shared" ca="1" si="170"/>
        <v>-2.1316282072803006E-13</v>
      </c>
      <c r="AD907" s="935">
        <f>IF(ISERROR(VLOOKUP(AD$2,X908:X$1003,1,FALSE)),IF(X907=AD$2,SUMIF(X$4:X907,AD$2,Z$4:Z907)+$E$9+SUM(AQ$4:AQ$1003)+SUMIF(COSTI!$X$1379:$X$1430,AD$2,COSTI!$Z$1379:$Z$1430),0),0)</f>
        <v>0</v>
      </c>
      <c r="AE907" s="26"/>
      <c r="AF907" s="856" t="e">
        <f>IF(ISERROR(VLOOKUP(AG$2,X908:X$1003,1,FALSE)),IF(X907=AG$2,SUMIF(X$4:X907,AG$2,Z$4:Z907)+VLOOKUP(AF$2,$B$1057:$F$1068,5,FALSE)+SUM(AR$4:AR$1003)+SUMIF(COSTI!$X$1379:$X$1430,AG$2,COSTI!$Z$1379:$Z$1430),0),0)</f>
        <v>#N/A</v>
      </c>
      <c r="AG907" s="859"/>
      <c r="AH907" s="27" t="str">
        <f t="shared" si="172"/>
        <v/>
      </c>
      <c r="AI907" s="152">
        <f ca="1">IF(W908&gt;0,0,IF(AH907=0,(Z907*-1)+BC907+SUM(BB$4:BB906),BC907+SUM(BB$4:BB906)))</f>
        <v>-2.1316282072803006E-13</v>
      </c>
      <c r="AJ907" s="931">
        <f>IF(AND(AL907&gt;=$U$1,AL907&lt;=$U$2),IF(AM907='ESTRATTO CONTO'!$E$2,1+COUNTIF(AJ$4:AJ906,"&gt;0")+U$1015,0),0)</f>
        <v>0</v>
      </c>
      <c r="AK907" s="203">
        <f>IF(AND(OR((AK906+1)&lt;AL$1015,(AK906+1)=AL$1015),MAX(AK$4:AK906)&lt;AL$1015),AK906+1,0)</f>
        <v>0</v>
      </c>
      <c r="AL907" s="309">
        <f>VLOOKUP($AK907,ENTI!$AF$4:AG$1003,2,FALSE)</f>
        <v>0</v>
      </c>
      <c r="AM907" s="224">
        <f>VLOOKUP($AK907,ENTI!$AF$4:AH$1003,3,FALSE)</f>
        <v>0</v>
      </c>
      <c r="AN907" s="224">
        <f>VLOOKUP($AK907,ENTI!$AF$4:AI$1003,4,FALSE)</f>
        <v>0</v>
      </c>
      <c r="AO907" s="781">
        <f>VLOOKUP($AK907,ENTI!$AF$4:AJ$1003,5,FALSE)</f>
        <v>0</v>
      </c>
      <c r="AP907" s="315">
        <f>VLOOKUP($AK907,ENTI!$AF$4:AK$1003,6,FALSE)</f>
        <v>0</v>
      </c>
      <c r="AQ907" s="208">
        <f t="shared" si="168"/>
        <v>0</v>
      </c>
      <c r="AR907" s="152" t="e">
        <f t="shared" si="169"/>
        <v>#N/A</v>
      </c>
      <c r="AS907" s="1"/>
      <c r="AT907" s="88" t="str">
        <f t="shared" si="173"/>
        <v/>
      </c>
      <c r="AU907" s="1"/>
      <c r="AV907" s="175">
        <f>IF(AW907&gt;0,COUNTIF(AV$4:AV906,"&gt;0")+1,0)</f>
        <v>0</v>
      </c>
      <c r="AW907" s="164">
        <f t="shared" si="174"/>
        <v>0</v>
      </c>
      <c r="AX907" s="310">
        <f>IF($AW907=0,0,VLOOKUP(VLOOKUP($X907,$B$34:$T$38,19,FALSE),ENTI!$A$9:$B$13,2,FALSE))</f>
        <v>0</v>
      </c>
      <c r="AY907" s="310">
        <f t="shared" si="176"/>
        <v>0</v>
      </c>
      <c r="AZ907" s="316">
        <f t="shared" si="177"/>
        <v>0</v>
      </c>
      <c r="BA907" s="1"/>
      <c r="BB907" s="152">
        <f t="shared" si="178"/>
        <v>0</v>
      </c>
      <c r="BC907" s="152">
        <f ca="1">SUM(Z$4:Z907)+SUM(BB$4:BB907)+COSTI!S$6-COSTI!L$1076</f>
        <v>-31.760000000000218</v>
      </c>
      <c r="BD907" s="1"/>
    </row>
    <row r="908" spans="1:56" ht="16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435">
        <f>IF(AND(W908&gt;=$U$1,W908&lt;=$U$2),IF(X908='ESTRATTO CONTO'!$E$2,1+COUNTIF(U$4:U907,"&gt;0"),0),0)</f>
        <v>0</v>
      </c>
      <c r="V908" s="417">
        <f t="shared" si="175"/>
        <v>905</v>
      </c>
      <c r="W908" s="509"/>
      <c r="X908" s="321"/>
      <c r="Y908" s="321"/>
      <c r="Z908" s="508"/>
      <c r="AA908" s="356"/>
      <c r="AB908" s="306" t="str">
        <f t="shared" si="171"/>
        <v/>
      </c>
      <c r="AC908" s="637">
        <f t="shared" ca="1" si="170"/>
        <v>-2.1316282072803006E-13</v>
      </c>
      <c r="AD908" s="935">
        <f>IF(ISERROR(VLOOKUP(AD$2,X909:X$1003,1,FALSE)),IF(X908=AD$2,SUMIF(X$4:X908,AD$2,Z$4:Z908)+$E$9+SUM(AQ$4:AQ$1003)+SUMIF(COSTI!$X$1379:$X$1430,AD$2,COSTI!$Z$1379:$Z$1430),0),0)</f>
        <v>0</v>
      </c>
      <c r="AE908" s="26"/>
      <c r="AF908" s="856" t="e">
        <f>IF(ISERROR(VLOOKUP(AG$2,X909:X$1003,1,FALSE)),IF(X908=AG$2,SUMIF(X$4:X908,AG$2,Z$4:Z908)+VLOOKUP(AF$2,$B$1057:$F$1068,5,FALSE)+SUM(AR$4:AR$1003)+SUMIF(COSTI!$X$1379:$X$1430,AG$2,COSTI!$Z$1379:$Z$1430),0),0)</f>
        <v>#N/A</v>
      </c>
      <c r="AG908" s="859"/>
      <c r="AH908" s="27" t="str">
        <f t="shared" si="172"/>
        <v/>
      </c>
      <c r="AI908" s="152">
        <f ca="1">IF(W909&gt;0,0,IF(AH908=0,(Z908*-1)+BC908+SUM(BB$4:BB907),BC908+SUM(BB$4:BB907)))</f>
        <v>-2.1316282072803006E-13</v>
      </c>
      <c r="AJ908" s="931">
        <f>IF(AND(AL908&gt;=$U$1,AL908&lt;=$U$2),IF(AM908='ESTRATTO CONTO'!$E$2,1+COUNTIF(AJ$4:AJ907,"&gt;0")+U$1015,0),0)</f>
        <v>0</v>
      </c>
      <c r="AK908" s="203">
        <f>IF(AND(OR((AK907+1)&lt;AL$1015,(AK907+1)=AL$1015),MAX(AK$4:AK907)&lt;AL$1015),AK907+1,0)</f>
        <v>0</v>
      </c>
      <c r="AL908" s="309">
        <f>VLOOKUP($AK908,ENTI!$AF$4:AG$1003,2,FALSE)</f>
        <v>0</v>
      </c>
      <c r="AM908" s="224">
        <f>VLOOKUP($AK908,ENTI!$AF$4:AH$1003,3,FALSE)</f>
        <v>0</v>
      </c>
      <c r="AN908" s="224">
        <f>VLOOKUP($AK908,ENTI!$AF$4:AI$1003,4,FALSE)</f>
        <v>0</v>
      </c>
      <c r="AO908" s="781">
        <f>VLOOKUP($AK908,ENTI!$AF$4:AJ$1003,5,FALSE)</f>
        <v>0</v>
      </c>
      <c r="AP908" s="315">
        <f>VLOOKUP($AK908,ENTI!$AF$4:AK$1003,6,FALSE)</f>
        <v>0</v>
      </c>
      <c r="AQ908" s="208">
        <f t="shared" si="168"/>
        <v>0</v>
      </c>
      <c r="AR908" s="152" t="e">
        <f t="shared" si="169"/>
        <v>#N/A</v>
      </c>
      <c r="AS908" s="1"/>
      <c r="AT908" s="88" t="str">
        <f t="shared" si="173"/>
        <v/>
      </c>
      <c r="AU908" s="1"/>
      <c r="AV908" s="175">
        <f>IF(AW908&gt;0,COUNTIF(AV$4:AV907,"&gt;0")+1,0)</f>
        <v>0</v>
      </c>
      <c r="AW908" s="164">
        <f t="shared" si="174"/>
        <v>0</v>
      </c>
      <c r="AX908" s="310">
        <f>IF($AW908=0,0,VLOOKUP(VLOOKUP($X908,$B$34:$T$38,19,FALSE),ENTI!$A$9:$B$13,2,FALSE))</f>
        <v>0</v>
      </c>
      <c r="AY908" s="310">
        <f t="shared" si="176"/>
        <v>0</v>
      </c>
      <c r="AZ908" s="316">
        <f t="shared" si="177"/>
        <v>0</v>
      </c>
      <c r="BA908" s="1"/>
      <c r="BB908" s="152">
        <f t="shared" si="178"/>
        <v>0</v>
      </c>
      <c r="BC908" s="152">
        <f ca="1">SUM(Z$4:Z908)+SUM(BB$4:BB908)+COSTI!S$6-COSTI!L$1076</f>
        <v>-31.760000000000218</v>
      </c>
      <c r="BD908" s="1"/>
    </row>
    <row r="909" spans="1:56" ht="16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435">
        <f>IF(AND(W909&gt;=$U$1,W909&lt;=$U$2),IF(X909='ESTRATTO CONTO'!$E$2,1+COUNTIF(U$4:U908,"&gt;0"),0),0)</f>
        <v>0</v>
      </c>
      <c r="V909" s="417">
        <f t="shared" si="175"/>
        <v>906</v>
      </c>
      <c r="W909" s="509"/>
      <c r="X909" s="321"/>
      <c r="Y909" s="321"/>
      <c r="Z909" s="508"/>
      <c r="AA909" s="356"/>
      <c r="AB909" s="306" t="str">
        <f t="shared" si="171"/>
        <v/>
      </c>
      <c r="AC909" s="637">
        <f t="shared" ca="1" si="170"/>
        <v>-2.1316282072803006E-13</v>
      </c>
      <c r="AD909" s="935">
        <f>IF(ISERROR(VLOOKUP(AD$2,X910:X$1003,1,FALSE)),IF(X909=AD$2,SUMIF(X$4:X909,AD$2,Z$4:Z909)+$E$9+SUM(AQ$4:AQ$1003)+SUMIF(COSTI!$X$1379:$X$1430,AD$2,COSTI!$Z$1379:$Z$1430),0),0)</f>
        <v>0</v>
      </c>
      <c r="AE909" s="26"/>
      <c r="AF909" s="856" t="e">
        <f>IF(ISERROR(VLOOKUP(AG$2,X910:X$1003,1,FALSE)),IF(X909=AG$2,SUMIF(X$4:X909,AG$2,Z$4:Z909)+VLOOKUP(AF$2,$B$1057:$F$1068,5,FALSE)+SUM(AR$4:AR$1003)+SUMIF(COSTI!$X$1379:$X$1430,AG$2,COSTI!$Z$1379:$Z$1430),0),0)</f>
        <v>#N/A</v>
      </c>
      <c r="AG909" s="859"/>
      <c r="AH909" s="27" t="str">
        <f t="shared" si="172"/>
        <v/>
      </c>
      <c r="AI909" s="152">
        <f ca="1">IF(W910&gt;0,0,IF(AH909=0,(Z909*-1)+BC909+SUM(BB$4:BB908),BC909+SUM(BB$4:BB908)))</f>
        <v>-2.1316282072803006E-13</v>
      </c>
      <c r="AJ909" s="931">
        <f>IF(AND(AL909&gt;=$U$1,AL909&lt;=$U$2),IF(AM909='ESTRATTO CONTO'!$E$2,1+COUNTIF(AJ$4:AJ908,"&gt;0")+U$1015,0),0)</f>
        <v>0</v>
      </c>
      <c r="AK909" s="203">
        <f>IF(AND(OR((AK908+1)&lt;AL$1015,(AK908+1)=AL$1015),MAX(AK$4:AK908)&lt;AL$1015),AK908+1,0)</f>
        <v>0</v>
      </c>
      <c r="AL909" s="309">
        <f>VLOOKUP($AK909,ENTI!$AF$4:AG$1003,2,FALSE)</f>
        <v>0</v>
      </c>
      <c r="AM909" s="224">
        <f>VLOOKUP($AK909,ENTI!$AF$4:AH$1003,3,FALSE)</f>
        <v>0</v>
      </c>
      <c r="AN909" s="224">
        <f>VLOOKUP($AK909,ENTI!$AF$4:AI$1003,4,FALSE)</f>
        <v>0</v>
      </c>
      <c r="AO909" s="781">
        <f>VLOOKUP($AK909,ENTI!$AF$4:AJ$1003,5,FALSE)</f>
        <v>0</v>
      </c>
      <c r="AP909" s="315">
        <f>VLOOKUP($AK909,ENTI!$AF$4:AK$1003,6,FALSE)</f>
        <v>0</v>
      </c>
      <c r="AQ909" s="208">
        <f t="shared" si="168"/>
        <v>0</v>
      </c>
      <c r="AR909" s="152" t="e">
        <f t="shared" si="169"/>
        <v>#N/A</v>
      </c>
      <c r="AS909" s="1"/>
      <c r="AT909" s="88" t="str">
        <f t="shared" si="173"/>
        <v/>
      </c>
      <c r="AU909" s="1"/>
      <c r="AV909" s="175">
        <f>IF(AW909&gt;0,COUNTIF(AV$4:AV908,"&gt;0")+1,0)</f>
        <v>0</v>
      </c>
      <c r="AW909" s="164">
        <f t="shared" si="174"/>
        <v>0</v>
      </c>
      <c r="AX909" s="310">
        <f>IF($AW909=0,0,VLOOKUP(VLOOKUP($X909,$B$34:$T$38,19,FALSE),ENTI!$A$9:$B$13,2,FALSE))</f>
        <v>0</v>
      </c>
      <c r="AY909" s="310">
        <f t="shared" si="176"/>
        <v>0</v>
      </c>
      <c r="AZ909" s="316">
        <f t="shared" si="177"/>
        <v>0</v>
      </c>
      <c r="BA909" s="1"/>
      <c r="BB909" s="152">
        <f t="shared" si="178"/>
        <v>0</v>
      </c>
      <c r="BC909" s="152">
        <f ca="1">SUM(Z$4:Z909)+SUM(BB$4:BB909)+COSTI!S$6-COSTI!L$1076</f>
        <v>-31.760000000000218</v>
      </c>
      <c r="BD909" s="1"/>
    </row>
    <row r="910" spans="1:56" ht="16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435">
        <f>IF(AND(W910&gt;=$U$1,W910&lt;=$U$2),IF(X910='ESTRATTO CONTO'!$E$2,1+COUNTIF(U$4:U909,"&gt;0"),0),0)</f>
        <v>0</v>
      </c>
      <c r="V910" s="417">
        <f t="shared" si="175"/>
        <v>907</v>
      </c>
      <c r="W910" s="509"/>
      <c r="X910" s="321"/>
      <c r="Y910" s="321"/>
      <c r="Z910" s="508"/>
      <c r="AA910" s="356"/>
      <c r="AB910" s="306" t="str">
        <f t="shared" si="171"/>
        <v/>
      </c>
      <c r="AC910" s="637">
        <f t="shared" ca="1" si="170"/>
        <v>-2.1316282072803006E-13</v>
      </c>
      <c r="AD910" s="935">
        <f>IF(ISERROR(VLOOKUP(AD$2,X911:X$1003,1,FALSE)),IF(X910=AD$2,SUMIF(X$4:X910,AD$2,Z$4:Z910)+$E$9+SUM(AQ$4:AQ$1003)+SUMIF(COSTI!$X$1379:$X$1430,AD$2,COSTI!$Z$1379:$Z$1430),0),0)</f>
        <v>0</v>
      </c>
      <c r="AE910" s="26"/>
      <c r="AF910" s="856" t="e">
        <f>IF(ISERROR(VLOOKUP(AG$2,X911:X$1003,1,FALSE)),IF(X910=AG$2,SUMIF(X$4:X910,AG$2,Z$4:Z910)+VLOOKUP(AF$2,$B$1057:$F$1068,5,FALSE)+SUM(AR$4:AR$1003)+SUMIF(COSTI!$X$1379:$X$1430,AG$2,COSTI!$Z$1379:$Z$1430),0),0)</f>
        <v>#N/A</v>
      </c>
      <c r="AG910" s="859"/>
      <c r="AH910" s="27" t="str">
        <f t="shared" si="172"/>
        <v/>
      </c>
      <c r="AI910" s="152">
        <f ca="1">IF(W911&gt;0,0,IF(AH910=0,(Z910*-1)+BC910+SUM(BB$4:BB909),BC910+SUM(BB$4:BB909)))</f>
        <v>-2.1316282072803006E-13</v>
      </c>
      <c r="AJ910" s="931">
        <f>IF(AND(AL910&gt;=$U$1,AL910&lt;=$U$2),IF(AM910='ESTRATTO CONTO'!$E$2,1+COUNTIF(AJ$4:AJ909,"&gt;0")+U$1015,0),0)</f>
        <v>0</v>
      </c>
      <c r="AK910" s="203">
        <f>IF(AND(OR((AK909+1)&lt;AL$1015,(AK909+1)=AL$1015),MAX(AK$4:AK909)&lt;AL$1015),AK909+1,0)</f>
        <v>0</v>
      </c>
      <c r="AL910" s="309">
        <f>VLOOKUP($AK910,ENTI!$AF$4:AG$1003,2,FALSE)</f>
        <v>0</v>
      </c>
      <c r="AM910" s="224">
        <f>VLOOKUP($AK910,ENTI!$AF$4:AH$1003,3,FALSE)</f>
        <v>0</v>
      </c>
      <c r="AN910" s="224">
        <f>VLOOKUP($AK910,ENTI!$AF$4:AI$1003,4,FALSE)</f>
        <v>0</v>
      </c>
      <c r="AO910" s="781">
        <f>VLOOKUP($AK910,ENTI!$AF$4:AJ$1003,5,FALSE)</f>
        <v>0</v>
      </c>
      <c r="AP910" s="315">
        <f>VLOOKUP($AK910,ENTI!$AF$4:AK$1003,6,FALSE)</f>
        <v>0</v>
      </c>
      <c r="AQ910" s="208">
        <f t="shared" si="168"/>
        <v>0</v>
      </c>
      <c r="AR910" s="152" t="e">
        <f t="shared" si="169"/>
        <v>#N/A</v>
      </c>
      <c r="AS910" s="1"/>
      <c r="AT910" s="88" t="str">
        <f t="shared" si="173"/>
        <v/>
      </c>
      <c r="AU910" s="1"/>
      <c r="AV910" s="175">
        <f>IF(AW910&gt;0,COUNTIF(AV$4:AV909,"&gt;0")+1,0)</f>
        <v>0</v>
      </c>
      <c r="AW910" s="164">
        <f t="shared" si="174"/>
        <v>0</v>
      </c>
      <c r="AX910" s="310">
        <f>IF($AW910=0,0,VLOOKUP(VLOOKUP($X910,$B$34:$T$38,19,FALSE),ENTI!$A$9:$B$13,2,FALSE))</f>
        <v>0</v>
      </c>
      <c r="AY910" s="310">
        <f t="shared" si="176"/>
        <v>0</v>
      </c>
      <c r="AZ910" s="316">
        <f t="shared" si="177"/>
        <v>0</v>
      </c>
      <c r="BA910" s="1"/>
      <c r="BB910" s="152">
        <f t="shared" si="178"/>
        <v>0</v>
      </c>
      <c r="BC910" s="152">
        <f ca="1">SUM(Z$4:Z910)+SUM(BB$4:BB910)+COSTI!S$6-COSTI!L$1076</f>
        <v>-31.760000000000218</v>
      </c>
      <c r="BD910" s="1"/>
    </row>
    <row r="911" spans="1:56" ht="16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435">
        <f>IF(AND(W911&gt;=$U$1,W911&lt;=$U$2),IF(X911='ESTRATTO CONTO'!$E$2,1+COUNTIF(U$4:U910,"&gt;0"),0),0)</f>
        <v>0</v>
      </c>
      <c r="V911" s="417">
        <f t="shared" si="175"/>
        <v>908</v>
      </c>
      <c r="W911" s="509"/>
      <c r="X911" s="321"/>
      <c r="Y911" s="321"/>
      <c r="Z911" s="508"/>
      <c r="AA911" s="356"/>
      <c r="AB911" s="306" t="str">
        <f t="shared" si="171"/>
        <v/>
      </c>
      <c r="AC911" s="637">
        <f t="shared" ca="1" si="170"/>
        <v>-2.1316282072803006E-13</v>
      </c>
      <c r="AD911" s="935">
        <f>IF(ISERROR(VLOOKUP(AD$2,X912:X$1003,1,FALSE)),IF(X911=AD$2,SUMIF(X$4:X911,AD$2,Z$4:Z911)+$E$9+SUM(AQ$4:AQ$1003)+SUMIF(COSTI!$X$1379:$X$1430,AD$2,COSTI!$Z$1379:$Z$1430),0),0)</f>
        <v>0</v>
      </c>
      <c r="AE911" s="26"/>
      <c r="AF911" s="856" t="e">
        <f>IF(ISERROR(VLOOKUP(AG$2,X912:X$1003,1,FALSE)),IF(X911=AG$2,SUMIF(X$4:X911,AG$2,Z$4:Z911)+VLOOKUP(AF$2,$B$1057:$F$1068,5,FALSE)+SUM(AR$4:AR$1003)+SUMIF(COSTI!$X$1379:$X$1430,AG$2,COSTI!$Z$1379:$Z$1430),0),0)</f>
        <v>#N/A</v>
      </c>
      <c r="AG911" s="859"/>
      <c r="AH911" s="27" t="str">
        <f t="shared" si="172"/>
        <v/>
      </c>
      <c r="AI911" s="152">
        <f ca="1">IF(W912&gt;0,0,IF(AH911=0,(Z911*-1)+BC911+SUM(BB$4:BB910),BC911+SUM(BB$4:BB910)))</f>
        <v>-2.1316282072803006E-13</v>
      </c>
      <c r="AJ911" s="931">
        <f>IF(AND(AL911&gt;=$U$1,AL911&lt;=$U$2),IF(AM911='ESTRATTO CONTO'!$E$2,1+COUNTIF(AJ$4:AJ910,"&gt;0")+U$1015,0),0)</f>
        <v>0</v>
      </c>
      <c r="AK911" s="203">
        <f>IF(AND(OR((AK910+1)&lt;AL$1015,(AK910+1)=AL$1015),MAX(AK$4:AK910)&lt;AL$1015),AK910+1,0)</f>
        <v>0</v>
      </c>
      <c r="AL911" s="309">
        <f>VLOOKUP($AK911,ENTI!$AF$4:AG$1003,2,FALSE)</f>
        <v>0</v>
      </c>
      <c r="AM911" s="224">
        <f>VLOOKUP($AK911,ENTI!$AF$4:AH$1003,3,FALSE)</f>
        <v>0</v>
      </c>
      <c r="AN911" s="224">
        <f>VLOOKUP($AK911,ENTI!$AF$4:AI$1003,4,FALSE)</f>
        <v>0</v>
      </c>
      <c r="AO911" s="781">
        <f>VLOOKUP($AK911,ENTI!$AF$4:AJ$1003,5,FALSE)</f>
        <v>0</v>
      </c>
      <c r="AP911" s="315">
        <f>VLOOKUP($AK911,ENTI!$AF$4:AK$1003,6,FALSE)</f>
        <v>0</v>
      </c>
      <c r="AQ911" s="208">
        <f t="shared" ref="AQ911:AQ974" si="179">IF(AM911=AQ$2,AO911,0)</f>
        <v>0</v>
      </c>
      <c r="AR911" s="152" t="e">
        <f t="shared" ref="AR911:AR974" si="180">IF(AM911=AR$1,AO911,0)</f>
        <v>#N/A</v>
      </c>
      <c r="AS911" s="1"/>
      <c r="AT911" s="88" t="str">
        <f t="shared" si="173"/>
        <v/>
      </c>
      <c r="AU911" s="1"/>
      <c r="AV911" s="175">
        <f>IF(AW911&gt;0,COUNTIF(AV$4:AV910,"&gt;0")+1,0)</f>
        <v>0</v>
      </c>
      <c r="AW911" s="164">
        <f t="shared" si="174"/>
        <v>0</v>
      </c>
      <c r="AX911" s="310">
        <f>IF($AW911=0,0,VLOOKUP(VLOOKUP($X911,$B$34:$T$38,19,FALSE),ENTI!$A$9:$B$13,2,FALSE))</f>
        <v>0</v>
      </c>
      <c r="AY911" s="310">
        <f t="shared" si="176"/>
        <v>0</v>
      </c>
      <c r="AZ911" s="316">
        <f t="shared" si="177"/>
        <v>0</v>
      </c>
      <c r="BA911" s="1"/>
      <c r="BB911" s="152">
        <f t="shared" si="178"/>
        <v>0</v>
      </c>
      <c r="BC911" s="152">
        <f ca="1">SUM(Z$4:Z911)+SUM(BB$4:BB911)+COSTI!S$6-COSTI!L$1076</f>
        <v>-31.760000000000218</v>
      </c>
      <c r="BD911" s="1"/>
    </row>
    <row r="912" spans="1:56" ht="16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435">
        <f>IF(AND(W912&gt;=$U$1,W912&lt;=$U$2),IF(X912='ESTRATTO CONTO'!$E$2,1+COUNTIF(U$4:U911,"&gt;0"),0),0)</f>
        <v>0</v>
      </c>
      <c r="V912" s="417">
        <f t="shared" si="175"/>
        <v>909</v>
      </c>
      <c r="W912" s="509"/>
      <c r="X912" s="321"/>
      <c r="Y912" s="321"/>
      <c r="Z912" s="508"/>
      <c r="AA912" s="356"/>
      <c r="AB912" s="306" t="str">
        <f t="shared" si="171"/>
        <v/>
      </c>
      <c r="AC912" s="637">
        <f t="shared" ca="1" si="170"/>
        <v>-2.1316282072803006E-13</v>
      </c>
      <c r="AD912" s="935">
        <f>IF(ISERROR(VLOOKUP(AD$2,X913:X$1003,1,FALSE)),IF(X912=AD$2,SUMIF(X$4:X912,AD$2,Z$4:Z912)+$E$9+SUM(AQ$4:AQ$1003)+SUMIF(COSTI!$X$1379:$X$1430,AD$2,COSTI!$Z$1379:$Z$1430),0),0)</f>
        <v>0</v>
      </c>
      <c r="AE912" s="26"/>
      <c r="AF912" s="856" t="e">
        <f>IF(ISERROR(VLOOKUP(AG$2,X913:X$1003,1,FALSE)),IF(X912=AG$2,SUMIF(X$4:X912,AG$2,Z$4:Z912)+VLOOKUP(AF$2,$B$1057:$F$1068,5,FALSE)+SUM(AR$4:AR$1003)+SUMIF(COSTI!$X$1379:$X$1430,AG$2,COSTI!$Z$1379:$Z$1430),0),0)</f>
        <v>#N/A</v>
      </c>
      <c r="AG912" s="859"/>
      <c r="AH912" s="27" t="str">
        <f t="shared" si="172"/>
        <v/>
      </c>
      <c r="AI912" s="152">
        <f ca="1">IF(W913&gt;0,0,IF(AH912=0,(Z912*-1)+BC912+SUM(BB$4:BB911),BC912+SUM(BB$4:BB911)))</f>
        <v>-2.1316282072803006E-13</v>
      </c>
      <c r="AJ912" s="931">
        <f>IF(AND(AL912&gt;=$U$1,AL912&lt;=$U$2),IF(AM912='ESTRATTO CONTO'!$E$2,1+COUNTIF(AJ$4:AJ911,"&gt;0")+U$1015,0),0)</f>
        <v>0</v>
      </c>
      <c r="AK912" s="203">
        <f>IF(AND(OR((AK911+1)&lt;AL$1015,(AK911+1)=AL$1015),MAX(AK$4:AK911)&lt;AL$1015),AK911+1,0)</f>
        <v>0</v>
      </c>
      <c r="AL912" s="309">
        <f>VLOOKUP($AK912,ENTI!$AF$4:AG$1003,2,FALSE)</f>
        <v>0</v>
      </c>
      <c r="AM912" s="224">
        <f>VLOOKUP($AK912,ENTI!$AF$4:AH$1003,3,FALSE)</f>
        <v>0</v>
      </c>
      <c r="AN912" s="224">
        <f>VLOOKUP($AK912,ENTI!$AF$4:AI$1003,4,FALSE)</f>
        <v>0</v>
      </c>
      <c r="AO912" s="781">
        <f>VLOOKUP($AK912,ENTI!$AF$4:AJ$1003,5,FALSE)</f>
        <v>0</v>
      </c>
      <c r="AP912" s="315">
        <f>VLOOKUP($AK912,ENTI!$AF$4:AK$1003,6,FALSE)</f>
        <v>0</v>
      </c>
      <c r="AQ912" s="208">
        <f t="shared" si="179"/>
        <v>0</v>
      </c>
      <c r="AR912" s="152" t="e">
        <f t="shared" si="180"/>
        <v>#N/A</v>
      </c>
      <c r="AS912" s="1"/>
      <c r="AT912" s="88" t="str">
        <f t="shared" si="173"/>
        <v/>
      </c>
      <c r="AU912" s="1"/>
      <c r="AV912" s="175">
        <f>IF(AW912&gt;0,COUNTIF(AV$4:AV911,"&gt;0")+1,0)</f>
        <v>0</v>
      </c>
      <c r="AW912" s="164">
        <f t="shared" si="174"/>
        <v>0</v>
      </c>
      <c r="AX912" s="310">
        <f>IF($AW912=0,0,VLOOKUP(VLOOKUP($X912,$B$34:$T$38,19,FALSE),ENTI!$A$9:$B$13,2,FALSE))</f>
        <v>0</v>
      </c>
      <c r="AY912" s="310">
        <f t="shared" si="176"/>
        <v>0</v>
      </c>
      <c r="AZ912" s="316">
        <f t="shared" si="177"/>
        <v>0</v>
      </c>
      <c r="BA912" s="1"/>
      <c r="BB912" s="152">
        <f t="shared" si="178"/>
        <v>0</v>
      </c>
      <c r="BC912" s="152">
        <f ca="1">SUM(Z$4:Z912)+SUM(BB$4:BB912)+COSTI!S$6-COSTI!L$1076</f>
        <v>-31.760000000000218</v>
      </c>
      <c r="BD912" s="1"/>
    </row>
    <row r="913" spans="1:56" ht="16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435">
        <f>IF(AND(W913&gt;=$U$1,W913&lt;=$U$2),IF(X913='ESTRATTO CONTO'!$E$2,1+COUNTIF(U$4:U912,"&gt;0"),0),0)</f>
        <v>0</v>
      </c>
      <c r="V913" s="417">
        <f t="shared" si="175"/>
        <v>910</v>
      </c>
      <c r="W913" s="509"/>
      <c r="X913" s="321"/>
      <c r="Y913" s="321"/>
      <c r="Z913" s="508"/>
      <c r="AA913" s="356"/>
      <c r="AB913" s="306" t="str">
        <f t="shared" si="171"/>
        <v/>
      </c>
      <c r="AC913" s="637">
        <f t="shared" ca="1" si="170"/>
        <v>-2.1316282072803006E-13</v>
      </c>
      <c r="AD913" s="935">
        <f>IF(ISERROR(VLOOKUP(AD$2,X914:X$1003,1,FALSE)),IF(X913=AD$2,SUMIF(X$4:X913,AD$2,Z$4:Z913)+$E$9+SUM(AQ$4:AQ$1003)+SUMIF(COSTI!$X$1379:$X$1430,AD$2,COSTI!$Z$1379:$Z$1430),0),0)</f>
        <v>0</v>
      </c>
      <c r="AE913" s="26"/>
      <c r="AF913" s="856" t="e">
        <f>IF(ISERROR(VLOOKUP(AG$2,X914:X$1003,1,FALSE)),IF(X913=AG$2,SUMIF(X$4:X913,AG$2,Z$4:Z913)+VLOOKUP(AF$2,$B$1057:$F$1068,5,FALSE)+SUM(AR$4:AR$1003)+SUMIF(COSTI!$X$1379:$X$1430,AG$2,COSTI!$Z$1379:$Z$1430),0),0)</f>
        <v>#N/A</v>
      </c>
      <c r="AG913" s="859"/>
      <c r="AH913" s="27" t="str">
        <f t="shared" si="172"/>
        <v/>
      </c>
      <c r="AI913" s="152">
        <f ca="1">IF(W914&gt;0,0,IF(AH913=0,(Z913*-1)+BC913+SUM(BB$4:BB912),BC913+SUM(BB$4:BB912)))</f>
        <v>-2.1316282072803006E-13</v>
      </c>
      <c r="AJ913" s="931">
        <f>IF(AND(AL913&gt;=$U$1,AL913&lt;=$U$2),IF(AM913='ESTRATTO CONTO'!$E$2,1+COUNTIF(AJ$4:AJ912,"&gt;0")+U$1015,0),0)</f>
        <v>0</v>
      </c>
      <c r="AK913" s="203">
        <f>IF(AND(OR((AK912+1)&lt;AL$1015,(AK912+1)=AL$1015),MAX(AK$4:AK912)&lt;AL$1015),AK912+1,0)</f>
        <v>0</v>
      </c>
      <c r="AL913" s="309">
        <f>VLOOKUP($AK913,ENTI!$AF$4:AG$1003,2,FALSE)</f>
        <v>0</v>
      </c>
      <c r="AM913" s="224">
        <f>VLOOKUP($AK913,ENTI!$AF$4:AH$1003,3,FALSE)</f>
        <v>0</v>
      </c>
      <c r="AN913" s="224">
        <f>VLOOKUP($AK913,ENTI!$AF$4:AI$1003,4,FALSE)</f>
        <v>0</v>
      </c>
      <c r="AO913" s="781">
        <f>VLOOKUP($AK913,ENTI!$AF$4:AJ$1003,5,FALSE)</f>
        <v>0</v>
      </c>
      <c r="AP913" s="315">
        <f>VLOOKUP($AK913,ENTI!$AF$4:AK$1003,6,FALSE)</f>
        <v>0</v>
      </c>
      <c r="AQ913" s="208">
        <f t="shared" si="179"/>
        <v>0</v>
      </c>
      <c r="AR913" s="152" t="e">
        <f t="shared" si="180"/>
        <v>#N/A</v>
      </c>
      <c r="AS913" s="1"/>
      <c r="AT913" s="88" t="str">
        <f t="shared" si="173"/>
        <v/>
      </c>
      <c r="AU913" s="1"/>
      <c r="AV913" s="175">
        <f>IF(AW913&gt;0,COUNTIF(AV$4:AV912,"&gt;0")+1,0)</f>
        <v>0</v>
      </c>
      <c r="AW913" s="164">
        <f t="shared" si="174"/>
        <v>0</v>
      </c>
      <c r="AX913" s="310">
        <f>IF($AW913=0,0,VLOOKUP(VLOOKUP($X913,$B$34:$T$38,19,FALSE),ENTI!$A$9:$B$13,2,FALSE))</f>
        <v>0</v>
      </c>
      <c r="AY913" s="310">
        <f t="shared" si="176"/>
        <v>0</v>
      </c>
      <c r="AZ913" s="316">
        <f t="shared" si="177"/>
        <v>0</v>
      </c>
      <c r="BA913" s="1"/>
      <c r="BB913" s="152">
        <f t="shared" si="178"/>
        <v>0</v>
      </c>
      <c r="BC913" s="152">
        <f ca="1">SUM(Z$4:Z913)+SUM(BB$4:BB913)+COSTI!S$6-COSTI!L$1076</f>
        <v>-31.760000000000218</v>
      </c>
      <c r="BD913" s="1"/>
    </row>
    <row r="914" spans="1:56" ht="16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435">
        <f>IF(AND(W914&gt;=$U$1,W914&lt;=$U$2),IF(X914='ESTRATTO CONTO'!$E$2,1+COUNTIF(U$4:U913,"&gt;0"),0),0)</f>
        <v>0</v>
      </c>
      <c r="V914" s="417">
        <f t="shared" si="175"/>
        <v>911</v>
      </c>
      <c r="W914" s="509"/>
      <c r="X914" s="321"/>
      <c r="Y914" s="321"/>
      <c r="Z914" s="508"/>
      <c r="AA914" s="356"/>
      <c r="AB914" s="306" t="str">
        <f t="shared" si="171"/>
        <v/>
      </c>
      <c r="AC914" s="637">
        <f t="shared" ca="1" si="170"/>
        <v>-2.1316282072803006E-13</v>
      </c>
      <c r="AD914" s="935">
        <f>IF(ISERROR(VLOOKUP(AD$2,X915:X$1003,1,FALSE)),IF(X914=AD$2,SUMIF(X$4:X914,AD$2,Z$4:Z914)+$E$9+SUM(AQ$4:AQ$1003)+SUMIF(COSTI!$X$1379:$X$1430,AD$2,COSTI!$Z$1379:$Z$1430),0),0)</f>
        <v>0</v>
      </c>
      <c r="AE914" s="26"/>
      <c r="AF914" s="856" t="e">
        <f>IF(ISERROR(VLOOKUP(AG$2,X915:X$1003,1,FALSE)),IF(X914=AG$2,SUMIF(X$4:X914,AG$2,Z$4:Z914)+VLOOKUP(AF$2,$B$1057:$F$1068,5,FALSE)+SUM(AR$4:AR$1003)+SUMIF(COSTI!$X$1379:$X$1430,AG$2,COSTI!$Z$1379:$Z$1430),0),0)</f>
        <v>#N/A</v>
      </c>
      <c r="AG914" s="859"/>
      <c r="AH914" s="27" t="str">
        <f t="shared" si="172"/>
        <v/>
      </c>
      <c r="AI914" s="152">
        <f ca="1">IF(W915&gt;0,0,IF(AH914=0,(Z914*-1)+BC914+SUM(BB$4:BB913),BC914+SUM(BB$4:BB913)))</f>
        <v>-2.1316282072803006E-13</v>
      </c>
      <c r="AJ914" s="931">
        <f>IF(AND(AL914&gt;=$U$1,AL914&lt;=$U$2),IF(AM914='ESTRATTO CONTO'!$E$2,1+COUNTIF(AJ$4:AJ913,"&gt;0")+U$1015,0),0)</f>
        <v>0</v>
      </c>
      <c r="AK914" s="203">
        <f>IF(AND(OR((AK913+1)&lt;AL$1015,(AK913+1)=AL$1015),MAX(AK$4:AK913)&lt;AL$1015),AK913+1,0)</f>
        <v>0</v>
      </c>
      <c r="AL914" s="309">
        <f>VLOOKUP($AK914,ENTI!$AF$4:AG$1003,2,FALSE)</f>
        <v>0</v>
      </c>
      <c r="AM914" s="224">
        <f>VLOOKUP($AK914,ENTI!$AF$4:AH$1003,3,FALSE)</f>
        <v>0</v>
      </c>
      <c r="AN914" s="224">
        <f>VLOOKUP($AK914,ENTI!$AF$4:AI$1003,4,FALSE)</f>
        <v>0</v>
      </c>
      <c r="AO914" s="781">
        <f>VLOOKUP($AK914,ENTI!$AF$4:AJ$1003,5,FALSE)</f>
        <v>0</v>
      </c>
      <c r="AP914" s="315">
        <f>VLOOKUP($AK914,ENTI!$AF$4:AK$1003,6,FALSE)</f>
        <v>0</v>
      </c>
      <c r="AQ914" s="208">
        <f t="shared" si="179"/>
        <v>0</v>
      </c>
      <c r="AR914" s="152" t="e">
        <f t="shared" si="180"/>
        <v>#N/A</v>
      </c>
      <c r="AS914" s="1"/>
      <c r="AT914" s="88" t="str">
        <f t="shared" si="173"/>
        <v/>
      </c>
      <c r="AU914" s="1"/>
      <c r="AV914" s="175">
        <f>IF(AW914&gt;0,COUNTIF(AV$4:AV913,"&gt;0")+1,0)</f>
        <v>0</v>
      </c>
      <c r="AW914" s="164">
        <f t="shared" si="174"/>
        <v>0</v>
      </c>
      <c r="AX914" s="310">
        <f>IF($AW914=0,0,VLOOKUP(VLOOKUP($X914,$B$34:$T$38,19,FALSE),ENTI!$A$9:$B$13,2,FALSE))</f>
        <v>0</v>
      </c>
      <c r="AY914" s="310">
        <f t="shared" si="176"/>
        <v>0</v>
      </c>
      <c r="AZ914" s="316">
        <f t="shared" si="177"/>
        <v>0</v>
      </c>
      <c r="BA914" s="1"/>
      <c r="BB914" s="152">
        <f t="shared" si="178"/>
        <v>0</v>
      </c>
      <c r="BC914" s="152">
        <f ca="1">SUM(Z$4:Z914)+SUM(BB$4:BB914)+COSTI!S$6-COSTI!L$1076</f>
        <v>-31.760000000000218</v>
      </c>
      <c r="BD914" s="1"/>
    </row>
    <row r="915" spans="1:56" ht="16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435">
        <f>IF(AND(W915&gt;=$U$1,W915&lt;=$U$2),IF(X915='ESTRATTO CONTO'!$E$2,1+COUNTIF(U$4:U914,"&gt;0"),0),0)</f>
        <v>0</v>
      </c>
      <c r="V915" s="417">
        <f t="shared" si="175"/>
        <v>912</v>
      </c>
      <c r="W915" s="509"/>
      <c r="X915" s="321"/>
      <c r="Y915" s="321"/>
      <c r="Z915" s="508"/>
      <c r="AA915" s="356"/>
      <c r="AB915" s="306" t="str">
        <f t="shared" si="171"/>
        <v/>
      </c>
      <c r="AC915" s="637">
        <f t="shared" ca="1" si="170"/>
        <v>-2.1316282072803006E-13</v>
      </c>
      <c r="AD915" s="935">
        <f>IF(ISERROR(VLOOKUP(AD$2,X916:X$1003,1,FALSE)),IF(X915=AD$2,SUMIF(X$4:X915,AD$2,Z$4:Z915)+$E$9+SUM(AQ$4:AQ$1003)+SUMIF(COSTI!$X$1379:$X$1430,AD$2,COSTI!$Z$1379:$Z$1430),0),0)</f>
        <v>0</v>
      </c>
      <c r="AE915" s="26"/>
      <c r="AF915" s="856" t="e">
        <f>IF(ISERROR(VLOOKUP(AG$2,X916:X$1003,1,FALSE)),IF(X915=AG$2,SUMIF(X$4:X915,AG$2,Z$4:Z915)+VLOOKUP(AF$2,$B$1057:$F$1068,5,FALSE)+SUM(AR$4:AR$1003)+SUMIF(COSTI!$X$1379:$X$1430,AG$2,COSTI!$Z$1379:$Z$1430),0),0)</f>
        <v>#N/A</v>
      </c>
      <c r="AG915" s="859"/>
      <c r="AH915" s="27" t="str">
        <f t="shared" si="172"/>
        <v/>
      </c>
      <c r="AI915" s="152">
        <f ca="1">IF(W916&gt;0,0,IF(AH915=0,(Z915*-1)+BC915+SUM(BB$4:BB914),BC915+SUM(BB$4:BB914)))</f>
        <v>-2.1316282072803006E-13</v>
      </c>
      <c r="AJ915" s="931">
        <f>IF(AND(AL915&gt;=$U$1,AL915&lt;=$U$2),IF(AM915='ESTRATTO CONTO'!$E$2,1+COUNTIF(AJ$4:AJ914,"&gt;0")+U$1015,0),0)</f>
        <v>0</v>
      </c>
      <c r="AK915" s="203">
        <f>IF(AND(OR((AK914+1)&lt;AL$1015,(AK914+1)=AL$1015),MAX(AK$4:AK914)&lt;AL$1015),AK914+1,0)</f>
        <v>0</v>
      </c>
      <c r="AL915" s="309">
        <f>VLOOKUP($AK915,ENTI!$AF$4:AG$1003,2,FALSE)</f>
        <v>0</v>
      </c>
      <c r="AM915" s="224">
        <f>VLOOKUP($AK915,ENTI!$AF$4:AH$1003,3,FALSE)</f>
        <v>0</v>
      </c>
      <c r="AN915" s="224">
        <f>VLOOKUP($AK915,ENTI!$AF$4:AI$1003,4,FALSE)</f>
        <v>0</v>
      </c>
      <c r="AO915" s="781">
        <f>VLOOKUP($AK915,ENTI!$AF$4:AJ$1003,5,FALSE)</f>
        <v>0</v>
      </c>
      <c r="AP915" s="315">
        <f>VLOOKUP($AK915,ENTI!$AF$4:AK$1003,6,FALSE)</f>
        <v>0</v>
      </c>
      <c r="AQ915" s="208">
        <f t="shared" si="179"/>
        <v>0</v>
      </c>
      <c r="AR915" s="152" t="e">
        <f t="shared" si="180"/>
        <v>#N/A</v>
      </c>
      <c r="AS915" s="1"/>
      <c r="AT915" s="88" t="str">
        <f t="shared" si="173"/>
        <v/>
      </c>
      <c r="AU915" s="1"/>
      <c r="AV915" s="175">
        <f>IF(AW915&gt;0,COUNTIF(AV$4:AV914,"&gt;0")+1,0)</f>
        <v>0</v>
      </c>
      <c r="AW915" s="164">
        <f t="shared" si="174"/>
        <v>0</v>
      </c>
      <c r="AX915" s="310">
        <f>IF($AW915=0,0,VLOOKUP(VLOOKUP($X915,$B$34:$T$38,19,FALSE),ENTI!$A$9:$B$13,2,FALSE))</f>
        <v>0</v>
      </c>
      <c r="AY915" s="310">
        <f t="shared" si="176"/>
        <v>0</v>
      </c>
      <c r="AZ915" s="316">
        <f t="shared" si="177"/>
        <v>0</v>
      </c>
      <c r="BA915" s="1"/>
      <c r="BB915" s="152">
        <f t="shared" si="178"/>
        <v>0</v>
      </c>
      <c r="BC915" s="152">
        <f ca="1">SUM(Z$4:Z915)+SUM(BB$4:BB915)+COSTI!S$6-COSTI!L$1076</f>
        <v>-31.760000000000218</v>
      </c>
      <c r="BD915" s="1"/>
    </row>
    <row r="916" spans="1:56" ht="16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435">
        <f>IF(AND(W916&gt;=$U$1,W916&lt;=$U$2),IF(X916='ESTRATTO CONTO'!$E$2,1+COUNTIF(U$4:U915,"&gt;0"),0),0)</f>
        <v>0</v>
      </c>
      <c r="V916" s="417">
        <f t="shared" si="175"/>
        <v>913</v>
      </c>
      <c r="W916" s="509"/>
      <c r="X916" s="321"/>
      <c r="Y916" s="321"/>
      <c r="Z916" s="508"/>
      <c r="AA916" s="356"/>
      <c r="AB916" s="306" t="str">
        <f t="shared" si="171"/>
        <v/>
      </c>
      <c r="AC916" s="637">
        <f t="shared" ca="1" si="170"/>
        <v>-2.1316282072803006E-13</v>
      </c>
      <c r="AD916" s="935">
        <f>IF(ISERROR(VLOOKUP(AD$2,X917:X$1003,1,FALSE)),IF(X916=AD$2,SUMIF(X$4:X916,AD$2,Z$4:Z916)+$E$9+SUM(AQ$4:AQ$1003)+SUMIF(COSTI!$X$1379:$X$1430,AD$2,COSTI!$Z$1379:$Z$1430),0),0)</f>
        <v>0</v>
      </c>
      <c r="AE916" s="26"/>
      <c r="AF916" s="856" t="e">
        <f>IF(ISERROR(VLOOKUP(AG$2,X917:X$1003,1,FALSE)),IF(X916=AG$2,SUMIF(X$4:X916,AG$2,Z$4:Z916)+VLOOKUP(AF$2,$B$1057:$F$1068,5,FALSE)+SUM(AR$4:AR$1003)+SUMIF(COSTI!$X$1379:$X$1430,AG$2,COSTI!$Z$1379:$Z$1430),0),0)</f>
        <v>#N/A</v>
      </c>
      <c r="AG916" s="859"/>
      <c r="AH916" s="27" t="str">
        <f t="shared" si="172"/>
        <v/>
      </c>
      <c r="AI916" s="152">
        <f ca="1">IF(W917&gt;0,0,IF(AH916=0,(Z916*-1)+BC916+SUM(BB$4:BB915),BC916+SUM(BB$4:BB915)))</f>
        <v>-2.1316282072803006E-13</v>
      </c>
      <c r="AJ916" s="931">
        <f>IF(AND(AL916&gt;=$U$1,AL916&lt;=$U$2),IF(AM916='ESTRATTO CONTO'!$E$2,1+COUNTIF(AJ$4:AJ915,"&gt;0")+U$1015,0),0)</f>
        <v>0</v>
      </c>
      <c r="AK916" s="203">
        <f>IF(AND(OR((AK915+1)&lt;AL$1015,(AK915+1)=AL$1015),MAX(AK$4:AK915)&lt;AL$1015),AK915+1,0)</f>
        <v>0</v>
      </c>
      <c r="AL916" s="309">
        <f>VLOOKUP($AK916,ENTI!$AF$4:AG$1003,2,FALSE)</f>
        <v>0</v>
      </c>
      <c r="AM916" s="224">
        <f>VLOOKUP($AK916,ENTI!$AF$4:AH$1003,3,FALSE)</f>
        <v>0</v>
      </c>
      <c r="AN916" s="224">
        <f>VLOOKUP($AK916,ENTI!$AF$4:AI$1003,4,FALSE)</f>
        <v>0</v>
      </c>
      <c r="AO916" s="781">
        <f>VLOOKUP($AK916,ENTI!$AF$4:AJ$1003,5,FALSE)</f>
        <v>0</v>
      </c>
      <c r="AP916" s="315">
        <f>VLOOKUP($AK916,ENTI!$AF$4:AK$1003,6,FALSE)</f>
        <v>0</v>
      </c>
      <c r="AQ916" s="208">
        <f t="shared" si="179"/>
        <v>0</v>
      </c>
      <c r="AR916" s="152" t="e">
        <f t="shared" si="180"/>
        <v>#N/A</v>
      </c>
      <c r="AS916" s="1"/>
      <c r="AT916" s="88" t="str">
        <f t="shared" si="173"/>
        <v/>
      </c>
      <c r="AU916" s="1"/>
      <c r="AV916" s="175">
        <f>IF(AW916&gt;0,COUNTIF(AV$4:AV915,"&gt;0")+1,0)</f>
        <v>0</v>
      </c>
      <c r="AW916" s="164">
        <f t="shared" si="174"/>
        <v>0</v>
      </c>
      <c r="AX916" s="310">
        <f>IF($AW916=0,0,VLOOKUP(VLOOKUP($X916,$B$34:$T$38,19,FALSE),ENTI!$A$9:$B$13,2,FALSE))</f>
        <v>0</v>
      </c>
      <c r="AY916" s="310">
        <f t="shared" si="176"/>
        <v>0</v>
      </c>
      <c r="AZ916" s="316">
        <f t="shared" si="177"/>
        <v>0</v>
      </c>
      <c r="BA916" s="1"/>
      <c r="BB916" s="152">
        <f t="shared" si="178"/>
        <v>0</v>
      </c>
      <c r="BC916" s="152">
        <f ca="1">SUM(Z$4:Z916)+SUM(BB$4:BB916)+COSTI!S$6-COSTI!L$1076</f>
        <v>-31.760000000000218</v>
      </c>
      <c r="BD916" s="1"/>
    </row>
    <row r="917" spans="1:56" ht="16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435">
        <f>IF(AND(W917&gt;=$U$1,W917&lt;=$U$2),IF(X917='ESTRATTO CONTO'!$E$2,1+COUNTIF(U$4:U916,"&gt;0"),0),0)</f>
        <v>0</v>
      </c>
      <c r="V917" s="417">
        <f t="shared" si="175"/>
        <v>914</v>
      </c>
      <c r="W917" s="509"/>
      <c r="X917" s="321"/>
      <c r="Y917" s="321"/>
      <c r="Z917" s="508"/>
      <c r="AA917" s="356"/>
      <c r="AB917" s="306" t="str">
        <f t="shared" si="171"/>
        <v/>
      </c>
      <c r="AC917" s="637">
        <f t="shared" ca="1" si="170"/>
        <v>-2.1316282072803006E-13</v>
      </c>
      <c r="AD917" s="935">
        <f>IF(ISERROR(VLOOKUP(AD$2,X918:X$1003,1,FALSE)),IF(X917=AD$2,SUMIF(X$4:X917,AD$2,Z$4:Z917)+$E$9+SUM(AQ$4:AQ$1003)+SUMIF(COSTI!$X$1379:$X$1430,AD$2,COSTI!$Z$1379:$Z$1430),0),0)</f>
        <v>0</v>
      </c>
      <c r="AE917" s="26"/>
      <c r="AF917" s="856" t="e">
        <f>IF(ISERROR(VLOOKUP(AG$2,X918:X$1003,1,FALSE)),IF(X917=AG$2,SUMIF(X$4:X917,AG$2,Z$4:Z917)+VLOOKUP(AF$2,$B$1057:$F$1068,5,FALSE)+SUM(AR$4:AR$1003)+SUMIF(COSTI!$X$1379:$X$1430,AG$2,COSTI!$Z$1379:$Z$1430),0),0)</f>
        <v>#N/A</v>
      </c>
      <c r="AG917" s="859"/>
      <c r="AH917" s="27" t="str">
        <f t="shared" si="172"/>
        <v/>
      </c>
      <c r="AI917" s="152">
        <f ca="1">IF(W918&gt;0,0,IF(AH917=0,(Z917*-1)+BC917+SUM(BB$4:BB916),BC917+SUM(BB$4:BB916)))</f>
        <v>-2.1316282072803006E-13</v>
      </c>
      <c r="AJ917" s="931">
        <f>IF(AND(AL917&gt;=$U$1,AL917&lt;=$U$2),IF(AM917='ESTRATTO CONTO'!$E$2,1+COUNTIF(AJ$4:AJ916,"&gt;0")+U$1015,0),0)</f>
        <v>0</v>
      </c>
      <c r="AK917" s="203">
        <f>IF(AND(OR((AK916+1)&lt;AL$1015,(AK916+1)=AL$1015),MAX(AK$4:AK916)&lt;AL$1015),AK916+1,0)</f>
        <v>0</v>
      </c>
      <c r="AL917" s="309">
        <f>VLOOKUP($AK917,ENTI!$AF$4:AG$1003,2,FALSE)</f>
        <v>0</v>
      </c>
      <c r="AM917" s="224">
        <f>VLOOKUP($AK917,ENTI!$AF$4:AH$1003,3,FALSE)</f>
        <v>0</v>
      </c>
      <c r="AN917" s="224">
        <f>VLOOKUP($AK917,ENTI!$AF$4:AI$1003,4,FALSE)</f>
        <v>0</v>
      </c>
      <c r="AO917" s="781">
        <f>VLOOKUP($AK917,ENTI!$AF$4:AJ$1003,5,FALSE)</f>
        <v>0</v>
      </c>
      <c r="AP917" s="315">
        <f>VLOOKUP($AK917,ENTI!$AF$4:AK$1003,6,FALSE)</f>
        <v>0</v>
      </c>
      <c r="AQ917" s="208">
        <f t="shared" si="179"/>
        <v>0</v>
      </c>
      <c r="AR917" s="152" t="e">
        <f t="shared" si="180"/>
        <v>#N/A</v>
      </c>
      <c r="AS917" s="1"/>
      <c r="AT917" s="88" t="str">
        <f t="shared" si="173"/>
        <v/>
      </c>
      <c r="AU917" s="1"/>
      <c r="AV917" s="175">
        <f>IF(AW917&gt;0,COUNTIF(AV$4:AV916,"&gt;0")+1,0)</f>
        <v>0</v>
      </c>
      <c r="AW917" s="164">
        <f t="shared" si="174"/>
        <v>0</v>
      </c>
      <c r="AX917" s="310">
        <f>IF($AW917=0,0,VLOOKUP(VLOOKUP($X917,$B$34:$T$38,19,FALSE),ENTI!$A$9:$B$13,2,FALSE))</f>
        <v>0</v>
      </c>
      <c r="AY917" s="310">
        <f t="shared" si="176"/>
        <v>0</v>
      </c>
      <c r="AZ917" s="316">
        <f t="shared" si="177"/>
        <v>0</v>
      </c>
      <c r="BA917" s="1"/>
      <c r="BB917" s="152">
        <f t="shared" si="178"/>
        <v>0</v>
      </c>
      <c r="BC917" s="152">
        <f ca="1">SUM(Z$4:Z917)+SUM(BB$4:BB917)+COSTI!S$6-COSTI!L$1076</f>
        <v>-31.760000000000218</v>
      </c>
      <c r="BD917" s="1"/>
    </row>
    <row r="918" spans="1:56" ht="16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435">
        <f>IF(AND(W918&gt;=$U$1,W918&lt;=$U$2),IF(X918='ESTRATTO CONTO'!$E$2,1+COUNTIF(U$4:U917,"&gt;0"),0),0)</f>
        <v>0</v>
      </c>
      <c r="V918" s="417">
        <f t="shared" si="175"/>
        <v>915</v>
      </c>
      <c r="W918" s="509"/>
      <c r="X918" s="321"/>
      <c r="Y918" s="321"/>
      <c r="Z918" s="508"/>
      <c r="AA918" s="356"/>
      <c r="AB918" s="306" t="str">
        <f t="shared" si="171"/>
        <v/>
      </c>
      <c r="AC918" s="637">
        <f t="shared" ca="1" si="170"/>
        <v>-2.1316282072803006E-13</v>
      </c>
      <c r="AD918" s="935">
        <f>IF(ISERROR(VLOOKUP(AD$2,X919:X$1003,1,FALSE)),IF(X918=AD$2,SUMIF(X$4:X918,AD$2,Z$4:Z918)+$E$9+SUM(AQ$4:AQ$1003)+SUMIF(COSTI!$X$1379:$X$1430,AD$2,COSTI!$Z$1379:$Z$1430),0),0)</f>
        <v>0</v>
      </c>
      <c r="AE918" s="26"/>
      <c r="AF918" s="856" t="e">
        <f>IF(ISERROR(VLOOKUP(AG$2,X919:X$1003,1,FALSE)),IF(X918=AG$2,SUMIF(X$4:X918,AG$2,Z$4:Z918)+VLOOKUP(AF$2,$B$1057:$F$1068,5,FALSE)+SUM(AR$4:AR$1003)+SUMIF(COSTI!$X$1379:$X$1430,AG$2,COSTI!$Z$1379:$Z$1430),0),0)</f>
        <v>#N/A</v>
      </c>
      <c r="AG918" s="859"/>
      <c r="AH918" s="27" t="str">
        <f t="shared" si="172"/>
        <v/>
      </c>
      <c r="AI918" s="152">
        <f ca="1">IF(W919&gt;0,0,IF(AH918=0,(Z918*-1)+BC918+SUM(BB$4:BB917),BC918+SUM(BB$4:BB917)))</f>
        <v>-2.1316282072803006E-13</v>
      </c>
      <c r="AJ918" s="931">
        <f>IF(AND(AL918&gt;=$U$1,AL918&lt;=$U$2),IF(AM918='ESTRATTO CONTO'!$E$2,1+COUNTIF(AJ$4:AJ917,"&gt;0")+U$1015,0),0)</f>
        <v>0</v>
      </c>
      <c r="AK918" s="203">
        <f>IF(AND(OR((AK917+1)&lt;AL$1015,(AK917+1)=AL$1015),MAX(AK$4:AK917)&lt;AL$1015),AK917+1,0)</f>
        <v>0</v>
      </c>
      <c r="AL918" s="309">
        <f>VLOOKUP($AK918,ENTI!$AF$4:AG$1003,2,FALSE)</f>
        <v>0</v>
      </c>
      <c r="AM918" s="224">
        <f>VLOOKUP($AK918,ENTI!$AF$4:AH$1003,3,FALSE)</f>
        <v>0</v>
      </c>
      <c r="AN918" s="224">
        <f>VLOOKUP($AK918,ENTI!$AF$4:AI$1003,4,FALSE)</f>
        <v>0</v>
      </c>
      <c r="AO918" s="781">
        <f>VLOOKUP($AK918,ENTI!$AF$4:AJ$1003,5,FALSE)</f>
        <v>0</v>
      </c>
      <c r="AP918" s="315">
        <f>VLOOKUP($AK918,ENTI!$AF$4:AK$1003,6,FALSE)</f>
        <v>0</v>
      </c>
      <c r="AQ918" s="208">
        <f t="shared" si="179"/>
        <v>0</v>
      </c>
      <c r="AR918" s="152" t="e">
        <f t="shared" si="180"/>
        <v>#N/A</v>
      </c>
      <c r="AS918" s="1"/>
      <c r="AT918" s="88" t="str">
        <f t="shared" si="173"/>
        <v/>
      </c>
      <c r="AU918" s="1"/>
      <c r="AV918" s="175">
        <f>IF(AW918&gt;0,COUNTIF(AV$4:AV917,"&gt;0")+1,0)</f>
        <v>0</v>
      </c>
      <c r="AW918" s="164">
        <f t="shared" si="174"/>
        <v>0</v>
      </c>
      <c r="AX918" s="310">
        <f>IF($AW918=0,0,VLOOKUP(VLOOKUP($X918,$B$34:$T$38,19,FALSE),ENTI!$A$9:$B$13,2,FALSE))</f>
        <v>0</v>
      </c>
      <c r="AY918" s="310">
        <f t="shared" si="176"/>
        <v>0</v>
      </c>
      <c r="AZ918" s="316">
        <f t="shared" si="177"/>
        <v>0</v>
      </c>
      <c r="BA918" s="1"/>
      <c r="BB918" s="152">
        <f t="shared" si="178"/>
        <v>0</v>
      </c>
      <c r="BC918" s="152">
        <f ca="1">SUM(Z$4:Z918)+SUM(BB$4:BB918)+COSTI!S$6-COSTI!L$1076</f>
        <v>-31.760000000000218</v>
      </c>
      <c r="BD918" s="1"/>
    </row>
    <row r="919" spans="1:56" ht="16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435">
        <f>IF(AND(W919&gt;=$U$1,W919&lt;=$U$2),IF(X919='ESTRATTO CONTO'!$E$2,1+COUNTIF(U$4:U918,"&gt;0"),0),0)</f>
        <v>0</v>
      </c>
      <c r="V919" s="417">
        <f t="shared" si="175"/>
        <v>916</v>
      </c>
      <c r="W919" s="509"/>
      <c r="X919" s="321"/>
      <c r="Y919" s="321"/>
      <c r="Z919" s="508"/>
      <c r="AA919" s="356"/>
      <c r="AB919" s="306" t="str">
        <f t="shared" si="171"/>
        <v/>
      </c>
      <c r="AC919" s="637">
        <f t="shared" ca="1" si="170"/>
        <v>-2.1316282072803006E-13</v>
      </c>
      <c r="AD919" s="935">
        <f>IF(ISERROR(VLOOKUP(AD$2,X920:X$1003,1,FALSE)),IF(X919=AD$2,SUMIF(X$4:X919,AD$2,Z$4:Z919)+$E$9+SUM(AQ$4:AQ$1003)+SUMIF(COSTI!$X$1379:$X$1430,AD$2,COSTI!$Z$1379:$Z$1430),0),0)</f>
        <v>0</v>
      </c>
      <c r="AE919" s="26"/>
      <c r="AF919" s="856" t="e">
        <f>IF(ISERROR(VLOOKUP(AG$2,X920:X$1003,1,FALSE)),IF(X919=AG$2,SUMIF(X$4:X919,AG$2,Z$4:Z919)+VLOOKUP(AF$2,$B$1057:$F$1068,5,FALSE)+SUM(AR$4:AR$1003)+SUMIF(COSTI!$X$1379:$X$1430,AG$2,COSTI!$Z$1379:$Z$1430),0),0)</f>
        <v>#N/A</v>
      </c>
      <c r="AG919" s="859"/>
      <c r="AH919" s="27" t="str">
        <f t="shared" si="172"/>
        <v/>
      </c>
      <c r="AI919" s="152">
        <f ca="1">IF(W920&gt;0,0,IF(AH919=0,(Z919*-1)+BC919+SUM(BB$4:BB918),BC919+SUM(BB$4:BB918)))</f>
        <v>-2.1316282072803006E-13</v>
      </c>
      <c r="AJ919" s="931">
        <f>IF(AND(AL919&gt;=$U$1,AL919&lt;=$U$2),IF(AM919='ESTRATTO CONTO'!$E$2,1+COUNTIF(AJ$4:AJ918,"&gt;0")+U$1015,0),0)</f>
        <v>0</v>
      </c>
      <c r="AK919" s="203">
        <f>IF(AND(OR((AK918+1)&lt;AL$1015,(AK918+1)=AL$1015),MAX(AK$4:AK918)&lt;AL$1015),AK918+1,0)</f>
        <v>0</v>
      </c>
      <c r="AL919" s="309">
        <f>VLOOKUP($AK919,ENTI!$AF$4:AG$1003,2,FALSE)</f>
        <v>0</v>
      </c>
      <c r="AM919" s="224">
        <f>VLOOKUP($AK919,ENTI!$AF$4:AH$1003,3,FALSE)</f>
        <v>0</v>
      </c>
      <c r="AN919" s="224">
        <f>VLOOKUP($AK919,ENTI!$AF$4:AI$1003,4,FALSE)</f>
        <v>0</v>
      </c>
      <c r="AO919" s="781">
        <f>VLOOKUP($AK919,ENTI!$AF$4:AJ$1003,5,FALSE)</f>
        <v>0</v>
      </c>
      <c r="AP919" s="315">
        <f>VLOOKUP($AK919,ENTI!$AF$4:AK$1003,6,FALSE)</f>
        <v>0</v>
      </c>
      <c r="AQ919" s="208">
        <f t="shared" si="179"/>
        <v>0</v>
      </c>
      <c r="AR919" s="152" t="e">
        <f t="shared" si="180"/>
        <v>#N/A</v>
      </c>
      <c r="AS919" s="1"/>
      <c r="AT919" s="88" t="str">
        <f t="shared" si="173"/>
        <v/>
      </c>
      <c r="AU919" s="1"/>
      <c r="AV919" s="175">
        <f>IF(AW919&gt;0,COUNTIF(AV$4:AV918,"&gt;0")+1,0)</f>
        <v>0</v>
      </c>
      <c r="AW919" s="164">
        <f t="shared" si="174"/>
        <v>0</v>
      </c>
      <c r="AX919" s="310">
        <f>IF($AW919=0,0,VLOOKUP(VLOOKUP($X919,$B$34:$T$38,19,FALSE),ENTI!$A$9:$B$13,2,FALSE))</f>
        <v>0</v>
      </c>
      <c r="AY919" s="310">
        <f t="shared" si="176"/>
        <v>0</v>
      </c>
      <c r="AZ919" s="316">
        <f t="shared" si="177"/>
        <v>0</v>
      </c>
      <c r="BA919" s="1"/>
      <c r="BB919" s="152">
        <f t="shared" si="178"/>
        <v>0</v>
      </c>
      <c r="BC919" s="152">
        <f ca="1">SUM(Z$4:Z919)+SUM(BB$4:BB919)+COSTI!S$6-COSTI!L$1076</f>
        <v>-31.760000000000218</v>
      </c>
      <c r="BD919" s="1"/>
    </row>
    <row r="920" spans="1:56" ht="16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435">
        <f>IF(AND(W920&gt;=$U$1,W920&lt;=$U$2),IF(X920='ESTRATTO CONTO'!$E$2,1+COUNTIF(U$4:U919,"&gt;0"),0),0)</f>
        <v>0</v>
      </c>
      <c r="V920" s="417">
        <f t="shared" si="175"/>
        <v>917</v>
      </c>
      <c r="W920" s="509"/>
      <c r="X920" s="321"/>
      <c r="Y920" s="321"/>
      <c r="Z920" s="508"/>
      <c r="AA920" s="356"/>
      <c r="AB920" s="306" t="str">
        <f t="shared" si="171"/>
        <v/>
      </c>
      <c r="AC920" s="637">
        <f t="shared" ca="1" si="170"/>
        <v>-2.1316282072803006E-13</v>
      </c>
      <c r="AD920" s="935">
        <f>IF(ISERROR(VLOOKUP(AD$2,X921:X$1003,1,FALSE)),IF(X920=AD$2,SUMIF(X$4:X920,AD$2,Z$4:Z920)+$E$9+SUM(AQ$4:AQ$1003)+SUMIF(COSTI!$X$1379:$X$1430,AD$2,COSTI!$Z$1379:$Z$1430),0),0)</f>
        <v>0</v>
      </c>
      <c r="AE920" s="26"/>
      <c r="AF920" s="856" t="e">
        <f>IF(ISERROR(VLOOKUP(AG$2,X921:X$1003,1,FALSE)),IF(X920=AG$2,SUMIF(X$4:X920,AG$2,Z$4:Z920)+VLOOKUP(AF$2,$B$1057:$F$1068,5,FALSE)+SUM(AR$4:AR$1003)+SUMIF(COSTI!$X$1379:$X$1430,AG$2,COSTI!$Z$1379:$Z$1430),0),0)</f>
        <v>#N/A</v>
      </c>
      <c r="AG920" s="859"/>
      <c r="AH920" s="27" t="str">
        <f t="shared" si="172"/>
        <v/>
      </c>
      <c r="AI920" s="152">
        <f ca="1">IF(W921&gt;0,0,IF(AH920=0,(Z920*-1)+BC920+SUM(BB$4:BB919),BC920+SUM(BB$4:BB919)))</f>
        <v>-2.1316282072803006E-13</v>
      </c>
      <c r="AJ920" s="931">
        <f>IF(AND(AL920&gt;=$U$1,AL920&lt;=$U$2),IF(AM920='ESTRATTO CONTO'!$E$2,1+COUNTIF(AJ$4:AJ919,"&gt;0")+U$1015,0),0)</f>
        <v>0</v>
      </c>
      <c r="AK920" s="203">
        <f>IF(AND(OR((AK919+1)&lt;AL$1015,(AK919+1)=AL$1015),MAX(AK$4:AK919)&lt;AL$1015),AK919+1,0)</f>
        <v>0</v>
      </c>
      <c r="AL920" s="309">
        <f>VLOOKUP($AK920,ENTI!$AF$4:AG$1003,2,FALSE)</f>
        <v>0</v>
      </c>
      <c r="AM920" s="224">
        <f>VLOOKUP($AK920,ENTI!$AF$4:AH$1003,3,FALSE)</f>
        <v>0</v>
      </c>
      <c r="AN920" s="224">
        <f>VLOOKUP($AK920,ENTI!$AF$4:AI$1003,4,FALSE)</f>
        <v>0</v>
      </c>
      <c r="AO920" s="781">
        <f>VLOOKUP($AK920,ENTI!$AF$4:AJ$1003,5,FALSE)</f>
        <v>0</v>
      </c>
      <c r="AP920" s="315">
        <f>VLOOKUP($AK920,ENTI!$AF$4:AK$1003,6,FALSE)</f>
        <v>0</v>
      </c>
      <c r="AQ920" s="208">
        <f t="shared" si="179"/>
        <v>0</v>
      </c>
      <c r="AR920" s="152" t="e">
        <f t="shared" si="180"/>
        <v>#N/A</v>
      </c>
      <c r="AS920" s="1"/>
      <c r="AT920" s="88" t="str">
        <f t="shared" si="173"/>
        <v/>
      </c>
      <c r="AU920" s="1"/>
      <c r="AV920" s="175">
        <f>IF(AW920&gt;0,COUNTIF(AV$4:AV919,"&gt;0")+1,0)</f>
        <v>0</v>
      </c>
      <c r="AW920" s="164">
        <f t="shared" si="174"/>
        <v>0</v>
      </c>
      <c r="AX920" s="310">
        <f>IF($AW920=0,0,VLOOKUP(VLOOKUP($X920,$B$34:$T$38,19,FALSE),ENTI!$A$9:$B$13,2,FALSE))</f>
        <v>0</v>
      </c>
      <c r="AY920" s="310">
        <f t="shared" si="176"/>
        <v>0</v>
      </c>
      <c r="AZ920" s="316">
        <f t="shared" si="177"/>
        <v>0</v>
      </c>
      <c r="BA920" s="1"/>
      <c r="BB920" s="152">
        <f t="shared" si="178"/>
        <v>0</v>
      </c>
      <c r="BC920" s="152">
        <f ca="1">SUM(Z$4:Z920)+SUM(BB$4:BB920)+COSTI!S$6-COSTI!L$1076</f>
        <v>-31.760000000000218</v>
      </c>
      <c r="BD920" s="1"/>
    </row>
    <row r="921" spans="1:56" ht="16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435">
        <f>IF(AND(W921&gt;=$U$1,W921&lt;=$U$2),IF(X921='ESTRATTO CONTO'!$E$2,1+COUNTIF(U$4:U920,"&gt;0"),0),0)</f>
        <v>0</v>
      </c>
      <c r="V921" s="417">
        <f t="shared" si="175"/>
        <v>918</v>
      </c>
      <c r="W921" s="509"/>
      <c r="X921" s="321"/>
      <c r="Y921" s="321"/>
      <c r="Z921" s="508"/>
      <c r="AA921" s="356"/>
      <c r="AB921" s="306" t="str">
        <f t="shared" si="171"/>
        <v/>
      </c>
      <c r="AC921" s="637">
        <f t="shared" ca="1" si="170"/>
        <v>-2.1316282072803006E-13</v>
      </c>
      <c r="AD921" s="935">
        <f>IF(ISERROR(VLOOKUP(AD$2,X922:X$1003,1,FALSE)),IF(X921=AD$2,SUMIF(X$4:X921,AD$2,Z$4:Z921)+$E$9+SUM(AQ$4:AQ$1003)+SUMIF(COSTI!$X$1379:$X$1430,AD$2,COSTI!$Z$1379:$Z$1430),0),0)</f>
        <v>0</v>
      </c>
      <c r="AE921" s="26"/>
      <c r="AF921" s="856" t="e">
        <f>IF(ISERROR(VLOOKUP(AG$2,X922:X$1003,1,FALSE)),IF(X921=AG$2,SUMIF(X$4:X921,AG$2,Z$4:Z921)+VLOOKUP(AF$2,$B$1057:$F$1068,5,FALSE)+SUM(AR$4:AR$1003)+SUMIF(COSTI!$X$1379:$X$1430,AG$2,COSTI!$Z$1379:$Z$1430),0),0)</f>
        <v>#N/A</v>
      </c>
      <c r="AG921" s="859"/>
      <c r="AH921" s="27" t="str">
        <f t="shared" si="172"/>
        <v/>
      </c>
      <c r="AI921" s="152">
        <f ca="1">IF(W922&gt;0,0,IF(AH921=0,(Z921*-1)+BC921+SUM(BB$4:BB920),BC921+SUM(BB$4:BB920)))</f>
        <v>-2.1316282072803006E-13</v>
      </c>
      <c r="AJ921" s="931">
        <f>IF(AND(AL921&gt;=$U$1,AL921&lt;=$U$2),IF(AM921='ESTRATTO CONTO'!$E$2,1+COUNTIF(AJ$4:AJ920,"&gt;0")+U$1015,0),0)</f>
        <v>0</v>
      </c>
      <c r="AK921" s="203">
        <f>IF(AND(OR((AK920+1)&lt;AL$1015,(AK920+1)=AL$1015),MAX(AK$4:AK920)&lt;AL$1015),AK920+1,0)</f>
        <v>0</v>
      </c>
      <c r="AL921" s="309">
        <f>VLOOKUP($AK921,ENTI!$AF$4:AG$1003,2,FALSE)</f>
        <v>0</v>
      </c>
      <c r="AM921" s="224">
        <f>VLOOKUP($AK921,ENTI!$AF$4:AH$1003,3,FALSE)</f>
        <v>0</v>
      </c>
      <c r="AN921" s="224">
        <f>VLOOKUP($AK921,ENTI!$AF$4:AI$1003,4,FALSE)</f>
        <v>0</v>
      </c>
      <c r="AO921" s="781">
        <f>VLOOKUP($AK921,ENTI!$AF$4:AJ$1003,5,FALSE)</f>
        <v>0</v>
      </c>
      <c r="AP921" s="315">
        <f>VLOOKUP($AK921,ENTI!$AF$4:AK$1003,6,FALSE)</f>
        <v>0</v>
      </c>
      <c r="AQ921" s="208">
        <f t="shared" si="179"/>
        <v>0</v>
      </c>
      <c r="AR921" s="152" t="e">
        <f t="shared" si="180"/>
        <v>#N/A</v>
      </c>
      <c r="AS921" s="1"/>
      <c r="AT921" s="88" t="str">
        <f t="shared" si="173"/>
        <v/>
      </c>
      <c r="AU921" s="1"/>
      <c r="AV921" s="175">
        <f>IF(AW921&gt;0,COUNTIF(AV$4:AV920,"&gt;0")+1,0)</f>
        <v>0</v>
      </c>
      <c r="AW921" s="164">
        <f t="shared" si="174"/>
        <v>0</v>
      </c>
      <c r="AX921" s="310">
        <f>IF($AW921=0,0,VLOOKUP(VLOOKUP($X921,$B$34:$T$38,19,FALSE),ENTI!$A$9:$B$13,2,FALSE))</f>
        <v>0</v>
      </c>
      <c r="AY921" s="310">
        <f t="shared" si="176"/>
        <v>0</v>
      </c>
      <c r="AZ921" s="316">
        <f t="shared" si="177"/>
        <v>0</v>
      </c>
      <c r="BA921" s="1"/>
      <c r="BB921" s="152">
        <f t="shared" si="178"/>
        <v>0</v>
      </c>
      <c r="BC921" s="152">
        <f ca="1">SUM(Z$4:Z921)+SUM(BB$4:BB921)+COSTI!S$6-COSTI!L$1076</f>
        <v>-31.760000000000218</v>
      </c>
      <c r="BD921" s="1"/>
    </row>
    <row r="922" spans="1:56" ht="16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435">
        <f>IF(AND(W922&gt;=$U$1,W922&lt;=$U$2),IF(X922='ESTRATTO CONTO'!$E$2,1+COUNTIF(U$4:U921,"&gt;0"),0),0)</f>
        <v>0</v>
      </c>
      <c r="V922" s="417">
        <f t="shared" si="175"/>
        <v>919</v>
      </c>
      <c r="W922" s="509"/>
      <c r="X922" s="321"/>
      <c r="Y922" s="321"/>
      <c r="Z922" s="508"/>
      <c r="AA922" s="356"/>
      <c r="AB922" s="306" t="str">
        <f t="shared" si="171"/>
        <v/>
      </c>
      <c r="AC922" s="637">
        <f t="shared" ca="1" si="170"/>
        <v>-2.1316282072803006E-13</v>
      </c>
      <c r="AD922" s="935">
        <f>IF(ISERROR(VLOOKUP(AD$2,X923:X$1003,1,FALSE)),IF(X922=AD$2,SUMIF(X$4:X922,AD$2,Z$4:Z922)+$E$9+SUM(AQ$4:AQ$1003)+SUMIF(COSTI!$X$1379:$X$1430,AD$2,COSTI!$Z$1379:$Z$1430),0),0)</f>
        <v>0</v>
      </c>
      <c r="AE922" s="26"/>
      <c r="AF922" s="856" t="e">
        <f>IF(ISERROR(VLOOKUP(AG$2,X923:X$1003,1,FALSE)),IF(X922=AG$2,SUMIF(X$4:X922,AG$2,Z$4:Z922)+VLOOKUP(AF$2,$B$1057:$F$1068,5,FALSE)+SUM(AR$4:AR$1003)+SUMIF(COSTI!$X$1379:$X$1430,AG$2,COSTI!$Z$1379:$Z$1430),0),0)</f>
        <v>#N/A</v>
      </c>
      <c r="AG922" s="859"/>
      <c r="AH922" s="27" t="str">
        <f t="shared" si="172"/>
        <v/>
      </c>
      <c r="AI922" s="152">
        <f ca="1">IF(W923&gt;0,0,IF(AH922=0,(Z922*-1)+BC922+SUM(BB$4:BB921),BC922+SUM(BB$4:BB921)))</f>
        <v>-2.1316282072803006E-13</v>
      </c>
      <c r="AJ922" s="931">
        <f>IF(AND(AL922&gt;=$U$1,AL922&lt;=$U$2),IF(AM922='ESTRATTO CONTO'!$E$2,1+COUNTIF(AJ$4:AJ921,"&gt;0")+U$1015,0),0)</f>
        <v>0</v>
      </c>
      <c r="AK922" s="203">
        <f>IF(AND(OR((AK921+1)&lt;AL$1015,(AK921+1)=AL$1015),MAX(AK$4:AK921)&lt;AL$1015),AK921+1,0)</f>
        <v>0</v>
      </c>
      <c r="AL922" s="309">
        <f>VLOOKUP($AK922,ENTI!$AF$4:AG$1003,2,FALSE)</f>
        <v>0</v>
      </c>
      <c r="AM922" s="224">
        <f>VLOOKUP($AK922,ENTI!$AF$4:AH$1003,3,FALSE)</f>
        <v>0</v>
      </c>
      <c r="AN922" s="224">
        <f>VLOOKUP($AK922,ENTI!$AF$4:AI$1003,4,FALSE)</f>
        <v>0</v>
      </c>
      <c r="AO922" s="781">
        <f>VLOOKUP($AK922,ENTI!$AF$4:AJ$1003,5,FALSE)</f>
        <v>0</v>
      </c>
      <c r="AP922" s="315">
        <f>VLOOKUP($AK922,ENTI!$AF$4:AK$1003,6,FALSE)</f>
        <v>0</v>
      </c>
      <c r="AQ922" s="208">
        <f t="shared" si="179"/>
        <v>0</v>
      </c>
      <c r="AR922" s="152" t="e">
        <f t="shared" si="180"/>
        <v>#N/A</v>
      </c>
      <c r="AS922" s="1"/>
      <c r="AT922" s="88" t="str">
        <f t="shared" si="173"/>
        <v/>
      </c>
      <c r="AU922" s="1"/>
      <c r="AV922" s="175">
        <f>IF(AW922&gt;0,COUNTIF(AV$4:AV921,"&gt;0")+1,0)</f>
        <v>0</v>
      </c>
      <c r="AW922" s="164">
        <f t="shared" si="174"/>
        <v>0</v>
      </c>
      <c r="AX922" s="310">
        <f>IF($AW922=0,0,VLOOKUP(VLOOKUP($X922,$B$34:$T$38,19,FALSE),ENTI!$A$9:$B$13,2,FALSE))</f>
        <v>0</v>
      </c>
      <c r="AY922" s="310">
        <f t="shared" si="176"/>
        <v>0</v>
      </c>
      <c r="AZ922" s="316">
        <f t="shared" si="177"/>
        <v>0</v>
      </c>
      <c r="BA922" s="1"/>
      <c r="BB922" s="152">
        <f t="shared" si="178"/>
        <v>0</v>
      </c>
      <c r="BC922" s="152">
        <f ca="1">SUM(Z$4:Z922)+SUM(BB$4:BB922)+COSTI!S$6-COSTI!L$1076</f>
        <v>-31.760000000000218</v>
      </c>
      <c r="BD922" s="1"/>
    </row>
    <row r="923" spans="1:56" ht="16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435">
        <f>IF(AND(W923&gt;=$U$1,W923&lt;=$U$2),IF(X923='ESTRATTO CONTO'!$E$2,1+COUNTIF(U$4:U922,"&gt;0"),0),0)</f>
        <v>0</v>
      </c>
      <c r="V923" s="417">
        <f t="shared" si="175"/>
        <v>920</v>
      </c>
      <c r="W923" s="509"/>
      <c r="X923" s="321"/>
      <c r="Y923" s="321"/>
      <c r="Z923" s="508"/>
      <c r="AA923" s="356"/>
      <c r="AB923" s="306" t="str">
        <f t="shared" si="171"/>
        <v/>
      </c>
      <c r="AC923" s="637">
        <f t="shared" ca="1" si="170"/>
        <v>-2.1316282072803006E-13</v>
      </c>
      <c r="AD923" s="935">
        <f>IF(ISERROR(VLOOKUP(AD$2,X924:X$1003,1,FALSE)),IF(X923=AD$2,SUMIF(X$4:X923,AD$2,Z$4:Z923)+$E$9+SUM(AQ$4:AQ$1003)+SUMIF(COSTI!$X$1379:$X$1430,AD$2,COSTI!$Z$1379:$Z$1430),0),0)</f>
        <v>0</v>
      </c>
      <c r="AE923" s="26"/>
      <c r="AF923" s="856" t="e">
        <f>IF(ISERROR(VLOOKUP(AG$2,X924:X$1003,1,FALSE)),IF(X923=AG$2,SUMIF(X$4:X923,AG$2,Z$4:Z923)+VLOOKUP(AF$2,$B$1057:$F$1068,5,FALSE)+SUM(AR$4:AR$1003)+SUMIF(COSTI!$X$1379:$X$1430,AG$2,COSTI!$Z$1379:$Z$1430),0),0)</f>
        <v>#N/A</v>
      </c>
      <c r="AG923" s="859"/>
      <c r="AH923" s="27" t="str">
        <f t="shared" si="172"/>
        <v/>
      </c>
      <c r="AI923" s="152">
        <f ca="1">IF(W924&gt;0,0,IF(AH923=0,(Z923*-1)+BC923+SUM(BB$4:BB922),BC923+SUM(BB$4:BB922)))</f>
        <v>-2.1316282072803006E-13</v>
      </c>
      <c r="AJ923" s="931">
        <f>IF(AND(AL923&gt;=$U$1,AL923&lt;=$U$2),IF(AM923='ESTRATTO CONTO'!$E$2,1+COUNTIF(AJ$4:AJ922,"&gt;0")+U$1015,0),0)</f>
        <v>0</v>
      </c>
      <c r="AK923" s="203">
        <f>IF(AND(OR((AK922+1)&lt;AL$1015,(AK922+1)=AL$1015),MAX(AK$4:AK922)&lt;AL$1015),AK922+1,0)</f>
        <v>0</v>
      </c>
      <c r="AL923" s="309">
        <f>VLOOKUP($AK923,ENTI!$AF$4:AG$1003,2,FALSE)</f>
        <v>0</v>
      </c>
      <c r="AM923" s="224">
        <f>VLOOKUP($AK923,ENTI!$AF$4:AH$1003,3,FALSE)</f>
        <v>0</v>
      </c>
      <c r="AN923" s="224">
        <f>VLOOKUP($AK923,ENTI!$AF$4:AI$1003,4,FALSE)</f>
        <v>0</v>
      </c>
      <c r="AO923" s="781">
        <f>VLOOKUP($AK923,ENTI!$AF$4:AJ$1003,5,FALSE)</f>
        <v>0</v>
      </c>
      <c r="AP923" s="315">
        <f>VLOOKUP($AK923,ENTI!$AF$4:AK$1003,6,FALSE)</f>
        <v>0</v>
      </c>
      <c r="AQ923" s="208">
        <f t="shared" si="179"/>
        <v>0</v>
      </c>
      <c r="AR923" s="152" t="e">
        <f t="shared" si="180"/>
        <v>#N/A</v>
      </c>
      <c r="AS923" s="1"/>
      <c r="AT923" s="88" t="str">
        <f t="shared" si="173"/>
        <v/>
      </c>
      <c r="AU923" s="1"/>
      <c r="AV923" s="175">
        <f>IF(AW923&gt;0,COUNTIF(AV$4:AV922,"&gt;0")+1,0)</f>
        <v>0</v>
      </c>
      <c r="AW923" s="164">
        <f t="shared" si="174"/>
        <v>0</v>
      </c>
      <c r="AX923" s="310">
        <f>IF($AW923=0,0,VLOOKUP(VLOOKUP($X923,$B$34:$T$38,19,FALSE),ENTI!$A$9:$B$13,2,FALSE))</f>
        <v>0</v>
      </c>
      <c r="AY923" s="310">
        <f t="shared" si="176"/>
        <v>0</v>
      </c>
      <c r="AZ923" s="316">
        <f t="shared" si="177"/>
        <v>0</v>
      </c>
      <c r="BA923" s="1"/>
      <c r="BB923" s="152">
        <f t="shared" si="178"/>
        <v>0</v>
      </c>
      <c r="BC923" s="152">
        <f ca="1">SUM(Z$4:Z923)+SUM(BB$4:BB923)+COSTI!S$6-COSTI!L$1076</f>
        <v>-31.760000000000218</v>
      </c>
      <c r="BD923" s="1"/>
    </row>
    <row r="924" spans="1:56" ht="16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435">
        <f>IF(AND(W924&gt;=$U$1,W924&lt;=$U$2),IF(X924='ESTRATTO CONTO'!$E$2,1+COUNTIF(U$4:U923,"&gt;0"),0),0)</f>
        <v>0</v>
      </c>
      <c r="V924" s="417">
        <f t="shared" si="175"/>
        <v>921</v>
      </c>
      <c r="W924" s="509"/>
      <c r="X924" s="321"/>
      <c r="Y924" s="321"/>
      <c r="Z924" s="508"/>
      <c r="AA924" s="356"/>
      <c r="AB924" s="306" t="str">
        <f t="shared" si="171"/>
        <v/>
      </c>
      <c r="AC924" s="637">
        <f t="shared" ca="1" si="170"/>
        <v>-2.1316282072803006E-13</v>
      </c>
      <c r="AD924" s="935">
        <f>IF(ISERROR(VLOOKUP(AD$2,X925:X$1003,1,FALSE)),IF(X924=AD$2,SUMIF(X$4:X924,AD$2,Z$4:Z924)+$E$9+SUM(AQ$4:AQ$1003)+SUMIF(COSTI!$X$1379:$X$1430,AD$2,COSTI!$Z$1379:$Z$1430),0),0)</f>
        <v>0</v>
      </c>
      <c r="AE924" s="26"/>
      <c r="AF924" s="856" t="e">
        <f>IF(ISERROR(VLOOKUP(AG$2,X925:X$1003,1,FALSE)),IF(X924=AG$2,SUMIF(X$4:X924,AG$2,Z$4:Z924)+VLOOKUP(AF$2,$B$1057:$F$1068,5,FALSE)+SUM(AR$4:AR$1003)+SUMIF(COSTI!$X$1379:$X$1430,AG$2,COSTI!$Z$1379:$Z$1430),0),0)</f>
        <v>#N/A</v>
      </c>
      <c r="AG924" s="859"/>
      <c r="AH924" s="27" t="str">
        <f t="shared" si="172"/>
        <v/>
      </c>
      <c r="AI924" s="152">
        <f ca="1">IF(W925&gt;0,0,IF(AH924=0,(Z924*-1)+BC924+SUM(BB$4:BB923),BC924+SUM(BB$4:BB923)))</f>
        <v>-2.1316282072803006E-13</v>
      </c>
      <c r="AJ924" s="931">
        <f>IF(AND(AL924&gt;=$U$1,AL924&lt;=$U$2),IF(AM924='ESTRATTO CONTO'!$E$2,1+COUNTIF(AJ$4:AJ923,"&gt;0")+U$1015,0),0)</f>
        <v>0</v>
      </c>
      <c r="AK924" s="203">
        <f>IF(AND(OR((AK923+1)&lt;AL$1015,(AK923+1)=AL$1015),MAX(AK$4:AK923)&lt;AL$1015),AK923+1,0)</f>
        <v>0</v>
      </c>
      <c r="AL924" s="309">
        <f>VLOOKUP($AK924,ENTI!$AF$4:AG$1003,2,FALSE)</f>
        <v>0</v>
      </c>
      <c r="AM924" s="224">
        <f>VLOOKUP($AK924,ENTI!$AF$4:AH$1003,3,FALSE)</f>
        <v>0</v>
      </c>
      <c r="AN924" s="224">
        <f>VLOOKUP($AK924,ENTI!$AF$4:AI$1003,4,FALSE)</f>
        <v>0</v>
      </c>
      <c r="AO924" s="781">
        <f>VLOOKUP($AK924,ENTI!$AF$4:AJ$1003,5,FALSE)</f>
        <v>0</v>
      </c>
      <c r="AP924" s="315">
        <f>VLOOKUP($AK924,ENTI!$AF$4:AK$1003,6,FALSE)</f>
        <v>0</v>
      </c>
      <c r="AQ924" s="208">
        <f t="shared" si="179"/>
        <v>0</v>
      </c>
      <c r="AR924" s="152" t="e">
        <f t="shared" si="180"/>
        <v>#N/A</v>
      </c>
      <c r="AS924" s="1"/>
      <c r="AT924" s="88" t="str">
        <f t="shared" si="173"/>
        <v/>
      </c>
      <c r="AU924" s="1"/>
      <c r="AV924" s="175">
        <f>IF(AW924&gt;0,COUNTIF(AV$4:AV923,"&gt;0")+1,0)</f>
        <v>0</v>
      </c>
      <c r="AW924" s="164">
        <f t="shared" si="174"/>
        <v>0</v>
      </c>
      <c r="AX924" s="310">
        <f>IF($AW924=0,0,VLOOKUP(VLOOKUP($X924,$B$34:$T$38,19,FALSE),ENTI!$A$9:$B$13,2,FALSE))</f>
        <v>0</v>
      </c>
      <c r="AY924" s="310">
        <f t="shared" si="176"/>
        <v>0</v>
      </c>
      <c r="AZ924" s="316">
        <f t="shared" si="177"/>
        <v>0</v>
      </c>
      <c r="BA924" s="1"/>
      <c r="BB924" s="152">
        <f t="shared" si="178"/>
        <v>0</v>
      </c>
      <c r="BC924" s="152">
        <f ca="1">SUM(Z$4:Z924)+SUM(BB$4:BB924)+COSTI!S$6-COSTI!L$1076</f>
        <v>-31.760000000000218</v>
      </c>
      <c r="BD924" s="1"/>
    </row>
    <row r="925" spans="1:56" ht="16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435">
        <f>IF(AND(W925&gt;=$U$1,W925&lt;=$U$2),IF(X925='ESTRATTO CONTO'!$E$2,1+COUNTIF(U$4:U924,"&gt;0"),0),0)</f>
        <v>0</v>
      </c>
      <c r="V925" s="417">
        <f t="shared" si="175"/>
        <v>922</v>
      </c>
      <c r="W925" s="509"/>
      <c r="X925" s="321"/>
      <c r="Y925" s="321"/>
      <c r="Z925" s="508"/>
      <c r="AA925" s="356"/>
      <c r="AB925" s="306" t="str">
        <f t="shared" si="171"/>
        <v/>
      </c>
      <c r="AC925" s="637">
        <f t="shared" ca="1" si="170"/>
        <v>-2.1316282072803006E-13</v>
      </c>
      <c r="AD925" s="935">
        <f>IF(ISERROR(VLOOKUP(AD$2,X926:X$1003,1,FALSE)),IF(X925=AD$2,SUMIF(X$4:X925,AD$2,Z$4:Z925)+$E$9+SUM(AQ$4:AQ$1003)+SUMIF(COSTI!$X$1379:$X$1430,AD$2,COSTI!$Z$1379:$Z$1430),0),0)</f>
        <v>0</v>
      </c>
      <c r="AE925" s="26"/>
      <c r="AF925" s="856" t="e">
        <f>IF(ISERROR(VLOOKUP(AG$2,X926:X$1003,1,FALSE)),IF(X925=AG$2,SUMIF(X$4:X925,AG$2,Z$4:Z925)+VLOOKUP(AF$2,$B$1057:$F$1068,5,FALSE)+SUM(AR$4:AR$1003)+SUMIF(COSTI!$X$1379:$X$1430,AG$2,COSTI!$Z$1379:$Z$1430),0),0)</f>
        <v>#N/A</v>
      </c>
      <c r="AG925" s="859"/>
      <c r="AH925" s="27" t="str">
        <f t="shared" si="172"/>
        <v/>
      </c>
      <c r="AI925" s="152">
        <f ca="1">IF(W926&gt;0,0,IF(AH925=0,(Z925*-1)+BC925+SUM(BB$4:BB924),BC925+SUM(BB$4:BB924)))</f>
        <v>-2.1316282072803006E-13</v>
      </c>
      <c r="AJ925" s="931">
        <f>IF(AND(AL925&gt;=$U$1,AL925&lt;=$U$2),IF(AM925='ESTRATTO CONTO'!$E$2,1+COUNTIF(AJ$4:AJ924,"&gt;0")+U$1015,0),0)</f>
        <v>0</v>
      </c>
      <c r="AK925" s="203">
        <f>IF(AND(OR((AK924+1)&lt;AL$1015,(AK924+1)=AL$1015),MAX(AK$4:AK924)&lt;AL$1015),AK924+1,0)</f>
        <v>0</v>
      </c>
      <c r="AL925" s="309">
        <f>VLOOKUP($AK925,ENTI!$AF$4:AG$1003,2,FALSE)</f>
        <v>0</v>
      </c>
      <c r="AM925" s="224">
        <f>VLOOKUP($AK925,ENTI!$AF$4:AH$1003,3,FALSE)</f>
        <v>0</v>
      </c>
      <c r="AN925" s="224">
        <f>VLOOKUP($AK925,ENTI!$AF$4:AI$1003,4,FALSE)</f>
        <v>0</v>
      </c>
      <c r="AO925" s="781">
        <f>VLOOKUP($AK925,ENTI!$AF$4:AJ$1003,5,FALSE)</f>
        <v>0</v>
      </c>
      <c r="AP925" s="315">
        <f>VLOOKUP($AK925,ENTI!$AF$4:AK$1003,6,FALSE)</f>
        <v>0</v>
      </c>
      <c r="AQ925" s="208">
        <f t="shared" si="179"/>
        <v>0</v>
      </c>
      <c r="AR925" s="152" t="e">
        <f t="shared" si="180"/>
        <v>#N/A</v>
      </c>
      <c r="AS925" s="1"/>
      <c r="AT925" s="88" t="str">
        <f t="shared" si="173"/>
        <v/>
      </c>
      <c r="AU925" s="1"/>
      <c r="AV925" s="175">
        <f>IF(AW925&gt;0,COUNTIF(AV$4:AV924,"&gt;0")+1,0)</f>
        <v>0</v>
      </c>
      <c r="AW925" s="164">
        <f t="shared" si="174"/>
        <v>0</v>
      </c>
      <c r="AX925" s="310">
        <f>IF($AW925=0,0,VLOOKUP(VLOOKUP($X925,$B$34:$T$38,19,FALSE),ENTI!$A$9:$B$13,2,FALSE))</f>
        <v>0</v>
      </c>
      <c r="AY925" s="310">
        <f t="shared" si="176"/>
        <v>0</v>
      </c>
      <c r="AZ925" s="316">
        <f t="shared" si="177"/>
        <v>0</v>
      </c>
      <c r="BA925" s="1"/>
      <c r="BB925" s="152">
        <f t="shared" si="178"/>
        <v>0</v>
      </c>
      <c r="BC925" s="152">
        <f ca="1">SUM(Z$4:Z925)+SUM(BB$4:BB925)+COSTI!S$6-COSTI!L$1076</f>
        <v>-31.760000000000218</v>
      </c>
      <c r="BD925" s="1"/>
    </row>
    <row r="926" spans="1:56" ht="16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435">
        <f>IF(AND(W926&gt;=$U$1,W926&lt;=$U$2),IF(X926='ESTRATTO CONTO'!$E$2,1+COUNTIF(U$4:U925,"&gt;0"),0),0)</f>
        <v>0</v>
      </c>
      <c r="V926" s="417">
        <f t="shared" si="175"/>
        <v>923</v>
      </c>
      <c r="W926" s="509"/>
      <c r="X926" s="321"/>
      <c r="Y926" s="321"/>
      <c r="Z926" s="508"/>
      <c r="AA926" s="356"/>
      <c r="AB926" s="306" t="str">
        <f t="shared" si="171"/>
        <v/>
      </c>
      <c r="AC926" s="637">
        <f t="shared" ca="1" si="170"/>
        <v>-2.1316282072803006E-13</v>
      </c>
      <c r="AD926" s="935">
        <f>IF(ISERROR(VLOOKUP(AD$2,X927:X$1003,1,FALSE)),IF(X926=AD$2,SUMIF(X$4:X926,AD$2,Z$4:Z926)+$E$9+SUM(AQ$4:AQ$1003)+SUMIF(COSTI!$X$1379:$X$1430,AD$2,COSTI!$Z$1379:$Z$1430),0),0)</f>
        <v>0</v>
      </c>
      <c r="AE926" s="26"/>
      <c r="AF926" s="856" t="e">
        <f>IF(ISERROR(VLOOKUP(AG$2,X927:X$1003,1,FALSE)),IF(X926=AG$2,SUMIF(X$4:X926,AG$2,Z$4:Z926)+VLOOKUP(AF$2,$B$1057:$F$1068,5,FALSE)+SUM(AR$4:AR$1003)+SUMIF(COSTI!$X$1379:$X$1430,AG$2,COSTI!$Z$1379:$Z$1430),0),0)</f>
        <v>#N/A</v>
      </c>
      <c r="AG926" s="859"/>
      <c r="AH926" s="27" t="str">
        <f t="shared" si="172"/>
        <v/>
      </c>
      <c r="AI926" s="152">
        <f ca="1">IF(W927&gt;0,0,IF(AH926=0,(Z926*-1)+BC926+SUM(BB$4:BB925),BC926+SUM(BB$4:BB925)))</f>
        <v>-2.1316282072803006E-13</v>
      </c>
      <c r="AJ926" s="931">
        <f>IF(AND(AL926&gt;=$U$1,AL926&lt;=$U$2),IF(AM926='ESTRATTO CONTO'!$E$2,1+COUNTIF(AJ$4:AJ925,"&gt;0")+U$1015,0),0)</f>
        <v>0</v>
      </c>
      <c r="AK926" s="203">
        <f>IF(AND(OR((AK925+1)&lt;AL$1015,(AK925+1)=AL$1015),MAX(AK$4:AK925)&lt;AL$1015),AK925+1,0)</f>
        <v>0</v>
      </c>
      <c r="AL926" s="309">
        <f>VLOOKUP($AK926,ENTI!$AF$4:AG$1003,2,FALSE)</f>
        <v>0</v>
      </c>
      <c r="AM926" s="224">
        <f>VLOOKUP($AK926,ENTI!$AF$4:AH$1003,3,FALSE)</f>
        <v>0</v>
      </c>
      <c r="AN926" s="224">
        <f>VLOOKUP($AK926,ENTI!$AF$4:AI$1003,4,FALSE)</f>
        <v>0</v>
      </c>
      <c r="AO926" s="781">
        <f>VLOOKUP($AK926,ENTI!$AF$4:AJ$1003,5,FALSE)</f>
        <v>0</v>
      </c>
      <c r="AP926" s="315">
        <f>VLOOKUP($AK926,ENTI!$AF$4:AK$1003,6,FALSE)</f>
        <v>0</v>
      </c>
      <c r="AQ926" s="208">
        <f t="shared" si="179"/>
        <v>0</v>
      </c>
      <c r="AR926" s="152" t="e">
        <f t="shared" si="180"/>
        <v>#N/A</v>
      </c>
      <c r="AS926" s="1"/>
      <c r="AT926" s="88" t="str">
        <f t="shared" si="173"/>
        <v/>
      </c>
      <c r="AU926" s="1"/>
      <c r="AV926" s="175">
        <f>IF(AW926&gt;0,COUNTIF(AV$4:AV925,"&gt;0")+1,0)</f>
        <v>0</v>
      </c>
      <c r="AW926" s="164">
        <f t="shared" si="174"/>
        <v>0</v>
      </c>
      <c r="AX926" s="310">
        <f>IF($AW926=0,0,VLOOKUP(VLOOKUP($X926,$B$34:$T$38,19,FALSE),ENTI!$A$9:$B$13,2,FALSE))</f>
        <v>0</v>
      </c>
      <c r="AY926" s="310">
        <f t="shared" si="176"/>
        <v>0</v>
      </c>
      <c r="AZ926" s="316">
        <f t="shared" si="177"/>
        <v>0</v>
      </c>
      <c r="BA926" s="1"/>
      <c r="BB926" s="152">
        <f t="shared" si="178"/>
        <v>0</v>
      </c>
      <c r="BC926" s="152">
        <f ca="1">SUM(Z$4:Z926)+SUM(BB$4:BB926)+COSTI!S$6-COSTI!L$1076</f>
        <v>-31.760000000000218</v>
      </c>
      <c r="BD926" s="1"/>
    </row>
    <row r="927" spans="1:56" ht="16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435">
        <f>IF(AND(W927&gt;=$U$1,W927&lt;=$U$2),IF(X927='ESTRATTO CONTO'!$E$2,1+COUNTIF(U$4:U926,"&gt;0"),0),0)</f>
        <v>0</v>
      </c>
      <c r="V927" s="417">
        <f t="shared" si="175"/>
        <v>924</v>
      </c>
      <c r="W927" s="509"/>
      <c r="X927" s="321"/>
      <c r="Y927" s="321"/>
      <c r="Z927" s="508"/>
      <c r="AA927" s="356"/>
      <c r="AB927" s="306" t="str">
        <f t="shared" si="171"/>
        <v/>
      </c>
      <c r="AC927" s="637">
        <f t="shared" ca="1" si="170"/>
        <v>-2.1316282072803006E-13</v>
      </c>
      <c r="AD927" s="935">
        <f>IF(ISERROR(VLOOKUP(AD$2,X928:X$1003,1,FALSE)),IF(X927=AD$2,SUMIF(X$4:X927,AD$2,Z$4:Z927)+$E$9+SUM(AQ$4:AQ$1003)+SUMIF(COSTI!$X$1379:$X$1430,AD$2,COSTI!$Z$1379:$Z$1430),0),0)</f>
        <v>0</v>
      </c>
      <c r="AE927" s="26"/>
      <c r="AF927" s="856" t="e">
        <f>IF(ISERROR(VLOOKUP(AG$2,X928:X$1003,1,FALSE)),IF(X927=AG$2,SUMIF(X$4:X927,AG$2,Z$4:Z927)+VLOOKUP(AF$2,$B$1057:$F$1068,5,FALSE)+SUM(AR$4:AR$1003)+SUMIF(COSTI!$X$1379:$X$1430,AG$2,COSTI!$Z$1379:$Z$1430),0),0)</f>
        <v>#N/A</v>
      </c>
      <c r="AG927" s="859"/>
      <c r="AH927" s="27" t="str">
        <f t="shared" si="172"/>
        <v/>
      </c>
      <c r="AI927" s="152">
        <f ca="1">IF(W928&gt;0,0,IF(AH927=0,(Z927*-1)+BC927+SUM(BB$4:BB926),BC927+SUM(BB$4:BB926)))</f>
        <v>-2.1316282072803006E-13</v>
      </c>
      <c r="AJ927" s="931">
        <f>IF(AND(AL927&gt;=$U$1,AL927&lt;=$U$2),IF(AM927='ESTRATTO CONTO'!$E$2,1+COUNTIF(AJ$4:AJ926,"&gt;0")+U$1015,0),0)</f>
        <v>0</v>
      </c>
      <c r="AK927" s="203">
        <f>IF(AND(OR((AK926+1)&lt;AL$1015,(AK926+1)=AL$1015),MAX(AK$4:AK926)&lt;AL$1015),AK926+1,0)</f>
        <v>0</v>
      </c>
      <c r="AL927" s="309">
        <f>VLOOKUP($AK927,ENTI!$AF$4:AG$1003,2,FALSE)</f>
        <v>0</v>
      </c>
      <c r="AM927" s="224">
        <f>VLOOKUP($AK927,ENTI!$AF$4:AH$1003,3,FALSE)</f>
        <v>0</v>
      </c>
      <c r="AN927" s="224">
        <f>VLOOKUP($AK927,ENTI!$AF$4:AI$1003,4,FALSE)</f>
        <v>0</v>
      </c>
      <c r="AO927" s="781">
        <f>VLOOKUP($AK927,ENTI!$AF$4:AJ$1003,5,FALSE)</f>
        <v>0</v>
      </c>
      <c r="AP927" s="315">
        <f>VLOOKUP($AK927,ENTI!$AF$4:AK$1003,6,FALSE)</f>
        <v>0</v>
      </c>
      <c r="AQ927" s="208">
        <f t="shared" si="179"/>
        <v>0</v>
      </c>
      <c r="AR927" s="152" t="e">
        <f t="shared" si="180"/>
        <v>#N/A</v>
      </c>
      <c r="AS927" s="1"/>
      <c r="AT927" s="88" t="str">
        <f t="shared" si="173"/>
        <v/>
      </c>
      <c r="AU927" s="1"/>
      <c r="AV927" s="175">
        <f>IF(AW927&gt;0,COUNTIF(AV$4:AV926,"&gt;0")+1,0)</f>
        <v>0</v>
      </c>
      <c r="AW927" s="164">
        <f t="shared" si="174"/>
        <v>0</v>
      </c>
      <c r="AX927" s="310">
        <f>IF($AW927=0,0,VLOOKUP(VLOOKUP($X927,$B$34:$T$38,19,FALSE),ENTI!$A$9:$B$13,2,FALSE))</f>
        <v>0</v>
      </c>
      <c r="AY927" s="310">
        <f t="shared" si="176"/>
        <v>0</v>
      </c>
      <c r="AZ927" s="316">
        <f t="shared" si="177"/>
        <v>0</v>
      </c>
      <c r="BA927" s="1"/>
      <c r="BB927" s="152">
        <f t="shared" si="178"/>
        <v>0</v>
      </c>
      <c r="BC927" s="152">
        <f ca="1">SUM(Z$4:Z927)+SUM(BB$4:BB927)+COSTI!S$6-COSTI!L$1076</f>
        <v>-31.760000000000218</v>
      </c>
      <c r="BD927" s="1"/>
    </row>
    <row r="928" spans="1:56" ht="16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435">
        <f>IF(AND(W928&gt;=$U$1,W928&lt;=$U$2),IF(X928='ESTRATTO CONTO'!$E$2,1+COUNTIF(U$4:U927,"&gt;0"),0),0)</f>
        <v>0</v>
      </c>
      <c r="V928" s="417">
        <f t="shared" si="175"/>
        <v>925</v>
      </c>
      <c r="W928" s="509"/>
      <c r="X928" s="321"/>
      <c r="Y928" s="321"/>
      <c r="Z928" s="508"/>
      <c r="AA928" s="356"/>
      <c r="AB928" s="306" t="str">
        <f t="shared" si="171"/>
        <v/>
      </c>
      <c r="AC928" s="637">
        <f t="shared" ca="1" si="170"/>
        <v>-2.1316282072803006E-13</v>
      </c>
      <c r="AD928" s="935">
        <f>IF(ISERROR(VLOOKUP(AD$2,X929:X$1003,1,FALSE)),IF(X928=AD$2,SUMIF(X$4:X928,AD$2,Z$4:Z928)+$E$9+SUM(AQ$4:AQ$1003)+SUMIF(COSTI!$X$1379:$X$1430,AD$2,COSTI!$Z$1379:$Z$1430),0),0)</f>
        <v>0</v>
      </c>
      <c r="AE928" s="26"/>
      <c r="AF928" s="856" t="e">
        <f>IF(ISERROR(VLOOKUP(AG$2,X929:X$1003,1,FALSE)),IF(X928=AG$2,SUMIF(X$4:X928,AG$2,Z$4:Z928)+VLOOKUP(AF$2,$B$1057:$F$1068,5,FALSE)+SUM(AR$4:AR$1003)+SUMIF(COSTI!$X$1379:$X$1430,AG$2,COSTI!$Z$1379:$Z$1430),0),0)</f>
        <v>#N/A</v>
      </c>
      <c r="AG928" s="859"/>
      <c r="AH928" s="27" t="str">
        <f t="shared" si="172"/>
        <v/>
      </c>
      <c r="AI928" s="152">
        <f ca="1">IF(W929&gt;0,0,IF(AH928=0,(Z928*-1)+BC928+SUM(BB$4:BB927),BC928+SUM(BB$4:BB927)))</f>
        <v>-2.1316282072803006E-13</v>
      </c>
      <c r="AJ928" s="931">
        <f>IF(AND(AL928&gt;=$U$1,AL928&lt;=$U$2),IF(AM928='ESTRATTO CONTO'!$E$2,1+COUNTIF(AJ$4:AJ927,"&gt;0")+U$1015,0),0)</f>
        <v>0</v>
      </c>
      <c r="AK928" s="203">
        <f>IF(AND(OR((AK927+1)&lt;AL$1015,(AK927+1)=AL$1015),MAX(AK$4:AK927)&lt;AL$1015),AK927+1,0)</f>
        <v>0</v>
      </c>
      <c r="AL928" s="309">
        <f>VLOOKUP($AK928,ENTI!$AF$4:AG$1003,2,FALSE)</f>
        <v>0</v>
      </c>
      <c r="AM928" s="224">
        <f>VLOOKUP($AK928,ENTI!$AF$4:AH$1003,3,FALSE)</f>
        <v>0</v>
      </c>
      <c r="AN928" s="224">
        <f>VLOOKUP($AK928,ENTI!$AF$4:AI$1003,4,FALSE)</f>
        <v>0</v>
      </c>
      <c r="AO928" s="781">
        <f>VLOOKUP($AK928,ENTI!$AF$4:AJ$1003,5,FALSE)</f>
        <v>0</v>
      </c>
      <c r="AP928" s="315">
        <f>VLOOKUP($AK928,ENTI!$AF$4:AK$1003,6,FALSE)</f>
        <v>0</v>
      </c>
      <c r="AQ928" s="208">
        <f t="shared" si="179"/>
        <v>0</v>
      </c>
      <c r="AR928" s="152" t="e">
        <f t="shared" si="180"/>
        <v>#N/A</v>
      </c>
      <c r="AS928" s="1"/>
      <c r="AT928" s="88" t="str">
        <f t="shared" si="173"/>
        <v/>
      </c>
      <c r="AU928" s="1"/>
      <c r="AV928" s="175">
        <f>IF(AW928&gt;0,COUNTIF(AV$4:AV927,"&gt;0")+1,0)</f>
        <v>0</v>
      </c>
      <c r="AW928" s="164">
        <f t="shared" si="174"/>
        <v>0</v>
      </c>
      <c r="AX928" s="310">
        <f>IF($AW928=0,0,VLOOKUP(VLOOKUP($X928,$B$34:$T$38,19,FALSE),ENTI!$A$9:$B$13,2,FALSE))</f>
        <v>0</v>
      </c>
      <c r="AY928" s="310">
        <f t="shared" si="176"/>
        <v>0</v>
      </c>
      <c r="AZ928" s="316">
        <f t="shared" si="177"/>
        <v>0</v>
      </c>
      <c r="BA928" s="1"/>
      <c r="BB928" s="152">
        <f t="shared" si="178"/>
        <v>0</v>
      </c>
      <c r="BC928" s="152">
        <f ca="1">SUM(Z$4:Z928)+SUM(BB$4:BB928)+COSTI!S$6-COSTI!L$1076</f>
        <v>-31.760000000000218</v>
      </c>
      <c r="BD928" s="1"/>
    </row>
    <row r="929" spans="1:56" ht="16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435">
        <f>IF(AND(W929&gt;=$U$1,W929&lt;=$U$2),IF(X929='ESTRATTO CONTO'!$E$2,1+COUNTIF(U$4:U928,"&gt;0"),0),0)</f>
        <v>0</v>
      </c>
      <c r="V929" s="417">
        <f t="shared" si="175"/>
        <v>926</v>
      </c>
      <c r="W929" s="509"/>
      <c r="X929" s="321"/>
      <c r="Y929" s="321"/>
      <c r="Z929" s="508"/>
      <c r="AA929" s="356"/>
      <c r="AB929" s="306" t="str">
        <f t="shared" si="171"/>
        <v/>
      </c>
      <c r="AC929" s="637">
        <f t="shared" ca="1" si="170"/>
        <v>-2.1316282072803006E-13</v>
      </c>
      <c r="AD929" s="935">
        <f>IF(ISERROR(VLOOKUP(AD$2,X930:X$1003,1,FALSE)),IF(X929=AD$2,SUMIF(X$4:X929,AD$2,Z$4:Z929)+$E$9+SUM(AQ$4:AQ$1003)+SUMIF(COSTI!$X$1379:$X$1430,AD$2,COSTI!$Z$1379:$Z$1430),0),0)</f>
        <v>0</v>
      </c>
      <c r="AE929" s="26"/>
      <c r="AF929" s="856" t="e">
        <f>IF(ISERROR(VLOOKUP(AG$2,X930:X$1003,1,FALSE)),IF(X929=AG$2,SUMIF(X$4:X929,AG$2,Z$4:Z929)+VLOOKUP(AF$2,$B$1057:$F$1068,5,FALSE)+SUM(AR$4:AR$1003)+SUMIF(COSTI!$X$1379:$X$1430,AG$2,COSTI!$Z$1379:$Z$1430),0),0)</f>
        <v>#N/A</v>
      </c>
      <c r="AG929" s="859"/>
      <c r="AH929" s="27" t="str">
        <f t="shared" si="172"/>
        <v/>
      </c>
      <c r="AI929" s="152">
        <f ca="1">IF(W930&gt;0,0,IF(AH929=0,(Z929*-1)+BC929+SUM(BB$4:BB928),BC929+SUM(BB$4:BB928)))</f>
        <v>-2.1316282072803006E-13</v>
      </c>
      <c r="AJ929" s="931">
        <f>IF(AND(AL929&gt;=$U$1,AL929&lt;=$U$2),IF(AM929='ESTRATTO CONTO'!$E$2,1+COUNTIF(AJ$4:AJ928,"&gt;0")+U$1015,0),0)</f>
        <v>0</v>
      </c>
      <c r="AK929" s="203">
        <f>IF(AND(OR((AK928+1)&lt;AL$1015,(AK928+1)=AL$1015),MAX(AK$4:AK928)&lt;AL$1015),AK928+1,0)</f>
        <v>0</v>
      </c>
      <c r="AL929" s="309">
        <f>VLOOKUP($AK929,ENTI!$AF$4:AG$1003,2,FALSE)</f>
        <v>0</v>
      </c>
      <c r="AM929" s="224">
        <f>VLOOKUP($AK929,ENTI!$AF$4:AH$1003,3,FALSE)</f>
        <v>0</v>
      </c>
      <c r="AN929" s="224">
        <f>VLOOKUP($AK929,ENTI!$AF$4:AI$1003,4,FALSE)</f>
        <v>0</v>
      </c>
      <c r="AO929" s="781">
        <f>VLOOKUP($AK929,ENTI!$AF$4:AJ$1003,5,FALSE)</f>
        <v>0</v>
      </c>
      <c r="AP929" s="315">
        <f>VLOOKUP($AK929,ENTI!$AF$4:AK$1003,6,FALSE)</f>
        <v>0</v>
      </c>
      <c r="AQ929" s="208">
        <f t="shared" si="179"/>
        <v>0</v>
      </c>
      <c r="AR929" s="152" t="e">
        <f t="shared" si="180"/>
        <v>#N/A</v>
      </c>
      <c r="AS929" s="1"/>
      <c r="AT929" s="88" t="str">
        <f t="shared" si="173"/>
        <v/>
      </c>
      <c r="AU929" s="1"/>
      <c r="AV929" s="175">
        <f>IF(AW929&gt;0,COUNTIF(AV$4:AV928,"&gt;0")+1,0)</f>
        <v>0</v>
      </c>
      <c r="AW929" s="164">
        <f t="shared" si="174"/>
        <v>0</v>
      </c>
      <c r="AX929" s="310">
        <f>IF($AW929=0,0,VLOOKUP(VLOOKUP($X929,$B$34:$T$38,19,FALSE),ENTI!$A$9:$B$13,2,FALSE))</f>
        <v>0</v>
      </c>
      <c r="AY929" s="310">
        <f t="shared" si="176"/>
        <v>0</v>
      </c>
      <c r="AZ929" s="316">
        <f t="shared" si="177"/>
        <v>0</v>
      </c>
      <c r="BA929" s="1"/>
      <c r="BB929" s="152">
        <f t="shared" si="178"/>
        <v>0</v>
      </c>
      <c r="BC929" s="152">
        <f ca="1">SUM(Z$4:Z929)+SUM(BB$4:BB929)+COSTI!S$6-COSTI!L$1076</f>
        <v>-31.760000000000218</v>
      </c>
      <c r="BD929" s="1"/>
    </row>
    <row r="930" spans="1:56" ht="16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435">
        <f>IF(AND(W930&gt;=$U$1,W930&lt;=$U$2),IF(X930='ESTRATTO CONTO'!$E$2,1+COUNTIF(U$4:U929,"&gt;0"),0),0)</f>
        <v>0</v>
      </c>
      <c r="V930" s="417">
        <f t="shared" si="175"/>
        <v>927</v>
      </c>
      <c r="W930" s="509"/>
      <c r="X930" s="321"/>
      <c r="Y930" s="321"/>
      <c r="Z930" s="508"/>
      <c r="AA930" s="356"/>
      <c r="AB930" s="306" t="str">
        <f t="shared" si="171"/>
        <v/>
      </c>
      <c r="AC930" s="637">
        <f t="shared" ca="1" si="170"/>
        <v>-2.1316282072803006E-13</v>
      </c>
      <c r="AD930" s="935">
        <f>IF(ISERROR(VLOOKUP(AD$2,X931:X$1003,1,FALSE)),IF(X930=AD$2,SUMIF(X$4:X930,AD$2,Z$4:Z930)+$E$9+SUM(AQ$4:AQ$1003)+SUMIF(COSTI!$X$1379:$X$1430,AD$2,COSTI!$Z$1379:$Z$1430),0),0)</f>
        <v>0</v>
      </c>
      <c r="AE930" s="26"/>
      <c r="AF930" s="856" t="e">
        <f>IF(ISERROR(VLOOKUP(AG$2,X931:X$1003,1,FALSE)),IF(X930=AG$2,SUMIF(X$4:X930,AG$2,Z$4:Z930)+VLOOKUP(AF$2,$B$1057:$F$1068,5,FALSE)+SUM(AR$4:AR$1003)+SUMIF(COSTI!$X$1379:$X$1430,AG$2,COSTI!$Z$1379:$Z$1430),0),0)</f>
        <v>#N/A</v>
      </c>
      <c r="AG930" s="859"/>
      <c r="AH930" s="27" t="str">
        <f t="shared" si="172"/>
        <v/>
      </c>
      <c r="AI930" s="152">
        <f ca="1">IF(W931&gt;0,0,IF(AH930=0,(Z930*-1)+BC930+SUM(BB$4:BB929),BC930+SUM(BB$4:BB929)))</f>
        <v>-2.1316282072803006E-13</v>
      </c>
      <c r="AJ930" s="931">
        <f>IF(AND(AL930&gt;=$U$1,AL930&lt;=$U$2),IF(AM930='ESTRATTO CONTO'!$E$2,1+COUNTIF(AJ$4:AJ929,"&gt;0")+U$1015,0),0)</f>
        <v>0</v>
      </c>
      <c r="AK930" s="203">
        <f>IF(AND(OR((AK929+1)&lt;AL$1015,(AK929+1)=AL$1015),MAX(AK$4:AK929)&lt;AL$1015),AK929+1,0)</f>
        <v>0</v>
      </c>
      <c r="AL930" s="309">
        <f>VLOOKUP($AK930,ENTI!$AF$4:AG$1003,2,FALSE)</f>
        <v>0</v>
      </c>
      <c r="AM930" s="224">
        <f>VLOOKUP($AK930,ENTI!$AF$4:AH$1003,3,FALSE)</f>
        <v>0</v>
      </c>
      <c r="AN930" s="224">
        <f>VLOOKUP($AK930,ENTI!$AF$4:AI$1003,4,FALSE)</f>
        <v>0</v>
      </c>
      <c r="AO930" s="781">
        <f>VLOOKUP($AK930,ENTI!$AF$4:AJ$1003,5,FALSE)</f>
        <v>0</v>
      </c>
      <c r="AP930" s="315">
        <f>VLOOKUP($AK930,ENTI!$AF$4:AK$1003,6,FALSE)</f>
        <v>0</v>
      </c>
      <c r="AQ930" s="208">
        <f t="shared" si="179"/>
        <v>0</v>
      </c>
      <c r="AR930" s="152" t="e">
        <f t="shared" si="180"/>
        <v>#N/A</v>
      </c>
      <c r="AS930" s="1"/>
      <c r="AT930" s="88" t="str">
        <f t="shared" si="173"/>
        <v/>
      </c>
      <c r="AU930" s="1"/>
      <c r="AV930" s="175">
        <f>IF(AW930&gt;0,COUNTIF(AV$4:AV929,"&gt;0")+1,0)</f>
        <v>0</v>
      </c>
      <c r="AW930" s="164">
        <f t="shared" si="174"/>
        <v>0</v>
      </c>
      <c r="AX930" s="310">
        <f>IF($AW930=0,0,VLOOKUP(VLOOKUP($X930,$B$34:$T$38,19,FALSE),ENTI!$A$9:$B$13,2,FALSE))</f>
        <v>0</v>
      </c>
      <c r="AY930" s="310">
        <f t="shared" si="176"/>
        <v>0</v>
      </c>
      <c r="AZ930" s="316">
        <f t="shared" si="177"/>
        <v>0</v>
      </c>
      <c r="BA930" s="1"/>
      <c r="BB930" s="152">
        <f t="shared" si="178"/>
        <v>0</v>
      </c>
      <c r="BC930" s="152">
        <f ca="1">SUM(Z$4:Z930)+SUM(BB$4:BB930)+COSTI!S$6-COSTI!L$1076</f>
        <v>-31.760000000000218</v>
      </c>
      <c r="BD930" s="1"/>
    </row>
    <row r="931" spans="1:56" ht="16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435">
        <f>IF(AND(W931&gt;=$U$1,W931&lt;=$U$2),IF(X931='ESTRATTO CONTO'!$E$2,1+COUNTIF(U$4:U930,"&gt;0"),0),0)</f>
        <v>0</v>
      </c>
      <c r="V931" s="417">
        <f t="shared" si="175"/>
        <v>928</v>
      </c>
      <c r="W931" s="509"/>
      <c r="X931" s="321"/>
      <c r="Y931" s="321"/>
      <c r="Z931" s="508"/>
      <c r="AA931" s="356"/>
      <c r="AB931" s="306" t="str">
        <f t="shared" si="171"/>
        <v/>
      </c>
      <c r="AC931" s="637">
        <f t="shared" ca="1" si="170"/>
        <v>-2.1316282072803006E-13</v>
      </c>
      <c r="AD931" s="935">
        <f>IF(ISERROR(VLOOKUP(AD$2,X932:X$1003,1,FALSE)),IF(X931=AD$2,SUMIF(X$4:X931,AD$2,Z$4:Z931)+$E$9+SUM(AQ$4:AQ$1003)+SUMIF(COSTI!$X$1379:$X$1430,AD$2,COSTI!$Z$1379:$Z$1430),0),0)</f>
        <v>0</v>
      </c>
      <c r="AE931" s="26"/>
      <c r="AF931" s="856" t="e">
        <f>IF(ISERROR(VLOOKUP(AG$2,X932:X$1003,1,FALSE)),IF(X931=AG$2,SUMIF(X$4:X931,AG$2,Z$4:Z931)+VLOOKUP(AF$2,$B$1057:$F$1068,5,FALSE)+SUM(AR$4:AR$1003)+SUMIF(COSTI!$X$1379:$X$1430,AG$2,COSTI!$Z$1379:$Z$1430),0),0)</f>
        <v>#N/A</v>
      </c>
      <c r="AG931" s="859"/>
      <c r="AH931" s="27" t="str">
        <f t="shared" si="172"/>
        <v/>
      </c>
      <c r="AI931" s="152">
        <f ca="1">IF(W932&gt;0,0,IF(AH931=0,(Z931*-1)+BC931+SUM(BB$4:BB930),BC931+SUM(BB$4:BB930)))</f>
        <v>-2.1316282072803006E-13</v>
      </c>
      <c r="AJ931" s="931">
        <f>IF(AND(AL931&gt;=$U$1,AL931&lt;=$U$2),IF(AM931='ESTRATTO CONTO'!$E$2,1+COUNTIF(AJ$4:AJ930,"&gt;0")+U$1015,0),0)</f>
        <v>0</v>
      </c>
      <c r="AK931" s="203">
        <f>IF(AND(OR((AK930+1)&lt;AL$1015,(AK930+1)=AL$1015),MAX(AK$4:AK930)&lt;AL$1015),AK930+1,0)</f>
        <v>0</v>
      </c>
      <c r="AL931" s="309">
        <f>VLOOKUP($AK931,ENTI!$AF$4:AG$1003,2,FALSE)</f>
        <v>0</v>
      </c>
      <c r="AM931" s="224">
        <f>VLOOKUP($AK931,ENTI!$AF$4:AH$1003,3,FALSE)</f>
        <v>0</v>
      </c>
      <c r="AN931" s="224">
        <f>VLOOKUP($AK931,ENTI!$AF$4:AI$1003,4,FALSE)</f>
        <v>0</v>
      </c>
      <c r="AO931" s="781">
        <f>VLOOKUP($AK931,ENTI!$AF$4:AJ$1003,5,FALSE)</f>
        <v>0</v>
      </c>
      <c r="AP931" s="315">
        <f>VLOOKUP($AK931,ENTI!$AF$4:AK$1003,6,FALSE)</f>
        <v>0</v>
      </c>
      <c r="AQ931" s="208">
        <f t="shared" si="179"/>
        <v>0</v>
      </c>
      <c r="AR931" s="152" t="e">
        <f t="shared" si="180"/>
        <v>#N/A</v>
      </c>
      <c r="AS931" s="1"/>
      <c r="AT931" s="88" t="str">
        <f t="shared" si="173"/>
        <v/>
      </c>
      <c r="AU931" s="1"/>
      <c r="AV931" s="175">
        <f>IF(AW931&gt;0,COUNTIF(AV$4:AV930,"&gt;0")+1,0)</f>
        <v>0</v>
      </c>
      <c r="AW931" s="164">
        <f t="shared" si="174"/>
        <v>0</v>
      </c>
      <c r="AX931" s="310">
        <f>IF($AW931=0,0,VLOOKUP(VLOOKUP($X931,$B$34:$T$38,19,FALSE),ENTI!$A$9:$B$13,2,FALSE))</f>
        <v>0</v>
      </c>
      <c r="AY931" s="310">
        <f t="shared" si="176"/>
        <v>0</v>
      </c>
      <c r="AZ931" s="316">
        <f t="shared" si="177"/>
        <v>0</v>
      </c>
      <c r="BA931" s="1"/>
      <c r="BB931" s="152">
        <f t="shared" si="178"/>
        <v>0</v>
      </c>
      <c r="BC931" s="152">
        <f ca="1">SUM(Z$4:Z931)+SUM(BB$4:BB931)+COSTI!S$6-COSTI!L$1076</f>
        <v>-31.760000000000218</v>
      </c>
      <c r="BD931" s="1"/>
    </row>
    <row r="932" spans="1:56" ht="16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435">
        <f>IF(AND(W932&gt;=$U$1,W932&lt;=$U$2),IF(X932='ESTRATTO CONTO'!$E$2,1+COUNTIF(U$4:U931,"&gt;0"),0),0)</f>
        <v>0</v>
      </c>
      <c r="V932" s="417">
        <f t="shared" si="175"/>
        <v>929</v>
      </c>
      <c r="W932" s="509"/>
      <c r="X932" s="321"/>
      <c r="Y932" s="321"/>
      <c r="Z932" s="508"/>
      <c r="AA932" s="356"/>
      <c r="AB932" s="306" t="str">
        <f t="shared" si="171"/>
        <v/>
      </c>
      <c r="AC932" s="637">
        <f t="shared" ca="1" si="170"/>
        <v>-2.1316282072803006E-13</v>
      </c>
      <c r="AD932" s="935">
        <f>IF(ISERROR(VLOOKUP(AD$2,X933:X$1003,1,FALSE)),IF(X932=AD$2,SUMIF(X$4:X932,AD$2,Z$4:Z932)+$E$9+SUM(AQ$4:AQ$1003)+SUMIF(COSTI!$X$1379:$X$1430,AD$2,COSTI!$Z$1379:$Z$1430),0),0)</f>
        <v>0</v>
      </c>
      <c r="AE932" s="26"/>
      <c r="AF932" s="856" t="e">
        <f>IF(ISERROR(VLOOKUP(AG$2,X933:X$1003,1,FALSE)),IF(X932=AG$2,SUMIF(X$4:X932,AG$2,Z$4:Z932)+VLOOKUP(AF$2,$B$1057:$F$1068,5,FALSE)+SUM(AR$4:AR$1003)+SUMIF(COSTI!$X$1379:$X$1430,AG$2,COSTI!$Z$1379:$Z$1430),0),0)</f>
        <v>#N/A</v>
      </c>
      <c r="AG932" s="859"/>
      <c r="AH932" s="27" t="str">
        <f t="shared" si="172"/>
        <v/>
      </c>
      <c r="AI932" s="152">
        <f ca="1">IF(W933&gt;0,0,IF(AH932=0,(Z932*-1)+BC932+SUM(BB$4:BB931),BC932+SUM(BB$4:BB931)))</f>
        <v>-2.1316282072803006E-13</v>
      </c>
      <c r="AJ932" s="931">
        <f>IF(AND(AL932&gt;=$U$1,AL932&lt;=$U$2),IF(AM932='ESTRATTO CONTO'!$E$2,1+COUNTIF(AJ$4:AJ931,"&gt;0")+U$1015,0),0)</f>
        <v>0</v>
      </c>
      <c r="AK932" s="203">
        <f>IF(AND(OR((AK931+1)&lt;AL$1015,(AK931+1)=AL$1015),MAX(AK$4:AK931)&lt;AL$1015),AK931+1,0)</f>
        <v>0</v>
      </c>
      <c r="AL932" s="309">
        <f>VLOOKUP($AK932,ENTI!$AF$4:AG$1003,2,FALSE)</f>
        <v>0</v>
      </c>
      <c r="AM932" s="224">
        <f>VLOOKUP($AK932,ENTI!$AF$4:AH$1003,3,FALSE)</f>
        <v>0</v>
      </c>
      <c r="AN932" s="224">
        <f>VLOOKUP($AK932,ENTI!$AF$4:AI$1003,4,FALSE)</f>
        <v>0</v>
      </c>
      <c r="AO932" s="781">
        <f>VLOOKUP($AK932,ENTI!$AF$4:AJ$1003,5,FALSE)</f>
        <v>0</v>
      </c>
      <c r="AP932" s="315">
        <f>VLOOKUP($AK932,ENTI!$AF$4:AK$1003,6,FALSE)</f>
        <v>0</v>
      </c>
      <c r="AQ932" s="208">
        <f t="shared" si="179"/>
        <v>0</v>
      </c>
      <c r="AR932" s="152" t="e">
        <f t="shared" si="180"/>
        <v>#N/A</v>
      </c>
      <c r="AS932" s="1"/>
      <c r="AT932" s="88" t="str">
        <f t="shared" si="173"/>
        <v/>
      </c>
      <c r="AU932" s="1"/>
      <c r="AV932" s="175">
        <f>IF(AW932&gt;0,COUNTIF(AV$4:AV931,"&gt;0")+1,0)</f>
        <v>0</v>
      </c>
      <c r="AW932" s="164">
        <f t="shared" si="174"/>
        <v>0</v>
      </c>
      <c r="AX932" s="310">
        <f>IF($AW932=0,0,VLOOKUP(VLOOKUP($X932,$B$34:$T$38,19,FALSE),ENTI!$A$9:$B$13,2,FALSE))</f>
        <v>0</v>
      </c>
      <c r="AY932" s="310">
        <f t="shared" si="176"/>
        <v>0</v>
      </c>
      <c r="AZ932" s="316">
        <f t="shared" si="177"/>
        <v>0</v>
      </c>
      <c r="BA932" s="1"/>
      <c r="BB932" s="152">
        <f t="shared" si="178"/>
        <v>0</v>
      </c>
      <c r="BC932" s="152">
        <f ca="1">SUM(Z$4:Z932)+SUM(BB$4:BB932)+COSTI!S$6-COSTI!L$1076</f>
        <v>-31.760000000000218</v>
      </c>
      <c r="BD932" s="1"/>
    </row>
    <row r="933" spans="1:56" ht="16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435">
        <f>IF(AND(W933&gt;=$U$1,W933&lt;=$U$2),IF(X933='ESTRATTO CONTO'!$E$2,1+COUNTIF(U$4:U932,"&gt;0"),0),0)</f>
        <v>0</v>
      </c>
      <c r="V933" s="417">
        <f t="shared" si="175"/>
        <v>930</v>
      </c>
      <c r="W933" s="509"/>
      <c r="X933" s="321"/>
      <c r="Y933" s="321"/>
      <c r="Z933" s="508"/>
      <c r="AA933" s="356"/>
      <c r="AB933" s="306" t="str">
        <f t="shared" si="171"/>
        <v/>
      </c>
      <c r="AC933" s="637">
        <f t="shared" ca="1" si="170"/>
        <v>-2.1316282072803006E-13</v>
      </c>
      <c r="AD933" s="935">
        <f>IF(ISERROR(VLOOKUP(AD$2,X934:X$1003,1,FALSE)),IF(X933=AD$2,SUMIF(X$4:X933,AD$2,Z$4:Z933)+$E$9+SUM(AQ$4:AQ$1003)+SUMIF(COSTI!$X$1379:$X$1430,AD$2,COSTI!$Z$1379:$Z$1430),0),0)</f>
        <v>0</v>
      </c>
      <c r="AE933" s="26"/>
      <c r="AF933" s="856" t="e">
        <f>IF(ISERROR(VLOOKUP(AG$2,X934:X$1003,1,FALSE)),IF(X933=AG$2,SUMIF(X$4:X933,AG$2,Z$4:Z933)+VLOOKUP(AF$2,$B$1057:$F$1068,5,FALSE)+SUM(AR$4:AR$1003)+SUMIF(COSTI!$X$1379:$X$1430,AG$2,COSTI!$Z$1379:$Z$1430),0),0)</f>
        <v>#N/A</v>
      </c>
      <c r="AG933" s="859"/>
      <c r="AH933" s="27" t="str">
        <f t="shared" si="172"/>
        <v/>
      </c>
      <c r="AI933" s="152">
        <f ca="1">IF(W934&gt;0,0,IF(AH933=0,(Z933*-1)+BC933+SUM(BB$4:BB932),BC933+SUM(BB$4:BB932)))</f>
        <v>-2.1316282072803006E-13</v>
      </c>
      <c r="AJ933" s="931">
        <f>IF(AND(AL933&gt;=$U$1,AL933&lt;=$U$2),IF(AM933='ESTRATTO CONTO'!$E$2,1+COUNTIF(AJ$4:AJ932,"&gt;0")+U$1015,0),0)</f>
        <v>0</v>
      </c>
      <c r="AK933" s="203">
        <f>IF(AND(OR((AK932+1)&lt;AL$1015,(AK932+1)=AL$1015),MAX(AK$4:AK932)&lt;AL$1015),AK932+1,0)</f>
        <v>0</v>
      </c>
      <c r="AL933" s="309">
        <f>VLOOKUP($AK933,ENTI!$AF$4:AG$1003,2,FALSE)</f>
        <v>0</v>
      </c>
      <c r="AM933" s="224">
        <f>VLOOKUP($AK933,ENTI!$AF$4:AH$1003,3,FALSE)</f>
        <v>0</v>
      </c>
      <c r="AN933" s="224">
        <f>VLOOKUP($AK933,ENTI!$AF$4:AI$1003,4,FALSE)</f>
        <v>0</v>
      </c>
      <c r="AO933" s="781">
        <f>VLOOKUP($AK933,ENTI!$AF$4:AJ$1003,5,FALSE)</f>
        <v>0</v>
      </c>
      <c r="AP933" s="315">
        <f>VLOOKUP($AK933,ENTI!$AF$4:AK$1003,6,FALSE)</f>
        <v>0</v>
      </c>
      <c r="AQ933" s="208">
        <f t="shared" si="179"/>
        <v>0</v>
      </c>
      <c r="AR933" s="152" t="e">
        <f t="shared" si="180"/>
        <v>#N/A</v>
      </c>
      <c r="AS933" s="1"/>
      <c r="AT933" s="88" t="str">
        <f t="shared" si="173"/>
        <v/>
      </c>
      <c r="AU933" s="1"/>
      <c r="AV933" s="175">
        <f>IF(AW933&gt;0,COUNTIF(AV$4:AV932,"&gt;0")+1,0)</f>
        <v>0</v>
      </c>
      <c r="AW933" s="164">
        <f t="shared" si="174"/>
        <v>0</v>
      </c>
      <c r="AX933" s="310">
        <f>IF($AW933=0,0,VLOOKUP(VLOOKUP($X933,$B$34:$T$38,19,FALSE),ENTI!$A$9:$B$13,2,FALSE))</f>
        <v>0</v>
      </c>
      <c r="AY933" s="310">
        <f t="shared" si="176"/>
        <v>0</v>
      </c>
      <c r="AZ933" s="316">
        <f t="shared" si="177"/>
        <v>0</v>
      </c>
      <c r="BA933" s="1"/>
      <c r="BB933" s="152">
        <f t="shared" si="178"/>
        <v>0</v>
      </c>
      <c r="BC933" s="152">
        <f ca="1">SUM(Z$4:Z933)+SUM(BB$4:BB933)+COSTI!S$6-COSTI!L$1076</f>
        <v>-31.760000000000218</v>
      </c>
      <c r="BD933" s="1"/>
    </row>
    <row r="934" spans="1:56" ht="16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435">
        <f>IF(AND(W934&gt;=$U$1,W934&lt;=$U$2),IF(X934='ESTRATTO CONTO'!$E$2,1+COUNTIF(U$4:U933,"&gt;0"),0),0)</f>
        <v>0</v>
      </c>
      <c r="V934" s="417">
        <f t="shared" si="175"/>
        <v>931</v>
      </c>
      <c r="W934" s="509"/>
      <c r="X934" s="321"/>
      <c r="Y934" s="321"/>
      <c r="Z934" s="508"/>
      <c r="AA934" s="356"/>
      <c r="AB934" s="306" t="str">
        <f t="shared" si="171"/>
        <v/>
      </c>
      <c r="AC934" s="637">
        <f t="shared" ca="1" si="170"/>
        <v>-2.1316282072803006E-13</v>
      </c>
      <c r="AD934" s="935">
        <f>IF(ISERROR(VLOOKUP(AD$2,X935:X$1003,1,FALSE)),IF(X934=AD$2,SUMIF(X$4:X934,AD$2,Z$4:Z934)+$E$9+SUM(AQ$4:AQ$1003)+SUMIF(COSTI!$X$1379:$X$1430,AD$2,COSTI!$Z$1379:$Z$1430),0),0)</f>
        <v>0</v>
      </c>
      <c r="AE934" s="26"/>
      <c r="AF934" s="856" t="e">
        <f>IF(ISERROR(VLOOKUP(AG$2,X935:X$1003,1,FALSE)),IF(X934=AG$2,SUMIF(X$4:X934,AG$2,Z$4:Z934)+VLOOKUP(AF$2,$B$1057:$F$1068,5,FALSE)+SUM(AR$4:AR$1003)+SUMIF(COSTI!$X$1379:$X$1430,AG$2,COSTI!$Z$1379:$Z$1430),0),0)</f>
        <v>#N/A</v>
      </c>
      <c r="AG934" s="859"/>
      <c r="AH934" s="27" t="str">
        <f t="shared" si="172"/>
        <v/>
      </c>
      <c r="AI934" s="152">
        <f ca="1">IF(W935&gt;0,0,IF(AH934=0,(Z934*-1)+BC934+SUM(BB$4:BB933),BC934+SUM(BB$4:BB933)))</f>
        <v>-2.1316282072803006E-13</v>
      </c>
      <c r="AJ934" s="931">
        <f>IF(AND(AL934&gt;=$U$1,AL934&lt;=$U$2),IF(AM934='ESTRATTO CONTO'!$E$2,1+COUNTIF(AJ$4:AJ933,"&gt;0")+U$1015,0),0)</f>
        <v>0</v>
      </c>
      <c r="AK934" s="203">
        <f>IF(AND(OR((AK933+1)&lt;AL$1015,(AK933+1)=AL$1015),MAX(AK$4:AK933)&lt;AL$1015),AK933+1,0)</f>
        <v>0</v>
      </c>
      <c r="AL934" s="309">
        <f>VLOOKUP($AK934,ENTI!$AF$4:AG$1003,2,FALSE)</f>
        <v>0</v>
      </c>
      <c r="AM934" s="224">
        <f>VLOOKUP($AK934,ENTI!$AF$4:AH$1003,3,FALSE)</f>
        <v>0</v>
      </c>
      <c r="AN934" s="224">
        <f>VLOOKUP($AK934,ENTI!$AF$4:AI$1003,4,FALSE)</f>
        <v>0</v>
      </c>
      <c r="AO934" s="781">
        <f>VLOOKUP($AK934,ENTI!$AF$4:AJ$1003,5,FALSE)</f>
        <v>0</v>
      </c>
      <c r="AP934" s="315">
        <f>VLOOKUP($AK934,ENTI!$AF$4:AK$1003,6,FALSE)</f>
        <v>0</v>
      </c>
      <c r="AQ934" s="208">
        <f t="shared" si="179"/>
        <v>0</v>
      </c>
      <c r="AR934" s="152" t="e">
        <f t="shared" si="180"/>
        <v>#N/A</v>
      </c>
      <c r="AS934" s="1"/>
      <c r="AT934" s="88" t="str">
        <f t="shared" si="173"/>
        <v/>
      </c>
      <c r="AU934" s="1"/>
      <c r="AV934" s="175">
        <f>IF(AW934&gt;0,COUNTIF(AV$4:AV933,"&gt;0")+1,0)</f>
        <v>0</v>
      </c>
      <c r="AW934" s="164">
        <f t="shared" si="174"/>
        <v>0</v>
      </c>
      <c r="AX934" s="310">
        <f>IF($AW934=0,0,VLOOKUP(VLOOKUP($X934,$B$34:$T$38,19,FALSE),ENTI!$A$9:$B$13,2,FALSE))</f>
        <v>0</v>
      </c>
      <c r="AY934" s="310">
        <f t="shared" si="176"/>
        <v>0</v>
      </c>
      <c r="AZ934" s="316">
        <f t="shared" si="177"/>
        <v>0</v>
      </c>
      <c r="BA934" s="1"/>
      <c r="BB934" s="152">
        <f t="shared" si="178"/>
        <v>0</v>
      </c>
      <c r="BC934" s="152">
        <f ca="1">SUM(Z$4:Z934)+SUM(BB$4:BB934)+COSTI!S$6-COSTI!L$1076</f>
        <v>-31.760000000000218</v>
      </c>
      <c r="BD934" s="1"/>
    </row>
    <row r="935" spans="1:56" ht="16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435">
        <f>IF(AND(W935&gt;=$U$1,W935&lt;=$U$2),IF(X935='ESTRATTO CONTO'!$E$2,1+COUNTIF(U$4:U934,"&gt;0"),0),0)</f>
        <v>0</v>
      </c>
      <c r="V935" s="417">
        <f t="shared" si="175"/>
        <v>932</v>
      </c>
      <c r="W935" s="509"/>
      <c r="X935" s="321"/>
      <c r="Y935" s="321"/>
      <c r="Z935" s="508"/>
      <c r="AA935" s="356"/>
      <c r="AB935" s="306" t="str">
        <f t="shared" si="171"/>
        <v/>
      </c>
      <c r="AC935" s="637">
        <f t="shared" ca="1" si="170"/>
        <v>-2.1316282072803006E-13</v>
      </c>
      <c r="AD935" s="935">
        <f>IF(ISERROR(VLOOKUP(AD$2,X936:X$1003,1,FALSE)),IF(X935=AD$2,SUMIF(X$4:X935,AD$2,Z$4:Z935)+$E$9+SUM(AQ$4:AQ$1003)+SUMIF(COSTI!$X$1379:$X$1430,AD$2,COSTI!$Z$1379:$Z$1430),0),0)</f>
        <v>0</v>
      </c>
      <c r="AE935" s="26"/>
      <c r="AF935" s="856" t="e">
        <f>IF(ISERROR(VLOOKUP(AG$2,X936:X$1003,1,FALSE)),IF(X935=AG$2,SUMIF(X$4:X935,AG$2,Z$4:Z935)+VLOOKUP(AF$2,$B$1057:$F$1068,5,FALSE)+SUM(AR$4:AR$1003)+SUMIF(COSTI!$X$1379:$X$1430,AG$2,COSTI!$Z$1379:$Z$1430),0),0)</f>
        <v>#N/A</v>
      </c>
      <c r="AG935" s="859"/>
      <c r="AH935" s="27" t="str">
        <f t="shared" si="172"/>
        <v/>
      </c>
      <c r="AI935" s="152">
        <f ca="1">IF(W936&gt;0,0,IF(AH935=0,(Z935*-1)+BC935+SUM(BB$4:BB934),BC935+SUM(BB$4:BB934)))</f>
        <v>-2.1316282072803006E-13</v>
      </c>
      <c r="AJ935" s="931">
        <f>IF(AND(AL935&gt;=$U$1,AL935&lt;=$U$2),IF(AM935='ESTRATTO CONTO'!$E$2,1+COUNTIF(AJ$4:AJ934,"&gt;0")+U$1015,0),0)</f>
        <v>0</v>
      </c>
      <c r="AK935" s="203">
        <f>IF(AND(OR((AK934+1)&lt;AL$1015,(AK934+1)=AL$1015),MAX(AK$4:AK934)&lt;AL$1015),AK934+1,0)</f>
        <v>0</v>
      </c>
      <c r="AL935" s="309">
        <f>VLOOKUP($AK935,ENTI!$AF$4:AG$1003,2,FALSE)</f>
        <v>0</v>
      </c>
      <c r="AM935" s="224">
        <f>VLOOKUP($AK935,ENTI!$AF$4:AH$1003,3,FALSE)</f>
        <v>0</v>
      </c>
      <c r="AN935" s="224">
        <f>VLOOKUP($AK935,ENTI!$AF$4:AI$1003,4,FALSE)</f>
        <v>0</v>
      </c>
      <c r="AO935" s="781">
        <f>VLOOKUP($AK935,ENTI!$AF$4:AJ$1003,5,FALSE)</f>
        <v>0</v>
      </c>
      <c r="AP935" s="315">
        <f>VLOOKUP($AK935,ENTI!$AF$4:AK$1003,6,FALSE)</f>
        <v>0</v>
      </c>
      <c r="AQ935" s="208">
        <f t="shared" si="179"/>
        <v>0</v>
      </c>
      <c r="AR935" s="152" t="e">
        <f t="shared" si="180"/>
        <v>#N/A</v>
      </c>
      <c r="AS935" s="1"/>
      <c r="AT935" s="88" t="str">
        <f t="shared" si="173"/>
        <v/>
      </c>
      <c r="AU935" s="1"/>
      <c r="AV935" s="175">
        <f>IF(AW935&gt;0,COUNTIF(AV$4:AV934,"&gt;0")+1,0)</f>
        <v>0</v>
      </c>
      <c r="AW935" s="164">
        <f t="shared" si="174"/>
        <v>0</v>
      </c>
      <c r="AX935" s="310">
        <f>IF($AW935=0,0,VLOOKUP(VLOOKUP($X935,$B$34:$T$38,19,FALSE),ENTI!$A$9:$B$13,2,FALSE))</f>
        <v>0</v>
      </c>
      <c r="AY935" s="310">
        <f t="shared" si="176"/>
        <v>0</v>
      </c>
      <c r="AZ935" s="316">
        <f t="shared" si="177"/>
        <v>0</v>
      </c>
      <c r="BA935" s="1"/>
      <c r="BB935" s="152">
        <f t="shared" si="178"/>
        <v>0</v>
      </c>
      <c r="BC935" s="152">
        <f ca="1">SUM(Z$4:Z935)+SUM(BB$4:BB935)+COSTI!S$6-COSTI!L$1076</f>
        <v>-31.760000000000218</v>
      </c>
      <c r="BD935" s="1"/>
    </row>
    <row r="936" spans="1:56" ht="16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435">
        <f>IF(AND(W936&gt;=$U$1,W936&lt;=$U$2),IF(X936='ESTRATTO CONTO'!$E$2,1+COUNTIF(U$4:U935,"&gt;0"),0),0)</f>
        <v>0</v>
      </c>
      <c r="V936" s="417">
        <f t="shared" si="175"/>
        <v>933</v>
      </c>
      <c r="W936" s="509"/>
      <c r="X936" s="321"/>
      <c r="Y936" s="321"/>
      <c r="Z936" s="508"/>
      <c r="AA936" s="356"/>
      <c r="AB936" s="306" t="str">
        <f t="shared" si="171"/>
        <v/>
      </c>
      <c r="AC936" s="637">
        <f t="shared" ca="1" si="170"/>
        <v>-2.1316282072803006E-13</v>
      </c>
      <c r="AD936" s="935">
        <f>IF(ISERROR(VLOOKUP(AD$2,X937:X$1003,1,FALSE)),IF(X936=AD$2,SUMIF(X$4:X936,AD$2,Z$4:Z936)+$E$9+SUM(AQ$4:AQ$1003)+SUMIF(COSTI!$X$1379:$X$1430,AD$2,COSTI!$Z$1379:$Z$1430),0),0)</f>
        <v>0</v>
      </c>
      <c r="AE936" s="26"/>
      <c r="AF936" s="856" t="e">
        <f>IF(ISERROR(VLOOKUP(AG$2,X937:X$1003,1,FALSE)),IF(X936=AG$2,SUMIF(X$4:X936,AG$2,Z$4:Z936)+VLOOKUP(AF$2,$B$1057:$F$1068,5,FALSE)+SUM(AR$4:AR$1003)+SUMIF(COSTI!$X$1379:$X$1430,AG$2,COSTI!$Z$1379:$Z$1430),0),0)</f>
        <v>#N/A</v>
      </c>
      <c r="AG936" s="859"/>
      <c r="AH936" s="27" t="str">
        <f t="shared" si="172"/>
        <v/>
      </c>
      <c r="AI936" s="152">
        <f ca="1">IF(W937&gt;0,0,IF(AH936=0,(Z936*-1)+BC936+SUM(BB$4:BB935),BC936+SUM(BB$4:BB935)))</f>
        <v>-2.1316282072803006E-13</v>
      </c>
      <c r="AJ936" s="931">
        <f>IF(AND(AL936&gt;=$U$1,AL936&lt;=$U$2),IF(AM936='ESTRATTO CONTO'!$E$2,1+COUNTIF(AJ$4:AJ935,"&gt;0")+U$1015,0),0)</f>
        <v>0</v>
      </c>
      <c r="AK936" s="203">
        <f>IF(AND(OR((AK935+1)&lt;AL$1015,(AK935+1)=AL$1015),MAX(AK$4:AK935)&lt;AL$1015),AK935+1,0)</f>
        <v>0</v>
      </c>
      <c r="AL936" s="309">
        <f>VLOOKUP($AK936,ENTI!$AF$4:AG$1003,2,FALSE)</f>
        <v>0</v>
      </c>
      <c r="AM936" s="224">
        <f>VLOOKUP($AK936,ENTI!$AF$4:AH$1003,3,FALSE)</f>
        <v>0</v>
      </c>
      <c r="AN936" s="224">
        <f>VLOOKUP($AK936,ENTI!$AF$4:AI$1003,4,FALSE)</f>
        <v>0</v>
      </c>
      <c r="AO936" s="781">
        <f>VLOOKUP($AK936,ENTI!$AF$4:AJ$1003,5,FALSE)</f>
        <v>0</v>
      </c>
      <c r="AP936" s="315">
        <f>VLOOKUP($AK936,ENTI!$AF$4:AK$1003,6,FALSE)</f>
        <v>0</v>
      </c>
      <c r="AQ936" s="208">
        <f t="shared" si="179"/>
        <v>0</v>
      </c>
      <c r="AR936" s="152" t="e">
        <f t="shared" si="180"/>
        <v>#N/A</v>
      </c>
      <c r="AS936" s="1"/>
      <c r="AT936" s="88" t="str">
        <f t="shared" si="173"/>
        <v/>
      </c>
      <c r="AU936" s="1"/>
      <c r="AV936" s="175">
        <f>IF(AW936&gt;0,COUNTIF(AV$4:AV935,"&gt;0")+1,0)</f>
        <v>0</v>
      </c>
      <c r="AW936" s="164">
        <f t="shared" si="174"/>
        <v>0</v>
      </c>
      <c r="AX936" s="310">
        <f>IF($AW936=0,0,VLOOKUP(VLOOKUP($X936,$B$34:$T$38,19,FALSE),ENTI!$A$9:$B$13,2,FALSE))</f>
        <v>0</v>
      </c>
      <c r="AY936" s="310">
        <f t="shared" si="176"/>
        <v>0</v>
      </c>
      <c r="AZ936" s="316">
        <f t="shared" si="177"/>
        <v>0</v>
      </c>
      <c r="BA936" s="1"/>
      <c r="BB936" s="152">
        <f t="shared" si="178"/>
        <v>0</v>
      </c>
      <c r="BC936" s="152">
        <f ca="1">SUM(Z$4:Z936)+SUM(BB$4:BB936)+COSTI!S$6-COSTI!L$1076</f>
        <v>-31.760000000000218</v>
      </c>
      <c r="BD936" s="1"/>
    </row>
    <row r="937" spans="1:56" ht="16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435">
        <f>IF(AND(W937&gt;=$U$1,W937&lt;=$U$2),IF(X937='ESTRATTO CONTO'!$E$2,1+COUNTIF(U$4:U936,"&gt;0"),0),0)</f>
        <v>0</v>
      </c>
      <c r="V937" s="417">
        <f t="shared" si="175"/>
        <v>934</v>
      </c>
      <c r="W937" s="509"/>
      <c r="X937" s="321"/>
      <c r="Y937" s="321"/>
      <c r="Z937" s="508"/>
      <c r="AA937" s="356"/>
      <c r="AB937" s="306" t="str">
        <f t="shared" si="171"/>
        <v/>
      </c>
      <c r="AC937" s="637">
        <f t="shared" ca="1" si="170"/>
        <v>-2.1316282072803006E-13</v>
      </c>
      <c r="AD937" s="935">
        <f>IF(ISERROR(VLOOKUP(AD$2,X938:X$1003,1,FALSE)),IF(X937=AD$2,SUMIF(X$4:X937,AD$2,Z$4:Z937)+$E$9+SUM(AQ$4:AQ$1003)+SUMIF(COSTI!$X$1379:$X$1430,AD$2,COSTI!$Z$1379:$Z$1430),0),0)</f>
        <v>0</v>
      </c>
      <c r="AE937" s="26"/>
      <c r="AF937" s="856" t="e">
        <f>IF(ISERROR(VLOOKUP(AG$2,X938:X$1003,1,FALSE)),IF(X937=AG$2,SUMIF(X$4:X937,AG$2,Z$4:Z937)+VLOOKUP(AF$2,$B$1057:$F$1068,5,FALSE)+SUM(AR$4:AR$1003)+SUMIF(COSTI!$X$1379:$X$1430,AG$2,COSTI!$Z$1379:$Z$1430),0),0)</f>
        <v>#N/A</v>
      </c>
      <c r="AG937" s="859"/>
      <c r="AH937" s="27" t="str">
        <f t="shared" si="172"/>
        <v/>
      </c>
      <c r="AI937" s="152">
        <f ca="1">IF(W938&gt;0,0,IF(AH937=0,(Z937*-1)+BC937+SUM(BB$4:BB936),BC937+SUM(BB$4:BB936)))</f>
        <v>-2.1316282072803006E-13</v>
      </c>
      <c r="AJ937" s="931">
        <f>IF(AND(AL937&gt;=$U$1,AL937&lt;=$U$2),IF(AM937='ESTRATTO CONTO'!$E$2,1+COUNTIF(AJ$4:AJ936,"&gt;0")+U$1015,0),0)</f>
        <v>0</v>
      </c>
      <c r="AK937" s="203">
        <f>IF(AND(OR((AK936+1)&lt;AL$1015,(AK936+1)=AL$1015),MAX(AK$4:AK936)&lt;AL$1015),AK936+1,0)</f>
        <v>0</v>
      </c>
      <c r="AL937" s="309">
        <f>VLOOKUP($AK937,ENTI!$AF$4:AG$1003,2,FALSE)</f>
        <v>0</v>
      </c>
      <c r="AM937" s="224">
        <f>VLOOKUP($AK937,ENTI!$AF$4:AH$1003,3,FALSE)</f>
        <v>0</v>
      </c>
      <c r="AN937" s="224">
        <f>VLOOKUP($AK937,ENTI!$AF$4:AI$1003,4,FALSE)</f>
        <v>0</v>
      </c>
      <c r="AO937" s="781">
        <f>VLOOKUP($AK937,ENTI!$AF$4:AJ$1003,5,FALSE)</f>
        <v>0</v>
      </c>
      <c r="AP937" s="315">
        <f>VLOOKUP($AK937,ENTI!$AF$4:AK$1003,6,FALSE)</f>
        <v>0</v>
      </c>
      <c r="AQ937" s="208">
        <f t="shared" si="179"/>
        <v>0</v>
      </c>
      <c r="AR937" s="152" t="e">
        <f t="shared" si="180"/>
        <v>#N/A</v>
      </c>
      <c r="AS937" s="1"/>
      <c r="AT937" s="88" t="str">
        <f t="shared" si="173"/>
        <v/>
      </c>
      <c r="AU937" s="1"/>
      <c r="AV937" s="175">
        <f>IF(AW937&gt;0,COUNTIF(AV$4:AV936,"&gt;0")+1,0)</f>
        <v>0</v>
      </c>
      <c r="AW937" s="164">
        <f t="shared" si="174"/>
        <v>0</v>
      </c>
      <c r="AX937" s="310">
        <f>IF($AW937=0,0,VLOOKUP(VLOOKUP($X937,$B$34:$T$38,19,FALSE),ENTI!$A$9:$B$13,2,FALSE))</f>
        <v>0</v>
      </c>
      <c r="AY937" s="310">
        <f t="shared" si="176"/>
        <v>0</v>
      </c>
      <c r="AZ937" s="316">
        <f t="shared" si="177"/>
        <v>0</v>
      </c>
      <c r="BA937" s="1"/>
      <c r="BB937" s="152">
        <f t="shared" si="178"/>
        <v>0</v>
      </c>
      <c r="BC937" s="152">
        <f ca="1">SUM(Z$4:Z937)+SUM(BB$4:BB937)+COSTI!S$6-COSTI!L$1076</f>
        <v>-31.760000000000218</v>
      </c>
      <c r="BD937" s="1"/>
    </row>
    <row r="938" spans="1:56" ht="16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435">
        <f>IF(AND(W938&gt;=$U$1,W938&lt;=$U$2),IF(X938='ESTRATTO CONTO'!$E$2,1+COUNTIF(U$4:U937,"&gt;0"),0),0)</f>
        <v>0</v>
      </c>
      <c r="V938" s="417">
        <f t="shared" si="175"/>
        <v>935</v>
      </c>
      <c r="W938" s="509"/>
      <c r="X938" s="321"/>
      <c r="Y938" s="321"/>
      <c r="Z938" s="508"/>
      <c r="AA938" s="356"/>
      <c r="AB938" s="306" t="str">
        <f t="shared" si="171"/>
        <v/>
      </c>
      <c r="AC938" s="637">
        <f t="shared" ca="1" si="170"/>
        <v>-2.1316282072803006E-13</v>
      </c>
      <c r="AD938" s="935">
        <f>IF(ISERROR(VLOOKUP(AD$2,X939:X$1003,1,FALSE)),IF(X938=AD$2,SUMIF(X$4:X938,AD$2,Z$4:Z938)+$E$9+SUM(AQ$4:AQ$1003)+SUMIF(COSTI!$X$1379:$X$1430,AD$2,COSTI!$Z$1379:$Z$1430),0),0)</f>
        <v>0</v>
      </c>
      <c r="AE938" s="26"/>
      <c r="AF938" s="856" t="e">
        <f>IF(ISERROR(VLOOKUP(AG$2,X939:X$1003,1,FALSE)),IF(X938=AG$2,SUMIF(X$4:X938,AG$2,Z$4:Z938)+VLOOKUP(AF$2,$B$1057:$F$1068,5,FALSE)+SUM(AR$4:AR$1003)+SUMIF(COSTI!$X$1379:$X$1430,AG$2,COSTI!$Z$1379:$Z$1430),0),0)</f>
        <v>#N/A</v>
      </c>
      <c r="AG938" s="859"/>
      <c r="AH938" s="27" t="str">
        <f t="shared" si="172"/>
        <v/>
      </c>
      <c r="AI938" s="152">
        <f ca="1">IF(W939&gt;0,0,IF(AH938=0,(Z938*-1)+BC938+SUM(BB$4:BB937),BC938+SUM(BB$4:BB937)))</f>
        <v>-2.1316282072803006E-13</v>
      </c>
      <c r="AJ938" s="931">
        <f>IF(AND(AL938&gt;=$U$1,AL938&lt;=$U$2),IF(AM938='ESTRATTO CONTO'!$E$2,1+COUNTIF(AJ$4:AJ937,"&gt;0")+U$1015,0),0)</f>
        <v>0</v>
      </c>
      <c r="AK938" s="203">
        <f>IF(AND(OR((AK937+1)&lt;AL$1015,(AK937+1)=AL$1015),MAX(AK$4:AK937)&lt;AL$1015),AK937+1,0)</f>
        <v>0</v>
      </c>
      <c r="AL938" s="309">
        <f>VLOOKUP($AK938,ENTI!$AF$4:AG$1003,2,FALSE)</f>
        <v>0</v>
      </c>
      <c r="AM938" s="224">
        <f>VLOOKUP($AK938,ENTI!$AF$4:AH$1003,3,FALSE)</f>
        <v>0</v>
      </c>
      <c r="AN938" s="224">
        <f>VLOOKUP($AK938,ENTI!$AF$4:AI$1003,4,FALSE)</f>
        <v>0</v>
      </c>
      <c r="AO938" s="781">
        <f>VLOOKUP($AK938,ENTI!$AF$4:AJ$1003,5,FALSE)</f>
        <v>0</v>
      </c>
      <c r="AP938" s="315">
        <f>VLOOKUP($AK938,ENTI!$AF$4:AK$1003,6,FALSE)</f>
        <v>0</v>
      </c>
      <c r="AQ938" s="208">
        <f t="shared" si="179"/>
        <v>0</v>
      </c>
      <c r="AR938" s="152" t="e">
        <f t="shared" si="180"/>
        <v>#N/A</v>
      </c>
      <c r="AS938" s="1"/>
      <c r="AT938" s="88" t="str">
        <f t="shared" si="173"/>
        <v/>
      </c>
      <c r="AU938" s="1"/>
      <c r="AV938" s="175">
        <f>IF(AW938&gt;0,COUNTIF(AV$4:AV937,"&gt;0")+1,0)</f>
        <v>0</v>
      </c>
      <c r="AW938" s="164">
        <f t="shared" si="174"/>
        <v>0</v>
      </c>
      <c r="AX938" s="310">
        <f>IF($AW938=0,0,VLOOKUP(VLOOKUP($X938,$B$34:$T$38,19,FALSE),ENTI!$A$9:$B$13,2,FALSE))</f>
        <v>0</v>
      </c>
      <c r="AY938" s="310">
        <f t="shared" si="176"/>
        <v>0</v>
      </c>
      <c r="AZ938" s="316">
        <f t="shared" si="177"/>
        <v>0</v>
      </c>
      <c r="BA938" s="1"/>
      <c r="BB938" s="152">
        <f t="shared" si="178"/>
        <v>0</v>
      </c>
      <c r="BC938" s="152">
        <f ca="1">SUM(Z$4:Z938)+SUM(BB$4:BB938)+COSTI!S$6-COSTI!L$1076</f>
        <v>-31.760000000000218</v>
      </c>
      <c r="BD938" s="1"/>
    </row>
    <row r="939" spans="1:56" ht="16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435">
        <f>IF(AND(W939&gt;=$U$1,W939&lt;=$U$2),IF(X939='ESTRATTO CONTO'!$E$2,1+COUNTIF(U$4:U938,"&gt;0"),0),0)</f>
        <v>0</v>
      </c>
      <c r="V939" s="417">
        <f t="shared" si="175"/>
        <v>936</v>
      </c>
      <c r="W939" s="509"/>
      <c r="X939" s="321"/>
      <c r="Y939" s="321"/>
      <c r="Z939" s="508"/>
      <c r="AA939" s="356"/>
      <c r="AB939" s="306" t="str">
        <f t="shared" si="171"/>
        <v/>
      </c>
      <c r="AC939" s="637">
        <f t="shared" ca="1" si="170"/>
        <v>-2.1316282072803006E-13</v>
      </c>
      <c r="AD939" s="935">
        <f>IF(ISERROR(VLOOKUP(AD$2,X940:X$1003,1,FALSE)),IF(X939=AD$2,SUMIF(X$4:X939,AD$2,Z$4:Z939)+$E$9+SUM(AQ$4:AQ$1003)+SUMIF(COSTI!$X$1379:$X$1430,AD$2,COSTI!$Z$1379:$Z$1430),0),0)</f>
        <v>0</v>
      </c>
      <c r="AE939" s="26"/>
      <c r="AF939" s="856" t="e">
        <f>IF(ISERROR(VLOOKUP(AG$2,X940:X$1003,1,FALSE)),IF(X939=AG$2,SUMIF(X$4:X939,AG$2,Z$4:Z939)+VLOOKUP(AF$2,$B$1057:$F$1068,5,FALSE)+SUM(AR$4:AR$1003)+SUMIF(COSTI!$X$1379:$X$1430,AG$2,COSTI!$Z$1379:$Z$1430),0),0)</f>
        <v>#N/A</v>
      </c>
      <c r="AG939" s="859"/>
      <c r="AH939" s="27" t="str">
        <f t="shared" si="172"/>
        <v/>
      </c>
      <c r="AI939" s="152">
        <f ca="1">IF(W940&gt;0,0,IF(AH939=0,(Z939*-1)+BC939+SUM(BB$4:BB938),BC939+SUM(BB$4:BB938)))</f>
        <v>-2.1316282072803006E-13</v>
      </c>
      <c r="AJ939" s="931">
        <f>IF(AND(AL939&gt;=$U$1,AL939&lt;=$U$2),IF(AM939='ESTRATTO CONTO'!$E$2,1+COUNTIF(AJ$4:AJ938,"&gt;0")+U$1015,0),0)</f>
        <v>0</v>
      </c>
      <c r="AK939" s="203">
        <f>IF(AND(OR((AK938+1)&lt;AL$1015,(AK938+1)=AL$1015),MAX(AK$4:AK938)&lt;AL$1015),AK938+1,0)</f>
        <v>0</v>
      </c>
      <c r="AL939" s="309">
        <f>VLOOKUP($AK939,ENTI!$AF$4:AG$1003,2,FALSE)</f>
        <v>0</v>
      </c>
      <c r="AM939" s="224">
        <f>VLOOKUP($AK939,ENTI!$AF$4:AH$1003,3,FALSE)</f>
        <v>0</v>
      </c>
      <c r="AN939" s="224">
        <f>VLOOKUP($AK939,ENTI!$AF$4:AI$1003,4,FALSE)</f>
        <v>0</v>
      </c>
      <c r="AO939" s="781">
        <f>VLOOKUP($AK939,ENTI!$AF$4:AJ$1003,5,FALSE)</f>
        <v>0</v>
      </c>
      <c r="AP939" s="315">
        <f>VLOOKUP($AK939,ENTI!$AF$4:AK$1003,6,FALSE)</f>
        <v>0</v>
      </c>
      <c r="AQ939" s="208">
        <f t="shared" si="179"/>
        <v>0</v>
      </c>
      <c r="AR939" s="152" t="e">
        <f t="shared" si="180"/>
        <v>#N/A</v>
      </c>
      <c r="AS939" s="1"/>
      <c r="AT939" s="88" t="str">
        <f t="shared" si="173"/>
        <v/>
      </c>
      <c r="AU939" s="1"/>
      <c r="AV939" s="175">
        <f>IF(AW939&gt;0,COUNTIF(AV$4:AV938,"&gt;0")+1,0)</f>
        <v>0</v>
      </c>
      <c r="AW939" s="164">
        <f t="shared" si="174"/>
        <v>0</v>
      </c>
      <c r="AX939" s="310">
        <f>IF($AW939=0,0,VLOOKUP(VLOOKUP($X939,$B$34:$T$38,19,FALSE),ENTI!$A$9:$B$13,2,FALSE))</f>
        <v>0</v>
      </c>
      <c r="AY939" s="310">
        <f t="shared" si="176"/>
        <v>0</v>
      </c>
      <c r="AZ939" s="316">
        <f t="shared" si="177"/>
        <v>0</v>
      </c>
      <c r="BA939" s="1"/>
      <c r="BB939" s="152">
        <f t="shared" si="178"/>
        <v>0</v>
      </c>
      <c r="BC939" s="152">
        <f ca="1">SUM(Z$4:Z939)+SUM(BB$4:BB939)+COSTI!S$6-COSTI!L$1076</f>
        <v>-31.760000000000218</v>
      </c>
      <c r="BD939" s="1"/>
    </row>
    <row r="940" spans="1:56" ht="16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435">
        <f>IF(AND(W940&gt;=$U$1,W940&lt;=$U$2),IF(X940='ESTRATTO CONTO'!$E$2,1+COUNTIF(U$4:U939,"&gt;0"),0),0)</f>
        <v>0</v>
      </c>
      <c r="V940" s="417">
        <f t="shared" si="175"/>
        <v>937</v>
      </c>
      <c r="W940" s="509"/>
      <c r="X940" s="321"/>
      <c r="Y940" s="321"/>
      <c r="Z940" s="508"/>
      <c r="AA940" s="356"/>
      <c r="AB940" s="306" t="str">
        <f t="shared" si="171"/>
        <v/>
      </c>
      <c r="AC940" s="637">
        <f t="shared" ca="1" si="170"/>
        <v>-2.1316282072803006E-13</v>
      </c>
      <c r="AD940" s="935">
        <f>IF(ISERROR(VLOOKUP(AD$2,X941:X$1003,1,FALSE)),IF(X940=AD$2,SUMIF(X$4:X940,AD$2,Z$4:Z940)+$E$9+SUM(AQ$4:AQ$1003)+SUMIF(COSTI!$X$1379:$X$1430,AD$2,COSTI!$Z$1379:$Z$1430),0),0)</f>
        <v>0</v>
      </c>
      <c r="AE940" s="26"/>
      <c r="AF940" s="856" t="e">
        <f>IF(ISERROR(VLOOKUP(AG$2,X941:X$1003,1,FALSE)),IF(X940=AG$2,SUMIF(X$4:X940,AG$2,Z$4:Z940)+VLOOKUP(AF$2,$B$1057:$F$1068,5,FALSE)+SUM(AR$4:AR$1003)+SUMIF(COSTI!$X$1379:$X$1430,AG$2,COSTI!$Z$1379:$Z$1430),0),0)</f>
        <v>#N/A</v>
      </c>
      <c r="AG940" s="859"/>
      <c r="AH940" s="27" t="str">
        <f t="shared" si="172"/>
        <v/>
      </c>
      <c r="AI940" s="152">
        <f ca="1">IF(W941&gt;0,0,IF(AH940=0,(Z940*-1)+BC940+SUM(BB$4:BB939),BC940+SUM(BB$4:BB939)))</f>
        <v>-2.1316282072803006E-13</v>
      </c>
      <c r="AJ940" s="931">
        <f>IF(AND(AL940&gt;=$U$1,AL940&lt;=$U$2),IF(AM940='ESTRATTO CONTO'!$E$2,1+COUNTIF(AJ$4:AJ939,"&gt;0")+U$1015,0),0)</f>
        <v>0</v>
      </c>
      <c r="AK940" s="203">
        <f>IF(AND(OR((AK939+1)&lt;AL$1015,(AK939+1)=AL$1015),MAX(AK$4:AK939)&lt;AL$1015),AK939+1,0)</f>
        <v>0</v>
      </c>
      <c r="AL940" s="309">
        <f>VLOOKUP($AK940,ENTI!$AF$4:AG$1003,2,FALSE)</f>
        <v>0</v>
      </c>
      <c r="AM940" s="224">
        <f>VLOOKUP($AK940,ENTI!$AF$4:AH$1003,3,FALSE)</f>
        <v>0</v>
      </c>
      <c r="AN940" s="224">
        <f>VLOOKUP($AK940,ENTI!$AF$4:AI$1003,4,FALSE)</f>
        <v>0</v>
      </c>
      <c r="AO940" s="781">
        <f>VLOOKUP($AK940,ENTI!$AF$4:AJ$1003,5,FALSE)</f>
        <v>0</v>
      </c>
      <c r="AP940" s="315">
        <f>VLOOKUP($AK940,ENTI!$AF$4:AK$1003,6,FALSE)</f>
        <v>0</v>
      </c>
      <c r="AQ940" s="208">
        <f t="shared" si="179"/>
        <v>0</v>
      </c>
      <c r="AR940" s="152" t="e">
        <f t="shared" si="180"/>
        <v>#N/A</v>
      </c>
      <c r="AS940" s="1"/>
      <c r="AT940" s="88" t="str">
        <f t="shared" si="173"/>
        <v/>
      </c>
      <c r="AU940" s="1"/>
      <c r="AV940" s="175">
        <f>IF(AW940&gt;0,COUNTIF(AV$4:AV939,"&gt;0")+1,0)</f>
        <v>0</v>
      </c>
      <c r="AW940" s="164">
        <f t="shared" si="174"/>
        <v>0</v>
      </c>
      <c r="AX940" s="310">
        <f>IF($AW940=0,0,VLOOKUP(VLOOKUP($X940,$B$34:$T$38,19,FALSE),ENTI!$A$9:$B$13,2,FALSE))</f>
        <v>0</v>
      </c>
      <c r="AY940" s="310">
        <f t="shared" si="176"/>
        <v>0</v>
      </c>
      <c r="AZ940" s="316">
        <f t="shared" si="177"/>
        <v>0</v>
      </c>
      <c r="BA940" s="1"/>
      <c r="BB940" s="152">
        <f t="shared" si="178"/>
        <v>0</v>
      </c>
      <c r="BC940" s="152">
        <f ca="1">SUM(Z$4:Z940)+SUM(BB$4:BB940)+COSTI!S$6-COSTI!L$1076</f>
        <v>-31.760000000000218</v>
      </c>
      <c r="BD940" s="1"/>
    </row>
    <row r="941" spans="1:56" ht="16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435">
        <f>IF(AND(W941&gt;=$U$1,W941&lt;=$U$2),IF(X941='ESTRATTO CONTO'!$E$2,1+COUNTIF(U$4:U940,"&gt;0"),0),0)</f>
        <v>0</v>
      </c>
      <c r="V941" s="417">
        <f t="shared" si="175"/>
        <v>938</v>
      </c>
      <c r="W941" s="509"/>
      <c r="X941" s="321"/>
      <c r="Y941" s="321"/>
      <c r="Z941" s="508"/>
      <c r="AA941" s="356"/>
      <c r="AB941" s="306" t="str">
        <f t="shared" si="171"/>
        <v/>
      </c>
      <c r="AC941" s="637">
        <f t="shared" ca="1" si="170"/>
        <v>-2.1316282072803006E-13</v>
      </c>
      <c r="AD941" s="935">
        <f>IF(ISERROR(VLOOKUP(AD$2,X942:X$1003,1,FALSE)),IF(X941=AD$2,SUMIF(X$4:X941,AD$2,Z$4:Z941)+$E$9+SUM(AQ$4:AQ$1003)+SUMIF(COSTI!$X$1379:$X$1430,AD$2,COSTI!$Z$1379:$Z$1430),0),0)</f>
        <v>0</v>
      </c>
      <c r="AE941" s="26"/>
      <c r="AF941" s="856" t="e">
        <f>IF(ISERROR(VLOOKUP(AG$2,X942:X$1003,1,FALSE)),IF(X941=AG$2,SUMIF(X$4:X941,AG$2,Z$4:Z941)+VLOOKUP(AF$2,$B$1057:$F$1068,5,FALSE)+SUM(AR$4:AR$1003)+SUMIF(COSTI!$X$1379:$X$1430,AG$2,COSTI!$Z$1379:$Z$1430),0),0)</f>
        <v>#N/A</v>
      </c>
      <c r="AG941" s="859"/>
      <c r="AH941" s="27" t="str">
        <f t="shared" si="172"/>
        <v/>
      </c>
      <c r="AI941" s="152">
        <f ca="1">IF(W942&gt;0,0,IF(AH941=0,(Z941*-1)+BC941+SUM(BB$4:BB940),BC941+SUM(BB$4:BB940)))</f>
        <v>-2.1316282072803006E-13</v>
      </c>
      <c r="AJ941" s="931">
        <f>IF(AND(AL941&gt;=$U$1,AL941&lt;=$U$2),IF(AM941='ESTRATTO CONTO'!$E$2,1+COUNTIF(AJ$4:AJ940,"&gt;0")+U$1015,0),0)</f>
        <v>0</v>
      </c>
      <c r="AK941" s="203">
        <f>IF(AND(OR((AK940+1)&lt;AL$1015,(AK940+1)=AL$1015),MAX(AK$4:AK940)&lt;AL$1015),AK940+1,0)</f>
        <v>0</v>
      </c>
      <c r="AL941" s="309">
        <f>VLOOKUP($AK941,ENTI!$AF$4:AG$1003,2,FALSE)</f>
        <v>0</v>
      </c>
      <c r="AM941" s="224">
        <f>VLOOKUP($AK941,ENTI!$AF$4:AH$1003,3,FALSE)</f>
        <v>0</v>
      </c>
      <c r="AN941" s="224">
        <f>VLOOKUP($AK941,ENTI!$AF$4:AI$1003,4,FALSE)</f>
        <v>0</v>
      </c>
      <c r="AO941" s="781">
        <f>VLOOKUP($AK941,ENTI!$AF$4:AJ$1003,5,FALSE)</f>
        <v>0</v>
      </c>
      <c r="AP941" s="315">
        <f>VLOOKUP($AK941,ENTI!$AF$4:AK$1003,6,FALSE)</f>
        <v>0</v>
      </c>
      <c r="AQ941" s="208">
        <f t="shared" si="179"/>
        <v>0</v>
      </c>
      <c r="AR941" s="152" t="e">
        <f t="shared" si="180"/>
        <v>#N/A</v>
      </c>
      <c r="AS941" s="1"/>
      <c r="AT941" s="88" t="str">
        <f t="shared" si="173"/>
        <v/>
      </c>
      <c r="AU941" s="1"/>
      <c r="AV941" s="175">
        <f>IF(AW941&gt;0,COUNTIF(AV$4:AV940,"&gt;0")+1,0)</f>
        <v>0</v>
      </c>
      <c r="AW941" s="164">
        <f t="shared" si="174"/>
        <v>0</v>
      </c>
      <c r="AX941" s="310">
        <f>IF($AW941=0,0,VLOOKUP(VLOOKUP($X941,$B$34:$T$38,19,FALSE),ENTI!$A$9:$B$13,2,FALSE))</f>
        <v>0</v>
      </c>
      <c r="AY941" s="310">
        <f t="shared" si="176"/>
        <v>0</v>
      </c>
      <c r="AZ941" s="316">
        <f t="shared" si="177"/>
        <v>0</v>
      </c>
      <c r="BA941" s="1"/>
      <c r="BB941" s="152">
        <f t="shared" si="178"/>
        <v>0</v>
      </c>
      <c r="BC941" s="152">
        <f ca="1">SUM(Z$4:Z941)+SUM(BB$4:BB941)+COSTI!S$6-COSTI!L$1076</f>
        <v>-31.760000000000218</v>
      </c>
      <c r="BD941" s="1"/>
    </row>
    <row r="942" spans="1:56" ht="16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435">
        <f>IF(AND(W942&gt;=$U$1,W942&lt;=$U$2),IF(X942='ESTRATTO CONTO'!$E$2,1+COUNTIF(U$4:U941,"&gt;0"),0),0)</f>
        <v>0</v>
      </c>
      <c r="V942" s="417">
        <f t="shared" si="175"/>
        <v>939</v>
      </c>
      <c r="W942" s="509"/>
      <c r="X942" s="321"/>
      <c r="Y942" s="321"/>
      <c r="Z942" s="508"/>
      <c r="AA942" s="356"/>
      <c r="AB942" s="306" t="str">
        <f t="shared" si="171"/>
        <v/>
      </c>
      <c r="AC942" s="637">
        <f t="shared" ca="1" si="170"/>
        <v>-2.1316282072803006E-13</v>
      </c>
      <c r="AD942" s="935">
        <f>IF(ISERROR(VLOOKUP(AD$2,X943:X$1003,1,FALSE)),IF(X942=AD$2,SUMIF(X$4:X942,AD$2,Z$4:Z942)+$E$9+SUM(AQ$4:AQ$1003)+SUMIF(COSTI!$X$1379:$X$1430,AD$2,COSTI!$Z$1379:$Z$1430),0),0)</f>
        <v>0</v>
      </c>
      <c r="AE942" s="26"/>
      <c r="AF942" s="856" t="e">
        <f>IF(ISERROR(VLOOKUP(AG$2,X943:X$1003,1,FALSE)),IF(X942=AG$2,SUMIF(X$4:X942,AG$2,Z$4:Z942)+VLOOKUP(AF$2,$B$1057:$F$1068,5,FALSE)+SUM(AR$4:AR$1003)+SUMIF(COSTI!$X$1379:$X$1430,AG$2,COSTI!$Z$1379:$Z$1430),0),0)</f>
        <v>#N/A</v>
      </c>
      <c r="AG942" s="859"/>
      <c r="AH942" s="27" t="str">
        <f t="shared" si="172"/>
        <v/>
      </c>
      <c r="AI942" s="152">
        <f ca="1">IF(W943&gt;0,0,IF(AH942=0,(Z942*-1)+BC942+SUM(BB$4:BB941),BC942+SUM(BB$4:BB941)))</f>
        <v>-2.1316282072803006E-13</v>
      </c>
      <c r="AJ942" s="931">
        <f>IF(AND(AL942&gt;=$U$1,AL942&lt;=$U$2),IF(AM942='ESTRATTO CONTO'!$E$2,1+COUNTIF(AJ$4:AJ941,"&gt;0")+U$1015,0),0)</f>
        <v>0</v>
      </c>
      <c r="AK942" s="203">
        <f>IF(AND(OR((AK941+1)&lt;AL$1015,(AK941+1)=AL$1015),MAX(AK$4:AK941)&lt;AL$1015),AK941+1,0)</f>
        <v>0</v>
      </c>
      <c r="AL942" s="309">
        <f>VLOOKUP($AK942,ENTI!$AF$4:AG$1003,2,FALSE)</f>
        <v>0</v>
      </c>
      <c r="AM942" s="224">
        <f>VLOOKUP($AK942,ENTI!$AF$4:AH$1003,3,FALSE)</f>
        <v>0</v>
      </c>
      <c r="AN942" s="224">
        <f>VLOOKUP($AK942,ENTI!$AF$4:AI$1003,4,FALSE)</f>
        <v>0</v>
      </c>
      <c r="AO942" s="781">
        <f>VLOOKUP($AK942,ENTI!$AF$4:AJ$1003,5,FALSE)</f>
        <v>0</v>
      </c>
      <c r="AP942" s="315">
        <f>VLOOKUP($AK942,ENTI!$AF$4:AK$1003,6,FALSE)</f>
        <v>0</v>
      </c>
      <c r="AQ942" s="208">
        <f t="shared" si="179"/>
        <v>0</v>
      </c>
      <c r="AR942" s="152" t="e">
        <f t="shared" si="180"/>
        <v>#N/A</v>
      </c>
      <c r="AS942" s="1"/>
      <c r="AT942" s="88" t="str">
        <f t="shared" si="173"/>
        <v/>
      </c>
      <c r="AU942" s="1"/>
      <c r="AV942" s="175">
        <f>IF(AW942&gt;0,COUNTIF(AV$4:AV941,"&gt;0")+1,0)</f>
        <v>0</v>
      </c>
      <c r="AW942" s="164">
        <f t="shared" si="174"/>
        <v>0</v>
      </c>
      <c r="AX942" s="310">
        <f>IF($AW942=0,0,VLOOKUP(VLOOKUP($X942,$B$34:$T$38,19,FALSE),ENTI!$A$9:$B$13,2,FALSE))</f>
        <v>0</v>
      </c>
      <c r="AY942" s="310">
        <f t="shared" si="176"/>
        <v>0</v>
      </c>
      <c r="AZ942" s="316">
        <f t="shared" si="177"/>
        <v>0</v>
      </c>
      <c r="BA942" s="1"/>
      <c r="BB942" s="152">
        <f t="shared" si="178"/>
        <v>0</v>
      </c>
      <c r="BC942" s="152">
        <f ca="1">SUM(Z$4:Z942)+SUM(BB$4:BB942)+COSTI!S$6-COSTI!L$1076</f>
        <v>-31.760000000000218</v>
      </c>
      <c r="BD942" s="1"/>
    </row>
    <row r="943" spans="1:56" ht="16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435">
        <f>IF(AND(W943&gt;=$U$1,W943&lt;=$U$2),IF(X943='ESTRATTO CONTO'!$E$2,1+COUNTIF(U$4:U942,"&gt;0"),0),0)</f>
        <v>0</v>
      </c>
      <c r="V943" s="417">
        <f t="shared" si="175"/>
        <v>940</v>
      </c>
      <c r="W943" s="509"/>
      <c r="X943" s="321"/>
      <c r="Y943" s="321"/>
      <c r="Z943" s="508"/>
      <c r="AA943" s="356"/>
      <c r="AB943" s="306" t="str">
        <f t="shared" si="171"/>
        <v/>
      </c>
      <c r="AC943" s="637">
        <f t="shared" ca="1" si="170"/>
        <v>-2.1316282072803006E-13</v>
      </c>
      <c r="AD943" s="935">
        <f>IF(ISERROR(VLOOKUP(AD$2,X944:X$1003,1,FALSE)),IF(X943=AD$2,SUMIF(X$4:X943,AD$2,Z$4:Z943)+$E$9+SUM(AQ$4:AQ$1003)+SUMIF(COSTI!$X$1379:$X$1430,AD$2,COSTI!$Z$1379:$Z$1430),0),0)</f>
        <v>0</v>
      </c>
      <c r="AE943" s="26"/>
      <c r="AF943" s="856" t="e">
        <f>IF(ISERROR(VLOOKUP(AG$2,X944:X$1003,1,FALSE)),IF(X943=AG$2,SUMIF(X$4:X943,AG$2,Z$4:Z943)+VLOOKUP(AF$2,$B$1057:$F$1068,5,FALSE)+SUM(AR$4:AR$1003)+SUMIF(COSTI!$X$1379:$X$1430,AG$2,COSTI!$Z$1379:$Z$1430),0),0)</f>
        <v>#N/A</v>
      </c>
      <c r="AG943" s="859"/>
      <c r="AH943" s="27" t="str">
        <f t="shared" si="172"/>
        <v/>
      </c>
      <c r="AI943" s="152">
        <f ca="1">IF(W944&gt;0,0,IF(AH943=0,(Z943*-1)+BC943+SUM(BB$4:BB942),BC943+SUM(BB$4:BB942)))</f>
        <v>-2.1316282072803006E-13</v>
      </c>
      <c r="AJ943" s="931">
        <f>IF(AND(AL943&gt;=$U$1,AL943&lt;=$U$2),IF(AM943='ESTRATTO CONTO'!$E$2,1+COUNTIF(AJ$4:AJ942,"&gt;0")+U$1015,0),0)</f>
        <v>0</v>
      </c>
      <c r="AK943" s="203">
        <f>IF(AND(OR((AK942+1)&lt;AL$1015,(AK942+1)=AL$1015),MAX(AK$4:AK942)&lt;AL$1015),AK942+1,0)</f>
        <v>0</v>
      </c>
      <c r="AL943" s="309">
        <f>VLOOKUP($AK943,ENTI!$AF$4:AG$1003,2,FALSE)</f>
        <v>0</v>
      </c>
      <c r="AM943" s="224">
        <f>VLOOKUP($AK943,ENTI!$AF$4:AH$1003,3,FALSE)</f>
        <v>0</v>
      </c>
      <c r="AN943" s="224">
        <f>VLOOKUP($AK943,ENTI!$AF$4:AI$1003,4,FALSE)</f>
        <v>0</v>
      </c>
      <c r="AO943" s="781">
        <f>VLOOKUP($AK943,ENTI!$AF$4:AJ$1003,5,FALSE)</f>
        <v>0</v>
      </c>
      <c r="AP943" s="315">
        <f>VLOOKUP($AK943,ENTI!$AF$4:AK$1003,6,FALSE)</f>
        <v>0</v>
      </c>
      <c r="AQ943" s="208">
        <f t="shared" si="179"/>
        <v>0</v>
      </c>
      <c r="AR943" s="152" t="e">
        <f t="shared" si="180"/>
        <v>#N/A</v>
      </c>
      <c r="AS943" s="1"/>
      <c r="AT943" s="88" t="str">
        <f t="shared" si="173"/>
        <v/>
      </c>
      <c r="AU943" s="1"/>
      <c r="AV943" s="175">
        <f>IF(AW943&gt;0,COUNTIF(AV$4:AV942,"&gt;0")+1,0)</f>
        <v>0</v>
      </c>
      <c r="AW943" s="164">
        <f t="shared" si="174"/>
        <v>0</v>
      </c>
      <c r="AX943" s="310">
        <f>IF($AW943=0,0,VLOOKUP(VLOOKUP($X943,$B$34:$T$38,19,FALSE),ENTI!$A$9:$B$13,2,FALSE))</f>
        <v>0</v>
      </c>
      <c r="AY943" s="310">
        <f t="shared" si="176"/>
        <v>0</v>
      </c>
      <c r="AZ943" s="316">
        <f t="shared" si="177"/>
        <v>0</v>
      </c>
      <c r="BA943" s="1"/>
      <c r="BB943" s="152">
        <f t="shared" si="178"/>
        <v>0</v>
      </c>
      <c r="BC943" s="152">
        <f ca="1">SUM(Z$4:Z943)+SUM(BB$4:BB943)+COSTI!S$6-COSTI!L$1076</f>
        <v>-31.760000000000218</v>
      </c>
      <c r="BD943" s="1"/>
    </row>
    <row r="944" spans="1:56" ht="16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435">
        <f>IF(AND(W944&gt;=$U$1,W944&lt;=$U$2),IF(X944='ESTRATTO CONTO'!$E$2,1+COUNTIF(U$4:U943,"&gt;0"),0),0)</f>
        <v>0</v>
      </c>
      <c r="V944" s="417">
        <f t="shared" si="175"/>
        <v>941</v>
      </c>
      <c r="W944" s="509"/>
      <c r="X944" s="321"/>
      <c r="Y944" s="321"/>
      <c r="Z944" s="508"/>
      <c r="AA944" s="356"/>
      <c r="AB944" s="306" t="str">
        <f t="shared" si="171"/>
        <v/>
      </c>
      <c r="AC944" s="637">
        <f t="shared" ca="1" si="170"/>
        <v>-2.1316282072803006E-13</v>
      </c>
      <c r="AD944" s="935">
        <f>IF(ISERROR(VLOOKUP(AD$2,X945:X$1003,1,FALSE)),IF(X944=AD$2,SUMIF(X$4:X944,AD$2,Z$4:Z944)+$E$9+SUM(AQ$4:AQ$1003)+SUMIF(COSTI!$X$1379:$X$1430,AD$2,COSTI!$Z$1379:$Z$1430),0),0)</f>
        <v>0</v>
      </c>
      <c r="AE944" s="26"/>
      <c r="AF944" s="856" t="e">
        <f>IF(ISERROR(VLOOKUP(AG$2,X945:X$1003,1,FALSE)),IF(X944=AG$2,SUMIF(X$4:X944,AG$2,Z$4:Z944)+VLOOKUP(AF$2,$B$1057:$F$1068,5,FALSE)+SUM(AR$4:AR$1003)+SUMIF(COSTI!$X$1379:$X$1430,AG$2,COSTI!$Z$1379:$Z$1430),0),0)</f>
        <v>#N/A</v>
      </c>
      <c r="AG944" s="859"/>
      <c r="AH944" s="27" t="str">
        <f t="shared" si="172"/>
        <v/>
      </c>
      <c r="AI944" s="152">
        <f ca="1">IF(W945&gt;0,0,IF(AH944=0,(Z944*-1)+BC944+SUM(BB$4:BB943),BC944+SUM(BB$4:BB943)))</f>
        <v>-2.1316282072803006E-13</v>
      </c>
      <c r="AJ944" s="931">
        <f>IF(AND(AL944&gt;=$U$1,AL944&lt;=$U$2),IF(AM944='ESTRATTO CONTO'!$E$2,1+COUNTIF(AJ$4:AJ943,"&gt;0")+U$1015,0),0)</f>
        <v>0</v>
      </c>
      <c r="AK944" s="203">
        <f>IF(AND(OR((AK943+1)&lt;AL$1015,(AK943+1)=AL$1015),MAX(AK$4:AK943)&lt;AL$1015),AK943+1,0)</f>
        <v>0</v>
      </c>
      <c r="AL944" s="309">
        <f>VLOOKUP($AK944,ENTI!$AF$4:AG$1003,2,FALSE)</f>
        <v>0</v>
      </c>
      <c r="AM944" s="224">
        <f>VLOOKUP($AK944,ENTI!$AF$4:AH$1003,3,FALSE)</f>
        <v>0</v>
      </c>
      <c r="AN944" s="224">
        <f>VLOOKUP($AK944,ENTI!$AF$4:AI$1003,4,FALSE)</f>
        <v>0</v>
      </c>
      <c r="AO944" s="781">
        <f>VLOOKUP($AK944,ENTI!$AF$4:AJ$1003,5,FALSE)</f>
        <v>0</v>
      </c>
      <c r="AP944" s="315">
        <f>VLOOKUP($AK944,ENTI!$AF$4:AK$1003,6,FALSE)</f>
        <v>0</v>
      </c>
      <c r="AQ944" s="208">
        <f t="shared" si="179"/>
        <v>0</v>
      </c>
      <c r="AR944" s="152" t="e">
        <f t="shared" si="180"/>
        <v>#N/A</v>
      </c>
      <c r="AS944" s="1"/>
      <c r="AT944" s="88" t="str">
        <f t="shared" si="173"/>
        <v/>
      </c>
      <c r="AU944" s="1"/>
      <c r="AV944" s="175">
        <f>IF(AW944&gt;0,COUNTIF(AV$4:AV943,"&gt;0")+1,0)</f>
        <v>0</v>
      </c>
      <c r="AW944" s="164">
        <f t="shared" si="174"/>
        <v>0</v>
      </c>
      <c r="AX944" s="310">
        <f>IF($AW944=0,0,VLOOKUP(VLOOKUP($X944,$B$34:$T$38,19,FALSE),ENTI!$A$9:$B$13,2,FALSE))</f>
        <v>0</v>
      </c>
      <c r="AY944" s="310">
        <f t="shared" si="176"/>
        <v>0</v>
      </c>
      <c r="AZ944" s="316">
        <f t="shared" si="177"/>
        <v>0</v>
      </c>
      <c r="BA944" s="1"/>
      <c r="BB944" s="152">
        <f t="shared" si="178"/>
        <v>0</v>
      </c>
      <c r="BC944" s="152">
        <f ca="1">SUM(Z$4:Z944)+SUM(BB$4:BB944)+COSTI!S$6-COSTI!L$1076</f>
        <v>-31.760000000000218</v>
      </c>
      <c r="BD944" s="1"/>
    </row>
    <row r="945" spans="1:56" ht="16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435">
        <f>IF(AND(W945&gt;=$U$1,W945&lt;=$U$2),IF(X945='ESTRATTO CONTO'!$E$2,1+COUNTIF(U$4:U944,"&gt;0"),0),0)</f>
        <v>0</v>
      </c>
      <c r="V945" s="417">
        <f t="shared" si="175"/>
        <v>942</v>
      </c>
      <c r="W945" s="509"/>
      <c r="X945" s="321"/>
      <c r="Y945" s="321"/>
      <c r="Z945" s="508"/>
      <c r="AA945" s="356"/>
      <c r="AB945" s="306" t="str">
        <f t="shared" si="171"/>
        <v/>
      </c>
      <c r="AC945" s="637">
        <f t="shared" ca="1" si="170"/>
        <v>-2.1316282072803006E-13</v>
      </c>
      <c r="AD945" s="935">
        <f>IF(ISERROR(VLOOKUP(AD$2,X946:X$1003,1,FALSE)),IF(X945=AD$2,SUMIF(X$4:X945,AD$2,Z$4:Z945)+$E$9+SUM(AQ$4:AQ$1003)+SUMIF(COSTI!$X$1379:$X$1430,AD$2,COSTI!$Z$1379:$Z$1430),0),0)</f>
        <v>0</v>
      </c>
      <c r="AE945" s="26"/>
      <c r="AF945" s="856" t="e">
        <f>IF(ISERROR(VLOOKUP(AG$2,X946:X$1003,1,FALSE)),IF(X945=AG$2,SUMIF(X$4:X945,AG$2,Z$4:Z945)+VLOOKUP(AF$2,$B$1057:$F$1068,5,FALSE)+SUM(AR$4:AR$1003)+SUMIF(COSTI!$X$1379:$X$1430,AG$2,COSTI!$Z$1379:$Z$1430),0),0)</f>
        <v>#N/A</v>
      </c>
      <c r="AG945" s="859"/>
      <c r="AH945" s="27" t="str">
        <f t="shared" si="172"/>
        <v/>
      </c>
      <c r="AI945" s="152">
        <f ca="1">IF(W946&gt;0,0,IF(AH945=0,(Z945*-1)+BC945+SUM(BB$4:BB944),BC945+SUM(BB$4:BB944)))</f>
        <v>-2.1316282072803006E-13</v>
      </c>
      <c r="AJ945" s="931">
        <f>IF(AND(AL945&gt;=$U$1,AL945&lt;=$U$2),IF(AM945='ESTRATTO CONTO'!$E$2,1+COUNTIF(AJ$4:AJ944,"&gt;0")+U$1015,0),0)</f>
        <v>0</v>
      </c>
      <c r="AK945" s="203">
        <f>IF(AND(OR((AK944+1)&lt;AL$1015,(AK944+1)=AL$1015),MAX(AK$4:AK944)&lt;AL$1015),AK944+1,0)</f>
        <v>0</v>
      </c>
      <c r="AL945" s="309">
        <f>VLOOKUP($AK945,ENTI!$AF$4:AG$1003,2,FALSE)</f>
        <v>0</v>
      </c>
      <c r="AM945" s="224">
        <f>VLOOKUP($AK945,ENTI!$AF$4:AH$1003,3,FALSE)</f>
        <v>0</v>
      </c>
      <c r="AN945" s="224">
        <f>VLOOKUP($AK945,ENTI!$AF$4:AI$1003,4,FALSE)</f>
        <v>0</v>
      </c>
      <c r="AO945" s="781">
        <f>VLOOKUP($AK945,ENTI!$AF$4:AJ$1003,5,FALSE)</f>
        <v>0</v>
      </c>
      <c r="AP945" s="315">
        <f>VLOOKUP($AK945,ENTI!$AF$4:AK$1003,6,FALSE)</f>
        <v>0</v>
      </c>
      <c r="AQ945" s="208">
        <f t="shared" si="179"/>
        <v>0</v>
      </c>
      <c r="AR945" s="152" t="e">
        <f t="shared" si="180"/>
        <v>#N/A</v>
      </c>
      <c r="AS945" s="1"/>
      <c r="AT945" s="88" t="str">
        <f t="shared" si="173"/>
        <v/>
      </c>
      <c r="AU945" s="1"/>
      <c r="AV945" s="175">
        <f>IF(AW945&gt;0,COUNTIF(AV$4:AV944,"&gt;0")+1,0)</f>
        <v>0</v>
      </c>
      <c r="AW945" s="164">
        <f t="shared" si="174"/>
        <v>0</v>
      </c>
      <c r="AX945" s="310">
        <f>IF($AW945=0,0,VLOOKUP(VLOOKUP($X945,$B$34:$T$38,19,FALSE),ENTI!$A$9:$B$13,2,FALSE))</f>
        <v>0</v>
      </c>
      <c r="AY945" s="310">
        <f t="shared" si="176"/>
        <v>0</v>
      </c>
      <c r="AZ945" s="316">
        <f t="shared" si="177"/>
        <v>0</v>
      </c>
      <c r="BA945" s="1"/>
      <c r="BB945" s="152">
        <f t="shared" si="178"/>
        <v>0</v>
      </c>
      <c r="BC945" s="152">
        <f ca="1">SUM(Z$4:Z945)+SUM(BB$4:BB945)+COSTI!S$6-COSTI!L$1076</f>
        <v>-31.760000000000218</v>
      </c>
      <c r="BD945" s="1"/>
    </row>
    <row r="946" spans="1:56" ht="16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435">
        <f>IF(AND(W946&gt;=$U$1,W946&lt;=$U$2),IF(X946='ESTRATTO CONTO'!$E$2,1+COUNTIF(U$4:U945,"&gt;0"),0),0)</f>
        <v>0</v>
      </c>
      <c r="V946" s="417">
        <f t="shared" si="175"/>
        <v>943</v>
      </c>
      <c r="W946" s="509"/>
      <c r="X946" s="321"/>
      <c r="Y946" s="321"/>
      <c r="Z946" s="508"/>
      <c r="AA946" s="356"/>
      <c r="AB946" s="306" t="str">
        <f t="shared" si="171"/>
        <v/>
      </c>
      <c r="AC946" s="637">
        <f t="shared" ca="1" si="170"/>
        <v>-2.1316282072803006E-13</v>
      </c>
      <c r="AD946" s="935">
        <f>IF(ISERROR(VLOOKUP(AD$2,X947:X$1003,1,FALSE)),IF(X946=AD$2,SUMIF(X$4:X946,AD$2,Z$4:Z946)+$E$9+SUM(AQ$4:AQ$1003)+SUMIF(COSTI!$X$1379:$X$1430,AD$2,COSTI!$Z$1379:$Z$1430),0),0)</f>
        <v>0</v>
      </c>
      <c r="AE946" s="26"/>
      <c r="AF946" s="856" t="e">
        <f>IF(ISERROR(VLOOKUP(AG$2,X947:X$1003,1,FALSE)),IF(X946=AG$2,SUMIF(X$4:X946,AG$2,Z$4:Z946)+VLOOKUP(AF$2,$B$1057:$F$1068,5,FALSE)+SUM(AR$4:AR$1003)+SUMIF(COSTI!$X$1379:$X$1430,AG$2,COSTI!$Z$1379:$Z$1430),0),0)</f>
        <v>#N/A</v>
      </c>
      <c r="AG946" s="859"/>
      <c r="AH946" s="27" t="str">
        <f t="shared" si="172"/>
        <v/>
      </c>
      <c r="AI946" s="152">
        <f ca="1">IF(W947&gt;0,0,IF(AH946=0,(Z946*-1)+BC946+SUM(BB$4:BB945),BC946+SUM(BB$4:BB945)))</f>
        <v>-2.1316282072803006E-13</v>
      </c>
      <c r="AJ946" s="931">
        <f>IF(AND(AL946&gt;=$U$1,AL946&lt;=$U$2),IF(AM946='ESTRATTO CONTO'!$E$2,1+COUNTIF(AJ$4:AJ945,"&gt;0")+U$1015,0),0)</f>
        <v>0</v>
      </c>
      <c r="AK946" s="203">
        <f>IF(AND(OR((AK945+1)&lt;AL$1015,(AK945+1)=AL$1015),MAX(AK$4:AK945)&lt;AL$1015),AK945+1,0)</f>
        <v>0</v>
      </c>
      <c r="AL946" s="309">
        <f>VLOOKUP($AK946,ENTI!$AF$4:AG$1003,2,FALSE)</f>
        <v>0</v>
      </c>
      <c r="AM946" s="224">
        <f>VLOOKUP($AK946,ENTI!$AF$4:AH$1003,3,FALSE)</f>
        <v>0</v>
      </c>
      <c r="AN946" s="224">
        <f>VLOOKUP($AK946,ENTI!$AF$4:AI$1003,4,FALSE)</f>
        <v>0</v>
      </c>
      <c r="AO946" s="781">
        <f>VLOOKUP($AK946,ENTI!$AF$4:AJ$1003,5,FALSE)</f>
        <v>0</v>
      </c>
      <c r="AP946" s="315">
        <f>VLOOKUP($AK946,ENTI!$AF$4:AK$1003,6,FALSE)</f>
        <v>0</v>
      </c>
      <c r="AQ946" s="208">
        <f t="shared" si="179"/>
        <v>0</v>
      </c>
      <c r="AR946" s="152" t="e">
        <f t="shared" si="180"/>
        <v>#N/A</v>
      </c>
      <c r="AS946" s="1"/>
      <c r="AT946" s="88" t="str">
        <f t="shared" si="173"/>
        <v/>
      </c>
      <c r="AU946" s="1"/>
      <c r="AV946" s="175">
        <f>IF(AW946&gt;0,COUNTIF(AV$4:AV945,"&gt;0")+1,0)</f>
        <v>0</v>
      </c>
      <c r="AW946" s="164">
        <f t="shared" si="174"/>
        <v>0</v>
      </c>
      <c r="AX946" s="310">
        <f>IF($AW946=0,0,VLOOKUP(VLOOKUP($X946,$B$34:$T$38,19,FALSE),ENTI!$A$9:$B$13,2,FALSE))</f>
        <v>0</v>
      </c>
      <c r="AY946" s="310">
        <f t="shared" si="176"/>
        <v>0</v>
      </c>
      <c r="AZ946" s="316">
        <f t="shared" si="177"/>
        <v>0</v>
      </c>
      <c r="BA946" s="1"/>
      <c r="BB946" s="152">
        <f t="shared" si="178"/>
        <v>0</v>
      </c>
      <c r="BC946" s="152">
        <f ca="1">SUM(Z$4:Z946)+SUM(BB$4:BB946)+COSTI!S$6-COSTI!L$1076</f>
        <v>-31.760000000000218</v>
      </c>
      <c r="BD946" s="1"/>
    </row>
    <row r="947" spans="1:56" ht="16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435">
        <f>IF(AND(W947&gt;=$U$1,W947&lt;=$U$2),IF(X947='ESTRATTO CONTO'!$E$2,1+COUNTIF(U$4:U946,"&gt;0"),0),0)</f>
        <v>0</v>
      </c>
      <c r="V947" s="417">
        <f t="shared" si="175"/>
        <v>944</v>
      </c>
      <c r="W947" s="509"/>
      <c r="X947" s="321"/>
      <c r="Y947" s="321"/>
      <c r="Z947" s="508"/>
      <c r="AA947" s="356"/>
      <c r="AB947" s="306" t="str">
        <f t="shared" si="171"/>
        <v/>
      </c>
      <c r="AC947" s="637">
        <f t="shared" ca="1" si="170"/>
        <v>-2.1316282072803006E-13</v>
      </c>
      <c r="AD947" s="935">
        <f>IF(ISERROR(VLOOKUP(AD$2,X948:X$1003,1,FALSE)),IF(X947=AD$2,SUMIF(X$4:X947,AD$2,Z$4:Z947)+$E$9+SUM(AQ$4:AQ$1003)+SUMIF(COSTI!$X$1379:$X$1430,AD$2,COSTI!$Z$1379:$Z$1430),0),0)</f>
        <v>0</v>
      </c>
      <c r="AE947" s="26"/>
      <c r="AF947" s="856" t="e">
        <f>IF(ISERROR(VLOOKUP(AG$2,X948:X$1003,1,FALSE)),IF(X947=AG$2,SUMIF(X$4:X947,AG$2,Z$4:Z947)+VLOOKUP(AF$2,$B$1057:$F$1068,5,FALSE)+SUM(AR$4:AR$1003)+SUMIF(COSTI!$X$1379:$X$1430,AG$2,COSTI!$Z$1379:$Z$1430),0),0)</f>
        <v>#N/A</v>
      </c>
      <c r="AG947" s="859"/>
      <c r="AH947" s="27" t="str">
        <f t="shared" si="172"/>
        <v/>
      </c>
      <c r="AI947" s="152">
        <f ca="1">IF(W948&gt;0,0,IF(AH947=0,(Z947*-1)+BC947+SUM(BB$4:BB946),BC947+SUM(BB$4:BB946)))</f>
        <v>-2.1316282072803006E-13</v>
      </c>
      <c r="AJ947" s="931">
        <f>IF(AND(AL947&gt;=$U$1,AL947&lt;=$U$2),IF(AM947='ESTRATTO CONTO'!$E$2,1+COUNTIF(AJ$4:AJ946,"&gt;0")+U$1015,0),0)</f>
        <v>0</v>
      </c>
      <c r="AK947" s="203">
        <f>IF(AND(OR((AK946+1)&lt;AL$1015,(AK946+1)=AL$1015),MAX(AK$4:AK946)&lt;AL$1015),AK946+1,0)</f>
        <v>0</v>
      </c>
      <c r="AL947" s="309">
        <f>VLOOKUP($AK947,ENTI!$AF$4:AG$1003,2,FALSE)</f>
        <v>0</v>
      </c>
      <c r="AM947" s="224">
        <f>VLOOKUP($AK947,ENTI!$AF$4:AH$1003,3,FALSE)</f>
        <v>0</v>
      </c>
      <c r="AN947" s="224">
        <f>VLOOKUP($AK947,ENTI!$AF$4:AI$1003,4,FALSE)</f>
        <v>0</v>
      </c>
      <c r="AO947" s="781">
        <f>VLOOKUP($AK947,ENTI!$AF$4:AJ$1003,5,FALSE)</f>
        <v>0</v>
      </c>
      <c r="AP947" s="315">
        <f>VLOOKUP($AK947,ENTI!$AF$4:AK$1003,6,FALSE)</f>
        <v>0</v>
      </c>
      <c r="AQ947" s="208">
        <f t="shared" si="179"/>
        <v>0</v>
      </c>
      <c r="AR947" s="152" t="e">
        <f t="shared" si="180"/>
        <v>#N/A</v>
      </c>
      <c r="AS947" s="1"/>
      <c r="AT947" s="88" t="str">
        <f t="shared" si="173"/>
        <v/>
      </c>
      <c r="AU947" s="1"/>
      <c r="AV947" s="175">
        <f>IF(AW947&gt;0,COUNTIF(AV$4:AV946,"&gt;0")+1,0)</f>
        <v>0</v>
      </c>
      <c r="AW947" s="164">
        <f t="shared" si="174"/>
        <v>0</v>
      </c>
      <c r="AX947" s="310">
        <f>IF($AW947=0,0,VLOOKUP(VLOOKUP($X947,$B$34:$T$38,19,FALSE),ENTI!$A$9:$B$13,2,FALSE))</f>
        <v>0</v>
      </c>
      <c r="AY947" s="310">
        <f t="shared" si="176"/>
        <v>0</v>
      </c>
      <c r="AZ947" s="316">
        <f t="shared" si="177"/>
        <v>0</v>
      </c>
      <c r="BA947" s="1"/>
      <c r="BB947" s="152">
        <f t="shared" si="178"/>
        <v>0</v>
      </c>
      <c r="BC947" s="152">
        <f ca="1">SUM(Z$4:Z947)+SUM(BB$4:BB947)+COSTI!S$6-COSTI!L$1076</f>
        <v>-31.760000000000218</v>
      </c>
      <c r="BD947" s="1"/>
    </row>
    <row r="948" spans="1:56" ht="16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435">
        <f>IF(AND(W948&gt;=$U$1,W948&lt;=$U$2),IF(X948='ESTRATTO CONTO'!$E$2,1+COUNTIF(U$4:U947,"&gt;0"),0),0)</f>
        <v>0</v>
      </c>
      <c r="V948" s="417">
        <f t="shared" si="175"/>
        <v>945</v>
      </c>
      <c r="W948" s="509"/>
      <c r="X948" s="321"/>
      <c r="Y948" s="321"/>
      <c r="Z948" s="508"/>
      <c r="AA948" s="356"/>
      <c r="AB948" s="306" t="str">
        <f t="shared" si="171"/>
        <v/>
      </c>
      <c r="AC948" s="637">
        <f t="shared" ca="1" si="170"/>
        <v>-2.1316282072803006E-13</v>
      </c>
      <c r="AD948" s="935">
        <f>IF(ISERROR(VLOOKUP(AD$2,X949:X$1003,1,FALSE)),IF(X948=AD$2,SUMIF(X$4:X948,AD$2,Z$4:Z948)+$E$9+SUM(AQ$4:AQ$1003)+SUMIF(COSTI!$X$1379:$X$1430,AD$2,COSTI!$Z$1379:$Z$1430),0),0)</f>
        <v>0</v>
      </c>
      <c r="AE948" s="26"/>
      <c r="AF948" s="856" t="e">
        <f>IF(ISERROR(VLOOKUP(AG$2,X949:X$1003,1,FALSE)),IF(X948=AG$2,SUMIF(X$4:X948,AG$2,Z$4:Z948)+VLOOKUP(AF$2,$B$1057:$F$1068,5,FALSE)+SUM(AR$4:AR$1003)+SUMIF(COSTI!$X$1379:$X$1430,AG$2,COSTI!$Z$1379:$Z$1430),0),0)</f>
        <v>#N/A</v>
      </c>
      <c r="AG948" s="859"/>
      <c r="AH948" s="27" t="str">
        <f t="shared" si="172"/>
        <v/>
      </c>
      <c r="AI948" s="152">
        <f ca="1">IF(W949&gt;0,0,IF(AH948=0,(Z948*-1)+BC948+SUM(BB$4:BB947),BC948+SUM(BB$4:BB947)))</f>
        <v>-2.1316282072803006E-13</v>
      </c>
      <c r="AJ948" s="931">
        <f>IF(AND(AL948&gt;=$U$1,AL948&lt;=$U$2),IF(AM948='ESTRATTO CONTO'!$E$2,1+COUNTIF(AJ$4:AJ947,"&gt;0")+U$1015,0),0)</f>
        <v>0</v>
      </c>
      <c r="AK948" s="203">
        <f>IF(AND(OR((AK947+1)&lt;AL$1015,(AK947+1)=AL$1015),MAX(AK$4:AK947)&lt;AL$1015),AK947+1,0)</f>
        <v>0</v>
      </c>
      <c r="AL948" s="309">
        <f>VLOOKUP($AK948,ENTI!$AF$4:AG$1003,2,FALSE)</f>
        <v>0</v>
      </c>
      <c r="AM948" s="224">
        <f>VLOOKUP($AK948,ENTI!$AF$4:AH$1003,3,FALSE)</f>
        <v>0</v>
      </c>
      <c r="AN948" s="224">
        <f>VLOOKUP($AK948,ENTI!$AF$4:AI$1003,4,FALSE)</f>
        <v>0</v>
      </c>
      <c r="AO948" s="781">
        <f>VLOOKUP($AK948,ENTI!$AF$4:AJ$1003,5,FALSE)</f>
        <v>0</v>
      </c>
      <c r="AP948" s="315">
        <f>VLOOKUP($AK948,ENTI!$AF$4:AK$1003,6,FALSE)</f>
        <v>0</v>
      </c>
      <c r="AQ948" s="208">
        <f t="shared" si="179"/>
        <v>0</v>
      </c>
      <c r="AR948" s="152" t="e">
        <f t="shared" si="180"/>
        <v>#N/A</v>
      </c>
      <c r="AS948" s="1"/>
      <c r="AT948" s="88" t="str">
        <f t="shared" si="173"/>
        <v/>
      </c>
      <c r="AU948" s="1"/>
      <c r="AV948" s="175">
        <f>IF(AW948&gt;0,COUNTIF(AV$4:AV947,"&gt;0")+1,0)</f>
        <v>0</v>
      </c>
      <c r="AW948" s="164">
        <f t="shared" si="174"/>
        <v>0</v>
      </c>
      <c r="AX948" s="310">
        <f>IF($AW948=0,0,VLOOKUP(VLOOKUP($X948,$B$34:$T$38,19,FALSE),ENTI!$A$9:$B$13,2,FALSE))</f>
        <v>0</v>
      </c>
      <c r="AY948" s="310">
        <f t="shared" si="176"/>
        <v>0</v>
      </c>
      <c r="AZ948" s="316">
        <f t="shared" si="177"/>
        <v>0</v>
      </c>
      <c r="BA948" s="1"/>
      <c r="BB948" s="152">
        <f t="shared" si="178"/>
        <v>0</v>
      </c>
      <c r="BC948" s="152">
        <f ca="1">SUM(Z$4:Z948)+SUM(BB$4:BB948)+COSTI!S$6-COSTI!L$1076</f>
        <v>-31.760000000000218</v>
      </c>
      <c r="BD948" s="1"/>
    </row>
    <row r="949" spans="1:56" ht="16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435">
        <f>IF(AND(W949&gt;=$U$1,W949&lt;=$U$2),IF(X949='ESTRATTO CONTO'!$E$2,1+COUNTIF(U$4:U948,"&gt;0"),0),0)</f>
        <v>0</v>
      </c>
      <c r="V949" s="417">
        <f t="shared" si="175"/>
        <v>946</v>
      </c>
      <c r="W949" s="509"/>
      <c r="X949" s="321"/>
      <c r="Y949" s="321"/>
      <c r="Z949" s="508"/>
      <c r="AA949" s="356"/>
      <c r="AB949" s="306" t="str">
        <f t="shared" si="171"/>
        <v/>
      </c>
      <c r="AC949" s="637">
        <f t="shared" ca="1" si="170"/>
        <v>-2.1316282072803006E-13</v>
      </c>
      <c r="AD949" s="935">
        <f>IF(ISERROR(VLOOKUP(AD$2,X950:X$1003,1,FALSE)),IF(X949=AD$2,SUMIF(X$4:X949,AD$2,Z$4:Z949)+$E$9+SUM(AQ$4:AQ$1003)+SUMIF(COSTI!$X$1379:$X$1430,AD$2,COSTI!$Z$1379:$Z$1430),0),0)</f>
        <v>0</v>
      </c>
      <c r="AE949" s="26"/>
      <c r="AF949" s="856" t="e">
        <f>IF(ISERROR(VLOOKUP(AG$2,X950:X$1003,1,FALSE)),IF(X949=AG$2,SUMIF(X$4:X949,AG$2,Z$4:Z949)+VLOOKUP(AF$2,$B$1057:$F$1068,5,FALSE)+SUM(AR$4:AR$1003)+SUMIF(COSTI!$X$1379:$X$1430,AG$2,COSTI!$Z$1379:$Z$1430),0),0)</f>
        <v>#N/A</v>
      </c>
      <c r="AG949" s="859"/>
      <c r="AH949" s="27" t="str">
        <f t="shared" si="172"/>
        <v/>
      </c>
      <c r="AI949" s="152">
        <f ca="1">IF(W950&gt;0,0,IF(AH949=0,(Z949*-1)+BC949+SUM(BB$4:BB948),BC949+SUM(BB$4:BB948)))</f>
        <v>-2.1316282072803006E-13</v>
      </c>
      <c r="AJ949" s="931">
        <f>IF(AND(AL949&gt;=$U$1,AL949&lt;=$U$2),IF(AM949='ESTRATTO CONTO'!$E$2,1+COUNTIF(AJ$4:AJ948,"&gt;0")+U$1015,0),0)</f>
        <v>0</v>
      </c>
      <c r="AK949" s="203">
        <f>IF(AND(OR((AK948+1)&lt;AL$1015,(AK948+1)=AL$1015),MAX(AK$4:AK948)&lt;AL$1015),AK948+1,0)</f>
        <v>0</v>
      </c>
      <c r="AL949" s="309">
        <f>VLOOKUP($AK949,ENTI!$AF$4:AG$1003,2,FALSE)</f>
        <v>0</v>
      </c>
      <c r="AM949" s="224">
        <f>VLOOKUP($AK949,ENTI!$AF$4:AH$1003,3,FALSE)</f>
        <v>0</v>
      </c>
      <c r="AN949" s="224">
        <f>VLOOKUP($AK949,ENTI!$AF$4:AI$1003,4,FALSE)</f>
        <v>0</v>
      </c>
      <c r="AO949" s="781">
        <f>VLOOKUP($AK949,ENTI!$AF$4:AJ$1003,5,FALSE)</f>
        <v>0</v>
      </c>
      <c r="AP949" s="315">
        <f>VLOOKUP($AK949,ENTI!$AF$4:AK$1003,6,FALSE)</f>
        <v>0</v>
      </c>
      <c r="AQ949" s="208">
        <f t="shared" si="179"/>
        <v>0</v>
      </c>
      <c r="AR949" s="152" t="e">
        <f t="shared" si="180"/>
        <v>#N/A</v>
      </c>
      <c r="AS949" s="1"/>
      <c r="AT949" s="88" t="str">
        <f t="shared" si="173"/>
        <v/>
      </c>
      <c r="AU949" s="1"/>
      <c r="AV949" s="175">
        <f>IF(AW949&gt;0,COUNTIF(AV$4:AV948,"&gt;0")+1,0)</f>
        <v>0</v>
      </c>
      <c r="AW949" s="164">
        <f t="shared" si="174"/>
        <v>0</v>
      </c>
      <c r="AX949" s="310">
        <f>IF($AW949=0,0,VLOOKUP(VLOOKUP($X949,$B$34:$T$38,19,FALSE),ENTI!$A$9:$B$13,2,FALSE))</f>
        <v>0</v>
      </c>
      <c r="AY949" s="310">
        <f t="shared" si="176"/>
        <v>0</v>
      </c>
      <c r="AZ949" s="316">
        <f t="shared" si="177"/>
        <v>0</v>
      </c>
      <c r="BA949" s="1"/>
      <c r="BB949" s="152">
        <f t="shared" si="178"/>
        <v>0</v>
      </c>
      <c r="BC949" s="152">
        <f ca="1">SUM(Z$4:Z949)+SUM(BB$4:BB949)+COSTI!S$6-COSTI!L$1076</f>
        <v>-31.760000000000218</v>
      </c>
      <c r="BD949" s="1"/>
    </row>
    <row r="950" spans="1:56" ht="16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435">
        <f>IF(AND(W950&gt;=$U$1,W950&lt;=$U$2),IF(X950='ESTRATTO CONTO'!$E$2,1+COUNTIF(U$4:U949,"&gt;0"),0),0)</f>
        <v>0</v>
      </c>
      <c r="V950" s="417">
        <f t="shared" si="175"/>
        <v>947</v>
      </c>
      <c r="W950" s="509"/>
      <c r="X950" s="321"/>
      <c r="Y950" s="321"/>
      <c r="Z950" s="508"/>
      <c r="AA950" s="356"/>
      <c r="AB950" s="306" t="str">
        <f t="shared" si="171"/>
        <v/>
      </c>
      <c r="AC950" s="637">
        <f t="shared" ca="1" si="170"/>
        <v>-2.1316282072803006E-13</v>
      </c>
      <c r="AD950" s="935">
        <f>IF(ISERROR(VLOOKUP(AD$2,X951:X$1003,1,FALSE)),IF(X950=AD$2,SUMIF(X$4:X950,AD$2,Z$4:Z950)+$E$9+SUM(AQ$4:AQ$1003)+SUMIF(COSTI!$X$1379:$X$1430,AD$2,COSTI!$Z$1379:$Z$1430),0),0)</f>
        <v>0</v>
      </c>
      <c r="AE950" s="26"/>
      <c r="AF950" s="856" t="e">
        <f>IF(ISERROR(VLOOKUP(AG$2,X951:X$1003,1,FALSE)),IF(X950=AG$2,SUMIF(X$4:X950,AG$2,Z$4:Z950)+VLOOKUP(AF$2,$B$1057:$F$1068,5,FALSE)+SUM(AR$4:AR$1003)+SUMIF(COSTI!$X$1379:$X$1430,AG$2,COSTI!$Z$1379:$Z$1430),0),0)</f>
        <v>#N/A</v>
      </c>
      <c r="AG950" s="859"/>
      <c r="AH950" s="27" t="str">
        <f t="shared" si="172"/>
        <v/>
      </c>
      <c r="AI950" s="152">
        <f ca="1">IF(W951&gt;0,0,IF(AH950=0,(Z950*-1)+BC950+SUM(BB$4:BB949),BC950+SUM(BB$4:BB949)))</f>
        <v>-2.1316282072803006E-13</v>
      </c>
      <c r="AJ950" s="931">
        <f>IF(AND(AL950&gt;=$U$1,AL950&lt;=$U$2),IF(AM950='ESTRATTO CONTO'!$E$2,1+COUNTIF(AJ$4:AJ949,"&gt;0")+U$1015,0),0)</f>
        <v>0</v>
      </c>
      <c r="AK950" s="203">
        <f>IF(AND(OR((AK949+1)&lt;AL$1015,(AK949+1)=AL$1015),MAX(AK$4:AK949)&lt;AL$1015),AK949+1,0)</f>
        <v>0</v>
      </c>
      <c r="AL950" s="309">
        <f>VLOOKUP($AK950,ENTI!$AF$4:AG$1003,2,FALSE)</f>
        <v>0</v>
      </c>
      <c r="AM950" s="224">
        <f>VLOOKUP($AK950,ENTI!$AF$4:AH$1003,3,FALSE)</f>
        <v>0</v>
      </c>
      <c r="AN950" s="224">
        <f>VLOOKUP($AK950,ENTI!$AF$4:AI$1003,4,FALSE)</f>
        <v>0</v>
      </c>
      <c r="AO950" s="781">
        <f>VLOOKUP($AK950,ENTI!$AF$4:AJ$1003,5,FALSE)</f>
        <v>0</v>
      </c>
      <c r="AP950" s="315">
        <f>VLOOKUP($AK950,ENTI!$AF$4:AK$1003,6,FALSE)</f>
        <v>0</v>
      </c>
      <c r="AQ950" s="208">
        <f t="shared" si="179"/>
        <v>0</v>
      </c>
      <c r="AR950" s="152" t="e">
        <f t="shared" si="180"/>
        <v>#N/A</v>
      </c>
      <c r="AS950" s="1"/>
      <c r="AT950" s="88" t="str">
        <f t="shared" si="173"/>
        <v/>
      </c>
      <c r="AU950" s="1"/>
      <c r="AV950" s="175">
        <f>IF(AW950&gt;0,COUNTIF(AV$4:AV949,"&gt;0")+1,0)</f>
        <v>0</v>
      </c>
      <c r="AW950" s="164">
        <f t="shared" si="174"/>
        <v>0</v>
      </c>
      <c r="AX950" s="310">
        <f>IF($AW950=0,0,VLOOKUP(VLOOKUP($X950,$B$34:$T$38,19,FALSE),ENTI!$A$9:$B$13,2,FALSE))</f>
        <v>0</v>
      </c>
      <c r="AY950" s="310">
        <f t="shared" si="176"/>
        <v>0</v>
      </c>
      <c r="AZ950" s="316">
        <f t="shared" si="177"/>
        <v>0</v>
      </c>
      <c r="BA950" s="1"/>
      <c r="BB950" s="152">
        <f t="shared" si="178"/>
        <v>0</v>
      </c>
      <c r="BC950" s="152">
        <f ca="1">SUM(Z$4:Z950)+SUM(BB$4:BB950)+COSTI!S$6-COSTI!L$1076</f>
        <v>-31.760000000000218</v>
      </c>
      <c r="BD950" s="1"/>
    </row>
    <row r="951" spans="1:56" ht="16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435">
        <f>IF(AND(W951&gt;=$U$1,W951&lt;=$U$2),IF(X951='ESTRATTO CONTO'!$E$2,1+COUNTIF(U$4:U950,"&gt;0"),0),0)</f>
        <v>0</v>
      </c>
      <c r="V951" s="417">
        <f t="shared" si="175"/>
        <v>948</v>
      </c>
      <c r="W951" s="509"/>
      <c r="X951" s="321"/>
      <c r="Y951" s="321"/>
      <c r="Z951" s="508"/>
      <c r="AA951" s="356"/>
      <c r="AB951" s="306" t="str">
        <f t="shared" si="171"/>
        <v/>
      </c>
      <c r="AC951" s="637">
        <f t="shared" ca="1" si="170"/>
        <v>-2.1316282072803006E-13</v>
      </c>
      <c r="AD951" s="935">
        <f>IF(ISERROR(VLOOKUP(AD$2,X952:X$1003,1,FALSE)),IF(X951=AD$2,SUMIF(X$4:X951,AD$2,Z$4:Z951)+$E$9+SUM(AQ$4:AQ$1003)+SUMIF(COSTI!$X$1379:$X$1430,AD$2,COSTI!$Z$1379:$Z$1430),0),0)</f>
        <v>0</v>
      </c>
      <c r="AE951" s="26"/>
      <c r="AF951" s="856" t="e">
        <f>IF(ISERROR(VLOOKUP(AG$2,X952:X$1003,1,FALSE)),IF(X951=AG$2,SUMIF(X$4:X951,AG$2,Z$4:Z951)+VLOOKUP(AF$2,$B$1057:$F$1068,5,FALSE)+SUM(AR$4:AR$1003)+SUMIF(COSTI!$X$1379:$X$1430,AG$2,COSTI!$Z$1379:$Z$1430),0),0)</f>
        <v>#N/A</v>
      </c>
      <c r="AG951" s="859"/>
      <c r="AH951" s="27" t="str">
        <f t="shared" si="172"/>
        <v/>
      </c>
      <c r="AI951" s="152">
        <f ca="1">IF(W952&gt;0,0,IF(AH951=0,(Z951*-1)+BC951+SUM(BB$4:BB950),BC951+SUM(BB$4:BB950)))</f>
        <v>-2.1316282072803006E-13</v>
      </c>
      <c r="AJ951" s="931">
        <f>IF(AND(AL951&gt;=$U$1,AL951&lt;=$U$2),IF(AM951='ESTRATTO CONTO'!$E$2,1+COUNTIF(AJ$4:AJ950,"&gt;0")+U$1015,0),0)</f>
        <v>0</v>
      </c>
      <c r="AK951" s="203">
        <f>IF(AND(OR((AK950+1)&lt;AL$1015,(AK950+1)=AL$1015),MAX(AK$4:AK950)&lt;AL$1015),AK950+1,0)</f>
        <v>0</v>
      </c>
      <c r="AL951" s="309">
        <f>VLOOKUP($AK951,ENTI!$AF$4:AG$1003,2,FALSE)</f>
        <v>0</v>
      </c>
      <c r="AM951" s="224">
        <f>VLOOKUP($AK951,ENTI!$AF$4:AH$1003,3,FALSE)</f>
        <v>0</v>
      </c>
      <c r="AN951" s="224">
        <f>VLOOKUP($AK951,ENTI!$AF$4:AI$1003,4,FALSE)</f>
        <v>0</v>
      </c>
      <c r="AO951" s="781">
        <f>VLOOKUP($AK951,ENTI!$AF$4:AJ$1003,5,FALSE)</f>
        <v>0</v>
      </c>
      <c r="AP951" s="315">
        <f>VLOOKUP($AK951,ENTI!$AF$4:AK$1003,6,FALSE)</f>
        <v>0</v>
      </c>
      <c r="AQ951" s="208">
        <f t="shared" si="179"/>
        <v>0</v>
      </c>
      <c r="AR951" s="152" t="e">
        <f t="shared" si="180"/>
        <v>#N/A</v>
      </c>
      <c r="AS951" s="1"/>
      <c r="AT951" s="88" t="str">
        <f t="shared" si="173"/>
        <v/>
      </c>
      <c r="AU951" s="1"/>
      <c r="AV951" s="175">
        <f>IF(AW951&gt;0,COUNTIF(AV$4:AV950,"&gt;0")+1,0)</f>
        <v>0</v>
      </c>
      <c r="AW951" s="164">
        <f t="shared" si="174"/>
        <v>0</v>
      </c>
      <c r="AX951" s="310">
        <f>IF($AW951=0,0,VLOOKUP(VLOOKUP($X951,$B$34:$T$38,19,FALSE),ENTI!$A$9:$B$13,2,FALSE))</f>
        <v>0</v>
      </c>
      <c r="AY951" s="310">
        <f t="shared" si="176"/>
        <v>0</v>
      </c>
      <c r="AZ951" s="316">
        <f t="shared" si="177"/>
        <v>0</v>
      </c>
      <c r="BA951" s="1"/>
      <c r="BB951" s="152">
        <f t="shared" si="178"/>
        <v>0</v>
      </c>
      <c r="BC951" s="152">
        <f ca="1">SUM(Z$4:Z951)+SUM(BB$4:BB951)+COSTI!S$6-COSTI!L$1076</f>
        <v>-31.760000000000218</v>
      </c>
      <c r="BD951" s="1"/>
    </row>
    <row r="952" spans="1:56" ht="16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435">
        <f>IF(AND(W952&gt;=$U$1,W952&lt;=$U$2),IF(X952='ESTRATTO CONTO'!$E$2,1+COUNTIF(U$4:U951,"&gt;0"),0),0)</f>
        <v>0</v>
      </c>
      <c r="V952" s="417">
        <f t="shared" si="175"/>
        <v>949</v>
      </c>
      <c r="W952" s="509"/>
      <c r="X952" s="321"/>
      <c r="Y952" s="321"/>
      <c r="Z952" s="508"/>
      <c r="AA952" s="356"/>
      <c r="AB952" s="306" t="str">
        <f t="shared" si="171"/>
        <v/>
      </c>
      <c r="AC952" s="637">
        <f t="shared" ca="1" si="170"/>
        <v>-2.1316282072803006E-13</v>
      </c>
      <c r="AD952" s="935">
        <f>IF(ISERROR(VLOOKUP(AD$2,X953:X$1003,1,FALSE)),IF(X952=AD$2,SUMIF(X$4:X952,AD$2,Z$4:Z952)+$E$9+SUM(AQ$4:AQ$1003)+SUMIF(COSTI!$X$1379:$X$1430,AD$2,COSTI!$Z$1379:$Z$1430),0),0)</f>
        <v>0</v>
      </c>
      <c r="AE952" s="26"/>
      <c r="AF952" s="856" t="e">
        <f>IF(ISERROR(VLOOKUP(AG$2,X953:X$1003,1,FALSE)),IF(X952=AG$2,SUMIF(X$4:X952,AG$2,Z$4:Z952)+VLOOKUP(AF$2,$B$1057:$F$1068,5,FALSE)+SUM(AR$4:AR$1003)+SUMIF(COSTI!$X$1379:$X$1430,AG$2,COSTI!$Z$1379:$Z$1430),0),0)</f>
        <v>#N/A</v>
      </c>
      <c r="AG952" s="859"/>
      <c r="AH952" s="27" t="str">
        <f t="shared" si="172"/>
        <v/>
      </c>
      <c r="AI952" s="152">
        <f ca="1">IF(W953&gt;0,0,IF(AH952=0,(Z952*-1)+BC952+SUM(BB$4:BB951),BC952+SUM(BB$4:BB951)))</f>
        <v>-2.1316282072803006E-13</v>
      </c>
      <c r="AJ952" s="931">
        <f>IF(AND(AL952&gt;=$U$1,AL952&lt;=$U$2),IF(AM952='ESTRATTO CONTO'!$E$2,1+COUNTIF(AJ$4:AJ951,"&gt;0")+U$1015,0),0)</f>
        <v>0</v>
      </c>
      <c r="AK952" s="203">
        <f>IF(AND(OR((AK951+1)&lt;AL$1015,(AK951+1)=AL$1015),MAX(AK$4:AK951)&lt;AL$1015),AK951+1,0)</f>
        <v>0</v>
      </c>
      <c r="AL952" s="309">
        <f>VLOOKUP($AK952,ENTI!$AF$4:AG$1003,2,FALSE)</f>
        <v>0</v>
      </c>
      <c r="AM952" s="224">
        <f>VLOOKUP($AK952,ENTI!$AF$4:AH$1003,3,FALSE)</f>
        <v>0</v>
      </c>
      <c r="AN952" s="224">
        <f>VLOOKUP($AK952,ENTI!$AF$4:AI$1003,4,FALSE)</f>
        <v>0</v>
      </c>
      <c r="AO952" s="781">
        <f>VLOOKUP($AK952,ENTI!$AF$4:AJ$1003,5,FALSE)</f>
        <v>0</v>
      </c>
      <c r="AP952" s="315">
        <f>VLOOKUP($AK952,ENTI!$AF$4:AK$1003,6,FALSE)</f>
        <v>0</v>
      </c>
      <c r="AQ952" s="208">
        <f t="shared" si="179"/>
        <v>0</v>
      </c>
      <c r="AR952" s="152" t="e">
        <f t="shared" si="180"/>
        <v>#N/A</v>
      </c>
      <c r="AS952" s="1"/>
      <c r="AT952" s="88" t="str">
        <f t="shared" si="173"/>
        <v/>
      </c>
      <c r="AU952" s="1"/>
      <c r="AV952" s="175">
        <f>IF(AW952&gt;0,COUNTIF(AV$4:AV951,"&gt;0")+1,0)</f>
        <v>0</v>
      </c>
      <c r="AW952" s="164">
        <f t="shared" si="174"/>
        <v>0</v>
      </c>
      <c r="AX952" s="310">
        <f>IF($AW952=0,0,VLOOKUP(VLOOKUP($X952,$B$34:$T$38,19,FALSE),ENTI!$A$9:$B$13,2,FALSE))</f>
        <v>0</v>
      </c>
      <c r="AY952" s="310">
        <f t="shared" si="176"/>
        <v>0</v>
      </c>
      <c r="AZ952" s="316">
        <f t="shared" si="177"/>
        <v>0</v>
      </c>
      <c r="BA952" s="1"/>
      <c r="BB952" s="152">
        <f t="shared" si="178"/>
        <v>0</v>
      </c>
      <c r="BC952" s="152">
        <f ca="1">SUM(Z$4:Z952)+SUM(BB$4:BB952)+COSTI!S$6-COSTI!L$1076</f>
        <v>-31.760000000000218</v>
      </c>
      <c r="BD952" s="1"/>
    </row>
    <row r="953" spans="1:56" ht="16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435">
        <f>IF(AND(W953&gt;=$U$1,W953&lt;=$U$2),IF(X953='ESTRATTO CONTO'!$E$2,1+COUNTIF(U$4:U952,"&gt;0"),0),0)</f>
        <v>0</v>
      </c>
      <c r="V953" s="417">
        <f t="shared" si="175"/>
        <v>950</v>
      </c>
      <c r="W953" s="509"/>
      <c r="X953" s="321"/>
      <c r="Y953" s="321"/>
      <c r="Z953" s="508"/>
      <c r="AA953" s="356"/>
      <c r="AB953" s="306" t="str">
        <f t="shared" si="171"/>
        <v/>
      </c>
      <c r="AC953" s="637">
        <f t="shared" ref="AC953:AC1002" ca="1" si="181">AI953</f>
        <v>-2.1316282072803006E-13</v>
      </c>
      <c r="AD953" s="935">
        <f>IF(ISERROR(VLOOKUP(AD$2,X954:X$1003,1,FALSE)),IF(X953=AD$2,SUMIF(X$4:X953,AD$2,Z$4:Z953)+$E$9+SUM(AQ$4:AQ$1003)+SUMIF(COSTI!$X$1379:$X$1430,AD$2,COSTI!$Z$1379:$Z$1430),0),0)</f>
        <v>0</v>
      </c>
      <c r="AE953" s="26"/>
      <c r="AF953" s="856" t="e">
        <f>IF(ISERROR(VLOOKUP(AG$2,X954:X$1003,1,FALSE)),IF(X953=AG$2,SUMIF(X$4:X953,AG$2,Z$4:Z953)+VLOOKUP(AF$2,$B$1057:$F$1068,5,FALSE)+SUM(AR$4:AR$1003)+SUMIF(COSTI!$X$1379:$X$1430,AG$2,COSTI!$Z$1379:$Z$1430),0),0)</f>
        <v>#N/A</v>
      </c>
      <c r="AG953" s="859"/>
      <c r="AH953" s="27" t="str">
        <f t="shared" si="172"/>
        <v/>
      </c>
      <c r="AI953" s="152">
        <f ca="1">IF(W954&gt;0,0,IF(AH953=0,(Z953*-1)+BC953+SUM(BB$4:BB952),BC953+SUM(BB$4:BB952)))</f>
        <v>-2.1316282072803006E-13</v>
      </c>
      <c r="AJ953" s="931">
        <f>IF(AND(AL953&gt;=$U$1,AL953&lt;=$U$2),IF(AM953='ESTRATTO CONTO'!$E$2,1+COUNTIF(AJ$4:AJ952,"&gt;0")+U$1015,0),0)</f>
        <v>0</v>
      </c>
      <c r="AK953" s="203">
        <f>IF(AND(OR((AK952+1)&lt;AL$1015,(AK952+1)=AL$1015),MAX(AK$4:AK952)&lt;AL$1015),AK952+1,0)</f>
        <v>0</v>
      </c>
      <c r="AL953" s="309">
        <f>VLOOKUP($AK953,ENTI!$AF$4:AG$1003,2,FALSE)</f>
        <v>0</v>
      </c>
      <c r="AM953" s="224">
        <f>VLOOKUP($AK953,ENTI!$AF$4:AH$1003,3,FALSE)</f>
        <v>0</v>
      </c>
      <c r="AN953" s="224">
        <f>VLOOKUP($AK953,ENTI!$AF$4:AI$1003,4,FALSE)</f>
        <v>0</v>
      </c>
      <c r="AO953" s="781">
        <f>VLOOKUP($AK953,ENTI!$AF$4:AJ$1003,5,FALSE)</f>
        <v>0</v>
      </c>
      <c r="AP953" s="315">
        <f>VLOOKUP($AK953,ENTI!$AF$4:AK$1003,6,FALSE)</f>
        <v>0</v>
      </c>
      <c r="AQ953" s="208">
        <f t="shared" si="179"/>
        <v>0</v>
      </c>
      <c r="AR953" s="152" t="e">
        <f t="shared" si="180"/>
        <v>#N/A</v>
      </c>
      <c r="AS953" s="1"/>
      <c r="AT953" s="88" t="str">
        <f t="shared" si="173"/>
        <v/>
      </c>
      <c r="AU953" s="1"/>
      <c r="AV953" s="175">
        <f>IF(AW953&gt;0,COUNTIF(AV$4:AV952,"&gt;0")+1,0)</f>
        <v>0</v>
      </c>
      <c r="AW953" s="164">
        <f t="shared" si="174"/>
        <v>0</v>
      </c>
      <c r="AX953" s="310">
        <f>IF($AW953=0,0,VLOOKUP(VLOOKUP($X953,$B$34:$T$38,19,FALSE),ENTI!$A$9:$B$13,2,FALSE))</f>
        <v>0</v>
      </c>
      <c r="AY953" s="310">
        <f t="shared" si="176"/>
        <v>0</v>
      </c>
      <c r="AZ953" s="316">
        <f t="shared" si="177"/>
        <v>0</v>
      </c>
      <c r="BA953" s="1"/>
      <c r="BB953" s="152">
        <f t="shared" si="178"/>
        <v>0</v>
      </c>
      <c r="BC953" s="152">
        <f ca="1">SUM(Z$4:Z953)+SUM(BB$4:BB953)+COSTI!S$6-COSTI!L$1076</f>
        <v>-31.760000000000218</v>
      </c>
      <c r="BD953" s="1"/>
    </row>
    <row r="954" spans="1:56" ht="16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435">
        <f>IF(AND(W954&gt;=$U$1,W954&lt;=$U$2),IF(X954='ESTRATTO CONTO'!$E$2,1+COUNTIF(U$4:U953,"&gt;0"),0),0)</f>
        <v>0</v>
      </c>
      <c r="V954" s="417">
        <f t="shared" si="175"/>
        <v>951</v>
      </c>
      <c r="W954" s="509"/>
      <c r="X954" s="321"/>
      <c r="Y954" s="321"/>
      <c r="Z954" s="508"/>
      <c r="AA954" s="356"/>
      <c r="AB954" s="306" t="str">
        <f t="shared" si="171"/>
        <v/>
      </c>
      <c r="AC954" s="637">
        <f t="shared" ca="1" si="181"/>
        <v>-2.1316282072803006E-13</v>
      </c>
      <c r="AD954" s="935">
        <f>IF(ISERROR(VLOOKUP(AD$2,X955:X$1003,1,FALSE)),IF(X954=AD$2,SUMIF(X$4:X954,AD$2,Z$4:Z954)+$E$9+SUM(AQ$4:AQ$1003)+SUMIF(COSTI!$X$1379:$X$1430,AD$2,COSTI!$Z$1379:$Z$1430),0),0)</f>
        <v>0</v>
      </c>
      <c r="AE954" s="26"/>
      <c r="AF954" s="856" t="e">
        <f>IF(ISERROR(VLOOKUP(AG$2,X955:X$1003,1,FALSE)),IF(X954=AG$2,SUMIF(X$4:X954,AG$2,Z$4:Z954)+VLOOKUP(AF$2,$B$1057:$F$1068,5,FALSE)+SUM(AR$4:AR$1003)+SUMIF(COSTI!$X$1379:$X$1430,AG$2,COSTI!$Z$1379:$Z$1430),0),0)</f>
        <v>#N/A</v>
      </c>
      <c r="AG954" s="859"/>
      <c r="AH954" s="27" t="str">
        <f t="shared" si="172"/>
        <v/>
      </c>
      <c r="AI954" s="152">
        <f ca="1">IF(W955&gt;0,0,IF(AH954=0,(Z954*-1)+BC954+SUM(BB$4:BB953),BC954+SUM(BB$4:BB953)))</f>
        <v>-2.1316282072803006E-13</v>
      </c>
      <c r="AJ954" s="931">
        <f>IF(AND(AL954&gt;=$U$1,AL954&lt;=$U$2),IF(AM954='ESTRATTO CONTO'!$E$2,1+COUNTIF(AJ$4:AJ953,"&gt;0")+U$1015,0),0)</f>
        <v>0</v>
      </c>
      <c r="AK954" s="203">
        <f>IF(AND(OR((AK953+1)&lt;AL$1015,(AK953+1)=AL$1015),MAX(AK$4:AK953)&lt;AL$1015),AK953+1,0)</f>
        <v>0</v>
      </c>
      <c r="AL954" s="309">
        <f>VLOOKUP($AK954,ENTI!$AF$4:AG$1003,2,FALSE)</f>
        <v>0</v>
      </c>
      <c r="AM954" s="224">
        <f>VLOOKUP($AK954,ENTI!$AF$4:AH$1003,3,FALSE)</f>
        <v>0</v>
      </c>
      <c r="AN954" s="224">
        <f>VLOOKUP($AK954,ENTI!$AF$4:AI$1003,4,FALSE)</f>
        <v>0</v>
      </c>
      <c r="AO954" s="781">
        <f>VLOOKUP($AK954,ENTI!$AF$4:AJ$1003,5,FALSE)</f>
        <v>0</v>
      </c>
      <c r="AP954" s="315">
        <f>VLOOKUP($AK954,ENTI!$AF$4:AK$1003,6,FALSE)</f>
        <v>0</v>
      </c>
      <c r="AQ954" s="208">
        <f t="shared" si="179"/>
        <v>0</v>
      </c>
      <c r="AR954" s="152" t="e">
        <f t="shared" si="180"/>
        <v>#N/A</v>
      </c>
      <c r="AS954" s="1"/>
      <c r="AT954" s="88" t="str">
        <f t="shared" si="173"/>
        <v/>
      </c>
      <c r="AU954" s="1"/>
      <c r="AV954" s="175">
        <f>IF(AW954&gt;0,COUNTIF(AV$4:AV953,"&gt;0")+1,0)</f>
        <v>0</v>
      </c>
      <c r="AW954" s="164">
        <f t="shared" si="174"/>
        <v>0</v>
      </c>
      <c r="AX954" s="310">
        <f>IF($AW954=0,0,VLOOKUP(VLOOKUP($X954,$B$34:$T$38,19,FALSE),ENTI!$A$9:$B$13,2,FALSE))</f>
        <v>0</v>
      </c>
      <c r="AY954" s="310">
        <f t="shared" si="176"/>
        <v>0</v>
      </c>
      <c r="AZ954" s="316">
        <f t="shared" si="177"/>
        <v>0</v>
      </c>
      <c r="BA954" s="1"/>
      <c r="BB954" s="152">
        <f t="shared" si="178"/>
        <v>0</v>
      </c>
      <c r="BC954" s="152">
        <f ca="1">SUM(Z$4:Z954)+SUM(BB$4:BB954)+COSTI!S$6-COSTI!L$1076</f>
        <v>-31.760000000000218</v>
      </c>
      <c r="BD954" s="1"/>
    </row>
    <row r="955" spans="1:56" ht="16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435">
        <f>IF(AND(W955&gt;=$U$1,W955&lt;=$U$2),IF(X955='ESTRATTO CONTO'!$E$2,1+COUNTIF(U$4:U954,"&gt;0"),0),0)</f>
        <v>0</v>
      </c>
      <c r="V955" s="417">
        <f t="shared" si="175"/>
        <v>952</v>
      </c>
      <c r="W955" s="509"/>
      <c r="X955" s="321"/>
      <c r="Y955" s="321"/>
      <c r="Z955" s="508"/>
      <c r="AA955" s="356"/>
      <c r="AB955" s="306" t="str">
        <f t="shared" si="171"/>
        <v/>
      </c>
      <c r="AC955" s="637">
        <f t="shared" ca="1" si="181"/>
        <v>-2.1316282072803006E-13</v>
      </c>
      <c r="AD955" s="935">
        <f>IF(ISERROR(VLOOKUP(AD$2,X956:X$1003,1,FALSE)),IF(X955=AD$2,SUMIF(X$4:X955,AD$2,Z$4:Z955)+$E$9+SUM(AQ$4:AQ$1003)+SUMIF(COSTI!$X$1379:$X$1430,AD$2,COSTI!$Z$1379:$Z$1430),0),0)</f>
        <v>0</v>
      </c>
      <c r="AE955" s="26"/>
      <c r="AF955" s="856" t="e">
        <f>IF(ISERROR(VLOOKUP(AG$2,X956:X$1003,1,FALSE)),IF(X955=AG$2,SUMIF(X$4:X955,AG$2,Z$4:Z955)+VLOOKUP(AF$2,$B$1057:$F$1068,5,FALSE)+SUM(AR$4:AR$1003)+SUMIF(COSTI!$X$1379:$X$1430,AG$2,COSTI!$Z$1379:$Z$1430),0),0)</f>
        <v>#N/A</v>
      </c>
      <c r="AG955" s="859"/>
      <c r="AH955" s="27" t="str">
        <f t="shared" si="172"/>
        <v/>
      </c>
      <c r="AI955" s="152">
        <f ca="1">IF(W956&gt;0,0,IF(AH955=0,(Z955*-1)+BC955+SUM(BB$4:BB954),BC955+SUM(BB$4:BB954)))</f>
        <v>-2.1316282072803006E-13</v>
      </c>
      <c r="AJ955" s="931">
        <f>IF(AND(AL955&gt;=$U$1,AL955&lt;=$U$2),IF(AM955='ESTRATTO CONTO'!$E$2,1+COUNTIF(AJ$4:AJ954,"&gt;0")+U$1015,0),0)</f>
        <v>0</v>
      </c>
      <c r="AK955" s="203">
        <f>IF(AND(OR((AK954+1)&lt;AL$1015,(AK954+1)=AL$1015),MAX(AK$4:AK954)&lt;AL$1015),AK954+1,0)</f>
        <v>0</v>
      </c>
      <c r="AL955" s="309">
        <f>VLOOKUP($AK955,ENTI!$AF$4:AG$1003,2,FALSE)</f>
        <v>0</v>
      </c>
      <c r="AM955" s="224">
        <f>VLOOKUP($AK955,ENTI!$AF$4:AH$1003,3,FALSE)</f>
        <v>0</v>
      </c>
      <c r="AN955" s="224">
        <f>VLOOKUP($AK955,ENTI!$AF$4:AI$1003,4,FALSE)</f>
        <v>0</v>
      </c>
      <c r="AO955" s="781">
        <f>VLOOKUP($AK955,ENTI!$AF$4:AJ$1003,5,FALSE)</f>
        <v>0</v>
      </c>
      <c r="AP955" s="315">
        <f>VLOOKUP($AK955,ENTI!$AF$4:AK$1003,6,FALSE)</f>
        <v>0</v>
      </c>
      <c r="AQ955" s="208">
        <f t="shared" si="179"/>
        <v>0</v>
      </c>
      <c r="AR955" s="152" t="e">
        <f t="shared" si="180"/>
        <v>#N/A</v>
      </c>
      <c r="AS955" s="1"/>
      <c r="AT955" s="88" t="str">
        <f t="shared" si="173"/>
        <v/>
      </c>
      <c r="AU955" s="1"/>
      <c r="AV955" s="175">
        <f>IF(AW955&gt;0,COUNTIF(AV$4:AV954,"&gt;0")+1,0)</f>
        <v>0</v>
      </c>
      <c r="AW955" s="164">
        <f t="shared" si="174"/>
        <v>0</v>
      </c>
      <c r="AX955" s="310">
        <f>IF($AW955=0,0,VLOOKUP(VLOOKUP($X955,$B$34:$T$38,19,FALSE),ENTI!$A$9:$B$13,2,FALSE))</f>
        <v>0</v>
      </c>
      <c r="AY955" s="310">
        <f t="shared" si="176"/>
        <v>0</v>
      </c>
      <c r="AZ955" s="316">
        <f t="shared" si="177"/>
        <v>0</v>
      </c>
      <c r="BA955" s="1"/>
      <c r="BB955" s="152">
        <f t="shared" si="178"/>
        <v>0</v>
      </c>
      <c r="BC955" s="152">
        <f ca="1">SUM(Z$4:Z955)+SUM(BB$4:BB955)+COSTI!S$6-COSTI!L$1076</f>
        <v>-31.760000000000218</v>
      </c>
      <c r="BD955" s="1"/>
    </row>
    <row r="956" spans="1:56" ht="16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435">
        <f>IF(AND(W956&gt;=$U$1,W956&lt;=$U$2),IF(X956='ESTRATTO CONTO'!$E$2,1+COUNTIF(U$4:U955,"&gt;0"),0),0)</f>
        <v>0</v>
      </c>
      <c r="V956" s="417">
        <f t="shared" si="175"/>
        <v>953</v>
      </c>
      <c r="W956" s="509"/>
      <c r="X956" s="321"/>
      <c r="Y956" s="321"/>
      <c r="Z956" s="508"/>
      <c r="AA956" s="356"/>
      <c r="AB956" s="306" t="str">
        <f t="shared" si="171"/>
        <v/>
      </c>
      <c r="AC956" s="637">
        <f t="shared" ca="1" si="181"/>
        <v>-2.1316282072803006E-13</v>
      </c>
      <c r="AD956" s="935">
        <f>IF(ISERROR(VLOOKUP(AD$2,X957:X$1003,1,FALSE)),IF(X956=AD$2,SUMIF(X$4:X956,AD$2,Z$4:Z956)+$E$9+SUM(AQ$4:AQ$1003)+SUMIF(COSTI!$X$1379:$X$1430,AD$2,COSTI!$Z$1379:$Z$1430),0),0)</f>
        <v>0</v>
      </c>
      <c r="AE956" s="26"/>
      <c r="AF956" s="856" t="e">
        <f>IF(ISERROR(VLOOKUP(AG$2,X957:X$1003,1,FALSE)),IF(X956=AG$2,SUMIF(X$4:X956,AG$2,Z$4:Z956)+VLOOKUP(AF$2,$B$1057:$F$1068,5,FALSE)+SUM(AR$4:AR$1003)+SUMIF(COSTI!$X$1379:$X$1430,AG$2,COSTI!$Z$1379:$Z$1430),0),0)</f>
        <v>#N/A</v>
      </c>
      <c r="AG956" s="859"/>
      <c r="AH956" s="27" t="str">
        <f t="shared" si="172"/>
        <v/>
      </c>
      <c r="AI956" s="152">
        <f ca="1">IF(W957&gt;0,0,IF(AH956=0,(Z956*-1)+BC956+SUM(BB$4:BB955),BC956+SUM(BB$4:BB955)))</f>
        <v>-2.1316282072803006E-13</v>
      </c>
      <c r="AJ956" s="931">
        <f>IF(AND(AL956&gt;=$U$1,AL956&lt;=$U$2),IF(AM956='ESTRATTO CONTO'!$E$2,1+COUNTIF(AJ$4:AJ955,"&gt;0")+U$1015,0),0)</f>
        <v>0</v>
      </c>
      <c r="AK956" s="203">
        <f>IF(AND(OR((AK955+1)&lt;AL$1015,(AK955+1)=AL$1015),MAX(AK$4:AK955)&lt;AL$1015),AK955+1,0)</f>
        <v>0</v>
      </c>
      <c r="AL956" s="309">
        <f>VLOOKUP($AK956,ENTI!$AF$4:AG$1003,2,FALSE)</f>
        <v>0</v>
      </c>
      <c r="AM956" s="224">
        <f>VLOOKUP($AK956,ENTI!$AF$4:AH$1003,3,FALSE)</f>
        <v>0</v>
      </c>
      <c r="AN956" s="224">
        <f>VLOOKUP($AK956,ENTI!$AF$4:AI$1003,4,FALSE)</f>
        <v>0</v>
      </c>
      <c r="AO956" s="781">
        <f>VLOOKUP($AK956,ENTI!$AF$4:AJ$1003,5,FALSE)</f>
        <v>0</v>
      </c>
      <c r="AP956" s="315">
        <f>VLOOKUP($AK956,ENTI!$AF$4:AK$1003,6,FALSE)</f>
        <v>0</v>
      </c>
      <c r="AQ956" s="208">
        <f t="shared" si="179"/>
        <v>0</v>
      </c>
      <c r="AR956" s="152" t="e">
        <f t="shared" si="180"/>
        <v>#N/A</v>
      </c>
      <c r="AS956" s="1"/>
      <c r="AT956" s="88" t="str">
        <f t="shared" si="173"/>
        <v/>
      </c>
      <c r="AU956" s="1"/>
      <c r="AV956" s="175">
        <f>IF(AW956&gt;0,COUNTIF(AV$4:AV955,"&gt;0")+1,0)</f>
        <v>0</v>
      </c>
      <c r="AW956" s="164">
        <f t="shared" si="174"/>
        <v>0</v>
      </c>
      <c r="AX956" s="310">
        <f>IF($AW956=0,0,VLOOKUP(VLOOKUP($X956,$B$34:$T$38,19,FALSE),ENTI!$A$9:$B$13,2,FALSE))</f>
        <v>0</v>
      </c>
      <c r="AY956" s="310">
        <f t="shared" si="176"/>
        <v>0</v>
      </c>
      <c r="AZ956" s="316">
        <f t="shared" si="177"/>
        <v>0</v>
      </c>
      <c r="BA956" s="1"/>
      <c r="BB956" s="152">
        <f t="shared" si="178"/>
        <v>0</v>
      </c>
      <c r="BC956" s="152">
        <f ca="1">SUM(Z$4:Z956)+SUM(BB$4:BB956)+COSTI!S$6-COSTI!L$1076</f>
        <v>-31.760000000000218</v>
      </c>
      <c r="BD956" s="1"/>
    </row>
    <row r="957" spans="1:56" ht="16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435">
        <f>IF(AND(W957&gt;=$U$1,W957&lt;=$U$2),IF(X957='ESTRATTO CONTO'!$E$2,1+COUNTIF(U$4:U956,"&gt;0"),0),0)</f>
        <v>0</v>
      </c>
      <c r="V957" s="417">
        <f t="shared" si="175"/>
        <v>954</v>
      </c>
      <c r="W957" s="509"/>
      <c r="X957" s="321"/>
      <c r="Y957" s="321"/>
      <c r="Z957" s="508"/>
      <c r="AA957" s="356"/>
      <c r="AB957" s="306" t="str">
        <f t="shared" si="171"/>
        <v/>
      </c>
      <c r="AC957" s="637">
        <f t="shared" ca="1" si="181"/>
        <v>-2.1316282072803006E-13</v>
      </c>
      <c r="AD957" s="935">
        <f>IF(ISERROR(VLOOKUP(AD$2,X958:X$1003,1,FALSE)),IF(X957=AD$2,SUMIF(X$4:X957,AD$2,Z$4:Z957)+$E$9+SUM(AQ$4:AQ$1003)+SUMIF(COSTI!$X$1379:$X$1430,AD$2,COSTI!$Z$1379:$Z$1430),0),0)</f>
        <v>0</v>
      </c>
      <c r="AE957" s="26"/>
      <c r="AF957" s="856" t="e">
        <f>IF(ISERROR(VLOOKUP(AG$2,X958:X$1003,1,FALSE)),IF(X957=AG$2,SUMIF(X$4:X957,AG$2,Z$4:Z957)+VLOOKUP(AF$2,$B$1057:$F$1068,5,FALSE)+SUM(AR$4:AR$1003)+SUMIF(COSTI!$X$1379:$X$1430,AG$2,COSTI!$Z$1379:$Z$1430),0),0)</f>
        <v>#N/A</v>
      </c>
      <c r="AG957" s="859"/>
      <c r="AH957" s="27" t="str">
        <f t="shared" si="172"/>
        <v/>
      </c>
      <c r="AI957" s="152">
        <f ca="1">IF(W958&gt;0,0,IF(AH957=0,(Z957*-1)+BC957+SUM(BB$4:BB956),BC957+SUM(BB$4:BB956)))</f>
        <v>-2.1316282072803006E-13</v>
      </c>
      <c r="AJ957" s="931">
        <f>IF(AND(AL957&gt;=$U$1,AL957&lt;=$U$2),IF(AM957='ESTRATTO CONTO'!$E$2,1+COUNTIF(AJ$4:AJ956,"&gt;0")+U$1015,0),0)</f>
        <v>0</v>
      </c>
      <c r="AK957" s="203">
        <f>IF(AND(OR((AK956+1)&lt;AL$1015,(AK956+1)=AL$1015),MAX(AK$4:AK956)&lt;AL$1015),AK956+1,0)</f>
        <v>0</v>
      </c>
      <c r="AL957" s="309">
        <f>VLOOKUP($AK957,ENTI!$AF$4:AG$1003,2,FALSE)</f>
        <v>0</v>
      </c>
      <c r="AM957" s="224">
        <f>VLOOKUP($AK957,ENTI!$AF$4:AH$1003,3,FALSE)</f>
        <v>0</v>
      </c>
      <c r="AN957" s="224">
        <f>VLOOKUP($AK957,ENTI!$AF$4:AI$1003,4,FALSE)</f>
        <v>0</v>
      </c>
      <c r="AO957" s="781">
        <f>VLOOKUP($AK957,ENTI!$AF$4:AJ$1003,5,FALSE)</f>
        <v>0</v>
      </c>
      <c r="AP957" s="315">
        <f>VLOOKUP($AK957,ENTI!$AF$4:AK$1003,6,FALSE)</f>
        <v>0</v>
      </c>
      <c r="AQ957" s="208">
        <f t="shared" si="179"/>
        <v>0</v>
      </c>
      <c r="AR957" s="152" t="e">
        <f t="shared" si="180"/>
        <v>#N/A</v>
      </c>
      <c r="AS957" s="1"/>
      <c r="AT957" s="88" t="str">
        <f t="shared" si="173"/>
        <v/>
      </c>
      <c r="AU957" s="1"/>
      <c r="AV957" s="175">
        <f>IF(AW957&gt;0,COUNTIF(AV$4:AV956,"&gt;0")+1,0)</f>
        <v>0</v>
      </c>
      <c r="AW957" s="164">
        <f t="shared" si="174"/>
        <v>0</v>
      </c>
      <c r="AX957" s="310">
        <f>IF($AW957=0,0,VLOOKUP(VLOOKUP($X957,$B$34:$T$38,19,FALSE),ENTI!$A$9:$B$13,2,FALSE))</f>
        <v>0</v>
      </c>
      <c r="AY957" s="310">
        <f t="shared" si="176"/>
        <v>0</v>
      </c>
      <c r="AZ957" s="316">
        <f t="shared" si="177"/>
        <v>0</v>
      </c>
      <c r="BA957" s="1"/>
      <c r="BB957" s="152">
        <f t="shared" si="178"/>
        <v>0</v>
      </c>
      <c r="BC957" s="152">
        <f ca="1">SUM(Z$4:Z957)+SUM(BB$4:BB957)+COSTI!S$6-COSTI!L$1076</f>
        <v>-31.760000000000218</v>
      </c>
      <c r="BD957" s="1"/>
    </row>
    <row r="958" spans="1:56" ht="16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435">
        <f>IF(AND(W958&gt;=$U$1,W958&lt;=$U$2),IF(X958='ESTRATTO CONTO'!$E$2,1+COUNTIF(U$4:U957,"&gt;0"),0),0)</f>
        <v>0</v>
      </c>
      <c r="V958" s="417">
        <f t="shared" si="175"/>
        <v>955</v>
      </c>
      <c r="W958" s="509"/>
      <c r="X958" s="321"/>
      <c r="Y958" s="321"/>
      <c r="Z958" s="508"/>
      <c r="AA958" s="356"/>
      <c r="AB958" s="306" t="str">
        <f t="shared" si="171"/>
        <v/>
      </c>
      <c r="AC958" s="637">
        <f t="shared" ca="1" si="181"/>
        <v>-2.1316282072803006E-13</v>
      </c>
      <c r="AD958" s="935">
        <f>IF(ISERROR(VLOOKUP(AD$2,X959:X$1003,1,FALSE)),IF(X958=AD$2,SUMIF(X$4:X958,AD$2,Z$4:Z958)+$E$9+SUM(AQ$4:AQ$1003)+SUMIF(COSTI!$X$1379:$X$1430,AD$2,COSTI!$Z$1379:$Z$1430),0),0)</f>
        <v>0</v>
      </c>
      <c r="AE958" s="26"/>
      <c r="AF958" s="856" t="e">
        <f>IF(ISERROR(VLOOKUP(AG$2,X959:X$1003,1,FALSE)),IF(X958=AG$2,SUMIF(X$4:X958,AG$2,Z$4:Z958)+VLOOKUP(AF$2,$B$1057:$F$1068,5,FALSE)+SUM(AR$4:AR$1003)+SUMIF(COSTI!$X$1379:$X$1430,AG$2,COSTI!$Z$1379:$Z$1430),0),0)</f>
        <v>#N/A</v>
      </c>
      <c r="AG958" s="859"/>
      <c r="AH958" s="27" t="str">
        <f t="shared" si="172"/>
        <v/>
      </c>
      <c r="AI958" s="152">
        <f ca="1">IF(W959&gt;0,0,IF(AH958=0,(Z958*-1)+BC958+SUM(BB$4:BB957),BC958+SUM(BB$4:BB957)))</f>
        <v>-2.1316282072803006E-13</v>
      </c>
      <c r="AJ958" s="931">
        <f>IF(AND(AL958&gt;=$U$1,AL958&lt;=$U$2),IF(AM958='ESTRATTO CONTO'!$E$2,1+COUNTIF(AJ$4:AJ957,"&gt;0")+U$1015,0),0)</f>
        <v>0</v>
      </c>
      <c r="AK958" s="203">
        <f>IF(AND(OR((AK957+1)&lt;AL$1015,(AK957+1)=AL$1015),MAX(AK$4:AK957)&lt;AL$1015),AK957+1,0)</f>
        <v>0</v>
      </c>
      <c r="AL958" s="309">
        <f>VLOOKUP($AK958,ENTI!$AF$4:AG$1003,2,FALSE)</f>
        <v>0</v>
      </c>
      <c r="AM958" s="224">
        <f>VLOOKUP($AK958,ENTI!$AF$4:AH$1003,3,FALSE)</f>
        <v>0</v>
      </c>
      <c r="AN958" s="224">
        <f>VLOOKUP($AK958,ENTI!$AF$4:AI$1003,4,FALSE)</f>
        <v>0</v>
      </c>
      <c r="AO958" s="781">
        <f>VLOOKUP($AK958,ENTI!$AF$4:AJ$1003,5,FALSE)</f>
        <v>0</v>
      </c>
      <c r="AP958" s="315">
        <f>VLOOKUP($AK958,ENTI!$AF$4:AK$1003,6,FALSE)</f>
        <v>0</v>
      </c>
      <c r="AQ958" s="208">
        <f t="shared" si="179"/>
        <v>0</v>
      </c>
      <c r="AR958" s="152" t="e">
        <f t="shared" si="180"/>
        <v>#N/A</v>
      </c>
      <c r="AS958" s="1"/>
      <c r="AT958" s="88" t="str">
        <f t="shared" si="173"/>
        <v/>
      </c>
      <c r="AU958" s="1"/>
      <c r="AV958" s="175">
        <f>IF(AW958&gt;0,COUNTIF(AV$4:AV957,"&gt;0")+1,0)</f>
        <v>0</v>
      </c>
      <c r="AW958" s="164">
        <f t="shared" si="174"/>
        <v>0</v>
      </c>
      <c r="AX958" s="310">
        <f>IF($AW958=0,0,VLOOKUP(VLOOKUP($X958,$B$34:$T$38,19,FALSE),ENTI!$A$9:$B$13,2,FALSE))</f>
        <v>0</v>
      </c>
      <c r="AY958" s="310">
        <f t="shared" si="176"/>
        <v>0</v>
      </c>
      <c r="AZ958" s="316">
        <f t="shared" si="177"/>
        <v>0</v>
      </c>
      <c r="BA958" s="1"/>
      <c r="BB958" s="152">
        <f t="shared" si="178"/>
        <v>0</v>
      </c>
      <c r="BC958" s="152">
        <f ca="1">SUM(Z$4:Z958)+SUM(BB$4:BB958)+COSTI!S$6-COSTI!L$1076</f>
        <v>-31.760000000000218</v>
      </c>
      <c r="BD958" s="1"/>
    </row>
    <row r="959" spans="1:56" ht="16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435">
        <f>IF(AND(W959&gt;=$U$1,W959&lt;=$U$2),IF(X959='ESTRATTO CONTO'!$E$2,1+COUNTIF(U$4:U958,"&gt;0"),0),0)</f>
        <v>0</v>
      </c>
      <c r="V959" s="417">
        <f t="shared" si="175"/>
        <v>956</v>
      </c>
      <c r="W959" s="509"/>
      <c r="X959" s="321"/>
      <c r="Y959" s="321"/>
      <c r="Z959" s="508"/>
      <c r="AA959" s="356"/>
      <c r="AB959" s="306" t="str">
        <f t="shared" si="171"/>
        <v/>
      </c>
      <c r="AC959" s="637">
        <f t="shared" ca="1" si="181"/>
        <v>-2.1316282072803006E-13</v>
      </c>
      <c r="AD959" s="935">
        <f>IF(ISERROR(VLOOKUP(AD$2,X960:X$1003,1,FALSE)),IF(X959=AD$2,SUMIF(X$4:X959,AD$2,Z$4:Z959)+$E$9+SUM(AQ$4:AQ$1003)+SUMIF(COSTI!$X$1379:$X$1430,AD$2,COSTI!$Z$1379:$Z$1430),0),0)</f>
        <v>0</v>
      </c>
      <c r="AE959" s="26"/>
      <c r="AF959" s="856" t="e">
        <f>IF(ISERROR(VLOOKUP(AG$2,X960:X$1003,1,FALSE)),IF(X959=AG$2,SUMIF(X$4:X959,AG$2,Z$4:Z959)+VLOOKUP(AF$2,$B$1057:$F$1068,5,FALSE)+SUM(AR$4:AR$1003)+SUMIF(COSTI!$X$1379:$X$1430,AG$2,COSTI!$Z$1379:$Z$1430),0),0)</f>
        <v>#N/A</v>
      </c>
      <c r="AG959" s="859"/>
      <c r="AH959" s="27" t="str">
        <f t="shared" si="172"/>
        <v/>
      </c>
      <c r="AI959" s="152">
        <f ca="1">IF(W960&gt;0,0,IF(AH959=0,(Z959*-1)+BC959+SUM(BB$4:BB958),BC959+SUM(BB$4:BB958)))</f>
        <v>-2.1316282072803006E-13</v>
      </c>
      <c r="AJ959" s="931">
        <f>IF(AND(AL959&gt;=$U$1,AL959&lt;=$U$2),IF(AM959='ESTRATTO CONTO'!$E$2,1+COUNTIF(AJ$4:AJ958,"&gt;0")+U$1015,0),0)</f>
        <v>0</v>
      </c>
      <c r="AK959" s="203">
        <f>IF(AND(OR((AK958+1)&lt;AL$1015,(AK958+1)=AL$1015),MAX(AK$4:AK958)&lt;AL$1015),AK958+1,0)</f>
        <v>0</v>
      </c>
      <c r="AL959" s="309">
        <f>VLOOKUP($AK959,ENTI!$AF$4:AG$1003,2,FALSE)</f>
        <v>0</v>
      </c>
      <c r="AM959" s="224">
        <f>VLOOKUP($AK959,ENTI!$AF$4:AH$1003,3,FALSE)</f>
        <v>0</v>
      </c>
      <c r="AN959" s="224">
        <f>VLOOKUP($AK959,ENTI!$AF$4:AI$1003,4,FALSE)</f>
        <v>0</v>
      </c>
      <c r="AO959" s="781">
        <f>VLOOKUP($AK959,ENTI!$AF$4:AJ$1003,5,FALSE)</f>
        <v>0</v>
      </c>
      <c r="AP959" s="315">
        <f>VLOOKUP($AK959,ENTI!$AF$4:AK$1003,6,FALSE)</f>
        <v>0</v>
      </c>
      <c r="AQ959" s="208">
        <f t="shared" si="179"/>
        <v>0</v>
      </c>
      <c r="AR959" s="152" t="e">
        <f t="shared" si="180"/>
        <v>#N/A</v>
      </c>
      <c r="AS959" s="1"/>
      <c r="AT959" s="88" t="str">
        <f t="shared" si="173"/>
        <v/>
      </c>
      <c r="AU959" s="1"/>
      <c r="AV959" s="175">
        <f>IF(AW959&gt;0,COUNTIF(AV$4:AV958,"&gt;0")+1,0)</f>
        <v>0</v>
      </c>
      <c r="AW959" s="164">
        <f t="shared" si="174"/>
        <v>0</v>
      </c>
      <c r="AX959" s="310">
        <f>IF($AW959=0,0,VLOOKUP(VLOOKUP($X959,$B$34:$T$38,19,FALSE),ENTI!$A$9:$B$13,2,FALSE))</f>
        <v>0</v>
      </c>
      <c r="AY959" s="310">
        <f t="shared" si="176"/>
        <v>0</v>
      </c>
      <c r="AZ959" s="316">
        <f t="shared" si="177"/>
        <v>0</v>
      </c>
      <c r="BA959" s="1"/>
      <c r="BB959" s="152">
        <f t="shared" si="178"/>
        <v>0</v>
      </c>
      <c r="BC959" s="152">
        <f ca="1">SUM(Z$4:Z959)+SUM(BB$4:BB959)+COSTI!S$6-COSTI!L$1076</f>
        <v>-31.760000000000218</v>
      </c>
      <c r="BD959" s="1"/>
    </row>
    <row r="960" spans="1:56" ht="16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435">
        <f>IF(AND(W960&gt;=$U$1,W960&lt;=$U$2),IF(X960='ESTRATTO CONTO'!$E$2,1+COUNTIF(U$4:U959,"&gt;0"),0),0)</f>
        <v>0</v>
      </c>
      <c r="V960" s="417">
        <f t="shared" si="175"/>
        <v>957</v>
      </c>
      <c r="W960" s="509"/>
      <c r="X960" s="321"/>
      <c r="Y960" s="321"/>
      <c r="Z960" s="508"/>
      <c r="AA960" s="356"/>
      <c r="AB960" s="306" t="str">
        <f t="shared" si="171"/>
        <v/>
      </c>
      <c r="AC960" s="637">
        <f t="shared" ca="1" si="181"/>
        <v>-2.1316282072803006E-13</v>
      </c>
      <c r="AD960" s="935">
        <f>IF(ISERROR(VLOOKUP(AD$2,X961:X$1003,1,FALSE)),IF(X960=AD$2,SUMIF(X$4:X960,AD$2,Z$4:Z960)+$E$9+SUM(AQ$4:AQ$1003)+SUMIF(COSTI!$X$1379:$X$1430,AD$2,COSTI!$Z$1379:$Z$1430),0),0)</f>
        <v>0</v>
      </c>
      <c r="AE960" s="26"/>
      <c r="AF960" s="856" t="e">
        <f>IF(ISERROR(VLOOKUP(AG$2,X961:X$1003,1,FALSE)),IF(X960=AG$2,SUMIF(X$4:X960,AG$2,Z$4:Z960)+VLOOKUP(AF$2,$B$1057:$F$1068,5,FALSE)+SUM(AR$4:AR$1003)+SUMIF(COSTI!$X$1379:$X$1430,AG$2,COSTI!$Z$1379:$Z$1430),0),0)</f>
        <v>#N/A</v>
      </c>
      <c r="AG960" s="859"/>
      <c r="AH960" s="27" t="str">
        <f t="shared" si="172"/>
        <v/>
      </c>
      <c r="AI960" s="152">
        <f ca="1">IF(W961&gt;0,0,IF(AH960=0,(Z960*-1)+BC960+SUM(BB$4:BB959),BC960+SUM(BB$4:BB959)))</f>
        <v>-2.1316282072803006E-13</v>
      </c>
      <c r="AJ960" s="931">
        <f>IF(AND(AL960&gt;=$U$1,AL960&lt;=$U$2),IF(AM960='ESTRATTO CONTO'!$E$2,1+COUNTIF(AJ$4:AJ959,"&gt;0")+U$1015,0),0)</f>
        <v>0</v>
      </c>
      <c r="AK960" s="203">
        <f>IF(AND(OR((AK959+1)&lt;AL$1015,(AK959+1)=AL$1015),MAX(AK$4:AK959)&lt;AL$1015),AK959+1,0)</f>
        <v>0</v>
      </c>
      <c r="AL960" s="309">
        <f>VLOOKUP($AK960,ENTI!$AF$4:AG$1003,2,FALSE)</f>
        <v>0</v>
      </c>
      <c r="AM960" s="224">
        <f>VLOOKUP($AK960,ENTI!$AF$4:AH$1003,3,FALSE)</f>
        <v>0</v>
      </c>
      <c r="AN960" s="224">
        <f>VLOOKUP($AK960,ENTI!$AF$4:AI$1003,4,FALSE)</f>
        <v>0</v>
      </c>
      <c r="AO960" s="781">
        <f>VLOOKUP($AK960,ENTI!$AF$4:AJ$1003,5,FALSE)</f>
        <v>0</v>
      </c>
      <c r="AP960" s="315">
        <f>VLOOKUP($AK960,ENTI!$AF$4:AK$1003,6,FALSE)</f>
        <v>0</v>
      </c>
      <c r="AQ960" s="208">
        <f t="shared" si="179"/>
        <v>0</v>
      </c>
      <c r="AR960" s="152" t="e">
        <f t="shared" si="180"/>
        <v>#N/A</v>
      </c>
      <c r="AS960" s="1"/>
      <c r="AT960" s="88" t="str">
        <f t="shared" si="173"/>
        <v/>
      </c>
      <c r="AU960" s="1"/>
      <c r="AV960" s="175">
        <f>IF(AW960&gt;0,COUNTIF(AV$4:AV959,"&gt;0")+1,0)</f>
        <v>0</v>
      </c>
      <c r="AW960" s="164">
        <f t="shared" si="174"/>
        <v>0</v>
      </c>
      <c r="AX960" s="310">
        <f>IF($AW960=0,0,VLOOKUP(VLOOKUP($X960,$B$34:$T$38,19,FALSE),ENTI!$A$9:$B$13,2,FALSE))</f>
        <v>0</v>
      </c>
      <c r="AY960" s="310">
        <f t="shared" si="176"/>
        <v>0</v>
      </c>
      <c r="AZ960" s="316">
        <f t="shared" si="177"/>
        <v>0</v>
      </c>
      <c r="BA960" s="1"/>
      <c r="BB960" s="152">
        <f t="shared" si="178"/>
        <v>0</v>
      </c>
      <c r="BC960" s="152">
        <f ca="1">SUM(Z$4:Z960)+SUM(BB$4:BB960)+COSTI!S$6-COSTI!L$1076</f>
        <v>-31.760000000000218</v>
      </c>
      <c r="BD960" s="1"/>
    </row>
    <row r="961" spans="1:56" ht="16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435">
        <f>IF(AND(W961&gt;=$U$1,W961&lt;=$U$2),IF(X961='ESTRATTO CONTO'!$E$2,1+COUNTIF(U$4:U960,"&gt;0"),0),0)</f>
        <v>0</v>
      </c>
      <c r="V961" s="417">
        <f t="shared" si="175"/>
        <v>958</v>
      </c>
      <c r="W961" s="509"/>
      <c r="X961" s="321"/>
      <c r="Y961" s="321"/>
      <c r="Z961" s="508"/>
      <c r="AA961" s="356"/>
      <c r="AB961" s="306" t="str">
        <f t="shared" si="171"/>
        <v/>
      </c>
      <c r="AC961" s="637">
        <f t="shared" ca="1" si="181"/>
        <v>-2.1316282072803006E-13</v>
      </c>
      <c r="AD961" s="935">
        <f>IF(ISERROR(VLOOKUP(AD$2,X962:X$1003,1,FALSE)),IF(X961=AD$2,SUMIF(X$4:X961,AD$2,Z$4:Z961)+$E$9+SUM(AQ$4:AQ$1003)+SUMIF(COSTI!$X$1379:$X$1430,AD$2,COSTI!$Z$1379:$Z$1430),0),0)</f>
        <v>0</v>
      </c>
      <c r="AE961" s="26"/>
      <c r="AF961" s="856" t="e">
        <f>IF(ISERROR(VLOOKUP(AG$2,X962:X$1003,1,FALSE)),IF(X961=AG$2,SUMIF(X$4:X961,AG$2,Z$4:Z961)+VLOOKUP(AF$2,$B$1057:$F$1068,5,FALSE)+SUM(AR$4:AR$1003)+SUMIF(COSTI!$X$1379:$X$1430,AG$2,COSTI!$Z$1379:$Z$1430),0),0)</f>
        <v>#N/A</v>
      </c>
      <c r="AG961" s="859"/>
      <c r="AH961" s="27" t="str">
        <f t="shared" si="172"/>
        <v/>
      </c>
      <c r="AI961" s="152">
        <f ca="1">IF(W962&gt;0,0,IF(AH961=0,(Z961*-1)+BC961+SUM(BB$4:BB960),BC961+SUM(BB$4:BB960)))</f>
        <v>-2.1316282072803006E-13</v>
      </c>
      <c r="AJ961" s="931">
        <f>IF(AND(AL961&gt;=$U$1,AL961&lt;=$U$2),IF(AM961='ESTRATTO CONTO'!$E$2,1+COUNTIF(AJ$4:AJ960,"&gt;0")+U$1015,0),0)</f>
        <v>0</v>
      </c>
      <c r="AK961" s="203">
        <f>IF(AND(OR((AK960+1)&lt;AL$1015,(AK960+1)=AL$1015),MAX(AK$4:AK960)&lt;AL$1015),AK960+1,0)</f>
        <v>0</v>
      </c>
      <c r="AL961" s="309">
        <f>VLOOKUP($AK961,ENTI!$AF$4:AG$1003,2,FALSE)</f>
        <v>0</v>
      </c>
      <c r="AM961" s="224">
        <f>VLOOKUP($AK961,ENTI!$AF$4:AH$1003,3,FALSE)</f>
        <v>0</v>
      </c>
      <c r="AN961" s="224">
        <f>VLOOKUP($AK961,ENTI!$AF$4:AI$1003,4,FALSE)</f>
        <v>0</v>
      </c>
      <c r="AO961" s="781">
        <f>VLOOKUP($AK961,ENTI!$AF$4:AJ$1003,5,FALSE)</f>
        <v>0</v>
      </c>
      <c r="AP961" s="315">
        <f>VLOOKUP($AK961,ENTI!$AF$4:AK$1003,6,FALSE)</f>
        <v>0</v>
      </c>
      <c r="AQ961" s="208">
        <f t="shared" si="179"/>
        <v>0</v>
      </c>
      <c r="AR961" s="152" t="e">
        <f t="shared" si="180"/>
        <v>#N/A</v>
      </c>
      <c r="AS961" s="1"/>
      <c r="AT961" s="88" t="str">
        <f t="shared" si="173"/>
        <v/>
      </c>
      <c r="AU961" s="1"/>
      <c r="AV961" s="175">
        <f>IF(AW961&gt;0,COUNTIF(AV$4:AV960,"&gt;0")+1,0)</f>
        <v>0</v>
      </c>
      <c r="AW961" s="164">
        <f t="shared" si="174"/>
        <v>0</v>
      </c>
      <c r="AX961" s="310">
        <f>IF($AW961=0,0,VLOOKUP(VLOOKUP($X961,$B$34:$T$38,19,FALSE),ENTI!$A$9:$B$13,2,FALSE))</f>
        <v>0</v>
      </c>
      <c r="AY961" s="310">
        <f t="shared" si="176"/>
        <v>0</v>
      </c>
      <c r="AZ961" s="316">
        <f t="shared" si="177"/>
        <v>0</v>
      </c>
      <c r="BA961" s="1"/>
      <c r="BB961" s="152">
        <f t="shared" si="178"/>
        <v>0</v>
      </c>
      <c r="BC961" s="152">
        <f ca="1">SUM(Z$4:Z961)+SUM(BB$4:BB961)+COSTI!S$6-COSTI!L$1076</f>
        <v>-31.760000000000218</v>
      </c>
      <c r="BD961" s="1"/>
    </row>
    <row r="962" spans="1:56" ht="16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435">
        <f>IF(AND(W962&gt;=$U$1,W962&lt;=$U$2),IF(X962='ESTRATTO CONTO'!$E$2,1+COUNTIF(U$4:U961,"&gt;0"),0),0)</f>
        <v>0</v>
      </c>
      <c r="V962" s="417">
        <f t="shared" si="175"/>
        <v>959</v>
      </c>
      <c r="W962" s="509"/>
      <c r="X962" s="321"/>
      <c r="Y962" s="321"/>
      <c r="Z962" s="508"/>
      <c r="AA962" s="356"/>
      <c r="AB962" s="306" t="str">
        <f t="shared" si="171"/>
        <v/>
      </c>
      <c r="AC962" s="637">
        <f t="shared" ca="1" si="181"/>
        <v>-2.1316282072803006E-13</v>
      </c>
      <c r="AD962" s="935">
        <f>IF(ISERROR(VLOOKUP(AD$2,X963:X$1003,1,FALSE)),IF(X962=AD$2,SUMIF(X$4:X962,AD$2,Z$4:Z962)+$E$9+SUM(AQ$4:AQ$1003)+SUMIF(COSTI!$X$1379:$X$1430,AD$2,COSTI!$Z$1379:$Z$1430),0),0)</f>
        <v>0</v>
      </c>
      <c r="AE962" s="26"/>
      <c r="AF962" s="856" t="e">
        <f>IF(ISERROR(VLOOKUP(AG$2,X963:X$1003,1,FALSE)),IF(X962=AG$2,SUMIF(X$4:X962,AG$2,Z$4:Z962)+VLOOKUP(AF$2,$B$1057:$F$1068,5,FALSE)+SUM(AR$4:AR$1003)+SUMIF(COSTI!$X$1379:$X$1430,AG$2,COSTI!$Z$1379:$Z$1430),0),0)</f>
        <v>#N/A</v>
      </c>
      <c r="AG962" s="859"/>
      <c r="AH962" s="27" t="str">
        <f t="shared" si="172"/>
        <v/>
      </c>
      <c r="AI962" s="152">
        <f ca="1">IF(W963&gt;0,0,IF(AH962=0,(Z962*-1)+BC962+SUM(BB$4:BB961),BC962+SUM(BB$4:BB961)))</f>
        <v>-2.1316282072803006E-13</v>
      </c>
      <c r="AJ962" s="931">
        <f>IF(AND(AL962&gt;=$U$1,AL962&lt;=$U$2),IF(AM962='ESTRATTO CONTO'!$E$2,1+COUNTIF(AJ$4:AJ961,"&gt;0")+U$1015,0),0)</f>
        <v>0</v>
      </c>
      <c r="AK962" s="203">
        <f>IF(AND(OR((AK961+1)&lt;AL$1015,(AK961+1)=AL$1015),MAX(AK$4:AK961)&lt;AL$1015),AK961+1,0)</f>
        <v>0</v>
      </c>
      <c r="AL962" s="309">
        <f>VLOOKUP($AK962,ENTI!$AF$4:AG$1003,2,FALSE)</f>
        <v>0</v>
      </c>
      <c r="AM962" s="224">
        <f>VLOOKUP($AK962,ENTI!$AF$4:AH$1003,3,FALSE)</f>
        <v>0</v>
      </c>
      <c r="AN962" s="224">
        <f>VLOOKUP($AK962,ENTI!$AF$4:AI$1003,4,FALSE)</f>
        <v>0</v>
      </c>
      <c r="AO962" s="781">
        <f>VLOOKUP($AK962,ENTI!$AF$4:AJ$1003,5,FALSE)</f>
        <v>0</v>
      </c>
      <c r="AP962" s="315">
        <f>VLOOKUP($AK962,ENTI!$AF$4:AK$1003,6,FALSE)</f>
        <v>0</v>
      </c>
      <c r="AQ962" s="208">
        <f t="shared" si="179"/>
        <v>0</v>
      </c>
      <c r="AR962" s="152" t="e">
        <f t="shared" si="180"/>
        <v>#N/A</v>
      </c>
      <c r="AS962" s="1"/>
      <c r="AT962" s="88" t="str">
        <f t="shared" si="173"/>
        <v/>
      </c>
      <c r="AU962" s="1"/>
      <c r="AV962" s="175">
        <f>IF(AW962&gt;0,COUNTIF(AV$4:AV961,"&gt;0")+1,0)</f>
        <v>0</v>
      </c>
      <c r="AW962" s="164">
        <f t="shared" si="174"/>
        <v>0</v>
      </c>
      <c r="AX962" s="310">
        <f>IF($AW962=0,0,VLOOKUP(VLOOKUP($X962,$B$34:$T$38,19,FALSE),ENTI!$A$9:$B$13,2,FALSE))</f>
        <v>0</v>
      </c>
      <c r="AY962" s="310">
        <f t="shared" si="176"/>
        <v>0</v>
      </c>
      <c r="AZ962" s="316">
        <f t="shared" si="177"/>
        <v>0</v>
      </c>
      <c r="BA962" s="1"/>
      <c r="BB962" s="152">
        <f t="shared" si="178"/>
        <v>0</v>
      </c>
      <c r="BC962" s="152">
        <f ca="1">SUM(Z$4:Z962)+SUM(BB$4:BB962)+COSTI!S$6-COSTI!L$1076</f>
        <v>-31.760000000000218</v>
      </c>
      <c r="BD962" s="1"/>
    </row>
    <row r="963" spans="1:56" ht="16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435">
        <f>IF(AND(W963&gt;=$U$1,W963&lt;=$U$2),IF(X963='ESTRATTO CONTO'!$E$2,1+COUNTIF(U$4:U962,"&gt;0"),0),0)</f>
        <v>0</v>
      </c>
      <c r="V963" s="417">
        <f t="shared" si="175"/>
        <v>960</v>
      </c>
      <c r="W963" s="509"/>
      <c r="X963" s="321"/>
      <c r="Y963" s="321"/>
      <c r="Z963" s="508"/>
      <c r="AA963" s="356"/>
      <c r="AB963" s="306" t="str">
        <f t="shared" si="171"/>
        <v/>
      </c>
      <c r="AC963" s="637">
        <f t="shared" ca="1" si="181"/>
        <v>-2.1316282072803006E-13</v>
      </c>
      <c r="AD963" s="935">
        <f>IF(ISERROR(VLOOKUP(AD$2,X964:X$1003,1,FALSE)),IF(X963=AD$2,SUMIF(X$4:X963,AD$2,Z$4:Z963)+$E$9+SUM(AQ$4:AQ$1003)+SUMIF(COSTI!$X$1379:$X$1430,AD$2,COSTI!$Z$1379:$Z$1430),0),0)</f>
        <v>0</v>
      </c>
      <c r="AE963" s="26"/>
      <c r="AF963" s="856" t="e">
        <f>IF(ISERROR(VLOOKUP(AG$2,X964:X$1003,1,FALSE)),IF(X963=AG$2,SUMIF(X$4:X963,AG$2,Z$4:Z963)+VLOOKUP(AF$2,$B$1057:$F$1068,5,FALSE)+SUM(AR$4:AR$1003)+SUMIF(COSTI!$X$1379:$X$1430,AG$2,COSTI!$Z$1379:$Z$1430),0),0)</f>
        <v>#N/A</v>
      </c>
      <c r="AG963" s="859"/>
      <c r="AH963" s="27" t="str">
        <f t="shared" si="172"/>
        <v/>
      </c>
      <c r="AI963" s="152">
        <f ca="1">IF(W964&gt;0,0,IF(AH963=0,(Z963*-1)+BC963+SUM(BB$4:BB962),BC963+SUM(BB$4:BB962)))</f>
        <v>-2.1316282072803006E-13</v>
      </c>
      <c r="AJ963" s="931">
        <f>IF(AND(AL963&gt;=$U$1,AL963&lt;=$U$2),IF(AM963='ESTRATTO CONTO'!$E$2,1+COUNTIF(AJ$4:AJ962,"&gt;0")+U$1015,0),0)</f>
        <v>0</v>
      </c>
      <c r="AK963" s="203">
        <f>IF(AND(OR((AK962+1)&lt;AL$1015,(AK962+1)=AL$1015),MAX(AK$4:AK962)&lt;AL$1015),AK962+1,0)</f>
        <v>0</v>
      </c>
      <c r="AL963" s="309">
        <f>VLOOKUP($AK963,ENTI!$AF$4:AG$1003,2,FALSE)</f>
        <v>0</v>
      </c>
      <c r="AM963" s="224">
        <f>VLOOKUP($AK963,ENTI!$AF$4:AH$1003,3,FALSE)</f>
        <v>0</v>
      </c>
      <c r="AN963" s="224">
        <f>VLOOKUP($AK963,ENTI!$AF$4:AI$1003,4,FALSE)</f>
        <v>0</v>
      </c>
      <c r="AO963" s="781">
        <f>VLOOKUP($AK963,ENTI!$AF$4:AJ$1003,5,FALSE)</f>
        <v>0</v>
      </c>
      <c r="AP963" s="315">
        <f>VLOOKUP($AK963,ENTI!$AF$4:AK$1003,6,FALSE)</f>
        <v>0</v>
      </c>
      <c r="AQ963" s="208">
        <f t="shared" si="179"/>
        <v>0</v>
      </c>
      <c r="AR963" s="152" t="e">
        <f t="shared" si="180"/>
        <v>#N/A</v>
      </c>
      <c r="AS963" s="1"/>
      <c r="AT963" s="88" t="str">
        <f t="shared" si="173"/>
        <v/>
      </c>
      <c r="AU963" s="1"/>
      <c r="AV963" s="175">
        <f>IF(AW963&gt;0,COUNTIF(AV$4:AV962,"&gt;0")+1,0)</f>
        <v>0</v>
      </c>
      <c r="AW963" s="164">
        <f t="shared" si="174"/>
        <v>0</v>
      </c>
      <c r="AX963" s="310">
        <f>IF($AW963=0,0,VLOOKUP(VLOOKUP($X963,$B$34:$T$38,19,FALSE),ENTI!$A$9:$B$13,2,FALSE))</f>
        <v>0</v>
      </c>
      <c r="AY963" s="310">
        <f t="shared" si="176"/>
        <v>0</v>
      </c>
      <c r="AZ963" s="316">
        <f t="shared" si="177"/>
        <v>0</v>
      </c>
      <c r="BA963" s="1"/>
      <c r="BB963" s="152">
        <f t="shared" si="178"/>
        <v>0</v>
      </c>
      <c r="BC963" s="152">
        <f ca="1">SUM(Z$4:Z963)+SUM(BB$4:BB963)+COSTI!S$6-COSTI!L$1076</f>
        <v>-31.760000000000218</v>
      </c>
      <c r="BD963" s="1"/>
    </row>
    <row r="964" spans="1:56" ht="16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435">
        <f>IF(AND(W964&gt;=$U$1,W964&lt;=$U$2),IF(X964='ESTRATTO CONTO'!$E$2,1+COUNTIF(U$4:U963,"&gt;0"),0),0)</f>
        <v>0</v>
      </c>
      <c r="V964" s="417">
        <f t="shared" si="175"/>
        <v>961</v>
      </c>
      <c r="W964" s="509"/>
      <c r="X964" s="321"/>
      <c r="Y964" s="321"/>
      <c r="Z964" s="508"/>
      <c r="AA964" s="356"/>
      <c r="AB964" s="306" t="str">
        <f t="shared" ref="AB964:AB1003" si="182">IF(W964&gt;0,IF(AND(W964&gt;=W$1012,W964&lt;=W$1013),CONCATENATE(MONTH(W964)&amp;X964),0),"")</f>
        <v/>
      </c>
      <c r="AC964" s="637">
        <f t="shared" ca="1" si="181"/>
        <v>-2.1316282072803006E-13</v>
      </c>
      <c r="AD964" s="935">
        <f>IF(ISERROR(VLOOKUP(AD$2,X965:X$1003,1,FALSE)),IF(X964=AD$2,SUMIF(X$4:X964,AD$2,Z$4:Z964)+$E$9+SUM(AQ$4:AQ$1003)+SUMIF(COSTI!$X$1379:$X$1430,AD$2,COSTI!$Z$1379:$Z$1430),0),0)</f>
        <v>0</v>
      </c>
      <c r="AE964" s="26"/>
      <c r="AF964" s="856" t="e">
        <f>IF(ISERROR(VLOOKUP(AG$2,X965:X$1003,1,FALSE)),IF(X964=AG$2,SUMIF(X$4:X964,AG$2,Z$4:Z964)+VLOOKUP(AF$2,$B$1057:$F$1068,5,FALSE)+SUM(AR$4:AR$1003)+SUMIF(COSTI!$X$1379:$X$1430,AG$2,COSTI!$Z$1379:$Z$1430),0),0)</f>
        <v>#N/A</v>
      </c>
      <c r="AG964" s="859"/>
      <c r="AH964" s="27" t="str">
        <f t="shared" ref="AH964:AH1002" si="183">IF(ISBLANK(X964),"",IF(ISERROR(VLOOKUP(X964,B$34:B$38,1,FALSE)),1,0))</f>
        <v/>
      </c>
      <c r="AI964" s="152">
        <f ca="1">IF(W965&gt;0,0,IF(AH964=0,(Z964*-1)+BC964+SUM(BB$4:BB963),BC964+SUM(BB$4:BB963)))</f>
        <v>-2.1316282072803006E-13</v>
      </c>
      <c r="AJ964" s="931">
        <f>IF(AND(AL964&gt;=$U$1,AL964&lt;=$U$2),IF(AM964='ESTRATTO CONTO'!$E$2,1+COUNTIF(AJ$4:AJ963,"&gt;0")+U$1015,0),0)</f>
        <v>0</v>
      </c>
      <c r="AK964" s="203">
        <f>IF(AND(OR((AK963+1)&lt;AL$1015,(AK963+1)=AL$1015),MAX(AK$4:AK963)&lt;AL$1015),AK963+1,0)</f>
        <v>0</v>
      </c>
      <c r="AL964" s="309">
        <f>VLOOKUP($AK964,ENTI!$AF$4:AG$1003,2,FALSE)</f>
        <v>0</v>
      </c>
      <c r="AM964" s="224">
        <f>VLOOKUP($AK964,ENTI!$AF$4:AH$1003,3,FALSE)</f>
        <v>0</v>
      </c>
      <c r="AN964" s="224">
        <f>VLOOKUP($AK964,ENTI!$AF$4:AI$1003,4,FALSE)</f>
        <v>0</v>
      </c>
      <c r="AO964" s="781">
        <f>VLOOKUP($AK964,ENTI!$AF$4:AJ$1003,5,FALSE)</f>
        <v>0</v>
      </c>
      <c r="AP964" s="315">
        <f>VLOOKUP($AK964,ENTI!$AF$4:AK$1003,6,FALSE)</f>
        <v>0</v>
      </c>
      <c r="AQ964" s="208">
        <f t="shared" si="179"/>
        <v>0</v>
      </c>
      <c r="AR964" s="152" t="e">
        <f t="shared" si="180"/>
        <v>#N/A</v>
      </c>
      <c r="AS964" s="1"/>
      <c r="AT964" s="88" t="str">
        <f t="shared" ref="AT964:AT1003" si="184">IF(AL964&gt;0,IF(AND(AL964&gt;=W$1012,AL964&lt;=W$1013),CONCATENATE(MONTH(AL964)&amp;AM964),0),"")</f>
        <v/>
      </c>
      <c r="AU964" s="1"/>
      <c r="AV964" s="175">
        <f>IF(AW964&gt;0,COUNTIF(AV$4:AV963,"&gt;0")+1,0)</f>
        <v>0</v>
      </c>
      <c r="AW964" s="164">
        <f t="shared" ref="AW964:AW1002" si="185">IF(ISERROR(VLOOKUP($X964,$B$34:$B$38,1,FALSE)),0,W964)</f>
        <v>0</v>
      </c>
      <c r="AX964" s="310">
        <f>IF($AW964=0,0,VLOOKUP(VLOOKUP($X964,$B$34:$T$38,19,FALSE),ENTI!$A$9:$B$13,2,FALSE))</f>
        <v>0</v>
      </c>
      <c r="AY964" s="310">
        <f t="shared" si="176"/>
        <v>0</v>
      </c>
      <c r="AZ964" s="316">
        <f t="shared" si="177"/>
        <v>0</v>
      </c>
      <c r="BA964" s="1"/>
      <c r="BB964" s="152">
        <f t="shared" si="178"/>
        <v>0</v>
      </c>
      <c r="BC964" s="152">
        <f ca="1">SUM(Z$4:Z964)+SUM(BB$4:BB964)+COSTI!S$6-COSTI!L$1076</f>
        <v>-31.760000000000218</v>
      </c>
      <c r="BD964" s="1"/>
    </row>
    <row r="965" spans="1:56" ht="16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435">
        <f>IF(AND(W965&gt;=$U$1,W965&lt;=$U$2),IF(X965='ESTRATTO CONTO'!$E$2,1+COUNTIF(U$4:U964,"&gt;0"),0),0)</f>
        <v>0</v>
      </c>
      <c r="V965" s="417">
        <f t="shared" si="175"/>
        <v>962</v>
      </c>
      <c r="W965" s="509"/>
      <c r="X965" s="321"/>
      <c r="Y965" s="321"/>
      <c r="Z965" s="508"/>
      <c r="AA965" s="356"/>
      <c r="AB965" s="306" t="str">
        <f t="shared" si="182"/>
        <v/>
      </c>
      <c r="AC965" s="637">
        <f t="shared" ca="1" si="181"/>
        <v>-2.1316282072803006E-13</v>
      </c>
      <c r="AD965" s="935">
        <f>IF(ISERROR(VLOOKUP(AD$2,X966:X$1003,1,FALSE)),IF(X965=AD$2,SUMIF(X$4:X965,AD$2,Z$4:Z965)+$E$9+SUM(AQ$4:AQ$1003)+SUMIF(COSTI!$X$1379:$X$1430,AD$2,COSTI!$Z$1379:$Z$1430),0),0)</f>
        <v>0</v>
      </c>
      <c r="AE965" s="26"/>
      <c r="AF965" s="856" t="e">
        <f>IF(ISERROR(VLOOKUP(AG$2,X966:X$1003,1,FALSE)),IF(X965=AG$2,SUMIF(X$4:X965,AG$2,Z$4:Z965)+VLOOKUP(AF$2,$B$1057:$F$1068,5,FALSE)+SUM(AR$4:AR$1003)+SUMIF(COSTI!$X$1379:$X$1430,AG$2,COSTI!$Z$1379:$Z$1430),0),0)</f>
        <v>#N/A</v>
      </c>
      <c r="AG965" s="859"/>
      <c r="AH965" s="27" t="str">
        <f t="shared" si="183"/>
        <v/>
      </c>
      <c r="AI965" s="152">
        <f ca="1">IF(W966&gt;0,0,IF(AH965=0,(Z965*-1)+BC965+SUM(BB$4:BB964),BC965+SUM(BB$4:BB964)))</f>
        <v>-2.1316282072803006E-13</v>
      </c>
      <c r="AJ965" s="931">
        <f>IF(AND(AL965&gt;=$U$1,AL965&lt;=$U$2),IF(AM965='ESTRATTO CONTO'!$E$2,1+COUNTIF(AJ$4:AJ964,"&gt;0")+U$1015,0),0)</f>
        <v>0</v>
      </c>
      <c r="AK965" s="203">
        <f>IF(AND(OR((AK964+1)&lt;AL$1015,(AK964+1)=AL$1015),MAX(AK$4:AK964)&lt;AL$1015),AK964+1,0)</f>
        <v>0</v>
      </c>
      <c r="AL965" s="309">
        <f>VLOOKUP($AK965,ENTI!$AF$4:AG$1003,2,FALSE)</f>
        <v>0</v>
      </c>
      <c r="AM965" s="224">
        <f>VLOOKUP($AK965,ENTI!$AF$4:AH$1003,3,FALSE)</f>
        <v>0</v>
      </c>
      <c r="AN965" s="224">
        <f>VLOOKUP($AK965,ENTI!$AF$4:AI$1003,4,FALSE)</f>
        <v>0</v>
      </c>
      <c r="AO965" s="781">
        <f>VLOOKUP($AK965,ENTI!$AF$4:AJ$1003,5,FALSE)</f>
        <v>0</v>
      </c>
      <c r="AP965" s="315">
        <f>VLOOKUP($AK965,ENTI!$AF$4:AK$1003,6,FALSE)</f>
        <v>0</v>
      </c>
      <c r="AQ965" s="208">
        <f t="shared" si="179"/>
        <v>0</v>
      </c>
      <c r="AR965" s="152" t="e">
        <f t="shared" si="180"/>
        <v>#N/A</v>
      </c>
      <c r="AS965" s="1"/>
      <c r="AT965" s="88" t="str">
        <f t="shared" si="184"/>
        <v/>
      </c>
      <c r="AU965" s="1"/>
      <c r="AV965" s="175">
        <f>IF(AW965&gt;0,COUNTIF(AV$4:AV964,"&gt;0")+1,0)</f>
        <v>0</v>
      </c>
      <c r="AW965" s="164">
        <f t="shared" si="185"/>
        <v>0</v>
      </c>
      <c r="AX965" s="310">
        <f>IF($AW965=0,0,VLOOKUP(VLOOKUP($X965,$B$34:$T$38,19,FALSE),ENTI!$A$9:$B$13,2,FALSE))</f>
        <v>0</v>
      </c>
      <c r="AY965" s="310">
        <f t="shared" si="176"/>
        <v>0</v>
      </c>
      <c r="AZ965" s="316">
        <f t="shared" si="177"/>
        <v>0</v>
      </c>
      <c r="BA965" s="1"/>
      <c r="BB965" s="152">
        <f t="shared" si="178"/>
        <v>0</v>
      </c>
      <c r="BC965" s="152">
        <f ca="1">SUM(Z$4:Z965)+SUM(BB$4:BB965)+COSTI!S$6-COSTI!L$1076</f>
        <v>-31.760000000000218</v>
      </c>
      <c r="BD965" s="1"/>
    </row>
    <row r="966" spans="1:56" ht="16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435">
        <f>IF(AND(W966&gt;=$U$1,W966&lt;=$U$2),IF(X966='ESTRATTO CONTO'!$E$2,1+COUNTIF(U$4:U965,"&gt;0"),0),0)</f>
        <v>0</v>
      </c>
      <c r="V966" s="417">
        <f t="shared" ref="V966:V1003" si="186">V965+1</f>
        <v>963</v>
      </c>
      <c r="W966" s="509"/>
      <c r="X966" s="321"/>
      <c r="Y966" s="321"/>
      <c r="Z966" s="508"/>
      <c r="AA966" s="356"/>
      <c r="AB966" s="306" t="str">
        <f t="shared" si="182"/>
        <v/>
      </c>
      <c r="AC966" s="637">
        <f t="shared" ca="1" si="181"/>
        <v>-2.1316282072803006E-13</v>
      </c>
      <c r="AD966" s="935">
        <f>IF(ISERROR(VLOOKUP(AD$2,X967:X$1003,1,FALSE)),IF(X966=AD$2,SUMIF(X$4:X966,AD$2,Z$4:Z966)+$E$9+SUM(AQ$4:AQ$1003)+SUMIF(COSTI!$X$1379:$X$1430,AD$2,COSTI!$Z$1379:$Z$1430),0),0)</f>
        <v>0</v>
      </c>
      <c r="AE966" s="26"/>
      <c r="AF966" s="856" t="e">
        <f>IF(ISERROR(VLOOKUP(AG$2,X967:X$1003,1,FALSE)),IF(X966=AG$2,SUMIF(X$4:X966,AG$2,Z$4:Z966)+VLOOKUP(AF$2,$B$1057:$F$1068,5,FALSE)+SUM(AR$4:AR$1003)+SUMIF(COSTI!$X$1379:$X$1430,AG$2,COSTI!$Z$1379:$Z$1430),0),0)</f>
        <v>#N/A</v>
      </c>
      <c r="AG966" s="859"/>
      <c r="AH966" s="27" t="str">
        <f t="shared" si="183"/>
        <v/>
      </c>
      <c r="AI966" s="152">
        <f ca="1">IF(W967&gt;0,0,IF(AH966=0,(Z966*-1)+BC966+SUM(BB$4:BB965),BC966+SUM(BB$4:BB965)))</f>
        <v>-2.1316282072803006E-13</v>
      </c>
      <c r="AJ966" s="931">
        <f>IF(AND(AL966&gt;=$U$1,AL966&lt;=$U$2),IF(AM966='ESTRATTO CONTO'!$E$2,1+COUNTIF(AJ$4:AJ965,"&gt;0")+U$1015,0),0)</f>
        <v>0</v>
      </c>
      <c r="AK966" s="203">
        <f>IF(AND(OR((AK965+1)&lt;AL$1015,(AK965+1)=AL$1015),MAX(AK$4:AK965)&lt;AL$1015),AK965+1,0)</f>
        <v>0</v>
      </c>
      <c r="AL966" s="309">
        <f>VLOOKUP($AK966,ENTI!$AF$4:AG$1003,2,FALSE)</f>
        <v>0</v>
      </c>
      <c r="AM966" s="224">
        <f>VLOOKUP($AK966,ENTI!$AF$4:AH$1003,3,FALSE)</f>
        <v>0</v>
      </c>
      <c r="AN966" s="224">
        <f>VLOOKUP($AK966,ENTI!$AF$4:AI$1003,4,FALSE)</f>
        <v>0</v>
      </c>
      <c r="AO966" s="781">
        <f>VLOOKUP($AK966,ENTI!$AF$4:AJ$1003,5,FALSE)</f>
        <v>0</v>
      </c>
      <c r="AP966" s="315">
        <f>VLOOKUP($AK966,ENTI!$AF$4:AK$1003,6,FALSE)</f>
        <v>0</v>
      </c>
      <c r="AQ966" s="208">
        <f t="shared" si="179"/>
        <v>0</v>
      </c>
      <c r="AR966" s="152" t="e">
        <f t="shared" si="180"/>
        <v>#N/A</v>
      </c>
      <c r="AS966" s="1"/>
      <c r="AT966" s="88" t="str">
        <f t="shared" si="184"/>
        <v/>
      </c>
      <c r="AU966" s="1"/>
      <c r="AV966" s="175">
        <f>IF(AW966&gt;0,COUNTIF(AV$4:AV965,"&gt;0")+1,0)</f>
        <v>0</v>
      </c>
      <c r="AW966" s="164">
        <f t="shared" si="185"/>
        <v>0</v>
      </c>
      <c r="AX966" s="310">
        <f>IF($AW966=0,0,VLOOKUP(VLOOKUP($X966,$B$34:$T$38,19,FALSE),ENTI!$A$9:$B$13,2,FALSE))</f>
        <v>0</v>
      </c>
      <c r="AY966" s="310">
        <f t="shared" ref="AY966:AY1002" si="187">IF(AW966=0,0,Y966)</f>
        <v>0</v>
      </c>
      <c r="AZ966" s="316">
        <f t="shared" ref="AZ966:AZ1002" si="188">IF(AW966=0,0,Z966)</f>
        <v>0</v>
      </c>
      <c r="BA966" s="1"/>
      <c r="BB966" s="152">
        <f t="shared" ref="BB966:BB1002" si="189">IF(ISERROR(VLOOKUP(X966,B$9:D$15,1,FALSE)),Z966*-1,0)</f>
        <v>0</v>
      </c>
      <c r="BC966" s="152">
        <f ca="1">SUM(Z$4:Z966)+SUM(BB$4:BB966)+COSTI!S$6-COSTI!L$1076</f>
        <v>-31.760000000000218</v>
      </c>
      <c r="BD966" s="1"/>
    </row>
    <row r="967" spans="1:56" ht="16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435">
        <f>IF(AND(W967&gt;=$U$1,W967&lt;=$U$2),IF(X967='ESTRATTO CONTO'!$E$2,1+COUNTIF(U$4:U966,"&gt;0"),0),0)</f>
        <v>0</v>
      </c>
      <c r="V967" s="417">
        <f t="shared" si="186"/>
        <v>964</v>
      </c>
      <c r="W967" s="509"/>
      <c r="X967" s="321"/>
      <c r="Y967" s="321"/>
      <c r="Z967" s="508"/>
      <c r="AA967" s="356"/>
      <c r="AB967" s="306" t="str">
        <f t="shared" si="182"/>
        <v/>
      </c>
      <c r="AC967" s="637">
        <f t="shared" ca="1" si="181"/>
        <v>-2.1316282072803006E-13</v>
      </c>
      <c r="AD967" s="935">
        <f>IF(ISERROR(VLOOKUP(AD$2,X968:X$1003,1,FALSE)),IF(X967=AD$2,SUMIF(X$4:X967,AD$2,Z$4:Z967)+$E$9+SUM(AQ$4:AQ$1003)+SUMIF(COSTI!$X$1379:$X$1430,AD$2,COSTI!$Z$1379:$Z$1430),0),0)</f>
        <v>0</v>
      </c>
      <c r="AE967" s="26"/>
      <c r="AF967" s="856" t="e">
        <f>IF(ISERROR(VLOOKUP(AG$2,X968:X$1003,1,FALSE)),IF(X967=AG$2,SUMIF(X$4:X967,AG$2,Z$4:Z967)+VLOOKUP(AF$2,$B$1057:$F$1068,5,FALSE)+SUM(AR$4:AR$1003)+SUMIF(COSTI!$X$1379:$X$1430,AG$2,COSTI!$Z$1379:$Z$1430),0),0)</f>
        <v>#N/A</v>
      </c>
      <c r="AG967" s="859"/>
      <c r="AH967" s="27" t="str">
        <f t="shared" si="183"/>
        <v/>
      </c>
      <c r="AI967" s="152">
        <f ca="1">IF(W968&gt;0,0,IF(AH967=0,(Z967*-1)+BC967+SUM(BB$4:BB966),BC967+SUM(BB$4:BB966)))</f>
        <v>-2.1316282072803006E-13</v>
      </c>
      <c r="AJ967" s="931">
        <f>IF(AND(AL967&gt;=$U$1,AL967&lt;=$U$2),IF(AM967='ESTRATTO CONTO'!$E$2,1+COUNTIF(AJ$4:AJ966,"&gt;0")+U$1015,0),0)</f>
        <v>0</v>
      </c>
      <c r="AK967" s="203">
        <f>IF(AND(OR((AK966+1)&lt;AL$1015,(AK966+1)=AL$1015),MAX(AK$4:AK966)&lt;AL$1015),AK966+1,0)</f>
        <v>0</v>
      </c>
      <c r="AL967" s="309">
        <f>VLOOKUP($AK967,ENTI!$AF$4:AG$1003,2,FALSE)</f>
        <v>0</v>
      </c>
      <c r="AM967" s="224">
        <f>VLOOKUP($AK967,ENTI!$AF$4:AH$1003,3,FALSE)</f>
        <v>0</v>
      </c>
      <c r="AN967" s="224">
        <f>VLOOKUP($AK967,ENTI!$AF$4:AI$1003,4,FALSE)</f>
        <v>0</v>
      </c>
      <c r="AO967" s="781">
        <f>VLOOKUP($AK967,ENTI!$AF$4:AJ$1003,5,FALSE)</f>
        <v>0</v>
      </c>
      <c r="AP967" s="315">
        <f>VLOOKUP($AK967,ENTI!$AF$4:AK$1003,6,FALSE)</f>
        <v>0</v>
      </c>
      <c r="AQ967" s="208">
        <f t="shared" si="179"/>
        <v>0</v>
      </c>
      <c r="AR967" s="152" t="e">
        <f t="shared" si="180"/>
        <v>#N/A</v>
      </c>
      <c r="AS967" s="1"/>
      <c r="AT967" s="88" t="str">
        <f t="shared" si="184"/>
        <v/>
      </c>
      <c r="AU967" s="1"/>
      <c r="AV967" s="175">
        <f>IF(AW967&gt;0,COUNTIF(AV$4:AV966,"&gt;0")+1,0)</f>
        <v>0</v>
      </c>
      <c r="AW967" s="164">
        <f t="shared" si="185"/>
        <v>0</v>
      </c>
      <c r="AX967" s="310">
        <f>IF($AW967=0,0,VLOOKUP(VLOOKUP($X967,$B$34:$T$38,19,FALSE),ENTI!$A$9:$B$13,2,FALSE))</f>
        <v>0</v>
      </c>
      <c r="AY967" s="310">
        <f t="shared" si="187"/>
        <v>0</v>
      </c>
      <c r="AZ967" s="316">
        <f t="shared" si="188"/>
        <v>0</v>
      </c>
      <c r="BA967" s="1"/>
      <c r="BB967" s="152">
        <f t="shared" si="189"/>
        <v>0</v>
      </c>
      <c r="BC967" s="152">
        <f ca="1">SUM(Z$4:Z967)+SUM(BB$4:BB967)+COSTI!S$6-COSTI!L$1076</f>
        <v>-31.760000000000218</v>
      </c>
      <c r="BD967" s="1"/>
    </row>
    <row r="968" spans="1:56" ht="16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435">
        <f>IF(AND(W968&gt;=$U$1,W968&lt;=$U$2),IF(X968='ESTRATTO CONTO'!$E$2,1+COUNTIF(U$4:U967,"&gt;0"),0),0)</f>
        <v>0</v>
      </c>
      <c r="V968" s="417">
        <f t="shared" si="186"/>
        <v>965</v>
      </c>
      <c r="W968" s="509"/>
      <c r="X968" s="321"/>
      <c r="Y968" s="321"/>
      <c r="Z968" s="508"/>
      <c r="AA968" s="356"/>
      <c r="AB968" s="306" t="str">
        <f t="shared" si="182"/>
        <v/>
      </c>
      <c r="AC968" s="637">
        <f t="shared" ca="1" si="181"/>
        <v>-2.1316282072803006E-13</v>
      </c>
      <c r="AD968" s="935">
        <f>IF(ISERROR(VLOOKUP(AD$2,X969:X$1003,1,FALSE)),IF(X968=AD$2,SUMIF(X$4:X968,AD$2,Z$4:Z968)+$E$9+SUM(AQ$4:AQ$1003)+SUMIF(COSTI!$X$1379:$X$1430,AD$2,COSTI!$Z$1379:$Z$1430),0),0)</f>
        <v>0</v>
      </c>
      <c r="AE968" s="26"/>
      <c r="AF968" s="856" t="e">
        <f>IF(ISERROR(VLOOKUP(AG$2,X969:X$1003,1,FALSE)),IF(X968=AG$2,SUMIF(X$4:X968,AG$2,Z$4:Z968)+VLOOKUP(AF$2,$B$1057:$F$1068,5,FALSE)+SUM(AR$4:AR$1003)+SUMIF(COSTI!$X$1379:$X$1430,AG$2,COSTI!$Z$1379:$Z$1430),0),0)</f>
        <v>#N/A</v>
      </c>
      <c r="AG968" s="859"/>
      <c r="AH968" s="27" t="str">
        <f t="shared" si="183"/>
        <v/>
      </c>
      <c r="AI968" s="152">
        <f ca="1">IF(W969&gt;0,0,IF(AH968=0,(Z968*-1)+BC968+SUM(BB$4:BB967),BC968+SUM(BB$4:BB967)))</f>
        <v>-2.1316282072803006E-13</v>
      </c>
      <c r="AJ968" s="931">
        <f>IF(AND(AL968&gt;=$U$1,AL968&lt;=$U$2),IF(AM968='ESTRATTO CONTO'!$E$2,1+COUNTIF(AJ$4:AJ967,"&gt;0")+U$1015,0),0)</f>
        <v>0</v>
      </c>
      <c r="AK968" s="203">
        <f>IF(AND(OR((AK967+1)&lt;AL$1015,(AK967+1)=AL$1015),MAX(AK$4:AK967)&lt;AL$1015),AK967+1,0)</f>
        <v>0</v>
      </c>
      <c r="AL968" s="309">
        <f>VLOOKUP($AK968,ENTI!$AF$4:AG$1003,2,FALSE)</f>
        <v>0</v>
      </c>
      <c r="AM968" s="224">
        <f>VLOOKUP($AK968,ENTI!$AF$4:AH$1003,3,FALSE)</f>
        <v>0</v>
      </c>
      <c r="AN968" s="224">
        <f>VLOOKUP($AK968,ENTI!$AF$4:AI$1003,4,FALSE)</f>
        <v>0</v>
      </c>
      <c r="AO968" s="781">
        <f>VLOOKUP($AK968,ENTI!$AF$4:AJ$1003,5,FALSE)</f>
        <v>0</v>
      </c>
      <c r="AP968" s="315">
        <f>VLOOKUP($AK968,ENTI!$AF$4:AK$1003,6,FALSE)</f>
        <v>0</v>
      </c>
      <c r="AQ968" s="208">
        <f t="shared" si="179"/>
        <v>0</v>
      </c>
      <c r="AR968" s="152" t="e">
        <f t="shared" si="180"/>
        <v>#N/A</v>
      </c>
      <c r="AS968" s="1"/>
      <c r="AT968" s="88" t="str">
        <f t="shared" si="184"/>
        <v/>
      </c>
      <c r="AU968" s="1"/>
      <c r="AV968" s="175">
        <f>IF(AW968&gt;0,COUNTIF(AV$4:AV967,"&gt;0")+1,0)</f>
        <v>0</v>
      </c>
      <c r="AW968" s="164">
        <f t="shared" si="185"/>
        <v>0</v>
      </c>
      <c r="AX968" s="310">
        <f>IF($AW968=0,0,VLOOKUP(VLOOKUP($X968,$B$34:$T$38,19,FALSE),ENTI!$A$9:$B$13,2,FALSE))</f>
        <v>0</v>
      </c>
      <c r="AY968" s="310">
        <f t="shared" si="187"/>
        <v>0</v>
      </c>
      <c r="AZ968" s="316">
        <f t="shared" si="188"/>
        <v>0</v>
      </c>
      <c r="BA968" s="1"/>
      <c r="BB968" s="152">
        <f t="shared" si="189"/>
        <v>0</v>
      </c>
      <c r="BC968" s="152">
        <f ca="1">SUM(Z$4:Z968)+SUM(BB$4:BB968)+COSTI!S$6-COSTI!L$1076</f>
        <v>-31.760000000000218</v>
      </c>
      <c r="BD968" s="1"/>
    </row>
    <row r="969" spans="1:56" ht="16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435">
        <f>IF(AND(W969&gt;=$U$1,W969&lt;=$U$2),IF(X969='ESTRATTO CONTO'!$E$2,1+COUNTIF(U$4:U968,"&gt;0"),0),0)</f>
        <v>0</v>
      </c>
      <c r="V969" s="417">
        <f t="shared" si="186"/>
        <v>966</v>
      </c>
      <c r="W969" s="509"/>
      <c r="X969" s="321"/>
      <c r="Y969" s="321"/>
      <c r="Z969" s="508"/>
      <c r="AA969" s="356"/>
      <c r="AB969" s="306" t="str">
        <f t="shared" si="182"/>
        <v/>
      </c>
      <c r="AC969" s="637">
        <f t="shared" ca="1" si="181"/>
        <v>-2.1316282072803006E-13</v>
      </c>
      <c r="AD969" s="935">
        <f>IF(ISERROR(VLOOKUP(AD$2,X970:X$1003,1,FALSE)),IF(X969=AD$2,SUMIF(X$4:X969,AD$2,Z$4:Z969)+$E$9+SUM(AQ$4:AQ$1003)+SUMIF(COSTI!$X$1379:$X$1430,AD$2,COSTI!$Z$1379:$Z$1430),0),0)</f>
        <v>0</v>
      </c>
      <c r="AE969" s="26"/>
      <c r="AF969" s="856" t="e">
        <f>IF(ISERROR(VLOOKUP(AG$2,X970:X$1003,1,FALSE)),IF(X969=AG$2,SUMIF(X$4:X969,AG$2,Z$4:Z969)+VLOOKUP(AF$2,$B$1057:$F$1068,5,FALSE)+SUM(AR$4:AR$1003)+SUMIF(COSTI!$X$1379:$X$1430,AG$2,COSTI!$Z$1379:$Z$1430),0),0)</f>
        <v>#N/A</v>
      </c>
      <c r="AG969" s="859"/>
      <c r="AH969" s="27" t="str">
        <f t="shared" si="183"/>
        <v/>
      </c>
      <c r="AI969" s="152">
        <f ca="1">IF(W970&gt;0,0,IF(AH969=0,(Z969*-1)+BC969+SUM(BB$4:BB968),BC969+SUM(BB$4:BB968)))</f>
        <v>-2.1316282072803006E-13</v>
      </c>
      <c r="AJ969" s="931">
        <f>IF(AND(AL969&gt;=$U$1,AL969&lt;=$U$2),IF(AM969='ESTRATTO CONTO'!$E$2,1+COUNTIF(AJ$4:AJ968,"&gt;0")+U$1015,0),0)</f>
        <v>0</v>
      </c>
      <c r="AK969" s="203">
        <f>IF(AND(OR((AK968+1)&lt;AL$1015,(AK968+1)=AL$1015),MAX(AK$4:AK968)&lt;AL$1015),AK968+1,0)</f>
        <v>0</v>
      </c>
      <c r="AL969" s="309">
        <f>VLOOKUP($AK969,ENTI!$AF$4:AG$1003,2,FALSE)</f>
        <v>0</v>
      </c>
      <c r="AM969" s="224">
        <f>VLOOKUP($AK969,ENTI!$AF$4:AH$1003,3,FALSE)</f>
        <v>0</v>
      </c>
      <c r="AN969" s="224">
        <f>VLOOKUP($AK969,ENTI!$AF$4:AI$1003,4,FALSE)</f>
        <v>0</v>
      </c>
      <c r="AO969" s="781">
        <f>VLOOKUP($AK969,ENTI!$AF$4:AJ$1003,5,FALSE)</f>
        <v>0</v>
      </c>
      <c r="AP969" s="315">
        <f>VLOOKUP($AK969,ENTI!$AF$4:AK$1003,6,FALSE)</f>
        <v>0</v>
      </c>
      <c r="AQ969" s="208">
        <f t="shared" si="179"/>
        <v>0</v>
      </c>
      <c r="AR969" s="152" t="e">
        <f t="shared" si="180"/>
        <v>#N/A</v>
      </c>
      <c r="AS969" s="1"/>
      <c r="AT969" s="88" t="str">
        <f t="shared" si="184"/>
        <v/>
      </c>
      <c r="AU969" s="1"/>
      <c r="AV969" s="175">
        <f>IF(AW969&gt;0,COUNTIF(AV$4:AV968,"&gt;0")+1,0)</f>
        <v>0</v>
      </c>
      <c r="AW969" s="164">
        <f t="shared" si="185"/>
        <v>0</v>
      </c>
      <c r="AX969" s="310">
        <f>IF($AW969=0,0,VLOOKUP(VLOOKUP($X969,$B$34:$T$38,19,FALSE),ENTI!$A$9:$B$13,2,FALSE))</f>
        <v>0</v>
      </c>
      <c r="AY969" s="310">
        <f t="shared" si="187"/>
        <v>0</v>
      </c>
      <c r="AZ969" s="316">
        <f t="shared" si="188"/>
        <v>0</v>
      </c>
      <c r="BA969" s="1"/>
      <c r="BB969" s="152">
        <f t="shared" si="189"/>
        <v>0</v>
      </c>
      <c r="BC969" s="152">
        <f ca="1">SUM(Z$4:Z969)+SUM(BB$4:BB969)+COSTI!S$6-COSTI!L$1076</f>
        <v>-31.760000000000218</v>
      </c>
      <c r="BD969" s="1"/>
    </row>
    <row r="970" spans="1:56" ht="16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435">
        <f>IF(AND(W970&gt;=$U$1,W970&lt;=$U$2),IF(X970='ESTRATTO CONTO'!$E$2,1+COUNTIF(U$4:U969,"&gt;0"),0),0)</f>
        <v>0</v>
      </c>
      <c r="V970" s="417">
        <f t="shared" si="186"/>
        <v>967</v>
      </c>
      <c r="W970" s="509"/>
      <c r="X970" s="321"/>
      <c r="Y970" s="321"/>
      <c r="Z970" s="508"/>
      <c r="AA970" s="356"/>
      <c r="AB970" s="306" t="str">
        <f t="shared" si="182"/>
        <v/>
      </c>
      <c r="AC970" s="637">
        <f t="shared" ca="1" si="181"/>
        <v>-2.1316282072803006E-13</v>
      </c>
      <c r="AD970" s="935">
        <f>IF(ISERROR(VLOOKUP(AD$2,X971:X$1003,1,FALSE)),IF(X970=AD$2,SUMIF(X$4:X970,AD$2,Z$4:Z970)+$E$9+SUM(AQ$4:AQ$1003)+SUMIF(COSTI!$X$1379:$X$1430,AD$2,COSTI!$Z$1379:$Z$1430),0),0)</f>
        <v>0</v>
      </c>
      <c r="AE970" s="26"/>
      <c r="AF970" s="856" t="e">
        <f>IF(ISERROR(VLOOKUP(AG$2,X971:X$1003,1,FALSE)),IF(X970=AG$2,SUMIF(X$4:X970,AG$2,Z$4:Z970)+VLOOKUP(AF$2,$B$1057:$F$1068,5,FALSE)+SUM(AR$4:AR$1003)+SUMIF(COSTI!$X$1379:$X$1430,AG$2,COSTI!$Z$1379:$Z$1430),0),0)</f>
        <v>#N/A</v>
      </c>
      <c r="AG970" s="859"/>
      <c r="AH970" s="27" t="str">
        <f t="shared" si="183"/>
        <v/>
      </c>
      <c r="AI970" s="152">
        <f ca="1">IF(W971&gt;0,0,IF(AH970=0,(Z970*-1)+BC970+SUM(BB$4:BB969),BC970+SUM(BB$4:BB969)))</f>
        <v>-2.1316282072803006E-13</v>
      </c>
      <c r="AJ970" s="931">
        <f>IF(AND(AL970&gt;=$U$1,AL970&lt;=$U$2),IF(AM970='ESTRATTO CONTO'!$E$2,1+COUNTIF(AJ$4:AJ969,"&gt;0")+U$1015,0),0)</f>
        <v>0</v>
      </c>
      <c r="AK970" s="203">
        <f>IF(AND(OR((AK969+1)&lt;AL$1015,(AK969+1)=AL$1015),MAX(AK$4:AK969)&lt;AL$1015),AK969+1,0)</f>
        <v>0</v>
      </c>
      <c r="AL970" s="309">
        <f>VLOOKUP($AK970,ENTI!$AF$4:AG$1003,2,FALSE)</f>
        <v>0</v>
      </c>
      <c r="AM970" s="224">
        <f>VLOOKUP($AK970,ENTI!$AF$4:AH$1003,3,FALSE)</f>
        <v>0</v>
      </c>
      <c r="AN970" s="224">
        <f>VLOOKUP($AK970,ENTI!$AF$4:AI$1003,4,FALSE)</f>
        <v>0</v>
      </c>
      <c r="AO970" s="781">
        <f>VLOOKUP($AK970,ENTI!$AF$4:AJ$1003,5,FALSE)</f>
        <v>0</v>
      </c>
      <c r="AP970" s="315">
        <f>VLOOKUP($AK970,ENTI!$AF$4:AK$1003,6,FALSE)</f>
        <v>0</v>
      </c>
      <c r="AQ970" s="208">
        <f t="shared" si="179"/>
        <v>0</v>
      </c>
      <c r="AR970" s="152" t="e">
        <f t="shared" si="180"/>
        <v>#N/A</v>
      </c>
      <c r="AS970" s="1"/>
      <c r="AT970" s="88" t="str">
        <f t="shared" si="184"/>
        <v/>
      </c>
      <c r="AU970" s="1"/>
      <c r="AV970" s="175">
        <f>IF(AW970&gt;0,COUNTIF(AV$4:AV969,"&gt;0")+1,0)</f>
        <v>0</v>
      </c>
      <c r="AW970" s="164">
        <f t="shared" si="185"/>
        <v>0</v>
      </c>
      <c r="AX970" s="310">
        <f>IF($AW970=0,0,VLOOKUP(VLOOKUP($X970,$B$34:$T$38,19,FALSE),ENTI!$A$9:$B$13,2,FALSE))</f>
        <v>0</v>
      </c>
      <c r="AY970" s="310">
        <f t="shared" si="187"/>
        <v>0</v>
      </c>
      <c r="AZ970" s="316">
        <f t="shared" si="188"/>
        <v>0</v>
      </c>
      <c r="BA970" s="1"/>
      <c r="BB970" s="152">
        <f t="shared" si="189"/>
        <v>0</v>
      </c>
      <c r="BC970" s="152">
        <f ca="1">SUM(Z$4:Z970)+SUM(BB$4:BB970)+COSTI!S$6-COSTI!L$1076</f>
        <v>-31.760000000000218</v>
      </c>
      <c r="BD970" s="1"/>
    </row>
    <row r="971" spans="1:56" ht="16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435">
        <f>IF(AND(W971&gt;=$U$1,W971&lt;=$U$2),IF(X971='ESTRATTO CONTO'!$E$2,1+COUNTIF(U$4:U970,"&gt;0"),0),0)</f>
        <v>0</v>
      </c>
      <c r="V971" s="417">
        <f t="shared" si="186"/>
        <v>968</v>
      </c>
      <c r="W971" s="509"/>
      <c r="X971" s="321"/>
      <c r="Y971" s="321"/>
      <c r="Z971" s="508"/>
      <c r="AA971" s="356"/>
      <c r="AB971" s="306" t="str">
        <f t="shared" si="182"/>
        <v/>
      </c>
      <c r="AC971" s="637">
        <f t="shared" ca="1" si="181"/>
        <v>-2.1316282072803006E-13</v>
      </c>
      <c r="AD971" s="935">
        <f>IF(ISERROR(VLOOKUP(AD$2,X972:X$1003,1,FALSE)),IF(X971=AD$2,SUMIF(X$4:X971,AD$2,Z$4:Z971)+$E$9+SUM(AQ$4:AQ$1003)+SUMIF(COSTI!$X$1379:$X$1430,AD$2,COSTI!$Z$1379:$Z$1430),0),0)</f>
        <v>0</v>
      </c>
      <c r="AE971" s="26"/>
      <c r="AF971" s="856" t="e">
        <f>IF(ISERROR(VLOOKUP(AG$2,X972:X$1003,1,FALSE)),IF(X971=AG$2,SUMIF(X$4:X971,AG$2,Z$4:Z971)+VLOOKUP(AF$2,$B$1057:$F$1068,5,FALSE)+SUM(AR$4:AR$1003)+SUMIF(COSTI!$X$1379:$X$1430,AG$2,COSTI!$Z$1379:$Z$1430),0),0)</f>
        <v>#N/A</v>
      </c>
      <c r="AG971" s="859"/>
      <c r="AH971" s="27" t="str">
        <f t="shared" si="183"/>
        <v/>
      </c>
      <c r="AI971" s="152">
        <f ca="1">IF(W972&gt;0,0,IF(AH971=0,(Z971*-1)+BC971+SUM(BB$4:BB970),BC971+SUM(BB$4:BB970)))</f>
        <v>-2.1316282072803006E-13</v>
      </c>
      <c r="AJ971" s="931">
        <f>IF(AND(AL971&gt;=$U$1,AL971&lt;=$U$2),IF(AM971='ESTRATTO CONTO'!$E$2,1+COUNTIF(AJ$4:AJ970,"&gt;0")+U$1015,0),0)</f>
        <v>0</v>
      </c>
      <c r="AK971" s="203">
        <f>IF(AND(OR((AK970+1)&lt;AL$1015,(AK970+1)=AL$1015),MAX(AK$4:AK970)&lt;AL$1015),AK970+1,0)</f>
        <v>0</v>
      </c>
      <c r="AL971" s="309">
        <f>VLOOKUP($AK971,ENTI!$AF$4:AG$1003,2,FALSE)</f>
        <v>0</v>
      </c>
      <c r="AM971" s="224">
        <f>VLOOKUP($AK971,ENTI!$AF$4:AH$1003,3,FALSE)</f>
        <v>0</v>
      </c>
      <c r="AN971" s="224">
        <f>VLOOKUP($AK971,ENTI!$AF$4:AI$1003,4,FALSE)</f>
        <v>0</v>
      </c>
      <c r="AO971" s="781">
        <f>VLOOKUP($AK971,ENTI!$AF$4:AJ$1003,5,FALSE)</f>
        <v>0</v>
      </c>
      <c r="AP971" s="315">
        <f>VLOOKUP($AK971,ENTI!$AF$4:AK$1003,6,FALSE)</f>
        <v>0</v>
      </c>
      <c r="AQ971" s="208">
        <f t="shared" si="179"/>
        <v>0</v>
      </c>
      <c r="AR971" s="152" t="e">
        <f t="shared" si="180"/>
        <v>#N/A</v>
      </c>
      <c r="AS971" s="1"/>
      <c r="AT971" s="88" t="str">
        <f t="shared" si="184"/>
        <v/>
      </c>
      <c r="AU971" s="1"/>
      <c r="AV971" s="175">
        <f>IF(AW971&gt;0,COUNTIF(AV$4:AV970,"&gt;0")+1,0)</f>
        <v>0</v>
      </c>
      <c r="AW971" s="164">
        <f t="shared" si="185"/>
        <v>0</v>
      </c>
      <c r="AX971" s="310">
        <f>IF($AW971=0,0,VLOOKUP(VLOOKUP($X971,$B$34:$T$38,19,FALSE),ENTI!$A$9:$B$13,2,FALSE))</f>
        <v>0</v>
      </c>
      <c r="AY971" s="310">
        <f t="shared" si="187"/>
        <v>0</v>
      </c>
      <c r="AZ971" s="316">
        <f t="shared" si="188"/>
        <v>0</v>
      </c>
      <c r="BA971" s="1"/>
      <c r="BB971" s="152">
        <f t="shared" si="189"/>
        <v>0</v>
      </c>
      <c r="BC971" s="152">
        <f ca="1">SUM(Z$4:Z971)+SUM(BB$4:BB971)+COSTI!S$6-COSTI!L$1076</f>
        <v>-31.760000000000218</v>
      </c>
      <c r="BD971" s="1"/>
    </row>
    <row r="972" spans="1:56" ht="16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435">
        <f>IF(AND(W972&gt;=$U$1,W972&lt;=$U$2),IF(X972='ESTRATTO CONTO'!$E$2,1+COUNTIF(U$4:U971,"&gt;0"),0),0)</f>
        <v>0</v>
      </c>
      <c r="V972" s="417">
        <f t="shared" si="186"/>
        <v>969</v>
      </c>
      <c r="W972" s="509"/>
      <c r="X972" s="321"/>
      <c r="Y972" s="321"/>
      <c r="Z972" s="508"/>
      <c r="AA972" s="356"/>
      <c r="AB972" s="306" t="str">
        <f t="shared" si="182"/>
        <v/>
      </c>
      <c r="AC972" s="637">
        <f t="shared" ca="1" si="181"/>
        <v>-2.1316282072803006E-13</v>
      </c>
      <c r="AD972" s="935">
        <f>IF(ISERROR(VLOOKUP(AD$2,X973:X$1003,1,FALSE)),IF(X972=AD$2,SUMIF(X$4:X972,AD$2,Z$4:Z972)+$E$9+SUM(AQ$4:AQ$1003)+SUMIF(COSTI!$X$1379:$X$1430,AD$2,COSTI!$Z$1379:$Z$1430),0),0)</f>
        <v>0</v>
      </c>
      <c r="AE972" s="26"/>
      <c r="AF972" s="856" t="e">
        <f>IF(ISERROR(VLOOKUP(AG$2,X973:X$1003,1,FALSE)),IF(X972=AG$2,SUMIF(X$4:X972,AG$2,Z$4:Z972)+VLOOKUP(AF$2,$B$1057:$F$1068,5,FALSE)+SUM(AR$4:AR$1003)+SUMIF(COSTI!$X$1379:$X$1430,AG$2,COSTI!$Z$1379:$Z$1430),0),0)</f>
        <v>#N/A</v>
      </c>
      <c r="AG972" s="859"/>
      <c r="AH972" s="27" t="str">
        <f t="shared" si="183"/>
        <v/>
      </c>
      <c r="AI972" s="152">
        <f ca="1">IF(W973&gt;0,0,IF(AH972=0,(Z972*-1)+BC972+SUM(BB$4:BB971),BC972+SUM(BB$4:BB971)))</f>
        <v>-2.1316282072803006E-13</v>
      </c>
      <c r="AJ972" s="931">
        <f>IF(AND(AL972&gt;=$U$1,AL972&lt;=$U$2),IF(AM972='ESTRATTO CONTO'!$E$2,1+COUNTIF(AJ$4:AJ971,"&gt;0")+U$1015,0),0)</f>
        <v>0</v>
      </c>
      <c r="AK972" s="203">
        <f>IF(AND(OR((AK971+1)&lt;AL$1015,(AK971+1)=AL$1015),MAX(AK$4:AK971)&lt;AL$1015),AK971+1,0)</f>
        <v>0</v>
      </c>
      <c r="AL972" s="309">
        <f>VLOOKUP($AK972,ENTI!$AF$4:AG$1003,2,FALSE)</f>
        <v>0</v>
      </c>
      <c r="AM972" s="224">
        <f>VLOOKUP($AK972,ENTI!$AF$4:AH$1003,3,FALSE)</f>
        <v>0</v>
      </c>
      <c r="AN972" s="224">
        <f>VLOOKUP($AK972,ENTI!$AF$4:AI$1003,4,FALSE)</f>
        <v>0</v>
      </c>
      <c r="AO972" s="781">
        <f>VLOOKUP($AK972,ENTI!$AF$4:AJ$1003,5,FALSE)</f>
        <v>0</v>
      </c>
      <c r="AP972" s="315">
        <f>VLOOKUP($AK972,ENTI!$AF$4:AK$1003,6,FALSE)</f>
        <v>0</v>
      </c>
      <c r="AQ972" s="208">
        <f t="shared" si="179"/>
        <v>0</v>
      </c>
      <c r="AR972" s="152" t="e">
        <f t="shared" si="180"/>
        <v>#N/A</v>
      </c>
      <c r="AS972" s="1"/>
      <c r="AT972" s="88" t="str">
        <f t="shared" si="184"/>
        <v/>
      </c>
      <c r="AU972" s="1"/>
      <c r="AV972" s="175">
        <f>IF(AW972&gt;0,COUNTIF(AV$4:AV971,"&gt;0")+1,0)</f>
        <v>0</v>
      </c>
      <c r="AW972" s="164">
        <f t="shared" si="185"/>
        <v>0</v>
      </c>
      <c r="AX972" s="310">
        <f>IF($AW972=0,0,VLOOKUP(VLOOKUP($X972,$B$34:$T$38,19,FALSE),ENTI!$A$9:$B$13,2,FALSE))</f>
        <v>0</v>
      </c>
      <c r="AY972" s="310">
        <f t="shared" si="187"/>
        <v>0</v>
      </c>
      <c r="AZ972" s="316">
        <f t="shared" si="188"/>
        <v>0</v>
      </c>
      <c r="BA972" s="1"/>
      <c r="BB972" s="152">
        <f t="shared" si="189"/>
        <v>0</v>
      </c>
      <c r="BC972" s="152">
        <f ca="1">SUM(Z$4:Z972)+SUM(BB$4:BB972)+COSTI!S$6-COSTI!L$1076</f>
        <v>-31.760000000000218</v>
      </c>
      <c r="BD972" s="1"/>
    </row>
    <row r="973" spans="1:56" ht="16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435">
        <f>IF(AND(W973&gt;=$U$1,W973&lt;=$U$2),IF(X973='ESTRATTO CONTO'!$E$2,1+COUNTIF(U$4:U972,"&gt;0"),0),0)</f>
        <v>0</v>
      </c>
      <c r="V973" s="417">
        <f t="shared" si="186"/>
        <v>970</v>
      </c>
      <c r="W973" s="509"/>
      <c r="X973" s="321"/>
      <c r="Y973" s="321"/>
      <c r="Z973" s="508"/>
      <c r="AA973" s="356"/>
      <c r="AB973" s="306" t="str">
        <f t="shared" si="182"/>
        <v/>
      </c>
      <c r="AC973" s="637">
        <f t="shared" ca="1" si="181"/>
        <v>-2.1316282072803006E-13</v>
      </c>
      <c r="AD973" s="935">
        <f>IF(ISERROR(VLOOKUP(AD$2,X974:X$1003,1,FALSE)),IF(X973=AD$2,SUMIF(X$4:X973,AD$2,Z$4:Z973)+$E$9+SUM(AQ$4:AQ$1003)+SUMIF(COSTI!$X$1379:$X$1430,AD$2,COSTI!$Z$1379:$Z$1430),0),0)</f>
        <v>0</v>
      </c>
      <c r="AE973" s="26"/>
      <c r="AF973" s="856" t="e">
        <f>IF(ISERROR(VLOOKUP(AG$2,X974:X$1003,1,FALSE)),IF(X973=AG$2,SUMIF(X$4:X973,AG$2,Z$4:Z973)+VLOOKUP(AF$2,$B$1057:$F$1068,5,FALSE)+SUM(AR$4:AR$1003)+SUMIF(COSTI!$X$1379:$X$1430,AG$2,COSTI!$Z$1379:$Z$1430),0),0)</f>
        <v>#N/A</v>
      </c>
      <c r="AG973" s="859"/>
      <c r="AH973" s="27" t="str">
        <f t="shared" si="183"/>
        <v/>
      </c>
      <c r="AI973" s="152">
        <f ca="1">IF(W974&gt;0,0,IF(AH973=0,(Z973*-1)+BC973+SUM(BB$4:BB972),BC973+SUM(BB$4:BB972)))</f>
        <v>-2.1316282072803006E-13</v>
      </c>
      <c r="AJ973" s="931">
        <f>IF(AND(AL973&gt;=$U$1,AL973&lt;=$U$2),IF(AM973='ESTRATTO CONTO'!$E$2,1+COUNTIF(AJ$4:AJ972,"&gt;0")+U$1015,0),0)</f>
        <v>0</v>
      </c>
      <c r="AK973" s="203">
        <f>IF(AND(OR((AK972+1)&lt;AL$1015,(AK972+1)=AL$1015),MAX(AK$4:AK972)&lt;AL$1015),AK972+1,0)</f>
        <v>0</v>
      </c>
      <c r="AL973" s="309">
        <f>VLOOKUP($AK973,ENTI!$AF$4:AG$1003,2,FALSE)</f>
        <v>0</v>
      </c>
      <c r="AM973" s="224">
        <f>VLOOKUP($AK973,ENTI!$AF$4:AH$1003,3,FALSE)</f>
        <v>0</v>
      </c>
      <c r="AN973" s="224">
        <f>VLOOKUP($AK973,ENTI!$AF$4:AI$1003,4,FALSE)</f>
        <v>0</v>
      </c>
      <c r="AO973" s="781">
        <f>VLOOKUP($AK973,ENTI!$AF$4:AJ$1003,5,FALSE)</f>
        <v>0</v>
      </c>
      <c r="AP973" s="315">
        <f>VLOOKUP($AK973,ENTI!$AF$4:AK$1003,6,FALSE)</f>
        <v>0</v>
      </c>
      <c r="AQ973" s="208">
        <f t="shared" si="179"/>
        <v>0</v>
      </c>
      <c r="AR973" s="152" t="e">
        <f t="shared" si="180"/>
        <v>#N/A</v>
      </c>
      <c r="AS973" s="1"/>
      <c r="AT973" s="88" t="str">
        <f t="shared" si="184"/>
        <v/>
      </c>
      <c r="AU973" s="1"/>
      <c r="AV973" s="175">
        <f>IF(AW973&gt;0,COUNTIF(AV$4:AV972,"&gt;0")+1,0)</f>
        <v>0</v>
      </c>
      <c r="AW973" s="164">
        <f t="shared" si="185"/>
        <v>0</v>
      </c>
      <c r="AX973" s="310">
        <f>IF($AW973=0,0,VLOOKUP(VLOOKUP($X973,$B$34:$T$38,19,FALSE),ENTI!$A$9:$B$13,2,FALSE))</f>
        <v>0</v>
      </c>
      <c r="AY973" s="310">
        <f t="shared" si="187"/>
        <v>0</v>
      </c>
      <c r="AZ973" s="316">
        <f t="shared" si="188"/>
        <v>0</v>
      </c>
      <c r="BA973" s="1"/>
      <c r="BB973" s="152">
        <f t="shared" si="189"/>
        <v>0</v>
      </c>
      <c r="BC973" s="152">
        <f ca="1">SUM(Z$4:Z973)+SUM(BB$4:BB973)+COSTI!S$6-COSTI!L$1076</f>
        <v>-31.760000000000218</v>
      </c>
      <c r="BD973" s="1"/>
    </row>
    <row r="974" spans="1:56" ht="16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435">
        <f>IF(AND(W974&gt;=$U$1,W974&lt;=$U$2),IF(X974='ESTRATTO CONTO'!$E$2,1+COUNTIF(U$4:U973,"&gt;0"),0),0)</f>
        <v>0</v>
      </c>
      <c r="V974" s="417">
        <f t="shared" si="186"/>
        <v>971</v>
      </c>
      <c r="W974" s="509"/>
      <c r="X974" s="321"/>
      <c r="Y974" s="321"/>
      <c r="Z974" s="508"/>
      <c r="AA974" s="356"/>
      <c r="AB974" s="306" t="str">
        <f t="shared" si="182"/>
        <v/>
      </c>
      <c r="AC974" s="637">
        <f t="shared" ca="1" si="181"/>
        <v>-2.1316282072803006E-13</v>
      </c>
      <c r="AD974" s="935">
        <f>IF(ISERROR(VLOOKUP(AD$2,X975:X$1003,1,FALSE)),IF(X974=AD$2,SUMIF(X$4:X974,AD$2,Z$4:Z974)+$E$9+SUM(AQ$4:AQ$1003)+SUMIF(COSTI!$X$1379:$X$1430,AD$2,COSTI!$Z$1379:$Z$1430),0),0)</f>
        <v>0</v>
      </c>
      <c r="AE974" s="26"/>
      <c r="AF974" s="856" t="e">
        <f>IF(ISERROR(VLOOKUP(AG$2,X975:X$1003,1,FALSE)),IF(X974=AG$2,SUMIF(X$4:X974,AG$2,Z$4:Z974)+VLOOKUP(AF$2,$B$1057:$F$1068,5,FALSE)+SUM(AR$4:AR$1003)+SUMIF(COSTI!$X$1379:$X$1430,AG$2,COSTI!$Z$1379:$Z$1430),0),0)</f>
        <v>#N/A</v>
      </c>
      <c r="AG974" s="859"/>
      <c r="AH974" s="27" t="str">
        <f t="shared" si="183"/>
        <v/>
      </c>
      <c r="AI974" s="152">
        <f ca="1">IF(W975&gt;0,0,IF(AH974=0,(Z974*-1)+BC974+SUM(BB$4:BB973),BC974+SUM(BB$4:BB973)))</f>
        <v>-2.1316282072803006E-13</v>
      </c>
      <c r="AJ974" s="931">
        <f>IF(AND(AL974&gt;=$U$1,AL974&lt;=$U$2),IF(AM974='ESTRATTO CONTO'!$E$2,1+COUNTIF(AJ$4:AJ973,"&gt;0")+U$1015,0),0)</f>
        <v>0</v>
      </c>
      <c r="AK974" s="203">
        <f>IF(AND(OR((AK973+1)&lt;AL$1015,(AK973+1)=AL$1015),MAX(AK$4:AK973)&lt;AL$1015),AK973+1,0)</f>
        <v>0</v>
      </c>
      <c r="AL974" s="309">
        <f>VLOOKUP($AK974,ENTI!$AF$4:AG$1003,2,FALSE)</f>
        <v>0</v>
      </c>
      <c r="AM974" s="224">
        <f>VLOOKUP($AK974,ENTI!$AF$4:AH$1003,3,FALSE)</f>
        <v>0</v>
      </c>
      <c r="AN974" s="224">
        <f>VLOOKUP($AK974,ENTI!$AF$4:AI$1003,4,FALSE)</f>
        <v>0</v>
      </c>
      <c r="AO974" s="781">
        <f>VLOOKUP($AK974,ENTI!$AF$4:AJ$1003,5,FALSE)</f>
        <v>0</v>
      </c>
      <c r="AP974" s="315">
        <f>VLOOKUP($AK974,ENTI!$AF$4:AK$1003,6,FALSE)</f>
        <v>0</v>
      </c>
      <c r="AQ974" s="208">
        <f t="shared" si="179"/>
        <v>0</v>
      </c>
      <c r="AR974" s="152" t="e">
        <f t="shared" si="180"/>
        <v>#N/A</v>
      </c>
      <c r="AS974" s="1"/>
      <c r="AT974" s="88" t="str">
        <f t="shared" si="184"/>
        <v/>
      </c>
      <c r="AU974" s="1"/>
      <c r="AV974" s="175">
        <f>IF(AW974&gt;0,COUNTIF(AV$4:AV973,"&gt;0")+1,0)</f>
        <v>0</v>
      </c>
      <c r="AW974" s="164">
        <f t="shared" si="185"/>
        <v>0</v>
      </c>
      <c r="AX974" s="310">
        <f>IF($AW974=0,0,VLOOKUP(VLOOKUP($X974,$B$34:$T$38,19,FALSE),ENTI!$A$9:$B$13,2,FALSE))</f>
        <v>0</v>
      </c>
      <c r="AY974" s="310">
        <f t="shared" si="187"/>
        <v>0</v>
      </c>
      <c r="AZ974" s="316">
        <f t="shared" si="188"/>
        <v>0</v>
      </c>
      <c r="BA974" s="1"/>
      <c r="BB974" s="152">
        <f t="shared" si="189"/>
        <v>0</v>
      </c>
      <c r="BC974" s="152">
        <f ca="1">SUM(Z$4:Z974)+SUM(BB$4:BB974)+COSTI!S$6-COSTI!L$1076</f>
        <v>-31.760000000000218</v>
      </c>
      <c r="BD974" s="1"/>
    </row>
    <row r="975" spans="1:56" ht="16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435">
        <f>IF(AND(W975&gt;=$U$1,W975&lt;=$U$2),IF(X975='ESTRATTO CONTO'!$E$2,1+COUNTIF(U$4:U974,"&gt;0"),0),0)</f>
        <v>0</v>
      </c>
      <c r="V975" s="417">
        <f t="shared" si="186"/>
        <v>972</v>
      </c>
      <c r="W975" s="509"/>
      <c r="X975" s="321"/>
      <c r="Y975" s="321"/>
      <c r="Z975" s="508"/>
      <c r="AA975" s="356"/>
      <c r="AB975" s="306" t="str">
        <f t="shared" si="182"/>
        <v/>
      </c>
      <c r="AC975" s="637">
        <f t="shared" ca="1" si="181"/>
        <v>-2.1316282072803006E-13</v>
      </c>
      <c r="AD975" s="935">
        <f>IF(ISERROR(VLOOKUP(AD$2,X976:X$1003,1,FALSE)),IF(X975=AD$2,SUMIF(X$4:X975,AD$2,Z$4:Z975)+$E$9+SUM(AQ$4:AQ$1003)+SUMIF(COSTI!$X$1379:$X$1430,AD$2,COSTI!$Z$1379:$Z$1430),0),0)</f>
        <v>0</v>
      </c>
      <c r="AE975" s="26"/>
      <c r="AF975" s="856" t="e">
        <f>IF(ISERROR(VLOOKUP(AG$2,X976:X$1003,1,FALSE)),IF(X975=AG$2,SUMIF(X$4:X975,AG$2,Z$4:Z975)+VLOOKUP(AF$2,$B$1057:$F$1068,5,FALSE)+SUM(AR$4:AR$1003)+SUMIF(COSTI!$X$1379:$X$1430,AG$2,COSTI!$Z$1379:$Z$1430),0),0)</f>
        <v>#N/A</v>
      </c>
      <c r="AG975" s="859"/>
      <c r="AH975" s="27" t="str">
        <f t="shared" si="183"/>
        <v/>
      </c>
      <c r="AI975" s="152">
        <f ca="1">IF(W976&gt;0,0,IF(AH975=0,(Z975*-1)+BC975+SUM(BB$4:BB974),BC975+SUM(BB$4:BB974)))</f>
        <v>-2.1316282072803006E-13</v>
      </c>
      <c r="AJ975" s="931">
        <f>IF(AND(AL975&gt;=$U$1,AL975&lt;=$U$2),IF(AM975='ESTRATTO CONTO'!$E$2,1+COUNTIF(AJ$4:AJ974,"&gt;0")+U$1015,0),0)</f>
        <v>0</v>
      </c>
      <c r="AK975" s="203">
        <f>IF(AND(OR((AK974+1)&lt;AL$1015,(AK974+1)=AL$1015),MAX(AK$4:AK974)&lt;AL$1015),AK974+1,0)</f>
        <v>0</v>
      </c>
      <c r="AL975" s="309">
        <f>VLOOKUP($AK975,ENTI!$AF$4:AG$1003,2,FALSE)</f>
        <v>0</v>
      </c>
      <c r="AM975" s="224">
        <f>VLOOKUP($AK975,ENTI!$AF$4:AH$1003,3,FALSE)</f>
        <v>0</v>
      </c>
      <c r="AN975" s="224">
        <f>VLOOKUP($AK975,ENTI!$AF$4:AI$1003,4,FALSE)</f>
        <v>0</v>
      </c>
      <c r="AO975" s="781">
        <f>VLOOKUP($AK975,ENTI!$AF$4:AJ$1003,5,FALSE)</f>
        <v>0</v>
      </c>
      <c r="AP975" s="315">
        <f>VLOOKUP($AK975,ENTI!$AF$4:AK$1003,6,FALSE)</f>
        <v>0</v>
      </c>
      <c r="AQ975" s="208">
        <f t="shared" ref="AQ975:AQ1002" si="190">IF(AM975=AQ$2,AO975,0)</f>
        <v>0</v>
      </c>
      <c r="AR975" s="152" t="e">
        <f t="shared" ref="AR975:AR1002" si="191">IF(AM975=AR$1,AO975,0)</f>
        <v>#N/A</v>
      </c>
      <c r="AS975" s="1"/>
      <c r="AT975" s="88" t="str">
        <f t="shared" si="184"/>
        <v/>
      </c>
      <c r="AU975" s="1"/>
      <c r="AV975" s="175">
        <f>IF(AW975&gt;0,COUNTIF(AV$4:AV974,"&gt;0")+1,0)</f>
        <v>0</v>
      </c>
      <c r="AW975" s="164">
        <f t="shared" si="185"/>
        <v>0</v>
      </c>
      <c r="AX975" s="310">
        <f>IF($AW975=0,0,VLOOKUP(VLOOKUP($X975,$B$34:$T$38,19,FALSE),ENTI!$A$9:$B$13,2,FALSE))</f>
        <v>0</v>
      </c>
      <c r="AY975" s="310">
        <f t="shared" si="187"/>
        <v>0</v>
      </c>
      <c r="AZ975" s="316">
        <f t="shared" si="188"/>
        <v>0</v>
      </c>
      <c r="BA975" s="1"/>
      <c r="BB975" s="152">
        <f t="shared" si="189"/>
        <v>0</v>
      </c>
      <c r="BC975" s="152">
        <f ca="1">SUM(Z$4:Z975)+SUM(BB$4:BB975)+COSTI!S$6-COSTI!L$1076</f>
        <v>-31.760000000000218</v>
      </c>
      <c r="BD975" s="1"/>
    </row>
    <row r="976" spans="1:56" ht="16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435">
        <f>IF(AND(W976&gt;=$U$1,W976&lt;=$U$2),IF(X976='ESTRATTO CONTO'!$E$2,1+COUNTIF(U$4:U975,"&gt;0"),0),0)</f>
        <v>0</v>
      </c>
      <c r="V976" s="417">
        <f t="shared" si="186"/>
        <v>973</v>
      </c>
      <c r="W976" s="509"/>
      <c r="X976" s="321"/>
      <c r="Y976" s="321"/>
      <c r="Z976" s="508"/>
      <c r="AA976" s="356"/>
      <c r="AB976" s="306" t="str">
        <f t="shared" si="182"/>
        <v/>
      </c>
      <c r="AC976" s="637">
        <f t="shared" ca="1" si="181"/>
        <v>-2.1316282072803006E-13</v>
      </c>
      <c r="AD976" s="935">
        <f>IF(ISERROR(VLOOKUP(AD$2,X977:X$1003,1,FALSE)),IF(X976=AD$2,SUMIF(X$4:X976,AD$2,Z$4:Z976)+$E$9+SUM(AQ$4:AQ$1003)+SUMIF(COSTI!$X$1379:$X$1430,AD$2,COSTI!$Z$1379:$Z$1430),0),0)</f>
        <v>0</v>
      </c>
      <c r="AE976" s="26"/>
      <c r="AF976" s="856" t="e">
        <f>IF(ISERROR(VLOOKUP(AG$2,X977:X$1003,1,FALSE)),IF(X976=AG$2,SUMIF(X$4:X976,AG$2,Z$4:Z976)+VLOOKUP(AF$2,$B$1057:$F$1068,5,FALSE)+SUM(AR$4:AR$1003)+SUMIF(COSTI!$X$1379:$X$1430,AG$2,COSTI!$Z$1379:$Z$1430),0),0)</f>
        <v>#N/A</v>
      </c>
      <c r="AG976" s="859"/>
      <c r="AH976" s="27" t="str">
        <f t="shared" si="183"/>
        <v/>
      </c>
      <c r="AI976" s="152">
        <f ca="1">IF(W977&gt;0,0,IF(AH976=0,(Z976*-1)+BC976+SUM(BB$4:BB975),BC976+SUM(BB$4:BB975)))</f>
        <v>-2.1316282072803006E-13</v>
      </c>
      <c r="AJ976" s="931">
        <f>IF(AND(AL976&gt;=$U$1,AL976&lt;=$U$2),IF(AM976='ESTRATTO CONTO'!$E$2,1+COUNTIF(AJ$4:AJ975,"&gt;0")+U$1015,0),0)</f>
        <v>0</v>
      </c>
      <c r="AK976" s="203">
        <f>IF(AND(OR((AK975+1)&lt;AL$1015,(AK975+1)=AL$1015),MAX(AK$4:AK975)&lt;AL$1015),AK975+1,0)</f>
        <v>0</v>
      </c>
      <c r="AL976" s="309">
        <f>VLOOKUP($AK976,ENTI!$AF$4:AG$1003,2,FALSE)</f>
        <v>0</v>
      </c>
      <c r="AM976" s="224">
        <f>VLOOKUP($AK976,ENTI!$AF$4:AH$1003,3,FALSE)</f>
        <v>0</v>
      </c>
      <c r="AN976" s="224">
        <f>VLOOKUP($AK976,ENTI!$AF$4:AI$1003,4,FALSE)</f>
        <v>0</v>
      </c>
      <c r="AO976" s="781">
        <f>VLOOKUP($AK976,ENTI!$AF$4:AJ$1003,5,FALSE)</f>
        <v>0</v>
      </c>
      <c r="AP976" s="315">
        <f>VLOOKUP($AK976,ENTI!$AF$4:AK$1003,6,FALSE)</f>
        <v>0</v>
      </c>
      <c r="AQ976" s="208">
        <f t="shared" si="190"/>
        <v>0</v>
      </c>
      <c r="AR976" s="152" t="e">
        <f t="shared" si="191"/>
        <v>#N/A</v>
      </c>
      <c r="AS976" s="1"/>
      <c r="AT976" s="88" t="str">
        <f t="shared" si="184"/>
        <v/>
      </c>
      <c r="AU976" s="1"/>
      <c r="AV976" s="175">
        <f>IF(AW976&gt;0,COUNTIF(AV$4:AV975,"&gt;0")+1,0)</f>
        <v>0</v>
      </c>
      <c r="AW976" s="164">
        <f t="shared" si="185"/>
        <v>0</v>
      </c>
      <c r="AX976" s="310">
        <f>IF($AW976=0,0,VLOOKUP(VLOOKUP($X976,$B$34:$T$38,19,FALSE),ENTI!$A$9:$B$13,2,FALSE))</f>
        <v>0</v>
      </c>
      <c r="AY976" s="310">
        <f t="shared" si="187"/>
        <v>0</v>
      </c>
      <c r="AZ976" s="316">
        <f t="shared" si="188"/>
        <v>0</v>
      </c>
      <c r="BA976" s="1"/>
      <c r="BB976" s="152">
        <f t="shared" si="189"/>
        <v>0</v>
      </c>
      <c r="BC976" s="152">
        <f ca="1">SUM(Z$4:Z976)+SUM(BB$4:BB976)+COSTI!S$6-COSTI!L$1076</f>
        <v>-31.760000000000218</v>
      </c>
      <c r="BD976" s="1"/>
    </row>
    <row r="977" spans="1:56" ht="16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435">
        <f>IF(AND(W977&gt;=$U$1,W977&lt;=$U$2),IF(X977='ESTRATTO CONTO'!$E$2,1+COUNTIF(U$4:U976,"&gt;0"),0),0)</f>
        <v>0</v>
      </c>
      <c r="V977" s="417">
        <f t="shared" si="186"/>
        <v>974</v>
      </c>
      <c r="W977" s="509"/>
      <c r="X977" s="321"/>
      <c r="Y977" s="321"/>
      <c r="Z977" s="508"/>
      <c r="AA977" s="356"/>
      <c r="AB977" s="306" t="str">
        <f t="shared" si="182"/>
        <v/>
      </c>
      <c r="AC977" s="637">
        <f t="shared" ca="1" si="181"/>
        <v>-2.1316282072803006E-13</v>
      </c>
      <c r="AD977" s="935">
        <f>IF(ISERROR(VLOOKUP(AD$2,X978:X$1003,1,FALSE)),IF(X977=AD$2,SUMIF(X$4:X977,AD$2,Z$4:Z977)+$E$9+SUM(AQ$4:AQ$1003)+SUMIF(COSTI!$X$1379:$X$1430,AD$2,COSTI!$Z$1379:$Z$1430),0),0)</f>
        <v>0</v>
      </c>
      <c r="AE977" s="26"/>
      <c r="AF977" s="856" t="e">
        <f>IF(ISERROR(VLOOKUP(AG$2,X978:X$1003,1,FALSE)),IF(X977=AG$2,SUMIF(X$4:X977,AG$2,Z$4:Z977)+VLOOKUP(AF$2,$B$1057:$F$1068,5,FALSE)+SUM(AR$4:AR$1003)+SUMIF(COSTI!$X$1379:$X$1430,AG$2,COSTI!$Z$1379:$Z$1430),0),0)</f>
        <v>#N/A</v>
      </c>
      <c r="AG977" s="859"/>
      <c r="AH977" s="27" t="str">
        <f t="shared" si="183"/>
        <v/>
      </c>
      <c r="AI977" s="152">
        <f ca="1">IF(W978&gt;0,0,IF(AH977=0,(Z977*-1)+BC977+SUM(BB$4:BB976),BC977+SUM(BB$4:BB976)))</f>
        <v>-2.1316282072803006E-13</v>
      </c>
      <c r="AJ977" s="931">
        <f>IF(AND(AL977&gt;=$U$1,AL977&lt;=$U$2),IF(AM977='ESTRATTO CONTO'!$E$2,1+COUNTIF(AJ$4:AJ976,"&gt;0")+U$1015,0),0)</f>
        <v>0</v>
      </c>
      <c r="AK977" s="203">
        <f>IF(AND(OR((AK976+1)&lt;AL$1015,(AK976+1)=AL$1015),MAX(AK$4:AK976)&lt;AL$1015),AK976+1,0)</f>
        <v>0</v>
      </c>
      <c r="AL977" s="309">
        <f>VLOOKUP($AK977,ENTI!$AF$4:AG$1003,2,FALSE)</f>
        <v>0</v>
      </c>
      <c r="AM977" s="224">
        <f>VLOOKUP($AK977,ENTI!$AF$4:AH$1003,3,FALSE)</f>
        <v>0</v>
      </c>
      <c r="AN977" s="224">
        <f>VLOOKUP($AK977,ENTI!$AF$4:AI$1003,4,FALSE)</f>
        <v>0</v>
      </c>
      <c r="AO977" s="781">
        <f>VLOOKUP($AK977,ENTI!$AF$4:AJ$1003,5,FALSE)</f>
        <v>0</v>
      </c>
      <c r="AP977" s="315">
        <f>VLOOKUP($AK977,ENTI!$AF$4:AK$1003,6,FALSE)</f>
        <v>0</v>
      </c>
      <c r="AQ977" s="208">
        <f t="shared" si="190"/>
        <v>0</v>
      </c>
      <c r="AR977" s="152" t="e">
        <f t="shared" si="191"/>
        <v>#N/A</v>
      </c>
      <c r="AS977" s="1"/>
      <c r="AT977" s="88" t="str">
        <f t="shared" si="184"/>
        <v/>
      </c>
      <c r="AU977" s="1"/>
      <c r="AV977" s="175">
        <f>IF(AW977&gt;0,COUNTIF(AV$4:AV976,"&gt;0")+1,0)</f>
        <v>0</v>
      </c>
      <c r="AW977" s="164">
        <f t="shared" si="185"/>
        <v>0</v>
      </c>
      <c r="AX977" s="310">
        <f>IF($AW977=0,0,VLOOKUP(VLOOKUP($X977,$B$34:$T$38,19,FALSE),ENTI!$A$9:$B$13,2,FALSE))</f>
        <v>0</v>
      </c>
      <c r="AY977" s="310">
        <f t="shared" si="187"/>
        <v>0</v>
      </c>
      <c r="AZ977" s="316">
        <f t="shared" si="188"/>
        <v>0</v>
      </c>
      <c r="BA977" s="1"/>
      <c r="BB977" s="152">
        <f t="shared" si="189"/>
        <v>0</v>
      </c>
      <c r="BC977" s="152">
        <f ca="1">SUM(Z$4:Z977)+SUM(BB$4:BB977)+COSTI!S$6-COSTI!L$1076</f>
        <v>-31.760000000000218</v>
      </c>
      <c r="BD977" s="1"/>
    </row>
    <row r="978" spans="1:56" ht="16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435">
        <f>IF(AND(W978&gt;=$U$1,W978&lt;=$U$2),IF(X978='ESTRATTO CONTO'!$E$2,1+COUNTIF(U$4:U977,"&gt;0"),0),0)</f>
        <v>0</v>
      </c>
      <c r="V978" s="417">
        <f t="shared" si="186"/>
        <v>975</v>
      </c>
      <c r="W978" s="509"/>
      <c r="X978" s="321"/>
      <c r="Y978" s="321"/>
      <c r="Z978" s="508"/>
      <c r="AA978" s="356"/>
      <c r="AB978" s="306" t="str">
        <f t="shared" si="182"/>
        <v/>
      </c>
      <c r="AC978" s="637">
        <f t="shared" ca="1" si="181"/>
        <v>-2.1316282072803006E-13</v>
      </c>
      <c r="AD978" s="935">
        <f>IF(ISERROR(VLOOKUP(AD$2,X979:X$1003,1,FALSE)),IF(X978=AD$2,SUMIF(X$4:X978,AD$2,Z$4:Z978)+$E$9+SUM(AQ$4:AQ$1003)+SUMIF(COSTI!$X$1379:$X$1430,AD$2,COSTI!$Z$1379:$Z$1430),0),0)</f>
        <v>0</v>
      </c>
      <c r="AE978" s="26"/>
      <c r="AF978" s="856" t="e">
        <f>IF(ISERROR(VLOOKUP(AG$2,X979:X$1003,1,FALSE)),IF(X978=AG$2,SUMIF(X$4:X978,AG$2,Z$4:Z978)+VLOOKUP(AF$2,$B$1057:$F$1068,5,FALSE)+SUM(AR$4:AR$1003)+SUMIF(COSTI!$X$1379:$X$1430,AG$2,COSTI!$Z$1379:$Z$1430),0),0)</f>
        <v>#N/A</v>
      </c>
      <c r="AG978" s="859"/>
      <c r="AH978" s="27" t="str">
        <f t="shared" si="183"/>
        <v/>
      </c>
      <c r="AI978" s="152">
        <f ca="1">IF(W979&gt;0,0,IF(AH978=0,(Z978*-1)+BC978+SUM(BB$4:BB977),BC978+SUM(BB$4:BB977)))</f>
        <v>-2.1316282072803006E-13</v>
      </c>
      <c r="AJ978" s="931">
        <f>IF(AND(AL978&gt;=$U$1,AL978&lt;=$U$2),IF(AM978='ESTRATTO CONTO'!$E$2,1+COUNTIF(AJ$4:AJ977,"&gt;0")+U$1015,0),0)</f>
        <v>0</v>
      </c>
      <c r="AK978" s="203">
        <f>IF(AND(OR((AK977+1)&lt;AL$1015,(AK977+1)=AL$1015),MAX(AK$4:AK977)&lt;AL$1015),AK977+1,0)</f>
        <v>0</v>
      </c>
      <c r="AL978" s="309">
        <f>VLOOKUP($AK978,ENTI!$AF$4:AG$1003,2,FALSE)</f>
        <v>0</v>
      </c>
      <c r="AM978" s="224">
        <f>VLOOKUP($AK978,ENTI!$AF$4:AH$1003,3,FALSE)</f>
        <v>0</v>
      </c>
      <c r="AN978" s="224">
        <f>VLOOKUP($AK978,ENTI!$AF$4:AI$1003,4,FALSE)</f>
        <v>0</v>
      </c>
      <c r="AO978" s="781">
        <f>VLOOKUP($AK978,ENTI!$AF$4:AJ$1003,5,FALSE)</f>
        <v>0</v>
      </c>
      <c r="AP978" s="315">
        <f>VLOOKUP($AK978,ENTI!$AF$4:AK$1003,6,FALSE)</f>
        <v>0</v>
      </c>
      <c r="AQ978" s="208">
        <f t="shared" si="190"/>
        <v>0</v>
      </c>
      <c r="AR978" s="152" t="e">
        <f t="shared" si="191"/>
        <v>#N/A</v>
      </c>
      <c r="AS978" s="1"/>
      <c r="AT978" s="88" t="str">
        <f t="shared" si="184"/>
        <v/>
      </c>
      <c r="AU978" s="1"/>
      <c r="AV978" s="175">
        <f>IF(AW978&gt;0,COUNTIF(AV$4:AV977,"&gt;0")+1,0)</f>
        <v>0</v>
      </c>
      <c r="AW978" s="164">
        <f t="shared" si="185"/>
        <v>0</v>
      </c>
      <c r="AX978" s="310">
        <f>IF($AW978=0,0,VLOOKUP(VLOOKUP($X978,$B$34:$T$38,19,FALSE),ENTI!$A$9:$B$13,2,FALSE))</f>
        <v>0</v>
      </c>
      <c r="AY978" s="310">
        <f t="shared" si="187"/>
        <v>0</v>
      </c>
      <c r="AZ978" s="316">
        <f t="shared" si="188"/>
        <v>0</v>
      </c>
      <c r="BA978" s="1"/>
      <c r="BB978" s="152">
        <f t="shared" si="189"/>
        <v>0</v>
      </c>
      <c r="BC978" s="152">
        <f ca="1">SUM(Z$4:Z978)+SUM(BB$4:BB978)+COSTI!S$6-COSTI!L$1076</f>
        <v>-31.760000000000218</v>
      </c>
      <c r="BD978" s="1"/>
    </row>
    <row r="979" spans="1:56" ht="16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435">
        <f>IF(AND(W979&gt;=$U$1,W979&lt;=$U$2),IF(X979='ESTRATTO CONTO'!$E$2,1+COUNTIF(U$4:U978,"&gt;0"),0),0)</f>
        <v>0</v>
      </c>
      <c r="V979" s="417">
        <f t="shared" si="186"/>
        <v>976</v>
      </c>
      <c r="W979" s="509"/>
      <c r="X979" s="321"/>
      <c r="Y979" s="321"/>
      <c r="Z979" s="508"/>
      <c r="AA979" s="356"/>
      <c r="AB979" s="306" t="str">
        <f t="shared" si="182"/>
        <v/>
      </c>
      <c r="AC979" s="637">
        <f t="shared" ca="1" si="181"/>
        <v>-2.1316282072803006E-13</v>
      </c>
      <c r="AD979" s="935">
        <f>IF(ISERROR(VLOOKUP(AD$2,X980:X$1003,1,FALSE)),IF(X979=AD$2,SUMIF(X$4:X979,AD$2,Z$4:Z979)+$E$9+SUM(AQ$4:AQ$1003)+SUMIF(COSTI!$X$1379:$X$1430,AD$2,COSTI!$Z$1379:$Z$1430),0),0)</f>
        <v>0</v>
      </c>
      <c r="AE979" s="26"/>
      <c r="AF979" s="856" t="e">
        <f>IF(ISERROR(VLOOKUP(AG$2,X980:X$1003,1,FALSE)),IF(X979=AG$2,SUMIF(X$4:X979,AG$2,Z$4:Z979)+VLOOKUP(AF$2,$B$1057:$F$1068,5,FALSE)+SUM(AR$4:AR$1003)+SUMIF(COSTI!$X$1379:$X$1430,AG$2,COSTI!$Z$1379:$Z$1430),0),0)</f>
        <v>#N/A</v>
      </c>
      <c r="AG979" s="859"/>
      <c r="AH979" s="27" t="str">
        <f t="shared" si="183"/>
        <v/>
      </c>
      <c r="AI979" s="152">
        <f ca="1">IF(W980&gt;0,0,IF(AH979=0,(Z979*-1)+BC979+SUM(BB$4:BB978),BC979+SUM(BB$4:BB978)))</f>
        <v>-2.1316282072803006E-13</v>
      </c>
      <c r="AJ979" s="931">
        <f>IF(AND(AL979&gt;=$U$1,AL979&lt;=$U$2),IF(AM979='ESTRATTO CONTO'!$E$2,1+COUNTIF(AJ$4:AJ978,"&gt;0")+U$1015,0),0)</f>
        <v>0</v>
      </c>
      <c r="AK979" s="203">
        <f>IF(AND(OR((AK978+1)&lt;AL$1015,(AK978+1)=AL$1015),MAX(AK$4:AK978)&lt;AL$1015),AK978+1,0)</f>
        <v>0</v>
      </c>
      <c r="AL979" s="309">
        <f>VLOOKUP($AK979,ENTI!$AF$4:AG$1003,2,FALSE)</f>
        <v>0</v>
      </c>
      <c r="AM979" s="224">
        <f>VLOOKUP($AK979,ENTI!$AF$4:AH$1003,3,FALSE)</f>
        <v>0</v>
      </c>
      <c r="AN979" s="224">
        <f>VLOOKUP($AK979,ENTI!$AF$4:AI$1003,4,FALSE)</f>
        <v>0</v>
      </c>
      <c r="AO979" s="781">
        <f>VLOOKUP($AK979,ENTI!$AF$4:AJ$1003,5,FALSE)</f>
        <v>0</v>
      </c>
      <c r="AP979" s="315">
        <f>VLOOKUP($AK979,ENTI!$AF$4:AK$1003,6,FALSE)</f>
        <v>0</v>
      </c>
      <c r="AQ979" s="208">
        <f t="shared" si="190"/>
        <v>0</v>
      </c>
      <c r="AR979" s="152" t="e">
        <f t="shared" si="191"/>
        <v>#N/A</v>
      </c>
      <c r="AS979" s="1"/>
      <c r="AT979" s="88" t="str">
        <f t="shared" si="184"/>
        <v/>
      </c>
      <c r="AU979" s="1"/>
      <c r="AV979" s="175">
        <f>IF(AW979&gt;0,COUNTIF(AV$4:AV978,"&gt;0")+1,0)</f>
        <v>0</v>
      </c>
      <c r="AW979" s="164">
        <f t="shared" si="185"/>
        <v>0</v>
      </c>
      <c r="AX979" s="310">
        <f>IF($AW979=0,0,VLOOKUP(VLOOKUP($X979,$B$34:$T$38,19,FALSE),ENTI!$A$9:$B$13,2,FALSE))</f>
        <v>0</v>
      </c>
      <c r="AY979" s="310">
        <f t="shared" si="187"/>
        <v>0</v>
      </c>
      <c r="AZ979" s="316">
        <f t="shared" si="188"/>
        <v>0</v>
      </c>
      <c r="BA979" s="1"/>
      <c r="BB979" s="152">
        <f t="shared" si="189"/>
        <v>0</v>
      </c>
      <c r="BC979" s="152">
        <f ca="1">SUM(Z$4:Z979)+SUM(BB$4:BB979)+COSTI!S$6-COSTI!L$1076</f>
        <v>-31.760000000000218</v>
      </c>
      <c r="BD979" s="1"/>
    </row>
    <row r="980" spans="1:56" ht="16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435">
        <f>IF(AND(W980&gt;=$U$1,W980&lt;=$U$2),IF(X980='ESTRATTO CONTO'!$E$2,1+COUNTIF(U$4:U979,"&gt;0"),0),0)</f>
        <v>0</v>
      </c>
      <c r="V980" s="417">
        <f t="shared" si="186"/>
        <v>977</v>
      </c>
      <c r="W980" s="509"/>
      <c r="X980" s="321"/>
      <c r="Y980" s="321"/>
      <c r="Z980" s="508"/>
      <c r="AA980" s="356"/>
      <c r="AB980" s="306" t="str">
        <f t="shared" si="182"/>
        <v/>
      </c>
      <c r="AC980" s="637">
        <f t="shared" ca="1" si="181"/>
        <v>-2.1316282072803006E-13</v>
      </c>
      <c r="AD980" s="935">
        <f>IF(ISERROR(VLOOKUP(AD$2,X981:X$1003,1,FALSE)),IF(X980=AD$2,SUMIF(X$4:X980,AD$2,Z$4:Z980)+$E$9+SUM(AQ$4:AQ$1003)+SUMIF(COSTI!$X$1379:$X$1430,AD$2,COSTI!$Z$1379:$Z$1430),0),0)</f>
        <v>0</v>
      </c>
      <c r="AE980" s="26"/>
      <c r="AF980" s="856" t="e">
        <f>IF(ISERROR(VLOOKUP(AG$2,X981:X$1003,1,FALSE)),IF(X980=AG$2,SUMIF(X$4:X980,AG$2,Z$4:Z980)+VLOOKUP(AF$2,$B$1057:$F$1068,5,FALSE)+SUM(AR$4:AR$1003)+SUMIF(COSTI!$X$1379:$X$1430,AG$2,COSTI!$Z$1379:$Z$1430),0),0)</f>
        <v>#N/A</v>
      </c>
      <c r="AG980" s="859"/>
      <c r="AH980" s="27" t="str">
        <f t="shared" si="183"/>
        <v/>
      </c>
      <c r="AI980" s="152">
        <f ca="1">IF(W981&gt;0,0,IF(AH980=0,(Z980*-1)+BC980+SUM(BB$4:BB979),BC980+SUM(BB$4:BB979)))</f>
        <v>-2.1316282072803006E-13</v>
      </c>
      <c r="AJ980" s="931">
        <f>IF(AND(AL980&gt;=$U$1,AL980&lt;=$U$2),IF(AM980='ESTRATTO CONTO'!$E$2,1+COUNTIF(AJ$4:AJ979,"&gt;0")+U$1015,0),0)</f>
        <v>0</v>
      </c>
      <c r="AK980" s="203">
        <f>IF(AND(OR((AK979+1)&lt;AL$1015,(AK979+1)=AL$1015),MAX(AK$4:AK979)&lt;AL$1015),AK979+1,0)</f>
        <v>0</v>
      </c>
      <c r="AL980" s="309">
        <f>VLOOKUP($AK980,ENTI!$AF$4:AG$1003,2,FALSE)</f>
        <v>0</v>
      </c>
      <c r="AM980" s="224">
        <f>VLOOKUP($AK980,ENTI!$AF$4:AH$1003,3,FALSE)</f>
        <v>0</v>
      </c>
      <c r="AN980" s="224">
        <f>VLOOKUP($AK980,ENTI!$AF$4:AI$1003,4,FALSE)</f>
        <v>0</v>
      </c>
      <c r="AO980" s="781">
        <f>VLOOKUP($AK980,ENTI!$AF$4:AJ$1003,5,FALSE)</f>
        <v>0</v>
      </c>
      <c r="AP980" s="315">
        <f>VLOOKUP($AK980,ENTI!$AF$4:AK$1003,6,FALSE)</f>
        <v>0</v>
      </c>
      <c r="AQ980" s="208">
        <f t="shared" si="190"/>
        <v>0</v>
      </c>
      <c r="AR980" s="152" t="e">
        <f t="shared" si="191"/>
        <v>#N/A</v>
      </c>
      <c r="AS980" s="1"/>
      <c r="AT980" s="88" t="str">
        <f t="shared" si="184"/>
        <v/>
      </c>
      <c r="AU980" s="1"/>
      <c r="AV980" s="175">
        <f>IF(AW980&gt;0,COUNTIF(AV$4:AV979,"&gt;0")+1,0)</f>
        <v>0</v>
      </c>
      <c r="AW980" s="164">
        <f t="shared" si="185"/>
        <v>0</v>
      </c>
      <c r="AX980" s="310">
        <f>IF($AW980=0,0,VLOOKUP(VLOOKUP($X980,$B$34:$T$38,19,FALSE),ENTI!$A$9:$B$13,2,FALSE))</f>
        <v>0</v>
      </c>
      <c r="AY980" s="310">
        <f t="shared" si="187"/>
        <v>0</v>
      </c>
      <c r="AZ980" s="316">
        <f t="shared" si="188"/>
        <v>0</v>
      </c>
      <c r="BA980" s="1"/>
      <c r="BB980" s="152">
        <f t="shared" si="189"/>
        <v>0</v>
      </c>
      <c r="BC980" s="152">
        <f ca="1">SUM(Z$4:Z980)+SUM(BB$4:BB980)+COSTI!S$6-COSTI!L$1076</f>
        <v>-31.760000000000218</v>
      </c>
      <c r="BD980" s="1"/>
    </row>
    <row r="981" spans="1:56" ht="16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435">
        <f>IF(AND(W981&gt;=$U$1,W981&lt;=$U$2),IF(X981='ESTRATTO CONTO'!$E$2,1+COUNTIF(U$4:U980,"&gt;0"),0),0)</f>
        <v>0</v>
      </c>
      <c r="V981" s="417">
        <f t="shared" si="186"/>
        <v>978</v>
      </c>
      <c r="W981" s="509"/>
      <c r="X981" s="321"/>
      <c r="Y981" s="321"/>
      <c r="Z981" s="508"/>
      <c r="AA981" s="356"/>
      <c r="AB981" s="306" t="str">
        <f t="shared" si="182"/>
        <v/>
      </c>
      <c r="AC981" s="637">
        <f t="shared" ca="1" si="181"/>
        <v>-2.1316282072803006E-13</v>
      </c>
      <c r="AD981" s="935">
        <f>IF(ISERROR(VLOOKUP(AD$2,X982:X$1003,1,FALSE)),IF(X981=AD$2,SUMIF(X$4:X981,AD$2,Z$4:Z981)+$E$9+SUM(AQ$4:AQ$1003)+SUMIF(COSTI!$X$1379:$X$1430,AD$2,COSTI!$Z$1379:$Z$1430),0),0)</f>
        <v>0</v>
      </c>
      <c r="AE981" s="26"/>
      <c r="AF981" s="856" t="e">
        <f>IF(ISERROR(VLOOKUP(AG$2,X982:X$1003,1,FALSE)),IF(X981=AG$2,SUMIF(X$4:X981,AG$2,Z$4:Z981)+VLOOKUP(AF$2,$B$1057:$F$1068,5,FALSE)+SUM(AR$4:AR$1003)+SUMIF(COSTI!$X$1379:$X$1430,AG$2,COSTI!$Z$1379:$Z$1430),0),0)</f>
        <v>#N/A</v>
      </c>
      <c r="AG981" s="859"/>
      <c r="AH981" s="27" t="str">
        <f t="shared" si="183"/>
        <v/>
      </c>
      <c r="AI981" s="152">
        <f ca="1">IF(W982&gt;0,0,IF(AH981=0,(Z981*-1)+BC981+SUM(BB$4:BB980),BC981+SUM(BB$4:BB980)))</f>
        <v>-2.1316282072803006E-13</v>
      </c>
      <c r="AJ981" s="931">
        <f>IF(AND(AL981&gt;=$U$1,AL981&lt;=$U$2),IF(AM981='ESTRATTO CONTO'!$E$2,1+COUNTIF(AJ$4:AJ980,"&gt;0")+U$1015,0),0)</f>
        <v>0</v>
      </c>
      <c r="AK981" s="203">
        <f>IF(AND(OR((AK980+1)&lt;AL$1015,(AK980+1)=AL$1015),MAX(AK$4:AK980)&lt;AL$1015),AK980+1,0)</f>
        <v>0</v>
      </c>
      <c r="AL981" s="309">
        <f>VLOOKUP($AK981,ENTI!$AF$4:AG$1003,2,FALSE)</f>
        <v>0</v>
      </c>
      <c r="AM981" s="224">
        <f>VLOOKUP($AK981,ENTI!$AF$4:AH$1003,3,FALSE)</f>
        <v>0</v>
      </c>
      <c r="AN981" s="224">
        <f>VLOOKUP($AK981,ENTI!$AF$4:AI$1003,4,FALSE)</f>
        <v>0</v>
      </c>
      <c r="AO981" s="781">
        <f>VLOOKUP($AK981,ENTI!$AF$4:AJ$1003,5,FALSE)</f>
        <v>0</v>
      </c>
      <c r="AP981" s="315">
        <f>VLOOKUP($AK981,ENTI!$AF$4:AK$1003,6,FALSE)</f>
        <v>0</v>
      </c>
      <c r="AQ981" s="208">
        <f t="shared" si="190"/>
        <v>0</v>
      </c>
      <c r="AR981" s="152" t="e">
        <f t="shared" si="191"/>
        <v>#N/A</v>
      </c>
      <c r="AS981" s="1"/>
      <c r="AT981" s="88" t="str">
        <f t="shared" si="184"/>
        <v/>
      </c>
      <c r="AU981" s="1"/>
      <c r="AV981" s="175">
        <f>IF(AW981&gt;0,COUNTIF(AV$4:AV980,"&gt;0")+1,0)</f>
        <v>0</v>
      </c>
      <c r="AW981" s="164">
        <f t="shared" si="185"/>
        <v>0</v>
      </c>
      <c r="AX981" s="310">
        <f>IF($AW981=0,0,VLOOKUP(VLOOKUP($X981,$B$34:$T$38,19,FALSE),ENTI!$A$9:$B$13,2,FALSE))</f>
        <v>0</v>
      </c>
      <c r="AY981" s="310">
        <f t="shared" si="187"/>
        <v>0</v>
      </c>
      <c r="AZ981" s="316">
        <f t="shared" si="188"/>
        <v>0</v>
      </c>
      <c r="BA981" s="1"/>
      <c r="BB981" s="152">
        <f t="shared" si="189"/>
        <v>0</v>
      </c>
      <c r="BC981" s="152">
        <f ca="1">SUM(Z$4:Z981)+SUM(BB$4:BB981)+COSTI!S$6-COSTI!L$1076</f>
        <v>-31.760000000000218</v>
      </c>
      <c r="BD981" s="1"/>
    </row>
    <row r="982" spans="1:56" ht="16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435">
        <f>IF(AND(W982&gt;=$U$1,W982&lt;=$U$2),IF(X982='ESTRATTO CONTO'!$E$2,1+COUNTIF(U$4:U981,"&gt;0"),0),0)</f>
        <v>0</v>
      </c>
      <c r="V982" s="417">
        <f t="shared" si="186"/>
        <v>979</v>
      </c>
      <c r="W982" s="509"/>
      <c r="X982" s="321"/>
      <c r="Y982" s="321"/>
      <c r="Z982" s="508"/>
      <c r="AA982" s="356"/>
      <c r="AB982" s="306" t="str">
        <f t="shared" si="182"/>
        <v/>
      </c>
      <c r="AC982" s="637">
        <f t="shared" ca="1" si="181"/>
        <v>-2.1316282072803006E-13</v>
      </c>
      <c r="AD982" s="935">
        <f>IF(ISERROR(VLOOKUP(AD$2,X983:X$1003,1,FALSE)),IF(X982=AD$2,SUMIF(X$4:X982,AD$2,Z$4:Z982)+$E$9+SUM(AQ$4:AQ$1003)+SUMIF(COSTI!$X$1379:$X$1430,AD$2,COSTI!$Z$1379:$Z$1430),0),0)</f>
        <v>0</v>
      </c>
      <c r="AE982" s="26"/>
      <c r="AF982" s="856" t="e">
        <f>IF(ISERROR(VLOOKUP(AG$2,X983:X$1003,1,FALSE)),IF(X982=AG$2,SUMIF(X$4:X982,AG$2,Z$4:Z982)+VLOOKUP(AF$2,$B$1057:$F$1068,5,FALSE)+SUM(AR$4:AR$1003)+SUMIF(COSTI!$X$1379:$X$1430,AG$2,COSTI!$Z$1379:$Z$1430),0),0)</f>
        <v>#N/A</v>
      </c>
      <c r="AG982" s="859"/>
      <c r="AH982" s="27" t="str">
        <f t="shared" si="183"/>
        <v/>
      </c>
      <c r="AI982" s="152">
        <f ca="1">IF(W983&gt;0,0,IF(AH982=0,(Z982*-1)+BC982+SUM(BB$4:BB981),BC982+SUM(BB$4:BB981)))</f>
        <v>-2.1316282072803006E-13</v>
      </c>
      <c r="AJ982" s="931">
        <f>IF(AND(AL982&gt;=$U$1,AL982&lt;=$U$2),IF(AM982='ESTRATTO CONTO'!$E$2,1+COUNTIF(AJ$4:AJ981,"&gt;0")+U$1015,0),0)</f>
        <v>0</v>
      </c>
      <c r="AK982" s="203">
        <f>IF(AND(OR((AK981+1)&lt;AL$1015,(AK981+1)=AL$1015),MAX(AK$4:AK981)&lt;AL$1015),AK981+1,0)</f>
        <v>0</v>
      </c>
      <c r="AL982" s="309">
        <f>VLOOKUP($AK982,ENTI!$AF$4:AG$1003,2,FALSE)</f>
        <v>0</v>
      </c>
      <c r="AM982" s="224">
        <f>VLOOKUP($AK982,ENTI!$AF$4:AH$1003,3,FALSE)</f>
        <v>0</v>
      </c>
      <c r="AN982" s="224">
        <f>VLOOKUP($AK982,ENTI!$AF$4:AI$1003,4,FALSE)</f>
        <v>0</v>
      </c>
      <c r="AO982" s="781">
        <f>VLOOKUP($AK982,ENTI!$AF$4:AJ$1003,5,FALSE)</f>
        <v>0</v>
      </c>
      <c r="AP982" s="315">
        <f>VLOOKUP($AK982,ENTI!$AF$4:AK$1003,6,FALSE)</f>
        <v>0</v>
      </c>
      <c r="AQ982" s="208">
        <f t="shared" si="190"/>
        <v>0</v>
      </c>
      <c r="AR982" s="152" t="e">
        <f t="shared" si="191"/>
        <v>#N/A</v>
      </c>
      <c r="AS982" s="1"/>
      <c r="AT982" s="88" t="str">
        <f t="shared" si="184"/>
        <v/>
      </c>
      <c r="AU982" s="1"/>
      <c r="AV982" s="175">
        <f>IF(AW982&gt;0,COUNTIF(AV$4:AV981,"&gt;0")+1,0)</f>
        <v>0</v>
      </c>
      <c r="AW982" s="164">
        <f t="shared" si="185"/>
        <v>0</v>
      </c>
      <c r="AX982" s="310">
        <f>IF($AW982=0,0,VLOOKUP(VLOOKUP($X982,$B$34:$T$38,19,FALSE),ENTI!$A$9:$B$13,2,FALSE))</f>
        <v>0</v>
      </c>
      <c r="AY982" s="310">
        <f t="shared" si="187"/>
        <v>0</v>
      </c>
      <c r="AZ982" s="316">
        <f t="shared" si="188"/>
        <v>0</v>
      </c>
      <c r="BA982" s="1"/>
      <c r="BB982" s="152">
        <f t="shared" si="189"/>
        <v>0</v>
      </c>
      <c r="BC982" s="152">
        <f ca="1">SUM(Z$4:Z982)+SUM(BB$4:BB982)+COSTI!S$6-COSTI!L$1076</f>
        <v>-31.760000000000218</v>
      </c>
      <c r="BD982" s="1"/>
    </row>
    <row r="983" spans="1:56" ht="16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435">
        <f>IF(AND(W983&gt;=$U$1,W983&lt;=$U$2),IF(X983='ESTRATTO CONTO'!$E$2,1+COUNTIF(U$4:U982,"&gt;0"),0),0)</f>
        <v>0</v>
      </c>
      <c r="V983" s="417">
        <f t="shared" si="186"/>
        <v>980</v>
      </c>
      <c r="W983" s="509"/>
      <c r="X983" s="321"/>
      <c r="Y983" s="321"/>
      <c r="Z983" s="508"/>
      <c r="AA983" s="356"/>
      <c r="AB983" s="306" t="str">
        <f t="shared" si="182"/>
        <v/>
      </c>
      <c r="AC983" s="637">
        <f t="shared" ca="1" si="181"/>
        <v>-2.1316282072803006E-13</v>
      </c>
      <c r="AD983" s="935">
        <f>IF(ISERROR(VLOOKUP(AD$2,X984:X$1003,1,FALSE)),IF(X983=AD$2,SUMIF(X$4:X983,AD$2,Z$4:Z983)+$E$9+SUM(AQ$4:AQ$1003)+SUMIF(COSTI!$X$1379:$X$1430,AD$2,COSTI!$Z$1379:$Z$1430),0),0)</f>
        <v>0</v>
      </c>
      <c r="AE983" s="26"/>
      <c r="AF983" s="856" t="e">
        <f>IF(ISERROR(VLOOKUP(AG$2,X984:X$1003,1,FALSE)),IF(X983=AG$2,SUMIF(X$4:X983,AG$2,Z$4:Z983)+VLOOKUP(AF$2,$B$1057:$F$1068,5,FALSE)+SUM(AR$4:AR$1003)+SUMIF(COSTI!$X$1379:$X$1430,AG$2,COSTI!$Z$1379:$Z$1430),0),0)</f>
        <v>#N/A</v>
      </c>
      <c r="AG983" s="859"/>
      <c r="AH983" s="27" t="str">
        <f t="shared" si="183"/>
        <v/>
      </c>
      <c r="AI983" s="152">
        <f ca="1">IF(W984&gt;0,0,IF(AH983=0,(Z983*-1)+BC983+SUM(BB$4:BB982),BC983+SUM(BB$4:BB982)))</f>
        <v>-2.1316282072803006E-13</v>
      </c>
      <c r="AJ983" s="931">
        <f>IF(AND(AL983&gt;=$U$1,AL983&lt;=$U$2),IF(AM983='ESTRATTO CONTO'!$E$2,1+COUNTIF(AJ$4:AJ982,"&gt;0")+U$1015,0),0)</f>
        <v>0</v>
      </c>
      <c r="AK983" s="203">
        <f>IF(AND(OR((AK982+1)&lt;AL$1015,(AK982+1)=AL$1015),MAX(AK$4:AK982)&lt;AL$1015),AK982+1,0)</f>
        <v>0</v>
      </c>
      <c r="AL983" s="309">
        <f>VLOOKUP($AK983,ENTI!$AF$4:AG$1003,2,FALSE)</f>
        <v>0</v>
      </c>
      <c r="AM983" s="224">
        <f>VLOOKUP($AK983,ENTI!$AF$4:AH$1003,3,FALSE)</f>
        <v>0</v>
      </c>
      <c r="AN983" s="224">
        <f>VLOOKUP($AK983,ENTI!$AF$4:AI$1003,4,FALSE)</f>
        <v>0</v>
      </c>
      <c r="AO983" s="781">
        <f>VLOOKUP($AK983,ENTI!$AF$4:AJ$1003,5,FALSE)</f>
        <v>0</v>
      </c>
      <c r="AP983" s="315">
        <f>VLOOKUP($AK983,ENTI!$AF$4:AK$1003,6,FALSE)</f>
        <v>0</v>
      </c>
      <c r="AQ983" s="208">
        <f t="shared" si="190"/>
        <v>0</v>
      </c>
      <c r="AR983" s="152" t="e">
        <f t="shared" si="191"/>
        <v>#N/A</v>
      </c>
      <c r="AS983" s="1"/>
      <c r="AT983" s="88" t="str">
        <f t="shared" si="184"/>
        <v/>
      </c>
      <c r="AU983" s="1"/>
      <c r="AV983" s="175">
        <f>IF(AW983&gt;0,COUNTIF(AV$4:AV982,"&gt;0")+1,0)</f>
        <v>0</v>
      </c>
      <c r="AW983" s="164">
        <f t="shared" si="185"/>
        <v>0</v>
      </c>
      <c r="AX983" s="310">
        <f>IF($AW983=0,0,VLOOKUP(VLOOKUP($X983,$B$34:$T$38,19,FALSE),ENTI!$A$9:$B$13,2,FALSE))</f>
        <v>0</v>
      </c>
      <c r="AY983" s="310">
        <f t="shared" si="187"/>
        <v>0</v>
      </c>
      <c r="AZ983" s="316">
        <f t="shared" si="188"/>
        <v>0</v>
      </c>
      <c r="BA983" s="1"/>
      <c r="BB983" s="152">
        <f t="shared" si="189"/>
        <v>0</v>
      </c>
      <c r="BC983" s="152">
        <f ca="1">SUM(Z$4:Z983)+SUM(BB$4:BB983)+COSTI!S$6-COSTI!L$1076</f>
        <v>-31.760000000000218</v>
      </c>
      <c r="BD983" s="1"/>
    </row>
    <row r="984" spans="1:56" ht="16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435">
        <f>IF(AND(W984&gt;=$U$1,W984&lt;=$U$2),IF(X984='ESTRATTO CONTO'!$E$2,1+COUNTIF(U$4:U983,"&gt;0"),0),0)</f>
        <v>0</v>
      </c>
      <c r="V984" s="417">
        <f t="shared" si="186"/>
        <v>981</v>
      </c>
      <c r="W984" s="509"/>
      <c r="X984" s="321"/>
      <c r="Y984" s="321"/>
      <c r="Z984" s="508"/>
      <c r="AA984" s="356"/>
      <c r="AB984" s="306" t="str">
        <f t="shared" si="182"/>
        <v/>
      </c>
      <c r="AC984" s="637">
        <f t="shared" ca="1" si="181"/>
        <v>-2.1316282072803006E-13</v>
      </c>
      <c r="AD984" s="935">
        <f>IF(ISERROR(VLOOKUP(AD$2,X985:X$1003,1,FALSE)),IF(X984=AD$2,SUMIF(X$4:X984,AD$2,Z$4:Z984)+$E$9+SUM(AQ$4:AQ$1003)+SUMIF(COSTI!$X$1379:$X$1430,AD$2,COSTI!$Z$1379:$Z$1430),0),0)</f>
        <v>0</v>
      </c>
      <c r="AE984" s="26"/>
      <c r="AF984" s="856" t="e">
        <f>IF(ISERROR(VLOOKUP(AG$2,X985:X$1003,1,FALSE)),IF(X984=AG$2,SUMIF(X$4:X984,AG$2,Z$4:Z984)+VLOOKUP(AF$2,$B$1057:$F$1068,5,FALSE)+SUM(AR$4:AR$1003)+SUMIF(COSTI!$X$1379:$X$1430,AG$2,COSTI!$Z$1379:$Z$1430),0),0)</f>
        <v>#N/A</v>
      </c>
      <c r="AG984" s="859"/>
      <c r="AH984" s="27" t="str">
        <f t="shared" si="183"/>
        <v/>
      </c>
      <c r="AI984" s="152">
        <f ca="1">IF(W985&gt;0,0,IF(AH984=0,(Z984*-1)+BC984+SUM(BB$4:BB983),BC984+SUM(BB$4:BB983)))</f>
        <v>-2.1316282072803006E-13</v>
      </c>
      <c r="AJ984" s="931">
        <f>IF(AND(AL984&gt;=$U$1,AL984&lt;=$U$2),IF(AM984='ESTRATTO CONTO'!$E$2,1+COUNTIF(AJ$4:AJ983,"&gt;0")+U$1015,0),0)</f>
        <v>0</v>
      </c>
      <c r="AK984" s="203">
        <f>IF(AND(OR((AK983+1)&lt;AL$1015,(AK983+1)=AL$1015),MAX(AK$4:AK983)&lt;AL$1015),AK983+1,0)</f>
        <v>0</v>
      </c>
      <c r="AL984" s="309">
        <f>VLOOKUP($AK984,ENTI!$AF$4:AG$1003,2,FALSE)</f>
        <v>0</v>
      </c>
      <c r="AM984" s="224">
        <f>VLOOKUP($AK984,ENTI!$AF$4:AH$1003,3,FALSE)</f>
        <v>0</v>
      </c>
      <c r="AN984" s="224">
        <f>VLOOKUP($AK984,ENTI!$AF$4:AI$1003,4,FALSE)</f>
        <v>0</v>
      </c>
      <c r="AO984" s="781">
        <f>VLOOKUP($AK984,ENTI!$AF$4:AJ$1003,5,FALSE)</f>
        <v>0</v>
      </c>
      <c r="AP984" s="315">
        <f>VLOOKUP($AK984,ENTI!$AF$4:AK$1003,6,FALSE)</f>
        <v>0</v>
      </c>
      <c r="AQ984" s="208">
        <f t="shared" si="190"/>
        <v>0</v>
      </c>
      <c r="AR984" s="152" t="e">
        <f t="shared" si="191"/>
        <v>#N/A</v>
      </c>
      <c r="AS984" s="1"/>
      <c r="AT984" s="88" t="str">
        <f t="shared" si="184"/>
        <v/>
      </c>
      <c r="AU984" s="1"/>
      <c r="AV984" s="175">
        <f>IF(AW984&gt;0,COUNTIF(AV$4:AV983,"&gt;0")+1,0)</f>
        <v>0</v>
      </c>
      <c r="AW984" s="164">
        <f t="shared" si="185"/>
        <v>0</v>
      </c>
      <c r="AX984" s="310">
        <f>IF($AW984=0,0,VLOOKUP(VLOOKUP($X984,$B$34:$T$38,19,FALSE),ENTI!$A$9:$B$13,2,FALSE))</f>
        <v>0</v>
      </c>
      <c r="AY984" s="310">
        <f t="shared" si="187"/>
        <v>0</v>
      </c>
      <c r="AZ984" s="316">
        <f t="shared" si="188"/>
        <v>0</v>
      </c>
      <c r="BA984" s="1"/>
      <c r="BB984" s="152">
        <f t="shared" si="189"/>
        <v>0</v>
      </c>
      <c r="BC984" s="152">
        <f ca="1">SUM(Z$4:Z984)+SUM(BB$4:BB984)+COSTI!S$6-COSTI!L$1076</f>
        <v>-31.760000000000218</v>
      </c>
      <c r="BD984" s="1"/>
    </row>
    <row r="985" spans="1:56" ht="16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435">
        <f>IF(AND(W985&gt;=$U$1,W985&lt;=$U$2),IF(X985='ESTRATTO CONTO'!$E$2,1+COUNTIF(U$4:U984,"&gt;0"),0),0)</f>
        <v>0</v>
      </c>
      <c r="V985" s="417">
        <f t="shared" si="186"/>
        <v>982</v>
      </c>
      <c r="W985" s="509"/>
      <c r="X985" s="321"/>
      <c r="Y985" s="321"/>
      <c r="Z985" s="508"/>
      <c r="AA985" s="356"/>
      <c r="AB985" s="306" t="str">
        <f t="shared" si="182"/>
        <v/>
      </c>
      <c r="AC985" s="637">
        <f t="shared" ca="1" si="181"/>
        <v>-2.1316282072803006E-13</v>
      </c>
      <c r="AD985" s="935">
        <f>IF(ISERROR(VLOOKUP(AD$2,X986:X$1003,1,FALSE)),IF(X985=AD$2,SUMIF(X$4:X985,AD$2,Z$4:Z985)+$E$9+SUM(AQ$4:AQ$1003)+SUMIF(COSTI!$X$1379:$X$1430,AD$2,COSTI!$Z$1379:$Z$1430),0),0)</f>
        <v>0</v>
      </c>
      <c r="AE985" s="26"/>
      <c r="AF985" s="856" t="e">
        <f>IF(ISERROR(VLOOKUP(AG$2,X986:X$1003,1,FALSE)),IF(X985=AG$2,SUMIF(X$4:X985,AG$2,Z$4:Z985)+VLOOKUP(AF$2,$B$1057:$F$1068,5,FALSE)+SUM(AR$4:AR$1003)+SUMIF(COSTI!$X$1379:$X$1430,AG$2,COSTI!$Z$1379:$Z$1430),0),0)</f>
        <v>#N/A</v>
      </c>
      <c r="AG985" s="859"/>
      <c r="AH985" s="27" t="str">
        <f t="shared" si="183"/>
        <v/>
      </c>
      <c r="AI985" s="152">
        <f ca="1">IF(W986&gt;0,0,IF(AH985=0,(Z985*-1)+BC985+SUM(BB$4:BB984),BC985+SUM(BB$4:BB984)))</f>
        <v>-2.1316282072803006E-13</v>
      </c>
      <c r="AJ985" s="931">
        <f>IF(AND(AL985&gt;=$U$1,AL985&lt;=$U$2),IF(AM985='ESTRATTO CONTO'!$E$2,1+COUNTIF(AJ$4:AJ984,"&gt;0")+U$1015,0),0)</f>
        <v>0</v>
      </c>
      <c r="AK985" s="203">
        <f>IF(AND(OR((AK984+1)&lt;AL$1015,(AK984+1)=AL$1015),MAX(AK$4:AK984)&lt;AL$1015),AK984+1,0)</f>
        <v>0</v>
      </c>
      <c r="AL985" s="309">
        <f>VLOOKUP($AK985,ENTI!$AF$4:AG$1003,2,FALSE)</f>
        <v>0</v>
      </c>
      <c r="AM985" s="224">
        <f>VLOOKUP($AK985,ENTI!$AF$4:AH$1003,3,FALSE)</f>
        <v>0</v>
      </c>
      <c r="AN985" s="224">
        <f>VLOOKUP($AK985,ENTI!$AF$4:AI$1003,4,FALSE)</f>
        <v>0</v>
      </c>
      <c r="AO985" s="781">
        <f>VLOOKUP($AK985,ENTI!$AF$4:AJ$1003,5,FALSE)</f>
        <v>0</v>
      </c>
      <c r="AP985" s="315">
        <f>VLOOKUP($AK985,ENTI!$AF$4:AK$1003,6,FALSE)</f>
        <v>0</v>
      </c>
      <c r="AQ985" s="208">
        <f t="shared" si="190"/>
        <v>0</v>
      </c>
      <c r="AR985" s="152" t="e">
        <f t="shared" si="191"/>
        <v>#N/A</v>
      </c>
      <c r="AS985" s="1"/>
      <c r="AT985" s="88" t="str">
        <f t="shared" si="184"/>
        <v/>
      </c>
      <c r="AU985" s="1"/>
      <c r="AV985" s="175">
        <f>IF(AW985&gt;0,COUNTIF(AV$4:AV984,"&gt;0")+1,0)</f>
        <v>0</v>
      </c>
      <c r="AW985" s="164">
        <f t="shared" si="185"/>
        <v>0</v>
      </c>
      <c r="AX985" s="310">
        <f>IF($AW985=0,0,VLOOKUP(VLOOKUP($X985,$B$34:$T$38,19,FALSE),ENTI!$A$9:$B$13,2,FALSE))</f>
        <v>0</v>
      </c>
      <c r="AY985" s="310">
        <f t="shared" si="187"/>
        <v>0</v>
      </c>
      <c r="AZ985" s="316">
        <f t="shared" si="188"/>
        <v>0</v>
      </c>
      <c r="BA985" s="1"/>
      <c r="BB985" s="152">
        <f t="shared" si="189"/>
        <v>0</v>
      </c>
      <c r="BC985" s="152">
        <f ca="1">SUM(Z$4:Z985)+SUM(BB$4:BB985)+COSTI!S$6-COSTI!L$1076</f>
        <v>-31.760000000000218</v>
      </c>
      <c r="BD985" s="1"/>
    </row>
    <row r="986" spans="1:56" ht="16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435">
        <f>IF(AND(W986&gt;=$U$1,W986&lt;=$U$2),IF(X986='ESTRATTO CONTO'!$E$2,1+COUNTIF(U$4:U985,"&gt;0"),0),0)</f>
        <v>0</v>
      </c>
      <c r="V986" s="417">
        <f t="shared" si="186"/>
        <v>983</v>
      </c>
      <c r="W986" s="509"/>
      <c r="X986" s="321"/>
      <c r="Y986" s="321"/>
      <c r="Z986" s="508"/>
      <c r="AA986" s="356"/>
      <c r="AB986" s="306" t="str">
        <f t="shared" si="182"/>
        <v/>
      </c>
      <c r="AC986" s="637">
        <f t="shared" ca="1" si="181"/>
        <v>-2.1316282072803006E-13</v>
      </c>
      <c r="AD986" s="935">
        <f>IF(ISERROR(VLOOKUP(AD$2,X987:X$1003,1,FALSE)),IF(X986=AD$2,SUMIF(X$4:X986,AD$2,Z$4:Z986)+$E$9+SUM(AQ$4:AQ$1003)+SUMIF(COSTI!$X$1379:$X$1430,AD$2,COSTI!$Z$1379:$Z$1430),0),0)</f>
        <v>0</v>
      </c>
      <c r="AE986" s="26"/>
      <c r="AF986" s="856" t="e">
        <f>IF(ISERROR(VLOOKUP(AG$2,X987:X$1003,1,FALSE)),IF(X986=AG$2,SUMIF(X$4:X986,AG$2,Z$4:Z986)+VLOOKUP(AF$2,$B$1057:$F$1068,5,FALSE)+SUM(AR$4:AR$1003)+SUMIF(COSTI!$X$1379:$X$1430,AG$2,COSTI!$Z$1379:$Z$1430),0),0)</f>
        <v>#N/A</v>
      </c>
      <c r="AG986" s="859"/>
      <c r="AH986" s="27" t="str">
        <f t="shared" si="183"/>
        <v/>
      </c>
      <c r="AI986" s="152">
        <f ca="1">IF(W987&gt;0,0,IF(AH986=0,(Z986*-1)+BC986+SUM(BB$4:BB985),BC986+SUM(BB$4:BB985)))</f>
        <v>-2.1316282072803006E-13</v>
      </c>
      <c r="AJ986" s="931">
        <f>IF(AND(AL986&gt;=$U$1,AL986&lt;=$U$2),IF(AM986='ESTRATTO CONTO'!$E$2,1+COUNTIF(AJ$4:AJ985,"&gt;0")+U$1015,0),0)</f>
        <v>0</v>
      </c>
      <c r="AK986" s="203">
        <f>IF(AND(OR((AK985+1)&lt;AL$1015,(AK985+1)=AL$1015),MAX(AK$4:AK985)&lt;AL$1015),AK985+1,0)</f>
        <v>0</v>
      </c>
      <c r="AL986" s="309">
        <f>VLOOKUP($AK986,ENTI!$AF$4:AG$1003,2,FALSE)</f>
        <v>0</v>
      </c>
      <c r="AM986" s="224">
        <f>VLOOKUP($AK986,ENTI!$AF$4:AH$1003,3,FALSE)</f>
        <v>0</v>
      </c>
      <c r="AN986" s="224">
        <f>VLOOKUP($AK986,ENTI!$AF$4:AI$1003,4,FALSE)</f>
        <v>0</v>
      </c>
      <c r="AO986" s="781">
        <f>VLOOKUP($AK986,ENTI!$AF$4:AJ$1003,5,FALSE)</f>
        <v>0</v>
      </c>
      <c r="AP986" s="315">
        <f>VLOOKUP($AK986,ENTI!$AF$4:AK$1003,6,FALSE)</f>
        <v>0</v>
      </c>
      <c r="AQ986" s="208">
        <f t="shared" si="190"/>
        <v>0</v>
      </c>
      <c r="AR986" s="152" t="e">
        <f t="shared" si="191"/>
        <v>#N/A</v>
      </c>
      <c r="AS986" s="1"/>
      <c r="AT986" s="88" t="str">
        <f t="shared" si="184"/>
        <v/>
      </c>
      <c r="AU986" s="1"/>
      <c r="AV986" s="175">
        <f>IF(AW986&gt;0,COUNTIF(AV$4:AV985,"&gt;0")+1,0)</f>
        <v>0</v>
      </c>
      <c r="AW986" s="164">
        <f t="shared" si="185"/>
        <v>0</v>
      </c>
      <c r="AX986" s="310">
        <f>IF($AW986=0,0,VLOOKUP(VLOOKUP($X986,$B$34:$T$38,19,FALSE),ENTI!$A$9:$B$13,2,FALSE))</f>
        <v>0</v>
      </c>
      <c r="AY986" s="310">
        <f t="shared" si="187"/>
        <v>0</v>
      </c>
      <c r="AZ986" s="316">
        <f t="shared" si="188"/>
        <v>0</v>
      </c>
      <c r="BA986" s="1"/>
      <c r="BB986" s="152">
        <f t="shared" si="189"/>
        <v>0</v>
      </c>
      <c r="BC986" s="152">
        <f ca="1">SUM(Z$4:Z986)+SUM(BB$4:BB986)+COSTI!S$6-COSTI!L$1076</f>
        <v>-31.760000000000218</v>
      </c>
      <c r="BD986" s="1"/>
    </row>
    <row r="987" spans="1:56" ht="16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435">
        <f>IF(AND(W987&gt;=$U$1,W987&lt;=$U$2),IF(X987='ESTRATTO CONTO'!$E$2,1+COUNTIF(U$4:U986,"&gt;0"),0),0)</f>
        <v>0</v>
      </c>
      <c r="V987" s="417">
        <f t="shared" si="186"/>
        <v>984</v>
      </c>
      <c r="W987" s="509"/>
      <c r="X987" s="321"/>
      <c r="Y987" s="321"/>
      <c r="Z987" s="508"/>
      <c r="AA987" s="356"/>
      <c r="AB987" s="306" t="str">
        <f t="shared" si="182"/>
        <v/>
      </c>
      <c r="AC987" s="637">
        <f t="shared" ca="1" si="181"/>
        <v>-2.1316282072803006E-13</v>
      </c>
      <c r="AD987" s="935">
        <f>IF(ISERROR(VLOOKUP(AD$2,X988:X$1003,1,FALSE)),IF(X987=AD$2,SUMIF(X$4:X987,AD$2,Z$4:Z987)+$E$9+SUM(AQ$4:AQ$1003)+SUMIF(COSTI!$X$1379:$X$1430,AD$2,COSTI!$Z$1379:$Z$1430),0),0)</f>
        <v>0</v>
      </c>
      <c r="AE987" s="26"/>
      <c r="AF987" s="856" t="e">
        <f>IF(ISERROR(VLOOKUP(AG$2,X988:X$1003,1,FALSE)),IF(X987=AG$2,SUMIF(X$4:X987,AG$2,Z$4:Z987)+VLOOKUP(AF$2,$B$1057:$F$1068,5,FALSE)+SUM(AR$4:AR$1003)+SUMIF(COSTI!$X$1379:$X$1430,AG$2,COSTI!$Z$1379:$Z$1430),0),0)</f>
        <v>#N/A</v>
      </c>
      <c r="AG987" s="859"/>
      <c r="AH987" s="27" t="str">
        <f t="shared" si="183"/>
        <v/>
      </c>
      <c r="AI987" s="152">
        <f ca="1">IF(W988&gt;0,0,IF(AH987=0,(Z987*-1)+BC987+SUM(BB$4:BB986),BC987+SUM(BB$4:BB986)))</f>
        <v>-2.1316282072803006E-13</v>
      </c>
      <c r="AJ987" s="931">
        <f>IF(AND(AL987&gt;=$U$1,AL987&lt;=$U$2),IF(AM987='ESTRATTO CONTO'!$E$2,1+COUNTIF(AJ$4:AJ986,"&gt;0")+U$1015,0),0)</f>
        <v>0</v>
      </c>
      <c r="AK987" s="203">
        <f>IF(AND(OR((AK986+1)&lt;AL$1015,(AK986+1)=AL$1015),MAX(AK$4:AK986)&lt;AL$1015),AK986+1,0)</f>
        <v>0</v>
      </c>
      <c r="AL987" s="309">
        <f>VLOOKUP($AK987,ENTI!$AF$4:AG$1003,2,FALSE)</f>
        <v>0</v>
      </c>
      <c r="AM987" s="224">
        <f>VLOOKUP($AK987,ENTI!$AF$4:AH$1003,3,FALSE)</f>
        <v>0</v>
      </c>
      <c r="AN987" s="224">
        <f>VLOOKUP($AK987,ENTI!$AF$4:AI$1003,4,FALSE)</f>
        <v>0</v>
      </c>
      <c r="AO987" s="781">
        <f>VLOOKUP($AK987,ENTI!$AF$4:AJ$1003,5,FALSE)</f>
        <v>0</v>
      </c>
      <c r="AP987" s="315">
        <f>VLOOKUP($AK987,ENTI!$AF$4:AK$1003,6,FALSE)</f>
        <v>0</v>
      </c>
      <c r="AQ987" s="208">
        <f t="shared" si="190"/>
        <v>0</v>
      </c>
      <c r="AR987" s="152" t="e">
        <f t="shared" si="191"/>
        <v>#N/A</v>
      </c>
      <c r="AS987" s="1"/>
      <c r="AT987" s="88" t="str">
        <f t="shared" si="184"/>
        <v/>
      </c>
      <c r="AU987" s="1"/>
      <c r="AV987" s="175">
        <f>IF(AW987&gt;0,COUNTIF(AV$4:AV986,"&gt;0")+1,0)</f>
        <v>0</v>
      </c>
      <c r="AW987" s="164">
        <f t="shared" si="185"/>
        <v>0</v>
      </c>
      <c r="AX987" s="310">
        <f>IF($AW987=0,0,VLOOKUP(VLOOKUP($X987,$B$34:$T$38,19,FALSE),ENTI!$A$9:$B$13,2,FALSE))</f>
        <v>0</v>
      </c>
      <c r="AY987" s="310">
        <f t="shared" si="187"/>
        <v>0</v>
      </c>
      <c r="AZ987" s="316">
        <f t="shared" si="188"/>
        <v>0</v>
      </c>
      <c r="BA987" s="1"/>
      <c r="BB987" s="152">
        <f t="shared" si="189"/>
        <v>0</v>
      </c>
      <c r="BC987" s="152">
        <f ca="1">SUM(Z$4:Z987)+SUM(BB$4:BB987)+COSTI!S$6-COSTI!L$1076</f>
        <v>-31.760000000000218</v>
      </c>
      <c r="BD987" s="1"/>
    </row>
    <row r="988" spans="1:56" ht="16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435">
        <f>IF(AND(W988&gt;=$U$1,W988&lt;=$U$2),IF(X988='ESTRATTO CONTO'!$E$2,1+COUNTIF(U$4:U987,"&gt;0"),0),0)</f>
        <v>0</v>
      </c>
      <c r="V988" s="417">
        <f t="shared" si="186"/>
        <v>985</v>
      </c>
      <c r="W988" s="509"/>
      <c r="X988" s="321"/>
      <c r="Y988" s="321"/>
      <c r="Z988" s="508"/>
      <c r="AA988" s="356"/>
      <c r="AB988" s="306" t="str">
        <f t="shared" si="182"/>
        <v/>
      </c>
      <c r="AC988" s="637">
        <f t="shared" ca="1" si="181"/>
        <v>-2.1316282072803006E-13</v>
      </c>
      <c r="AD988" s="935">
        <f>IF(ISERROR(VLOOKUP(AD$2,X989:X$1003,1,FALSE)),IF(X988=AD$2,SUMIF(X$4:X988,AD$2,Z$4:Z988)+$E$9+SUM(AQ$4:AQ$1003)+SUMIF(COSTI!$X$1379:$X$1430,AD$2,COSTI!$Z$1379:$Z$1430),0),0)</f>
        <v>0</v>
      </c>
      <c r="AE988" s="26"/>
      <c r="AF988" s="856" t="e">
        <f>IF(ISERROR(VLOOKUP(AG$2,X989:X$1003,1,FALSE)),IF(X988=AG$2,SUMIF(X$4:X988,AG$2,Z$4:Z988)+VLOOKUP(AF$2,$B$1057:$F$1068,5,FALSE)+SUM(AR$4:AR$1003)+SUMIF(COSTI!$X$1379:$X$1430,AG$2,COSTI!$Z$1379:$Z$1430),0),0)</f>
        <v>#N/A</v>
      </c>
      <c r="AG988" s="859"/>
      <c r="AH988" s="27" t="str">
        <f t="shared" si="183"/>
        <v/>
      </c>
      <c r="AI988" s="152">
        <f ca="1">IF(W989&gt;0,0,IF(AH988=0,(Z988*-1)+BC988+SUM(BB$4:BB987),BC988+SUM(BB$4:BB987)))</f>
        <v>-2.1316282072803006E-13</v>
      </c>
      <c r="AJ988" s="931">
        <f>IF(AND(AL988&gt;=$U$1,AL988&lt;=$U$2),IF(AM988='ESTRATTO CONTO'!$E$2,1+COUNTIF(AJ$4:AJ987,"&gt;0")+U$1015,0),0)</f>
        <v>0</v>
      </c>
      <c r="AK988" s="203">
        <f>IF(AND(OR((AK987+1)&lt;AL$1015,(AK987+1)=AL$1015),MAX(AK$4:AK987)&lt;AL$1015),AK987+1,0)</f>
        <v>0</v>
      </c>
      <c r="AL988" s="309">
        <f>VLOOKUP($AK988,ENTI!$AF$4:AG$1003,2,FALSE)</f>
        <v>0</v>
      </c>
      <c r="AM988" s="224">
        <f>VLOOKUP($AK988,ENTI!$AF$4:AH$1003,3,FALSE)</f>
        <v>0</v>
      </c>
      <c r="AN988" s="224">
        <f>VLOOKUP($AK988,ENTI!$AF$4:AI$1003,4,FALSE)</f>
        <v>0</v>
      </c>
      <c r="AO988" s="781">
        <f>VLOOKUP($AK988,ENTI!$AF$4:AJ$1003,5,FALSE)</f>
        <v>0</v>
      </c>
      <c r="AP988" s="315">
        <f>VLOOKUP($AK988,ENTI!$AF$4:AK$1003,6,FALSE)</f>
        <v>0</v>
      </c>
      <c r="AQ988" s="208">
        <f t="shared" si="190"/>
        <v>0</v>
      </c>
      <c r="AR988" s="152" t="e">
        <f t="shared" si="191"/>
        <v>#N/A</v>
      </c>
      <c r="AS988" s="1"/>
      <c r="AT988" s="88" t="str">
        <f t="shared" si="184"/>
        <v/>
      </c>
      <c r="AU988" s="1"/>
      <c r="AV988" s="175">
        <f>IF(AW988&gt;0,COUNTIF(AV$4:AV987,"&gt;0")+1,0)</f>
        <v>0</v>
      </c>
      <c r="AW988" s="164">
        <f t="shared" si="185"/>
        <v>0</v>
      </c>
      <c r="AX988" s="310">
        <f>IF($AW988=0,0,VLOOKUP(VLOOKUP($X988,$B$34:$T$38,19,FALSE),ENTI!$A$9:$B$13,2,FALSE))</f>
        <v>0</v>
      </c>
      <c r="AY988" s="310">
        <f t="shared" si="187"/>
        <v>0</v>
      </c>
      <c r="AZ988" s="316">
        <f t="shared" si="188"/>
        <v>0</v>
      </c>
      <c r="BA988" s="1"/>
      <c r="BB988" s="152">
        <f t="shared" si="189"/>
        <v>0</v>
      </c>
      <c r="BC988" s="152">
        <f ca="1">SUM(Z$4:Z988)+SUM(BB$4:BB988)+COSTI!S$6-COSTI!L$1076</f>
        <v>-31.760000000000218</v>
      </c>
      <c r="BD988" s="1"/>
    </row>
    <row r="989" spans="1:56" ht="16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435">
        <f>IF(AND(W989&gt;=$U$1,W989&lt;=$U$2),IF(X989='ESTRATTO CONTO'!$E$2,1+COUNTIF(U$4:U988,"&gt;0"),0),0)</f>
        <v>0</v>
      </c>
      <c r="V989" s="417">
        <f t="shared" si="186"/>
        <v>986</v>
      </c>
      <c r="W989" s="509"/>
      <c r="X989" s="321"/>
      <c r="Y989" s="321"/>
      <c r="Z989" s="508"/>
      <c r="AA989" s="356"/>
      <c r="AB989" s="306" t="str">
        <f t="shared" si="182"/>
        <v/>
      </c>
      <c r="AC989" s="637">
        <f t="shared" ca="1" si="181"/>
        <v>-2.1316282072803006E-13</v>
      </c>
      <c r="AD989" s="935">
        <f>IF(ISERROR(VLOOKUP(AD$2,X990:X$1003,1,FALSE)),IF(X989=AD$2,SUMIF(X$4:X989,AD$2,Z$4:Z989)+$E$9+SUM(AQ$4:AQ$1003)+SUMIF(COSTI!$X$1379:$X$1430,AD$2,COSTI!$Z$1379:$Z$1430),0),0)</f>
        <v>0</v>
      </c>
      <c r="AE989" s="26"/>
      <c r="AF989" s="856" t="e">
        <f>IF(ISERROR(VLOOKUP(AG$2,X990:X$1003,1,FALSE)),IF(X989=AG$2,SUMIF(X$4:X989,AG$2,Z$4:Z989)+VLOOKUP(AF$2,$B$1057:$F$1068,5,FALSE)+SUM(AR$4:AR$1003)+SUMIF(COSTI!$X$1379:$X$1430,AG$2,COSTI!$Z$1379:$Z$1430),0),0)</f>
        <v>#N/A</v>
      </c>
      <c r="AG989" s="859"/>
      <c r="AH989" s="27" t="str">
        <f t="shared" si="183"/>
        <v/>
      </c>
      <c r="AI989" s="152">
        <f ca="1">IF(W990&gt;0,0,IF(AH989=0,(Z989*-1)+BC989+SUM(BB$4:BB988),BC989+SUM(BB$4:BB988)))</f>
        <v>-2.1316282072803006E-13</v>
      </c>
      <c r="AJ989" s="931">
        <f>IF(AND(AL989&gt;=$U$1,AL989&lt;=$U$2),IF(AM989='ESTRATTO CONTO'!$E$2,1+COUNTIF(AJ$4:AJ988,"&gt;0")+U$1015,0),0)</f>
        <v>0</v>
      </c>
      <c r="AK989" s="203">
        <f>IF(AND(OR((AK988+1)&lt;AL$1015,(AK988+1)=AL$1015),MAX(AK$4:AK988)&lt;AL$1015),AK988+1,0)</f>
        <v>0</v>
      </c>
      <c r="AL989" s="309">
        <f>VLOOKUP($AK989,ENTI!$AF$4:AG$1003,2,FALSE)</f>
        <v>0</v>
      </c>
      <c r="AM989" s="224">
        <f>VLOOKUP($AK989,ENTI!$AF$4:AH$1003,3,FALSE)</f>
        <v>0</v>
      </c>
      <c r="AN989" s="224">
        <f>VLOOKUP($AK989,ENTI!$AF$4:AI$1003,4,FALSE)</f>
        <v>0</v>
      </c>
      <c r="AO989" s="781">
        <f>VLOOKUP($AK989,ENTI!$AF$4:AJ$1003,5,FALSE)</f>
        <v>0</v>
      </c>
      <c r="AP989" s="315">
        <f>VLOOKUP($AK989,ENTI!$AF$4:AK$1003,6,FALSE)</f>
        <v>0</v>
      </c>
      <c r="AQ989" s="208">
        <f t="shared" si="190"/>
        <v>0</v>
      </c>
      <c r="AR989" s="152" t="e">
        <f t="shared" si="191"/>
        <v>#N/A</v>
      </c>
      <c r="AS989" s="1"/>
      <c r="AT989" s="88" t="str">
        <f t="shared" si="184"/>
        <v/>
      </c>
      <c r="AU989" s="1"/>
      <c r="AV989" s="175">
        <f>IF(AW989&gt;0,COUNTIF(AV$4:AV988,"&gt;0")+1,0)</f>
        <v>0</v>
      </c>
      <c r="AW989" s="164">
        <f t="shared" si="185"/>
        <v>0</v>
      </c>
      <c r="AX989" s="310">
        <f>IF($AW989=0,0,VLOOKUP(VLOOKUP($X989,$B$34:$T$38,19,FALSE),ENTI!$A$9:$B$13,2,FALSE))</f>
        <v>0</v>
      </c>
      <c r="AY989" s="310">
        <f t="shared" si="187"/>
        <v>0</v>
      </c>
      <c r="AZ989" s="316">
        <f t="shared" si="188"/>
        <v>0</v>
      </c>
      <c r="BA989" s="1"/>
      <c r="BB989" s="152">
        <f t="shared" si="189"/>
        <v>0</v>
      </c>
      <c r="BC989" s="152">
        <f ca="1">SUM(Z$4:Z989)+SUM(BB$4:BB989)+COSTI!S$6-COSTI!L$1076</f>
        <v>-31.760000000000218</v>
      </c>
      <c r="BD989" s="1"/>
    </row>
    <row r="990" spans="1:56" ht="16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435">
        <f>IF(AND(W990&gt;=$U$1,W990&lt;=$U$2),IF(X990='ESTRATTO CONTO'!$E$2,1+COUNTIF(U$4:U989,"&gt;0"),0),0)</f>
        <v>0</v>
      </c>
      <c r="V990" s="417">
        <f t="shared" si="186"/>
        <v>987</v>
      </c>
      <c r="W990" s="509"/>
      <c r="X990" s="321"/>
      <c r="Y990" s="321"/>
      <c r="Z990" s="508"/>
      <c r="AA990" s="356"/>
      <c r="AB990" s="306" t="str">
        <f t="shared" si="182"/>
        <v/>
      </c>
      <c r="AC990" s="637">
        <f t="shared" ca="1" si="181"/>
        <v>-2.1316282072803006E-13</v>
      </c>
      <c r="AD990" s="935">
        <f>IF(ISERROR(VLOOKUP(AD$2,X991:X$1003,1,FALSE)),IF(X990=AD$2,SUMIF(X$4:X990,AD$2,Z$4:Z990)+$E$9+SUM(AQ$4:AQ$1003)+SUMIF(COSTI!$X$1379:$X$1430,AD$2,COSTI!$Z$1379:$Z$1430),0),0)</f>
        <v>0</v>
      </c>
      <c r="AE990" s="26"/>
      <c r="AF990" s="856" t="e">
        <f>IF(ISERROR(VLOOKUP(AG$2,X991:X$1003,1,FALSE)),IF(X990=AG$2,SUMIF(X$4:X990,AG$2,Z$4:Z990)+VLOOKUP(AF$2,$B$1057:$F$1068,5,FALSE)+SUM(AR$4:AR$1003)+SUMIF(COSTI!$X$1379:$X$1430,AG$2,COSTI!$Z$1379:$Z$1430),0),0)</f>
        <v>#N/A</v>
      </c>
      <c r="AG990" s="859"/>
      <c r="AH990" s="27" t="str">
        <f t="shared" si="183"/>
        <v/>
      </c>
      <c r="AI990" s="152">
        <f ca="1">IF(W991&gt;0,0,IF(AH990=0,(Z990*-1)+BC990+SUM(BB$4:BB989),BC990+SUM(BB$4:BB989)))</f>
        <v>-2.1316282072803006E-13</v>
      </c>
      <c r="AJ990" s="931">
        <f>IF(AND(AL990&gt;=$U$1,AL990&lt;=$U$2),IF(AM990='ESTRATTO CONTO'!$E$2,1+COUNTIF(AJ$4:AJ989,"&gt;0")+U$1015,0),0)</f>
        <v>0</v>
      </c>
      <c r="AK990" s="203">
        <f>IF(AND(OR((AK989+1)&lt;AL$1015,(AK989+1)=AL$1015),MAX(AK$4:AK989)&lt;AL$1015),AK989+1,0)</f>
        <v>0</v>
      </c>
      <c r="AL990" s="309">
        <f>VLOOKUP($AK990,ENTI!$AF$4:AG$1003,2,FALSE)</f>
        <v>0</v>
      </c>
      <c r="AM990" s="224">
        <f>VLOOKUP($AK990,ENTI!$AF$4:AH$1003,3,FALSE)</f>
        <v>0</v>
      </c>
      <c r="AN990" s="224">
        <f>VLOOKUP($AK990,ENTI!$AF$4:AI$1003,4,FALSE)</f>
        <v>0</v>
      </c>
      <c r="AO990" s="781">
        <f>VLOOKUP($AK990,ENTI!$AF$4:AJ$1003,5,FALSE)</f>
        <v>0</v>
      </c>
      <c r="AP990" s="315">
        <f>VLOOKUP($AK990,ENTI!$AF$4:AK$1003,6,FALSE)</f>
        <v>0</v>
      </c>
      <c r="AQ990" s="208">
        <f t="shared" si="190"/>
        <v>0</v>
      </c>
      <c r="AR990" s="152" t="e">
        <f t="shared" si="191"/>
        <v>#N/A</v>
      </c>
      <c r="AS990" s="1"/>
      <c r="AT990" s="88" t="str">
        <f t="shared" si="184"/>
        <v/>
      </c>
      <c r="AU990" s="1"/>
      <c r="AV990" s="175">
        <f>IF(AW990&gt;0,COUNTIF(AV$4:AV989,"&gt;0")+1,0)</f>
        <v>0</v>
      </c>
      <c r="AW990" s="164">
        <f t="shared" si="185"/>
        <v>0</v>
      </c>
      <c r="AX990" s="310">
        <f>IF($AW990=0,0,VLOOKUP(VLOOKUP($X990,$B$34:$T$38,19,FALSE),ENTI!$A$9:$B$13,2,FALSE))</f>
        <v>0</v>
      </c>
      <c r="AY990" s="310">
        <f t="shared" si="187"/>
        <v>0</v>
      </c>
      <c r="AZ990" s="316">
        <f t="shared" si="188"/>
        <v>0</v>
      </c>
      <c r="BA990" s="1"/>
      <c r="BB990" s="152">
        <f t="shared" si="189"/>
        <v>0</v>
      </c>
      <c r="BC990" s="152">
        <f ca="1">SUM(Z$4:Z990)+SUM(BB$4:BB990)+COSTI!S$6-COSTI!L$1076</f>
        <v>-31.760000000000218</v>
      </c>
      <c r="BD990" s="1"/>
    </row>
    <row r="991" spans="1:56" ht="16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435">
        <f>IF(AND(W991&gt;=$U$1,W991&lt;=$U$2),IF(X991='ESTRATTO CONTO'!$E$2,1+COUNTIF(U$4:U990,"&gt;0"),0),0)</f>
        <v>0</v>
      </c>
      <c r="V991" s="417">
        <f t="shared" si="186"/>
        <v>988</v>
      </c>
      <c r="W991" s="509"/>
      <c r="X991" s="321"/>
      <c r="Y991" s="321"/>
      <c r="Z991" s="508"/>
      <c r="AA991" s="356"/>
      <c r="AB991" s="306" t="str">
        <f t="shared" si="182"/>
        <v/>
      </c>
      <c r="AC991" s="637">
        <f t="shared" ca="1" si="181"/>
        <v>-2.1316282072803006E-13</v>
      </c>
      <c r="AD991" s="935">
        <f>IF(ISERROR(VLOOKUP(AD$2,X992:X$1003,1,FALSE)),IF(X991=AD$2,SUMIF(X$4:X991,AD$2,Z$4:Z991)+$E$9+SUM(AQ$4:AQ$1003)+SUMIF(COSTI!$X$1379:$X$1430,AD$2,COSTI!$Z$1379:$Z$1430),0),0)</f>
        <v>0</v>
      </c>
      <c r="AE991" s="26"/>
      <c r="AF991" s="856" t="e">
        <f>IF(ISERROR(VLOOKUP(AG$2,X992:X$1003,1,FALSE)),IF(X991=AG$2,SUMIF(X$4:X991,AG$2,Z$4:Z991)+VLOOKUP(AF$2,$B$1057:$F$1068,5,FALSE)+SUM(AR$4:AR$1003)+SUMIF(COSTI!$X$1379:$X$1430,AG$2,COSTI!$Z$1379:$Z$1430),0),0)</f>
        <v>#N/A</v>
      </c>
      <c r="AG991" s="859"/>
      <c r="AH991" s="27" t="str">
        <f t="shared" si="183"/>
        <v/>
      </c>
      <c r="AI991" s="152">
        <f ca="1">IF(W992&gt;0,0,IF(AH991=0,(Z991*-1)+BC991+SUM(BB$4:BB990),BC991+SUM(BB$4:BB990)))</f>
        <v>-2.1316282072803006E-13</v>
      </c>
      <c r="AJ991" s="931">
        <f>IF(AND(AL991&gt;=$U$1,AL991&lt;=$U$2),IF(AM991='ESTRATTO CONTO'!$E$2,1+COUNTIF(AJ$4:AJ990,"&gt;0")+U$1015,0),0)</f>
        <v>0</v>
      </c>
      <c r="AK991" s="203">
        <f>IF(AND(OR((AK990+1)&lt;AL$1015,(AK990+1)=AL$1015),MAX(AK$4:AK990)&lt;AL$1015),AK990+1,0)</f>
        <v>0</v>
      </c>
      <c r="AL991" s="309">
        <f>VLOOKUP($AK991,ENTI!$AF$4:AG$1003,2,FALSE)</f>
        <v>0</v>
      </c>
      <c r="AM991" s="224">
        <f>VLOOKUP($AK991,ENTI!$AF$4:AH$1003,3,FALSE)</f>
        <v>0</v>
      </c>
      <c r="AN991" s="224">
        <f>VLOOKUP($AK991,ENTI!$AF$4:AI$1003,4,FALSE)</f>
        <v>0</v>
      </c>
      <c r="AO991" s="781">
        <f>VLOOKUP($AK991,ENTI!$AF$4:AJ$1003,5,FALSE)</f>
        <v>0</v>
      </c>
      <c r="AP991" s="315">
        <f>VLOOKUP($AK991,ENTI!$AF$4:AK$1003,6,FALSE)</f>
        <v>0</v>
      </c>
      <c r="AQ991" s="208">
        <f t="shared" si="190"/>
        <v>0</v>
      </c>
      <c r="AR991" s="152" t="e">
        <f t="shared" si="191"/>
        <v>#N/A</v>
      </c>
      <c r="AS991" s="1"/>
      <c r="AT991" s="88" t="str">
        <f t="shared" si="184"/>
        <v/>
      </c>
      <c r="AU991" s="1"/>
      <c r="AV991" s="175">
        <f>IF(AW991&gt;0,COUNTIF(AV$4:AV990,"&gt;0")+1,0)</f>
        <v>0</v>
      </c>
      <c r="AW991" s="164">
        <f t="shared" si="185"/>
        <v>0</v>
      </c>
      <c r="AX991" s="310">
        <f>IF($AW991=0,0,VLOOKUP(VLOOKUP($X991,$B$34:$T$38,19,FALSE),ENTI!$A$9:$B$13,2,FALSE))</f>
        <v>0</v>
      </c>
      <c r="AY991" s="310">
        <f t="shared" si="187"/>
        <v>0</v>
      </c>
      <c r="AZ991" s="316">
        <f t="shared" si="188"/>
        <v>0</v>
      </c>
      <c r="BA991" s="1"/>
      <c r="BB991" s="152">
        <f t="shared" si="189"/>
        <v>0</v>
      </c>
      <c r="BC991" s="152">
        <f ca="1">SUM(Z$4:Z991)+SUM(BB$4:BB991)+COSTI!S$6-COSTI!L$1076</f>
        <v>-31.760000000000218</v>
      </c>
      <c r="BD991" s="1"/>
    </row>
    <row r="992" spans="1:56" ht="16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435">
        <f>IF(AND(W992&gt;=$U$1,W992&lt;=$U$2),IF(X992='ESTRATTO CONTO'!$E$2,1+COUNTIF(U$4:U991,"&gt;0"),0),0)</f>
        <v>0</v>
      </c>
      <c r="V992" s="417">
        <f t="shared" si="186"/>
        <v>989</v>
      </c>
      <c r="W992" s="509"/>
      <c r="X992" s="321"/>
      <c r="Y992" s="321"/>
      <c r="Z992" s="508"/>
      <c r="AA992" s="356"/>
      <c r="AB992" s="306" t="str">
        <f t="shared" si="182"/>
        <v/>
      </c>
      <c r="AC992" s="637">
        <f t="shared" ca="1" si="181"/>
        <v>-2.1316282072803006E-13</v>
      </c>
      <c r="AD992" s="935">
        <f>IF(ISERROR(VLOOKUP(AD$2,X993:X$1003,1,FALSE)),IF(X992=AD$2,SUMIF(X$4:X992,AD$2,Z$4:Z992)+$E$9+SUM(AQ$4:AQ$1003)+SUMIF(COSTI!$X$1379:$X$1430,AD$2,COSTI!$Z$1379:$Z$1430),0),0)</f>
        <v>0</v>
      </c>
      <c r="AE992" s="26"/>
      <c r="AF992" s="856" t="e">
        <f>IF(ISERROR(VLOOKUP(AG$2,X993:X$1003,1,FALSE)),IF(X992=AG$2,SUMIF(X$4:X992,AG$2,Z$4:Z992)+VLOOKUP(AF$2,$B$1057:$F$1068,5,FALSE)+SUM(AR$4:AR$1003)+SUMIF(COSTI!$X$1379:$X$1430,AG$2,COSTI!$Z$1379:$Z$1430),0),0)</f>
        <v>#N/A</v>
      </c>
      <c r="AG992" s="859"/>
      <c r="AH992" s="27" t="str">
        <f t="shared" si="183"/>
        <v/>
      </c>
      <c r="AI992" s="152">
        <f ca="1">IF(W993&gt;0,0,IF(AH992=0,(Z992*-1)+BC992+SUM(BB$4:BB991),BC992+SUM(BB$4:BB991)))</f>
        <v>-2.1316282072803006E-13</v>
      </c>
      <c r="AJ992" s="931">
        <f>IF(AND(AL992&gt;=$U$1,AL992&lt;=$U$2),IF(AM992='ESTRATTO CONTO'!$E$2,1+COUNTIF(AJ$4:AJ991,"&gt;0")+U$1015,0),0)</f>
        <v>0</v>
      </c>
      <c r="AK992" s="203">
        <f>IF(AND(OR((AK991+1)&lt;AL$1015,(AK991+1)=AL$1015),MAX(AK$4:AK991)&lt;AL$1015),AK991+1,0)</f>
        <v>0</v>
      </c>
      <c r="AL992" s="309">
        <f>VLOOKUP($AK992,ENTI!$AF$4:AG$1003,2,FALSE)</f>
        <v>0</v>
      </c>
      <c r="AM992" s="224">
        <f>VLOOKUP($AK992,ENTI!$AF$4:AH$1003,3,FALSE)</f>
        <v>0</v>
      </c>
      <c r="AN992" s="224">
        <f>VLOOKUP($AK992,ENTI!$AF$4:AI$1003,4,FALSE)</f>
        <v>0</v>
      </c>
      <c r="AO992" s="781">
        <f>VLOOKUP($AK992,ENTI!$AF$4:AJ$1003,5,FALSE)</f>
        <v>0</v>
      </c>
      <c r="AP992" s="315">
        <f>VLOOKUP($AK992,ENTI!$AF$4:AK$1003,6,FALSE)</f>
        <v>0</v>
      </c>
      <c r="AQ992" s="208">
        <f t="shared" si="190"/>
        <v>0</v>
      </c>
      <c r="AR992" s="152" t="e">
        <f t="shared" si="191"/>
        <v>#N/A</v>
      </c>
      <c r="AS992" s="1"/>
      <c r="AT992" s="88" t="str">
        <f t="shared" si="184"/>
        <v/>
      </c>
      <c r="AU992" s="1"/>
      <c r="AV992" s="175">
        <f>IF(AW992&gt;0,COUNTIF(AV$4:AV991,"&gt;0")+1,0)</f>
        <v>0</v>
      </c>
      <c r="AW992" s="164">
        <f t="shared" si="185"/>
        <v>0</v>
      </c>
      <c r="AX992" s="310">
        <f>IF($AW992=0,0,VLOOKUP(VLOOKUP($X992,$B$34:$T$38,19,FALSE),ENTI!$A$9:$B$13,2,FALSE))</f>
        <v>0</v>
      </c>
      <c r="AY992" s="310">
        <f t="shared" si="187"/>
        <v>0</v>
      </c>
      <c r="AZ992" s="316">
        <f t="shared" si="188"/>
        <v>0</v>
      </c>
      <c r="BA992" s="1"/>
      <c r="BB992" s="152">
        <f t="shared" si="189"/>
        <v>0</v>
      </c>
      <c r="BC992" s="152">
        <f ca="1">SUM(Z$4:Z992)+SUM(BB$4:BB992)+COSTI!S$6-COSTI!L$1076</f>
        <v>-31.760000000000218</v>
      </c>
      <c r="BD992" s="1"/>
    </row>
    <row r="993" spans="1:56" ht="16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435">
        <f>IF(AND(W993&gt;=$U$1,W993&lt;=$U$2),IF(X993='ESTRATTO CONTO'!$E$2,1+COUNTIF(U$4:U992,"&gt;0"),0),0)</f>
        <v>0</v>
      </c>
      <c r="V993" s="417">
        <f t="shared" si="186"/>
        <v>990</v>
      </c>
      <c r="W993" s="509"/>
      <c r="X993" s="321"/>
      <c r="Y993" s="321"/>
      <c r="Z993" s="508"/>
      <c r="AA993" s="356"/>
      <c r="AB993" s="306" t="str">
        <f t="shared" si="182"/>
        <v/>
      </c>
      <c r="AC993" s="637">
        <f t="shared" ca="1" si="181"/>
        <v>-2.1316282072803006E-13</v>
      </c>
      <c r="AD993" s="935">
        <f>IF(ISERROR(VLOOKUP(AD$2,X994:X$1003,1,FALSE)),IF(X993=AD$2,SUMIF(X$4:X993,AD$2,Z$4:Z993)+$E$9+SUM(AQ$4:AQ$1003)+SUMIF(COSTI!$X$1379:$X$1430,AD$2,COSTI!$Z$1379:$Z$1430),0),0)</f>
        <v>0</v>
      </c>
      <c r="AE993" s="26"/>
      <c r="AF993" s="856" t="e">
        <f>IF(ISERROR(VLOOKUP(AG$2,X994:X$1003,1,FALSE)),IF(X993=AG$2,SUMIF(X$4:X993,AG$2,Z$4:Z993)+VLOOKUP(AF$2,$B$1057:$F$1068,5,FALSE)+SUM(AR$4:AR$1003)+SUMIF(COSTI!$X$1379:$X$1430,AG$2,COSTI!$Z$1379:$Z$1430),0),0)</f>
        <v>#N/A</v>
      </c>
      <c r="AG993" s="859"/>
      <c r="AH993" s="27" t="str">
        <f t="shared" si="183"/>
        <v/>
      </c>
      <c r="AI993" s="152">
        <f ca="1">IF(W994&gt;0,0,IF(AH993=0,(Z993*-1)+BC993+SUM(BB$4:BB992),BC993+SUM(BB$4:BB992)))</f>
        <v>-2.1316282072803006E-13</v>
      </c>
      <c r="AJ993" s="931">
        <f>IF(AND(AL993&gt;=$U$1,AL993&lt;=$U$2),IF(AM993='ESTRATTO CONTO'!$E$2,1+COUNTIF(AJ$4:AJ992,"&gt;0")+U$1015,0),0)</f>
        <v>0</v>
      </c>
      <c r="AK993" s="203">
        <f>IF(AND(OR((AK992+1)&lt;AL$1015,(AK992+1)=AL$1015),MAX(AK$4:AK992)&lt;AL$1015),AK992+1,0)</f>
        <v>0</v>
      </c>
      <c r="AL993" s="309">
        <f>VLOOKUP($AK993,ENTI!$AF$4:AG$1003,2,FALSE)</f>
        <v>0</v>
      </c>
      <c r="AM993" s="224">
        <f>VLOOKUP($AK993,ENTI!$AF$4:AH$1003,3,FALSE)</f>
        <v>0</v>
      </c>
      <c r="AN993" s="224">
        <f>VLOOKUP($AK993,ENTI!$AF$4:AI$1003,4,FALSE)</f>
        <v>0</v>
      </c>
      <c r="AO993" s="781">
        <f>VLOOKUP($AK993,ENTI!$AF$4:AJ$1003,5,FALSE)</f>
        <v>0</v>
      </c>
      <c r="AP993" s="315">
        <f>VLOOKUP($AK993,ENTI!$AF$4:AK$1003,6,FALSE)</f>
        <v>0</v>
      </c>
      <c r="AQ993" s="208">
        <f t="shared" si="190"/>
        <v>0</v>
      </c>
      <c r="AR993" s="152" t="e">
        <f t="shared" si="191"/>
        <v>#N/A</v>
      </c>
      <c r="AS993" s="1"/>
      <c r="AT993" s="88" t="str">
        <f t="shared" si="184"/>
        <v/>
      </c>
      <c r="AU993" s="1"/>
      <c r="AV993" s="175">
        <f>IF(AW993&gt;0,COUNTIF(AV$4:AV992,"&gt;0")+1,0)</f>
        <v>0</v>
      </c>
      <c r="AW993" s="164">
        <f t="shared" si="185"/>
        <v>0</v>
      </c>
      <c r="AX993" s="310">
        <f>IF($AW993=0,0,VLOOKUP(VLOOKUP($X993,$B$34:$T$38,19,FALSE),ENTI!$A$9:$B$13,2,FALSE))</f>
        <v>0</v>
      </c>
      <c r="AY993" s="310">
        <f t="shared" si="187"/>
        <v>0</v>
      </c>
      <c r="AZ993" s="316">
        <f t="shared" si="188"/>
        <v>0</v>
      </c>
      <c r="BA993" s="1"/>
      <c r="BB993" s="152">
        <f t="shared" si="189"/>
        <v>0</v>
      </c>
      <c r="BC993" s="152">
        <f ca="1">SUM(Z$4:Z993)+SUM(BB$4:BB993)+COSTI!S$6-COSTI!L$1076</f>
        <v>-31.760000000000218</v>
      </c>
      <c r="BD993" s="1"/>
    </row>
    <row r="994" spans="1:56" ht="16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435">
        <f>IF(AND(W994&gt;=$U$1,W994&lt;=$U$2),IF(X994='ESTRATTO CONTO'!$E$2,1+COUNTIF(U$4:U993,"&gt;0"),0),0)</f>
        <v>0</v>
      </c>
      <c r="V994" s="417">
        <f t="shared" si="186"/>
        <v>991</v>
      </c>
      <c r="W994" s="509"/>
      <c r="X994" s="321"/>
      <c r="Y994" s="321"/>
      <c r="Z994" s="508"/>
      <c r="AA994" s="356"/>
      <c r="AB994" s="306" t="str">
        <f t="shared" si="182"/>
        <v/>
      </c>
      <c r="AC994" s="637">
        <f t="shared" ca="1" si="181"/>
        <v>-2.1316282072803006E-13</v>
      </c>
      <c r="AD994" s="935">
        <f>IF(ISERROR(VLOOKUP(AD$2,X995:X$1003,1,FALSE)),IF(X994=AD$2,SUMIF(X$4:X994,AD$2,Z$4:Z994)+$E$9+SUM(AQ$4:AQ$1003)+SUMIF(COSTI!$X$1379:$X$1430,AD$2,COSTI!$Z$1379:$Z$1430),0),0)</f>
        <v>0</v>
      </c>
      <c r="AE994" s="26"/>
      <c r="AF994" s="856" t="e">
        <f>IF(ISERROR(VLOOKUP(AG$2,X995:X$1003,1,FALSE)),IF(X994=AG$2,SUMIF(X$4:X994,AG$2,Z$4:Z994)+VLOOKUP(AF$2,$B$1057:$F$1068,5,FALSE)+SUM(AR$4:AR$1003)+SUMIF(COSTI!$X$1379:$X$1430,AG$2,COSTI!$Z$1379:$Z$1430),0),0)</f>
        <v>#N/A</v>
      </c>
      <c r="AG994" s="859"/>
      <c r="AH994" s="27" t="str">
        <f t="shared" si="183"/>
        <v/>
      </c>
      <c r="AI994" s="152">
        <f ca="1">IF(W995&gt;0,0,IF(AH994=0,(Z994*-1)+BC994+SUM(BB$4:BB993),BC994+SUM(BB$4:BB993)))</f>
        <v>-2.1316282072803006E-13</v>
      </c>
      <c r="AJ994" s="931">
        <f>IF(AND(AL994&gt;=$U$1,AL994&lt;=$U$2),IF(AM994='ESTRATTO CONTO'!$E$2,1+COUNTIF(AJ$4:AJ993,"&gt;0")+U$1015,0),0)</f>
        <v>0</v>
      </c>
      <c r="AK994" s="203">
        <f>IF(AND(OR((AK993+1)&lt;AL$1015,(AK993+1)=AL$1015),MAX(AK$4:AK993)&lt;AL$1015),AK993+1,0)</f>
        <v>0</v>
      </c>
      <c r="AL994" s="309">
        <f>VLOOKUP($AK994,ENTI!$AF$4:AG$1003,2,FALSE)</f>
        <v>0</v>
      </c>
      <c r="AM994" s="224">
        <f>VLOOKUP($AK994,ENTI!$AF$4:AH$1003,3,FALSE)</f>
        <v>0</v>
      </c>
      <c r="AN994" s="224">
        <f>VLOOKUP($AK994,ENTI!$AF$4:AI$1003,4,FALSE)</f>
        <v>0</v>
      </c>
      <c r="AO994" s="781">
        <f>VLOOKUP($AK994,ENTI!$AF$4:AJ$1003,5,FALSE)</f>
        <v>0</v>
      </c>
      <c r="AP994" s="315">
        <f>VLOOKUP($AK994,ENTI!$AF$4:AK$1003,6,FALSE)</f>
        <v>0</v>
      </c>
      <c r="AQ994" s="208">
        <f t="shared" si="190"/>
        <v>0</v>
      </c>
      <c r="AR994" s="152" t="e">
        <f t="shared" si="191"/>
        <v>#N/A</v>
      </c>
      <c r="AS994" s="1"/>
      <c r="AT994" s="88" t="str">
        <f t="shared" si="184"/>
        <v/>
      </c>
      <c r="AU994" s="1"/>
      <c r="AV994" s="175">
        <f>IF(AW994&gt;0,COUNTIF(AV$4:AV993,"&gt;0")+1,0)</f>
        <v>0</v>
      </c>
      <c r="AW994" s="164">
        <f t="shared" si="185"/>
        <v>0</v>
      </c>
      <c r="AX994" s="310">
        <f>IF($AW994=0,0,VLOOKUP(VLOOKUP($X994,$B$34:$T$38,19,FALSE),ENTI!$A$9:$B$13,2,FALSE))</f>
        <v>0</v>
      </c>
      <c r="AY994" s="310">
        <f t="shared" si="187"/>
        <v>0</v>
      </c>
      <c r="AZ994" s="316">
        <f t="shared" si="188"/>
        <v>0</v>
      </c>
      <c r="BA994" s="1"/>
      <c r="BB994" s="152">
        <f t="shared" si="189"/>
        <v>0</v>
      </c>
      <c r="BC994" s="152">
        <f ca="1">SUM(Z$4:Z994)+SUM(BB$4:BB994)+COSTI!S$6-COSTI!L$1076</f>
        <v>-31.760000000000218</v>
      </c>
      <c r="BD994" s="1"/>
    </row>
    <row r="995" spans="1:56" ht="16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435">
        <f>IF(AND(W995&gt;=$U$1,W995&lt;=$U$2),IF(X995='ESTRATTO CONTO'!$E$2,1+COUNTIF(U$4:U994,"&gt;0"),0),0)</f>
        <v>0</v>
      </c>
      <c r="V995" s="417">
        <f t="shared" si="186"/>
        <v>992</v>
      </c>
      <c r="W995" s="509"/>
      <c r="X995" s="321"/>
      <c r="Y995" s="321"/>
      <c r="Z995" s="508"/>
      <c r="AA995" s="356"/>
      <c r="AB995" s="306" t="str">
        <f t="shared" si="182"/>
        <v/>
      </c>
      <c r="AC995" s="637">
        <f t="shared" ca="1" si="181"/>
        <v>-2.1316282072803006E-13</v>
      </c>
      <c r="AD995" s="935">
        <f>IF(ISERROR(VLOOKUP(AD$2,X996:X$1003,1,FALSE)),IF(X995=AD$2,SUMIF(X$4:X995,AD$2,Z$4:Z995)+$E$9+SUM(AQ$4:AQ$1003)+SUMIF(COSTI!$X$1379:$X$1430,AD$2,COSTI!$Z$1379:$Z$1430),0),0)</f>
        <v>0</v>
      </c>
      <c r="AE995" s="26"/>
      <c r="AF995" s="856" t="e">
        <f>IF(ISERROR(VLOOKUP(AG$2,X996:X$1003,1,FALSE)),IF(X995=AG$2,SUMIF(X$4:X995,AG$2,Z$4:Z995)+VLOOKUP(AF$2,$B$1057:$F$1068,5,FALSE)+SUM(AR$4:AR$1003)+SUMIF(COSTI!$X$1379:$X$1430,AG$2,COSTI!$Z$1379:$Z$1430),0),0)</f>
        <v>#N/A</v>
      </c>
      <c r="AG995" s="859"/>
      <c r="AH995" s="27" t="str">
        <f t="shared" si="183"/>
        <v/>
      </c>
      <c r="AI995" s="152">
        <f ca="1">IF(W996&gt;0,0,IF(AH995=0,(Z995*-1)+BC995+SUM(BB$4:BB994),BC995+SUM(BB$4:BB994)))</f>
        <v>-2.1316282072803006E-13</v>
      </c>
      <c r="AJ995" s="931">
        <f>IF(AND(AL995&gt;=$U$1,AL995&lt;=$U$2),IF(AM995='ESTRATTO CONTO'!$E$2,1+COUNTIF(AJ$4:AJ994,"&gt;0")+U$1015,0),0)</f>
        <v>0</v>
      </c>
      <c r="AK995" s="203">
        <f>IF(AND(OR((AK994+1)&lt;AL$1015,(AK994+1)=AL$1015),MAX(AK$4:AK994)&lt;AL$1015),AK994+1,0)</f>
        <v>0</v>
      </c>
      <c r="AL995" s="309">
        <f>VLOOKUP($AK995,ENTI!$AF$4:AG$1003,2,FALSE)</f>
        <v>0</v>
      </c>
      <c r="AM995" s="224">
        <f>VLOOKUP($AK995,ENTI!$AF$4:AH$1003,3,FALSE)</f>
        <v>0</v>
      </c>
      <c r="AN995" s="224">
        <f>VLOOKUP($AK995,ENTI!$AF$4:AI$1003,4,FALSE)</f>
        <v>0</v>
      </c>
      <c r="AO995" s="781">
        <f>VLOOKUP($AK995,ENTI!$AF$4:AJ$1003,5,FALSE)</f>
        <v>0</v>
      </c>
      <c r="AP995" s="315">
        <f>VLOOKUP($AK995,ENTI!$AF$4:AK$1003,6,FALSE)</f>
        <v>0</v>
      </c>
      <c r="AQ995" s="208">
        <f t="shared" si="190"/>
        <v>0</v>
      </c>
      <c r="AR995" s="152" t="e">
        <f t="shared" si="191"/>
        <v>#N/A</v>
      </c>
      <c r="AS995" s="1"/>
      <c r="AT995" s="88" t="str">
        <f t="shared" si="184"/>
        <v/>
      </c>
      <c r="AU995" s="1"/>
      <c r="AV995" s="175">
        <f>IF(AW995&gt;0,COUNTIF(AV$4:AV994,"&gt;0")+1,0)</f>
        <v>0</v>
      </c>
      <c r="AW995" s="164">
        <f t="shared" si="185"/>
        <v>0</v>
      </c>
      <c r="AX995" s="310">
        <f>IF($AW995=0,0,VLOOKUP(VLOOKUP($X995,$B$34:$T$38,19,FALSE),ENTI!$A$9:$B$13,2,FALSE))</f>
        <v>0</v>
      </c>
      <c r="AY995" s="310">
        <f t="shared" si="187"/>
        <v>0</v>
      </c>
      <c r="AZ995" s="316">
        <f t="shared" si="188"/>
        <v>0</v>
      </c>
      <c r="BA995" s="1"/>
      <c r="BB995" s="152">
        <f t="shared" si="189"/>
        <v>0</v>
      </c>
      <c r="BC995" s="152">
        <f ca="1">SUM(Z$4:Z995)+SUM(BB$4:BB995)+COSTI!S$6-COSTI!L$1076</f>
        <v>-31.760000000000218</v>
      </c>
      <c r="BD995" s="1"/>
    </row>
    <row r="996" spans="1:56" ht="16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435">
        <f>IF(AND(W996&gt;=$U$1,W996&lt;=$U$2),IF(X996='ESTRATTO CONTO'!$E$2,1+COUNTIF(U$4:U995,"&gt;0"),0),0)</f>
        <v>0</v>
      </c>
      <c r="V996" s="417">
        <f t="shared" si="186"/>
        <v>993</v>
      </c>
      <c r="W996" s="509"/>
      <c r="X996" s="321"/>
      <c r="Y996" s="321"/>
      <c r="Z996" s="508"/>
      <c r="AA996" s="356"/>
      <c r="AB996" s="306" t="str">
        <f t="shared" si="182"/>
        <v/>
      </c>
      <c r="AC996" s="637">
        <f t="shared" ca="1" si="181"/>
        <v>-2.1316282072803006E-13</v>
      </c>
      <c r="AD996" s="935">
        <f>IF(ISERROR(VLOOKUP(AD$2,X997:X$1003,1,FALSE)),IF(X996=AD$2,SUMIF(X$4:X996,AD$2,Z$4:Z996)+$E$9+SUM(AQ$4:AQ$1003)+SUMIF(COSTI!$X$1379:$X$1430,AD$2,COSTI!$Z$1379:$Z$1430),0),0)</f>
        <v>0</v>
      </c>
      <c r="AE996" s="26"/>
      <c r="AF996" s="856" t="e">
        <f>IF(ISERROR(VLOOKUP(AG$2,X997:X$1003,1,FALSE)),IF(X996=AG$2,SUMIF(X$4:X996,AG$2,Z$4:Z996)+VLOOKUP(AF$2,$B$1057:$F$1068,5,FALSE)+SUM(AR$4:AR$1003)+SUMIF(COSTI!$X$1379:$X$1430,AG$2,COSTI!$Z$1379:$Z$1430),0),0)</f>
        <v>#N/A</v>
      </c>
      <c r="AG996" s="859"/>
      <c r="AH996" s="27" t="str">
        <f t="shared" si="183"/>
        <v/>
      </c>
      <c r="AI996" s="152">
        <f ca="1">IF(W997&gt;0,0,IF(AH996=0,(Z996*-1)+BC996+SUM(BB$4:BB995),BC996+SUM(BB$4:BB995)))</f>
        <v>-2.1316282072803006E-13</v>
      </c>
      <c r="AJ996" s="931">
        <f>IF(AND(AL996&gt;=$U$1,AL996&lt;=$U$2),IF(AM996='ESTRATTO CONTO'!$E$2,1+COUNTIF(AJ$4:AJ995,"&gt;0")+U$1015,0),0)</f>
        <v>0</v>
      </c>
      <c r="AK996" s="203">
        <f>IF(AND(OR((AK995+1)&lt;AL$1015,(AK995+1)=AL$1015),MAX(AK$4:AK995)&lt;AL$1015),AK995+1,0)</f>
        <v>0</v>
      </c>
      <c r="AL996" s="309">
        <f>VLOOKUP($AK996,ENTI!$AF$4:AG$1003,2,FALSE)</f>
        <v>0</v>
      </c>
      <c r="AM996" s="224">
        <f>VLOOKUP($AK996,ENTI!$AF$4:AH$1003,3,FALSE)</f>
        <v>0</v>
      </c>
      <c r="AN996" s="224">
        <f>VLOOKUP($AK996,ENTI!$AF$4:AI$1003,4,FALSE)</f>
        <v>0</v>
      </c>
      <c r="AO996" s="781">
        <f>VLOOKUP($AK996,ENTI!$AF$4:AJ$1003,5,FALSE)</f>
        <v>0</v>
      </c>
      <c r="AP996" s="315">
        <f>VLOOKUP($AK996,ENTI!$AF$4:AK$1003,6,FALSE)</f>
        <v>0</v>
      </c>
      <c r="AQ996" s="208">
        <f t="shared" si="190"/>
        <v>0</v>
      </c>
      <c r="AR996" s="152" t="e">
        <f t="shared" si="191"/>
        <v>#N/A</v>
      </c>
      <c r="AS996" s="1"/>
      <c r="AT996" s="88" t="str">
        <f t="shared" si="184"/>
        <v/>
      </c>
      <c r="AU996" s="1"/>
      <c r="AV996" s="175">
        <f>IF(AW996&gt;0,COUNTIF(AV$4:AV995,"&gt;0")+1,0)</f>
        <v>0</v>
      </c>
      <c r="AW996" s="164">
        <f t="shared" si="185"/>
        <v>0</v>
      </c>
      <c r="AX996" s="310">
        <f>IF($AW996=0,0,VLOOKUP(VLOOKUP($X996,$B$34:$T$38,19,FALSE),ENTI!$A$9:$B$13,2,FALSE))</f>
        <v>0</v>
      </c>
      <c r="AY996" s="310">
        <f t="shared" si="187"/>
        <v>0</v>
      </c>
      <c r="AZ996" s="316">
        <f t="shared" si="188"/>
        <v>0</v>
      </c>
      <c r="BA996" s="1"/>
      <c r="BB996" s="152">
        <f t="shared" si="189"/>
        <v>0</v>
      </c>
      <c r="BC996" s="152">
        <f ca="1">SUM(Z$4:Z996)+SUM(BB$4:BB996)+COSTI!S$6-COSTI!L$1076</f>
        <v>-31.760000000000218</v>
      </c>
      <c r="BD996" s="1"/>
    </row>
    <row r="997" spans="1:56" ht="16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435">
        <f>IF(AND(W997&gt;=$U$1,W997&lt;=$U$2),IF(X997='ESTRATTO CONTO'!$E$2,1+COUNTIF(U$4:U996,"&gt;0"),0),0)</f>
        <v>0</v>
      </c>
      <c r="V997" s="417">
        <f t="shared" si="186"/>
        <v>994</v>
      </c>
      <c r="W997" s="509"/>
      <c r="X997" s="321"/>
      <c r="Y997" s="321"/>
      <c r="Z997" s="508"/>
      <c r="AA997" s="356"/>
      <c r="AB997" s="306" t="str">
        <f t="shared" si="182"/>
        <v/>
      </c>
      <c r="AC997" s="637">
        <f t="shared" ca="1" si="181"/>
        <v>-2.1316282072803006E-13</v>
      </c>
      <c r="AD997" s="935">
        <f>IF(ISERROR(VLOOKUP(AD$2,X998:X$1003,1,FALSE)),IF(X997=AD$2,SUMIF(X$4:X997,AD$2,Z$4:Z997)+$E$9+SUM(AQ$4:AQ$1003)+SUMIF(COSTI!$X$1379:$X$1430,AD$2,COSTI!$Z$1379:$Z$1430),0),0)</f>
        <v>0</v>
      </c>
      <c r="AE997" s="26"/>
      <c r="AF997" s="856" t="e">
        <f>IF(ISERROR(VLOOKUP(AG$2,X998:X$1003,1,FALSE)),IF(X997=AG$2,SUMIF(X$4:X997,AG$2,Z$4:Z997)+VLOOKUP(AF$2,$B$1057:$F$1068,5,FALSE)+SUM(AR$4:AR$1003)+SUMIF(COSTI!$X$1379:$X$1430,AG$2,COSTI!$Z$1379:$Z$1430),0),0)</f>
        <v>#N/A</v>
      </c>
      <c r="AG997" s="859"/>
      <c r="AH997" s="27" t="str">
        <f t="shared" si="183"/>
        <v/>
      </c>
      <c r="AI997" s="152">
        <f ca="1">IF(W998&gt;0,0,IF(AH997=0,(Z997*-1)+BC997+SUM(BB$4:BB996),BC997+SUM(BB$4:BB996)))</f>
        <v>-2.1316282072803006E-13</v>
      </c>
      <c r="AJ997" s="931">
        <f>IF(AND(AL997&gt;=$U$1,AL997&lt;=$U$2),IF(AM997='ESTRATTO CONTO'!$E$2,1+COUNTIF(AJ$4:AJ996,"&gt;0")+U$1015,0),0)</f>
        <v>0</v>
      </c>
      <c r="AK997" s="203">
        <f>IF(AND(OR((AK996+1)&lt;AL$1015,(AK996+1)=AL$1015),MAX(AK$4:AK996)&lt;AL$1015),AK996+1,0)</f>
        <v>0</v>
      </c>
      <c r="AL997" s="309">
        <f>VLOOKUP($AK997,ENTI!$AF$4:AG$1003,2,FALSE)</f>
        <v>0</v>
      </c>
      <c r="AM997" s="224">
        <f>VLOOKUP($AK997,ENTI!$AF$4:AH$1003,3,FALSE)</f>
        <v>0</v>
      </c>
      <c r="AN997" s="224">
        <f>VLOOKUP($AK997,ENTI!$AF$4:AI$1003,4,FALSE)</f>
        <v>0</v>
      </c>
      <c r="AO997" s="781">
        <f>VLOOKUP($AK997,ENTI!$AF$4:AJ$1003,5,FALSE)</f>
        <v>0</v>
      </c>
      <c r="AP997" s="315">
        <f>VLOOKUP($AK997,ENTI!$AF$4:AK$1003,6,FALSE)</f>
        <v>0</v>
      </c>
      <c r="AQ997" s="208">
        <f t="shared" si="190"/>
        <v>0</v>
      </c>
      <c r="AR997" s="152" t="e">
        <f t="shared" si="191"/>
        <v>#N/A</v>
      </c>
      <c r="AS997" s="1"/>
      <c r="AT997" s="88" t="str">
        <f t="shared" si="184"/>
        <v/>
      </c>
      <c r="AU997" s="1"/>
      <c r="AV997" s="175">
        <f>IF(AW997&gt;0,COUNTIF(AV$4:AV996,"&gt;0")+1,0)</f>
        <v>0</v>
      </c>
      <c r="AW997" s="164">
        <f t="shared" si="185"/>
        <v>0</v>
      </c>
      <c r="AX997" s="310">
        <f>IF($AW997=0,0,VLOOKUP(VLOOKUP($X997,$B$34:$T$38,19,FALSE),ENTI!$A$9:$B$13,2,FALSE))</f>
        <v>0</v>
      </c>
      <c r="AY997" s="310">
        <f t="shared" si="187"/>
        <v>0</v>
      </c>
      <c r="AZ997" s="316">
        <f t="shared" si="188"/>
        <v>0</v>
      </c>
      <c r="BA997" s="1"/>
      <c r="BB997" s="152">
        <f t="shared" si="189"/>
        <v>0</v>
      </c>
      <c r="BC997" s="152">
        <f ca="1">SUM(Z$4:Z997)+SUM(BB$4:BB997)+COSTI!S$6-COSTI!L$1076</f>
        <v>-31.760000000000218</v>
      </c>
      <c r="BD997" s="1"/>
    </row>
    <row r="998" spans="1:56" ht="16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435">
        <f>IF(AND(W998&gt;=$U$1,W998&lt;=$U$2),IF(X998='ESTRATTO CONTO'!$E$2,1+COUNTIF(U$4:U997,"&gt;0"),0),0)</f>
        <v>0</v>
      </c>
      <c r="V998" s="417">
        <f t="shared" si="186"/>
        <v>995</v>
      </c>
      <c r="W998" s="509"/>
      <c r="X998" s="321"/>
      <c r="Y998" s="321"/>
      <c r="Z998" s="508"/>
      <c r="AA998" s="356"/>
      <c r="AB998" s="306" t="str">
        <f t="shared" si="182"/>
        <v/>
      </c>
      <c r="AC998" s="637">
        <f t="shared" ca="1" si="181"/>
        <v>-2.1316282072803006E-13</v>
      </c>
      <c r="AD998" s="935">
        <f>IF(ISERROR(VLOOKUP(AD$2,X999:X$1003,1,FALSE)),IF(X998=AD$2,SUMIF(X$4:X998,AD$2,Z$4:Z998)+$E$9+SUM(AQ$4:AQ$1003)+SUMIF(COSTI!$X$1379:$X$1430,AD$2,COSTI!$Z$1379:$Z$1430),0),0)</f>
        <v>0</v>
      </c>
      <c r="AE998" s="26"/>
      <c r="AF998" s="856" t="e">
        <f>IF(ISERROR(VLOOKUP(AG$2,X999:X$1003,1,FALSE)),IF(X998=AG$2,SUMIF(X$4:X998,AG$2,Z$4:Z998)+VLOOKUP(AF$2,$B$1057:$F$1068,5,FALSE)+SUM(AR$4:AR$1003)+SUMIF(COSTI!$X$1379:$X$1430,AG$2,COSTI!$Z$1379:$Z$1430),0),0)</f>
        <v>#N/A</v>
      </c>
      <c r="AG998" s="859"/>
      <c r="AH998" s="27" t="str">
        <f t="shared" si="183"/>
        <v/>
      </c>
      <c r="AI998" s="152">
        <f ca="1">IF(W999&gt;0,0,IF(AH998=0,(Z998*-1)+BC998+SUM(BB$4:BB997),BC998+SUM(BB$4:BB997)))</f>
        <v>-2.1316282072803006E-13</v>
      </c>
      <c r="AJ998" s="931">
        <f>IF(AND(AL998&gt;=$U$1,AL998&lt;=$U$2),IF(AM998='ESTRATTO CONTO'!$E$2,1+COUNTIF(AJ$4:AJ997,"&gt;0")+U$1015,0),0)</f>
        <v>0</v>
      </c>
      <c r="AK998" s="203">
        <f>IF(AND(OR((AK997+1)&lt;AL$1015,(AK997+1)=AL$1015),MAX(AK$4:AK997)&lt;AL$1015),AK997+1,0)</f>
        <v>0</v>
      </c>
      <c r="AL998" s="309">
        <f>VLOOKUP($AK998,ENTI!$AF$4:AG$1003,2,FALSE)</f>
        <v>0</v>
      </c>
      <c r="AM998" s="224">
        <f>VLOOKUP($AK998,ENTI!$AF$4:AH$1003,3,FALSE)</f>
        <v>0</v>
      </c>
      <c r="AN998" s="224">
        <f>VLOOKUP($AK998,ENTI!$AF$4:AI$1003,4,FALSE)</f>
        <v>0</v>
      </c>
      <c r="AO998" s="781">
        <f>VLOOKUP($AK998,ENTI!$AF$4:AJ$1003,5,FALSE)</f>
        <v>0</v>
      </c>
      <c r="AP998" s="315">
        <f>VLOOKUP($AK998,ENTI!$AF$4:AK$1003,6,FALSE)</f>
        <v>0</v>
      </c>
      <c r="AQ998" s="208">
        <f t="shared" si="190"/>
        <v>0</v>
      </c>
      <c r="AR998" s="152" t="e">
        <f t="shared" si="191"/>
        <v>#N/A</v>
      </c>
      <c r="AS998" s="1"/>
      <c r="AT998" s="88" t="str">
        <f t="shared" si="184"/>
        <v/>
      </c>
      <c r="AU998" s="1"/>
      <c r="AV998" s="175">
        <f>IF(AW998&gt;0,COUNTIF(AV$4:AV997,"&gt;0")+1,0)</f>
        <v>0</v>
      </c>
      <c r="AW998" s="164">
        <f t="shared" si="185"/>
        <v>0</v>
      </c>
      <c r="AX998" s="310">
        <f>IF($AW998=0,0,VLOOKUP(VLOOKUP($X998,$B$34:$T$38,19,FALSE),ENTI!$A$9:$B$13,2,FALSE))</f>
        <v>0</v>
      </c>
      <c r="AY998" s="310">
        <f t="shared" si="187"/>
        <v>0</v>
      </c>
      <c r="AZ998" s="316">
        <f t="shared" si="188"/>
        <v>0</v>
      </c>
      <c r="BA998" s="1"/>
      <c r="BB998" s="152">
        <f t="shared" si="189"/>
        <v>0</v>
      </c>
      <c r="BC998" s="152">
        <f ca="1">SUM(Z$4:Z998)+SUM(BB$4:BB998)+COSTI!S$6-COSTI!L$1076</f>
        <v>-31.760000000000218</v>
      </c>
      <c r="BD998" s="1"/>
    </row>
    <row r="999" spans="1:56" ht="16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435">
        <f>IF(AND(W999&gt;=$U$1,W999&lt;=$U$2),IF(X999='ESTRATTO CONTO'!$E$2,1+COUNTIF(U$4:U998,"&gt;0"),0),0)</f>
        <v>0</v>
      </c>
      <c r="V999" s="417">
        <f t="shared" si="186"/>
        <v>996</v>
      </c>
      <c r="W999" s="509"/>
      <c r="X999" s="321"/>
      <c r="Y999" s="321"/>
      <c r="Z999" s="508"/>
      <c r="AA999" s="356"/>
      <c r="AB999" s="306" t="str">
        <f t="shared" si="182"/>
        <v/>
      </c>
      <c r="AC999" s="637">
        <f t="shared" ca="1" si="181"/>
        <v>-2.1316282072803006E-13</v>
      </c>
      <c r="AD999" s="935">
        <f>IF(ISERROR(VLOOKUP(AD$2,X1000:X$1003,1,FALSE)),IF(X999=AD$2,SUMIF(X$4:X999,AD$2,Z$4:Z999)+$E$9+SUM(AQ$4:AQ$1003)+SUMIF(COSTI!$X$1379:$X$1430,AD$2,COSTI!$Z$1379:$Z$1430),0),0)</f>
        <v>0</v>
      </c>
      <c r="AE999" s="26"/>
      <c r="AF999" s="856" t="e">
        <f>IF(ISERROR(VLOOKUP(AG$2,X1000:X$1003,1,FALSE)),IF(X999=AG$2,SUMIF(X$4:X999,AG$2,Z$4:Z999)+VLOOKUP(AF$2,$B$1057:$F$1068,5,FALSE)+SUM(AR$4:AR$1003)+SUMIF(COSTI!$X$1379:$X$1430,AG$2,COSTI!$Z$1379:$Z$1430),0),0)</f>
        <v>#N/A</v>
      </c>
      <c r="AG999" s="859"/>
      <c r="AH999" s="27" t="str">
        <f t="shared" si="183"/>
        <v/>
      </c>
      <c r="AI999" s="152">
        <f ca="1">IF(W1000&gt;0,0,IF(AH999=0,(Z999*-1)+BC999+SUM(BB$4:BB998),BC999+SUM(BB$4:BB998)))</f>
        <v>-2.1316282072803006E-13</v>
      </c>
      <c r="AJ999" s="931">
        <f>IF(AND(AL999&gt;=$U$1,AL999&lt;=$U$2),IF(AM999='ESTRATTO CONTO'!$E$2,1+COUNTIF(AJ$4:AJ998,"&gt;0")+U$1015,0),0)</f>
        <v>0</v>
      </c>
      <c r="AK999" s="203">
        <f>IF(AND(OR((AK998+1)&lt;AL$1015,(AK998+1)=AL$1015),MAX(AK$4:AK998)&lt;AL$1015),AK998+1,0)</f>
        <v>0</v>
      </c>
      <c r="AL999" s="309">
        <f>VLOOKUP($AK999,ENTI!$AF$4:AG$1003,2,FALSE)</f>
        <v>0</v>
      </c>
      <c r="AM999" s="224">
        <f>VLOOKUP($AK999,ENTI!$AF$4:AH$1003,3,FALSE)</f>
        <v>0</v>
      </c>
      <c r="AN999" s="224">
        <f>VLOOKUP($AK999,ENTI!$AF$4:AI$1003,4,FALSE)</f>
        <v>0</v>
      </c>
      <c r="AO999" s="781">
        <f>VLOOKUP($AK999,ENTI!$AF$4:AJ$1003,5,FALSE)</f>
        <v>0</v>
      </c>
      <c r="AP999" s="315">
        <f>VLOOKUP($AK999,ENTI!$AF$4:AK$1003,6,FALSE)</f>
        <v>0</v>
      </c>
      <c r="AQ999" s="208">
        <f t="shared" si="190"/>
        <v>0</v>
      </c>
      <c r="AR999" s="152" t="e">
        <f t="shared" si="191"/>
        <v>#N/A</v>
      </c>
      <c r="AS999" s="1"/>
      <c r="AT999" s="88" t="str">
        <f t="shared" si="184"/>
        <v/>
      </c>
      <c r="AU999" s="1"/>
      <c r="AV999" s="175">
        <f>IF(AW999&gt;0,COUNTIF(AV$4:AV998,"&gt;0")+1,0)</f>
        <v>0</v>
      </c>
      <c r="AW999" s="164">
        <f t="shared" si="185"/>
        <v>0</v>
      </c>
      <c r="AX999" s="310">
        <f>IF($AW999=0,0,VLOOKUP(VLOOKUP($X999,$B$34:$T$38,19,FALSE),ENTI!$A$9:$B$13,2,FALSE))</f>
        <v>0</v>
      </c>
      <c r="AY999" s="310">
        <f t="shared" si="187"/>
        <v>0</v>
      </c>
      <c r="AZ999" s="316">
        <f t="shared" si="188"/>
        <v>0</v>
      </c>
      <c r="BA999" s="1"/>
      <c r="BB999" s="152">
        <f t="shared" si="189"/>
        <v>0</v>
      </c>
      <c r="BC999" s="152">
        <f ca="1">SUM(Z$4:Z999)+SUM(BB$4:BB999)+COSTI!S$6-COSTI!L$1076</f>
        <v>-31.760000000000218</v>
      </c>
      <c r="BD999" s="1"/>
    </row>
    <row r="1000" spans="1:56" ht="16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435">
        <f>IF(AND(W1000&gt;=$U$1,W1000&lt;=$U$2),IF(X1000='ESTRATTO CONTO'!$E$2,1+COUNTIF(U$4:U999,"&gt;0"),0),0)</f>
        <v>0</v>
      </c>
      <c r="V1000" s="417">
        <f t="shared" si="186"/>
        <v>997</v>
      </c>
      <c r="W1000" s="509"/>
      <c r="X1000" s="321"/>
      <c r="Y1000" s="321"/>
      <c r="Z1000" s="508"/>
      <c r="AA1000" s="356"/>
      <c r="AB1000" s="306" t="str">
        <f t="shared" si="182"/>
        <v/>
      </c>
      <c r="AC1000" s="637">
        <f t="shared" ca="1" si="181"/>
        <v>-2.1316282072803006E-13</v>
      </c>
      <c r="AD1000" s="935">
        <f>IF(ISERROR(VLOOKUP(AD$2,X1001:X$1003,1,FALSE)),IF(X1000=AD$2,SUMIF(X$4:X1000,AD$2,Z$4:Z1000)+$E$9+SUM(AQ$4:AQ$1003)+SUMIF(COSTI!$X$1379:$X$1430,AD$2,COSTI!$Z$1379:$Z$1430),0),0)</f>
        <v>0</v>
      </c>
      <c r="AE1000" s="26"/>
      <c r="AF1000" s="856" t="e">
        <f>IF(ISERROR(VLOOKUP(AG$2,X1001:X$1003,1,FALSE)),IF(X1000=AG$2,SUMIF(X$4:X1000,AG$2,Z$4:Z1000)+VLOOKUP(AF$2,$B$1057:$F$1068,5,FALSE)+SUM(AR$4:AR$1003)+SUMIF(COSTI!$X$1379:$X$1430,AG$2,COSTI!$Z$1379:$Z$1430),0),0)</f>
        <v>#N/A</v>
      </c>
      <c r="AG1000" s="859"/>
      <c r="AH1000" s="27" t="str">
        <f t="shared" si="183"/>
        <v/>
      </c>
      <c r="AI1000" s="152">
        <f ca="1">IF(W1001&gt;0,0,IF(AH1000=0,(Z1000*-1)+BC1000+SUM(BB$4:BB999),BC1000+SUM(BB$4:BB999)))</f>
        <v>-2.1316282072803006E-13</v>
      </c>
      <c r="AJ1000" s="931">
        <f>IF(AND(AL1000&gt;=$U$1,AL1000&lt;=$U$2),IF(AM1000='ESTRATTO CONTO'!$E$2,1+COUNTIF(AJ$4:AJ999,"&gt;0")+U$1015,0),0)</f>
        <v>0</v>
      </c>
      <c r="AK1000" s="203">
        <f>IF(AND(OR((AK999+1)&lt;AL$1015,(AK999+1)=AL$1015),MAX(AK$4:AK999)&lt;AL$1015),AK999+1,0)</f>
        <v>0</v>
      </c>
      <c r="AL1000" s="309">
        <f>VLOOKUP($AK1000,ENTI!$AF$4:AG$1003,2,FALSE)</f>
        <v>0</v>
      </c>
      <c r="AM1000" s="224">
        <f>VLOOKUP($AK1000,ENTI!$AF$4:AH$1003,3,FALSE)</f>
        <v>0</v>
      </c>
      <c r="AN1000" s="224">
        <f>VLOOKUP($AK1000,ENTI!$AF$4:AI$1003,4,FALSE)</f>
        <v>0</v>
      </c>
      <c r="AO1000" s="781">
        <f>VLOOKUP($AK1000,ENTI!$AF$4:AJ$1003,5,FALSE)</f>
        <v>0</v>
      </c>
      <c r="AP1000" s="315">
        <f>VLOOKUP($AK1000,ENTI!$AF$4:AK$1003,6,FALSE)</f>
        <v>0</v>
      </c>
      <c r="AQ1000" s="208">
        <f t="shared" si="190"/>
        <v>0</v>
      </c>
      <c r="AR1000" s="152" t="e">
        <f t="shared" si="191"/>
        <v>#N/A</v>
      </c>
      <c r="AS1000" s="1"/>
      <c r="AT1000" s="88" t="str">
        <f t="shared" si="184"/>
        <v/>
      </c>
      <c r="AU1000" s="1"/>
      <c r="AV1000" s="175">
        <f>IF(AW1000&gt;0,COUNTIF(AV$4:AV999,"&gt;0")+1,0)</f>
        <v>0</v>
      </c>
      <c r="AW1000" s="164">
        <f t="shared" si="185"/>
        <v>0</v>
      </c>
      <c r="AX1000" s="310">
        <f>IF($AW1000=0,0,VLOOKUP(VLOOKUP($X1000,$B$34:$T$38,19,FALSE),ENTI!$A$9:$B$13,2,FALSE))</f>
        <v>0</v>
      </c>
      <c r="AY1000" s="310">
        <f t="shared" si="187"/>
        <v>0</v>
      </c>
      <c r="AZ1000" s="316">
        <f t="shared" si="188"/>
        <v>0</v>
      </c>
      <c r="BA1000" s="1"/>
      <c r="BB1000" s="152">
        <f t="shared" si="189"/>
        <v>0</v>
      </c>
      <c r="BC1000" s="152">
        <f ca="1">SUM(Z$4:Z1000)+SUM(BB$4:BB1000)+COSTI!S$6-COSTI!L$1076</f>
        <v>-31.760000000000218</v>
      </c>
      <c r="BD1000" s="1"/>
    </row>
    <row r="1001" spans="1:56" ht="16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435">
        <f>IF(AND(W1001&gt;=$U$1,W1001&lt;=$U$2),IF(X1001='ESTRATTO CONTO'!$E$2,1+COUNTIF(U$4:U1000,"&gt;0"),0),0)</f>
        <v>0</v>
      </c>
      <c r="V1001" s="417">
        <f t="shared" si="186"/>
        <v>998</v>
      </c>
      <c r="W1001" s="509"/>
      <c r="X1001" s="321"/>
      <c r="Y1001" s="321"/>
      <c r="Z1001" s="508"/>
      <c r="AA1001" s="356"/>
      <c r="AB1001" s="306" t="str">
        <f t="shared" si="182"/>
        <v/>
      </c>
      <c r="AC1001" s="637">
        <f t="shared" ca="1" si="181"/>
        <v>-2.1316282072803006E-13</v>
      </c>
      <c r="AD1001" s="935">
        <f>IF(ISERROR(VLOOKUP(AD$2,X1002:X$1003,1,FALSE)),IF(X1001=AD$2,SUMIF(X$4:X1001,AD$2,Z$4:Z1001)+$E$9+SUM(AQ$4:AQ$1003)+SUMIF(COSTI!$X$1379:$X$1430,AD$2,COSTI!$Z$1379:$Z$1430),0),0)</f>
        <v>0</v>
      </c>
      <c r="AE1001" s="26"/>
      <c r="AF1001" s="856" t="e">
        <f>IF(ISERROR(VLOOKUP(AG$2,X1002:X$1003,1,FALSE)),IF(X1001=AG$2,SUMIF(X$4:X1001,AG$2,Z$4:Z1001)+VLOOKUP(AF$2,$B$1057:$F$1068,5,FALSE)+SUM(AR$4:AR$1003)+SUMIF(COSTI!$X$1379:$X$1430,AG$2,COSTI!$Z$1379:$Z$1430),0),0)</f>
        <v>#N/A</v>
      </c>
      <c r="AG1001" s="859"/>
      <c r="AH1001" s="27" t="str">
        <f t="shared" si="183"/>
        <v/>
      </c>
      <c r="AI1001" s="152">
        <f ca="1">IF(W1002&gt;0,0,IF(AH1001=0,(Z1001*-1)+BC1001+SUM(BB$4:BB1000),BC1001+SUM(BB$4:BB1000)))</f>
        <v>-2.1316282072803006E-13</v>
      </c>
      <c r="AJ1001" s="931">
        <f>IF(AND(AL1001&gt;=$U$1,AL1001&lt;=$U$2),IF(AM1001='ESTRATTO CONTO'!$E$2,1+COUNTIF(AJ$4:AJ1000,"&gt;0")+U$1015,0),0)</f>
        <v>0</v>
      </c>
      <c r="AK1001" s="203">
        <f>IF(AND(OR((AK1000+1)&lt;AL$1015,(AK1000+1)=AL$1015),MAX(AK$4:AK1000)&lt;AL$1015),AK1000+1,0)</f>
        <v>0</v>
      </c>
      <c r="AL1001" s="309">
        <f>VLOOKUP($AK1001,ENTI!$AF$4:AG$1003,2,FALSE)</f>
        <v>0</v>
      </c>
      <c r="AM1001" s="224">
        <f>VLOOKUP($AK1001,ENTI!$AF$4:AH$1003,3,FALSE)</f>
        <v>0</v>
      </c>
      <c r="AN1001" s="224">
        <f>VLOOKUP($AK1001,ENTI!$AF$4:AI$1003,4,FALSE)</f>
        <v>0</v>
      </c>
      <c r="AO1001" s="781">
        <f>VLOOKUP($AK1001,ENTI!$AF$4:AJ$1003,5,FALSE)</f>
        <v>0</v>
      </c>
      <c r="AP1001" s="315">
        <f>VLOOKUP($AK1001,ENTI!$AF$4:AK$1003,6,FALSE)</f>
        <v>0</v>
      </c>
      <c r="AQ1001" s="208">
        <f t="shared" si="190"/>
        <v>0</v>
      </c>
      <c r="AR1001" s="152" t="e">
        <f t="shared" si="191"/>
        <v>#N/A</v>
      </c>
      <c r="AS1001" s="1"/>
      <c r="AT1001" s="88" t="str">
        <f t="shared" si="184"/>
        <v/>
      </c>
      <c r="AU1001" s="1"/>
      <c r="AV1001" s="175">
        <f>IF(AW1001&gt;0,COUNTIF(AV$4:AV1000,"&gt;0")+1,0)</f>
        <v>0</v>
      </c>
      <c r="AW1001" s="164">
        <f t="shared" si="185"/>
        <v>0</v>
      </c>
      <c r="AX1001" s="310">
        <f>IF($AW1001=0,0,VLOOKUP(VLOOKUP($X1001,$B$34:$T$38,19,FALSE),ENTI!$A$9:$B$13,2,FALSE))</f>
        <v>0</v>
      </c>
      <c r="AY1001" s="310">
        <f t="shared" si="187"/>
        <v>0</v>
      </c>
      <c r="AZ1001" s="316">
        <f t="shared" si="188"/>
        <v>0</v>
      </c>
      <c r="BA1001" s="1"/>
      <c r="BB1001" s="152">
        <f t="shared" si="189"/>
        <v>0</v>
      </c>
      <c r="BC1001" s="152">
        <f ca="1">SUM(Z$4:Z1001)+SUM(BB$4:BB1001)+COSTI!S$6-COSTI!L$1076</f>
        <v>-31.760000000000218</v>
      </c>
      <c r="BD1001" s="1"/>
    </row>
    <row r="1002" spans="1:56" ht="16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435">
        <f>IF(AND(W1002&gt;=$U$1,W1002&lt;=$U$2),IF(X1002='ESTRATTO CONTO'!$E$2,1+COUNTIF(U$4:U1001,"&gt;0"),0),0)</f>
        <v>0</v>
      </c>
      <c r="V1002" s="417">
        <f t="shared" si="186"/>
        <v>999</v>
      </c>
      <c r="W1002" s="509"/>
      <c r="X1002" s="321"/>
      <c r="Y1002" s="321"/>
      <c r="Z1002" s="508"/>
      <c r="AA1002" s="356"/>
      <c r="AB1002" s="306" t="str">
        <f t="shared" si="182"/>
        <v/>
      </c>
      <c r="AC1002" s="637">
        <f t="shared" ca="1" si="181"/>
        <v>-2.1316282072803006E-13</v>
      </c>
      <c r="AD1002" s="935">
        <f>IF(ISERROR(VLOOKUP(AD$2,X1003:X$1003,1,FALSE)),IF(X1002=AD$2,SUMIF(X$4:X1002,AD$2,Z$4:Z1002)+$E$9+SUM(AQ$4:AQ$1003)+SUMIF(COSTI!$X$1379:$X$1430,AD$2,COSTI!$Z$1379:$Z$1430),0),0)</f>
        <v>0</v>
      </c>
      <c r="AE1002" s="26"/>
      <c r="AF1002" s="856" t="e">
        <f>IF(ISERROR(VLOOKUP(AG$2,X1003:X$1003,1,FALSE)),IF(X1002=AG$2,SUMIF(X$4:X1002,AG$2,Z$4:Z1002)+VLOOKUP(AF$2,$B$1057:$F$1068,5,FALSE)+SUM(AR$4:AR$1003)+SUMIF(COSTI!$X$1379:$X$1430,AG$2,COSTI!$Z$1379:$Z$1430),0),0)</f>
        <v>#N/A</v>
      </c>
      <c r="AG1002" s="859"/>
      <c r="AH1002" s="27" t="str">
        <f t="shared" si="183"/>
        <v/>
      </c>
      <c r="AI1002" s="152">
        <f ca="1">IF(W1003&gt;0,0,IF(AH1002=0,(Z1002*-1)+BC1002+SUM(BB$4:BB1001),BC1002+SUM(BB$4:BB1001)))</f>
        <v>-2.1316282072803006E-13</v>
      </c>
      <c r="AJ1002" s="931">
        <f>IF(AND(AL1002&gt;=$U$1,AL1002&lt;=$U$2),IF(AM1002='ESTRATTO CONTO'!$E$2,1+COUNTIF(AJ$4:AJ1001,"&gt;0")+U$1015,0),0)</f>
        <v>0</v>
      </c>
      <c r="AK1002" s="203">
        <f>IF(AND(OR((AK1001+1)&lt;AL$1015,(AK1001+1)=AL$1015),MAX(AK$4:AK1001)&lt;AL$1015),AK1001+1,0)</f>
        <v>0</v>
      </c>
      <c r="AL1002" s="309">
        <f>VLOOKUP($AK1002,ENTI!$AF$4:AG$1003,2,FALSE)</f>
        <v>0</v>
      </c>
      <c r="AM1002" s="224">
        <f>VLOOKUP($AK1002,ENTI!$AF$4:AH$1003,3,FALSE)</f>
        <v>0</v>
      </c>
      <c r="AN1002" s="224">
        <f>VLOOKUP($AK1002,ENTI!$AF$4:AI$1003,4,FALSE)</f>
        <v>0</v>
      </c>
      <c r="AO1002" s="781">
        <f>VLOOKUP($AK1002,ENTI!$AF$4:AJ$1003,5,FALSE)</f>
        <v>0</v>
      </c>
      <c r="AP1002" s="315">
        <f>VLOOKUP($AK1002,ENTI!$AF$4:AK$1003,6,FALSE)</f>
        <v>0</v>
      </c>
      <c r="AQ1002" s="208">
        <f t="shared" si="190"/>
        <v>0</v>
      </c>
      <c r="AR1002" s="152" t="e">
        <f t="shared" si="191"/>
        <v>#N/A</v>
      </c>
      <c r="AS1002" s="1"/>
      <c r="AT1002" s="88" t="str">
        <f t="shared" si="184"/>
        <v/>
      </c>
      <c r="AU1002" s="1"/>
      <c r="AV1002" s="175">
        <f>IF(AW1002&gt;0,COUNTIF(AV$4:AV1001,"&gt;0")+1,0)</f>
        <v>0</v>
      </c>
      <c r="AW1002" s="164">
        <f t="shared" si="185"/>
        <v>0</v>
      </c>
      <c r="AX1002" s="310">
        <f>IF($AW1002=0,0,VLOOKUP(VLOOKUP($X1002,$B$34:$T$38,19,FALSE),ENTI!$A$9:$B$13,2,FALSE))</f>
        <v>0</v>
      </c>
      <c r="AY1002" s="310">
        <f t="shared" si="187"/>
        <v>0</v>
      </c>
      <c r="AZ1002" s="316">
        <f t="shared" si="188"/>
        <v>0</v>
      </c>
      <c r="BA1002" s="1"/>
      <c r="BB1002" s="152">
        <f t="shared" si="189"/>
        <v>0</v>
      </c>
      <c r="BC1002" s="152">
        <f ca="1">SUM(Z$4:Z1002)+SUM(BB$4:BB1002)+COSTI!S$6-COSTI!L$1076</f>
        <v>-31.760000000000218</v>
      </c>
      <c r="BD1002" s="1"/>
    </row>
    <row r="1003" spans="1:56" ht="16.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435">
        <f>IF(AND(W1003&gt;=$U$1,W1003&lt;=$U$2),IF(X1003='ESTRATTO CONTO'!$E$2,1+COUNTIF(U$4:U1002,"&gt;0"),0),0)</f>
        <v>0</v>
      </c>
      <c r="V1003" s="417">
        <f t="shared" si="186"/>
        <v>1000</v>
      </c>
      <c r="W1003" s="509"/>
      <c r="X1003" s="321"/>
      <c r="Y1003" s="321"/>
      <c r="Z1003" s="508"/>
      <c r="AA1003" s="356"/>
      <c r="AB1003" s="306" t="str">
        <f t="shared" si="182"/>
        <v/>
      </c>
      <c r="AC1003" s="637">
        <f t="shared" ref="AC1003" ca="1" si="192">AI1003</f>
        <v>-2.1316282072803006E-13</v>
      </c>
      <c r="AD1003" s="935">
        <f>IF(ISERROR(VLOOKUP(AD$2,X$1003:X1004,1,FALSE)),IF(X1003=AD$2,SUMIF(X$4:X1003,AD$2,Z$4:Z1003)+$E$9+SUM(AQ$4:AQ$1003)+SUMIF(COSTI!$X$1379:$X$1430,AD$2,COSTI!$Z$1379:$Z$1430),0),0)</f>
        <v>0</v>
      </c>
      <c r="AE1003" s="26"/>
      <c r="AF1003" s="856" t="e">
        <f>IF(ISERROR(VLOOKUP(AG$2,X$1003:X1004,1,FALSE)),IF(X1003=AG$2,SUMIF(X$4:X1003,AG$2,Z$4:Z1003)+VLOOKUP(AF$2,$B$1057:$F$1068,5,FALSE)+SUM(AR$4:AR$1003)+SUMIF(COSTI!$X$1379:$X$1430,AG$2,COSTI!$Z$1379:$Z$1430),0),0)</f>
        <v>#N/A</v>
      </c>
      <c r="AG1003" s="859"/>
      <c r="AH1003" s="27" t="str">
        <f t="shared" ref="AH1003" si="193">IF(ISBLANK(X1003),"",IF(ISERROR(VLOOKUP(X1003,B$34:B$38,1,FALSE)),1,0))</f>
        <v/>
      </c>
      <c r="AI1003" s="152">
        <f ca="1">IF(W1004&gt;0,0,IF(AH1003=0,(Z1003*-1)+BC1003+SUM(BB$4:BB1002),BC1003+SUM(BB$4:BB1002)))</f>
        <v>-2.1316282072803006E-13</v>
      </c>
      <c r="AJ1003" s="931">
        <f>IF(AND(AL1003&gt;=$U$1,AL1003&lt;=$U$2),IF(AM1003='ESTRATTO CONTO'!$E$2,1+COUNTIF(AJ$4:AJ1002,"&gt;0")+U$1015,0),0)</f>
        <v>0</v>
      </c>
      <c r="AK1003" s="203">
        <f>IF(AND(OR((AK1002+1)&lt;AL$1015,(AK1002+1)=AL$1015),MAX(AK$4:AK1002)&lt;AL$1015),AK1002+1,0)</f>
        <v>0</v>
      </c>
      <c r="AL1003" s="309">
        <f>VLOOKUP($AK1003,ENTI!$AF$4:AG$1003,2,FALSE)</f>
        <v>0</v>
      </c>
      <c r="AM1003" s="224">
        <f>VLOOKUP($AK1003,ENTI!$AF$4:AH$1003,3,FALSE)</f>
        <v>0</v>
      </c>
      <c r="AN1003" s="224">
        <f>VLOOKUP($AK1003,ENTI!$AF$4:AI$1003,4,FALSE)</f>
        <v>0</v>
      </c>
      <c r="AO1003" s="781">
        <f>VLOOKUP($AK1003,ENTI!$AF$4:AJ$1003,5,FALSE)</f>
        <v>0</v>
      </c>
      <c r="AP1003" s="315">
        <f>VLOOKUP($AK1003,ENTI!$AF$4:AK$1003,6,FALSE)</f>
        <v>0</v>
      </c>
      <c r="AQ1003" s="208">
        <f>IF(AM1003=AQ$2,AO1003,0)</f>
        <v>0</v>
      </c>
      <c r="AR1003" s="152" t="e">
        <f>IF(AM1003=AR$1,AO1003,0)</f>
        <v>#N/A</v>
      </c>
      <c r="AS1003" s="1"/>
      <c r="AT1003" s="88" t="str">
        <f t="shared" si="184"/>
        <v/>
      </c>
      <c r="AU1003" s="1"/>
      <c r="AV1003" s="175">
        <f>IF(AW1003&gt;0,COUNTIF(AV$4:AV1002,"&gt;0")+1,0)</f>
        <v>0</v>
      </c>
      <c r="AW1003" s="164">
        <f t="shared" ref="AW1003" si="194">IF(ISERROR(VLOOKUP($X1003,$B$34:$B$38,1,FALSE)),0,W1003)</f>
        <v>0</v>
      </c>
      <c r="AX1003" s="310">
        <f>IF($AW1003=0,0,VLOOKUP(VLOOKUP($X1003,$B$34:$T$38,19,FALSE),ENTI!$A$9:$B$13,2,FALSE))</f>
        <v>0</v>
      </c>
      <c r="AY1003" s="310">
        <f t="shared" ref="AY1003" si="195">IF(AW1003=0,0,Y1003)</f>
        <v>0</v>
      </c>
      <c r="AZ1003" s="316">
        <f t="shared" ref="AZ1003" si="196">IF(AW1003=0,0,Z1003)</f>
        <v>0</v>
      </c>
      <c r="BA1003" s="1"/>
      <c r="BB1003" s="152">
        <f t="shared" ref="BB1003" si="197">IF(ISERROR(VLOOKUP(X1003,B$9:D$15,1,FALSE)),Z1003*-1,0)</f>
        <v>0</v>
      </c>
      <c r="BC1003" s="152">
        <f ca="1">SUM(Z$4:Z1003)+SUM(BB$4:BB1003)+COSTI!S$6-COSTI!L$1076</f>
        <v>-31.760000000000218</v>
      </c>
      <c r="BD1003" s="1"/>
    </row>
    <row r="1004" spans="1:56" ht="3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28"/>
      <c r="W1004" s="29"/>
      <c r="X1004" s="30"/>
      <c r="Y1004" s="30"/>
      <c r="Z1004" s="31"/>
      <c r="AA1004" s="26"/>
      <c r="AB1004" s="91"/>
      <c r="AC1004" s="46"/>
      <c r="AD1004" s="46"/>
      <c r="AE1004" s="26"/>
      <c r="AF1004" s="46"/>
      <c r="AG1004" s="26"/>
      <c r="AH1004" s="1"/>
      <c r="AI1004" s="1"/>
      <c r="AJ1004" s="1"/>
      <c r="AK1004" s="1"/>
      <c r="AL1004" s="29"/>
      <c r="AM1004" s="30"/>
      <c r="AN1004" s="30"/>
      <c r="AO1004" s="207"/>
      <c r="AP1004" s="211"/>
      <c r="AQ1004" s="1"/>
      <c r="AR1004" s="1"/>
      <c r="AS1004" s="1"/>
      <c r="AT1004" s="91"/>
      <c r="AU1004" s="1"/>
      <c r="AV1004" s="1"/>
      <c r="AW1004" s="29"/>
      <c r="AX1004" s="30"/>
      <c r="AY1004" s="30"/>
      <c r="AZ1004" s="169"/>
      <c r="BA1004" s="1"/>
      <c r="BB1004" s="1"/>
      <c r="BC1004" s="1"/>
      <c r="BD1004" s="1"/>
    </row>
    <row r="1005" spans="1:56" ht="4.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3"/>
      <c r="W1005" s="3"/>
      <c r="X1005" s="3"/>
      <c r="Y1005" s="3"/>
      <c r="Z1005" s="3"/>
      <c r="AA1005" s="3"/>
      <c r="AB1005" s="90"/>
      <c r="AC1005" s="46"/>
      <c r="AD1005" s="46"/>
      <c r="AE1005" s="3"/>
      <c r="AF1005" s="46"/>
      <c r="AG1005" s="3"/>
      <c r="AH1005" s="1"/>
      <c r="AI1005" s="1"/>
      <c r="AJ1005" s="1"/>
      <c r="AK1005" s="1"/>
      <c r="AL1005" s="3"/>
      <c r="AM1005" s="3"/>
      <c r="AN1005" s="3"/>
      <c r="AO1005" s="3"/>
      <c r="AP1005" s="3"/>
      <c r="AQ1005" s="1"/>
      <c r="AR1005" s="1"/>
      <c r="AS1005" s="1"/>
      <c r="AT1005" s="90"/>
      <c r="AU1005" s="1"/>
      <c r="AV1005" s="1"/>
      <c r="AW1005" s="3"/>
      <c r="AX1005" s="3"/>
      <c r="AY1005" s="3"/>
      <c r="AZ1005" s="3"/>
      <c r="BA1005" s="1"/>
      <c r="BB1005" s="1"/>
      <c r="BC1005" s="1"/>
      <c r="BD1005" s="1"/>
    </row>
    <row r="1006" spans="1:56" ht="18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32"/>
      <c r="W1006" s="506">
        <f>SUBTOTAL(3,W4:W1003)</f>
        <v>36</v>
      </c>
      <c r="X1006" s="1485" t="str">
        <f>CONCATENATE("Nr. Record                                                         Subtotale ",W1)</f>
        <v>Nr. Record                                                         Subtotale REGISTRO PATRIMONIALE</v>
      </c>
      <c r="Y1006" s="1486"/>
      <c r="Z1006" s="432">
        <f>SUBTOTAL(9,Z4:Z1003)</f>
        <v>-2263.5200000000004</v>
      </c>
      <c r="AA1006" s="3"/>
      <c r="AB1006" s="33"/>
      <c r="AC1006" s="46"/>
      <c r="AD1006" s="46"/>
      <c r="AE1006" s="3"/>
      <c r="AF1006" s="46"/>
      <c r="AG1006" s="3"/>
      <c r="AH1006" s="1"/>
      <c r="AI1006" s="1"/>
      <c r="AJ1006" s="1"/>
      <c r="AK1006" s="1"/>
      <c r="AL1006" s="33"/>
      <c r="AM1006" s="92"/>
      <c r="AN1006" s="656" t="s">
        <v>367</v>
      </c>
      <c r="AO1006" s="432">
        <f>SUBTOTAL(9,AO4:AO1003)</f>
        <v>2600</v>
      </c>
      <c r="AP1006" s="92"/>
      <c r="AQ1006" s="1"/>
      <c r="AR1006" s="1"/>
      <c r="AS1006" s="1"/>
      <c r="AT1006" s="33"/>
      <c r="AU1006" s="1"/>
      <c r="AV1006" s="1"/>
      <c r="AW1006" s="33"/>
      <c r="AX1006" s="92"/>
      <c r="AY1006" s="93"/>
      <c r="AZ1006" s="94"/>
      <c r="BA1006" s="1"/>
      <c r="BB1006" s="1"/>
      <c r="BC1006" s="1"/>
      <c r="BD1006" s="373"/>
    </row>
    <row r="1007" spans="1:56" ht="16.5" hidden="1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3"/>
      <c r="AB1007" s="46"/>
      <c r="AC1007" s="46"/>
      <c r="AD1007" s="46"/>
      <c r="AE1007" s="3"/>
      <c r="AF1007" s="46"/>
      <c r="AG1007" s="3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46"/>
      <c r="AU1007" s="1"/>
      <c r="AV1007" s="1"/>
      <c r="AW1007" s="1"/>
      <c r="AX1007" s="1"/>
      <c r="AY1007" s="1"/>
      <c r="AZ1007" s="1"/>
      <c r="BA1007" s="1"/>
      <c r="BB1007" s="1"/>
      <c r="BC1007" s="1"/>
      <c r="BD1007" s="373"/>
    </row>
    <row r="1008" spans="1:56" ht="16.5" hidden="1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3"/>
      <c r="AB1008" s="46"/>
      <c r="AC1008" s="46"/>
      <c r="AD1008" s="46"/>
      <c r="AE1008" s="3"/>
      <c r="AF1008" s="46"/>
      <c r="AG1008" s="3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46"/>
      <c r="AU1008" s="1"/>
      <c r="AV1008" s="1"/>
      <c r="AW1008" s="1"/>
      <c r="AX1008" s="1"/>
      <c r="AY1008" s="1"/>
      <c r="AZ1008" s="1"/>
      <c r="BA1008" s="1"/>
      <c r="BB1008" s="1"/>
      <c r="BC1008" s="1"/>
      <c r="BD1008" s="373"/>
    </row>
    <row r="1009" spans="1:56" ht="16.5" hidden="1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910" t="s">
        <v>495</v>
      </c>
      <c r="O1009" s="1"/>
      <c r="P1009" s="886">
        <f>W1009</f>
        <v>45292</v>
      </c>
      <c r="Q1009" s="887">
        <f>W1010</f>
        <v>45657</v>
      </c>
      <c r="R1009" s="1"/>
      <c r="S1009" s="1"/>
      <c r="T1009" s="1"/>
      <c r="U1009" s="1"/>
      <c r="V1009" s="1"/>
      <c r="W1009" s="874">
        <f>Presentazione!$B$210</f>
        <v>45292</v>
      </c>
      <c r="X1009" s="292" t="s">
        <v>164</v>
      </c>
      <c r="Y1009" s="903" t="s">
        <v>511</v>
      </c>
      <c r="Z1009" s="908">
        <f>ENTI!Z1015</f>
        <v>45657</v>
      </c>
      <c r="AA1009" s="3"/>
      <c r="AB1009" s="46"/>
      <c r="AC1009" s="46"/>
      <c r="AD1009" s="46"/>
      <c r="AE1009" s="3"/>
      <c r="AF1009" s="46"/>
      <c r="AG1009" s="3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46"/>
      <c r="AU1009" s="1"/>
      <c r="AV1009" s="1"/>
      <c r="AW1009" s="1"/>
      <c r="AX1009" s="1"/>
      <c r="AY1009" s="1"/>
      <c r="AZ1009" s="1"/>
      <c r="BA1009" s="1"/>
      <c r="BB1009" s="1"/>
      <c r="BC1009" s="1"/>
      <c r="BD1009" s="373"/>
    </row>
    <row r="1010" spans="1:56" ht="16.5" hidden="1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878">
        <f>S1010-P1010</f>
        <v>90</v>
      </c>
      <c r="N1010" s="930" t="s">
        <v>491</v>
      </c>
      <c r="O1010" s="930" t="s">
        <v>1</v>
      </c>
      <c r="P1010" s="880">
        <f>HLOOKUP(O1010,Presentazione!$B$206:$M$210,5,FALSE)</f>
        <v>45292</v>
      </c>
      <c r="Q1010" s="883">
        <f>IF(AND(M1010&gt;85,M1010&lt;95),S1010,DATE(YEAR(S1010)+1,MONTH(S1010),DAY(S1010)))</f>
        <v>45382</v>
      </c>
      <c r="R1010" s="835"/>
      <c r="S1010" s="879">
        <f>P1011-1</f>
        <v>45382</v>
      </c>
      <c r="T1010" s="1"/>
      <c r="U1010" s="1"/>
      <c r="V1010" s="1"/>
      <c r="W1010" s="875">
        <f>Presentazione!$N$210</f>
        <v>45657</v>
      </c>
      <c r="X1010" s="293" t="s">
        <v>488</v>
      </c>
      <c r="Y1010" s="904" t="s">
        <v>512</v>
      </c>
      <c r="Z1010" s="909">
        <f>ENTI!Z1016</f>
        <v>45292</v>
      </c>
      <c r="AA1010" s="3"/>
      <c r="AB1010" s="46"/>
      <c r="AC1010" s="46"/>
      <c r="AD1010" s="46"/>
      <c r="AE1010" s="3"/>
      <c r="AF1010" s="46"/>
      <c r="AG1010" s="3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46"/>
      <c r="AU1010" s="1"/>
      <c r="AV1010" s="1"/>
      <c r="AW1010" s="1"/>
      <c r="AX1010" s="1"/>
      <c r="AY1010" s="1"/>
      <c r="AZ1010" s="1"/>
      <c r="BA1010" s="1"/>
      <c r="BB1010" s="1"/>
      <c r="BC1010" s="1"/>
      <c r="BD1010" s="373"/>
    </row>
    <row r="1011" spans="1:56" ht="16.5" hidden="1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878">
        <f>S1011-P1011</f>
        <v>90</v>
      </c>
      <c r="N1011" s="930" t="s">
        <v>492</v>
      </c>
      <c r="O1011" s="930" t="s">
        <v>4</v>
      </c>
      <c r="P1011" s="881">
        <f>HLOOKUP(O1011,Presentazione!$B$206:$M$210,5,FALSE)</f>
        <v>45383</v>
      </c>
      <c r="Q1011" s="884">
        <f>IF(AND(M1011&gt;85,M1011&lt;95),S1011,DATE(YEAR(S1011)+1,MONTH(S1011),DAY(S1011)))</f>
        <v>45473</v>
      </c>
      <c r="R1011" s="835"/>
      <c r="S1011" s="879">
        <f>P1012-1</f>
        <v>45473</v>
      </c>
      <c r="T1011" s="1"/>
      <c r="U1011" s="1"/>
      <c r="V1011" s="1"/>
      <c r="W1011" s="1"/>
      <c r="X1011" s="1"/>
      <c r="Y1011" s="1"/>
      <c r="Z1011" s="1"/>
      <c r="AA1011" s="3"/>
      <c r="AB1011" s="46"/>
      <c r="AC1011" s="46"/>
      <c r="AD1011" s="46"/>
      <c r="AE1011" s="3"/>
      <c r="AF1011" s="46"/>
      <c r="AG1011" s="3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46"/>
      <c r="AU1011" s="1"/>
      <c r="AV1011" s="1"/>
      <c r="AW1011" s="1"/>
      <c r="AX1011" s="1"/>
      <c r="AY1011" s="1"/>
      <c r="AZ1011" s="1"/>
      <c r="BA1011" s="1"/>
      <c r="BB1011" s="1"/>
      <c r="BC1011" s="1"/>
      <c r="BD1011" s="373"/>
    </row>
    <row r="1012" spans="1:56" ht="16.5" hidden="1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878">
        <f>S1012-P1012</f>
        <v>91</v>
      </c>
      <c r="N1012" s="930" t="s">
        <v>493</v>
      </c>
      <c r="O1012" s="930" t="s">
        <v>7</v>
      </c>
      <c r="P1012" s="881">
        <f>HLOOKUP(O1012,Presentazione!$B$206:$M$210,5,FALSE)</f>
        <v>45474</v>
      </c>
      <c r="Q1012" s="884">
        <f>IF(AND(M1012&gt;85,M1012&lt;95),S1012,DATE(YEAR(S1012)+1,MONTH(S1012),DAY(S1012)))</f>
        <v>45565</v>
      </c>
      <c r="R1012" s="835"/>
      <c r="S1012" s="879">
        <f>P1013-1</f>
        <v>45565</v>
      </c>
      <c r="T1012" s="1"/>
      <c r="U1012" s="1"/>
      <c r="V1012" s="888">
        <f>MONTH(W1012)</f>
        <v>1</v>
      </c>
      <c r="W1012" s="874">
        <f>VLOOKUP(P4,N1009:P1013,3,FALSE)</f>
        <v>45292</v>
      </c>
      <c r="X1012" s="292" t="s">
        <v>164</v>
      </c>
      <c r="Y1012" s="1"/>
      <c r="Z1012" s="1"/>
      <c r="AA1012" s="3"/>
      <c r="AB1012" s="46"/>
      <c r="AC1012" s="46"/>
      <c r="AD1012" s="46"/>
      <c r="AE1012" s="3"/>
      <c r="AF1012" s="46"/>
      <c r="AG1012" s="3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46"/>
      <c r="AU1012" s="1"/>
      <c r="AV1012" s="1"/>
      <c r="AW1012" s="1"/>
      <c r="AX1012" s="1"/>
      <c r="AY1012" s="1"/>
      <c r="AZ1012" s="1"/>
      <c r="BA1012" s="1"/>
      <c r="BB1012" s="1"/>
      <c r="BC1012" s="1"/>
      <c r="BD1012" s="373"/>
    </row>
    <row r="1013" spans="1:56" ht="16.5" hidden="1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878">
        <f>S1013-P1013</f>
        <v>-275</v>
      </c>
      <c r="N1013" s="930" t="s">
        <v>494</v>
      </c>
      <c r="O1013" s="930" t="s">
        <v>10</v>
      </c>
      <c r="P1013" s="882">
        <f>HLOOKUP(O1013,Presentazione!$B$206:$M$210,5,FALSE)</f>
        <v>45566</v>
      </c>
      <c r="Q1013" s="885">
        <f>IF(AND(M1013&gt;85,M1013&lt;95),S1013,DATE(YEAR(S1013)+1,MONTH(S1013),DAY(S1013)))</f>
        <v>45657</v>
      </c>
      <c r="R1013" s="835"/>
      <c r="S1013" s="879">
        <f>HLOOKUP(O1010,Presentazione!$B$206:$M$210,5,FALSE)-1</f>
        <v>45291</v>
      </c>
      <c r="T1013" s="1"/>
      <c r="U1013" s="1"/>
      <c r="V1013" s="888">
        <f>MONTH(W1013)</f>
        <v>12</v>
      </c>
      <c r="W1013" s="875">
        <f>VLOOKUP(P4,N1009:Q1013,4,FALSE)</f>
        <v>45657</v>
      </c>
      <c r="X1013" s="293" t="s">
        <v>365</v>
      </c>
      <c r="Y1013" s="1"/>
      <c r="Z1013" s="1"/>
      <c r="AA1013" s="3"/>
      <c r="AB1013" s="46"/>
      <c r="AC1013" s="46"/>
      <c r="AD1013" s="46"/>
      <c r="AE1013" s="3"/>
      <c r="AF1013" s="46"/>
      <c r="AG1013" s="3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46"/>
      <c r="AU1013" s="1"/>
      <c r="AV1013" s="1"/>
      <c r="AW1013" s="1"/>
      <c r="AX1013" s="1"/>
      <c r="AY1013" s="1"/>
      <c r="AZ1013" s="1"/>
      <c r="BA1013" s="1"/>
      <c r="BB1013" s="1"/>
      <c r="BC1013" s="1"/>
      <c r="BD1013" s="373"/>
    </row>
    <row r="1014" spans="1:56" ht="16.5" hidden="1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229" t="s">
        <v>497</v>
      </c>
      <c r="Q1014" s="1229"/>
      <c r="R1014" s="1"/>
      <c r="S1014" s="1"/>
      <c r="T1014" s="1"/>
      <c r="U1014" s="1"/>
      <c r="V1014" s="1"/>
      <c r="W1014" s="1"/>
      <c r="X1014" s="1"/>
      <c r="Y1014" s="1"/>
      <c r="Z1014" s="1"/>
      <c r="AA1014" s="3"/>
      <c r="AB1014" s="46"/>
      <c r="AC1014" s="46"/>
      <c r="AD1014" s="46"/>
      <c r="AE1014" s="3"/>
      <c r="AF1014" s="46"/>
      <c r="AG1014" s="3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46"/>
      <c r="AU1014" s="1"/>
      <c r="AV1014" s="1"/>
      <c r="AW1014" s="1"/>
      <c r="AX1014" s="1"/>
      <c r="AY1014" s="1"/>
      <c r="AZ1014" s="1"/>
      <c r="BA1014" s="1"/>
      <c r="BB1014" s="1"/>
      <c r="BC1014" s="1"/>
      <c r="BD1014" s="373"/>
    </row>
    <row r="1015" spans="1:56" ht="16.5" hidden="1" customHeight="1">
      <c r="A1015" s="1"/>
      <c r="B1015" s="1"/>
      <c r="C1015" s="897">
        <f>SUM(F1015:Q1015)</f>
        <v>12</v>
      </c>
      <c r="D1015" s="1"/>
      <c r="E1015" s="1"/>
      <c r="F1015" s="914">
        <f t="shared" ref="F1015:P1015" si="198">IF(AND($J$1037=0,$P$4=$N$1009),0,IF($P$4=$N$1009,IF(OR((G1016-1)&lt;$Z$1010,F1016&gt;$Z$1009),0,1),IF(AND(F1029&gt;=$V$1012,F1029&lt;=$V$1013),1,0)))</f>
        <v>1</v>
      </c>
      <c r="G1015" s="914">
        <f t="shared" si="198"/>
        <v>1</v>
      </c>
      <c r="H1015" s="914">
        <f t="shared" si="198"/>
        <v>1</v>
      </c>
      <c r="I1015" s="914">
        <f t="shared" si="198"/>
        <v>1</v>
      </c>
      <c r="J1015" s="914">
        <f t="shared" si="198"/>
        <v>1</v>
      </c>
      <c r="K1015" s="914">
        <f t="shared" si="198"/>
        <v>1</v>
      </c>
      <c r="L1015" s="914">
        <f t="shared" si="198"/>
        <v>1</v>
      </c>
      <c r="M1015" s="914">
        <f t="shared" si="198"/>
        <v>1</v>
      </c>
      <c r="N1015" s="914">
        <f t="shared" si="198"/>
        <v>1</v>
      </c>
      <c r="O1015" s="914">
        <f t="shared" si="198"/>
        <v>1</v>
      </c>
      <c r="P1015" s="914">
        <f t="shared" si="198"/>
        <v>1</v>
      </c>
      <c r="Q1015" s="914">
        <f>IF(AND($J$1037=0,$P$4=$N$1009),0,IF($P$4=$N$1009,IF(OR((S1016-1)&lt;$Z$1010,Q1016&gt;$Z$1009),0,1),IF(AND(Q1029&gt;=$V$1012,Q1029&lt;=$V$1013),1,0)))</f>
        <v>1</v>
      </c>
      <c r="R1015" s="1"/>
      <c r="S1015" s="1"/>
      <c r="T1015" s="1"/>
      <c r="U1015" s="435">
        <f>IF(OR($H$1037=FALSE,$L$1037=FALSE),0,IF(AND($P$4=$N$1009,$J$1037=0),0,COUNTIF(U4:U1003,"&gt;0")))</f>
        <v>12</v>
      </c>
      <c r="V1015" s="1"/>
      <c r="W1015" s="835"/>
      <c r="X1015" s="835"/>
      <c r="Y1015" s="835"/>
      <c r="Z1015" s="835"/>
      <c r="AA1015" s="34"/>
      <c r="AB1015" s="95"/>
      <c r="AC1015" s="231">
        <f ca="1">AC1003</f>
        <v>-2.1316282072803006E-13</v>
      </c>
      <c r="AD1015" s="46"/>
      <c r="AE1015" s="34"/>
      <c r="AF1015" s="46"/>
      <c r="AG1015" s="34"/>
      <c r="AH1015" s="28"/>
      <c r="AI1015" s="1"/>
      <c r="AJ1015" s="931">
        <f>IF(OR($H$1037=FALSE,$L$1037=FALSE),0,IF(AND($P$4=$N$1009,$J$1037=0),0,IF(MAX(AJ4:AJ1003)&gt;AJ1016,"ERROR",COUNTIF(AJ4:AJ1003,"&gt;0"))))</f>
        <v>12</v>
      </c>
      <c r="AK1015" s="28"/>
      <c r="AL1015" s="101">
        <f>ENTI!AG1006</f>
        <v>30</v>
      </c>
      <c r="AM1015" s="176" t="s">
        <v>86</v>
      </c>
      <c r="AN1015" s="1"/>
      <c r="AO1015" s="1"/>
      <c r="AP1015" s="176"/>
      <c r="AQ1015" s="1"/>
      <c r="AR1015" s="1"/>
      <c r="AS1015" s="1"/>
      <c r="AT1015" s="95"/>
      <c r="AU1015" s="1"/>
      <c r="AV1015" s="28"/>
      <c r="AW1015" s="101"/>
      <c r="AX1015" s="176"/>
      <c r="AY1015" s="1"/>
      <c r="AZ1015" s="1"/>
      <c r="BA1015" s="1"/>
      <c r="BB1015" s="1"/>
      <c r="BC1015" s="1"/>
      <c r="BD1015" s="1"/>
    </row>
    <row r="1016" spans="1:56" ht="16.5" hidden="1" customHeight="1">
      <c r="A1016" s="1"/>
      <c r="B1016" s="1"/>
      <c r="C1016" s="1"/>
      <c r="D1016" s="1"/>
      <c r="E1016" s="1"/>
      <c r="F1016" s="915">
        <f>Presentazione!B210</f>
        <v>45292</v>
      </c>
      <c r="G1016" s="915">
        <f>Presentazione!C210</f>
        <v>45323</v>
      </c>
      <c r="H1016" s="915">
        <f>Presentazione!D210</f>
        <v>45352</v>
      </c>
      <c r="I1016" s="915">
        <f>Presentazione!E210</f>
        <v>45383</v>
      </c>
      <c r="J1016" s="915">
        <f>Presentazione!F210</f>
        <v>45413</v>
      </c>
      <c r="K1016" s="915">
        <f>Presentazione!G210</f>
        <v>45444</v>
      </c>
      <c r="L1016" s="915">
        <f>Presentazione!H210</f>
        <v>45474</v>
      </c>
      <c r="M1016" s="915">
        <f>Presentazione!I210</f>
        <v>45505</v>
      </c>
      <c r="N1016" s="915">
        <f>Presentazione!J210</f>
        <v>45536</v>
      </c>
      <c r="O1016" s="915">
        <f>Presentazione!K210</f>
        <v>45566</v>
      </c>
      <c r="P1016" s="915">
        <f>Presentazione!L210</f>
        <v>45597</v>
      </c>
      <c r="Q1016" s="913">
        <f>Presentazione!M210</f>
        <v>45627</v>
      </c>
      <c r="R1016" s="1"/>
      <c r="S1016" s="916">
        <f>Presentazione!N210</f>
        <v>45657</v>
      </c>
      <c r="T1016" s="1"/>
      <c r="U1016" s="1"/>
      <c r="V1016" s="1"/>
      <c r="W1016" s="835"/>
      <c r="X1016" s="835"/>
      <c r="Y1016" s="835"/>
      <c r="Z1016" s="835"/>
      <c r="AA1016" s="34"/>
      <c r="AB1016" s="95"/>
      <c r="AC1016" s="46"/>
      <c r="AD1016" s="46"/>
      <c r="AE1016" s="34"/>
      <c r="AF1016" s="46"/>
      <c r="AG1016" s="34"/>
      <c r="AH1016" s="181"/>
      <c r="AI1016" s="5" t="s">
        <v>88</v>
      </c>
      <c r="AJ1016" s="997">
        <v>1500</v>
      </c>
      <c r="AK1016" s="176"/>
      <c r="AL1016" s="95"/>
      <c r="AM1016" s="1"/>
      <c r="AN1016" s="1"/>
      <c r="AO1016" s="1"/>
      <c r="AP1016" s="1"/>
      <c r="AQ1016" s="1"/>
      <c r="AR1016" s="1"/>
      <c r="AS1016" s="1"/>
      <c r="AT1016" s="95"/>
      <c r="AU1016" s="1"/>
      <c r="AV1016" s="176"/>
      <c r="AW1016" s="95"/>
      <c r="AX1016" s="1"/>
      <c r="AY1016" s="1"/>
      <c r="AZ1016" s="1"/>
      <c r="BA1016" s="1"/>
      <c r="BB1016" s="5"/>
      <c r="BC1016" s="5"/>
      <c r="BD1016" s="1"/>
    </row>
    <row r="1017" spans="1:56" ht="16.5" hidden="1" customHeight="1">
      <c r="A1017" s="1"/>
      <c r="B1017" s="1"/>
      <c r="C1017" s="59" t="s">
        <v>18</v>
      </c>
      <c r="D1017" s="1"/>
      <c r="E1017" s="127">
        <f ca="1">IF($B$23&lt;0,$B$23*$E19*-1,$B$23*$E19)</f>
        <v>738.06624999999997</v>
      </c>
      <c r="F1017" s="61">
        <f t="shared" ref="F1017:Q1021" ca="1" si="199">IF(F$1015=0,0,IF(COUNTIF(F$1041:F$1047,0)=7,0,IF(F$6-$B$23&gt;0,IF(F$6-$B$23&gt;$E1017,$E1017,F$6-$B$23),0)))</f>
        <v>0</v>
      </c>
      <c r="G1017" s="62">
        <f t="shared" ca="1" si="199"/>
        <v>0</v>
      </c>
      <c r="H1017" s="62">
        <f t="shared" ca="1" si="199"/>
        <v>0</v>
      </c>
      <c r="I1017" s="62">
        <f t="shared" ca="1" si="199"/>
        <v>0</v>
      </c>
      <c r="J1017" s="62">
        <f t="shared" ca="1" si="199"/>
        <v>0</v>
      </c>
      <c r="K1017" s="62">
        <f t="shared" ca="1" si="199"/>
        <v>0</v>
      </c>
      <c r="L1017" s="62">
        <f t="shared" ca="1" si="199"/>
        <v>0</v>
      </c>
      <c r="M1017" s="62">
        <f t="shared" ca="1" si="199"/>
        <v>210.91166666666675</v>
      </c>
      <c r="N1017" s="62">
        <f t="shared" ca="1" si="199"/>
        <v>260.91166666666675</v>
      </c>
      <c r="O1017" s="62">
        <f t="shared" ca="1" si="199"/>
        <v>131.32166666666683</v>
      </c>
      <c r="P1017" s="62">
        <f t="shared" ca="1" si="199"/>
        <v>181.32166666666683</v>
      </c>
      <c r="Q1017" s="63">
        <f t="shared" ca="1" si="199"/>
        <v>79.151666666666756</v>
      </c>
      <c r="R1017" s="1"/>
      <c r="S1017" s="1"/>
      <c r="T1017" s="1"/>
      <c r="U1017" s="1"/>
      <c r="V1017" s="1"/>
      <c r="W1017" s="835"/>
      <c r="X1017" s="835"/>
      <c r="Y1017" s="835"/>
      <c r="Z1017" s="835"/>
      <c r="AA1017" s="3"/>
      <c r="AB1017" s="95"/>
      <c r="AC1017" s="46"/>
      <c r="AD1017" s="46"/>
      <c r="AE1017" s="3"/>
      <c r="AF1017" s="46"/>
      <c r="AG1017" s="3"/>
      <c r="AH1017" s="1"/>
      <c r="AI1017" s="1"/>
      <c r="AJ1017" s="1"/>
      <c r="AK1017" s="1"/>
      <c r="AL1017" s="95"/>
      <c r="AM1017" s="1"/>
      <c r="AN1017" s="1"/>
      <c r="AO1017" s="1"/>
      <c r="AP1017" s="1"/>
      <c r="AQ1017" s="1"/>
      <c r="AR1017" s="1"/>
      <c r="AS1017" s="1"/>
      <c r="AT1017" s="95"/>
      <c r="AU1017" s="1"/>
      <c r="AV1017" s="1"/>
      <c r="AW1017" s="95"/>
      <c r="AX1017" s="1"/>
      <c r="AY1017" s="1"/>
      <c r="AZ1017" s="1"/>
      <c r="BA1017" s="1"/>
      <c r="BB1017" s="1"/>
      <c r="BC1017" s="1"/>
      <c r="BD1017" s="1"/>
    </row>
    <row r="1018" spans="1:56" ht="16.5" hidden="1" customHeight="1">
      <c r="A1018" s="1"/>
      <c r="B1018" s="1"/>
      <c r="C1018" s="64"/>
      <c r="D1018" s="64"/>
      <c r="E1018" s="128">
        <f ca="1">IF($B$23&lt;0,$B$23*$E20*-1,$B$23*$E20)</f>
        <v>492.04416666666663</v>
      </c>
      <c r="F1018" s="66">
        <f t="shared" ca="1" si="199"/>
        <v>0</v>
      </c>
      <c r="G1018" s="67">
        <f t="shared" ca="1" si="199"/>
        <v>0</v>
      </c>
      <c r="H1018" s="67">
        <f t="shared" ca="1" si="199"/>
        <v>0</v>
      </c>
      <c r="I1018" s="67">
        <f t="shared" ca="1" si="199"/>
        <v>0</v>
      </c>
      <c r="J1018" s="67">
        <f t="shared" ca="1" si="199"/>
        <v>0</v>
      </c>
      <c r="K1018" s="67">
        <f t="shared" ca="1" si="199"/>
        <v>0</v>
      </c>
      <c r="L1018" s="67">
        <f t="shared" ca="1" si="199"/>
        <v>0</v>
      </c>
      <c r="M1018" s="67">
        <f t="shared" ca="1" si="199"/>
        <v>210.91166666666675</v>
      </c>
      <c r="N1018" s="67">
        <f t="shared" ca="1" si="199"/>
        <v>260.91166666666675</v>
      </c>
      <c r="O1018" s="67">
        <f t="shared" ca="1" si="199"/>
        <v>131.32166666666683</v>
      </c>
      <c r="P1018" s="67">
        <f t="shared" ca="1" si="199"/>
        <v>181.32166666666683</v>
      </c>
      <c r="Q1018" s="68">
        <f t="shared" ca="1" si="199"/>
        <v>79.151666666666756</v>
      </c>
      <c r="R1018" s="1"/>
      <c r="S1018" s="1"/>
      <c r="T1018" s="1"/>
      <c r="U1018" s="1"/>
      <c r="V1018" s="1"/>
      <c r="W1018" s="1"/>
      <c r="X1018" s="1"/>
      <c r="Y1018" s="835"/>
      <c r="Z1018" s="835"/>
      <c r="AA1018" s="3"/>
      <c r="AB1018" s="95"/>
      <c r="AC1018" s="46"/>
      <c r="AD1018" s="46"/>
      <c r="AE1018" s="3"/>
      <c r="AF1018" s="46"/>
      <c r="AG1018" s="3"/>
      <c r="AH1018" s="1"/>
      <c r="AI1018" s="1"/>
      <c r="AJ1018" s="1"/>
      <c r="AK1018" s="1"/>
      <c r="AL1018" s="95"/>
      <c r="AM1018" s="1"/>
      <c r="AN1018" s="1"/>
      <c r="AO1018" s="1"/>
      <c r="AP1018" s="1"/>
      <c r="AQ1018" s="1"/>
      <c r="AR1018" s="1"/>
      <c r="AS1018" s="1"/>
      <c r="AT1018" s="95"/>
      <c r="AU1018" s="1"/>
      <c r="AV1018" s="1"/>
      <c r="AW1018" s="95"/>
      <c r="AX1018" s="1"/>
      <c r="AY1018" s="1"/>
      <c r="AZ1018" s="1"/>
      <c r="BA1018" s="1"/>
      <c r="BB1018" s="1"/>
      <c r="BC1018" s="1"/>
      <c r="BD1018" s="1"/>
    </row>
    <row r="1019" spans="1:56" ht="16.5" hidden="1" customHeight="1">
      <c r="A1019" s="1"/>
      <c r="B1019" s="1218" t="s">
        <v>504</v>
      </c>
      <c r="C1019" s="1218"/>
      <c r="D1019" s="69"/>
      <c r="E1019" s="128">
        <f ca="1">IF($B$23&lt;0,$B$23*$E21*-1,$B$23*$E21)</f>
        <v>246.02208333333331</v>
      </c>
      <c r="F1019" s="66">
        <f t="shared" ca="1" si="199"/>
        <v>0</v>
      </c>
      <c r="G1019" s="67">
        <f t="shared" ca="1" si="199"/>
        <v>0</v>
      </c>
      <c r="H1019" s="67">
        <f t="shared" ca="1" si="199"/>
        <v>0</v>
      </c>
      <c r="I1019" s="67">
        <f t="shared" ca="1" si="199"/>
        <v>0</v>
      </c>
      <c r="J1019" s="67">
        <f t="shared" ca="1" si="199"/>
        <v>0</v>
      </c>
      <c r="K1019" s="67">
        <f t="shared" ca="1" si="199"/>
        <v>0</v>
      </c>
      <c r="L1019" s="67">
        <f t="shared" ca="1" si="199"/>
        <v>0</v>
      </c>
      <c r="M1019" s="67">
        <f t="shared" ca="1" si="199"/>
        <v>210.91166666666675</v>
      </c>
      <c r="N1019" s="67">
        <f t="shared" ca="1" si="199"/>
        <v>246.02208333333331</v>
      </c>
      <c r="O1019" s="67">
        <f t="shared" ca="1" si="199"/>
        <v>131.32166666666683</v>
      </c>
      <c r="P1019" s="67">
        <f t="shared" ca="1" si="199"/>
        <v>181.32166666666683</v>
      </c>
      <c r="Q1019" s="68">
        <f t="shared" ca="1" si="199"/>
        <v>79.151666666666756</v>
      </c>
      <c r="R1019" s="1"/>
      <c r="S1019" s="1"/>
      <c r="T1019" s="1"/>
      <c r="U1019" s="1"/>
      <c r="V1019" s="1"/>
      <c r="W1019" s="1"/>
      <c r="X1019" s="15" t="str">
        <f>C1041</f>
        <v xml:space="preserve">CR/DB - </v>
      </c>
      <c r="Y1019" s="1"/>
      <c r="Z1019" s="1"/>
      <c r="AA1019" s="3"/>
      <c r="AB1019" s="95"/>
      <c r="AC1019" s="46"/>
      <c r="AD1019" s="46"/>
      <c r="AE1019" s="3"/>
      <c r="AF1019" s="46"/>
      <c r="AG1019" s="3"/>
      <c r="AH1019" s="1"/>
      <c r="AI1019" s="1"/>
      <c r="AJ1019" s="1"/>
      <c r="AK1019" s="1"/>
      <c r="AL1019" s="95"/>
      <c r="AM1019" s="1"/>
      <c r="AN1019" s="1"/>
      <c r="AO1019" s="1"/>
      <c r="AP1019" s="1"/>
      <c r="AQ1019" s="1"/>
      <c r="AR1019" s="1"/>
      <c r="AS1019" s="1"/>
      <c r="AT1019" s="95"/>
      <c r="AU1019" s="1"/>
      <c r="AV1019" s="1"/>
      <c r="AW1019" s="95"/>
      <c r="AX1019" s="1"/>
      <c r="AY1019" s="1"/>
      <c r="AZ1019" s="1"/>
      <c r="BA1019" s="1"/>
      <c r="BB1019" s="1"/>
      <c r="BC1019" s="1"/>
      <c r="BD1019" s="1"/>
    </row>
    <row r="1020" spans="1:56" ht="16.5" hidden="1" customHeight="1">
      <c r="A1020" s="1"/>
      <c r="B1020" s="70"/>
      <c r="C1020" s="891">
        <f>IF(C1015=12,IF(CEILING(C1026/30,1)&gt;12,12,CEILING(C1026/30,1)),C1015)</f>
        <v>12</v>
      </c>
      <c r="D1020" s="1"/>
      <c r="E1020" s="128">
        <f ca="1">IF($B$23&lt;0,$B$23*$E22*-1,$B$23*$E22)</f>
        <v>98.408833333333334</v>
      </c>
      <c r="F1020" s="66">
        <f t="shared" ca="1" si="199"/>
        <v>0</v>
      </c>
      <c r="G1020" s="67">
        <f t="shared" ca="1" si="199"/>
        <v>0</v>
      </c>
      <c r="H1020" s="67">
        <f t="shared" ca="1" si="199"/>
        <v>0</v>
      </c>
      <c r="I1020" s="67">
        <f t="shared" ca="1" si="199"/>
        <v>0</v>
      </c>
      <c r="J1020" s="67">
        <f t="shared" ca="1" si="199"/>
        <v>0</v>
      </c>
      <c r="K1020" s="67">
        <f t="shared" ca="1" si="199"/>
        <v>0</v>
      </c>
      <c r="L1020" s="67">
        <f t="shared" ca="1" si="199"/>
        <v>0</v>
      </c>
      <c r="M1020" s="67">
        <f t="shared" ca="1" si="199"/>
        <v>98.408833333333334</v>
      </c>
      <c r="N1020" s="67">
        <f t="shared" ca="1" si="199"/>
        <v>98.408833333333334</v>
      </c>
      <c r="O1020" s="67">
        <f t="shared" ca="1" si="199"/>
        <v>98.408833333333334</v>
      </c>
      <c r="P1020" s="67">
        <f t="shared" ca="1" si="199"/>
        <v>98.408833333333334</v>
      </c>
      <c r="Q1020" s="68">
        <f t="shared" ca="1" si="199"/>
        <v>79.151666666666756</v>
      </c>
      <c r="R1020" s="1"/>
      <c r="S1020" s="1"/>
      <c r="T1020" s="1"/>
      <c r="U1020" s="1"/>
      <c r="V1020" s="1"/>
      <c r="W1020" s="350">
        <f>IF(ISERROR(VLOOKUP('ESTRATTO CONTO'!E2,ENTI!B9:B13,1,FALSE)),0,1)</f>
        <v>0</v>
      </c>
      <c r="X1020" s="351" t="str">
        <f>IF(W1020=1,CONCATENATE(X1019,'ESTRATTO CONTO'!E2),"")</f>
        <v/>
      </c>
      <c r="Y1020" s="352" t="e">
        <f>VLOOKUP(X1020,B34:E38,4,FALSE)</f>
        <v>#N/A</v>
      </c>
      <c r="Z1020" s="1"/>
      <c r="AA1020" s="3"/>
      <c r="AB1020" s="95"/>
      <c r="AC1020" s="46"/>
      <c r="AD1020" s="46"/>
      <c r="AE1020" s="3"/>
      <c r="AF1020" s="46"/>
      <c r="AG1020" s="3"/>
      <c r="AH1020" s="1"/>
      <c r="AI1020" s="1"/>
      <c r="AJ1020" s="1"/>
      <c r="AK1020" s="1"/>
      <c r="AL1020" s="95"/>
      <c r="AM1020" s="1"/>
      <c r="AN1020" s="1"/>
      <c r="AO1020" s="1"/>
      <c r="AP1020" s="1"/>
      <c r="AQ1020" s="1"/>
      <c r="AR1020" s="1"/>
      <c r="AS1020" s="1"/>
      <c r="AT1020" s="95"/>
      <c r="AU1020" s="1"/>
      <c r="AV1020" s="1"/>
      <c r="AW1020" s="95"/>
      <c r="AX1020" s="1"/>
      <c r="AY1020" s="1"/>
      <c r="AZ1020" s="1"/>
      <c r="BA1020" s="1"/>
      <c r="BB1020" s="1"/>
      <c r="BC1020" s="1"/>
      <c r="BD1020" s="1"/>
    </row>
    <row r="1021" spans="1:56" ht="16.5" hidden="1" customHeight="1">
      <c r="A1021" s="1"/>
      <c r="B1021" s="1"/>
      <c r="C1021" s="71" t="s">
        <v>71</v>
      </c>
      <c r="D1021" s="1"/>
      <c r="E1021" s="129">
        <f ca="1">IF($B$23&lt;0,$B$23*$E23*-1,$B$23*$E23)</f>
        <v>49.204416666666667</v>
      </c>
      <c r="F1021" s="73">
        <f t="shared" ca="1" si="199"/>
        <v>0</v>
      </c>
      <c r="G1021" s="74">
        <f t="shared" ca="1" si="199"/>
        <v>0</v>
      </c>
      <c r="H1021" s="74">
        <f t="shared" ca="1" si="199"/>
        <v>0</v>
      </c>
      <c r="I1021" s="74">
        <f t="shared" ca="1" si="199"/>
        <v>0</v>
      </c>
      <c r="J1021" s="74">
        <f t="shared" ca="1" si="199"/>
        <v>0</v>
      </c>
      <c r="K1021" s="74">
        <f t="shared" ca="1" si="199"/>
        <v>0</v>
      </c>
      <c r="L1021" s="74">
        <f t="shared" ca="1" si="199"/>
        <v>0</v>
      </c>
      <c r="M1021" s="74">
        <f t="shared" ca="1" si="199"/>
        <v>49.204416666666667</v>
      </c>
      <c r="N1021" s="74">
        <f t="shared" ca="1" si="199"/>
        <v>49.204416666666667</v>
      </c>
      <c r="O1021" s="74">
        <f t="shared" ca="1" si="199"/>
        <v>49.204416666666667</v>
      </c>
      <c r="P1021" s="74">
        <f t="shared" ca="1" si="199"/>
        <v>49.204416666666667</v>
      </c>
      <c r="Q1021" s="75">
        <f t="shared" ca="1" si="199"/>
        <v>49.204416666666667</v>
      </c>
      <c r="R1021" s="1"/>
      <c r="S1021" s="1"/>
      <c r="T1021" s="1"/>
      <c r="U1021" s="1"/>
      <c r="V1021" s="1"/>
      <c r="W1021" s="1"/>
      <c r="X1021" s="1"/>
      <c r="Y1021" s="1"/>
      <c r="Z1021" s="1"/>
      <c r="AA1021" s="3"/>
      <c r="AB1021" s="95"/>
      <c r="AC1021" s="46"/>
      <c r="AD1021" s="46"/>
      <c r="AE1021" s="3"/>
      <c r="AF1021" s="46"/>
      <c r="AG1021" s="3"/>
      <c r="AH1021" s="1"/>
      <c r="AI1021" s="1"/>
      <c r="AJ1021" s="1"/>
      <c r="AK1021" s="1"/>
      <c r="AL1021" s="95"/>
      <c r="AM1021" s="1"/>
      <c r="AN1021" s="1"/>
      <c r="AO1021" s="1"/>
      <c r="AP1021" s="1"/>
      <c r="AQ1021" s="1"/>
      <c r="AR1021" s="1"/>
      <c r="AS1021" s="1"/>
      <c r="AT1021" s="95"/>
      <c r="AU1021" s="1"/>
      <c r="AV1021" s="1"/>
      <c r="AW1021" s="95"/>
      <c r="AX1021" s="1"/>
      <c r="AY1021" s="1"/>
      <c r="AZ1021" s="1"/>
      <c r="BA1021" s="1"/>
      <c r="BB1021" s="1"/>
      <c r="BC1021" s="1"/>
      <c r="BD1021" s="1"/>
    </row>
    <row r="1022" spans="1:56" ht="16.5" hidden="1" customHeight="1">
      <c r="A1022" s="1"/>
      <c r="B1022" s="1"/>
      <c r="C1022" s="71" t="s">
        <v>516</v>
      </c>
      <c r="D1022" s="1"/>
      <c r="E1022" s="45" t="s">
        <v>17</v>
      </c>
      <c r="F1022" s="76">
        <f t="shared" ref="F1022:Q1022" ca="1" si="200">IF(COUNTIF(F$1041:F$1047,0)=7,0,F$6-$B$23)</f>
        <v>-34.088333333333253</v>
      </c>
      <c r="G1022" s="77">
        <f t="shared" ca="1" si="200"/>
        <v>-84.088333333333253</v>
      </c>
      <c r="H1022" s="77">
        <f t="shared" ca="1" si="200"/>
        <v>-389.08833333333325</v>
      </c>
      <c r="I1022" s="77">
        <f t="shared" ca="1" si="200"/>
        <v>-139.08833333333325</v>
      </c>
      <c r="J1022" s="77">
        <f t="shared" ca="1" si="200"/>
        <v>-89.088333333333253</v>
      </c>
      <c r="K1022" s="77">
        <f t="shared" ca="1" si="200"/>
        <v>-39.088333333333253</v>
      </c>
      <c r="L1022" s="77">
        <f t="shared" ca="1" si="200"/>
        <v>-89.088333333333253</v>
      </c>
      <c r="M1022" s="77">
        <f t="shared" ca="1" si="200"/>
        <v>210.91166666666675</v>
      </c>
      <c r="N1022" s="77">
        <f t="shared" ca="1" si="200"/>
        <v>260.91166666666675</v>
      </c>
      <c r="O1022" s="77">
        <f t="shared" ca="1" si="200"/>
        <v>131.32166666666683</v>
      </c>
      <c r="P1022" s="77">
        <f t="shared" ca="1" si="200"/>
        <v>181.32166666666683</v>
      </c>
      <c r="Q1022" s="78">
        <f t="shared" ca="1" si="200"/>
        <v>79.151666666666756</v>
      </c>
      <c r="R1022" s="1"/>
      <c r="S1022" s="1"/>
      <c r="T1022" s="1"/>
      <c r="U1022" s="1"/>
      <c r="V1022" s="1"/>
      <c r="W1022" s="1"/>
      <c r="X1022" s="1"/>
      <c r="Y1022" s="1"/>
      <c r="Z1022" s="1"/>
      <c r="AA1022" s="3"/>
      <c r="AB1022" s="95"/>
      <c r="AC1022" s="46"/>
      <c r="AD1022" s="46"/>
      <c r="AE1022" s="3"/>
      <c r="AF1022" s="46"/>
      <c r="AG1022" s="3"/>
      <c r="AH1022" s="1"/>
      <c r="AI1022" s="1"/>
      <c r="AJ1022" s="1"/>
      <c r="AK1022" s="1"/>
      <c r="AL1022" s="95"/>
      <c r="AM1022" s="1"/>
      <c r="AN1022" s="1"/>
      <c r="AO1022" s="1"/>
      <c r="AP1022" s="1"/>
      <c r="AQ1022" s="1"/>
      <c r="AR1022" s="1"/>
      <c r="AS1022" s="1"/>
      <c r="AT1022" s="95"/>
      <c r="AU1022" s="1"/>
      <c r="AV1022" s="1"/>
      <c r="AW1022" s="95"/>
      <c r="AX1022" s="1"/>
      <c r="AY1022" s="1"/>
      <c r="AZ1022" s="1"/>
      <c r="BA1022" s="1"/>
      <c r="BB1022" s="1"/>
      <c r="BC1022" s="1"/>
      <c r="BD1022" s="1"/>
    </row>
    <row r="1023" spans="1:56" ht="16.5" hidden="1" customHeight="1">
      <c r="A1023" s="1"/>
      <c r="B1023" s="1"/>
      <c r="C1023" s="932">
        <f ca="1">SUM(F6:Q6)-(SUMIF(F1030:Q1030,0,F6:Q6))</f>
        <v>11809.06</v>
      </c>
      <c r="D1023" s="1"/>
      <c r="E1023" s="130">
        <f ca="1">E1021*-1</f>
        <v>-49.204416666666667</v>
      </c>
      <c r="F1023" s="61">
        <f t="shared" ref="F1023:Q1027" ca="1" si="201">IF(F$1015=0,0,IF(COUNTIF(F$1041:F$1047,0)=7,0,IF(F$1031&gt;0,IF(F$6-$B$23&lt;0,IF(F$6-$B$23&lt;$E1023,$E1023,F$6-$B$23),0),0)))</f>
        <v>-34.088333333333253</v>
      </c>
      <c r="G1023" s="62">
        <f t="shared" ca="1" si="201"/>
        <v>-49.204416666666667</v>
      </c>
      <c r="H1023" s="62">
        <f t="shared" ca="1" si="201"/>
        <v>-49.204416666666667</v>
      </c>
      <c r="I1023" s="62">
        <f t="shared" ca="1" si="201"/>
        <v>-49.204416666666667</v>
      </c>
      <c r="J1023" s="62">
        <f t="shared" ca="1" si="201"/>
        <v>-49.204416666666667</v>
      </c>
      <c r="K1023" s="62">
        <f t="shared" ca="1" si="201"/>
        <v>-39.088333333333253</v>
      </c>
      <c r="L1023" s="62">
        <f t="shared" ca="1" si="201"/>
        <v>-49.204416666666667</v>
      </c>
      <c r="M1023" s="62">
        <f t="shared" ca="1" si="201"/>
        <v>0</v>
      </c>
      <c r="N1023" s="62">
        <f t="shared" ca="1" si="201"/>
        <v>0</v>
      </c>
      <c r="O1023" s="62">
        <f t="shared" ca="1" si="201"/>
        <v>0</v>
      </c>
      <c r="P1023" s="62">
        <f t="shared" ca="1" si="201"/>
        <v>0</v>
      </c>
      <c r="Q1023" s="63">
        <f t="shared" ca="1" si="201"/>
        <v>0</v>
      </c>
      <c r="R1023" s="1"/>
      <c r="S1023" s="1"/>
      <c r="T1023" s="1"/>
      <c r="U1023" s="1"/>
      <c r="V1023" s="1"/>
      <c r="W1023" s="417">
        <f>COUNTIF(W4:W1003,"&gt;0")</f>
        <v>36</v>
      </c>
      <c r="X1023" s="332" t="s">
        <v>323</v>
      </c>
      <c r="Y1023" s="1"/>
      <c r="Z1023" s="1"/>
      <c r="AA1023" s="3"/>
      <c r="AB1023" s="95"/>
      <c r="AC1023" s="46"/>
      <c r="AD1023" s="46"/>
      <c r="AE1023" s="3"/>
      <c r="AF1023" s="46"/>
      <c r="AG1023" s="3"/>
      <c r="AH1023" s="1"/>
      <c r="AI1023" s="1"/>
      <c r="AJ1023" s="1"/>
      <c r="AK1023" s="1"/>
      <c r="AL1023" s="95"/>
      <c r="AM1023" s="1"/>
      <c r="AN1023" s="1"/>
      <c r="AO1023" s="1"/>
      <c r="AP1023" s="1"/>
      <c r="AQ1023" s="1"/>
      <c r="AR1023" s="1"/>
      <c r="AS1023" s="1"/>
      <c r="AT1023" s="95"/>
      <c r="AU1023" s="1"/>
      <c r="AV1023" s="1"/>
      <c r="AW1023" s="95"/>
      <c r="AX1023" s="1"/>
      <c r="AY1023" s="1"/>
      <c r="AZ1023" s="1"/>
      <c r="BA1023" s="1"/>
      <c r="BB1023" s="1"/>
      <c r="BC1023" s="1"/>
      <c r="BD1023" s="1"/>
    </row>
    <row r="1024" spans="1:56" ht="16.5" hidden="1" customHeight="1">
      <c r="A1024" s="1"/>
      <c r="B1024" s="1"/>
      <c r="C1024" s="1"/>
      <c r="D1024" s="1"/>
      <c r="E1024" s="131">
        <f ca="1">E1020*-1</f>
        <v>-98.408833333333334</v>
      </c>
      <c r="F1024" s="66">
        <f t="shared" ca="1" si="201"/>
        <v>-34.088333333333253</v>
      </c>
      <c r="G1024" s="67">
        <f t="shared" ca="1" si="201"/>
        <v>-84.088333333333253</v>
      </c>
      <c r="H1024" s="67">
        <f t="shared" ca="1" si="201"/>
        <v>-98.408833333333334</v>
      </c>
      <c r="I1024" s="67">
        <f t="shared" ca="1" si="201"/>
        <v>-98.408833333333334</v>
      </c>
      <c r="J1024" s="67">
        <f t="shared" ca="1" si="201"/>
        <v>-89.088333333333253</v>
      </c>
      <c r="K1024" s="67">
        <f t="shared" ca="1" si="201"/>
        <v>-39.088333333333253</v>
      </c>
      <c r="L1024" s="67">
        <f t="shared" ca="1" si="201"/>
        <v>-89.088333333333253</v>
      </c>
      <c r="M1024" s="67">
        <f t="shared" ca="1" si="201"/>
        <v>0</v>
      </c>
      <c r="N1024" s="67">
        <f t="shared" ca="1" si="201"/>
        <v>0</v>
      </c>
      <c r="O1024" s="67">
        <f t="shared" ca="1" si="201"/>
        <v>0</v>
      </c>
      <c r="P1024" s="67">
        <f t="shared" ca="1" si="201"/>
        <v>0</v>
      </c>
      <c r="Q1024" s="68">
        <f t="shared" ca="1" si="201"/>
        <v>0</v>
      </c>
      <c r="R1024" s="1"/>
      <c r="S1024" s="1"/>
      <c r="T1024" s="1"/>
      <c r="U1024" s="1"/>
      <c r="V1024" s="1"/>
      <c r="W1024" s="1"/>
      <c r="X1024" s="1"/>
      <c r="Y1024" s="1"/>
      <c r="Z1024" s="1"/>
      <c r="AA1024" s="3"/>
      <c r="AB1024" s="95"/>
      <c r="AC1024" s="46"/>
      <c r="AD1024" s="46"/>
      <c r="AE1024" s="3"/>
      <c r="AF1024" s="46"/>
      <c r="AG1024" s="3"/>
      <c r="AH1024" s="1"/>
      <c r="AI1024" s="1"/>
      <c r="AJ1024" s="1"/>
      <c r="AK1024" s="1"/>
      <c r="AL1024" s="95"/>
      <c r="AM1024" s="1"/>
      <c r="AN1024" s="1"/>
      <c r="AO1024" s="1"/>
      <c r="AP1024" s="1"/>
      <c r="AQ1024" s="1"/>
      <c r="AR1024" s="1"/>
      <c r="AS1024" s="1"/>
      <c r="AT1024" s="95"/>
      <c r="AU1024" s="1"/>
      <c r="AV1024" s="1"/>
      <c r="AW1024" s="95"/>
      <c r="AX1024" s="1"/>
      <c r="AY1024" s="1"/>
      <c r="AZ1024" s="1"/>
      <c r="BA1024" s="1"/>
      <c r="BB1024" s="1"/>
      <c r="BC1024" s="1"/>
      <c r="BD1024" s="1"/>
    </row>
    <row r="1025" spans="1:56" ht="16.5" hidden="1" customHeight="1">
      <c r="A1025" s="1"/>
      <c r="B1025" s="1"/>
      <c r="C1025" s="71" t="s">
        <v>510</v>
      </c>
      <c r="D1025" s="1"/>
      <c r="E1025" s="131">
        <f ca="1">E1019*-1</f>
        <v>-246.02208333333331</v>
      </c>
      <c r="F1025" s="66">
        <f t="shared" ca="1" si="201"/>
        <v>-34.088333333333253</v>
      </c>
      <c r="G1025" s="67">
        <f t="shared" ca="1" si="201"/>
        <v>-84.088333333333253</v>
      </c>
      <c r="H1025" s="67">
        <f t="shared" ca="1" si="201"/>
        <v>-246.02208333333331</v>
      </c>
      <c r="I1025" s="67">
        <f t="shared" ca="1" si="201"/>
        <v>-139.08833333333325</v>
      </c>
      <c r="J1025" s="67">
        <f t="shared" ca="1" si="201"/>
        <v>-89.088333333333253</v>
      </c>
      <c r="K1025" s="67">
        <f t="shared" ca="1" si="201"/>
        <v>-39.088333333333253</v>
      </c>
      <c r="L1025" s="67">
        <f t="shared" ca="1" si="201"/>
        <v>-89.088333333333253</v>
      </c>
      <c r="M1025" s="67">
        <f t="shared" ca="1" si="201"/>
        <v>0</v>
      </c>
      <c r="N1025" s="67">
        <f t="shared" ca="1" si="201"/>
        <v>0</v>
      </c>
      <c r="O1025" s="67">
        <f t="shared" ca="1" si="201"/>
        <v>0</v>
      </c>
      <c r="P1025" s="67">
        <f t="shared" ca="1" si="201"/>
        <v>0</v>
      </c>
      <c r="Q1025" s="68">
        <f t="shared" ca="1" si="201"/>
        <v>0</v>
      </c>
      <c r="R1025" s="1"/>
      <c r="S1025" s="1"/>
      <c r="T1025" s="1"/>
      <c r="U1025" s="1"/>
      <c r="V1025" s="1"/>
      <c r="W1025" s="1"/>
      <c r="X1025" s="1"/>
      <c r="Y1025" s="1"/>
      <c r="Z1025" s="1"/>
      <c r="AA1025" s="3"/>
      <c r="AB1025" s="95"/>
      <c r="AC1025" s="46"/>
      <c r="AD1025" s="46"/>
      <c r="AE1025" s="3"/>
      <c r="AF1025" s="46"/>
      <c r="AG1025" s="3"/>
      <c r="AH1025" s="1"/>
      <c r="AI1025" s="1"/>
      <c r="AJ1025" s="1"/>
      <c r="AK1025" s="1"/>
      <c r="AL1025" s="95"/>
      <c r="AM1025" s="1"/>
      <c r="AN1025" s="1"/>
      <c r="AO1025" s="1"/>
      <c r="AP1025" s="1"/>
      <c r="AQ1025" s="1"/>
      <c r="AR1025" s="1"/>
      <c r="AS1025" s="1"/>
      <c r="AT1025" s="95"/>
      <c r="AU1025" s="1"/>
      <c r="AV1025" s="1"/>
      <c r="AW1025" s="95"/>
      <c r="AX1025" s="1"/>
      <c r="AY1025" s="1"/>
      <c r="AZ1025" s="1"/>
      <c r="BA1025" s="1"/>
      <c r="BB1025" s="1"/>
      <c r="BC1025" s="1"/>
      <c r="BD1025" s="1"/>
    </row>
    <row r="1026" spans="1:56" ht="16.5" hidden="1" customHeight="1">
      <c r="A1026" s="1"/>
      <c r="B1026" s="1"/>
      <c r="C1026" s="891">
        <f>Z1009-Z1010</f>
        <v>365</v>
      </c>
      <c r="D1026" s="1"/>
      <c r="E1026" s="131">
        <f ca="1">E1018*-1</f>
        <v>-492.04416666666663</v>
      </c>
      <c r="F1026" s="66">
        <f t="shared" ca="1" si="201"/>
        <v>-34.088333333333253</v>
      </c>
      <c r="G1026" s="67">
        <f t="shared" ca="1" si="201"/>
        <v>-84.088333333333253</v>
      </c>
      <c r="H1026" s="67">
        <f t="shared" ca="1" si="201"/>
        <v>-389.08833333333325</v>
      </c>
      <c r="I1026" s="67">
        <f t="shared" ca="1" si="201"/>
        <v>-139.08833333333325</v>
      </c>
      <c r="J1026" s="67">
        <f t="shared" ca="1" si="201"/>
        <v>-89.088333333333253</v>
      </c>
      <c r="K1026" s="67">
        <f t="shared" ca="1" si="201"/>
        <v>-39.088333333333253</v>
      </c>
      <c r="L1026" s="67">
        <f t="shared" ca="1" si="201"/>
        <v>-89.088333333333253</v>
      </c>
      <c r="M1026" s="67">
        <f t="shared" ca="1" si="201"/>
        <v>0</v>
      </c>
      <c r="N1026" s="67">
        <f t="shared" ca="1" si="201"/>
        <v>0</v>
      </c>
      <c r="O1026" s="67">
        <f t="shared" ca="1" si="201"/>
        <v>0</v>
      </c>
      <c r="P1026" s="67">
        <f t="shared" ca="1" si="201"/>
        <v>0</v>
      </c>
      <c r="Q1026" s="68">
        <f t="shared" ca="1" si="201"/>
        <v>0</v>
      </c>
      <c r="R1026" s="1"/>
      <c r="S1026" s="1"/>
      <c r="T1026" s="1"/>
      <c r="U1026" s="1"/>
      <c r="V1026" s="1"/>
      <c r="W1026" s="835"/>
      <c r="X1026" s="835"/>
      <c r="Y1026" s="1"/>
      <c r="Z1026" s="1"/>
      <c r="AA1026" s="3"/>
      <c r="AB1026" s="95"/>
      <c r="AC1026" s="46"/>
      <c r="AD1026" s="46"/>
      <c r="AE1026" s="3"/>
      <c r="AF1026" s="46"/>
      <c r="AG1026" s="3"/>
      <c r="AH1026" s="1"/>
      <c r="AI1026" s="1"/>
      <c r="AJ1026" s="1"/>
      <c r="AK1026" s="1"/>
      <c r="AL1026" s="95"/>
      <c r="AM1026" s="1"/>
      <c r="AN1026" s="1"/>
      <c r="AO1026" s="1"/>
      <c r="AP1026" s="1"/>
      <c r="AQ1026" s="1"/>
      <c r="AR1026" s="1"/>
      <c r="AS1026" s="1"/>
      <c r="AT1026" s="95"/>
      <c r="AU1026" s="1"/>
      <c r="AV1026" s="1"/>
      <c r="AW1026" s="95"/>
      <c r="AX1026" s="1"/>
      <c r="AY1026" s="1"/>
      <c r="AZ1026" s="1"/>
      <c r="BA1026" s="1"/>
      <c r="BB1026" s="1"/>
      <c r="BC1026" s="1"/>
      <c r="BD1026" s="1"/>
    </row>
    <row r="1027" spans="1:56" ht="16.5" hidden="1" customHeight="1">
      <c r="A1027" s="1"/>
      <c r="B1027" s="1"/>
      <c r="C1027" s="1"/>
      <c r="D1027" s="1"/>
      <c r="E1027" s="132">
        <f ca="1">E1017*-1</f>
        <v>-738.06624999999997</v>
      </c>
      <c r="F1027" s="73">
        <f t="shared" ca="1" si="201"/>
        <v>-34.088333333333253</v>
      </c>
      <c r="G1027" s="74">
        <f t="shared" ca="1" si="201"/>
        <v>-84.088333333333253</v>
      </c>
      <c r="H1027" s="74">
        <f t="shared" ca="1" si="201"/>
        <v>-389.08833333333325</v>
      </c>
      <c r="I1027" s="74">
        <f t="shared" ca="1" si="201"/>
        <v>-139.08833333333325</v>
      </c>
      <c r="J1027" s="74">
        <f t="shared" ca="1" si="201"/>
        <v>-89.088333333333253</v>
      </c>
      <c r="K1027" s="74">
        <f t="shared" ca="1" si="201"/>
        <v>-39.088333333333253</v>
      </c>
      <c r="L1027" s="74">
        <f t="shared" ca="1" si="201"/>
        <v>-89.088333333333253</v>
      </c>
      <c r="M1027" s="74">
        <f t="shared" ca="1" si="201"/>
        <v>0</v>
      </c>
      <c r="N1027" s="74">
        <f t="shared" ca="1" si="201"/>
        <v>0</v>
      </c>
      <c r="O1027" s="74">
        <f t="shared" ca="1" si="201"/>
        <v>0</v>
      </c>
      <c r="P1027" s="74">
        <f t="shared" ca="1" si="201"/>
        <v>0</v>
      </c>
      <c r="Q1027" s="75">
        <f t="shared" ca="1" si="201"/>
        <v>0</v>
      </c>
      <c r="R1027" s="1"/>
      <c r="S1027" s="1"/>
      <c r="T1027" s="1"/>
      <c r="U1027" s="1"/>
      <c r="V1027" s="1"/>
      <c r="W1027" s="835"/>
      <c r="X1027" s="835"/>
      <c r="Y1027" s="1"/>
      <c r="Z1027" s="1"/>
      <c r="AA1027" s="3"/>
      <c r="AB1027" s="95"/>
      <c r="AC1027" s="46"/>
      <c r="AD1027" s="46"/>
      <c r="AE1027" s="3"/>
      <c r="AF1027" s="46"/>
      <c r="AG1027" s="3"/>
      <c r="AH1027" s="1"/>
      <c r="AI1027" s="1"/>
      <c r="AJ1027" s="1"/>
      <c r="AK1027" s="1"/>
      <c r="AL1027" s="95"/>
      <c r="AM1027" s="1"/>
      <c r="AN1027" s="1"/>
      <c r="AO1027" s="1"/>
      <c r="AP1027" s="1"/>
      <c r="AQ1027" s="1"/>
      <c r="AR1027" s="1"/>
      <c r="AS1027" s="1"/>
      <c r="AT1027" s="95"/>
      <c r="AU1027" s="1"/>
      <c r="AV1027" s="1"/>
      <c r="AW1027" s="95"/>
      <c r="AX1027" s="1"/>
      <c r="AY1027" s="1"/>
      <c r="AZ1027" s="1"/>
      <c r="BA1027" s="1"/>
      <c r="BB1027" s="1"/>
      <c r="BC1027" s="1"/>
      <c r="BD1027" s="1"/>
    </row>
    <row r="1028" spans="1:56" ht="16.5" hidden="1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3"/>
      <c r="AB1028" s="95"/>
      <c r="AC1028" s="46"/>
      <c r="AD1028" s="46"/>
      <c r="AE1028" s="3"/>
      <c r="AF1028" s="46"/>
      <c r="AG1028" s="3"/>
      <c r="AH1028" s="1"/>
      <c r="AI1028" s="1"/>
      <c r="AJ1028" s="1"/>
      <c r="AK1028" s="1"/>
      <c r="AL1028" s="95"/>
      <c r="AM1028" s="1"/>
      <c r="AN1028" s="1"/>
      <c r="AO1028" s="1"/>
      <c r="AP1028" s="1"/>
      <c r="AQ1028" s="1"/>
      <c r="AR1028" s="1"/>
      <c r="AS1028" s="1"/>
      <c r="AT1028" s="95"/>
      <c r="AU1028" s="1"/>
      <c r="AV1028" s="1"/>
      <c r="AW1028" s="95"/>
      <c r="AX1028" s="1"/>
      <c r="AY1028" s="1"/>
      <c r="AZ1028" s="1"/>
      <c r="BA1028" s="1"/>
      <c r="BB1028" s="1"/>
      <c r="BC1028" s="1"/>
      <c r="BD1028" s="1"/>
    </row>
    <row r="1029" spans="1:56" ht="16.5" hidden="1" customHeight="1">
      <c r="A1029" s="1"/>
      <c r="B1029" s="1"/>
      <c r="C1029" s="1"/>
      <c r="D1029" s="1"/>
      <c r="E1029" s="1"/>
      <c r="F1029" s="889">
        <f>IF(AND($P$4=$N$1009,$J$1037=0),0,Presentazione!B207)</f>
        <v>1</v>
      </c>
      <c r="G1029" s="889">
        <f>IF(AND($P$4=$N$1009,$J$1037=0),0,Presentazione!C207)</f>
        <v>2</v>
      </c>
      <c r="H1029" s="889">
        <f>IF(AND($P$4=$N$1009,$J$1037=0),0,Presentazione!D207)</f>
        <v>3</v>
      </c>
      <c r="I1029" s="889">
        <f>IF(AND($P$4=$N$1009,$J$1037=0),0,Presentazione!E207)</f>
        <v>4</v>
      </c>
      <c r="J1029" s="889">
        <f>IF(AND($P$4=$N$1009,$J$1037=0),0,Presentazione!F207)</f>
        <v>5</v>
      </c>
      <c r="K1029" s="889">
        <f>IF(AND($P$4=$N$1009,$J$1037=0),0,Presentazione!G207)</f>
        <v>6</v>
      </c>
      <c r="L1029" s="889">
        <f>IF(AND($P$4=$N$1009,$J$1037=0),0,Presentazione!H207)</f>
        <v>7</v>
      </c>
      <c r="M1029" s="889">
        <f>IF(AND($P$4=$N$1009,$J$1037=0),0,Presentazione!I207)</f>
        <v>8</v>
      </c>
      <c r="N1029" s="889">
        <f>IF(AND($P$4=$N$1009,$J$1037=0),0,Presentazione!J207)</f>
        <v>9</v>
      </c>
      <c r="O1029" s="889">
        <f>IF(AND($P$4=$N$1009,$J$1037=0),0,Presentazione!K207)</f>
        <v>10</v>
      </c>
      <c r="P1029" s="889">
        <f>IF(AND($P$4=$N$1009,$J$1037=0),0,Presentazione!L207)</f>
        <v>11</v>
      </c>
      <c r="Q1029" s="889">
        <f>IF(AND($P$4=$N$1009,$J$1037=0),0,Presentazione!M207)</f>
        <v>12</v>
      </c>
      <c r="R1029" s="1"/>
      <c r="S1029" s="1"/>
      <c r="T1029" s="1"/>
      <c r="U1029" s="1"/>
      <c r="V1029" s="1"/>
      <c r="W1029" s="1"/>
      <c r="X1029" s="1"/>
      <c r="Y1029" s="1"/>
      <c r="Z1029" s="1"/>
      <c r="AA1029" s="3"/>
      <c r="AB1029" s="95"/>
      <c r="AC1029" s="46"/>
      <c r="AD1029" s="46"/>
      <c r="AE1029" s="3"/>
      <c r="AF1029" s="46"/>
      <c r="AG1029" s="3"/>
      <c r="AH1029" s="1"/>
      <c r="AI1029" s="1"/>
      <c r="AJ1029" s="1"/>
      <c r="AK1029" s="1"/>
      <c r="AL1029" s="95"/>
      <c r="AM1029" s="1"/>
      <c r="AN1029" s="1"/>
      <c r="AO1029" s="1"/>
      <c r="AP1029" s="1"/>
      <c r="AQ1029" s="1"/>
      <c r="AR1029" s="1"/>
      <c r="AS1029" s="1"/>
      <c r="AT1029" s="95"/>
      <c r="AU1029" s="1"/>
      <c r="AV1029" s="1"/>
      <c r="AW1029" s="95"/>
      <c r="AX1029" s="1"/>
      <c r="AY1029" s="1"/>
      <c r="AZ1029" s="1"/>
      <c r="BA1029" s="1"/>
      <c r="BB1029" s="1"/>
      <c r="BC1029" s="1"/>
      <c r="BD1029" s="1"/>
    </row>
    <row r="1030" spans="1:56" ht="16.5" hidden="1" customHeight="1">
      <c r="A1030" s="1"/>
      <c r="B1030" s="1"/>
      <c r="C1030" s="1"/>
      <c r="D1030" s="1"/>
      <c r="E1030" s="1"/>
      <c r="F1030" s="933">
        <f>IF(F1015=1,1,0)</f>
        <v>1</v>
      </c>
      <c r="G1030" s="933">
        <f t="shared" ref="G1030:Q1030" si="202">IF(G1015=1,1,0)</f>
        <v>1</v>
      </c>
      <c r="H1030" s="933">
        <f t="shared" si="202"/>
        <v>1</v>
      </c>
      <c r="I1030" s="933">
        <f t="shared" si="202"/>
        <v>1</v>
      </c>
      <c r="J1030" s="933">
        <f t="shared" si="202"/>
        <v>1</v>
      </c>
      <c r="K1030" s="933">
        <f t="shared" si="202"/>
        <v>1</v>
      </c>
      <c r="L1030" s="933">
        <f t="shared" si="202"/>
        <v>1</v>
      </c>
      <c r="M1030" s="933">
        <f t="shared" si="202"/>
        <v>1</v>
      </c>
      <c r="N1030" s="933">
        <f t="shared" si="202"/>
        <v>1</v>
      </c>
      <c r="O1030" s="933">
        <f t="shared" si="202"/>
        <v>1</v>
      </c>
      <c r="P1030" s="933">
        <f t="shared" si="202"/>
        <v>1</v>
      </c>
      <c r="Q1030" s="933">
        <f t="shared" si="202"/>
        <v>1</v>
      </c>
      <c r="R1030" s="1"/>
      <c r="S1030" s="652" t="s">
        <v>366</v>
      </c>
      <c r="T1030" s="1"/>
      <c r="U1030" s="1"/>
      <c r="V1030" s="1"/>
      <c r="W1030" s="1"/>
      <c r="X1030" s="1"/>
      <c r="Y1030" s="1"/>
      <c r="Z1030" s="1"/>
      <c r="AA1030" s="3"/>
      <c r="AB1030" s="95"/>
      <c r="AC1030" s="46"/>
      <c r="AD1030" s="46"/>
      <c r="AE1030" s="3"/>
      <c r="AF1030" s="46"/>
      <c r="AG1030" s="3"/>
      <c r="AH1030" s="1"/>
      <c r="AI1030" s="1"/>
      <c r="AJ1030" s="1"/>
      <c r="AK1030" s="1"/>
      <c r="AL1030" s="95"/>
      <c r="AM1030" s="1"/>
      <c r="AN1030" s="1"/>
      <c r="AO1030" s="1"/>
      <c r="AP1030" s="1"/>
      <c r="AQ1030" s="1"/>
      <c r="AR1030" s="1"/>
      <c r="AS1030" s="1"/>
      <c r="AT1030" s="95"/>
      <c r="AU1030" s="1"/>
      <c r="AV1030" s="1"/>
      <c r="AW1030" s="95"/>
      <c r="AX1030" s="1"/>
      <c r="AY1030" s="1"/>
      <c r="AZ1030" s="1"/>
      <c r="BA1030" s="1"/>
      <c r="BB1030" s="1"/>
      <c r="BC1030" s="1"/>
      <c r="BD1030" s="1"/>
    </row>
    <row r="1031" spans="1:56" ht="16.5" hidden="1" customHeight="1">
      <c r="A1031" s="1"/>
      <c r="B1031" s="1"/>
      <c r="C1031" s="1"/>
      <c r="D1031" s="1"/>
      <c r="E1031" s="1"/>
      <c r="F1031" s="889">
        <f t="shared" ref="F1031:Q1031" si="203">IF(F1015=0,0,F1033)</f>
        <v>1</v>
      </c>
      <c r="G1031" s="889">
        <f t="shared" si="203"/>
        <v>2</v>
      </c>
      <c r="H1031" s="889">
        <f t="shared" si="203"/>
        <v>3</v>
      </c>
      <c r="I1031" s="889">
        <f t="shared" si="203"/>
        <v>4</v>
      </c>
      <c r="J1031" s="889">
        <f t="shared" si="203"/>
        <v>5</v>
      </c>
      <c r="K1031" s="889">
        <f t="shared" si="203"/>
        <v>6</v>
      </c>
      <c r="L1031" s="889">
        <f t="shared" si="203"/>
        <v>7</v>
      </c>
      <c r="M1031" s="889">
        <f t="shared" si="203"/>
        <v>8</v>
      </c>
      <c r="N1031" s="889">
        <f t="shared" si="203"/>
        <v>9</v>
      </c>
      <c r="O1031" s="889">
        <f t="shared" si="203"/>
        <v>10</v>
      </c>
      <c r="P1031" s="889">
        <f t="shared" si="203"/>
        <v>11</v>
      </c>
      <c r="Q1031" s="889">
        <f t="shared" si="203"/>
        <v>12</v>
      </c>
      <c r="R1031" s="1"/>
      <c r="S1031" s="1"/>
      <c r="T1031" s="1"/>
      <c r="U1031" s="1"/>
      <c r="V1031" s="1"/>
      <c r="W1031" s="1"/>
      <c r="X1031" s="1"/>
      <c r="Y1031" s="1"/>
      <c r="Z1031" s="1"/>
      <c r="AA1031" s="3"/>
      <c r="AB1031" s="95"/>
      <c r="AC1031" s="46"/>
      <c r="AD1031" s="46"/>
      <c r="AE1031" s="3"/>
      <c r="AF1031" s="46"/>
      <c r="AG1031" s="3"/>
      <c r="AH1031" s="1"/>
      <c r="AI1031" s="1"/>
      <c r="AJ1031" s="1"/>
      <c r="AK1031" s="1"/>
      <c r="AL1031" s="95"/>
      <c r="AM1031" s="1"/>
      <c r="AN1031" s="1"/>
      <c r="AO1031" s="1"/>
      <c r="AP1031" s="1"/>
      <c r="AQ1031" s="1"/>
      <c r="AR1031" s="1"/>
      <c r="AS1031" s="1"/>
      <c r="AT1031" s="95"/>
      <c r="AU1031" s="1"/>
      <c r="AV1031" s="1"/>
      <c r="AW1031" s="95"/>
      <c r="AX1031" s="1"/>
      <c r="AY1031" s="1"/>
      <c r="AZ1031" s="1"/>
      <c r="BA1031" s="1"/>
      <c r="BB1031" s="1"/>
      <c r="BC1031" s="1"/>
      <c r="BD1031" s="1"/>
    </row>
    <row r="1032" spans="1:56" ht="16.5" hidden="1" customHeight="1">
      <c r="A1032" s="1"/>
      <c r="B1032" s="1"/>
      <c r="C1032" s="1"/>
      <c r="D1032" s="1"/>
      <c r="E1032" s="1"/>
      <c r="F1032" s="835"/>
      <c r="G1032" s="835"/>
      <c r="H1032" s="835"/>
      <c r="I1032" s="835"/>
      <c r="J1032" s="835"/>
      <c r="K1032" s="835"/>
      <c r="L1032" s="835"/>
      <c r="M1032" s="835"/>
      <c r="N1032" s="835"/>
      <c r="O1032" s="835"/>
      <c r="P1032" s="835"/>
      <c r="Q1032" s="835"/>
      <c r="R1032" s="1"/>
      <c r="T1032" s="1"/>
      <c r="U1032" s="1"/>
      <c r="V1032" s="1"/>
      <c r="W1032" s="1"/>
      <c r="X1032" s="1"/>
      <c r="Y1032" s="1"/>
      <c r="Z1032" s="1"/>
      <c r="AA1032" s="3"/>
      <c r="AB1032" s="95"/>
      <c r="AC1032" s="46"/>
      <c r="AD1032" s="46"/>
      <c r="AE1032" s="3"/>
      <c r="AF1032" s="46"/>
      <c r="AG1032" s="3"/>
      <c r="AH1032" s="1"/>
      <c r="AI1032" s="1"/>
      <c r="AJ1032" s="1"/>
      <c r="AK1032" s="1"/>
      <c r="AL1032" s="95"/>
      <c r="AM1032" s="1"/>
      <c r="AN1032" s="1"/>
      <c r="AO1032" s="1"/>
      <c r="AP1032" s="1"/>
      <c r="AQ1032" s="1"/>
      <c r="AR1032" s="1"/>
      <c r="AS1032" s="1"/>
      <c r="AT1032" s="95"/>
      <c r="AU1032" s="1"/>
      <c r="AV1032" s="1"/>
      <c r="AW1032" s="95"/>
      <c r="AX1032" s="1"/>
      <c r="AY1032" s="1"/>
      <c r="AZ1032" s="1"/>
      <c r="BA1032" s="1"/>
      <c r="BB1032" s="1"/>
      <c r="BC1032" s="1"/>
      <c r="BD1032" s="1"/>
    </row>
    <row r="1033" spans="1:56" ht="16.5" hidden="1" customHeight="1">
      <c r="A1033" s="1"/>
      <c r="B1033" s="1"/>
      <c r="C1033" s="1"/>
      <c r="D1033" s="1"/>
      <c r="E1033" s="1"/>
      <c r="F1033" s="934">
        <v>1</v>
      </c>
      <c r="G1033" s="934">
        <v>2</v>
      </c>
      <c r="H1033" s="934">
        <v>3</v>
      </c>
      <c r="I1033" s="934">
        <v>4</v>
      </c>
      <c r="J1033" s="934">
        <v>5</v>
      </c>
      <c r="K1033" s="934">
        <v>6</v>
      </c>
      <c r="L1033" s="934">
        <v>7</v>
      </c>
      <c r="M1033" s="934">
        <v>8</v>
      </c>
      <c r="N1033" s="934">
        <v>9</v>
      </c>
      <c r="O1033" s="934">
        <v>10</v>
      </c>
      <c r="P1033" s="934">
        <v>11</v>
      </c>
      <c r="Q1033" s="934">
        <v>12</v>
      </c>
      <c r="R1033" s="1"/>
      <c r="S1033" s="1"/>
      <c r="T1033" s="1"/>
      <c r="U1033" s="3"/>
      <c r="V1033" s="1"/>
      <c r="W1033" s="1"/>
      <c r="X1033" s="1"/>
      <c r="Y1033" s="1"/>
      <c r="Z1033" s="1"/>
      <c r="AA1033" s="1"/>
      <c r="AB1033" s="95"/>
      <c r="AC1033" s="46"/>
      <c r="AD1033" s="46"/>
      <c r="AE1033" s="1"/>
      <c r="AF1033" s="46"/>
      <c r="AG1033" s="1"/>
      <c r="AH1033" s="1"/>
      <c r="AI1033" s="1"/>
      <c r="AJ1033" s="1"/>
      <c r="AK1033" s="1"/>
      <c r="AL1033" s="95"/>
      <c r="AM1033" s="1"/>
      <c r="AN1033" s="1"/>
      <c r="AO1033" s="1"/>
      <c r="AP1033" s="1"/>
      <c r="AQ1033" s="1"/>
      <c r="AR1033" s="1"/>
      <c r="AS1033" s="1"/>
      <c r="AT1033" s="95"/>
      <c r="AU1033" s="1"/>
      <c r="AV1033" s="1"/>
      <c r="AW1033" s="95"/>
      <c r="AX1033" s="1"/>
      <c r="AY1033" s="1"/>
      <c r="AZ1033" s="1"/>
      <c r="BA1033" s="1"/>
      <c r="BB1033" s="1"/>
      <c r="BC1033" s="1"/>
      <c r="BD1033" s="1"/>
    </row>
    <row r="1034" spans="1:56" ht="16.5" hidden="1" customHeight="1">
      <c r="A1034" s="1"/>
      <c r="B1034" s="1"/>
      <c r="C1034" s="1"/>
      <c r="D1034" s="1"/>
      <c r="E1034" s="1"/>
      <c r="F1034" s="835"/>
      <c r="G1034" s="835"/>
      <c r="H1034" s="835"/>
      <c r="I1034" s="835"/>
      <c r="J1034" s="835"/>
      <c r="K1034" s="835"/>
      <c r="L1034" s="835"/>
      <c r="M1034" s="835"/>
      <c r="N1034" s="835"/>
      <c r="O1034" s="835"/>
      <c r="P1034" s="835"/>
      <c r="Q1034" s="835"/>
      <c r="R1034" s="1"/>
      <c r="S1034" s="1"/>
      <c r="T1034" s="1"/>
      <c r="U1034" s="3"/>
      <c r="V1034" s="1"/>
      <c r="W1034" s="1"/>
      <c r="X1034" s="1"/>
      <c r="Y1034" s="1"/>
      <c r="Z1034" s="1"/>
      <c r="AA1034" s="1"/>
      <c r="AB1034" s="95"/>
      <c r="AC1034" s="46"/>
      <c r="AD1034" s="46"/>
      <c r="AE1034" s="1"/>
      <c r="AF1034" s="46"/>
      <c r="AG1034" s="1"/>
      <c r="AH1034" s="1"/>
      <c r="AI1034" s="1"/>
      <c r="AJ1034" s="1"/>
      <c r="AK1034" s="1"/>
      <c r="AL1034" s="95"/>
      <c r="AM1034" s="1"/>
      <c r="AN1034" s="1"/>
      <c r="AO1034" s="1"/>
      <c r="AP1034" s="1"/>
      <c r="AQ1034" s="1"/>
      <c r="AR1034" s="1"/>
      <c r="AS1034" s="1"/>
      <c r="AT1034" s="95"/>
      <c r="AU1034" s="1"/>
      <c r="AV1034" s="1"/>
      <c r="AW1034" s="95"/>
      <c r="AX1034" s="1"/>
      <c r="AY1034" s="1"/>
      <c r="AZ1034" s="1"/>
      <c r="BA1034" s="1"/>
      <c r="BB1034" s="1"/>
      <c r="BC1034" s="1"/>
      <c r="BD1034" s="1"/>
    </row>
    <row r="1035" spans="1:56" ht="16.5" hidden="1" customHeight="1">
      <c r="A1035" s="1"/>
      <c r="B1035" s="1"/>
      <c r="C1035" s="1"/>
      <c r="D1035" s="1"/>
      <c r="E1035" s="1"/>
      <c r="F1035" s="653"/>
      <c r="G1035" s="653"/>
      <c r="H1035" s="653"/>
      <c r="I1035" s="653"/>
      <c r="J1035" s="653"/>
      <c r="K1035" s="653"/>
      <c r="L1035" s="653"/>
      <c r="M1035" s="653"/>
      <c r="N1035" s="653"/>
      <c r="O1035" s="653"/>
      <c r="P1035" s="653"/>
      <c r="Q1035" s="653"/>
      <c r="R1035" s="1"/>
      <c r="S1035" s="1"/>
      <c r="T1035" s="1"/>
      <c r="U1035" s="3"/>
      <c r="V1035" s="1"/>
      <c r="W1035" s="1"/>
      <c r="X1035" s="1"/>
      <c r="Y1035" s="1"/>
      <c r="Z1035" s="1"/>
      <c r="AA1035" s="1"/>
      <c r="AB1035" s="95"/>
      <c r="AC1035" s="46"/>
      <c r="AD1035" s="46"/>
      <c r="AE1035" s="1"/>
      <c r="AF1035" s="46"/>
      <c r="AG1035" s="1"/>
      <c r="AH1035" s="1"/>
      <c r="AI1035" s="1"/>
      <c r="AJ1035" s="1"/>
      <c r="AK1035" s="1"/>
      <c r="AL1035" s="95"/>
      <c r="AM1035" s="1"/>
      <c r="AN1035" s="1"/>
      <c r="AO1035" s="1"/>
      <c r="AP1035" s="1"/>
      <c r="AQ1035" s="1"/>
      <c r="AR1035" s="1"/>
      <c r="AS1035" s="1"/>
      <c r="AT1035" s="95"/>
      <c r="AU1035" s="1"/>
      <c r="AV1035" s="1"/>
      <c r="AW1035" s="95"/>
      <c r="AX1035" s="1"/>
      <c r="AY1035" s="1"/>
      <c r="AZ1035" s="1"/>
      <c r="BA1035" s="1"/>
      <c r="BB1035" s="1"/>
      <c r="BC1035" s="1"/>
      <c r="BD1035" s="1"/>
    </row>
    <row r="1036" spans="1:56" hidden="1">
      <c r="A1036" s="1"/>
      <c r="B1036" s="1"/>
      <c r="C1036" s="1"/>
      <c r="D1036" s="1"/>
      <c r="E1036" s="1"/>
      <c r="F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46"/>
      <c r="AC1036" s="46"/>
      <c r="AD1036" s="46"/>
      <c r="AE1036" s="1"/>
      <c r="AF1036" s="46"/>
      <c r="AG1036" s="1"/>
      <c r="AH1036" s="1"/>
      <c r="AI1036" s="1"/>
      <c r="AJ1036" s="1"/>
      <c r="AK1036" s="1"/>
      <c r="AL1036" s="46"/>
      <c r="AM1036" s="1"/>
      <c r="AN1036" s="1"/>
      <c r="AO1036" s="1"/>
      <c r="AP1036" s="1"/>
      <c r="AQ1036" s="1"/>
      <c r="AR1036" s="1"/>
      <c r="AS1036" s="1"/>
      <c r="AT1036" s="46"/>
      <c r="AU1036" s="1"/>
      <c r="AV1036" s="1"/>
      <c r="AW1036" s="46"/>
      <c r="AX1036" s="1"/>
      <c r="AY1036" s="1"/>
      <c r="AZ1036" s="1"/>
      <c r="BA1036" s="1"/>
      <c r="BB1036" s="1"/>
      <c r="BC1036" s="1"/>
      <c r="BD1036" s="1"/>
    </row>
    <row r="1037" spans="1:56" hidden="1">
      <c r="A1037" s="1"/>
      <c r="B1037" s="1"/>
      <c r="C1037" s="1"/>
      <c r="D1037" s="1"/>
      <c r="E1037" s="893" t="s">
        <v>14</v>
      </c>
      <c r="F1037" s="739">
        <v>1</v>
      </c>
      <c r="G1037" s="893" t="s">
        <v>513</v>
      </c>
      <c r="H1037" s="920" t="b">
        <f>Presentazione!$E$181</f>
        <v>1</v>
      </c>
      <c r="I1037" s="917" t="s">
        <v>215</v>
      </c>
      <c r="J1037" s="739">
        <f>Presentazione!$H$181</f>
        <v>1</v>
      </c>
      <c r="K1037" s="893" t="s">
        <v>548</v>
      </c>
      <c r="L1037" s="739" t="b">
        <f>Presentazione!$L$181</f>
        <v>1</v>
      </c>
      <c r="M1037" s="835"/>
      <c r="N1037" s="835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</row>
    <row r="1038" spans="1:56" ht="16.5" hidden="1" customHeight="1">
      <c r="A1038" s="1"/>
      <c r="B1038" s="1"/>
      <c r="C1038" s="1"/>
      <c r="D1038" s="1"/>
      <c r="E1038" s="1"/>
      <c r="F1038" s="653"/>
      <c r="G1038" s="653"/>
      <c r="H1038" s="653"/>
      <c r="I1038" s="653"/>
      <c r="J1038" s="653"/>
      <c r="K1038" s="653"/>
      <c r="L1038" s="653"/>
      <c r="M1038" s="653"/>
      <c r="N1038" s="653"/>
      <c r="O1038" s="653"/>
      <c r="P1038" s="653"/>
      <c r="Q1038" s="653"/>
      <c r="R1038" s="1"/>
      <c r="S1038" s="1"/>
      <c r="T1038" s="1"/>
      <c r="U1038" s="3"/>
      <c r="V1038" s="1"/>
      <c r="W1038" s="1"/>
      <c r="X1038" s="1"/>
      <c r="Y1038" s="1"/>
      <c r="Z1038" s="1"/>
      <c r="AA1038" s="1"/>
      <c r="AB1038" s="95"/>
      <c r="AC1038" s="46"/>
      <c r="AD1038" s="46"/>
      <c r="AE1038" s="1"/>
      <c r="AF1038" s="46"/>
      <c r="AG1038" s="1"/>
      <c r="AH1038" s="1"/>
      <c r="AI1038" s="1"/>
      <c r="AJ1038" s="1"/>
      <c r="AK1038" s="1"/>
      <c r="AL1038" s="95"/>
      <c r="AM1038" s="1"/>
      <c r="AN1038" s="1"/>
      <c r="AO1038" s="1"/>
      <c r="AP1038" s="1"/>
      <c r="AQ1038" s="1"/>
      <c r="AR1038" s="1"/>
      <c r="AS1038" s="1"/>
      <c r="AT1038" s="95"/>
      <c r="AU1038" s="1"/>
      <c r="AV1038" s="1"/>
      <c r="AW1038" s="95"/>
      <c r="AX1038" s="1"/>
      <c r="AY1038" s="1"/>
      <c r="AZ1038" s="1"/>
      <c r="BA1038" s="1"/>
      <c r="BB1038" s="1"/>
      <c r="BC1038" s="1"/>
      <c r="BD1038" s="1"/>
    </row>
    <row r="1039" spans="1:56" ht="16.5" hidden="1" customHeight="1">
      <c r="A1039" s="1"/>
      <c r="B1039" s="1"/>
      <c r="C1039" s="1"/>
      <c r="D1039" s="1"/>
      <c r="E1039" s="1"/>
      <c r="F1039" s="653"/>
      <c r="G1039" s="653"/>
      <c r="H1039" s="653"/>
      <c r="I1039" s="653"/>
      <c r="J1039" s="653"/>
      <c r="K1039" s="653"/>
      <c r="L1039" s="653"/>
      <c r="M1039" s="653"/>
      <c r="N1039" s="653"/>
      <c r="O1039" s="653"/>
      <c r="P1039" s="653"/>
      <c r="Q1039" s="653"/>
      <c r="R1039" s="1"/>
      <c r="S1039" s="1"/>
      <c r="T1039" s="1"/>
      <c r="U1039" s="3"/>
      <c r="V1039" s="1"/>
      <c r="W1039" s="1"/>
      <c r="X1039" s="1"/>
      <c r="Y1039" s="1"/>
      <c r="Z1039" s="1"/>
      <c r="AA1039" s="1"/>
      <c r="AB1039" s="95"/>
      <c r="AC1039" s="46"/>
      <c r="AD1039" s="46"/>
      <c r="AE1039" s="1"/>
      <c r="AF1039" s="46"/>
      <c r="AG1039" s="1"/>
      <c r="AH1039" s="1"/>
      <c r="AI1039" s="1"/>
      <c r="AJ1039" s="1"/>
      <c r="AK1039" s="1"/>
      <c r="AL1039" s="95"/>
      <c r="AM1039" s="1"/>
      <c r="AN1039" s="1"/>
      <c r="AO1039" s="1"/>
      <c r="AP1039" s="1"/>
      <c r="AQ1039" s="1"/>
      <c r="AR1039" s="1"/>
      <c r="AS1039" s="1"/>
      <c r="AT1039" s="95"/>
      <c r="AU1039" s="1"/>
      <c r="AV1039" s="1"/>
      <c r="AW1039" s="95"/>
      <c r="AX1039" s="1"/>
      <c r="AY1039" s="1"/>
      <c r="AZ1039" s="1"/>
      <c r="BA1039" s="1"/>
      <c r="BB1039" s="1"/>
      <c r="BC1039" s="1"/>
      <c r="BD1039" s="1"/>
    </row>
    <row r="1040" spans="1:56" ht="16.5" hidden="1" customHeight="1">
      <c r="A1040" s="1"/>
      <c r="B1040" s="1"/>
      <c r="C1040" s="1"/>
      <c r="D1040" s="1"/>
      <c r="E1040" s="1"/>
      <c r="F1040" s="653"/>
      <c r="G1040" s="653"/>
      <c r="H1040" s="653"/>
      <c r="I1040" s="653"/>
      <c r="J1040" s="653"/>
      <c r="K1040" s="653"/>
      <c r="L1040" s="653"/>
      <c r="M1040" s="653"/>
      <c r="N1040" s="653"/>
      <c r="O1040" s="653"/>
      <c r="P1040" s="653"/>
      <c r="Q1040" s="653"/>
      <c r="R1040" s="1"/>
      <c r="S1040" s="1"/>
      <c r="T1040" s="1"/>
      <c r="U1040" s="3"/>
      <c r="V1040" s="1"/>
      <c r="W1040" s="1"/>
      <c r="X1040" s="1"/>
      <c r="Y1040" s="1"/>
      <c r="Z1040" s="1"/>
      <c r="AA1040" s="1"/>
      <c r="AB1040" s="95"/>
      <c r="AC1040" s="46"/>
      <c r="AD1040" s="46"/>
      <c r="AE1040" s="1"/>
      <c r="AF1040" s="46"/>
      <c r="AG1040" s="1"/>
      <c r="AH1040" s="1"/>
      <c r="AI1040" s="1"/>
      <c r="AJ1040" s="1"/>
      <c r="AK1040" s="1"/>
      <c r="AL1040" s="95"/>
      <c r="AM1040" s="1"/>
      <c r="AN1040" s="1"/>
      <c r="AO1040" s="1"/>
      <c r="AP1040" s="1"/>
      <c r="AQ1040" s="1"/>
      <c r="AR1040" s="1"/>
      <c r="AS1040" s="1"/>
      <c r="AT1040" s="95"/>
      <c r="AU1040" s="1"/>
      <c r="AV1040" s="1"/>
      <c r="AW1040" s="95"/>
      <c r="AX1040" s="1"/>
      <c r="AY1040" s="1"/>
      <c r="AZ1040" s="1"/>
      <c r="BA1040" s="1"/>
      <c r="BB1040" s="1"/>
      <c r="BC1040" s="1"/>
      <c r="BD1040" s="1"/>
    </row>
    <row r="1041" spans="1:56" ht="16.5" hidden="1" customHeight="1">
      <c r="A1041" s="1"/>
      <c r="B1041" s="1"/>
      <c r="C1041" s="150" t="s">
        <v>252</v>
      </c>
      <c r="D1041" s="1"/>
      <c r="E1041" s="1543" t="s">
        <v>81</v>
      </c>
      <c r="F1041" s="67">
        <f t="shared" ref="F1041:Q1041" ca="1" si="204">IF(F9&lt;&gt;E9,F9,0)</f>
        <v>250</v>
      </c>
      <c r="G1041" s="67">
        <f t="shared" ca="1" si="204"/>
        <v>400</v>
      </c>
      <c r="H1041" s="67">
        <f t="shared" ca="1" si="204"/>
        <v>95</v>
      </c>
      <c r="I1041" s="67">
        <f t="shared" ca="1" si="204"/>
        <v>395</v>
      </c>
      <c r="J1041" s="67">
        <f t="shared" ca="1" si="204"/>
        <v>345</v>
      </c>
      <c r="K1041" s="67">
        <f t="shared" ca="1" si="204"/>
        <v>295</v>
      </c>
      <c r="L1041" s="67">
        <f t="shared" ca="1" si="204"/>
        <v>345</v>
      </c>
      <c r="M1041" s="67">
        <f t="shared" ca="1" si="204"/>
        <v>695</v>
      </c>
      <c r="N1041" s="67">
        <f t="shared" ca="1" si="204"/>
        <v>645</v>
      </c>
      <c r="O1041" s="67">
        <f t="shared" ca="1" si="204"/>
        <v>706.58</v>
      </c>
      <c r="P1041" s="67">
        <f t="shared" ca="1" si="204"/>
        <v>756.58</v>
      </c>
      <c r="Q1041" s="67">
        <f t="shared" ca="1" si="204"/>
        <v>656.58</v>
      </c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95"/>
      <c r="AC1041" s="46"/>
      <c r="AD1041" s="46"/>
      <c r="AE1041" s="1"/>
      <c r="AF1041" s="46"/>
      <c r="AG1041" s="1"/>
      <c r="AH1041" s="1"/>
      <c r="AI1041" s="1"/>
      <c r="AJ1041" s="1"/>
      <c r="AK1041" s="1"/>
      <c r="AL1041" s="95"/>
      <c r="AM1041" s="1"/>
      <c r="AN1041" s="1"/>
      <c r="AO1041" s="1"/>
      <c r="AP1041" s="1"/>
      <c r="AQ1041" s="1"/>
      <c r="AR1041" s="1"/>
      <c r="AS1041" s="1"/>
      <c r="AT1041" s="95"/>
      <c r="AU1041" s="1"/>
      <c r="AV1041" s="1"/>
      <c r="AW1041" s="95"/>
      <c r="AX1041" s="1"/>
      <c r="AY1041" s="1"/>
      <c r="AZ1041" s="1"/>
      <c r="BA1041" s="1"/>
      <c r="BB1041" s="1"/>
      <c r="BC1041" s="1"/>
      <c r="BD1041" s="1"/>
    </row>
    <row r="1042" spans="1:56" ht="16.5" hidden="1" customHeight="1">
      <c r="A1042" s="3"/>
      <c r="B1042" s="3"/>
      <c r="C1042" s="3"/>
      <c r="D1042" s="3"/>
      <c r="E1042" s="1543"/>
      <c r="F1042" s="67">
        <f t="shared" ref="F1042:Q1042" ca="1" si="205">IF(F10&lt;&gt;E10,F10,0)</f>
        <v>400</v>
      </c>
      <c r="G1042" s="67">
        <f t="shared" ca="1" si="205"/>
        <v>300</v>
      </c>
      <c r="H1042" s="67">
        <f t="shared" ca="1" si="205"/>
        <v>250</v>
      </c>
      <c r="I1042" s="67">
        <f t="shared" ca="1" si="205"/>
        <v>200</v>
      </c>
      <c r="J1042" s="67">
        <f t="shared" ca="1" si="205"/>
        <v>250</v>
      </c>
      <c r="K1042" s="67">
        <f t="shared" ca="1" si="205"/>
        <v>300</v>
      </c>
      <c r="L1042" s="67">
        <f t="shared" ca="1" si="205"/>
        <v>250</v>
      </c>
      <c r="M1042" s="67">
        <f t="shared" ca="1" si="205"/>
        <v>0</v>
      </c>
      <c r="N1042" s="67">
        <f t="shared" ca="1" si="205"/>
        <v>350</v>
      </c>
      <c r="O1042" s="67">
        <f t="shared" ca="1" si="205"/>
        <v>250</v>
      </c>
      <c r="P1042" s="67">
        <f t="shared" ca="1" si="205"/>
        <v>0</v>
      </c>
      <c r="Q1042" s="67">
        <f t="shared" ca="1" si="205"/>
        <v>300</v>
      </c>
      <c r="R1042" s="3"/>
      <c r="S1042" s="3"/>
      <c r="T1042" s="3"/>
      <c r="U1042" s="1"/>
      <c r="V1042" s="1"/>
      <c r="W1042" s="1"/>
      <c r="X1042" s="1"/>
      <c r="Y1042" s="1"/>
      <c r="Z1042" s="1"/>
      <c r="AA1042" s="1"/>
      <c r="AB1042" s="95"/>
      <c r="AC1042" s="46"/>
      <c r="AD1042" s="46"/>
      <c r="AE1042" s="1"/>
      <c r="AF1042" s="46"/>
      <c r="AG1042" s="1"/>
      <c r="AH1042" s="1"/>
      <c r="AI1042" s="1"/>
      <c r="AJ1042" s="1"/>
      <c r="AK1042" s="1"/>
      <c r="AL1042" s="95"/>
      <c r="AM1042" s="1"/>
      <c r="AN1042" s="1"/>
      <c r="AO1042" s="1"/>
      <c r="AP1042" s="1"/>
      <c r="AQ1042" s="1"/>
      <c r="AR1042" s="1"/>
      <c r="AS1042" s="1"/>
      <c r="AT1042" s="95"/>
      <c r="AU1042" s="1"/>
      <c r="AV1042" s="1"/>
      <c r="AW1042" s="95"/>
      <c r="AX1042" s="1"/>
      <c r="AY1042" s="1"/>
      <c r="AZ1042" s="1"/>
      <c r="BA1042" s="1"/>
      <c r="BB1042" s="1"/>
      <c r="BC1042" s="1"/>
      <c r="BD1042" s="1"/>
    </row>
    <row r="1043" spans="1:56" ht="16.5" hidden="1" customHeight="1">
      <c r="A1043" s="1"/>
      <c r="B1043" s="1"/>
      <c r="C1043" s="1"/>
      <c r="D1043" s="1"/>
      <c r="E1043" s="1543"/>
      <c r="F1043" s="67">
        <f t="shared" ref="F1043:Q1043" ca="1" si="206">IF(F11&lt;&gt;E11,F11,0)</f>
        <v>0</v>
      </c>
      <c r="G1043" s="67">
        <f t="shared" ca="1" si="206"/>
        <v>200</v>
      </c>
      <c r="H1043" s="67">
        <f t="shared" ca="1" si="206"/>
        <v>150</v>
      </c>
      <c r="I1043" s="67">
        <f t="shared" ca="1" si="206"/>
        <v>100</v>
      </c>
      <c r="J1043" s="67">
        <f t="shared" ca="1" si="206"/>
        <v>150</v>
      </c>
      <c r="K1043" s="67">
        <f t="shared" ca="1" si="206"/>
        <v>200</v>
      </c>
      <c r="L1043" s="67">
        <f t="shared" ca="1" si="206"/>
        <v>150</v>
      </c>
      <c r="M1043" s="67">
        <f t="shared" ca="1" si="206"/>
        <v>100</v>
      </c>
      <c r="N1043" s="67">
        <f t="shared" ca="1" si="206"/>
        <v>0</v>
      </c>
      <c r="O1043" s="67">
        <f t="shared" ca="1" si="206"/>
        <v>8.83</v>
      </c>
      <c r="P1043" s="67">
        <f t="shared" ca="1" si="206"/>
        <v>0</v>
      </c>
      <c r="Q1043" s="67">
        <f t="shared" ca="1" si="206"/>
        <v>-43.34</v>
      </c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95"/>
      <c r="AC1043" s="46"/>
      <c r="AD1043" s="46"/>
      <c r="AE1043" s="1"/>
      <c r="AF1043" s="46"/>
      <c r="AG1043" s="1"/>
      <c r="AH1043" s="1"/>
      <c r="AI1043" s="1"/>
      <c r="AJ1043" s="1"/>
      <c r="AK1043" s="1"/>
      <c r="AL1043" s="95"/>
      <c r="AM1043" s="1"/>
      <c r="AN1043" s="1"/>
      <c r="AO1043" s="1"/>
      <c r="AP1043" s="1"/>
      <c r="AQ1043" s="1"/>
      <c r="AR1043" s="1"/>
      <c r="AS1043" s="1"/>
      <c r="AT1043" s="95"/>
      <c r="AU1043" s="1"/>
      <c r="AV1043" s="1"/>
      <c r="AW1043" s="95"/>
      <c r="AX1043" s="1"/>
      <c r="AY1043" s="1"/>
      <c r="AZ1043" s="1"/>
      <c r="BA1043" s="1"/>
      <c r="BB1043" s="1"/>
      <c r="BC1043" s="1"/>
      <c r="BD1043" s="1"/>
    </row>
    <row r="1044" spans="1:56" ht="16.5" hidden="1" customHeight="1">
      <c r="A1044" s="1"/>
      <c r="B1044" s="1"/>
      <c r="C1044" s="1"/>
      <c r="D1044" s="1"/>
      <c r="E1044" s="1543"/>
      <c r="F1044" s="67">
        <f t="shared" ref="F1044:Q1044" ca="1" si="207">IF(F12&lt;&gt;E12,F12,0)</f>
        <v>0</v>
      </c>
      <c r="G1044" s="67">
        <f t="shared" ca="1" si="207"/>
        <v>0</v>
      </c>
      <c r="H1044" s="67">
        <f t="shared" ca="1" si="207"/>
        <v>0</v>
      </c>
      <c r="I1044" s="67">
        <f t="shared" ca="1" si="207"/>
        <v>0</v>
      </c>
      <c r="J1044" s="67">
        <f t="shared" ca="1" si="207"/>
        <v>0</v>
      </c>
      <c r="K1044" s="67">
        <f t="shared" ca="1" si="207"/>
        <v>0</v>
      </c>
      <c r="L1044" s="67">
        <f t="shared" ca="1" si="207"/>
        <v>0</v>
      </c>
      <c r="M1044" s="67">
        <f t="shared" ca="1" si="207"/>
        <v>0</v>
      </c>
      <c r="N1044" s="67">
        <f t="shared" ca="1" si="207"/>
        <v>0</v>
      </c>
      <c r="O1044" s="67">
        <f t="shared" ca="1" si="207"/>
        <v>0</v>
      </c>
      <c r="P1044" s="67">
        <f t="shared" ca="1" si="207"/>
        <v>0</v>
      </c>
      <c r="Q1044" s="67">
        <f t="shared" ca="1" si="207"/>
        <v>0</v>
      </c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95"/>
      <c r="AC1044" s="46"/>
      <c r="AD1044" s="46"/>
      <c r="AE1044" s="1"/>
      <c r="AF1044" s="46"/>
      <c r="AG1044" s="1"/>
      <c r="AH1044" s="1"/>
      <c r="AI1044" s="1"/>
      <c r="AJ1044" s="1"/>
      <c r="AK1044" s="1"/>
      <c r="AL1044" s="95"/>
      <c r="AM1044" s="1"/>
      <c r="AN1044" s="1"/>
      <c r="AO1044" s="1"/>
      <c r="AP1044" s="1"/>
      <c r="AQ1044" s="1"/>
      <c r="AR1044" s="1"/>
      <c r="AS1044" s="1"/>
      <c r="AT1044" s="95"/>
      <c r="AU1044" s="1"/>
      <c r="AV1044" s="1"/>
      <c r="AW1044" s="95"/>
      <c r="AX1044" s="1"/>
      <c r="AY1044" s="1"/>
      <c r="AZ1044" s="1"/>
      <c r="BA1044" s="1"/>
      <c r="BB1044" s="1"/>
      <c r="BC1044" s="1"/>
      <c r="BD1044" s="1"/>
    </row>
    <row r="1045" spans="1:56" ht="16.5" hidden="1" customHeight="1">
      <c r="A1045" s="1"/>
      <c r="B1045" s="1"/>
      <c r="C1045" s="1"/>
      <c r="D1045" s="1"/>
      <c r="E1045" s="1543"/>
      <c r="F1045" s="67">
        <f t="shared" ref="F1045:Q1045" ca="1" si="208">IF(F13&lt;&gt;E13,F13,0)</f>
        <v>0</v>
      </c>
      <c r="G1045" s="67">
        <f t="shared" ca="1" si="208"/>
        <v>0</v>
      </c>
      <c r="H1045" s="67">
        <f t="shared" ca="1" si="208"/>
        <v>0</v>
      </c>
      <c r="I1045" s="67">
        <f t="shared" ca="1" si="208"/>
        <v>0</v>
      </c>
      <c r="J1045" s="67">
        <f t="shared" ca="1" si="208"/>
        <v>0</v>
      </c>
      <c r="K1045" s="67">
        <f t="shared" ca="1" si="208"/>
        <v>0</v>
      </c>
      <c r="L1045" s="67">
        <f t="shared" ca="1" si="208"/>
        <v>0</v>
      </c>
      <c r="M1045" s="67">
        <f t="shared" ca="1" si="208"/>
        <v>0</v>
      </c>
      <c r="N1045" s="67">
        <f t="shared" ca="1" si="208"/>
        <v>0</v>
      </c>
      <c r="O1045" s="67">
        <f t="shared" ca="1" si="208"/>
        <v>0</v>
      </c>
      <c r="P1045" s="67">
        <f t="shared" ca="1" si="208"/>
        <v>0</v>
      </c>
      <c r="Q1045" s="67">
        <f t="shared" ca="1" si="208"/>
        <v>0</v>
      </c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95"/>
      <c r="AC1045" s="46"/>
      <c r="AD1045" s="46"/>
      <c r="AE1045" s="1"/>
      <c r="AF1045" s="46"/>
      <c r="AG1045" s="1"/>
      <c r="AH1045" s="1"/>
      <c r="AI1045" s="1"/>
      <c r="AJ1045" s="1"/>
      <c r="AK1045" s="1"/>
      <c r="AL1045" s="95"/>
      <c r="AM1045" s="1"/>
      <c r="AN1045" s="1"/>
      <c r="AO1045" s="1"/>
      <c r="AP1045" s="1"/>
      <c r="AQ1045" s="1"/>
      <c r="AR1045" s="1"/>
      <c r="AS1045" s="1"/>
      <c r="AT1045" s="95"/>
      <c r="AU1045" s="1"/>
      <c r="AV1045" s="1"/>
      <c r="AW1045" s="95"/>
      <c r="AX1045" s="1"/>
      <c r="AY1045" s="1"/>
      <c r="AZ1045" s="1"/>
      <c r="BA1045" s="1"/>
      <c r="BB1045" s="1"/>
      <c r="BC1045" s="1"/>
      <c r="BD1045" s="1"/>
    </row>
    <row r="1046" spans="1:56" ht="16.5" hidden="1" customHeight="1">
      <c r="A1046" s="1"/>
      <c r="B1046" s="1"/>
      <c r="C1046" s="1"/>
      <c r="D1046" s="1"/>
      <c r="E1046" s="1543"/>
      <c r="F1046" s="67">
        <f t="shared" ref="F1046:Q1046" ca="1" si="209">IF(F14&lt;&gt;E14,F14,0)</f>
        <v>0</v>
      </c>
      <c r="G1046" s="67">
        <f t="shared" ca="1" si="209"/>
        <v>0</v>
      </c>
      <c r="H1046" s="67">
        <f t="shared" ca="1" si="209"/>
        <v>100</v>
      </c>
      <c r="I1046" s="67">
        <f t="shared" ca="1" si="209"/>
        <v>0</v>
      </c>
      <c r="J1046" s="67">
        <f t="shared" ca="1" si="209"/>
        <v>0</v>
      </c>
      <c r="K1046" s="67">
        <f t="shared" ca="1" si="209"/>
        <v>0</v>
      </c>
      <c r="L1046" s="67">
        <f t="shared" ca="1" si="209"/>
        <v>50</v>
      </c>
      <c r="M1046" s="67">
        <f t="shared" ca="1" si="209"/>
        <v>0</v>
      </c>
      <c r="N1046" s="67">
        <f t="shared" ca="1" si="209"/>
        <v>0</v>
      </c>
      <c r="O1046" s="67">
        <f t="shared" ca="1" si="209"/>
        <v>0</v>
      </c>
      <c r="P1046" s="67">
        <f t="shared" ca="1" si="209"/>
        <v>0</v>
      </c>
      <c r="Q1046" s="67">
        <f t="shared" ca="1" si="209"/>
        <v>0</v>
      </c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95"/>
      <c r="AC1046" s="46"/>
      <c r="AD1046" s="46"/>
      <c r="AE1046" s="1"/>
      <c r="AF1046" s="46"/>
      <c r="AG1046" s="1"/>
      <c r="AH1046" s="1"/>
      <c r="AI1046" s="1"/>
      <c r="AJ1046" s="1"/>
      <c r="AK1046" s="1"/>
      <c r="AL1046" s="95"/>
      <c r="AM1046" s="1"/>
      <c r="AN1046" s="1"/>
      <c r="AO1046" s="1"/>
      <c r="AP1046" s="1"/>
      <c r="AQ1046" s="1"/>
      <c r="AR1046" s="1"/>
      <c r="AS1046" s="1"/>
      <c r="AT1046" s="95"/>
      <c r="AU1046" s="1"/>
      <c r="AV1046" s="1"/>
      <c r="AW1046" s="95"/>
      <c r="AX1046" s="1"/>
      <c r="AY1046" s="1"/>
      <c r="AZ1046" s="1"/>
      <c r="BA1046" s="1"/>
      <c r="BB1046" s="1"/>
      <c r="BC1046" s="1"/>
      <c r="BD1046" s="1"/>
    </row>
    <row r="1047" spans="1:56" ht="16.5" hidden="1" customHeight="1" thickBot="1">
      <c r="A1047" s="1"/>
      <c r="B1047" s="1"/>
      <c r="C1047" s="1"/>
      <c r="D1047" s="1"/>
      <c r="E1047" s="1543"/>
      <c r="F1047" s="154">
        <f t="shared" ref="F1047:Q1047" ca="1" si="210">IF(F15&lt;&gt;E15,F15,0)</f>
        <v>0</v>
      </c>
      <c r="G1047" s="154">
        <f t="shared" ca="1" si="210"/>
        <v>0</v>
      </c>
      <c r="H1047" s="154">
        <f t="shared" ca="1" si="210"/>
        <v>0</v>
      </c>
      <c r="I1047" s="154">
        <f t="shared" ca="1" si="210"/>
        <v>50</v>
      </c>
      <c r="J1047" s="154">
        <f t="shared" ca="1" si="210"/>
        <v>0</v>
      </c>
      <c r="K1047" s="154">
        <f t="shared" ca="1" si="210"/>
        <v>0</v>
      </c>
      <c r="L1047" s="154">
        <f t="shared" ca="1" si="210"/>
        <v>100</v>
      </c>
      <c r="M1047" s="154">
        <f t="shared" ca="1" si="210"/>
        <v>0</v>
      </c>
      <c r="N1047" s="154">
        <f t="shared" ca="1" si="210"/>
        <v>0</v>
      </c>
      <c r="O1047" s="154">
        <f t="shared" ca="1" si="210"/>
        <v>150</v>
      </c>
      <c r="P1047" s="154">
        <f t="shared" ca="1" si="210"/>
        <v>0</v>
      </c>
      <c r="Q1047" s="154">
        <f t="shared" ca="1" si="210"/>
        <v>0</v>
      </c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95"/>
      <c r="AC1047" s="46"/>
      <c r="AD1047" s="46"/>
      <c r="AE1047" s="1"/>
      <c r="AF1047" s="46"/>
      <c r="AG1047" s="1"/>
      <c r="AH1047" s="1"/>
      <c r="AI1047" s="1"/>
      <c r="AJ1047" s="1"/>
      <c r="AK1047" s="1"/>
      <c r="AL1047" s="95"/>
      <c r="AM1047" s="1"/>
      <c r="AN1047" s="1"/>
      <c r="AO1047" s="1"/>
      <c r="AP1047" s="1"/>
      <c r="AQ1047" s="1"/>
      <c r="AR1047" s="1"/>
      <c r="AS1047" s="1"/>
      <c r="AT1047" s="95"/>
      <c r="AU1047" s="1"/>
      <c r="AV1047" s="1"/>
      <c r="AW1047" s="95"/>
      <c r="AX1047" s="1"/>
      <c r="AY1047" s="1"/>
      <c r="AZ1047" s="1"/>
      <c r="BA1047" s="1"/>
      <c r="BB1047" s="1"/>
      <c r="BC1047" s="1"/>
      <c r="BD1047" s="1"/>
    </row>
    <row r="1048" spans="1:56" ht="16.5" hidden="1" customHeight="1" thickTop="1">
      <c r="A1048" s="1"/>
      <c r="B1048" s="1"/>
      <c r="C1048" s="1"/>
      <c r="D1048" s="1"/>
      <c r="E1048" s="1737" t="s">
        <v>82</v>
      </c>
      <c r="F1048" s="155">
        <f t="shared" ref="F1048:Q1048" ca="1" si="211">IF(F34&lt;&gt;E34,F34,0)</f>
        <v>52.83</v>
      </c>
      <c r="G1048" s="155">
        <f t="shared" ca="1" si="211"/>
        <v>2.83</v>
      </c>
      <c r="H1048" s="155">
        <f t="shared" ca="1" si="211"/>
        <v>12.83</v>
      </c>
      <c r="I1048" s="155">
        <f t="shared" ca="1" si="211"/>
        <v>-17.170000000000002</v>
      </c>
      <c r="J1048" s="155">
        <f t="shared" ca="1" si="211"/>
        <v>57.83</v>
      </c>
      <c r="K1048" s="155">
        <f t="shared" ca="1" si="211"/>
        <v>47.83</v>
      </c>
      <c r="L1048" s="155">
        <f t="shared" ca="1" si="211"/>
        <v>82.83</v>
      </c>
      <c r="M1048" s="155">
        <f t="shared" ca="1" si="211"/>
        <v>72.83</v>
      </c>
      <c r="N1048" s="155">
        <f t="shared" ca="1" si="211"/>
        <v>157.83000000000001</v>
      </c>
      <c r="O1048" s="155">
        <f t="shared" ca="1" si="211"/>
        <v>146.66</v>
      </c>
      <c r="P1048" s="155">
        <f t="shared" ca="1" si="211"/>
        <v>166.66</v>
      </c>
      <c r="Q1048" s="155">
        <f t="shared" ca="1" si="211"/>
        <v>136.66</v>
      </c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95"/>
      <c r="AC1048" s="46"/>
      <c r="AD1048" s="46"/>
      <c r="AE1048" s="1"/>
      <c r="AF1048" s="46"/>
      <c r="AG1048" s="1"/>
      <c r="AH1048" s="1"/>
      <c r="AI1048" s="1"/>
      <c r="AJ1048" s="1"/>
      <c r="AK1048" s="1"/>
      <c r="AL1048" s="95"/>
      <c r="AM1048" s="1"/>
      <c r="AN1048" s="1"/>
      <c r="AO1048" s="1"/>
      <c r="AP1048" s="1"/>
      <c r="AQ1048" s="1"/>
      <c r="AR1048" s="1"/>
      <c r="AS1048" s="1"/>
      <c r="AT1048" s="95"/>
      <c r="AU1048" s="1"/>
      <c r="AV1048" s="1"/>
      <c r="AW1048" s="95"/>
      <c r="AX1048" s="1"/>
      <c r="AY1048" s="1"/>
      <c r="AZ1048" s="1"/>
      <c r="BA1048" s="1"/>
      <c r="BB1048" s="1"/>
      <c r="BC1048" s="1"/>
      <c r="BD1048" s="1"/>
    </row>
    <row r="1049" spans="1:56" ht="16.5" hidden="1" customHeight="1">
      <c r="A1049" s="1"/>
      <c r="B1049" s="1"/>
      <c r="C1049" s="1"/>
      <c r="D1049" s="1"/>
      <c r="E1049" s="1736"/>
      <c r="F1049" s="67">
        <f t="shared" ref="F1049:Q1049" ca="1" si="212">IF(F35&lt;&gt;E35,F35,0)</f>
        <v>-3.83</v>
      </c>
      <c r="G1049" s="67">
        <f t="shared" ca="1" si="212"/>
        <v>-63.83</v>
      </c>
      <c r="H1049" s="67">
        <f t="shared" ca="1" si="212"/>
        <v>-3.83</v>
      </c>
      <c r="I1049" s="67">
        <f t="shared" ca="1" si="212"/>
        <v>-33.83</v>
      </c>
      <c r="J1049" s="67">
        <f t="shared" ca="1" si="212"/>
        <v>-8.83</v>
      </c>
      <c r="K1049" s="67">
        <f t="shared" ca="1" si="212"/>
        <v>-18.829999999999998</v>
      </c>
      <c r="L1049" s="67">
        <f t="shared" ca="1" si="212"/>
        <v>66.17</v>
      </c>
      <c r="M1049" s="67">
        <f t="shared" ca="1" si="212"/>
        <v>56.17</v>
      </c>
      <c r="N1049" s="67">
        <f t="shared" ca="1" si="212"/>
        <v>91.17</v>
      </c>
      <c r="O1049" s="67">
        <f t="shared" ca="1" si="212"/>
        <v>71.17</v>
      </c>
      <c r="P1049" s="67">
        <f t="shared" ca="1" si="212"/>
        <v>341.17</v>
      </c>
      <c r="Q1049" s="67">
        <f t="shared" ca="1" si="212"/>
        <v>309</v>
      </c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95"/>
      <c r="AC1049" s="46"/>
      <c r="AD1049" s="46"/>
      <c r="AE1049" s="1"/>
      <c r="AF1049" s="46"/>
      <c r="AG1049" s="1"/>
      <c r="AH1049" s="1"/>
      <c r="AI1049" s="1"/>
      <c r="AJ1049" s="1"/>
      <c r="AK1049" s="1"/>
      <c r="AL1049" s="95"/>
      <c r="AM1049" s="1"/>
      <c r="AN1049" s="1"/>
      <c r="AO1049" s="1"/>
      <c r="AP1049" s="1"/>
      <c r="AQ1049" s="1"/>
      <c r="AR1049" s="1"/>
      <c r="AS1049" s="1"/>
      <c r="AT1049" s="95"/>
      <c r="AU1049" s="1"/>
      <c r="AV1049" s="1"/>
      <c r="AW1049" s="95"/>
      <c r="AX1049" s="1"/>
      <c r="AY1049" s="1"/>
      <c r="AZ1049" s="1"/>
      <c r="BA1049" s="1"/>
      <c r="BB1049" s="1"/>
      <c r="BC1049" s="1"/>
      <c r="BD1049" s="1"/>
    </row>
    <row r="1050" spans="1:56" ht="16.5" hidden="1" customHeight="1">
      <c r="A1050" s="1"/>
      <c r="B1050" s="1"/>
      <c r="C1050" s="1"/>
      <c r="D1050" s="1"/>
      <c r="E1050" s="1736"/>
      <c r="F1050" s="67">
        <f t="shared" ref="F1050:Q1050" ca="1" si="213">IF(F36&lt;&gt;E36,F36,0)</f>
        <v>-101</v>
      </c>
      <c r="G1050" s="67">
        <f t="shared" ca="1" si="213"/>
        <v>-83.5</v>
      </c>
      <c r="H1050" s="67">
        <f t="shared" ca="1" si="213"/>
        <v>-148.5</v>
      </c>
      <c r="I1050" s="67">
        <f t="shared" ca="1" si="213"/>
        <v>-158.5</v>
      </c>
      <c r="J1050" s="67">
        <f t="shared" ca="1" si="213"/>
        <v>-208.5</v>
      </c>
      <c r="K1050" s="67">
        <f t="shared" ca="1" si="213"/>
        <v>-128.5</v>
      </c>
      <c r="L1050" s="67">
        <f t="shared" ca="1" si="213"/>
        <v>-158.5</v>
      </c>
      <c r="M1050" s="67">
        <f t="shared" ca="1" si="213"/>
        <v>121.5</v>
      </c>
      <c r="N1050" s="67">
        <f t="shared" ca="1" si="213"/>
        <v>91.5</v>
      </c>
      <c r="O1050" s="67">
        <f t="shared" ca="1" si="213"/>
        <v>-36.92</v>
      </c>
      <c r="P1050" s="67">
        <f t="shared" ca="1" si="213"/>
        <v>-96.92</v>
      </c>
      <c r="Q1050" s="67">
        <f t="shared" ca="1" si="213"/>
        <v>-106.92</v>
      </c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95"/>
      <c r="AC1050" s="46"/>
      <c r="AD1050" s="46"/>
      <c r="AE1050" s="1"/>
      <c r="AF1050" s="46"/>
      <c r="AG1050" s="1"/>
      <c r="AH1050" s="1"/>
      <c r="AI1050" s="1"/>
      <c r="AJ1050" s="1"/>
      <c r="AK1050" s="1"/>
      <c r="AL1050" s="95"/>
      <c r="AM1050" s="1"/>
      <c r="AN1050" s="1"/>
      <c r="AO1050" s="1"/>
      <c r="AP1050" s="1"/>
      <c r="AQ1050" s="1"/>
      <c r="AR1050" s="1"/>
      <c r="AS1050" s="1"/>
      <c r="AT1050" s="95"/>
      <c r="AU1050" s="1"/>
      <c r="AV1050" s="1"/>
      <c r="AW1050" s="95"/>
      <c r="AX1050" s="1"/>
      <c r="AY1050" s="1"/>
      <c r="AZ1050" s="1"/>
      <c r="BA1050" s="1"/>
      <c r="BB1050" s="1"/>
      <c r="BC1050" s="1"/>
      <c r="BD1050" s="1"/>
    </row>
    <row r="1051" spans="1:56" ht="16.5" hidden="1" customHeight="1">
      <c r="A1051" s="1"/>
      <c r="B1051" s="1"/>
      <c r="C1051" s="1"/>
      <c r="D1051" s="1"/>
      <c r="E1051" s="1736"/>
      <c r="F1051" s="67">
        <f t="shared" ref="F1051" ca="1" si="214">IF(F37&lt;&gt;E37,F37,0)</f>
        <v>-107.67</v>
      </c>
      <c r="G1051" s="67">
        <f t="shared" ref="G1051" ca="1" si="215">IF(G37&lt;&gt;F37,G37,0)</f>
        <v>-167.67</v>
      </c>
      <c r="H1051" s="67">
        <f t="shared" ref="H1051" ca="1" si="216">IF(H37&lt;&gt;G37,H37,0)</f>
        <v>-245.17</v>
      </c>
      <c r="I1051" s="67">
        <f t="shared" ref="I1051" ca="1" si="217">IF(I37&lt;&gt;H37,I37,0)</f>
        <v>-5.17</v>
      </c>
      <c r="J1051" s="67">
        <f t="shared" ref="J1051" ca="1" si="218">IF(J37&lt;&gt;I37,J37,0)</f>
        <v>-55.17</v>
      </c>
      <c r="K1051" s="67">
        <f t="shared" ref="K1051" ca="1" si="219">IF(K37&lt;&gt;J37,K37,0)</f>
        <v>-25.17</v>
      </c>
      <c r="L1051" s="67">
        <f t="shared" ref="L1051" ca="1" si="220">IF(L37&lt;&gt;K37,L37,0)</f>
        <v>-55.17</v>
      </c>
      <c r="M1051" s="67">
        <f t="shared" ref="M1051" ca="1" si="221">IF(M37&lt;&gt;L37,M37,0)</f>
        <v>24.83</v>
      </c>
      <c r="N1051" s="67">
        <f t="shared" ref="N1051" ca="1" si="222">IF(N37&lt;&gt;M37,N37,0)</f>
        <v>-5.17</v>
      </c>
      <c r="O1051" s="67">
        <f t="shared" ref="O1051" ca="1" si="223">IF(O37&lt;&gt;N37,O37,0)</f>
        <v>4.83</v>
      </c>
      <c r="P1051" s="67">
        <f t="shared" ref="P1051" ca="1" si="224">IF(P37&lt;&gt;O37,P37,0)</f>
        <v>-55.17</v>
      </c>
      <c r="Q1051" s="67">
        <f t="shared" ref="Q1051" ca="1" si="225">IF(Q37&lt;&gt;P37,Q37,0)</f>
        <v>-15.17</v>
      </c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95"/>
      <c r="AC1051" s="46"/>
      <c r="AD1051" s="46"/>
      <c r="AE1051" s="1"/>
      <c r="AF1051" s="46"/>
      <c r="AG1051" s="1"/>
      <c r="AH1051" s="1"/>
      <c r="AI1051" s="1"/>
      <c r="AJ1051" s="1"/>
      <c r="AK1051" s="1"/>
      <c r="AL1051" s="95"/>
      <c r="AM1051" s="1"/>
      <c r="AN1051" s="1"/>
      <c r="AO1051" s="1"/>
      <c r="AP1051" s="1"/>
      <c r="AQ1051" s="1"/>
      <c r="AR1051" s="1"/>
      <c r="AS1051" s="1"/>
      <c r="AT1051" s="95"/>
      <c r="AU1051" s="1"/>
      <c r="AV1051" s="1"/>
      <c r="AW1051" s="95"/>
      <c r="AX1051" s="1"/>
      <c r="AY1051" s="1"/>
      <c r="AZ1051" s="1"/>
      <c r="BA1051" s="1"/>
      <c r="BB1051" s="1"/>
      <c r="BC1051" s="1"/>
      <c r="BD1051" s="1"/>
    </row>
    <row r="1052" spans="1:56" ht="16.5" hidden="1" customHeight="1">
      <c r="A1052" s="1"/>
      <c r="B1052" s="1"/>
      <c r="C1052" s="1"/>
      <c r="D1052" s="1"/>
      <c r="E1052" s="1736"/>
      <c r="F1052" s="67">
        <f ca="1">IF(F38&lt;&gt;E38,F38,0)</f>
        <v>-195.33</v>
      </c>
      <c r="G1052" s="67">
        <f ca="1">IF(G38&lt;&gt;F38,G38,0)</f>
        <v>-292.83</v>
      </c>
      <c r="H1052" s="67">
        <f ca="1">IF(H38&lt;&gt;G38,H38,0)</f>
        <v>-420.33</v>
      </c>
      <c r="I1052" s="67">
        <f ca="1">IF(I38&lt;&gt;H38,I38,0)</f>
        <v>-540.33000000000004</v>
      </c>
      <c r="J1052" s="67">
        <f ca="1">IF(J38&lt;&gt;I38,J38,0)</f>
        <v>-590.33000000000004</v>
      </c>
      <c r="K1052" s="67">
        <f ca="1">IF(K38&lt;&gt;J38,K38,0)</f>
        <v>-630.33000000000004</v>
      </c>
      <c r="L1052" s="67">
        <f ca="1">IF(L38&lt;&gt;K38,L38,0)</f>
        <v>-740.33</v>
      </c>
      <c r="M1052" s="67">
        <f ca="1">IF(M38&lt;&gt;L38,M38,0)</f>
        <v>-780.33</v>
      </c>
      <c r="N1052" s="67">
        <f ca="1">IF(N38&lt;&gt;M38,N38,0)</f>
        <v>-790.33</v>
      </c>
      <c r="O1052" s="67">
        <f ca="1">IF(O38&lt;&gt;N38,O38,0)</f>
        <v>-770.33</v>
      </c>
      <c r="P1052" s="67">
        <f ca="1">IF(P38&lt;&gt;O38,P38,0)</f>
        <v>-890.33</v>
      </c>
      <c r="Q1052" s="67">
        <f ca="1">IF(Q38&lt;&gt;P38,Q38,0)</f>
        <v>-960.33</v>
      </c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95"/>
      <c r="AC1052" s="46"/>
      <c r="AD1052" s="46"/>
      <c r="AE1052" s="1"/>
      <c r="AF1052" s="46"/>
      <c r="AG1052" s="1"/>
      <c r="AH1052" s="1"/>
      <c r="AI1052" s="1"/>
      <c r="AJ1052" s="1"/>
      <c r="AK1052" s="1"/>
      <c r="AL1052" s="95"/>
      <c r="AM1052" s="1"/>
      <c r="AN1052" s="1"/>
      <c r="AO1052" s="1"/>
      <c r="AP1052" s="1"/>
      <c r="AQ1052" s="1"/>
      <c r="AR1052" s="1"/>
      <c r="AS1052" s="1"/>
      <c r="AT1052" s="95"/>
      <c r="AU1052" s="1"/>
      <c r="AV1052" s="1"/>
      <c r="AW1052" s="95"/>
      <c r="AX1052" s="1"/>
      <c r="AY1052" s="1"/>
      <c r="AZ1052" s="1"/>
      <c r="BA1052" s="1"/>
      <c r="BB1052" s="1"/>
      <c r="BC1052" s="1"/>
      <c r="BD1052" s="1"/>
    </row>
    <row r="1053" spans="1:56" ht="16.5" hidden="1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95"/>
      <c r="AC1053" s="46"/>
      <c r="AD1053" s="46"/>
      <c r="AE1053" s="1"/>
      <c r="AF1053" s="46"/>
      <c r="AG1053" s="1"/>
      <c r="AH1053" s="1"/>
      <c r="AI1053" s="1"/>
      <c r="AJ1053" s="1"/>
      <c r="AK1053" s="1"/>
      <c r="AL1053" s="95"/>
      <c r="AM1053" s="1"/>
      <c r="AN1053" s="1"/>
      <c r="AO1053" s="1"/>
      <c r="AP1053" s="1"/>
      <c r="AQ1053" s="1"/>
      <c r="AR1053" s="1"/>
      <c r="AS1053" s="1"/>
      <c r="AT1053" s="95"/>
      <c r="AU1053" s="1"/>
      <c r="AV1053" s="1"/>
      <c r="AW1053" s="95"/>
      <c r="AX1053" s="1"/>
      <c r="AY1053" s="1"/>
      <c r="AZ1053" s="1"/>
      <c r="BA1053" s="1"/>
      <c r="BB1053" s="1"/>
      <c r="BC1053" s="1"/>
      <c r="BD1053" s="1"/>
    </row>
    <row r="1054" spans="1:56" ht="16.5" hidden="1" customHeight="1">
      <c r="A1054" s="1"/>
      <c r="B1054" s="1"/>
      <c r="C1054" s="1"/>
      <c r="D1054" s="1"/>
      <c r="E1054" s="1"/>
      <c r="F1054" s="67">
        <f ca="1">IF(SUM(F1041:F1052)=0,0,SUM(F9:F15)+(SUM(F34:F38)*-1)-$E46)</f>
        <v>305</v>
      </c>
      <c r="G1054" s="67">
        <f ca="1">IF(SUM(G1041:G1052)=0,0,SUM(G9:G15)+(SUM(G34:G38)*-1)-$E46)</f>
        <v>505</v>
      </c>
      <c r="H1054" s="67">
        <f ca="1">IF(SUM(H1041:H1052)=0,0,SUM(H9:H15)+(SUM(H34:H38)*-1)-$E46)</f>
        <v>400</v>
      </c>
      <c r="I1054" s="67">
        <f ca="1">IF(SUM(I1041:I1052)=0,0,SUM(I9:I15)+(SUM(I34:I38)*-1)-$E46)</f>
        <v>600</v>
      </c>
      <c r="J1054" s="67">
        <f ca="1">IF(SUM(J1041:J1052)=0,0,SUM(J9:J15)+(SUM(J34:J38)*-1)-$E46)</f>
        <v>700</v>
      </c>
      <c r="K1054" s="67">
        <f ca="1">IF(SUM(K1041:K1052)=0,0,SUM(K9:K15)+(SUM(K34:K38)*-1)-$E46)</f>
        <v>700</v>
      </c>
      <c r="L1054" s="67">
        <f ca="1">IF(SUM(L1041:L1052)=0,0,SUM(L9:L15)+(SUM(L34:L38)*-1)-$E46)</f>
        <v>700</v>
      </c>
      <c r="M1054" s="67">
        <f ca="1">IF(SUM(M1041:M1052)=0,0,SUM(M9:M15)+(SUM(M34:M38)*-1)-$E46)</f>
        <v>700</v>
      </c>
      <c r="N1054" s="67">
        <f ca="1">IF(SUM(N1041:N1052)=0,0,SUM(N9:N15)+(SUM(N34:N38)*-1)-$E46)</f>
        <v>700</v>
      </c>
      <c r="O1054" s="67">
        <f ca="1">IF(SUM(O1041:O1052)=0,0,SUM(O9:O15)+(SUM(O34:O38)*-1)-$E46)</f>
        <v>700</v>
      </c>
      <c r="P1054" s="67">
        <f ca="1">IF(SUM(P1041:P1052)=0,0,SUM(P9:P15)+(SUM(P34:P38)*-1)-$E46)</f>
        <v>700</v>
      </c>
      <c r="Q1054" s="67">
        <f ca="1">IF(SUM(Q1041:Q1052)=0,0,SUM(Q9:Q15)+(SUM(Q34:Q38)*-1)-$E46)</f>
        <v>700</v>
      </c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95"/>
      <c r="AC1054" s="46"/>
      <c r="AD1054" s="46"/>
      <c r="AE1054" s="1"/>
      <c r="AF1054" s="46"/>
      <c r="AG1054" s="1"/>
      <c r="AH1054" s="1"/>
      <c r="AI1054" s="1"/>
      <c r="AJ1054" s="1"/>
      <c r="AK1054" s="1"/>
      <c r="AL1054" s="95"/>
      <c r="AM1054" s="1"/>
      <c r="AN1054" s="1"/>
      <c r="AO1054" s="1"/>
      <c r="AP1054" s="1"/>
      <c r="AQ1054" s="1"/>
      <c r="AR1054" s="1"/>
      <c r="AS1054" s="1"/>
      <c r="AT1054" s="95"/>
      <c r="AU1054" s="1"/>
      <c r="AV1054" s="1"/>
      <c r="AW1054" s="95"/>
      <c r="AX1054" s="1"/>
      <c r="AY1054" s="1"/>
      <c r="AZ1054" s="1"/>
      <c r="BA1054" s="1"/>
      <c r="BB1054" s="1"/>
      <c r="BC1054" s="1"/>
      <c r="BD1054" s="1"/>
    </row>
    <row r="1055" spans="1:56" ht="16.5" hidden="1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95"/>
      <c r="AC1055" s="46"/>
      <c r="AD1055" s="46"/>
      <c r="AE1055" s="1"/>
      <c r="AF1055" s="46"/>
      <c r="AG1055" s="1"/>
      <c r="AH1055" s="1"/>
      <c r="AI1055" s="1"/>
      <c r="AJ1055" s="1"/>
      <c r="AK1055" s="1"/>
      <c r="AL1055" s="95"/>
      <c r="AM1055" s="1"/>
      <c r="AN1055" s="1"/>
      <c r="AO1055" s="1"/>
      <c r="AP1055" s="1"/>
      <c r="AQ1055" s="1"/>
      <c r="AR1055" s="1"/>
      <c r="AS1055" s="1"/>
      <c r="AT1055" s="95"/>
      <c r="AU1055" s="1"/>
      <c r="AV1055" s="1"/>
      <c r="AW1055" s="95"/>
      <c r="AX1055" s="1"/>
      <c r="AY1055" s="1"/>
      <c r="AZ1055" s="1"/>
      <c r="BA1055" s="1"/>
      <c r="BB1055" s="1"/>
      <c r="BC1055" s="1"/>
      <c r="BD1055" s="1"/>
    </row>
    <row r="1056" spans="1:56" ht="16.5" hidden="1" customHeight="1">
      <c r="A1056" s="28">
        <v>1</v>
      </c>
      <c r="B1056" s="1"/>
      <c r="C1056" s="1523" t="s">
        <v>165</v>
      </c>
      <c r="D1056" s="1524"/>
      <c r="E1056" s="1525"/>
      <c r="F1056" s="1"/>
      <c r="G1056" s="27">
        <v>1</v>
      </c>
      <c r="H1056" s="1514" t="str">
        <f t="shared" ref="H1056:H1068" si="226">IF(G1056&gt;MAX(A$1056:A$1068)," ",VLOOKUP(G1056,A$1056:C$1068,3,FALSE))</f>
        <v>--------------- PATRIMONIALE: Liquidità</v>
      </c>
      <c r="I1056" s="1515"/>
      <c r="J1056" s="1516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95"/>
      <c r="AC1056" s="46"/>
      <c r="AD1056" s="46"/>
      <c r="AE1056" s="1"/>
      <c r="AF1056" s="46"/>
      <c r="AG1056" s="1"/>
      <c r="AH1056" s="1"/>
      <c r="AI1056" s="1"/>
      <c r="AJ1056" s="1"/>
      <c r="AK1056" s="1"/>
      <c r="AL1056" s="95"/>
      <c r="AM1056" s="1"/>
      <c r="AN1056" s="1"/>
      <c r="AO1056" s="1"/>
      <c r="AP1056" s="1"/>
      <c r="AQ1056" s="1"/>
      <c r="AR1056" s="1"/>
      <c r="AS1056" s="1"/>
      <c r="AT1056" s="95"/>
      <c r="AU1056" s="1"/>
      <c r="AV1056" s="1"/>
      <c r="AW1056" s="95"/>
      <c r="AX1056" s="1"/>
      <c r="AY1056" s="1"/>
      <c r="AZ1056" s="1"/>
      <c r="BA1056" s="1"/>
      <c r="BB1056" s="1"/>
      <c r="BC1056" s="1"/>
      <c r="BD1056" s="1"/>
    </row>
    <row r="1057" spans="1:56" ht="16.5" hidden="1" customHeight="1">
      <c r="A1057" s="27">
        <f>IF(OR(C1057=0,C1057=C$1041),0,MAX(A$1056:A1056)+1)</f>
        <v>2</v>
      </c>
      <c r="B1057" s="153">
        <f>A9</f>
        <v>1</v>
      </c>
      <c r="C1057" s="1529" t="str">
        <f>B9</f>
        <v>CASSA</v>
      </c>
      <c r="D1057" s="1515"/>
      <c r="E1057" s="1516"/>
      <c r="F1057" s="67">
        <f>E9</f>
        <v>200</v>
      </c>
      <c r="G1057" s="27">
        <v>2</v>
      </c>
      <c r="H1057" s="1514" t="str">
        <f t="shared" si="226"/>
        <v>CASSA</v>
      </c>
      <c r="I1057" s="1515"/>
      <c r="J1057" s="1516"/>
      <c r="K1057" s="27">
        <v>1</v>
      </c>
      <c r="L1057" s="27">
        <f t="shared" ref="L1057:L1063" si="227">IF(A1057&gt;0,B1057,0)</f>
        <v>1</v>
      </c>
      <c r="M1057" s="28">
        <f t="shared" ref="M1057:M1067" si="228">IF((K1057+L$1068)&gt;K$1068," ",SMALL(L$1057:L$1067,K1057+L$1068))</f>
        <v>1</v>
      </c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95"/>
      <c r="AC1057" s="46"/>
      <c r="AD1057" s="46"/>
      <c r="AE1057" s="1"/>
      <c r="AF1057" s="46"/>
      <c r="AG1057" s="1"/>
      <c r="AH1057" s="1"/>
      <c r="AI1057" s="1"/>
      <c r="AJ1057" s="1"/>
      <c r="AK1057" s="1"/>
      <c r="AL1057" s="95"/>
      <c r="AM1057" s="1"/>
      <c r="AN1057" s="1"/>
      <c r="AO1057" s="1"/>
      <c r="AP1057" s="1"/>
      <c r="AQ1057" s="1"/>
      <c r="AR1057" s="1"/>
      <c r="AS1057" s="1"/>
      <c r="AT1057" s="95"/>
      <c r="AU1057" s="1"/>
      <c r="AV1057" s="1"/>
      <c r="AW1057" s="95"/>
      <c r="AX1057" s="1"/>
      <c r="AY1057" s="1"/>
      <c r="AZ1057" s="1"/>
      <c r="BA1057" s="1"/>
      <c r="BB1057" s="1"/>
      <c r="BC1057" s="1"/>
      <c r="BD1057" s="1"/>
    </row>
    <row r="1058" spans="1:56" ht="16.5" hidden="1" customHeight="1">
      <c r="A1058" s="27">
        <f>IF(OR(C1058=0,C1058=C$1041),0,MAX(A$1056:A1057)+1)</f>
        <v>3</v>
      </c>
      <c r="B1058" s="153">
        <f>A10</f>
        <v>2</v>
      </c>
      <c r="C1058" s="1529" t="str">
        <f>B10</f>
        <v>BANCA C/C nr. 1234567</v>
      </c>
      <c r="D1058" s="1515"/>
      <c r="E1058" s="1516"/>
      <c r="F1058" s="67">
        <f>E10</f>
        <v>500</v>
      </c>
      <c r="G1058" s="27">
        <v>3</v>
      </c>
      <c r="H1058" s="1514" t="str">
        <f t="shared" si="226"/>
        <v>BANCA C/C nr. 1234567</v>
      </c>
      <c r="I1058" s="1515"/>
      <c r="J1058" s="1516"/>
      <c r="K1058" s="27">
        <v>2</v>
      </c>
      <c r="L1058" s="27">
        <f t="shared" si="227"/>
        <v>2</v>
      </c>
      <c r="M1058" s="28">
        <f t="shared" si="228"/>
        <v>2</v>
      </c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95"/>
      <c r="AC1058" s="46"/>
      <c r="AD1058" s="46"/>
      <c r="AE1058" s="1"/>
      <c r="AF1058" s="46"/>
      <c r="AG1058" s="1"/>
      <c r="AH1058" s="1"/>
      <c r="AI1058" s="1"/>
      <c r="AJ1058" s="1"/>
      <c r="AK1058" s="1"/>
      <c r="AL1058" s="95"/>
      <c r="AM1058" s="1"/>
      <c r="AN1058" s="1"/>
      <c r="AO1058" s="1"/>
      <c r="AP1058" s="1"/>
      <c r="AQ1058" s="1"/>
      <c r="AR1058" s="1"/>
      <c r="AS1058" s="1"/>
      <c r="AT1058" s="95"/>
      <c r="AU1058" s="1"/>
      <c r="AV1058" s="1"/>
      <c r="AW1058" s="95"/>
      <c r="AX1058" s="1"/>
      <c r="AY1058" s="1"/>
      <c r="AZ1058" s="1"/>
      <c r="BA1058" s="1"/>
      <c r="BB1058" s="1"/>
      <c r="BC1058" s="1"/>
      <c r="BD1058" s="1"/>
    </row>
    <row r="1059" spans="1:56" ht="16.5" hidden="1" customHeight="1">
      <c r="A1059" s="27">
        <f>IF(OR(C1059=0,C1059=C$1041),0,MAX(A$1056:A1058)+1)</f>
        <v>4</v>
      </c>
      <c r="B1059" s="153">
        <f>A11</f>
        <v>3</v>
      </c>
      <c r="C1059" s="1529" t="str">
        <f>B11</f>
        <v>POSTA C/C nr. 7654321</v>
      </c>
      <c r="D1059" s="1515"/>
      <c r="E1059" s="1516"/>
      <c r="F1059" s="67">
        <f>E11</f>
        <v>300</v>
      </c>
      <c r="G1059" s="27">
        <v>4</v>
      </c>
      <c r="H1059" s="1514" t="str">
        <f t="shared" si="226"/>
        <v>POSTA C/C nr. 7654321</v>
      </c>
      <c r="I1059" s="1515"/>
      <c r="J1059" s="1516"/>
      <c r="K1059" s="27">
        <v>3</v>
      </c>
      <c r="L1059" s="27">
        <f t="shared" si="227"/>
        <v>3</v>
      </c>
      <c r="M1059" s="28">
        <f t="shared" si="228"/>
        <v>3</v>
      </c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95"/>
      <c r="AC1059" s="46"/>
      <c r="AD1059" s="46"/>
      <c r="AE1059" s="1"/>
      <c r="AF1059" s="46"/>
      <c r="AG1059" s="1"/>
      <c r="AH1059" s="1"/>
      <c r="AI1059" s="1"/>
      <c r="AJ1059" s="1"/>
      <c r="AK1059" s="1"/>
      <c r="AL1059" s="95"/>
      <c r="AM1059" s="1"/>
      <c r="AN1059" s="1"/>
      <c r="AO1059" s="1"/>
      <c r="AP1059" s="1"/>
      <c r="AQ1059" s="1"/>
      <c r="AR1059" s="1"/>
      <c r="AS1059" s="1"/>
      <c r="AT1059" s="95"/>
      <c r="AU1059" s="1"/>
      <c r="AV1059" s="1"/>
      <c r="AW1059" s="95"/>
      <c r="AX1059" s="1"/>
      <c r="AY1059" s="1"/>
      <c r="AZ1059" s="1"/>
      <c r="BA1059" s="1"/>
      <c r="BB1059" s="1"/>
      <c r="BC1059" s="1"/>
      <c r="BD1059" s="1"/>
    </row>
    <row r="1060" spans="1:56" ht="16.5" hidden="1" customHeight="1">
      <c r="A1060" s="27">
        <f>IF(OR(C1060=0,C1060=C$1041),0,MAX(A$1056:A1059)+1)</f>
        <v>0</v>
      </c>
      <c r="B1060" s="153">
        <f>A12</f>
        <v>4</v>
      </c>
      <c r="C1060" s="1529">
        <f>B12</f>
        <v>0</v>
      </c>
      <c r="D1060" s="1515"/>
      <c r="E1060" s="1516"/>
      <c r="F1060" s="67">
        <f>E12</f>
        <v>0</v>
      </c>
      <c r="G1060" s="27">
        <v>5</v>
      </c>
      <c r="H1060" s="1514" t="str">
        <f t="shared" si="226"/>
        <v>DEBITO 1</v>
      </c>
      <c r="I1060" s="1515"/>
      <c r="J1060" s="1516"/>
      <c r="K1060" s="27">
        <v>4</v>
      </c>
      <c r="L1060" s="27">
        <f t="shared" si="227"/>
        <v>0</v>
      </c>
      <c r="M1060" s="28">
        <f t="shared" si="228"/>
        <v>6</v>
      </c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95"/>
      <c r="AC1060" s="46"/>
      <c r="AD1060" s="46"/>
      <c r="AE1060" s="1"/>
      <c r="AF1060" s="46"/>
      <c r="AG1060" s="1"/>
      <c r="AH1060" s="1"/>
      <c r="AI1060" s="1"/>
      <c r="AJ1060" s="1"/>
      <c r="AK1060" s="1"/>
      <c r="AL1060" s="95"/>
      <c r="AM1060" s="1"/>
      <c r="AN1060" s="1"/>
      <c r="AO1060" s="1"/>
      <c r="AP1060" s="1"/>
      <c r="AQ1060" s="1"/>
      <c r="AR1060" s="1"/>
      <c r="AS1060" s="1"/>
      <c r="AT1060" s="95"/>
      <c r="AU1060" s="1"/>
      <c r="AV1060" s="1"/>
      <c r="AW1060" s="95"/>
      <c r="AX1060" s="1"/>
      <c r="AY1060" s="1"/>
      <c r="AZ1060" s="1"/>
      <c r="BA1060" s="1"/>
      <c r="BB1060" s="1"/>
      <c r="BC1060" s="1"/>
      <c r="BD1060" s="1"/>
    </row>
    <row r="1061" spans="1:56" ht="16.5" hidden="1" customHeight="1">
      <c r="A1061" s="27">
        <f>IF(OR(C1061=0,C1061=C$1041),0,MAX(A$1056:A1060)+1)</f>
        <v>0</v>
      </c>
      <c r="B1061" s="153">
        <f>A13</f>
        <v>5</v>
      </c>
      <c r="C1061" s="1529">
        <f>B13</f>
        <v>0</v>
      </c>
      <c r="D1061" s="1515"/>
      <c r="E1061" s="1516"/>
      <c r="F1061" s="67">
        <f>E13</f>
        <v>0</v>
      </c>
      <c r="G1061" s="27">
        <v>6</v>
      </c>
      <c r="H1061" s="1514" t="str">
        <f t="shared" si="226"/>
        <v>RISERVA ACCANTONATA</v>
      </c>
      <c r="I1061" s="1515"/>
      <c r="J1061" s="1516"/>
      <c r="K1061" s="27">
        <v>5</v>
      </c>
      <c r="L1061" s="27">
        <f t="shared" si="227"/>
        <v>0</v>
      </c>
      <c r="M1061" s="28">
        <f t="shared" si="228"/>
        <v>7</v>
      </c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95"/>
      <c r="AC1061" s="46"/>
      <c r="AD1061" s="46"/>
      <c r="AE1061" s="1"/>
      <c r="AF1061" s="46"/>
      <c r="AG1061" s="1"/>
      <c r="AH1061" s="1"/>
      <c r="AI1061" s="1"/>
      <c r="AJ1061" s="1"/>
      <c r="AK1061" s="1"/>
      <c r="AL1061" s="95"/>
      <c r="AM1061" s="1"/>
      <c r="AN1061" s="1"/>
      <c r="AO1061" s="1"/>
      <c r="AP1061" s="1"/>
      <c r="AQ1061" s="1"/>
      <c r="AR1061" s="1"/>
      <c r="AS1061" s="1"/>
      <c r="AT1061" s="95"/>
      <c r="AU1061" s="1"/>
      <c r="AV1061" s="1"/>
      <c r="AW1061" s="95"/>
      <c r="AX1061" s="1"/>
      <c r="AY1061" s="1"/>
      <c r="AZ1061" s="1"/>
      <c r="BA1061" s="1"/>
      <c r="BB1061" s="1"/>
      <c r="BC1061" s="1"/>
      <c r="BD1061" s="1"/>
    </row>
    <row r="1062" spans="1:56" ht="16.5" hidden="1" customHeight="1">
      <c r="A1062" s="27">
        <f>IF(OR(C1062=0,C1062=C$1041),0,MAX(A$1056:A1061)+1)</f>
        <v>5</v>
      </c>
      <c r="B1062" s="153">
        <f>A14</f>
        <v>6</v>
      </c>
      <c r="C1062" s="1529" t="str">
        <f>B14</f>
        <v>DEBITO 1</v>
      </c>
      <c r="D1062" s="1515"/>
      <c r="E1062" s="1516"/>
      <c r="F1062" s="67">
        <f>E14</f>
        <v>0</v>
      </c>
      <c r="G1062" s="27">
        <v>7</v>
      </c>
      <c r="H1062" s="1514" t="str">
        <f t="shared" si="226"/>
        <v>--------------- PATRIMONIALE: Crediti/Debiti</v>
      </c>
      <c r="I1062" s="1515"/>
      <c r="J1062" s="1516"/>
      <c r="K1062" s="27">
        <v>6</v>
      </c>
      <c r="L1062" s="27">
        <f t="shared" si="227"/>
        <v>6</v>
      </c>
      <c r="M1062" s="28">
        <f t="shared" si="228"/>
        <v>8</v>
      </c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95"/>
      <c r="AC1062" s="46"/>
      <c r="AD1062" s="46"/>
      <c r="AE1062" s="1"/>
      <c r="AF1062" s="46"/>
      <c r="AG1062" s="1"/>
      <c r="AH1062" s="1"/>
      <c r="AI1062" s="1"/>
      <c r="AJ1062" s="1"/>
      <c r="AK1062" s="1"/>
      <c r="AL1062" s="95"/>
      <c r="AM1062" s="1"/>
      <c r="AN1062" s="1"/>
      <c r="AO1062" s="1"/>
      <c r="AP1062" s="1"/>
      <c r="AQ1062" s="1"/>
      <c r="AR1062" s="1"/>
      <c r="AS1062" s="1"/>
      <c r="AT1062" s="95"/>
      <c r="AU1062" s="1"/>
      <c r="AV1062" s="1"/>
      <c r="AW1062" s="95"/>
      <c r="AX1062" s="1"/>
      <c r="AY1062" s="1"/>
      <c r="AZ1062" s="1"/>
      <c r="BA1062" s="1"/>
      <c r="BB1062" s="1"/>
      <c r="BC1062" s="1"/>
      <c r="BD1062" s="1"/>
    </row>
    <row r="1063" spans="1:56" ht="16.5" hidden="1" customHeight="1">
      <c r="A1063" s="27">
        <f>IF(OR(C1063=0,C1063=C$1041),0,MAX(A$1056:A1062)+1)</f>
        <v>6</v>
      </c>
      <c r="B1063" s="240">
        <f>A15</f>
        <v>7</v>
      </c>
      <c r="C1063" s="1544" t="str">
        <f>B15</f>
        <v>RISERVA ACCANTONATA</v>
      </c>
      <c r="D1063" s="1545"/>
      <c r="E1063" s="1546"/>
      <c r="F1063" s="241">
        <f>E15</f>
        <v>0</v>
      </c>
      <c r="G1063" s="27">
        <v>8</v>
      </c>
      <c r="H1063" s="1514" t="str">
        <f t="shared" si="226"/>
        <v>CR/DB - Nome ENTE 1</v>
      </c>
      <c r="I1063" s="1515"/>
      <c r="J1063" s="1516"/>
      <c r="K1063" s="27">
        <v>7</v>
      </c>
      <c r="L1063" s="27">
        <f t="shared" si="227"/>
        <v>7</v>
      </c>
      <c r="M1063" s="28">
        <f t="shared" si="228"/>
        <v>9</v>
      </c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95"/>
      <c r="AC1063" s="46"/>
      <c r="AD1063" s="46"/>
      <c r="AE1063" s="1"/>
      <c r="AF1063" s="46"/>
      <c r="AG1063" s="1"/>
      <c r="AH1063" s="1"/>
      <c r="AI1063" s="1"/>
      <c r="AJ1063" s="1"/>
      <c r="AK1063" s="1"/>
      <c r="AL1063" s="95"/>
      <c r="AM1063" s="1"/>
      <c r="AN1063" s="1"/>
      <c r="AO1063" s="1"/>
      <c r="AP1063" s="1"/>
      <c r="AQ1063" s="1"/>
      <c r="AR1063" s="1"/>
      <c r="AS1063" s="1"/>
      <c r="AT1063" s="95"/>
      <c r="AU1063" s="1"/>
      <c r="AV1063" s="1"/>
      <c r="AW1063" s="95"/>
      <c r="AX1063" s="1"/>
      <c r="AY1063" s="1"/>
      <c r="AZ1063" s="1"/>
      <c r="BA1063" s="1"/>
      <c r="BB1063" s="1"/>
      <c r="BC1063" s="1"/>
      <c r="BD1063" s="1"/>
    </row>
    <row r="1064" spans="1:56" ht="16.5" hidden="1" customHeight="1">
      <c r="A1064" s="27">
        <f>IF(OR(C1064=0,C1064=C$1041),0,MAX(A$1056:A1063)+1)</f>
        <v>7</v>
      </c>
      <c r="B1064" s="244"/>
      <c r="C1064" s="1537" t="s">
        <v>166</v>
      </c>
      <c r="D1064" s="1538"/>
      <c r="E1064" s="1539"/>
      <c r="F1064" s="244"/>
      <c r="G1064" s="27">
        <v>9</v>
      </c>
      <c r="H1064" s="1514" t="str">
        <f t="shared" si="226"/>
        <v>CR/DB - Nome ENTE 2</v>
      </c>
      <c r="I1064" s="1515"/>
      <c r="J1064" s="1516"/>
      <c r="K1064" s="27">
        <v>8</v>
      </c>
      <c r="L1064" s="27">
        <f t="shared" ref="L1064:L1067" si="229">IF(A1065&gt;0,B1065,0)</f>
        <v>8</v>
      </c>
      <c r="M1064" s="28">
        <f t="shared" si="228"/>
        <v>10</v>
      </c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95"/>
      <c r="AC1064" s="46"/>
      <c r="AD1064" s="46"/>
      <c r="AE1064" s="1"/>
      <c r="AF1064" s="46"/>
      <c r="AG1064" s="1"/>
      <c r="AH1064" s="1"/>
      <c r="AI1064" s="1"/>
      <c r="AJ1064" s="1"/>
      <c r="AK1064" s="1"/>
      <c r="AL1064" s="95"/>
      <c r="AM1064" s="1"/>
      <c r="AN1064" s="1"/>
      <c r="AO1064" s="1"/>
      <c r="AP1064" s="1"/>
      <c r="AQ1064" s="1"/>
      <c r="AR1064" s="1"/>
      <c r="AS1064" s="1"/>
      <c r="AT1064" s="95"/>
      <c r="AU1064" s="1"/>
      <c r="AV1064" s="1"/>
      <c r="AW1064" s="95"/>
      <c r="AX1064" s="1"/>
      <c r="AY1064" s="1"/>
      <c r="AZ1064" s="1"/>
      <c r="BA1064" s="1"/>
      <c r="BB1064" s="1"/>
      <c r="BC1064" s="1"/>
      <c r="BD1064" s="1"/>
    </row>
    <row r="1065" spans="1:56" ht="16.5" hidden="1" customHeight="1">
      <c r="A1065" s="27">
        <f>IF(OR(C1065=0,C1065=C$1041),0,MAX(A$1056:A1064)+1)</f>
        <v>8</v>
      </c>
      <c r="B1065" s="242">
        <f t="shared" ref="B1065:C1067" si="230">A34</f>
        <v>8</v>
      </c>
      <c r="C1065" s="1526" t="str">
        <f t="shared" si="230"/>
        <v>CR/DB - Nome ENTE 1</v>
      </c>
      <c r="D1065" s="1527"/>
      <c r="E1065" s="1528"/>
      <c r="F1065" s="243">
        <f>E34</f>
        <v>0</v>
      </c>
      <c r="G1065" s="27">
        <v>10</v>
      </c>
      <c r="H1065" s="1514" t="str">
        <f t="shared" si="226"/>
        <v>CR/DB - Nome ENTE 3</v>
      </c>
      <c r="I1065" s="1515"/>
      <c r="J1065" s="1516"/>
      <c r="K1065" s="27">
        <v>9</v>
      </c>
      <c r="L1065" s="27">
        <f t="shared" si="229"/>
        <v>9</v>
      </c>
      <c r="M1065" s="28">
        <f t="shared" si="228"/>
        <v>12</v>
      </c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95"/>
      <c r="AC1065" s="46"/>
      <c r="AD1065" s="46"/>
      <c r="AE1065" s="1"/>
      <c r="AF1065" s="46"/>
      <c r="AG1065" s="1"/>
      <c r="AH1065" s="1"/>
      <c r="AI1065" s="1"/>
      <c r="AJ1065" s="1"/>
      <c r="AK1065" s="1"/>
      <c r="AL1065" s="95"/>
      <c r="AM1065" s="1"/>
      <c r="AN1065" s="1"/>
      <c r="AO1065" s="1"/>
      <c r="AP1065" s="1"/>
      <c r="AQ1065" s="1"/>
      <c r="AR1065" s="1"/>
      <c r="AS1065" s="1"/>
      <c r="AT1065" s="95"/>
      <c r="AU1065" s="1"/>
      <c r="AV1065" s="1"/>
      <c r="AW1065" s="95"/>
      <c r="AX1065" s="1"/>
      <c r="AY1065" s="1"/>
      <c r="AZ1065" s="1"/>
      <c r="BA1065" s="1"/>
      <c r="BB1065" s="1"/>
      <c r="BC1065" s="1"/>
      <c r="BD1065" s="1"/>
    </row>
    <row r="1066" spans="1:56" ht="16.5" hidden="1" customHeight="1">
      <c r="A1066" s="27">
        <f>IF(OR(C1066=0,C1066=C$1041),0,MAX(A$1056:A1065)+1)</f>
        <v>9</v>
      </c>
      <c r="B1066" s="153">
        <f t="shared" si="230"/>
        <v>9</v>
      </c>
      <c r="C1066" s="1529" t="str">
        <f t="shared" si="230"/>
        <v>CR/DB - Nome ENTE 2</v>
      </c>
      <c r="D1066" s="1515"/>
      <c r="E1066" s="1516"/>
      <c r="F1066" s="67">
        <f>E35</f>
        <v>0</v>
      </c>
      <c r="G1066" s="27">
        <v>11</v>
      </c>
      <c r="H1066" s="1514" t="str">
        <f t="shared" si="226"/>
        <v>CR/DB - Nome ENTE ultimo disponibile</v>
      </c>
      <c r="I1066" s="1515"/>
      <c r="J1066" s="1516"/>
      <c r="K1066" s="27">
        <v>10</v>
      </c>
      <c r="L1066" s="27">
        <f t="shared" si="229"/>
        <v>10</v>
      </c>
      <c r="M1066" s="28" t="str">
        <f t="shared" si="228"/>
        <v xml:space="preserve"> </v>
      </c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95"/>
      <c r="AC1066" s="46"/>
      <c r="AD1066" s="46"/>
      <c r="AE1066" s="1"/>
      <c r="AF1066" s="46"/>
      <c r="AG1066" s="1"/>
      <c r="AH1066" s="1"/>
      <c r="AI1066" s="1"/>
      <c r="AJ1066" s="1"/>
      <c r="AK1066" s="1"/>
      <c r="AL1066" s="95"/>
      <c r="AM1066" s="1"/>
      <c r="AN1066" s="1"/>
      <c r="AO1066" s="1"/>
      <c r="AP1066" s="1"/>
      <c r="AQ1066" s="1"/>
      <c r="AR1066" s="1"/>
      <c r="AS1066" s="1"/>
      <c r="AT1066" s="95"/>
      <c r="AU1066" s="1"/>
      <c r="AV1066" s="1"/>
      <c r="AW1066" s="95"/>
      <c r="AX1066" s="1"/>
      <c r="AY1066" s="1"/>
      <c r="AZ1066" s="1"/>
      <c r="BA1066" s="1"/>
      <c r="BB1066" s="1"/>
      <c r="BC1066" s="1"/>
      <c r="BD1066" s="1"/>
    </row>
    <row r="1067" spans="1:56" ht="16.5" hidden="1" customHeight="1">
      <c r="A1067" s="27">
        <f>IF(OR(C1067=0,C1067=C$1041),0,MAX(A$1056:A1066)+1)</f>
        <v>10</v>
      </c>
      <c r="B1067" s="153">
        <f t="shared" si="230"/>
        <v>10</v>
      </c>
      <c r="C1067" s="1529" t="str">
        <f t="shared" si="230"/>
        <v>CR/DB - Nome ENTE 3</v>
      </c>
      <c r="D1067" s="1515"/>
      <c r="E1067" s="1516"/>
      <c r="F1067" s="67">
        <f>E36</f>
        <v>0</v>
      </c>
      <c r="G1067" s="27">
        <v>12</v>
      </c>
      <c r="H1067" s="1514" t="str">
        <f t="shared" si="226"/>
        <v xml:space="preserve"> </v>
      </c>
      <c r="I1067" s="1515"/>
      <c r="J1067" s="1516"/>
      <c r="K1067" s="27">
        <v>11</v>
      </c>
      <c r="L1067" s="27">
        <f t="shared" si="229"/>
        <v>12</v>
      </c>
      <c r="M1067" s="28" t="str">
        <f t="shared" si="228"/>
        <v xml:space="preserve"> </v>
      </c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95"/>
      <c r="AC1067" s="46"/>
      <c r="AD1067" s="46"/>
      <c r="AE1067" s="1"/>
      <c r="AF1067" s="46"/>
      <c r="AG1067" s="1"/>
      <c r="AH1067" s="1"/>
      <c r="AI1067" s="1"/>
      <c r="AJ1067" s="1"/>
      <c r="AK1067" s="1"/>
      <c r="AL1067" s="95"/>
      <c r="AM1067" s="1"/>
      <c r="AN1067" s="1"/>
      <c r="AO1067" s="1"/>
      <c r="AP1067" s="1"/>
      <c r="AQ1067" s="1"/>
      <c r="AR1067" s="1"/>
      <c r="AS1067" s="1"/>
      <c r="AT1067" s="95"/>
      <c r="AU1067" s="1"/>
      <c r="AV1067" s="1"/>
      <c r="AW1067" s="95"/>
      <c r="AX1067" s="1"/>
      <c r="AY1067" s="1"/>
      <c r="AZ1067" s="1"/>
      <c r="BA1067" s="1"/>
      <c r="BB1067" s="1"/>
      <c r="BC1067" s="1"/>
      <c r="BD1067" s="1"/>
    </row>
    <row r="1068" spans="1:56" ht="16.5" hidden="1" customHeight="1">
      <c r="A1068" s="27">
        <f>IF(OR(C1068=0,C1068=C$1041),0,MAX(A$1056:A1067)+1)</f>
        <v>11</v>
      </c>
      <c r="B1068" s="153">
        <f t="shared" ref="B1068:C1068" si="231">A38</f>
        <v>12</v>
      </c>
      <c r="C1068" s="1529" t="str">
        <f t="shared" si="231"/>
        <v>CR/DB - Nome ENTE ultimo disponibile</v>
      </c>
      <c r="D1068" s="1515"/>
      <c r="E1068" s="1516"/>
      <c r="F1068" s="67">
        <f t="shared" ref="F1068" si="232">E38</f>
        <v>0</v>
      </c>
      <c r="G1068" s="27">
        <v>13</v>
      </c>
      <c r="H1068" s="1514" t="str">
        <f t="shared" si="226"/>
        <v xml:space="preserve"> </v>
      </c>
      <c r="I1068" s="1515"/>
      <c r="J1068" s="1516"/>
      <c r="K1068" s="28">
        <v>11</v>
      </c>
      <c r="L1068" s="28">
        <f>COUNTIF(L1057:L1067,0)</f>
        <v>2</v>
      </c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95"/>
      <c r="AC1068" s="46"/>
      <c r="AD1068" s="46"/>
      <c r="AE1068" s="1"/>
      <c r="AF1068" s="46"/>
      <c r="AG1068" s="1"/>
      <c r="AH1068" s="1"/>
      <c r="AI1068" s="1"/>
      <c r="AJ1068" s="1"/>
      <c r="AK1068" s="1"/>
      <c r="AL1068" s="95"/>
      <c r="AM1068" s="1"/>
      <c r="AN1068" s="1"/>
      <c r="AO1068" s="1"/>
      <c r="AP1068" s="1"/>
      <c r="AQ1068" s="1"/>
      <c r="AR1068" s="1"/>
      <c r="AS1068" s="1"/>
      <c r="AT1068" s="95"/>
      <c r="AU1068" s="1"/>
      <c r="AV1068" s="1"/>
      <c r="AW1068" s="95"/>
      <c r="AX1068" s="1"/>
      <c r="AY1068" s="1"/>
      <c r="AZ1068" s="1"/>
      <c r="BA1068" s="1"/>
      <c r="BB1068" s="1"/>
      <c r="BC1068" s="1"/>
      <c r="BD1068" s="1"/>
    </row>
    <row r="1069" spans="1:56" ht="16.5" hidden="1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95"/>
      <c r="AC1069" s="46"/>
      <c r="AD1069" s="46"/>
      <c r="AE1069" s="1"/>
      <c r="AF1069" s="46"/>
      <c r="AG1069" s="1"/>
      <c r="AH1069" s="1"/>
      <c r="AI1069" s="1"/>
      <c r="AJ1069" s="1"/>
      <c r="AK1069" s="1"/>
      <c r="AL1069" s="95"/>
      <c r="AM1069" s="1"/>
      <c r="AN1069" s="1"/>
      <c r="AO1069" s="1"/>
      <c r="AP1069" s="1"/>
      <c r="AQ1069" s="1"/>
      <c r="AR1069" s="1"/>
      <c r="AS1069" s="1"/>
      <c r="AT1069" s="95"/>
      <c r="AU1069" s="1"/>
      <c r="AV1069" s="1"/>
      <c r="AW1069" s="95"/>
      <c r="AX1069" s="1"/>
      <c r="AY1069" s="1"/>
      <c r="AZ1069" s="1"/>
      <c r="BA1069" s="1"/>
      <c r="BB1069" s="1"/>
      <c r="BC1069" s="1"/>
      <c r="BD1069" s="1"/>
    </row>
    <row r="1070" spans="1:56" ht="16.5" hidden="1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95"/>
      <c r="AC1070" s="46"/>
      <c r="AD1070" s="46"/>
      <c r="AE1070" s="1"/>
      <c r="AF1070" s="46"/>
      <c r="AG1070" s="1"/>
      <c r="AH1070" s="1"/>
      <c r="AI1070" s="1"/>
      <c r="AJ1070" s="1"/>
      <c r="AK1070" s="1"/>
      <c r="AL1070" s="95"/>
      <c r="AM1070" s="1"/>
      <c r="AN1070" s="1"/>
      <c r="AO1070" s="1"/>
      <c r="AP1070" s="1"/>
      <c r="AQ1070" s="1"/>
      <c r="AR1070" s="1"/>
      <c r="AS1070" s="1"/>
      <c r="AT1070" s="95"/>
      <c r="AU1070" s="1"/>
      <c r="AV1070" s="1"/>
      <c r="AW1070" s="95"/>
      <c r="AX1070" s="1"/>
      <c r="AY1070" s="1"/>
      <c r="AZ1070" s="1"/>
      <c r="BA1070" s="1"/>
      <c r="BB1070" s="1"/>
      <c r="BC1070" s="1"/>
      <c r="BD1070" s="1"/>
    </row>
    <row r="1071" spans="1:56" ht="16.5" hidden="1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95"/>
      <c r="AC1071" s="46"/>
      <c r="AD1071" s="46"/>
      <c r="AE1071" s="1"/>
      <c r="AF1071" s="46"/>
      <c r="AG1071" s="1"/>
      <c r="AH1071" s="1"/>
      <c r="AI1071" s="1"/>
      <c r="AJ1071" s="1"/>
      <c r="AK1071" s="1"/>
      <c r="AL1071" s="95"/>
      <c r="AM1071" s="1"/>
      <c r="AN1071" s="1"/>
      <c r="AO1071" s="1"/>
      <c r="AP1071" s="1"/>
      <c r="AQ1071" s="1"/>
      <c r="AR1071" s="1"/>
      <c r="AS1071" s="1"/>
      <c r="AT1071" s="95"/>
      <c r="AU1071" s="1"/>
      <c r="AV1071" s="1"/>
      <c r="AW1071" s="95"/>
      <c r="AX1071" s="1"/>
      <c r="AY1071" s="1"/>
      <c r="AZ1071" s="1"/>
      <c r="BA1071" s="1"/>
      <c r="BB1071" s="1"/>
      <c r="BC1071" s="1"/>
      <c r="BD1071" s="1"/>
    </row>
    <row r="1072" spans="1:56" ht="16.5" hidden="1" customHeight="1">
      <c r="A1072" s="1"/>
      <c r="B1072" s="1"/>
      <c r="C1072" s="106" t="s">
        <v>106</v>
      </c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95"/>
      <c r="AC1072" s="46"/>
      <c r="AD1072" s="46"/>
      <c r="AE1072" s="1"/>
      <c r="AF1072" s="46"/>
      <c r="AG1072" s="1"/>
      <c r="AH1072" s="1"/>
      <c r="AI1072" s="1"/>
      <c r="AJ1072" s="1"/>
      <c r="AK1072" s="1"/>
      <c r="AL1072" s="95"/>
      <c r="AM1072" s="1"/>
      <c r="AN1072" s="1"/>
      <c r="AO1072" s="1"/>
      <c r="AP1072" s="1"/>
      <c r="AQ1072" s="1"/>
      <c r="AR1072" s="1"/>
      <c r="AS1072" s="1"/>
      <c r="AT1072" s="95"/>
      <c r="AU1072" s="1"/>
      <c r="AV1072" s="1"/>
      <c r="AW1072" s="95"/>
      <c r="AX1072" s="1"/>
      <c r="AY1072" s="1"/>
      <c r="AZ1072" s="1"/>
      <c r="BA1072" s="1"/>
      <c r="BB1072" s="1"/>
      <c r="BC1072" s="1"/>
      <c r="BD1072" s="1"/>
    </row>
    <row r="1073" spans="1:56" ht="16.5" hidden="1" customHeight="1">
      <c r="A1073" s="1"/>
      <c r="B1073" s="1"/>
      <c r="C1073" s="107" t="str">
        <f>CONCATENATE("Sbilancio o arrotondamenti rilevati dal sistema ",Presentazione!K26)</f>
        <v>Sbilancio o arrotondamenti rilevati dal sistema EURO</v>
      </c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95"/>
      <c r="AC1073" s="46"/>
      <c r="AD1073" s="46"/>
      <c r="AE1073" s="1"/>
      <c r="AF1073" s="46"/>
      <c r="AG1073" s="1"/>
      <c r="AH1073" s="1"/>
      <c r="AI1073" s="1"/>
      <c r="AJ1073" s="1"/>
      <c r="AK1073" s="1"/>
      <c r="AL1073" s="95"/>
      <c r="AM1073" s="1"/>
      <c r="AN1073" s="1"/>
      <c r="AO1073" s="1"/>
      <c r="AP1073" s="1"/>
      <c r="AQ1073" s="1"/>
      <c r="AR1073" s="1"/>
      <c r="AS1073" s="1"/>
      <c r="AT1073" s="95"/>
      <c r="AU1073" s="1"/>
      <c r="AV1073" s="1"/>
      <c r="AW1073" s="95"/>
      <c r="AX1073" s="1"/>
      <c r="AY1073" s="1"/>
      <c r="AZ1073" s="1"/>
      <c r="BA1073" s="1"/>
      <c r="BB1073" s="1"/>
      <c r="BC1073" s="1"/>
      <c r="BD1073" s="1"/>
    </row>
    <row r="1074" spans="1:56" ht="16.5" hidden="1" customHeight="1">
      <c r="A1074" s="1"/>
      <c r="B1074" s="1"/>
      <c r="C1074" s="107" t="s">
        <v>551</v>
      </c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95"/>
      <c r="AC1074" s="46"/>
      <c r="AD1074" s="46"/>
      <c r="AE1074" s="1"/>
      <c r="AF1074" s="46"/>
      <c r="AG1074" s="1"/>
      <c r="AH1074" s="1"/>
      <c r="AI1074" s="1"/>
      <c r="AJ1074" s="1"/>
      <c r="AK1074" s="1"/>
      <c r="AL1074" s="95"/>
      <c r="AM1074" s="1"/>
      <c r="AN1074" s="1"/>
      <c r="AO1074" s="1"/>
      <c r="AP1074" s="1"/>
      <c r="AQ1074" s="1"/>
      <c r="AR1074" s="1"/>
      <c r="AS1074" s="1"/>
      <c r="AT1074" s="95"/>
      <c r="AU1074" s="1"/>
      <c r="AV1074" s="1"/>
      <c r="AW1074" s="95"/>
      <c r="AX1074" s="1"/>
      <c r="AY1074" s="1"/>
      <c r="AZ1074" s="1"/>
      <c r="BA1074" s="1"/>
      <c r="BB1074" s="1"/>
      <c r="BC1074" s="1"/>
      <c r="BD1074" s="1"/>
    </row>
    <row r="1075" spans="1:56" ht="16.5" hidden="1" customHeight="1">
      <c r="A1075" s="1"/>
      <c r="B1075" s="1"/>
      <c r="C1075" s="107" t="s">
        <v>551</v>
      </c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95"/>
      <c r="AC1075" s="46"/>
      <c r="AD1075" s="46"/>
      <c r="AE1075" s="1"/>
      <c r="AF1075" s="46"/>
      <c r="AG1075" s="1"/>
      <c r="AH1075" s="1"/>
      <c r="AI1075" s="1"/>
      <c r="AJ1075" s="1"/>
      <c r="AK1075" s="1"/>
      <c r="AL1075" s="95"/>
      <c r="AM1075" s="1"/>
      <c r="AN1075" s="1"/>
      <c r="AO1075" s="1"/>
      <c r="AP1075" s="1"/>
      <c r="AQ1075" s="1"/>
      <c r="AR1075" s="1"/>
      <c r="AS1075" s="1"/>
      <c r="AT1075" s="95"/>
      <c r="AU1075" s="1"/>
      <c r="AV1075" s="1"/>
      <c r="AW1075" s="95"/>
      <c r="AX1075" s="1"/>
      <c r="AY1075" s="1"/>
      <c r="AZ1075" s="1"/>
      <c r="BA1075" s="1"/>
      <c r="BB1075" s="1"/>
      <c r="BC1075" s="1"/>
      <c r="BD1075" s="1"/>
    </row>
    <row r="1076" spans="1:56" ht="16.5" hidden="1" customHeight="1">
      <c r="A1076" s="1"/>
      <c r="B1076" s="1"/>
      <c r="C1076" s="107" t="s">
        <v>551</v>
      </c>
      <c r="D1076" s="1"/>
      <c r="E1076" s="1"/>
      <c r="F1076" s="1"/>
      <c r="G1076" s="1"/>
      <c r="H1076" s="1"/>
      <c r="I1076" s="1"/>
      <c r="J1076" s="1"/>
      <c r="K1076" s="992">
        <f>RIPARTIZIONI!O31</f>
        <v>0</v>
      </c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95"/>
      <c r="AC1076" s="46"/>
      <c r="AD1076" s="46"/>
      <c r="AE1076" s="1"/>
      <c r="AF1076" s="46"/>
      <c r="AG1076" s="1"/>
      <c r="AH1076" s="1"/>
      <c r="AI1076" s="1"/>
      <c r="AJ1076" s="1"/>
      <c r="AK1076" s="1"/>
      <c r="AL1076" s="95"/>
      <c r="AM1076" s="1"/>
      <c r="AN1076" s="1"/>
      <c r="AO1076" s="1"/>
      <c r="AP1076" s="1"/>
      <c r="AQ1076" s="1"/>
      <c r="AR1076" s="1"/>
      <c r="AS1076" s="1"/>
      <c r="AT1076" s="95"/>
      <c r="AU1076" s="1"/>
      <c r="AV1076" s="1"/>
      <c r="AW1076" s="95"/>
      <c r="AX1076" s="1"/>
      <c r="AY1076" s="1"/>
      <c r="AZ1076" s="1"/>
      <c r="BA1076" s="1"/>
      <c r="BB1076" s="1"/>
      <c r="BC1076" s="1"/>
      <c r="BD1076" s="1"/>
    </row>
    <row r="1077" spans="1:56" ht="16.5" hidden="1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95"/>
      <c r="AC1077" s="46"/>
      <c r="AD1077" s="46"/>
      <c r="AE1077" s="1"/>
      <c r="AF1077" s="46"/>
      <c r="AG1077" s="1"/>
      <c r="AH1077" s="1"/>
      <c r="AI1077" s="1"/>
      <c r="AJ1077" s="1"/>
      <c r="AK1077" s="1"/>
      <c r="AL1077" s="95"/>
      <c r="AM1077" s="1"/>
      <c r="AN1077" s="1"/>
      <c r="AO1077" s="1"/>
      <c r="AP1077" s="1"/>
      <c r="AQ1077" s="1"/>
      <c r="AR1077" s="1"/>
      <c r="AS1077" s="1"/>
      <c r="AT1077" s="95"/>
      <c r="AU1077" s="1"/>
      <c r="AV1077" s="1"/>
      <c r="AW1077" s="95"/>
      <c r="AX1077" s="1"/>
      <c r="AY1077" s="1"/>
      <c r="AZ1077" s="1"/>
      <c r="BA1077" s="1"/>
      <c r="BB1077" s="1"/>
      <c r="BC1077" s="1"/>
      <c r="BD1077" s="1"/>
    </row>
    <row r="1078" spans="1:56" ht="16.5" hidden="1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95"/>
      <c r="AC1078" s="46"/>
      <c r="AD1078" s="46"/>
      <c r="AE1078" s="1"/>
      <c r="AF1078" s="46"/>
      <c r="AG1078" s="1"/>
      <c r="AH1078" s="1"/>
      <c r="AI1078" s="1"/>
      <c r="AJ1078" s="1"/>
      <c r="AK1078" s="1"/>
      <c r="AL1078" s="95"/>
      <c r="AM1078" s="1"/>
      <c r="AN1078" s="1"/>
      <c r="AO1078" s="1"/>
      <c r="AP1078" s="1"/>
      <c r="AQ1078" s="1"/>
      <c r="AR1078" s="1"/>
      <c r="AS1078" s="1"/>
      <c r="AT1078" s="95"/>
      <c r="AU1078" s="1"/>
      <c r="AV1078" s="1"/>
      <c r="AW1078" s="95"/>
      <c r="AX1078" s="1"/>
      <c r="AY1078" s="1"/>
      <c r="AZ1078" s="1"/>
      <c r="BA1078" s="1"/>
      <c r="BB1078" s="1"/>
      <c r="BC1078" s="1"/>
      <c r="BD1078" s="1"/>
    </row>
    <row r="1079" spans="1:56" ht="16.5" hidden="1" customHeight="1">
      <c r="A1079" s="1"/>
      <c r="B1079" s="1"/>
      <c r="C1079" s="1"/>
      <c r="D1079" s="1"/>
      <c r="E1079" s="106" t="s">
        <v>328</v>
      </c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95"/>
      <c r="AC1079" s="46"/>
      <c r="AD1079" s="46"/>
      <c r="AE1079" s="1"/>
      <c r="AF1079" s="46"/>
      <c r="AG1079" s="1"/>
      <c r="AH1079" s="1"/>
      <c r="AI1079" s="1"/>
      <c r="AJ1079" s="1"/>
      <c r="AK1079" s="1"/>
      <c r="AL1079" s="95"/>
      <c r="AM1079" s="1"/>
      <c r="AN1079" s="1"/>
      <c r="AO1079" s="1"/>
      <c r="AP1079" s="1"/>
      <c r="AQ1079" s="1"/>
      <c r="AR1079" s="1"/>
      <c r="AS1079" s="1"/>
      <c r="AT1079" s="95"/>
      <c r="AU1079" s="1"/>
      <c r="AV1079" s="1"/>
      <c r="AW1079" s="95"/>
      <c r="AX1079" s="1"/>
      <c r="AY1079" s="1"/>
      <c r="AZ1079" s="1"/>
      <c r="BA1079" s="1"/>
      <c r="BB1079" s="1"/>
      <c r="BC1079" s="1"/>
      <c r="BD1079" s="1"/>
    </row>
    <row r="1080" spans="1:56" ht="16.5" hidden="1" customHeight="1">
      <c r="A1080" s="1"/>
      <c r="B1080" s="1"/>
      <c r="C1080" s="1"/>
      <c r="D1080" s="1"/>
      <c r="E1080" s="307" t="s">
        <v>372</v>
      </c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95"/>
      <c r="AC1080" s="46"/>
      <c r="AD1080" s="46"/>
      <c r="AE1080" s="1"/>
      <c r="AF1080" s="46"/>
      <c r="AG1080" s="1"/>
      <c r="AH1080" s="1"/>
      <c r="AI1080" s="1"/>
      <c r="AJ1080" s="1"/>
      <c r="AK1080" s="1"/>
      <c r="AL1080" s="95"/>
      <c r="AM1080" s="1"/>
      <c r="AN1080" s="1"/>
      <c r="AO1080" s="1"/>
      <c r="AP1080" s="1"/>
      <c r="AQ1080" s="1"/>
      <c r="AR1080" s="1"/>
      <c r="AS1080" s="1"/>
      <c r="AT1080" s="95"/>
      <c r="AU1080" s="1"/>
      <c r="AV1080" s="1"/>
      <c r="AW1080" s="95"/>
      <c r="AX1080" s="1"/>
      <c r="AY1080" s="1"/>
      <c r="AZ1080" s="1"/>
      <c r="BA1080" s="1"/>
      <c r="BB1080" s="1"/>
      <c r="BC1080" s="1"/>
      <c r="BD1080" s="1"/>
    </row>
    <row r="1081" spans="1:56" ht="16.5" hidden="1" customHeight="1">
      <c r="A1081" s="1"/>
      <c r="B1081" s="1"/>
      <c r="C1081" s="1"/>
      <c r="D1081" s="1"/>
      <c r="E1081" s="106" t="s">
        <v>182</v>
      </c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95"/>
      <c r="AC1081" s="46"/>
      <c r="AD1081" s="46"/>
      <c r="AE1081" s="1"/>
      <c r="AF1081" s="46"/>
      <c r="AG1081" s="1"/>
      <c r="AH1081" s="1"/>
      <c r="AI1081" s="1"/>
      <c r="AJ1081" s="1"/>
      <c r="AK1081" s="1"/>
      <c r="AL1081" s="95"/>
      <c r="AM1081" s="1"/>
      <c r="AN1081" s="1"/>
      <c r="AO1081" s="1"/>
      <c r="AP1081" s="1"/>
      <c r="AQ1081" s="1"/>
      <c r="AR1081" s="1"/>
      <c r="AS1081" s="1"/>
      <c r="AT1081" s="95"/>
      <c r="AU1081" s="1"/>
      <c r="AV1081" s="1"/>
      <c r="AW1081" s="95"/>
      <c r="AX1081" s="1"/>
      <c r="AY1081" s="1"/>
      <c r="AZ1081" s="1"/>
      <c r="BA1081" s="1"/>
      <c r="BB1081" s="1"/>
      <c r="BC1081" s="1"/>
      <c r="BD1081" s="1"/>
    </row>
    <row r="1082" spans="1:56" ht="16.5" hidden="1" customHeight="1">
      <c r="A1082" s="1"/>
      <c r="B1082" s="1"/>
      <c r="C1082" s="1"/>
      <c r="D1082" s="1"/>
      <c r="E1082" s="107" t="str">
        <f>CIRCOLARI!C5</f>
        <v>Inserisci qui il NOME   -   P.I./C.F codice fiscale condominio</v>
      </c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95"/>
      <c r="AC1082" s="46"/>
      <c r="AD1082" s="46"/>
      <c r="AE1082" s="1"/>
      <c r="AF1082" s="46"/>
      <c r="AG1082" s="1"/>
      <c r="AH1082" s="1"/>
      <c r="AI1082" s="1"/>
      <c r="AJ1082" s="1"/>
      <c r="AK1082" s="1"/>
      <c r="AL1082" s="95"/>
      <c r="AM1082" s="1"/>
      <c r="AN1082" s="1"/>
      <c r="AO1082" s="1"/>
      <c r="AP1082" s="1"/>
      <c r="AQ1082" s="1"/>
      <c r="AR1082" s="1"/>
      <c r="AS1082" s="1"/>
      <c r="AT1082" s="95"/>
      <c r="AU1082" s="1"/>
      <c r="AV1082" s="1"/>
      <c r="AW1082" s="95"/>
      <c r="AX1082" s="1"/>
      <c r="AY1082" s="1"/>
      <c r="AZ1082" s="1"/>
      <c r="BA1082" s="1"/>
      <c r="BB1082" s="1"/>
      <c r="BC1082" s="1"/>
      <c r="BD1082" s="1"/>
    </row>
    <row r="1083" spans="1:56" ht="16.5" hidden="1" customHeight="1">
      <c r="A1083" s="1"/>
      <c r="B1083" s="1"/>
      <c r="C1083" s="1"/>
      <c r="D1083" s="1"/>
      <c r="E1083" s="308" t="s">
        <v>113</v>
      </c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95"/>
      <c r="AC1083" s="46"/>
      <c r="AD1083" s="46"/>
      <c r="AE1083" s="1"/>
      <c r="AF1083" s="46"/>
      <c r="AG1083" s="1"/>
      <c r="AH1083" s="1"/>
      <c r="AI1083" s="1"/>
      <c r="AJ1083" s="1"/>
      <c r="AK1083" s="1"/>
      <c r="AL1083" s="95"/>
      <c r="AM1083" s="1"/>
      <c r="AN1083" s="1"/>
      <c r="AO1083" s="1"/>
      <c r="AP1083" s="1"/>
      <c r="AQ1083" s="1"/>
      <c r="AR1083" s="1"/>
      <c r="AS1083" s="1"/>
      <c r="AT1083" s="95"/>
      <c r="AU1083" s="1"/>
      <c r="AV1083" s="1"/>
      <c r="AW1083" s="95"/>
      <c r="AX1083" s="1"/>
      <c r="AY1083" s="1"/>
      <c r="AZ1083" s="1"/>
      <c r="BA1083" s="1"/>
      <c r="BB1083" s="1"/>
      <c r="BC1083" s="1"/>
      <c r="BD1083" s="1"/>
    </row>
    <row r="1084" spans="1:56" ht="16.5" hidden="1" customHeight="1">
      <c r="A1084" s="1"/>
      <c r="B1084" s="1"/>
      <c r="C1084" s="1"/>
      <c r="D1084" s="1"/>
      <c r="E1084" s="308" t="str">
        <f>Presentazione!F10</f>
        <v/>
      </c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95"/>
      <c r="AC1084" s="46"/>
      <c r="AD1084" s="46"/>
      <c r="AE1084" s="1"/>
      <c r="AF1084" s="46"/>
      <c r="AG1084" s="1"/>
      <c r="AH1084" s="1"/>
      <c r="AI1084" s="1"/>
      <c r="AJ1084" s="1"/>
      <c r="AK1084" s="1"/>
      <c r="AL1084" s="95"/>
      <c r="AM1084" s="1"/>
      <c r="AN1084" s="1"/>
      <c r="AO1084" s="1"/>
      <c r="AP1084" s="1"/>
      <c r="AQ1084" s="1"/>
      <c r="AR1084" s="1"/>
      <c r="AS1084" s="1"/>
      <c r="AT1084" s="95"/>
      <c r="AU1084" s="1"/>
      <c r="AV1084" s="1"/>
      <c r="AW1084" s="95"/>
      <c r="AX1084" s="1"/>
      <c r="AY1084" s="1"/>
      <c r="AZ1084" s="1"/>
      <c r="BA1084" s="1"/>
      <c r="BB1084" s="1"/>
      <c r="BC1084" s="1"/>
      <c r="BD1084" s="1"/>
    </row>
    <row r="1085" spans="1:56" ht="16.5" hidden="1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95"/>
      <c r="AC1085" s="46"/>
      <c r="AD1085" s="46"/>
      <c r="AE1085" s="1"/>
      <c r="AF1085" s="46"/>
      <c r="AG1085" s="1"/>
      <c r="AH1085" s="1"/>
      <c r="AI1085" s="1"/>
      <c r="AJ1085" s="1"/>
      <c r="AK1085" s="1"/>
      <c r="AL1085" s="95"/>
      <c r="AM1085" s="1"/>
      <c r="AN1085" s="1"/>
      <c r="AO1085" s="1"/>
      <c r="AP1085" s="1"/>
      <c r="AQ1085" s="1"/>
      <c r="AR1085" s="1"/>
      <c r="AS1085" s="1"/>
      <c r="AT1085" s="95"/>
      <c r="AU1085" s="1"/>
      <c r="AV1085" s="1"/>
      <c r="AW1085" s="95"/>
      <c r="AX1085" s="1"/>
      <c r="AY1085" s="1"/>
      <c r="AZ1085" s="1"/>
      <c r="BA1085" s="1"/>
      <c r="BB1085" s="1"/>
      <c r="BC1085" s="1"/>
      <c r="BD1085" s="1"/>
    </row>
    <row r="1086" spans="1:56" hidden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373"/>
    </row>
    <row r="1087" spans="1:56" hidden="1"/>
  </sheetData>
  <sheetProtection algorithmName="SHA-512" hashValue="p0B3JhN3JkW/G936GbaVNfUpkdB5Y8PGlVJPb2E/v0uUrP+Qk72qj6c9xJaNQDRiVHxro5LSo26h4cjm/T0blQ==" saltValue="MsErnn9vBikxgb5BtIPd4g==" spinCount="100000" sheet="1" objects="1" scenarios="1" selectLockedCells="1" autoFilter="0"/>
  <autoFilter ref="V3:AP3"/>
  <mergeCells count="85">
    <mergeCell ref="C1066:E1066"/>
    <mergeCell ref="H1062:J1062"/>
    <mergeCell ref="H1063:J1063"/>
    <mergeCell ref="H1060:J1060"/>
    <mergeCell ref="H1061:J1061"/>
    <mergeCell ref="H1066:J1066"/>
    <mergeCell ref="H1068:J1068"/>
    <mergeCell ref="C1068:E1068"/>
    <mergeCell ref="B41:D41"/>
    <mergeCell ref="C1064:E1064"/>
    <mergeCell ref="C1057:E1057"/>
    <mergeCell ref="B64:S64"/>
    <mergeCell ref="O52:P52"/>
    <mergeCell ref="B60:D60"/>
    <mergeCell ref="E60:Q60"/>
    <mergeCell ref="E1041:E1047"/>
    <mergeCell ref="C1062:E1062"/>
    <mergeCell ref="C1063:E1063"/>
    <mergeCell ref="C1061:E1061"/>
    <mergeCell ref="C1067:E1067"/>
    <mergeCell ref="C1060:E1060"/>
    <mergeCell ref="AW1:AZ1"/>
    <mergeCell ref="W1:X1"/>
    <mergeCell ref="H2:I2"/>
    <mergeCell ref="P4:Q4"/>
    <mergeCell ref="B8:D8"/>
    <mergeCell ref="AL1:AP1"/>
    <mergeCell ref="B6:E6"/>
    <mergeCell ref="B46:D46"/>
    <mergeCell ref="C1056:E1056"/>
    <mergeCell ref="I62:S62"/>
    <mergeCell ref="I61:S61"/>
    <mergeCell ref="C1065:E1065"/>
    <mergeCell ref="H1064:J1064"/>
    <mergeCell ref="C1058:E1058"/>
    <mergeCell ref="C1059:E1059"/>
    <mergeCell ref="B1019:C1019"/>
    <mergeCell ref="B62:G62"/>
    <mergeCell ref="H1065:J1065"/>
    <mergeCell ref="H1067:J1067"/>
    <mergeCell ref="O50:P50"/>
    <mergeCell ref="O51:P51"/>
    <mergeCell ref="H1058:J1058"/>
    <mergeCell ref="H1059:J1059"/>
    <mergeCell ref="H1056:J1056"/>
    <mergeCell ref="H1057:J1057"/>
    <mergeCell ref="P1014:Q1014"/>
    <mergeCell ref="B38:D38"/>
    <mergeCell ref="O49:P49"/>
    <mergeCell ref="O48:P48"/>
    <mergeCell ref="B1:E1"/>
    <mergeCell ref="J2:S2"/>
    <mergeCell ref="B5:D5"/>
    <mergeCell ref="B34:D34"/>
    <mergeCell ref="B16:D16"/>
    <mergeCell ref="B43:D43"/>
    <mergeCell ref="B37:D37"/>
    <mergeCell ref="B22:C22"/>
    <mergeCell ref="B10:D10"/>
    <mergeCell ref="F16:S17"/>
    <mergeCell ref="B15:D15"/>
    <mergeCell ref="B11:D11"/>
    <mergeCell ref="B12:D12"/>
    <mergeCell ref="B26:C26"/>
    <mergeCell ref="B27:C27"/>
    <mergeCell ref="B28:C28"/>
    <mergeCell ref="B13:D13"/>
    <mergeCell ref="B14:D14"/>
    <mergeCell ref="B21:C21"/>
    <mergeCell ref="X1006:Y1006"/>
    <mergeCell ref="F1:S1"/>
    <mergeCell ref="B39:S39"/>
    <mergeCell ref="B44:D44"/>
    <mergeCell ref="F45:Q45"/>
    <mergeCell ref="B23:C23"/>
    <mergeCell ref="B2:G2"/>
    <mergeCell ref="B35:D35"/>
    <mergeCell ref="B4:C4"/>
    <mergeCell ref="B33:D33"/>
    <mergeCell ref="B30:M30"/>
    <mergeCell ref="B9:D9"/>
    <mergeCell ref="B17:E18"/>
    <mergeCell ref="B31:Q31"/>
    <mergeCell ref="B36:D36"/>
    <mergeCell ref="B24:C24"/>
  </mergeCells>
  <phoneticPr fontId="4" type="noConversion"/>
  <conditionalFormatting sqref="AA4:AA1003 AE4:AE1003">
    <cfRule type="expression" dxfId="366" priority="105" stopIfTrue="1">
      <formula>AND(#REF!="somma",$AA4="totale")</formula>
    </cfRule>
  </conditionalFormatting>
  <conditionalFormatting sqref="AB4:AB1003 AT4:AT1003">
    <cfRule type="expression" dxfId="365" priority="106" stopIfTrue="1">
      <formula>AND($AA4="somma",$AC4="totale")</formula>
    </cfRule>
  </conditionalFormatting>
  <conditionalFormatting sqref="AW4:AW1003">
    <cfRule type="expression" dxfId="364" priority="107" stopIfTrue="1">
      <formula>$AW4=0</formula>
    </cfRule>
  </conditionalFormatting>
  <conditionalFormatting sqref="AX4:AX1003">
    <cfRule type="expression" dxfId="363" priority="108" stopIfTrue="1">
      <formula>$AX4=0</formula>
    </cfRule>
  </conditionalFormatting>
  <conditionalFormatting sqref="AY4:AY1003">
    <cfRule type="expression" dxfId="362" priority="109" stopIfTrue="1">
      <formula>$AY4=0</formula>
    </cfRule>
  </conditionalFormatting>
  <conditionalFormatting sqref="AZ4:AZ1003">
    <cfRule type="expression" dxfId="361" priority="110" stopIfTrue="1">
      <formula>$AZ4=0</formula>
    </cfRule>
  </conditionalFormatting>
  <conditionalFormatting sqref="BC4:BC1003">
    <cfRule type="expression" dxfId="360" priority="111" stopIfTrue="1">
      <formula>AND(BC4=0,$Z4=0)</formula>
    </cfRule>
    <cfRule type="expression" dxfId="359" priority="112" stopIfTrue="1">
      <formula>ISERROR(BC4)</formula>
    </cfRule>
  </conditionalFormatting>
  <conditionalFormatting sqref="Z5:Z33 Z36:Z1003">
    <cfRule type="expression" dxfId="358" priority="113" stopIfTrue="1">
      <formula>$X5=$AG$2</formula>
    </cfRule>
    <cfRule type="expression" dxfId="357" priority="114" stopIfTrue="1">
      <formula>$AH5=0</formula>
    </cfRule>
  </conditionalFormatting>
  <conditionalFormatting sqref="X5:X33 X36:X1003">
    <cfRule type="expression" dxfId="356" priority="115" stopIfTrue="1">
      <formula>$X5=$AG$2</formula>
    </cfRule>
    <cfRule type="expression" dxfId="355" priority="116" stopIfTrue="1">
      <formula>$AH5=0</formula>
    </cfRule>
  </conditionalFormatting>
  <conditionalFormatting sqref="X4:Y4 Y5:Y33 Y36:Y1003">
    <cfRule type="expression" dxfId="354" priority="117" stopIfTrue="1">
      <formula>$X4=$AG$2</formula>
    </cfRule>
    <cfRule type="expression" dxfId="353" priority="118" stopIfTrue="1">
      <formula>$AH4=0</formula>
    </cfRule>
  </conditionalFormatting>
  <conditionalFormatting sqref="Z4">
    <cfRule type="expression" dxfId="352" priority="119" stopIfTrue="1">
      <formula>$X4=$AG$2</formula>
    </cfRule>
    <cfRule type="expression" dxfId="351" priority="120" stopIfTrue="1">
      <formula>$AH4=0</formula>
    </cfRule>
  </conditionalFormatting>
  <conditionalFormatting sqref="F1054:Q1054 E1023:Q1027 F1022:Q1022 E1017:Q1021 F1057:F1063 AH1016 AW1015 AJ1016 AL1015 F1065:F1068 A1056:A1068 AV5:AV1003 AK4:AK1003 F1041:Q1052">
    <cfRule type="cellIs" dxfId="350" priority="122" stopIfTrue="1" operator="equal">
      <formula>0</formula>
    </cfRule>
  </conditionalFormatting>
  <conditionalFormatting sqref="F1038:Q1040 F1035:Q1035 U6:U1003 AJ5:AJ1003">
    <cfRule type="cellIs" dxfId="349" priority="126" stopIfTrue="1" operator="equal">
      <formula>0</formula>
    </cfRule>
  </conditionalFormatting>
  <conditionalFormatting sqref="O48:P48">
    <cfRule type="containsErrors" dxfId="348" priority="18" stopIfTrue="1">
      <formula>ISERROR(O48)</formula>
    </cfRule>
    <cfRule type="expression" dxfId="347" priority="142" stopIfTrue="1">
      <formula>$O$48=0</formula>
    </cfRule>
  </conditionalFormatting>
  <conditionalFormatting sqref="S46">
    <cfRule type="cellIs" dxfId="346" priority="742" stopIfTrue="1" operator="lessThan">
      <formula>0</formula>
    </cfRule>
    <cfRule type="containsErrors" dxfId="345" priority="742" stopIfTrue="1">
      <formula>ISERROR(S46)</formula>
    </cfRule>
  </conditionalFormatting>
  <conditionalFormatting sqref="E44 E10:E15">
    <cfRule type="cellIs" dxfId="344" priority="144" stopIfTrue="1" operator="lessThan">
      <formula>0</formula>
    </cfRule>
  </conditionalFormatting>
  <conditionalFormatting sqref="D23">
    <cfRule type="cellIs" dxfId="343" priority="145" stopIfTrue="1" operator="equal">
      <formula>0</formula>
    </cfRule>
  </conditionalFormatting>
  <conditionalFormatting sqref="AQ4:AR1003 BB4:BB1003 AI4:AI1003">
    <cfRule type="cellIs" dxfId="342" priority="147" stopIfTrue="1" operator="equal">
      <formula>0</formula>
    </cfRule>
    <cfRule type="expression" dxfId="341" priority="148" stopIfTrue="1">
      <formula>ISERROR(AI4)</formula>
    </cfRule>
  </conditionalFormatting>
  <conditionalFormatting sqref="AG2">
    <cfRule type="cellIs" dxfId="340" priority="153" stopIfTrue="1" operator="equal">
      <formula>0</formula>
    </cfRule>
    <cfRule type="expression" dxfId="339" priority="154" stopIfTrue="1">
      <formula>ISERROR($AG$2)</formula>
    </cfRule>
  </conditionalFormatting>
  <conditionalFormatting sqref="X3:Y3">
    <cfRule type="expression" dxfId="338" priority="155" stopIfTrue="1">
      <formula>$AH$4=0</formula>
    </cfRule>
  </conditionalFormatting>
  <conditionalFormatting sqref="W3">
    <cfRule type="expression" dxfId="337" priority="156" stopIfTrue="1">
      <formula>$AH$4=0</formula>
    </cfRule>
  </conditionalFormatting>
  <conditionalFormatting sqref="Z3">
    <cfRule type="expression" dxfId="336" priority="157" stopIfTrue="1">
      <formula>$AH$4=0</formula>
    </cfRule>
  </conditionalFormatting>
  <conditionalFormatting sqref="F16:S17">
    <cfRule type="cellIs" dxfId="335" priority="160" stopIfTrue="1" operator="equal">
      <formula>$E$1084</formula>
    </cfRule>
  </conditionalFormatting>
  <conditionalFormatting sqref="H2:I2">
    <cfRule type="expression" dxfId="334" priority="161" stopIfTrue="1">
      <formula>$L$1072=1</formula>
    </cfRule>
  </conditionalFormatting>
  <conditionalFormatting sqref="B23:C23">
    <cfRule type="cellIs" dxfId="333" priority="162" stopIfTrue="1" operator="equal">
      <formula>0</formula>
    </cfRule>
    <cfRule type="expression" dxfId="332" priority="163" stopIfTrue="1">
      <formula>ISERROR($B$23)</formula>
    </cfRule>
  </conditionalFormatting>
  <conditionalFormatting sqref="B24:C24">
    <cfRule type="expression" dxfId="331" priority="164" stopIfTrue="1">
      <formula>ISERROR($B$24)</formula>
    </cfRule>
  </conditionalFormatting>
  <conditionalFormatting sqref="AF1">
    <cfRule type="expression" dxfId="330" priority="166" stopIfTrue="1">
      <formula>ISBLANK($AF$2)</formula>
    </cfRule>
    <cfRule type="expression" dxfId="329" priority="167" stopIfTrue="1">
      <formula>$AF$2=" "</formula>
    </cfRule>
  </conditionalFormatting>
  <conditionalFormatting sqref="F41:Q41">
    <cfRule type="containsErrors" dxfId="328" priority="23" stopIfTrue="1">
      <formula>ISERROR(F41)</formula>
    </cfRule>
    <cfRule type="expression" dxfId="327" priority="188" stopIfTrue="1">
      <formula>F41=E41</formula>
    </cfRule>
  </conditionalFormatting>
  <conditionalFormatting sqref="AD4:AD1003">
    <cfRule type="cellIs" dxfId="326" priority="67" stopIfTrue="1" operator="greaterThan">
      <formula>0</formula>
    </cfRule>
    <cfRule type="cellIs" dxfId="325" priority="68" stopIfTrue="1" operator="lessThan">
      <formula>0</formula>
    </cfRule>
  </conditionalFormatting>
  <conditionalFormatting sqref="AF4:AF1003">
    <cfRule type="expression" dxfId="324" priority="65" stopIfTrue="1">
      <formula>ISERROR(AF4)</formula>
    </cfRule>
    <cfRule type="cellIs" dxfId="323" priority="66" stopIfTrue="1" operator="greaterThan">
      <formula>0</formula>
    </cfRule>
  </conditionalFormatting>
  <conditionalFormatting sqref="AG4:AG1003">
    <cfRule type="expression" dxfId="322" priority="64" stopIfTrue="1">
      <formula>AND(#REF!="somma",$AA4="totale")</formula>
    </cfRule>
  </conditionalFormatting>
  <conditionalFormatting sqref="S4">
    <cfRule type="expression" dxfId="321" priority="63">
      <formula>$P$4=""</formula>
    </cfRule>
  </conditionalFormatting>
  <conditionalFormatting sqref="F1015:Q1015">
    <cfRule type="cellIs" dxfId="320" priority="61" stopIfTrue="1" operator="equal">
      <formula>0</formula>
    </cfRule>
  </conditionalFormatting>
  <conditionalFormatting sqref="F1030:Q1030">
    <cfRule type="cellIs" dxfId="319" priority="58" operator="equal">
      <formula>0</formula>
    </cfRule>
  </conditionalFormatting>
  <conditionalFormatting sqref="C1023">
    <cfRule type="expression" dxfId="318" priority="623" stopIfTrue="1">
      <formula>#REF!=TRUE</formula>
    </cfRule>
    <cfRule type="cellIs" dxfId="317" priority="624" stopIfTrue="1" operator="equal">
      <formula>0</formula>
    </cfRule>
  </conditionalFormatting>
  <conditionalFormatting sqref="F6:Q6">
    <cfRule type="expression" dxfId="316" priority="53" stopIfTrue="1">
      <formula>OR($H$1037=FALSE,$L$1037=FALSE)</formula>
    </cfRule>
    <cfRule type="expression" dxfId="315" priority="56" stopIfTrue="1">
      <formula>F$1015=0</formula>
    </cfRule>
    <cfRule type="cellIs" dxfId="314" priority="625" stopIfTrue="1" operator="equal">
      <formula>0</formula>
    </cfRule>
  </conditionalFormatting>
  <conditionalFormatting sqref="W2:Z2 AL2:AP2">
    <cfRule type="expression" dxfId="313" priority="637" stopIfTrue="1">
      <formula>$H$1037=FALSE</formula>
    </cfRule>
  </conditionalFormatting>
  <conditionalFormatting sqref="S34:S38">
    <cfRule type="containsErrors" dxfId="312" priority="14" stopIfTrue="1">
      <formula>ISERROR(S34)</formula>
    </cfRule>
    <cfRule type="expression" dxfId="311" priority="650" stopIfTrue="1">
      <formula>AND(SUM($F34:$Q34)=0,$S34=0)</formula>
    </cfRule>
  </conditionalFormatting>
  <conditionalFormatting sqref="B1:S1 J2:S2">
    <cfRule type="expression" dxfId="310" priority="671" stopIfTrue="1">
      <formula>$J$1037=1</formula>
    </cfRule>
  </conditionalFormatting>
  <conditionalFormatting sqref="B2:G2">
    <cfRule type="expression" dxfId="309" priority="673" stopIfTrue="1">
      <formula>$J$1037=1</formula>
    </cfRule>
  </conditionalFormatting>
  <conditionalFormatting sqref="G6:Q6">
    <cfRule type="expression" dxfId="308" priority="627" stopIfTrue="1">
      <formula>G6=F6</formula>
    </cfRule>
  </conditionalFormatting>
  <conditionalFormatting sqref="F6">
    <cfRule type="expression" dxfId="307" priority="626" stopIfTrue="1">
      <formula>$F$6=$E$16</formula>
    </cfRule>
  </conditionalFormatting>
  <conditionalFormatting sqref="AL4:AP1003">
    <cfRule type="expression" dxfId="306" priority="48">
      <formula>$AK4=0</formula>
    </cfRule>
    <cfRule type="cellIs" dxfId="305" priority="49" operator="equal">
      <formula>0</formula>
    </cfRule>
  </conditionalFormatting>
  <conditionalFormatting sqref="AM4:AM1003">
    <cfRule type="expression" dxfId="304" priority="50">
      <formula>AND(AM4&lt;&gt;0,AL4=0)</formula>
    </cfRule>
  </conditionalFormatting>
  <conditionalFormatting sqref="S32">
    <cfRule type="containsErrors" dxfId="303" priority="15">
      <formula>ISERROR(S32)</formula>
    </cfRule>
    <cfRule type="cellIs" dxfId="302" priority="45" operator="lessThan">
      <formula>0</formula>
    </cfRule>
  </conditionalFormatting>
  <conditionalFormatting sqref="E46">
    <cfRule type="cellIs" dxfId="301" priority="43" operator="lessThan">
      <formula>0</formula>
    </cfRule>
    <cfRule type="cellIs" dxfId="300" priority="44" operator="equal">
      <formula>0</formula>
    </cfRule>
  </conditionalFormatting>
  <conditionalFormatting sqref="F5:Q5 F33:Q33">
    <cfRule type="expression" dxfId="299" priority="41">
      <formula>OR(F$1015=1,$J$1037=1)</formula>
    </cfRule>
  </conditionalFormatting>
  <conditionalFormatting sqref="F28:Q28">
    <cfRule type="cellIs" dxfId="298" priority="39" stopIfTrue="1" operator="lessThan">
      <formula>0</formula>
    </cfRule>
  </conditionalFormatting>
  <conditionalFormatting sqref="F19:Q19">
    <cfRule type="cellIs" dxfId="297" priority="34" stopIfTrue="1" operator="greaterThan">
      <formula>0</formula>
    </cfRule>
  </conditionalFormatting>
  <conditionalFormatting sqref="F20:Q20">
    <cfRule type="expression" dxfId="296" priority="32" stopIfTrue="1">
      <formula>AND(F20&gt;0,F19=0)</formula>
    </cfRule>
    <cfRule type="cellIs" dxfId="295" priority="33" stopIfTrue="1" operator="greaterThan">
      <formula>0</formula>
    </cfRule>
  </conditionalFormatting>
  <conditionalFormatting sqref="F21:Q21">
    <cfRule type="expression" dxfId="294" priority="27" stopIfTrue="1">
      <formula>AND(F21&gt;0,F20=0)</formula>
    </cfRule>
    <cfRule type="cellIs" dxfId="293" priority="28" stopIfTrue="1" operator="greaterThan">
      <formula>0</formula>
    </cfRule>
  </conditionalFormatting>
  <conditionalFormatting sqref="F22:Q22">
    <cfRule type="expression" dxfId="292" priority="25" stopIfTrue="1">
      <formula>AND(F22&gt;0,F21=0)</formula>
    </cfRule>
    <cfRule type="cellIs" dxfId="291" priority="26" stopIfTrue="1" operator="greaterThan">
      <formula>0</formula>
    </cfRule>
  </conditionalFormatting>
  <conditionalFormatting sqref="F23:Q23">
    <cfRule type="expression" dxfId="290" priority="29" stopIfTrue="1">
      <formula>AND(F23&gt;0,F22=0)</formula>
    </cfRule>
    <cfRule type="cellIs" dxfId="289" priority="30" stopIfTrue="1" operator="greaterThan">
      <formula>0</formula>
    </cfRule>
    <cfRule type="cellIs" dxfId="288" priority="31" stopIfTrue="1" operator="equal">
      <formula>0</formula>
    </cfRule>
  </conditionalFormatting>
  <conditionalFormatting sqref="F24:Q24">
    <cfRule type="expression" dxfId="287" priority="35" stopIfTrue="1">
      <formula>AND(F24&lt;0,F25=0)</formula>
    </cfRule>
    <cfRule type="cellIs" dxfId="286" priority="36" stopIfTrue="1" operator="lessThan">
      <formula>0</formula>
    </cfRule>
  </conditionalFormatting>
  <conditionalFormatting sqref="F25:Q27">
    <cfRule type="expression" dxfId="285" priority="37" stopIfTrue="1">
      <formula>AND(F25&lt;0,F26=0)</formula>
    </cfRule>
    <cfRule type="cellIs" dxfId="284" priority="38" stopIfTrue="1" operator="lessThan">
      <formula>0</formula>
    </cfRule>
  </conditionalFormatting>
  <conditionalFormatting sqref="G46:N46 N48">
    <cfRule type="expression" dxfId="283" priority="143" stopIfTrue="1">
      <formula>$O$48=0</formula>
    </cfRule>
  </conditionalFormatting>
  <conditionalFormatting sqref="N48">
    <cfRule type="containsErrors" dxfId="282" priority="19" stopIfTrue="1">
      <formula>ISERROR(N48)</formula>
    </cfRule>
  </conditionalFormatting>
  <conditionalFormatting sqref="O50:P52">
    <cfRule type="cellIs" dxfId="281" priority="17" operator="equal">
      <formula>0</formula>
    </cfRule>
  </conditionalFormatting>
  <conditionalFormatting sqref="F9:Q15">
    <cfRule type="expression" dxfId="280" priority="16" stopIfTrue="1">
      <formula>OR($H$1037=FALSE,$L$1037=FALSE)</formula>
    </cfRule>
  </conditionalFormatting>
  <conditionalFormatting sqref="F43:Q43">
    <cfRule type="expression" dxfId="279" priority="13">
      <formula>OR(F$1015=1,$J$1037=1)</formula>
    </cfRule>
  </conditionalFormatting>
  <conditionalFormatting sqref="E5">
    <cfRule type="cellIs" dxfId="278" priority="12" operator="equal">
      <formula>0</formula>
    </cfRule>
  </conditionalFormatting>
  <conditionalFormatting sqref="Z34:Z36">
    <cfRule type="expression" dxfId="277" priority="3" stopIfTrue="1">
      <formula>$X34=$AG$2</formula>
    </cfRule>
    <cfRule type="expression" dxfId="276" priority="4" stopIfTrue="1">
      <formula>$AH34=0</formula>
    </cfRule>
  </conditionalFormatting>
  <conditionalFormatting sqref="X34:X36">
    <cfRule type="expression" dxfId="275" priority="5" stopIfTrue="1">
      <formula>$X34=$AG$2</formula>
    </cfRule>
    <cfRule type="expression" dxfId="274" priority="6" stopIfTrue="1">
      <formula>$AH34=0</formula>
    </cfRule>
  </conditionalFormatting>
  <conditionalFormatting sqref="Y34:Y36">
    <cfRule type="expression" dxfId="273" priority="7" stopIfTrue="1">
      <formula>$X34=$AG$2</formula>
    </cfRule>
    <cfRule type="expression" dxfId="272" priority="8" stopIfTrue="1">
      <formula>$AH34=0</formula>
    </cfRule>
  </conditionalFormatting>
  <conditionalFormatting sqref="U4:U5">
    <cfRule type="cellIs" dxfId="271" priority="1" stopIfTrue="1" operator="equal">
      <formula>0</formula>
    </cfRule>
  </conditionalFormatting>
  <conditionalFormatting sqref="W4:W1003">
    <cfRule type="expression" dxfId="270" priority="5804" stopIfTrue="1">
      <formula>OR($W4&lt;$W$1009,$W4&gt;$W$1010)</formula>
    </cfRule>
    <cfRule type="expression" dxfId="269" priority="5805" stopIfTrue="1">
      <formula>$X4=$AG$2</formula>
    </cfRule>
    <cfRule type="expression" dxfId="268" priority="5806" stopIfTrue="1">
      <formula>$AH4=0</formula>
    </cfRule>
  </conditionalFormatting>
  <conditionalFormatting sqref="S44">
    <cfRule type="containsErrors" dxfId="267" priority="5817" stopIfTrue="1">
      <formula>ISERROR(S44)</formula>
    </cfRule>
    <cfRule type="expression" dxfId="266" priority="5818" stopIfTrue="1">
      <formula>$H$1037=FALSE</formula>
    </cfRule>
    <cfRule type="expression" dxfId="265" priority="5819" stopIfTrue="1">
      <formula>AND(SUM($F44:$Q44)=0,$S44=0)</formula>
    </cfRule>
  </conditionalFormatting>
  <conditionalFormatting sqref="F44:Q44">
    <cfRule type="containsErrors" dxfId="264" priority="5820" stopIfTrue="1">
      <formula>ISERROR(F44)</formula>
    </cfRule>
    <cfRule type="expression" dxfId="263" priority="5821" stopIfTrue="1">
      <formula>AND($J$1037=0,F$1015=0)</formula>
    </cfRule>
    <cfRule type="cellIs" dxfId="262" priority="5822" stopIfTrue="1" operator="equal">
      <formula>0</formula>
    </cfRule>
    <cfRule type="expression" dxfId="261" priority="5823" stopIfTrue="1">
      <formula>F44=E44</formula>
    </cfRule>
  </conditionalFormatting>
  <conditionalFormatting sqref="B34:D38">
    <cfRule type="expression" dxfId="260" priority="5824" stopIfTrue="1">
      <formula>$B34=$C$1041</formula>
    </cfRule>
  </conditionalFormatting>
  <conditionalFormatting sqref="S10:S15">
    <cfRule type="expression" dxfId="259" priority="5825" stopIfTrue="1">
      <formula>$H$1037=FALSE</formula>
    </cfRule>
    <cfRule type="expression" dxfId="258" priority="5826" stopIfTrue="1">
      <formula>AND(SUM($F10:$Q10)=0,$S10=0)</formula>
    </cfRule>
  </conditionalFormatting>
  <conditionalFormatting sqref="S9">
    <cfRule type="expression" dxfId="257" priority="5827" stopIfTrue="1">
      <formula>$H$1037=FALSE</formula>
    </cfRule>
    <cfRule type="expression" dxfId="256" priority="5828" stopIfTrue="1">
      <formula>AND(SUM($F9:$Q9)=0,$S9=0)</formula>
    </cfRule>
  </conditionalFormatting>
  <conditionalFormatting sqref="AC4">
    <cfRule type="expression" dxfId="255" priority="5829" stopIfTrue="1">
      <formula>$H$1037=FALSE</formula>
    </cfRule>
    <cfRule type="expression" dxfId="254" priority="5830" stopIfTrue="1">
      <formula>$W$5&gt;0</formula>
    </cfRule>
  </conditionalFormatting>
  <conditionalFormatting sqref="AC5:AC1001 AC1003">
    <cfRule type="expression" dxfId="253" priority="5831" stopIfTrue="1">
      <formula>$H$1037=FALSE</formula>
    </cfRule>
    <cfRule type="expression" dxfId="252" priority="5832" stopIfTrue="1">
      <formula>AND($W5&gt;0,$W6=0)</formula>
    </cfRule>
  </conditionalFormatting>
  <conditionalFormatting sqref="AC1002">
    <cfRule type="expression" dxfId="251" priority="5835" stopIfTrue="1">
      <formula>$H$1037=FALSE</formula>
    </cfRule>
    <cfRule type="expression" dxfId="250" priority="5836" stopIfTrue="1">
      <formula>AND($W1002&gt;0,#REF!=0)</formula>
    </cfRule>
  </conditionalFormatting>
  <conditionalFormatting sqref="O4">
    <cfRule type="expression" dxfId="249" priority="5837">
      <formula>AND($J$1037=0,$P$4=$N$1009)</formula>
    </cfRule>
  </conditionalFormatting>
  <conditionalFormatting sqref="B26:C28">
    <cfRule type="expression" dxfId="248" priority="5838">
      <formula>OR($J$1037=0,$P$4&lt;&gt;$N$1009)</formula>
    </cfRule>
  </conditionalFormatting>
  <conditionalFormatting sqref="F34:Q38">
    <cfRule type="expression" dxfId="247" priority="5839" stopIfTrue="1">
      <formula>AND($J$1037=0,F$1015=0)</formula>
    </cfRule>
    <cfRule type="expression" dxfId="246" priority="5840" stopIfTrue="1">
      <formula>OR($B34=$C$1041,ISERROR(F34))</formula>
    </cfRule>
    <cfRule type="expression" dxfId="245" priority="5841" stopIfTrue="1">
      <formula>F34=0</formula>
    </cfRule>
    <cfRule type="expression" dxfId="244" priority="5842" stopIfTrue="1">
      <formula>F34=E34</formula>
    </cfRule>
  </conditionalFormatting>
  <conditionalFormatting sqref="F9:Q9">
    <cfRule type="cellIs" dxfId="243" priority="5843" stopIfTrue="1" operator="lessThan">
      <formula>0</formula>
    </cfRule>
    <cfRule type="expression" dxfId="242" priority="5844" stopIfTrue="1">
      <formula>F$1015=0</formula>
    </cfRule>
    <cfRule type="expression" dxfId="241" priority="5845" stopIfTrue="1">
      <formula>F9=E9</formula>
    </cfRule>
  </conditionalFormatting>
  <conditionalFormatting sqref="F10:Q15">
    <cfRule type="expression" dxfId="240" priority="5846" stopIfTrue="1">
      <formula>$B10=""</formula>
    </cfRule>
    <cfRule type="expression" dxfId="239" priority="5847" stopIfTrue="1">
      <formula>F$1015=0</formula>
    </cfRule>
    <cfRule type="cellIs" dxfId="238" priority="5848" stopIfTrue="1" operator="equal">
      <formula>0</formula>
    </cfRule>
    <cfRule type="expression" dxfId="237" priority="5849" stopIfTrue="1">
      <formula>F10=E10</formula>
    </cfRule>
  </conditionalFormatting>
  <dataValidations count="33">
    <dataValidation type="decimal" operator="greaterThan" allowBlank="1" showInputMessage="1" showErrorMessage="1" sqref="E20:E22">
      <formula1>E21</formula1>
    </dataValidation>
    <dataValidation type="decimal" allowBlank="1" showInputMessage="1" showErrorMessage="1" sqref="E19">
      <formula1>E20</formula1>
      <formula2>100</formula2>
    </dataValidation>
    <dataValidation type="list" allowBlank="1" showInputMessage="1" showErrorMessage="1" sqref="AA1004">
      <formula1>#REF!</formula1>
    </dataValidation>
    <dataValidation type="decimal" operator="greaterThan" allowBlank="1" showInputMessage="1" showErrorMessage="1" sqref="E23 E9">
      <formula1>0</formula1>
    </dataValidation>
    <dataValidation type="list" allowBlank="1" showInputMessage="1" showErrorMessage="1" sqref="P4:Q4">
      <formula1>$N$1008:$N$1013</formula1>
    </dataValidation>
    <dataValidation type="whole" allowBlank="1" showInputMessage="1" showErrorMessage="1" errorTitle="Data non corretta" error="Il sistema accetta solo una data compresa nell' intervallo di tempo impostato nel foglio PRESENTAZIONE." sqref="W127">
      <formula1>W1036</formula1>
      <formula2>W1037</formula2>
    </dataValidation>
    <dataValidation type="whole" allowBlank="1" showInputMessage="1" showErrorMessage="1" errorTitle="Data non corretta" error="Il sistema accetta solo una data compresa nell' intervallo di tempo impostato nel foglio PRESENTAZIONE." sqref="W22">
      <formula1>W1033</formula1>
      <formula2>W1041</formula2>
    </dataValidation>
    <dataValidation type="whole" allowBlank="1" showInputMessage="1" showErrorMessage="1" errorTitle="Data non corretta" error="Il sistema accetta solo una data compresa nell' intervallo di tempo impostato nel foglio PRESENTAZIONE." sqref="W4">
      <formula1>W1009</formula1>
      <formula2>W1010</formula2>
    </dataValidation>
    <dataValidation type="whole" allowBlank="1" showInputMessage="1" showErrorMessage="1" errorTitle="Data non corretta" error="Il sistema accetta solo una data compresa nell' intervallo di tempo impostato nel foglio PRESENTAZIONE." sqref="W6:W21">
      <formula1>W1017</formula1>
      <formula2>W1018</formula2>
    </dataValidation>
    <dataValidation type="whole" allowBlank="1" showInputMessage="1" showErrorMessage="1" errorTitle="Data non corretta" error="Il sistema accetta solo una data compresa nell' intervallo di tempo impostato nel foglio PRESENTAZIONE." sqref="W5">
      <formula1>W1010</formula1>
      <formula2>W1017</formula2>
    </dataValidation>
    <dataValidation type="whole" allowBlank="1" showInputMessage="1" showErrorMessage="1" errorTitle="Data non corretta" error="Il sistema accetta solo una data compresa nell' intervallo di tempo impostato nel foglio PRESENTAZIONE." sqref="W388 W205:W207 W53:W107 W130:W132">
      <formula1>#REF!</formula1>
      <formula2>#REF!</formula2>
    </dataValidation>
    <dataValidation type="whole" allowBlank="1" showInputMessage="1" showErrorMessage="1" errorTitle="Data non corretta" error="Il sistema accetta solo una data compresa nell' intervallo di tempo impostato nel foglio PRESENTAZIONE." sqref="W387">
      <formula1>W1336</formula1>
      <formula2>#REF!</formula2>
    </dataValidation>
    <dataValidation type="whole" allowBlank="1" showInputMessage="1" showErrorMessage="1" errorTitle="Data non corretta" error="Il sistema accetta solo una data compresa nell' intervallo di tempo impostato nel foglio PRESENTAZIONE." sqref="W389">
      <formula1>#REF!</formula1>
      <formula2>W1337</formula2>
    </dataValidation>
    <dataValidation type="whole" allowBlank="1" showInputMessage="1" showErrorMessage="1" errorTitle="Data non corretta" error="Il sistema accetta solo una data compresa nell' intervallo di tempo impostato nel foglio PRESENTAZIONE." sqref="W209:W386">
      <formula1>W1158</formula1>
      <formula2>W1159</formula2>
    </dataValidation>
    <dataValidation type="whole" allowBlank="1" showInputMessage="1" showErrorMessage="1" errorTitle="Data non corretta" error="Il sistema accetta solo una data compresa nell' intervallo di tempo impostato nel foglio PRESENTAZIONE." sqref="W204">
      <formula1>W1157</formula1>
      <formula2>#REF!</formula2>
    </dataValidation>
    <dataValidation type="whole" allowBlank="1" showInputMessage="1" showErrorMessage="1" errorTitle="Data non corretta" error="Il sistema accetta solo una data compresa nell' intervallo di tempo impostato nel foglio PRESENTAZIONE." sqref="W208">
      <formula1>#REF!</formula1>
      <formula2>W1158</formula2>
    </dataValidation>
    <dataValidation type="whole" allowBlank="1" showInputMessage="1" showErrorMessage="1" errorTitle="Data non corretta" error="Il sistema accetta solo una data compresa nell' intervallo di tempo impostato nel foglio PRESENTAZIONE." sqref="W109:W125">
      <formula1>W1068</formula1>
      <formula2>W1069</formula2>
    </dataValidation>
    <dataValidation type="whole" allowBlank="1" showInputMessage="1" showErrorMessage="1" errorTitle="Data non corretta" error="Il sistema accetta solo una data compresa nell' intervallo di tempo impostato nel foglio PRESENTAZIONE." sqref="W108">
      <formula1>#REF!</formula1>
      <formula2>W1068</formula2>
    </dataValidation>
    <dataValidation type="whole" allowBlank="1" showInputMessage="1" showErrorMessage="1" errorTitle="Data non corretta" error="Il sistema accetta solo una data compresa nell' intervallo di tempo impostato nel foglio PRESENTAZIONE." sqref="W52">
      <formula1>W1067</formula1>
      <formula2>#REF!</formula2>
    </dataValidation>
    <dataValidation type="list" allowBlank="1" showInputMessage="1" showErrorMessage="1" sqref="AF2">
      <formula1>$M$1057:$M$1067</formula1>
    </dataValidation>
    <dataValidation type="whole" allowBlank="1" showInputMessage="1" showErrorMessage="1" errorTitle="Data non corretta" error="Il sistema accetta solo una data compresa nell' intervallo di tempo impostato nel foglio PRESENTAZIONE." sqref="W390:W1002">
      <formula1>W1337</formula1>
      <formula2>W1338</formula2>
    </dataValidation>
    <dataValidation type="whole" allowBlank="1" showInputMessage="1" showErrorMessage="1" errorTitle="Data non corretta" error="Il sistema accetta solo una data compresa nell' intervallo di tempo impostato nel foglio PRESENTAZIONE." sqref="W1003">
      <formula1>W2950</formula1>
      <formula2>W2951</formula2>
    </dataValidation>
    <dataValidation type="list" allowBlank="1" showInputMessage="1" showErrorMessage="1" sqref="X4:X1003">
      <formula1>$H$1056:$H$1068</formula1>
    </dataValidation>
    <dataValidation type="whole" allowBlank="1" showInputMessage="1" showErrorMessage="1" errorTitle="Data non corretta" error="Il sistema accetta solo una data compresa nell' intervallo di tempo impostato nel foglio PRESENTAZIONE." sqref="W129">
      <formula1>W1086</formula1>
      <formula2>#REF!</formula2>
    </dataValidation>
    <dataValidation type="whole" allowBlank="1" showInputMessage="1" showErrorMessage="1" errorTitle="Data non corretta" error="Il sistema accetta solo una data compresa nell' intervallo di tempo impostato nel foglio PRESENTAZIONE." sqref="W134:W203">
      <formula1>W1087</formula1>
      <formula2>W1088</formula2>
    </dataValidation>
    <dataValidation type="whole" allowBlank="1" showInputMessage="1" showErrorMessage="1" errorTitle="Data non corretta" error="Il sistema accetta solo una data compresa nell' intervallo di tempo impostato nel foglio PRESENTAZIONE." sqref="W133">
      <formula1>#REF!</formula1>
      <formula2>W1087</formula2>
    </dataValidation>
    <dataValidation type="whole" allowBlank="1" showInputMessage="1" showErrorMessage="1" errorTitle="Data non corretta" error="Il sistema accetta solo una data compresa nell' intervallo di tempo impostato nel foglio PRESENTAZIONE." sqref="W23:W32">
      <formula1>W1041</formula1>
      <formula2>W1042</formula2>
    </dataValidation>
    <dataValidation type="whole" allowBlank="1" showInputMessage="1" showErrorMessage="1" errorTitle="Data non corretta" error="Il sistema accetta solo una data compresa nell' intervallo di tempo impostato nel foglio PRESENTAZIONE." sqref="W37:W51">
      <formula1>W1052</formula1>
      <formula2>W1053</formula2>
    </dataValidation>
    <dataValidation type="whole" allowBlank="1" showInputMessage="1" showErrorMessage="1" errorTitle="Data non corretta" error="Il sistema accetta solo una data compresa nell' intervallo di tempo impostato nel foglio PRESENTAZIONE." sqref="W34:W35">
      <formula1>#REF!</formula1>
      <formula2>#REF!</formula2>
    </dataValidation>
    <dataValidation type="whole" allowBlank="1" showInputMessage="1" showErrorMessage="1" errorTitle="Data non corretta" error="Il sistema accetta solo una data compresa nell' intervallo di tempo impostato nel foglio PRESENTAZIONE." sqref="W33">
      <formula1>W1051</formula1>
      <formula2>#REF!</formula2>
    </dataValidation>
    <dataValidation type="whole" allowBlank="1" showInputMessage="1" showErrorMessage="1" errorTitle="Data non corretta" error="Il sistema accetta solo una data compresa nell' intervallo di tempo impostato nel foglio PRESENTAZIONE." sqref="W36">
      <formula1>#REF!</formula1>
      <formula2>W1052</formula2>
    </dataValidation>
    <dataValidation type="whole" allowBlank="1" showInputMessage="1" showErrorMessage="1" errorTitle="Data non corretta" error="Il sistema accetta solo una data compresa nell' intervallo di tempo impostato nel foglio PRESENTAZIONE." sqref="W126">
      <formula1>W1085</formula1>
      <formula2>W1036</formula2>
    </dataValidation>
    <dataValidation type="whole" allowBlank="1" showInputMessage="1" showErrorMessage="1" errorTitle="Data non corretta" error="Il sistema accetta solo una data compresa nell' intervallo di tempo impostato nel foglio PRESENTAZIONE." sqref="W128">
      <formula1>W1037</formula1>
      <formula2>W1086</formula2>
    </dataValidation>
  </dataValidations>
  <hyperlinks>
    <hyperlink ref="H2:I2" location="PATRIMONIALE!AA4" display="VAI AL REGISTRO"/>
    <hyperlink ref="Z1" location="PATRIMONIALE!A4" display="Vai al riepilogo"/>
    <hyperlink ref="Q50:Q52" location="COSTI!P4" display="QUI"/>
    <hyperlink ref="Q50" location="ENTI!P4" display="QUI"/>
    <hyperlink ref="Q52" location="PATRIMONIALE!P4" display="QUI"/>
  </hyperlinks>
  <printOptions horizontalCentered="1"/>
  <pageMargins left="0" right="0" top="0.39370078740157483" bottom="0" header="0.51181102362204722" footer="0.51181102362204722"/>
  <pageSetup paperSize="9" scale="75" orientation="landscape" verticalDpi="300" r:id="rId1"/>
  <headerFooter alignWithMargins="0"/>
  <rowBreaks count="1" manualBreakCount="1">
    <brk id="29" max="1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W124"/>
  <sheetViews>
    <sheetView showGridLines="0" showRowColHeaders="0" zoomScaleNormal="100" workbookViewId="0"/>
  </sheetViews>
  <sheetFormatPr defaultRowHeight="12.75"/>
  <cols>
    <col min="1" max="1" width="3.42578125" style="2" customWidth="1"/>
    <col min="2" max="2" width="4.140625" style="2" customWidth="1"/>
    <col min="3" max="3" width="12.7109375" style="2" customWidth="1"/>
    <col min="4" max="4" width="3.140625" style="2" customWidth="1"/>
    <col min="5" max="5" width="10" style="2" customWidth="1"/>
    <col min="6" max="17" width="10.7109375" style="2" customWidth="1"/>
    <col min="18" max="18" width="1.28515625" style="2" customWidth="1"/>
    <col min="19" max="19" width="12.85546875" style="2" customWidth="1"/>
    <col min="20" max="20" width="5" style="2" customWidth="1"/>
    <col min="21" max="22" width="9.140625" style="2" hidden="1" customWidth="1"/>
    <col min="23" max="23" width="9.140625" style="2" customWidth="1"/>
    <col min="24" max="16384" width="9.140625" style="2"/>
  </cols>
  <sheetData>
    <row r="1" spans="1:23" ht="18" customHeight="1">
      <c r="A1" s="396"/>
      <c r="B1" s="1241" t="str">
        <f>IF(J122=1,E116,E114)</f>
        <v>TITOLARE del sistema:</v>
      </c>
      <c r="C1" s="1241"/>
      <c r="D1" s="1241"/>
      <c r="E1" s="1241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1"/>
      <c r="V1" s="1"/>
      <c r="W1" s="1"/>
    </row>
    <row r="2" spans="1:23" ht="18.75" customHeight="1">
      <c r="A2" s="3"/>
      <c r="B2" s="1569" t="str">
        <f>IF(J122=1,E117,E115)</f>
        <v>Inserisci qui il NOME   -   P.I./C.F codice fiscale condominio</v>
      </c>
      <c r="C2" s="1569"/>
      <c r="D2" s="1569"/>
      <c r="E2" s="1569"/>
      <c r="F2" s="1569"/>
      <c r="G2" s="1569"/>
      <c r="H2" s="1569"/>
      <c r="I2" s="1569"/>
      <c r="J2" s="1219" t="s">
        <v>171</v>
      </c>
      <c r="K2" s="1219"/>
      <c r="L2" s="1219"/>
      <c r="M2" s="1219"/>
      <c r="N2" s="1219"/>
      <c r="O2" s="1219"/>
      <c r="P2" s="1219"/>
      <c r="Q2" s="1219"/>
      <c r="R2" s="1219"/>
      <c r="S2" s="1219"/>
      <c r="T2" s="3"/>
      <c r="U2" s="1"/>
      <c r="V2" s="1"/>
      <c r="W2" s="1"/>
    </row>
    <row r="3" spans="1:23" ht="18.75" customHeight="1">
      <c r="A3" s="3"/>
      <c r="B3" s="325"/>
      <c r="C3" s="325"/>
      <c r="D3" s="325"/>
      <c r="E3" s="325"/>
      <c r="F3" s="325"/>
      <c r="G3" s="325"/>
      <c r="H3" s="325"/>
      <c r="I3" s="325"/>
      <c r="J3" s="324"/>
      <c r="K3" s="324"/>
      <c r="L3" s="324"/>
      <c r="M3" s="324"/>
      <c r="N3" s="324"/>
      <c r="O3" s="324"/>
      <c r="P3" s="324"/>
      <c r="Q3" s="324"/>
      <c r="R3" s="324"/>
      <c r="S3" s="549" t="str">
        <f>Presentazione!K26</f>
        <v>EURO</v>
      </c>
      <c r="T3" s="3"/>
      <c r="U3" s="1"/>
      <c r="V3" s="1"/>
      <c r="W3" s="1"/>
    </row>
    <row r="4" spans="1:23" ht="18.75" customHeight="1">
      <c r="A4" s="3"/>
      <c r="B4" s="1240" t="s">
        <v>13</v>
      </c>
      <c r="C4" s="1240"/>
      <c r="D4" s="1240"/>
      <c r="E4" s="386">
        <f>Presentazione!$J$26</f>
        <v>2024</v>
      </c>
      <c r="F4" s="223" t="str">
        <f>Presentazione!B204</f>
        <v>GEN</v>
      </c>
      <c r="G4" s="223" t="str">
        <f>Presentazione!C204</f>
        <v>FEB</v>
      </c>
      <c r="H4" s="223" t="str">
        <f>Presentazione!D204</f>
        <v>MAR</v>
      </c>
      <c r="I4" s="223" t="str">
        <f>Presentazione!E204</f>
        <v>APR</v>
      </c>
      <c r="J4" s="223" t="str">
        <f>Presentazione!F204</f>
        <v>MAG</v>
      </c>
      <c r="K4" s="223" t="str">
        <f>Presentazione!G204</f>
        <v>GIU</v>
      </c>
      <c r="L4" s="223" t="str">
        <f>Presentazione!H204</f>
        <v>LUG</v>
      </c>
      <c r="M4" s="223" t="str">
        <f>Presentazione!I204</f>
        <v>AGO</v>
      </c>
      <c r="N4" s="223" t="str">
        <f>Presentazione!J204</f>
        <v>SET</v>
      </c>
      <c r="O4" s="223" t="str">
        <f>Presentazione!K204</f>
        <v>OTT</v>
      </c>
      <c r="P4" s="223" t="str">
        <f>Presentazione!L204</f>
        <v>NOV</v>
      </c>
      <c r="Q4" s="223" t="str">
        <f>Presentazione!M204</f>
        <v>DIC</v>
      </c>
      <c r="R4" s="379"/>
      <c r="S4" s="223" t="s">
        <v>334</v>
      </c>
      <c r="T4" s="3"/>
      <c r="U4" s="1"/>
      <c r="V4" s="1"/>
      <c r="W4" s="1"/>
    </row>
    <row r="5" spans="1:23" ht="16.5" customHeight="1">
      <c r="A5" s="3"/>
      <c r="B5" s="1573" t="s">
        <v>105</v>
      </c>
      <c r="C5" s="1573"/>
      <c r="D5" s="1573"/>
      <c r="E5" s="1574"/>
      <c r="F5" s="861">
        <f ca="1">((F9*-1)-F12)*-1</f>
        <v>-355</v>
      </c>
      <c r="G5" s="862">
        <f t="shared" ref="G5:Q5" ca="1" si="0">((G9*-1)-G12)*-1</f>
        <v>-250</v>
      </c>
      <c r="H5" s="862">
        <f t="shared" ca="1" si="0"/>
        <v>-200</v>
      </c>
      <c r="I5" s="862">
        <f t="shared" ca="1" si="0"/>
        <v>50</v>
      </c>
      <c r="J5" s="862">
        <f t="shared" ca="1" si="0"/>
        <v>-50</v>
      </c>
      <c r="K5" s="862">
        <f t="shared" ca="1" si="0"/>
        <v>50</v>
      </c>
      <c r="L5" s="862">
        <f t="shared" ca="1" si="0"/>
        <v>-50</v>
      </c>
      <c r="M5" s="862">
        <f t="shared" ca="1" si="0"/>
        <v>300</v>
      </c>
      <c r="N5" s="862">
        <f t="shared" ca="1" si="0"/>
        <v>50</v>
      </c>
      <c r="O5" s="862">
        <f t="shared" ca="1" si="0"/>
        <v>-100</v>
      </c>
      <c r="P5" s="862">
        <f t="shared" ca="1" si="0"/>
        <v>50</v>
      </c>
      <c r="Q5" s="863">
        <f t="shared" ca="1" si="0"/>
        <v>-100</v>
      </c>
      <c r="R5" s="3"/>
      <c r="S5" s="864">
        <f ca="1">SUM(F5:Q5)</f>
        <v>-605</v>
      </c>
      <c r="T5" s="3"/>
      <c r="U5" s="1"/>
      <c r="V5" s="1"/>
      <c r="W5" s="1"/>
    </row>
    <row r="6" spans="1:23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1"/>
      <c r="V6" s="1"/>
      <c r="W6" s="1"/>
    </row>
    <row r="7" spans="1:23" ht="6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1"/>
      <c r="V7" s="1"/>
      <c r="W7" s="1"/>
    </row>
    <row r="8" spans="1:23" ht="16.5" customHeight="1">
      <c r="A8" s="3"/>
      <c r="B8" s="1575" t="s">
        <v>47</v>
      </c>
      <c r="C8" s="1575"/>
      <c r="D8" s="1575"/>
      <c r="E8" s="1575"/>
      <c r="F8" s="375" t="str">
        <f>Presentazione!B206</f>
        <v>Gennaio</v>
      </c>
      <c r="G8" s="375" t="str">
        <f>Presentazione!C206</f>
        <v>Febbraio</v>
      </c>
      <c r="H8" s="375" t="str">
        <f>Presentazione!D206</f>
        <v>Marzo</v>
      </c>
      <c r="I8" s="375" t="str">
        <f>Presentazione!E206</f>
        <v>Aprile</v>
      </c>
      <c r="J8" s="375" t="str">
        <f>Presentazione!F206</f>
        <v>Maggio</v>
      </c>
      <c r="K8" s="375" t="str">
        <f>Presentazione!G206</f>
        <v>Giugno</v>
      </c>
      <c r="L8" s="375" t="str">
        <f>Presentazione!H206</f>
        <v>Luglio</v>
      </c>
      <c r="M8" s="375" t="str">
        <f>Presentazione!I206</f>
        <v>Agosto</v>
      </c>
      <c r="N8" s="375" t="str">
        <f>Presentazione!J206</f>
        <v>Settembre</v>
      </c>
      <c r="O8" s="375" t="str">
        <f>Presentazione!K206</f>
        <v>Ottobre</v>
      </c>
      <c r="P8" s="375" t="str">
        <f>Presentazione!L206</f>
        <v>Novembre</v>
      </c>
      <c r="Q8" s="375" t="str">
        <f>Presentazione!M206</f>
        <v>Dicembre</v>
      </c>
      <c r="R8" s="3"/>
      <c r="S8" s="26" t="s">
        <v>334</v>
      </c>
      <c r="T8" s="3"/>
      <c r="U8" s="1"/>
      <c r="V8" s="1"/>
      <c r="W8" s="1"/>
    </row>
    <row r="9" spans="1:23" ht="18" customHeight="1">
      <c r="A9" s="27"/>
      <c r="B9" s="1560" t="str">
        <f>COSTI!B6</f>
        <v>COSTI del CONDOMINIO</v>
      </c>
      <c r="C9" s="1561"/>
      <c r="D9" s="1561"/>
      <c r="E9" s="1562"/>
      <c r="F9" s="476">
        <f ca="1">COSTI!F6*-1</f>
        <v>-505</v>
      </c>
      <c r="G9" s="477">
        <f ca="1">COSTI!G6*-1</f>
        <v>-500</v>
      </c>
      <c r="H9" s="477">
        <f ca="1">COSTI!H6*-1</f>
        <v>-350</v>
      </c>
      <c r="I9" s="477">
        <f ca="1">COSTI!I6*-1</f>
        <v>-300</v>
      </c>
      <c r="J9" s="477">
        <f ca="1">COSTI!J6*-1</f>
        <v>-250</v>
      </c>
      <c r="K9" s="477">
        <f ca="1">COSTI!K6*-1</f>
        <v>-100</v>
      </c>
      <c r="L9" s="477">
        <f ca="1">COSTI!L6*-1</f>
        <v>-150</v>
      </c>
      <c r="M9" s="477">
        <f ca="1">COSTI!M6*-1</f>
        <v>-100</v>
      </c>
      <c r="N9" s="477">
        <f ca="1">COSTI!N6*-1</f>
        <v>-150</v>
      </c>
      <c r="O9" s="477">
        <f ca="1">COSTI!O6*-1</f>
        <v>-200</v>
      </c>
      <c r="P9" s="477">
        <f ca="1">COSTI!P6*-1</f>
        <v>-300</v>
      </c>
      <c r="Q9" s="478">
        <f ca="1">COSTI!Q6*-1</f>
        <v>-300</v>
      </c>
      <c r="R9" s="27"/>
      <c r="S9" s="864">
        <f ca="1">SUM(F9:Q9)</f>
        <v>-3205</v>
      </c>
      <c r="T9" s="27"/>
      <c r="U9" s="1"/>
      <c r="V9" s="1"/>
      <c r="W9" s="1"/>
    </row>
    <row r="10" spans="1:23" ht="18" customHeight="1">
      <c r="A10" s="334"/>
      <c r="B10" s="1578" t="s">
        <v>96</v>
      </c>
      <c r="C10" s="1579"/>
      <c r="D10" s="1579"/>
      <c r="E10" s="1580"/>
      <c r="F10" s="479">
        <f ca="1">((SUM(PATRIMONIALE!F34:F38)-SUM(PATRIMONIALE!E34:E38)))</f>
        <v>-355</v>
      </c>
      <c r="G10" s="480">
        <f ca="1">((SUM(PATRIMONIALE!G34:G38)-SUM(PATRIMONIALE!F34:F38)))</f>
        <v>-250</v>
      </c>
      <c r="H10" s="480">
        <f ca="1">((SUM(PATRIMONIALE!H34:H38)-SUM(PATRIMONIALE!G34:G38)))</f>
        <v>-200</v>
      </c>
      <c r="I10" s="480">
        <f ca="1">((SUM(PATRIMONIALE!I34:I38)-SUM(PATRIMONIALE!H34:H38)))</f>
        <v>50</v>
      </c>
      <c r="J10" s="480">
        <f ca="1">((SUM(PATRIMONIALE!J34:J38)-SUM(PATRIMONIALE!I34:I38)))</f>
        <v>-50</v>
      </c>
      <c r="K10" s="480">
        <f ca="1">((SUM(PATRIMONIALE!K34:K38)-SUM(PATRIMONIALE!J34:J38)))</f>
        <v>50</v>
      </c>
      <c r="L10" s="480">
        <f ca="1">((SUM(PATRIMONIALE!L34:L38)-SUM(PATRIMONIALE!K34:K38)))</f>
        <v>-50</v>
      </c>
      <c r="M10" s="480">
        <f ca="1">((SUM(PATRIMONIALE!M34:M38)-SUM(PATRIMONIALE!L34:L38)))</f>
        <v>299.99999999999994</v>
      </c>
      <c r="N10" s="480">
        <f ca="1">((SUM(PATRIMONIALE!N34:N38)-SUM(PATRIMONIALE!M34:M38)))</f>
        <v>50</v>
      </c>
      <c r="O10" s="480">
        <f ca="1">((SUM(PATRIMONIALE!O34:O38)-SUM(PATRIMONIALE!N34:N38)))</f>
        <v>-129.58999999999997</v>
      </c>
      <c r="P10" s="480">
        <f ca="1">((SUM(PATRIMONIALE!P34:P38)-SUM(PATRIMONIALE!O34:O38)))</f>
        <v>50</v>
      </c>
      <c r="Q10" s="481">
        <f ca="1">((SUM(PATRIMONIALE!Q34:Q38)-SUM(PATRIMONIALE!P34:P38)))</f>
        <v>-102.17000000000007</v>
      </c>
      <c r="R10" s="27"/>
      <c r="S10" s="474">
        <f ca="1">SUM(F10:Q10)</f>
        <v>-636.7600000000001</v>
      </c>
      <c r="T10" s="27"/>
      <c r="U10" s="1"/>
      <c r="V10" s="1"/>
      <c r="W10" s="1"/>
    </row>
    <row r="11" spans="1:23" ht="18" customHeight="1">
      <c r="A11" s="335"/>
      <c r="B11" s="1581" t="s">
        <v>97</v>
      </c>
      <c r="C11" s="1582"/>
      <c r="D11" s="1582"/>
      <c r="E11" s="1583"/>
      <c r="F11" s="482">
        <f ca="1">SUM(PATRIMONIALE!F9:F15)-SUM(PATRIMONIALE!E9:E15)</f>
        <v>-50</v>
      </c>
      <c r="G11" s="483">
        <f ca="1">SUM(PATRIMONIALE!G9:G15)-SUM(PATRIMONIALE!F9:F15)</f>
        <v>-50</v>
      </c>
      <c r="H11" s="483">
        <f ca="1">SUM(PATRIMONIALE!H9:H15)-SUM(PATRIMONIALE!G9:G15)</f>
        <v>-305</v>
      </c>
      <c r="I11" s="483">
        <f ca="1">SUM(PATRIMONIALE!I9:I15)-SUM(PATRIMONIALE!H9:H15)</f>
        <v>250</v>
      </c>
      <c r="J11" s="483">
        <f ca="1">SUM(PATRIMONIALE!J9:J15)-SUM(PATRIMONIALE!I9:I15)</f>
        <v>50</v>
      </c>
      <c r="K11" s="483">
        <f ca="1">SUM(PATRIMONIALE!K9:K15)-SUM(PATRIMONIALE!J9:J15)</f>
        <v>50</v>
      </c>
      <c r="L11" s="483">
        <f ca="1">SUM(PATRIMONIALE!L9:L15)-SUM(PATRIMONIALE!K9:K15)</f>
        <v>-50</v>
      </c>
      <c r="M11" s="483">
        <f ca="1">SUM(PATRIMONIALE!M9:M15)-SUM(PATRIMONIALE!L9:L15)</f>
        <v>300</v>
      </c>
      <c r="N11" s="483">
        <f ca="1">SUM(PATRIMONIALE!N9:N15)-SUM(PATRIMONIALE!M9:M15)</f>
        <v>50</v>
      </c>
      <c r="O11" s="483">
        <f ca="1">SUM(PATRIMONIALE!O9:O15)-SUM(PATRIMONIALE!N9:N15)</f>
        <v>-129.58999999999992</v>
      </c>
      <c r="P11" s="483">
        <f ca="1">SUM(PATRIMONIALE!P9:P15)-SUM(PATRIMONIALE!O9:O15)</f>
        <v>50</v>
      </c>
      <c r="Q11" s="484">
        <f ca="1">SUM(PATRIMONIALE!Q9:Q15)-SUM(PATRIMONIALE!P9:P15)</f>
        <v>-102.17000000000007</v>
      </c>
      <c r="R11" s="27"/>
      <c r="S11" s="475">
        <f ca="1">SUM(F11:Q11)</f>
        <v>63.240000000000009</v>
      </c>
      <c r="T11" s="27"/>
      <c r="U11" s="1"/>
      <c r="V11" s="1"/>
      <c r="W11" s="1"/>
    </row>
    <row r="12" spans="1:23" ht="18" customHeight="1">
      <c r="A12" s="27"/>
      <c r="B12" s="1560" t="s">
        <v>104</v>
      </c>
      <c r="C12" s="1561"/>
      <c r="D12" s="1561"/>
      <c r="E12" s="1562"/>
      <c r="F12" s="476">
        <f>ENTI!F6</f>
        <v>150</v>
      </c>
      <c r="G12" s="477">
        <f>ENTI!G6</f>
        <v>250</v>
      </c>
      <c r="H12" s="477">
        <f>ENTI!H6</f>
        <v>150</v>
      </c>
      <c r="I12" s="477">
        <f>ENTI!I6</f>
        <v>350</v>
      </c>
      <c r="J12" s="477">
        <f>ENTI!J6</f>
        <v>200</v>
      </c>
      <c r="K12" s="477">
        <f>ENTI!K6</f>
        <v>150</v>
      </c>
      <c r="L12" s="477">
        <f>ENTI!L6</f>
        <v>100</v>
      </c>
      <c r="M12" s="477">
        <f>ENTI!M6</f>
        <v>400</v>
      </c>
      <c r="N12" s="477">
        <f>ENTI!N6</f>
        <v>200</v>
      </c>
      <c r="O12" s="477">
        <f>ENTI!O6</f>
        <v>100</v>
      </c>
      <c r="P12" s="477">
        <f>ENTI!P6</f>
        <v>350</v>
      </c>
      <c r="Q12" s="478">
        <f>ENTI!Q6</f>
        <v>200</v>
      </c>
      <c r="R12" s="27"/>
      <c r="S12" s="864">
        <f>SUM(F12:Q12)</f>
        <v>2600</v>
      </c>
      <c r="T12" s="27"/>
      <c r="U12" s="1"/>
      <c r="V12" s="1"/>
      <c r="W12" s="1"/>
    </row>
    <row r="13" spans="1:23" ht="19.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59" t="s">
        <v>111</v>
      </c>
      <c r="R13" s="1"/>
      <c r="S13" s="768">
        <f ca="1">S9+S12+(S5*-1)</f>
        <v>0</v>
      </c>
      <c r="T13" s="1"/>
      <c r="U13" s="1"/>
      <c r="V13" s="1"/>
      <c r="W13" s="1"/>
    </row>
    <row r="14" spans="1:23" ht="16.5" customHeight="1">
      <c r="A14" s="1"/>
      <c r="B14" s="1"/>
      <c r="C14" s="1"/>
      <c r="D14" s="1"/>
      <c r="E14" s="1"/>
      <c r="F14" s="860">
        <f ca="1">IF(F88&gt;0,F88,0)</f>
        <v>0</v>
      </c>
      <c r="G14" s="860">
        <f t="shared" ref="G14:Q14" ca="1" si="1">IF(G88&gt;0,G88,0)</f>
        <v>0</v>
      </c>
      <c r="H14" s="860">
        <f t="shared" ca="1" si="1"/>
        <v>0</v>
      </c>
      <c r="I14" s="860">
        <f t="shared" ca="1" si="1"/>
        <v>50</v>
      </c>
      <c r="J14" s="860">
        <f t="shared" ca="1" si="1"/>
        <v>0</v>
      </c>
      <c r="K14" s="860">
        <f t="shared" ca="1" si="1"/>
        <v>50</v>
      </c>
      <c r="L14" s="860">
        <f t="shared" ca="1" si="1"/>
        <v>0</v>
      </c>
      <c r="M14" s="860">
        <f t="shared" ca="1" si="1"/>
        <v>300</v>
      </c>
      <c r="N14" s="860">
        <f t="shared" ca="1" si="1"/>
        <v>50</v>
      </c>
      <c r="O14" s="860">
        <f t="shared" ca="1" si="1"/>
        <v>0</v>
      </c>
      <c r="P14" s="860">
        <f t="shared" ca="1" si="1"/>
        <v>50</v>
      </c>
      <c r="Q14" s="860">
        <f t="shared" ca="1" si="1"/>
        <v>0</v>
      </c>
      <c r="R14" s="1"/>
      <c r="S14" s="1"/>
      <c r="T14" s="1"/>
      <c r="U14" s="1"/>
      <c r="V14" s="1"/>
      <c r="W14" s="1"/>
    </row>
    <row r="15" spans="1:23" ht="6" customHeight="1">
      <c r="A15" s="1"/>
      <c r="B15" s="1"/>
      <c r="C15" s="1"/>
      <c r="D15" s="1"/>
      <c r="E15" s="1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1"/>
      <c r="S15" s="1"/>
      <c r="T15" s="1"/>
      <c r="U15" s="1"/>
      <c r="V15" s="1"/>
      <c r="W15" s="1"/>
    </row>
    <row r="16" spans="1:23" ht="7.5" customHeight="1">
      <c r="A16" s="1"/>
      <c r="B16" s="1"/>
      <c r="C16" s="337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7.5" customHeight="1">
      <c r="A17" s="1"/>
      <c r="B17" s="1"/>
      <c r="C17" s="337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7.5" customHeight="1">
      <c r="A18" s="1"/>
      <c r="B18" s="1"/>
      <c r="C18" s="33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7.5" customHeight="1">
      <c r="A19" s="1"/>
      <c r="B19" s="1565" t="s">
        <v>108</v>
      </c>
      <c r="C19" s="1565"/>
      <c r="D19" s="1565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7.5" customHeight="1">
      <c r="A20" s="1"/>
      <c r="B20" s="1565"/>
      <c r="C20" s="1565"/>
      <c r="D20" s="1565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7.5" customHeight="1">
      <c r="A21" s="1"/>
      <c r="B21" s="1"/>
      <c r="C21" s="337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7.5" customHeight="1">
      <c r="A22" s="1"/>
      <c r="B22" s="1"/>
      <c r="C22" s="337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7.5" customHeight="1">
      <c r="A23" s="1"/>
      <c r="B23" s="1"/>
      <c r="C23" s="337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7.5" customHeight="1">
      <c r="A24" s="1"/>
      <c r="B24" s="1590" t="s">
        <v>253</v>
      </c>
      <c r="C24" s="1590"/>
      <c r="D24" s="1590"/>
      <c r="E24" s="1590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7.5" customHeight="1">
      <c r="A25" s="1"/>
      <c r="B25" s="1590"/>
      <c r="C25" s="1590"/>
      <c r="D25" s="1590"/>
      <c r="E25" s="1590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1"/>
      <c r="S25" s="1"/>
      <c r="T25" s="1"/>
      <c r="U25" s="1"/>
      <c r="V25" s="1"/>
      <c r="W25" s="1"/>
    </row>
    <row r="26" spans="1:23" ht="6" customHeight="1">
      <c r="A26" s="1"/>
      <c r="B26" s="1563" t="s">
        <v>107</v>
      </c>
      <c r="C26" s="1564"/>
      <c r="D26" s="1564"/>
      <c r="E26" s="1564"/>
      <c r="G26" s="338"/>
      <c r="H26" s="338"/>
      <c r="I26" s="338"/>
      <c r="J26" s="338"/>
      <c r="K26" s="338"/>
      <c r="L26" s="338"/>
      <c r="M26" s="338"/>
      <c r="N26" s="338"/>
      <c r="O26" s="338"/>
      <c r="P26" s="338"/>
      <c r="Q26" s="338"/>
      <c r="R26" s="46"/>
      <c r="S26" s="46"/>
      <c r="T26" s="1"/>
      <c r="U26" s="1"/>
      <c r="V26" s="1"/>
      <c r="W26" s="1"/>
    </row>
    <row r="27" spans="1:23" ht="7.5" customHeight="1">
      <c r="A27" s="1"/>
      <c r="B27" s="1564"/>
      <c r="C27" s="1564"/>
      <c r="D27" s="1564"/>
      <c r="E27" s="1564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1"/>
      <c r="S27" s="1"/>
      <c r="T27" s="1"/>
      <c r="U27" s="1"/>
      <c r="V27" s="1"/>
      <c r="W27" s="1"/>
    </row>
    <row r="28" spans="1:23" ht="7.5" customHeight="1">
      <c r="A28" s="1"/>
      <c r="B28" s="1564"/>
      <c r="C28" s="1564"/>
      <c r="D28" s="1564"/>
      <c r="E28" s="156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7.5" customHeight="1">
      <c r="A29" s="1"/>
      <c r="B29" s="1"/>
      <c r="C29" s="337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7.5" customHeight="1">
      <c r="A30" s="1"/>
      <c r="B30" s="1"/>
      <c r="C30" s="33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7.5" customHeight="1">
      <c r="A31" s="1"/>
      <c r="B31" s="1"/>
      <c r="C31" s="337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7.5" customHeight="1">
      <c r="A32" s="1"/>
      <c r="B32" s="1"/>
      <c r="C32" s="337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7.5" customHeight="1">
      <c r="A33" s="1"/>
      <c r="B33" s="1568" t="s">
        <v>109</v>
      </c>
      <c r="C33" s="1568"/>
      <c r="D33" s="1568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7.5" customHeight="1">
      <c r="A34" s="1"/>
      <c r="B34" s="1568"/>
      <c r="C34" s="1568"/>
      <c r="D34" s="1568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ht="7.5" customHeight="1">
      <c r="A35" s="1"/>
      <c r="B35" s="1"/>
      <c r="C35" s="337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ht="7.5" customHeight="1">
      <c r="A36" s="1"/>
      <c r="B36" s="1"/>
      <c r="C36" s="337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6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6.5" customHeight="1">
      <c r="A38" s="1"/>
      <c r="B38" s="1"/>
      <c r="C38" s="1"/>
      <c r="D38" s="1"/>
      <c r="E38" s="1"/>
      <c r="F38" s="860">
        <f ca="1">IF(F88&gt;0,0,F88)</f>
        <v>-355</v>
      </c>
      <c r="G38" s="860">
        <f t="shared" ref="G38:Q38" ca="1" si="2">IF(G88&gt;0,0,G88)</f>
        <v>-250</v>
      </c>
      <c r="H38" s="860">
        <f t="shared" ca="1" si="2"/>
        <v>-200</v>
      </c>
      <c r="I38" s="860">
        <f t="shared" ca="1" si="2"/>
        <v>0</v>
      </c>
      <c r="J38" s="860">
        <f t="shared" ca="1" si="2"/>
        <v>-50</v>
      </c>
      <c r="K38" s="860">
        <f t="shared" ca="1" si="2"/>
        <v>0</v>
      </c>
      <c r="L38" s="860">
        <f t="shared" ca="1" si="2"/>
        <v>-50</v>
      </c>
      <c r="M38" s="860">
        <f t="shared" ca="1" si="2"/>
        <v>0</v>
      </c>
      <c r="N38" s="860">
        <f t="shared" ca="1" si="2"/>
        <v>0</v>
      </c>
      <c r="O38" s="860">
        <f t="shared" ca="1" si="2"/>
        <v>-100</v>
      </c>
      <c r="P38" s="860">
        <f t="shared" ca="1" si="2"/>
        <v>0</v>
      </c>
      <c r="Q38" s="860">
        <f t="shared" ca="1" si="2"/>
        <v>-100</v>
      </c>
      <c r="R38" s="1"/>
      <c r="S38" s="1"/>
      <c r="T38" s="1"/>
      <c r="U38" s="1"/>
      <c r="V38" s="1"/>
      <c r="W38" s="1"/>
    </row>
    <row r="39" spans="1:23" ht="16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6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835"/>
      <c r="M40" s="835"/>
      <c r="N40" s="835"/>
      <c r="O40" s="835"/>
      <c r="P40" s="835"/>
      <c r="Q40" s="1"/>
      <c r="R40" s="1"/>
      <c r="S40" s="1"/>
      <c r="T40" s="1"/>
      <c r="U40" s="1"/>
      <c r="V40" s="1"/>
      <c r="W40" s="1"/>
    </row>
    <row r="41" spans="1:23" ht="16.5" customHeight="1">
      <c r="A41" s="1"/>
      <c r="B41" s="1"/>
      <c r="C41" s="1"/>
      <c r="D41" s="1"/>
      <c r="E41" s="666" t="s">
        <v>204</v>
      </c>
      <c r="F41" s="1"/>
      <c r="G41" s="1"/>
      <c r="H41" s="1"/>
      <c r="I41" s="1"/>
      <c r="J41" s="1"/>
      <c r="K41" s="1"/>
      <c r="L41" s="835"/>
      <c r="M41" s="835"/>
      <c r="N41" s="835"/>
      <c r="O41" s="835"/>
      <c r="P41" s="835"/>
      <c r="Q41" s="1"/>
      <c r="R41" s="1"/>
      <c r="S41" s="1"/>
      <c r="T41" s="1"/>
      <c r="U41" s="1"/>
      <c r="V41" s="1"/>
      <c r="W41" s="1"/>
    </row>
    <row r="42" spans="1:23" ht="16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8" customHeight="1">
      <c r="A43" s="1"/>
      <c r="B43" s="1"/>
      <c r="C43" s="1"/>
      <c r="D43" s="1"/>
      <c r="E43" s="1576" t="s">
        <v>154</v>
      </c>
      <c r="F43" s="1576"/>
      <c r="G43" s="1576" t="s">
        <v>154</v>
      </c>
      <c r="H43" s="1576"/>
      <c r="I43" s="1"/>
      <c r="J43" s="1"/>
      <c r="K43" s="1"/>
      <c r="L43" s="1"/>
      <c r="M43" s="1576" t="s">
        <v>93</v>
      </c>
      <c r="N43" s="1576"/>
      <c r="O43" s="1576" t="s">
        <v>83</v>
      </c>
      <c r="P43" s="1576"/>
      <c r="Q43" s="1"/>
      <c r="R43" s="1"/>
      <c r="S43" s="1"/>
      <c r="T43" s="1"/>
      <c r="U43" s="1"/>
      <c r="V43" s="1"/>
      <c r="W43" s="1"/>
    </row>
    <row r="44" spans="1:23" ht="18" customHeight="1">
      <c r="A44" s="1"/>
      <c r="B44" s="1"/>
      <c r="C44" s="1"/>
      <c r="D44" s="1"/>
      <c r="E44" s="1577" t="s">
        <v>155</v>
      </c>
      <c r="F44" s="1577"/>
      <c r="G44" s="1577" t="s">
        <v>156</v>
      </c>
      <c r="H44" s="1577"/>
      <c r="I44" s="1572" t="s">
        <v>453</v>
      </c>
      <c r="J44" s="1572"/>
      <c r="K44" s="1"/>
      <c r="L44" s="1"/>
      <c r="M44" s="1577" t="s">
        <v>94</v>
      </c>
      <c r="N44" s="1577"/>
      <c r="O44" s="1577" t="s">
        <v>84</v>
      </c>
      <c r="P44" s="1577"/>
      <c r="Q44" s="1"/>
      <c r="R44" s="1"/>
      <c r="S44" s="1"/>
      <c r="T44" s="1"/>
      <c r="U44" s="1"/>
      <c r="V44" s="1"/>
      <c r="W44" s="1"/>
    </row>
    <row r="45" spans="1:23" ht="18" customHeight="1">
      <c r="A45" s="1"/>
      <c r="B45" s="1"/>
      <c r="C45" s="1"/>
      <c r="D45" s="780">
        <v>1</v>
      </c>
      <c r="E45" s="1566">
        <f>SUM(PATRIMONIALE!E34:E38)+PATRIMONIALE!E44</f>
        <v>0</v>
      </c>
      <c r="F45" s="1567"/>
      <c r="G45" s="1566">
        <f ca="1">SUM(U62:U78)+PATRIMONIALE!S44</f>
        <v>63.239999999999895</v>
      </c>
      <c r="H45" s="1567"/>
      <c r="I45" s="1570">
        <f ca="1">G45-E45</f>
        <v>63.239999999999895</v>
      </c>
      <c r="J45" s="1571"/>
      <c r="K45" s="339"/>
      <c r="L45" s="778" t="s">
        <v>176</v>
      </c>
      <c r="M45" s="1566">
        <f ca="1">COSTI!S6</f>
        <v>3205</v>
      </c>
      <c r="N45" s="1567"/>
      <c r="O45" s="1566">
        <f>SUM(V61:V77)</f>
        <v>2600</v>
      </c>
      <c r="P45" s="1567"/>
      <c r="Q45" s="1"/>
      <c r="R45" s="1"/>
      <c r="S45" s="1"/>
      <c r="T45" s="1"/>
      <c r="U45" s="1"/>
      <c r="V45" s="1"/>
      <c r="W45" s="1"/>
    </row>
    <row r="46" spans="1:23" ht="18" customHeight="1">
      <c r="A46" s="1"/>
      <c r="B46" s="1555" t="s">
        <v>615</v>
      </c>
      <c r="C46" s="1555"/>
      <c r="D46" s="1"/>
      <c r="E46" s="1584" t="s">
        <v>157</v>
      </c>
      <c r="F46" s="1584"/>
      <c r="G46" s="1584" t="s">
        <v>158</v>
      </c>
      <c r="H46" s="1584"/>
      <c r="I46" s="1"/>
      <c r="J46" s="1"/>
      <c r="K46" s="1"/>
      <c r="L46" s="1"/>
      <c r="M46" s="1584" t="s">
        <v>157</v>
      </c>
      <c r="N46" s="1584"/>
      <c r="O46" s="1584" t="s">
        <v>158</v>
      </c>
      <c r="P46" s="1584"/>
      <c r="Q46" s="1"/>
      <c r="R46" s="1"/>
      <c r="S46" s="1"/>
      <c r="T46" s="1"/>
      <c r="U46" s="1"/>
      <c r="V46" s="1"/>
      <c r="W46" s="1"/>
    </row>
    <row r="47" spans="1:23" ht="18" customHeight="1">
      <c r="A47" s="1"/>
      <c r="B47" s="1556">
        <f ca="1">IF(I45&lt;&gt;I49,I45-I49,0)</f>
        <v>-1.1368683772161603E-13</v>
      </c>
      <c r="C47" s="1556"/>
      <c r="D47" s="1"/>
      <c r="E47" s="1576" t="s">
        <v>110</v>
      </c>
      <c r="F47" s="1576"/>
      <c r="G47" s="1576" t="s">
        <v>95</v>
      </c>
      <c r="H47" s="1576"/>
      <c r="I47" s="1"/>
      <c r="J47" s="1"/>
      <c r="K47" s="1"/>
      <c r="L47" s="778" t="s">
        <v>177</v>
      </c>
      <c r="M47" s="1586">
        <f ca="1">M45-O45</f>
        <v>605</v>
      </c>
      <c r="N47" s="1587"/>
      <c r="O47" s="1588" t="s">
        <v>443</v>
      </c>
      <c r="P47" s="1589"/>
      <c r="Q47" s="1"/>
      <c r="R47" s="1"/>
      <c r="S47" s="1"/>
      <c r="T47" s="1"/>
      <c r="U47" s="1"/>
      <c r="V47" s="1"/>
      <c r="W47" s="1"/>
    </row>
    <row r="48" spans="1:23" ht="18" customHeight="1">
      <c r="A48" s="1"/>
      <c r="B48" s="1"/>
      <c r="C48" s="1"/>
      <c r="D48" s="1"/>
      <c r="E48" s="1577" t="s">
        <v>81</v>
      </c>
      <c r="F48" s="1577"/>
      <c r="G48" s="1577" t="s">
        <v>81</v>
      </c>
      <c r="H48" s="1577"/>
      <c r="I48" s="1572" t="s">
        <v>454</v>
      </c>
      <c r="J48" s="1572"/>
      <c r="K48" s="1"/>
      <c r="L48" s="778" t="s">
        <v>178</v>
      </c>
      <c r="M48" s="1586">
        <f ca="1">G45*-1+G49</f>
        <v>1000.0000000000001</v>
      </c>
      <c r="N48" s="1587"/>
      <c r="O48" s="1588" t="s">
        <v>444</v>
      </c>
      <c r="P48" s="1589"/>
      <c r="Q48" s="1"/>
      <c r="R48" s="1"/>
      <c r="S48" s="1"/>
      <c r="T48" s="1"/>
      <c r="U48" s="1"/>
      <c r="V48" s="1"/>
      <c r="W48" s="1"/>
    </row>
    <row r="49" spans="1:23" ht="18" customHeight="1">
      <c r="A49" s="1"/>
      <c r="B49" s="1"/>
      <c r="C49" s="1"/>
      <c r="D49" s="780">
        <v>2</v>
      </c>
      <c r="E49" s="1566">
        <f>SUM(PATRIMONIALE!E9:E15)</f>
        <v>1000</v>
      </c>
      <c r="F49" s="1567"/>
      <c r="G49" s="1566">
        <f ca="1">SUM(PATRIMONIALE!S9:S15)</f>
        <v>1063.24</v>
      </c>
      <c r="H49" s="1567"/>
      <c r="I49" s="1570">
        <f ca="1">G49-E49</f>
        <v>63.240000000000009</v>
      </c>
      <c r="J49" s="1571"/>
      <c r="K49" s="339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8" customHeight="1">
      <c r="A50" s="1"/>
      <c r="B50" s="1"/>
      <c r="C50" s="1"/>
      <c r="D50" s="1"/>
      <c r="E50" s="1584" t="s">
        <v>157</v>
      </c>
      <c r="F50" s="1584"/>
      <c r="G50" s="1584" t="s">
        <v>158</v>
      </c>
      <c r="H50" s="1584"/>
      <c r="I50" s="348"/>
      <c r="J50" s="1"/>
      <c r="K50" s="46"/>
      <c r="L50" s="46"/>
      <c r="M50" s="1570">
        <f ca="1">(G49+G45*-1)-(M45-O45)</f>
        <v>395.00000000000011</v>
      </c>
      <c r="N50" s="1571"/>
      <c r="O50" s="1591" t="s">
        <v>534</v>
      </c>
      <c r="P50" s="1589"/>
      <c r="Q50" s="1555" t="s">
        <v>616</v>
      </c>
      <c r="R50" s="1555"/>
      <c r="S50" s="1"/>
      <c r="T50" s="1"/>
      <c r="U50" s="1"/>
      <c r="V50" s="1"/>
      <c r="W50" s="1"/>
    </row>
    <row r="51" spans="1:23" ht="18" customHeight="1">
      <c r="A51" s="1"/>
      <c r="B51" s="1"/>
      <c r="C51" s="1"/>
      <c r="D51" s="1"/>
      <c r="E51" s="1576"/>
      <c r="F51" s="1576"/>
      <c r="G51" s="1592" t="s">
        <v>442</v>
      </c>
      <c r="H51" s="1593"/>
      <c r="I51" s="1566">
        <f>PATRIMONIALE!E46</f>
        <v>1000</v>
      </c>
      <c r="J51" s="1567"/>
      <c r="K51" s="779" t="s">
        <v>179</v>
      </c>
      <c r="L51" s="776"/>
      <c r="M51" s="1570">
        <f ca="1">(M45*-1)+I51+O45</f>
        <v>395</v>
      </c>
      <c r="N51" s="1571"/>
      <c r="O51" s="1591" t="s">
        <v>535</v>
      </c>
      <c r="P51" s="1589"/>
      <c r="Q51" s="1556">
        <f ca="1">IF(M50&lt;&gt;M51,M50-M51,0)</f>
        <v>0</v>
      </c>
      <c r="R51" s="1556"/>
      <c r="S51" s="1"/>
      <c r="T51" s="1"/>
      <c r="U51" s="1"/>
      <c r="V51" s="1"/>
      <c r="W51" s="1"/>
    </row>
    <row r="52" spans="1:23" ht="16.5" customHeight="1">
      <c r="A52" s="1"/>
      <c r="B52" s="340"/>
      <c r="C52" s="340"/>
      <c r="D52" s="1"/>
      <c r="E52" s="684" t="s">
        <v>445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4.25" customHeight="1">
      <c r="A53" s="1"/>
      <c r="B53" s="342"/>
      <c r="C53" s="342"/>
      <c r="D53" s="1"/>
      <c r="E53" s="777"/>
      <c r="F53" s="777"/>
      <c r="G53" s="777"/>
      <c r="H53" s="777"/>
      <c r="I53" s="777"/>
      <c r="J53" s="777"/>
      <c r="K53" s="1"/>
      <c r="L53" s="1"/>
      <c r="M53" s="1"/>
      <c r="N53" s="341"/>
      <c r="O53" s="1"/>
      <c r="P53" s="1"/>
      <c r="Q53" s="1"/>
      <c r="R53" s="1"/>
      <c r="S53" s="1"/>
      <c r="T53" s="1"/>
      <c r="U53" s="1"/>
      <c r="V53" s="1"/>
      <c r="W53" s="1"/>
    </row>
    <row r="54" spans="1:23" ht="16.5" customHeight="1">
      <c r="A54" s="1"/>
      <c r="B54" s="342"/>
      <c r="C54" s="1007" t="s">
        <v>543</v>
      </c>
      <c r="D54" s="1"/>
      <c r="E54" s="1006" t="s">
        <v>84</v>
      </c>
      <c r="F54" s="1558" t="str">
        <f>ENTI!P4</f>
        <v>Totale in sistema</v>
      </c>
      <c r="G54" s="1559"/>
      <c r="H54" s="998" t="s">
        <v>364</v>
      </c>
      <c r="I54" s="1006" t="s">
        <v>545</v>
      </c>
      <c r="J54" s="1558" t="str">
        <f>COSTI!P4</f>
        <v>Totale in sistema</v>
      </c>
      <c r="K54" s="1559"/>
      <c r="L54" s="998" t="s">
        <v>364</v>
      </c>
      <c r="M54" s="1006" t="s">
        <v>546</v>
      </c>
      <c r="N54" s="1558" t="str">
        <f>PATRIMONIALE!P4</f>
        <v>Totale in sistema</v>
      </c>
      <c r="O54" s="1559"/>
      <c r="P54" s="998" t="s">
        <v>364</v>
      </c>
      <c r="Q54" s="1"/>
      <c r="R54" s="1"/>
      <c r="S54" s="1"/>
      <c r="T54" s="1"/>
      <c r="U54" s="1"/>
      <c r="V54" s="1"/>
      <c r="W54" s="1"/>
    </row>
    <row r="55" spans="1:23" ht="11.25" customHeight="1">
      <c r="A55" s="1"/>
      <c r="C55" s="1044"/>
      <c r="D55" s="1044"/>
      <c r="E55" s="1044"/>
      <c r="F55" s="1044"/>
      <c r="G55" s="1044"/>
      <c r="H55" s="1044"/>
      <c r="I55" s="1044"/>
      <c r="J55" s="1044"/>
      <c r="K55" s="1"/>
      <c r="L55" s="1"/>
      <c r="M55" s="1"/>
      <c r="N55" s="341"/>
      <c r="O55" s="1"/>
      <c r="P55" s="1"/>
      <c r="Q55" s="1"/>
      <c r="R55" s="1"/>
      <c r="S55" s="1"/>
      <c r="T55" s="1"/>
      <c r="U55" s="1"/>
      <c r="V55" s="1"/>
      <c r="W55" s="1"/>
    </row>
    <row r="56" spans="1:23" ht="16.5" customHeight="1">
      <c r="A56" s="1"/>
      <c r="B56" s="1045"/>
      <c r="C56" s="1044"/>
      <c r="D56" s="1044"/>
      <c r="E56" s="1044"/>
      <c r="F56" s="1044"/>
      <c r="G56" s="1044"/>
      <c r="H56" s="1044"/>
      <c r="I56" s="835"/>
      <c r="J56" s="1046"/>
      <c r="K56" s="1046"/>
      <c r="L56" s="1046"/>
      <c r="M56" s="1595" t="str">
        <f>Presentazione!C25</f>
        <v>CONDOMINIO:</v>
      </c>
      <c r="N56" s="1595"/>
      <c r="O56" s="1595"/>
      <c r="P56" s="1595"/>
      <c r="Q56" s="1595"/>
      <c r="R56" s="1595"/>
      <c r="S56" s="58" t="s">
        <v>13</v>
      </c>
      <c r="T56" s="1"/>
      <c r="U56" s="1"/>
      <c r="V56" s="1"/>
      <c r="W56" s="1"/>
    </row>
    <row r="57" spans="1:23" ht="16.5" customHeight="1">
      <c r="A57" s="1"/>
      <c r="B57" s="1553" t="str">
        <f>PATRIMONIALE!B62</f>
        <v>www.marcopiccoli.it - Bilancio Condominiale 4.0.E05 FREE - per EXCEL .xlsx</v>
      </c>
      <c r="C57" s="1553"/>
      <c r="D57" s="1553"/>
      <c r="E57" s="1553"/>
      <c r="F57" s="1553"/>
      <c r="G57" s="1553"/>
      <c r="H57" s="1553"/>
      <c r="I57" s="1554" t="str">
        <f>Presentazione!F10</f>
        <v/>
      </c>
      <c r="J57" s="1554"/>
      <c r="K57" s="1554"/>
      <c r="L57" s="1554"/>
      <c r="M57" s="1596" t="str">
        <f>Presentazione!C26</f>
        <v>Inserisci qui il NOME</v>
      </c>
      <c r="N57" s="1596"/>
      <c r="O57" s="1596"/>
      <c r="P57" s="1596"/>
      <c r="Q57" s="1596"/>
      <c r="R57" s="1596"/>
      <c r="S57" s="387">
        <f>Presentazione!J26</f>
        <v>2024</v>
      </c>
      <c r="T57" s="1"/>
      <c r="U57" s="1"/>
      <c r="V57" s="1"/>
      <c r="W57" s="1"/>
    </row>
    <row r="58" spans="1:23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t="22.5" customHeight="1">
      <c r="A59" s="373"/>
      <c r="B59" s="1585" t="s">
        <v>254</v>
      </c>
      <c r="C59" s="1585"/>
      <c r="D59" s="1585"/>
      <c r="E59" s="1585"/>
      <c r="F59" s="385" t="str">
        <f>Presentazione!B204</f>
        <v>GEN</v>
      </c>
      <c r="G59" s="385" t="str">
        <f>Presentazione!C204</f>
        <v>FEB</v>
      </c>
      <c r="H59" s="385" t="str">
        <f>Presentazione!D204</f>
        <v>MAR</v>
      </c>
      <c r="I59" s="385" t="str">
        <f>Presentazione!E204</f>
        <v>APR</v>
      </c>
      <c r="J59" s="385" t="str">
        <f>Presentazione!F204</f>
        <v>MAG</v>
      </c>
      <c r="K59" s="385" t="str">
        <f>Presentazione!G204</f>
        <v>GIU</v>
      </c>
      <c r="L59" s="385" t="str">
        <f>Presentazione!H204</f>
        <v>LUG</v>
      </c>
      <c r="M59" s="385" t="str">
        <f>Presentazione!I204</f>
        <v>AGO</v>
      </c>
      <c r="N59" s="385" t="str">
        <f>Presentazione!J204</f>
        <v>SET</v>
      </c>
      <c r="O59" s="385" t="str">
        <f>Presentazione!K204</f>
        <v>OTT</v>
      </c>
      <c r="P59" s="385" t="str">
        <f>Presentazione!L204</f>
        <v>NOV</v>
      </c>
      <c r="Q59" s="385" t="str">
        <f>Presentazione!M204</f>
        <v>DIC</v>
      </c>
      <c r="R59" s="1"/>
      <c r="S59" s="390" t="s">
        <v>13</v>
      </c>
      <c r="T59" s="1"/>
      <c r="U59" s="1"/>
      <c r="V59" s="1"/>
      <c r="W59" s="1"/>
    </row>
    <row r="60" spans="1:23" ht="18" customHeight="1">
      <c r="A60" s="494">
        <v>1</v>
      </c>
      <c r="B60" s="1560" t="str">
        <f>CONCATENATE(ENTI!B9," / COSTI")</f>
        <v>Nome ENTE 1 / COSTI</v>
      </c>
      <c r="C60" s="1561"/>
      <c r="D60" s="1561"/>
      <c r="E60" s="1562"/>
      <c r="F60" s="485">
        <f ca="1">RIPARTIZIONI!G$37*-1</f>
        <v>-47.17</v>
      </c>
      <c r="G60" s="477">
        <f ca="1">RIPARTIZIONI!H$37*-1</f>
        <v>-50</v>
      </c>
      <c r="H60" s="477">
        <f ca="1">RIPARTIZIONI!I$37*-1</f>
        <v>-40</v>
      </c>
      <c r="I60" s="477">
        <f ca="1">RIPARTIZIONI!J$37*-1</f>
        <v>-30</v>
      </c>
      <c r="J60" s="477">
        <f ca="1">RIPARTIZIONI!K$37*-1</f>
        <v>-25</v>
      </c>
      <c r="K60" s="477">
        <f ca="1">RIPARTIZIONI!L$37*-1</f>
        <v>-10</v>
      </c>
      <c r="L60" s="477">
        <f ca="1">RIPARTIZIONI!M$37*-1</f>
        <v>-15</v>
      </c>
      <c r="M60" s="477">
        <f ca="1">RIPARTIZIONI!N$37*-1</f>
        <v>-10</v>
      </c>
      <c r="N60" s="477">
        <f ca="1">RIPARTIZIONI!O$37*-1</f>
        <v>-15</v>
      </c>
      <c r="O60" s="477">
        <f ca="1">RIPARTIZIONI!P$37*-1</f>
        <v>-20</v>
      </c>
      <c r="P60" s="477">
        <f ca="1">RIPARTIZIONI!Q$37*-1</f>
        <v>-30</v>
      </c>
      <c r="Q60" s="486">
        <f ca="1">RIPARTIZIONI!R$37*-1</f>
        <v>-30</v>
      </c>
      <c r="R60" s="27">
        <v>1</v>
      </c>
      <c r="S60" s="864">
        <f ca="1">SUM(F60:Q60)</f>
        <v>-322.17</v>
      </c>
      <c r="T60" s="27"/>
      <c r="U60" s="1"/>
      <c r="V60" s="1"/>
      <c r="W60" s="1"/>
    </row>
    <row r="61" spans="1:23" ht="18" customHeight="1">
      <c r="A61" s="334"/>
      <c r="B61" s="1550" t="str">
        <f>CONCATENATE(ENTI!B9," / VERSATO")</f>
        <v>Nome ENTE 1 / VERSATO</v>
      </c>
      <c r="C61" s="1551"/>
      <c r="D61" s="1551"/>
      <c r="E61" s="1552"/>
      <c r="F61" s="487">
        <f>ENTI!F9</f>
        <v>100</v>
      </c>
      <c r="G61" s="488">
        <f>ENTI!G9</f>
        <v>0</v>
      </c>
      <c r="H61" s="488">
        <f>ENTI!H9</f>
        <v>50</v>
      </c>
      <c r="I61" s="488">
        <f>ENTI!I9</f>
        <v>0</v>
      </c>
      <c r="J61" s="488">
        <f>ENTI!J9</f>
        <v>100</v>
      </c>
      <c r="K61" s="488">
        <f>ENTI!K9</f>
        <v>0</v>
      </c>
      <c r="L61" s="488">
        <f>ENTI!L9</f>
        <v>50</v>
      </c>
      <c r="M61" s="488">
        <f>ENTI!M9</f>
        <v>0</v>
      </c>
      <c r="N61" s="488">
        <f>ENTI!N9</f>
        <v>100</v>
      </c>
      <c r="O61" s="488">
        <f>ENTI!O9</f>
        <v>0</v>
      </c>
      <c r="P61" s="488">
        <f>ENTI!P9</f>
        <v>50</v>
      </c>
      <c r="Q61" s="489">
        <f>ENTI!Q9</f>
        <v>0</v>
      </c>
      <c r="R61" s="27">
        <v>2</v>
      </c>
      <c r="S61" s="865">
        <f>IF(AND(ENTI!$P$4=ENTI!$N$1009,ENTI!$J$1045=0),0,SUM(F61:Q61))</f>
        <v>450</v>
      </c>
      <c r="T61" s="27"/>
      <c r="U61" s="1"/>
      <c r="V61" s="522">
        <f>S61</f>
        <v>450</v>
      </c>
      <c r="W61" s="1"/>
    </row>
    <row r="62" spans="1:23" ht="18" customHeight="1">
      <c r="A62" s="334"/>
      <c r="B62" s="1547" t="str">
        <f>CONCATENATE(ENTI!B9," - CRED/DEB")</f>
        <v>Nome ENTE 1 - CRED/DEB</v>
      </c>
      <c r="C62" s="1548"/>
      <c r="D62" s="1548"/>
      <c r="E62" s="1549"/>
      <c r="F62" s="490">
        <f ca="1">PATRIMONIALE!F34</f>
        <v>52.83</v>
      </c>
      <c r="G62" s="491">
        <f ca="1">PATRIMONIALE!G34</f>
        <v>2.83</v>
      </c>
      <c r="H62" s="491">
        <f ca="1">PATRIMONIALE!H34</f>
        <v>12.83</v>
      </c>
      <c r="I62" s="491">
        <f ca="1">PATRIMONIALE!I34</f>
        <v>-17.170000000000002</v>
      </c>
      <c r="J62" s="491">
        <f ca="1">PATRIMONIALE!J34</f>
        <v>57.83</v>
      </c>
      <c r="K62" s="491">
        <f ca="1">PATRIMONIALE!K34</f>
        <v>47.83</v>
      </c>
      <c r="L62" s="491">
        <f ca="1">PATRIMONIALE!L34</f>
        <v>82.83</v>
      </c>
      <c r="M62" s="491">
        <f ca="1">PATRIMONIALE!M34</f>
        <v>72.83</v>
      </c>
      <c r="N62" s="491">
        <f ca="1">PATRIMONIALE!N34</f>
        <v>157.83000000000001</v>
      </c>
      <c r="O62" s="491">
        <f ca="1">PATRIMONIALE!O34</f>
        <v>146.66</v>
      </c>
      <c r="P62" s="491">
        <f ca="1">PATRIMONIALE!P34</f>
        <v>166.66</v>
      </c>
      <c r="Q62" s="492">
        <f ca="1">PATRIMONIALE!Q34</f>
        <v>136.66</v>
      </c>
      <c r="R62" s="27">
        <v>3</v>
      </c>
      <c r="S62" s="866">
        <f ca="1">PATRIMONIALE!S34</f>
        <v>136.66</v>
      </c>
      <c r="T62" s="27"/>
      <c r="U62" s="522">
        <f ca="1">S62</f>
        <v>136.66</v>
      </c>
      <c r="V62" s="1"/>
      <c r="W62" s="1"/>
    </row>
    <row r="63" spans="1:23" ht="7.5" customHeight="1">
      <c r="A63" s="1"/>
      <c r="B63" s="1557"/>
      <c r="C63" s="1557"/>
      <c r="D63" s="1557"/>
      <c r="E63" s="1557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27" t="s">
        <v>48</v>
      </c>
      <c r="S63" s="366"/>
      <c r="T63" s="1"/>
      <c r="U63" s="1"/>
      <c r="V63" s="1"/>
      <c r="W63" s="1"/>
    </row>
    <row r="64" spans="1:23" ht="18" customHeight="1">
      <c r="A64" s="494">
        <f>A60+1</f>
        <v>2</v>
      </c>
      <c r="B64" s="1560" t="str">
        <f>CONCATENATE(ENTI!B10," / COSTI")</f>
        <v>Nome ENTE 2 / COSTI</v>
      </c>
      <c r="C64" s="1561"/>
      <c r="D64" s="1561"/>
      <c r="E64" s="1562"/>
      <c r="F64" s="485">
        <f ca="1">RIPARTIZIONI!G$38*-1</f>
        <v>-53.83</v>
      </c>
      <c r="G64" s="477">
        <f ca="1">RIPARTIZIONI!H$38*-1</f>
        <v>-60</v>
      </c>
      <c r="H64" s="477">
        <f ca="1">RIPARTIZIONI!I$38*-1</f>
        <v>-40</v>
      </c>
      <c r="I64" s="477">
        <f ca="1">RIPARTIZIONI!J$38*-1</f>
        <v>-30</v>
      </c>
      <c r="J64" s="477">
        <f ca="1">RIPARTIZIONI!K$38*-1</f>
        <v>-25</v>
      </c>
      <c r="K64" s="477">
        <f ca="1">RIPARTIZIONI!L$38*-1</f>
        <v>-10</v>
      </c>
      <c r="L64" s="477">
        <f ca="1">RIPARTIZIONI!M$38*-1</f>
        <v>-15</v>
      </c>
      <c r="M64" s="477">
        <f ca="1">RIPARTIZIONI!N$38*-1</f>
        <v>-10</v>
      </c>
      <c r="N64" s="477">
        <f ca="1">RIPARTIZIONI!O$38*-1</f>
        <v>-15</v>
      </c>
      <c r="O64" s="477">
        <f ca="1">RIPARTIZIONI!P$38*-1</f>
        <v>-20</v>
      </c>
      <c r="P64" s="477">
        <f ca="1">RIPARTIZIONI!Q$38*-1</f>
        <v>-30</v>
      </c>
      <c r="Q64" s="486">
        <f ca="1">RIPARTIZIONI!R$38*-1</f>
        <v>-30</v>
      </c>
      <c r="R64" s="27">
        <v>1</v>
      </c>
      <c r="S64" s="864">
        <f ca="1">SUM(F64:Q64)</f>
        <v>-338.83</v>
      </c>
      <c r="T64" s="27"/>
      <c r="U64" s="1"/>
      <c r="V64" s="1"/>
      <c r="W64" s="1"/>
    </row>
    <row r="65" spans="1:23" ht="18" customHeight="1">
      <c r="A65" s="334"/>
      <c r="B65" s="1550" t="str">
        <f>CONCATENATE(ENTI!B10," / VERSATO")</f>
        <v>Nome ENTE 2 / VERSATO</v>
      </c>
      <c r="C65" s="1551"/>
      <c r="D65" s="1551"/>
      <c r="E65" s="1552"/>
      <c r="F65" s="487">
        <f>ENTI!F10</f>
        <v>50</v>
      </c>
      <c r="G65" s="488">
        <f>ENTI!G10</f>
        <v>0</v>
      </c>
      <c r="H65" s="488">
        <f>ENTI!H10</f>
        <v>100</v>
      </c>
      <c r="I65" s="488">
        <f>ENTI!I10</f>
        <v>0</v>
      </c>
      <c r="J65" s="488">
        <f>ENTI!J10</f>
        <v>50</v>
      </c>
      <c r="K65" s="488">
        <f>ENTI!K10</f>
        <v>0</v>
      </c>
      <c r="L65" s="488">
        <f>ENTI!L10</f>
        <v>100</v>
      </c>
      <c r="M65" s="488">
        <f>ENTI!M10</f>
        <v>0</v>
      </c>
      <c r="N65" s="488">
        <f>ENTI!N10</f>
        <v>50</v>
      </c>
      <c r="O65" s="488">
        <f>ENTI!O10</f>
        <v>0</v>
      </c>
      <c r="P65" s="488">
        <f>ENTI!P10</f>
        <v>300</v>
      </c>
      <c r="Q65" s="489">
        <f>ENTI!Q10</f>
        <v>0</v>
      </c>
      <c r="R65" s="27">
        <v>2</v>
      </c>
      <c r="S65" s="865">
        <f>IF(AND(ENTI!$P$4=ENTI!$N$1009,ENTI!$J$1045=0),0,SUM(F65:Q65))</f>
        <v>650</v>
      </c>
      <c r="T65" s="27"/>
      <c r="U65" s="1"/>
      <c r="V65" s="522">
        <f>S65</f>
        <v>650</v>
      </c>
      <c r="W65" s="1"/>
    </row>
    <row r="66" spans="1:23" ht="18" customHeight="1">
      <c r="A66" s="334"/>
      <c r="B66" s="1547" t="str">
        <f>CONCATENATE(ENTI!B10," - CRED/DEB")</f>
        <v>Nome ENTE 2 - CRED/DEB</v>
      </c>
      <c r="C66" s="1548"/>
      <c r="D66" s="1548"/>
      <c r="E66" s="1549"/>
      <c r="F66" s="490">
        <f ca="1">PATRIMONIALE!F35</f>
        <v>-3.83</v>
      </c>
      <c r="G66" s="491">
        <f ca="1">PATRIMONIALE!G35</f>
        <v>-63.83</v>
      </c>
      <c r="H66" s="491">
        <f ca="1">PATRIMONIALE!H35</f>
        <v>-3.83</v>
      </c>
      <c r="I66" s="491">
        <f ca="1">PATRIMONIALE!I35</f>
        <v>-33.83</v>
      </c>
      <c r="J66" s="491">
        <f ca="1">PATRIMONIALE!J35</f>
        <v>-8.83</v>
      </c>
      <c r="K66" s="491">
        <f ca="1">PATRIMONIALE!K35</f>
        <v>-18.829999999999998</v>
      </c>
      <c r="L66" s="491">
        <f ca="1">PATRIMONIALE!L35</f>
        <v>66.17</v>
      </c>
      <c r="M66" s="491">
        <f ca="1">PATRIMONIALE!M35</f>
        <v>56.17</v>
      </c>
      <c r="N66" s="491">
        <f ca="1">PATRIMONIALE!N35</f>
        <v>91.17</v>
      </c>
      <c r="O66" s="491">
        <f ca="1">PATRIMONIALE!O35</f>
        <v>71.17</v>
      </c>
      <c r="P66" s="491">
        <f ca="1">PATRIMONIALE!P35</f>
        <v>341.17</v>
      </c>
      <c r="Q66" s="492">
        <f ca="1">PATRIMONIALE!Q35</f>
        <v>309</v>
      </c>
      <c r="R66" s="27">
        <v>3</v>
      </c>
      <c r="S66" s="866">
        <f ca="1">PATRIMONIALE!S35</f>
        <v>309</v>
      </c>
      <c r="T66" s="27"/>
      <c r="U66" s="522">
        <f ca="1">S66</f>
        <v>309</v>
      </c>
      <c r="V66" s="1"/>
      <c r="W66" s="1"/>
    </row>
    <row r="67" spans="1:23" ht="7.5" customHeight="1">
      <c r="A67" s="1"/>
      <c r="B67" s="1557"/>
      <c r="C67" s="1557"/>
      <c r="D67" s="1557"/>
      <c r="E67" s="1557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27" t="s">
        <v>48</v>
      </c>
      <c r="S67" s="366"/>
      <c r="T67" s="1"/>
      <c r="U67" s="1"/>
      <c r="V67" s="1"/>
      <c r="W67" s="1"/>
    </row>
    <row r="68" spans="1:23" ht="18" customHeight="1">
      <c r="A68" s="494">
        <f>A64+1</f>
        <v>3</v>
      </c>
      <c r="B68" s="1560" t="str">
        <f>CONCATENATE(ENTI!B11," / COSTI")</f>
        <v>Nome ENTE 3 / COSTI</v>
      </c>
      <c r="C68" s="1561"/>
      <c r="D68" s="1561"/>
      <c r="E68" s="1562"/>
      <c r="F68" s="485">
        <f ca="1">RIPARTIZIONI!G$39*-1</f>
        <v>-101</v>
      </c>
      <c r="G68" s="477">
        <f ca="1">RIPARTIZIONI!H$39*-1</f>
        <v>-82.5</v>
      </c>
      <c r="H68" s="477">
        <f ca="1">RIPARTIZIONI!I$39*-1</f>
        <v>-65</v>
      </c>
      <c r="I68" s="477">
        <f ca="1">RIPARTIZIONI!J$39*-1</f>
        <v>-60</v>
      </c>
      <c r="J68" s="477">
        <f ca="1">RIPARTIZIONI!K$39*-1</f>
        <v>-50</v>
      </c>
      <c r="K68" s="477">
        <f ca="1">RIPARTIZIONI!L$39*-1</f>
        <v>-20</v>
      </c>
      <c r="L68" s="477">
        <f ca="1">RIPARTIZIONI!M$39*-1</f>
        <v>-30</v>
      </c>
      <c r="M68" s="477">
        <f ca="1">RIPARTIZIONI!N$39*-1</f>
        <v>-20</v>
      </c>
      <c r="N68" s="477">
        <f ca="1">RIPARTIZIONI!O$39*-1</f>
        <v>-30</v>
      </c>
      <c r="O68" s="477">
        <f ca="1">RIPARTIZIONI!P$39*-1</f>
        <v>-40</v>
      </c>
      <c r="P68" s="477">
        <f ca="1">RIPARTIZIONI!Q$39*-1</f>
        <v>-60</v>
      </c>
      <c r="Q68" s="486">
        <f ca="1">RIPARTIZIONI!R$39*-1</f>
        <v>-60</v>
      </c>
      <c r="R68" s="27">
        <v>1</v>
      </c>
      <c r="S68" s="864">
        <f ca="1">SUM(F68:Q68)</f>
        <v>-618.5</v>
      </c>
      <c r="T68" s="27"/>
      <c r="U68" s="1"/>
      <c r="V68" s="1"/>
      <c r="W68" s="1"/>
    </row>
    <row r="69" spans="1:23" ht="18" customHeight="1">
      <c r="A69" s="334"/>
      <c r="B69" s="1550" t="str">
        <f>CONCATENATE(ENTI!B11," / VERSATO")</f>
        <v>Nome ENTE 3 / VERSATO</v>
      </c>
      <c r="C69" s="1551"/>
      <c r="D69" s="1551"/>
      <c r="E69" s="1552"/>
      <c r="F69" s="487">
        <f>ENTI!F11</f>
        <v>0</v>
      </c>
      <c r="G69" s="488">
        <f>ENTI!G11</f>
        <v>100</v>
      </c>
      <c r="H69" s="488">
        <f>ENTI!H11</f>
        <v>0</v>
      </c>
      <c r="I69" s="488">
        <f>ENTI!I11</f>
        <v>50</v>
      </c>
      <c r="J69" s="488">
        <f>ENTI!J11</f>
        <v>0</v>
      </c>
      <c r="K69" s="488">
        <f>ENTI!K11</f>
        <v>100</v>
      </c>
      <c r="L69" s="488">
        <f>ENTI!L11</f>
        <v>0</v>
      </c>
      <c r="M69" s="488">
        <f>ENTI!M11</f>
        <v>300</v>
      </c>
      <c r="N69" s="488">
        <f>ENTI!N11</f>
        <v>0</v>
      </c>
      <c r="O69" s="488">
        <f>ENTI!O11</f>
        <v>-50</v>
      </c>
      <c r="P69" s="488">
        <f>ENTI!P11</f>
        <v>0</v>
      </c>
      <c r="Q69" s="489">
        <f>ENTI!Q11</f>
        <v>50</v>
      </c>
      <c r="R69" s="27">
        <v>2</v>
      </c>
      <c r="S69" s="865">
        <f>IF(AND(ENTI!$P$4=ENTI!$N$1009,ENTI!$J$1045=0),0,SUM(F69:Q69))</f>
        <v>550</v>
      </c>
      <c r="T69" s="27"/>
      <c r="U69" s="1"/>
      <c r="V69" s="522">
        <f>S69</f>
        <v>550</v>
      </c>
      <c r="W69" s="1"/>
    </row>
    <row r="70" spans="1:23" ht="18" customHeight="1">
      <c r="A70" s="334"/>
      <c r="B70" s="1547" t="str">
        <f>CONCATENATE(ENTI!B11," - CRED/DEB")</f>
        <v>Nome ENTE 3 - CRED/DEB</v>
      </c>
      <c r="C70" s="1548"/>
      <c r="D70" s="1548"/>
      <c r="E70" s="1549"/>
      <c r="F70" s="490">
        <f ca="1">PATRIMONIALE!F36</f>
        <v>-101</v>
      </c>
      <c r="G70" s="491">
        <f ca="1">PATRIMONIALE!G36</f>
        <v>-83.5</v>
      </c>
      <c r="H70" s="491">
        <f ca="1">PATRIMONIALE!H36</f>
        <v>-148.5</v>
      </c>
      <c r="I70" s="491">
        <f ca="1">PATRIMONIALE!I36</f>
        <v>-158.5</v>
      </c>
      <c r="J70" s="491">
        <f ca="1">PATRIMONIALE!J36</f>
        <v>-208.5</v>
      </c>
      <c r="K70" s="491">
        <f ca="1">PATRIMONIALE!K36</f>
        <v>-128.5</v>
      </c>
      <c r="L70" s="491">
        <f ca="1">PATRIMONIALE!L36</f>
        <v>-158.5</v>
      </c>
      <c r="M70" s="491">
        <f ca="1">PATRIMONIALE!M36</f>
        <v>121.5</v>
      </c>
      <c r="N70" s="491">
        <f ca="1">PATRIMONIALE!N36</f>
        <v>91.5</v>
      </c>
      <c r="O70" s="491">
        <f ca="1">PATRIMONIALE!O36</f>
        <v>-36.92</v>
      </c>
      <c r="P70" s="491">
        <f ca="1">PATRIMONIALE!P36</f>
        <v>-96.92</v>
      </c>
      <c r="Q70" s="492">
        <f ca="1">PATRIMONIALE!Q36</f>
        <v>-106.92</v>
      </c>
      <c r="R70" s="27">
        <v>3</v>
      </c>
      <c r="S70" s="866">
        <f ca="1">PATRIMONIALE!S36</f>
        <v>-106.92</v>
      </c>
      <c r="T70" s="27"/>
      <c r="U70" s="522">
        <f ca="1">S70</f>
        <v>-106.92</v>
      </c>
      <c r="V70" s="1"/>
      <c r="W70" s="1"/>
    </row>
    <row r="71" spans="1:23" ht="7.5" customHeight="1">
      <c r="A71" s="1"/>
      <c r="B71" s="1557"/>
      <c r="C71" s="1557"/>
      <c r="D71" s="1557"/>
      <c r="E71" s="1557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27" t="s">
        <v>48</v>
      </c>
      <c r="S71" s="366"/>
      <c r="T71" s="1"/>
      <c r="U71" s="1"/>
      <c r="V71" s="1"/>
      <c r="W71" s="1"/>
    </row>
    <row r="72" spans="1:23" ht="18" customHeight="1">
      <c r="A72" s="494">
        <f>A68+1</f>
        <v>4</v>
      </c>
      <c r="B72" s="1560" t="str">
        <f>CONCATENATE(ENTI!B12," / COSTI")</f>
        <v>Nome ENTE 4 / sovrascrivi / COSTI</v>
      </c>
      <c r="C72" s="1561"/>
      <c r="D72" s="1561"/>
      <c r="E72" s="1562"/>
      <c r="F72" s="485">
        <f ca="1">RIPARTIZIONI!G$40*-1</f>
        <v>-107.67</v>
      </c>
      <c r="G72" s="477">
        <f ca="1">RIPARTIZIONI!H$40*-1</f>
        <v>-110</v>
      </c>
      <c r="H72" s="477">
        <f ca="1">RIPARTIZIONI!I$40*-1</f>
        <v>-77.5</v>
      </c>
      <c r="I72" s="477">
        <f ca="1">RIPARTIZIONI!J$40*-1</f>
        <v>-60</v>
      </c>
      <c r="J72" s="477">
        <f ca="1">RIPARTIZIONI!K$40*-1</f>
        <v>-50</v>
      </c>
      <c r="K72" s="477">
        <f ca="1">RIPARTIZIONI!L$40*-1</f>
        <v>-20</v>
      </c>
      <c r="L72" s="477">
        <f ca="1">RIPARTIZIONI!M$40*-1</f>
        <v>-30</v>
      </c>
      <c r="M72" s="477">
        <f ca="1">RIPARTIZIONI!N$40*-1</f>
        <v>-20</v>
      </c>
      <c r="N72" s="477">
        <f ca="1">RIPARTIZIONI!O$40*-1</f>
        <v>-30</v>
      </c>
      <c r="O72" s="477">
        <f ca="1">RIPARTIZIONI!P$40*-1</f>
        <v>-40</v>
      </c>
      <c r="P72" s="477">
        <f ca="1">RIPARTIZIONI!Q$40*-1</f>
        <v>-60</v>
      </c>
      <c r="Q72" s="486">
        <f ca="1">RIPARTIZIONI!R$40*-1</f>
        <v>-60</v>
      </c>
      <c r="R72" s="27">
        <v>1</v>
      </c>
      <c r="S72" s="864">
        <f ca="1">SUM(F72:Q72)</f>
        <v>-665.17000000000007</v>
      </c>
      <c r="T72" s="27"/>
      <c r="U72" s="1"/>
      <c r="V72" s="1"/>
      <c r="W72" s="1"/>
    </row>
    <row r="73" spans="1:23" ht="18" customHeight="1">
      <c r="A73" s="334"/>
      <c r="B73" s="1550" t="str">
        <f>CONCATENATE(ENTI!B12," / VERSATO")</f>
        <v>Nome ENTE 4 / sovrascrivi / VERSATO</v>
      </c>
      <c r="C73" s="1551"/>
      <c r="D73" s="1551"/>
      <c r="E73" s="1552"/>
      <c r="F73" s="487">
        <f>ENTI!F$12</f>
        <v>0</v>
      </c>
      <c r="G73" s="488">
        <f>ENTI!G$12</f>
        <v>50</v>
      </c>
      <c r="H73" s="488">
        <f>ENTI!H$12</f>
        <v>0</v>
      </c>
      <c r="I73" s="488">
        <f>ENTI!I$12</f>
        <v>300</v>
      </c>
      <c r="J73" s="488">
        <f>ENTI!J$12</f>
        <v>0</v>
      </c>
      <c r="K73" s="488">
        <f>ENTI!K$12</f>
        <v>50</v>
      </c>
      <c r="L73" s="488">
        <f>ENTI!L$12</f>
        <v>0</v>
      </c>
      <c r="M73" s="488">
        <f>ENTI!M$12</f>
        <v>100</v>
      </c>
      <c r="N73" s="488">
        <f>ENTI!N$12</f>
        <v>0</v>
      </c>
      <c r="O73" s="488">
        <f>ENTI!O$12</f>
        <v>50</v>
      </c>
      <c r="P73" s="488">
        <f>ENTI!P$12</f>
        <v>0</v>
      </c>
      <c r="Q73" s="489">
        <f>ENTI!Q$12</f>
        <v>100</v>
      </c>
      <c r="R73" s="27">
        <v>2</v>
      </c>
      <c r="S73" s="865">
        <f>IF(AND(ENTI!$P$4=ENTI!$N$1009,ENTI!$J$1045=0),0,SUM(F73:Q73))</f>
        <v>650</v>
      </c>
      <c r="T73" s="27"/>
      <c r="U73" s="1"/>
      <c r="V73" s="522">
        <f>S73</f>
        <v>650</v>
      </c>
      <c r="W73" s="1"/>
    </row>
    <row r="74" spans="1:23" ht="18" customHeight="1">
      <c r="A74" s="334"/>
      <c r="B74" s="1547" t="str">
        <f>CONCATENATE(ENTI!B12," - CRED/DEB")</f>
        <v>Nome ENTE 4 / sovrascrivi - CRED/DEB</v>
      </c>
      <c r="C74" s="1548"/>
      <c r="D74" s="1548"/>
      <c r="E74" s="1549"/>
      <c r="F74" s="490">
        <f ca="1">PATRIMONIALE!F$37</f>
        <v>-107.67</v>
      </c>
      <c r="G74" s="491">
        <f ca="1">PATRIMONIALE!G$37</f>
        <v>-167.67</v>
      </c>
      <c r="H74" s="491">
        <f ca="1">PATRIMONIALE!H$37</f>
        <v>-245.17</v>
      </c>
      <c r="I74" s="491">
        <f ca="1">PATRIMONIALE!I$37</f>
        <v>-5.17</v>
      </c>
      <c r="J74" s="491">
        <f ca="1">PATRIMONIALE!J$37</f>
        <v>-55.17</v>
      </c>
      <c r="K74" s="491">
        <f ca="1">PATRIMONIALE!K$37</f>
        <v>-25.17</v>
      </c>
      <c r="L74" s="491">
        <f ca="1">PATRIMONIALE!L$37</f>
        <v>-55.17</v>
      </c>
      <c r="M74" s="491">
        <f ca="1">PATRIMONIALE!M$37</f>
        <v>24.83</v>
      </c>
      <c r="N74" s="491">
        <f ca="1">PATRIMONIALE!N$37</f>
        <v>-5.17</v>
      </c>
      <c r="O74" s="491">
        <f ca="1">PATRIMONIALE!O$37</f>
        <v>4.83</v>
      </c>
      <c r="P74" s="491">
        <f ca="1">PATRIMONIALE!P$37</f>
        <v>-55.17</v>
      </c>
      <c r="Q74" s="492">
        <f ca="1">PATRIMONIALE!Q$37</f>
        <v>-15.17</v>
      </c>
      <c r="R74" s="27">
        <v>3</v>
      </c>
      <c r="S74" s="866">
        <f ca="1">PATRIMONIALE!S$37</f>
        <v>-15.17</v>
      </c>
      <c r="T74" s="27"/>
      <c r="U74" s="522">
        <f ca="1">S74</f>
        <v>-15.17</v>
      </c>
      <c r="V74" s="1"/>
      <c r="W74" s="1"/>
    </row>
    <row r="75" spans="1:23" ht="7.5" customHeight="1">
      <c r="A75" s="373"/>
      <c r="B75" s="1557"/>
      <c r="C75" s="1557"/>
      <c r="D75" s="1557"/>
      <c r="E75" s="1557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27" t="s">
        <v>48</v>
      </c>
      <c r="S75" s="366"/>
      <c r="T75" s="1"/>
      <c r="U75" s="1"/>
      <c r="V75" s="1"/>
      <c r="W75" s="1"/>
    </row>
    <row r="76" spans="1:23" ht="18" customHeight="1">
      <c r="A76" s="494">
        <f>A72+1</f>
        <v>5</v>
      </c>
      <c r="B76" s="1560" t="str">
        <f>CONCATENATE(ENTI!B13," / COSTI")</f>
        <v>Nome ENTE ultimo disponibile / COSTI</v>
      </c>
      <c r="C76" s="1561"/>
      <c r="D76" s="1561"/>
      <c r="E76" s="1562"/>
      <c r="F76" s="485">
        <f ca="1">RIPARTIZIONI!G$41*-1</f>
        <v>-195.32999999999998</v>
      </c>
      <c r="G76" s="477">
        <f ca="1">RIPARTIZIONI!H$41*-1</f>
        <v>-197.5</v>
      </c>
      <c r="H76" s="477">
        <f ca="1">RIPARTIZIONI!I$41*-1</f>
        <v>-127.5</v>
      </c>
      <c r="I76" s="477">
        <f ca="1">RIPARTIZIONI!J$41*-1</f>
        <v>-120</v>
      </c>
      <c r="J76" s="477">
        <f ca="1">RIPARTIZIONI!K$41*-1</f>
        <v>-100</v>
      </c>
      <c r="K76" s="477">
        <f ca="1">RIPARTIZIONI!L$41*-1</f>
        <v>-40</v>
      </c>
      <c r="L76" s="477">
        <f ca="1">RIPARTIZIONI!M$41*-1</f>
        <v>-60</v>
      </c>
      <c r="M76" s="477">
        <f ca="1">RIPARTIZIONI!N$41*-1</f>
        <v>-40</v>
      </c>
      <c r="N76" s="477">
        <f ca="1">RIPARTIZIONI!O$41*-1</f>
        <v>-60</v>
      </c>
      <c r="O76" s="477">
        <f ca="1">RIPARTIZIONI!P$41*-1</f>
        <v>-80</v>
      </c>
      <c r="P76" s="477">
        <f ca="1">RIPARTIZIONI!Q$41*-1</f>
        <v>-120</v>
      </c>
      <c r="Q76" s="486">
        <f ca="1">RIPARTIZIONI!R$41*-1</f>
        <v>-120</v>
      </c>
      <c r="R76" s="27">
        <v>1</v>
      </c>
      <c r="S76" s="864">
        <f ca="1">SUM(F76:Q76)</f>
        <v>-1260.33</v>
      </c>
      <c r="T76" s="27"/>
      <c r="U76" s="1"/>
      <c r="V76" s="1"/>
      <c r="W76" s="1"/>
    </row>
    <row r="77" spans="1:23" ht="18" customHeight="1">
      <c r="A77" s="334"/>
      <c r="B77" s="1550" t="str">
        <f>CONCATENATE(ENTI!B13," / VERSATO")</f>
        <v>Nome ENTE ultimo disponibile / VERSATO</v>
      </c>
      <c r="C77" s="1551"/>
      <c r="D77" s="1551"/>
      <c r="E77" s="1552"/>
      <c r="F77" s="487">
        <f>ENTI!F$13</f>
        <v>0</v>
      </c>
      <c r="G77" s="488">
        <f>ENTI!G$13</f>
        <v>100</v>
      </c>
      <c r="H77" s="488">
        <f>ENTI!H$13</f>
        <v>0</v>
      </c>
      <c r="I77" s="488">
        <f>ENTI!I$13</f>
        <v>0</v>
      </c>
      <c r="J77" s="488">
        <f>ENTI!J$13</f>
        <v>50</v>
      </c>
      <c r="K77" s="488">
        <f>ENTI!K$13</f>
        <v>0</v>
      </c>
      <c r="L77" s="488">
        <f>ENTI!L$13</f>
        <v>-50</v>
      </c>
      <c r="M77" s="488">
        <f>ENTI!M$13</f>
        <v>0</v>
      </c>
      <c r="N77" s="488">
        <f>ENTI!N$13</f>
        <v>50</v>
      </c>
      <c r="O77" s="488">
        <f>ENTI!O$13</f>
        <v>100</v>
      </c>
      <c r="P77" s="488">
        <f>ENTI!P$13</f>
        <v>0</v>
      </c>
      <c r="Q77" s="489">
        <f>ENTI!Q$13</f>
        <v>50</v>
      </c>
      <c r="R77" s="27">
        <v>2</v>
      </c>
      <c r="S77" s="865">
        <f>IF(AND(ENTI!$P$4=ENTI!$N$1009,ENTI!$J$1045=0),0,SUM(F77:Q77))</f>
        <v>300</v>
      </c>
      <c r="T77" s="27"/>
      <c r="U77" s="1"/>
      <c r="V77" s="522">
        <f>S77</f>
        <v>300</v>
      </c>
      <c r="W77" s="1"/>
    </row>
    <row r="78" spans="1:23" ht="18" customHeight="1">
      <c r="A78" s="334"/>
      <c r="B78" s="1547" t="str">
        <f>CONCATENATE(ENTI!B13," - CRED/DEB")</f>
        <v>Nome ENTE ultimo disponibile - CRED/DEB</v>
      </c>
      <c r="C78" s="1548"/>
      <c r="D78" s="1548"/>
      <c r="E78" s="1549"/>
      <c r="F78" s="490">
        <f ca="1">PATRIMONIALE!F$38</f>
        <v>-195.33</v>
      </c>
      <c r="G78" s="491">
        <f ca="1">PATRIMONIALE!G$38</f>
        <v>-292.83</v>
      </c>
      <c r="H78" s="491">
        <f ca="1">PATRIMONIALE!H$38</f>
        <v>-420.33</v>
      </c>
      <c r="I78" s="491">
        <f ca="1">PATRIMONIALE!I$38</f>
        <v>-540.33000000000004</v>
      </c>
      <c r="J78" s="491">
        <f ca="1">PATRIMONIALE!J$38</f>
        <v>-590.33000000000004</v>
      </c>
      <c r="K78" s="491">
        <f ca="1">PATRIMONIALE!K$38</f>
        <v>-630.33000000000004</v>
      </c>
      <c r="L78" s="491">
        <f ca="1">PATRIMONIALE!L$38</f>
        <v>-740.33</v>
      </c>
      <c r="M78" s="491">
        <f ca="1">PATRIMONIALE!M$38</f>
        <v>-780.33</v>
      </c>
      <c r="N78" s="491">
        <f ca="1">PATRIMONIALE!N$38</f>
        <v>-790.33</v>
      </c>
      <c r="O78" s="491">
        <f ca="1">PATRIMONIALE!O$38</f>
        <v>-770.33</v>
      </c>
      <c r="P78" s="491">
        <f ca="1">PATRIMONIALE!P$38</f>
        <v>-890.33</v>
      </c>
      <c r="Q78" s="492">
        <f ca="1">PATRIMONIALE!Q$38</f>
        <v>-960.33</v>
      </c>
      <c r="R78" s="27">
        <v>3</v>
      </c>
      <c r="S78" s="866">
        <f ca="1">PATRIMONIALE!S$38</f>
        <v>-960.33</v>
      </c>
      <c r="T78" s="27"/>
      <c r="U78" s="522">
        <f ca="1">S78</f>
        <v>-960.33</v>
      </c>
      <c r="V78" s="1"/>
      <c r="W78" s="1"/>
    </row>
    <row r="79" spans="1:23" ht="22.5" customHeight="1">
      <c r="A79" s="27"/>
      <c r="B79" s="46"/>
      <c r="C79" s="46"/>
      <c r="D79" s="46"/>
      <c r="E79" s="55"/>
      <c r="F79" s="56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46"/>
      <c r="S79" s="121" t="s">
        <v>13</v>
      </c>
      <c r="T79" s="27"/>
      <c r="U79" s="1"/>
      <c r="V79" s="1"/>
      <c r="W79" s="1"/>
    </row>
    <row r="80" spans="1:23" ht="16.5" customHeight="1">
      <c r="A80" s="1"/>
      <c r="B80" s="1220" t="str">
        <f>Presentazione!C25</f>
        <v>CONDOMINIO:</v>
      </c>
      <c r="C80" s="1220"/>
      <c r="D80" s="1220"/>
      <c r="E80" s="1257" t="str">
        <f>M57</f>
        <v>Inserisci qui il NOME</v>
      </c>
      <c r="F80" s="1257"/>
      <c r="G80" s="1257"/>
      <c r="H80" s="1257"/>
      <c r="I80" s="1257"/>
      <c r="J80" s="1257"/>
      <c r="K80" s="1257"/>
      <c r="L80" s="1257"/>
      <c r="M80" s="1257"/>
      <c r="N80" s="1257"/>
      <c r="O80" s="1257"/>
      <c r="P80" s="1257"/>
      <c r="Q80" s="1257"/>
      <c r="R80" s="51"/>
      <c r="S80" s="661">
        <f>S57</f>
        <v>2024</v>
      </c>
      <c r="T80" s="1"/>
      <c r="U80" s="1"/>
      <c r="V80" s="1"/>
      <c r="W80" s="1"/>
    </row>
    <row r="81" spans="1:23" ht="16.5" customHeight="1">
      <c r="A81" s="1"/>
      <c r="B81" s="1"/>
      <c r="C81" s="1"/>
      <c r="D81" s="1"/>
      <c r="E81" s="1"/>
      <c r="F81" s="1"/>
      <c r="G81" s="1"/>
      <c r="H81" s="1"/>
      <c r="I81" s="1258" t="str">
        <f>Presentazione!$F$10</f>
        <v/>
      </c>
      <c r="J81" s="1258"/>
      <c r="K81" s="1258"/>
      <c r="L81" s="1258"/>
      <c r="M81" s="1258"/>
      <c r="N81" s="1258"/>
      <c r="O81" s="1258"/>
      <c r="P81" s="1258"/>
      <c r="Q81" s="1258"/>
      <c r="R81" s="1258"/>
      <c r="S81" s="1258"/>
      <c r="T81" s="1"/>
      <c r="U81" s="1"/>
      <c r="V81" s="1"/>
      <c r="W81" s="1"/>
    </row>
    <row r="82" spans="1:23" ht="16.5" customHeight="1">
      <c r="A82" s="1"/>
      <c r="B82" s="665" t="str">
        <f>B57</f>
        <v>www.marcopiccoli.it - Bilancio Condominiale 4.0.E05 FREE - per EXCEL .xlsx</v>
      </c>
      <c r="C82" s="665"/>
      <c r="D82" s="665"/>
      <c r="E82" s="665"/>
      <c r="F82" s="665"/>
      <c r="G82" s="665"/>
      <c r="H82" s="665"/>
      <c r="I82" s="1594" t="str">
        <f>CONCATENATE(Presentazione!$E$93,"   -   ","P.I./C.F ",COSTI!N66)</f>
        <v>Inserisci qui il NOME   -   P.I./C.F codice fiscale condominio</v>
      </c>
      <c r="J82" s="1594"/>
      <c r="K82" s="1594"/>
      <c r="L82" s="1594"/>
      <c r="M82" s="1594"/>
      <c r="N82" s="1594"/>
      <c r="O82" s="1594"/>
      <c r="P82" s="1594"/>
      <c r="Q82" s="1594"/>
      <c r="R82" s="1594"/>
      <c r="S82" s="1594"/>
      <c r="T82" s="570"/>
      <c r="U82" s="570"/>
      <c r="V82" s="1"/>
      <c r="W82" s="1"/>
    </row>
    <row r="83" spans="1:23" ht="16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ht="16.5" customHeight="1">
      <c r="A84" s="1"/>
      <c r="B84" s="1540" t="str">
        <f>Presentazione!$B$85</f>
        <v>Questo file risulta al momento completamente funzionante ed il sistema rileva tutti i suoi fogli.</v>
      </c>
      <c r="C84" s="1540"/>
      <c r="D84" s="1540"/>
      <c r="E84" s="1540"/>
      <c r="F84" s="1540"/>
      <c r="G84" s="1540"/>
      <c r="H84" s="1540"/>
      <c r="I84" s="1540"/>
      <c r="J84" s="1540"/>
      <c r="K84" s="1540"/>
      <c r="L84" s="1540"/>
      <c r="M84" s="1540"/>
      <c r="N84" s="1540"/>
      <c r="O84" s="1540"/>
      <c r="P84" s="1540"/>
      <c r="Q84" s="1540"/>
      <c r="R84" s="1540"/>
      <c r="S84" s="1540"/>
      <c r="T84" s="1"/>
      <c r="U84" s="1"/>
      <c r="V84" s="1"/>
      <c r="W84" s="1"/>
    </row>
    <row r="85" spans="1:23" ht="16.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6.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idden="1">
      <c r="A87" s="1"/>
      <c r="B87" s="1"/>
      <c r="C87" s="1"/>
      <c r="D87" s="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1"/>
      <c r="S87" s="1"/>
      <c r="T87" s="1"/>
      <c r="U87" s="1"/>
      <c r="V87" s="1"/>
      <c r="W87" s="1"/>
    </row>
    <row r="88" spans="1:23" ht="17.25" hidden="1" customHeight="1">
      <c r="A88" s="1"/>
      <c r="B88" s="1"/>
      <c r="C88" s="1"/>
      <c r="D88" s="1"/>
      <c r="E88" s="45" t="s">
        <v>17</v>
      </c>
      <c r="F88" s="76">
        <f t="shared" ref="F88:Q88" ca="1" si="3">F5</f>
        <v>-355</v>
      </c>
      <c r="G88" s="77">
        <f t="shared" ca="1" si="3"/>
        <v>-250</v>
      </c>
      <c r="H88" s="77">
        <f t="shared" ca="1" si="3"/>
        <v>-200</v>
      </c>
      <c r="I88" s="77">
        <f t="shared" ca="1" si="3"/>
        <v>50</v>
      </c>
      <c r="J88" s="77">
        <f t="shared" ca="1" si="3"/>
        <v>-50</v>
      </c>
      <c r="K88" s="77">
        <f t="shared" ca="1" si="3"/>
        <v>50</v>
      </c>
      <c r="L88" s="77">
        <f t="shared" ca="1" si="3"/>
        <v>-50</v>
      </c>
      <c r="M88" s="77">
        <f t="shared" ca="1" si="3"/>
        <v>300</v>
      </c>
      <c r="N88" s="77">
        <f t="shared" ca="1" si="3"/>
        <v>50</v>
      </c>
      <c r="O88" s="77">
        <f t="shared" ca="1" si="3"/>
        <v>-100</v>
      </c>
      <c r="P88" s="77">
        <f t="shared" ca="1" si="3"/>
        <v>50</v>
      </c>
      <c r="Q88" s="78">
        <f t="shared" ca="1" si="3"/>
        <v>-100</v>
      </c>
      <c r="R88" s="1"/>
      <c r="S88" s="1"/>
      <c r="T88" s="1"/>
      <c r="U88" s="1"/>
      <c r="V88" s="1"/>
      <c r="W88" s="1"/>
    </row>
    <row r="89" spans="1:23" hidden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idden="1">
      <c r="A90" s="1"/>
      <c r="B90" s="1"/>
      <c r="C90" s="343">
        <f ca="1">MAX(F100:Q100)</f>
        <v>300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idden="1">
      <c r="A91" s="1"/>
      <c r="B91" s="1"/>
      <c r="C91" s="82">
        <v>100</v>
      </c>
      <c r="D91" s="1"/>
      <c r="E91" s="344">
        <f ca="1">$C90*C$91/100</f>
        <v>300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idden="1">
      <c r="A92" s="1"/>
      <c r="B92" s="1"/>
      <c r="C92" s="82">
        <v>90</v>
      </c>
      <c r="D92" s="1"/>
      <c r="E92" s="344">
        <f ca="1">$C90*C$92/100</f>
        <v>270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idden="1">
      <c r="A93" s="1"/>
      <c r="B93" s="1"/>
      <c r="C93" s="82">
        <v>80</v>
      </c>
      <c r="D93" s="1"/>
      <c r="E93" s="344">
        <f ca="1">$C90*C$93/100</f>
        <v>240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idden="1">
      <c r="A94" s="1"/>
      <c r="B94" s="1"/>
      <c r="C94" s="82">
        <v>70</v>
      </c>
      <c r="D94" s="1"/>
      <c r="E94" s="344">
        <f ca="1">$C90*C$94/100</f>
        <v>210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idden="1">
      <c r="A95" s="1"/>
      <c r="B95" s="1"/>
      <c r="C95" s="82">
        <v>60</v>
      </c>
      <c r="D95" s="1"/>
      <c r="E95" s="344">
        <f ca="1">$C90*C$95/100</f>
        <v>180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idden="1">
      <c r="A96" s="1"/>
      <c r="B96" s="1"/>
      <c r="C96" s="82">
        <v>50</v>
      </c>
      <c r="D96" s="1"/>
      <c r="E96" s="344">
        <f ca="1">$C90*C$96/100</f>
        <v>150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hidden="1">
      <c r="A97" s="1"/>
      <c r="B97" s="1"/>
      <c r="C97" s="82">
        <v>40</v>
      </c>
      <c r="D97" s="1"/>
      <c r="E97" s="344">
        <f ca="1">$C90*C$97/100</f>
        <v>120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hidden="1">
      <c r="A98" s="1"/>
      <c r="B98" s="1"/>
      <c r="C98" s="82">
        <v>30</v>
      </c>
      <c r="D98" s="1"/>
      <c r="E98" s="344">
        <f ca="1">$C90*C$98/100</f>
        <v>90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hidden="1">
      <c r="A99" s="1"/>
      <c r="B99" s="1"/>
      <c r="C99" s="82">
        <v>20</v>
      </c>
      <c r="D99" s="1"/>
      <c r="E99" s="344">
        <f ca="1">$C90*C$99/100</f>
        <v>60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idden="1">
      <c r="A100" s="1"/>
      <c r="B100" s="1"/>
      <c r="C100" s="345">
        <v>10</v>
      </c>
      <c r="D100" s="346"/>
      <c r="E100" s="344">
        <f ca="1">$C90*C$100/100</f>
        <v>30</v>
      </c>
      <c r="F100" s="344" t="str">
        <f t="shared" ref="F100:Q100" ca="1" si="4">IF(F88&gt;0,F88,"")</f>
        <v/>
      </c>
      <c r="G100" s="344" t="str">
        <f t="shared" ca="1" si="4"/>
        <v/>
      </c>
      <c r="H100" s="344" t="str">
        <f t="shared" ca="1" si="4"/>
        <v/>
      </c>
      <c r="I100" s="344">
        <f t="shared" ca="1" si="4"/>
        <v>50</v>
      </c>
      <c r="J100" s="344" t="str">
        <f t="shared" ca="1" si="4"/>
        <v/>
      </c>
      <c r="K100" s="344">
        <f t="shared" ca="1" si="4"/>
        <v>50</v>
      </c>
      <c r="L100" s="344" t="str">
        <f t="shared" ca="1" si="4"/>
        <v/>
      </c>
      <c r="M100" s="344">
        <f t="shared" ca="1" si="4"/>
        <v>300</v>
      </c>
      <c r="N100" s="344">
        <f t="shared" ca="1" si="4"/>
        <v>50</v>
      </c>
      <c r="O100" s="344" t="str">
        <f t="shared" ca="1" si="4"/>
        <v/>
      </c>
      <c r="P100" s="344">
        <f t="shared" ca="1" si="4"/>
        <v>50</v>
      </c>
      <c r="Q100" s="344" t="str">
        <f t="shared" ca="1" si="4"/>
        <v/>
      </c>
      <c r="R100" s="1"/>
      <c r="S100" s="1"/>
      <c r="T100" s="1"/>
      <c r="U100" s="1"/>
      <c r="V100" s="1"/>
      <c r="W100" s="1"/>
    </row>
    <row r="101" spans="1:23" hidden="1">
      <c r="A101" s="1"/>
      <c r="B101" s="1"/>
      <c r="C101" s="347">
        <v>10</v>
      </c>
      <c r="D101" s="348"/>
      <c r="E101" s="344">
        <f ca="1">C$111*C101/100</f>
        <v>-35.5</v>
      </c>
      <c r="F101" s="344">
        <f t="shared" ref="F101:Q101" ca="1" si="5">IF(F88&lt;0,F88,"")</f>
        <v>-355</v>
      </c>
      <c r="G101" s="344">
        <f t="shared" ca="1" si="5"/>
        <v>-250</v>
      </c>
      <c r="H101" s="344">
        <f t="shared" ca="1" si="5"/>
        <v>-200</v>
      </c>
      <c r="I101" s="344" t="str">
        <f t="shared" ca="1" si="5"/>
        <v/>
      </c>
      <c r="J101" s="344">
        <f t="shared" ca="1" si="5"/>
        <v>-50</v>
      </c>
      <c r="K101" s="344" t="str">
        <f t="shared" ca="1" si="5"/>
        <v/>
      </c>
      <c r="L101" s="344">
        <f t="shared" ca="1" si="5"/>
        <v>-50</v>
      </c>
      <c r="M101" s="344" t="str">
        <f t="shared" ca="1" si="5"/>
        <v/>
      </c>
      <c r="N101" s="344" t="str">
        <f t="shared" ca="1" si="5"/>
        <v/>
      </c>
      <c r="O101" s="344">
        <f t="shared" ca="1" si="5"/>
        <v>-100</v>
      </c>
      <c r="P101" s="344" t="str">
        <f t="shared" ca="1" si="5"/>
        <v/>
      </c>
      <c r="Q101" s="344">
        <f t="shared" ca="1" si="5"/>
        <v>-100</v>
      </c>
      <c r="R101" s="1"/>
      <c r="S101" s="1"/>
      <c r="T101" s="1"/>
      <c r="U101" s="1"/>
      <c r="V101" s="1"/>
      <c r="W101" s="1"/>
    </row>
    <row r="102" spans="1:23" hidden="1">
      <c r="A102" s="1"/>
      <c r="B102" s="1"/>
      <c r="C102" s="82">
        <v>20</v>
      </c>
      <c r="D102" s="1"/>
      <c r="E102" s="344">
        <f t="shared" ref="E102:E110" ca="1" si="6">C$111*C102/100</f>
        <v>-71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idden="1">
      <c r="A103" s="1"/>
      <c r="B103" s="1"/>
      <c r="C103" s="82">
        <v>30</v>
      </c>
      <c r="D103" s="1"/>
      <c r="E103" s="344">
        <f t="shared" ca="1" si="6"/>
        <v>-106.5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hidden="1">
      <c r="A104" s="1"/>
      <c r="B104" s="1"/>
      <c r="C104" s="82">
        <v>40</v>
      </c>
      <c r="D104" s="1"/>
      <c r="E104" s="344">
        <f t="shared" ca="1" si="6"/>
        <v>-142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hidden="1">
      <c r="A105" s="1"/>
      <c r="B105" s="1"/>
      <c r="C105" s="82">
        <v>50</v>
      </c>
      <c r="D105" s="1"/>
      <c r="E105" s="344">
        <f t="shared" ca="1" si="6"/>
        <v>-177.5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hidden="1">
      <c r="A106" s="1"/>
      <c r="B106" s="1"/>
      <c r="C106" s="82">
        <v>60</v>
      </c>
      <c r="D106" s="1"/>
      <c r="E106" s="344">
        <f t="shared" ca="1" si="6"/>
        <v>-213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hidden="1">
      <c r="A107" s="1"/>
      <c r="B107" s="1"/>
      <c r="C107" s="82">
        <v>70</v>
      </c>
      <c r="D107" s="1"/>
      <c r="E107" s="344">
        <f t="shared" ca="1" si="6"/>
        <v>-248.5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hidden="1">
      <c r="A108" s="1"/>
      <c r="B108" s="1"/>
      <c r="C108" s="82">
        <v>80</v>
      </c>
      <c r="D108" s="1"/>
      <c r="E108" s="344">
        <f t="shared" ca="1" si="6"/>
        <v>-284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229" t="s">
        <v>103</v>
      </c>
      <c r="Q108" s="6">
        <f>ENTI!Z1018</f>
        <v>12</v>
      </c>
      <c r="R108" s="1"/>
      <c r="S108" s="1"/>
      <c r="T108" s="1"/>
      <c r="U108" s="1"/>
      <c r="V108" s="1"/>
      <c r="W108" s="1"/>
    </row>
    <row r="109" spans="1:23" hidden="1">
      <c r="A109" s="1"/>
      <c r="B109" s="1"/>
      <c r="C109" s="82">
        <v>90</v>
      </c>
      <c r="D109" s="1"/>
      <c r="E109" s="344">
        <f t="shared" ca="1" si="6"/>
        <v>-319.5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hidden="1">
      <c r="A110" s="1"/>
      <c r="B110" s="1"/>
      <c r="C110" s="82">
        <v>100</v>
      </c>
      <c r="D110" s="1"/>
      <c r="E110" s="344">
        <f t="shared" ca="1" si="6"/>
        <v>-355</v>
      </c>
      <c r="F110" s="349">
        <f>Presentazione!B207</f>
        <v>1</v>
      </c>
      <c r="G110" s="349">
        <f>Presentazione!C207</f>
        <v>2</v>
      </c>
      <c r="H110" s="349">
        <f>Presentazione!D207</f>
        <v>3</v>
      </c>
      <c r="I110" s="349">
        <f>Presentazione!E207</f>
        <v>4</v>
      </c>
      <c r="J110" s="349">
        <f>Presentazione!F207</f>
        <v>5</v>
      </c>
      <c r="K110" s="349">
        <f>Presentazione!G207</f>
        <v>6</v>
      </c>
      <c r="L110" s="349">
        <f>Presentazione!H207</f>
        <v>7</v>
      </c>
      <c r="M110" s="349">
        <f>Presentazione!I207</f>
        <v>8</v>
      </c>
      <c r="N110" s="349">
        <f>Presentazione!J207</f>
        <v>9</v>
      </c>
      <c r="O110" s="349">
        <f>Presentazione!K207</f>
        <v>10</v>
      </c>
      <c r="P110" s="349">
        <f>Presentazione!L207</f>
        <v>11</v>
      </c>
      <c r="Q110" s="349">
        <f>Presentazione!M207</f>
        <v>12</v>
      </c>
      <c r="R110" s="1"/>
      <c r="S110" s="1"/>
      <c r="T110" s="1"/>
      <c r="U110" s="1"/>
      <c r="V110" s="1"/>
      <c r="W110" s="1"/>
    </row>
    <row r="111" spans="1:23" hidden="1">
      <c r="A111" s="1"/>
      <c r="B111" s="1"/>
      <c r="C111" s="343">
        <f ca="1">MIN(F101:Q101)</f>
        <v>-355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hidden="1">
      <c r="A112" s="1"/>
      <c r="B112" s="1"/>
      <c r="C112" s="343"/>
      <c r="D112" s="1"/>
      <c r="E112" s="1"/>
      <c r="F112" s="349">
        <f>ENTI!F1036</f>
        <v>1</v>
      </c>
      <c r="G112" s="349">
        <f>ENTI!G1036</f>
        <v>2</v>
      </c>
      <c r="H112" s="349">
        <f>ENTI!H1036</f>
        <v>3</v>
      </c>
      <c r="I112" s="349">
        <f>ENTI!I1036</f>
        <v>4</v>
      </c>
      <c r="J112" s="349">
        <f>ENTI!J1036</f>
        <v>5</v>
      </c>
      <c r="K112" s="349">
        <f>ENTI!K1036</f>
        <v>6</v>
      </c>
      <c r="L112" s="349">
        <f>ENTI!L1036</f>
        <v>7</v>
      </c>
      <c r="M112" s="349">
        <f>ENTI!M1036</f>
        <v>8</v>
      </c>
      <c r="N112" s="349">
        <f>ENTI!N1036</f>
        <v>9</v>
      </c>
      <c r="O112" s="349">
        <f>ENTI!O1036</f>
        <v>10</v>
      </c>
      <c r="P112" s="349">
        <f>ENTI!P1036</f>
        <v>11</v>
      </c>
      <c r="Q112" s="349">
        <f>ENTI!Q1036</f>
        <v>12</v>
      </c>
      <c r="R112" s="1"/>
      <c r="S112" s="1"/>
      <c r="T112" s="1"/>
      <c r="U112" s="1"/>
      <c r="V112" s="1"/>
      <c r="W112" s="1"/>
    </row>
    <row r="113" spans="1:23" hidden="1">
      <c r="A113" s="1"/>
      <c r="B113" s="1"/>
      <c r="C113" s="343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hidden="1">
      <c r="A114" s="1"/>
      <c r="B114" s="1"/>
      <c r="C114" s="343"/>
      <c r="D114" s="1"/>
      <c r="E114" s="1" t="s">
        <v>331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hidden="1">
      <c r="A115" s="1"/>
      <c r="B115" s="1"/>
      <c r="C115" s="343"/>
      <c r="D115" s="1"/>
      <c r="E115" s="303" t="s">
        <v>170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hidden="1">
      <c r="A116" s="1"/>
      <c r="B116" s="1"/>
      <c r="C116" s="343"/>
      <c r="D116" s="1"/>
      <c r="E116" s="1" t="s">
        <v>182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hidden="1">
      <c r="A117" s="1"/>
      <c r="B117" s="1"/>
      <c r="C117" s="343"/>
      <c r="D117" s="1"/>
      <c r="E117" s="303" t="str">
        <f>CIRCOLARI!C5</f>
        <v>Inserisci qui il NOME   -   P.I./C.F codice fiscale condominio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hidden="1">
      <c r="A118" s="1"/>
      <c r="B118" s="1"/>
      <c r="C118" s="343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hidden="1">
      <c r="A119" s="1"/>
      <c r="B119" s="1"/>
      <c r="C119" s="343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hidden="1">
      <c r="A120" s="1"/>
      <c r="B120" s="1"/>
      <c r="C120" s="343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hidden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hidden="1">
      <c r="A122" s="1"/>
      <c r="B122" s="1"/>
      <c r="C122" s="1"/>
      <c r="D122" s="1"/>
      <c r="E122" s="893" t="s">
        <v>14</v>
      </c>
      <c r="F122" s="739">
        <v>1</v>
      </c>
      <c r="G122" s="893" t="s">
        <v>513</v>
      </c>
      <c r="H122" s="920" t="b">
        <f>Presentazione!$E$181</f>
        <v>1</v>
      </c>
      <c r="I122" s="893" t="s">
        <v>215</v>
      </c>
      <c r="J122" s="739">
        <f>Presentazione!$H$181</f>
        <v>1</v>
      </c>
      <c r="K122" s="893" t="s">
        <v>548</v>
      </c>
      <c r="L122" s="739" t="b">
        <f>Presentazione!$L$181</f>
        <v>1</v>
      </c>
      <c r="M122" s="835"/>
      <c r="N122" s="835"/>
      <c r="O122" s="1"/>
      <c r="P122" s="1"/>
      <c r="Q122" s="1"/>
      <c r="R122" s="1"/>
      <c r="S122" s="1"/>
      <c r="T122" s="1"/>
      <c r="U122" s="1"/>
      <c r="V122" s="1"/>
      <c r="W122" s="1"/>
    </row>
    <row r="123" spans="1:23" hidden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373"/>
    </row>
  </sheetData>
  <sheetProtection algorithmName="SHA-512" hashValue="/dye55vKLEdjIeD8T9bqJBrRhevwLCYZMOWjFhO3T4AgB+7MON97dfHrco6Rp/GdeyoCslKLaBAIGd1RPzNJgA==" saltValue="k+/Os8W33MO6KrpzaFVKdQ==" spinCount="100000" sheet="1" objects="1" scenarios="1" selectLockedCells="1"/>
  <mergeCells count="89">
    <mergeCell ref="M46:N46"/>
    <mergeCell ref="B84:S84"/>
    <mergeCell ref="I82:S82"/>
    <mergeCell ref="E50:F50"/>
    <mergeCell ref="G50:H50"/>
    <mergeCell ref="B80:D80"/>
    <mergeCell ref="M56:R56"/>
    <mergeCell ref="E80:Q80"/>
    <mergeCell ref="I81:S81"/>
    <mergeCell ref="M57:R57"/>
    <mergeCell ref="B68:E68"/>
    <mergeCell ref="B70:E70"/>
    <mergeCell ref="B69:E69"/>
    <mergeCell ref="F54:G54"/>
    <mergeCell ref="I51:J51"/>
    <mergeCell ref="B47:C47"/>
    <mergeCell ref="G51:H51"/>
    <mergeCell ref="I48:J48"/>
    <mergeCell ref="I49:J49"/>
    <mergeCell ref="G47:H47"/>
    <mergeCell ref="G49:H49"/>
    <mergeCell ref="O50:P50"/>
    <mergeCell ref="O51:P51"/>
    <mergeCell ref="M50:N50"/>
    <mergeCell ref="M51:N51"/>
    <mergeCell ref="M47:N47"/>
    <mergeCell ref="B64:E64"/>
    <mergeCell ref="B65:E65"/>
    <mergeCell ref="B12:E12"/>
    <mergeCell ref="B24:E25"/>
    <mergeCell ref="E43:F43"/>
    <mergeCell ref="E44:F44"/>
    <mergeCell ref="E51:F51"/>
    <mergeCell ref="E47:F47"/>
    <mergeCell ref="O45:P45"/>
    <mergeCell ref="O46:P46"/>
    <mergeCell ref="M45:N45"/>
    <mergeCell ref="B62:E62"/>
    <mergeCell ref="E48:F48"/>
    <mergeCell ref="G48:H48"/>
    <mergeCell ref="E49:F49"/>
    <mergeCell ref="J54:K54"/>
    <mergeCell ref="E46:F46"/>
    <mergeCell ref="G46:H46"/>
    <mergeCell ref="B46:C46"/>
    <mergeCell ref="B60:E60"/>
    <mergeCell ref="B59:E59"/>
    <mergeCell ref="M48:N48"/>
    <mergeCell ref="O47:P47"/>
    <mergeCell ref="O48:P48"/>
    <mergeCell ref="O44:P44"/>
    <mergeCell ref="G43:H43"/>
    <mergeCell ref="B10:E10"/>
    <mergeCell ref="B11:E11"/>
    <mergeCell ref="M44:N44"/>
    <mergeCell ref="G44:H44"/>
    <mergeCell ref="M43:N43"/>
    <mergeCell ref="B1:E1"/>
    <mergeCell ref="B26:E28"/>
    <mergeCell ref="B19:D20"/>
    <mergeCell ref="B61:E61"/>
    <mergeCell ref="E45:F45"/>
    <mergeCell ref="B33:D34"/>
    <mergeCell ref="B2:I2"/>
    <mergeCell ref="G45:H45"/>
    <mergeCell ref="I45:J45"/>
    <mergeCell ref="B4:D4"/>
    <mergeCell ref="I44:J44"/>
    <mergeCell ref="J2:S2"/>
    <mergeCell ref="B5:E5"/>
    <mergeCell ref="B8:E8"/>
    <mergeCell ref="B9:E9"/>
    <mergeCell ref="O43:P43"/>
    <mergeCell ref="B78:E78"/>
    <mergeCell ref="B77:E77"/>
    <mergeCell ref="B57:H57"/>
    <mergeCell ref="I57:L57"/>
    <mergeCell ref="Q50:R50"/>
    <mergeCell ref="Q51:R51"/>
    <mergeCell ref="B74:E74"/>
    <mergeCell ref="B71:E71"/>
    <mergeCell ref="N54:O54"/>
    <mergeCell ref="B73:E73"/>
    <mergeCell ref="B72:E72"/>
    <mergeCell ref="B76:E76"/>
    <mergeCell ref="B75:E75"/>
    <mergeCell ref="B67:E67"/>
    <mergeCell ref="B63:E63"/>
    <mergeCell ref="B66:E66"/>
  </mergeCells>
  <phoneticPr fontId="4" type="noConversion"/>
  <conditionalFormatting sqref="F25:Q25">
    <cfRule type="expression" dxfId="236" priority="80" stopIfTrue="1">
      <formula>F$88&gt;0</formula>
    </cfRule>
  </conditionalFormatting>
  <conditionalFormatting sqref="F16:Q24">
    <cfRule type="expression" dxfId="235" priority="81" stopIfTrue="1">
      <formula>F$88&gt;$E92</formula>
    </cfRule>
  </conditionalFormatting>
  <conditionalFormatting sqref="F27:Q27">
    <cfRule type="expression" dxfId="234" priority="82" stopIfTrue="1">
      <formula>F$88&lt;0</formula>
    </cfRule>
  </conditionalFormatting>
  <conditionalFormatting sqref="F28:Q36">
    <cfRule type="expression" dxfId="233" priority="83" stopIfTrue="1">
      <formula>F$88&lt;$E101</formula>
    </cfRule>
  </conditionalFormatting>
  <conditionalFormatting sqref="F100:Q101 F88:Q88 E91:E110 F15:Q15">
    <cfRule type="cellIs" dxfId="232" priority="93" stopIfTrue="1" operator="equal">
      <formula>0</formula>
    </cfRule>
  </conditionalFormatting>
  <conditionalFormatting sqref="F38:Q38">
    <cfRule type="cellIs" dxfId="231" priority="96" stopIfTrue="1" operator="lessThan">
      <formula>0</formula>
    </cfRule>
  </conditionalFormatting>
  <conditionalFormatting sqref="F14">
    <cfRule type="cellIs" dxfId="230" priority="79" stopIfTrue="1" operator="greaterThan">
      <formula>0</formula>
    </cfRule>
  </conditionalFormatting>
  <conditionalFormatting sqref="G14:Q14">
    <cfRule type="cellIs" dxfId="229" priority="77" stopIfTrue="1" operator="greaterThan">
      <formula>0</formula>
    </cfRule>
  </conditionalFormatting>
  <conditionalFormatting sqref="B46:C46">
    <cfRule type="expression" dxfId="228" priority="73">
      <formula>$B$47=0</formula>
    </cfRule>
  </conditionalFormatting>
  <conditionalFormatting sqref="B47:C47">
    <cfRule type="cellIs" dxfId="227" priority="72" operator="equal">
      <formula>0</formula>
    </cfRule>
  </conditionalFormatting>
  <conditionalFormatting sqref="Q50:R50">
    <cfRule type="expression" dxfId="226" priority="71">
      <formula>$Q$51=0</formula>
    </cfRule>
  </conditionalFormatting>
  <conditionalFormatting sqref="Q51:R51">
    <cfRule type="cellIs" dxfId="225" priority="70" operator="equal">
      <formula>0</formula>
    </cfRule>
  </conditionalFormatting>
  <conditionalFormatting sqref="F60:Q60 F62:Q62 F64:Q64 F68:Q68 F76:Q76 F72:Q72 F66:Q66 F70:Q70 F74:Q74 F78:Q78">
    <cfRule type="expression" dxfId="224" priority="61" stopIfTrue="1">
      <formula>OR(ISERROR(F60),F$112&gt;$Q$108)</formula>
    </cfRule>
    <cfRule type="cellIs" dxfId="223" priority="900" stopIfTrue="1" operator="equal">
      <formula>0</formula>
    </cfRule>
  </conditionalFormatting>
  <conditionalFormatting sqref="F61:Q61 F65:Q65 F69:Q69 F77:Q77 F9:Q12 F73:Q73">
    <cfRule type="expression" dxfId="222" priority="1258" stopIfTrue="1">
      <formula>$H$122=FALSE</formula>
    </cfRule>
    <cfRule type="expression" dxfId="221" priority="1259" stopIfTrue="1">
      <formula>F$112&gt;$Q$108</formula>
    </cfRule>
    <cfRule type="cellIs" dxfId="220" priority="1260" stopIfTrue="1" operator="equal">
      <formula>0</formula>
    </cfRule>
  </conditionalFormatting>
  <conditionalFormatting sqref="F5:Q5">
    <cfRule type="expression" dxfId="219" priority="1441" stopIfTrue="1">
      <formula>OR($H$122=FALSE,$L$122=FALSE)</formula>
    </cfRule>
    <cfRule type="expression" dxfId="218" priority="1442" stopIfTrue="1">
      <formula>F$112&gt;$Q$108</formula>
    </cfRule>
  </conditionalFormatting>
  <conditionalFormatting sqref="S64 S60 S68 S72 S76">
    <cfRule type="expression" dxfId="217" priority="1453" stopIfTrue="1">
      <formula>$H$122=FALSE</formula>
    </cfRule>
    <cfRule type="expression" dxfId="216" priority="1454" stopIfTrue="1">
      <formula>ISERROR(S60)</formula>
    </cfRule>
  </conditionalFormatting>
  <conditionalFormatting sqref="S9">
    <cfRule type="cellIs" dxfId="215" priority="1458" stopIfTrue="1" operator="equal">
      <formula>0</formula>
    </cfRule>
  </conditionalFormatting>
  <conditionalFormatting sqref="S10:S11">
    <cfRule type="cellIs" dxfId="214" priority="1460" stopIfTrue="1" operator="equal">
      <formula>0</formula>
    </cfRule>
  </conditionalFormatting>
  <conditionalFormatting sqref="B1:E1 J2:S2">
    <cfRule type="expression" dxfId="213" priority="1461" stopIfTrue="1">
      <formula>$J$122=1</formula>
    </cfRule>
  </conditionalFormatting>
  <conditionalFormatting sqref="B2:I2">
    <cfRule type="expression" dxfId="212" priority="1463" stopIfTrue="1">
      <formula>$J$122=1</formula>
    </cfRule>
  </conditionalFormatting>
  <conditionalFormatting sqref="F10:Q10">
    <cfRule type="containsErrors" dxfId="211" priority="69" stopIfTrue="1">
      <formula>ISERROR(F10)</formula>
    </cfRule>
  </conditionalFormatting>
  <conditionalFormatting sqref="S10">
    <cfRule type="containsErrors" dxfId="210" priority="1457" stopIfTrue="1">
      <formula>ISERROR(S10)</formula>
    </cfRule>
  </conditionalFormatting>
  <conditionalFormatting sqref="E45 G45 E49 G49 M45 O45 M47 M48 I51">
    <cfRule type="containsErrors" dxfId="209" priority="67" stopIfTrue="1">
      <formula>ISERROR(E45)</formula>
    </cfRule>
  </conditionalFormatting>
  <conditionalFormatting sqref="I45 I49 M50 M51">
    <cfRule type="containsErrors" dxfId="208" priority="66" stopIfTrue="1">
      <formula>ISERROR(I45)</formula>
    </cfRule>
  </conditionalFormatting>
  <conditionalFormatting sqref="F54:G54 J54:K54 N54:O54">
    <cfRule type="cellIs" dxfId="207" priority="65" operator="equal">
      <formula>0</formula>
    </cfRule>
  </conditionalFormatting>
  <conditionalFormatting sqref="B47:C47 Q51:R51">
    <cfRule type="containsErrors" dxfId="206" priority="64" stopIfTrue="1">
      <formula>ISERROR(B47)</formula>
    </cfRule>
  </conditionalFormatting>
  <conditionalFormatting sqref="S9:S12">
    <cfRule type="expression" dxfId="205" priority="68" stopIfTrue="1">
      <formula>OR($H$122=FALSE,$L$122=FALSE)</formula>
    </cfRule>
  </conditionalFormatting>
  <conditionalFormatting sqref="E4">
    <cfRule type="cellIs" dxfId="204" priority="63" operator="equal">
      <formula>0</formula>
    </cfRule>
  </conditionalFormatting>
  <conditionalFormatting sqref="S57">
    <cfRule type="cellIs" dxfId="203" priority="62" operator="equal">
      <formula>0</formula>
    </cfRule>
  </conditionalFormatting>
  <conditionalFormatting sqref="G62:Q62">
    <cfRule type="expression" dxfId="202" priority="899" stopIfTrue="1">
      <formula>G62=F62</formula>
    </cfRule>
  </conditionalFormatting>
  <conditionalFormatting sqref="G66:Q66">
    <cfRule type="expression" dxfId="201" priority="60" stopIfTrue="1">
      <formula>G66=F66</formula>
    </cfRule>
  </conditionalFormatting>
  <conditionalFormatting sqref="G70:Q70">
    <cfRule type="expression" dxfId="200" priority="59" stopIfTrue="1">
      <formula>G70=F70</formula>
    </cfRule>
  </conditionalFormatting>
  <conditionalFormatting sqref="G74:Q74">
    <cfRule type="expression" dxfId="199" priority="53" stopIfTrue="1">
      <formula>G74=F74</formula>
    </cfRule>
  </conditionalFormatting>
  <conditionalFormatting sqref="G78:Q78">
    <cfRule type="expression" dxfId="198" priority="2" stopIfTrue="1">
      <formula>G78=F78</formula>
    </cfRule>
  </conditionalFormatting>
  <conditionalFormatting sqref="G5:Q5">
    <cfRule type="expression" dxfId="197" priority="1" stopIfTrue="1">
      <formula>G5=F5</formula>
    </cfRule>
  </conditionalFormatting>
  <conditionalFormatting sqref="I44 I48 O47:O48 O50:O51">
    <cfRule type="expression" dxfId="196" priority="3387" stopIfTrue="1">
      <formula>#REF!=TRUE</formula>
    </cfRule>
  </conditionalFormatting>
  <hyperlinks>
    <hyperlink ref="H54" location="ENTI!P4" display="QUI"/>
    <hyperlink ref="L54" location="COSTI!P4" display="QUI"/>
    <hyperlink ref="P54" location="PATRIMONIALE!P4" display="QUI"/>
  </hyperlinks>
  <printOptions horizontalCentered="1"/>
  <pageMargins left="0" right="0" top="0.19685039370078741" bottom="0.19685039370078741" header="0.51181102362204722" footer="0.51181102362204722"/>
  <pageSetup paperSize="9" scale="80" orientation="landscape" verticalDpi="300" r:id="rId1"/>
  <headerFooter alignWithMargins="0"/>
  <rowBreaks count="1" manualBreakCount="1">
    <brk id="57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>
    <pageSetUpPr autoPageBreaks="0"/>
  </sheetPr>
  <dimension ref="A1:O4197"/>
  <sheetViews>
    <sheetView showGridLines="0" showRowColHeaders="0" topLeftCell="B1" zoomScaleNormal="100" workbookViewId="0">
      <pane ySplit="5" topLeftCell="A6" activePane="bottomLeft" state="frozen"/>
      <selection activeCell="B1" sqref="B1"/>
      <selection pane="bottomLeft" activeCell="E2" sqref="E2:F2"/>
    </sheetView>
  </sheetViews>
  <sheetFormatPr defaultRowHeight="12.75"/>
  <cols>
    <col min="1" max="1" width="3.85546875" style="2" hidden="1" customWidth="1"/>
    <col min="2" max="2" width="4.7109375" style="2" customWidth="1"/>
    <col min="3" max="3" width="5.42578125" style="2" customWidth="1"/>
    <col min="4" max="4" width="8.7109375" style="2" customWidth="1"/>
    <col min="5" max="5" width="13.5703125" style="2" customWidth="1"/>
    <col min="6" max="6" width="24.28515625" style="2" customWidth="1"/>
    <col min="7" max="7" width="54.28515625" style="2" customWidth="1"/>
    <col min="8" max="8" width="15.7109375" style="2" customWidth="1"/>
    <col min="9" max="10" width="14.28515625" style="2" customWidth="1"/>
    <col min="11" max="11" width="1.42578125" style="2" customWidth="1"/>
    <col min="12" max="12" width="14.5703125" style="2" customWidth="1"/>
    <col min="13" max="14" width="9.140625" style="2" hidden="1" customWidth="1"/>
    <col min="15" max="16384" width="9.140625" style="2"/>
  </cols>
  <sheetData>
    <row r="1" spans="1:15" ht="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1" customHeight="1">
      <c r="A2" s="1"/>
      <c r="B2" s="1"/>
      <c r="C2" s="1"/>
      <c r="D2" s="1"/>
      <c r="E2" s="1611" t="s">
        <v>62</v>
      </c>
      <c r="F2" s="1612"/>
      <c r="G2" s="382" t="s">
        <v>355</v>
      </c>
      <c r="H2" s="495">
        <f ca="1">ROUND(SUM(H6:H1005),2)</f>
        <v>656.58</v>
      </c>
      <c r="I2" s="1613" t="str">
        <f ca="1">IF(ISBLANK(E2),J4185,IF(ISERROR(VLOOKUP(E2,F1034:F1038,1,FALSE)),IF(VLOOKUP(E2,F1020:I1076,4,FALSE)=H2,"OK","ERROR"),VLOOKUP(E2,F1034:I1038,4,FALSE)))</f>
        <v>OK</v>
      </c>
      <c r="J2" s="1614"/>
      <c r="K2" s="1"/>
      <c r="L2" s="1"/>
      <c r="M2" s="1"/>
      <c r="N2" s="1"/>
      <c r="O2" s="1"/>
    </row>
    <row r="3" spans="1:15" ht="6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21" customHeight="1">
      <c r="A4" s="1"/>
      <c r="B4" s="1"/>
      <c r="C4" s="1"/>
      <c r="D4" s="3"/>
      <c r="E4" s="380" t="s">
        <v>0</v>
      </c>
      <c r="F4" s="383" t="s">
        <v>39</v>
      </c>
      <c r="G4" s="376" t="s">
        <v>149</v>
      </c>
      <c r="H4" s="550" t="str">
        <f>Presentazione!K26</f>
        <v>EURO</v>
      </c>
      <c r="I4" s="1607" t="str">
        <f ca="1">IF(E2=F1076,"Descrizione aggiuntiva","Controconto")</f>
        <v>Controconto</v>
      </c>
      <c r="J4" s="1608"/>
      <c r="K4" s="1"/>
      <c r="L4" s="381" t="s">
        <v>91</v>
      </c>
      <c r="M4" s="1"/>
      <c r="N4" s="1"/>
      <c r="O4" s="1"/>
    </row>
    <row r="5" spans="1:15" ht="10.5" customHeight="1">
      <c r="A5" s="1"/>
      <c r="B5" s="1"/>
      <c r="C5" s="1"/>
      <c r="D5" s="3"/>
      <c r="E5" s="22"/>
      <c r="F5" s="23"/>
      <c r="G5" s="23"/>
      <c r="H5" s="219"/>
      <c r="I5" s="1609"/>
      <c r="J5" s="1610"/>
      <c r="K5" s="1"/>
      <c r="L5" s="221"/>
      <c r="M5" s="1"/>
      <c r="N5" s="1"/>
      <c r="O5" s="1"/>
    </row>
    <row r="6" spans="1:15" ht="16.5" customHeight="1">
      <c r="A6" s="1"/>
      <c r="B6" s="658"/>
      <c r="C6" s="223" t="str">
        <f ca="1">IF(E2=" ","",IF(G6=G1080,C4185,IF(ISERROR(VLOOKUP(D6,B$3067:B$4182,1,FALSE)),"",C$4185)))</f>
        <v>R.A.</v>
      </c>
      <c r="D6" s="519">
        <v>1</v>
      </c>
      <c r="E6" s="25">
        <f ca="1">IF(E2=" ",0,IF(ISERROR(VLOOKUP($D6,$B$1080:$E$4183,4,FALSE)),"",VLOOKUP($D6,$B$1080:$E$4183,4,FALSE)))</f>
        <v>45292</v>
      </c>
      <c r="F6" s="224" t="str">
        <f>IF(ISBLANK(E2),"",IF(LEFT(E2,5)="-----","",E2))</f>
        <v>CASSA</v>
      </c>
      <c r="G6" s="384" t="str">
        <f ca="1">IF(E2=" ","",IF(F6="","",IF(ISERROR(VLOOKUP($D6,$B$1080:$G$4183,6,FALSE)),"",T(VLOOKUP($D6,$B$1080:$G$4183,6,FALSE)))))</f>
        <v>Riporto saldo iniziale</v>
      </c>
      <c r="H6" s="512">
        <f ca="1">IF(E2="",0,IF(F6="","",IF(ISERROR(VLOOKUP($D6,$B$1080:$H$4183,7,FALSE)),0,VLOOKUP($D6,$B$1080:$H$4183,7,FALSE)))*M6)</f>
        <v>200</v>
      </c>
      <c r="I6" s="1603" t="str">
        <f t="shared" ref="I6:I69" ca="1" si="0">IF(F6="","",IF(ISERROR(VLOOKUP($D6,$B$1080:$L$4183,11,FALSE)),"",VLOOKUP($D6,$B$1080:$L$4183,11,FALSE)))</f>
        <v xml:space="preserve"> </v>
      </c>
      <c r="J6" s="1604"/>
      <c r="K6" s="373"/>
      <c r="L6" s="513">
        <f ca="1">ROUND(IF(ISBLANK(E2),0,H6),2)</f>
        <v>200</v>
      </c>
      <c r="M6" s="655">
        <f ca="1">IF(G6=G1080,1,IF(AND(E6&gt;0,H$4188=0,OR(E6&lt;L$1020,E6&gt;L$1021)),0,1))</f>
        <v>1</v>
      </c>
      <c r="N6" s="183">
        <f t="shared" ref="N6:N69" ca="1" si="1">IF(ISERROR(VLOOKUP(G6,G$4171:G$4182,1,FALSE)),0,1)</f>
        <v>0</v>
      </c>
      <c r="O6" s="1"/>
    </row>
    <row r="7" spans="1:15" ht="16.5" customHeight="1">
      <c r="A7" s="1"/>
      <c r="B7" s="657" t="str">
        <f t="shared" ref="B7:B70" ca="1" si="2">IF(AND(E7&lt;&gt;"",M7=0),"[..]","")</f>
        <v/>
      </c>
      <c r="C7" s="223" t="str">
        <f t="shared" ref="C7:C70" ca="1" si="3">IF(ISBLANK(E$2),"",IF(ISERROR(VLOOKUP(D7,B$3067:B$4182,1,FALSE)),"",C$4185))</f>
        <v>R.A.</v>
      </c>
      <c r="D7" s="519">
        <f>D6+1</f>
        <v>2</v>
      </c>
      <c r="E7" s="225">
        <f t="shared" ref="E7:E70" ca="1" si="4">IF(ISERROR(VLOOKUP($D7,$B$1080:$E$4183,4,FALSE)),"",VLOOKUP($D7,$B$1080:$E$4183,4,FALSE))</f>
        <v>45297</v>
      </c>
      <c r="F7" s="224" t="str">
        <f>F6</f>
        <v>CASSA</v>
      </c>
      <c r="G7" s="384" t="str">
        <f t="shared" ref="G7:G70" ca="1" si="5">IF(ISERROR(VLOOKUP($D7,$B$1080:$G$4183,6,FALSE)),"",T(VLOOKUP($D7,$B$1080:$G$4183,6,FALSE)))</f>
        <v>Versato in contanti quota prestabilita GENNAIO</v>
      </c>
      <c r="H7" s="512">
        <f t="shared" ref="H7:H70" ca="1" si="6">IF(ISERROR(VLOOKUP($D7,$B$1080:$H$4183,7,FALSE)),0,VLOOKUP($D7,$B$1080:$H$4183,7,FALSE))*M7</f>
        <v>100</v>
      </c>
      <c r="I7" s="1603" t="str">
        <f t="shared" ca="1" si="0"/>
        <v>Nome ENTE 1</v>
      </c>
      <c r="J7" s="1604"/>
      <c r="K7" s="373"/>
      <c r="L7" s="513">
        <f ca="1">ROUND(L6+H7,2)</f>
        <v>300</v>
      </c>
      <c r="M7" s="654">
        <f t="shared" ref="M7:M70" ca="1" si="7">IF(AND(E7&gt;0,H$4188=0,OR(E7&lt;L$1020,E7&gt;L$1021)),0,1)</f>
        <v>1</v>
      </c>
      <c r="N7" s="226">
        <f t="shared" ca="1" si="1"/>
        <v>0</v>
      </c>
      <c r="O7" s="1"/>
    </row>
    <row r="8" spans="1:15" ht="16.5" customHeight="1">
      <c r="A8" s="1"/>
      <c r="B8" s="657" t="str">
        <f t="shared" ca="1" si="2"/>
        <v/>
      </c>
      <c r="C8" s="223" t="str">
        <f t="shared" ca="1" si="3"/>
        <v/>
      </c>
      <c r="D8" s="519">
        <f t="shared" ref="D8:D71" si="8">D7+1</f>
        <v>3</v>
      </c>
      <c r="E8" s="225">
        <f t="shared" ca="1" si="4"/>
        <v>45298</v>
      </c>
      <c r="F8" s="224" t="str">
        <f>F7</f>
        <v>CASSA</v>
      </c>
      <c r="G8" s="384" t="str">
        <f t="shared" ca="1" si="5"/>
        <v>Pagamento Riga 1 del Registro dei Costi</v>
      </c>
      <c r="H8" s="512">
        <f t="shared" ca="1" si="6"/>
        <v>-100</v>
      </c>
      <c r="I8" s="1603" t="str">
        <f t="shared" ca="1" si="0"/>
        <v/>
      </c>
      <c r="J8" s="1604"/>
      <c r="K8" s="373"/>
      <c r="L8" s="513">
        <f t="shared" ref="L8:L71" ca="1" si="9">ROUND(L7+H8,2)</f>
        <v>200</v>
      </c>
      <c r="M8" s="654">
        <f t="shared" ca="1" si="7"/>
        <v>1</v>
      </c>
      <c r="N8" s="226">
        <f t="shared" ca="1" si="1"/>
        <v>0</v>
      </c>
      <c r="O8" s="1"/>
    </row>
    <row r="9" spans="1:15" ht="16.5" customHeight="1">
      <c r="A9" s="1"/>
      <c r="B9" s="657" t="str">
        <f t="shared" ca="1" si="2"/>
        <v/>
      </c>
      <c r="C9" s="223" t="str">
        <f t="shared" ca="1" si="3"/>
        <v>R.A.</v>
      </c>
      <c r="D9" s="519">
        <f t="shared" si="8"/>
        <v>4</v>
      </c>
      <c r="E9" s="225">
        <f t="shared" ca="1" si="4"/>
        <v>45310</v>
      </c>
      <c r="F9" s="224" t="str">
        <f>F8</f>
        <v>CASSA</v>
      </c>
      <c r="G9" s="384" t="str">
        <f t="shared" ca="1" si="5"/>
        <v>Versato in contanti acconto GENNAIO</v>
      </c>
      <c r="H9" s="512">
        <f t="shared" ca="1" si="6"/>
        <v>50</v>
      </c>
      <c r="I9" s="1603" t="str">
        <f t="shared" ca="1" si="0"/>
        <v>Nome ENTE 2</v>
      </c>
      <c r="J9" s="1604"/>
      <c r="K9" s="373"/>
      <c r="L9" s="513">
        <f t="shared" ca="1" si="9"/>
        <v>250</v>
      </c>
      <c r="M9" s="654">
        <f t="shared" ca="1" si="7"/>
        <v>1</v>
      </c>
      <c r="N9" s="226">
        <f t="shared" ca="1" si="1"/>
        <v>0</v>
      </c>
      <c r="O9" s="1"/>
    </row>
    <row r="10" spans="1:15" ht="16.5" customHeight="1">
      <c r="A10" s="1"/>
      <c r="B10" s="657" t="str">
        <f t="shared" ca="1" si="2"/>
        <v/>
      </c>
      <c r="C10" s="223" t="str">
        <f t="shared" ca="1" si="3"/>
        <v>R.A.</v>
      </c>
      <c r="D10" s="519">
        <f t="shared" si="8"/>
        <v>5</v>
      </c>
      <c r="E10" s="225">
        <f t="shared" ca="1" si="4"/>
        <v>45323</v>
      </c>
      <c r="F10" s="224" t="str">
        <f>F9</f>
        <v>CASSA</v>
      </c>
      <c r="G10" s="384" t="str">
        <f t="shared" ca="1" si="5"/>
        <v>Ricevuto bonifico quota prestabilita</v>
      </c>
      <c r="H10" s="512">
        <f t="shared" ca="1" si="6"/>
        <v>100</v>
      </c>
      <c r="I10" s="1603" t="str">
        <f t="shared" ca="1" si="0"/>
        <v>Nome ENTE 3</v>
      </c>
      <c r="J10" s="1604"/>
      <c r="K10" s="373"/>
      <c r="L10" s="513">
        <f t="shared" ca="1" si="9"/>
        <v>350</v>
      </c>
      <c r="M10" s="654">
        <f t="shared" ca="1" si="7"/>
        <v>1</v>
      </c>
      <c r="N10" s="226">
        <f t="shared" ca="1" si="1"/>
        <v>0</v>
      </c>
      <c r="O10" s="1"/>
    </row>
    <row r="11" spans="1:15" ht="16.5" customHeight="1">
      <c r="A11" s="1"/>
      <c r="B11" s="657" t="str">
        <f t="shared" ca="1" si="2"/>
        <v/>
      </c>
      <c r="C11" s="223" t="str">
        <f t="shared" ca="1" si="3"/>
        <v>R.A.</v>
      </c>
      <c r="D11" s="519">
        <f t="shared" si="8"/>
        <v>6</v>
      </c>
      <c r="E11" s="225">
        <f t="shared" ca="1" si="4"/>
        <v>45336</v>
      </c>
      <c r="F11" s="224" t="str">
        <f>F10</f>
        <v>CASSA</v>
      </c>
      <c r="G11" s="384" t="str">
        <f t="shared" ca="1" si="5"/>
        <v>Ricevuto bonifico acconto</v>
      </c>
      <c r="H11" s="512">
        <f t="shared" ca="1" si="6"/>
        <v>50</v>
      </c>
      <c r="I11" s="1603" t="str">
        <f t="shared" ca="1" si="0"/>
        <v>Nome ENTE 4 / sovrascrivi</v>
      </c>
      <c r="J11" s="1604"/>
      <c r="K11" s="373"/>
      <c r="L11" s="513">
        <f t="shared" ca="1" si="9"/>
        <v>400</v>
      </c>
      <c r="M11" s="654">
        <f t="shared" ca="1" si="7"/>
        <v>1</v>
      </c>
      <c r="N11" s="226">
        <f t="shared" ca="1" si="1"/>
        <v>0</v>
      </c>
      <c r="O11" s="1"/>
    </row>
    <row r="12" spans="1:15" ht="16.5" customHeight="1">
      <c r="A12" s="1"/>
      <c r="B12" s="657" t="str">
        <f t="shared" ca="1" si="2"/>
        <v/>
      </c>
      <c r="C12" s="223" t="str">
        <f t="shared" ca="1" si="3"/>
        <v/>
      </c>
      <c r="D12" s="519">
        <f t="shared" si="8"/>
        <v>7</v>
      </c>
      <c r="E12" s="225">
        <f t="shared" ca="1" si="4"/>
        <v>45337</v>
      </c>
      <c r="F12" s="224" t="str">
        <f t="shared" ref="F12:F75" si="10">F11</f>
        <v>CASSA</v>
      </c>
      <c r="G12" s="384" t="str">
        <f t="shared" ca="1" si="5"/>
        <v>Pagamento Riga 4 del Registro dei Costi</v>
      </c>
      <c r="H12" s="512">
        <f t="shared" ca="1" si="6"/>
        <v>-100</v>
      </c>
      <c r="I12" s="1603" t="str">
        <f t="shared" ca="1" si="0"/>
        <v/>
      </c>
      <c r="J12" s="1604"/>
      <c r="K12" s="373"/>
      <c r="L12" s="513">
        <f t="shared" ca="1" si="9"/>
        <v>300</v>
      </c>
      <c r="M12" s="654">
        <f t="shared" ca="1" si="7"/>
        <v>1</v>
      </c>
      <c r="N12" s="226">
        <f t="shared" ca="1" si="1"/>
        <v>0</v>
      </c>
      <c r="O12" s="1"/>
    </row>
    <row r="13" spans="1:15" ht="16.5" customHeight="1">
      <c r="A13" s="1"/>
      <c r="B13" s="657" t="str">
        <f t="shared" ca="1" si="2"/>
        <v/>
      </c>
      <c r="C13" s="223" t="str">
        <f t="shared" ca="1" si="3"/>
        <v>R.A.</v>
      </c>
      <c r="D13" s="519">
        <f t="shared" si="8"/>
        <v>8</v>
      </c>
      <c r="E13" s="225">
        <f t="shared" ca="1" si="4"/>
        <v>45349</v>
      </c>
      <c r="F13" s="224" t="str">
        <f t="shared" si="10"/>
        <v>CASSA</v>
      </c>
      <c r="G13" s="384" t="str">
        <f t="shared" ca="1" si="5"/>
        <v/>
      </c>
      <c r="H13" s="512">
        <f t="shared" ca="1" si="6"/>
        <v>100</v>
      </c>
      <c r="I13" s="1603" t="str">
        <f t="shared" ca="1" si="0"/>
        <v>Nome ENTE ultimo disponibile</v>
      </c>
      <c r="J13" s="1604"/>
      <c r="K13" s="373"/>
      <c r="L13" s="513">
        <f t="shared" ca="1" si="9"/>
        <v>400</v>
      </c>
      <c r="M13" s="654">
        <f t="shared" ca="1" si="7"/>
        <v>1</v>
      </c>
      <c r="N13" s="226">
        <f t="shared" ca="1" si="1"/>
        <v>0</v>
      </c>
      <c r="O13" s="1"/>
    </row>
    <row r="14" spans="1:15" ht="16.5" customHeight="1">
      <c r="A14" s="1"/>
      <c r="B14" s="657" t="str">
        <f t="shared" ca="1" si="2"/>
        <v/>
      </c>
      <c r="C14" s="223" t="str">
        <f t="shared" ca="1" si="3"/>
        <v>R.A.</v>
      </c>
      <c r="D14" s="519">
        <f t="shared" si="8"/>
        <v>9</v>
      </c>
      <c r="E14" s="225">
        <f t="shared" ca="1" si="4"/>
        <v>45352</v>
      </c>
      <c r="F14" s="224" t="str">
        <f t="shared" si="10"/>
        <v>CASSA</v>
      </c>
      <c r="G14" s="384" t="str">
        <f t="shared" ca="1" si="5"/>
        <v>Doc. Nr. 1/2024 - QUIETANZA di pagamento</v>
      </c>
      <c r="H14" s="512">
        <f t="shared" ca="1" si="6"/>
        <v>-110</v>
      </c>
      <c r="I14" s="1603" t="str">
        <f t="shared" ca="1" si="0"/>
        <v>AMMINISTRATORE / Testo libero (eventuali oneri straord.)</v>
      </c>
      <c r="J14" s="1604"/>
      <c r="K14" s="373"/>
      <c r="L14" s="513">
        <f t="shared" ca="1" si="9"/>
        <v>290</v>
      </c>
      <c r="M14" s="654">
        <f t="shared" ca="1" si="7"/>
        <v>1</v>
      </c>
      <c r="N14" s="226">
        <f t="shared" ca="1" si="1"/>
        <v>0</v>
      </c>
      <c r="O14" s="1"/>
    </row>
    <row r="15" spans="1:15" ht="16.5" customHeight="1">
      <c r="A15" s="1"/>
      <c r="B15" s="657" t="str">
        <f t="shared" ca="1" si="2"/>
        <v/>
      </c>
      <c r="C15" s="223" t="str">
        <f t="shared" ca="1" si="3"/>
        <v>R.A.</v>
      </c>
      <c r="D15" s="519">
        <f t="shared" si="8"/>
        <v>10</v>
      </c>
      <c r="E15" s="225">
        <f t="shared" ca="1" si="4"/>
        <v>45352</v>
      </c>
      <c r="F15" s="224" t="str">
        <f t="shared" si="10"/>
        <v>CASSA</v>
      </c>
      <c r="G15" s="384" t="str">
        <f t="shared" ca="1" si="5"/>
        <v>Doc. Nr.  - QUIETANZA di pagamento</v>
      </c>
      <c r="H15" s="512">
        <f t="shared" ca="1" si="6"/>
        <v>-95</v>
      </c>
      <c r="I15" s="1603" t="str">
        <f t="shared" ca="1" si="0"/>
        <v>AMMINISTRATORE / Testo libero (eventuali sconti)</v>
      </c>
      <c r="J15" s="1604"/>
      <c r="K15" s="373"/>
      <c r="L15" s="513">
        <f t="shared" ca="1" si="9"/>
        <v>195</v>
      </c>
      <c r="M15" s="654">
        <f t="shared" ca="1" si="7"/>
        <v>1</v>
      </c>
      <c r="N15" s="226">
        <f t="shared" ca="1" si="1"/>
        <v>0</v>
      </c>
      <c r="O15" s="1"/>
    </row>
    <row r="16" spans="1:15" ht="16.5" customHeight="1">
      <c r="A16" s="1"/>
      <c r="B16" s="657" t="str">
        <f t="shared" ca="1" si="2"/>
        <v/>
      </c>
      <c r="C16" s="223" t="str">
        <f t="shared" ca="1" si="3"/>
        <v>R.A.</v>
      </c>
      <c r="D16" s="519">
        <f t="shared" si="8"/>
        <v>11</v>
      </c>
      <c r="E16" s="225">
        <f t="shared" ca="1" si="4"/>
        <v>45352</v>
      </c>
      <c r="F16" s="224" t="str">
        <f t="shared" si="10"/>
        <v>CASSA</v>
      </c>
      <c r="G16" s="384" t="str">
        <f t="shared" ca="1" si="5"/>
        <v>Doc. Nr.  - QUIETANZA di pagamento</v>
      </c>
      <c r="H16" s="512">
        <f t="shared" ca="1" si="6"/>
        <v>-100</v>
      </c>
      <c r="I16" s="1603" t="str">
        <f t="shared" ca="1" si="0"/>
        <v xml:space="preserve">AMMINISTRATORE / </v>
      </c>
      <c r="J16" s="1604"/>
      <c r="K16" s="373"/>
      <c r="L16" s="513">
        <f t="shared" ca="1" si="9"/>
        <v>95</v>
      </c>
      <c r="M16" s="654">
        <f t="shared" ca="1" si="7"/>
        <v>1</v>
      </c>
      <c r="N16" s="226">
        <f t="shared" ca="1" si="1"/>
        <v>0</v>
      </c>
      <c r="O16" s="1"/>
    </row>
    <row r="17" spans="1:15" ht="16.5" customHeight="1">
      <c r="A17" s="1"/>
      <c r="B17" s="657" t="str">
        <f t="shared" ca="1" si="2"/>
        <v/>
      </c>
      <c r="C17" s="223" t="str">
        <f t="shared" ca="1" si="3"/>
        <v>R.A.</v>
      </c>
      <c r="D17" s="519">
        <f t="shared" si="8"/>
        <v>12</v>
      </c>
      <c r="E17" s="225">
        <f t="shared" ca="1" si="4"/>
        <v>45401</v>
      </c>
      <c r="F17" s="224" t="str">
        <f t="shared" si="10"/>
        <v>CASSA</v>
      </c>
      <c r="G17" s="384" t="str">
        <f t="shared" ca="1" si="5"/>
        <v/>
      </c>
      <c r="H17" s="512">
        <f t="shared" ca="1" si="6"/>
        <v>300</v>
      </c>
      <c r="I17" s="1603" t="str">
        <f t="shared" ca="1" si="0"/>
        <v>Nome ENTE 4 / sovrascrivi</v>
      </c>
      <c r="J17" s="1604"/>
      <c r="K17" s="373"/>
      <c r="L17" s="513">
        <f t="shared" ca="1" si="9"/>
        <v>395</v>
      </c>
      <c r="M17" s="654">
        <f t="shared" ca="1" si="7"/>
        <v>1</v>
      </c>
      <c r="N17" s="226">
        <f t="shared" ca="1" si="1"/>
        <v>0</v>
      </c>
      <c r="O17" s="1"/>
    </row>
    <row r="18" spans="1:15" ht="16.5" customHeight="1">
      <c r="A18" s="1"/>
      <c r="B18" s="657" t="str">
        <f t="shared" ca="1" si="2"/>
        <v/>
      </c>
      <c r="C18" s="223" t="str">
        <f t="shared" ca="1" si="3"/>
        <v/>
      </c>
      <c r="D18" s="519">
        <f t="shared" si="8"/>
        <v>13</v>
      </c>
      <c r="E18" s="225">
        <f t="shared" ca="1" si="4"/>
        <v>45415</v>
      </c>
      <c r="F18" s="224" t="str">
        <f t="shared" si="10"/>
        <v>CASSA</v>
      </c>
      <c r="G18" s="384" t="str">
        <f t="shared" ca="1" si="5"/>
        <v>Pagamento Riga 10 del Registro dei Costi</v>
      </c>
      <c r="H18" s="512">
        <f t="shared" ca="1" si="6"/>
        <v>-50</v>
      </c>
      <c r="I18" s="1603" t="str">
        <f t="shared" ca="1" si="0"/>
        <v/>
      </c>
      <c r="J18" s="1604"/>
      <c r="K18" s="373"/>
      <c r="L18" s="513">
        <f t="shared" ca="1" si="9"/>
        <v>345</v>
      </c>
      <c r="M18" s="654">
        <f t="shared" ca="1" si="7"/>
        <v>1</v>
      </c>
      <c r="N18" s="226">
        <f t="shared" ca="1" si="1"/>
        <v>0</v>
      </c>
      <c r="O18" s="1"/>
    </row>
    <row r="19" spans="1:15" ht="16.5" customHeight="1">
      <c r="A19" s="1"/>
      <c r="B19" s="657" t="str">
        <f t="shared" ca="1" si="2"/>
        <v/>
      </c>
      <c r="C19" s="223" t="str">
        <f t="shared" ca="1" si="3"/>
        <v/>
      </c>
      <c r="D19" s="519">
        <f t="shared" si="8"/>
        <v>14</v>
      </c>
      <c r="E19" s="225">
        <f t="shared" ca="1" si="4"/>
        <v>45453</v>
      </c>
      <c r="F19" s="224" t="str">
        <f t="shared" si="10"/>
        <v>CASSA</v>
      </c>
      <c r="G19" s="384" t="str">
        <f t="shared" ca="1" si="5"/>
        <v>Pagamento Riga del Registro dei Costi / descrizione libera</v>
      </c>
      <c r="H19" s="512">
        <f t="shared" ca="1" si="6"/>
        <v>-50</v>
      </c>
      <c r="I19" s="1603" t="str">
        <f t="shared" ca="1" si="0"/>
        <v/>
      </c>
      <c r="J19" s="1604"/>
      <c r="K19" s="373"/>
      <c r="L19" s="513">
        <f t="shared" ca="1" si="9"/>
        <v>295</v>
      </c>
      <c r="M19" s="654">
        <f t="shared" ca="1" si="7"/>
        <v>1</v>
      </c>
      <c r="N19" s="226">
        <f t="shared" ca="1" si="1"/>
        <v>0</v>
      </c>
      <c r="O19" s="1"/>
    </row>
    <row r="20" spans="1:15" ht="16.5" customHeight="1">
      <c r="A20" s="1"/>
      <c r="B20" s="657" t="str">
        <f t="shared" ca="1" si="2"/>
        <v/>
      </c>
      <c r="C20" s="223" t="str">
        <f t="shared" ca="1" si="3"/>
        <v/>
      </c>
      <c r="D20" s="519">
        <f t="shared" si="8"/>
        <v>15</v>
      </c>
      <c r="E20" s="225">
        <f t="shared" ca="1" si="4"/>
        <v>45489</v>
      </c>
      <c r="F20" s="224" t="str">
        <f t="shared" si="10"/>
        <v>CASSA</v>
      </c>
      <c r="G20" s="384" t="str">
        <f t="shared" ca="1" si="5"/>
        <v>Pagamento Riga del Registro dei Costi / descrizione libera</v>
      </c>
      <c r="H20" s="512">
        <f t="shared" ca="1" si="6"/>
        <v>-50</v>
      </c>
      <c r="I20" s="1603" t="str">
        <f t="shared" ca="1" si="0"/>
        <v/>
      </c>
      <c r="J20" s="1604"/>
      <c r="K20" s="373"/>
      <c r="L20" s="513">
        <f t="shared" ca="1" si="9"/>
        <v>245</v>
      </c>
      <c r="M20" s="654">
        <f t="shared" ca="1" si="7"/>
        <v>1</v>
      </c>
      <c r="N20" s="226">
        <f t="shared" ca="1" si="1"/>
        <v>0</v>
      </c>
      <c r="O20" s="1"/>
    </row>
    <row r="21" spans="1:15" ht="16.5" customHeight="1">
      <c r="A21" s="1"/>
      <c r="B21" s="657" t="str">
        <f t="shared" ca="1" si="2"/>
        <v/>
      </c>
      <c r="C21" s="223" t="str">
        <f t="shared" ca="1" si="3"/>
        <v>R.A.</v>
      </c>
      <c r="D21" s="519">
        <f t="shared" si="8"/>
        <v>16</v>
      </c>
      <c r="E21" s="225">
        <f t="shared" ca="1" si="4"/>
        <v>45500</v>
      </c>
      <c r="F21" s="224" t="str">
        <f t="shared" si="10"/>
        <v>CASSA</v>
      </c>
      <c r="G21" s="384" t="str">
        <f t="shared" ca="1" si="5"/>
        <v/>
      </c>
      <c r="H21" s="512">
        <f t="shared" ca="1" si="6"/>
        <v>100</v>
      </c>
      <c r="I21" s="1603" t="str">
        <f t="shared" ca="1" si="0"/>
        <v>Nome ENTE 2</v>
      </c>
      <c r="J21" s="1604"/>
      <c r="K21" s="373"/>
      <c r="L21" s="513">
        <f t="shared" ca="1" si="9"/>
        <v>345</v>
      </c>
      <c r="M21" s="654">
        <f t="shared" ca="1" si="7"/>
        <v>1</v>
      </c>
      <c r="N21" s="226">
        <f t="shared" ca="1" si="1"/>
        <v>0</v>
      </c>
      <c r="O21" s="1"/>
    </row>
    <row r="22" spans="1:15" ht="16.5" customHeight="1">
      <c r="A22" s="1"/>
      <c r="B22" s="657" t="str">
        <f t="shared" ca="1" si="2"/>
        <v/>
      </c>
      <c r="C22" s="223" t="str">
        <f t="shared" ca="1" si="3"/>
        <v>R.A.</v>
      </c>
      <c r="D22" s="519">
        <f t="shared" si="8"/>
        <v>17</v>
      </c>
      <c r="E22" s="225">
        <f t="shared" ca="1" si="4"/>
        <v>45512</v>
      </c>
      <c r="F22" s="224" t="str">
        <f t="shared" si="10"/>
        <v>CASSA</v>
      </c>
      <c r="G22" s="384" t="str">
        <f t="shared" ca="1" si="5"/>
        <v/>
      </c>
      <c r="H22" s="512">
        <f t="shared" ca="1" si="6"/>
        <v>300</v>
      </c>
      <c r="I22" s="1603" t="str">
        <f t="shared" ca="1" si="0"/>
        <v>Nome ENTE 3</v>
      </c>
      <c r="J22" s="1604"/>
      <c r="K22" s="373"/>
      <c r="L22" s="513">
        <f t="shared" ca="1" si="9"/>
        <v>645</v>
      </c>
      <c r="M22" s="654">
        <f t="shared" ca="1" si="7"/>
        <v>1</v>
      </c>
      <c r="N22" s="226">
        <f t="shared" ca="1" si="1"/>
        <v>0</v>
      </c>
      <c r="O22" s="1"/>
    </row>
    <row r="23" spans="1:15" ht="16.5" customHeight="1">
      <c r="A23" s="1"/>
      <c r="B23" s="657" t="str">
        <f t="shared" ca="1" si="2"/>
        <v/>
      </c>
      <c r="C23" s="223" t="str">
        <f t="shared" ca="1" si="3"/>
        <v>R.A.</v>
      </c>
      <c r="D23" s="519">
        <f t="shared" si="8"/>
        <v>18</v>
      </c>
      <c r="E23" s="225">
        <f t="shared" ca="1" si="4"/>
        <v>45524</v>
      </c>
      <c r="F23" s="224" t="str">
        <f t="shared" si="10"/>
        <v>CASSA</v>
      </c>
      <c r="G23" s="384" t="str">
        <f t="shared" ca="1" si="5"/>
        <v/>
      </c>
      <c r="H23" s="512">
        <f t="shared" ca="1" si="6"/>
        <v>100</v>
      </c>
      <c r="I23" s="1603" t="str">
        <f t="shared" ca="1" si="0"/>
        <v>Nome ENTE 4 / sovrascrivi</v>
      </c>
      <c r="J23" s="1604"/>
      <c r="K23" s="373"/>
      <c r="L23" s="513">
        <f t="shared" ca="1" si="9"/>
        <v>745</v>
      </c>
      <c r="M23" s="654">
        <f t="shared" ca="1" si="7"/>
        <v>1</v>
      </c>
      <c r="N23" s="226">
        <f t="shared" ca="1" si="1"/>
        <v>0</v>
      </c>
      <c r="O23" s="1"/>
    </row>
    <row r="24" spans="1:15" ht="16.5" customHeight="1">
      <c r="A24" s="1"/>
      <c r="B24" s="657" t="str">
        <f t="shared" ca="1" si="2"/>
        <v/>
      </c>
      <c r="C24" s="223" t="str">
        <f t="shared" ca="1" si="3"/>
        <v/>
      </c>
      <c r="D24" s="519">
        <f t="shared" si="8"/>
        <v>19</v>
      </c>
      <c r="E24" s="225">
        <f t="shared" ca="1" si="4"/>
        <v>45525</v>
      </c>
      <c r="F24" s="224" t="str">
        <f t="shared" si="10"/>
        <v>CASSA</v>
      </c>
      <c r="G24" s="384" t="str">
        <f t="shared" ca="1" si="5"/>
        <v>Pagamento Riga del Registro dei Costi / descrizione libera</v>
      </c>
      <c r="H24" s="512">
        <f t="shared" ca="1" si="6"/>
        <v>-50</v>
      </c>
      <c r="I24" s="1603" t="str">
        <f t="shared" ca="1" si="0"/>
        <v/>
      </c>
      <c r="J24" s="1604"/>
      <c r="K24" s="373"/>
      <c r="L24" s="513">
        <f t="shared" ca="1" si="9"/>
        <v>695</v>
      </c>
      <c r="M24" s="654">
        <f t="shared" ca="1" si="7"/>
        <v>1</v>
      </c>
      <c r="N24" s="226">
        <f t="shared" ca="1" si="1"/>
        <v>0</v>
      </c>
      <c r="O24" s="1"/>
    </row>
    <row r="25" spans="1:15" ht="16.5" customHeight="1">
      <c r="A25" s="1"/>
      <c r="B25" s="657" t="str">
        <f t="shared" ca="1" si="2"/>
        <v/>
      </c>
      <c r="C25" s="223" t="str">
        <f t="shared" ca="1" si="3"/>
        <v/>
      </c>
      <c r="D25" s="519">
        <f t="shared" si="8"/>
        <v>20</v>
      </c>
      <c r="E25" s="225">
        <f t="shared" ca="1" si="4"/>
        <v>45561</v>
      </c>
      <c r="F25" s="224" t="str">
        <f t="shared" si="10"/>
        <v>CASSA</v>
      </c>
      <c r="G25" s="384" t="str">
        <f t="shared" ca="1" si="5"/>
        <v>Pagamento Riga del Registro dei Costi / descrizione libera</v>
      </c>
      <c r="H25" s="512">
        <f t="shared" ca="1" si="6"/>
        <v>-50</v>
      </c>
      <c r="I25" s="1603" t="str">
        <f t="shared" ca="1" si="0"/>
        <v/>
      </c>
      <c r="J25" s="1604"/>
      <c r="K25" s="373"/>
      <c r="L25" s="513">
        <f t="shared" ca="1" si="9"/>
        <v>645</v>
      </c>
      <c r="M25" s="654">
        <f t="shared" ca="1" si="7"/>
        <v>1</v>
      </c>
      <c r="N25" s="226">
        <f t="shared" ca="1" si="1"/>
        <v>0</v>
      </c>
      <c r="O25" s="1"/>
    </row>
    <row r="26" spans="1:15" ht="16.5" customHeight="1">
      <c r="A26" s="1"/>
      <c r="B26" s="657" t="str">
        <f t="shared" ca="1" si="2"/>
        <v/>
      </c>
      <c r="C26" s="223" t="str">
        <f t="shared" ca="1" si="3"/>
        <v/>
      </c>
      <c r="D26" s="519">
        <f t="shared" si="8"/>
        <v>21</v>
      </c>
      <c r="E26" s="225">
        <f t="shared" ca="1" si="4"/>
        <v>45566</v>
      </c>
      <c r="F26" s="224" t="str">
        <f t="shared" si="10"/>
        <v>CASSA</v>
      </c>
      <c r="G26" s="384" t="str">
        <f t="shared" ca="1" si="5"/>
        <v>Pagato in anticipo spesa diretta addebitata all' ente</v>
      </c>
      <c r="H26" s="512">
        <f t="shared" ca="1" si="6"/>
        <v>-38.42</v>
      </c>
      <c r="I26" s="1603" t="str">
        <f t="shared" ca="1" si="0"/>
        <v/>
      </c>
      <c r="J26" s="1604"/>
      <c r="K26" s="373"/>
      <c r="L26" s="513">
        <f t="shared" ca="1" si="9"/>
        <v>606.58000000000004</v>
      </c>
      <c r="M26" s="654">
        <f t="shared" ca="1" si="7"/>
        <v>1</v>
      </c>
      <c r="N26" s="226">
        <f t="shared" ca="1" si="1"/>
        <v>0</v>
      </c>
      <c r="O26" s="1"/>
    </row>
    <row r="27" spans="1:15" ht="16.5" customHeight="1">
      <c r="A27" s="1"/>
      <c r="B27" s="657" t="str">
        <f t="shared" ca="1" si="2"/>
        <v/>
      </c>
      <c r="C27" s="223" t="str">
        <f t="shared" ca="1" si="3"/>
        <v>R.A.</v>
      </c>
      <c r="D27" s="519">
        <f t="shared" si="8"/>
        <v>22</v>
      </c>
      <c r="E27" s="225">
        <f t="shared" ca="1" si="4"/>
        <v>45596</v>
      </c>
      <c r="F27" s="224" t="str">
        <f t="shared" si="10"/>
        <v>CASSA</v>
      </c>
      <c r="G27" s="384" t="str">
        <f t="shared" ca="1" si="5"/>
        <v/>
      </c>
      <c r="H27" s="512">
        <f t="shared" ca="1" si="6"/>
        <v>100</v>
      </c>
      <c r="I27" s="1603" t="str">
        <f t="shared" ca="1" si="0"/>
        <v>Nome ENTE ultimo disponibile</v>
      </c>
      <c r="J27" s="1604"/>
      <c r="K27" s="373"/>
      <c r="L27" s="513">
        <f t="shared" ca="1" si="9"/>
        <v>706.58</v>
      </c>
      <c r="M27" s="654">
        <f t="shared" ca="1" si="7"/>
        <v>1</v>
      </c>
      <c r="N27" s="226">
        <f t="shared" ca="1" si="1"/>
        <v>0</v>
      </c>
      <c r="O27" s="1"/>
    </row>
    <row r="28" spans="1:15" ht="16.5" customHeight="1">
      <c r="A28" s="1"/>
      <c r="B28" s="657" t="str">
        <f t="shared" ca="1" si="2"/>
        <v/>
      </c>
      <c r="C28" s="223" t="str">
        <f t="shared" ca="1" si="3"/>
        <v/>
      </c>
      <c r="D28" s="519">
        <f t="shared" si="8"/>
        <v>23</v>
      </c>
      <c r="E28" s="225">
        <f t="shared" ca="1" si="4"/>
        <v>45597</v>
      </c>
      <c r="F28" s="224" t="str">
        <f t="shared" si="10"/>
        <v>CASSA</v>
      </c>
      <c r="G28" s="384" t="str">
        <f t="shared" ca="1" si="5"/>
        <v>Pagamento Riga del Registro dei Costi / descrizione libera</v>
      </c>
      <c r="H28" s="512">
        <f t="shared" ca="1" si="6"/>
        <v>-100</v>
      </c>
      <c r="I28" s="1603" t="str">
        <f t="shared" ca="1" si="0"/>
        <v/>
      </c>
      <c r="J28" s="1604"/>
      <c r="K28" s="373"/>
      <c r="L28" s="513">
        <f t="shared" ca="1" si="9"/>
        <v>606.58000000000004</v>
      </c>
      <c r="M28" s="654">
        <f t="shared" ca="1" si="7"/>
        <v>1</v>
      </c>
      <c r="N28" s="226">
        <f t="shared" ca="1" si="1"/>
        <v>0</v>
      </c>
      <c r="O28" s="1"/>
    </row>
    <row r="29" spans="1:15" ht="16.5" customHeight="1">
      <c r="A29" s="1"/>
      <c r="B29" s="657" t="str">
        <f t="shared" ca="1" si="2"/>
        <v/>
      </c>
      <c r="C29" s="223" t="str">
        <f t="shared" ca="1" si="3"/>
        <v>R.A.</v>
      </c>
      <c r="D29" s="519">
        <f t="shared" si="8"/>
        <v>24</v>
      </c>
      <c r="E29" s="225">
        <f t="shared" ca="1" si="4"/>
        <v>45608</v>
      </c>
      <c r="F29" s="224" t="str">
        <f t="shared" si="10"/>
        <v>CASSA</v>
      </c>
      <c r="G29" s="384" t="str">
        <f t="shared" ca="1" si="5"/>
        <v/>
      </c>
      <c r="H29" s="512">
        <f t="shared" ca="1" si="6"/>
        <v>50</v>
      </c>
      <c r="I29" s="1603" t="str">
        <f t="shared" ca="1" si="0"/>
        <v>Nome ENTE 1</v>
      </c>
      <c r="J29" s="1604"/>
      <c r="K29" s="373"/>
      <c r="L29" s="513">
        <f t="shared" ca="1" si="9"/>
        <v>656.58</v>
      </c>
      <c r="M29" s="654">
        <f t="shared" ca="1" si="7"/>
        <v>1</v>
      </c>
      <c r="N29" s="226">
        <f t="shared" ca="1" si="1"/>
        <v>0</v>
      </c>
      <c r="O29" s="1"/>
    </row>
    <row r="30" spans="1:15" ht="16.5" customHeight="1">
      <c r="A30" s="1"/>
      <c r="B30" s="657" t="str">
        <f t="shared" ca="1" si="2"/>
        <v/>
      </c>
      <c r="C30" s="223" t="str">
        <f t="shared" ca="1" si="3"/>
        <v/>
      </c>
      <c r="D30" s="519">
        <f t="shared" si="8"/>
        <v>25</v>
      </c>
      <c r="E30" s="225">
        <f t="shared" ca="1" si="4"/>
        <v>45609</v>
      </c>
      <c r="F30" s="224" t="str">
        <f t="shared" si="10"/>
        <v>CASSA</v>
      </c>
      <c r="G30" s="384" t="str">
        <f t="shared" ca="1" si="5"/>
        <v>Pagamento Riga del Registro dei Costi / descrizione libera</v>
      </c>
      <c r="H30" s="512">
        <f t="shared" ca="1" si="6"/>
        <v>-100</v>
      </c>
      <c r="I30" s="1603" t="str">
        <f t="shared" ca="1" si="0"/>
        <v/>
      </c>
      <c r="J30" s="1604"/>
      <c r="K30" s="373"/>
      <c r="L30" s="513">
        <f t="shared" ca="1" si="9"/>
        <v>556.58000000000004</v>
      </c>
      <c r="M30" s="654">
        <f t="shared" ca="1" si="7"/>
        <v>1</v>
      </c>
      <c r="N30" s="226">
        <f t="shared" ca="1" si="1"/>
        <v>0</v>
      </c>
      <c r="O30" s="1"/>
    </row>
    <row r="31" spans="1:15" ht="16.5" customHeight="1">
      <c r="A31" s="1"/>
      <c r="B31" s="657" t="str">
        <f t="shared" ca="1" si="2"/>
        <v/>
      </c>
      <c r="C31" s="223" t="str">
        <f t="shared" ca="1" si="3"/>
        <v>R.A.</v>
      </c>
      <c r="D31" s="519">
        <f t="shared" si="8"/>
        <v>26</v>
      </c>
      <c r="E31" s="225">
        <f t="shared" ca="1" si="4"/>
        <v>45620</v>
      </c>
      <c r="F31" s="224" t="str">
        <f t="shared" si="10"/>
        <v>CASSA</v>
      </c>
      <c r="G31" s="384" t="str">
        <f t="shared" ca="1" si="5"/>
        <v/>
      </c>
      <c r="H31" s="512">
        <f t="shared" ca="1" si="6"/>
        <v>300</v>
      </c>
      <c r="I31" s="1603" t="str">
        <f t="shared" ca="1" si="0"/>
        <v>Nome ENTE 2</v>
      </c>
      <c r="J31" s="1604"/>
      <c r="K31" s="373"/>
      <c r="L31" s="513">
        <f t="shared" ca="1" si="9"/>
        <v>856.58</v>
      </c>
      <c r="M31" s="654">
        <f t="shared" ca="1" si="7"/>
        <v>1</v>
      </c>
      <c r="N31" s="226">
        <f t="shared" ca="1" si="1"/>
        <v>0</v>
      </c>
      <c r="O31" s="1"/>
    </row>
    <row r="32" spans="1:15" ht="16.5" customHeight="1">
      <c r="A32" s="1"/>
      <c r="B32" s="657" t="str">
        <f t="shared" ca="1" si="2"/>
        <v/>
      </c>
      <c r="C32" s="223" t="str">
        <f t="shared" ca="1" si="3"/>
        <v/>
      </c>
      <c r="D32" s="519">
        <f t="shared" si="8"/>
        <v>27</v>
      </c>
      <c r="E32" s="225">
        <f t="shared" ca="1" si="4"/>
        <v>45621</v>
      </c>
      <c r="F32" s="224" t="str">
        <f t="shared" si="10"/>
        <v>CASSA</v>
      </c>
      <c r="G32" s="384" t="str">
        <f t="shared" ca="1" si="5"/>
        <v>Pagamento Riga del Registro dei Costi / descrizione libera</v>
      </c>
      <c r="H32" s="512">
        <f t="shared" ca="1" si="6"/>
        <v>-100</v>
      </c>
      <c r="I32" s="1603" t="str">
        <f t="shared" ca="1" si="0"/>
        <v/>
      </c>
      <c r="J32" s="1604"/>
      <c r="K32" s="373"/>
      <c r="L32" s="513">
        <f t="shared" ca="1" si="9"/>
        <v>756.58</v>
      </c>
      <c r="M32" s="654">
        <f t="shared" ca="1" si="7"/>
        <v>1</v>
      </c>
      <c r="N32" s="226">
        <f t="shared" ca="1" si="1"/>
        <v>0</v>
      </c>
      <c r="O32" s="1"/>
    </row>
    <row r="33" spans="1:15" ht="16.5" customHeight="1">
      <c r="A33" s="1"/>
      <c r="B33" s="657" t="str">
        <f t="shared" ca="1" si="2"/>
        <v/>
      </c>
      <c r="C33" s="223" t="str">
        <f t="shared" ca="1" si="3"/>
        <v/>
      </c>
      <c r="D33" s="519">
        <f t="shared" si="8"/>
        <v>28</v>
      </c>
      <c r="E33" s="225">
        <f t="shared" ca="1" si="4"/>
        <v>45633</v>
      </c>
      <c r="F33" s="224" t="str">
        <f t="shared" si="10"/>
        <v>CASSA</v>
      </c>
      <c r="G33" s="384" t="str">
        <f t="shared" ca="1" si="5"/>
        <v>Pagamento Riga del Registro dei Costi / descrizione libera</v>
      </c>
      <c r="H33" s="512">
        <f t="shared" ca="1" si="6"/>
        <v>-100</v>
      </c>
      <c r="I33" s="1603" t="str">
        <f t="shared" ca="1" si="0"/>
        <v/>
      </c>
      <c r="J33" s="1604"/>
      <c r="K33" s="373"/>
      <c r="L33" s="513">
        <f t="shared" ca="1" si="9"/>
        <v>656.58</v>
      </c>
      <c r="M33" s="654">
        <f t="shared" ca="1" si="7"/>
        <v>1</v>
      </c>
      <c r="N33" s="226">
        <f t="shared" ca="1" si="1"/>
        <v>0</v>
      </c>
      <c r="O33" s="1"/>
    </row>
    <row r="34" spans="1:15" ht="16.5" customHeight="1">
      <c r="A34" s="1"/>
      <c r="B34" s="657" t="str">
        <f t="shared" ca="1" si="2"/>
        <v/>
      </c>
      <c r="C34" s="223" t="str">
        <f t="shared" ca="1" si="3"/>
        <v/>
      </c>
      <c r="D34" s="519">
        <f t="shared" si="8"/>
        <v>29</v>
      </c>
      <c r="E34" s="225" t="str">
        <f t="shared" ca="1" si="4"/>
        <v/>
      </c>
      <c r="F34" s="224" t="str">
        <f t="shared" si="10"/>
        <v>CASSA</v>
      </c>
      <c r="G34" s="384" t="str">
        <f t="shared" ca="1" si="5"/>
        <v/>
      </c>
      <c r="H34" s="512">
        <f t="shared" ca="1" si="6"/>
        <v>0</v>
      </c>
      <c r="I34" s="1603" t="str">
        <f t="shared" ca="1" si="0"/>
        <v/>
      </c>
      <c r="J34" s="1604"/>
      <c r="K34" s="373"/>
      <c r="L34" s="513">
        <f t="shared" ca="1" si="9"/>
        <v>656.58</v>
      </c>
      <c r="M34" s="654">
        <f t="shared" ca="1" si="7"/>
        <v>1</v>
      </c>
      <c r="N34" s="226">
        <f t="shared" ca="1" si="1"/>
        <v>0</v>
      </c>
      <c r="O34" s="1"/>
    </row>
    <row r="35" spans="1:15" ht="16.5" customHeight="1">
      <c r="A35" s="1"/>
      <c r="B35" s="657" t="str">
        <f t="shared" ca="1" si="2"/>
        <v/>
      </c>
      <c r="C35" s="223" t="str">
        <f t="shared" ca="1" si="3"/>
        <v/>
      </c>
      <c r="D35" s="519">
        <f t="shared" si="8"/>
        <v>30</v>
      </c>
      <c r="E35" s="225" t="str">
        <f t="shared" ca="1" si="4"/>
        <v/>
      </c>
      <c r="F35" s="224" t="str">
        <f t="shared" si="10"/>
        <v>CASSA</v>
      </c>
      <c r="G35" s="384" t="str">
        <f t="shared" ca="1" si="5"/>
        <v/>
      </c>
      <c r="H35" s="512">
        <f t="shared" ca="1" si="6"/>
        <v>0</v>
      </c>
      <c r="I35" s="1603" t="str">
        <f t="shared" ca="1" si="0"/>
        <v/>
      </c>
      <c r="J35" s="1604"/>
      <c r="K35" s="373"/>
      <c r="L35" s="513">
        <f t="shared" ca="1" si="9"/>
        <v>656.58</v>
      </c>
      <c r="M35" s="654">
        <f t="shared" ca="1" si="7"/>
        <v>1</v>
      </c>
      <c r="N35" s="226">
        <f t="shared" ca="1" si="1"/>
        <v>0</v>
      </c>
      <c r="O35" s="1"/>
    </row>
    <row r="36" spans="1:15" ht="16.5" customHeight="1">
      <c r="A36" s="1"/>
      <c r="B36" s="657" t="str">
        <f t="shared" ca="1" si="2"/>
        <v/>
      </c>
      <c r="C36" s="223" t="str">
        <f t="shared" ca="1" si="3"/>
        <v/>
      </c>
      <c r="D36" s="519">
        <f t="shared" si="8"/>
        <v>31</v>
      </c>
      <c r="E36" s="225" t="str">
        <f t="shared" ca="1" si="4"/>
        <v/>
      </c>
      <c r="F36" s="224" t="str">
        <f t="shared" si="10"/>
        <v>CASSA</v>
      </c>
      <c r="G36" s="384" t="str">
        <f t="shared" ca="1" si="5"/>
        <v/>
      </c>
      <c r="H36" s="512">
        <f t="shared" ca="1" si="6"/>
        <v>0</v>
      </c>
      <c r="I36" s="1603" t="str">
        <f t="shared" ca="1" si="0"/>
        <v/>
      </c>
      <c r="J36" s="1604"/>
      <c r="K36" s="373"/>
      <c r="L36" s="513">
        <f t="shared" ca="1" si="9"/>
        <v>656.58</v>
      </c>
      <c r="M36" s="654">
        <f t="shared" ca="1" si="7"/>
        <v>1</v>
      </c>
      <c r="N36" s="226">
        <f t="shared" ca="1" si="1"/>
        <v>0</v>
      </c>
      <c r="O36" s="1"/>
    </row>
    <row r="37" spans="1:15" ht="16.5" customHeight="1">
      <c r="A37" s="1"/>
      <c r="B37" s="657" t="str">
        <f t="shared" ca="1" si="2"/>
        <v/>
      </c>
      <c r="C37" s="223" t="str">
        <f t="shared" ca="1" si="3"/>
        <v/>
      </c>
      <c r="D37" s="519">
        <f t="shared" si="8"/>
        <v>32</v>
      </c>
      <c r="E37" s="225" t="str">
        <f t="shared" ca="1" si="4"/>
        <v/>
      </c>
      <c r="F37" s="224" t="str">
        <f t="shared" si="10"/>
        <v>CASSA</v>
      </c>
      <c r="G37" s="384" t="str">
        <f t="shared" ca="1" si="5"/>
        <v/>
      </c>
      <c r="H37" s="512">
        <f t="shared" ca="1" si="6"/>
        <v>0</v>
      </c>
      <c r="I37" s="1603" t="str">
        <f t="shared" ca="1" si="0"/>
        <v/>
      </c>
      <c r="J37" s="1604"/>
      <c r="K37" s="373"/>
      <c r="L37" s="513">
        <f t="shared" ca="1" si="9"/>
        <v>656.58</v>
      </c>
      <c r="M37" s="654">
        <f t="shared" ca="1" si="7"/>
        <v>1</v>
      </c>
      <c r="N37" s="226">
        <f t="shared" ca="1" si="1"/>
        <v>0</v>
      </c>
      <c r="O37" s="1"/>
    </row>
    <row r="38" spans="1:15" ht="16.5" customHeight="1">
      <c r="A38" s="1"/>
      <c r="B38" s="657" t="str">
        <f t="shared" ca="1" si="2"/>
        <v/>
      </c>
      <c r="C38" s="223" t="str">
        <f t="shared" ca="1" si="3"/>
        <v/>
      </c>
      <c r="D38" s="519">
        <f t="shared" si="8"/>
        <v>33</v>
      </c>
      <c r="E38" s="225" t="str">
        <f t="shared" ca="1" si="4"/>
        <v/>
      </c>
      <c r="F38" s="224" t="str">
        <f t="shared" si="10"/>
        <v>CASSA</v>
      </c>
      <c r="G38" s="384" t="str">
        <f t="shared" ca="1" si="5"/>
        <v/>
      </c>
      <c r="H38" s="512">
        <f t="shared" ca="1" si="6"/>
        <v>0</v>
      </c>
      <c r="I38" s="1603" t="str">
        <f t="shared" ca="1" si="0"/>
        <v/>
      </c>
      <c r="J38" s="1604"/>
      <c r="K38" s="373"/>
      <c r="L38" s="513">
        <f t="shared" ca="1" si="9"/>
        <v>656.58</v>
      </c>
      <c r="M38" s="654">
        <f t="shared" ca="1" si="7"/>
        <v>1</v>
      </c>
      <c r="N38" s="226">
        <f t="shared" ca="1" si="1"/>
        <v>0</v>
      </c>
      <c r="O38" s="1"/>
    </row>
    <row r="39" spans="1:15" ht="16.5" customHeight="1">
      <c r="A39" s="1"/>
      <c r="B39" s="657" t="str">
        <f t="shared" ca="1" si="2"/>
        <v/>
      </c>
      <c r="C39" s="223" t="str">
        <f t="shared" ca="1" si="3"/>
        <v/>
      </c>
      <c r="D39" s="519">
        <f t="shared" si="8"/>
        <v>34</v>
      </c>
      <c r="E39" s="225" t="str">
        <f t="shared" ca="1" si="4"/>
        <v/>
      </c>
      <c r="F39" s="224" t="str">
        <f t="shared" si="10"/>
        <v>CASSA</v>
      </c>
      <c r="G39" s="384" t="str">
        <f t="shared" ca="1" si="5"/>
        <v/>
      </c>
      <c r="H39" s="512">
        <f t="shared" ca="1" si="6"/>
        <v>0</v>
      </c>
      <c r="I39" s="1603" t="str">
        <f t="shared" ca="1" si="0"/>
        <v/>
      </c>
      <c r="J39" s="1604"/>
      <c r="K39" s="373"/>
      <c r="L39" s="513">
        <f t="shared" ca="1" si="9"/>
        <v>656.58</v>
      </c>
      <c r="M39" s="654">
        <f t="shared" ca="1" si="7"/>
        <v>1</v>
      </c>
      <c r="N39" s="226">
        <f t="shared" ca="1" si="1"/>
        <v>0</v>
      </c>
      <c r="O39" s="1"/>
    </row>
    <row r="40" spans="1:15" ht="16.5" customHeight="1">
      <c r="A40" s="1"/>
      <c r="B40" s="657" t="str">
        <f t="shared" ca="1" si="2"/>
        <v/>
      </c>
      <c r="C40" s="223" t="str">
        <f t="shared" ca="1" si="3"/>
        <v/>
      </c>
      <c r="D40" s="519">
        <f t="shared" si="8"/>
        <v>35</v>
      </c>
      <c r="E40" s="225" t="str">
        <f t="shared" ca="1" si="4"/>
        <v/>
      </c>
      <c r="F40" s="224" t="str">
        <f t="shared" si="10"/>
        <v>CASSA</v>
      </c>
      <c r="G40" s="384" t="str">
        <f t="shared" ca="1" si="5"/>
        <v/>
      </c>
      <c r="H40" s="512">
        <f t="shared" ca="1" si="6"/>
        <v>0</v>
      </c>
      <c r="I40" s="1603" t="str">
        <f t="shared" ca="1" si="0"/>
        <v/>
      </c>
      <c r="J40" s="1604"/>
      <c r="K40" s="373"/>
      <c r="L40" s="513">
        <f t="shared" ca="1" si="9"/>
        <v>656.58</v>
      </c>
      <c r="M40" s="654">
        <f t="shared" ca="1" si="7"/>
        <v>1</v>
      </c>
      <c r="N40" s="226">
        <f t="shared" ca="1" si="1"/>
        <v>0</v>
      </c>
      <c r="O40" s="1"/>
    </row>
    <row r="41" spans="1:15" ht="16.5" customHeight="1">
      <c r="A41" s="1"/>
      <c r="B41" s="657" t="str">
        <f t="shared" ca="1" si="2"/>
        <v/>
      </c>
      <c r="C41" s="223" t="str">
        <f t="shared" ca="1" si="3"/>
        <v/>
      </c>
      <c r="D41" s="519">
        <f t="shared" si="8"/>
        <v>36</v>
      </c>
      <c r="E41" s="225" t="str">
        <f t="shared" ca="1" si="4"/>
        <v/>
      </c>
      <c r="F41" s="224" t="str">
        <f t="shared" si="10"/>
        <v>CASSA</v>
      </c>
      <c r="G41" s="384" t="str">
        <f t="shared" ca="1" si="5"/>
        <v/>
      </c>
      <c r="H41" s="512">
        <f t="shared" ca="1" si="6"/>
        <v>0</v>
      </c>
      <c r="I41" s="1603" t="str">
        <f t="shared" ca="1" si="0"/>
        <v/>
      </c>
      <c r="J41" s="1604"/>
      <c r="K41" s="373"/>
      <c r="L41" s="513">
        <f t="shared" ca="1" si="9"/>
        <v>656.58</v>
      </c>
      <c r="M41" s="654">
        <f t="shared" ca="1" si="7"/>
        <v>1</v>
      </c>
      <c r="N41" s="226">
        <f t="shared" ca="1" si="1"/>
        <v>0</v>
      </c>
      <c r="O41" s="1"/>
    </row>
    <row r="42" spans="1:15" ht="16.5" customHeight="1">
      <c r="A42" s="1"/>
      <c r="B42" s="657" t="str">
        <f t="shared" ca="1" si="2"/>
        <v/>
      </c>
      <c r="C42" s="223" t="str">
        <f t="shared" ca="1" si="3"/>
        <v/>
      </c>
      <c r="D42" s="519">
        <f t="shared" si="8"/>
        <v>37</v>
      </c>
      <c r="E42" s="225" t="str">
        <f t="shared" ca="1" si="4"/>
        <v/>
      </c>
      <c r="F42" s="224" t="str">
        <f t="shared" si="10"/>
        <v>CASSA</v>
      </c>
      <c r="G42" s="384" t="str">
        <f t="shared" ca="1" si="5"/>
        <v/>
      </c>
      <c r="H42" s="512">
        <f t="shared" ca="1" si="6"/>
        <v>0</v>
      </c>
      <c r="I42" s="1603" t="str">
        <f t="shared" ca="1" si="0"/>
        <v/>
      </c>
      <c r="J42" s="1604"/>
      <c r="K42" s="373"/>
      <c r="L42" s="513">
        <f t="shared" ca="1" si="9"/>
        <v>656.58</v>
      </c>
      <c r="M42" s="654">
        <f t="shared" ca="1" si="7"/>
        <v>1</v>
      </c>
      <c r="N42" s="226">
        <f t="shared" ca="1" si="1"/>
        <v>0</v>
      </c>
      <c r="O42" s="1"/>
    </row>
    <row r="43" spans="1:15" ht="16.5" customHeight="1">
      <c r="A43" s="1"/>
      <c r="B43" s="657" t="str">
        <f t="shared" ca="1" si="2"/>
        <v/>
      </c>
      <c r="C43" s="223" t="str">
        <f t="shared" ca="1" si="3"/>
        <v/>
      </c>
      <c r="D43" s="519">
        <f t="shared" si="8"/>
        <v>38</v>
      </c>
      <c r="E43" s="225" t="str">
        <f t="shared" ca="1" si="4"/>
        <v/>
      </c>
      <c r="F43" s="224" t="str">
        <f t="shared" si="10"/>
        <v>CASSA</v>
      </c>
      <c r="G43" s="384" t="str">
        <f t="shared" ca="1" si="5"/>
        <v/>
      </c>
      <c r="H43" s="512">
        <f t="shared" ca="1" si="6"/>
        <v>0</v>
      </c>
      <c r="I43" s="1603" t="str">
        <f t="shared" ca="1" si="0"/>
        <v/>
      </c>
      <c r="J43" s="1604"/>
      <c r="K43" s="373"/>
      <c r="L43" s="513">
        <f t="shared" ca="1" si="9"/>
        <v>656.58</v>
      </c>
      <c r="M43" s="654">
        <f t="shared" ca="1" si="7"/>
        <v>1</v>
      </c>
      <c r="N43" s="226">
        <f t="shared" ca="1" si="1"/>
        <v>0</v>
      </c>
      <c r="O43" s="1"/>
    </row>
    <row r="44" spans="1:15" ht="16.5" customHeight="1">
      <c r="A44" s="1"/>
      <c r="B44" s="657" t="str">
        <f t="shared" ca="1" si="2"/>
        <v/>
      </c>
      <c r="C44" s="223" t="str">
        <f t="shared" ca="1" si="3"/>
        <v/>
      </c>
      <c r="D44" s="519">
        <f t="shared" si="8"/>
        <v>39</v>
      </c>
      <c r="E44" s="225" t="str">
        <f t="shared" ca="1" si="4"/>
        <v/>
      </c>
      <c r="F44" s="224" t="str">
        <f t="shared" si="10"/>
        <v>CASSA</v>
      </c>
      <c r="G44" s="384" t="str">
        <f t="shared" ca="1" si="5"/>
        <v/>
      </c>
      <c r="H44" s="512">
        <f t="shared" ca="1" si="6"/>
        <v>0</v>
      </c>
      <c r="I44" s="1603" t="str">
        <f t="shared" ca="1" si="0"/>
        <v/>
      </c>
      <c r="J44" s="1604"/>
      <c r="K44" s="373"/>
      <c r="L44" s="513">
        <f t="shared" ca="1" si="9"/>
        <v>656.58</v>
      </c>
      <c r="M44" s="654">
        <f t="shared" ca="1" si="7"/>
        <v>1</v>
      </c>
      <c r="N44" s="226">
        <f t="shared" ca="1" si="1"/>
        <v>0</v>
      </c>
      <c r="O44" s="1"/>
    </row>
    <row r="45" spans="1:15" ht="16.5" customHeight="1">
      <c r="A45" s="1"/>
      <c r="B45" s="657" t="str">
        <f t="shared" ca="1" si="2"/>
        <v/>
      </c>
      <c r="C45" s="223" t="str">
        <f t="shared" ca="1" si="3"/>
        <v/>
      </c>
      <c r="D45" s="519">
        <f t="shared" si="8"/>
        <v>40</v>
      </c>
      <c r="E45" s="225" t="str">
        <f t="shared" ca="1" si="4"/>
        <v/>
      </c>
      <c r="F45" s="224" t="str">
        <f t="shared" si="10"/>
        <v>CASSA</v>
      </c>
      <c r="G45" s="384" t="str">
        <f t="shared" ca="1" si="5"/>
        <v/>
      </c>
      <c r="H45" s="512">
        <f t="shared" ca="1" si="6"/>
        <v>0</v>
      </c>
      <c r="I45" s="1603" t="str">
        <f t="shared" ca="1" si="0"/>
        <v/>
      </c>
      <c r="J45" s="1604"/>
      <c r="K45" s="373"/>
      <c r="L45" s="513">
        <f t="shared" ca="1" si="9"/>
        <v>656.58</v>
      </c>
      <c r="M45" s="654">
        <f t="shared" ca="1" si="7"/>
        <v>1</v>
      </c>
      <c r="N45" s="226">
        <f t="shared" ca="1" si="1"/>
        <v>0</v>
      </c>
      <c r="O45" s="1"/>
    </row>
    <row r="46" spans="1:15" ht="16.5" customHeight="1">
      <c r="A46" s="1"/>
      <c r="B46" s="657" t="str">
        <f t="shared" ca="1" si="2"/>
        <v/>
      </c>
      <c r="C46" s="223" t="str">
        <f t="shared" ca="1" si="3"/>
        <v/>
      </c>
      <c r="D46" s="519">
        <f t="shared" si="8"/>
        <v>41</v>
      </c>
      <c r="E46" s="225" t="str">
        <f t="shared" ca="1" si="4"/>
        <v/>
      </c>
      <c r="F46" s="224" t="str">
        <f t="shared" si="10"/>
        <v>CASSA</v>
      </c>
      <c r="G46" s="384" t="str">
        <f t="shared" ca="1" si="5"/>
        <v/>
      </c>
      <c r="H46" s="512">
        <f t="shared" ca="1" si="6"/>
        <v>0</v>
      </c>
      <c r="I46" s="1603" t="str">
        <f t="shared" ca="1" si="0"/>
        <v/>
      </c>
      <c r="J46" s="1604"/>
      <c r="K46" s="373"/>
      <c r="L46" s="513">
        <f t="shared" ca="1" si="9"/>
        <v>656.58</v>
      </c>
      <c r="M46" s="654">
        <f t="shared" ca="1" si="7"/>
        <v>1</v>
      </c>
      <c r="N46" s="226">
        <f t="shared" ca="1" si="1"/>
        <v>0</v>
      </c>
      <c r="O46" s="1"/>
    </row>
    <row r="47" spans="1:15" ht="16.5" customHeight="1">
      <c r="A47" s="1"/>
      <c r="B47" s="657" t="str">
        <f t="shared" ca="1" si="2"/>
        <v/>
      </c>
      <c r="C47" s="223" t="str">
        <f t="shared" ca="1" si="3"/>
        <v/>
      </c>
      <c r="D47" s="519">
        <f t="shared" si="8"/>
        <v>42</v>
      </c>
      <c r="E47" s="225" t="str">
        <f t="shared" ca="1" si="4"/>
        <v/>
      </c>
      <c r="F47" s="224" t="str">
        <f t="shared" si="10"/>
        <v>CASSA</v>
      </c>
      <c r="G47" s="384" t="str">
        <f t="shared" ca="1" si="5"/>
        <v/>
      </c>
      <c r="H47" s="512">
        <f t="shared" ca="1" si="6"/>
        <v>0</v>
      </c>
      <c r="I47" s="1603" t="str">
        <f t="shared" ca="1" si="0"/>
        <v/>
      </c>
      <c r="J47" s="1604"/>
      <c r="K47" s="373"/>
      <c r="L47" s="513">
        <f t="shared" ca="1" si="9"/>
        <v>656.58</v>
      </c>
      <c r="M47" s="654">
        <f t="shared" ca="1" si="7"/>
        <v>1</v>
      </c>
      <c r="N47" s="226">
        <f t="shared" ca="1" si="1"/>
        <v>0</v>
      </c>
      <c r="O47" s="1"/>
    </row>
    <row r="48" spans="1:15" ht="16.5" customHeight="1">
      <c r="A48" s="1"/>
      <c r="B48" s="657" t="str">
        <f t="shared" ca="1" si="2"/>
        <v/>
      </c>
      <c r="C48" s="223" t="str">
        <f t="shared" ca="1" si="3"/>
        <v/>
      </c>
      <c r="D48" s="519">
        <f t="shared" si="8"/>
        <v>43</v>
      </c>
      <c r="E48" s="225" t="str">
        <f t="shared" ca="1" si="4"/>
        <v/>
      </c>
      <c r="F48" s="224" t="str">
        <f t="shared" si="10"/>
        <v>CASSA</v>
      </c>
      <c r="G48" s="384" t="str">
        <f t="shared" ca="1" si="5"/>
        <v/>
      </c>
      <c r="H48" s="512">
        <f t="shared" ca="1" si="6"/>
        <v>0</v>
      </c>
      <c r="I48" s="1603" t="str">
        <f t="shared" ca="1" si="0"/>
        <v/>
      </c>
      <c r="J48" s="1604"/>
      <c r="K48" s="373"/>
      <c r="L48" s="513">
        <f t="shared" ca="1" si="9"/>
        <v>656.58</v>
      </c>
      <c r="M48" s="654">
        <f t="shared" ca="1" si="7"/>
        <v>1</v>
      </c>
      <c r="N48" s="226">
        <f t="shared" ca="1" si="1"/>
        <v>0</v>
      </c>
      <c r="O48" s="1"/>
    </row>
    <row r="49" spans="1:15" ht="16.5" customHeight="1">
      <c r="A49" s="1"/>
      <c r="B49" s="657" t="str">
        <f t="shared" ca="1" si="2"/>
        <v/>
      </c>
      <c r="C49" s="223" t="str">
        <f t="shared" ca="1" si="3"/>
        <v/>
      </c>
      <c r="D49" s="519">
        <f t="shared" si="8"/>
        <v>44</v>
      </c>
      <c r="E49" s="225" t="str">
        <f t="shared" ca="1" si="4"/>
        <v/>
      </c>
      <c r="F49" s="224" t="str">
        <f t="shared" si="10"/>
        <v>CASSA</v>
      </c>
      <c r="G49" s="384" t="str">
        <f t="shared" ca="1" si="5"/>
        <v/>
      </c>
      <c r="H49" s="512">
        <f t="shared" ca="1" si="6"/>
        <v>0</v>
      </c>
      <c r="I49" s="1603" t="str">
        <f t="shared" ca="1" si="0"/>
        <v/>
      </c>
      <c r="J49" s="1604"/>
      <c r="K49" s="373"/>
      <c r="L49" s="513">
        <f t="shared" ca="1" si="9"/>
        <v>656.58</v>
      </c>
      <c r="M49" s="654">
        <f t="shared" ca="1" si="7"/>
        <v>1</v>
      </c>
      <c r="N49" s="226">
        <f t="shared" ca="1" si="1"/>
        <v>0</v>
      </c>
      <c r="O49" s="1"/>
    </row>
    <row r="50" spans="1:15" ht="16.5" customHeight="1">
      <c r="A50" s="1"/>
      <c r="B50" s="657" t="str">
        <f t="shared" ca="1" si="2"/>
        <v/>
      </c>
      <c r="C50" s="223" t="str">
        <f t="shared" ca="1" si="3"/>
        <v/>
      </c>
      <c r="D50" s="519">
        <f t="shared" si="8"/>
        <v>45</v>
      </c>
      <c r="E50" s="225" t="str">
        <f t="shared" ca="1" si="4"/>
        <v/>
      </c>
      <c r="F50" s="224" t="str">
        <f t="shared" si="10"/>
        <v>CASSA</v>
      </c>
      <c r="G50" s="384" t="str">
        <f t="shared" ca="1" si="5"/>
        <v/>
      </c>
      <c r="H50" s="512">
        <f t="shared" ca="1" si="6"/>
        <v>0</v>
      </c>
      <c r="I50" s="1603" t="str">
        <f t="shared" ca="1" si="0"/>
        <v/>
      </c>
      <c r="J50" s="1604"/>
      <c r="K50" s="373"/>
      <c r="L50" s="513">
        <f t="shared" ca="1" si="9"/>
        <v>656.58</v>
      </c>
      <c r="M50" s="654">
        <f t="shared" ca="1" si="7"/>
        <v>1</v>
      </c>
      <c r="N50" s="226">
        <f t="shared" ca="1" si="1"/>
        <v>0</v>
      </c>
      <c r="O50" s="1"/>
    </row>
    <row r="51" spans="1:15" ht="16.5" customHeight="1">
      <c r="A51" s="1"/>
      <c r="B51" s="657" t="str">
        <f t="shared" ca="1" si="2"/>
        <v/>
      </c>
      <c r="C51" s="223" t="str">
        <f t="shared" ca="1" si="3"/>
        <v/>
      </c>
      <c r="D51" s="519">
        <f t="shared" si="8"/>
        <v>46</v>
      </c>
      <c r="E51" s="225" t="str">
        <f t="shared" ca="1" si="4"/>
        <v/>
      </c>
      <c r="F51" s="224" t="str">
        <f t="shared" si="10"/>
        <v>CASSA</v>
      </c>
      <c r="G51" s="384" t="str">
        <f t="shared" ca="1" si="5"/>
        <v/>
      </c>
      <c r="H51" s="512">
        <f t="shared" ca="1" si="6"/>
        <v>0</v>
      </c>
      <c r="I51" s="1603" t="str">
        <f t="shared" ca="1" si="0"/>
        <v/>
      </c>
      <c r="J51" s="1604"/>
      <c r="K51" s="373"/>
      <c r="L51" s="513">
        <f t="shared" ca="1" si="9"/>
        <v>656.58</v>
      </c>
      <c r="M51" s="654">
        <f t="shared" ca="1" si="7"/>
        <v>1</v>
      </c>
      <c r="N51" s="226">
        <f t="shared" ca="1" si="1"/>
        <v>0</v>
      </c>
      <c r="O51" s="1"/>
    </row>
    <row r="52" spans="1:15" ht="16.5" customHeight="1">
      <c r="A52" s="1"/>
      <c r="B52" s="657" t="str">
        <f t="shared" ca="1" si="2"/>
        <v/>
      </c>
      <c r="C52" s="223" t="str">
        <f t="shared" ca="1" si="3"/>
        <v/>
      </c>
      <c r="D52" s="519">
        <f t="shared" si="8"/>
        <v>47</v>
      </c>
      <c r="E52" s="225" t="str">
        <f t="shared" ca="1" si="4"/>
        <v/>
      </c>
      <c r="F52" s="224" t="str">
        <f t="shared" si="10"/>
        <v>CASSA</v>
      </c>
      <c r="G52" s="384" t="str">
        <f t="shared" ca="1" si="5"/>
        <v/>
      </c>
      <c r="H52" s="512">
        <f t="shared" ca="1" si="6"/>
        <v>0</v>
      </c>
      <c r="I52" s="1603" t="str">
        <f t="shared" ca="1" si="0"/>
        <v/>
      </c>
      <c r="J52" s="1604"/>
      <c r="K52" s="373"/>
      <c r="L52" s="513">
        <f t="shared" ca="1" si="9"/>
        <v>656.58</v>
      </c>
      <c r="M52" s="654">
        <f t="shared" ca="1" si="7"/>
        <v>1</v>
      </c>
      <c r="N52" s="226">
        <f t="shared" ca="1" si="1"/>
        <v>0</v>
      </c>
      <c r="O52" s="1"/>
    </row>
    <row r="53" spans="1:15" ht="16.5" customHeight="1">
      <c r="A53" s="1"/>
      <c r="B53" s="657" t="str">
        <f t="shared" ca="1" si="2"/>
        <v/>
      </c>
      <c r="C53" s="223" t="str">
        <f t="shared" ca="1" si="3"/>
        <v/>
      </c>
      <c r="D53" s="519">
        <f t="shared" si="8"/>
        <v>48</v>
      </c>
      <c r="E53" s="225" t="str">
        <f t="shared" ca="1" si="4"/>
        <v/>
      </c>
      <c r="F53" s="224" t="str">
        <f t="shared" si="10"/>
        <v>CASSA</v>
      </c>
      <c r="G53" s="384" t="str">
        <f t="shared" ca="1" si="5"/>
        <v/>
      </c>
      <c r="H53" s="512">
        <f t="shared" ca="1" si="6"/>
        <v>0</v>
      </c>
      <c r="I53" s="1603" t="str">
        <f t="shared" ca="1" si="0"/>
        <v/>
      </c>
      <c r="J53" s="1604"/>
      <c r="K53" s="373"/>
      <c r="L53" s="513">
        <f t="shared" ca="1" si="9"/>
        <v>656.58</v>
      </c>
      <c r="M53" s="654">
        <f t="shared" ca="1" si="7"/>
        <v>1</v>
      </c>
      <c r="N53" s="226">
        <f t="shared" ca="1" si="1"/>
        <v>0</v>
      </c>
      <c r="O53" s="1"/>
    </row>
    <row r="54" spans="1:15" ht="16.5" customHeight="1">
      <c r="A54" s="1"/>
      <c r="B54" s="657" t="str">
        <f t="shared" ca="1" si="2"/>
        <v/>
      </c>
      <c r="C54" s="223" t="str">
        <f t="shared" ca="1" si="3"/>
        <v/>
      </c>
      <c r="D54" s="519">
        <f t="shared" si="8"/>
        <v>49</v>
      </c>
      <c r="E54" s="225" t="str">
        <f t="shared" ca="1" si="4"/>
        <v/>
      </c>
      <c r="F54" s="224" t="str">
        <f t="shared" si="10"/>
        <v>CASSA</v>
      </c>
      <c r="G54" s="384" t="str">
        <f t="shared" ca="1" si="5"/>
        <v/>
      </c>
      <c r="H54" s="512">
        <f t="shared" ca="1" si="6"/>
        <v>0</v>
      </c>
      <c r="I54" s="1603" t="str">
        <f t="shared" ca="1" si="0"/>
        <v/>
      </c>
      <c r="J54" s="1604"/>
      <c r="K54" s="373"/>
      <c r="L54" s="513">
        <f t="shared" ca="1" si="9"/>
        <v>656.58</v>
      </c>
      <c r="M54" s="654">
        <f t="shared" ca="1" si="7"/>
        <v>1</v>
      </c>
      <c r="N54" s="226">
        <f t="shared" ca="1" si="1"/>
        <v>0</v>
      </c>
      <c r="O54" s="1"/>
    </row>
    <row r="55" spans="1:15" ht="16.5" customHeight="1">
      <c r="A55" s="1"/>
      <c r="B55" s="657" t="str">
        <f t="shared" ca="1" si="2"/>
        <v/>
      </c>
      <c r="C55" s="223" t="str">
        <f t="shared" ca="1" si="3"/>
        <v/>
      </c>
      <c r="D55" s="519">
        <f t="shared" si="8"/>
        <v>50</v>
      </c>
      <c r="E55" s="225" t="str">
        <f t="shared" ca="1" si="4"/>
        <v/>
      </c>
      <c r="F55" s="224" t="str">
        <f t="shared" si="10"/>
        <v>CASSA</v>
      </c>
      <c r="G55" s="384" t="str">
        <f t="shared" ca="1" si="5"/>
        <v/>
      </c>
      <c r="H55" s="512">
        <f t="shared" ca="1" si="6"/>
        <v>0</v>
      </c>
      <c r="I55" s="1603" t="str">
        <f t="shared" ca="1" si="0"/>
        <v/>
      </c>
      <c r="J55" s="1604"/>
      <c r="K55" s="373"/>
      <c r="L55" s="513">
        <f t="shared" ca="1" si="9"/>
        <v>656.58</v>
      </c>
      <c r="M55" s="654">
        <f t="shared" ca="1" si="7"/>
        <v>1</v>
      </c>
      <c r="N55" s="226">
        <f t="shared" ca="1" si="1"/>
        <v>0</v>
      </c>
      <c r="O55" s="1"/>
    </row>
    <row r="56" spans="1:15" ht="16.5" customHeight="1">
      <c r="A56" s="1"/>
      <c r="B56" s="657" t="str">
        <f t="shared" ca="1" si="2"/>
        <v/>
      </c>
      <c r="C56" s="223" t="str">
        <f t="shared" ca="1" si="3"/>
        <v/>
      </c>
      <c r="D56" s="519">
        <f t="shared" si="8"/>
        <v>51</v>
      </c>
      <c r="E56" s="225" t="str">
        <f t="shared" ca="1" si="4"/>
        <v/>
      </c>
      <c r="F56" s="224" t="str">
        <f t="shared" si="10"/>
        <v>CASSA</v>
      </c>
      <c r="G56" s="384" t="str">
        <f t="shared" ca="1" si="5"/>
        <v/>
      </c>
      <c r="H56" s="512">
        <f t="shared" ca="1" si="6"/>
        <v>0</v>
      </c>
      <c r="I56" s="1603" t="str">
        <f t="shared" ca="1" si="0"/>
        <v/>
      </c>
      <c r="J56" s="1604"/>
      <c r="K56" s="373"/>
      <c r="L56" s="513">
        <f t="shared" ca="1" si="9"/>
        <v>656.58</v>
      </c>
      <c r="M56" s="654">
        <f t="shared" ca="1" si="7"/>
        <v>1</v>
      </c>
      <c r="N56" s="226">
        <f t="shared" ca="1" si="1"/>
        <v>0</v>
      </c>
      <c r="O56" s="1"/>
    </row>
    <row r="57" spans="1:15" ht="16.5" customHeight="1">
      <c r="A57" s="1"/>
      <c r="B57" s="657" t="str">
        <f t="shared" ca="1" si="2"/>
        <v/>
      </c>
      <c r="C57" s="223" t="str">
        <f t="shared" ca="1" si="3"/>
        <v/>
      </c>
      <c r="D57" s="519">
        <f t="shared" si="8"/>
        <v>52</v>
      </c>
      <c r="E57" s="225" t="str">
        <f t="shared" ca="1" si="4"/>
        <v/>
      </c>
      <c r="F57" s="224" t="str">
        <f t="shared" si="10"/>
        <v>CASSA</v>
      </c>
      <c r="G57" s="384" t="str">
        <f t="shared" ca="1" si="5"/>
        <v/>
      </c>
      <c r="H57" s="512">
        <f t="shared" ca="1" si="6"/>
        <v>0</v>
      </c>
      <c r="I57" s="1603" t="str">
        <f t="shared" ca="1" si="0"/>
        <v/>
      </c>
      <c r="J57" s="1604"/>
      <c r="K57" s="373"/>
      <c r="L57" s="513">
        <f t="shared" ca="1" si="9"/>
        <v>656.58</v>
      </c>
      <c r="M57" s="654">
        <f t="shared" ca="1" si="7"/>
        <v>1</v>
      </c>
      <c r="N57" s="226">
        <f t="shared" ca="1" si="1"/>
        <v>0</v>
      </c>
      <c r="O57" s="1"/>
    </row>
    <row r="58" spans="1:15" ht="16.5" customHeight="1">
      <c r="A58" s="1"/>
      <c r="B58" s="657" t="str">
        <f t="shared" ca="1" si="2"/>
        <v/>
      </c>
      <c r="C58" s="223" t="str">
        <f t="shared" ca="1" si="3"/>
        <v/>
      </c>
      <c r="D58" s="519">
        <f t="shared" si="8"/>
        <v>53</v>
      </c>
      <c r="E58" s="225" t="str">
        <f t="shared" ca="1" si="4"/>
        <v/>
      </c>
      <c r="F58" s="224" t="str">
        <f t="shared" si="10"/>
        <v>CASSA</v>
      </c>
      <c r="G58" s="384" t="str">
        <f t="shared" ca="1" si="5"/>
        <v/>
      </c>
      <c r="H58" s="512">
        <f t="shared" ca="1" si="6"/>
        <v>0</v>
      </c>
      <c r="I58" s="1603" t="str">
        <f t="shared" ca="1" si="0"/>
        <v/>
      </c>
      <c r="J58" s="1604"/>
      <c r="K58" s="373"/>
      <c r="L58" s="513">
        <f t="shared" ca="1" si="9"/>
        <v>656.58</v>
      </c>
      <c r="M58" s="654">
        <f t="shared" ca="1" si="7"/>
        <v>1</v>
      </c>
      <c r="N58" s="226">
        <f t="shared" ca="1" si="1"/>
        <v>0</v>
      </c>
      <c r="O58" s="1"/>
    </row>
    <row r="59" spans="1:15" ht="16.5" customHeight="1">
      <c r="A59" s="1"/>
      <c r="B59" s="657" t="str">
        <f t="shared" ca="1" si="2"/>
        <v/>
      </c>
      <c r="C59" s="223" t="str">
        <f t="shared" ca="1" si="3"/>
        <v/>
      </c>
      <c r="D59" s="519">
        <f t="shared" si="8"/>
        <v>54</v>
      </c>
      <c r="E59" s="225" t="str">
        <f t="shared" ca="1" si="4"/>
        <v/>
      </c>
      <c r="F59" s="224" t="str">
        <f t="shared" si="10"/>
        <v>CASSA</v>
      </c>
      <c r="G59" s="384" t="str">
        <f t="shared" ca="1" si="5"/>
        <v/>
      </c>
      <c r="H59" s="512">
        <f t="shared" ca="1" si="6"/>
        <v>0</v>
      </c>
      <c r="I59" s="1603" t="str">
        <f t="shared" ca="1" si="0"/>
        <v/>
      </c>
      <c r="J59" s="1604"/>
      <c r="K59" s="373"/>
      <c r="L59" s="513">
        <f t="shared" ca="1" si="9"/>
        <v>656.58</v>
      </c>
      <c r="M59" s="654">
        <f t="shared" ca="1" si="7"/>
        <v>1</v>
      </c>
      <c r="N59" s="226">
        <f t="shared" ca="1" si="1"/>
        <v>0</v>
      </c>
      <c r="O59" s="1"/>
    </row>
    <row r="60" spans="1:15" ht="16.5" customHeight="1">
      <c r="A60" s="1"/>
      <c r="B60" s="657" t="str">
        <f t="shared" ca="1" si="2"/>
        <v/>
      </c>
      <c r="C60" s="223" t="str">
        <f t="shared" ca="1" si="3"/>
        <v/>
      </c>
      <c r="D60" s="519">
        <f t="shared" si="8"/>
        <v>55</v>
      </c>
      <c r="E60" s="225" t="str">
        <f t="shared" ca="1" si="4"/>
        <v/>
      </c>
      <c r="F60" s="224" t="str">
        <f t="shared" si="10"/>
        <v>CASSA</v>
      </c>
      <c r="G60" s="384" t="str">
        <f t="shared" ca="1" si="5"/>
        <v/>
      </c>
      <c r="H60" s="512">
        <f t="shared" ca="1" si="6"/>
        <v>0</v>
      </c>
      <c r="I60" s="1603" t="str">
        <f t="shared" ca="1" si="0"/>
        <v/>
      </c>
      <c r="J60" s="1604"/>
      <c r="K60" s="373"/>
      <c r="L60" s="513">
        <f t="shared" ca="1" si="9"/>
        <v>656.58</v>
      </c>
      <c r="M60" s="654">
        <f t="shared" ca="1" si="7"/>
        <v>1</v>
      </c>
      <c r="N60" s="226">
        <f t="shared" ca="1" si="1"/>
        <v>0</v>
      </c>
      <c r="O60" s="1"/>
    </row>
    <row r="61" spans="1:15" ht="16.5" customHeight="1">
      <c r="A61" s="1"/>
      <c r="B61" s="657" t="str">
        <f t="shared" ca="1" si="2"/>
        <v/>
      </c>
      <c r="C61" s="223" t="str">
        <f t="shared" ca="1" si="3"/>
        <v/>
      </c>
      <c r="D61" s="519">
        <f t="shared" si="8"/>
        <v>56</v>
      </c>
      <c r="E61" s="225" t="str">
        <f t="shared" ca="1" si="4"/>
        <v/>
      </c>
      <c r="F61" s="224" t="str">
        <f t="shared" si="10"/>
        <v>CASSA</v>
      </c>
      <c r="G61" s="384" t="str">
        <f t="shared" ca="1" si="5"/>
        <v/>
      </c>
      <c r="H61" s="512">
        <f t="shared" ca="1" si="6"/>
        <v>0</v>
      </c>
      <c r="I61" s="1603" t="str">
        <f t="shared" ca="1" si="0"/>
        <v/>
      </c>
      <c r="J61" s="1604"/>
      <c r="K61" s="373"/>
      <c r="L61" s="513">
        <f t="shared" ca="1" si="9"/>
        <v>656.58</v>
      </c>
      <c r="M61" s="654">
        <f t="shared" ca="1" si="7"/>
        <v>1</v>
      </c>
      <c r="N61" s="226">
        <f t="shared" ca="1" si="1"/>
        <v>0</v>
      </c>
      <c r="O61" s="1"/>
    </row>
    <row r="62" spans="1:15" ht="16.5" customHeight="1">
      <c r="A62" s="1"/>
      <c r="B62" s="657" t="str">
        <f t="shared" ca="1" si="2"/>
        <v/>
      </c>
      <c r="C62" s="223" t="str">
        <f t="shared" ca="1" si="3"/>
        <v/>
      </c>
      <c r="D62" s="519">
        <f t="shared" si="8"/>
        <v>57</v>
      </c>
      <c r="E62" s="225" t="str">
        <f t="shared" ca="1" si="4"/>
        <v/>
      </c>
      <c r="F62" s="224" t="str">
        <f t="shared" si="10"/>
        <v>CASSA</v>
      </c>
      <c r="G62" s="384" t="str">
        <f t="shared" ca="1" si="5"/>
        <v/>
      </c>
      <c r="H62" s="512">
        <f t="shared" ca="1" si="6"/>
        <v>0</v>
      </c>
      <c r="I62" s="1603" t="str">
        <f t="shared" ca="1" si="0"/>
        <v/>
      </c>
      <c r="J62" s="1604"/>
      <c r="K62" s="373"/>
      <c r="L62" s="513">
        <f t="shared" ca="1" si="9"/>
        <v>656.58</v>
      </c>
      <c r="M62" s="654">
        <f t="shared" ca="1" si="7"/>
        <v>1</v>
      </c>
      <c r="N62" s="226">
        <f t="shared" ca="1" si="1"/>
        <v>0</v>
      </c>
      <c r="O62" s="1"/>
    </row>
    <row r="63" spans="1:15" ht="16.5" customHeight="1">
      <c r="A63" s="1"/>
      <c r="B63" s="657" t="str">
        <f t="shared" ca="1" si="2"/>
        <v/>
      </c>
      <c r="C63" s="223" t="str">
        <f t="shared" ca="1" si="3"/>
        <v/>
      </c>
      <c r="D63" s="519">
        <f t="shared" si="8"/>
        <v>58</v>
      </c>
      <c r="E63" s="225" t="str">
        <f t="shared" ca="1" si="4"/>
        <v/>
      </c>
      <c r="F63" s="224" t="str">
        <f t="shared" si="10"/>
        <v>CASSA</v>
      </c>
      <c r="G63" s="384" t="str">
        <f t="shared" ca="1" si="5"/>
        <v/>
      </c>
      <c r="H63" s="512">
        <f t="shared" ca="1" si="6"/>
        <v>0</v>
      </c>
      <c r="I63" s="1603" t="str">
        <f t="shared" ca="1" si="0"/>
        <v/>
      </c>
      <c r="J63" s="1604"/>
      <c r="K63" s="373"/>
      <c r="L63" s="513">
        <f t="shared" ca="1" si="9"/>
        <v>656.58</v>
      </c>
      <c r="M63" s="654">
        <f t="shared" ca="1" si="7"/>
        <v>1</v>
      </c>
      <c r="N63" s="226">
        <f t="shared" ca="1" si="1"/>
        <v>0</v>
      </c>
      <c r="O63" s="1"/>
    </row>
    <row r="64" spans="1:15" ht="16.5" customHeight="1">
      <c r="A64" s="1"/>
      <c r="B64" s="657" t="str">
        <f t="shared" ca="1" si="2"/>
        <v/>
      </c>
      <c r="C64" s="223" t="str">
        <f t="shared" ca="1" si="3"/>
        <v/>
      </c>
      <c r="D64" s="519">
        <f t="shared" si="8"/>
        <v>59</v>
      </c>
      <c r="E64" s="225" t="str">
        <f t="shared" ca="1" si="4"/>
        <v/>
      </c>
      <c r="F64" s="224" t="str">
        <f t="shared" si="10"/>
        <v>CASSA</v>
      </c>
      <c r="G64" s="384" t="str">
        <f t="shared" ca="1" si="5"/>
        <v/>
      </c>
      <c r="H64" s="512">
        <f t="shared" ca="1" si="6"/>
        <v>0</v>
      </c>
      <c r="I64" s="1603" t="str">
        <f t="shared" ca="1" si="0"/>
        <v/>
      </c>
      <c r="J64" s="1604"/>
      <c r="K64" s="373"/>
      <c r="L64" s="513">
        <f t="shared" ca="1" si="9"/>
        <v>656.58</v>
      </c>
      <c r="M64" s="654">
        <f t="shared" ca="1" si="7"/>
        <v>1</v>
      </c>
      <c r="N64" s="226">
        <f t="shared" ca="1" si="1"/>
        <v>0</v>
      </c>
      <c r="O64" s="1"/>
    </row>
    <row r="65" spans="1:15" ht="16.5" customHeight="1">
      <c r="A65" s="1"/>
      <c r="B65" s="657" t="str">
        <f t="shared" ca="1" si="2"/>
        <v/>
      </c>
      <c r="C65" s="223" t="str">
        <f t="shared" ca="1" si="3"/>
        <v/>
      </c>
      <c r="D65" s="519">
        <f t="shared" si="8"/>
        <v>60</v>
      </c>
      <c r="E65" s="225" t="str">
        <f t="shared" ca="1" si="4"/>
        <v/>
      </c>
      <c r="F65" s="224" t="str">
        <f t="shared" si="10"/>
        <v>CASSA</v>
      </c>
      <c r="G65" s="384" t="str">
        <f t="shared" ca="1" si="5"/>
        <v/>
      </c>
      <c r="H65" s="512">
        <f t="shared" ca="1" si="6"/>
        <v>0</v>
      </c>
      <c r="I65" s="1603" t="str">
        <f t="shared" ca="1" si="0"/>
        <v/>
      </c>
      <c r="J65" s="1604"/>
      <c r="K65" s="373"/>
      <c r="L65" s="513">
        <f t="shared" ca="1" si="9"/>
        <v>656.58</v>
      </c>
      <c r="M65" s="654">
        <f t="shared" ca="1" si="7"/>
        <v>1</v>
      </c>
      <c r="N65" s="226">
        <f t="shared" ca="1" si="1"/>
        <v>0</v>
      </c>
      <c r="O65" s="1"/>
    </row>
    <row r="66" spans="1:15" ht="16.5" customHeight="1">
      <c r="A66" s="1"/>
      <c r="B66" s="657" t="str">
        <f t="shared" ca="1" si="2"/>
        <v/>
      </c>
      <c r="C66" s="223" t="str">
        <f t="shared" ca="1" si="3"/>
        <v/>
      </c>
      <c r="D66" s="519">
        <f t="shared" si="8"/>
        <v>61</v>
      </c>
      <c r="E66" s="225" t="str">
        <f t="shared" ca="1" si="4"/>
        <v/>
      </c>
      <c r="F66" s="224" t="str">
        <f t="shared" si="10"/>
        <v>CASSA</v>
      </c>
      <c r="G66" s="384" t="str">
        <f t="shared" ca="1" si="5"/>
        <v/>
      </c>
      <c r="H66" s="512">
        <f t="shared" ca="1" si="6"/>
        <v>0</v>
      </c>
      <c r="I66" s="1603" t="str">
        <f t="shared" ca="1" si="0"/>
        <v/>
      </c>
      <c r="J66" s="1604"/>
      <c r="K66" s="373"/>
      <c r="L66" s="513">
        <f t="shared" ca="1" si="9"/>
        <v>656.58</v>
      </c>
      <c r="M66" s="654">
        <f t="shared" ca="1" si="7"/>
        <v>1</v>
      </c>
      <c r="N66" s="226">
        <f t="shared" ca="1" si="1"/>
        <v>0</v>
      </c>
      <c r="O66" s="1"/>
    </row>
    <row r="67" spans="1:15" ht="16.5" customHeight="1">
      <c r="A67" s="1"/>
      <c r="B67" s="657" t="str">
        <f t="shared" ca="1" si="2"/>
        <v/>
      </c>
      <c r="C67" s="223" t="str">
        <f t="shared" ca="1" si="3"/>
        <v/>
      </c>
      <c r="D67" s="519">
        <f t="shared" si="8"/>
        <v>62</v>
      </c>
      <c r="E67" s="225" t="str">
        <f t="shared" ca="1" si="4"/>
        <v/>
      </c>
      <c r="F67" s="224" t="str">
        <f t="shared" si="10"/>
        <v>CASSA</v>
      </c>
      <c r="G67" s="384" t="str">
        <f t="shared" ca="1" si="5"/>
        <v/>
      </c>
      <c r="H67" s="512">
        <f t="shared" ca="1" si="6"/>
        <v>0</v>
      </c>
      <c r="I67" s="1603" t="str">
        <f t="shared" ca="1" si="0"/>
        <v/>
      </c>
      <c r="J67" s="1604"/>
      <c r="K67" s="373"/>
      <c r="L67" s="513">
        <f t="shared" ca="1" si="9"/>
        <v>656.58</v>
      </c>
      <c r="M67" s="654">
        <f t="shared" ca="1" si="7"/>
        <v>1</v>
      </c>
      <c r="N67" s="226">
        <f t="shared" ca="1" si="1"/>
        <v>0</v>
      </c>
      <c r="O67" s="1"/>
    </row>
    <row r="68" spans="1:15" ht="16.5" customHeight="1">
      <c r="A68" s="1"/>
      <c r="B68" s="657" t="str">
        <f t="shared" ca="1" si="2"/>
        <v/>
      </c>
      <c r="C68" s="223" t="str">
        <f t="shared" ca="1" si="3"/>
        <v/>
      </c>
      <c r="D68" s="519">
        <f t="shared" si="8"/>
        <v>63</v>
      </c>
      <c r="E68" s="225" t="str">
        <f t="shared" ca="1" si="4"/>
        <v/>
      </c>
      <c r="F68" s="224" t="str">
        <f t="shared" si="10"/>
        <v>CASSA</v>
      </c>
      <c r="G68" s="384" t="str">
        <f t="shared" ca="1" si="5"/>
        <v/>
      </c>
      <c r="H68" s="512">
        <f t="shared" ca="1" si="6"/>
        <v>0</v>
      </c>
      <c r="I68" s="1603" t="str">
        <f t="shared" ca="1" si="0"/>
        <v/>
      </c>
      <c r="J68" s="1604"/>
      <c r="K68" s="373"/>
      <c r="L68" s="513">
        <f t="shared" ca="1" si="9"/>
        <v>656.58</v>
      </c>
      <c r="M68" s="654">
        <f t="shared" ca="1" si="7"/>
        <v>1</v>
      </c>
      <c r="N68" s="226">
        <f t="shared" ca="1" si="1"/>
        <v>0</v>
      </c>
      <c r="O68" s="1"/>
    </row>
    <row r="69" spans="1:15" ht="16.5" customHeight="1">
      <c r="A69" s="1"/>
      <c r="B69" s="657" t="str">
        <f t="shared" ca="1" si="2"/>
        <v/>
      </c>
      <c r="C69" s="223" t="str">
        <f t="shared" ca="1" si="3"/>
        <v/>
      </c>
      <c r="D69" s="519">
        <f t="shared" si="8"/>
        <v>64</v>
      </c>
      <c r="E69" s="225" t="str">
        <f t="shared" ca="1" si="4"/>
        <v/>
      </c>
      <c r="F69" s="224" t="str">
        <f t="shared" si="10"/>
        <v>CASSA</v>
      </c>
      <c r="G69" s="384" t="str">
        <f t="shared" ca="1" si="5"/>
        <v/>
      </c>
      <c r="H69" s="512">
        <f t="shared" ca="1" si="6"/>
        <v>0</v>
      </c>
      <c r="I69" s="1603" t="str">
        <f t="shared" ca="1" si="0"/>
        <v/>
      </c>
      <c r="J69" s="1604"/>
      <c r="K69" s="373"/>
      <c r="L69" s="513">
        <f t="shared" ca="1" si="9"/>
        <v>656.58</v>
      </c>
      <c r="M69" s="654">
        <f t="shared" ca="1" si="7"/>
        <v>1</v>
      </c>
      <c r="N69" s="226">
        <f t="shared" ca="1" si="1"/>
        <v>0</v>
      </c>
      <c r="O69" s="1"/>
    </row>
    <row r="70" spans="1:15" ht="16.5" customHeight="1">
      <c r="A70" s="1"/>
      <c r="B70" s="657" t="str">
        <f t="shared" ca="1" si="2"/>
        <v/>
      </c>
      <c r="C70" s="223" t="str">
        <f t="shared" ca="1" si="3"/>
        <v/>
      </c>
      <c r="D70" s="519">
        <f t="shared" si="8"/>
        <v>65</v>
      </c>
      <c r="E70" s="225" t="str">
        <f t="shared" ca="1" si="4"/>
        <v/>
      </c>
      <c r="F70" s="224" t="str">
        <f t="shared" si="10"/>
        <v>CASSA</v>
      </c>
      <c r="G70" s="384" t="str">
        <f t="shared" ca="1" si="5"/>
        <v/>
      </c>
      <c r="H70" s="512">
        <f t="shared" ca="1" si="6"/>
        <v>0</v>
      </c>
      <c r="I70" s="1603" t="str">
        <f t="shared" ref="I70:I133" ca="1" si="11">IF(F70="","",IF(ISERROR(VLOOKUP($D70,$B$1080:$L$4183,11,FALSE)),"",VLOOKUP($D70,$B$1080:$L$4183,11,FALSE)))</f>
        <v/>
      </c>
      <c r="J70" s="1604"/>
      <c r="K70" s="373"/>
      <c r="L70" s="513">
        <f t="shared" ca="1" si="9"/>
        <v>656.58</v>
      </c>
      <c r="M70" s="654">
        <f t="shared" ca="1" si="7"/>
        <v>1</v>
      </c>
      <c r="N70" s="226">
        <f t="shared" ref="N70:N133" ca="1" si="12">IF(ISERROR(VLOOKUP(G70,G$4171:G$4182,1,FALSE)),0,1)</f>
        <v>0</v>
      </c>
      <c r="O70" s="1"/>
    </row>
    <row r="71" spans="1:15" ht="16.5" customHeight="1">
      <c r="A71" s="1"/>
      <c r="B71" s="657" t="str">
        <f t="shared" ref="B71:B134" ca="1" si="13">IF(AND(E71&lt;&gt;"",M71=0),"[..]","")</f>
        <v/>
      </c>
      <c r="C71" s="223" t="str">
        <f t="shared" ref="C71:C134" ca="1" si="14">IF(ISBLANK(E$2),"",IF(ISERROR(VLOOKUP(D71,B$3067:B$4182,1,FALSE)),"",C$4185))</f>
        <v/>
      </c>
      <c r="D71" s="519">
        <f t="shared" si="8"/>
        <v>66</v>
      </c>
      <c r="E71" s="225" t="str">
        <f t="shared" ref="E71:E134" ca="1" si="15">IF(ISERROR(VLOOKUP($D71,$B$1080:$E$4183,4,FALSE)),"",VLOOKUP($D71,$B$1080:$E$4183,4,FALSE))</f>
        <v/>
      </c>
      <c r="F71" s="224" t="str">
        <f t="shared" si="10"/>
        <v>CASSA</v>
      </c>
      <c r="G71" s="384" t="str">
        <f t="shared" ref="G71:G134" ca="1" si="16">IF(ISERROR(VLOOKUP($D71,$B$1080:$G$4183,6,FALSE)),"",T(VLOOKUP($D71,$B$1080:$G$4183,6,FALSE)))</f>
        <v/>
      </c>
      <c r="H71" s="512">
        <f t="shared" ref="H71:H134" ca="1" si="17">IF(ISERROR(VLOOKUP($D71,$B$1080:$H$4183,7,FALSE)),0,VLOOKUP($D71,$B$1080:$H$4183,7,FALSE))*M71</f>
        <v>0</v>
      </c>
      <c r="I71" s="1603" t="str">
        <f t="shared" ca="1" si="11"/>
        <v/>
      </c>
      <c r="J71" s="1604"/>
      <c r="K71" s="373"/>
      <c r="L71" s="513">
        <f t="shared" ca="1" si="9"/>
        <v>656.58</v>
      </c>
      <c r="M71" s="654">
        <f t="shared" ref="M71:M134" ca="1" si="18">IF(AND(E71&gt;0,H$4188=0,OR(E71&lt;L$1020,E71&gt;L$1021)),0,1)</f>
        <v>1</v>
      </c>
      <c r="N71" s="226">
        <f t="shared" ca="1" si="12"/>
        <v>0</v>
      </c>
      <c r="O71" s="1"/>
    </row>
    <row r="72" spans="1:15" ht="16.5" customHeight="1">
      <c r="A72" s="1"/>
      <c r="B72" s="657" t="str">
        <f t="shared" ca="1" si="13"/>
        <v/>
      </c>
      <c r="C72" s="223" t="str">
        <f t="shared" ca="1" si="14"/>
        <v/>
      </c>
      <c r="D72" s="519">
        <f t="shared" ref="D72:D135" si="19">D71+1</f>
        <v>67</v>
      </c>
      <c r="E72" s="225" t="str">
        <f t="shared" ca="1" si="15"/>
        <v/>
      </c>
      <c r="F72" s="224" t="str">
        <f t="shared" si="10"/>
        <v>CASSA</v>
      </c>
      <c r="G72" s="384" t="str">
        <f t="shared" ca="1" si="16"/>
        <v/>
      </c>
      <c r="H72" s="512">
        <f t="shared" ca="1" si="17"/>
        <v>0</v>
      </c>
      <c r="I72" s="1603" t="str">
        <f t="shared" ca="1" si="11"/>
        <v/>
      </c>
      <c r="J72" s="1604"/>
      <c r="K72" s="373"/>
      <c r="L72" s="513">
        <f t="shared" ref="L72:L135" ca="1" si="20">ROUND(L71+H72,2)</f>
        <v>656.58</v>
      </c>
      <c r="M72" s="654">
        <f t="shared" ca="1" si="18"/>
        <v>1</v>
      </c>
      <c r="N72" s="226">
        <f t="shared" ca="1" si="12"/>
        <v>0</v>
      </c>
      <c r="O72" s="1"/>
    </row>
    <row r="73" spans="1:15" ht="16.5" customHeight="1">
      <c r="A73" s="1"/>
      <c r="B73" s="657" t="str">
        <f t="shared" ca="1" si="13"/>
        <v/>
      </c>
      <c r="C73" s="223" t="str">
        <f t="shared" ca="1" si="14"/>
        <v/>
      </c>
      <c r="D73" s="519">
        <f t="shared" si="19"/>
        <v>68</v>
      </c>
      <c r="E73" s="225" t="str">
        <f t="shared" ca="1" si="15"/>
        <v/>
      </c>
      <c r="F73" s="224" t="str">
        <f t="shared" si="10"/>
        <v>CASSA</v>
      </c>
      <c r="G73" s="384" t="str">
        <f t="shared" ca="1" si="16"/>
        <v/>
      </c>
      <c r="H73" s="512">
        <f t="shared" ca="1" si="17"/>
        <v>0</v>
      </c>
      <c r="I73" s="1603" t="str">
        <f t="shared" ca="1" si="11"/>
        <v/>
      </c>
      <c r="J73" s="1604"/>
      <c r="K73" s="373"/>
      <c r="L73" s="513">
        <f t="shared" ca="1" si="20"/>
        <v>656.58</v>
      </c>
      <c r="M73" s="654">
        <f t="shared" ca="1" si="18"/>
        <v>1</v>
      </c>
      <c r="N73" s="226">
        <f t="shared" ca="1" si="12"/>
        <v>0</v>
      </c>
      <c r="O73" s="1"/>
    </row>
    <row r="74" spans="1:15" ht="16.5" customHeight="1">
      <c r="A74" s="1"/>
      <c r="B74" s="657" t="str">
        <f t="shared" ca="1" si="13"/>
        <v/>
      </c>
      <c r="C74" s="223" t="str">
        <f t="shared" ca="1" si="14"/>
        <v/>
      </c>
      <c r="D74" s="519">
        <f t="shared" si="19"/>
        <v>69</v>
      </c>
      <c r="E74" s="225" t="str">
        <f t="shared" ca="1" si="15"/>
        <v/>
      </c>
      <c r="F74" s="224" t="str">
        <f t="shared" si="10"/>
        <v>CASSA</v>
      </c>
      <c r="G74" s="384" t="str">
        <f t="shared" ca="1" si="16"/>
        <v/>
      </c>
      <c r="H74" s="512">
        <f t="shared" ca="1" si="17"/>
        <v>0</v>
      </c>
      <c r="I74" s="1603" t="str">
        <f t="shared" ca="1" si="11"/>
        <v/>
      </c>
      <c r="J74" s="1604"/>
      <c r="K74" s="373"/>
      <c r="L74" s="513">
        <f t="shared" ca="1" si="20"/>
        <v>656.58</v>
      </c>
      <c r="M74" s="654">
        <f t="shared" ca="1" si="18"/>
        <v>1</v>
      </c>
      <c r="N74" s="226">
        <f t="shared" ca="1" si="12"/>
        <v>0</v>
      </c>
      <c r="O74" s="1"/>
    </row>
    <row r="75" spans="1:15" ht="16.5" customHeight="1">
      <c r="A75" s="1"/>
      <c r="B75" s="657" t="str">
        <f t="shared" ca="1" si="13"/>
        <v/>
      </c>
      <c r="C75" s="223" t="str">
        <f t="shared" ca="1" si="14"/>
        <v/>
      </c>
      <c r="D75" s="519">
        <f t="shared" si="19"/>
        <v>70</v>
      </c>
      <c r="E75" s="225" t="str">
        <f t="shared" ca="1" si="15"/>
        <v/>
      </c>
      <c r="F75" s="224" t="str">
        <f t="shared" si="10"/>
        <v>CASSA</v>
      </c>
      <c r="G75" s="384" t="str">
        <f t="shared" ca="1" si="16"/>
        <v/>
      </c>
      <c r="H75" s="512">
        <f t="shared" ca="1" si="17"/>
        <v>0</v>
      </c>
      <c r="I75" s="1603" t="str">
        <f t="shared" ca="1" si="11"/>
        <v/>
      </c>
      <c r="J75" s="1604"/>
      <c r="K75" s="373"/>
      <c r="L75" s="513">
        <f t="shared" ca="1" si="20"/>
        <v>656.58</v>
      </c>
      <c r="M75" s="654">
        <f t="shared" ca="1" si="18"/>
        <v>1</v>
      </c>
      <c r="N75" s="226">
        <f t="shared" ca="1" si="12"/>
        <v>0</v>
      </c>
      <c r="O75" s="1"/>
    </row>
    <row r="76" spans="1:15" ht="16.5" customHeight="1">
      <c r="A76" s="1"/>
      <c r="B76" s="657" t="str">
        <f t="shared" ca="1" si="13"/>
        <v/>
      </c>
      <c r="C76" s="223" t="str">
        <f t="shared" ca="1" si="14"/>
        <v/>
      </c>
      <c r="D76" s="519">
        <f t="shared" si="19"/>
        <v>71</v>
      </c>
      <c r="E76" s="225" t="str">
        <f t="shared" ca="1" si="15"/>
        <v/>
      </c>
      <c r="F76" s="224" t="str">
        <f t="shared" ref="F76:F139" si="21">F75</f>
        <v>CASSA</v>
      </c>
      <c r="G76" s="384" t="str">
        <f t="shared" ca="1" si="16"/>
        <v/>
      </c>
      <c r="H76" s="512">
        <f t="shared" ca="1" si="17"/>
        <v>0</v>
      </c>
      <c r="I76" s="1603" t="str">
        <f t="shared" ca="1" si="11"/>
        <v/>
      </c>
      <c r="J76" s="1604"/>
      <c r="K76" s="373"/>
      <c r="L76" s="513">
        <f t="shared" ca="1" si="20"/>
        <v>656.58</v>
      </c>
      <c r="M76" s="654">
        <f t="shared" ca="1" si="18"/>
        <v>1</v>
      </c>
      <c r="N76" s="226">
        <f t="shared" ca="1" si="12"/>
        <v>0</v>
      </c>
      <c r="O76" s="1"/>
    </row>
    <row r="77" spans="1:15" ht="16.5" customHeight="1">
      <c r="A77" s="1"/>
      <c r="B77" s="657" t="str">
        <f t="shared" ca="1" si="13"/>
        <v/>
      </c>
      <c r="C77" s="223" t="str">
        <f t="shared" ca="1" si="14"/>
        <v/>
      </c>
      <c r="D77" s="519">
        <f t="shared" si="19"/>
        <v>72</v>
      </c>
      <c r="E77" s="225" t="str">
        <f t="shared" ca="1" si="15"/>
        <v/>
      </c>
      <c r="F77" s="224" t="str">
        <f t="shared" si="21"/>
        <v>CASSA</v>
      </c>
      <c r="G77" s="384" t="str">
        <f t="shared" ca="1" si="16"/>
        <v/>
      </c>
      <c r="H77" s="512">
        <f t="shared" ca="1" si="17"/>
        <v>0</v>
      </c>
      <c r="I77" s="1603" t="str">
        <f t="shared" ca="1" si="11"/>
        <v/>
      </c>
      <c r="J77" s="1604"/>
      <c r="K77" s="373"/>
      <c r="L77" s="513">
        <f t="shared" ca="1" si="20"/>
        <v>656.58</v>
      </c>
      <c r="M77" s="654">
        <f t="shared" ca="1" si="18"/>
        <v>1</v>
      </c>
      <c r="N77" s="226">
        <f t="shared" ca="1" si="12"/>
        <v>0</v>
      </c>
      <c r="O77" s="1"/>
    </row>
    <row r="78" spans="1:15" ht="16.5" customHeight="1">
      <c r="A78" s="1"/>
      <c r="B78" s="657" t="str">
        <f t="shared" ca="1" si="13"/>
        <v/>
      </c>
      <c r="C78" s="223" t="str">
        <f t="shared" ca="1" si="14"/>
        <v/>
      </c>
      <c r="D78" s="519">
        <f t="shared" si="19"/>
        <v>73</v>
      </c>
      <c r="E78" s="225" t="str">
        <f t="shared" ca="1" si="15"/>
        <v/>
      </c>
      <c r="F78" s="224" t="str">
        <f t="shared" si="21"/>
        <v>CASSA</v>
      </c>
      <c r="G78" s="384" t="str">
        <f t="shared" ca="1" si="16"/>
        <v/>
      </c>
      <c r="H78" s="512">
        <f t="shared" ca="1" si="17"/>
        <v>0</v>
      </c>
      <c r="I78" s="1603" t="str">
        <f t="shared" ca="1" si="11"/>
        <v/>
      </c>
      <c r="J78" s="1604"/>
      <c r="K78" s="373"/>
      <c r="L78" s="513">
        <f t="shared" ca="1" si="20"/>
        <v>656.58</v>
      </c>
      <c r="M78" s="654">
        <f t="shared" ca="1" si="18"/>
        <v>1</v>
      </c>
      <c r="N78" s="226">
        <f t="shared" ca="1" si="12"/>
        <v>0</v>
      </c>
      <c r="O78" s="1"/>
    </row>
    <row r="79" spans="1:15" ht="16.5" customHeight="1">
      <c r="A79" s="1"/>
      <c r="B79" s="657" t="str">
        <f t="shared" ca="1" si="13"/>
        <v/>
      </c>
      <c r="C79" s="223" t="str">
        <f t="shared" ca="1" si="14"/>
        <v/>
      </c>
      <c r="D79" s="519">
        <f t="shared" si="19"/>
        <v>74</v>
      </c>
      <c r="E79" s="225" t="str">
        <f t="shared" ca="1" si="15"/>
        <v/>
      </c>
      <c r="F79" s="224" t="str">
        <f t="shared" si="21"/>
        <v>CASSA</v>
      </c>
      <c r="G79" s="384" t="str">
        <f t="shared" ca="1" si="16"/>
        <v/>
      </c>
      <c r="H79" s="512">
        <f t="shared" ca="1" si="17"/>
        <v>0</v>
      </c>
      <c r="I79" s="1603" t="str">
        <f t="shared" ca="1" si="11"/>
        <v/>
      </c>
      <c r="J79" s="1604"/>
      <c r="K79" s="373"/>
      <c r="L79" s="513">
        <f t="shared" ca="1" si="20"/>
        <v>656.58</v>
      </c>
      <c r="M79" s="654">
        <f t="shared" ca="1" si="18"/>
        <v>1</v>
      </c>
      <c r="N79" s="226">
        <f t="shared" ca="1" si="12"/>
        <v>0</v>
      </c>
      <c r="O79" s="1"/>
    </row>
    <row r="80" spans="1:15" ht="16.5" customHeight="1">
      <c r="A80" s="1"/>
      <c r="B80" s="657" t="str">
        <f t="shared" ca="1" si="13"/>
        <v/>
      </c>
      <c r="C80" s="223" t="str">
        <f t="shared" ca="1" si="14"/>
        <v/>
      </c>
      <c r="D80" s="519">
        <f t="shared" si="19"/>
        <v>75</v>
      </c>
      <c r="E80" s="225" t="str">
        <f t="shared" ca="1" si="15"/>
        <v/>
      </c>
      <c r="F80" s="224" t="str">
        <f t="shared" si="21"/>
        <v>CASSA</v>
      </c>
      <c r="G80" s="384" t="str">
        <f t="shared" ca="1" si="16"/>
        <v/>
      </c>
      <c r="H80" s="512">
        <f t="shared" ca="1" si="17"/>
        <v>0</v>
      </c>
      <c r="I80" s="1603" t="str">
        <f t="shared" ca="1" si="11"/>
        <v/>
      </c>
      <c r="J80" s="1604"/>
      <c r="K80" s="373"/>
      <c r="L80" s="513">
        <f t="shared" ca="1" si="20"/>
        <v>656.58</v>
      </c>
      <c r="M80" s="654">
        <f t="shared" ca="1" si="18"/>
        <v>1</v>
      </c>
      <c r="N80" s="226">
        <f t="shared" ca="1" si="12"/>
        <v>0</v>
      </c>
      <c r="O80" s="1"/>
    </row>
    <row r="81" spans="1:15" ht="16.5" customHeight="1">
      <c r="A81" s="1"/>
      <c r="B81" s="657" t="str">
        <f t="shared" ca="1" si="13"/>
        <v/>
      </c>
      <c r="C81" s="223" t="str">
        <f t="shared" ca="1" si="14"/>
        <v/>
      </c>
      <c r="D81" s="519">
        <f t="shared" si="19"/>
        <v>76</v>
      </c>
      <c r="E81" s="225" t="str">
        <f t="shared" ca="1" si="15"/>
        <v/>
      </c>
      <c r="F81" s="224" t="str">
        <f t="shared" si="21"/>
        <v>CASSA</v>
      </c>
      <c r="G81" s="384" t="str">
        <f t="shared" ca="1" si="16"/>
        <v/>
      </c>
      <c r="H81" s="512">
        <f t="shared" ca="1" si="17"/>
        <v>0</v>
      </c>
      <c r="I81" s="1603" t="str">
        <f t="shared" ca="1" si="11"/>
        <v/>
      </c>
      <c r="J81" s="1604"/>
      <c r="K81" s="373"/>
      <c r="L81" s="513">
        <f t="shared" ca="1" si="20"/>
        <v>656.58</v>
      </c>
      <c r="M81" s="654">
        <f t="shared" ca="1" si="18"/>
        <v>1</v>
      </c>
      <c r="N81" s="226">
        <f t="shared" ca="1" si="12"/>
        <v>0</v>
      </c>
      <c r="O81" s="1"/>
    </row>
    <row r="82" spans="1:15" ht="16.5" customHeight="1">
      <c r="A82" s="1"/>
      <c r="B82" s="657" t="str">
        <f t="shared" ca="1" si="13"/>
        <v/>
      </c>
      <c r="C82" s="223" t="str">
        <f t="shared" ca="1" si="14"/>
        <v/>
      </c>
      <c r="D82" s="519">
        <f t="shared" si="19"/>
        <v>77</v>
      </c>
      <c r="E82" s="225" t="str">
        <f t="shared" ca="1" si="15"/>
        <v/>
      </c>
      <c r="F82" s="224" t="str">
        <f t="shared" si="21"/>
        <v>CASSA</v>
      </c>
      <c r="G82" s="384" t="str">
        <f t="shared" ca="1" si="16"/>
        <v/>
      </c>
      <c r="H82" s="512">
        <f t="shared" ca="1" si="17"/>
        <v>0</v>
      </c>
      <c r="I82" s="1603" t="str">
        <f t="shared" ca="1" si="11"/>
        <v/>
      </c>
      <c r="J82" s="1604"/>
      <c r="K82" s="373"/>
      <c r="L82" s="513">
        <f t="shared" ca="1" si="20"/>
        <v>656.58</v>
      </c>
      <c r="M82" s="654">
        <f t="shared" ca="1" si="18"/>
        <v>1</v>
      </c>
      <c r="N82" s="226">
        <f t="shared" ca="1" si="12"/>
        <v>0</v>
      </c>
      <c r="O82" s="1"/>
    </row>
    <row r="83" spans="1:15" ht="16.5" customHeight="1">
      <c r="A83" s="1"/>
      <c r="B83" s="657" t="str">
        <f t="shared" ca="1" si="13"/>
        <v/>
      </c>
      <c r="C83" s="223" t="str">
        <f t="shared" ca="1" si="14"/>
        <v/>
      </c>
      <c r="D83" s="519">
        <f t="shared" si="19"/>
        <v>78</v>
      </c>
      <c r="E83" s="225" t="str">
        <f t="shared" ca="1" si="15"/>
        <v/>
      </c>
      <c r="F83" s="224" t="str">
        <f t="shared" si="21"/>
        <v>CASSA</v>
      </c>
      <c r="G83" s="384" t="str">
        <f t="shared" ca="1" si="16"/>
        <v/>
      </c>
      <c r="H83" s="512">
        <f t="shared" ca="1" si="17"/>
        <v>0</v>
      </c>
      <c r="I83" s="1603" t="str">
        <f t="shared" ca="1" si="11"/>
        <v/>
      </c>
      <c r="J83" s="1604"/>
      <c r="K83" s="373"/>
      <c r="L83" s="513">
        <f t="shared" ca="1" si="20"/>
        <v>656.58</v>
      </c>
      <c r="M83" s="654">
        <f t="shared" ca="1" si="18"/>
        <v>1</v>
      </c>
      <c r="N83" s="226">
        <f t="shared" ca="1" si="12"/>
        <v>0</v>
      </c>
      <c r="O83" s="1"/>
    </row>
    <row r="84" spans="1:15" ht="16.5" customHeight="1">
      <c r="A84" s="1"/>
      <c r="B84" s="657" t="str">
        <f t="shared" ca="1" si="13"/>
        <v/>
      </c>
      <c r="C84" s="223" t="str">
        <f t="shared" ca="1" si="14"/>
        <v/>
      </c>
      <c r="D84" s="519">
        <f t="shared" si="19"/>
        <v>79</v>
      </c>
      <c r="E84" s="225" t="str">
        <f t="shared" ca="1" si="15"/>
        <v/>
      </c>
      <c r="F84" s="224" t="str">
        <f t="shared" si="21"/>
        <v>CASSA</v>
      </c>
      <c r="G84" s="384" t="str">
        <f t="shared" ca="1" si="16"/>
        <v/>
      </c>
      <c r="H84" s="512">
        <f t="shared" ca="1" si="17"/>
        <v>0</v>
      </c>
      <c r="I84" s="1603" t="str">
        <f t="shared" ca="1" si="11"/>
        <v/>
      </c>
      <c r="J84" s="1604"/>
      <c r="K84" s="373"/>
      <c r="L84" s="513">
        <f t="shared" ca="1" si="20"/>
        <v>656.58</v>
      </c>
      <c r="M84" s="654">
        <f t="shared" ca="1" si="18"/>
        <v>1</v>
      </c>
      <c r="N84" s="226">
        <f t="shared" ca="1" si="12"/>
        <v>0</v>
      </c>
      <c r="O84" s="1"/>
    </row>
    <row r="85" spans="1:15" ht="16.5" customHeight="1">
      <c r="A85" s="1"/>
      <c r="B85" s="657" t="str">
        <f t="shared" ca="1" si="13"/>
        <v/>
      </c>
      <c r="C85" s="223" t="str">
        <f t="shared" ca="1" si="14"/>
        <v/>
      </c>
      <c r="D85" s="519">
        <f t="shared" si="19"/>
        <v>80</v>
      </c>
      <c r="E85" s="225" t="str">
        <f t="shared" ca="1" si="15"/>
        <v/>
      </c>
      <c r="F85" s="224" t="str">
        <f t="shared" si="21"/>
        <v>CASSA</v>
      </c>
      <c r="G85" s="384" t="str">
        <f t="shared" ca="1" si="16"/>
        <v/>
      </c>
      <c r="H85" s="512">
        <f t="shared" ca="1" si="17"/>
        <v>0</v>
      </c>
      <c r="I85" s="1603" t="str">
        <f t="shared" ca="1" si="11"/>
        <v/>
      </c>
      <c r="J85" s="1604"/>
      <c r="K85" s="373"/>
      <c r="L85" s="513">
        <f t="shared" ca="1" si="20"/>
        <v>656.58</v>
      </c>
      <c r="M85" s="654">
        <f t="shared" ca="1" si="18"/>
        <v>1</v>
      </c>
      <c r="N85" s="226">
        <f t="shared" ca="1" si="12"/>
        <v>0</v>
      </c>
      <c r="O85" s="1"/>
    </row>
    <row r="86" spans="1:15" ht="16.5" customHeight="1">
      <c r="A86" s="1"/>
      <c r="B86" s="657" t="str">
        <f t="shared" ca="1" si="13"/>
        <v/>
      </c>
      <c r="C86" s="223" t="str">
        <f t="shared" ca="1" si="14"/>
        <v/>
      </c>
      <c r="D86" s="519">
        <f t="shared" si="19"/>
        <v>81</v>
      </c>
      <c r="E86" s="225" t="str">
        <f t="shared" ca="1" si="15"/>
        <v/>
      </c>
      <c r="F86" s="224" t="str">
        <f t="shared" si="21"/>
        <v>CASSA</v>
      </c>
      <c r="G86" s="384" t="str">
        <f t="shared" ca="1" si="16"/>
        <v/>
      </c>
      <c r="H86" s="512">
        <f t="shared" ca="1" si="17"/>
        <v>0</v>
      </c>
      <c r="I86" s="1603" t="str">
        <f t="shared" ca="1" si="11"/>
        <v/>
      </c>
      <c r="J86" s="1604"/>
      <c r="K86" s="373"/>
      <c r="L86" s="513">
        <f t="shared" ca="1" si="20"/>
        <v>656.58</v>
      </c>
      <c r="M86" s="654">
        <f t="shared" ca="1" si="18"/>
        <v>1</v>
      </c>
      <c r="N86" s="226">
        <f t="shared" ca="1" si="12"/>
        <v>0</v>
      </c>
      <c r="O86" s="1"/>
    </row>
    <row r="87" spans="1:15" ht="16.5" customHeight="1">
      <c r="A87" s="1"/>
      <c r="B87" s="657" t="str">
        <f t="shared" ca="1" si="13"/>
        <v/>
      </c>
      <c r="C87" s="223" t="str">
        <f t="shared" ca="1" si="14"/>
        <v/>
      </c>
      <c r="D87" s="519">
        <f t="shared" si="19"/>
        <v>82</v>
      </c>
      <c r="E87" s="225" t="str">
        <f t="shared" ca="1" si="15"/>
        <v/>
      </c>
      <c r="F87" s="224" t="str">
        <f t="shared" si="21"/>
        <v>CASSA</v>
      </c>
      <c r="G87" s="384" t="str">
        <f t="shared" ca="1" si="16"/>
        <v/>
      </c>
      <c r="H87" s="512">
        <f t="shared" ca="1" si="17"/>
        <v>0</v>
      </c>
      <c r="I87" s="1603" t="str">
        <f t="shared" ca="1" si="11"/>
        <v/>
      </c>
      <c r="J87" s="1604"/>
      <c r="K87" s="373"/>
      <c r="L87" s="513">
        <f t="shared" ca="1" si="20"/>
        <v>656.58</v>
      </c>
      <c r="M87" s="654">
        <f t="shared" ca="1" si="18"/>
        <v>1</v>
      </c>
      <c r="N87" s="226">
        <f t="shared" ca="1" si="12"/>
        <v>0</v>
      </c>
      <c r="O87" s="1"/>
    </row>
    <row r="88" spans="1:15" ht="16.5" customHeight="1">
      <c r="A88" s="1"/>
      <c r="B88" s="657" t="str">
        <f t="shared" ca="1" si="13"/>
        <v/>
      </c>
      <c r="C88" s="223" t="str">
        <f t="shared" ca="1" si="14"/>
        <v/>
      </c>
      <c r="D88" s="519">
        <f t="shared" si="19"/>
        <v>83</v>
      </c>
      <c r="E88" s="225" t="str">
        <f t="shared" ca="1" si="15"/>
        <v/>
      </c>
      <c r="F88" s="224" t="str">
        <f t="shared" si="21"/>
        <v>CASSA</v>
      </c>
      <c r="G88" s="384" t="str">
        <f t="shared" ca="1" si="16"/>
        <v/>
      </c>
      <c r="H88" s="512">
        <f t="shared" ca="1" si="17"/>
        <v>0</v>
      </c>
      <c r="I88" s="1603" t="str">
        <f t="shared" ca="1" si="11"/>
        <v/>
      </c>
      <c r="J88" s="1604"/>
      <c r="K88" s="373"/>
      <c r="L88" s="513">
        <f t="shared" ca="1" si="20"/>
        <v>656.58</v>
      </c>
      <c r="M88" s="654">
        <f t="shared" ca="1" si="18"/>
        <v>1</v>
      </c>
      <c r="N88" s="226">
        <f t="shared" ca="1" si="12"/>
        <v>0</v>
      </c>
      <c r="O88" s="1"/>
    </row>
    <row r="89" spans="1:15" ht="16.5" customHeight="1">
      <c r="A89" s="1"/>
      <c r="B89" s="657" t="str">
        <f t="shared" ca="1" si="13"/>
        <v/>
      </c>
      <c r="C89" s="223" t="str">
        <f t="shared" ca="1" si="14"/>
        <v/>
      </c>
      <c r="D89" s="519">
        <f t="shared" si="19"/>
        <v>84</v>
      </c>
      <c r="E89" s="225" t="str">
        <f t="shared" ca="1" si="15"/>
        <v/>
      </c>
      <c r="F89" s="224" t="str">
        <f t="shared" si="21"/>
        <v>CASSA</v>
      </c>
      <c r="G89" s="384" t="str">
        <f t="shared" ca="1" si="16"/>
        <v/>
      </c>
      <c r="H89" s="512">
        <f t="shared" ca="1" si="17"/>
        <v>0</v>
      </c>
      <c r="I89" s="1603" t="str">
        <f t="shared" ca="1" si="11"/>
        <v/>
      </c>
      <c r="J89" s="1604"/>
      <c r="K89" s="373"/>
      <c r="L89" s="513">
        <f t="shared" ca="1" si="20"/>
        <v>656.58</v>
      </c>
      <c r="M89" s="654">
        <f t="shared" ca="1" si="18"/>
        <v>1</v>
      </c>
      <c r="N89" s="226">
        <f t="shared" ca="1" si="12"/>
        <v>0</v>
      </c>
      <c r="O89" s="1"/>
    </row>
    <row r="90" spans="1:15" ht="16.5" customHeight="1">
      <c r="A90" s="1"/>
      <c r="B90" s="657" t="str">
        <f t="shared" ca="1" si="13"/>
        <v/>
      </c>
      <c r="C90" s="223" t="str">
        <f t="shared" ca="1" si="14"/>
        <v/>
      </c>
      <c r="D90" s="519">
        <f t="shared" si="19"/>
        <v>85</v>
      </c>
      <c r="E90" s="225" t="str">
        <f t="shared" ca="1" si="15"/>
        <v/>
      </c>
      <c r="F90" s="224" t="str">
        <f t="shared" si="21"/>
        <v>CASSA</v>
      </c>
      <c r="G90" s="384" t="str">
        <f t="shared" ca="1" si="16"/>
        <v/>
      </c>
      <c r="H90" s="512">
        <f t="shared" ca="1" si="17"/>
        <v>0</v>
      </c>
      <c r="I90" s="1603" t="str">
        <f t="shared" ca="1" si="11"/>
        <v/>
      </c>
      <c r="J90" s="1604"/>
      <c r="K90" s="373"/>
      <c r="L90" s="513">
        <f t="shared" ca="1" si="20"/>
        <v>656.58</v>
      </c>
      <c r="M90" s="654">
        <f t="shared" ca="1" si="18"/>
        <v>1</v>
      </c>
      <c r="N90" s="226">
        <f t="shared" ca="1" si="12"/>
        <v>0</v>
      </c>
      <c r="O90" s="1"/>
    </row>
    <row r="91" spans="1:15" ht="16.5" customHeight="1">
      <c r="A91" s="1"/>
      <c r="B91" s="657" t="str">
        <f t="shared" ca="1" si="13"/>
        <v/>
      </c>
      <c r="C91" s="223" t="str">
        <f t="shared" ca="1" si="14"/>
        <v/>
      </c>
      <c r="D91" s="519">
        <f t="shared" si="19"/>
        <v>86</v>
      </c>
      <c r="E91" s="225" t="str">
        <f t="shared" ca="1" si="15"/>
        <v/>
      </c>
      <c r="F91" s="224" t="str">
        <f t="shared" si="21"/>
        <v>CASSA</v>
      </c>
      <c r="G91" s="384" t="str">
        <f t="shared" ca="1" si="16"/>
        <v/>
      </c>
      <c r="H91" s="512">
        <f t="shared" ca="1" si="17"/>
        <v>0</v>
      </c>
      <c r="I91" s="1603" t="str">
        <f t="shared" ca="1" si="11"/>
        <v/>
      </c>
      <c r="J91" s="1604"/>
      <c r="K91" s="373"/>
      <c r="L91" s="513">
        <f t="shared" ca="1" si="20"/>
        <v>656.58</v>
      </c>
      <c r="M91" s="654">
        <f t="shared" ca="1" si="18"/>
        <v>1</v>
      </c>
      <c r="N91" s="226">
        <f t="shared" ca="1" si="12"/>
        <v>0</v>
      </c>
      <c r="O91" s="1"/>
    </row>
    <row r="92" spans="1:15" ht="16.5" customHeight="1">
      <c r="A92" s="1"/>
      <c r="B92" s="657" t="str">
        <f t="shared" ca="1" si="13"/>
        <v/>
      </c>
      <c r="C92" s="223" t="str">
        <f t="shared" ca="1" si="14"/>
        <v/>
      </c>
      <c r="D92" s="519">
        <f t="shared" si="19"/>
        <v>87</v>
      </c>
      <c r="E92" s="225" t="str">
        <f t="shared" ca="1" si="15"/>
        <v/>
      </c>
      <c r="F92" s="224" t="str">
        <f t="shared" si="21"/>
        <v>CASSA</v>
      </c>
      <c r="G92" s="384" t="str">
        <f t="shared" ca="1" si="16"/>
        <v/>
      </c>
      <c r="H92" s="512">
        <f t="shared" ca="1" si="17"/>
        <v>0</v>
      </c>
      <c r="I92" s="1603" t="str">
        <f t="shared" ca="1" si="11"/>
        <v/>
      </c>
      <c r="J92" s="1604"/>
      <c r="K92" s="373"/>
      <c r="L92" s="513">
        <f t="shared" ca="1" si="20"/>
        <v>656.58</v>
      </c>
      <c r="M92" s="654">
        <f t="shared" ca="1" si="18"/>
        <v>1</v>
      </c>
      <c r="N92" s="226">
        <f t="shared" ca="1" si="12"/>
        <v>0</v>
      </c>
      <c r="O92" s="1"/>
    </row>
    <row r="93" spans="1:15" ht="16.5" customHeight="1">
      <c r="A93" s="1"/>
      <c r="B93" s="657" t="str">
        <f t="shared" ca="1" si="13"/>
        <v/>
      </c>
      <c r="C93" s="223" t="str">
        <f t="shared" ca="1" si="14"/>
        <v/>
      </c>
      <c r="D93" s="519">
        <f t="shared" si="19"/>
        <v>88</v>
      </c>
      <c r="E93" s="225" t="str">
        <f t="shared" ca="1" si="15"/>
        <v/>
      </c>
      <c r="F93" s="224" t="str">
        <f t="shared" si="21"/>
        <v>CASSA</v>
      </c>
      <c r="G93" s="384" t="str">
        <f t="shared" ca="1" si="16"/>
        <v/>
      </c>
      <c r="H93" s="512">
        <f t="shared" ca="1" si="17"/>
        <v>0</v>
      </c>
      <c r="I93" s="1603" t="str">
        <f t="shared" ca="1" si="11"/>
        <v/>
      </c>
      <c r="J93" s="1604"/>
      <c r="K93" s="373"/>
      <c r="L93" s="513">
        <f t="shared" ca="1" si="20"/>
        <v>656.58</v>
      </c>
      <c r="M93" s="654">
        <f t="shared" ca="1" si="18"/>
        <v>1</v>
      </c>
      <c r="N93" s="226">
        <f t="shared" ca="1" si="12"/>
        <v>0</v>
      </c>
      <c r="O93" s="1"/>
    </row>
    <row r="94" spans="1:15" ht="16.5" customHeight="1">
      <c r="A94" s="1"/>
      <c r="B94" s="657" t="str">
        <f t="shared" ca="1" si="13"/>
        <v/>
      </c>
      <c r="C94" s="223" t="str">
        <f t="shared" ca="1" si="14"/>
        <v/>
      </c>
      <c r="D94" s="519">
        <f t="shared" si="19"/>
        <v>89</v>
      </c>
      <c r="E94" s="225" t="str">
        <f t="shared" ca="1" si="15"/>
        <v/>
      </c>
      <c r="F94" s="224" t="str">
        <f t="shared" si="21"/>
        <v>CASSA</v>
      </c>
      <c r="G94" s="384" t="str">
        <f t="shared" ca="1" si="16"/>
        <v/>
      </c>
      <c r="H94" s="512">
        <f t="shared" ca="1" si="17"/>
        <v>0</v>
      </c>
      <c r="I94" s="1603" t="str">
        <f t="shared" ca="1" si="11"/>
        <v/>
      </c>
      <c r="J94" s="1604"/>
      <c r="K94" s="373"/>
      <c r="L94" s="513">
        <f t="shared" ca="1" si="20"/>
        <v>656.58</v>
      </c>
      <c r="M94" s="654">
        <f t="shared" ca="1" si="18"/>
        <v>1</v>
      </c>
      <c r="N94" s="226">
        <f t="shared" ca="1" si="12"/>
        <v>0</v>
      </c>
      <c r="O94" s="1"/>
    </row>
    <row r="95" spans="1:15" ht="16.5" customHeight="1">
      <c r="A95" s="1"/>
      <c r="B95" s="657" t="str">
        <f t="shared" ca="1" si="13"/>
        <v/>
      </c>
      <c r="C95" s="223" t="str">
        <f t="shared" ca="1" si="14"/>
        <v/>
      </c>
      <c r="D95" s="519">
        <f t="shared" si="19"/>
        <v>90</v>
      </c>
      <c r="E95" s="225" t="str">
        <f t="shared" ca="1" si="15"/>
        <v/>
      </c>
      <c r="F95" s="224" t="str">
        <f t="shared" si="21"/>
        <v>CASSA</v>
      </c>
      <c r="G95" s="384" t="str">
        <f t="shared" ca="1" si="16"/>
        <v/>
      </c>
      <c r="H95" s="512">
        <f t="shared" ca="1" si="17"/>
        <v>0</v>
      </c>
      <c r="I95" s="1603" t="str">
        <f t="shared" ca="1" si="11"/>
        <v/>
      </c>
      <c r="J95" s="1604"/>
      <c r="K95" s="373"/>
      <c r="L95" s="513">
        <f t="shared" ca="1" si="20"/>
        <v>656.58</v>
      </c>
      <c r="M95" s="654">
        <f t="shared" ca="1" si="18"/>
        <v>1</v>
      </c>
      <c r="N95" s="226">
        <f t="shared" ca="1" si="12"/>
        <v>0</v>
      </c>
      <c r="O95" s="1"/>
    </row>
    <row r="96" spans="1:15" ht="16.5" customHeight="1">
      <c r="A96" s="1"/>
      <c r="B96" s="657" t="str">
        <f t="shared" ca="1" si="13"/>
        <v/>
      </c>
      <c r="C96" s="223" t="str">
        <f t="shared" ca="1" si="14"/>
        <v/>
      </c>
      <c r="D96" s="519">
        <f t="shared" si="19"/>
        <v>91</v>
      </c>
      <c r="E96" s="225" t="str">
        <f t="shared" ca="1" si="15"/>
        <v/>
      </c>
      <c r="F96" s="224" t="str">
        <f t="shared" si="21"/>
        <v>CASSA</v>
      </c>
      <c r="G96" s="384" t="str">
        <f t="shared" ca="1" si="16"/>
        <v/>
      </c>
      <c r="H96" s="512">
        <f t="shared" ca="1" si="17"/>
        <v>0</v>
      </c>
      <c r="I96" s="1603" t="str">
        <f t="shared" ca="1" si="11"/>
        <v/>
      </c>
      <c r="J96" s="1604"/>
      <c r="K96" s="373"/>
      <c r="L96" s="513">
        <f t="shared" ca="1" si="20"/>
        <v>656.58</v>
      </c>
      <c r="M96" s="654">
        <f t="shared" ca="1" si="18"/>
        <v>1</v>
      </c>
      <c r="N96" s="226">
        <f t="shared" ca="1" si="12"/>
        <v>0</v>
      </c>
      <c r="O96" s="1"/>
    </row>
    <row r="97" spans="1:15" ht="16.5" customHeight="1">
      <c r="A97" s="1"/>
      <c r="B97" s="657" t="str">
        <f t="shared" ca="1" si="13"/>
        <v/>
      </c>
      <c r="C97" s="223" t="str">
        <f t="shared" ca="1" si="14"/>
        <v/>
      </c>
      <c r="D97" s="519">
        <f t="shared" si="19"/>
        <v>92</v>
      </c>
      <c r="E97" s="225" t="str">
        <f t="shared" ca="1" si="15"/>
        <v/>
      </c>
      <c r="F97" s="224" t="str">
        <f t="shared" si="21"/>
        <v>CASSA</v>
      </c>
      <c r="G97" s="384" t="str">
        <f t="shared" ca="1" si="16"/>
        <v/>
      </c>
      <c r="H97" s="512">
        <f t="shared" ca="1" si="17"/>
        <v>0</v>
      </c>
      <c r="I97" s="1603" t="str">
        <f t="shared" ca="1" si="11"/>
        <v/>
      </c>
      <c r="J97" s="1604"/>
      <c r="K97" s="373"/>
      <c r="L97" s="513">
        <f t="shared" ca="1" si="20"/>
        <v>656.58</v>
      </c>
      <c r="M97" s="654">
        <f t="shared" ca="1" si="18"/>
        <v>1</v>
      </c>
      <c r="N97" s="226">
        <f t="shared" ca="1" si="12"/>
        <v>0</v>
      </c>
      <c r="O97" s="1"/>
    </row>
    <row r="98" spans="1:15" ht="16.5" customHeight="1">
      <c r="A98" s="1"/>
      <c r="B98" s="657" t="str">
        <f t="shared" ca="1" si="13"/>
        <v/>
      </c>
      <c r="C98" s="223" t="str">
        <f t="shared" ca="1" si="14"/>
        <v/>
      </c>
      <c r="D98" s="519">
        <f t="shared" si="19"/>
        <v>93</v>
      </c>
      <c r="E98" s="225" t="str">
        <f t="shared" ca="1" si="15"/>
        <v/>
      </c>
      <c r="F98" s="224" t="str">
        <f t="shared" si="21"/>
        <v>CASSA</v>
      </c>
      <c r="G98" s="384" t="str">
        <f t="shared" ca="1" si="16"/>
        <v/>
      </c>
      <c r="H98" s="512">
        <f t="shared" ca="1" si="17"/>
        <v>0</v>
      </c>
      <c r="I98" s="1603" t="str">
        <f t="shared" ca="1" si="11"/>
        <v/>
      </c>
      <c r="J98" s="1604"/>
      <c r="K98" s="373"/>
      <c r="L98" s="513">
        <f t="shared" ca="1" si="20"/>
        <v>656.58</v>
      </c>
      <c r="M98" s="654">
        <f t="shared" ca="1" si="18"/>
        <v>1</v>
      </c>
      <c r="N98" s="226">
        <f t="shared" ca="1" si="12"/>
        <v>0</v>
      </c>
      <c r="O98" s="1"/>
    </row>
    <row r="99" spans="1:15" ht="16.5" customHeight="1">
      <c r="A99" s="1"/>
      <c r="B99" s="657" t="str">
        <f t="shared" ca="1" si="13"/>
        <v/>
      </c>
      <c r="C99" s="223" t="str">
        <f t="shared" ca="1" si="14"/>
        <v/>
      </c>
      <c r="D99" s="519">
        <f t="shared" si="19"/>
        <v>94</v>
      </c>
      <c r="E99" s="225" t="str">
        <f t="shared" ca="1" si="15"/>
        <v/>
      </c>
      <c r="F99" s="224" t="str">
        <f t="shared" si="21"/>
        <v>CASSA</v>
      </c>
      <c r="G99" s="384" t="str">
        <f t="shared" ca="1" si="16"/>
        <v/>
      </c>
      <c r="H99" s="512">
        <f t="shared" ca="1" si="17"/>
        <v>0</v>
      </c>
      <c r="I99" s="1603" t="str">
        <f t="shared" ca="1" si="11"/>
        <v/>
      </c>
      <c r="J99" s="1604"/>
      <c r="K99" s="373"/>
      <c r="L99" s="513">
        <f t="shared" ca="1" si="20"/>
        <v>656.58</v>
      </c>
      <c r="M99" s="654">
        <f t="shared" ca="1" si="18"/>
        <v>1</v>
      </c>
      <c r="N99" s="226">
        <f t="shared" ca="1" si="12"/>
        <v>0</v>
      </c>
      <c r="O99" s="1"/>
    </row>
    <row r="100" spans="1:15" ht="16.5" customHeight="1">
      <c r="A100" s="1"/>
      <c r="B100" s="657" t="str">
        <f t="shared" ca="1" si="13"/>
        <v/>
      </c>
      <c r="C100" s="223" t="str">
        <f t="shared" ca="1" si="14"/>
        <v/>
      </c>
      <c r="D100" s="519">
        <f t="shared" si="19"/>
        <v>95</v>
      </c>
      <c r="E100" s="225" t="str">
        <f t="shared" ca="1" si="15"/>
        <v/>
      </c>
      <c r="F100" s="224" t="str">
        <f t="shared" si="21"/>
        <v>CASSA</v>
      </c>
      <c r="G100" s="384" t="str">
        <f t="shared" ca="1" si="16"/>
        <v/>
      </c>
      <c r="H100" s="512">
        <f t="shared" ca="1" si="17"/>
        <v>0</v>
      </c>
      <c r="I100" s="1603" t="str">
        <f t="shared" ca="1" si="11"/>
        <v/>
      </c>
      <c r="J100" s="1604"/>
      <c r="K100" s="373"/>
      <c r="L100" s="513">
        <f t="shared" ca="1" si="20"/>
        <v>656.58</v>
      </c>
      <c r="M100" s="654">
        <f t="shared" ca="1" si="18"/>
        <v>1</v>
      </c>
      <c r="N100" s="226">
        <f t="shared" ca="1" si="12"/>
        <v>0</v>
      </c>
      <c r="O100" s="1"/>
    </row>
    <row r="101" spans="1:15" ht="16.5" customHeight="1">
      <c r="A101" s="1"/>
      <c r="B101" s="657" t="str">
        <f t="shared" ca="1" si="13"/>
        <v/>
      </c>
      <c r="C101" s="223" t="str">
        <f t="shared" ca="1" si="14"/>
        <v/>
      </c>
      <c r="D101" s="519">
        <f t="shared" si="19"/>
        <v>96</v>
      </c>
      <c r="E101" s="225" t="str">
        <f t="shared" ca="1" si="15"/>
        <v/>
      </c>
      <c r="F101" s="224" t="str">
        <f t="shared" si="21"/>
        <v>CASSA</v>
      </c>
      <c r="G101" s="384" t="str">
        <f t="shared" ca="1" si="16"/>
        <v/>
      </c>
      <c r="H101" s="512">
        <f t="shared" ca="1" si="17"/>
        <v>0</v>
      </c>
      <c r="I101" s="1603" t="str">
        <f t="shared" ca="1" si="11"/>
        <v/>
      </c>
      <c r="J101" s="1604"/>
      <c r="K101" s="373"/>
      <c r="L101" s="513">
        <f t="shared" ca="1" si="20"/>
        <v>656.58</v>
      </c>
      <c r="M101" s="654">
        <f t="shared" ca="1" si="18"/>
        <v>1</v>
      </c>
      <c r="N101" s="226">
        <f t="shared" ca="1" si="12"/>
        <v>0</v>
      </c>
      <c r="O101" s="1"/>
    </row>
    <row r="102" spans="1:15" ht="16.5" customHeight="1">
      <c r="A102" s="1"/>
      <c r="B102" s="657" t="str">
        <f t="shared" ca="1" si="13"/>
        <v/>
      </c>
      <c r="C102" s="223" t="str">
        <f t="shared" ca="1" si="14"/>
        <v/>
      </c>
      <c r="D102" s="519">
        <f t="shared" si="19"/>
        <v>97</v>
      </c>
      <c r="E102" s="225" t="str">
        <f t="shared" ca="1" si="15"/>
        <v/>
      </c>
      <c r="F102" s="224" t="str">
        <f t="shared" si="21"/>
        <v>CASSA</v>
      </c>
      <c r="G102" s="384" t="str">
        <f t="shared" ca="1" si="16"/>
        <v/>
      </c>
      <c r="H102" s="512">
        <f t="shared" ca="1" si="17"/>
        <v>0</v>
      </c>
      <c r="I102" s="1603" t="str">
        <f t="shared" ca="1" si="11"/>
        <v/>
      </c>
      <c r="J102" s="1604"/>
      <c r="K102" s="373"/>
      <c r="L102" s="513">
        <f t="shared" ca="1" si="20"/>
        <v>656.58</v>
      </c>
      <c r="M102" s="654">
        <f t="shared" ca="1" si="18"/>
        <v>1</v>
      </c>
      <c r="N102" s="226">
        <f t="shared" ca="1" si="12"/>
        <v>0</v>
      </c>
      <c r="O102" s="1"/>
    </row>
    <row r="103" spans="1:15" ht="16.5" customHeight="1">
      <c r="A103" s="1"/>
      <c r="B103" s="657" t="str">
        <f t="shared" ca="1" si="13"/>
        <v/>
      </c>
      <c r="C103" s="223" t="str">
        <f t="shared" ca="1" si="14"/>
        <v/>
      </c>
      <c r="D103" s="519">
        <f t="shared" si="19"/>
        <v>98</v>
      </c>
      <c r="E103" s="225" t="str">
        <f t="shared" ca="1" si="15"/>
        <v/>
      </c>
      <c r="F103" s="224" t="str">
        <f t="shared" si="21"/>
        <v>CASSA</v>
      </c>
      <c r="G103" s="384" t="str">
        <f t="shared" ca="1" si="16"/>
        <v/>
      </c>
      <c r="H103" s="512">
        <f t="shared" ca="1" si="17"/>
        <v>0</v>
      </c>
      <c r="I103" s="1603" t="str">
        <f t="shared" ca="1" si="11"/>
        <v/>
      </c>
      <c r="J103" s="1604"/>
      <c r="K103" s="373"/>
      <c r="L103" s="513">
        <f t="shared" ca="1" si="20"/>
        <v>656.58</v>
      </c>
      <c r="M103" s="654">
        <f t="shared" ca="1" si="18"/>
        <v>1</v>
      </c>
      <c r="N103" s="226">
        <f t="shared" ca="1" si="12"/>
        <v>0</v>
      </c>
      <c r="O103" s="1"/>
    </row>
    <row r="104" spans="1:15" ht="16.5" customHeight="1">
      <c r="A104" s="1"/>
      <c r="B104" s="657" t="str">
        <f t="shared" ca="1" si="13"/>
        <v/>
      </c>
      <c r="C104" s="223" t="str">
        <f t="shared" ca="1" si="14"/>
        <v/>
      </c>
      <c r="D104" s="519">
        <f t="shared" si="19"/>
        <v>99</v>
      </c>
      <c r="E104" s="225" t="str">
        <f t="shared" ca="1" si="15"/>
        <v/>
      </c>
      <c r="F104" s="224" t="str">
        <f t="shared" si="21"/>
        <v>CASSA</v>
      </c>
      <c r="G104" s="384" t="str">
        <f t="shared" ca="1" si="16"/>
        <v/>
      </c>
      <c r="H104" s="512">
        <f t="shared" ca="1" si="17"/>
        <v>0</v>
      </c>
      <c r="I104" s="1603" t="str">
        <f t="shared" ca="1" si="11"/>
        <v/>
      </c>
      <c r="J104" s="1604"/>
      <c r="K104" s="373"/>
      <c r="L104" s="513">
        <f t="shared" ca="1" si="20"/>
        <v>656.58</v>
      </c>
      <c r="M104" s="654">
        <f t="shared" ca="1" si="18"/>
        <v>1</v>
      </c>
      <c r="N104" s="226">
        <f t="shared" ca="1" si="12"/>
        <v>0</v>
      </c>
      <c r="O104" s="1"/>
    </row>
    <row r="105" spans="1:15" ht="16.5" customHeight="1">
      <c r="A105" s="1"/>
      <c r="B105" s="657" t="str">
        <f t="shared" ca="1" si="13"/>
        <v/>
      </c>
      <c r="C105" s="223" t="str">
        <f t="shared" ca="1" si="14"/>
        <v/>
      </c>
      <c r="D105" s="519">
        <f t="shared" si="19"/>
        <v>100</v>
      </c>
      <c r="E105" s="225" t="str">
        <f t="shared" ca="1" si="15"/>
        <v/>
      </c>
      <c r="F105" s="224" t="str">
        <f t="shared" si="21"/>
        <v>CASSA</v>
      </c>
      <c r="G105" s="384" t="str">
        <f t="shared" ca="1" si="16"/>
        <v/>
      </c>
      <c r="H105" s="512">
        <f t="shared" ca="1" si="17"/>
        <v>0</v>
      </c>
      <c r="I105" s="1603" t="str">
        <f t="shared" ca="1" si="11"/>
        <v/>
      </c>
      <c r="J105" s="1604"/>
      <c r="K105" s="373"/>
      <c r="L105" s="513">
        <f t="shared" ca="1" si="20"/>
        <v>656.58</v>
      </c>
      <c r="M105" s="654">
        <f t="shared" ca="1" si="18"/>
        <v>1</v>
      </c>
      <c r="N105" s="226">
        <f t="shared" ca="1" si="12"/>
        <v>0</v>
      </c>
      <c r="O105" s="1"/>
    </row>
    <row r="106" spans="1:15" ht="16.5" customHeight="1">
      <c r="A106" s="1"/>
      <c r="B106" s="657" t="str">
        <f t="shared" ca="1" si="13"/>
        <v/>
      </c>
      <c r="C106" s="223" t="str">
        <f t="shared" ca="1" si="14"/>
        <v/>
      </c>
      <c r="D106" s="519">
        <f t="shared" si="19"/>
        <v>101</v>
      </c>
      <c r="E106" s="225" t="str">
        <f t="shared" ca="1" si="15"/>
        <v/>
      </c>
      <c r="F106" s="224" t="str">
        <f t="shared" si="21"/>
        <v>CASSA</v>
      </c>
      <c r="G106" s="384" t="str">
        <f t="shared" ca="1" si="16"/>
        <v/>
      </c>
      <c r="H106" s="512">
        <f t="shared" ca="1" si="17"/>
        <v>0</v>
      </c>
      <c r="I106" s="1603" t="str">
        <f t="shared" ca="1" si="11"/>
        <v/>
      </c>
      <c r="J106" s="1604"/>
      <c r="K106" s="373"/>
      <c r="L106" s="513">
        <f t="shared" ca="1" si="20"/>
        <v>656.58</v>
      </c>
      <c r="M106" s="654">
        <f t="shared" ca="1" si="18"/>
        <v>1</v>
      </c>
      <c r="N106" s="226">
        <f t="shared" ca="1" si="12"/>
        <v>0</v>
      </c>
      <c r="O106" s="1"/>
    </row>
    <row r="107" spans="1:15" ht="16.5" customHeight="1">
      <c r="A107" s="1"/>
      <c r="B107" s="657" t="str">
        <f t="shared" ca="1" si="13"/>
        <v/>
      </c>
      <c r="C107" s="223" t="str">
        <f t="shared" ca="1" si="14"/>
        <v/>
      </c>
      <c r="D107" s="519">
        <f t="shared" si="19"/>
        <v>102</v>
      </c>
      <c r="E107" s="225" t="str">
        <f t="shared" ca="1" si="15"/>
        <v/>
      </c>
      <c r="F107" s="224" t="str">
        <f t="shared" si="21"/>
        <v>CASSA</v>
      </c>
      <c r="G107" s="384" t="str">
        <f t="shared" ca="1" si="16"/>
        <v/>
      </c>
      <c r="H107" s="512">
        <f t="shared" ca="1" si="17"/>
        <v>0</v>
      </c>
      <c r="I107" s="1603" t="str">
        <f t="shared" ca="1" si="11"/>
        <v/>
      </c>
      <c r="J107" s="1604"/>
      <c r="K107" s="373"/>
      <c r="L107" s="513">
        <f t="shared" ca="1" si="20"/>
        <v>656.58</v>
      </c>
      <c r="M107" s="654">
        <f t="shared" ca="1" si="18"/>
        <v>1</v>
      </c>
      <c r="N107" s="226">
        <f t="shared" ca="1" si="12"/>
        <v>0</v>
      </c>
      <c r="O107" s="1"/>
    </row>
    <row r="108" spans="1:15" ht="16.5" customHeight="1">
      <c r="A108" s="1"/>
      <c r="B108" s="657" t="str">
        <f t="shared" ca="1" si="13"/>
        <v/>
      </c>
      <c r="C108" s="223" t="str">
        <f t="shared" ca="1" si="14"/>
        <v/>
      </c>
      <c r="D108" s="519">
        <f t="shared" si="19"/>
        <v>103</v>
      </c>
      <c r="E108" s="225" t="str">
        <f t="shared" ca="1" si="15"/>
        <v/>
      </c>
      <c r="F108" s="224" t="str">
        <f t="shared" si="21"/>
        <v>CASSA</v>
      </c>
      <c r="G108" s="384" t="str">
        <f t="shared" ca="1" si="16"/>
        <v/>
      </c>
      <c r="H108" s="512">
        <f t="shared" ca="1" si="17"/>
        <v>0</v>
      </c>
      <c r="I108" s="1603" t="str">
        <f t="shared" ca="1" si="11"/>
        <v/>
      </c>
      <c r="J108" s="1604"/>
      <c r="K108" s="373"/>
      <c r="L108" s="513">
        <f t="shared" ca="1" si="20"/>
        <v>656.58</v>
      </c>
      <c r="M108" s="654">
        <f t="shared" ca="1" si="18"/>
        <v>1</v>
      </c>
      <c r="N108" s="226">
        <f t="shared" ca="1" si="12"/>
        <v>0</v>
      </c>
      <c r="O108" s="1"/>
    </row>
    <row r="109" spans="1:15" ht="16.5" customHeight="1">
      <c r="A109" s="1"/>
      <c r="B109" s="657" t="str">
        <f t="shared" ca="1" si="13"/>
        <v/>
      </c>
      <c r="C109" s="223" t="str">
        <f t="shared" ca="1" si="14"/>
        <v/>
      </c>
      <c r="D109" s="519">
        <f t="shared" si="19"/>
        <v>104</v>
      </c>
      <c r="E109" s="225" t="str">
        <f t="shared" ca="1" si="15"/>
        <v/>
      </c>
      <c r="F109" s="224" t="str">
        <f t="shared" si="21"/>
        <v>CASSA</v>
      </c>
      <c r="G109" s="384" t="str">
        <f t="shared" ca="1" si="16"/>
        <v/>
      </c>
      <c r="H109" s="512">
        <f t="shared" ca="1" si="17"/>
        <v>0</v>
      </c>
      <c r="I109" s="1603" t="str">
        <f t="shared" ca="1" si="11"/>
        <v/>
      </c>
      <c r="J109" s="1604"/>
      <c r="K109" s="373"/>
      <c r="L109" s="513">
        <f t="shared" ca="1" si="20"/>
        <v>656.58</v>
      </c>
      <c r="M109" s="654">
        <f t="shared" ca="1" si="18"/>
        <v>1</v>
      </c>
      <c r="N109" s="226">
        <f t="shared" ca="1" si="12"/>
        <v>0</v>
      </c>
      <c r="O109" s="1"/>
    </row>
    <row r="110" spans="1:15" ht="16.5" customHeight="1">
      <c r="A110" s="1"/>
      <c r="B110" s="657" t="str">
        <f t="shared" ca="1" si="13"/>
        <v/>
      </c>
      <c r="C110" s="223" t="str">
        <f t="shared" ca="1" si="14"/>
        <v/>
      </c>
      <c r="D110" s="519">
        <f t="shared" si="19"/>
        <v>105</v>
      </c>
      <c r="E110" s="225" t="str">
        <f t="shared" ca="1" si="15"/>
        <v/>
      </c>
      <c r="F110" s="224" t="str">
        <f t="shared" si="21"/>
        <v>CASSA</v>
      </c>
      <c r="G110" s="384" t="str">
        <f t="shared" ca="1" si="16"/>
        <v/>
      </c>
      <c r="H110" s="512">
        <f t="shared" ca="1" si="17"/>
        <v>0</v>
      </c>
      <c r="I110" s="1603" t="str">
        <f t="shared" ca="1" si="11"/>
        <v/>
      </c>
      <c r="J110" s="1604"/>
      <c r="K110" s="373"/>
      <c r="L110" s="513">
        <f t="shared" ca="1" si="20"/>
        <v>656.58</v>
      </c>
      <c r="M110" s="654">
        <f t="shared" ca="1" si="18"/>
        <v>1</v>
      </c>
      <c r="N110" s="226">
        <f t="shared" ca="1" si="12"/>
        <v>0</v>
      </c>
      <c r="O110" s="1"/>
    </row>
    <row r="111" spans="1:15" ht="16.5" customHeight="1">
      <c r="A111" s="1"/>
      <c r="B111" s="657" t="str">
        <f t="shared" ca="1" si="13"/>
        <v/>
      </c>
      <c r="C111" s="223" t="str">
        <f t="shared" ca="1" si="14"/>
        <v/>
      </c>
      <c r="D111" s="519">
        <f t="shared" si="19"/>
        <v>106</v>
      </c>
      <c r="E111" s="225" t="str">
        <f t="shared" ca="1" si="15"/>
        <v/>
      </c>
      <c r="F111" s="224" t="str">
        <f t="shared" si="21"/>
        <v>CASSA</v>
      </c>
      <c r="G111" s="384" t="str">
        <f t="shared" ca="1" si="16"/>
        <v/>
      </c>
      <c r="H111" s="512">
        <f t="shared" ca="1" si="17"/>
        <v>0</v>
      </c>
      <c r="I111" s="1603" t="str">
        <f t="shared" ca="1" si="11"/>
        <v/>
      </c>
      <c r="J111" s="1604"/>
      <c r="K111" s="373"/>
      <c r="L111" s="513">
        <f t="shared" ca="1" si="20"/>
        <v>656.58</v>
      </c>
      <c r="M111" s="654">
        <f t="shared" ca="1" si="18"/>
        <v>1</v>
      </c>
      <c r="N111" s="226">
        <f t="shared" ca="1" si="12"/>
        <v>0</v>
      </c>
      <c r="O111" s="1"/>
    </row>
    <row r="112" spans="1:15" ht="16.5" customHeight="1">
      <c r="A112" s="1"/>
      <c r="B112" s="657" t="str">
        <f t="shared" ca="1" si="13"/>
        <v/>
      </c>
      <c r="C112" s="223" t="str">
        <f t="shared" ca="1" si="14"/>
        <v/>
      </c>
      <c r="D112" s="519">
        <f t="shared" si="19"/>
        <v>107</v>
      </c>
      <c r="E112" s="225" t="str">
        <f t="shared" ca="1" si="15"/>
        <v/>
      </c>
      <c r="F112" s="224" t="str">
        <f t="shared" si="21"/>
        <v>CASSA</v>
      </c>
      <c r="G112" s="384" t="str">
        <f t="shared" ca="1" si="16"/>
        <v/>
      </c>
      <c r="H112" s="512">
        <f t="shared" ca="1" si="17"/>
        <v>0</v>
      </c>
      <c r="I112" s="1603" t="str">
        <f t="shared" ca="1" si="11"/>
        <v/>
      </c>
      <c r="J112" s="1604"/>
      <c r="K112" s="373"/>
      <c r="L112" s="513">
        <f t="shared" ca="1" si="20"/>
        <v>656.58</v>
      </c>
      <c r="M112" s="654">
        <f t="shared" ca="1" si="18"/>
        <v>1</v>
      </c>
      <c r="N112" s="226">
        <f t="shared" ca="1" si="12"/>
        <v>0</v>
      </c>
      <c r="O112" s="1"/>
    </row>
    <row r="113" spans="1:15" ht="16.5" customHeight="1">
      <c r="A113" s="1"/>
      <c r="B113" s="657" t="str">
        <f t="shared" ca="1" si="13"/>
        <v/>
      </c>
      <c r="C113" s="223" t="str">
        <f t="shared" ca="1" si="14"/>
        <v/>
      </c>
      <c r="D113" s="519">
        <f t="shared" si="19"/>
        <v>108</v>
      </c>
      <c r="E113" s="225" t="str">
        <f t="shared" ca="1" si="15"/>
        <v/>
      </c>
      <c r="F113" s="224" t="str">
        <f t="shared" si="21"/>
        <v>CASSA</v>
      </c>
      <c r="G113" s="384" t="str">
        <f t="shared" ca="1" si="16"/>
        <v/>
      </c>
      <c r="H113" s="512">
        <f t="shared" ca="1" si="17"/>
        <v>0</v>
      </c>
      <c r="I113" s="1603" t="str">
        <f t="shared" ca="1" si="11"/>
        <v/>
      </c>
      <c r="J113" s="1604"/>
      <c r="K113" s="373"/>
      <c r="L113" s="513">
        <f t="shared" ca="1" si="20"/>
        <v>656.58</v>
      </c>
      <c r="M113" s="654">
        <f t="shared" ca="1" si="18"/>
        <v>1</v>
      </c>
      <c r="N113" s="226">
        <f t="shared" ca="1" si="12"/>
        <v>0</v>
      </c>
      <c r="O113" s="1"/>
    </row>
    <row r="114" spans="1:15" ht="16.5" customHeight="1">
      <c r="A114" s="1"/>
      <c r="B114" s="657" t="str">
        <f t="shared" ca="1" si="13"/>
        <v/>
      </c>
      <c r="C114" s="223" t="str">
        <f t="shared" ca="1" si="14"/>
        <v/>
      </c>
      <c r="D114" s="519">
        <f t="shared" si="19"/>
        <v>109</v>
      </c>
      <c r="E114" s="225" t="str">
        <f t="shared" ca="1" si="15"/>
        <v/>
      </c>
      <c r="F114" s="224" t="str">
        <f t="shared" si="21"/>
        <v>CASSA</v>
      </c>
      <c r="G114" s="384" t="str">
        <f t="shared" ca="1" si="16"/>
        <v/>
      </c>
      <c r="H114" s="512">
        <f t="shared" ca="1" si="17"/>
        <v>0</v>
      </c>
      <c r="I114" s="1603" t="str">
        <f t="shared" ca="1" si="11"/>
        <v/>
      </c>
      <c r="J114" s="1604"/>
      <c r="K114" s="373"/>
      <c r="L114" s="513">
        <f t="shared" ca="1" si="20"/>
        <v>656.58</v>
      </c>
      <c r="M114" s="654">
        <f t="shared" ca="1" si="18"/>
        <v>1</v>
      </c>
      <c r="N114" s="226">
        <f t="shared" ca="1" si="12"/>
        <v>0</v>
      </c>
      <c r="O114" s="1"/>
    </row>
    <row r="115" spans="1:15" ht="16.5" customHeight="1">
      <c r="A115" s="1"/>
      <c r="B115" s="657" t="str">
        <f t="shared" ca="1" si="13"/>
        <v/>
      </c>
      <c r="C115" s="223" t="str">
        <f t="shared" ca="1" si="14"/>
        <v/>
      </c>
      <c r="D115" s="519">
        <f t="shared" si="19"/>
        <v>110</v>
      </c>
      <c r="E115" s="225" t="str">
        <f t="shared" ca="1" si="15"/>
        <v/>
      </c>
      <c r="F115" s="224" t="str">
        <f t="shared" si="21"/>
        <v>CASSA</v>
      </c>
      <c r="G115" s="384" t="str">
        <f t="shared" ca="1" si="16"/>
        <v/>
      </c>
      <c r="H115" s="512">
        <f t="shared" ca="1" si="17"/>
        <v>0</v>
      </c>
      <c r="I115" s="1603" t="str">
        <f t="shared" ca="1" si="11"/>
        <v/>
      </c>
      <c r="J115" s="1604"/>
      <c r="K115" s="373"/>
      <c r="L115" s="513">
        <f t="shared" ca="1" si="20"/>
        <v>656.58</v>
      </c>
      <c r="M115" s="654">
        <f t="shared" ca="1" si="18"/>
        <v>1</v>
      </c>
      <c r="N115" s="226">
        <f t="shared" ca="1" si="12"/>
        <v>0</v>
      </c>
      <c r="O115" s="1"/>
    </row>
    <row r="116" spans="1:15" ht="16.5" customHeight="1">
      <c r="A116" s="1"/>
      <c r="B116" s="657" t="str">
        <f t="shared" ca="1" si="13"/>
        <v/>
      </c>
      <c r="C116" s="223" t="str">
        <f t="shared" ca="1" si="14"/>
        <v/>
      </c>
      <c r="D116" s="519">
        <f t="shared" si="19"/>
        <v>111</v>
      </c>
      <c r="E116" s="225" t="str">
        <f t="shared" ca="1" si="15"/>
        <v/>
      </c>
      <c r="F116" s="224" t="str">
        <f t="shared" si="21"/>
        <v>CASSA</v>
      </c>
      <c r="G116" s="384" t="str">
        <f t="shared" ca="1" si="16"/>
        <v/>
      </c>
      <c r="H116" s="512">
        <f t="shared" ca="1" si="17"/>
        <v>0</v>
      </c>
      <c r="I116" s="1603" t="str">
        <f t="shared" ca="1" si="11"/>
        <v/>
      </c>
      <c r="J116" s="1604"/>
      <c r="K116" s="373"/>
      <c r="L116" s="513">
        <f t="shared" ca="1" si="20"/>
        <v>656.58</v>
      </c>
      <c r="M116" s="654">
        <f t="shared" ca="1" si="18"/>
        <v>1</v>
      </c>
      <c r="N116" s="226">
        <f t="shared" ca="1" si="12"/>
        <v>0</v>
      </c>
      <c r="O116" s="1"/>
    </row>
    <row r="117" spans="1:15" ht="16.5" customHeight="1">
      <c r="A117" s="1"/>
      <c r="B117" s="657" t="str">
        <f t="shared" ca="1" si="13"/>
        <v/>
      </c>
      <c r="C117" s="223" t="str">
        <f t="shared" ca="1" si="14"/>
        <v/>
      </c>
      <c r="D117" s="519">
        <f t="shared" si="19"/>
        <v>112</v>
      </c>
      <c r="E117" s="225" t="str">
        <f t="shared" ca="1" si="15"/>
        <v/>
      </c>
      <c r="F117" s="224" t="str">
        <f t="shared" si="21"/>
        <v>CASSA</v>
      </c>
      <c r="G117" s="384" t="str">
        <f t="shared" ca="1" si="16"/>
        <v/>
      </c>
      <c r="H117" s="512">
        <f t="shared" ca="1" si="17"/>
        <v>0</v>
      </c>
      <c r="I117" s="1603" t="str">
        <f t="shared" ca="1" si="11"/>
        <v/>
      </c>
      <c r="J117" s="1604"/>
      <c r="K117" s="373"/>
      <c r="L117" s="513">
        <f t="shared" ca="1" si="20"/>
        <v>656.58</v>
      </c>
      <c r="M117" s="654">
        <f t="shared" ca="1" si="18"/>
        <v>1</v>
      </c>
      <c r="N117" s="226">
        <f t="shared" ca="1" si="12"/>
        <v>0</v>
      </c>
      <c r="O117" s="1"/>
    </row>
    <row r="118" spans="1:15" ht="16.5" customHeight="1">
      <c r="A118" s="1"/>
      <c r="B118" s="657" t="str">
        <f t="shared" ca="1" si="13"/>
        <v/>
      </c>
      <c r="C118" s="223" t="str">
        <f t="shared" ca="1" si="14"/>
        <v/>
      </c>
      <c r="D118" s="519">
        <f t="shared" si="19"/>
        <v>113</v>
      </c>
      <c r="E118" s="225" t="str">
        <f t="shared" ca="1" si="15"/>
        <v/>
      </c>
      <c r="F118" s="224" t="str">
        <f t="shared" si="21"/>
        <v>CASSA</v>
      </c>
      <c r="G118" s="384" t="str">
        <f t="shared" ca="1" si="16"/>
        <v/>
      </c>
      <c r="H118" s="512">
        <f t="shared" ca="1" si="17"/>
        <v>0</v>
      </c>
      <c r="I118" s="1603" t="str">
        <f t="shared" ca="1" si="11"/>
        <v/>
      </c>
      <c r="J118" s="1604"/>
      <c r="K118" s="373"/>
      <c r="L118" s="513">
        <f t="shared" ca="1" si="20"/>
        <v>656.58</v>
      </c>
      <c r="M118" s="654">
        <f t="shared" ca="1" si="18"/>
        <v>1</v>
      </c>
      <c r="N118" s="226">
        <f t="shared" ca="1" si="12"/>
        <v>0</v>
      </c>
      <c r="O118" s="1"/>
    </row>
    <row r="119" spans="1:15" ht="16.5" customHeight="1">
      <c r="A119" s="1"/>
      <c r="B119" s="657" t="str">
        <f t="shared" ca="1" si="13"/>
        <v/>
      </c>
      <c r="C119" s="223" t="str">
        <f t="shared" ca="1" si="14"/>
        <v/>
      </c>
      <c r="D119" s="519">
        <f t="shared" si="19"/>
        <v>114</v>
      </c>
      <c r="E119" s="225" t="str">
        <f t="shared" ca="1" si="15"/>
        <v/>
      </c>
      <c r="F119" s="224" t="str">
        <f t="shared" si="21"/>
        <v>CASSA</v>
      </c>
      <c r="G119" s="384" t="str">
        <f t="shared" ca="1" si="16"/>
        <v/>
      </c>
      <c r="H119" s="512">
        <f t="shared" ca="1" si="17"/>
        <v>0</v>
      </c>
      <c r="I119" s="1603" t="str">
        <f t="shared" ca="1" si="11"/>
        <v/>
      </c>
      <c r="J119" s="1604"/>
      <c r="K119" s="373"/>
      <c r="L119" s="513">
        <f t="shared" ca="1" si="20"/>
        <v>656.58</v>
      </c>
      <c r="M119" s="654">
        <f t="shared" ca="1" si="18"/>
        <v>1</v>
      </c>
      <c r="N119" s="226">
        <f t="shared" ca="1" si="12"/>
        <v>0</v>
      </c>
      <c r="O119" s="1"/>
    </row>
    <row r="120" spans="1:15" ht="16.5" customHeight="1">
      <c r="A120" s="1"/>
      <c r="B120" s="657" t="str">
        <f t="shared" ca="1" si="13"/>
        <v/>
      </c>
      <c r="C120" s="223" t="str">
        <f t="shared" ca="1" si="14"/>
        <v/>
      </c>
      <c r="D120" s="519">
        <f t="shared" si="19"/>
        <v>115</v>
      </c>
      <c r="E120" s="225" t="str">
        <f t="shared" ca="1" si="15"/>
        <v/>
      </c>
      <c r="F120" s="224" t="str">
        <f t="shared" si="21"/>
        <v>CASSA</v>
      </c>
      <c r="G120" s="384" t="str">
        <f t="shared" ca="1" si="16"/>
        <v/>
      </c>
      <c r="H120" s="512">
        <f t="shared" ca="1" si="17"/>
        <v>0</v>
      </c>
      <c r="I120" s="1603" t="str">
        <f t="shared" ca="1" si="11"/>
        <v/>
      </c>
      <c r="J120" s="1604"/>
      <c r="K120" s="373"/>
      <c r="L120" s="513">
        <f t="shared" ca="1" si="20"/>
        <v>656.58</v>
      </c>
      <c r="M120" s="654">
        <f t="shared" ca="1" si="18"/>
        <v>1</v>
      </c>
      <c r="N120" s="226">
        <f t="shared" ca="1" si="12"/>
        <v>0</v>
      </c>
      <c r="O120" s="1"/>
    </row>
    <row r="121" spans="1:15" ht="16.5" customHeight="1">
      <c r="A121" s="1"/>
      <c r="B121" s="657" t="str">
        <f t="shared" ca="1" si="13"/>
        <v/>
      </c>
      <c r="C121" s="223" t="str">
        <f t="shared" ca="1" si="14"/>
        <v/>
      </c>
      <c r="D121" s="519">
        <f t="shared" si="19"/>
        <v>116</v>
      </c>
      <c r="E121" s="225" t="str">
        <f t="shared" ca="1" si="15"/>
        <v/>
      </c>
      <c r="F121" s="224" t="str">
        <f t="shared" si="21"/>
        <v>CASSA</v>
      </c>
      <c r="G121" s="384" t="str">
        <f t="shared" ca="1" si="16"/>
        <v/>
      </c>
      <c r="H121" s="512">
        <f t="shared" ca="1" si="17"/>
        <v>0</v>
      </c>
      <c r="I121" s="1603" t="str">
        <f t="shared" ca="1" si="11"/>
        <v/>
      </c>
      <c r="J121" s="1604"/>
      <c r="K121" s="373"/>
      <c r="L121" s="513">
        <f t="shared" ca="1" si="20"/>
        <v>656.58</v>
      </c>
      <c r="M121" s="654">
        <f t="shared" ca="1" si="18"/>
        <v>1</v>
      </c>
      <c r="N121" s="226">
        <f t="shared" ca="1" si="12"/>
        <v>0</v>
      </c>
      <c r="O121" s="1"/>
    </row>
    <row r="122" spans="1:15" ht="16.5" customHeight="1">
      <c r="A122" s="1"/>
      <c r="B122" s="657" t="str">
        <f t="shared" ca="1" si="13"/>
        <v/>
      </c>
      <c r="C122" s="223" t="str">
        <f t="shared" ca="1" si="14"/>
        <v/>
      </c>
      <c r="D122" s="519">
        <f t="shared" si="19"/>
        <v>117</v>
      </c>
      <c r="E122" s="225" t="str">
        <f t="shared" ca="1" si="15"/>
        <v/>
      </c>
      <c r="F122" s="224" t="str">
        <f t="shared" si="21"/>
        <v>CASSA</v>
      </c>
      <c r="G122" s="384" t="str">
        <f t="shared" ca="1" si="16"/>
        <v/>
      </c>
      <c r="H122" s="512">
        <f t="shared" ca="1" si="17"/>
        <v>0</v>
      </c>
      <c r="I122" s="1603" t="str">
        <f t="shared" ca="1" si="11"/>
        <v/>
      </c>
      <c r="J122" s="1604"/>
      <c r="K122" s="373"/>
      <c r="L122" s="513">
        <f t="shared" ca="1" si="20"/>
        <v>656.58</v>
      </c>
      <c r="M122" s="654">
        <f t="shared" ca="1" si="18"/>
        <v>1</v>
      </c>
      <c r="N122" s="226">
        <f t="shared" ca="1" si="12"/>
        <v>0</v>
      </c>
      <c r="O122" s="1"/>
    </row>
    <row r="123" spans="1:15" ht="16.5" customHeight="1">
      <c r="A123" s="1"/>
      <c r="B123" s="657" t="str">
        <f t="shared" ca="1" si="13"/>
        <v/>
      </c>
      <c r="C123" s="223" t="str">
        <f t="shared" ca="1" si="14"/>
        <v/>
      </c>
      <c r="D123" s="519">
        <f t="shared" si="19"/>
        <v>118</v>
      </c>
      <c r="E123" s="225" t="str">
        <f t="shared" ca="1" si="15"/>
        <v/>
      </c>
      <c r="F123" s="224" t="str">
        <f t="shared" si="21"/>
        <v>CASSA</v>
      </c>
      <c r="G123" s="384" t="str">
        <f t="shared" ca="1" si="16"/>
        <v/>
      </c>
      <c r="H123" s="512">
        <f t="shared" ca="1" si="17"/>
        <v>0</v>
      </c>
      <c r="I123" s="1603" t="str">
        <f t="shared" ca="1" si="11"/>
        <v/>
      </c>
      <c r="J123" s="1604"/>
      <c r="K123" s="373"/>
      <c r="L123" s="513">
        <f t="shared" ca="1" si="20"/>
        <v>656.58</v>
      </c>
      <c r="M123" s="654">
        <f t="shared" ca="1" si="18"/>
        <v>1</v>
      </c>
      <c r="N123" s="226">
        <f t="shared" ca="1" si="12"/>
        <v>0</v>
      </c>
      <c r="O123" s="1"/>
    </row>
    <row r="124" spans="1:15" ht="16.5" customHeight="1">
      <c r="A124" s="1"/>
      <c r="B124" s="657" t="str">
        <f t="shared" ca="1" si="13"/>
        <v/>
      </c>
      <c r="C124" s="223" t="str">
        <f t="shared" ca="1" si="14"/>
        <v/>
      </c>
      <c r="D124" s="519">
        <f t="shared" si="19"/>
        <v>119</v>
      </c>
      <c r="E124" s="225" t="str">
        <f t="shared" ca="1" si="15"/>
        <v/>
      </c>
      <c r="F124" s="224" t="str">
        <f t="shared" si="21"/>
        <v>CASSA</v>
      </c>
      <c r="G124" s="384" t="str">
        <f t="shared" ca="1" si="16"/>
        <v/>
      </c>
      <c r="H124" s="512">
        <f t="shared" ca="1" si="17"/>
        <v>0</v>
      </c>
      <c r="I124" s="1603" t="str">
        <f t="shared" ca="1" si="11"/>
        <v/>
      </c>
      <c r="J124" s="1604"/>
      <c r="K124" s="373"/>
      <c r="L124" s="513">
        <f t="shared" ca="1" si="20"/>
        <v>656.58</v>
      </c>
      <c r="M124" s="654">
        <f t="shared" ca="1" si="18"/>
        <v>1</v>
      </c>
      <c r="N124" s="226">
        <f t="shared" ca="1" si="12"/>
        <v>0</v>
      </c>
      <c r="O124" s="1"/>
    </row>
    <row r="125" spans="1:15" ht="16.5" customHeight="1">
      <c r="A125" s="1"/>
      <c r="B125" s="657" t="str">
        <f t="shared" ca="1" si="13"/>
        <v/>
      </c>
      <c r="C125" s="223" t="str">
        <f t="shared" ca="1" si="14"/>
        <v/>
      </c>
      <c r="D125" s="519">
        <f t="shared" si="19"/>
        <v>120</v>
      </c>
      <c r="E125" s="225" t="str">
        <f t="shared" ca="1" si="15"/>
        <v/>
      </c>
      <c r="F125" s="224" t="str">
        <f t="shared" si="21"/>
        <v>CASSA</v>
      </c>
      <c r="G125" s="384" t="str">
        <f t="shared" ca="1" si="16"/>
        <v/>
      </c>
      <c r="H125" s="512">
        <f t="shared" ca="1" si="17"/>
        <v>0</v>
      </c>
      <c r="I125" s="1603" t="str">
        <f t="shared" ca="1" si="11"/>
        <v/>
      </c>
      <c r="J125" s="1604"/>
      <c r="K125" s="373"/>
      <c r="L125" s="513">
        <f t="shared" ca="1" si="20"/>
        <v>656.58</v>
      </c>
      <c r="M125" s="654">
        <f t="shared" ca="1" si="18"/>
        <v>1</v>
      </c>
      <c r="N125" s="226">
        <f t="shared" ca="1" si="12"/>
        <v>0</v>
      </c>
      <c r="O125" s="1"/>
    </row>
    <row r="126" spans="1:15" ht="16.5" customHeight="1">
      <c r="A126" s="1"/>
      <c r="B126" s="657" t="str">
        <f t="shared" ca="1" si="13"/>
        <v/>
      </c>
      <c r="C126" s="223" t="str">
        <f t="shared" ca="1" si="14"/>
        <v/>
      </c>
      <c r="D126" s="519">
        <f t="shared" si="19"/>
        <v>121</v>
      </c>
      <c r="E126" s="225" t="str">
        <f t="shared" ca="1" si="15"/>
        <v/>
      </c>
      <c r="F126" s="224" t="str">
        <f t="shared" si="21"/>
        <v>CASSA</v>
      </c>
      <c r="G126" s="384" t="str">
        <f t="shared" ca="1" si="16"/>
        <v/>
      </c>
      <c r="H126" s="512">
        <f t="shared" ca="1" si="17"/>
        <v>0</v>
      </c>
      <c r="I126" s="1603" t="str">
        <f t="shared" ca="1" si="11"/>
        <v/>
      </c>
      <c r="J126" s="1604"/>
      <c r="K126" s="373"/>
      <c r="L126" s="513">
        <f t="shared" ca="1" si="20"/>
        <v>656.58</v>
      </c>
      <c r="M126" s="654">
        <f t="shared" ca="1" si="18"/>
        <v>1</v>
      </c>
      <c r="N126" s="226">
        <f t="shared" ca="1" si="12"/>
        <v>0</v>
      </c>
      <c r="O126" s="1"/>
    </row>
    <row r="127" spans="1:15" ht="16.5" customHeight="1">
      <c r="A127" s="1"/>
      <c r="B127" s="657" t="str">
        <f t="shared" ca="1" si="13"/>
        <v/>
      </c>
      <c r="C127" s="223" t="str">
        <f t="shared" ca="1" si="14"/>
        <v/>
      </c>
      <c r="D127" s="519">
        <f t="shared" si="19"/>
        <v>122</v>
      </c>
      <c r="E127" s="225" t="str">
        <f t="shared" ca="1" si="15"/>
        <v/>
      </c>
      <c r="F127" s="224" t="str">
        <f t="shared" si="21"/>
        <v>CASSA</v>
      </c>
      <c r="G127" s="384" t="str">
        <f t="shared" ca="1" si="16"/>
        <v/>
      </c>
      <c r="H127" s="512">
        <f t="shared" ca="1" si="17"/>
        <v>0</v>
      </c>
      <c r="I127" s="1603" t="str">
        <f t="shared" ca="1" si="11"/>
        <v/>
      </c>
      <c r="J127" s="1604"/>
      <c r="K127" s="373"/>
      <c r="L127" s="513">
        <f t="shared" ca="1" si="20"/>
        <v>656.58</v>
      </c>
      <c r="M127" s="654">
        <f t="shared" ca="1" si="18"/>
        <v>1</v>
      </c>
      <c r="N127" s="226">
        <f t="shared" ca="1" si="12"/>
        <v>0</v>
      </c>
      <c r="O127" s="1"/>
    </row>
    <row r="128" spans="1:15" ht="16.5" customHeight="1">
      <c r="A128" s="1"/>
      <c r="B128" s="657" t="str">
        <f t="shared" ca="1" si="13"/>
        <v/>
      </c>
      <c r="C128" s="223" t="str">
        <f t="shared" ca="1" si="14"/>
        <v/>
      </c>
      <c r="D128" s="519">
        <f t="shared" si="19"/>
        <v>123</v>
      </c>
      <c r="E128" s="225" t="str">
        <f t="shared" ca="1" si="15"/>
        <v/>
      </c>
      <c r="F128" s="224" t="str">
        <f t="shared" si="21"/>
        <v>CASSA</v>
      </c>
      <c r="G128" s="384" t="str">
        <f t="shared" ca="1" si="16"/>
        <v/>
      </c>
      <c r="H128" s="512">
        <f t="shared" ca="1" si="17"/>
        <v>0</v>
      </c>
      <c r="I128" s="1603" t="str">
        <f t="shared" ca="1" si="11"/>
        <v/>
      </c>
      <c r="J128" s="1604"/>
      <c r="K128" s="373"/>
      <c r="L128" s="513">
        <f t="shared" ca="1" si="20"/>
        <v>656.58</v>
      </c>
      <c r="M128" s="654">
        <f t="shared" ca="1" si="18"/>
        <v>1</v>
      </c>
      <c r="N128" s="226">
        <f t="shared" ca="1" si="12"/>
        <v>0</v>
      </c>
      <c r="O128" s="1"/>
    </row>
    <row r="129" spans="1:15" ht="16.5" customHeight="1">
      <c r="A129" s="1"/>
      <c r="B129" s="657" t="str">
        <f t="shared" ca="1" si="13"/>
        <v/>
      </c>
      <c r="C129" s="223" t="str">
        <f t="shared" ca="1" si="14"/>
        <v/>
      </c>
      <c r="D129" s="519">
        <f t="shared" si="19"/>
        <v>124</v>
      </c>
      <c r="E129" s="225" t="str">
        <f t="shared" ca="1" si="15"/>
        <v/>
      </c>
      <c r="F129" s="224" t="str">
        <f t="shared" si="21"/>
        <v>CASSA</v>
      </c>
      <c r="G129" s="384" t="str">
        <f t="shared" ca="1" si="16"/>
        <v/>
      </c>
      <c r="H129" s="512">
        <f t="shared" ca="1" si="17"/>
        <v>0</v>
      </c>
      <c r="I129" s="1603" t="str">
        <f t="shared" ca="1" si="11"/>
        <v/>
      </c>
      <c r="J129" s="1604"/>
      <c r="K129" s="373"/>
      <c r="L129" s="513">
        <f t="shared" ca="1" si="20"/>
        <v>656.58</v>
      </c>
      <c r="M129" s="654">
        <f t="shared" ca="1" si="18"/>
        <v>1</v>
      </c>
      <c r="N129" s="226">
        <f t="shared" ca="1" si="12"/>
        <v>0</v>
      </c>
      <c r="O129" s="1"/>
    </row>
    <row r="130" spans="1:15" ht="16.5" customHeight="1">
      <c r="A130" s="1"/>
      <c r="B130" s="657" t="str">
        <f t="shared" ca="1" si="13"/>
        <v/>
      </c>
      <c r="C130" s="223" t="str">
        <f t="shared" ca="1" si="14"/>
        <v/>
      </c>
      <c r="D130" s="519">
        <f t="shared" si="19"/>
        <v>125</v>
      </c>
      <c r="E130" s="225" t="str">
        <f t="shared" ca="1" si="15"/>
        <v/>
      </c>
      <c r="F130" s="224" t="str">
        <f t="shared" si="21"/>
        <v>CASSA</v>
      </c>
      <c r="G130" s="384" t="str">
        <f t="shared" ca="1" si="16"/>
        <v/>
      </c>
      <c r="H130" s="512">
        <f t="shared" ca="1" si="17"/>
        <v>0</v>
      </c>
      <c r="I130" s="1603" t="str">
        <f t="shared" ca="1" si="11"/>
        <v/>
      </c>
      <c r="J130" s="1604"/>
      <c r="K130" s="373"/>
      <c r="L130" s="513">
        <f t="shared" ca="1" si="20"/>
        <v>656.58</v>
      </c>
      <c r="M130" s="654">
        <f t="shared" ca="1" si="18"/>
        <v>1</v>
      </c>
      <c r="N130" s="226">
        <f t="shared" ca="1" si="12"/>
        <v>0</v>
      </c>
      <c r="O130" s="1"/>
    </row>
    <row r="131" spans="1:15" ht="16.5" customHeight="1">
      <c r="A131" s="1"/>
      <c r="B131" s="657" t="str">
        <f t="shared" ca="1" si="13"/>
        <v/>
      </c>
      <c r="C131" s="223" t="str">
        <f t="shared" ca="1" si="14"/>
        <v/>
      </c>
      <c r="D131" s="519">
        <f t="shared" si="19"/>
        <v>126</v>
      </c>
      <c r="E131" s="225" t="str">
        <f t="shared" ca="1" si="15"/>
        <v/>
      </c>
      <c r="F131" s="224" t="str">
        <f t="shared" si="21"/>
        <v>CASSA</v>
      </c>
      <c r="G131" s="384" t="str">
        <f t="shared" ca="1" si="16"/>
        <v/>
      </c>
      <c r="H131" s="512">
        <f t="shared" ca="1" si="17"/>
        <v>0</v>
      </c>
      <c r="I131" s="1603" t="str">
        <f t="shared" ca="1" si="11"/>
        <v/>
      </c>
      <c r="J131" s="1604"/>
      <c r="K131" s="373"/>
      <c r="L131" s="513">
        <f t="shared" ca="1" si="20"/>
        <v>656.58</v>
      </c>
      <c r="M131" s="654">
        <f t="shared" ca="1" si="18"/>
        <v>1</v>
      </c>
      <c r="N131" s="226">
        <f t="shared" ca="1" si="12"/>
        <v>0</v>
      </c>
      <c r="O131" s="1"/>
    </row>
    <row r="132" spans="1:15" ht="16.5" customHeight="1">
      <c r="A132" s="1"/>
      <c r="B132" s="657" t="str">
        <f t="shared" ca="1" si="13"/>
        <v/>
      </c>
      <c r="C132" s="223" t="str">
        <f t="shared" ca="1" si="14"/>
        <v/>
      </c>
      <c r="D132" s="519">
        <f t="shared" si="19"/>
        <v>127</v>
      </c>
      <c r="E132" s="225" t="str">
        <f t="shared" ca="1" si="15"/>
        <v/>
      </c>
      <c r="F132" s="224" t="str">
        <f t="shared" si="21"/>
        <v>CASSA</v>
      </c>
      <c r="G132" s="384" t="str">
        <f t="shared" ca="1" si="16"/>
        <v/>
      </c>
      <c r="H132" s="512">
        <f t="shared" ca="1" si="17"/>
        <v>0</v>
      </c>
      <c r="I132" s="1603" t="str">
        <f t="shared" ca="1" si="11"/>
        <v/>
      </c>
      <c r="J132" s="1604"/>
      <c r="K132" s="373"/>
      <c r="L132" s="513">
        <f t="shared" ca="1" si="20"/>
        <v>656.58</v>
      </c>
      <c r="M132" s="654">
        <f t="shared" ca="1" si="18"/>
        <v>1</v>
      </c>
      <c r="N132" s="226">
        <f t="shared" ca="1" si="12"/>
        <v>0</v>
      </c>
      <c r="O132" s="1"/>
    </row>
    <row r="133" spans="1:15" ht="16.5" customHeight="1">
      <c r="A133" s="1"/>
      <c r="B133" s="657" t="str">
        <f t="shared" ca="1" si="13"/>
        <v/>
      </c>
      <c r="C133" s="223" t="str">
        <f t="shared" ca="1" si="14"/>
        <v/>
      </c>
      <c r="D133" s="519">
        <f t="shared" si="19"/>
        <v>128</v>
      </c>
      <c r="E133" s="225" t="str">
        <f t="shared" ca="1" si="15"/>
        <v/>
      </c>
      <c r="F133" s="224" t="str">
        <f t="shared" si="21"/>
        <v>CASSA</v>
      </c>
      <c r="G133" s="384" t="str">
        <f t="shared" ca="1" si="16"/>
        <v/>
      </c>
      <c r="H133" s="512">
        <f t="shared" ca="1" si="17"/>
        <v>0</v>
      </c>
      <c r="I133" s="1603" t="str">
        <f t="shared" ca="1" si="11"/>
        <v/>
      </c>
      <c r="J133" s="1604"/>
      <c r="K133" s="373"/>
      <c r="L133" s="513">
        <f t="shared" ca="1" si="20"/>
        <v>656.58</v>
      </c>
      <c r="M133" s="654">
        <f t="shared" ca="1" si="18"/>
        <v>1</v>
      </c>
      <c r="N133" s="226">
        <f t="shared" ca="1" si="12"/>
        <v>0</v>
      </c>
      <c r="O133" s="1"/>
    </row>
    <row r="134" spans="1:15" ht="16.5" customHeight="1">
      <c r="A134" s="1"/>
      <c r="B134" s="657" t="str">
        <f t="shared" ca="1" si="13"/>
        <v/>
      </c>
      <c r="C134" s="223" t="str">
        <f t="shared" ca="1" si="14"/>
        <v/>
      </c>
      <c r="D134" s="519">
        <f t="shared" si="19"/>
        <v>129</v>
      </c>
      <c r="E134" s="225" t="str">
        <f t="shared" ca="1" si="15"/>
        <v/>
      </c>
      <c r="F134" s="224" t="str">
        <f t="shared" si="21"/>
        <v>CASSA</v>
      </c>
      <c r="G134" s="384" t="str">
        <f t="shared" ca="1" si="16"/>
        <v/>
      </c>
      <c r="H134" s="512">
        <f t="shared" ca="1" si="17"/>
        <v>0</v>
      </c>
      <c r="I134" s="1603" t="str">
        <f t="shared" ref="I134:I197" ca="1" si="22">IF(F134="","",IF(ISERROR(VLOOKUP($D134,$B$1080:$L$4183,11,FALSE)),"",VLOOKUP($D134,$B$1080:$L$4183,11,FALSE)))</f>
        <v/>
      </c>
      <c r="J134" s="1604"/>
      <c r="K134" s="373"/>
      <c r="L134" s="513">
        <f t="shared" ca="1" si="20"/>
        <v>656.58</v>
      </c>
      <c r="M134" s="654">
        <f t="shared" ca="1" si="18"/>
        <v>1</v>
      </c>
      <c r="N134" s="226">
        <f t="shared" ref="N134:N197" ca="1" si="23">IF(ISERROR(VLOOKUP(G134,G$4171:G$4182,1,FALSE)),0,1)</f>
        <v>0</v>
      </c>
      <c r="O134" s="1"/>
    </row>
    <row r="135" spans="1:15" ht="16.5" customHeight="1">
      <c r="A135" s="1"/>
      <c r="B135" s="657" t="str">
        <f t="shared" ref="B135:B198" ca="1" si="24">IF(AND(E135&lt;&gt;"",M135=0),"[..]","")</f>
        <v/>
      </c>
      <c r="C135" s="223" t="str">
        <f t="shared" ref="C135:C198" ca="1" si="25">IF(ISBLANK(E$2),"",IF(ISERROR(VLOOKUP(D135,B$3067:B$4182,1,FALSE)),"",C$4185))</f>
        <v/>
      </c>
      <c r="D135" s="519">
        <f t="shared" si="19"/>
        <v>130</v>
      </c>
      <c r="E135" s="225" t="str">
        <f t="shared" ref="E135:E198" ca="1" si="26">IF(ISERROR(VLOOKUP($D135,$B$1080:$E$4183,4,FALSE)),"",VLOOKUP($D135,$B$1080:$E$4183,4,FALSE))</f>
        <v/>
      </c>
      <c r="F135" s="224" t="str">
        <f t="shared" si="21"/>
        <v>CASSA</v>
      </c>
      <c r="G135" s="384" t="str">
        <f t="shared" ref="G135:G198" ca="1" si="27">IF(ISERROR(VLOOKUP($D135,$B$1080:$G$4183,6,FALSE)),"",T(VLOOKUP($D135,$B$1080:$G$4183,6,FALSE)))</f>
        <v/>
      </c>
      <c r="H135" s="512">
        <f t="shared" ref="H135:H198" ca="1" si="28">IF(ISERROR(VLOOKUP($D135,$B$1080:$H$4183,7,FALSE)),0,VLOOKUP($D135,$B$1080:$H$4183,7,FALSE))*M135</f>
        <v>0</v>
      </c>
      <c r="I135" s="1603" t="str">
        <f t="shared" ca="1" si="22"/>
        <v/>
      </c>
      <c r="J135" s="1604"/>
      <c r="K135" s="373"/>
      <c r="L135" s="513">
        <f t="shared" ca="1" si="20"/>
        <v>656.58</v>
      </c>
      <c r="M135" s="654">
        <f t="shared" ref="M135:M198" ca="1" si="29">IF(AND(E135&gt;0,H$4188=0,OR(E135&lt;L$1020,E135&gt;L$1021)),0,1)</f>
        <v>1</v>
      </c>
      <c r="N135" s="226">
        <f t="shared" ca="1" si="23"/>
        <v>0</v>
      </c>
      <c r="O135" s="1"/>
    </row>
    <row r="136" spans="1:15" ht="16.5" customHeight="1">
      <c r="A136" s="1"/>
      <c r="B136" s="657" t="str">
        <f t="shared" ca="1" si="24"/>
        <v/>
      </c>
      <c r="C136" s="223" t="str">
        <f t="shared" ca="1" si="25"/>
        <v/>
      </c>
      <c r="D136" s="519">
        <f t="shared" ref="D136:D199" si="30">D135+1</f>
        <v>131</v>
      </c>
      <c r="E136" s="225" t="str">
        <f t="shared" ca="1" si="26"/>
        <v/>
      </c>
      <c r="F136" s="224" t="str">
        <f t="shared" si="21"/>
        <v>CASSA</v>
      </c>
      <c r="G136" s="384" t="str">
        <f t="shared" ca="1" si="27"/>
        <v/>
      </c>
      <c r="H136" s="512">
        <f t="shared" ca="1" si="28"/>
        <v>0</v>
      </c>
      <c r="I136" s="1603" t="str">
        <f t="shared" ca="1" si="22"/>
        <v/>
      </c>
      <c r="J136" s="1604"/>
      <c r="K136" s="373"/>
      <c r="L136" s="513">
        <f t="shared" ref="L136:L199" ca="1" si="31">ROUND(L135+H136,2)</f>
        <v>656.58</v>
      </c>
      <c r="M136" s="654">
        <f t="shared" ca="1" si="29"/>
        <v>1</v>
      </c>
      <c r="N136" s="226">
        <f t="shared" ca="1" si="23"/>
        <v>0</v>
      </c>
      <c r="O136" s="1"/>
    </row>
    <row r="137" spans="1:15" ht="16.5" customHeight="1">
      <c r="A137" s="1"/>
      <c r="B137" s="657" t="str">
        <f t="shared" ca="1" si="24"/>
        <v/>
      </c>
      <c r="C137" s="223" t="str">
        <f t="shared" ca="1" si="25"/>
        <v/>
      </c>
      <c r="D137" s="519">
        <f t="shared" si="30"/>
        <v>132</v>
      </c>
      <c r="E137" s="225" t="str">
        <f t="shared" ca="1" si="26"/>
        <v/>
      </c>
      <c r="F137" s="224" t="str">
        <f t="shared" si="21"/>
        <v>CASSA</v>
      </c>
      <c r="G137" s="384" t="str">
        <f t="shared" ca="1" si="27"/>
        <v/>
      </c>
      <c r="H137" s="512">
        <f t="shared" ca="1" si="28"/>
        <v>0</v>
      </c>
      <c r="I137" s="1603" t="str">
        <f t="shared" ca="1" si="22"/>
        <v/>
      </c>
      <c r="J137" s="1604"/>
      <c r="K137" s="373"/>
      <c r="L137" s="513">
        <f t="shared" ca="1" si="31"/>
        <v>656.58</v>
      </c>
      <c r="M137" s="654">
        <f t="shared" ca="1" si="29"/>
        <v>1</v>
      </c>
      <c r="N137" s="226">
        <f t="shared" ca="1" si="23"/>
        <v>0</v>
      </c>
      <c r="O137" s="1"/>
    </row>
    <row r="138" spans="1:15" ht="16.5" customHeight="1">
      <c r="A138" s="1"/>
      <c r="B138" s="657" t="str">
        <f t="shared" ca="1" si="24"/>
        <v/>
      </c>
      <c r="C138" s="223" t="str">
        <f t="shared" ca="1" si="25"/>
        <v/>
      </c>
      <c r="D138" s="519">
        <f t="shared" si="30"/>
        <v>133</v>
      </c>
      <c r="E138" s="225" t="str">
        <f t="shared" ca="1" si="26"/>
        <v/>
      </c>
      <c r="F138" s="224" t="str">
        <f t="shared" si="21"/>
        <v>CASSA</v>
      </c>
      <c r="G138" s="384" t="str">
        <f t="shared" ca="1" si="27"/>
        <v/>
      </c>
      <c r="H138" s="512">
        <f t="shared" ca="1" si="28"/>
        <v>0</v>
      </c>
      <c r="I138" s="1603" t="str">
        <f t="shared" ca="1" si="22"/>
        <v/>
      </c>
      <c r="J138" s="1604"/>
      <c r="K138" s="373"/>
      <c r="L138" s="513">
        <f t="shared" ca="1" si="31"/>
        <v>656.58</v>
      </c>
      <c r="M138" s="654">
        <f t="shared" ca="1" si="29"/>
        <v>1</v>
      </c>
      <c r="N138" s="226">
        <f t="shared" ca="1" si="23"/>
        <v>0</v>
      </c>
      <c r="O138" s="1"/>
    </row>
    <row r="139" spans="1:15" ht="16.5" customHeight="1">
      <c r="A139" s="1"/>
      <c r="B139" s="657" t="str">
        <f t="shared" ca="1" si="24"/>
        <v/>
      </c>
      <c r="C139" s="223" t="str">
        <f t="shared" ca="1" si="25"/>
        <v/>
      </c>
      <c r="D139" s="519">
        <f t="shared" si="30"/>
        <v>134</v>
      </c>
      <c r="E139" s="225" t="str">
        <f t="shared" ca="1" si="26"/>
        <v/>
      </c>
      <c r="F139" s="224" t="str">
        <f t="shared" si="21"/>
        <v>CASSA</v>
      </c>
      <c r="G139" s="384" t="str">
        <f t="shared" ca="1" si="27"/>
        <v/>
      </c>
      <c r="H139" s="512">
        <f t="shared" ca="1" si="28"/>
        <v>0</v>
      </c>
      <c r="I139" s="1603" t="str">
        <f t="shared" ca="1" si="22"/>
        <v/>
      </c>
      <c r="J139" s="1604"/>
      <c r="K139" s="373"/>
      <c r="L139" s="513">
        <f t="shared" ca="1" si="31"/>
        <v>656.58</v>
      </c>
      <c r="M139" s="654">
        <f t="shared" ca="1" si="29"/>
        <v>1</v>
      </c>
      <c r="N139" s="226">
        <f t="shared" ca="1" si="23"/>
        <v>0</v>
      </c>
      <c r="O139" s="1"/>
    </row>
    <row r="140" spans="1:15" ht="16.5" customHeight="1">
      <c r="A140" s="1"/>
      <c r="B140" s="657" t="str">
        <f t="shared" ca="1" si="24"/>
        <v/>
      </c>
      <c r="C140" s="223" t="str">
        <f t="shared" ca="1" si="25"/>
        <v/>
      </c>
      <c r="D140" s="519">
        <f t="shared" si="30"/>
        <v>135</v>
      </c>
      <c r="E140" s="225" t="str">
        <f t="shared" ca="1" si="26"/>
        <v/>
      </c>
      <c r="F140" s="224" t="str">
        <f t="shared" ref="F140:F203" si="32">F139</f>
        <v>CASSA</v>
      </c>
      <c r="G140" s="384" t="str">
        <f t="shared" ca="1" si="27"/>
        <v/>
      </c>
      <c r="H140" s="512">
        <f t="shared" ca="1" si="28"/>
        <v>0</v>
      </c>
      <c r="I140" s="1603" t="str">
        <f t="shared" ca="1" si="22"/>
        <v/>
      </c>
      <c r="J140" s="1604"/>
      <c r="K140" s="373"/>
      <c r="L140" s="513">
        <f t="shared" ca="1" si="31"/>
        <v>656.58</v>
      </c>
      <c r="M140" s="654">
        <f t="shared" ca="1" si="29"/>
        <v>1</v>
      </c>
      <c r="N140" s="226">
        <f t="shared" ca="1" si="23"/>
        <v>0</v>
      </c>
      <c r="O140" s="1"/>
    </row>
    <row r="141" spans="1:15" ht="16.5" customHeight="1">
      <c r="A141" s="1"/>
      <c r="B141" s="657" t="str">
        <f t="shared" ca="1" si="24"/>
        <v/>
      </c>
      <c r="C141" s="223" t="str">
        <f t="shared" ca="1" si="25"/>
        <v/>
      </c>
      <c r="D141" s="519">
        <f t="shared" si="30"/>
        <v>136</v>
      </c>
      <c r="E141" s="225" t="str">
        <f t="shared" ca="1" si="26"/>
        <v/>
      </c>
      <c r="F141" s="224" t="str">
        <f t="shared" si="32"/>
        <v>CASSA</v>
      </c>
      <c r="G141" s="384" t="str">
        <f t="shared" ca="1" si="27"/>
        <v/>
      </c>
      <c r="H141" s="512">
        <f t="shared" ca="1" si="28"/>
        <v>0</v>
      </c>
      <c r="I141" s="1603" t="str">
        <f t="shared" ca="1" si="22"/>
        <v/>
      </c>
      <c r="J141" s="1604"/>
      <c r="K141" s="373"/>
      <c r="L141" s="513">
        <f t="shared" ca="1" si="31"/>
        <v>656.58</v>
      </c>
      <c r="M141" s="654">
        <f t="shared" ca="1" si="29"/>
        <v>1</v>
      </c>
      <c r="N141" s="226">
        <f t="shared" ca="1" si="23"/>
        <v>0</v>
      </c>
      <c r="O141" s="1"/>
    </row>
    <row r="142" spans="1:15" ht="16.5" customHeight="1">
      <c r="A142" s="1"/>
      <c r="B142" s="657" t="str">
        <f t="shared" ca="1" si="24"/>
        <v/>
      </c>
      <c r="C142" s="223" t="str">
        <f t="shared" ca="1" si="25"/>
        <v/>
      </c>
      <c r="D142" s="519">
        <f t="shared" si="30"/>
        <v>137</v>
      </c>
      <c r="E142" s="225" t="str">
        <f t="shared" ca="1" si="26"/>
        <v/>
      </c>
      <c r="F142" s="224" t="str">
        <f t="shared" si="32"/>
        <v>CASSA</v>
      </c>
      <c r="G142" s="384" t="str">
        <f t="shared" ca="1" si="27"/>
        <v/>
      </c>
      <c r="H142" s="512">
        <f t="shared" ca="1" si="28"/>
        <v>0</v>
      </c>
      <c r="I142" s="1603" t="str">
        <f t="shared" ca="1" si="22"/>
        <v/>
      </c>
      <c r="J142" s="1604"/>
      <c r="K142" s="373"/>
      <c r="L142" s="513">
        <f t="shared" ca="1" si="31"/>
        <v>656.58</v>
      </c>
      <c r="M142" s="654">
        <f t="shared" ca="1" si="29"/>
        <v>1</v>
      </c>
      <c r="N142" s="226">
        <f t="shared" ca="1" si="23"/>
        <v>0</v>
      </c>
      <c r="O142" s="1"/>
    </row>
    <row r="143" spans="1:15" ht="16.5" customHeight="1">
      <c r="A143" s="1"/>
      <c r="B143" s="657" t="str">
        <f t="shared" ca="1" si="24"/>
        <v/>
      </c>
      <c r="C143" s="223" t="str">
        <f t="shared" ca="1" si="25"/>
        <v/>
      </c>
      <c r="D143" s="519">
        <f t="shared" si="30"/>
        <v>138</v>
      </c>
      <c r="E143" s="225" t="str">
        <f t="shared" ca="1" si="26"/>
        <v/>
      </c>
      <c r="F143" s="224" t="str">
        <f t="shared" si="32"/>
        <v>CASSA</v>
      </c>
      <c r="G143" s="384" t="str">
        <f t="shared" ca="1" si="27"/>
        <v/>
      </c>
      <c r="H143" s="512">
        <f t="shared" ca="1" si="28"/>
        <v>0</v>
      </c>
      <c r="I143" s="1603" t="str">
        <f t="shared" ca="1" si="22"/>
        <v/>
      </c>
      <c r="J143" s="1604"/>
      <c r="K143" s="373"/>
      <c r="L143" s="513">
        <f t="shared" ca="1" si="31"/>
        <v>656.58</v>
      </c>
      <c r="M143" s="654">
        <f t="shared" ca="1" si="29"/>
        <v>1</v>
      </c>
      <c r="N143" s="226">
        <f t="shared" ca="1" si="23"/>
        <v>0</v>
      </c>
      <c r="O143" s="1"/>
    </row>
    <row r="144" spans="1:15" ht="16.5" customHeight="1">
      <c r="A144" s="1"/>
      <c r="B144" s="657" t="str">
        <f t="shared" ca="1" si="24"/>
        <v/>
      </c>
      <c r="C144" s="223" t="str">
        <f t="shared" ca="1" si="25"/>
        <v/>
      </c>
      <c r="D144" s="519">
        <f t="shared" si="30"/>
        <v>139</v>
      </c>
      <c r="E144" s="225" t="str">
        <f t="shared" ca="1" si="26"/>
        <v/>
      </c>
      <c r="F144" s="224" t="str">
        <f t="shared" si="32"/>
        <v>CASSA</v>
      </c>
      <c r="G144" s="384" t="str">
        <f t="shared" ca="1" si="27"/>
        <v/>
      </c>
      <c r="H144" s="512">
        <f t="shared" ca="1" si="28"/>
        <v>0</v>
      </c>
      <c r="I144" s="1603" t="str">
        <f t="shared" ca="1" si="22"/>
        <v/>
      </c>
      <c r="J144" s="1604"/>
      <c r="K144" s="373"/>
      <c r="L144" s="513">
        <f t="shared" ca="1" si="31"/>
        <v>656.58</v>
      </c>
      <c r="M144" s="654">
        <f t="shared" ca="1" si="29"/>
        <v>1</v>
      </c>
      <c r="N144" s="226">
        <f t="shared" ca="1" si="23"/>
        <v>0</v>
      </c>
      <c r="O144" s="1"/>
    </row>
    <row r="145" spans="1:15" ht="16.5" customHeight="1">
      <c r="A145" s="1"/>
      <c r="B145" s="657" t="str">
        <f t="shared" ca="1" si="24"/>
        <v/>
      </c>
      <c r="C145" s="223" t="str">
        <f t="shared" ca="1" si="25"/>
        <v/>
      </c>
      <c r="D145" s="519">
        <f t="shared" si="30"/>
        <v>140</v>
      </c>
      <c r="E145" s="225" t="str">
        <f t="shared" ca="1" si="26"/>
        <v/>
      </c>
      <c r="F145" s="224" t="str">
        <f t="shared" si="32"/>
        <v>CASSA</v>
      </c>
      <c r="G145" s="384" t="str">
        <f t="shared" ca="1" si="27"/>
        <v/>
      </c>
      <c r="H145" s="512">
        <f t="shared" ca="1" si="28"/>
        <v>0</v>
      </c>
      <c r="I145" s="1603" t="str">
        <f t="shared" ca="1" si="22"/>
        <v/>
      </c>
      <c r="J145" s="1604"/>
      <c r="K145" s="373"/>
      <c r="L145" s="513">
        <f t="shared" ca="1" si="31"/>
        <v>656.58</v>
      </c>
      <c r="M145" s="654">
        <f t="shared" ca="1" si="29"/>
        <v>1</v>
      </c>
      <c r="N145" s="226">
        <f t="shared" ca="1" si="23"/>
        <v>0</v>
      </c>
      <c r="O145" s="1"/>
    </row>
    <row r="146" spans="1:15" ht="16.5" customHeight="1">
      <c r="A146" s="1"/>
      <c r="B146" s="657" t="str">
        <f t="shared" ca="1" si="24"/>
        <v/>
      </c>
      <c r="C146" s="223" t="str">
        <f t="shared" ca="1" si="25"/>
        <v/>
      </c>
      <c r="D146" s="519">
        <f t="shared" si="30"/>
        <v>141</v>
      </c>
      <c r="E146" s="225" t="str">
        <f t="shared" ca="1" si="26"/>
        <v/>
      </c>
      <c r="F146" s="224" t="str">
        <f t="shared" si="32"/>
        <v>CASSA</v>
      </c>
      <c r="G146" s="384" t="str">
        <f t="shared" ca="1" si="27"/>
        <v/>
      </c>
      <c r="H146" s="512">
        <f t="shared" ca="1" si="28"/>
        <v>0</v>
      </c>
      <c r="I146" s="1603" t="str">
        <f t="shared" ca="1" si="22"/>
        <v/>
      </c>
      <c r="J146" s="1604"/>
      <c r="K146" s="373"/>
      <c r="L146" s="513">
        <f t="shared" ca="1" si="31"/>
        <v>656.58</v>
      </c>
      <c r="M146" s="654">
        <f t="shared" ca="1" si="29"/>
        <v>1</v>
      </c>
      <c r="N146" s="226">
        <f t="shared" ca="1" si="23"/>
        <v>0</v>
      </c>
      <c r="O146" s="1"/>
    </row>
    <row r="147" spans="1:15" ht="16.5" customHeight="1">
      <c r="A147" s="1"/>
      <c r="B147" s="657" t="str">
        <f t="shared" ca="1" si="24"/>
        <v/>
      </c>
      <c r="C147" s="223" t="str">
        <f t="shared" ca="1" si="25"/>
        <v/>
      </c>
      <c r="D147" s="519">
        <f t="shared" si="30"/>
        <v>142</v>
      </c>
      <c r="E147" s="225" t="str">
        <f t="shared" ca="1" si="26"/>
        <v/>
      </c>
      <c r="F147" s="224" t="str">
        <f t="shared" si="32"/>
        <v>CASSA</v>
      </c>
      <c r="G147" s="384" t="str">
        <f t="shared" ca="1" si="27"/>
        <v/>
      </c>
      <c r="H147" s="512">
        <f t="shared" ca="1" si="28"/>
        <v>0</v>
      </c>
      <c r="I147" s="1603" t="str">
        <f t="shared" ca="1" si="22"/>
        <v/>
      </c>
      <c r="J147" s="1604"/>
      <c r="K147" s="373"/>
      <c r="L147" s="513">
        <f t="shared" ca="1" si="31"/>
        <v>656.58</v>
      </c>
      <c r="M147" s="654">
        <f t="shared" ca="1" si="29"/>
        <v>1</v>
      </c>
      <c r="N147" s="226">
        <f t="shared" ca="1" si="23"/>
        <v>0</v>
      </c>
      <c r="O147" s="1"/>
    </row>
    <row r="148" spans="1:15" ht="16.5" customHeight="1">
      <c r="A148" s="1"/>
      <c r="B148" s="657" t="str">
        <f t="shared" ca="1" si="24"/>
        <v/>
      </c>
      <c r="C148" s="223" t="str">
        <f t="shared" ca="1" si="25"/>
        <v/>
      </c>
      <c r="D148" s="519">
        <f t="shared" si="30"/>
        <v>143</v>
      </c>
      <c r="E148" s="225" t="str">
        <f t="shared" ca="1" si="26"/>
        <v/>
      </c>
      <c r="F148" s="224" t="str">
        <f t="shared" si="32"/>
        <v>CASSA</v>
      </c>
      <c r="G148" s="384" t="str">
        <f t="shared" ca="1" si="27"/>
        <v/>
      </c>
      <c r="H148" s="512">
        <f t="shared" ca="1" si="28"/>
        <v>0</v>
      </c>
      <c r="I148" s="1603" t="str">
        <f t="shared" ca="1" si="22"/>
        <v/>
      </c>
      <c r="J148" s="1604"/>
      <c r="K148" s="373"/>
      <c r="L148" s="513">
        <f t="shared" ca="1" si="31"/>
        <v>656.58</v>
      </c>
      <c r="M148" s="654">
        <f t="shared" ca="1" si="29"/>
        <v>1</v>
      </c>
      <c r="N148" s="226">
        <f t="shared" ca="1" si="23"/>
        <v>0</v>
      </c>
      <c r="O148" s="1"/>
    </row>
    <row r="149" spans="1:15" ht="16.5" customHeight="1">
      <c r="A149" s="1"/>
      <c r="B149" s="657" t="str">
        <f t="shared" ca="1" si="24"/>
        <v/>
      </c>
      <c r="C149" s="223" t="str">
        <f t="shared" ca="1" si="25"/>
        <v/>
      </c>
      <c r="D149" s="519">
        <f t="shared" si="30"/>
        <v>144</v>
      </c>
      <c r="E149" s="225" t="str">
        <f t="shared" ca="1" si="26"/>
        <v/>
      </c>
      <c r="F149" s="224" t="str">
        <f t="shared" si="32"/>
        <v>CASSA</v>
      </c>
      <c r="G149" s="384" t="str">
        <f t="shared" ca="1" si="27"/>
        <v/>
      </c>
      <c r="H149" s="512">
        <f t="shared" ca="1" si="28"/>
        <v>0</v>
      </c>
      <c r="I149" s="1603" t="str">
        <f t="shared" ca="1" si="22"/>
        <v/>
      </c>
      <c r="J149" s="1604"/>
      <c r="K149" s="373"/>
      <c r="L149" s="513">
        <f t="shared" ca="1" si="31"/>
        <v>656.58</v>
      </c>
      <c r="M149" s="654">
        <f t="shared" ca="1" si="29"/>
        <v>1</v>
      </c>
      <c r="N149" s="226">
        <f t="shared" ca="1" si="23"/>
        <v>0</v>
      </c>
      <c r="O149" s="1"/>
    </row>
    <row r="150" spans="1:15" ht="16.5" customHeight="1">
      <c r="A150" s="1"/>
      <c r="B150" s="657" t="str">
        <f t="shared" ca="1" si="24"/>
        <v/>
      </c>
      <c r="C150" s="223" t="str">
        <f t="shared" ca="1" si="25"/>
        <v/>
      </c>
      <c r="D150" s="519">
        <f t="shared" si="30"/>
        <v>145</v>
      </c>
      <c r="E150" s="225" t="str">
        <f t="shared" ca="1" si="26"/>
        <v/>
      </c>
      <c r="F150" s="224" t="str">
        <f t="shared" si="32"/>
        <v>CASSA</v>
      </c>
      <c r="G150" s="384" t="str">
        <f t="shared" ca="1" si="27"/>
        <v/>
      </c>
      <c r="H150" s="512">
        <f t="shared" ca="1" si="28"/>
        <v>0</v>
      </c>
      <c r="I150" s="1603" t="str">
        <f t="shared" ca="1" si="22"/>
        <v/>
      </c>
      <c r="J150" s="1604"/>
      <c r="K150" s="373"/>
      <c r="L150" s="513">
        <f t="shared" ca="1" si="31"/>
        <v>656.58</v>
      </c>
      <c r="M150" s="654">
        <f t="shared" ca="1" si="29"/>
        <v>1</v>
      </c>
      <c r="N150" s="226">
        <f t="shared" ca="1" si="23"/>
        <v>0</v>
      </c>
      <c r="O150" s="1"/>
    </row>
    <row r="151" spans="1:15" ht="16.5" customHeight="1">
      <c r="A151" s="1"/>
      <c r="B151" s="657" t="str">
        <f t="shared" ca="1" si="24"/>
        <v/>
      </c>
      <c r="C151" s="223" t="str">
        <f t="shared" ca="1" si="25"/>
        <v/>
      </c>
      <c r="D151" s="519">
        <f t="shared" si="30"/>
        <v>146</v>
      </c>
      <c r="E151" s="225" t="str">
        <f t="shared" ca="1" si="26"/>
        <v/>
      </c>
      <c r="F151" s="224" t="str">
        <f t="shared" si="32"/>
        <v>CASSA</v>
      </c>
      <c r="G151" s="384" t="str">
        <f t="shared" ca="1" si="27"/>
        <v/>
      </c>
      <c r="H151" s="512">
        <f t="shared" ca="1" si="28"/>
        <v>0</v>
      </c>
      <c r="I151" s="1603" t="str">
        <f t="shared" ca="1" si="22"/>
        <v/>
      </c>
      <c r="J151" s="1604"/>
      <c r="K151" s="373"/>
      <c r="L151" s="513">
        <f t="shared" ca="1" si="31"/>
        <v>656.58</v>
      </c>
      <c r="M151" s="654">
        <f t="shared" ca="1" si="29"/>
        <v>1</v>
      </c>
      <c r="N151" s="226">
        <f t="shared" ca="1" si="23"/>
        <v>0</v>
      </c>
      <c r="O151" s="1"/>
    </row>
    <row r="152" spans="1:15" ht="16.5" customHeight="1">
      <c r="A152" s="1"/>
      <c r="B152" s="657" t="str">
        <f t="shared" ca="1" si="24"/>
        <v/>
      </c>
      <c r="C152" s="223" t="str">
        <f t="shared" ca="1" si="25"/>
        <v/>
      </c>
      <c r="D152" s="519">
        <f t="shared" si="30"/>
        <v>147</v>
      </c>
      <c r="E152" s="225" t="str">
        <f t="shared" ca="1" si="26"/>
        <v/>
      </c>
      <c r="F152" s="224" t="str">
        <f t="shared" si="32"/>
        <v>CASSA</v>
      </c>
      <c r="G152" s="384" t="str">
        <f t="shared" ca="1" si="27"/>
        <v/>
      </c>
      <c r="H152" s="512">
        <f t="shared" ca="1" si="28"/>
        <v>0</v>
      </c>
      <c r="I152" s="1603" t="str">
        <f t="shared" ca="1" si="22"/>
        <v/>
      </c>
      <c r="J152" s="1604"/>
      <c r="K152" s="373"/>
      <c r="L152" s="513">
        <f t="shared" ca="1" si="31"/>
        <v>656.58</v>
      </c>
      <c r="M152" s="654">
        <f t="shared" ca="1" si="29"/>
        <v>1</v>
      </c>
      <c r="N152" s="226">
        <f t="shared" ca="1" si="23"/>
        <v>0</v>
      </c>
      <c r="O152" s="1"/>
    </row>
    <row r="153" spans="1:15" ht="16.5" customHeight="1">
      <c r="A153" s="1"/>
      <c r="B153" s="657" t="str">
        <f t="shared" ca="1" si="24"/>
        <v/>
      </c>
      <c r="C153" s="223" t="str">
        <f t="shared" ca="1" si="25"/>
        <v/>
      </c>
      <c r="D153" s="519">
        <f t="shared" si="30"/>
        <v>148</v>
      </c>
      <c r="E153" s="225" t="str">
        <f t="shared" ca="1" si="26"/>
        <v/>
      </c>
      <c r="F153" s="224" t="str">
        <f t="shared" si="32"/>
        <v>CASSA</v>
      </c>
      <c r="G153" s="384" t="str">
        <f t="shared" ca="1" si="27"/>
        <v/>
      </c>
      <c r="H153" s="512">
        <f t="shared" ca="1" si="28"/>
        <v>0</v>
      </c>
      <c r="I153" s="1603" t="str">
        <f t="shared" ca="1" si="22"/>
        <v/>
      </c>
      <c r="J153" s="1604"/>
      <c r="K153" s="373"/>
      <c r="L153" s="513">
        <f t="shared" ca="1" si="31"/>
        <v>656.58</v>
      </c>
      <c r="M153" s="654">
        <f t="shared" ca="1" si="29"/>
        <v>1</v>
      </c>
      <c r="N153" s="226">
        <f t="shared" ca="1" si="23"/>
        <v>0</v>
      </c>
      <c r="O153" s="1"/>
    </row>
    <row r="154" spans="1:15" ht="16.5" customHeight="1">
      <c r="A154" s="1"/>
      <c r="B154" s="657" t="str">
        <f t="shared" ca="1" si="24"/>
        <v/>
      </c>
      <c r="C154" s="223" t="str">
        <f t="shared" ca="1" si="25"/>
        <v/>
      </c>
      <c r="D154" s="519">
        <f t="shared" si="30"/>
        <v>149</v>
      </c>
      <c r="E154" s="225" t="str">
        <f t="shared" ca="1" si="26"/>
        <v/>
      </c>
      <c r="F154" s="224" t="str">
        <f t="shared" si="32"/>
        <v>CASSA</v>
      </c>
      <c r="G154" s="384" t="str">
        <f t="shared" ca="1" si="27"/>
        <v/>
      </c>
      <c r="H154" s="512">
        <f t="shared" ca="1" si="28"/>
        <v>0</v>
      </c>
      <c r="I154" s="1603" t="str">
        <f t="shared" ca="1" si="22"/>
        <v/>
      </c>
      <c r="J154" s="1604"/>
      <c r="K154" s="373"/>
      <c r="L154" s="513">
        <f t="shared" ca="1" si="31"/>
        <v>656.58</v>
      </c>
      <c r="M154" s="654">
        <f t="shared" ca="1" si="29"/>
        <v>1</v>
      </c>
      <c r="N154" s="226">
        <f t="shared" ca="1" si="23"/>
        <v>0</v>
      </c>
      <c r="O154" s="1"/>
    </row>
    <row r="155" spans="1:15" ht="16.5" customHeight="1">
      <c r="A155" s="1"/>
      <c r="B155" s="657" t="str">
        <f t="shared" ca="1" si="24"/>
        <v/>
      </c>
      <c r="C155" s="223" t="str">
        <f t="shared" ca="1" si="25"/>
        <v/>
      </c>
      <c r="D155" s="519">
        <f t="shared" si="30"/>
        <v>150</v>
      </c>
      <c r="E155" s="225" t="str">
        <f t="shared" ca="1" si="26"/>
        <v/>
      </c>
      <c r="F155" s="224" t="str">
        <f t="shared" si="32"/>
        <v>CASSA</v>
      </c>
      <c r="G155" s="384" t="str">
        <f t="shared" ca="1" si="27"/>
        <v/>
      </c>
      <c r="H155" s="512">
        <f t="shared" ca="1" si="28"/>
        <v>0</v>
      </c>
      <c r="I155" s="1603" t="str">
        <f t="shared" ca="1" si="22"/>
        <v/>
      </c>
      <c r="J155" s="1604"/>
      <c r="K155" s="373"/>
      <c r="L155" s="513">
        <f t="shared" ca="1" si="31"/>
        <v>656.58</v>
      </c>
      <c r="M155" s="654">
        <f t="shared" ca="1" si="29"/>
        <v>1</v>
      </c>
      <c r="N155" s="226">
        <f t="shared" ca="1" si="23"/>
        <v>0</v>
      </c>
      <c r="O155" s="1"/>
    </row>
    <row r="156" spans="1:15" ht="16.5" customHeight="1">
      <c r="A156" s="1"/>
      <c r="B156" s="657" t="str">
        <f t="shared" ca="1" si="24"/>
        <v/>
      </c>
      <c r="C156" s="223" t="str">
        <f t="shared" ca="1" si="25"/>
        <v/>
      </c>
      <c r="D156" s="519">
        <f t="shared" si="30"/>
        <v>151</v>
      </c>
      <c r="E156" s="225" t="str">
        <f t="shared" ca="1" si="26"/>
        <v/>
      </c>
      <c r="F156" s="224" t="str">
        <f t="shared" si="32"/>
        <v>CASSA</v>
      </c>
      <c r="G156" s="384" t="str">
        <f t="shared" ca="1" si="27"/>
        <v/>
      </c>
      <c r="H156" s="512">
        <f t="shared" ca="1" si="28"/>
        <v>0</v>
      </c>
      <c r="I156" s="1603" t="str">
        <f t="shared" ca="1" si="22"/>
        <v/>
      </c>
      <c r="J156" s="1604"/>
      <c r="K156" s="373"/>
      <c r="L156" s="513">
        <f t="shared" ca="1" si="31"/>
        <v>656.58</v>
      </c>
      <c r="M156" s="654">
        <f t="shared" ca="1" si="29"/>
        <v>1</v>
      </c>
      <c r="N156" s="226">
        <f t="shared" ca="1" si="23"/>
        <v>0</v>
      </c>
      <c r="O156" s="1"/>
    </row>
    <row r="157" spans="1:15" ht="16.5" customHeight="1">
      <c r="A157" s="1"/>
      <c r="B157" s="657" t="str">
        <f t="shared" ca="1" si="24"/>
        <v/>
      </c>
      <c r="C157" s="223" t="str">
        <f t="shared" ca="1" si="25"/>
        <v/>
      </c>
      <c r="D157" s="519">
        <f t="shared" si="30"/>
        <v>152</v>
      </c>
      <c r="E157" s="225" t="str">
        <f t="shared" ca="1" si="26"/>
        <v/>
      </c>
      <c r="F157" s="224" t="str">
        <f t="shared" si="32"/>
        <v>CASSA</v>
      </c>
      <c r="G157" s="384" t="str">
        <f t="shared" ca="1" si="27"/>
        <v/>
      </c>
      <c r="H157" s="512">
        <f t="shared" ca="1" si="28"/>
        <v>0</v>
      </c>
      <c r="I157" s="1603" t="str">
        <f t="shared" ca="1" si="22"/>
        <v/>
      </c>
      <c r="J157" s="1604"/>
      <c r="K157" s="373"/>
      <c r="L157" s="513">
        <f t="shared" ca="1" si="31"/>
        <v>656.58</v>
      </c>
      <c r="M157" s="654">
        <f t="shared" ca="1" si="29"/>
        <v>1</v>
      </c>
      <c r="N157" s="226">
        <f t="shared" ca="1" si="23"/>
        <v>0</v>
      </c>
      <c r="O157" s="1"/>
    </row>
    <row r="158" spans="1:15" ht="16.5" customHeight="1">
      <c r="A158" s="1"/>
      <c r="B158" s="657" t="str">
        <f t="shared" ca="1" si="24"/>
        <v/>
      </c>
      <c r="C158" s="223" t="str">
        <f t="shared" ca="1" si="25"/>
        <v/>
      </c>
      <c r="D158" s="519">
        <f t="shared" si="30"/>
        <v>153</v>
      </c>
      <c r="E158" s="225" t="str">
        <f t="shared" ca="1" si="26"/>
        <v/>
      </c>
      <c r="F158" s="224" t="str">
        <f t="shared" si="32"/>
        <v>CASSA</v>
      </c>
      <c r="G158" s="384" t="str">
        <f t="shared" ca="1" si="27"/>
        <v/>
      </c>
      <c r="H158" s="512">
        <f t="shared" ca="1" si="28"/>
        <v>0</v>
      </c>
      <c r="I158" s="1603" t="str">
        <f t="shared" ca="1" si="22"/>
        <v/>
      </c>
      <c r="J158" s="1604"/>
      <c r="K158" s="373"/>
      <c r="L158" s="513">
        <f t="shared" ca="1" si="31"/>
        <v>656.58</v>
      </c>
      <c r="M158" s="654">
        <f t="shared" ca="1" si="29"/>
        <v>1</v>
      </c>
      <c r="N158" s="226">
        <f t="shared" ca="1" si="23"/>
        <v>0</v>
      </c>
      <c r="O158" s="1"/>
    </row>
    <row r="159" spans="1:15" ht="16.5" customHeight="1">
      <c r="A159" s="1"/>
      <c r="B159" s="657" t="str">
        <f t="shared" ca="1" si="24"/>
        <v/>
      </c>
      <c r="C159" s="223" t="str">
        <f t="shared" ca="1" si="25"/>
        <v/>
      </c>
      <c r="D159" s="519">
        <f t="shared" si="30"/>
        <v>154</v>
      </c>
      <c r="E159" s="225" t="str">
        <f t="shared" ca="1" si="26"/>
        <v/>
      </c>
      <c r="F159" s="224" t="str">
        <f t="shared" si="32"/>
        <v>CASSA</v>
      </c>
      <c r="G159" s="384" t="str">
        <f t="shared" ca="1" si="27"/>
        <v/>
      </c>
      <c r="H159" s="512">
        <f t="shared" ca="1" si="28"/>
        <v>0</v>
      </c>
      <c r="I159" s="1603" t="str">
        <f t="shared" ca="1" si="22"/>
        <v/>
      </c>
      <c r="J159" s="1604"/>
      <c r="K159" s="373"/>
      <c r="L159" s="513">
        <f t="shared" ca="1" si="31"/>
        <v>656.58</v>
      </c>
      <c r="M159" s="654">
        <f t="shared" ca="1" si="29"/>
        <v>1</v>
      </c>
      <c r="N159" s="226">
        <f t="shared" ca="1" si="23"/>
        <v>0</v>
      </c>
      <c r="O159" s="1"/>
    </row>
    <row r="160" spans="1:15" ht="16.5" customHeight="1">
      <c r="A160" s="1"/>
      <c r="B160" s="657" t="str">
        <f t="shared" ca="1" si="24"/>
        <v/>
      </c>
      <c r="C160" s="223" t="str">
        <f t="shared" ca="1" si="25"/>
        <v/>
      </c>
      <c r="D160" s="519">
        <f t="shared" si="30"/>
        <v>155</v>
      </c>
      <c r="E160" s="225" t="str">
        <f t="shared" ca="1" si="26"/>
        <v/>
      </c>
      <c r="F160" s="224" t="str">
        <f t="shared" si="32"/>
        <v>CASSA</v>
      </c>
      <c r="G160" s="384" t="str">
        <f t="shared" ca="1" si="27"/>
        <v/>
      </c>
      <c r="H160" s="512">
        <f t="shared" ca="1" si="28"/>
        <v>0</v>
      </c>
      <c r="I160" s="1603" t="str">
        <f t="shared" ca="1" si="22"/>
        <v/>
      </c>
      <c r="J160" s="1604"/>
      <c r="K160" s="373"/>
      <c r="L160" s="513">
        <f t="shared" ca="1" si="31"/>
        <v>656.58</v>
      </c>
      <c r="M160" s="654">
        <f t="shared" ca="1" si="29"/>
        <v>1</v>
      </c>
      <c r="N160" s="226">
        <f t="shared" ca="1" si="23"/>
        <v>0</v>
      </c>
      <c r="O160" s="1"/>
    </row>
    <row r="161" spans="1:15" ht="16.5" customHeight="1">
      <c r="A161" s="1"/>
      <c r="B161" s="657" t="str">
        <f t="shared" ca="1" si="24"/>
        <v/>
      </c>
      <c r="C161" s="223" t="str">
        <f t="shared" ca="1" si="25"/>
        <v/>
      </c>
      <c r="D161" s="519">
        <f t="shared" si="30"/>
        <v>156</v>
      </c>
      <c r="E161" s="225" t="str">
        <f t="shared" ca="1" si="26"/>
        <v/>
      </c>
      <c r="F161" s="224" t="str">
        <f t="shared" si="32"/>
        <v>CASSA</v>
      </c>
      <c r="G161" s="384" t="str">
        <f t="shared" ca="1" si="27"/>
        <v/>
      </c>
      <c r="H161" s="512">
        <f t="shared" ca="1" si="28"/>
        <v>0</v>
      </c>
      <c r="I161" s="1603" t="str">
        <f t="shared" ca="1" si="22"/>
        <v/>
      </c>
      <c r="J161" s="1604"/>
      <c r="K161" s="373"/>
      <c r="L161" s="513">
        <f t="shared" ca="1" si="31"/>
        <v>656.58</v>
      </c>
      <c r="M161" s="654">
        <f t="shared" ca="1" si="29"/>
        <v>1</v>
      </c>
      <c r="N161" s="226">
        <f t="shared" ca="1" si="23"/>
        <v>0</v>
      </c>
      <c r="O161" s="1"/>
    </row>
    <row r="162" spans="1:15" ht="16.5" customHeight="1">
      <c r="A162" s="1"/>
      <c r="B162" s="657" t="str">
        <f t="shared" ca="1" si="24"/>
        <v/>
      </c>
      <c r="C162" s="223" t="str">
        <f t="shared" ca="1" si="25"/>
        <v/>
      </c>
      <c r="D162" s="519">
        <f t="shared" si="30"/>
        <v>157</v>
      </c>
      <c r="E162" s="225" t="str">
        <f t="shared" ca="1" si="26"/>
        <v/>
      </c>
      <c r="F162" s="224" t="str">
        <f t="shared" si="32"/>
        <v>CASSA</v>
      </c>
      <c r="G162" s="384" t="str">
        <f t="shared" ca="1" si="27"/>
        <v/>
      </c>
      <c r="H162" s="512">
        <f t="shared" ca="1" si="28"/>
        <v>0</v>
      </c>
      <c r="I162" s="1603" t="str">
        <f t="shared" ca="1" si="22"/>
        <v/>
      </c>
      <c r="J162" s="1604"/>
      <c r="K162" s="373"/>
      <c r="L162" s="513">
        <f t="shared" ca="1" si="31"/>
        <v>656.58</v>
      </c>
      <c r="M162" s="654">
        <f t="shared" ca="1" si="29"/>
        <v>1</v>
      </c>
      <c r="N162" s="226">
        <f t="shared" ca="1" si="23"/>
        <v>0</v>
      </c>
      <c r="O162" s="1"/>
    </row>
    <row r="163" spans="1:15" ht="16.5" customHeight="1">
      <c r="A163" s="1"/>
      <c r="B163" s="657" t="str">
        <f t="shared" ca="1" si="24"/>
        <v/>
      </c>
      <c r="C163" s="223" t="str">
        <f t="shared" ca="1" si="25"/>
        <v/>
      </c>
      <c r="D163" s="519">
        <f t="shared" si="30"/>
        <v>158</v>
      </c>
      <c r="E163" s="225" t="str">
        <f t="shared" ca="1" si="26"/>
        <v/>
      </c>
      <c r="F163" s="224" t="str">
        <f t="shared" si="32"/>
        <v>CASSA</v>
      </c>
      <c r="G163" s="384" t="str">
        <f t="shared" ca="1" si="27"/>
        <v/>
      </c>
      <c r="H163" s="512">
        <f t="shared" ca="1" si="28"/>
        <v>0</v>
      </c>
      <c r="I163" s="1603" t="str">
        <f t="shared" ca="1" si="22"/>
        <v/>
      </c>
      <c r="J163" s="1604"/>
      <c r="K163" s="373"/>
      <c r="L163" s="513">
        <f t="shared" ca="1" si="31"/>
        <v>656.58</v>
      </c>
      <c r="M163" s="654">
        <f t="shared" ca="1" si="29"/>
        <v>1</v>
      </c>
      <c r="N163" s="226">
        <f t="shared" ca="1" si="23"/>
        <v>0</v>
      </c>
      <c r="O163" s="1"/>
    </row>
    <row r="164" spans="1:15" ht="16.5" customHeight="1">
      <c r="A164" s="1"/>
      <c r="B164" s="657" t="str">
        <f t="shared" ca="1" si="24"/>
        <v/>
      </c>
      <c r="C164" s="223" t="str">
        <f t="shared" ca="1" si="25"/>
        <v/>
      </c>
      <c r="D164" s="519">
        <f t="shared" si="30"/>
        <v>159</v>
      </c>
      <c r="E164" s="225" t="str">
        <f t="shared" ca="1" si="26"/>
        <v/>
      </c>
      <c r="F164" s="224" t="str">
        <f t="shared" si="32"/>
        <v>CASSA</v>
      </c>
      <c r="G164" s="384" t="str">
        <f t="shared" ca="1" si="27"/>
        <v/>
      </c>
      <c r="H164" s="512">
        <f t="shared" ca="1" si="28"/>
        <v>0</v>
      </c>
      <c r="I164" s="1603" t="str">
        <f t="shared" ca="1" si="22"/>
        <v/>
      </c>
      <c r="J164" s="1604"/>
      <c r="K164" s="373"/>
      <c r="L164" s="513">
        <f t="shared" ca="1" si="31"/>
        <v>656.58</v>
      </c>
      <c r="M164" s="654">
        <f t="shared" ca="1" si="29"/>
        <v>1</v>
      </c>
      <c r="N164" s="226">
        <f t="shared" ca="1" si="23"/>
        <v>0</v>
      </c>
      <c r="O164" s="1"/>
    </row>
    <row r="165" spans="1:15" ht="16.5" customHeight="1">
      <c r="A165" s="1"/>
      <c r="B165" s="657" t="str">
        <f t="shared" ca="1" si="24"/>
        <v/>
      </c>
      <c r="C165" s="223" t="str">
        <f t="shared" ca="1" si="25"/>
        <v/>
      </c>
      <c r="D165" s="519">
        <f t="shared" si="30"/>
        <v>160</v>
      </c>
      <c r="E165" s="225" t="str">
        <f t="shared" ca="1" si="26"/>
        <v/>
      </c>
      <c r="F165" s="224" t="str">
        <f t="shared" si="32"/>
        <v>CASSA</v>
      </c>
      <c r="G165" s="384" t="str">
        <f t="shared" ca="1" si="27"/>
        <v/>
      </c>
      <c r="H165" s="512">
        <f t="shared" ca="1" si="28"/>
        <v>0</v>
      </c>
      <c r="I165" s="1603" t="str">
        <f t="shared" ca="1" si="22"/>
        <v/>
      </c>
      <c r="J165" s="1604"/>
      <c r="K165" s="373"/>
      <c r="L165" s="513">
        <f t="shared" ca="1" si="31"/>
        <v>656.58</v>
      </c>
      <c r="M165" s="654">
        <f t="shared" ca="1" si="29"/>
        <v>1</v>
      </c>
      <c r="N165" s="226">
        <f t="shared" ca="1" si="23"/>
        <v>0</v>
      </c>
      <c r="O165" s="1"/>
    </row>
    <row r="166" spans="1:15" ht="16.5" customHeight="1">
      <c r="A166" s="1"/>
      <c r="B166" s="657" t="str">
        <f t="shared" ca="1" si="24"/>
        <v/>
      </c>
      <c r="C166" s="223" t="str">
        <f t="shared" ca="1" si="25"/>
        <v/>
      </c>
      <c r="D166" s="519">
        <f t="shared" si="30"/>
        <v>161</v>
      </c>
      <c r="E166" s="225" t="str">
        <f t="shared" ca="1" si="26"/>
        <v/>
      </c>
      <c r="F166" s="224" t="str">
        <f t="shared" si="32"/>
        <v>CASSA</v>
      </c>
      <c r="G166" s="384" t="str">
        <f t="shared" ca="1" si="27"/>
        <v/>
      </c>
      <c r="H166" s="512">
        <f t="shared" ca="1" si="28"/>
        <v>0</v>
      </c>
      <c r="I166" s="1603" t="str">
        <f t="shared" ca="1" si="22"/>
        <v/>
      </c>
      <c r="J166" s="1604"/>
      <c r="K166" s="373"/>
      <c r="L166" s="513">
        <f t="shared" ca="1" si="31"/>
        <v>656.58</v>
      </c>
      <c r="M166" s="654">
        <f t="shared" ca="1" si="29"/>
        <v>1</v>
      </c>
      <c r="N166" s="226">
        <f t="shared" ca="1" si="23"/>
        <v>0</v>
      </c>
      <c r="O166" s="1"/>
    </row>
    <row r="167" spans="1:15" ht="16.5" customHeight="1">
      <c r="A167" s="1"/>
      <c r="B167" s="657" t="str">
        <f t="shared" ca="1" si="24"/>
        <v/>
      </c>
      <c r="C167" s="223" t="str">
        <f t="shared" ca="1" si="25"/>
        <v/>
      </c>
      <c r="D167" s="519">
        <f t="shared" si="30"/>
        <v>162</v>
      </c>
      <c r="E167" s="225" t="str">
        <f t="shared" ca="1" si="26"/>
        <v/>
      </c>
      <c r="F167" s="224" t="str">
        <f t="shared" si="32"/>
        <v>CASSA</v>
      </c>
      <c r="G167" s="384" t="str">
        <f t="shared" ca="1" si="27"/>
        <v/>
      </c>
      <c r="H167" s="512">
        <f t="shared" ca="1" si="28"/>
        <v>0</v>
      </c>
      <c r="I167" s="1603" t="str">
        <f t="shared" ca="1" si="22"/>
        <v/>
      </c>
      <c r="J167" s="1604"/>
      <c r="K167" s="373"/>
      <c r="L167" s="513">
        <f t="shared" ca="1" si="31"/>
        <v>656.58</v>
      </c>
      <c r="M167" s="654">
        <f t="shared" ca="1" si="29"/>
        <v>1</v>
      </c>
      <c r="N167" s="226">
        <f t="shared" ca="1" si="23"/>
        <v>0</v>
      </c>
      <c r="O167" s="1"/>
    </row>
    <row r="168" spans="1:15" ht="16.5" customHeight="1">
      <c r="A168" s="1"/>
      <c r="B168" s="657" t="str">
        <f t="shared" ca="1" si="24"/>
        <v/>
      </c>
      <c r="C168" s="223" t="str">
        <f t="shared" ca="1" si="25"/>
        <v/>
      </c>
      <c r="D168" s="519">
        <f t="shared" si="30"/>
        <v>163</v>
      </c>
      <c r="E168" s="225" t="str">
        <f t="shared" ca="1" si="26"/>
        <v/>
      </c>
      <c r="F168" s="224" t="str">
        <f t="shared" si="32"/>
        <v>CASSA</v>
      </c>
      <c r="G168" s="384" t="str">
        <f t="shared" ca="1" si="27"/>
        <v/>
      </c>
      <c r="H168" s="512">
        <f t="shared" ca="1" si="28"/>
        <v>0</v>
      </c>
      <c r="I168" s="1603" t="str">
        <f t="shared" ca="1" si="22"/>
        <v/>
      </c>
      <c r="J168" s="1604"/>
      <c r="K168" s="373"/>
      <c r="L168" s="513">
        <f t="shared" ca="1" si="31"/>
        <v>656.58</v>
      </c>
      <c r="M168" s="654">
        <f t="shared" ca="1" si="29"/>
        <v>1</v>
      </c>
      <c r="N168" s="226">
        <f t="shared" ca="1" si="23"/>
        <v>0</v>
      </c>
      <c r="O168" s="1"/>
    </row>
    <row r="169" spans="1:15" ht="16.5" customHeight="1">
      <c r="A169" s="1"/>
      <c r="B169" s="657" t="str">
        <f t="shared" ca="1" si="24"/>
        <v/>
      </c>
      <c r="C169" s="223" t="str">
        <f t="shared" ca="1" si="25"/>
        <v/>
      </c>
      <c r="D169" s="519">
        <f t="shared" si="30"/>
        <v>164</v>
      </c>
      <c r="E169" s="225" t="str">
        <f t="shared" ca="1" si="26"/>
        <v/>
      </c>
      <c r="F169" s="224" t="str">
        <f t="shared" si="32"/>
        <v>CASSA</v>
      </c>
      <c r="G169" s="384" t="str">
        <f t="shared" ca="1" si="27"/>
        <v/>
      </c>
      <c r="H169" s="512">
        <f t="shared" ca="1" si="28"/>
        <v>0</v>
      </c>
      <c r="I169" s="1603" t="str">
        <f t="shared" ca="1" si="22"/>
        <v/>
      </c>
      <c r="J169" s="1604"/>
      <c r="K169" s="373"/>
      <c r="L169" s="513">
        <f t="shared" ca="1" si="31"/>
        <v>656.58</v>
      </c>
      <c r="M169" s="654">
        <f t="shared" ca="1" si="29"/>
        <v>1</v>
      </c>
      <c r="N169" s="226">
        <f t="shared" ca="1" si="23"/>
        <v>0</v>
      </c>
      <c r="O169" s="1"/>
    </row>
    <row r="170" spans="1:15" ht="16.5" customHeight="1">
      <c r="A170" s="1"/>
      <c r="B170" s="657" t="str">
        <f t="shared" ca="1" si="24"/>
        <v/>
      </c>
      <c r="C170" s="223" t="str">
        <f t="shared" ca="1" si="25"/>
        <v/>
      </c>
      <c r="D170" s="519">
        <f t="shared" si="30"/>
        <v>165</v>
      </c>
      <c r="E170" s="225" t="str">
        <f t="shared" ca="1" si="26"/>
        <v/>
      </c>
      <c r="F170" s="224" t="str">
        <f t="shared" si="32"/>
        <v>CASSA</v>
      </c>
      <c r="G170" s="384" t="str">
        <f t="shared" ca="1" si="27"/>
        <v/>
      </c>
      <c r="H170" s="512">
        <f t="shared" ca="1" si="28"/>
        <v>0</v>
      </c>
      <c r="I170" s="1603" t="str">
        <f t="shared" ca="1" si="22"/>
        <v/>
      </c>
      <c r="J170" s="1604"/>
      <c r="K170" s="373"/>
      <c r="L170" s="513">
        <f t="shared" ca="1" si="31"/>
        <v>656.58</v>
      </c>
      <c r="M170" s="654">
        <f t="shared" ca="1" si="29"/>
        <v>1</v>
      </c>
      <c r="N170" s="226">
        <f t="shared" ca="1" si="23"/>
        <v>0</v>
      </c>
      <c r="O170" s="1"/>
    </row>
    <row r="171" spans="1:15" ht="16.5" customHeight="1">
      <c r="A171" s="1"/>
      <c r="B171" s="657" t="str">
        <f t="shared" ca="1" si="24"/>
        <v/>
      </c>
      <c r="C171" s="223" t="str">
        <f t="shared" ca="1" si="25"/>
        <v/>
      </c>
      <c r="D171" s="519">
        <f t="shared" si="30"/>
        <v>166</v>
      </c>
      <c r="E171" s="225" t="str">
        <f t="shared" ca="1" si="26"/>
        <v/>
      </c>
      <c r="F171" s="224" t="str">
        <f t="shared" si="32"/>
        <v>CASSA</v>
      </c>
      <c r="G171" s="384" t="str">
        <f t="shared" ca="1" si="27"/>
        <v/>
      </c>
      <c r="H171" s="512">
        <f t="shared" ca="1" si="28"/>
        <v>0</v>
      </c>
      <c r="I171" s="1603" t="str">
        <f t="shared" ca="1" si="22"/>
        <v/>
      </c>
      <c r="J171" s="1604"/>
      <c r="K171" s="373"/>
      <c r="L171" s="513">
        <f t="shared" ca="1" si="31"/>
        <v>656.58</v>
      </c>
      <c r="M171" s="654">
        <f t="shared" ca="1" si="29"/>
        <v>1</v>
      </c>
      <c r="N171" s="226">
        <f t="shared" ca="1" si="23"/>
        <v>0</v>
      </c>
      <c r="O171" s="1"/>
    </row>
    <row r="172" spans="1:15" ht="16.5" customHeight="1">
      <c r="A172" s="1"/>
      <c r="B172" s="657" t="str">
        <f t="shared" ca="1" si="24"/>
        <v/>
      </c>
      <c r="C172" s="223" t="str">
        <f t="shared" ca="1" si="25"/>
        <v/>
      </c>
      <c r="D172" s="519">
        <f t="shared" si="30"/>
        <v>167</v>
      </c>
      <c r="E172" s="225" t="str">
        <f t="shared" ca="1" si="26"/>
        <v/>
      </c>
      <c r="F172" s="224" t="str">
        <f t="shared" si="32"/>
        <v>CASSA</v>
      </c>
      <c r="G172" s="384" t="str">
        <f t="shared" ca="1" si="27"/>
        <v/>
      </c>
      <c r="H172" s="512">
        <f t="shared" ca="1" si="28"/>
        <v>0</v>
      </c>
      <c r="I172" s="1603" t="str">
        <f t="shared" ca="1" si="22"/>
        <v/>
      </c>
      <c r="J172" s="1604"/>
      <c r="K172" s="373"/>
      <c r="L172" s="513">
        <f t="shared" ca="1" si="31"/>
        <v>656.58</v>
      </c>
      <c r="M172" s="654">
        <f t="shared" ca="1" si="29"/>
        <v>1</v>
      </c>
      <c r="N172" s="226">
        <f t="shared" ca="1" si="23"/>
        <v>0</v>
      </c>
      <c r="O172" s="1"/>
    </row>
    <row r="173" spans="1:15" ht="16.5" customHeight="1">
      <c r="A173" s="1"/>
      <c r="B173" s="657" t="str">
        <f t="shared" ca="1" si="24"/>
        <v/>
      </c>
      <c r="C173" s="223" t="str">
        <f t="shared" ca="1" si="25"/>
        <v/>
      </c>
      <c r="D173" s="519">
        <f t="shared" si="30"/>
        <v>168</v>
      </c>
      <c r="E173" s="225" t="str">
        <f t="shared" ca="1" si="26"/>
        <v/>
      </c>
      <c r="F173" s="224" t="str">
        <f t="shared" si="32"/>
        <v>CASSA</v>
      </c>
      <c r="G173" s="384" t="str">
        <f t="shared" ca="1" si="27"/>
        <v/>
      </c>
      <c r="H173" s="512">
        <f t="shared" ca="1" si="28"/>
        <v>0</v>
      </c>
      <c r="I173" s="1603" t="str">
        <f t="shared" ca="1" si="22"/>
        <v/>
      </c>
      <c r="J173" s="1604"/>
      <c r="K173" s="373"/>
      <c r="L173" s="513">
        <f t="shared" ca="1" si="31"/>
        <v>656.58</v>
      </c>
      <c r="M173" s="654">
        <f t="shared" ca="1" si="29"/>
        <v>1</v>
      </c>
      <c r="N173" s="226">
        <f t="shared" ca="1" si="23"/>
        <v>0</v>
      </c>
      <c r="O173" s="1"/>
    </row>
    <row r="174" spans="1:15" ht="16.5" customHeight="1">
      <c r="A174" s="1"/>
      <c r="B174" s="657" t="str">
        <f t="shared" ca="1" si="24"/>
        <v/>
      </c>
      <c r="C174" s="223" t="str">
        <f t="shared" ca="1" si="25"/>
        <v/>
      </c>
      <c r="D174" s="519">
        <f t="shared" si="30"/>
        <v>169</v>
      </c>
      <c r="E174" s="225" t="str">
        <f t="shared" ca="1" si="26"/>
        <v/>
      </c>
      <c r="F174" s="224" t="str">
        <f t="shared" si="32"/>
        <v>CASSA</v>
      </c>
      <c r="G174" s="384" t="str">
        <f t="shared" ca="1" si="27"/>
        <v/>
      </c>
      <c r="H174" s="512">
        <f t="shared" ca="1" si="28"/>
        <v>0</v>
      </c>
      <c r="I174" s="1603" t="str">
        <f t="shared" ca="1" si="22"/>
        <v/>
      </c>
      <c r="J174" s="1604"/>
      <c r="K174" s="373"/>
      <c r="L174" s="513">
        <f t="shared" ca="1" si="31"/>
        <v>656.58</v>
      </c>
      <c r="M174" s="654">
        <f t="shared" ca="1" si="29"/>
        <v>1</v>
      </c>
      <c r="N174" s="226">
        <f t="shared" ca="1" si="23"/>
        <v>0</v>
      </c>
      <c r="O174" s="1"/>
    </row>
    <row r="175" spans="1:15" ht="16.5" customHeight="1">
      <c r="A175" s="1"/>
      <c r="B175" s="657" t="str">
        <f t="shared" ca="1" si="24"/>
        <v/>
      </c>
      <c r="C175" s="223" t="str">
        <f t="shared" ca="1" si="25"/>
        <v/>
      </c>
      <c r="D175" s="519">
        <f t="shared" si="30"/>
        <v>170</v>
      </c>
      <c r="E175" s="225" t="str">
        <f t="shared" ca="1" si="26"/>
        <v/>
      </c>
      <c r="F175" s="224" t="str">
        <f t="shared" si="32"/>
        <v>CASSA</v>
      </c>
      <c r="G175" s="384" t="str">
        <f t="shared" ca="1" si="27"/>
        <v/>
      </c>
      <c r="H175" s="512">
        <f t="shared" ca="1" si="28"/>
        <v>0</v>
      </c>
      <c r="I175" s="1603" t="str">
        <f t="shared" ca="1" si="22"/>
        <v/>
      </c>
      <c r="J175" s="1604"/>
      <c r="K175" s="373"/>
      <c r="L175" s="513">
        <f t="shared" ca="1" si="31"/>
        <v>656.58</v>
      </c>
      <c r="M175" s="654">
        <f t="shared" ca="1" si="29"/>
        <v>1</v>
      </c>
      <c r="N175" s="226">
        <f t="shared" ca="1" si="23"/>
        <v>0</v>
      </c>
      <c r="O175" s="1"/>
    </row>
    <row r="176" spans="1:15" ht="16.5" customHeight="1">
      <c r="A176" s="1"/>
      <c r="B176" s="657" t="str">
        <f t="shared" ca="1" si="24"/>
        <v/>
      </c>
      <c r="C176" s="223" t="str">
        <f t="shared" ca="1" si="25"/>
        <v/>
      </c>
      <c r="D176" s="519">
        <f t="shared" si="30"/>
        <v>171</v>
      </c>
      <c r="E176" s="225" t="str">
        <f t="shared" ca="1" si="26"/>
        <v/>
      </c>
      <c r="F176" s="224" t="str">
        <f t="shared" si="32"/>
        <v>CASSA</v>
      </c>
      <c r="G176" s="384" t="str">
        <f t="shared" ca="1" si="27"/>
        <v/>
      </c>
      <c r="H176" s="512">
        <f t="shared" ca="1" si="28"/>
        <v>0</v>
      </c>
      <c r="I176" s="1603" t="str">
        <f t="shared" ca="1" si="22"/>
        <v/>
      </c>
      <c r="J176" s="1604"/>
      <c r="K176" s="373"/>
      <c r="L176" s="513">
        <f t="shared" ca="1" si="31"/>
        <v>656.58</v>
      </c>
      <c r="M176" s="654">
        <f t="shared" ca="1" si="29"/>
        <v>1</v>
      </c>
      <c r="N176" s="226">
        <f t="shared" ca="1" si="23"/>
        <v>0</v>
      </c>
      <c r="O176" s="1"/>
    </row>
    <row r="177" spans="1:15" ht="16.5" customHeight="1">
      <c r="A177" s="1"/>
      <c r="B177" s="657" t="str">
        <f t="shared" ca="1" si="24"/>
        <v/>
      </c>
      <c r="C177" s="223" t="str">
        <f t="shared" ca="1" si="25"/>
        <v/>
      </c>
      <c r="D177" s="519">
        <f t="shared" si="30"/>
        <v>172</v>
      </c>
      <c r="E177" s="225" t="str">
        <f t="shared" ca="1" si="26"/>
        <v/>
      </c>
      <c r="F177" s="224" t="str">
        <f t="shared" si="32"/>
        <v>CASSA</v>
      </c>
      <c r="G177" s="384" t="str">
        <f t="shared" ca="1" si="27"/>
        <v/>
      </c>
      <c r="H177" s="512">
        <f t="shared" ca="1" si="28"/>
        <v>0</v>
      </c>
      <c r="I177" s="1603" t="str">
        <f t="shared" ca="1" si="22"/>
        <v/>
      </c>
      <c r="J177" s="1604"/>
      <c r="K177" s="373"/>
      <c r="L177" s="513">
        <f t="shared" ca="1" si="31"/>
        <v>656.58</v>
      </c>
      <c r="M177" s="654">
        <f t="shared" ca="1" si="29"/>
        <v>1</v>
      </c>
      <c r="N177" s="226">
        <f t="shared" ca="1" si="23"/>
        <v>0</v>
      </c>
      <c r="O177" s="1"/>
    </row>
    <row r="178" spans="1:15" ht="16.5" customHeight="1">
      <c r="A178" s="1"/>
      <c r="B178" s="657" t="str">
        <f t="shared" ca="1" si="24"/>
        <v/>
      </c>
      <c r="C178" s="223" t="str">
        <f t="shared" ca="1" si="25"/>
        <v/>
      </c>
      <c r="D178" s="519">
        <f t="shared" si="30"/>
        <v>173</v>
      </c>
      <c r="E178" s="225" t="str">
        <f t="shared" ca="1" si="26"/>
        <v/>
      </c>
      <c r="F178" s="224" t="str">
        <f t="shared" si="32"/>
        <v>CASSA</v>
      </c>
      <c r="G178" s="384" t="str">
        <f t="shared" ca="1" si="27"/>
        <v/>
      </c>
      <c r="H178" s="512">
        <f t="shared" ca="1" si="28"/>
        <v>0</v>
      </c>
      <c r="I178" s="1603" t="str">
        <f t="shared" ca="1" si="22"/>
        <v/>
      </c>
      <c r="J178" s="1604"/>
      <c r="K178" s="373"/>
      <c r="L178" s="513">
        <f t="shared" ca="1" si="31"/>
        <v>656.58</v>
      </c>
      <c r="M178" s="654">
        <f t="shared" ca="1" si="29"/>
        <v>1</v>
      </c>
      <c r="N178" s="226">
        <f t="shared" ca="1" si="23"/>
        <v>0</v>
      </c>
      <c r="O178" s="1"/>
    </row>
    <row r="179" spans="1:15" ht="16.5" customHeight="1">
      <c r="A179" s="1"/>
      <c r="B179" s="657" t="str">
        <f t="shared" ca="1" si="24"/>
        <v/>
      </c>
      <c r="C179" s="223" t="str">
        <f t="shared" ca="1" si="25"/>
        <v/>
      </c>
      <c r="D179" s="519">
        <f t="shared" si="30"/>
        <v>174</v>
      </c>
      <c r="E179" s="225" t="str">
        <f t="shared" ca="1" si="26"/>
        <v/>
      </c>
      <c r="F179" s="224" t="str">
        <f t="shared" si="32"/>
        <v>CASSA</v>
      </c>
      <c r="G179" s="384" t="str">
        <f t="shared" ca="1" si="27"/>
        <v/>
      </c>
      <c r="H179" s="512">
        <f t="shared" ca="1" si="28"/>
        <v>0</v>
      </c>
      <c r="I179" s="1603" t="str">
        <f t="shared" ca="1" si="22"/>
        <v/>
      </c>
      <c r="J179" s="1604"/>
      <c r="K179" s="373"/>
      <c r="L179" s="513">
        <f t="shared" ca="1" si="31"/>
        <v>656.58</v>
      </c>
      <c r="M179" s="654">
        <f t="shared" ca="1" si="29"/>
        <v>1</v>
      </c>
      <c r="N179" s="226">
        <f t="shared" ca="1" si="23"/>
        <v>0</v>
      </c>
      <c r="O179" s="1"/>
    </row>
    <row r="180" spans="1:15" ht="16.5" customHeight="1">
      <c r="A180" s="1"/>
      <c r="B180" s="657" t="str">
        <f t="shared" ca="1" si="24"/>
        <v/>
      </c>
      <c r="C180" s="223" t="str">
        <f t="shared" ca="1" si="25"/>
        <v/>
      </c>
      <c r="D180" s="519">
        <f t="shared" si="30"/>
        <v>175</v>
      </c>
      <c r="E180" s="225" t="str">
        <f t="shared" ca="1" si="26"/>
        <v/>
      </c>
      <c r="F180" s="224" t="str">
        <f t="shared" si="32"/>
        <v>CASSA</v>
      </c>
      <c r="G180" s="384" t="str">
        <f t="shared" ca="1" si="27"/>
        <v/>
      </c>
      <c r="H180" s="512">
        <f t="shared" ca="1" si="28"/>
        <v>0</v>
      </c>
      <c r="I180" s="1603" t="str">
        <f t="shared" ca="1" si="22"/>
        <v/>
      </c>
      <c r="J180" s="1604"/>
      <c r="K180" s="373"/>
      <c r="L180" s="513">
        <f t="shared" ca="1" si="31"/>
        <v>656.58</v>
      </c>
      <c r="M180" s="654">
        <f t="shared" ca="1" si="29"/>
        <v>1</v>
      </c>
      <c r="N180" s="226">
        <f t="shared" ca="1" si="23"/>
        <v>0</v>
      </c>
      <c r="O180" s="1"/>
    </row>
    <row r="181" spans="1:15" ht="16.5" customHeight="1">
      <c r="A181" s="1"/>
      <c r="B181" s="657" t="str">
        <f t="shared" ca="1" si="24"/>
        <v/>
      </c>
      <c r="C181" s="223" t="str">
        <f t="shared" ca="1" si="25"/>
        <v/>
      </c>
      <c r="D181" s="519">
        <f t="shared" si="30"/>
        <v>176</v>
      </c>
      <c r="E181" s="225" t="str">
        <f t="shared" ca="1" si="26"/>
        <v/>
      </c>
      <c r="F181" s="224" t="str">
        <f t="shared" si="32"/>
        <v>CASSA</v>
      </c>
      <c r="G181" s="384" t="str">
        <f t="shared" ca="1" si="27"/>
        <v/>
      </c>
      <c r="H181" s="512">
        <f t="shared" ca="1" si="28"/>
        <v>0</v>
      </c>
      <c r="I181" s="1603" t="str">
        <f t="shared" ca="1" si="22"/>
        <v/>
      </c>
      <c r="J181" s="1604"/>
      <c r="K181" s="373"/>
      <c r="L181" s="513">
        <f t="shared" ca="1" si="31"/>
        <v>656.58</v>
      </c>
      <c r="M181" s="654">
        <f t="shared" ca="1" si="29"/>
        <v>1</v>
      </c>
      <c r="N181" s="226">
        <f t="shared" ca="1" si="23"/>
        <v>0</v>
      </c>
      <c r="O181" s="1"/>
    </row>
    <row r="182" spans="1:15" ht="16.5" customHeight="1">
      <c r="A182" s="1"/>
      <c r="B182" s="657" t="str">
        <f t="shared" ca="1" si="24"/>
        <v/>
      </c>
      <c r="C182" s="223" t="str">
        <f t="shared" ca="1" si="25"/>
        <v/>
      </c>
      <c r="D182" s="519">
        <f t="shared" si="30"/>
        <v>177</v>
      </c>
      <c r="E182" s="225" t="str">
        <f t="shared" ca="1" si="26"/>
        <v/>
      </c>
      <c r="F182" s="224" t="str">
        <f t="shared" si="32"/>
        <v>CASSA</v>
      </c>
      <c r="G182" s="384" t="str">
        <f t="shared" ca="1" si="27"/>
        <v/>
      </c>
      <c r="H182" s="512">
        <f t="shared" ca="1" si="28"/>
        <v>0</v>
      </c>
      <c r="I182" s="1603" t="str">
        <f t="shared" ca="1" si="22"/>
        <v/>
      </c>
      <c r="J182" s="1604"/>
      <c r="K182" s="373"/>
      <c r="L182" s="513">
        <f t="shared" ca="1" si="31"/>
        <v>656.58</v>
      </c>
      <c r="M182" s="654">
        <f t="shared" ca="1" si="29"/>
        <v>1</v>
      </c>
      <c r="N182" s="226">
        <f t="shared" ca="1" si="23"/>
        <v>0</v>
      </c>
      <c r="O182" s="1"/>
    </row>
    <row r="183" spans="1:15" ht="16.5" customHeight="1">
      <c r="A183" s="1"/>
      <c r="B183" s="657" t="str">
        <f t="shared" ca="1" si="24"/>
        <v/>
      </c>
      <c r="C183" s="223" t="str">
        <f t="shared" ca="1" si="25"/>
        <v/>
      </c>
      <c r="D183" s="519">
        <f t="shared" si="30"/>
        <v>178</v>
      </c>
      <c r="E183" s="225" t="str">
        <f t="shared" ca="1" si="26"/>
        <v/>
      </c>
      <c r="F183" s="224" t="str">
        <f t="shared" si="32"/>
        <v>CASSA</v>
      </c>
      <c r="G183" s="384" t="str">
        <f t="shared" ca="1" si="27"/>
        <v/>
      </c>
      <c r="H183" s="512">
        <f t="shared" ca="1" si="28"/>
        <v>0</v>
      </c>
      <c r="I183" s="1603" t="str">
        <f t="shared" ca="1" si="22"/>
        <v/>
      </c>
      <c r="J183" s="1604"/>
      <c r="K183" s="373"/>
      <c r="L183" s="513">
        <f t="shared" ca="1" si="31"/>
        <v>656.58</v>
      </c>
      <c r="M183" s="654">
        <f t="shared" ca="1" si="29"/>
        <v>1</v>
      </c>
      <c r="N183" s="226">
        <f t="shared" ca="1" si="23"/>
        <v>0</v>
      </c>
      <c r="O183" s="1"/>
    </row>
    <row r="184" spans="1:15" ht="16.5" customHeight="1">
      <c r="A184" s="1"/>
      <c r="B184" s="657" t="str">
        <f t="shared" ca="1" si="24"/>
        <v/>
      </c>
      <c r="C184" s="223" t="str">
        <f t="shared" ca="1" si="25"/>
        <v/>
      </c>
      <c r="D184" s="519">
        <f t="shared" si="30"/>
        <v>179</v>
      </c>
      <c r="E184" s="225" t="str">
        <f t="shared" ca="1" si="26"/>
        <v/>
      </c>
      <c r="F184" s="224" t="str">
        <f t="shared" si="32"/>
        <v>CASSA</v>
      </c>
      <c r="G184" s="384" t="str">
        <f t="shared" ca="1" si="27"/>
        <v/>
      </c>
      <c r="H184" s="512">
        <f t="shared" ca="1" si="28"/>
        <v>0</v>
      </c>
      <c r="I184" s="1603" t="str">
        <f t="shared" ca="1" si="22"/>
        <v/>
      </c>
      <c r="J184" s="1604"/>
      <c r="K184" s="373"/>
      <c r="L184" s="513">
        <f t="shared" ca="1" si="31"/>
        <v>656.58</v>
      </c>
      <c r="M184" s="654">
        <f t="shared" ca="1" si="29"/>
        <v>1</v>
      </c>
      <c r="N184" s="226">
        <f t="shared" ca="1" si="23"/>
        <v>0</v>
      </c>
      <c r="O184" s="1"/>
    </row>
    <row r="185" spans="1:15" ht="16.5" customHeight="1">
      <c r="A185" s="1"/>
      <c r="B185" s="657" t="str">
        <f t="shared" ca="1" si="24"/>
        <v/>
      </c>
      <c r="C185" s="223" t="str">
        <f t="shared" ca="1" si="25"/>
        <v/>
      </c>
      <c r="D185" s="519">
        <f t="shared" si="30"/>
        <v>180</v>
      </c>
      <c r="E185" s="225" t="str">
        <f t="shared" ca="1" si="26"/>
        <v/>
      </c>
      <c r="F185" s="224" t="str">
        <f t="shared" si="32"/>
        <v>CASSA</v>
      </c>
      <c r="G185" s="384" t="str">
        <f t="shared" ca="1" si="27"/>
        <v/>
      </c>
      <c r="H185" s="512">
        <f t="shared" ca="1" si="28"/>
        <v>0</v>
      </c>
      <c r="I185" s="1603" t="str">
        <f t="shared" ca="1" si="22"/>
        <v/>
      </c>
      <c r="J185" s="1604"/>
      <c r="K185" s="373"/>
      <c r="L185" s="513">
        <f t="shared" ca="1" si="31"/>
        <v>656.58</v>
      </c>
      <c r="M185" s="654">
        <f t="shared" ca="1" si="29"/>
        <v>1</v>
      </c>
      <c r="N185" s="226">
        <f t="shared" ca="1" si="23"/>
        <v>0</v>
      </c>
      <c r="O185" s="1"/>
    </row>
    <row r="186" spans="1:15" ht="16.5" customHeight="1">
      <c r="A186" s="1"/>
      <c r="B186" s="657" t="str">
        <f t="shared" ca="1" si="24"/>
        <v/>
      </c>
      <c r="C186" s="223" t="str">
        <f t="shared" ca="1" si="25"/>
        <v/>
      </c>
      <c r="D186" s="519">
        <f t="shared" si="30"/>
        <v>181</v>
      </c>
      <c r="E186" s="225" t="str">
        <f t="shared" ca="1" si="26"/>
        <v/>
      </c>
      <c r="F186" s="224" t="str">
        <f t="shared" si="32"/>
        <v>CASSA</v>
      </c>
      <c r="G186" s="384" t="str">
        <f t="shared" ca="1" si="27"/>
        <v/>
      </c>
      <c r="H186" s="512">
        <f t="shared" ca="1" si="28"/>
        <v>0</v>
      </c>
      <c r="I186" s="1603" t="str">
        <f t="shared" ca="1" si="22"/>
        <v/>
      </c>
      <c r="J186" s="1604"/>
      <c r="K186" s="373"/>
      <c r="L186" s="513">
        <f t="shared" ca="1" si="31"/>
        <v>656.58</v>
      </c>
      <c r="M186" s="654">
        <f t="shared" ca="1" si="29"/>
        <v>1</v>
      </c>
      <c r="N186" s="226">
        <f t="shared" ca="1" si="23"/>
        <v>0</v>
      </c>
      <c r="O186" s="1"/>
    </row>
    <row r="187" spans="1:15" ht="16.5" customHeight="1">
      <c r="A187" s="1"/>
      <c r="B187" s="657" t="str">
        <f t="shared" ca="1" si="24"/>
        <v/>
      </c>
      <c r="C187" s="223" t="str">
        <f t="shared" ca="1" si="25"/>
        <v/>
      </c>
      <c r="D187" s="519">
        <f t="shared" si="30"/>
        <v>182</v>
      </c>
      <c r="E187" s="225" t="str">
        <f t="shared" ca="1" si="26"/>
        <v/>
      </c>
      <c r="F187" s="224" t="str">
        <f t="shared" si="32"/>
        <v>CASSA</v>
      </c>
      <c r="G187" s="384" t="str">
        <f t="shared" ca="1" si="27"/>
        <v/>
      </c>
      <c r="H187" s="512">
        <f t="shared" ca="1" si="28"/>
        <v>0</v>
      </c>
      <c r="I187" s="1603" t="str">
        <f t="shared" ca="1" si="22"/>
        <v/>
      </c>
      <c r="J187" s="1604"/>
      <c r="K187" s="373"/>
      <c r="L187" s="513">
        <f t="shared" ca="1" si="31"/>
        <v>656.58</v>
      </c>
      <c r="M187" s="654">
        <f t="shared" ca="1" si="29"/>
        <v>1</v>
      </c>
      <c r="N187" s="226">
        <f t="shared" ca="1" si="23"/>
        <v>0</v>
      </c>
      <c r="O187" s="1"/>
    </row>
    <row r="188" spans="1:15" ht="16.5" customHeight="1">
      <c r="A188" s="1"/>
      <c r="B188" s="657" t="str">
        <f t="shared" ca="1" si="24"/>
        <v/>
      </c>
      <c r="C188" s="223" t="str">
        <f t="shared" ca="1" si="25"/>
        <v/>
      </c>
      <c r="D188" s="519">
        <f t="shared" si="30"/>
        <v>183</v>
      </c>
      <c r="E188" s="225" t="str">
        <f t="shared" ca="1" si="26"/>
        <v/>
      </c>
      <c r="F188" s="224" t="str">
        <f t="shared" si="32"/>
        <v>CASSA</v>
      </c>
      <c r="G188" s="384" t="str">
        <f t="shared" ca="1" si="27"/>
        <v/>
      </c>
      <c r="H188" s="512">
        <f t="shared" ca="1" si="28"/>
        <v>0</v>
      </c>
      <c r="I188" s="1603" t="str">
        <f t="shared" ca="1" si="22"/>
        <v/>
      </c>
      <c r="J188" s="1604"/>
      <c r="K188" s="373"/>
      <c r="L188" s="513">
        <f t="shared" ca="1" si="31"/>
        <v>656.58</v>
      </c>
      <c r="M188" s="654">
        <f t="shared" ca="1" si="29"/>
        <v>1</v>
      </c>
      <c r="N188" s="226">
        <f t="shared" ca="1" si="23"/>
        <v>0</v>
      </c>
      <c r="O188" s="1"/>
    </row>
    <row r="189" spans="1:15" ht="16.5" customHeight="1">
      <c r="A189" s="1"/>
      <c r="B189" s="657" t="str">
        <f t="shared" ca="1" si="24"/>
        <v/>
      </c>
      <c r="C189" s="223" t="str">
        <f t="shared" ca="1" si="25"/>
        <v/>
      </c>
      <c r="D189" s="519">
        <f t="shared" si="30"/>
        <v>184</v>
      </c>
      <c r="E189" s="225" t="str">
        <f t="shared" ca="1" si="26"/>
        <v/>
      </c>
      <c r="F189" s="224" t="str">
        <f t="shared" si="32"/>
        <v>CASSA</v>
      </c>
      <c r="G189" s="384" t="str">
        <f t="shared" ca="1" si="27"/>
        <v/>
      </c>
      <c r="H189" s="512">
        <f t="shared" ca="1" si="28"/>
        <v>0</v>
      </c>
      <c r="I189" s="1603" t="str">
        <f t="shared" ca="1" si="22"/>
        <v/>
      </c>
      <c r="J189" s="1604"/>
      <c r="K189" s="373"/>
      <c r="L189" s="513">
        <f t="shared" ca="1" si="31"/>
        <v>656.58</v>
      </c>
      <c r="M189" s="654">
        <f t="shared" ca="1" si="29"/>
        <v>1</v>
      </c>
      <c r="N189" s="226">
        <f t="shared" ca="1" si="23"/>
        <v>0</v>
      </c>
      <c r="O189" s="1"/>
    </row>
    <row r="190" spans="1:15" ht="16.5" customHeight="1">
      <c r="A190" s="1"/>
      <c r="B190" s="657" t="str">
        <f t="shared" ca="1" si="24"/>
        <v/>
      </c>
      <c r="C190" s="223" t="str">
        <f t="shared" ca="1" si="25"/>
        <v/>
      </c>
      <c r="D190" s="519">
        <f t="shared" si="30"/>
        <v>185</v>
      </c>
      <c r="E190" s="225" t="str">
        <f t="shared" ca="1" si="26"/>
        <v/>
      </c>
      <c r="F190" s="224" t="str">
        <f t="shared" si="32"/>
        <v>CASSA</v>
      </c>
      <c r="G190" s="384" t="str">
        <f t="shared" ca="1" si="27"/>
        <v/>
      </c>
      <c r="H190" s="512">
        <f t="shared" ca="1" si="28"/>
        <v>0</v>
      </c>
      <c r="I190" s="1603" t="str">
        <f t="shared" ca="1" si="22"/>
        <v/>
      </c>
      <c r="J190" s="1604"/>
      <c r="K190" s="373"/>
      <c r="L190" s="513">
        <f t="shared" ca="1" si="31"/>
        <v>656.58</v>
      </c>
      <c r="M190" s="654">
        <f t="shared" ca="1" si="29"/>
        <v>1</v>
      </c>
      <c r="N190" s="226">
        <f t="shared" ca="1" si="23"/>
        <v>0</v>
      </c>
      <c r="O190" s="1"/>
    </row>
    <row r="191" spans="1:15" ht="16.5" customHeight="1">
      <c r="A191" s="1"/>
      <c r="B191" s="657" t="str">
        <f t="shared" ca="1" si="24"/>
        <v/>
      </c>
      <c r="C191" s="223" t="str">
        <f t="shared" ca="1" si="25"/>
        <v/>
      </c>
      <c r="D191" s="519">
        <f t="shared" si="30"/>
        <v>186</v>
      </c>
      <c r="E191" s="225" t="str">
        <f t="shared" ca="1" si="26"/>
        <v/>
      </c>
      <c r="F191" s="224" t="str">
        <f t="shared" si="32"/>
        <v>CASSA</v>
      </c>
      <c r="G191" s="384" t="str">
        <f t="shared" ca="1" si="27"/>
        <v/>
      </c>
      <c r="H191" s="512">
        <f t="shared" ca="1" si="28"/>
        <v>0</v>
      </c>
      <c r="I191" s="1603" t="str">
        <f t="shared" ca="1" si="22"/>
        <v/>
      </c>
      <c r="J191" s="1604"/>
      <c r="K191" s="373"/>
      <c r="L191" s="513">
        <f t="shared" ca="1" si="31"/>
        <v>656.58</v>
      </c>
      <c r="M191" s="654">
        <f t="shared" ca="1" si="29"/>
        <v>1</v>
      </c>
      <c r="N191" s="226">
        <f t="shared" ca="1" si="23"/>
        <v>0</v>
      </c>
      <c r="O191" s="1"/>
    </row>
    <row r="192" spans="1:15" ht="16.5" customHeight="1">
      <c r="A192" s="1"/>
      <c r="B192" s="657" t="str">
        <f t="shared" ca="1" si="24"/>
        <v/>
      </c>
      <c r="C192" s="223" t="str">
        <f t="shared" ca="1" si="25"/>
        <v/>
      </c>
      <c r="D192" s="519">
        <f t="shared" si="30"/>
        <v>187</v>
      </c>
      <c r="E192" s="225" t="str">
        <f t="shared" ca="1" si="26"/>
        <v/>
      </c>
      <c r="F192" s="224" t="str">
        <f t="shared" si="32"/>
        <v>CASSA</v>
      </c>
      <c r="G192" s="384" t="str">
        <f t="shared" ca="1" si="27"/>
        <v/>
      </c>
      <c r="H192" s="512">
        <f t="shared" ca="1" si="28"/>
        <v>0</v>
      </c>
      <c r="I192" s="1603" t="str">
        <f t="shared" ca="1" si="22"/>
        <v/>
      </c>
      <c r="J192" s="1604"/>
      <c r="K192" s="373"/>
      <c r="L192" s="513">
        <f t="shared" ca="1" si="31"/>
        <v>656.58</v>
      </c>
      <c r="M192" s="654">
        <f t="shared" ca="1" si="29"/>
        <v>1</v>
      </c>
      <c r="N192" s="226">
        <f t="shared" ca="1" si="23"/>
        <v>0</v>
      </c>
      <c r="O192" s="1"/>
    </row>
    <row r="193" spans="1:15" ht="16.5" customHeight="1">
      <c r="A193" s="1"/>
      <c r="B193" s="657" t="str">
        <f t="shared" ca="1" si="24"/>
        <v/>
      </c>
      <c r="C193" s="223" t="str">
        <f t="shared" ca="1" si="25"/>
        <v/>
      </c>
      <c r="D193" s="519">
        <f t="shared" si="30"/>
        <v>188</v>
      </c>
      <c r="E193" s="225" t="str">
        <f t="shared" ca="1" si="26"/>
        <v/>
      </c>
      <c r="F193" s="224" t="str">
        <f t="shared" si="32"/>
        <v>CASSA</v>
      </c>
      <c r="G193" s="384" t="str">
        <f t="shared" ca="1" si="27"/>
        <v/>
      </c>
      <c r="H193" s="512">
        <f t="shared" ca="1" si="28"/>
        <v>0</v>
      </c>
      <c r="I193" s="1603" t="str">
        <f t="shared" ca="1" si="22"/>
        <v/>
      </c>
      <c r="J193" s="1604"/>
      <c r="K193" s="373"/>
      <c r="L193" s="513">
        <f t="shared" ca="1" si="31"/>
        <v>656.58</v>
      </c>
      <c r="M193" s="654">
        <f t="shared" ca="1" si="29"/>
        <v>1</v>
      </c>
      <c r="N193" s="226">
        <f t="shared" ca="1" si="23"/>
        <v>0</v>
      </c>
      <c r="O193" s="1"/>
    </row>
    <row r="194" spans="1:15" ht="16.5" customHeight="1">
      <c r="A194" s="1"/>
      <c r="B194" s="657" t="str">
        <f t="shared" ca="1" si="24"/>
        <v/>
      </c>
      <c r="C194" s="223" t="str">
        <f t="shared" ca="1" si="25"/>
        <v/>
      </c>
      <c r="D194" s="519">
        <f t="shared" si="30"/>
        <v>189</v>
      </c>
      <c r="E194" s="225" t="str">
        <f t="shared" ca="1" si="26"/>
        <v/>
      </c>
      <c r="F194" s="224" t="str">
        <f t="shared" si="32"/>
        <v>CASSA</v>
      </c>
      <c r="G194" s="384" t="str">
        <f t="shared" ca="1" si="27"/>
        <v/>
      </c>
      <c r="H194" s="512">
        <f t="shared" ca="1" si="28"/>
        <v>0</v>
      </c>
      <c r="I194" s="1603" t="str">
        <f t="shared" ca="1" si="22"/>
        <v/>
      </c>
      <c r="J194" s="1604"/>
      <c r="K194" s="373"/>
      <c r="L194" s="513">
        <f t="shared" ca="1" si="31"/>
        <v>656.58</v>
      </c>
      <c r="M194" s="654">
        <f t="shared" ca="1" si="29"/>
        <v>1</v>
      </c>
      <c r="N194" s="226">
        <f t="shared" ca="1" si="23"/>
        <v>0</v>
      </c>
      <c r="O194" s="1"/>
    </row>
    <row r="195" spans="1:15" ht="16.5" customHeight="1">
      <c r="A195" s="1"/>
      <c r="B195" s="657" t="str">
        <f t="shared" ca="1" si="24"/>
        <v/>
      </c>
      <c r="C195" s="223" t="str">
        <f t="shared" ca="1" si="25"/>
        <v/>
      </c>
      <c r="D195" s="519">
        <f t="shared" si="30"/>
        <v>190</v>
      </c>
      <c r="E195" s="225" t="str">
        <f t="shared" ca="1" si="26"/>
        <v/>
      </c>
      <c r="F195" s="224" t="str">
        <f t="shared" si="32"/>
        <v>CASSA</v>
      </c>
      <c r="G195" s="384" t="str">
        <f t="shared" ca="1" si="27"/>
        <v/>
      </c>
      <c r="H195" s="512">
        <f t="shared" ca="1" si="28"/>
        <v>0</v>
      </c>
      <c r="I195" s="1603" t="str">
        <f t="shared" ca="1" si="22"/>
        <v/>
      </c>
      <c r="J195" s="1604"/>
      <c r="K195" s="373"/>
      <c r="L195" s="513">
        <f t="shared" ca="1" si="31"/>
        <v>656.58</v>
      </c>
      <c r="M195" s="654">
        <f t="shared" ca="1" si="29"/>
        <v>1</v>
      </c>
      <c r="N195" s="226">
        <f t="shared" ca="1" si="23"/>
        <v>0</v>
      </c>
      <c r="O195" s="1"/>
    </row>
    <row r="196" spans="1:15" ht="16.5" customHeight="1">
      <c r="A196" s="1"/>
      <c r="B196" s="657" t="str">
        <f t="shared" ca="1" si="24"/>
        <v/>
      </c>
      <c r="C196" s="223" t="str">
        <f t="shared" ca="1" si="25"/>
        <v/>
      </c>
      <c r="D196" s="519">
        <f t="shared" si="30"/>
        <v>191</v>
      </c>
      <c r="E196" s="225" t="str">
        <f t="shared" ca="1" si="26"/>
        <v/>
      </c>
      <c r="F196" s="224" t="str">
        <f t="shared" si="32"/>
        <v>CASSA</v>
      </c>
      <c r="G196" s="384" t="str">
        <f t="shared" ca="1" si="27"/>
        <v/>
      </c>
      <c r="H196" s="512">
        <f t="shared" ca="1" si="28"/>
        <v>0</v>
      </c>
      <c r="I196" s="1603" t="str">
        <f t="shared" ca="1" si="22"/>
        <v/>
      </c>
      <c r="J196" s="1604"/>
      <c r="K196" s="373"/>
      <c r="L196" s="513">
        <f t="shared" ca="1" si="31"/>
        <v>656.58</v>
      </c>
      <c r="M196" s="654">
        <f t="shared" ca="1" si="29"/>
        <v>1</v>
      </c>
      <c r="N196" s="226">
        <f t="shared" ca="1" si="23"/>
        <v>0</v>
      </c>
      <c r="O196" s="1"/>
    </row>
    <row r="197" spans="1:15" ht="16.5" customHeight="1">
      <c r="A197" s="1"/>
      <c r="B197" s="657" t="str">
        <f t="shared" ca="1" si="24"/>
        <v/>
      </c>
      <c r="C197" s="223" t="str">
        <f t="shared" ca="1" si="25"/>
        <v/>
      </c>
      <c r="D197" s="519">
        <f t="shared" si="30"/>
        <v>192</v>
      </c>
      <c r="E197" s="225" t="str">
        <f t="shared" ca="1" si="26"/>
        <v/>
      </c>
      <c r="F197" s="224" t="str">
        <f t="shared" si="32"/>
        <v>CASSA</v>
      </c>
      <c r="G197" s="384" t="str">
        <f t="shared" ca="1" si="27"/>
        <v/>
      </c>
      <c r="H197" s="512">
        <f t="shared" ca="1" si="28"/>
        <v>0</v>
      </c>
      <c r="I197" s="1603" t="str">
        <f t="shared" ca="1" si="22"/>
        <v/>
      </c>
      <c r="J197" s="1604"/>
      <c r="K197" s="373"/>
      <c r="L197" s="513">
        <f t="shared" ca="1" si="31"/>
        <v>656.58</v>
      </c>
      <c r="M197" s="654">
        <f t="shared" ca="1" si="29"/>
        <v>1</v>
      </c>
      <c r="N197" s="226">
        <f t="shared" ca="1" si="23"/>
        <v>0</v>
      </c>
      <c r="O197" s="1"/>
    </row>
    <row r="198" spans="1:15" ht="16.5" customHeight="1">
      <c r="A198" s="1"/>
      <c r="B198" s="657" t="str">
        <f t="shared" ca="1" si="24"/>
        <v/>
      </c>
      <c r="C198" s="223" t="str">
        <f t="shared" ca="1" si="25"/>
        <v/>
      </c>
      <c r="D198" s="519">
        <f t="shared" si="30"/>
        <v>193</v>
      </c>
      <c r="E198" s="225" t="str">
        <f t="shared" ca="1" si="26"/>
        <v/>
      </c>
      <c r="F198" s="224" t="str">
        <f t="shared" si="32"/>
        <v>CASSA</v>
      </c>
      <c r="G198" s="384" t="str">
        <f t="shared" ca="1" si="27"/>
        <v/>
      </c>
      <c r="H198" s="512">
        <f t="shared" ca="1" si="28"/>
        <v>0</v>
      </c>
      <c r="I198" s="1603" t="str">
        <f t="shared" ref="I198:I261" ca="1" si="33">IF(F198="","",IF(ISERROR(VLOOKUP($D198,$B$1080:$L$4183,11,FALSE)),"",VLOOKUP($D198,$B$1080:$L$4183,11,FALSE)))</f>
        <v/>
      </c>
      <c r="J198" s="1604"/>
      <c r="K198" s="373"/>
      <c r="L198" s="513">
        <f t="shared" ca="1" si="31"/>
        <v>656.58</v>
      </c>
      <c r="M198" s="654">
        <f t="shared" ca="1" si="29"/>
        <v>1</v>
      </c>
      <c r="N198" s="226">
        <f t="shared" ref="N198:N261" ca="1" si="34">IF(ISERROR(VLOOKUP(G198,G$4171:G$4182,1,FALSE)),0,1)</f>
        <v>0</v>
      </c>
      <c r="O198" s="1"/>
    </row>
    <row r="199" spans="1:15" ht="16.5" customHeight="1">
      <c r="A199" s="1"/>
      <c r="B199" s="657" t="str">
        <f t="shared" ref="B199:B262" ca="1" si="35">IF(AND(E199&lt;&gt;"",M199=0),"[..]","")</f>
        <v/>
      </c>
      <c r="C199" s="223" t="str">
        <f t="shared" ref="C199:C262" ca="1" si="36">IF(ISBLANK(E$2),"",IF(ISERROR(VLOOKUP(D199,B$3067:B$4182,1,FALSE)),"",C$4185))</f>
        <v/>
      </c>
      <c r="D199" s="519">
        <f t="shared" si="30"/>
        <v>194</v>
      </c>
      <c r="E199" s="225" t="str">
        <f t="shared" ref="E199:E262" ca="1" si="37">IF(ISERROR(VLOOKUP($D199,$B$1080:$E$4183,4,FALSE)),"",VLOOKUP($D199,$B$1080:$E$4183,4,FALSE))</f>
        <v/>
      </c>
      <c r="F199" s="224" t="str">
        <f t="shared" si="32"/>
        <v>CASSA</v>
      </c>
      <c r="G199" s="384" t="str">
        <f t="shared" ref="G199:G262" ca="1" si="38">IF(ISERROR(VLOOKUP($D199,$B$1080:$G$4183,6,FALSE)),"",T(VLOOKUP($D199,$B$1080:$G$4183,6,FALSE)))</f>
        <v/>
      </c>
      <c r="H199" s="512">
        <f t="shared" ref="H199:H262" ca="1" si="39">IF(ISERROR(VLOOKUP($D199,$B$1080:$H$4183,7,FALSE)),0,VLOOKUP($D199,$B$1080:$H$4183,7,FALSE))*M199</f>
        <v>0</v>
      </c>
      <c r="I199" s="1603" t="str">
        <f t="shared" ca="1" si="33"/>
        <v/>
      </c>
      <c r="J199" s="1604"/>
      <c r="K199" s="373"/>
      <c r="L199" s="513">
        <f t="shared" ca="1" si="31"/>
        <v>656.58</v>
      </c>
      <c r="M199" s="654">
        <f t="shared" ref="M199:M262" ca="1" si="40">IF(AND(E199&gt;0,H$4188=0,OR(E199&lt;L$1020,E199&gt;L$1021)),0,1)</f>
        <v>1</v>
      </c>
      <c r="N199" s="226">
        <f t="shared" ca="1" si="34"/>
        <v>0</v>
      </c>
      <c r="O199" s="1"/>
    </row>
    <row r="200" spans="1:15" ht="16.5" customHeight="1">
      <c r="A200" s="1"/>
      <c r="B200" s="657" t="str">
        <f t="shared" ca="1" si="35"/>
        <v/>
      </c>
      <c r="C200" s="223" t="str">
        <f t="shared" ca="1" si="36"/>
        <v/>
      </c>
      <c r="D200" s="519">
        <f t="shared" ref="D200:D263" si="41">D199+1</f>
        <v>195</v>
      </c>
      <c r="E200" s="225" t="str">
        <f t="shared" ca="1" si="37"/>
        <v/>
      </c>
      <c r="F200" s="224" t="str">
        <f t="shared" si="32"/>
        <v>CASSA</v>
      </c>
      <c r="G200" s="384" t="str">
        <f t="shared" ca="1" si="38"/>
        <v/>
      </c>
      <c r="H200" s="512">
        <f t="shared" ca="1" si="39"/>
        <v>0</v>
      </c>
      <c r="I200" s="1603" t="str">
        <f t="shared" ca="1" si="33"/>
        <v/>
      </c>
      <c r="J200" s="1604"/>
      <c r="K200" s="373"/>
      <c r="L200" s="513">
        <f t="shared" ref="L200:L263" ca="1" si="42">ROUND(L199+H200,2)</f>
        <v>656.58</v>
      </c>
      <c r="M200" s="654">
        <f t="shared" ca="1" si="40"/>
        <v>1</v>
      </c>
      <c r="N200" s="226">
        <f t="shared" ca="1" si="34"/>
        <v>0</v>
      </c>
      <c r="O200" s="1"/>
    </row>
    <row r="201" spans="1:15" ht="16.5" customHeight="1">
      <c r="A201" s="1"/>
      <c r="B201" s="657" t="str">
        <f t="shared" ca="1" si="35"/>
        <v/>
      </c>
      <c r="C201" s="223" t="str">
        <f t="shared" ca="1" si="36"/>
        <v/>
      </c>
      <c r="D201" s="519">
        <f t="shared" si="41"/>
        <v>196</v>
      </c>
      <c r="E201" s="225" t="str">
        <f t="shared" ca="1" si="37"/>
        <v/>
      </c>
      <c r="F201" s="224" t="str">
        <f t="shared" si="32"/>
        <v>CASSA</v>
      </c>
      <c r="G201" s="384" t="str">
        <f t="shared" ca="1" si="38"/>
        <v/>
      </c>
      <c r="H201" s="512">
        <f t="shared" ca="1" si="39"/>
        <v>0</v>
      </c>
      <c r="I201" s="1603" t="str">
        <f t="shared" ca="1" si="33"/>
        <v/>
      </c>
      <c r="J201" s="1604"/>
      <c r="K201" s="373"/>
      <c r="L201" s="513">
        <f t="shared" ca="1" si="42"/>
        <v>656.58</v>
      </c>
      <c r="M201" s="654">
        <f t="shared" ca="1" si="40"/>
        <v>1</v>
      </c>
      <c r="N201" s="226">
        <f t="shared" ca="1" si="34"/>
        <v>0</v>
      </c>
      <c r="O201" s="1"/>
    </row>
    <row r="202" spans="1:15" ht="16.5" customHeight="1">
      <c r="A202" s="1"/>
      <c r="B202" s="657" t="str">
        <f t="shared" ca="1" si="35"/>
        <v/>
      </c>
      <c r="C202" s="223" t="str">
        <f t="shared" ca="1" si="36"/>
        <v/>
      </c>
      <c r="D202" s="519">
        <f t="shared" si="41"/>
        <v>197</v>
      </c>
      <c r="E202" s="225" t="str">
        <f t="shared" ca="1" si="37"/>
        <v/>
      </c>
      <c r="F202" s="224" t="str">
        <f t="shared" si="32"/>
        <v>CASSA</v>
      </c>
      <c r="G202" s="384" t="str">
        <f t="shared" ca="1" si="38"/>
        <v/>
      </c>
      <c r="H202" s="512">
        <f t="shared" ca="1" si="39"/>
        <v>0</v>
      </c>
      <c r="I202" s="1603" t="str">
        <f t="shared" ca="1" si="33"/>
        <v/>
      </c>
      <c r="J202" s="1604"/>
      <c r="K202" s="373"/>
      <c r="L202" s="513">
        <f t="shared" ca="1" si="42"/>
        <v>656.58</v>
      </c>
      <c r="M202" s="654">
        <f t="shared" ca="1" si="40"/>
        <v>1</v>
      </c>
      <c r="N202" s="226">
        <f t="shared" ca="1" si="34"/>
        <v>0</v>
      </c>
      <c r="O202" s="1"/>
    </row>
    <row r="203" spans="1:15" ht="16.5" customHeight="1">
      <c r="A203" s="1"/>
      <c r="B203" s="657" t="str">
        <f t="shared" ca="1" si="35"/>
        <v/>
      </c>
      <c r="C203" s="223" t="str">
        <f t="shared" ca="1" si="36"/>
        <v/>
      </c>
      <c r="D203" s="519">
        <f t="shared" si="41"/>
        <v>198</v>
      </c>
      <c r="E203" s="225" t="str">
        <f t="shared" ca="1" si="37"/>
        <v/>
      </c>
      <c r="F203" s="224" t="str">
        <f t="shared" si="32"/>
        <v>CASSA</v>
      </c>
      <c r="G203" s="384" t="str">
        <f t="shared" ca="1" si="38"/>
        <v/>
      </c>
      <c r="H203" s="512">
        <f t="shared" ca="1" si="39"/>
        <v>0</v>
      </c>
      <c r="I203" s="1603" t="str">
        <f t="shared" ca="1" si="33"/>
        <v/>
      </c>
      <c r="J203" s="1604"/>
      <c r="K203" s="373"/>
      <c r="L203" s="513">
        <f t="shared" ca="1" si="42"/>
        <v>656.58</v>
      </c>
      <c r="M203" s="654">
        <f t="shared" ca="1" si="40"/>
        <v>1</v>
      </c>
      <c r="N203" s="226">
        <f t="shared" ca="1" si="34"/>
        <v>0</v>
      </c>
      <c r="O203" s="1"/>
    </row>
    <row r="204" spans="1:15" ht="16.5" customHeight="1">
      <c r="A204" s="1"/>
      <c r="B204" s="657" t="str">
        <f t="shared" ca="1" si="35"/>
        <v/>
      </c>
      <c r="C204" s="223" t="str">
        <f t="shared" ca="1" si="36"/>
        <v/>
      </c>
      <c r="D204" s="519">
        <f t="shared" si="41"/>
        <v>199</v>
      </c>
      <c r="E204" s="225" t="str">
        <f t="shared" ca="1" si="37"/>
        <v/>
      </c>
      <c r="F204" s="224" t="str">
        <f t="shared" ref="F204:F267" si="43">F203</f>
        <v>CASSA</v>
      </c>
      <c r="G204" s="384" t="str">
        <f t="shared" ca="1" si="38"/>
        <v/>
      </c>
      <c r="H204" s="512">
        <f t="shared" ca="1" si="39"/>
        <v>0</v>
      </c>
      <c r="I204" s="1603" t="str">
        <f t="shared" ca="1" si="33"/>
        <v/>
      </c>
      <c r="J204" s="1604"/>
      <c r="K204" s="373"/>
      <c r="L204" s="513">
        <f t="shared" ca="1" si="42"/>
        <v>656.58</v>
      </c>
      <c r="M204" s="654">
        <f t="shared" ca="1" si="40"/>
        <v>1</v>
      </c>
      <c r="N204" s="226">
        <f t="shared" ca="1" si="34"/>
        <v>0</v>
      </c>
      <c r="O204" s="1"/>
    </row>
    <row r="205" spans="1:15" ht="16.5" customHeight="1">
      <c r="A205" s="1"/>
      <c r="B205" s="657" t="str">
        <f t="shared" ca="1" si="35"/>
        <v/>
      </c>
      <c r="C205" s="223" t="str">
        <f t="shared" ca="1" si="36"/>
        <v/>
      </c>
      <c r="D205" s="519">
        <f t="shared" si="41"/>
        <v>200</v>
      </c>
      <c r="E205" s="225" t="str">
        <f t="shared" ca="1" si="37"/>
        <v/>
      </c>
      <c r="F205" s="224" t="str">
        <f t="shared" si="43"/>
        <v>CASSA</v>
      </c>
      <c r="G205" s="384" t="str">
        <f t="shared" ca="1" si="38"/>
        <v/>
      </c>
      <c r="H205" s="512">
        <f t="shared" ca="1" si="39"/>
        <v>0</v>
      </c>
      <c r="I205" s="1603" t="str">
        <f t="shared" ca="1" si="33"/>
        <v/>
      </c>
      <c r="J205" s="1604"/>
      <c r="K205" s="373"/>
      <c r="L205" s="513">
        <f t="shared" ca="1" si="42"/>
        <v>656.58</v>
      </c>
      <c r="M205" s="654">
        <f t="shared" ca="1" si="40"/>
        <v>1</v>
      </c>
      <c r="N205" s="226">
        <f t="shared" ca="1" si="34"/>
        <v>0</v>
      </c>
      <c r="O205" s="1"/>
    </row>
    <row r="206" spans="1:15" ht="16.5" customHeight="1">
      <c r="A206" s="1"/>
      <c r="B206" s="657" t="str">
        <f t="shared" ca="1" si="35"/>
        <v/>
      </c>
      <c r="C206" s="223" t="str">
        <f t="shared" ca="1" si="36"/>
        <v/>
      </c>
      <c r="D206" s="519">
        <f t="shared" si="41"/>
        <v>201</v>
      </c>
      <c r="E206" s="225" t="str">
        <f t="shared" ca="1" si="37"/>
        <v/>
      </c>
      <c r="F206" s="224" t="str">
        <f t="shared" si="43"/>
        <v>CASSA</v>
      </c>
      <c r="G206" s="384" t="str">
        <f t="shared" ca="1" si="38"/>
        <v/>
      </c>
      <c r="H206" s="512">
        <f t="shared" ca="1" si="39"/>
        <v>0</v>
      </c>
      <c r="I206" s="1603" t="str">
        <f t="shared" ca="1" si="33"/>
        <v/>
      </c>
      <c r="J206" s="1604"/>
      <c r="K206" s="373"/>
      <c r="L206" s="513">
        <f t="shared" ca="1" si="42"/>
        <v>656.58</v>
      </c>
      <c r="M206" s="654">
        <f t="shared" ca="1" si="40"/>
        <v>1</v>
      </c>
      <c r="N206" s="226">
        <f t="shared" ca="1" si="34"/>
        <v>0</v>
      </c>
      <c r="O206" s="1"/>
    </row>
    <row r="207" spans="1:15" ht="16.5" customHeight="1">
      <c r="A207" s="1"/>
      <c r="B207" s="657" t="str">
        <f t="shared" ca="1" si="35"/>
        <v/>
      </c>
      <c r="C207" s="223" t="str">
        <f t="shared" ca="1" si="36"/>
        <v/>
      </c>
      <c r="D207" s="519">
        <f t="shared" si="41"/>
        <v>202</v>
      </c>
      <c r="E207" s="225" t="str">
        <f t="shared" ca="1" si="37"/>
        <v/>
      </c>
      <c r="F207" s="224" t="str">
        <f t="shared" si="43"/>
        <v>CASSA</v>
      </c>
      <c r="G207" s="384" t="str">
        <f t="shared" ca="1" si="38"/>
        <v/>
      </c>
      <c r="H207" s="512">
        <f t="shared" ca="1" si="39"/>
        <v>0</v>
      </c>
      <c r="I207" s="1603" t="str">
        <f t="shared" ca="1" si="33"/>
        <v/>
      </c>
      <c r="J207" s="1604"/>
      <c r="K207" s="373"/>
      <c r="L207" s="513">
        <f t="shared" ca="1" si="42"/>
        <v>656.58</v>
      </c>
      <c r="M207" s="654">
        <f t="shared" ca="1" si="40"/>
        <v>1</v>
      </c>
      <c r="N207" s="226">
        <f t="shared" ca="1" si="34"/>
        <v>0</v>
      </c>
      <c r="O207" s="1"/>
    </row>
    <row r="208" spans="1:15" ht="16.5" customHeight="1">
      <c r="A208" s="1"/>
      <c r="B208" s="657" t="str">
        <f t="shared" ca="1" si="35"/>
        <v/>
      </c>
      <c r="C208" s="223" t="str">
        <f t="shared" ca="1" si="36"/>
        <v/>
      </c>
      <c r="D208" s="519">
        <f t="shared" si="41"/>
        <v>203</v>
      </c>
      <c r="E208" s="225" t="str">
        <f t="shared" ca="1" si="37"/>
        <v/>
      </c>
      <c r="F208" s="224" t="str">
        <f t="shared" si="43"/>
        <v>CASSA</v>
      </c>
      <c r="G208" s="384" t="str">
        <f t="shared" ca="1" si="38"/>
        <v/>
      </c>
      <c r="H208" s="512">
        <f t="shared" ca="1" si="39"/>
        <v>0</v>
      </c>
      <c r="I208" s="1603" t="str">
        <f t="shared" ca="1" si="33"/>
        <v/>
      </c>
      <c r="J208" s="1604"/>
      <c r="K208" s="373"/>
      <c r="L208" s="513">
        <f t="shared" ca="1" si="42"/>
        <v>656.58</v>
      </c>
      <c r="M208" s="654">
        <f t="shared" ca="1" si="40"/>
        <v>1</v>
      </c>
      <c r="N208" s="226">
        <f t="shared" ca="1" si="34"/>
        <v>0</v>
      </c>
      <c r="O208" s="1"/>
    </row>
    <row r="209" spans="1:15" ht="16.5" customHeight="1">
      <c r="A209" s="1"/>
      <c r="B209" s="657" t="str">
        <f t="shared" ca="1" si="35"/>
        <v/>
      </c>
      <c r="C209" s="223" t="str">
        <f t="shared" ca="1" si="36"/>
        <v/>
      </c>
      <c r="D209" s="519">
        <f t="shared" si="41"/>
        <v>204</v>
      </c>
      <c r="E209" s="225" t="str">
        <f t="shared" ca="1" si="37"/>
        <v/>
      </c>
      <c r="F209" s="224" t="str">
        <f t="shared" si="43"/>
        <v>CASSA</v>
      </c>
      <c r="G209" s="384" t="str">
        <f t="shared" ca="1" si="38"/>
        <v/>
      </c>
      <c r="H209" s="512">
        <f t="shared" ca="1" si="39"/>
        <v>0</v>
      </c>
      <c r="I209" s="1603" t="str">
        <f t="shared" ca="1" si="33"/>
        <v/>
      </c>
      <c r="J209" s="1604"/>
      <c r="K209" s="373"/>
      <c r="L209" s="513">
        <f t="shared" ca="1" si="42"/>
        <v>656.58</v>
      </c>
      <c r="M209" s="654">
        <f t="shared" ca="1" si="40"/>
        <v>1</v>
      </c>
      <c r="N209" s="226">
        <f t="shared" ca="1" si="34"/>
        <v>0</v>
      </c>
      <c r="O209" s="1"/>
    </row>
    <row r="210" spans="1:15" ht="16.5" customHeight="1">
      <c r="A210" s="1"/>
      <c r="B210" s="657" t="str">
        <f t="shared" ca="1" si="35"/>
        <v/>
      </c>
      <c r="C210" s="223" t="str">
        <f t="shared" ca="1" si="36"/>
        <v/>
      </c>
      <c r="D210" s="519">
        <f t="shared" si="41"/>
        <v>205</v>
      </c>
      <c r="E210" s="225" t="str">
        <f t="shared" ca="1" si="37"/>
        <v/>
      </c>
      <c r="F210" s="224" t="str">
        <f t="shared" si="43"/>
        <v>CASSA</v>
      </c>
      <c r="G210" s="384" t="str">
        <f t="shared" ca="1" si="38"/>
        <v/>
      </c>
      <c r="H210" s="512">
        <f t="shared" ca="1" si="39"/>
        <v>0</v>
      </c>
      <c r="I210" s="1603" t="str">
        <f t="shared" ca="1" si="33"/>
        <v/>
      </c>
      <c r="J210" s="1604"/>
      <c r="K210" s="373"/>
      <c r="L210" s="513">
        <f t="shared" ca="1" si="42"/>
        <v>656.58</v>
      </c>
      <c r="M210" s="654">
        <f t="shared" ca="1" si="40"/>
        <v>1</v>
      </c>
      <c r="N210" s="226">
        <f t="shared" ca="1" si="34"/>
        <v>0</v>
      </c>
      <c r="O210" s="1"/>
    </row>
    <row r="211" spans="1:15" ht="16.5" customHeight="1">
      <c r="A211" s="1"/>
      <c r="B211" s="657" t="str">
        <f t="shared" ca="1" si="35"/>
        <v/>
      </c>
      <c r="C211" s="223" t="str">
        <f t="shared" ca="1" si="36"/>
        <v/>
      </c>
      <c r="D211" s="519">
        <f t="shared" si="41"/>
        <v>206</v>
      </c>
      <c r="E211" s="225" t="str">
        <f t="shared" ca="1" si="37"/>
        <v/>
      </c>
      <c r="F211" s="224" t="str">
        <f t="shared" si="43"/>
        <v>CASSA</v>
      </c>
      <c r="G211" s="384" t="str">
        <f t="shared" ca="1" si="38"/>
        <v/>
      </c>
      <c r="H211" s="512">
        <f t="shared" ca="1" si="39"/>
        <v>0</v>
      </c>
      <c r="I211" s="1603" t="str">
        <f t="shared" ca="1" si="33"/>
        <v/>
      </c>
      <c r="J211" s="1604"/>
      <c r="K211" s="373"/>
      <c r="L211" s="513">
        <f t="shared" ca="1" si="42"/>
        <v>656.58</v>
      </c>
      <c r="M211" s="654">
        <f t="shared" ca="1" si="40"/>
        <v>1</v>
      </c>
      <c r="N211" s="226">
        <f t="shared" ca="1" si="34"/>
        <v>0</v>
      </c>
      <c r="O211" s="1"/>
    </row>
    <row r="212" spans="1:15" ht="16.5" customHeight="1">
      <c r="A212" s="1"/>
      <c r="B212" s="657" t="str">
        <f t="shared" ca="1" si="35"/>
        <v/>
      </c>
      <c r="C212" s="223" t="str">
        <f t="shared" ca="1" si="36"/>
        <v/>
      </c>
      <c r="D212" s="519">
        <f t="shared" si="41"/>
        <v>207</v>
      </c>
      <c r="E212" s="225" t="str">
        <f t="shared" ca="1" si="37"/>
        <v/>
      </c>
      <c r="F212" s="224" t="str">
        <f t="shared" si="43"/>
        <v>CASSA</v>
      </c>
      <c r="G212" s="384" t="str">
        <f t="shared" ca="1" si="38"/>
        <v/>
      </c>
      <c r="H212" s="512">
        <f t="shared" ca="1" si="39"/>
        <v>0</v>
      </c>
      <c r="I212" s="1603" t="str">
        <f t="shared" ca="1" si="33"/>
        <v/>
      </c>
      <c r="J212" s="1604"/>
      <c r="K212" s="373"/>
      <c r="L212" s="513">
        <f t="shared" ca="1" si="42"/>
        <v>656.58</v>
      </c>
      <c r="M212" s="654">
        <f t="shared" ca="1" si="40"/>
        <v>1</v>
      </c>
      <c r="N212" s="226">
        <f t="shared" ca="1" si="34"/>
        <v>0</v>
      </c>
      <c r="O212" s="1"/>
    </row>
    <row r="213" spans="1:15" ht="16.5" customHeight="1">
      <c r="A213" s="1"/>
      <c r="B213" s="657" t="str">
        <f t="shared" ca="1" si="35"/>
        <v/>
      </c>
      <c r="C213" s="223" t="str">
        <f t="shared" ca="1" si="36"/>
        <v/>
      </c>
      <c r="D213" s="519">
        <f t="shared" si="41"/>
        <v>208</v>
      </c>
      <c r="E213" s="225" t="str">
        <f t="shared" ca="1" si="37"/>
        <v/>
      </c>
      <c r="F213" s="224" t="str">
        <f t="shared" si="43"/>
        <v>CASSA</v>
      </c>
      <c r="G213" s="384" t="str">
        <f t="shared" ca="1" si="38"/>
        <v/>
      </c>
      <c r="H213" s="512">
        <f t="shared" ca="1" si="39"/>
        <v>0</v>
      </c>
      <c r="I213" s="1603" t="str">
        <f t="shared" ca="1" si="33"/>
        <v/>
      </c>
      <c r="J213" s="1604"/>
      <c r="K213" s="373"/>
      <c r="L213" s="513">
        <f t="shared" ca="1" si="42"/>
        <v>656.58</v>
      </c>
      <c r="M213" s="654">
        <f t="shared" ca="1" si="40"/>
        <v>1</v>
      </c>
      <c r="N213" s="226">
        <f t="shared" ca="1" si="34"/>
        <v>0</v>
      </c>
      <c r="O213" s="1"/>
    </row>
    <row r="214" spans="1:15" ht="16.5" customHeight="1">
      <c r="A214" s="1"/>
      <c r="B214" s="657" t="str">
        <f t="shared" ca="1" si="35"/>
        <v/>
      </c>
      <c r="C214" s="223" t="str">
        <f t="shared" ca="1" si="36"/>
        <v/>
      </c>
      <c r="D214" s="519">
        <f t="shared" si="41"/>
        <v>209</v>
      </c>
      <c r="E214" s="225" t="str">
        <f t="shared" ca="1" si="37"/>
        <v/>
      </c>
      <c r="F214" s="224" t="str">
        <f t="shared" si="43"/>
        <v>CASSA</v>
      </c>
      <c r="G214" s="384" t="str">
        <f t="shared" ca="1" si="38"/>
        <v/>
      </c>
      <c r="H214" s="512">
        <f t="shared" ca="1" si="39"/>
        <v>0</v>
      </c>
      <c r="I214" s="1603" t="str">
        <f t="shared" ca="1" si="33"/>
        <v/>
      </c>
      <c r="J214" s="1604"/>
      <c r="K214" s="373"/>
      <c r="L214" s="513">
        <f t="shared" ca="1" si="42"/>
        <v>656.58</v>
      </c>
      <c r="M214" s="654">
        <f t="shared" ca="1" si="40"/>
        <v>1</v>
      </c>
      <c r="N214" s="226">
        <f t="shared" ca="1" si="34"/>
        <v>0</v>
      </c>
      <c r="O214" s="1"/>
    </row>
    <row r="215" spans="1:15" ht="16.5" customHeight="1">
      <c r="A215" s="1"/>
      <c r="B215" s="657" t="str">
        <f t="shared" ca="1" si="35"/>
        <v/>
      </c>
      <c r="C215" s="223" t="str">
        <f t="shared" ca="1" si="36"/>
        <v/>
      </c>
      <c r="D215" s="519">
        <f t="shared" si="41"/>
        <v>210</v>
      </c>
      <c r="E215" s="225" t="str">
        <f t="shared" ca="1" si="37"/>
        <v/>
      </c>
      <c r="F215" s="224" t="str">
        <f t="shared" si="43"/>
        <v>CASSA</v>
      </c>
      <c r="G215" s="384" t="str">
        <f t="shared" ca="1" si="38"/>
        <v/>
      </c>
      <c r="H215" s="512">
        <f t="shared" ca="1" si="39"/>
        <v>0</v>
      </c>
      <c r="I215" s="1603" t="str">
        <f t="shared" ca="1" si="33"/>
        <v/>
      </c>
      <c r="J215" s="1604"/>
      <c r="K215" s="373"/>
      <c r="L215" s="513">
        <f t="shared" ca="1" si="42"/>
        <v>656.58</v>
      </c>
      <c r="M215" s="654">
        <f t="shared" ca="1" si="40"/>
        <v>1</v>
      </c>
      <c r="N215" s="226">
        <f t="shared" ca="1" si="34"/>
        <v>0</v>
      </c>
      <c r="O215" s="1"/>
    </row>
    <row r="216" spans="1:15" ht="16.5" customHeight="1">
      <c r="A216" s="1"/>
      <c r="B216" s="657" t="str">
        <f t="shared" ca="1" si="35"/>
        <v/>
      </c>
      <c r="C216" s="223" t="str">
        <f t="shared" ca="1" si="36"/>
        <v/>
      </c>
      <c r="D216" s="519">
        <f t="shared" si="41"/>
        <v>211</v>
      </c>
      <c r="E216" s="225" t="str">
        <f t="shared" ca="1" si="37"/>
        <v/>
      </c>
      <c r="F216" s="224" t="str">
        <f t="shared" si="43"/>
        <v>CASSA</v>
      </c>
      <c r="G216" s="384" t="str">
        <f t="shared" ca="1" si="38"/>
        <v/>
      </c>
      <c r="H216" s="512">
        <f t="shared" ca="1" si="39"/>
        <v>0</v>
      </c>
      <c r="I216" s="1603" t="str">
        <f t="shared" ca="1" si="33"/>
        <v/>
      </c>
      <c r="J216" s="1604"/>
      <c r="K216" s="373"/>
      <c r="L216" s="513">
        <f t="shared" ca="1" si="42"/>
        <v>656.58</v>
      </c>
      <c r="M216" s="654">
        <f t="shared" ca="1" si="40"/>
        <v>1</v>
      </c>
      <c r="N216" s="226">
        <f t="shared" ca="1" si="34"/>
        <v>0</v>
      </c>
      <c r="O216" s="1"/>
    </row>
    <row r="217" spans="1:15" ht="16.5" customHeight="1">
      <c r="A217" s="1"/>
      <c r="B217" s="657" t="str">
        <f t="shared" ca="1" si="35"/>
        <v/>
      </c>
      <c r="C217" s="223" t="str">
        <f t="shared" ca="1" si="36"/>
        <v/>
      </c>
      <c r="D217" s="519">
        <f t="shared" si="41"/>
        <v>212</v>
      </c>
      <c r="E217" s="225" t="str">
        <f t="shared" ca="1" si="37"/>
        <v/>
      </c>
      <c r="F217" s="224" t="str">
        <f t="shared" si="43"/>
        <v>CASSA</v>
      </c>
      <c r="G217" s="384" t="str">
        <f t="shared" ca="1" si="38"/>
        <v/>
      </c>
      <c r="H217" s="512">
        <f t="shared" ca="1" si="39"/>
        <v>0</v>
      </c>
      <c r="I217" s="1603" t="str">
        <f t="shared" ca="1" si="33"/>
        <v/>
      </c>
      <c r="J217" s="1604"/>
      <c r="K217" s="373"/>
      <c r="L217" s="513">
        <f t="shared" ca="1" si="42"/>
        <v>656.58</v>
      </c>
      <c r="M217" s="654">
        <f t="shared" ca="1" si="40"/>
        <v>1</v>
      </c>
      <c r="N217" s="226">
        <f t="shared" ca="1" si="34"/>
        <v>0</v>
      </c>
      <c r="O217" s="1"/>
    </row>
    <row r="218" spans="1:15" ht="16.5" customHeight="1">
      <c r="A218" s="1"/>
      <c r="B218" s="657" t="str">
        <f t="shared" ca="1" si="35"/>
        <v/>
      </c>
      <c r="C218" s="223" t="str">
        <f t="shared" ca="1" si="36"/>
        <v/>
      </c>
      <c r="D218" s="519">
        <f t="shared" si="41"/>
        <v>213</v>
      </c>
      <c r="E218" s="225" t="str">
        <f t="shared" ca="1" si="37"/>
        <v/>
      </c>
      <c r="F218" s="224" t="str">
        <f t="shared" si="43"/>
        <v>CASSA</v>
      </c>
      <c r="G218" s="384" t="str">
        <f t="shared" ca="1" si="38"/>
        <v/>
      </c>
      <c r="H218" s="512">
        <f t="shared" ca="1" si="39"/>
        <v>0</v>
      </c>
      <c r="I218" s="1603" t="str">
        <f t="shared" ca="1" si="33"/>
        <v/>
      </c>
      <c r="J218" s="1604"/>
      <c r="K218" s="373"/>
      <c r="L218" s="513">
        <f t="shared" ca="1" si="42"/>
        <v>656.58</v>
      </c>
      <c r="M218" s="654">
        <f t="shared" ca="1" si="40"/>
        <v>1</v>
      </c>
      <c r="N218" s="226">
        <f t="shared" ca="1" si="34"/>
        <v>0</v>
      </c>
      <c r="O218" s="1"/>
    </row>
    <row r="219" spans="1:15" ht="16.5" customHeight="1">
      <c r="A219" s="1"/>
      <c r="B219" s="657" t="str">
        <f t="shared" ca="1" si="35"/>
        <v/>
      </c>
      <c r="C219" s="223" t="str">
        <f t="shared" ca="1" si="36"/>
        <v/>
      </c>
      <c r="D219" s="519">
        <f t="shared" si="41"/>
        <v>214</v>
      </c>
      <c r="E219" s="225" t="str">
        <f t="shared" ca="1" si="37"/>
        <v/>
      </c>
      <c r="F219" s="224" t="str">
        <f t="shared" si="43"/>
        <v>CASSA</v>
      </c>
      <c r="G219" s="384" t="str">
        <f t="shared" ca="1" si="38"/>
        <v/>
      </c>
      <c r="H219" s="512">
        <f t="shared" ca="1" si="39"/>
        <v>0</v>
      </c>
      <c r="I219" s="1603" t="str">
        <f t="shared" ca="1" si="33"/>
        <v/>
      </c>
      <c r="J219" s="1604"/>
      <c r="K219" s="373"/>
      <c r="L219" s="513">
        <f t="shared" ca="1" si="42"/>
        <v>656.58</v>
      </c>
      <c r="M219" s="654">
        <f t="shared" ca="1" si="40"/>
        <v>1</v>
      </c>
      <c r="N219" s="226">
        <f t="shared" ca="1" si="34"/>
        <v>0</v>
      </c>
      <c r="O219" s="1"/>
    </row>
    <row r="220" spans="1:15" ht="16.5" customHeight="1">
      <c r="A220" s="1"/>
      <c r="B220" s="657" t="str">
        <f t="shared" ca="1" si="35"/>
        <v/>
      </c>
      <c r="C220" s="223" t="str">
        <f t="shared" ca="1" si="36"/>
        <v/>
      </c>
      <c r="D220" s="519">
        <f t="shared" si="41"/>
        <v>215</v>
      </c>
      <c r="E220" s="225" t="str">
        <f t="shared" ca="1" si="37"/>
        <v/>
      </c>
      <c r="F220" s="224" t="str">
        <f t="shared" si="43"/>
        <v>CASSA</v>
      </c>
      <c r="G220" s="384" t="str">
        <f t="shared" ca="1" si="38"/>
        <v/>
      </c>
      <c r="H220" s="512">
        <f t="shared" ca="1" si="39"/>
        <v>0</v>
      </c>
      <c r="I220" s="1603" t="str">
        <f t="shared" ca="1" si="33"/>
        <v/>
      </c>
      <c r="J220" s="1604"/>
      <c r="K220" s="373"/>
      <c r="L220" s="513">
        <f t="shared" ca="1" si="42"/>
        <v>656.58</v>
      </c>
      <c r="M220" s="654">
        <f t="shared" ca="1" si="40"/>
        <v>1</v>
      </c>
      <c r="N220" s="226">
        <f t="shared" ca="1" si="34"/>
        <v>0</v>
      </c>
      <c r="O220" s="1"/>
    </row>
    <row r="221" spans="1:15" ht="16.5" customHeight="1">
      <c r="A221" s="1"/>
      <c r="B221" s="657" t="str">
        <f t="shared" ca="1" si="35"/>
        <v/>
      </c>
      <c r="C221" s="223" t="str">
        <f t="shared" ca="1" si="36"/>
        <v/>
      </c>
      <c r="D221" s="519">
        <f t="shared" si="41"/>
        <v>216</v>
      </c>
      <c r="E221" s="225" t="str">
        <f t="shared" ca="1" si="37"/>
        <v/>
      </c>
      <c r="F221" s="224" t="str">
        <f t="shared" si="43"/>
        <v>CASSA</v>
      </c>
      <c r="G221" s="384" t="str">
        <f t="shared" ca="1" si="38"/>
        <v/>
      </c>
      <c r="H221" s="512">
        <f t="shared" ca="1" si="39"/>
        <v>0</v>
      </c>
      <c r="I221" s="1603" t="str">
        <f t="shared" ca="1" si="33"/>
        <v/>
      </c>
      <c r="J221" s="1604"/>
      <c r="K221" s="373"/>
      <c r="L221" s="513">
        <f t="shared" ca="1" si="42"/>
        <v>656.58</v>
      </c>
      <c r="M221" s="654">
        <f t="shared" ca="1" si="40"/>
        <v>1</v>
      </c>
      <c r="N221" s="226">
        <f t="shared" ca="1" si="34"/>
        <v>0</v>
      </c>
      <c r="O221" s="1"/>
    </row>
    <row r="222" spans="1:15" ht="16.5" customHeight="1">
      <c r="A222" s="1"/>
      <c r="B222" s="657" t="str">
        <f t="shared" ca="1" si="35"/>
        <v/>
      </c>
      <c r="C222" s="223" t="str">
        <f t="shared" ca="1" si="36"/>
        <v/>
      </c>
      <c r="D222" s="519">
        <f t="shared" si="41"/>
        <v>217</v>
      </c>
      <c r="E222" s="225" t="str">
        <f t="shared" ca="1" si="37"/>
        <v/>
      </c>
      <c r="F222" s="224" t="str">
        <f t="shared" si="43"/>
        <v>CASSA</v>
      </c>
      <c r="G222" s="384" t="str">
        <f t="shared" ca="1" si="38"/>
        <v/>
      </c>
      <c r="H222" s="512">
        <f t="shared" ca="1" si="39"/>
        <v>0</v>
      </c>
      <c r="I222" s="1603" t="str">
        <f t="shared" ca="1" si="33"/>
        <v/>
      </c>
      <c r="J222" s="1604"/>
      <c r="K222" s="373"/>
      <c r="L222" s="513">
        <f t="shared" ca="1" si="42"/>
        <v>656.58</v>
      </c>
      <c r="M222" s="654">
        <f t="shared" ca="1" si="40"/>
        <v>1</v>
      </c>
      <c r="N222" s="226">
        <f t="shared" ca="1" si="34"/>
        <v>0</v>
      </c>
      <c r="O222" s="1"/>
    </row>
    <row r="223" spans="1:15" ht="16.5" customHeight="1">
      <c r="A223" s="1"/>
      <c r="B223" s="657" t="str">
        <f t="shared" ca="1" si="35"/>
        <v/>
      </c>
      <c r="C223" s="223" t="str">
        <f t="shared" ca="1" si="36"/>
        <v/>
      </c>
      <c r="D223" s="519">
        <f t="shared" si="41"/>
        <v>218</v>
      </c>
      <c r="E223" s="225" t="str">
        <f t="shared" ca="1" si="37"/>
        <v/>
      </c>
      <c r="F223" s="224" t="str">
        <f t="shared" si="43"/>
        <v>CASSA</v>
      </c>
      <c r="G223" s="384" t="str">
        <f t="shared" ca="1" si="38"/>
        <v/>
      </c>
      <c r="H223" s="512">
        <f t="shared" ca="1" si="39"/>
        <v>0</v>
      </c>
      <c r="I223" s="1603" t="str">
        <f t="shared" ca="1" si="33"/>
        <v/>
      </c>
      <c r="J223" s="1604"/>
      <c r="K223" s="373"/>
      <c r="L223" s="513">
        <f t="shared" ca="1" si="42"/>
        <v>656.58</v>
      </c>
      <c r="M223" s="654">
        <f t="shared" ca="1" si="40"/>
        <v>1</v>
      </c>
      <c r="N223" s="226">
        <f t="shared" ca="1" si="34"/>
        <v>0</v>
      </c>
      <c r="O223" s="1"/>
    </row>
    <row r="224" spans="1:15" ht="16.5" customHeight="1">
      <c r="A224" s="1"/>
      <c r="B224" s="657" t="str">
        <f t="shared" ca="1" si="35"/>
        <v/>
      </c>
      <c r="C224" s="223" t="str">
        <f t="shared" ca="1" si="36"/>
        <v/>
      </c>
      <c r="D224" s="519">
        <f t="shared" si="41"/>
        <v>219</v>
      </c>
      <c r="E224" s="225" t="str">
        <f t="shared" ca="1" si="37"/>
        <v/>
      </c>
      <c r="F224" s="224" t="str">
        <f t="shared" si="43"/>
        <v>CASSA</v>
      </c>
      <c r="G224" s="384" t="str">
        <f t="shared" ca="1" si="38"/>
        <v/>
      </c>
      <c r="H224" s="512">
        <f t="shared" ca="1" si="39"/>
        <v>0</v>
      </c>
      <c r="I224" s="1603" t="str">
        <f t="shared" ca="1" si="33"/>
        <v/>
      </c>
      <c r="J224" s="1604"/>
      <c r="K224" s="373"/>
      <c r="L224" s="513">
        <f t="shared" ca="1" si="42"/>
        <v>656.58</v>
      </c>
      <c r="M224" s="654">
        <f t="shared" ca="1" si="40"/>
        <v>1</v>
      </c>
      <c r="N224" s="226">
        <f t="shared" ca="1" si="34"/>
        <v>0</v>
      </c>
      <c r="O224" s="1"/>
    </row>
    <row r="225" spans="1:15" ht="16.5" customHeight="1">
      <c r="A225" s="1"/>
      <c r="B225" s="657" t="str">
        <f t="shared" ca="1" si="35"/>
        <v/>
      </c>
      <c r="C225" s="223" t="str">
        <f t="shared" ca="1" si="36"/>
        <v/>
      </c>
      <c r="D225" s="519">
        <f t="shared" si="41"/>
        <v>220</v>
      </c>
      <c r="E225" s="225" t="str">
        <f t="shared" ca="1" si="37"/>
        <v/>
      </c>
      <c r="F225" s="224" t="str">
        <f t="shared" si="43"/>
        <v>CASSA</v>
      </c>
      <c r="G225" s="384" t="str">
        <f t="shared" ca="1" si="38"/>
        <v/>
      </c>
      <c r="H225" s="512">
        <f t="shared" ca="1" si="39"/>
        <v>0</v>
      </c>
      <c r="I225" s="1603" t="str">
        <f t="shared" ca="1" si="33"/>
        <v/>
      </c>
      <c r="J225" s="1604"/>
      <c r="K225" s="373"/>
      <c r="L225" s="513">
        <f t="shared" ca="1" si="42"/>
        <v>656.58</v>
      </c>
      <c r="M225" s="654">
        <f t="shared" ca="1" si="40"/>
        <v>1</v>
      </c>
      <c r="N225" s="226">
        <f t="shared" ca="1" si="34"/>
        <v>0</v>
      </c>
      <c r="O225" s="1"/>
    </row>
    <row r="226" spans="1:15" ht="16.5" customHeight="1">
      <c r="A226" s="1"/>
      <c r="B226" s="657" t="str">
        <f t="shared" ca="1" si="35"/>
        <v/>
      </c>
      <c r="C226" s="223" t="str">
        <f t="shared" ca="1" si="36"/>
        <v/>
      </c>
      <c r="D226" s="519">
        <f t="shared" si="41"/>
        <v>221</v>
      </c>
      <c r="E226" s="225" t="str">
        <f t="shared" ca="1" si="37"/>
        <v/>
      </c>
      <c r="F226" s="224" t="str">
        <f t="shared" si="43"/>
        <v>CASSA</v>
      </c>
      <c r="G226" s="384" t="str">
        <f t="shared" ca="1" si="38"/>
        <v/>
      </c>
      <c r="H226" s="512">
        <f t="shared" ca="1" si="39"/>
        <v>0</v>
      </c>
      <c r="I226" s="1603" t="str">
        <f t="shared" ca="1" si="33"/>
        <v/>
      </c>
      <c r="J226" s="1604"/>
      <c r="K226" s="373"/>
      <c r="L226" s="513">
        <f t="shared" ca="1" si="42"/>
        <v>656.58</v>
      </c>
      <c r="M226" s="654">
        <f t="shared" ca="1" si="40"/>
        <v>1</v>
      </c>
      <c r="N226" s="226">
        <f t="shared" ca="1" si="34"/>
        <v>0</v>
      </c>
      <c r="O226" s="1"/>
    </row>
    <row r="227" spans="1:15" ht="16.5" customHeight="1">
      <c r="A227" s="1"/>
      <c r="B227" s="657" t="str">
        <f t="shared" ca="1" si="35"/>
        <v/>
      </c>
      <c r="C227" s="223" t="str">
        <f t="shared" ca="1" si="36"/>
        <v/>
      </c>
      <c r="D227" s="519">
        <f t="shared" si="41"/>
        <v>222</v>
      </c>
      <c r="E227" s="225" t="str">
        <f t="shared" ca="1" si="37"/>
        <v/>
      </c>
      <c r="F227" s="224" t="str">
        <f t="shared" si="43"/>
        <v>CASSA</v>
      </c>
      <c r="G227" s="384" t="str">
        <f t="shared" ca="1" si="38"/>
        <v/>
      </c>
      <c r="H227" s="512">
        <f t="shared" ca="1" si="39"/>
        <v>0</v>
      </c>
      <c r="I227" s="1603" t="str">
        <f t="shared" ca="1" si="33"/>
        <v/>
      </c>
      <c r="J227" s="1604"/>
      <c r="K227" s="373"/>
      <c r="L227" s="513">
        <f t="shared" ca="1" si="42"/>
        <v>656.58</v>
      </c>
      <c r="M227" s="654">
        <f t="shared" ca="1" si="40"/>
        <v>1</v>
      </c>
      <c r="N227" s="226">
        <f t="shared" ca="1" si="34"/>
        <v>0</v>
      </c>
      <c r="O227" s="1"/>
    </row>
    <row r="228" spans="1:15" ht="16.5" customHeight="1">
      <c r="A228" s="1"/>
      <c r="B228" s="657" t="str">
        <f t="shared" ca="1" si="35"/>
        <v/>
      </c>
      <c r="C228" s="223" t="str">
        <f t="shared" ca="1" si="36"/>
        <v/>
      </c>
      <c r="D228" s="519">
        <f t="shared" si="41"/>
        <v>223</v>
      </c>
      <c r="E228" s="225" t="str">
        <f t="shared" ca="1" si="37"/>
        <v/>
      </c>
      <c r="F228" s="224" t="str">
        <f t="shared" si="43"/>
        <v>CASSA</v>
      </c>
      <c r="G228" s="384" t="str">
        <f t="shared" ca="1" si="38"/>
        <v/>
      </c>
      <c r="H228" s="512">
        <f t="shared" ca="1" si="39"/>
        <v>0</v>
      </c>
      <c r="I228" s="1603" t="str">
        <f t="shared" ca="1" si="33"/>
        <v/>
      </c>
      <c r="J228" s="1604"/>
      <c r="K228" s="373"/>
      <c r="L228" s="513">
        <f t="shared" ca="1" si="42"/>
        <v>656.58</v>
      </c>
      <c r="M228" s="654">
        <f t="shared" ca="1" si="40"/>
        <v>1</v>
      </c>
      <c r="N228" s="226">
        <f t="shared" ca="1" si="34"/>
        <v>0</v>
      </c>
      <c r="O228" s="1"/>
    </row>
    <row r="229" spans="1:15" ht="16.5" customHeight="1">
      <c r="A229" s="1"/>
      <c r="B229" s="657" t="str">
        <f t="shared" ca="1" si="35"/>
        <v/>
      </c>
      <c r="C229" s="223" t="str">
        <f t="shared" ca="1" si="36"/>
        <v/>
      </c>
      <c r="D229" s="519">
        <f t="shared" si="41"/>
        <v>224</v>
      </c>
      <c r="E229" s="225" t="str">
        <f t="shared" ca="1" si="37"/>
        <v/>
      </c>
      <c r="F229" s="224" t="str">
        <f t="shared" si="43"/>
        <v>CASSA</v>
      </c>
      <c r="G229" s="384" t="str">
        <f t="shared" ca="1" si="38"/>
        <v/>
      </c>
      <c r="H229" s="512">
        <f t="shared" ca="1" si="39"/>
        <v>0</v>
      </c>
      <c r="I229" s="1603" t="str">
        <f t="shared" ca="1" si="33"/>
        <v/>
      </c>
      <c r="J229" s="1604"/>
      <c r="K229" s="373"/>
      <c r="L229" s="513">
        <f t="shared" ca="1" si="42"/>
        <v>656.58</v>
      </c>
      <c r="M229" s="654">
        <f t="shared" ca="1" si="40"/>
        <v>1</v>
      </c>
      <c r="N229" s="226">
        <f t="shared" ca="1" si="34"/>
        <v>0</v>
      </c>
      <c r="O229" s="1"/>
    </row>
    <row r="230" spans="1:15" ht="16.5" customHeight="1">
      <c r="A230" s="1"/>
      <c r="B230" s="657" t="str">
        <f t="shared" ca="1" si="35"/>
        <v/>
      </c>
      <c r="C230" s="223" t="str">
        <f t="shared" ca="1" si="36"/>
        <v/>
      </c>
      <c r="D230" s="519">
        <f t="shared" si="41"/>
        <v>225</v>
      </c>
      <c r="E230" s="225" t="str">
        <f t="shared" ca="1" si="37"/>
        <v/>
      </c>
      <c r="F230" s="224" t="str">
        <f t="shared" si="43"/>
        <v>CASSA</v>
      </c>
      <c r="G230" s="384" t="str">
        <f t="shared" ca="1" si="38"/>
        <v/>
      </c>
      <c r="H230" s="512">
        <f t="shared" ca="1" si="39"/>
        <v>0</v>
      </c>
      <c r="I230" s="1603" t="str">
        <f t="shared" ca="1" si="33"/>
        <v/>
      </c>
      <c r="J230" s="1604"/>
      <c r="K230" s="373"/>
      <c r="L230" s="513">
        <f t="shared" ca="1" si="42"/>
        <v>656.58</v>
      </c>
      <c r="M230" s="654">
        <f t="shared" ca="1" si="40"/>
        <v>1</v>
      </c>
      <c r="N230" s="226">
        <f t="shared" ca="1" si="34"/>
        <v>0</v>
      </c>
      <c r="O230" s="1"/>
    </row>
    <row r="231" spans="1:15" ht="16.5" customHeight="1">
      <c r="A231" s="1"/>
      <c r="B231" s="657" t="str">
        <f t="shared" ca="1" si="35"/>
        <v/>
      </c>
      <c r="C231" s="223" t="str">
        <f t="shared" ca="1" si="36"/>
        <v/>
      </c>
      <c r="D231" s="519">
        <f t="shared" si="41"/>
        <v>226</v>
      </c>
      <c r="E231" s="225" t="str">
        <f t="shared" ca="1" si="37"/>
        <v/>
      </c>
      <c r="F231" s="224" t="str">
        <f t="shared" si="43"/>
        <v>CASSA</v>
      </c>
      <c r="G231" s="384" t="str">
        <f t="shared" ca="1" si="38"/>
        <v/>
      </c>
      <c r="H231" s="512">
        <f t="shared" ca="1" si="39"/>
        <v>0</v>
      </c>
      <c r="I231" s="1603" t="str">
        <f t="shared" ca="1" si="33"/>
        <v/>
      </c>
      <c r="J231" s="1604"/>
      <c r="K231" s="373"/>
      <c r="L231" s="513">
        <f t="shared" ca="1" si="42"/>
        <v>656.58</v>
      </c>
      <c r="M231" s="654">
        <f t="shared" ca="1" si="40"/>
        <v>1</v>
      </c>
      <c r="N231" s="226">
        <f t="shared" ca="1" si="34"/>
        <v>0</v>
      </c>
      <c r="O231" s="1"/>
    </row>
    <row r="232" spans="1:15" ht="16.5" customHeight="1">
      <c r="A232" s="1"/>
      <c r="B232" s="657" t="str">
        <f t="shared" ca="1" si="35"/>
        <v/>
      </c>
      <c r="C232" s="223" t="str">
        <f t="shared" ca="1" si="36"/>
        <v/>
      </c>
      <c r="D232" s="519">
        <f t="shared" si="41"/>
        <v>227</v>
      </c>
      <c r="E232" s="225" t="str">
        <f t="shared" ca="1" si="37"/>
        <v/>
      </c>
      <c r="F232" s="224" t="str">
        <f t="shared" si="43"/>
        <v>CASSA</v>
      </c>
      <c r="G232" s="384" t="str">
        <f t="shared" ca="1" si="38"/>
        <v/>
      </c>
      <c r="H232" s="512">
        <f t="shared" ca="1" si="39"/>
        <v>0</v>
      </c>
      <c r="I232" s="1603" t="str">
        <f t="shared" ca="1" si="33"/>
        <v/>
      </c>
      <c r="J232" s="1604"/>
      <c r="K232" s="373"/>
      <c r="L232" s="513">
        <f t="shared" ca="1" si="42"/>
        <v>656.58</v>
      </c>
      <c r="M232" s="654">
        <f t="shared" ca="1" si="40"/>
        <v>1</v>
      </c>
      <c r="N232" s="226">
        <f t="shared" ca="1" si="34"/>
        <v>0</v>
      </c>
      <c r="O232" s="1"/>
    </row>
    <row r="233" spans="1:15" ht="16.5" customHeight="1">
      <c r="A233" s="1"/>
      <c r="B233" s="657" t="str">
        <f t="shared" ca="1" si="35"/>
        <v/>
      </c>
      <c r="C233" s="223" t="str">
        <f t="shared" ca="1" si="36"/>
        <v/>
      </c>
      <c r="D233" s="519">
        <f t="shared" si="41"/>
        <v>228</v>
      </c>
      <c r="E233" s="225" t="str">
        <f t="shared" ca="1" si="37"/>
        <v/>
      </c>
      <c r="F233" s="224" t="str">
        <f t="shared" si="43"/>
        <v>CASSA</v>
      </c>
      <c r="G233" s="384" t="str">
        <f t="shared" ca="1" si="38"/>
        <v/>
      </c>
      <c r="H233" s="512">
        <f t="shared" ca="1" si="39"/>
        <v>0</v>
      </c>
      <c r="I233" s="1603" t="str">
        <f t="shared" ca="1" si="33"/>
        <v/>
      </c>
      <c r="J233" s="1604"/>
      <c r="K233" s="373"/>
      <c r="L233" s="513">
        <f t="shared" ca="1" si="42"/>
        <v>656.58</v>
      </c>
      <c r="M233" s="654">
        <f t="shared" ca="1" si="40"/>
        <v>1</v>
      </c>
      <c r="N233" s="226">
        <f t="shared" ca="1" si="34"/>
        <v>0</v>
      </c>
      <c r="O233" s="1"/>
    </row>
    <row r="234" spans="1:15" ht="16.5" customHeight="1">
      <c r="A234" s="1"/>
      <c r="B234" s="657" t="str">
        <f t="shared" ca="1" si="35"/>
        <v/>
      </c>
      <c r="C234" s="223" t="str">
        <f t="shared" ca="1" si="36"/>
        <v/>
      </c>
      <c r="D234" s="519">
        <f t="shared" si="41"/>
        <v>229</v>
      </c>
      <c r="E234" s="225" t="str">
        <f t="shared" ca="1" si="37"/>
        <v/>
      </c>
      <c r="F234" s="224" t="str">
        <f t="shared" si="43"/>
        <v>CASSA</v>
      </c>
      <c r="G234" s="384" t="str">
        <f t="shared" ca="1" si="38"/>
        <v/>
      </c>
      <c r="H234" s="512">
        <f t="shared" ca="1" si="39"/>
        <v>0</v>
      </c>
      <c r="I234" s="1603" t="str">
        <f t="shared" ca="1" si="33"/>
        <v/>
      </c>
      <c r="J234" s="1604"/>
      <c r="K234" s="373"/>
      <c r="L234" s="513">
        <f t="shared" ca="1" si="42"/>
        <v>656.58</v>
      </c>
      <c r="M234" s="654">
        <f t="shared" ca="1" si="40"/>
        <v>1</v>
      </c>
      <c r="N234" s="226">
        <f t="shared" ca="1" si="34"/>
        <v>0</v>
      </c>
      <c r="O234" s="1"/>
    </row>
    <row r="235" spans="1:15" ht="16.5" customHeight="1">
      <c r="A235" s="1"/>
      <c r="B235" s="657" t="str">
        <f t="shared" ca="1" si="35"/>
        <v/>
      </c>
      <c r="C235" s="223" t="str">
        <f t="shared" ca="1" si="36"/>
        <v/>
      </c>
      <c r="D235" s="519">
        <f t="shared" si="41"/>
        <v>230</v>
      </c>
      <c r="E235" s="225" t="str">
        <f t="shared" ca="1" si="37"/>
        <v/>
      </c>
      <c r="F235" s="224" t="str">
        <f t="shared" si="43"/>
        <v>CASSA</v>
      </c>
      <c r="G235" s="384" t="str">
        <f t="shared" ca="1" si="38"/>
        <v/>
      </c>
      <c r="H235" s="512">
        <f t="shared" ca="1" si="39"/>
        <v>0</v>
      </c>
      <c r="I235" s="1603" t="str">
        <f t="shared" ca="1" si="33"/>
        <v/>
      </c>
      <c r="J235" s="1604"/>
      <c r="K235" s="373"/>
      <c r="L235" s="513">
        <f t="shared" ca="1" si="42"/>
        <v>656.58</v>
      </c>
      <c r="M235" s="654">
        <f t="shared" ca="1" si="40"/>
        <v>1</v>
      </c>
      <c r="N235" s="226">
        <f t="shared" ca="1" si="34"/>
        <v>0</v>
      </c>
      <c r="O235" s="1"/>
    </row>
    <row r="236" spans="1:15" ht="16.5" customHeight="1">
      <c r="A236" s="1"/>
      <c r="B236" s="657" t="str">
        <f t="shared" ca="1" si="35"/>
        <v/>
      </c>
      <c r="C236" s="223" t="str">
        <f t="shared" ca="1" si="36"/>
        <v/>
      </c>
      <c r="D236" s="519">
        <f t="shared" si="41"/>
        <v>231</v>
      </c>
      <c r="E236" s="225" t="str">
        <f t="shared" ca="1" si="37"/>
        <v/>
      </c>
      <c r="F236" s="224" t="str">
        <f t="shared" si="43"/>
        <v>CASSA</v>
      </c>
      <c r="G236" s="384" t="str">
        <f t="shared" ca="1" si="38"/>
        <v/>
      </c>
      <c r="H236" s="512">
        <f t="shared" ca="1" si="39"/>
        <v>0</v>
      </c>
      <c r="I236" s="1603" t="str">
        <f t="shared" ca="1" si="33"/>
        <v/>
      </c>
      <c r="J236" s="1604"/>
      <c r="K236" s="373"/>
      <c r="L236" s="513">
        <f t="shared" ca="1" si="42"/>
        <v>656.58</v>
      </c>
      <c r="M236" s="654">
        <f t="shared" ca="1" si="40"/>
        <v>1</v>
      </c>
      <c r="N236" s="226">
        <f t="shared" ca="1" si="34"/>
        <v>0</v>
      </c>
      <c r="O236" s="1"/>
    </row>
    <row r="237" spans="1:15" ht="16.5" customHeight="1">
      <c r="A237" s="1"/>
      <c r="B237" s="657" t="str">
        <f t="shared" ca="1" si="35"/>
        <v/>
      </c>
      <c r="C237" s="223" t="str">
        <f t="shared" ca="1" si="36"/>
        <v/>
      </c>
      <c r="D237" s="519">
        <f t="shared" si="41"/>
        <v>232</v>
      </c>
      <c r="E237" s="225" t="str">
        <f t="shared" ca="1" si="37"/>
        <v/>
      </c>
      <c r="F237" s="224" t="str">
        <f t="shared" si="43"/>
        <v>CASSA</v>
      </c>
      <c r="G237" s="384" t="str">
        <f t="shared" ca="1" si="38"/>
        <v/>
      </c>
      <c r="H237" s="512">
        <f t="shared" ca="1" si="39"/>
        <v>0</v>
      </c>
      <c r="I237" s="1603" t="str">
        <f t="shared" ca="1" si="33"/>
        <v/>
      </c>
      <c r="J237" s="1604"/>
      <c r="K237" s="373"/>
      <c r="L237" s="513">
        <f t="shared" ca="1" si="42"/>
        <v>656.58</v>
      </c>
      <c r="M237" s="654">
        <f t="shared" ca="1" si="40"/>
        <v>1</v>
      </c>
      <c r="N237" s="226">
        <f t="shared" ca="1" si="34"/>
        <v>0</v>
      </c>
      <c r="O237" s="1"/>
    </row>
    <row r="238" spans="1:15" ht="16.5" customHeight="1">
      <c r="A238" s="1"/>
      <c r="B238" s="657" t="str">
        <f t="shared" ca="1" si="35"/>
        <v/>
      </c>
      <c r="C238" s="223" t="str">
        <f t="shared" ca="1" si="36"/>
        <v/>
      </c>
      <c r="D238" s="519">
        <f t="shared" si="41"/>
        <v>233</v>
      </c>
      <c r="E238" s="225" t="str">
        <f t="shared" ca="1" si="37"/>
        <v/>
      </c>
      <c r="F238" s="224" t="str">
        <f t="shared" si="43"/>
        <v>CASSA</v>
      </c>
      <c r="G238" s="384" t="str">
        <f t="shared" ca="1" si="38"/>
        <v/>
      </c>
      <c r="H238" s="512">
        <f t="shared" ca="1" si="39"/>
        <v>0</v>
      </c>
      <c r="I238" s="1603" t="str">
        <f t="shared" ca="1" si="33"/>
        <v/>
      </c>
      <c r="J238" s="1604"/>
      <c r="K238" s="373"/>
      <c r="L238" s="513">
        <f t="shared" ca="1" si="42"/>
        <v>656.58</v>
      </c>
      <c r="M238" s="654">
        <f t="shared" ca="1" si="40"/>
        <v>1</v>
      </c>
      <c r="N238" s="226">
        <f t="shared" ca="1" si="34"/>
        <v>0</v>
      </c>
      <c r="O238" s="1"/>
    </row>
    <row r="239" spans="1:15" ht="16.5" customHeight="1">
      <c r="A239" s="1"/>
      <c r="B239" s="657" t="str">
        <f t="shared" ca="1" si="35"/>
        <v/>
      </c>
      <c r="C239" s="223" t="str">
        <f t="shared" ca="1" si="36"/>
        <v/>
      </c>
      <c r="D239" s="519">
        <f t="shared" si="41"/>
        <v>234</v>
      </c>
      <c r="E239" s="225" t="str">
        <f t="shared" ca="1" si="37"/>
        <v/>
      </c>
      <c r="F239" s="224" t="str">
        <f t="shared" si="43"/>
        <v>CASSA</v>
      </c>
      <c r="G239" s="384" t="str">
        <f t="shared" ca="1" si="38"/>
        <v/>
      </c>
      <c r="H239" s="512">
        <f t="shared" ca="1" si="39"/>
        <v>0</v>
      </c>
      <c r="I239" s="1603" t="str">
        <f t="shared" ca="1" si="33"/>
        <v/>
      </c>
      <c r="J239" s="1604"/>
      <c r="K239" s="373"/>
      <c r="L239" s="513">
        <f t="shared" ca="1" si="42"/>
        <v>656.58</v>
      </c>
      <c r="M239" s="654">
        <f t="shared" ca="1" si="40"/>
        <v>1</v>
      </c>
      <c r="N239" s="226">
        <f t="shared" ca="1" si="34"/>
        <v>0</v>
      </c>
      <c r="O239" s="1"/>
    </row>
    <row r="240" spans="1:15" ht="16.5" customHeight="1">
      <c r="A240" s="1"/>
      <c r="B240" s="657" t="str">
        <f t="shared" ca="1" si="35"/>
        <v/>
      </c>
      <c r="C240" s="223" t="str">
        <f t="shared" ca="1" si="36"/>
        <v/>
      </c>
      <c r="D240" s="519">
        <f t="shared" si="41"/>
        <v>235</v>
      </c>
      <c r="E240" s="225" t="str">
        <f t="shared" ca="1" si="37"/>
        <v/>
      </c>
      <c r="F240" s="224" t="str">
        <f t="shared" si="43"/>
        <v>CASSA</v>
      </c>
      <c r="G240" s="384" t="str">
        <f t="shared" ca="1" si="38"/>
        <v/>
      </c>
      <c r="H240" s="512">
        <f t="shared" ca="1" si="39"/>
        <v>0</v>
      </c>
      <c r="I240" s="1603" t="str">
        <f t="shared" ca="1" si="33"/>
        <v/>
      </c>
      <c r="J240" s="1604"/>
      <c r="K240" s="373"/>
      <c r="L240" s="513">
        <f t="shared" ca="1" si="42"/>
        <v>656.58</v>
      </c>
      <c r="M240" s="654">
        <f t="shared" ca="1" si="40"/>
        <v>1</v>
      </c>
      <c r="N240" s="226">
        <f t="shared" ca="1" si="34"/>
        <v>0</v>
      </c>
      <c r="O240" s="1"/>
    </row>
    <row r="241" spans="1:15" ht="16.5" customHeight="1">
      <c r="A241" s="1"/>
      <c r="B241" s="657" t="str">
        <f t="shared" ca="1" si="35"/>
        <v/>
      </c>
      <c r="C241" s="223" t="str">
        <f t="shared" ca="1" si="36"/>
        <v/>
      </c>
      <c r="D241" s="519">
        <f t="shared" si="41"/>
        <v>236</v>
      </c>
      <c r="E241" s="225" t="str">
        <f t="shared" ca="1" si="37"/>
        <v/>
      </c>
      <c r="F241" s="224" t="str">
        <f t="shared" si="43"/>
        <v>CASSA</v>
      </c>
      <c r="G241" s="384" t="str">
        <f t="shared" ca="1" si="38"/>
        <v/>
      </c>
      <c r="H241" s="512">
        <f t="shared" ca="1" si="39"/>
        <v>0</v>
      </c>
      <c r="I241" s="1603" t="str">
        <f t="shared" ca="1" si="33"/>
        <v/>
      </c>
      <c r="J241" s="1604"/>
      <c r="K241" s="373"/>
      <c r="L241" s="513">
        <f t="shared" ca="1" si="42"/>
        <v>656.58</v>
      </c>
      <c r="M241" s="654">
        <f t="shared" ca="1" si="40"/>
        <v>1</v>
      </c>
      <c r="N241" s="226">
        <f t="shared" ca="1" si="34"/>
        <v>0</v>
      </c>
      <c r="O241" s="1"/>
    </row>
    <row r="242" spans="1:15" ht="16.5" customHeight="1">
      <c r="A242" s="1"/>
      <c r="B242" s="657" t="str">
        <f t="shared" ca="1" si="35"/>
        <v/>
      </c>
      <c r="C242" s="223" t="str">
        <f t="shared" ca="1" si="36"/>
        <v/>
      </c>
      <c r="D242" s="519">
        <f t="shared" si="41"/>
        <v>237</v>
      </c>
      <c r="E242" s="225" t="str">
        <f t="shared" ca="1" si="37"/>
        <v/>
      </c>
      <c r="F242" s="224" t="str">
        <f t="shared" si="43"/>
        <v>CASSA</v>
      </c>
      <c r="G242" s="384" t="str">
        <f t="shared" ca="1" si="38"/>
        <v/>
      </c>
      <c r="H242" s="512">
        <f t="shared" ca="1" si="39"/>
        <v>0</v>
      </c>
      <c r="I242" s="1603" t="str">
        <f t="shared" ca="1" si="33"/>
        <v/>
      </c>
      <c r="J242" s="1604"/>
      <c r="K242" s="373"/>
      <c r="L242" s="513">
        <f t="shared" ca="1" si="42"/>
        <v>656.58</v>
      </c>
      <c r="M242" s="654">
        <f t="shared" ca="1" si="40"/>
        <v>1</v>
      </c>
      <c r="N242" s="226">
        <f t="shared" ca="1" si="34"/>
        <v>0</v>
      </c>
      <c r="O242" s="1"/>
    </row>
    <row r="243" spans="1:15" ht="16.5" customHeight="1">
      <c r="A243" s="1"/>
      <c r="B243" s="657" t="str">
        <f t="shared" ca="1" si="35"/>
        <v/>
      </c>
      <c r="C243" s="223" t="str">
        <f t="shared" ca="1" si="36"/>
        <v/>
      </c>
      <c r="D243" s="519">
        <f t="shared" si="41"/>
        <v>238</v>
      </c>
      <c r="E243" s="225" t="str">
        <f t="shared" ca="1" si="37"/>
        <v/>
      </c>
      <c r="F243" s="224" t="str">
        <f t="shared" si="43"/>
        <v>CASSA</v>
      </c>
      <c r="G243" s="384" t="str">
        <f t="shared" ca="1" si="38"/>
        <v/>
      </c>
      <c r="H243" s="512">
        <f t="shared" ca="1" si="39"/>
        <v>0</v>
      </c>
      <c r="I243" s="1603" t="str">
        <f t="shared" ca="1" si="33"/>
        <v/>
      </c>
      <c r="J243" s="1604"/>
      <c r="K243" s="373"/>
      <c r="L243" s="513">
        <f t="shared" ca="1" si="42"/>
        <v>656.58</v>
      </c>
      <c r="M243" s="654">
        <f t="shared" ca="1" si="40"/>
        <v>1</v>
      </c>
      <c r="N243" s="226">
        <f t="shared" ca="1" si="34"/>
        <v>0</v>
      </c>
      <c r="O243" s="1"/>
    </row>
    <row r="244" spans="1:15" ht="16.5" customHeight="1">
      <c r="A244" s="1"/>
      <c r="B244" s="657" t="str">
        <f t="shared" ca="1" si="35"/>
        <v/>
      </c>
      <c r="C244" s="223" t="str">
        <f t="shared" ca="1" si="36"/>
        <v/>
      </c>
      <c r="D244" s="519">
        <f t="shared" si="41"/>
        <v>239</v>
      </c>
      <c r="E244" s="225" t="str">
        <f t="shared" ca="1" si="37"/>
        <v/>
      </c>
      <c r="F244" s="224" t="str">
        <f t="shared" si="43"/>
        <v>CASSA</v>
      </c>
      <c r="G244" s="384" t="str">
        <f t="shared" ca="1" si="38"/>
        <v/>
      </c>
      <c r="H244" s="512">
        <f t="shared" ca="1" si="39"/>
        <v>0</v>
      </c>
      <c r="I244" s="1603" t="str">
        <f t="shared" ca="1" si="33"/>
        <v/>
      </c>
      <c r="J244" s="1604"/>
      <c r="K244" s="373"/>
      <c r="L244" s="513">
        <f t="shared" ca="1" si="42"/>
        <v>656.58</v>
      </c>
      <c r="M244" s="654">
        <f t="shared" ca="1" si="40"/>
        <v>1</v>
      </c>
      <c r="N244" s="226">
        <f t="shared" ca="1" si="34"/>
        <v>0</v>
      </c>
      <c r="O244" s="1"/>
    </row>
    <row r="245" spans="1:15" ht="16.5" customHeight="1">
      <c r="A245" s="1"/>
      <c r="B245" s="657" t="str">
        <f t="shared" ca="1" si="35"/>
        <v/>
      </c>
      <c r="C245" s="223" t="str">
        <f t="shared" ca="1" si="36"/>
        <v/>
      </c>
      <c r="D245" s="519">
        <f t="shared" si="41"/>
        <v>240</v>
      </c>
      <c r="E245" s="225" t="str">
        <f t="shared" ca="1" si="37"/>
        <v/>
      </c>
      <c r="F245" s="224" t="str">
        <f t="shared" si="43"/>
        <v>CASSA</v>
      </c>
      <c r="G245" s="384" t="str">
        <f t="shared" ca="1" si="38"/>
        <v/>
      </c>
      <c r="H245" s="512">
        <f t="shared" ca="1" si="39"/>
        <v>0</v>
      </c>
      <c r="I245" s="1603" t="str">
        <f t="shared" ca="1" si="33"/>
        <v/>
      </c>
      <c r="J245" s="1604"/>
      <c r="K245" s="373"/>
      <c r="L245" s="513">
        <f t="shared" ca="1" si="42"/>
        <v>656.58</v>
      </c>
      <c r="M245" s="654">
        <f t="shared" ca="1" si="40"/>
        <v>1</v>
      </c>
      <c r="N245" s="226">
        <f t="shared" ca="1" si="34"/>
        <v>0</v>
      </c>
      <c r="O245" s="1"/>
    </row>
    <row r="246" spans="1:15" ht="16.5" customHeight="1">
      <c r="A246" s="1"/>
      <c r="B246" s="657" t="str">
        <f t="shared" ca="1" si="35"/>
        <v/>
      </c>
      <c r="C246" s="223" t="str">
        <f t="shared" ca="1" si="36"/>
        <v/>
      </c>
      <c r="D246" s="519">
        <f t="shared" si="41"/>
        <v>241</v>
      </c>
      <c r="E246" s="225" t="str">
        <f t="shared" ca="1" si="37"/>
        <v/>
      </c>
      <c r="F246" s="224" t="str">
        <f t="shared" si="43"/>
        <v>CASSA</v>
      </c>
      <c r="G246" s="384" t="str">
        <f t="shared" ca="1" si="38"/>
        <v/>
      </c>
      <c r="H246" s="512">
        <f t="shared" ca="1" si="39"/>
        <v>0</v>
      </c>
      <c r="I246" s="1603" t="str">
        <f t="shared" ca="1" si="33"/>
        <v/>
      </c>
      <c r="J246" s="1604"/>
      <c r="K246" s="373"/>
      <c r="L246" s="513">
        <f t="shared" ca="1" si="42"/>
        <v>656.58</v>
      </c>
      <c r="M246" s="654">
        <f t="shared" ca="1" si="40"/>
        <v>1</v>
      </c>
      <c r="N246" s="226">
        <f t="shared" ca="1" si="34"/>
        <v>0</v>
      </c>
      <c r="O246" s="1"/>
    </row>
    <row r="247" spans="1:15" ht="16.5" customHeight="1">
      <c r="A247" s="1"/>
      <c r="B247" s="657" t="str">
        <f t="shared" ca="1" si="35"/>
        <v/>
      </c>
      <c r="C247" s="223" t="str">
        <f t="shared" ca="1" si="36"/>
        <v/>
      </c>
      <c r="D247" s="519">
        <f t="shared" si="41"/>
        <v>242</v>
      </c>
      <c r="E247" s="225" t="str">
        <f t="shared" ca="1" si="37"/>
        <v/>
      </c>
      <c r="F247" s="224" t="str">
        <f t="shared" si="43"/>
        <v>CASSA</v>
      </c>
      <c r="G247" s="384" t="str">
        <f t="shared" ca="1" si="38"/>
        <v/>
      </c>
      <c r="H247" s="512">
        <f t="shared" ca="1" si="39"/>
        <v>0</v>
      </c>
      <c r="I247" s="1603" t="str">
        <f t="shared" ca="1" si="33"/>
        <v/>
      </c>
      <c r="J247" s="1604"/>
      <c r="K247" s="373"/>
      <c r="L247" s="513">
        <f t="shared" ca="1" si="42"/>
        <v>656.58</v>
      </c>
      <c r="M247" s="654">
        <f t="shared" ca="1" si="40"/>
        <v>1</v>
      </c>
      <c r="N247" s="226">
        <f t="shared" ca="1" si="34"/>
        <v>0</v>
      </c>
      <c r="O247" s="1"/>
    </row>
    <row r="248" spans="1:15" ht="16.5" customHeight="1">
      <c r="A248" s="1"/>
      <c r="B248" s="657" t="str">
        <f t="shared" ca="1" si="35"/>
        <v/>
      </c>
      <c r="C248" s="223" t="str">
        <f t="shared" ca="1" si="36"/>
        <v/>
      </c>
      <c r="D248" s="519">
        <f t="shared" si="41"/>
        <v>243</v>
      </c>
      <c r="E248" s="225" t="str">
        <f t="shared" ca="1" si="37"/>
        <v/>
      </c>
      <c r="F248" s="224" t="str">
        <f t="shared" si="43"/>
        <v>CASSA</v>
      </c>
      <c r="G248" s="384" t="str">
        <f t="shared" ca="1" si="38"/>
        <v/>
      </c>
      <c r="H248" s="512">
        <f t="shared" ca="1" si="39"/>
        <v>0</v>
      </c>
      <c r="I248" s="1603" t="str">
        <f t="shared" ca="1" si="33"/>
        <v/>
      </c>
      <c r="J248" s="1604"/>
      <c r="K248" s="373"/>
      <c r="L248" s="513">
        <f t="shared" ca="1" si="42"/>
        <v>656.58</v>
      </c>
      <c r="M248" s="654">
        <f t="shared" ca="1" si="40"/>
        <v>1</v>
      </c>
      <c r="N248" s="226">
        <f t="shared" ca="1" si="34"/>
        <v>0</v>
      </c>
      <c r="O248" s="1"/>
    </row>
    <row r="249" spans="1:15" ht="16.5" customHeight="1">
      <c r="A249" s="1"/>
      <c r="B249" s="657" t="str">
        <f t="shared" ca="1" si="35"/>
        <v/>
      </c>
      <c r="C249" s="223" t="str">
        <f t="shared" ca="1" si="36"/>
        <v/>
      </c>
      <c r="D249" s="519">
        <f t="shared" si="41"/>
        <v>244</v>
      </c>
      <c r="E249" s="225" t="str">
        <f t="shared" ca="1" si="37"/>
        <v/>
      </c>
      <c r="F249" s="224" t="str">
        <f t="shared" si="43"/>
        <v>CASSA</v>
      </c>
      <c r="G249" s="384" t="str">
        <f t="shared" ca="1" si="38"/>
        <v/>
      </c>
      <c r="H249" s="512">
        <f t="shared" ca="1" si="39"/>
        <v>0</v>
      </c>
      <c r="I249" s="1603" t="str">
        <f t="shared" ca="1" si="33"/>
        <v/>
      </c>
      <c r="J249" s="1604"/>
      <c r="K249" s="373"/>
      <c r="L249" s="513">
        <f t="shared" ca="1" si="42"/>
        <v>656.58</v>
      </c>
      <c r="M249" s="654">
        <f t="shared" ca="1" si="40"/>
        <v>1</v>
      </c>
      <c r="N249" s="226">
        <f t="shared" ca="1" si="34"/>
        <v>0</v>
      </c>
      <c r="O249" s="1"/>
    </row>
    <row r="250" spans="1:15" ht="16.5" customHeight="1">
      <c r="A250" s="1"/>
      <c r="B250" s="657" t="str">
        <f t="shared" ca="1" si="35"/>
        <v/>
      </c>
      <c r="C250" s="223" t="str">
        <f t="shared" ca="1" si="36"/>
        <v/>
      </c>
      <c r="D250" s="519">
        <f t="shared" si="41"/>
        <v>245</v>
      </c>
      <c r="E250" s="225" t="str">
        <f t="shared" ca="1" si="37"/>
        <v/>
      </c>
      <c r="F250" s="224" t="str">
        <f t="shared" si="43"/>
        <v>CASSA</v>
      </c>
      <c r="G250" s="384" t="str">
        <f t="shared" ca="1" si="38"/>
        <v/>
      </c>
      <c r="H250" s="512">
        <f t="shared" ca="1" si="39"/>
        <v>0</v>
      </c>
      <c r="I250" s="1603" t="str">
        <f t="shared" ca="1" si="33"/>
        <v/>
      </c>
      <c r="J250" s="1604"/>
      <c r="K250" s="373"/>
      <c r="L250" s="513">
        <f t="shared" ca="1" si="42"/>
        <v>656.58</v>
      </c>
      <c r="M250" s="654">
        <f t="shared" ca="1" si="40"/>
        <v>1</v>
      </c>
      <c r="N250" s="226">
        <f t="shared" ca="1" si="34"/>
        <v>0</v>
      </c>
      <c r="O250" s="1"/>
    </row>
    <row r="251" spans="1:15" ht="16.5" customHeight="1">
      <c r="A251" s="1"/>
      <c r="B251" s="657" t="str">
        <f t="shared" ca="1" si="35"/>
        <v/>
      </c>
      <c r="C251" s="223" t="str">
        <f t="shared" ca="1" si="36"/>
        <v/>
      </c>
      <c r="D251" s="519">
        <f t="shared" si="41"/>
        <v>246</v>
      </c>
      <c r="E251" s="225" t="str">
        <f t="shared" ca="1" si="37"/>
        <v/>
      </c>
      <c r="F251" s="224" t="str">
        <f t="shared" si="43"/>
        <v>CASSA</v>
      </c>
      <c r="G251" s="384" t="str">
        <f t="shared" ca="1" si="38"/>
        <v/>
      </c>
      <c r="H251" s="512">
        <f t="shared" ca="1" si="39"/>
        <v>0</v>
      </c>
      <c r="I251" s="1603" t="str">
        <f t="shared" ca="1" si="33"/>
        <v/>
      </c>
      <c r="J251" s="1604"/>
      <c r="K251" s="373"/>
      <c r="L251" s="513">
        <f t="shared" ca="1" si="42"/>
        <v>656.58</v>
      </c>
      <c r="M251" s="654">
        <f t="shared" ca="1" si="40"/>
        <v>1</v>
      </c>
      <c r="N251" s="226">
        <f t="shared" ca="1" si="34"/>
        <v>0</v>
      </c>
      <c r="O251" s="1"/>
    </row>
    <row r="252" spans="1:15" ht="16.5" customHeight="1">
      <c r="A252" s="1"/>
      <c r="B252" s="657" t="str">
        <f t="shared" ca="1" si="35"/>
        <v/>
      </c>
      <c r="C252" s="223" t="str">
        <f t="shared" ca="1" si="36"/>
        <v/>
      </c>
      <c r="D252" s="519">
        <f t="shared" si="41"/>
        <v>247</v>
      </c>
      <c r="E252" s="225" t="str">
        <f t="shared" ca="1" si="37"/>
        <v/>
      </c>
      <c r="F252" s="224" t="str">
        <f t="shared" si="43"/>
        <v>CASSA</v>
      </c>
      <c r="G252" s="384" t="str">
        <f t="shared" ca="1" si="38"/>
        <v/>
      </c>
      <c r="H252" s="512">
        <f t="shared" ca="1" si="39"/>
        <v>0</v>
      </c>
      <c r="I252" s="1603" t="str">
        <f t="shared" ca="1" si="33"/>
        <v/>
      </c>
      <c r="J252" s="1604"/>
      <c r="K252" s="373"/>
      <c r="L252" s="513">
        <f t="shared" ca="1" si="42"/>
        <v>656.58</v>
      </c>
      <c r="M252" s="654">
        <f t="shared" ca="1" si="40"/>
        <v>1</v>
      </c>
      <c r="N252" s="226">
        <f t="shared" ca="1" si="34"/>
        <v>0</v>
      </c>
      <c r="O252" s="1"/>
    </row>
    <row r="253" spans="1:15" ht="16.5" customHeight="1">
      <c r="A253" s="1"/>
      <c r="B253" s="657" t="str">
        <f t="shared" ca="1" si="35"/>
        <v/>
      </c>
      <c r="C253" s="223" t="str">
        <f t="shared" ca="1" si="36"/>
        <v/>
      </c>
      <c r="D253" s="519">
        <f t="shared" si="41"/>
        <v>248</v>
      </c>
      <c r="E253" s="225" t="str">
        <f t="shared" ca="1" si="37"/>
        <v/>
      </c>
      <c r="F253" s="224" t="str">
        <f t="shared" si="43"/>
        <v>CASSA</v>
      </c>
      <c r="G253" s="384" t="str">
        <f t="shared" ca="1" si="38"/>
        <v/>
      </c>
      <c r="H253" s="512">
        <f t="shared" ca="1" si="39"/>
        <v>0</v>
      </c>
      <c r="I253" s="1603" t="str">
        <f t="shared" ca="1" si="33"/>
        <v/>
      </c>
      <c r="J253" s="1604"/>
      <c r="K253" s="373"/>
      <c r="L253" s="513">
        <f t="shared" ca="1" si="42"/>
        <v>656.58</v>
      </c>
      <c r="M253" s="654">
        <f t="shared" ca="1" si="40"/>
        <v>1</v>
      </c>
      <c r="N253" s="226">
        <f t="shared" ca="1" si="34"/>
        <v>0</v>
      </c>
      <c r="O253" s="1"/>
    </row>
    <row r="254" spans="1:15" ht="16.5" customHeight="1">
      <c r="A254" s="1"/>
      <c r="B254" s="657" t="str">
        <f t="shared" ca="1" si="35"/>
        <v/>
      </c>
      <c r="C254" s="223" t="str">
        <f t="shared" ca="1" si="36"/>
        <v/>
      </c>
      <c r="D254" s="519">
        <f t="shared" si="41"/>
        <v>249</v>
      </c>
      <c r="E254" s="225" t="str">
        <f t="shared" ca="1" si="37"/>
        <v/>
      </c>
      <c r="F254" s="224" t="str">
        <f t="shared" si="43"/>
        <v>CASSA</v>
      </c>
      <c r="G254" s="384" t="str">
        <f t="shared" ca="1" si="38"/>
        <v/>
      </c>
      <c r="H254" s="512">
        <f t="shared" ca="1" si="39"/>
        <v>0</v>
      </c>
      <c r="I254" s="1603" t="str">
        <f t="shared" ca="1" si="33"/>
        <v/>
      </c>
      <c r="J254" s="1604"/>
      <c r="K254" s="373"/>
      <c r="L254" s="513">
        <f t="shared" ca="1" si="42"/>
        <v>656.58</v>
      </c>
      <c r="M254" s="654">
        <f t="shared" ca="1" si="40"/>
        <v>1</v>
      </c>
      <c r="N254" s="226">
        <f t="shared" ca="1" si="34"/>
        <v>0</v>
      </c>
      <c r="O254" s="1"/>
    </row>
    <row r="255" spans="1:15" ht="16.5" customHeight="1">
      <c r="A255" s="1"/>
      <c r="B255" s="657" t="str">
        <f t="shared" ca="1" si="35"/>
        <v/>
      </c>
      <c r="C255" s="223" t="str">
        <f t="shared" ca="1" si="36"/>
        <v/>
      </c>
      <c r="D255" s="519">
        <f t="shared" si="41"/>
        <v>250</v>
      </c>
      <c r="E255" s="225" t="str">
        <f t="shared" ca="1" si="37"/>
        <v/>
      </c>
      <c r="F255" s="224" t="str">
        <f t="shared" si="43"/>
        <v>CASSA</v>
      </c>
      <c r="G255" s="384" t="str">
        <f t="shared" ca="1" si="38"/>
        <v/>
      </c>
      <c r="H255" s="512">
        <f t="shared" ca="1" si="39"/>
        <v>0</v>
      </c>
      <c r="I255" s="1603" t="str">
        <f t="shared" ca="1" si="33"/>
        <v/>
      </c>
      <c r="J255" s="1604"/>
      <c r="K255" s="373"/>
      <c r="L255" s="513">
        <f t="shared" ca="1" si="42"/>
        <v>656.58</v>
      </c>
      <c r="M255" s="654">
        <f t="shared" ca="1" si="40"/>
        <v>1</v>
      </c>
      <c r="N255" s="226">
        <f t="shared" ca="1" si="34"/>
        <v>0</v>
      </c>
      <c r="O255" s="1"/>
    </row>
    <row r="256" spans="1:15" ht="16.5" customHeight="1">
      <c r="A256" s="1"/>
      <c r="B256" s="657" t="str">
        <f t="shared" ca="1" si="35"/>
        <v/>
      </c>
      <c r="C256" s="223" t="str">
        <f t="shared" ca="1" si="36"/>
        <v/>
      </c>
      <c r="D256" s="519">
        <f t="shared" si="41"/>
        <v>251</v>
      </c>
      <c r="E256" s="225" t="str">
        <f t="shared" ca="1" si="37"/>
        <v/>
      </c>
      <c r="F256" s="224" t="str">
        <f t="shared" si="43"/>
        <v>CASSA</v>
      </c>
      <c r="G256" s="384" t="str">
        <f t="shared" ca="1" si="38"/>
        <v/>
      </c>
      <c r="H256" s="512">
        <f t="shared" ca="1" si="39"/>
        <v>0</v>
      </c>
      <c r="I256" s="1603" t="str">
        <f t="shared" ca="1" si="33"/>
        <v/>
      </c>
      <c r="J256" s="1604"/>
      <c r="K256" s="373"/>
      <c r="L256" s="513">
        <f t="shared" ca="1" si="42"/>
        <v>656.58</v>
      </c>
      <c r="M256" s="654">
        <f t="shared" ca="1" si="40"/>
        <v>1</v>
      </c>
      <c r="N256" s="226">
        <f t="shared" ca="1" si="34"/>
        <v>0</v>
      </c>
      <c r="O256" s="1"/>
    </row>
    <row r="257" spans="1:15" ht="16.5" customHeight="1">
      <c r="A257" s="1"/>
      <c r="B257" s="657" t="str">
        <f t="shared" ca="1" si="35"/>
        <v/>
      </c>
      <c r="C257" s="223" t="str">
        <f t="shared" ca="1" si="36"/>
        <v/>
      </c>
      <c r="D257" s="519">
        <f t="shared" si="41"/>
        <v>252</v>
      </c>
      <c r="E257" s="225" t="str">
        <f t="shared" ca="1" si="37"/>
        <v/>
      </c>
      <c r="F257" s="224" t="str">
        <f t="shared" si="43"/>
        <v>CASSA</v>
      </c>
      <c r="G257" s="384" t="str">
        <f t="shared" ca="1" si="38"/>
        <v/>
      </c>
      <c r="H257" s="512">
        <f t="shared" ca="1" si="39"/>
        <v>0</v>
      </c>
      <c r="I257" s="1603" t="str">
        <f t="shared" ca="1" si="33"/>
        <v/>
      </c>
      <c r="J257" s="1604"/>
      <c r="K257" s="373"/>
      <c r="L257" s="513">
        <f t="shared" ca="1" si="42"/>
        <v>656.58</v>
      </c>
      <c r="M257" s="654">
        <f t="shared" ca="1" si="40"/>
        <v>1</v>
      </c>
      <c r="N257" s="226">
        <f t="shared" ca="1" si="34"/>
        <v>0</v>
      </c>
      <c r="O257" s="1"/>
    </row>
    <row r="258" spans="1:15" ht="16.5" customHeight="1">
      <c r="A258" s="1"/>
      <c r="B258" s="657" t="str">
        <f t="shared" ca="1" si="35"/>
        <v/>
      </c>
      <c r="C258" s="223" t="str">
        <f t="shared" ca="1" si="36"/>
        <v/>
      </c>
      <c r="D258" s="519">
        <f t="shared" si="41"/>
        <v>253</v>
      </c>
      <c r="E258" s="225" t="str">
        <f t="shared" ca="1" si="37"/>
        <v/>
      </c>
      <c r="F258" s="224" t="str">
        <f t="shared" si="43"/>
        <v>CASSA</v>
      </c>
      <c r="G258" s="384" t="str">
        <f t="shared" ca="1" si="38"/>
        <v/>
      </c>
      <c r="H258" s="512">
        <f t="shared" ca="1" si="39"/>
        <v>0</v>
      </c>
      <c r="I258" s="1603" t="str">
        <f t="shared" ca="1" si="33"/>
        <v/>
      </c>
      <c r="J258" s="1604"/>
      <c r="K258" s="373"/>
      <c r="L258" s="513">
        <f t="shared" ca="1" si="42"/>
        <v>656.58</v>
      </c>
      <c r="M258" s="654">
        <f t="shared" ca="1" si="40"/>
        <v>1</v>
      </c>
      <c r="N258" s="226">
        <f t="shared" ca="1" si="34"/>
        <v>0</v>
      </c>
      <c r="O258" s="1"/>
    </row>
    <row r="259" spans="1:15" ht="16.5" customHeight="1">
      <c r="A259" s="1"/>
      <c r="B259" s="657" t="str">
        <f t="shared" ca="1" si="35"/>
        <v/>
      </c>
      <c r="C259" s="223" t="str">
        <f t="shared" ca="1" si="36"/>
        <v/>
      </c>
      <c r="D259" s="519">
        <f t="shared" si="41"/>
        <v>254</v>
      </c>
      <c r="E259" s="225" t="str">
        <f t="shared" ca="1" si="37"/>
        <v/>
      </c>
      <c r="F259" s="224" t="str">
        <f t="shared" si="43"/>
        <v>CASSA</v>
      </c>
      <c r="G259" s="384" t="str">
        <f t="shared" ca="1" si="38"/>
        <v/>
      </c>
      <c r="H259" s="512">
        <f t="shared" ca="1" si="39"/>
        <v>0</v>
      </c>
      <c r="I259" s="1603" t="str">
        <f t="shared" ca="1" si="33"/>
        <v/>
      </c>
      <c r="J259" s="1604"/>
      <c r="K259" s="373"/>
      <c r="L259" s="513">
        <f t="shared" ca="1" si="42"/>
        <v>656.58</v>
      </c>
      <c r="M259" s="654">
        <f t="shared" ca="1" si="40"/>
        <v>1</v>
      </c>
      <c r="N259" s="226">
        <f t="shared" ca="1" si="34"/>
        <v>0</v>
      </c>
      <c r="O259" s="1"/>
    </row>
    <row r="260" spans="1:15" ht="16.5" customHeight="1">
      <c r="A260" s="1"/>
      <c r="B260" s="657" t="str">
        <f t="shared" ca="1" si="35"/>
        <v/>
      </c>
      <c r="C260" s="223" t="str">
        <f t="shared" ca="1" si="36"/>
        <v/>
      </c>
      <c r="D260" s="519">
        <f t="shared" si="41"/>
        <v>255</v>
      </c>
      <c r="E260" s="225" t="str">
        <f t="shared" ca="1" si="37"/>
        <v/>
      </c>
      <c r="F260" s="224" t="str">
        <f t="shared" si="43"/>
        <v>CASSA</v>
      </c>
      <c r="G260" s="384" t="str">
        <f t="shared" ca="1" si="38"/>
        <v/>
      </c>
      <c r="H260" s="512">
        <f t="shared" ca="1" si="39"/>
        <v>0</v>
      </c>
      <c r="I260" s="1603" t="str">
        <f t="shared" ca="1" si="33"/>
        <v/>
      </c>
      <c r="J260" s="1604"/>
      <c r="K260" s="373"/>
      <c r="L260" s="513">
        <f t="shared" ca="1" si="42"/>
        <v>656.58</v>
      </c>
      <c r="M260" s="654">
        <f t="shared" ca="1" si="40"/>
        <v>1</v>
      </c>
      <c r="N260" s="226">
        <f t="shared" ca="1" si="34"/>
        <v>0</v>
      </c>
      <c r="O260" s="1"/>
    </row>
    <row r="261" spans="1:15" ht="16.5" customHeight="1">
      <c r="A261" s="1"/>
      <c r="B261" s="657" t="str">
        <f t="shared" ca="1" si="35"/>
        <v/>
      </c>
      <c r="C261" s="223" t="str">
        <f t="shared" ca="1" si="36"/>
        <v/>
      </c>
      <c r="D261" s="519">
        <f t="shared" si="41"/>
        <v>256</v>
      </c>
      <c r="E261" s="225" t="str">
        <f t="shared" ca="1" si="37"/>
        <v/>
      </c>
      <c r="F261" s="224" t="str">
        <f t="shared" si="43"/>
        <v>CASSA</v>
      </c>
      <c r="G261" s="384" t="str">
        <f t="shared" ca="1" si="38"/>
        <v/>
      </c>
      <c r="H261" s="512">
        <f t="shared" ca="1" si="39"/>
        <v>0</v>
      </c>
      <c r="I261" s="1603" t="str">
        <f t="shared" ca="1" si="33"/>
        <v/>
      </c>
      <c r="J261" s="1604"/>
      <c r="K261" s="373"/>
      <c r="L261" s="513">
        <f t="shared" ca="1" si="42"/>
        <v>656.58</v>
      </c>
      <c r="M261" s="654">
        <f t="shared" ca="1" si="40"/>
        <v>1</v>
      </c>
      <c r="N261" s="226">
        <f t="shared" ca="1" si="34"/>
        <v>0</v>
      </c>
      <c r="O261" s="1"/>
    </row>
    <row r="262" spans="1:15" ht="16.5" customHeight="1">
      <c r="A262" s="1"/>
      <c r="B262" s="657" t="str">
        <f t="shared" ca="1" si="35"/>
        <v/>
      </c>
      <c r="C262" s="223" t="str">
        <f t="shared" ca="1" si="36"/>
        <v/>
      </c>
      <c r="D262" s="519">
        <f t="shared" si="41"/>
        <v>257</v>
      </c>
      <c r="E262" s="225" t="str">
        <f t="shared" ca="1" si="37"/>
        <v/>
      </c>
      <c r="F262" s="224" t="str">
        <f t="shared" si="43"/>
        <v>CASSA</v>
      </c>
      <c r="G262" s="384" t="str">
        <f t="shared" ca="1" si="38"/>
        <v/>
      </c>
      <c r="H262" s="512">
        <f t="shared" ca="1" si="39"/>
        <v>0</v>
      </c>
      <c r="I262" s="1603" t="str">
        <f t="shared" ref="I262:I325" ca="1" si="44">IF(F262="","",IF(ISERROR(VLOOKUP($D262,$B$1080:$L$4183,11,FALSE)),"",VLOOKUP($D262,$B$1080:$L$4183,11,FALSE)))</f>
        <v/>
      </c>
      <c r="J262" s="1604"/>
      <c r="K262" s="373"/>
      <c r="L262" s="513">
        <f t="shared" ca="1" si="42"/>
        <v>656.58</v>
      </c>
      <c r="M262" s="654">
        <f t="shared" ca="1" si="40"/>
        <v>1</v>
      </c>
      <c r="N262" s="226">
        <f t="shared" ref="N262:N325" ca="1" si="45">IF(ISERROR(VLOOKUP(G262,G$4171:G$4182,1,FALSE)),0,1)</f>
        <v>0</v>
      </c>
      <c r="O262" s="1"/>
    </row>
    <row r="263" spans="1:15" ht="16.5" customHeight="1">
      <c r="A263" s="1"/>
      <c r="B263" s="657" t="str">
        <f t="shared" ref="B263:B326" ca="1" si="46">IF(AND(E263&lt;&gt;"",M263=0),"[..]","")</f>
        <v/>
      </c>
      <c r="C263" s="223" t="str">
        <f t="shared" ref="C263:C326" ca="1" si="47">IF(ISBLANK(E$2),"",IF(ISERROR(VLOOKUP(D263,B$3067:B$4182,1,FALSE)),"",C$4185))</f>
        <v/>
      </c>
      <c r="D263" s="519">
        <f t="shared" si="41"/>
        <v>258</v>
      </c>
      <c r="E263" s="225" t="str">
        <f t="shared" ref="E263:E326" ca="1" si="48">IF(ISERROR(VLOOKUP($D263,$B$1080:$E$4183,4,FALSE)),"",VLOOKUP($D263,$B$1080:$E$4183,4,FALSE))</f>
        <v/>
      </c>
      <c r="F263" s="224" t="str">
        <f t="shared" si="43"/>
        <v>CASSA</v>
      </c>
      <c r="G263" s="384" t="str">
        <f t="shared" ref="G263:G326" ca="1" si="49">IF(ISERROR(VLOOKUP($D263,$B$1080:$G$4183,6,FALSE)),"",T(VLOOKUP($D263,$B$1080:$G$4183,6,FALSE)))</f>
        <v/>
      </c>
      <c r="H263" s="512">
        <f t="shared" ref="H263:H326" ca="1" si="50">IF(ISERROR(VLOOKUP($D263,$B$1080:$H$4183,7,FALSE)),0,VLOOKUP($D263,$B$1080:$H$4183,7,FALSE))*M263</f>
        <v>0</v>
      </c>
      <c r="I263" s="1603" t="str">
        <f t="shared" ca="1" si="44"/>
        <v/>
      </c>
      <c r="J263" s="1604"/>
      <c r="K263" s="373"/>
      <c r="L263" s="513">
        <f t="shared" ca="1" si="42"/>
        <v>656.58</v>
      </c>
      <c r="M263" s="654">
        <f t="shared" ref="M263:M326" ca="1" si="51">IF(AND(E263&gt;0,H$4188=0,OR(E263&lt;L$1020,E263&gt;L$1021)),0,1)</f>
        <v>1</v>
      </c>
      <c r="N263" s="226">
        <f t="shared" ca="1" si="45"/>
        <v>0</v>
      </c>
      <c r="O263" s="1"/>
    </row>
    <row r="264" spans="1:15" ht="16.5" customHeight="1">
      <c r="A264" s="1"/>
      <c r="B264" s="657" t="str">
        <f t="shared" ca="1" si="46"/>
        <v/>
      </c>
      <c r="C264" s="223" t="str">
        <f t="shared" ca="1" si="47"/>
        <v/>
      </c>
      <c r="D264" s="519">
        <f t="shared" ref="D264:D327" si="52">D263+1</f>
        <v>259</v>
      </c>
      <c r="E264" s="225" t="str">
        <f t="shared" ca="1" si="48"/>
        <v/>
      </c>
      <c r="F264" s="224" t="str">
        <f t="shared" si="43"/>
        <v>CASSA</v>
      </c>
      <c r="G264" s="384" t="str">
        <f t="shared" ca="1" si="49"/>
        <v/>
      </c>
      <c r="H264" s="512">
        <f t="shared" ca="1" si="50"/>
        <v>0</v>
      </c>
      <c r="I264" s="1603" t="str">
        <f t="shared" ca="1" si="44"/>
        <v/>
      </c>
      <c r="J264" s="1604"/>
      <c r="K264" s="373"/>
      <c r="L264" s="513">
        <f t="shared" ref="L264:L327" ca="1" si="53">ROUND(L263+H264,2)</f>
        <v>656.58</v>
      </c>
      <c r="M264" s="654">
        <f t="shared" ca="1" si="51"/>
        <v>1</v>
      </c>
      <c r="N264" s="226">
        <f t="shared" ca="1" si="45"/>
        <v>0</v>
      </c>
      <c r="O264" s="1"/>
    </row>
    <row r="265" spans="1:15" ht="16.5" customHeight="1">
      <c r="A265" s="1"/>
      <c r="B265" s="657" t="str">
        <f t="shared" ca="1" si="46"/>
        <v/>
      </c>
      <c r="C265" s="223" t="str">
        <f t="shared" ca="1" si="47"/>
        <v/>
      </c>
      <c r="D265" s="519">
        <f t="shared" si="52"/>
        <v>260</v>
      </c>
      <c r="E265" s="225" t="str">
        <f t="shared" ca="1" si="48"/>
        <v/>
      </c>
      <c r="F265" s="224" t="str">
        <f t="shared" si="43"/>
        <v>CASSA</v>
      </c>
      <c r="G265" s="384" t="str">
        <f t="shared" ca="1" si="49"/>
        <v/>
      </c>
      <c r="H265" s="512">
        <f t="shared" ca="1" si="50"/>
        <v>0</v>
      </c>
      <c r="I265" s="1603" t="str">
        <f t="shared" ca="1" si="44"/>
        <v/>
      </c>
      <c r="J265" s="1604"/>
      <c r="K265" s="373"/>
      <c r="L265" s="513">
        <f t="shared" ca="1" si="53"/>
        <v>656.58</v>
      </c>
      <c r="M265" s="654">
        <f t="shared" ca="1" si="51"/>
        <v>1</v>
      </c>
      <c r="N265" s="226">
        <f t="shared" ca="1" si="45"/>
        <v>0</v>
      </c>
      <c r="O265" s="1"/>
    </row>
    <row r="266" spans="1:15" ht="16.5" customHeight="1">
      <c r="A266" s="1"/>
      <c r="B266" s="657" t="str">
        <f t="shared" ca="1" si="46"/>
        <v/>
      </c>
      <c r="C266" s="223" t="str">
        <f t="shared" ca="1" si="47"/>
        <v/>
      </c>
      <c r="D266" s="519">
        <f t="shared" si="52"/>
        <v>261</v>
      </c>
      <c r="E266" s="225" t="str">
        <f t="shared" ca="1" si="48"/>
        <v/>
      </c>
      <c r="F266" s="224" t="str">
        <f t="shared" si="43"/>
        <v>CASSA</v>
      </c>
      <c r="G266" s="384" t="str">
        <f t="shared" ca="1" si="49"/>
        <v/>
      </c>
      <c r="H266" s="512">
        <f t="shared" ca="1" si="50"/>
        <v>0</v>
      </c>
      <c r="I266" s="1603" t="str">
        <f t="shared" ca="1" si="44"/>
        <v/>
      </c>
      <c r="J266" s="1604"/>
      <c r="K266" s="373"/>
      <c r="L266" s="513">
        <f t="shared" ca="1" si="53"/>
        <v>656.58</v>
      </c>
      <c r="M266" s="654">
        <f t="shared" ca="1" si="51"/>
        <v>1</v>
      </c>
      <c r="N266" s="226">
        <f t="shared" ca="1" si="45"/>
        <v>0</v>
      </c>
      <c r="O266" s="1"/>
    </row>
    <row r="267" spans="1:15" ht="16.5" customHeight="1">
      <c r="A267" s="1"/>
      <c r="B267" s="657" t="str">
        <f t="shared" ca="1" si="46"/>
        <v/>
      </c>
      <c r="C267" s="223" t="str">
        <f t="shared" ca="1" si="47"/>
        <v/>
      </c>
      <c r="D267" s="519">
        <f t="shared" si="52"/>
        <v>262</v>
      </c>
      <c r="E267" s="225" t="str">
        <f t="shared" ca="1" si="48"/>
        <v/>
      </c>
      <c r="F267" s="224" t="str">
        <f t="shared" si="43"/>
        <v>CASSA</v>
      </c>
      <c r="G267" s="384" t="str">
        <f t="shared" ca="1" si="49"/>
        <v/>
      </c>
      <c r="H267" s="512">
        <f t="shared" ca="1" si="50"/>
        <v>0</v>
      </c>
      <c r="I267" s="1603" t="str">
        <f t="shared" ca="1" si="44"/>
        <v/>
      </c>
      <c r="J267" s="1604"/>
      <c r="K267" s="373"/>
      <c r="L267" s="513">
        <f t="shared" ca="1" si="53"/>
        <v>656.58</v>
      </c>
      <c r="M267" s="654">
        <f t="shared" ca="1" si="51"/>
        <v>1</v>
      </c>
      <c r="N267" s="226">
        <f t="shared" ca="1" si="45"/>
        <v>0</v>
      </c>
      <c r="O267" s="1"/>
    </row>
    <row r="268" spans="1:15" ht="16.5" customHeight="1">
      <c r="A268" s="1"/>
      <c r="B268" s="657" t="str">
        <f t="shared" ca="1" si="46"/>
        <v/>
      </c>
      <c r="C268" s="223" t="str">
        <f t="shared" ca="1" si="47"/>
        <v/>
      </c>
      <c r="D268" s="519">
        <f t="shared" si="52"/>
        <v>263</v>
      </c>
      <c r="E268" s="225" t="str">
        <f t="shared" ca="1" si="48"/>
        <v/>
      </c>
      <c r="F268" s="224" t="str">
        <f t="shared" ref="F268:F331" si="54">F267</f>
        <v>CASSA</v>
      </c>
      <c r="G268" s="384" t="str">
        <f t="shared" ca="1" si="49"/>
        <v/>
      </c>
      <c r="H268" s="512">
        <f t="shared" ca="1" si="50"/>
        <v>0</v>
      </c>
      <c r="I268" s="1603" t="str">
        <f t="shared" ca="1" si="44"/>
        <v/>
      </c>
      <c r="J268" s="1604"/>
      <c r="K268" s="373"/>
      <c r="L268" s="513">
        <f t="shared" ca="1" si="53"/>
        <v>656.58</v>
      </c>
      <c r="M268" s="654">
        <f t="shared" ca="1" si="51"/>
        <v>1</v>
      </c>
      <c r="N268" s="226">
        <f t="shared" ca="1" si="45"/>
        <v>0</v>
      </c>
      <c r="O268" s="1"/>
    </row>
    <row r="269" spans="1:15" ht="16.5" customHeight="1">
      <c r="A269" s="1"/>
      <c r="B269" s="657" t="str">
        <f t="shared" ca="1" si="46"/>
        <v/>
      </c>
      <c r="C269" s="223" t="str">
        <f t="shared" ca="1" si="47"/>
        <v/>
      </c>
      <c r="D269" s="519">
        <f t="shared" si="52"/>
        <v>264</v>
      </c>
      <c r="E269" s="225" t="str">
        <f t="shared" ca="1" si="48"/>
        <v/>
      </c>
      <c r="F269" s="224" t="str">
        <f t="shared" si="54"/>
        <v>CASSA</v>
      </c>
      <c r="G269" s="384" t="str">
        <f t="shared" ca="1" si="49"/>
        <v/>
      </c>
      <c r="H269" s="512">
        <f t="shared" ca="1" si="50"/>
        <v>0</v>
      </c>
      <c r="I269" s="1603" t="str">
        <f t="shared" ca="1" si="44"/>
        <v/>
      </c>
      <c r="J269" s="1604"/>
      <c r="K269" s="373"/>
      <c r="L269" s="513">
        <f t="shared" ca="1" si="53"/>
        <v>656.58</v>
      </c>
      <c r="M269" s="654">
        <f t="shared" ca="1" si="51"/>
        <v>1</v>
      </c>
      <c r="N269" s="226">
        <f t="shared" ca="1" si="45"/>
        <v>0</v>
      </c>
      <c r="O269" s="1"/>
    </row>
    <row r="270" spans="1:15" ht="16.5" customHeight="1">
      <c r="A270" s="1"/>
      <c r="B270" s="657" t="str">
        <f t="shared" ca="1" si="46"/>
        <v/>
      </c>
      <c r="C270" s="223" t="str">
        <f t="shared" ca="1" si="47"/>
        <v/>
      </c>
      <c r="D270" s="519">
        <f t="shared" si="52"/>
        <v>265</v>
      </c>
      <c r="E270" s="225" t="str">
        <f t="shared" ca="1" si="48"/>
        <v/>
      </c>
      <c r="F270" s="224" t="str">
        <f t="shared" si="54"/>
        <v>CASSA</v>
      </c>
      <c r="G270" s="384" t="str">
        <f t="shared" ca="1" si="49"/>
        <v/>
      </c>
      <c r="H270" s="512">
        <f t="shared" ca="1" si="50"/>
        <v>0</v>
      </c>
      <c r="I270" s="1603" t="str">
        <f t="shared" ca="1" si="44"/>
        <v/>
      </c>
      <c r="J270" s="1604"/>
      <c r="K270" s="373"/>
      <c r="L270" s="513">
        <f t="shared" ca="1" si="53"/>
        <v>656.58</v>
      </c>
      <c r="M270" s="654">
        <f t="shared" ca="1" si="51"/>
        <v>1</v>
      </c>
      <c r="N270" s="226">
        <f t="shared" ca="1" si="45"/>
        <v>0</v>
      </c>
      <c r="O270" s="1"/>
    </row>
    <row r="271" spans="1:15" ht="16.5" customHeight="1">
      <c r="A271" s="1"/>
      <c r="B271" s="657" t="str">
        <f t="shared" ca="1" si="46"/>
        <v/>
      </c>
      <c r="C271" s="223" t="str">
        <f t="shared" ca="1" si="47"/>
        <v/>
      </c>
      <c r="D271" s="519">
        <f t="shared" si="52"/>
        <v>266</v>
      </c>
      <c r="E271" s="225" t="str">
        <f t="shared" ca="1" si="48"/>
        <v/>
      </c>
      <c r="F271" s="224" t="str">
        <f t="shared" si="54"/>
        <v>CASSA</v>
      </c>
      <c r="G271" s="384" t="str">
        <f t="shared" ca="1" si="49"/>
        <v/>
      </c>
      <c r="H271" s="512">
        <f t="shared" ca="1" si="50"/>
        <v>0</v>
      </c>
      <c r="I271" s="1603" t="str">
        <f t="shared" ca="1" si="44"/>
        <v/>
      </c>
      <c r="J271" s="1604"/>
      <c r="K271" s="373"/>
      <c r="L271" s="513">
        <f t="shared" ca="1" si="53"/>
        <v>656.58</v>
      </c>
      <c r="M271" s="654">
        <f t="shared" ca="1" si="51"/>
        <v>1</v>
      </c>
      <c r="N271" s="226">
        <f t="shared" ca="1" si="45"/>
        <v>0</v>
      </c>
      <c r="O271" s="1"/>
    </row>
    <row r="272" spans="1:15" ht="16.5" customHeight="1">
      <c r="A272" s="1"/>
      <c r="B272" s="657" t="str">
        <f t="shared" ca="1" si="46"/>
        <v/>
      </c>
      <c r="C272" s="223" t="str">
        <f t="shared" ca="1" si="47"/>
        <v/>
      </c>
      <c r="D272" s="519">
        <f t="shared" si="52"/>
        <v>267</v>
      </c>
      <c r="E272" s="225" t="str">
        <f t="shared" ca="1" si="48"/>
        <v/>
      </c>
      <c r="F272" s="224" t="str">
        <f t="shared" si="54"/>
        <v>CASSA</v>
      </c>
      <c r="G272" s="384" t="str">
        <f t="shared" ca="1" si="49"/>
        <v/>
      </c>
      <c r="H272" s="512">
        <f t="shared" ca="1" si="50"/>
        <v>0</v>
      </c>
      <c r="I272" s="1603" t="str">
        <f t="shared" ca="1" si="44"/>
        <v/>
      </c>
      <c r="J272" s="1604"/>
      <c r="K272" s="373"/>
      <c r="L272" s="513">
        <f t="shared" ca="1" si="53"/>
        <v>656.58</v>
      </c>
      <c r="M272" s="654">
        <f t="shared" ca="1" si="51"/>
        <v>1</v>
      </c>
      <c r="N272" s="226">
        <f t="shared" ca="1" si="45"/>
        <v>0</v>
      </c>
      <c r="O272" s="1"/>
    </row>
    <row r="273" spans="1:15" ht="16.5" customHeight="1">
      <c r="A273" s="1"/>
      <c r="B273" s="657" t="str">
        <f t="shared" ca="1" si="46"/>
        <v/>
      </c>
      <c r="C273" s="223" t="str">
        <f t="shared" ca="1" si="47"/>
        <v/>
      </c>
      <c r="D273" s="519">
        <f t="shared" si="52"/>
        <v>268</v>
      </c>
      <c r="E273" s="225" t="str">
        <f t="shared" ca="1" si="48"/>
        <v/>
      </c>
      <c r="F273" s="224" t="str">
        <f t="shared" si="54"/>
        <v>CASSA</v>
      </c>
      <c r="G273" s="384" t="str">
        <f t="shared" ca="1" si="49"/>
        <v/>
      </c>
      <c r="H273" s="512">
        <f t="shared" ca="1" si="50"/>
        <v>0</v>
      </c>
      <c r="I273" s="1603" t="str">
        <f t="shared" ca="1" si="44"/>
        <v/>
      </c>
      <c r="J273" s="1604"/>
      <c r="K273" s="373"/>
      <c r="L273" s="513">
        <f t="shared" ca="1" si="53"/>
        <v>656.58</v>
      </c>
      <c r="M273" s="654">
        <f t="shared" ca="1" si="51"/>
        <v>1</v>
      </c>
      <c r="N273" s="226">
        <f t="shared" ca="1" si="45"/>
        <v>0</v>
      </c>
      <c r="O273" s="1"/>
    </row>
    <row r="274" spans="1:15" ht="16.5" customHeight="1">
      <c r="A274" s="1"/>
      <c r="B274" s="657" t="str">
        <f t="shared" ca="1" si="46"/>
        <v/>
      </c>
      <c r="C274" s="223" t="str">
        <f t="shared" ca="1" si="47"/>
        <v/>
      </c>
      <c r="D274" s="519">
        <f t="shared" si="52"/>
        <v>269</v>
      </c>
      <c r="E274" s="225" t="str">
        <f t="shared" ca="1" si="48"/>
        <v/>
      </c>
      <c r="F274" s="224" t="str">
        <f t="shared" si="54"/>
        <v>CASSA</v>
      </c>
      <c r="G274" s="384" t="str">
        <f t="shared" ca="1" si="49"/>
        <v/>
      </c>
      <c r="H274" s="512">
        <f t="shared" ca="1" si="50"/>
        <v>0</v>
      </c>
      <c r="I274" s="1603" t="str">
        <f t="shared" ca="1" si="44"/>
        <v/>
      </c>
      <c r="J274" s="1604"/>
      <c r="K274" s="373"/>
      <c r="L274" s="513">
        <f t="shared" ca="1" si="53"/>
        <v>656.58</v>
      </c>
      <c r="M274" s="654">
        <f t="shared" ca="1" si="51"/>
        <v>1</v>
      </c>
      <c r="N274" s="226">
        <f t="shared" ca="1" si="45"/>
        <v>0</v>
      </c>
      <c r="O274" s="1"/>
    </row>
    <row r="275" spans="1:15" ht="16.5" customHeight="1">
      <c r="A275" s="1"/>
      <c r="B275" s="657" t="str">
        <f t="shared" ca="1" si="46"/>
        <v/>
      </c>
      <c r="C275" s="223" t="str">
        <f t="shared" ca="1" si="47"/>
        <v/>
      </c>
      <c r="D275" s="519">
        <f t="shared" si="52"/>
        <v>270</v>
      </c>
      <c r="E275" s="225" t="str">
        <f t="shared" ca="1" si="48"/>
        <v/>
      </c>
      <c r="F275" s="224" t="str">
        <f t="shared" si="54"/>
        <v>CASSA</v>
      </c>
      <c r="G275" s="384" t="str">
        <f t="shared" ca="1" si="49"/>
        <v/>
      </c>
      <c r="H275" s="512">
        <f t="shared" ca="1" si="50"/>
        <v>0</v>
      </c>
      <c r="I275" s="1603" t="str">
        <f t="shared" ca="1" si="44"/>
        <v/>
      </c>
      <c r="J275" s="1604"/>
      <c r="K275" s="373"/>
      <c r="L275" s="513">
        <f t="shared" ca="1" si="53"/>
        <v>656.58</v>
      </c>
      <c r="M275" s="654">
        <f t="shared" ca="1" si="51"/>
        <v>1</v>
      </c>
      <c r="N275" s="226">
        <f t="shared" ca="1" si="45"/>
        <v>0</v>
      </c>
      <c r="O275" s="1"/>
    </row>
    <row r="276" spans="1:15" ht="16.5" customHeight="1">
      <c r="A276" s="1"/>
      <c r="B276" s="657" t="str">
        <f t="shared" ca="1" si="46"/>
        <v/>
      </c>
      <c r="C276" s="223" t="str">
        <f t="shared" ca="1" si="47"/>
        <v/>
      </c>
      <c r="D276" s="519">
        <f t="shared" si="52"/>
        <v>271</v>
      </c>
      <c r="E276" s="225" t="str">
        <f t="shared" ca="1" si="48"/>
        <v/>
      </c>
      <c r="F276" s="224" t="str">
        <f t="shared" si="54"/>
        <v>CASSA</v>
      </c>
      <c r="G276" s="384" t="str">
        <f t="shared" ca="1" si="49"/>
        <v/>
      </c>
      <c r="H276" s="512">
        <f t="shared" ca="1" si="50"/>
        <v>0</v>
      </c>
      <c r="I276" s="1603" t="str">
        <f t="shared" ca="1" si="44"/>
        <v/>
      </c>
      <c r="J276" s="1604"/>
      <c r="K276" s="373"/>
      <c r="L276" s="513">
        <f t="shared" ca="1" si="53"/>
        <v>656.58</v>
      </c>
      <c r="M276" s="654">
        <f t="shared" ca="1" si="51"/>
        <v>1</v>
      </c>
      <c r="N276" s="226">
        <f t="shared" ca="1" si="45"/>
        <v>0</v>
      </c>
      <c r="O276" s="1"/>
    </row>
    <row r="277" spans="1:15" ht="16.5" customHeight="1">
      <c r="A277" s="1"/>
      <c r="B277" s="657" t="str">
        <f t="shared" ca="1" si="46"/>
        <v/>
      </c>
      <c r="C277" s="223" t="str">
        <f t="shared" ca="1" si="47"/>
        <v/>
      </c>
      <c r="D277" s="519">
        <f t="shared" si="52"/>
        <v>272</v>
      </c>
      <c r="E277" s="225" t="str">
        <f t="shared" ca="1" si="48"/>
        <v/>
      </c>
      <c r="F277" s="224" t="str">
        <f t="shared" si="54"/>
        <v>CASSA</v>
      </c>
      <c r="G277" s="384" t="str">
        <f t="shared" ca="1" si="49"/>
        <v/>
      </c>
      <c r="H277" s="512">
        <f t="shared" ca="1" si="50"/>
        <v>0</v>
      </c>
      <c r="I277" s="1603" t="str">
        <f t="shared" ca="1" si="44"/>
        <v/>
      </c>
      <c r="J277" s="1604"/>
      <c r="K277" s="373"/>
      <c r="L277" s="513">
        <f t="shared" ca="1" si="53"/>
        <v>656.58</v>
      </c>
      <c r="M277" s="654">
        <f t="shared" ca="1" si="51"/>
        <v>1</v>
      </c>
      <c r="N277" s="226">
        <f t="shared" ca="1" si="45"/>
        <v>0</v>
      </c>
      <c r="O277" s="1"/>
    </row>
    <row r="278" spans="1:15" ht="16.5" customHeight="1">
      <c r="A278" s="1"/>
      <c r="B278" s="657" t="str">
        <f t="shared" ca="1" si="46"/>
        <v/>
      </c>
      <c r="C278" s="223" t="str">
        <f t="shared" ca="1" si="47"/>
        <v/>
      </c>
      <c r="D278" s="519">
        <f t="shared" si="52"/>
        <v>273</v>
      </c>
      <c r="E278" s="225" t="str">
        <f t="shared" ca="1" si="48"/>
        <v/>
      </c>
      <c r="F278" s="224" t="str">
        <f t="shared" si="54"/>
        <v>CASSA</v>
      </c>
      <c r="G278" s="384" t="str">
        <f t="shared" ca="1" si="49"/>
        <v/>
      </c>
      <c r="H278" s="512">
        <f t="shared" ca="1" si="50"/>
        <v>0</v>
      </c>
      <c r="I278" s="1603" t="str">
        <f t="shared" ca="1" si="44"/>
        <v/>
      </c>
      <c r="J278" s="1604"/>
      <c r="K278" s="373"/>
      <c r="L278" s="513">
        <f t="shared" ca="1" si="53"/>
        <v>656.58</v>
      </c>
      <c r="M278" s="654">
        <f t="shared" ca="1" si="51"/>
        <v>1</v>
      </c>
      <c r="N278" s="226">
        <f t="shared" ca="1" si="45"/>
        <v>0</v>
      </c>
      <c r="O278" s="1"/>
    </row>
    <row r="279" spans="1:15" ht="16.5" customHeight="1">
      <c r="A279" s="1"/>
      <c r="B279" s="657" t="str">
        <f t="shared" ca="1" si="46"/>
        <v/>
      </c>
      <c r="C279" s="223" t="str">
        <f t="shared" ca="1" si="47"/>
        <v/>
      </c>
      <c r="D279" s="519">
        <f t="shared" si="52"/>
        <v>274</v>
      </c>
      <c r="E279" s="225" t="str">
        <f t="shared" ca="1" si="48"/>
        <v/>
      </c>
      <c r="F279" s="224" t="str">
        <f t="shared" si="54"/>
        <v>CASSA</v>
      </c>
      <c r="G279" s="384" t="str">
        <f t="shared" ca="1" si="49"/>
        <v/>
      </c>
      <c r="H279" s="512">
        <f t="shared" ca="1" si="50"/>
        <v>0</v>
      </c>
      <c r="I279" s="1603" t="str">
        <f t="shared" ca="1" si="44"/>
        <v/>
      </c>
      <c r="J279" s="1604"/>
      <c r="K279" s="373"/>
      <c r="L279" s="513">
        <f t="shared" ca="1" si="53"/>
        <v>656.58</v>
      </c>
      <c r="M279" s="654">
        <f t="shared" ca="1" si="51"/>
        <v>1</v>
      </c>
      <c r="N279" s="226">
        <f t="shared" ca="1" si="45"/>
        <v>0</v>
      </c>
      <c r="O279" s="1"/>
    </row>
    <row r="280" spans="1:15" ht="16.5" customHeight="1">
      <c r="A280" s="1"/>
      <c r="B280" s="657" t="str">
        <f t="shared" ca="1" si="46"/>
        <v/>
      </c>
      <c r="C280" s="223" t="str">
        <f t="shared" ca="1" si="47"/>
        <v/>
      </c>
      <c r="D280" s="519">
        <f t="shared" si="52"/>
        <v>275</v>
      </c>
      <c r="E280" s="225" t="str">
        <f t="shared" ca="1" si="48"/>
        <v/>
      </c>
      <c r="F280" s="224" t="str">
        <f t="shared" si="54"/>
        <v>CASSA</v>
      </c>
      <c r="G280" s="384" t="str">
        <f t="shared" ca="1" si="49"/>
        <v/>
      </c>
      <c r="H280" s="512">
        <f t="shared" ca="1" si="50"/>
        <v>0</v>
      </c>
      <c r="I280" s="1603" t="str">
        <f t="shared" ca="1" si="44"/>
        <v/>
      </c>
      <c r="J280" s="1604"/>
      <c r="K280" s="373"/>
      <c r="L280" s="513">
        <f t="shared" ca="1" si="53"/>
        <v>656.58</v>
      </c>
      <c r="M280" s="654">
        <f t="shared" ca="1" si="51"/>
        <v>1</v>
      </c>
      <c r="N280" s="226">
        <f t="shared" ca="1" si="45"/>
        <v>0</v>
      </c>
      <c r="O280" s="1"/>
    </row>
    <row r="281" spans="1:15" ht="16.5" customHeight="1">
      <c r="A281" s="1"/>
      <c r="B281" s="657" t="str">
        <f t="shared" ca="1" si="46"/>
        <v/>
      </c>
      <c r="C281" s="223" t="str">
        <f t="shared" ca="1" si="47"/>
        <v/>
      </c>
      <c r="D281" s="519">
        <f t="shared" si="52"/>
        <v>276</v>
      </c>
      <c r="E281" s="225" t="str">
        <f t="shared" ca="1" si="48"/>
        <v/>
      </c>
      <c r="F281" s="224" t="str">
        <f t="shared" si="54"/>
        <v>CASSA</v>
      </c>
      <c r="G281" s="384" t="str">
        <f t="shared" ca="1" si="49"/>
        <v/>
      </c>
      <c r="H281" s="512">
        <f t="shared" ca="1" si="50"/>
        <v>0</v>
      </c>
      <c r="I281" s="1603" t="str">
        <f t="shared" ca="1" si="44"/>
        <v/>
      </c>
      <c r="J281" s="1604"/>
      <c r="K281" s="373"/>
      <c r="L281" s="513">
        <f t="shared" ca="1" si="53"/>
        <v>656.58</v>
      </c>
      <c r="M281" s="654">
        <f t="shared" ca="1" si="51"/>
        <v>1</v>
      </c>
      <c r="N281" s="226">
        <f t="shared" ca="1" si="45"/>
        <v>0</v>
      </c>
      <c r="O281" s="1"/>
    </row>
    <row r="282" spans="1:15" ht="16.5" customHeight="1">
      <c r="A282" s="1"/>
      <c r="B282" s="657" t="str">
        <f t="shared" ca="1" si="46"/>
        <v/>
      </c>
      <c r="C282" s="223" t="str">
        <f t="shared" ca="1" si="47"/>
        <v/>
      </c>
      <c r="D282" s="519">
        <f t="shared" si="52"/>
        <v>277</v>
      </c>
      <c r="E282" s="225" t="str">
        <f t="shared" ca="1" si="48"/>
        <v/>
      </c>
      <c r="F282" s="224" t="str">
        <f t="shared" si="54"/>
        <v>CASSA</v>
      </c>
      <c r="G282" s="384" t="str">
        <f t="shared" ca="1" si="49"/>
        <v/>
      </c>
      <c r="H282" s="512">
        <f t="shared" ca="1" si="50"/>
        <v>0</v>
      </c>
      <c r="I282" s="1603" t="str">
        <f t="shared" ca="1" si="44"/>
        <v/>
      </c>
      <c r="J282" s="1604"/>
      <c r="K282" s="373"/>
      <c r="L282" s="513">
        <f t="shared" ca="1" si="53"/>
        <v>656.58</v>
      </c>
      <c r="M282" s="654">
        <f t="shared" ca="1" si="51"/>
        <v>1</v>
      </c>
      <c r="N282" s="226">
        <f t="shared" ca="1" si="45"/>
        <v>0</v>
      </c>
      <c r="O282" s="1"/>
    </row>
    <row r="283" spans="1:15" ht="16.5" customHeight="1">
      <c r="A283" s="1"/>
      <c r="B283" s="657" t="str">
        <f t="shared" ca="1" si="46"/>
        <v/>
      </c>
      <c r="C283" s="223" t="str">
        <f t="shared" ca="1" si="47"/>
        <v/>
      </c>
      <c r="D283" s="519">
        <f t="shared" si="52"/>
        <v>278</v>
      </c>
      <c r="E283" s="225" t="str">
        <f t="shared" ca="1" si="48"/>
        <v/>
      </c>
      <c r="F283" s="224" t="str">
        <f t="shared" si="54"/>
        <v>CASSA</v>
      </c>
      <c r="G283" s="384" t="str">
        <f t="shared" ca="1" si="49"/>
        <v/>
      </c>
      <c r="H283" s="512">
        <f t="shared" ca="1" si="50"/>
        <v>0</v>
      </c>
      <c r="I283" s="1603" t="str">
        <f t="shared" ca="1" si="44"/>
        <v/>
      </c>
      <c r="J283" s="1604"/>
      <c r="K283" s="373"/>
      <c r="L283" s="513">
        <f t="shared" ca="1" si="53"/>
        <v>656.58</v>
      </c>
      <c r="M283" s="654">
        <f t="shared" ca="1" si="51"/>
        <v>1</v>
      </c>
      <c r="N283" s="226">
        <f t="shared" ca="1" si="45"/>
        <v>0</v>
      </c>
      <c r="O283" s="1"/>
    </row>
    <row r="284" spans="1:15" ht="16.5" customHeight="1">
      <c r="A284" s="1"/>
      <c r="B284" s="657" t="str">
        <f t="shared" ca="1" si="46"/>
        <v/>
      </c>
      <c r="C284" s="223" t="str">
        <f t="shared" ca="1" si="47"/>
        <v/>
      </c>
      <c r="D284" s="519">
        <f t="shared" si="52"/>
        <v>279</v>
      </c>
      <c r="E284" s="225" t="str">
        <f t="shared" ca="1" si="48"/>
        <v/>
      </c>
      <c r="F284" s="224" t="str">
        <f t="shared" si="54"/>
        <v>CASSA</v>
      </c>
      <c r="G284" s="384" t="str">
        <f t="shared" ca="1" si="49"/>
        <v/>
      </c>
      <c r="H284" s="512">
        <f t="shared" ca="1" si="50"/>
        <v>0</v>
      </c>
      <c r="I284" s="1603" t="str">
        <f t="shared" ca="1" si="44"/>
        <v/>
      </c>
      <c r="J284" s="1604"/>
      <c r="K284" s="373"/>
      <c r="L284" s="513">
        <f t="shared" ca="1" si="53"/>
        <v>656.58</v>
      </c>
      <c r="M284" s="654">
        <f t="shared" ca="1" si="51"/>
        <v>1</v>
      </c>
      <c r="N284" s="226">
        <f t="shared" ca="1" si="45"/>
        <v>0</v>
      </c>
      <c r="O284" s="1"/>
    </row>
    <row r="285" spans="1:15" ht="16.5" customHeight="1">
      <c r="A285" s="1"/>
      <c r="B285" s="657" t="str">
        <f t="shared" ca="1" si="46"/>
        <v/>
      </c>
      <c r="C285" s="223" t="str">
        <f t="shared" ca="1" si="47"/>
        <v/>
      </c>
      <c r="D285" s="519">
        <f t="shared" si="52"/>
        <v>280</v>
      </c>
      <c r="E285" s="225" t="str">
        <f t="shared" ca="1" si="48"/>
        <v/>
      </c>
      <c r="F285" s="224" t="str">
        <f t="shared" si="54"/>
        <v>CASSA</v>
      </c>
      <c r="G285" s="384" t="str">
        <f t="shared" ca="1" si="49"/>
        <v/>
      </c>
      <c r="H285" s="512">
        <f t="shared" ca="1" si="50"/>
        <v>0</v>
      </c>
      <c r="I285" s="1603" t="str">
        <f t="shared" ca="1" si="44"/>
        <v/>
      </c>
      <c r="J285" s="1604"/>
      <c r="K285" s="373"/>
      <c r="L285" s="513">
        <f t="shared" ca="1" si="53"/>
        <v>656.58</v>
      </c>
      <c r="M285" s="654">
        <f t="shared" ca="1" si="51"/>
        <v>1</v>
      </c>
      <c r="N285" s="226">
        <f t="shared" ca="1" si="45"/>
        <v>0</v>
      </c>
      <c r="O285" s="1"/>
    </row>
    <row r="286" spans="1:15" ht="16.5" customHeight="1">
      <c r="A286" s="1"/>
      <c r="B286" s="657" t="str">
        <f t="shared" ca="1" si="46"/>
        <v/>
      </c>
      <c r="C286" s="223" t="str">
        <f t="shared" ca="1" si="47"/>
        <v/>
      </c>
      <c r="D286" s="519">
        <f t="shared" si="52"/>
        <v>281</v>
      </c>
      <c r="E286" s="225" t="str">
        <f t="shared" ca="1" si="48"/>
        <v/>
      </c>
      <c r="F286" s="224" t="str">
        <f t="shared" si="54"/>
        <v>CASSA</v>
      </c>
      <c r="G286" s="384" t="str">
        <f t="shared" ca="1" si="49"/>
        <v/>
      </c>
      <c r="H286" s="512">
        <f t="shared" ca="1" si="50"/>
        <v>0</v>
      </c>
      <c r="I286" s="1603" t="str">
        <f t="shared" ca="1" si="44"/>
        <v/>
      </c>
      <c r="J286" s="1604"/>
      <c r="K286" s="373"/>
      <c r="L286" s="513">
        <f t="shared" ca="1" si="53"/>
        <v>656.58</v>
      </c>
      <c r="M286" s="654">
        <f t="shared" ca="1" si="51"/>
        <v>1</v>
      </c>
      <c r="N286" s="226">
        <f t="shared" ca="1" si="45"/>
        <v>0</v>
      </c>
      <c r="O286" s="1"/>
    </row>
    <row r="287" spans="1:15" ht="16.5" customHeight="1">
      <c r="A287" s="1"/>
      <c r="B287" s="657" t="str">
        <f t="shared" ca="1" si="46"/>
        <v/>
      </c>
      <c r="C287" s="223" t="str">
        <f t="shared" ca="1" si="47"/>
        <v/>
      </c>
      <c r="D287" s="519">
        <f t="shared" si="52"/>
        <v>282</v>
      </c>
      <c r="E287" s="225" t="str">
        <f t="shared" ca="1" si="48"/>
        <v/>
      </c>
      <c r="F287" s="224" t="str">
        <f t="shared" si="54"/>
        <v>CASSA</v>
      </c>
      <c r="G287" s="384" t="str">
        <f t="shared" ca="1" si="49"/>
        <v/>
      </c>
      <c r="H287" s="512">
        <f t="shared" ca="1" si="50"/>
        <v>0</v>
      </c>
      <c r="I287" s="1603" t="str">
        <f t="shared" ca="1" si="44"/>
        <v/>
      </c>
      <c r="J287" s="1604"/>
      <c r="K287" s="373"/>
      <c r="L287" s="513">
        <f t="shared" ca="1" si="53"/>
        <v>656.58</v>
      </c>
      <c r="M287" s="654">
        <f t="shared" ca="1" si="51"/>
        <v>1</v>
      </c>
      <c r="N287" s="226">
        <f t="shared" ca="1" si="45"/>
        <v>0</v>
      </c>
      <c r="O287" s="1"/>
    </row>
    <row r="288" spans="1:15" ht="16.5" customHeight="1">
      <c r="A288" s="1"/>
      <c r="B288" s="657" t="str">
        <f t="shared" ca="1" si="46"/>
        <v/>
      </c>
      <c r="C288" s="223" t="str">
        <f t="shared" ca="1" si="47"/>
        <v/>
      </c>
      <c r="D288" s="519">
        <f t="shared" si="52"/>
        <v>283</v>
      </c>
      <c r="E288" s="225" t="str">
        <f t="shared" ca="1" si="48"/>
        <v/>
      </c>
      <c r="F288" s="224" t="str">
        <f t="shared" si="54"/>
        <v>CASSA</v>
      </c>
      <c r="G288" s="384" t="str">
        <f t="shared" ca="1" si="49"/>
        <v/>
      </c>
      <c r="H288" s="512">
        <f t="shared" ca="1" si="50"/>
        <v>0</v>
      </c>
      <c r="I288" s="1603" t="str">
        <f t="shared" ca="1" si="44"/>
        <v/>
      </c>
      <c r="J288" s="1604"/>
      <c r="K288" s="373"/>
      <c r="L288" s="513">
        <f t="shared" ca="1" si="53"/>
        <v>656.58</v>
      </c>
      <c r="M288" s="654">
        <f t="shared" ca="1" si="51"/>
        <v>1</v>
      </c>
      <c r="N288" s="226">
        <f t="shared" ca="1" si="45"/>
        <v>0</v>
      </c>
      <c r="O288" s="1"/>
    </row>
    <row r="289" spans="1:15" ht="16.5" customHeight="1">
      <c r="A289" s="1"/>
      <c r="B289" s="657" t="str">
        <f t="shared" ca="1" si="46"/>
        <v/>
      </c>
      <c r="C289" s="223" t="str">
        <f t="shared" ca="1" si="47"/>
        <v/>
      </c>
      <c r="D289" s="519">
        <f t="shared" si="52"/>
        <v>284</v>
      </c>
      <c r="E289" s="225" t="str">
        <f t="shared" ca="1" si="48"/>
        <v/>
      </c>
      <c r="F289" s="224" t="str">
        <f t="shared" si="54"/>
        <v>CASSA</v>
      </c>
      <c r="G289" s="384" t="str">
        <f t="shared" ca="1" si="49"/>
        <v/>
      </c>
      <c r="H289" s="512">
        <f t="shared" ca="1" si="50"/>
        <v>0</v>
      </c>
      <c r="I289" s="1603" t="str">
        <f t="shared" ca="1" si="44"/>
        <v/>
      </c>
      <c r="J289" s="1604"/>
      <c r="K289" s="373"/>
      <c r="L289" s="513">
        <f t="shared" ca="1" si="53"/>
        <v>656.58</v>
      </c>
      <c r="M289" s="654">
        <f t="shared" ca="1" si="51"/>
        <v>1</v>
      </c>
      <c r="N289" s="226">
        <f t="shared" ca="1" si="45"/>
        <v>0</v>
      </c>
      <c r="O289" s="1"/>
    </row>
    <row r="290" spans="1:15" ht="16.5" customHeight="1">
      <c r="A290" s="1"/>
      <c r="B290" s="657" t="str">
        <f t="shared" ca="1" si="46"/>
        <v/>
      </c>
      <c r="C290" s="223" t="str">
        <f t="shared" ca="1" si="47"/>
        <v/>
      </c>
      <c r="D290" s="519">
        <f t="shared" si="52"/>
        <v>285</v>
      </c>
      <c r="E290" s="225" t="str">
        <f t="shared" ca="1" si="48"/>
        <v/>
      </c>
      <c r="F290" s="224" t="str">
        <f t="shared" si="54"/>
        <v>CASSA</v>
      </c>
      <c r="G290" s="384" t="str">
        <f t="shared" ca="1" si="49"/>
        <v/>
      </c>
      <c r="H290" s="512">
        <f t="shared" ca="1" si="50"/>
        <v>0</v>
      </c>
      <c r="I290" s="1603" t="str">
        <f t="shared" ca="1" si="44"/>
        <v/>
      </c>
      <c r="J290" s="1604"/>
      <c r="K290" s="373"/>
      <c r="L290" s="513">
        <f t="shared" ca="1" si="53"/>
        <v>656.58</v>
      </c>
      <c r="M290" s="654">
        <f t="shared" ca="1" si="51"/>
        <v>1</v>
      </c>
      <c r="N290" s="226">
        <f t="shared" ca="1" si="45"/>
        <v>0</v>
      </c>
      <c r="O290" s="1"/>
    </row>
    <row r="291" spans="1:15" ht="16.5" customHeight="1">
      <c r="A291" s="1"/>
      <c r="B291" s="657" t="str">
        <f t="shared" ca="1" si="46"/>
        <v/>
      </c>
      <c r="C291" s="223" t="str">
        <f t="shared" ca="1" si="47"/>
        <v/>
      </c>
      <c r="D291" s="519">
        <f t="shared" si="52"/>
        <v>286</v>
      </c>
      <c r="E291" s="225" t="str">
        <f t="shared" ca="1" si="48"/>
        <v/>
      </c>
      <c r="F291" s="224" t="str">
        <f t="shared" si="54"/>
        <v>CASSA</v>
      </c>
      <c r="G291" s="384" t="str">
        <f t="shared" ca="1" si="49"/>
        <v/>
      </c>
      <c r="H291" s="512">
        <f t="shared" ca="1" si="50"/>
        <v>0</v>
      </c>
      <c r="I291" s="1603" t="str">
        <f t="shared" ca="1" si="44"/>
        <v/>
      </c>
      <c r="J291" s="1604"/>
      <c r="K291" s="373"/>
      <c r="L291" s="513">
        <f t="shared" ca="1" si="53"/>
        <v>656.58</v>
      </c>
      <c r="M291" s="654">
        <f t="shared" ca="1" si="51"/>
        <v>1</v>
      </c>
      <c r="N291" s="226">
        <f t="shared" ca="1" si="45"/>
        <v>0</v>
      </c>
      <c r="O291" s="1"/>
    </row>
    <row r="292" spans="1:15" ht="16.5" customHeight="1">
      <c r="A292" s="1"/>
      <c r="B292" s="657" t="str">
        <f t="shared" ca="1" si="46"/>
        <v/>
      </c>
      <c r="C292" s="223" t="str">
        <f t="shared" ca="1" si="47"/>
        <v/>
      </c>
      <c r="D292" s="519">
        <f t="shared" si="52"/>
        <v>287</v>
      </c>
      <c r="E292" s="225" t="str">
        <f t="shared" ca="1" si="48"/>
        <v/>
      </c>
      <c r="F292" s="224" t="str">
        <f t="shared" si="54"/>
        <v>CASSA</v>
      </c>
      <c r="G292" s="384" t="str">
        <f t="shared" ca="1" si="49"/>
        <v/>
      </c>
      <c r="H292" s="512">
        <f t="shared" ca="1" si="50"/>
        <v>0</v>
      </c>
      <c r="I292" s="1603" t="str">
        <f t="shared" ca="1" si="44"/>
        <v/>
      </c>
      <c r="J292" s="1604"/>
      <c r="K292" s="373"/>
      <c r="L292" s="513">
        <f t="shared" ca="1" si="53"/>
        <v>656.58</v>
      </c>
      <c r="M292" s="654">
        <f t="shared" ca="1" si="51"/>
        <v>1</v>
      </c>
      <c r="N292" s="226">
        <f t="shared" ca="1" si="45"/>
        <v>0</v>
      </c>
      <c r="O292" s="1"/>
    </row>
    <row r="293" spans="1:15" ht="16.5" customHeight="1">
      <c r="A293" s="1"/>
      <c r="B293" s="657" t="str">
        <f t="shared" ca="1" si="46"/>
        <v/>
      </c>
      <c r="C293" s="223" t="str">
        <f t="shared" ca="1" si="47"/>
        <v/>
      </c>
      <c r="D293" s="519">
        <f t="shared" si="52"/>
        <v>288</v>
      </c>
      <c r="E293" s="225" t="str">
        <f t="shared" ca="1" si="48"/>
        <v/>
      </c>
      <c r="F293" s="224" t="str">
        <f t="shared" si="54"/>
        <v>CASSA</v>
      </c>
      <c r="G293" s="384" t="str">
        <f t="shared" ca="1" si="49"/>
        <v/>
      </c>
      <c r="H293" s="512">
        <f t="shared" ca="1" si="50"/>
        <v>0</v>
      </c>
      <c r="I293" s="1603" t="str">
        <f t="shared" ca="1" si="44"/>
        <v/>
      </c>
      <c r="J293" s="1604"/>
      <c r="K293" s="373"/>
      <c r="L293" s="513">
        <f t="shared" ca="1" si="53"/>
        <v>656.58</v>
      </c>
      <c r="M293" s="654">
        <f t="shared" ca="1" si="51"/>
        <v>1</v>
      </c>
      <c r="N293" s="226">
        <f t="shared" ca="1" si="45"/>
        <v>0</v>
      </c>
      <c r="O293" s="1"/>
    </row>
    <row r="294" spans="1:15" ht="16.5" customHeight="1">
      <c r="A294" s="1"/>
      <c r="B294" s="657" t="str">
        <f t="shared" ca="1" si="46"/>
        <v/>
      </c>
      <c r="C294" s="223" t="str">
        <f t="shared" ca="1" si="47"/>
        <v/>
      </c>
      <c r="D294" s="519">
        <f t="shared" si="52"/>
        <v>289</v>
      </c>
      <c r="E294" s="225" t="str">
        <f t="shared" ca="1" si="48"/>
        <v/>
      </c>
      <c r="F294" s="224" t="str">
        <f t="shared" si="54"/>
        <v>CASSA</v>
      </c>
      <c r="G294" s="384" t="str">
        <f t="shared" ca="1" si="49"/>
        <v/>
      </c>
      <c r="H294" s="512">
        <f t="shared" ca="1" si="50"/>
        <v>0</v>
      </c>
      <c r="I294" s="1603" t="str">
        <f t="shared" ca="1" si="44"/>
        <v/>
      </c>
      <c r="J294" s="1604"/>
      <c r="K294" s="373"/>
      <c r="L294" s="513">
        <f t="shared" ca="1" si="53"/>
        <v>656.58</v>
      </c>
      <c r="M294" s="654">
        <f t="shared" ca="1" si="51"/>
        <v>1</v>
      </c>
      <c r="N294" s="226">
        <f t="shared" ca="1" si="45"/>
        <v>0</v>
      </c>
      <c r="O294" s="1"/>
    </row>
    <row r="295" spans="1:15" ht="16.5" customHeight="1">
      <c r="A295" s="1"/>
      <c r="B295" s="657" t="str">
        <f t="shared" ca="1" si="46"/>
        <v/>
      </c>
      <c r="C295" s="223" t="str">
        <f t="shared" ca="1" si="47"/>
        <v/>
      </c>
      <c r="D295" s="519">
        <f t="shared" si="52"/>
        <v>290</v>
      </c>
      <c r="E295" s="225" t="str">
        <f t="shared" ca="1" si="48"/>
        <v/>
      </c>
      <c r="F295" s="224" t="str">
        <f t="shared" si="54"/>
        <v>CASSA</v>
      </c>
      <c r="G295" s="384" t="str">
        <f t="shared" ca="1" si="49"/>
        <v/>
      </c>
      <c r="H295" s="512">
        <f t="shared" ca="1" si="50"/>
        <v>0</v>
      </c>
      <c r="I295" s="1603" t="str">
        <f t="shared" ca="1" si="44"/>
        <v/>
      </c>
      <c r="J295" s="1604"/>
      <c r="K295" s="373"/>
      <c r="L295" s="513">
        <f t="shared" ca="1" si="53"/>
        <v>656.58</v>
      </c>
      <c r="M295" s="654">
        <f t="shared" ca="1" si="51"/>
        <v>1</v>
      </c>
      <c r="N295" s="226">
        <f t="shared" ca="1" si="45"/>
        <v>0</v>
      </c>
      <c r="O295" s="1"/>
    </row>
    <row r="296" spans="1:15" ht="16.5" customHeight="1">
      <c r="A296" s="1"/>
      <c r="B296" s="657" t="str">
        <f t="shared" ca="1" si="46"/>
        <v/>
      </c>
      <c r="C296" s="223" t="str">
        <f t="shared" ca="1" si="47"/>
        <v/>
      </c>
      <c r="D296" s="519">
        <f t="shared" si="52"/>
        <v>291</v>
      </c>
      <c r="E296" s="225" t="str">
        <f t="shared" ca="1" si="48"/>
        <v/>
      </c>
      <c r="F296" s="224" t="str">
        <f t="shared" si="54"/>
        <v>CASSA</v>
      </c>
      <c r="G296" s="384" t="str">
        <f t="shared" ca="1" si="49"/>
        <v/>
      </c>
      <c r="H296" s="512">
        <f t="shared" ca="1" si="50"/>
        <v>0</v>
      </c>
      <c r="I296" s="1603" t="str">
        <f t="shared" ca="1" si="44"/>
        <v/>
      </c>
      <c r="J296" s="1604"/>
      <c r="K296" s="373"/>
      <c r="L296" s="513">
        <f t="shared" ca="1" si="53"/>
        <v>656.58</v>
      </c>
      <c r="M296" s="654">
        <f t="shared" ca="1" si="51"/>
        <v>1</v>
      </c>
      <c r="N296" s="226">
        <f t="shared" ca="1" si="45"/>
        <v>0</v>
      </c>
      <c r="O296" s="1"/>
    </row>
    <row r="297" spans="1:15" ht="16.5" customHeight="1">
      <c r="A297" s="1"/>
      <c r="B297" s="657" t="str">
        <f t="shared" ca="1" si="46"/>
        <v/>
      </c>
      <c r="C297" s="223" t="str">
        <f t="shared" ca="1" si="47"/>
        <v/>
      </c>
      <c r="D297" s="519">
        <f t="shared" si="52"/>
        <v>292</v>
      </c>
      <c r="E297" s="225" t="str">
        <f t="shared" ca="1" si="48"/>
        <v/>
      </c>
      <c r="F297" s="224" t="str">
        <f t="shared" si="54"/>
        <v>CASSA</v>
      </c>
      <c r="G297" s="384" t="str">
        <f t="shared" ca="1" si="49"/>
        <v/>
      </c>
      <c r="H297" s="512">
        <f t="shared" ca="1" si="50"/>
        <v>0</v>
      </c>
      <c r="I297" s="1603" t="str">
        <f t="shared" ca="1" si="44"/>
        <v/>
      </c>
      <c r="J297" s="1604"/>
      <c r="K297" s="373"/>
      <c r="L297" s="513">
        <f t="shared" ca="1" si="53"/>
        <v>656.58</v>
      </c>
      <c r="M297" s="654">
        <f t="shared" ca="1" si="51"/>
        <v>1</v>
      </c>
      <c r="N297" s="226">
        <f t="shared" ca="1" si="45"/>
        <v>0</v>
      </c>
      <c r="O297" s="1"/>
    </row>
    <row r="298" spans="1:15" ht="16.5" customHeight="1">
      <c r="A298" s="1"/>
      <c r="B298" s="657" t="str">
        <f t="shared" ca="1" si="46"/>
        <v/>
      </c>
      <c r="C298" s="223" t="str">
        <f t="shared" ca="1" si="47"/>
        <v/>
      </c>
      <c r="D298" s="519">
        <f t="shared" si="52"/>
        <v>293</v>
      </c>
      <c r="E298" s="225" t="str">
        <f t="shared" ca="1" si="48"/>
        <v/>
      </c>
      <c r="F298" s="224" t="str">
        <f t="shared" si="54"/>
        <v>CASSA</v>
      </c>
      <c r="G298" s="384" t="str">
        <f t="shared" ca="1" si="49"/>
        <v/>
      </c>
      <c r="H298" s="512">
        <f t="shared" ca="1" si="50"/>
        <v>0</v>
      </c>
      <c r="I298" s="1603" t="str">
        <f t="shared" ca="1" si="44"/>
        <v/>
      </c>
      <c r="J298" s="1604"/>
      <c r="K298" s="373"/>
      <c r="L298" s="513">
        <f t="shared" ca="1" si="53"/>
        <v>656.58</v>
      </c>
      <c r="M298" s="654">
        <f t="shared" ca="1" si="51"/>
        <v>1</v>
      </c>
      <c r="N298" s="226">
        <f t="shared" ca="1" si="45"/>
        <v>0</v>
      </c>
      <c r="O298" s="1"/>
    </row>
    <row r="299" spans="1:15" ht="16.5" customHeight="1">
      <c r="A299" s="1"/>
      <c r="B299" s="657" t="str">
        <f t="shared" ca="1" si="46"/>
        <v/>
      </c>
      <c r="C299" s="223" t="str">
        <f t="shared" ca="1" si="47"/>
        <v/>
      </c>
      <c r="D299" s="519">
        <f t="shared" si="52"/>
        <v>294</v>
      </c>
      <c r="E299" s="225" t="str">
        <f t="shared" ca="1" si="48"/>
        <v/>
      </c>
      <c r="F299" s="224" t="str">
        <f t="shared" si="54"/>
        <v>CASSA</v>
      </c>
      <c r="G299" s="384" t="str">
        <f t="shared" ca="1" si="49"/>
        <v/>
      </c>
      <c r="H299" s="512">
        <f t="shared" ca="1" si="50"/>
        <v>0</v>
      </c>
      <c r="I299" s="1603" t="str">
        <f t="shared" ca="1" si="44"/>
        <v/>
      </c>
      <c r="J299" s="1604"/>
      <c r="K299" s="373"/>
      <c r="L299" s="513">
        <f t="shared" ca="1" si="53"/>
        <v>656.58</v>
      </c>
      <c r="M299" s="654">
        <f t="shared" ca="1" si="51"/>
        <v>1</v>
      </c>
      <c r="N299" s="226">
        <f t="shared" ca="1" si="45"/>
        <v>0</v>
      </c>
      <c r="O299" s="1"/>
    </row>
    <row r="300" spans="1:15" ht="16.5" customHeight="1">
      <c r="A300" s="1"/>
      <c r="B300" s="657" t="str">
        <f t="shared" ca="1" si="46"/>
        <v/>
      </c>
      <c r="C300" s="223" t="str">
        <f t="shared" ca="1" si="47"/>
        <v/>
      </c>
      <c r="D300" s="519">
        <f t="shared" si="52"/>
        <v>295</v>
      </c>
      <c r="E300" s="225" t="str">
        <f t="shared" ca="1" si="48"/>
        <v/>
      </c>
      <c r="F300" s="224" t="str">
        <f t="shared" si="54"/>
        <v>CASSA</v>
      </c>
      <c r="G300" s="384" t="str">
        <f t="shared" ca="1" si="49"/>
        <v/>
      </c>
      <c r="H300" s="512">
        <f t="shared" ca="1" si="50"/>
        <v>0</v>
      </c>
      <c r="I300" s="1603" t="str">
        <f t="shared" ca="1" si="44"/>
        <v/>
      </c>
      <c r="J300" s="1604"/>
      <c r="K300" s="373"/>
      <c r="L300" s="513">
        <f t="shared" ca="1" si="53"/>
        <v>656.58</v>
      </c>
      <c r="M300" s="654">
        <f t="shared" ca="1" si="51"/>
        <v>1</v>
      </c>
      <c r="N300" s="226">
        <f t="shared" ca="1" si="45"/>
        <v>0</v>
      </c>
      <c r="O300" s="1"/>
    </row>
    <row r="301" spans="1:15" ht="16.5" customHeight="1">
      <c r="A301" s="1"/>
      <c r="B301" s="657" t="str">
        <f t="shared" ca="1" si="46"/>
        <v/>
      </c>
      <c r="C301" s="223" t="str">
        <f t="shared" ca="1" si="47"/>
        <v/>
      </c>
      <c r="D301" s="519">
        <f t="shared" si="52"/>
        <v>296</v>
      </c>
      <c r="E301" s="225" t="str">
        <f t="shared" ca="1" si="48"/>
        <v/>
      </c>
      <c r="F301" s="224" t="str">
        <f t="shared" si="54"/>
        <v>CASSA</v>
      </c>
      <c r="G301" s="384" t="str">
        <f t="shared" ca="1" si="49"/>
        <v/>
      </c>
      <c r="H301" s="512">
        <f t="shared" ca="1" si="50"/>
        <v>0</v>
      </c>
      <c r="I301" s="1603" t="str">
        <f t="shared" ca="1" si="44"/>
        <v/>
      </c>
      <c r="J301" s="1604"/>
      <c r="K301" s="373"/>
      <c r="L301" s="513">
        <f t="shared" ca="1" si="53"/>
        <v>656.58</v>
      </c>
      <c r="M301" s="654">
        <f t="shared" ca="1" si="51"/>
        <v>1</v>
      </c>
      <c r="N301" s="226">
        <f t="shared" ca="1" si="45"/>
        <v>0</v>
      </c>
      <c r="O301" s="1"/>
    </row>
    <row r="302" spans="1:15" ht="16.5" customHeight="1">
      <c r="A302" s="1"/>
      <c r="B302" s="657" t="str">
        <f t="shared" ca="1" si="46"/>
        <v/>
      </c>
      <c r="C302" s="223" t="str">
        <f t="shared" ca="1" si="47"/>
        <v/>
      </c>
      <c r="D302" s="519">
        <f t="shared" si="52"/>
        <v>297</v>
      </c>
      <c r="E302" s="225" t="str">
        <f t="shared" ca="1" si="48"/>
        <v/>
      </c>
      <c r="F302" s="224" t="str">
        <f t="shared" si="54"/>
        <v>CASSA</v>
      </c>
      <c r="G302" s="384" t="str">
        <f t="shared" ca="1" si="49"/>
        <v/>
      </c>
      <c r="H302" s="512">
        <f t="shared" ca="1" si="50"/>
        <v>0</v>
      </c>
      <c r="I302" s="1603" t="str">
        <f t="shared" ca="1" si="44"/>
        <v/>
      </c>
      <c r="J302" s="1604"/>
      <c r="K302" s="373"/>
      <c r="L302" s="513">
        <f t="shared" ca="1" si="53"/>
        <v>656.58</v>
      </c>
      <c r="M302" s="654">
        <f t="shared" ca="1" si="51"/>
        <v>1</v>
      </c>
      <c r="N302" s="226">
        <f t="shared" ca="1" si="45"/>
        <v>0</v>
      </c>
      <c r="O302" s="1"/>
    </row>
    <row r="303" spans="1:15" ht="16.5" customHeight="1">
      <c r="A303" s="1"/>
      <c r="B303" s="657" t="str">
        <f t="shared" ca="1" si="46"/>
        <v/>
      </c>
      <c r="C303" s="223" t="str">
        <f t="shared" ca="1" si="47"/>
        <v/>
      </c>
      <c r="D303" s="519">
        <f t="shared" si="52"/>
        <v>298</v>
      </c>
      <c r="E303" s="225" t="str">
        <f t="shared" ca="1" si="48"/>
        <v/>
      </c>
      <c r="F303" s="224" t="str">
        <f t="shared" si="54"/>
        <v>CASSA</v>
      </c>
      <c r="G303" s="384" t="str">
        <f t="shared" ca="1" si="49"/>
        <v/>
      </c>
      <c r="H303" s="512">
        <f t="shared" ca="1" si="50"/>
        <v>0</v>
      </c>
      <c r="I303" s="1603" t="str">
        <f t="shared" ca="1" si="44"/>
        <v/>
      </c>
      <c r="J303" s="1604"/>
      <c r="K303" s="373"/>
      <c r="L303" s="513">
        <f t="shared" ca="1" si="53"/>
        <v>656.58</v>
      </c>
      <c r="M303" s="654">
        <f t="shared" ca="1" si="51"/>
        <v>1</v>
      </c>
      <c r="N303" s="226">
        <f t="shared" ca="1" si="45"/>
        <v>0</v>
      </c>
      <c r="O303" s="1"/>
    </row>
    <row r="304" spans="1:15" ht="16.5" customHeight="1">
      <c r="A304" s="1"/>
      <c r="B304" s="657" t="str">
        <f t="shared" ca="1" si="46"/>
        <v/>
      </c>
      <c r="C304" s="223" t="str">
        <f t="shared" ca="1" si="47"/>
        <v/>
      </c>
      <c r="D304" s="519">
        <f t="shared" si="52"/>
        <v>299</v>
      </c>
      <c r="E304" s="225" t="str">
        <f t="shared" ca="1" si="48"/>
        <v/>
      </c>
      <c r="F304" s="224" t="str">
        <f t="shared" si="54"/>
        <v>CASSA</v>
      </c>
      <c r="G304" s="384" t="str">
        <f t="shared" ca="1" si="49"/>
        <v/>
      </c>
      <c r="H304" s="512">
        <f t="shared" ca="1" si="50"/>
        <v>0</v>
      </c>
      <c r="I304" s="1603" t="str">
        <f t="shared" ca="1" si="44"/>
        <v/>
      </c>
      <c r="J304" s="1604"/>
      <c r="K304" s="373"/>
      <c r="L304" s="513">
        <f t="shared" ca="1" si="53"/>
        <v>656.58</v>
      </c>
      <c r="M304" s="654">
        <f t="shared" ca="1" si="51"/>
        <v>1</v>
      </c>
      <c r="N304" s="226">
        <f t="shared" ca="1" si="45"/>
        <v>0</v>
      </c>
      <c r="O304" s="1"/>
    </row>
    <row r="305" spans="1:15" ht="16.5" customHeight="1">
      <c r="A305" s="1"/>
      <c r="B305" s="657" t="str">
        <f t="shared" ca="1" si="46"/>
        <v/>
      </c>
      <c r="C305" s="223" t="str">
        <f t="shared" ca="1" si="47"/>
        <v/>
      </c>
      <c r="D305" s="519">
        <f t="shared" si="52"/>
        <v>300</v>
      </c>
      <c r="E305" s="225" t="str">
        <f t="shared" ca="1" si="48"/>
        <v/>
      </c>
      <c r="F305" s="224" t="str">
        <f t="shared" si="54"/>
        <v>CASSA</v>
      </c>
      <c r="G305" s="384" t="str">
        <f t="shared" ca="1" si="49"/>
        <v/>
      </c>
      <c r="H305" s="512">
        <f t="shared" ca="1" si="50"/>
        <v>0</v>
      </c>
      <c r="I305" s="1603" t="str">
        <f t="shared" ca="1" si="44"/>
        <v/>
      </c>
      <c r="J305" s="1604"/>
      <c r="K305" s="373"/>
      <c r="L305" s="513">
        <f t="shared" ca="1" si="53"/>
        <v>656.58</v>
      </c>
      <c r="M305" s="654">
        <f t="shared" ca="1" si="51"/>
        <v>1</v>
      </c>
      <c r="N305" s="226">
        <f t="shared" ca="1" si="45"/>
        <v>0</v>
      </c>
      <c r="O305" s="1"/>
    </row>
    <row r="306" spans="1:15" ht="16.5" customHeight="1">
      <c r="A306" s="1"/>
      <c r="B306" s="657" t="str">
        <f t="shared" ca="1" si="46"/>
        <v/>
      </c>
      <c r="C306" s="223" t="str">
        <f t="shared" ca="1" si="47"/>
        <v/>
      </c>
      <c r="D306" s="519">
        <f t="shared" si="52"/>
        <v>301</v>
      </c>
      <c r="E306" s="225" t="str">
        <f t="shared" ca="1" si="48"/>
        <v/>
      </c>
      <c r="F306" s="224" t="str">
        <f t="shared" si="54"/>
        <v>CASSA</v>
      </c>
      <c r="G306" s="384" t="str">
        <f t="shared" ca="1" si="49"/>
        <v/>
      </c>
      <c r="H306" s="512">
        <f t="shared" ca="1" si="50"/>
        <v>0</v>
      </c>
      <c r="I306" s="1603" t="str">
        <f t="shared" ca="1" si="44"/>
        <v/>
      </c>
      <c r="J306" s="1604"/>
      <c r="K306" s="373"/>
      <c r="L306" s="513">
        <f t="shared" ca="1" si="53"/>
        <v>656.58</v>
      </c>
      <c r="M306" s="654">
        <f t="shared" ca="1" si="51"/>
        <v>1</v>
      </c>
      <c r="N306" s="226">
        <f t="shared" ca="1" si="45"/>
        <v>0</v>
      </c>
      <c r="O306" s="1"/>
    </row>
    <row r="307" spans="1:15" ht="16.5" customHeight="1">
      <c r="A307" s="1"/>
      <c r="B307" s="657" t="str">
        <f t="shared" ca="1" si="46"/>
        <v/>
      </c>
      <c r="C307" s="223" t="str">
        <f t="shared" ca="1" si="47"/>
        <v/>
      </c>
      <c r="D307" s="519">
        <f t="shared" si="52"/>
        <v>302</v>
      </c>
      <c r="E307" s="225" t="str">
        <f t="shared" ca="1" si="48"/>
        <v/>
      </c>
      <c r="F307" s="224" t="str">
        <f t="shared" si="54"/>
        <v>CASSA</v>
      </c>
      <c r="G307" s="384" t="str">
        <f t="shared" ca="1" si="49"/>
        <v/>
      </c>
      <c r="H307" s="512">
        <f t="shared" ca="1" si="50"/>
        <v>0</v>
      </c>
      <c r="I307" s="1603" t="str">
        <f t="shared" ca="1" si="44"/>
        <v/>
      </c>
      <c r="J307" s="1604"/>
      <c r="K307" s="373"/>
      <c r="L307" s="513">
        <f t="shared" ca="1" si="53"/>
        <v>656.58</v>
      </c>
      <c r="M307" s="654">
        <f t="shared" ca="1" si="51"/>
        <v>1</v>
      </c>
      <c r="N307" s="226">
        <f t="shared" ca="1" si="45"/>
        <v>0</v>
      </c>
      <c r="O307" s="1"/>
    </row>
    <row r="308" spans="1:15" ht="16.5" customHeight="1">
      <c r="A308" s="1"/>
      <c r="B308" s="657" t="str">
        <f t="shared" ca="1" si="46"/>
        <v/>
      </c>
      <c r="C308" s="223" t="str">
        <f t="shared" ca="1" si="47"/>
        <v/>
      </c>
      <c r="D308" s="519">
        <f t="shared" si="52"/>
        <v>303</v>
      </c>
      <c r="E308" s="225" t="str">
        <f t="shared" ca="1" si="48"/>
        <v/>
      </c>
      <c r="F308" s="224" t="str">
        <f t="shared" si="54"/>
        <v>CASSA</v>
      </c>
      <c r="G308" s="384" t="str">
        <f t="shared" ca="1" si="49"/>
        <v/>
      </c>
      <c r="H308" s="512">
        <f t="shared" ca="1" si="50"/>
        <v>0</v>
      </c>
      <c r="I308" s="1603" t="str">
        <f t="shared" ca="1" si="44"/>
        <v/>
      </c>
      <c r="J308" s="1604"/>
      <c r="K308" s="373"/>
      <c r="L308" s="513">
        <f t="shared" ca="1" si="53"/>
        <v>656.58</v>
      </c>
      <c r="M308" s="654">
        <f t="shared" ca="1" si="51"/>
        <v>1</v>
      </c>
      <c r="N308" s="226">
        <f t="shared" ca="1" si="45"/>
        <v>0</v>
      </c>
      <c r="O308" s="1"/>
    </row>
    <row r="309" spans="1:15" ht="16.5" customHeight="1">
      <c r="A309" s="1"/>
      <c r="B309" s="657" t="str">
        <f t="shared" ca="1" si="46"/>
        <v/>
      </c>
      <c r="C309" s="223" t="str">
        <f t="shared" ca="1" si="47"/>
        <v/>
      </c>
      <c r="D309" s="519">
        <f t="shared" si="52"/>
        <v>304</v>
      </c>
      <c r="E309" s="225" t="str">
        <f t="shared" ca="1" si="48"/>
        <v/>
      </c>
      <c r="F309" s="224" t="str">
        <f t="shared" si="54"/>
        <v>CASSA</v>
      </c>
      <c r="G309" s="384" t="str">
        <f t="shared" ca="1" si="49"/>
        <v/>
      </c>
      <c r="H309" s="512">
        <f t="shared" ca="1" si="50"/>
        <v>0</v>
      </c>
      <c r="I309" s="1603" t="str">
        <f t="shared" ca="1" si="44"/>
        <v/>
      </c>
      <c r="J309" s="1604"/>
      <c r="K309" s="373"/>
      <c r="L309" s="513">
        <f t="shared" ca="1" si="53"/>
        <v>656.58</v>
      </c>
      <c r="M309" s="654">
        <f t="shared" ca="1" si="51"/>
        <v>1</v>
      </c>
      <c r="N309" s="226">
        <f t="shared" ca="1" si="45"/>
        <v>0</v>
      </c>
      <c r="O309" s="1"/>
    </row>
    <row r="310" spans="1:15" ht="16.5" customHeight="1">
      <c r="A310" s="1"/>
      <c r="B310" s="657" t="str">
        <f t="shared" ca="1" si="46"/>
        <v/>
      </c>
      <c r="C310" s="223" t="str">
        <f t="shared" ca="1" si="47"/>
        <v/>
      </c>
      <c r="D310" s="519">
        <f t="shared" si="52"/>
        <v>305</v>
      </c>
      <c r="E310" s="225" t="str">
        <f t="shared" ca="1" si="48"/>
        <v/>
      </c>
      <c r="F310" s="224" t="str">
        <f t="shared" si="54"/>
        <v>CASSA</v>
      </c>
      <c r="G310" s="384" t="str">
        <f t="shared" ca="1" si="49"/>
        <v/>
      </c>
      <c r="H310" s="512">
        <f t="shared" ca="1" si="50"/>
        <v>0</v>
      </c>
      <c r="I310" s="1603" t="str">
        <f t="shared" ca="1" si="44"/>
        <v/>
      </c>
      <c r="J310" s="1604"/>
      <c r="K310" s="373"/>
      <c r="L310" s="513">
        <f t="shared" ca="1" si="53"/>
        <v>656.58</v>
      </c>
      <c r="M310" s="654">
        <f t="shared" ca="1" si="51"/>
        <v>1</v>
      </c>
      <c r="N310" s="226">
        <f t="shared" ca="1" si="45"/>
        <v>0</v>
      </c>
      <c r="O310" s="1"/>
    </row>
    <row r="311" spans="1:15" ht="16.5" customHeight="1">
      <c r="A311" s="1"/>
      <c r="B311" s="657" t="str">
        <f t="shared" ca="1" si="46"/>
        <v/>
      </c>
      <c r="C311" s="223" t="str">
        <f t="shared" ca="1" si="47"/>
        <v/>
      </c>
      <c r="D311" s="519">
        <f t="shared" si="52"/>
        <v>306</v>
      </c>
      <c r="E311" s="225" t="str">
        <f t="shared" ca="1" si="48"/>
        <v/>
      </c>
      <c r="F311" s="224" t="str">
        <f t="shared" si="54"/>
        <v>CASSA</v>
      </c>
      <c r="G311" s="384" t="str">
        <f t="shared" ca="1" si="49"/>
        <v/>
      </c>
      <c r="H311" s="512">
        <f t="shared" ca="1" si="50"/>
        <v>0</v>
      </c>
      <c r="I311" s="1603" t="str">
        <f t="shared" ca="1" si="44"/>
        <v/>
      </c>
      <c r="J311" s="1604"/>
      <c r="K311" s="373"/>
      <c r="L311" s="513">
        <f t="shared" ca="1" si="53"/>
        <v>656.58</v>
      </c>
      <c r="M311" s="654">
        <f t="shared" ca="1" si="51"/>
        <v>1</v>
      </c>
      <c r="N311" s="226">
        <f t="shared" ca="1" si="45"/>
        <v>0</v>
      </c>
      <c r="O311" s="1"/>
    </row>
    <row r="312" spans="1:15" ht="16.5" customHeight="1">
      <c r="A312" s="1"/>
      <c r="B312" s="657" t="str">
        <f t="shared" ca="1" si="46"/>
        <v/>
      </c>
      <c r="C312" s="223" t="str">
        <f t="shared" ca="1" si="47"/>
        <v/>
      </c>
      <c r="D312" s="519">
        <f t="shared" si="52"/>
        <v>307</v>
      </c>
      <c r="E312" s="225" t="str">
        <f t="shared" ca="1" si="48"/>
        <v/>
      </c>
      <c r="F312" s="224" t="str">
        <f t="shared" si="54"/>
        <v>CASSA</v>
      </c>
      <c r="G312" s="384" t="str">
        <f t="shared" ca="1" si="49"/>
        <v/>
      </c>
      <c r="H312" s="512">
        <f t="shared" ca="1" si="50"/>
        <v>0</v>
      </c>
      <c r="I312" s="1603" t="str">
        <f t="shared" ca="1" si="44"/>
        <v/>
      </c>
      <c r="J312" s="1604"/>
      <c r="K312" s="373"/>
      <c r="L312" s="513">
        <f t="shared" ca="1" si="53"/>
        <v>656.58</v>
      </c>
      <c r="M312" s="654">
        <f t="shared" ca="1" si="51"/>
        <v>1</v>
      </c>
      <c r="N312" s="226">
        <f t="shared" ca="1" si="45"/>
        <v>0</v>
      </c>
      <c r="O312" s="1"/>
    </row>
    <row r="313" spans="1:15" ht="16.5" customHeight="1">
      <c r="A313" s="1"/>
      <c r="B313" s="657" t="str">
        <f t="shared" ca="1" si="46"/>
        <v/>
      </c>
      <c r="C313" s="223" t="str">
        <f t="shared" ca="1" si="47"/>
        <v/>
      </c>
      <c r="D313" s="519">
        <f t="shared" si="52"/>
        <v>308</v>
      </c>
      <c r="E313" s="225" t="str">
        <f t="shared" ca="1" si="48"/>
        <v/>
      </c>
      <c r="F313" s="224" t="str">
        <f t="shared" si="54"/>
        <v>CASSA</v>
      </c>
      <c r="G313" s="384" t="str">
        <f t="shared" ca="1" si="49"/>
        <v/>
      </c>
      <c r="H313" s="512">
        <f t="shared" ca="1" si="50"/>
        <v>0</v>
      </c>
      <c r="I313" s="1603" t="str">
        <f t="shared" ca="1" si="44"/>
        <v/>
      </c>
      <c r="J313" s="1604"/>
      <c r="K313" s="373"/>
      <c r="L313" s="513">
        <f t="shared" ca="1" si="53"/>
        <v>656.58</v>
      </c>
      <c r="M313" s="654">
        <f t="shared" ca="1" si="51"/>
        <v>1</v>
      </c>
      <c r="N313" s="226">
        <f t="shared" ca="1" si="45"/>
        <v>0</v>
      </c>
      <c r="O313" s="1"/>
    </row>
    <row r="314" spans="1:15" ht="16.5" customHeight="1">
      <c r="A314" s="1"/>
      <c r="B314" s="657" t="str">
        <f t="shared" ca="1" si="46"/>
        <v/>
      </c>
      <c r="C314" s="223" t="str">
        <f t="shared" ca="1" si="47"/>
        <v/>
      </c>
      <c r="D314" s="519">
        <f t="shared" si="52"/>
        <v>309</v>
      </c>
      <c r="E314" s="225" t="str">
        <f t="shared" ca="1" si="48"/>
        <v/>
      </c>
      <c r="F314" s="224" t="str">
        <f t="shared" si="54"/>
        <v>CASSA</v>
      </c>
      <c r="G314" s="384" t="str">
        <f t="shared" ca="1" si="49"/>
        <v/>
      </c>
      <c r="H314" s="512">
        <f t="shared" ca="1" si="50"/>
        <v>0</v>
      </c>
      <c r="I314" s="1603" t="str">
        <f t="shared" ca="1" si="44"/>
        <v/>
      </c>
      <c r="J314" s="1604"/>
      <c r="K314" s="373"/>
      <c r="L314" s="513">
        <f t="shared" ca="1" si="53"/>
        <v>656.58</v>
      </c>
      <c r="M314" s="654">
        <f t="shared" ca="1" si="51"/>
        <v>1</v>
      </c>
      <c r="N314" s="226">
        <f t="shared" ca="1" si="45"/>
        <v>0</v>
      </c>
      <c r="O314" s="1"/>
    </row>
    <row r="315" spans="1:15" ht="16.5" customHeight="1">
      <c r="A315" s="1"/>
      <c r="B315" s="657" t="str">
        <f t="shared" ca="1" si="46"/>
        <v/>
      </c>
      <c r="C315" s="223" t="str">
        <f t="shared" ca="1" si="47"/>
        <v/>
      </c>
      <c r="D315" s="519">
        <f t="shared" si="52"/>
        <v>310</v>
      </c>
      <c r="E315" s="225" t="str">
        <f t="shared" ca="1" si="48"/>
        <v/>
      </c>
      <c r="F315" s="224" t="str">
        <f t="shared" si="54"/>
        <v>CASSA</v>
      </c>
      <c r="G315" s="384" t="str">
        <f t="shared" ca="1" si="49"/>
        <v/>
      </c>
      <c r="H315" s="512">
        <f t="shared" ca="1" si="50"/>
        <v>0</v>
      </c>
      <c r="I315" s="1603" t="str">
        <f t="shared" ca="1" si="44"/>
        <v/>
      </c>
      <c r="J315" s="1604"/>
      <c r="K315" s="373"/>
      <c r="L315" s="513">
        <f t="shared" ca="1" si="53"/>
        <v>656.58</v>
      </c>
      <c r="M315" s="654">
        <f t="shared" ca="1" si="51"/>
        <v>1</v>
      </c>
      <c r="N315" s="226">
        <f t="shared" ca="1" si="45"/>
        <v>0</v>
      </c>
      <c r="O315" s="1"/>
    </row>
    <row r="316" spans="1:15" ht="16.5" customHeight="1">
      <c r="A316" s="1"/>
      <c r="B316" s="657" t="str">
        <f t="shared" ca="1" si="46"/>
        <v/>
      </c>
      <c r="C316" s="223" t="str">
        <f t="shared" ca="1" si="47"/>
        <v/>
      </c>
      <c r="D316" s="519">
        <f t="shared" si="52"/>
        <v>311</v>
      </c>
      <c r="E316" s="225" t="str">
        <f t="shared" ca="1" si="48"/>
        <v/>
      </c>
      <c r="F316" s="224" t="str">
        <f t="shared" si="54"/>
        <v>CASSA</v>
      </c>
      <c r="G316" s="384" t="str">
        <f t="shared" ca="1" si="49"/>
        <v/>
      </c>
      <c r="H316" s="512">
        <f t="shared" ca="1" si="50"/>
        <v>0</v>
      </c>
      <c r="I316" s="1603" t="str">
        <f t="shared" ca="1" si="44"/>
        <v/>
      </c>
      <c r="J316" s="1604"/>
      <c r="K316" s="373"/>
      <c r="L316" s="513">
        <f t="shared" ca="1" si="53"/>
        <v>656.58</v>
      </c>
      <c r="M316" s="654">
        <f t="shared" ca="1" si="51"/>
        <v>1</v>
      </c>
      <c r="N316" s="226">
        <f t="shared" ca="1" si="45"/>
        <v>0</v>
      </c>
      <c r="O316" s="1"/>
    </row>
    <row r="317" spans="1:15" ht="16.5" customHeight="1">
      <c r="A317" s="1"/>
      <c r="B317" s="657" t="str">
        <f t="shared" ca="1" si="46"/>
        <v/>
      </c>
      <c r="C317" s="223" t="str">
        <f t="shared" ca="1" si="47"/>
        <v/>
      </c>
      <c r="D317" s="519">
        <f t="shared" si="52"/>
        <v>312</v>
      </c>
      <c r="E317" s="225" t="str">
        <f t="shared" ca="1" si="48"/>
        <v/>
      </c>
      <c r="F317" s="224" t="str">
        <f t="shared" si="54"/>
        <v>CASSA</v>
      </c>
      <c r="G317" s="384" t="str">
        <f t="shared" ca="1" si="49"/>
        <v/>
      </c>
      <c r="H317" s="512">
        <f t="shared" ca="1" si="50"/>
        <v>0</v>
      </c>
      <c r="I317" s="1603" t="str">
        <f t="shared" ca="1" si="44"/>
        <v/>
      </c>
      <c r="J317" s="1604"/>
      <c r="K317" s="373"/>
      <c r="L317" s="513">
        <f t="shared" ca="1" si="53"/>
        <v>656.58</v>
      </c>
      <c r="M317" s="654">
        <f t="shared" ca="1" si="51"/>
        <v>1</v>
      </c>
      <c r="N317" s="226">
        <f t="shared" ca="1" si="45"/>
        <v>0</v>
      </c>
      <c r="O317" s="1"/>
    </row>
    <row r="318" spans="1:15" ht="16.5" customHeight="1">
      <c r="A318" s="1"/>
      <c r="B318" s="657" t="str">
        <f t="shared" ca="1" si="46"/>
        <v/>
      </c>
      <c r="C318" s="223" t="str">
        <f t="shared" ca="1" si="47"/>
        <v/>
      </c>
      <c r="D318" s="519">
        <f t="shared" si="52"/>
        <v>313</v>
      </c>
      <c r="E318" s="225" t="str">
        <f t="shared" ca="1" si="48"/>
        <v/>
      </c>
      <c r="F318" s="224" t="str">
        <f t="shared" si="54"/>
        <v>CASSA</v>
      </c>
      <c r="G318" s="384" t="str">
        <f t="shared" ca="1" si="49"/>
        <v/>
      </c>
      <c r="H318" s="512">
        <f t="shared" ca="1" si="50"/>
        <v>0</v>
      </c>
      <c r="I318" s="1603" t="str">
        <f t="shared" ca="1" si="44"/>
        <v/>
      </c>
      <c r="J318" s="1604"/>
      <c r="K318" s="373"/>
      <c r="L318" s="513">
        <f t="shared" ca="1" si="53"/>
        <v>656.58</v>
      </c>
      <c r="M318" s="654">
        <f t="shared" ca="1" si="51"/>
        <v>1</v>
      </c>
      <c r="N318" s="226">
        <f t="shared" ca="1" si="45"/>
        <v>0</v>
      </c>
      <c r="O318" s="1"/>
    </row>
    <row r="319" spans="1:15" ht="16.5" customHeight="1">
      <c r="A319" s="1"/>
      <c r="B319" s="657" t="str">
        <f t="shared" ca="1" si="46"/>
        <v/>
      </c>
      <c r="C319" s="223" t="str">
        <f t="shared" ca="1" si="47"/>
        <v/>
      </c>
      <c r="D319" s="519">
        <f t="shared" si="52"/>
        <v>314</v>
      </c>
      <c r="E319" s="225" t="str">
        <f t="shared" ca="1" si="48"/>
        <v/>
      </c>
      <c r="F319" s="224" t="str">
        <f t="shared" si="54"/>
        <v>CASSA</v>
      </c>
      <c r="G319" s="384" t="str">
        <f t="shared" ca="1" si="49"/>
        <v/>
      </c>
      <c r="H319" s="512">
        <f t="shared" ca="1" si="50"/>
        <v>0</v>
      </c>
      <c r="I319" s="1603" t="str">
        <f t="shared" ca="1" si="44"/>
        <v/>
      </c>
      <c r="J319" s="1604"/>
      <c r="K319" s="373"/>
      <c r="L319" s="513">
        <f t="shared" ca="1" si="53"/>
        <v>656.58</v>
      </c>
      <c r="M319" s="654">
        <f t="shared" ca="1" si="51"/>
        <v>1</v>
      </c>
      <c r="N319" s="226">
        <f t="shared" ca="1" si="45"/>
        <v>0</v>
      </c>
      <c r="O319" s="1"/>
    </row>
    <row r="320" spans="1:15" ht="16.5" customHeight="1">
      <c r="A320" s="1"/>
      <c r="B320" s="657" t="str">
        <f t="shared" ca="1" si="46"/>
        <v/>
      </c>
      <c r="C320" s="223" t="str">
        <f t="shared" ca="1" si="47"/>
        <v/>
      </c>
      <c r="D320" s="519">
        <f t="shared" si="52"/>
        <v>315</v>
      </c>
      <c r="E320" s="225" t="str">
        <f t="shared" ca="1" si="48"/>
        <v/>
      </c>
      <c r="F320" s="224" t="str">
        <f t="shared" si="54"/>
        <v>CASSA</v>
      </c>
      <c r="G320" s="384" t="str">
        <f t="shared" ca="1" si="49"/>
        <v/>
      </c>
      <c r="H320" s="512">
        <f t="shared" ca="1" si="50"/>
        <v>0</v>
      </c>
      <c r="I320" s="1603" t="str">
        <f t="shared" ca="1" si="44"/>
        <v/>
      </c>
      <c r="J320" s="1604"/>
      <c r="K320" s="373"/>
      <c r="L320" s="513">
        <f t="shared" ca="1" si="53"/>
        <v>656.58</v>
      </c>
      <c r="M320" s="654">
        <f t="shared" ca="1" si="51"/>
        <v>1</v>
      </c>
      <c r="N320" s="226">
        <f t="shared" ca="1" si="45"/>
        <v>0</v>
      </c>
      <c r="O320" s="1"/>
    </row>
    <row r="321" spans="1:15" ht="16.5" customHeight="1">
      <c r="A321" s="1"/>
      <c r="B321" s="657" t="str">
        <f t="shared" ca="1" si="46"/>
        <v/>
      </c>
      <c r="C321" s="223" t="str">
        <f t="shared" ca="1" si="47"/>
        <v/>
      </c>
      <c r="D321" s="519">
        <f t="shared" si="52"/>
        <v>316</v>
      </c>
      <c r="E321" s="225" t="str">
        <f t="shared" ca="1" si="48"/>
        <v/>
      </c>
      <c r="F321" s="224" t="str">
        <f t="shared" si="54"/>
        <v>CASSA</v>
      </c>
      <c r="G321" s="384" t="str">
        <f t="shared" ca="1" si="49"/>
        <v/>
      </c>
      <c r="H321" s="512">
        <f t="shared" ca="1" si="50"/>
        <v>0</v>
      </c>
      <c r="I321" s="1603" t="str">
        <f t="shared" ca="1" si="44"/>
        <v/>
      </c>
      <c r="J321" s="1604"/>
      <c r="K321" s="373"/>
      <c r="L321" s="513">
        <f t="shared" ca="1" si="53"/>
        <v>656.58</v>
      </c>
      <c r="M321" s="654">
        <f t="shared" ca="1" si="51"/>
        <v>1</v>
      </c>
      <c r="N321" s="226">
        <f t="shared" ca="1" si="45"/>
        <v>0</v>
      </c>
      <c r="O321" s="1"/>
    </row>
    <row r="322" spans="1:15" ht="16.5" customHeight="1">
      <c r="A322" s="1"/>
      <c r="B322" s="657" t="str">
        <f t="shared" ca="1" si="46"/>
        <v/>
      </c>
      <c r="C322" s="223" t="str">
        <f t="shared" ca="1" si="47"/>
        <v/>
      </c>
      <c r="D322" s="519">
        <f t="shared" si="52"/>
        <v>317</v>
      </c>
      <c r="E322" s="225" t="str">
        <f t="shared" ca="1" si="48"/>
        <v/>
      </c>
      <c r="F322" s="224" t="str">
        <f t="shared" si="54"/>
        <v>CASSA</v>
      </c>
      <c r="G322" s="384" t="str">
        <f t="shared" ca="1" si="49"/>
        <v/>
      </c>
      <c r="H322" s="512">
        <f t="shared" ca="1" si="50"/>
        <v>0</v>
      </c>
      <c r="I322" s="1603" t="str">
        <f t="shared" ca="1" si="44"/>
        <v/>
      </c>
      <c r="J322" s="1604"/>
      <c r="K322" s="373"/>
      <c r="L322" s="513">
        <f t="shared" ca="1" si="53"/>
        <v>656.58</v>
      </c>
      <c r="M322" s="654">
        <f t="shared" ca="1" si="51"/>
        <v>1</v>
      </c>
      <c r="N322" s="226">
        <f t="shared" ca="1" si="45"/>
        <v>0</v>
      </c>
      <c r="O322" s="1"/>
    </row>
    <row r="323" spans="1:15" ht="16.5" customHeight="1">
      <c r="A323" s="1"/>
      <c r="B323" s="657" t="str">
        <f t="shared" ca="1" si="46"/>
        <v/>
      </c>
      <c r="C323" s="223" t="str">
        <f t="shared" ca="1" si="47"/>
        <v/>
      </c>
      <c r="D323" s="519">
        <f t="shared" si="52"/>
        <v>318</v>
      </c>
      <c r="E323" s="225" t="str">
        <f t="shared" ca="1" si="48"/>
        <v/>
      </c>
      <c r="F323" s="224" t="str">
        <f t="shared" si="54"/>
        <v>CASSA</v>
      </c>
      <c r="G323" s="384" t="str">
        <f t="shared" ca="1" si="49"/>
        <v/>
      </c>
      <c r="H323" s="512">
        <f t="shared" ca="1" si="50"/>
        <v>0</v>
      </c>
      <c r="I323" s="1603" t="str">
        <f t="shared" ca="1" si="44"/>
        <v/>
      </c>
      <c r="J323" s="1604"/>
      <c r="K323" s="373"/>
      <c r="L323" s="513">
        <f t="shared" ca="1" si="53"/>
        <v>656.58</v>
      </c>
      <c r="M323" s="654">
        <f t="shared" ca="1" si="51"/>
        <v>1</v>
      </c>
      <c r="N323" s="226">
        <f t="shared" ca="1" si="45"/>
        <v>0</v>
      </c>
      <c r="O323" s="1"/>
    </row>
    <row r="324" spans="1:15" ht="16.5" customHeight="1">
      <c r="A324" s="1"/>
      <c r="B324" s="657" t="str">
        <f t="shared" ca="1" si="46"/>
        <v/>
      </c>
      <c r="C324" s="223" t="str">
        <f t="shared" ca="1" si="47"/>
        <v/>
      </c>
      <c r="D324" s="519">
        <f t="shared" si="52"/>
        <v>319</v>
      </c>
      <c r="E324" s="225" t="str">
        <f t="shared" ca="1" si="48"/>
        <v/>
      </c>
      <c r="F324" s="224" t="str">
        <f t="shared" si="54"/>
        <v>CASSA</v>
      </c>
      <c r="G324" s="384" t="str">
        <f t="shared" ca="1" si="49"/>
        <v/>
      </c>
      <c r="H324" s="512">
        <f t="shared" ca="1" si="50"/>
        <v>0</v>
      </c>
      <c r="I324" s="1603" t="str">
        <f t="shared" ca="1" si="44"/>
        <v/>
      </c>
      <c r="J324" s="1604"/>
      <c r="K324" s="373"/>
      <c r="L324" s="513">
        <f t="shared" ca="1" si="53"/>
        <v>656.58</v>
      </c>
      <c r="M324" s="654">
        <f t="shared" ca="1" si="51"/>
        <v>1</v>
      </c>
      <c r="N324" s="226">
        <f t="shared" ca="1" si="45"/>
        <v>0</v>
      </c>
      <c r="O324" s="1"/>
    </row>
    <row r="325" spans="1:15" ht="16.5" customHeight="1">
      <c r="A325" s="1"/>
      <c r="B325" s="657" t="str">
        <f t="shared" ca="1" si="46"/>
        <v/>
      </c>
      <c r="C325" s="223" t="str">
        <f t="shared" ca="1" si="47"/>
        <v/>
      </c>
      <c r="D325" s="519">
        <f t="shared" si="52"/>
        <v>320</v>
      </c>
      <c r="E325" s="225" t="str">
        <f t="shared" ca="1" si="48"/>
        <v/>
      </c>
      <c r="F325" s="224" t="str">
        <f t="shared" si="54"/>
        <v>CASSA</v>
      </c>
      <c r="G325" s="384" t="str">
        <f t="shared" ca="1" si="49"/>
        <v/>
      </c>
      <c r="H325" s="512">
        <f t="shared" ca="1" si="50"/>
        <v>0</v>
      </c>
      <c r="I325" s="1603" t="str">
        <f t="shared" ca="1" si="44"/>
        <v/>
      </c>
      <c r="J325" s="1604"/>
      <c r="K325" s="373"/>
      <c r="L325" s="513">
        <f t="shared" ca="1" si="53"/>
        <v>656.58</v>
      </c>
      <c r="M325" s="654">
        <f t="shared" ca="1" si="51"/>
        <v>1</v>
      </c>
      <c r="N325" s="226">
        <f t="shared" ca="1" si="45"/>
        <v>0</v>
      </c>
      <c r="O325" s="1"/>
    </row>
    <row r="326" spans="1:15" ht="16.5" customHeight="1">
      <c r="A326" s="1"/>
      <c r="B326" s="657" t="str">
        <f t="shared" ca="1" si="46"/>
        <v/>
      </c>
      <c r="C326" s="223" t="str">
        <f t="shared" ca="1" si="47"/>
        <v/>
      </c>
      <c r="D326" s="519">
        <f t="shared" si="52"/>
        <v>321</v>
      </c>
      <c r="E326" s="225" t="str">
        <f t="shared" ca="1" si="48"/>
        <v/>
      </c>
      <c r="F326" s="224" t="str">
        <f t="shared" si="54"/>
        <v>CASSA</v>
      </c>
      <c r="G326" s="384" t="str">
        <f t="shared" ca="1" si="49"/>
        <v/>
      </c>
      <c r="H326" s="512">
        <f t="shared" ca="1" si="50"/>
        <v>0</v>
      </c>
      <c r="I326" s="1603" t="str">
        <f t="shared" ref="I326:I389" ca="1" si="55">IF(F326="","",IF(ISERROR(VLOOKUP($D326,$B$1080:$L$4183,11,FALSE)),"",VLOOKUP($D326,$B$1080:$L$4183,11,FALSE)))</f>
        <v/>
      </c>
      <c r="J326" s="1604"/>
      <c r="K326" s="373"/>
      <c r="L326" s="513">
        <f t="shared" ca="1" si="53"/>
        <v>656.58</v>
      </c>
      <c r="M326" s="654">
        <f t="shared" ca="1" si="51"/>
        <v>1</v>
      </c>
      <c r="N326" s="226">
        <f t="shared" ref="N326:N389" ca="1" si="56">IF(ISERROR(VLOOKUP(G326,G$4171:G$4182,1,FALSE)),0,1)</f>
        <v>0</v>
      </c>
      <c r="O326" s="1"/>
    </row>
    <row r="327" spans="1:15" ht="16.5" customHeight="1">
      <c r="A327" s="1"/>
      <c r="B327" s="657" t="str">
        <f t="shared" ref="B327:B390" ca="1" si="57">IF(AND(E327&lt;&gt;"",M327=0),"[..]","")</f>
        <v/>
      </c>
      <c r="C327" s="223" t="str">
        <f t="shared" ref="C327:C390" ca="1" si="58">IF(ISBLANK(E$2),"",IF(ISERROR(VLOOKUP(D327,B$3067:B$4182,1,FALSE)),"",C$4185))</f>
        <v/>
      </c>
      <c r="D327" s="519">
        <f t="shared" si="52"/>
        <v>322</v>
      </c>
      <c r="E327" s="225" t="str">
        <f t="shared" ref="E327:E390" ca="1" si="59">IF(ISERROR(VLOOKUP($D327,$B$1080:$E$4183,4,FALSE)),"",VLOOKUP($D327,$B$1080:$E$4183,4,FALSE))</f>
        <v/>
      </c>
      <c r="F327" s="224" t="str">
        <f t="shared" si="54"/>
        <v>CASSA</v>
      </c>
      <c r="G327" s="384" t="str">
        <f t="shared" ref="G327:G390" ca="1" si="60">IF(ISERROR(VLOOKUP($D327,$B$1080:$G$4183,6,FALSE)),"",T(VLOOKUP($D327,$B$1080:$G$4183,6,FALSE)))</f>
        <v/>
      </c>
      <c r="H327" s="512">
        <f t="shared" ref="H327:H390" ca="1" si="61">IF(ISERROR(VLOOKUP($D327,$B$1080:$H$4183,7,FALSE)),0,VLOOKUP($D327,$B$1080:$H$4183,7,FALSE))*M327</f>
        <v>0</v>
      </c>
      <c r="I327" s="1603" t="str">
        <f t="shared" ca="1" si="55"/>
        <v/>
      </c>
      <c r="J327" s="1604"/>
      <c r="K327" s="373"/>
      <c r="L327" s="513">
        <f t="shared" ca="1" si="53"/>
        <v>656.58</v>
      </c>
      <c r="M327" s="654">
        <f t="shared" ref="M327:M390" ca="1" si="62">IF(AND(E327&gt;0,H$4188=0,OR(E327&lt;L$1020,E327&gt;L$1021)),0,1)</f>
        <v>1</v>
      </c>
      <c r="N327" s="226">
        <f t="shared" ca="1" si="56"/>
        <v>0</v>
      </c>
      <c r="O327" s="1"/>
    </row>
    <row r="328" spans="1:15" ht="16.5" customHeight="1">
      <c r="A328" s="1"/>
      <c r="B328" s="657" t="str">
        <f t="shared" ca="1" si="57"/>
        <v/>
      </c>
      <c r="C328" s="223" t="str">
        <f t="shared" ca="1" si="58"/>
        <v/>
      </c>
      <c r="D328" s="519">
        <f t="shared" ref="D328:D391" si="63">D327+1</f>
        <v>323</v>
      </c>
      <c r="E328" s="225" t="str">
        <f t="shared" ca="1" si="59"/>
        <v/>
      </c>
      <c r="F328" s="224" t="str">
        <f t="shared" si="54"/>
        <v>CASSA</v>
      </c>
      <c r="G328" s="384" t="str">
        <f t="shared" ca="1" si="60"/>
        <v/>
      </c>
      <c r="H328" s="512">
        <f t="shared" ca="1" si="61"/>
        <v>0</v>
      </c>
      <c r="I328" s="1603" t="str">
        <f t="shared" ca="1" si="55"/>
        <v/>
      </c>
      <c r="J328" s="1604"/>
      <c r="K328" s="373"/>
      <c r="L328" s="513">
        <f t="shared" ref="L328:L391" ca="1" si="64">ROUND(L327+H328,2)</f>
        <v>656.58</v>
      </c>
      <c r="M328" s="654">
        <f t="shared" ca="1" si="62"/>
        <v>1</v>
      </c>
      <c r="N328" s="226">
        <f t="shared" ca="1" si="56"/>
        <v>0</v>
      </c>
      <c r="O328" s="1"/>
    </row>
    <row r="329" spans="1:15" ht="16.5" customHeight="1">
      <c r="A329" s="1"/>
      <c r="B329" s="657" t="str">
        <f t="shared" ca="1" si="57"/>
        <v/>
      </c>
      <c r="C329" s="223" t="str">
        <f t="shared" ca="1" si="58"/>
        <v/>
      </c>
      <c r="D329" s="519">
        <f t="shared" si="63"/>
        <v>324</v>
      </c>
      <c r="E329" s="225" t="str">
        <f t="shared" ca="1" si="59"/>
        <v/>
      </c>
      <c r="F329" s="224" t="str">
        <f t="shared" si="54"/>
        <v>CASSA</v>
      </c>
      <c r="G329" s="384" t="str">
        <f t="shared" ca="1" si="60"/>
        <v/>
      </c>
      <c r="H329" s="512">
        <f t="shared" ca="1" si="61"/>
        <v>0</v>
      </c>
      <c r="I329" s="1603" t="str">
        <f t="shared" ca="1" si="55"/>
        <v/>
      </c>
      <c r="J329" s="1604"/>
      <c r="K329" s="373"/>
      <c r="L329" s="513">
        <f t="shared" ca="1" si="64"/>
        <v>656.58</v>
      </c>
      <c r="M329" s="654">
        <f t="shared" ca="1" si="62"/>
        <v>1</v>
      </c>
      <c r="N329" s="226">
        <f t="shared" ca="1" si="56"/>
        <v>0</v>
      </c>
      <c r="O329" s="1"/>
    </row>
    <row r="330" spans="1:15" ht="16.5" customHeight="1">
      <c r="A330" s="1"/>
      <c r="B330" s="657" t="str">
        <f t="shared" ca="1" si="57"/>
        <v/>
      </c>
      <c r="C330" s="223" t="str">
        <f t="shared" ca="1" si="58"/>
        <v/>
      </c>
      <c r="D330" s="519">
        <f t="shared" si="63"/>
        <v>325</v>
      </c>
      <c r="E330" s="225" t="str">
        <f t="shared" ca="1" si="59"/>
        <v/>
      </c>
      <c r="F330" s="224" t="str">
        <f t="shared" si="54"/>
        <v>CASSA</v>
      </c>
      <c r="G330" s="384" t="str">
        <f t="shared" ca="1" si="60"/>
        <v/>
      </c>
      <c r="H330" s="512">
        <f t="shared" ca="1" si="61"/>
        <v>0</v>
      </c>
      <c r="I330" s="1603" t="str">
        <f t="shared" ca="1" si="55"/>
        <v/>
      </c>
      <c r="J330" s="1604"/>
      <c r="K330" s="373"/>
      <c r="L330" s="513">
        <f t="shared" ca="1" si="64"/>
        <v>656.58</v>
      </c>
      <c r="M330" s="654">
        <f t="shared" ca="1" si="62"/>
        <v>1</v>
      </c>
      <c r="N330" s="226">
        <f t="shared" ca="1" si="56"/>
        <v>0</v>
      </c>
      <c r="O330" s="1"/>
    </row>
    <row r="331" spans="1:15" ht="16.5" customHeight="1">
      <c r="A331" s="1"/>
      <c r="B331" s="657" t="str">
        <f t="shared" ca="1" si="57"/>
        <v/>
      </c>
      <c r="C331" s="223" t="str">
        <f t="shared" ca="1" si="58"/>
        <v/>
      </c>
      <c r="D331" s="519">
        <f t="shared" si="63"/>
        <v>326</v>
      </c>
      <c r="E331" s="225" t="str">
        <f t="shared" ca="1" si="59"/>
        <v/>
      </c>
      <c r="F331" s="224" t="str">
        <f t="shared" si="54"/>
        <v>CASSA</v>
      </c>
      <c r="G331" s="384" t="str">
        <f t="shared" ca="1" si="60"/>
        <v/>
      </c>
      <c r="H331" s="512">
        <f t="shared" ca="1" si="61"/>
        <v>0</v>
      </c>
      <c r="I331" s="1603" t="str">
        <f t="shared" ca="1" si="55"/>
        <v/>
      </c>
      <c r="J331" s="1604"/>
      <c r="K331" s="373"/>
      <c r="L331" s="513">
        <f t="shared" ca="1" si="64"/>
        <v>656.58</v>
      </c>
      <c r="M331" s="654">
        <f t="shared" ca="1" si="62"/>
        <v>1</v>
      </c>
      <c r="N331" s="226">
        <f t="shared" ca="1" si="56"/>
        <v>0</v>
      </c>
      <c r="O331" s="1"/>
    </row>
    <row r="332" spans="1:15" ht="16.5" customHeight="1">
      <c r="A332" s="1"/>
      <c r="B332" s="657" t="str">
        <f t="shared" ca="1" si="57"/>
        <v/>
      </c>
      <c r="C332" s="223" t="str">
        <f t="shared" ca="1" si="58"/>
        <v/>
      </c>
      <c r="D332" s="519">
        <f t="shared" si="63"/>
        <v>327</v>
      </c>
      <c r="E332" s="225" t="str">
        <f t="shared" ca="1" si="59"/>
        <v/>
      </c>
      <c r="F332" s="224" t="str">
        <f t="shared" ref="F332:F395" si="65">F331</f>
        <v>CASSA</v>
      </c>
      <c r="G332" s="384" t="str">
        <f t="shared" ca="1" si="60"/>
        <v/>
      </c>
      <c r="H332" s="512">
        <f t="shared" ca="1" si="61"/>
        <v>0</v>
      </c>
      <c r="I332" s="1603" t="str">
        <f t="shared" ca="1" si="55"/>
        <v/>
      </c>
      <c r="J332" s="1604"/>
      <c r="K332" s="373"/>
      <c r="L332" s="513">
        <f t="shared" ca="1" si="64"/>
        <v>656.58</v>
      </c>
      <c r="M332" s="654">
        <f t="shared" ca="1" si="62"/>
        <v>1</v>
      </c>
      <c r="N332" s="226">
        <f t="shared" ca="1" si="56"/>
        <v>0</v>
      </c>
      <c r="O332" s="1"/>
    </row>
    <row r="333" spans="1:15" ht="16.5" customHeight="1">
      <c r="A333" s="1"/>
      <c r="B333" s="657" t="str">
        <f t="shared" ca="1" si="57"/>
        <v/>
      </c>
      <c r="C333" s="223" t="str">
        <f t="shared" ca="1" si="58"/>
        <v/>
      </c>
      <c r="D333" s="519">
        <f t="shared" si="63"/>
        <v>328</v>
      </c>
      <c r="E333" s="225" t="str">
        <f t="shared" ca="1" si="59"/>
        <v/>
      </c>
      <c r="F333" s="224" t="str">
        <f t="shared" si="65"/>
        <v>CASSA</v>
      </c>
      <c r="G333" s="384" t="str">
        <f t="shared" ca="1" si="60"/>
        <v/>
      </c>
      <c r="H333" s="512">
        <f t="shared" ca="1" si="61"/>
        <v>0</v>
      </c>
      <c r="I333" s="1603" t="str">
        <f t="shared" ca="1" si="55"/>
        <v/>
      </c>
      <c r="J333" s="1604"/>
      <c r="K333" s="373"/>
      <c r="L333" s="513">
        <f t="shared" ca="1" si="64"/>
        <v>656.58</v>
      </c>
      <c r="M333" s="654">
        <f t="shared" ca="1" si="62"/>
        <v>1</v>
      </c>
      <c r="N333" s="226">
        <f t="shared" ca="1" si="56"/>
        <v>0</v>
      </c>
      <c r="O333" s="1"/>
    </row>
    <row r="334" spans="1:15" ht="16.5" customHeight="1">
      <c r="A334" s="1"/>
      <c r="B334" s="657" t="str">
        <f t="shared" ca="1" si="57"/>
        <v/>
      </c>
      <c r="C334" s="223" t="str">
        <f t="shared" ca="1" si="58"/>
        <v/>
      </c>
      <c r="D334" s="519">
        <f t="shared" si="63"/>
        <v>329</v>
      </c>
      <c r="E334" s="225" t="str">
        <f t="shared" ca="1" si="59"/>
        <v/>
      </c>
      <c r="F334" s="224" t="str">
        <f t="shared" si="65"/>
        <v>CASSA</v>
      </c>
      <c r="G334" s="384" t="str">
        <f t="shared" ca="1" si="60"/>
        <v/>
      </c>
      <c r="H334" s="512">
        <f t="shared" ca="1" si="61"/>
        <v>0</v>
      </c>
      <c r="I334" s="1603" t="str">
        <f t="shared" ca="1" si="55"/>
        <v/>
      </c>
      <c r="J334" s="1604"/>
      <c r="K334" s="373"/>
      <c r="L334" s="513">
        <f t="shared" ca="1" si="64"/>
        <v>656.58</v>
      </c>
      <c r="M334" s="654">
        <f t="shared" ca="1" si="62"/>
        <v>1</v>
      </c>
      <c r="N334" s="226">
        <f t="shared" ca="1" si="56"/>
        <v>0</v>
      </c>
      <c r="O334" s="1"/>
    </row>
    <row r="335" spans="1:15" ht="16.5" customHeight="1">
      <c r="A335" s="1"/>
      <c r="B335" s="657" t="str">
        <f t="shared" ca="1" si="57"/>
        <v/>
      </c>
      <c r="C335" s="223" t="str">
        <f t="shared" ca="1" si="58"/>
        <v/>
      </c>
      <c r="D335" s="519">
        <f t="shared" si="63"/>
        <v>330</v>
      </c>
      <c r="E335" s="225" t="str">
        <f t="shared" ca="1" si="59"/>
        <v/>
      </c>
      <c r="F335" s="224" t="str">
        <f t="shared" si="65"/>
        <v>CASSA</v>
      </c>
      <c r="G335" s="384" t="str">
        <f t="shared" ca="1" si="60"/>
        <v/>
      </c>
      <c r="H335" s="512">
        <f t="shared" ca="1" si="61"/>
        <v>0</v>
      </c>
      <c r="I335" s="1603" t="str">
        <f t="shared" ca="1" si="55"/>
        <v/>
      </c>
      <c r="J335" s="1604"/>
      <c r="K335" s="373"/>
      <c r="L335" s="513">
        <f t="shared" ca="1" si="64"/>
        <v>656.58</v>
      </c>
      <c r="M335" s="654">
        <f t="shared" ca="1" si="62"/>
        <v>1</v>
      </c>
      <c r="N335" s="226">
        <f t="shared" ca="1" si="56"/>
        <v>0</v>
      </c>
      <c r="O335" s="1"/>
    </row>
    <row r="336" spans="1:15" ht="16.5" customHeight="1">
      <c r="A336" s="1"/>
      <c r="B336" s="657" t="str">
        <f t="shared" ca="1" si="57"/>
        <v/>
      </c>
      <c r="C336" s="223" t="str">
        <f t="shared" ca="1" si="58"/>
        <v/>
      </c>
      <c r="D336" s="519">
        <f t="shared" si="63"/>
        <v>331</v>
      </c>
      <c r="E336" s="225" t="str">
        <f t="shared" ca="1" si="59"/>
        <v/>
      </c>
      <c r="F336" s="224" t="str">
        <f t="shared" si="65"/>
        <v>CASSA</v>
      </c>
      <c r="G336" s="384" t="str">
        <f t="shared" ca="1" si="60"/>
        <v/>
      </c>
      <c r="H336" s="512">
        <f t="shared" ca="1" si="61"/>
        <v>0</v>
      </c>
      <c r="I336" s="1603" t="str">
        <f t="shared" ca="1" si="55"/>
        <v/>
      </c>
      <c r="J336" s="1604"/>
      <c r="K336" s="373"/>
      <c r="L336" s="513">
        <f t="shared" ca="1" si="64"/>
        <v>656.58</v>
      </c>
      <c r="M336" s="654">
        <f t="shared" ca="1" si="62"/>
        <v>1</v>
      </c>
      <c r="N336" s="226">
        <f t="shared" ca="1" si="56"/>
        <v>0</v>
      </c>
      <c r="O336" s="1"/>
    </row>
    <row r="337" spans="1:15" ht="16.5" customHeight="1">
      <c r="A337" s="1"/>
      <c r="B337" s="657" t="str">
        <f t="shared" ca="1" si="57"/>
        <v/>
      </c>
      <c r="C337" s="223" t="str">
        <f t="shared" ca="1" si="58"/>
        <v/>
      </c>
      <c r="D337" s="519">
        <f t="shared" si="63"/>
        <v>332</v>
      </c>
      <c r="E337" s="225" t="str">
        <f t="shared" ca="1" si="59"/>
        <v/>
      </c>
      <c r="F337" s="224" t="str">
        <f t="shared" si="65"/>
        <v>CASSA</v>
      </c>
      <c r="G337" s="384" t="str">
        <f t="shared" ca="1" si="60"/>
        <v/>
      </c>
      <c r="H337" s="512">
        <f t="shared" ca="1" si="61"/>
        <v>0</v>
      </c>
      <c r="I337" s="1603" t="str">
        <f t="shared" ca="1" si="55"/>
        <v/>
      </c>
      <c r="J337" s="1604"/>
      <c r="K337" s="373"/>
      <c r="L337" s="513">
        <f t="shared" ca="1" si="64"/>
        <v>656.58</v>
      </c>
      <c r="M337" s="654">
        <f t="shared" ca="1" si="62"/>
        <v>1</v>
      </c>
      <c r="N337" s="226">
        <f t="shared" ca="1" si="56"/>
        <v>0</v>
      </c>
      <c r="O337" s="1"/>
    </row>
    <row r="338" spans="1:15" ht="16.5" customHeight="1">
      <c r="A338" s="1"/>
      <c r="B338" s="657" t="str">
        <f t="shared" ca="1" si="57"/>
        <v/>
      </c>
      <c r="C338" s="223" t="str">
        <f t="shared" ca="1" si="58"/>
        <v/>
      </c>
      <c r="D338" s="519">
        <f t="shared" si="63"/>
        <v>333</v>
      </c>
      <c r="E338" s="225" t="str">
        <f t="shared" ca="1" si="59"/>
        <v/>
      </c>
      <c r="F338" s="224" t="str">
        <f t="shared" si="65"/>
        <v>CASSA</v>
      </c>
      <c r="G338" s="384" t="str">
        <f t="shared" ca="1" si="60"/>
        <v/>
      </c>
      <c r="H338" s="512">
        <f t="shared" ca="1" si="61"/>
        <v>0</v>
      </c>
      <c r="I338" s="1603" t="str">
        <f t="shared" ca="1" si="55"/>
        <v/>
      </c>
      <c r="J338" s="1604"/>
      <c r="K338" s="373"/>
      <c r="L338" s="513">
        <f t="shared" ca="1" si="64"/>
        <v>656.58</v>
      </c>
      <c r="M338" s="654">
        <f t="shared" ca="1" si="62"/>
        <v>1</v>
      </c>
      <c r="N338" s="226">
        <f t="shared" ca="1" si="56"/>
        <v>0</v>
      </c>
      <c r="O338" s="1"/>
    </row>
    <row r="339" spans="1:15" ht="16.5" customHeight="1">
      <c r="A339" s="1"/>
      <c r="B339" s="657" t="str">
        <f t="shared" ca="1" si="57"/>
        <v/>
      </c>
      <c r="C339" s="223" t="str">
        <f t="shared" ca="1" si="58"/>
        <v/>
      </c>
      <c r="D339" s="519">
        <f t="shared" si="63"/>
        <v>334</v>
      </c>
      <c r="E339" s="225" t="str">
        <f t="shared" ca="1" si="59"/>
        <v/>
      </c>
      <c r="F339" s="224" t="str">
        <f t="shared" si="65"/>
        <v>CASSA</v>
      </c>
      <c r="G339" s="384" t="str">
        <f t="shared" ca="1" si="60"/>
        <v/>
      </c>
      <c r="H339" s="512">
        <f t="shared" ca="1" si="61"/>
        <v>0</v>
      </c>
      <c r="I339" s="1603" t="str">
        <f t="shared" ca="1" si="55"/>
        <v/>
      </c>
      <c r="J339" s="1604"/>
      <c r="K339" s="373"/>
      <c r="L339" s="513">
        <f t="shared" ca="1" si="64"/>
        <v>656.58</v>
      </c>
      <c r="M339" s="654">
        <f t="shared" ca="1" si="62"/>
        <v>1</v>
      </c>
      <c r="N339" s="226">
        <f t="shared" ca="1" si="56"/>
        <v>0</v>
      </c>
      <c r="O339" s="1"/>
    </row>
    <row r="340" spans="1:15" ht="16.5" customHeight="1">
      <c r="A340" s="1"/>
      <c r="B340" s="657" t="str">
        <f t="shared" ca="1" si="57"/>
        <v/>
      </c>
      <c r="C340" s="223" t="str">
        <f t="shared" ca="1" si="58"/>
        <v/>
      </c>
      <c r="D340" s="519">
        <f t="shared" si="63"/>
        <v>335</v>
      </c>
      <c r="E340" s="225" t="str">
        <f t="shared" ca="1" si="59"/>
        <v/>
      </c>
      <c r="F340" s="224" t="str">
        <f t="shared" si="65"/>
        <v>CASSA</v>
      </c>
      <c r="G340" s="384" t="str">
        <f t="shared" ca="1" si="60"/>
        <v/>
      </c>
      <c r="H340" s="512">
        <f t="shared" ca="1" si="61"/>
        <v>0</v>
      </c>
      <c r="I340" s="1603" t="str">
        <f t="shared" ca="1" si="55"/>
        <v/>
      </c>
      <c r="J340" s="1604"/>
      <c r="K340" s="373"/>
      <c r="L340" s="513">
        <f t="shared" ca="1" si="64"/>
        <v>656.58</v>
      </c>
      <c r="M340" s="654">
        <f t="shared" ca="1" si="62"/>
        <v>1</v>
      </c>
      <c r="N340" s="226">
        <f t="shared" ca="1" si="56"/>
        <v>0</v>
      </c>
      <c r="O340" s="1"/>
    </row>
    <row r="341" spans="1:15" ht="16.5" customHeight="1">
      <c r="A341" s="1"/>
      <c r="B341" s="657" t="str">
        <f t="shared" ca="1" si="57"/>
        <v/>
      </c>
      <c r="C341" s="223" t="str">
        <f t="shared" ca="1" si="58"/>
        <v/>
      </c>
      <c r="D341" s="519">
        <f t="shared" si="63"/>
        <v>336</v>
      </c>
      <c r="E341" s="225" t="str">
        <f t="shared" ca="1" si="59"/>
        <v/>
      </c>
      <c r="F341" s="224" t="str">
        <f t="shared" si="65"/>
        <v>CASSA</v>
      </c>
      <c r="G341" s="384" t="str">
        <f t="shared" ca="1" si="60"/>
        <v/>
      </c>
      <c r="H341" s="512">
        <f t="shared" ca="1" si="61"/>
        <v>0</v>
      </c>
      <c r="I341" s="1603" t="str">
        <f t="shared" ca="1" si="55"/>
        <v/>
      </c>
      <c r="J341" s="1604"/>
      <c r="K341" s="373"/>
      <c r="L341" s="513">
        <f t="shared" ca="1" si="64"/>
        <v>656.58</v>
      </c>
      <c r="M341" s="654">
        <f t="shared" ca="1" si="62"/>
        <v>1</v>
      </c>
      <c r="N341" s="226">
        <f t="shared" ca="1" si="56"/>
        <v>0</v>
      </c>
      <c r="O341" s="1"/>
    </row>
    <row r="342" spans="1:15" ht="16.5" customHeight="1">
      <c r="A342" s="1"/>
      <c r="B342" s="657" t="str">
        <f t="shared" ca="1" si="57"/>
        <v/>
      </c>
      <c r="C342" s="223" t="str">
        <f t="shared" ca="1" si="58"/>
        <v/>
      </c>
      <c r="D342" s="519">
        <f t="shared" si="63"/>
        <v>337</v>
      </c>
      <c r="E342" s="225" t="str">
        <f t="shared" ca="1" si="59"/>
        <v/>
      </c>
      <c r="F342" s="224" t="str">
        <f t="shared" si="65"/>
        <v>CASSA</v>
      </c>
      <c r="G342" s="384" t="str">
        <f t="shared" ca="1" si="60"/>
        <v/>
      </c>
      <c r="H342" s="512">
        <f t="shared" ca="1" si="61"/>
        <v>0</v>
      </c>
      <c r="I342" s="1603" t="str">
        <f t="shared" ca="1" si="55"/>
        <v/>
      </c>
      <c r="J342" s="1604"/>
      <c r="K342" s="373"/>
      <c r="L342" s="513">
        <f t="shared" ca="1" si="64"/>
        <v>656.58</v>
      </c>
      <c r="M342" s="654">
        <f t="shared" ca="1" si="62"/>
        <v>1</v>
      </c>
      <c r="N342" s="226">
        <f t="shared" ca="1" si="56"/>
        <v>0</v>
      </c>
      <c r="O342" s="1"/>
    </row>
    <row r="343" spans="1:15" ht="16.5" customHeight="1">
      <c r="A343" s="1"/>
      <c r="B343" s="657" t="str">
        <f t="shared" ca="1" si="57"/>
        <v/>
      </c>
      <c r="C343" s="223" t="str">
        <f t="shared" ca="1" si="58"/>
        <v/>
      </c>
      <c r="D343" s="519">
        <f t="shared" si="63"/>
        <v>338</v>
      </c>
      <c r="E343" s="225" t="str">
        <f t="shared" ca="1" si="59"/>
        <v/>
      </c>
      <c r="F343" s="224" t="str">
        <f t="shared" si="65"/>
        <v>CASSA</v>
      </c>
      <c r="G343" s="384" t="str">
        <f t="shared" ca="1" si="60"/>
        <v/>
      </c>
      <c r="H343" s="512">
        <f t="shared" ca="1" si="61"/>
        <v>0</v>
      </c>
      <c r="I343" s="1603" t="str">
        <f t="shared" ca="1" si="55"/>
        <v/>
      </c>
      <c r="J343" s="1604"/>
      <c r="K343" s="373"/>
      <c r="L343" s="513">
        <f t="shared" ca="1" si="64"/>
        <v>656.58</v>
      </c>
      <c r="M343" s="654">
        <f t="shared" ca="1" si="62"/>
        <v>1</v>
      </c>
      <c r="N343" s="226">
        <f t="shared" ca="1" si="56"/>
        <v>0</v>
      </c>
      <c r="O343" s="1"/>
    </row>
    <row r="344" spans="1:15" ht="16.5" customHeight="1">
      <c r="A344" s="1"/>
      <c r="B344" s="657" t="str">
        <f t="shared" ca="1" si="57"/>
        <v/>
      </c>
      <c r="C344" s="223" t="str">
        <f t="shared" ca="1" si="58"/>
        <v/>
      </c>
      <c r="D344" s="519">
        <f t="shared" si="63"/>
        <v>339</v>
      </c>
      <c r="E344" s="225" t="str">
        <f t="shared" ca="1" si="59"/>
        <v/>
      </c>
      <c r="F344" s="224" t="str">
        <f t="shared" si="65"/>
        <v>CASSA</v>
      </c>
      <c r="G344" s="384" t="str">
        <f t="shared" ca="1" si="60"/>
        <v/>
      </c>
      <c r="H344" s="512">
        <f t="shared" ca="1" si="61"/>
        <v>0</v>
      </c>
      <c r="I344" s="1603" t="str">
        <f t="shared" ca="1" si="55"/>
        <v/>
      </c>
      <c r="J344" s="1604"/>
      <c r="K344" s="373"/>
      <c r="L344" s="513">
        <f t="shared" ca="1" si="64"/>
        <v>656.58</v>
      </c>
      <c r="M344" s="654">
        <f t="shared" ca="1" si="62"/>
        <v>1</v>
      </c>
      <c r="N344" s="226">
        <f t="shared" ca="1" si="56"/>
        <v>0</v>
      </c>
      <c r="O344" s="1"/>
    </row>
    <row r="345" spans="1:15" ht="16.5" customHeight="1">
      <c r="A345" s="1"/>
      <c r="B345" s="657" t="str">
        <f t="shared" ca="1" si="57"/>
        <v/>
      </c>
      <c r="C345" s="223" t="str">
        <f t="shared" ca="1" si="58"/>
        <v/>
      </c>
      <c r="D345" s="519">
        <f t="shared" si="63"/>
        <v>340</v>
      </c>
      <c r="E345" s="225" t="str">
        <f t="shared" ca="1" si="59"/>
        <v/>
      </c>
      <c r="F345" s="224" t="str">
        <f t="shared" si="65"/>
        <v>CASSA</v>
      </c>
      <c r="G345" s="384" t="str">
        <f t="shared" ca="1" si="60"/>
        <v/>
      </c>
      <c r="H345" s="512">
        <f t="shared" ca="1" si="61"/>
        <v>0</v>
      </c>
      <c r="I345" s="1603" t="str">
        <f t="shared" ca="1" si="55"/>
        <v/>
      </c>
      <c r="J345" s="1604"/>
      <c r="K345" s="373"/>
      <c r="L345" s="513">
        <f t="shared" ca="1" si="64"/>
        <v>656.58</v>
      </c>
      <c r="M345" s="654">
        <f t="shared" ca="1" si="62"/>
        <v>1</v>
      </c>
      <c r="N345" s="226">
        <f t="shared" ca="1" si="56"/>
        <v>0</v>
      </c>
      <c r="O345" s="1"/>
    </row>
    <row r="346" spans="1:15" ht="16.5" customHeight="1">
      <c r="A346" s="1"/>
      <c r="B346" s="657" t="str">
        <f t="shared" ca="1" si="57"/>
        <v/>
      </c>
      <c r="C346" s="223" t="str">
        <f t="shared" ca="1" si="58"/>
        <v/>
      </c>
      <c r="D346" s="519">
        <f t="shared" si="63"/>
        <v>341</v>
      </c>
      <c r="E346" s="225" t="str">
        <f t="shared" ca="1" si="59"/>
        <v/>
      </c>
      <c r="F346" s="224" t="str">
        <f t="shared" si="65"/>
        <v>CASSA</v>
      </c>
      <c r="G346" s="384" t="str">
        <f t="shared" ca="1" si="60"/>
        <v/>
      </c>
      <c r="H346" s="512">
        <f t="shared" ca="1" si="61"/>
        <v>0</v>
      </c>
      <c r="I346" s="1603" t="str">
        <f t="shared" ca="1" si="55"/>
        <v/>
      </c>
      <c r="J346" s="1604"/>
      <c r="K346" s="373"/>
      <c r="L346" s="513">
        <f t="shared" ca="1" si="64"/>
        <v>656.58</v>
      </c>
      <c r="M346" s="654">
        <f t="shared" ca="1" si="62"/>
        <v>1</v>
      </c>
      <c r="N346" s="226">
        <f t="shared" ca="1" si="56"/>
        <v>0</v>
      </c>
      <c r="O346" s="1"/>
    </row>
    <row r="347" spans="1:15" ht="16.5" customHeight="1">
      <c r="A347" s="1"/>
      <c r="B347" s="657" t="str">
        <f t="shared" ca="1" si="57"/>
        <v/>
      </c>
      <c r="C347" s="223" t="str">
        <f t="shared" ca="1" si="58"/>
        <v/>
      </c>
      <c r="D347" s="519">
        <f t="shared" si="63"/>
        <v>342</v>
      </c>
      <c r="E347" s="225" t="str">
        <f t="shared" ca="1" si="59"/>
        <v/>
      </c>
      <c r="F347" s="224" t="str">
        <f t="shared" si="65"/>
        <v>CASSA</v>
      </c>
      <c r="G347" s="384" t="str">
        <f t="shared" ca="1" si="60"/>
        <v/>
      </c>
      <c r="H347" s="512">
        <f t="shared" ca="1" si="61"/>
        <v>0</v>
      </c>
      <c r="I347" s="1603" t="str">
        <f t="shared" ca="1" si="55"/>
        <v/>
      </c>
      <c r="J347" s="1604"/>
      <c r="K347" s="373"/>
      <c r="L347" s="513">
        <f t="shared" ca="1" si="64"/>
        <v>656.58</v>
      </c>
      <c r="M347" s="654">
        <f t="shared" ca="1" si="62"/>
        <v>1</v>
      </c>
      <c r="N347" s="226">
        <f t="shared" ca="1" si="56"/>
        <v>0</v>
      </c>
      <c r="O347" s="1"/>
    </row>
    <row r="348" spans="1:15" ht="16.5" customHeight="1">
      <c r="A348" s="1"/>
      <c r="B348" s="657" t="str">
        <f t="shared" ca="1" si="57"/>
        <v/>
      </c>
      <c r="C348" s="223" t="str">
        <f t="shared" ca="1" si="58"/>
        <v/>
      </c>
      <c r="D348" s="519">
        <f t="shared" si="63"/>
        <v>343</v>
      </c>
      <c r="E348" s="225" t="str">
        <f t="shared" ca="1" si="59"/>
        <v/>
      </c>
      <c r="F348" s="224" t="str">
        <f t="shared" si="65"/>
        <v>CASSA</v>
      </c>
      <c r="G348" s="384" t="str">
        <f t="shared" ca="1" si="60"/>
        <v/>
      </c>
      <c r="H348" s="512">
        <f t="shared" ca="1" si="61"/>
        <v>0</v>
      </c>
      <c r="I348" s="1603" t="str">
        <f t="shared" ca="1" si="55"/>
        <v/>
      </c>
      <c r="J348" s="1604"/>
      <c r="K348" s="373"/>
      <c r="L348" s="513">
        <f t="shared" ca="1" si="64"/>
        <v>656.58</v>
      </c>
      <c r="M348" s="654">
        <f t="shared" ca="1" si="62"/>
        <v>1</v>
      </c>
      <c r="N348" s="226">
        <f t="shared" ca="1" si="56"/>
        <v>0</v>
      </c>
      <c r="O348" s="1"/>
    </row>
    <row r="349" spans="1:15" ht="16.5" customHeight="1">
      <c r="A349" s="1"/>
      <c r="B349" s="657" t="str">
        <f t="shared" ca="1" si="57"/>
        <v/>
      </c>
      <c r="C349" s="223" t="str">
        <f t="shared" ca="1" si="58"/>
        <v/>
      </c>
      <c r="D349" s="519">
        <f t="shared" si="63"/>
        <v>344</v>
      </c>
      <c r="E349" s="225" t="str">
        <f t="shared" ca="1" si="59"/>
        <v/>
      </c>
      <c r="F349" s="224" t="str">
        <f t="shared" si="65"/>
        <v>CASSA</v>
      </c>
      <c r="G349" s="384" t="str">
        <f t="shared" ca="1" si="60"/>
        <v/>
      </c>
      <c r="H349" s="512">
        <f t="shared" ca="1" si="61"/>
        <v>0</v>
      </c>
      <c r="I349" s="1603" t="str">
        <f t="shared" ca="1" si="55"/>
        <v/>
      </c>
      <c r="J349" s="1604"/>
      <c r="K349" s="373"/>
      <c r="L349" s="513">
        <f t="shared" ca="1" si="64"/>
        <v>656.58</v>
      </c>
      <c r="M349" s="654">
        <f t="shared" ca="1" si="62"/>
        <v>1</v>
      </c>
      <c r="N349" s="226">
        <f t="shared" ca="1" si="56"/>
        <v>0</v>
      </c>
      <c r="O349" s="1"/>
    </row>
    <row r="350" spans="1:15" ht="16.5" customHeight="1">
      <c r="A350" s="1"/>
      <c r="B350" s="657" t="str">
        <f t="shared" ca="1" si="57"/>
        <v/>
      </c>
      <c r="C350" s="223" t="str">
        <f t="shared" ca="1" si="58"/>
        <v/>
      </c>
      <c r="D350" s="519">
        <f t="shared" si="63"/>
        <v>345</v>
      </c>
      <c r="E350" s="225" t="str">
        <f t="shared" ca="1" si="59"/>
        <v/>
      </c>
      <c r="F350" s="224" t="str">
        <f t="shared" si="65"/>
        <v>CASSA</v>
      </c>
      <c r="G350" s="384" t="str">
        <f t="shared" ca="1" si="60"/>
        <v/>
      </c>
      <c r="H350" s="512">
        <f t="shared" ca="1" si="61"/>
        <v>0</v>
      </c>
      <c r="I350" s="1603" t="str">
        <f t="shared" ca="1" si="55"/>
        <v/>
      </c>
      <c r="J350" s="1604"/>
      <c r="K350" s="373"/>
      <c r="L350" s="513">
        <f t="shared" ca="1" si="64"/>
        <v>656.58</v>
      </c>
      <c r="M350" s="654">
        <f t="shared" ca="1" si="62"/>
        <v>1</v>
      </c>
      <c r="N350" s="226">
        <f t="shared" ca="1" si="56"/>
        <v>0</v>
      </c>
      <c r="O350" s="1"/>
    </row>
    <row r="351" spans="1:15" ht="16.5" customHeight="1">
      <c r="A351" s="1"/>
      <c r="B351" s="657" t="str">
        <f t="shared" ca="1" si="57"/>
        <v/>
      </c>
      <c r="C351" s="223" t="str">
        <f t="shared" ca="1" si="58"/>
        <v/>
      </c>
      <c r="D351" s="519">
        <f t="shared" si="63"/>
        <v>346</v>
      </c>
      <c r="E351" s="225" t="str">
        <f t="shared" ca="1" si="59"/>
        <v/>
      </c>
      <c r="F351" s="224" t="str">
        <f t="shared" si="65"/>
        <v>CASSA</v>
      </c>
      <c r="G351" s="384" t="str">
        <f t="shared" ca="1" si="60"/>
        <v/>
      </c>
      <c r="H351" s="512">
        <f t="shared" ca="1" si="61"/>
        <v>0</v>
      </c>
      <c r="I351" s="1603" t="str">
        <f t="shared" ca="1" si="55"/>
        <v/>
      </c>
      <c r="J351" s="1604"/>
      <c r="K351" s="373"/>
      <c r="L351" s="513">
        <f t="shared" ca="1" si="64"/>
        <v>656.58</v>
      </c>
      <c r="M351" s="654">
        <f t="shared" ca="1" si="62"/>
        <v>1</v>
      </c>
      <c r="N351" s="226">
        <f t="shared" ca="1" si="56"/>
        <v>0</v>
      </c>
      <c r="O351" s="1"/>
    </row>
    <row r="352" spans="1:15" ht="16.5" customHeight="1">
      <c r="A352" s="1"/>
      <c r="B352" s="657" t="str">
        <f t="shared" ca="1" si="57"/>
        <v/>
      </c>
      <c r="C352" s="223" t="str">
        <f t="shared" ca="1" si="58"/>
        <v/>
      </c>
      <c r="D352" s="519">
        <f t="shared" si="63"/>
        <v>347</v>
      </c>
      <c r="E352" s="225" t="str">
        <f t="shared" ca="1" si="59"/>
        <v/>
      </c>
      <c r="F352" s="224" t="str">
        <f t="shared" si="65"/>
        <v>CASSA</v>
      </c>
      <c r="G352" s="384" t="str">
        <f t="shared" ca="1" si="60"/>
        <v/>
      </c>
      <c r="H352" s="512">
        <f t="shared" ca="1" si="61"/>
        <v>0</v>
      </c>
      <c r="I352" s="1603" t="str">
        <f t="shared" ca="1" si="55"/>
        <v/>
      </c>
      <c r="J352" s="1604"/>
      <c r="K352" s="373"/>
      <c r="L352" s="513">
        <f t="shared" ca="1" si="64"/>
        <v>656.58</v>
      </c>
      <c r="M352" s="654">
        <f t="shared" ca="1" si="62"/>
        <v>1</v>
      </c>
      <c r="N352" s="226">
        <f t="shared" ca="1" si="56"/>
        <v>0</v>
      </c>
      <c r="O352" s="1"/>
    </row>
    <row r="353" spans="1:15" ht="16.5" customHeight="1">
      <c r="A353" s="1"/>
      <c r="B353" s="657" t="str">
        <f t="shared" ca="1" si="57"/>
        <v/>
      </c>
      <c r="C353" s="223" t="str">
        <f t="shared" ca="1" si="58"/>
        <v/>
      </c>
      <c r="D353" s="519">
        <f t="shared" si="63"/>
        <v>348</v>
      </c>
      <c r="E353" s="225" t="str">
        <f t="shared" ca="1" si="59"/>
        <v/>
      </c>
      <c r="F353" s="224" t="str">
        <f t="shared" si="65"/>
        <v>CASSA</v>
      </c>
      <c r="G353" s="384" t="str">
        <f t="shared" ca="1" si="60"/>
        <v/>
      </c>
      <c r="H353" s="512">
        <f t="shared" ca="1" si="61"/>
        <v>0</v>
      </c>
      <c r="I353" s="1603" t="str">
        <f t="shared" ca="1" si="55"/>
        <v/>
      </c>
      <c r="J353" s="1604"/>
      <c r="K353" s="373"/>
      <c r="L353" s="513">
        <f t="shared" ca="1" si="64"/>
        <v>656.58</v>
      </c>
      <c r="M353" s="654">
        <f t="shared" ca="1" si="62"/>
        <v>1</v>
      </c>
      <c r="N353" s="226">
        <f t="shared" ca="1" si="56"/>
        <v>0</v>
      </c>
      <c r="O353" s="1"/>
    </row>
    <row r="354" spans="1:15" ht="16.5" customHeight="1">
      <c r="A354" s="1"/>
      <c r="B354" s="657" t="str">
        <f t="shared" ca="1" si="57"/>
        <v/>
      </c>
      <c r="C354" s="223" t="str">
        <f t="shared" ca="1" si="58"/>
        <v/>
      </c>
      <c r="D354" s="519">
        <f t="shared" si="63"/>
        <v>349</v>
      </c>
      <c r="E354" s="225" t="str">
        <f t="shared" ca="1" si="59"/>
        <v/>
      </c>
      <c r="F354" s="224" t="str">
        <f t="shared" si="65"/>
        <v>CASSA</v>
      </c>
      <c r="G354" s="384" t="str">
        <f t="shared" ca="1" si="60"/>
        <v/>
      </c>
      <c r="H354" s="512">
        <f t="shared" ca="1" si="61"/>
        <v>0</v>
      </c>
      <c r="I354" s="1603" t="str">
        <f t="shared" ca="1" si="55"/>
        <v/>
      </c>
      <c r="J354" s="1604"/>
      <c r="K354" s="373"/>
      <c r="L354" s="513">
        <f t="shared" ca="1" si="64"/>
        <v>656.58</v>
      </c>
      <c r="M354" s="654">
        <f t="shared" ca="1" si="62"/>
        <v>1</v>
      </c>
      <c r="N354" s="226">
        <f t="shared" ca="1" si="56"/>
        <v>0</v>
      </c>
      <c r="O354" s="1"/>
    </row>
    <row r="355" spans="1:15" ht="16.5" customHeight="1">
      <c r="A355" s="1"/>
      <c r="B355" s="657" t="str">
        <f t="shared" ca="1" si="57"/>
        <v/>
      </c>
      <c r="C355" s="223" t="str">
        <f t="shared" ca="1" si="58"/>
        <v/>
      </c>
      <c r="D355" s="519">
        <f t="shared" si="63"/>
        <v>350</v>
      </c>
      <c r="E355" s="225" t="str">
        <f t="shared" ca="1" si="59"/>
        <v/>
      </c>
      <c r="F355" s="224" t="str">
        <f t="shared" si="65"/>
        <v>CASSA</v>
      </c>
      <c r="G355" s="384" t="str">
        <f t="shared" ca="1" si="60"/>
        <v/>
      </c>
      <c r="H355" s="512">
        <f t="shared" ca="1" si="61"/>
        <v>0</v>
      </c>
      <c r="I355" s="1603" t="str">
        <f t="shared" ca="1" si="55"/>
        <v/>
      </c>
      <c r="J355" s="1604"/>
      <c r="K355" s="373"/>
      <c r="L355" s="513">
        <f t="shared" ca="1" si="64"/>
        <v>656.58</v>
      </c>
      <c r="M355" s="654">
        <f t="shared" ca="1" si="62"/>
        <v>1</v>
      </c>
      <c r="N355" s="226">
        <f t="shared" ca="1" si="56"/>
        <v>0</v>
      </c>
      <c r="O355" s="1"/>
    </row>
    <row r="356" spans="1:15" ht="16.5" customHeight="1">
      <c r="A356" s="1"/>
      <c r="B356" s="657" t="str">
        <f t="shared" ca="1" si="57"/>
        <v/>
      </c>
      <c r="C356" s="223" t="str">
        <f t="shared" ca="1" si="58"/>
        <v/>
      </c>
      <c r="D356" s="519">
        <f t="shared" si="63"/>
        <v>351</v>
      </c>
      <c r="E356" s="225" t="str">
        <f t="shared" ca="1" si="59"/>
        <v/>
      </c>
      <c r="F356" s="224" t="str">
        <f t="shared" si="65"/>
        <v>CASSA</v>
      </c>
      <c r="G356" s="384" t="str">
        <f t="shared" ca="1" si="60"/>
        <v/>
      </c>
      <c r="H356" s="512">
        <f t="shared" ca="1" si="61"/>
        <v>0</v>
      </c>
      <c r="I356" s="1603" t="str">
        <f t="shared" ca="1" si="55"/>
        <v/>
      </c>
      <c r="J356" s="1604"/>
      <c r="K356" s="373"/>
      <c r="L356" s="513">
        <f t="shared" ca="1" si="64"/>
        <v>656.58</v>
      </c>
      <c r="M356" s="654">
        <f t="shared" ca="1" si="62"/>
        <v>1</v>
      </c>
      <c r="N356" s="226">
        <f t="shared" ca="1" si="56"/>
        <v>0</v>
      </c>
      <c r="O356" s="1"/>
    </row>
    <row r="357" spans="1:15" ht="16.5" customHeight="1">
      <c r="A357" s="1"/>
      <c r="B357" s="657" t="str">
        <f t="shared" ca="1" si="57"/>
        <v/>
      </c>
      <c r="C357" s="223" t="str">
        <f t="shared" ca="1" si="58"/>
        <v/>
      </c>
      <c r="D357" s="519">
        <f t="shared" si="63"/>
        <v>352</v>
      </c>
      <c r="E357" s="225" t="str">
        <f t="shared" ca="1" si="59"/>
        <v/>
      </c>
      <c r="F357" s="224" t="str">
        <f t="shared" si="65"/>
        <v>CASSA</v>
      </c>
      <c r="G357" s="384" t="str">
        <f t="shared" ca="1" si="60"/>
        <v/>
      </c>
      <c r="H357" s="512">
        <f t="shared" ca="1" si="61"/>
        <v>0</v>
      </c>
      <c r="I357" s="1603" t="str">
        <f t="shared" ca="1" si="55"/>
        <v/>
      </c>
      <c r="J357" s="1604"/>
      <c r="K357" s="373"/>
      <c r="L357" s="513">
        <f t="shared" ca="1" si="64"/>
        <v>656.58</v>
      </c>
      <c r="M357" s="654">
        <f t="shared" ca="1" si="62"/>
        <v>1</v>
      </c>
      <c r="N357" s="226">
        <f t="shared" ca="1" si="56"/>
        <v>0</v>
      </c>
      <c r="O357" s="1"/>
    </row>
    <row r="358" spans="1:15" ht="16.5" customHeight="1">
      <c r="A358" s="1"/>
      <c r="B358" s="657" t="str">
        <f t="shared" ca="1" si="57"/>
        <v/>
      </c>
      <c r="C358" s="223" t="str">
        <f t="shared" ca="1" si="58"/>
        <v/>
      </c>
      <c r="D358" s="519">
        <f t="shared" si="63"/>
        <v>353</v>
      </c>
      <c r="E358" s="225" t="str">
        <f t="shared" ca="1" si="59"/>
        <v/>
      </c>
      <c r="F358" s="224" t="str">
        <f t="shared" si="65"/>
        <v>CASSA</v>
      </c>
      <c r="G358" s="384" t="str">
        <f t="shared" ca="1" si="60"/>
        <v/>
      </c>
      <c r="H358" s="512">
        <f t="shared" ca="1" si="61"/>
        <v>0</v>
      </c>
      <c r="I358" s="1603" t="str">
        <f t="shared" ca="1" si="55"/>
        <v/>
      </c>
      <c r="J358" s="1604"/>
      <c r="K358" s="373"/>
      <c r="L358" s="513">
        <f t="shared" ca="1" si="64"/>
        <v>656.58</v>
      </c>
      <c r="M358" s="654">
        <f t="shared" ca="1" si="62"/>
        <v>1</v>
      </c>
      <c r="N358" s="226">
        <f t="shared" ca="1" si="56"/>
        <v>0</v>
      </c>
      <c r="O358" s="1"/>
    </row>
    <row r="359" spans="1:15" ht="16.5" customHeight="1">
      <c r="A359" s="1"/>
      <c r="B359" s="657" t="str">
        <f t="shared" ca="1" si="57"/>
        <v/>
      </c>
      <c r="C359" s="223" t="str">
        <f t="shared" ca="1" si="58"/>
        <v/>
      </c>
      <c r="D359" s="519">
        <f t="shared" si="63"/>
        <v>354</v>
      </c>
      <c r="E359" s="225" t="str">
        <f t="shared" ca="1" si="59"/>
        <v/>
      </c>
      <c r="F359" s="224" t="str">
        <f t="shared" si="65"/>
        <v>CASSA</v>
      </c>
      <c r="G359" s="384" t="str">
        <f t="shared" ca="1" si="60"/>
        <v/>
      </c>
      <c r="H359" s="512">
        <f t="shared" ca="1" si="61"/>
        <v>0</v>
      </c>
      <c r="I359" s="1603" t="str">
        <f t="shared" ca="1" si="55"/>
        <v/>
      </c>
      <c r="J359" s="1604"/>
      <c r="K359" s="373"/>
      <c r="L359" s="513">
        <f t="shared" ca="1" si="64"/>
        <v>656.58</v>
      </c>
      <c r="M359" s="654">
        <f t="shared" ca="1" si="62"/>
        <v>1</v>
      </c>
      <c r="N359" s="226">
        <f t="shared" ca="1" si="56"/>
        <v>0</v>
      </c>
      <c r="O359" s="1"/>
    </row>
    <row r="360" spans="1:15" ht="16.5" customHeight="1">
      <c r="A360" s="1"/>
      <c r="B360" s="657" t="str">
        <f t="shared" ca="1" si="57"/>
        <v/>
      </c>
      <c r="C360" s="223" t="str">
        <f t="shared" ca="1" si="58"/>
        <v/>
      </c>
      <c r="D360" s="519">
        <f t="shared" si="63"/>
        <v>355</v>
      </c>
      <c r="E360" s="225" t="str">
        <f t="shared" ca="1" si="59"/>
        <v/>
      </c>
      <c r="F360" s="224" t="str">
        <f t="shared" si="65"/>
        <v>CASSA</v>
      </c>
      <c r="G360" s="384" t="str">
        <f t="shared" ca="1" si="60"/>
        <v/>
      </c>
      <c r="H360" s="512">
        <f t="shared" ca="1" si="61"/>
        <v>0</v>
      </c>
      <c r="I360" s="1603" t="str">
        <f t="shared" ca="1" si="55"/>
        <v/>
      </c>
      <c r="J360" s="1604"/>
      <c r="K360" s="373"/>
      <c r="L360" s="513">
        <f t="shared" ca="1" si="64"/>
        <v>656.58</v>
      </c>
      <c r="M360" s="654">
        <f t="shared" ca="1" si="62"/>
        <v>1</v>
      </c>
      <c r="N360" s="226">
        <f t="shared" ca="1" si="56"/>
        <v>0</v>
      </c>
      <c r="O360" s="1"/>
    </row>
    <row r="361" spans="1:15" ht="16.5" customHeight="1">
      <c r="A361" s="1"/>
      <c r="B361" s="657" t="str">
        <f t="shared" ca="1" si="57"/>
        <v/>
      </c>
      <c r="C361" s="223" t="str">
        <f t="shared" ca="1" si="58"/>
        <v/>
      </c>
      <c r="D361" s="519">
        <f t="shared" si="63"/>
        <v>356</v>
      </c>
      <c r="E361" s="225" t="str">
        <f t="shared" ca="1" si="59"/>
        <v/>
      </c>
      <c r="F361" s="224" t="str">
        <f t="shared" si="65"/>
        <v>CASSA</v>
      </c>
      <c r="G361" s="384" t="str">
        <f t="shared" ca="1" si="60"/>
        <v/>
      </c>
      <c r="H361" s="512">
        <f t="shared" ca="1" si="61"/>
        <v>0</v>
      </c>
      <c r="I361" s="1603" t="str">
        <f t="shared" ca="1" si="55"/>
        <v/>
      </c>
      <c r="J361" s="1604"/>
      <c r="K361" s="373"/>
      <c r="L361" s="513">
        <f t="shared" ca="1" si="64"/>
        <v>656.58</v>
      </c>
      <c r="M361" s="654">
        <f t="shared" ca="1" si="62"/>
        <v>1</v>
      </c>
      <c r="N361" s="226">
        <f t="shared" ca="1" si="56"/>
        <v>0</v>
      </c>
      <c r="O361" s="1"/>
    </row>
    <row r="362" spans="1:15" ht="16.5" customHeight="1">
      <c r="A362" s="1"/>
      <c r="B362" s="657" t="str">
        <f t="shared" ca="1" si="57"/>
        <v/>
      </c>
      <c r="C362" s="223" t="str">
        <f t="shared" ca="1" si="58"/>
        <v/>
      </c>
      <c r="D362" s="519">
        <f t="shared" si="63"/>
        <v>357</v>
      </c>
      <c r="E362" s="225" t="str">
        <f t="shared" ca="1" si="59"/>
        <v/>
      </c>
      <c r="F362" s="224" t="str">
        <f t="shared" si="65"/>
        <v>CASSA</v>
      </c>
      <c r="G362" s="384" t="str">
        <f t="shared" ca="1" si="60"/>
        <v/>
      </c>
      <c r="H362" s="512">
        <f t="shared" ca="1" si="61"/>
        <v>0</v>
      </c>
      <c r="I362" s="1603" t="str">
        <f t="shared" ca="1" si="55"/>
        <v/>
      </c>
      <c r="J362" s="1604"/>
      <c r="K362" s="373"/>
      <c r="L362" s="513">
        <f t="shared" ca="1" si="64"/>
        <v>656.58</v>
      </c>
      <c r="M362" s="654">
        <f t="shared" ca="1" si="62"/>
        <v>1</v>
      </c>
      <c r="N362" s="226">
        <f t="shared" ca="1" si="56"/>
        <v>0</v>
      </c>
      <c r="O362" s="1"/>
    </row>
    <row r="363" spans="1:15" ht="16.5" customHeight="1">
      <c r="A363" s="1"/>
      <c r="B363" s="657" t="str">
        <f t="shared" ca="1" si="57"/>
        <v/>
      </c>
      <c r="C363" s="223" t="str">
        <f t="shared" ca="1" si="58"/>
        <v/>
      </c>
      <c r="D363" s="519">
        <f t="shared" si="63"/>
        <v>358</v>
      </c>
      <c r="E363" s="225" t="str">
        <f t="shared" ca="1" si="59"/>
        <v/>
      </c>
      <c r="F363" s="224" t="str">
        <f t="shared" si="65"/>
        <v>CASSA</v>
      </c>
      <c r="G363" s="384" t="str">
        <f t="shared" ca="1" si="60"/>
        <v/>
      </c>
      <c r="H363" s="512">
        <f t="shared" ca="1" si="61"/>
        <v>0</v>
      </c>
      <c r="I363" s="1603" t="str">
        <f t="shared" ca="1" si="55"/>
        <v/>
      </c>
      <c r="J363" s="1604"/>
      <c r="K363" s="373"/>
      <c r="L363" s="513">
        <f t="shared" ca="1" si="64"/>
        <v>656.58</v>
      </c>
      <c r="M363" s="654">
        <f t="shared" ca="1" si="62"/>
        <v>1</v>
      </c>
      <c r="N363" s="226">
        <f t="shared" ca="1" si="56"/>
        <v>0</v>
      </c>
      <c r="O363" s="1"/>
    </row>
    <row r="364" spans="1:15" ht="16.5" customHeight="1">
      <c r="A364" s="1"/>
      <c r="B364" s="657" t="str">
        <f t="shared" ca="1" si="57"/>
        <v/>
      </c>
      <c r="C364" s="223" t="str">
        <f t="shared" ca="1" si="58"/>
        <v/>
      </c>
      <c r="D364" s="519">
        <f t="shared" si="63"/>
        <v>359</v>
      </c>
      <c r="E364" s="225" t="str">
        <f t="shared" ca="1" si="59"/>
        <v/>
      </c>
      <c r="F364" s="224" t="str">
        <f t="shared" si="65"/>
        <v>CASSA</v>
      </c>
      <c r="G364" s="384" t="str">
        <f t="shared" ca="1" si="60"/>
        <v/>
      </c>
      <c r="H364" s="512">
        <f t="shared" ca="1" si="61"/>
        <v>0</v>
      </c>
      <c r="I364" s="1603" t="str">
        <f t="shared" ca="1" si="55"/>
        <v/>
      </c>
      <c r="J364" s="1604"/>
      <c r="K364" s="373"/>
      <c r="L364" s="513">
        <f t="shared" ca="1" si="64"/>
        <v>656.58</v>
      </c>
      <c r="M364" s="654">
        <f t="shared" ca="1" si="62"/>
        <v>1</v>
      </c>
      <c r="N364" s="226">
        <f t="shared" ca="1" si="56"/>
        <v>0</v>
      </c>
      <c r="O364" s="1"/>
    </row>
    <row r="365" spans="1:15" ht="16.5" customHeight="1">
      <c r="A365" s="1"/>
      <c r="B365" s="657" t="str">
        <f t="shared" ca="1" si="57"/>
        <v/>
      </c>
      <c r="C365" s="223" t="str">
        <f t="shared" ca="1" si="58"/>
        <v/>
      </c>
      <c r="D365" s="519">
        <f t="shared" si="63"/>
        <v>360</v>
      </c>
      <c r="E365" s="225" t="str">
        <f t="shared" ca="1" si="59"/>
        <v/>
      </c>
      <c r="F365" s="224" t="str">
        <f t="shared" si="65"/>
        <v>CASSA</v>
      </c>
      <c r="G365" s="384" t="str">
        <f t="shared" ca="1" si="60"/>
        <v/>
      </c>
      <c r="H365" s="512">
        <f t="shared" ca="1" si="61"/>
        <v>0</v>
      </c>
      <c r="I365" s="1603" t="str">
        <f t="shared" ca="1" si="55"/>
        <v/>
      </c>
      <c r="J365" s="1604"/>
      <c r="K365" s="373"/>
      <c r="L365" s="513">
        <f t="shared" ca="1" si="64"/>
        <v>656.58</v>
      </c>
      <c r="M365" s="654">
        <f t="shared" ca="1" si="62"/>
        <v>1</v>
      </c>
      <c r="N365" s="226">
        <f t="shared" ca="1" si="56"/>
        <v>0</v>
      </c>
      <c r="O365" s="1"/>
    </row>
    <row r="366" spans="1:15" ht="16.5" customHeight="1">
      <c r="A366" s="1"/>
      <c r="B366" s="657" t="str">
        <f t="shared" ca="1" si="57"/>
        <v/>
      </c>
      <c r="C366" s="223" t="str">
        <f t="shared" ca="1" si="58"/>
        <v/>
      </c>
      <c r="D366" s="519">
        <f t="shared" si="63"/>
        <v>361</v>
      </c>
      <c r="E366" s="225" t="str">
        <f t="shared" ca="1" si="59"/>
        <v/>
      </c>
      <c r="F366" s="224" t="str">
        <f t="shared" si="65"/>
        <v>CASSA</v>
      </c>
      <c r="G366" s="384" t="str">
        <f t="shared" ca="1" si="60"/>
        <v/>
      </c>
      <c r="H366" s="512">
        <f t="shared" ca="1" si="61"/>
        <v>0</v>
      </c>
      <c r="I366" s="1603" t="str">
        <f t="shared" ca="1" si="55"/>
        <v/>
      </c>
      <c r="J366" s="1604"/>
      <c r="K366" s="373"/>
      <c r="L366" s="513">
        <f t="shared" ca="1" si="64"/>
        <v>656.58</v>
      </c>
      <c r="M366" s="654">
        <f t="shared" ca="1" si="62"/>
        <v>1</v>
      </c>
      <c r="N366" s="226">
        <f t="shared" ca="1" si="56"/>
        <v>0</v>
      </c>
      <c r="O366" s="1"/>
    </row>
    <row r="367" spans="1:15" ht="16.5" customHeight="1">
      <c r="A367" s="1"/>
      <c r="B367" s="657" t="str">
        <f t="shared" ca="1" si="57"/>
        <v/>
      </c>
      <c r="C367" s="223" t="str">
        <f t="shared" ca="1" si="58"/>
        <v/>
      </c>
      <c r="D367" s="519">
        <f t="shared" si="63"/>
        <v>362</v>
      </c>
      <c r="E367" s="225" t="str">
        <f t="shared" ca="1" si="59"/>
        <v/>
      </c>
      <c r="F367" s="224" t="str">
        <f t="shared" si="65"/>
        <v>CASSA</v>
      </c>
      <c r="G367" s="384" t="str">
        <f t="shared" ca="1" si="60"/>
        <v/>
      </c>
      <c r="H367" s="512">
        <f t="shared" ca="1" si="61"/>
        <v>0</v>
      </c>
      <c r="I367" s="1603" t="str">
        <f t="shared" ca="1" si="55"/>
        <v/>
      </c>
      <c r="J367" s="1604"/>
      <c r="K367" s="373"/>
      <c r="L367" s="513">
        <f t="shared" ca="1" si="64"/>
        <v>656.58</v>
      </c>
      <c r="M367" s="654">
        <f t="shared" ca="1" si="62"/>
        <v>1</v>
      </c>
      <c r="N367" s="226">
        <f t="shared" ca="1" si="56"/>
        <v>0</v>
      </c>
      <c r="O367" s="1"/>
    </row>
    <row r="368" spans="1:15" ht="16.5" customHeight="1">
      <c r="A368" s="1"/>
      <c r="B368" s="657" t="str">
        <f t="shared" ca="1" si="57"/>
        <v/>
      </c>
      <c r="C368" s="223" t="str">
        <f t="shared" ca="1" si="58"/>
        <v/>
      </c>
      <c r="D368" s="519">
        <f t="shared" si="63"/>
        <v>363</v>
      </c>
      <c r="E368" s="225" t="str">
        <f t="shared" ca="1" si="59"/>
        <v/>
      </c>
      <c r="F368" s="224" t="str">
        <f t="shared" si="65"/>
        <v>CASSA</v>
      </c>
      <c r="G368" s="384" t="str">
        <f t="shared" ca="1" si="60"/>
        <v/>
      </c>
      <c r="H368" s="512">
        <f t="shared" ca="1" si="61"/>
        <v>0</v>
      </c>
      <c r="I368" s="1603" t="str">
        <f t="shared" ca="1" si="55"/>
        <v/>
      </c>
      <c r="J368" s="1604"/>
      <c r="K368" s="373"/>
      <c r="L368" s="513">
        <f t="shared" ca="1" si="64"/>
        <v>656.58</v>
      </c>
      <c r="M368" s="654">
        <f t="shared" ca="1" si="62"/>
        <v>1</v>
      </c>
      <c r="N368" s="226">
        <f t="shared" ca="1" si="56"/>
        <v>0</v>
      </c>
      <c r="O368" s="1"/>
    </row>
    <row r="369" spans="1:15" ht="16.5" customHeight="1">
      <c r="A369" s="1"/>
      <c r="B369" s="657" t="str">
        <f t="shared" ca="1" si="57"/>
        <v/>
      </c>
      <c r="C369" s="223" t="str">
        <f t="shared" ca="1" si="58"/>
        <v/>
      </c>
      <c r="D369" s="519">
        <f t="shared" si="63"/>
        <v>364</v>
      </c>
      <c r="E369" s="225" t="str">
        <f t="shared" ca="1" si="59"/>
        <v/>
      </c>
      <c r="F369" s="224" t="str">
        <f t="shared" si="65"/>
        <v>CASSA</v>
      </c>
      <c r="G369" s="384" t="str">
        <f t="shared" ca="1" si="60"/>
        <v/>
      </c>
      <c r="H369" s="512">
        <f t="shared" ca="1" si="61"/>
        <v>0</v>
      </c>
      <c r="I369" s="1603" t="str">
        <f t="shared" ca="1" si="55"/>
        <v/>
      </c>
      <c r="J369" s="1604"/>
      <c r="K369" s="373"/>
      <c r="L369" s="513">
        <f t="shared" ca="1" si="64"/>
        <v>656.58</v>
      </c>
      <c r="M369" s="654">
        <f t="shared" ca="1" si="62"/>
        <v>1</v>
      </c>
      <c r="N369" s="226">
        <f t="shared" ca="1" si="56"/>
        <v>0</v>
      </c>
      <c r="O369" s="1"/>
    </row>
    <row r="370" spans="1:15" ht="16.5" customHeight="1">
      <c r="A370" s="1"/>
      <c r="B370" s="657" t="str">
        <f t="shared" ca="1" si="57"/>
        <v/>
      </c>
      <c r="C370" s="223" t="str">
        <f t="shared" ca="1" si="58"/>
        <v/>
      </c>
      <c r="D370" s="519">
        <f t="shared" si="63"/>
        <v>365</v>
      </c>
      <c r="E370" s="225" t="str">
        <f t="shared" ca="1" si="59"/>
        <v/>
      </c>
      <c r="F370" s="224" t="str">
        <f t="shared" si="65"/>
        <v>CASSA</v>
      </c>
      <c r="G370" s="384" t="str">
        <f t="shared" ca="1" si="60"/>
        <v/>
      </c>
      <c r="H370" s="512">
        <f t="shared" ca="1" si="61"/>
        <v>0</v>
      </c>
      <c r="I370" s="1603" t="str">
        <f t="shared" ca="1" si="55"/>
        <v/>
      </c>
      <c r="J370" s="1604"/>
      <c r="K370" s="373"/>
      <c r="L370" s="513">
        <f t="shared" ca="1" si="64"/>
        <v>656.58</v>
      </c>
      <c r="M370" s="654">
        <f t="shared" ca="1" si="62"/>
        <v>1</v>
      </c>
      <c r="N370" s="226">
        <f t="shared" ca="1" si="56"/>
        <v>0</v>
      </c>
      <c r="O370" s="1"/>
    </row>
    <row r="371" spans="1:15" ht="16.5" customHeight="1">
      <c r="A371" s="1"/>
      <c r="B371" s="657" t="str">
        <f t="shared" ca="1" si="57"/>
        <v/>
      </c>
      <c r="C371" s="223" t="str">
        <f t="shared" ca="1" si="58"/>
        <v/>
      </c>
      <c r="D371" s="519">
        <f t="shared" si="63"/>
        <v>366</v>
      </c>
      <c r="E371" s="225" t="str">
        <f t="shared" ca="1" si="59"/>
        <v/>
      </c>
      <c r="F371" s="224" t="str">
        <f t="shared" si="65"/>
        <v>CASSA</v>
      </c>
      <c r="G371" s="384" t="str">
        <f t="shared" ca="1" si="60"/>
        <v/>
      </c>
      <c r="H371" s="512">
        <f t="shared" ca="1" si="61"/>
        <v>0</v>
      </c>
      <c r="I371" s="1603" t="str">
        <f t="shared" ca="1" si="55"/>
        <v/>
      </c>
      <c r="J371" s="1604"/>
      <c r="K371" s="373"/>
      <c r="L371" s="513">
        <f t="shared" ca="1" si="64"/>
        <v>656.58</v>
      </c>
      <c r="M371" s="654">
        <f t="shared" ca="1" si="62"/>
        <v>1</v>
      </c>
      <c r="N371" s="226">
        <f t="shared" ca="1" si="56"/>
        <v>0</v>
      </c>
      <c r="O371" s="1"/>
    </row>
    <row r="372" spans="1:15" ht="16.5" customHeight="1">
      <c r="A372" s="1"/>
      <c r="B372" s="657" t="str">
        <f t="shared" ca="1" si="57"/>
        <v/>
      </c>
      <c r="C372" s="223" t="str">
        <f t="shared" ca="1" si="58"/>
        <v/>
      </c>
      <c r="D372" s="519">
        <f t="shared" si="63"/>
        <v>367</v>
      </c>
      <c r="E372" s="225" t="str">
        <f t="shared" ca="1" si="59"/>
        <v/>
      </c>
      <c r="F372" s="224" t="str">
        <f t="shared" si="65"/>
        <v>CASSA</v>
      </c>
      <c r="G372" s="384" t="str">
        <f t="shared" ca="1" si="60"/>
        <v/>
      </c>
      <c r="H372" s="512">
        <f t="shared" ca="1" si="61"/>
        <v>0</v>
      </c>
      <c r="I372" s="1603" t="str">
        <f t="shared" ca="1" si="55"/>
        <v/>
      </c>
      <c r="J372" s="1604"/>
      <c r="K372" s="373"/>
      <c r="L372" s="513">
        <f t="shared" ca="1" si="64"/>
        <v>656.58</v>
      </c>
      <c r="M372" s="654">
        <f t="shared" ca="1" si="62"/>
        <v>1</v>
      </c>
      <c r="N372" s="226">
        <f t="shared" ca="1" si="56"/>
        <v>0</v>
      </c>
      <c r="O372" s="1"/>
    </row>
    <row r="373" spans="1:15" ht="16.5" customHeight="1">
      <c r="A373" s="1"/>
      <c r="B373" s="657" t="str">
        <f t="shared" ca="1" si="57"/>
        <v/>
      </c>
      <c r="C373" s="223" t="str">
        <f t="shared" ca="1" si="58"/>
        <v/>
      </c>
      <c r="D373" s="519">
        <f t="shared" si="63"/>
        <v>368</v>
      </c>
      <c r="E373" s="225" t="str">
        <f t="shared" ca="1" si="59"/>
        <v/>
      </c>
      <c r="F373" s="224" t="str">
        <f t="shared" si="65"/>
        <v>CASSA</v>
      </c>
      <c r="G373" s="384" t="str">
        <f t="shared" ca="1" si="60"/>
        <v/>
      </c>
      <c r="H373" s="512">
        <f t="shared" ca="1" si="61"/>
        <v>0</v>
      </c>
      <c r="I373" s="1603" t="str">
        <f t="shared" ca="1" si="55"/>
        <v/>
      </c>
      <c r="J373" s="1604"/>
      <c r="K373" s="373"/>
      <c r="L373" s="513">
        <f t="shared" ca="1" si="64"/>
        <v>656.58</v>
      </c>
      <c r="M373" s="654">
        <f t="shared" ca="1" si="62"/>
        <v>1</v>
      </c>
      <c r="N373" s="226">
        <f t="shared" ca="1" si="56"/>
        <v>0</v>
      </c>
      <c r="O373" s="1"/>
    </row>
    <row r="374" spans="1:15" ht="16.5" customHeight="1">
      <c r="A374" s="1"/>
      <c r="B374" s="657" t="str">
        <f t="shared" ca="1" si="57"/>
        <v/>
      </c>
      <c r="C374" s="223" t="str">
        <f t="shared" ca="1" si="58"/>
        <v/>
      </c>
      <c r="D374" s="519">
        <f t="shared" si="63"/>
        <v>369</v>
      </c>
      <c r="E374" s="225" t="str">
        <f t="shared" ca="1" si="59"/>
        <v/>
      </c>
      <c r="F374" s="224" t="str">
        <f t="shared" si="65"/>
        <v>CASSA</v>
      </c>
      <c r="G374" s="384" t="str">
        <f t="shared" ca="1" si="60"/>
        <v/>
      </c>
      <c r="H374" s="512">
        <f t="shared" ca="1" si="61"/>
        <v>0</v>
      </c>
      <c r="I374" s="1603" t="str">
        <f t="shared" ca="1" si="55"/>
        <v/>
      </c>
      <c r="J374" s="1604"/>
      <c r="K374" s="373"/>
      <c r="L374" s="513">
        <f t="shared" ca="1" si="64"/>
        <v>656.58</v>
      </c>
      <c r="M374" s="654">
        <f t="shared" ca="1" si="62"/>
        <v>1</v>
      </c>
      <c r="N374" s="226">
        <f t="shared" ca="1" si="56"/>
        <v>0</v>
      </c>
      <c r="O374" s="1"/>
    </row>
    <row r="375" spans="1:15" ht="16.5" customHeight="1">
      <c r="A375" s="1"/>
      <c r="B375" s="657" t="str">
        <f t="shared" ca="1" si="57"/>
        <v/>
      </c>
      <c r="C375" s="223" t="str">
        <f t="shared" ca="1" si="58"/>
        <v/>
      </c>
      <c r="D375" s="519">
        <f t="shared" si="63"/>
        <v>370</v>
      </c>
      <c r="E375" s="225" t="str">
        <f t="shared" ca="1" si="59"/>
        <v/>
      </c>
      <c r="F375" s="224" t="str">
        <f t="shared" si="65"/>
        <v>CASSA</v>
      </c>
      <c r="G375" s="384" t="str">
        <f t="shared" ca="1" si="60"/>
        <v/>
      </c>
      <c r="H375" s="512">
        <f t="shared" ca="1" si="61"/>
        <v>0</v>
      </c>
      <c r="I375" s="1603" t="str">
        <f t="shared" ca="1" si="55"/>
        <v/>
      </c>
      <c r="J375" s="1604"/>
      <c r="K375" s="373"/>
      <c r="L375" s="513">
        <f t="shared" ca="1" si="64"/>
        <v>656.58</v>
      </c>
      <c r="M375" s="654">
        <f t="shared" ca="1" si="62"/>
        <v>1</v>
      </c>
      <c r="N375" s="226">
        <f t="shared" ca="1" si="56"/>
        <v>0</v>
      </c>
      <c r="O375" s="1"/>
    </row>
    <row r="376" spans="1:15" ht="16.5" customHeight="1">
      <c r="A376" s="1"/>
      <c r="B376" s="657" t="str">
        <f t="shared" ca="1" si="57"/>
        <v/>
      </c>
      <c r="C376" s="223" t="str">
        <f t="shared" ca="1" si="58"/>
        <v/>
      </c>
      <c r="D376" s="519">
        <f t="shared" si="63"/>
        <v>371</v>
      </c>
      <c r="E376" s="225" t="str">
        <f t="shared" ca="1" si="59"/>
        <v/>
      </c>
      <c r="F376" s="224" t="str">
        <f t="shared" si="65"/>
        <v>CASSA</v>
      </c>
      <c r="G376" s="384" t="str">
        <f t="shared" ca="1" si="60"/>
        <v/>
      </c>
      <c r="H376" s="512">
        <f t="shared" ca="1" si="61"/>
        <v>0</v>
      </c>
      <c r="I376" s="1603" t="str">
        <f t="shared" ca="1" si="55"/>
        <v/>
      </c>
      <c r="J376" s="1604"/>
      <c r="K376" s="373"/>
      <c r="L376" s="513">
        <f t="shared" ca="1" si="64"/>
        <v>656.58</v>
      </c>
      <c r="M376" s="654">
        <f t="shared" ca="1" si="62"/>
        <v>1</v>
      </c>
      <c r="N376" s="226">
        <f t="shared" ca="1" si="56"/>
        <v>0</v>
      </c>
      <c r="O376" s="1"/>
    </row>
    <row r="377" spans="1:15" ht="16.5" customHeight="1">
      <c r="A377" s="1"/>
      <c r="B377" s="657" t="str">
        <f t="shared" ca="1" si="57"/>
        <v/>
      </c>
      <c r="C377" s="223" t="str">
        <f t="shared" ca="1" si="58"/>
        <v/>
      </c>
      <c r="D377" s="519">
        <f t="shared" si="63"/>
        <v>372</v>
      </c>
      <c r="E377" s="225" t="str">
        <f t="shared" ca="1" si="59"/>
        <v/>
      </c>
      <c r="F377" s="224" t="str">
        <f t="shared" si="65"/>
        <v>CASSA</v>
      </c>
      <c r="G377" s="384" t="str">
        <f t="shared" ca="1" si="60"/>
        <v/>
      </c>
      <c r="H377" s="512">
        <f t="shared" ca="1" si="61"/>
        <v>0</v>
      </c>
      <c r="I377" s="1603" t="str">
        <f t="shared" ca="1" si="55"/>
        <v/>
      </c>
      <c r="J377" s="1604"/>
      <c r="K377" s="373"/>
      <c r="L377" s="513">
        <f t="shared" ca="1" si="64"/>
        <v>656.58</v>
      </c>
      <c r="M377" s="654">
        <f t="shared" ca="1" si="62"/>
        <v>1</v>
      </c>
      <c r="N377" s="226">
        <f t="shared" ca="1" si="56"/>
        <v>0</v>
      </c>
      <c r="O377" s="1"/>
    </row>
    <row r="378" spans="1:15" ht="16.5" customHeight="1">
      <c r="A378" s="1"/>
      <c r="B378" s="657" t="str">
        <f t="shared" ca="1" si="57"/>
        <v/>
      </c>
      <c r="C378" s="223" t="str">
        <f t="shared" ca="1" si="58"/>
        <v/>
      </c>
      <c r="D378" s="519">
        <f t="shared" si="63"/>
        <v>373</v>
      </c>
      <c r="E378" s="225" t="str">
        <f t="shared" ca="1" si="59"/>
        <v/>
      </c>
      <c r="F378" s="224" t="str">
        <f t="shared" si="65"/>
        <v>CASSA</v>
      </c>
      <c r="G378" s="384" t="str">
        <f t="shared" ca="1" si="60"/>
        <v/>
      </c>
      <c r="H378" s="512">
        <f t="shared" ca="1" si="61"/>
        <v>0</v>
      </c>
      <c r="I378" s="1603" t="str">
        <f t="shared" ca="1" si="55"/>
        <v/>
      </c>
      <c r="J378" s="1604"/>
      <c r="K378" s="373"/>
      <c r="L378" s="513">
        <f t="shared" ca="1" si="64"/>
        <v>656.58</v>
      </c>
      <c r="M378" s="654">
        <f t="shared" ca="1" si="62"/>
        <v>1</v>
      </c>
      <c r="N378" s="226">
        <f t="shared" ca="1" si="56"/>
        <v>0</v>
      </c>
      <c r="O378" s="1"/>
    </row>
    <row r="379" spans="1:15" ht="16.5" customHeight="1">
      <c r="A379" s="1"/>
      <c r="B379" s="657" t="str">
        <f t="shared" ca="1" si="57"/>
        <v/>
      </c>
      <c r="C379" s="223" t="str">
        <f t="shared" ca="1" si="58"/>
        <v/>
      </c>
      <c r="D379" s="519">
        <f t="shared" si="63"/>
        <v>374</v>
      </c>
      <c r="E379" s="225" t="str">
        <f t="shared" ca="1" si="59"/>
        <v/>
      </c>
      <c r="F379" s="224" t="str">
        <f t="shared" si="65"/>
        <v>CASSA</v>
      </c>
      <c r="G379" s="384" t="str">
        <f t="shared" ca="1" si="60"/>
        <v/>
      </c>
      <c r="H379" s="512">
        <f t="shared" ca="1" si="61"/>
        <v>0</v>
      </c>
      <c r="I379" s="1603" t="str">
        <f t="shared" ca="1" si="55"/>
        <v/>
      </c>
      <c r="J379" s="1604"/>
      <c r="K379" s="373"/>
      <c r="L379" s="513">
        <f t="shared" ca="1" si="64"/>
        <v>656.58</v>
      </c>
      <c r="M379" s="654">
        <f t="shared" ca="1" si="62"/>
        <v>1</v>
      </c>
      <c r="N379" s="226">
        <f t="shared" ca="1" si="56"/>
        <v>0</v>
      </c>
      <c r="O379" s="1"/>
    </row>
    <row r="380" spans="1:15" ht="16.5" customHeight="1">
      <c r="A380" s="1"/>
      <c r="B380" s="657" t="str">
        <f t="shared" ca="1" si="57"/>
        <v/>
      </c>
      <c r="C380" s="223" t="str">
        <f t="shared" ca="1" si="58"/>
        <v/>
      </c>
      <c r="D380" s="519">
        <f t="shared" si="63"/>
        <v>375</v>
      </c>
      <c r="E380" s="225" t="str">
        <f t="shared" ca="1" si="59"/>
        <v/>
      </c>
      <c r="F380" s="224" t="str">
        <f t="shared" si="65"/>
        <v>CASSA</v>
      </c>
      <c r="G380" s="384" t="str">
        <f t="shared" ca="1" si="60"/>
        <v/>
      </c>
      <c r="H380" s="512">
        <f t="shared" ca="1" si="61"/>
        <v>0</v>
      </c>
      <c r="I380" s="1603" t="str">
        <f t="shared" ca="1" si="55"/>
        <v/>
      </c>
      <c r="J380" s="1604"/>
      <c r="K380" s="373"/>
      <c r="L380" s="513">
        <f t="shared" ca="1" si="64"/>
        <v>656.58</v>
      </c>
      <c r="M380" s="654">
        <f t="shared" ca="1" si="62"/>
        <v>1</v>
      </c>
      <c r="N380" s="226">
        <f t="shared" ca="1" si="56"/>
        <v>0</v>
      </c>
      <c r="O380" s="1"/>
    </row>
    <row r="381" spans="1:15" ht="16.5" customHeight="1">
      <c r="A381" s="1"/>
      <c r="B381" s="657" t="str">
        <f t="shared" ca="1" si="57"/>
        <v/>
      </c>
      <c r="C381" s="223" t="str">
        <f t="shared" ca="1" si="58"/>
        <v/>
      </c>
      <c r="D381" s="519">
        <f t="shared" si="63"/>
        <v>376</v>
      </c>
      <c r="E381" s="225" t="str">
        <f t="shared" ca="1" si="59"/>
        <v/>
      </c>
      <c r="F381" s="224" t="str">
        <f t="shared" si="65"/>
        <v>CASSA</v>
      </c>
      <c r="G381" s="384" t="str">
        <f t="shared" ca="1" si="60"/>
        <v/>
      </c>
      <c r="H381" s="512">
        <f t="shared" ca="1" si="61"/>
        <v>0</v>
      </c>
      <c r="I381" s="1603" t="str">
        <f t="shared" ca="1" si="55"/>
        <v/>
      </c>
      <c r="J381" s="1604"/>
      <c r="K381" s="373"/>
      <c r="L381" s="513">
        <f t="shared" ca="1" si="64"/>
        <v>656.58</v>
      </c>
      <c r="M381" s="654">
        <f t="shared" ca="1" si="62"/>
        <v>1</v>
      </c>
      <c r="N381" s="226">
        <f t="shared" ca="1" si="56"/>
        <v>0</v>
      </c>
      <c r="O381" s="1"/>
    </row>
    <row r="382" spans="1:15" ht="16.5" customHeight="1">
      <c r="A382" s="1"/>
      <c r="B382" s="657" t="str">
        <f t="shared" ca="1" si="57"/>
        <v/>
      </c>
      <c r="C382" s="223" t="str">
        <f t="shared" ca="1" si="58"/>
        <v/>
      </c>
      <c r="D382" s="519">
        <f t="shared" si="63"/>
        <v>377</v>
      </c>
      <c r="E382" s="225" t="str">
        <f t="shared" ca="1" si="59"/>
        <v/>
      </c>
      <c r="F382" s="224" t="str">
        <f t="shared" si="65"/>
        <v>CASSA</v>
      </c>
      <c r="G382" s="384" t="str">
        <f t="shared" ca="1" si="60"/>
        <v/>
      </c>
      <c r="H382" s="512">
        <f t="shared" ca="1" si="61"/>
        <v>0</v>
      </c>
      <c r="I382" s="1603" t="str">
        <f t="shared" ca="1" si="55"/>
        <v/>
      </c>
      <c r="J382" s="1604"/>
      <c r="K382" s="373"/>
      <c r="L382" s="513">
        <f t="shared" ca="1" si="64"/>
        <v>656.58</v>
      </c>
      <c r="M382" s="654">
        <f t="shared" ca="1" si="62"/>
        <v>1</v>
      </c>
      <c r="N382" s="226">
        <f t="shared" ca="1" si="56"/>
        <v>0</v>
      </c>
      <c r="O382" s="1"/>
    </row>
    <row r="383" spans="1:15" ht="16.5" customHeight="1">
      <c r="A383" s="1"/>
      <c r="B383" s="657" t="str">
        <f t="shared" ca="1" si="57"/>
        <v/>
      </c>
      <c r="C383" s="223" t="str">
        <f t="shared" ca="1" si="58"/>
        <v/>
      </c>
      <c r="D383" s="519">
        <f t="shared" si="63"/>
        <v>378</v>
      </c>
      <c r="E383" s="225" t="str">
        <f t="shared" ca="1" si="59"/>
        <v/>
      </c>
      <c r="F383" s="224" t="str">
        <f t="shared" si="65"/>
        <v>CASSA</v>
      </c>
      <c r="G383" s="384" t="str">
        <f t="shared" ca="1" si="60"/>
        <v/>
      </c>
      <c r="H383" s="512">
        <f t="shared" ca="1" si="61"/>
        <v>0</v>
      </c>
      <c r="I383" s="1603" t="str">
        <f t="shared" ca="1" si="55"/>
        <v/>
      </c>
      <c r="J383" s="1604"/>
      <c r="K383" s="373"/>
      <c r="L383" s="513">
        <f t="shared" ca="1" si="64"/>
        <v>656.58</v>
      </c>
      <c r="M383" s="654">
        <f t="shared" ca="1" si="62"/>
        <v>1</v>
      </c>
      <c r="N383" s="226">
        <f t="shared" ca="1" si="56"/>
        <v>0</v>
      </c>
      <c r="O383" s="1"/>
    </row>
    <row r="384" spans="1:15" ht="16.5" customHeight="1">
      <c r="A384" s="1"/>
      <c r="B384" s="657" t="str">
        <f t="shared" ca="1" si="57"/>
        <v/>
      </c>
      <c r="C384" s="223" t="str">
        <f t="shared" ca="1" si="58"/>
        <v/>
      </c>
      <c r="D384" s="519">
        <f t="shared" si="63"/>
        <v>379</v>
      </c>
      <c r="E384" s="225" t="str">
        <f t="shared" ca="1" si="59"/>
        <v/>
      </c>
      <c r="F384" s="224" t="str">
        <f t="shared" si="65"/>
        <v>CASSA</v>
      </c>
      <c r="G384" s="384" t="str">
        <f t="shared" ca="1" si="60"/>
        <v/>
      </c>
      <c r="H384" s="512">
        <f t="shared" ca="1" si="61"/>
        <v>0</v>
      </c>
      <c r="I384" s="1603" t="str">
        <f t="shared" ca="1" si="55"/>
        <v/>
      </c>
      <c r="J384" s="1604"/>
      <c r="K384" s="373"/>
      <c r="L384" s="513">
        <f t="shared" ca="1" si="64"/>
        <v>656.58</v>
      </c>
      <c r="M384" s="654">
        <f t="shared" ca="1" si="62"/>
        <v>1</v>
      </c>
      <c r="N384" s="226">
        <f t="shared" ca="1" si="56"/>
        <v>0</v>
      </c>
      <c r="O384" s="1"/>
    </row>
    <row r="385" spans="1:15" ht="16.5" customHeight="1">
      <c r="A385" s="1"/>
      <c r="B385" s="657" t="str">
        <f t="shared" ca="1" si="57"/>
        <v/>
      </c>
      <c r="C385" s="223" t="str">
        <f t="shared" ca="1" si="58"/>
        <v/>
      </c>
      <c r="D385" s="519">
        <f t="shared" si="63"/>
        <v>380</v>
      </c>
      <c r="E385" s="225" t="str">
        <f t="shared" ca="1" si="59"/>
        <v/>
      </c>
      <c r="F385" s="224" t="str">
        <f t="shared" si="65"/>
        <v>CASSA</v>
      </c>
      <c r="G385" s="384" t="str">
        <f t="shared" ca="1" si="60"/>
        <v/>
      </c>
      <c r="H385" s="512">
        <f t="shared" ca="1" si="61"/>
        <v>0</v>
      </c>
      <c r="I385" s="1603" t="str">
        <f t="shared" ca="1" si="55"/>
        <v/>
      </c>
      <c r="J385" s="1604"/>
      <c r="K385" s="373"/>
      <c r="L385" s="513">
        <f t="shared" ca="1" si="64"/>
        <v>656.58</v>
      </c>
      <c r="M385" s="654">
        <f t="shared" ca="1" si="62"/>
        <v>1</v>
      </c>
      <c r="N385" s="226">
        <f t="shared" ca="1" si="56"/>
        <v>0</v>
      </c>
      <c r="O385" s="1"/>
    </row>
    <row r="386" spans="1:15" ht="16.5" customHeight="1">
      <c r="A386" s="1"/>
      <c r="B386" s="657" t="str">
        <f t="shared" ca="1" si="57"/>
        <v/>
      </c>
      <c r="C386" s="223" t="str">
        <f t="shared" ca="1" si="58"/>
        <v/>
      </c>
      <c r="D386" s="519">
        <f t="shared" si="63"/>
        <v>381</v>
      </c>
      <c r="E386" s="225" t="str">
        <f t="shared" ca="1" si="59"/>
        <v/>
      </c>
      <c r="F386" s="224" t="str">
        <f t="shared" si="65"/>
        <v>CASSA</v>
      </c>
      <c r="G386" s="384" t="str">
        <f t="shared" ca="1" si="60"/>
        <v/>
      </c>
      <c r="H386" s="512">
        <f t="shared" ca="1" si="61"/>
        <v>0</v>
      </c>
      <c r="I386" s="1603" t="str">
        <f t="shared" ca="1" si="55"/>
        <v/>
      </c>
      <c r="J386" s="1604"/>
      <c r="K386" s="373"/>
      <c r="L386" s="513">
        <f t="shared" ca="1" si="64"/>
        <v>656.58</v>
      </c>
      <c r="M386" s="654">
        <f t="shared" ca="1" si="62"/>
        <v>1</v>
      </c>
      <c r="N386" s="226">
        <f t="shared" ca="1" si="56"/>
        <v>0</v>
      </c>
      <c r="O386" s="1"/>
    </row>
    <row r="387" spans="1:15" ht="16.5" customHeight="1">
      <c r="A387" s="1"/>
      <c r="B387" s="657" t="str">
        <f t="shared" ca="1" si="57"/>
        <v/>
      </c>
      <c r="C387" s="223" t="str">
        <f t="shared" ca="1" si="58"/>
        <v/>
      </c>
      <c r="D387" s="519">
        <f t="shared" si="63"/>
        <v>382</v>
      </c>
      <c r="E387" s="225" t="str">
        <f t="shared" ca="1" si="59"/>
        <v/>
      </c>
      <c r="F387" s="224" t="str">
        <f t="shared" si="65"/>
        <v>CASSA</v>
      </c>
      <c r="G387" s="384" t="str">
        <f t="shared" ca="1" si="60"/>
        <v/>
      </c>
      <c r="H387" s="512">
        <f t="shared" ca="1" si="61"/>
        <v>0</v>
      </c>
      <c r="I387" s="1603" t="str">
        <f t="shared" ca="1" si="55"/>
        <v/>
      </c>
      <c r="J387" s="1604"/>
      <c r="K387" s="373"/>
      <c r="L387" s="513">
        <f t="shared" ca="1" si="64"/>
        <v>656.58</v>
      </c>
      <c r="M387" s="654">
        <f t="shared" ca="1" si="62"/>
        <v>1</v>
      </c>
      <c r="N387" s="226">
        <f t="shared" ca="1" si="56"/>
        <v>0</v>
      </c>
      <c r="O387" s="1"/>
    </row>
    <row r="388" spans="1:15" ht="16.5" customHeight="1">
      <c r="A388" s="1"/>
      <c r="B388" s="657" t="str">
        <f t="shared" ca="1" si="57"/>
        <v/>
      </c>
      <c r="C388" s="223" t="str">
        <f t="shared" ca="1" si="58"/>
        <v/>
      </c>
      <c r="D388" s="519">
        <f t="shared" si="63"/>
        <v>383</v>
      </c>
      <c r="E388" s="225" t="str">
        <f t="shared" ca="1" si="59"/>
        <v/>
      </c>
      <c r="F388" s="224" t="str">
        <f t="shared" si="65"/>
        <v>CASSA</v>
      </c>
      <c r="G388" s="384" t="str">
        <f t="shared" ca="1" si="60"/>
        <v/>
      </c>
      <c r="H388" s="512">
        <f t="shared" ca="1" si="61"/>
        <v>0</v>
      </c>
      <c r="I388" s="1603" t="str">
        <f t="shared" ca="1" si="55"/>
        <v/>
      </c>
      <c r="J388" s="1604"/>
      <c r="K388" s="373"/>
      <c r="L388" s="513">
        <f t="shared" ca="1" si="64"/>
        <v>656.58</v>
      </c>
      <c r="M388" s="654">
        <f t="shared" ca="1" si="62"/>
        <v>1</v>
      </c>
      <c r="N388" s="226">
        <f t="shared" ca="1" si="56"/>
        <v>0</v>
      </c>
      <c r="O388" s="1"/>
    </row>
    <row r="389" spans="1:15" ht="16.5" customHeight="1">
      <c r="A389" s="1"/>
      <c r="B389" s="657" t="str">
        <f t="shared" ca="1" si="57"/>
        <v/>
      </c>
      <c r="C389" s="223" t="str">
        <f t="shared" ca="1" si="58"/>
        <v/>
      </c>
      <c r="D389" s="519">
        <f t="shared" si="63"/>
        <v>384</v>
      </c>
      <c r="E389" s="225" t="str">
        <f t="shared" ca="1" si="59"/>
        <v/>
      </c>
      <c r="F389" s="224" t="str">
        <f t="shared" si="65"/>
        <v>CASSA</v>
      </c>
      <c r="G389" s="384" t="str">
        <f t="shared" ca="1" si="60"/>
        <v/>
      </c>
      <c r="H389" s="512">
        <f t="shared" ca="1" si="61"/>
        <v>0</v>
      </c>
      <c r="I389" s="1603" t="str">
        <f t="shared" ca="1" si="55"/>
        <v/>
      </c>
      <c r="J389" s="1604"/>
      <c r="K389" s="373"/>
      <c r="L389" s="513">
        <f t="shared" ca="1" si="64"/>
        <v>656.58</v>
      </c>
      <c r="M389" s="654">
        <f t="shared" ca="1" si="62"/>
        <v>1</v>
      </c>
      <c r="N389" s="226">
        <f t="shared" ca="1" si="56"/>
        <v>0</v>
      </c>
      <c r="O389" s="1"/>
    </row>
    <row r="390" spans="1:15" ht="16.5" customHeight="1">
      <c r="A390" s="1"/>
      <c r="B390" s="657" t="str">
        <f t="shared" ca="1" si="57"/>
        <v/>
      </c>
      <c r="C390" s="223" t="str">
        <f t="shared" ca="1" si="58"/>
        <v/>
      </c>
      <c r="D390" s="519">
        <f t="shared" si="63"/>
        <v>385</v>
      </c>
      <c r="E390" s="225" t="str">
        <f t="shared" ca="1" si="59"/>
        <v/>
      </c>
      <c r="F390" s="224" t="str">
        <f t="shared" si="65"/>
        <v>CASSA</v>
      </c>
      <c r="G390" s="384" t="str">
        <f t="shared" ca="1" si="60"/>
        <v/>
      </c>
      <c r="H390" s="512">
        <f t="shared" ca="1" si="61"/>
        <v>0</v>
      </c>
      <c r="I390" s="1603" t="str">
        <f t="shared" ref="I390:I453" ca="1" si="66">IF(F390="","",IF(ISERROR(VLOOKUP($D390,$B$1080:$L$4183,11,FALSE)),"",VLOOKUP($D390,$B$1080:$L$4183,11,FALSE)))</f>
        <v/>
      </c>
      <c r="J390" s="1604"/>
      <c r="K390" s="373"/>
      <c r="L390" s="513">
        <f t="shared" ca="1" si="64"/>
        <v>656.58</v>
      </c>
      <c r="M390" s="654">
        <f t="shared" ca="1" si="62"/>
        <v>1</v>
      </c>
      <c r="N390" s="226">
        <f t="shared" ref="N390:N453" ca="1" si="67">IF(ISERROR(VLOOKUP(G390,G$4171:G$4182,1,FALSE)),0,1)</f>
        <v>0</v>
      </c>
      <c r="O390" s="1"/>
    </row>
    <row r="391" spans="1:15" ht="16.5" customHeight="1">
      <c r="A391" s="1"/>
      <c r="B391" s="657" t="str">
        <f t="shared" ref="B391:B454" ca="1" si="68">IF(AND(E391&lt;&gt;"",M391=0),"[..]","")</f>
        <v/>
      </c>
      <c r="C391" s="223" t="str">
        <f t="shared" ref="C391:C454" ca="1" si="69">IF(ISBLANK(E$2),"",IF(ISERROR(VLOOKUP(D391,B$3067:B$4182,1,FALSE)),"",C$4185))</f>
        <v/>
      </c>
      <c r="D391" s="519">
        <f t="shared" si="63"/>
        <v>386</v>
      </c>
      <c r="E391" s="225" t="str">
        <f t="shared" ref="E391:E454" ca="1" si="70">IF(ISERROR(VLOOKUP($D391,$B$1080:$E$4183,4,FALSE)),"",VLOOKUP($D391,$B$1080:$E$4183,4,FALSE))</f>
        <v/>
      </c>
      <c r="F391" s="224" t="str">
        <f t="shared" si="65"/>
        <v>CASSA</v>
      </c>
      <c r="G391" s="384" t="str">
        <f t="shared" ref="G391:G454" ca="1" si="71">IF(ISERROR(VLOOKUP($D391,$B$1080:$G$4183,6,FALSE)),"",T(VLOOKUP($D391,$B$1080:$G$4183,6,FALSE)))</f>
        <v/>
      </c>
      <c r="H391" s="512">
        <f t="shared" ref="H391:H454" ca="1" si="72">IF(ISERROR(VLOOKUP($D391,$B$1080:$H$4183,7,FALSE)),0,VLOOKUP($D391,$B$1080:$H$4183,7,FALSE))*M391</f>
        <v>0</v>
      </c>
      <c r="I391" s="1603" t="str">
        <f t="shared" ca="1" si="66"/>
        <v/>
      </c>
      <c r="J391" s="1604"/>
      <c r="K391" s="373"/>
      <c r="L391" s="513">
        <f t="shared" ca="1" si="64"/>
        <v>656.58</v>
      </c>
      <c r="M391" s="654">
        <f t="shared" ref="M391:M454" ca="1" si="73">IF(AND(E391&gt;0,H$4188=0,OR(E391&lt;L$1020,E391&gt;L$1021)),0,1)</f>
        <v>1</v>
      </c>
      <c r="N391" s="226">
        <f t="shared" ca="1" si="67"/>
        <v>0</v>
      </c>
      <c r="O391" s="1"/>
    </row>
    <row r="392" spans="1:15" ht="16.5" customHeight="1">
      <c r="A392" s="1"/>
      <c r="B392" s="657" t="str">
        <f t="shared" ca="1" si="68"/>
        <v/>
      </c>
      <c r="C392" s="223" t="str">
        <f t="shared" ca="1" si="69"/>
        <v/>
      </c>
      <c r="D392" s="519">
        <f t="shared" ref="D392:D455" si="74">D391+1</f>
        <v>387</v>
      </c>
      <c r="E392" s="225" t="str">
        <f t="shared" ca="1" si="70"/>
        <v/>
      </c>
      <c r="F392" s="224" t="str">
        <f t="shared" si="65"/>
        <v>CASSA</v>
      </c>
      <c r="G392" s="384" t="str">
        <f t="shared" ca="1" si="71"/>
        <v/>
      </c>
      <c r="H392" s="512">
        <f t="shared" ca="1" si="72"/>
        <v>0</v>
      </c>
      <c r="I392" s="1603" t="str">
        <f t="shared" ca="1" si="66"/>
        <v/>
      </c>
      <c r="J392" s="1604"/>
      <c r="K392" s="373"/>
      <c r="L392" s="513">
        <f t="shared" ref="L392:L455" ca="1" si="75">ROUND(L391+H392,2)</f>
        <v>656.58</v>
      </c>
      <c r="M392" s="654">
        <f t="shared" ca="1" si="73"/>
        <v>1</v>
      </c>
      <c r="N392" s="226">
        <f t="shared" ca="1" si="67"/>
        <v>0</v>
      </c>
      <c r="O392" s="1"/>
    </row>
    <row r="393" spans="1:15" ht="16.5" customHeight="1">
      <c r="A393" s="1"/>
      <c r="B393" s="657" t="str">
        <f t="shared" ca="1" si="68"/>
        <v/>
      </c>
      <c r="C393" s="223" t="str">
        <f t="shared" ca="1" si="69"/>
        <v/>
      </c>
      <c r="D393" s="519">
        <f t="shared" si="74"/>
        <v>388</v>
      </c>
      <c r="E393" s="225" t="str">
        <f t="shared" ca="1" si="70"/>
        <v/>
      </c>
      <c r="F393" s="224" t="str">
        <f t="shared" si="65"/>
        <v>CASSA</v>
      </c>
      <c r="G393" s="384" t="str">
        <f t="shared" ca="1" si="71"/>
        <v/>
      </c>
      <c r="H393" s="512">
        <f t="shared" ca="1" si="72"/>
        <v>0</v>
      </c>
      <c r="I393" s="1603" t="str">
        <f t="shared" ca="1" si="66"/>
        <v/>
      </c>
      <c r="J393" s="1604"/>
      <c r="K393" s="373"/>
      <c r="L393" s="513">
        <f t="shared" ca="1" si="75"/>
        <v>656.58</v>
      </c>
      <c r="M393" s="654">
        <f t="shared" ca="1" si="73"/>
        <v>1</v>
      </c>
      <c r="N393" s="226">
        <f t="shared" ca="1" si="67"/>
        <v>0</v>
      </c>
      <c r="O393" s="1"/>
    </row>
    <row r="394" spans="1:15" ht="16.5" customHeight="1">
      <c r="A394" s="1"/>
      <c r="B394" s="657" t="str">
        <f t="shared" ca="1" si="68"/>
        <v/>
      </c>
      <c r="C394" s="223" t="str">
        <f t="shared" ca="1" si="69"/>
        <v/>
      </c>
      <c r="D394" s="519">
        <f t="shared" si="74"/>
        <v>389</v>
      </c>
      <c r="E394" s="225" t="str">
        <f t="shared" ca="1" si="70"/>
        <v/>
      </c>
      <c r="F394" s="224" t="str">
        <f t="shared" si="65"/>
        <v>CASSA</v>
      </c>
      <c r="G394" s="384" t="str">
        <f t="shared" ca="1" si="71"/>
        <v/>
      </c>
      <c r="H394" s="512">
        <f t="shared" ca="1" si="72"/>
        <v>0</v>
      </c>
      <c r="I394" s="1603" t="str">
        <f t="shared" ca="1" si="66"/>
        <v/>
      </c>
      <c r="J394" s="1604"/>
      <c r="K394" s="373"/>
      <c r="L394" s="513">
        <f t="shared" ca="1" si="75"/>
        <v>656.58</v>
      </c>
      <c r="M394" s="654">
        <f t="shared" ca="1" si="73"/>
        <v>1</v>
      </c>
      <c r="N394" s="226">
        <f t="shared" ca="1" si="67"/>
        <v>0</v>
      </c>
      <c r="O394" s="1"/>
    </row>
    <row r="395" spans="1:15" ht="16.5" customHeight="1">
      <c r="A395" s="1"/>
      <c r="B395" s="657" t="str">
        <f t="shared" ca="1" si="68"/>
        <v/>
      </c>
      <c r="C395" s="223" t="str">
        <f t="shared" ca="1" si="69"/>
        <v/>
      </c>
      <c r="D395" s="519">
        <f t="shared" si="74"/>
        <v>390</v>
      </c>
      <c r="E395" s="225" t="str">
        <f t="shared" ca="1" si="70"/>
        <v/>
      </c>
      <c r="F395" s="224" t="str">
        <f t="shared" si="65"/>
        <v>CASSA</v>
      </c>
      <c r="G395" s="384" t="str">
        <f t="shared" ca="1" si="71"/>
        <v/>
      </c>
      <c r="H395" s="512">
        <f t="shared" ca="1" si="72"/>
        <v>0</v>
      </c>
      <c r="I395" s="1603" t="str">
        <f t="shared" ca="1" si="66"/>
        <v/>
      </c>
      <c r="J395" s="1604"/>
      <c r="K395" s="373"/>
      <c r="L395" s="513">
        <f t="shared" ca="1" si="75"/>
        <v>656.58</v>
      </c>
      <c r="M395" s="654">
        <f t="shared" ca="1" si="73"/>
        <v>1</v>
      </c>
      <c r="N395" s="226">
        <f t="shared" ca="1" si="67"/>
        <v>0</v>
      </c>
      <c r="O395" s="1"/>
    </row>
    <row r="396" spans="1:15" ht="16.5" customHeight="1">
      <c r="A396" s="1"/>
      <c r="B396" s="657" t="str">
        <f t="shared" ca="1" si="68"/>
        <v/>
      </c>
      <c r="C396" s="223" t="str">
        <f t="shared" ca="1" si="69"/>
        <v/>
      </c>
      <c r="D396" s="519">
        <f t="shared" si="74"/>
        <v>391</v>
      </c>
      <c r="E396" s="225" t="str">
        <f t="shared" ca="1" si="70"/>
        <v/>
      </c>
      <c r="F396" s="224" t="str">
        <f t="shared" ref="F396:F459" si="76">F395</f>
        <v>CASSA</v>
      </c>
      <c r="G396" s="384" t="str">
        <f t="shared" ca="1" si="71"/>
        <v/>
      </c>
      <c r="H396" s="512">
        <f t="shared" ca="1" si="72"/>
        <v>0</v>
      </c>
      <c r="I396" s="1603" t="str">
        <f t="shared" ca="1" si="66"/>
        <v/>
      </c>
      <c r="J396" s="1604"/>
      <c r="K396" s="373"/>
      <c r="L396" s="513">
        <f t="shared" ca="1" si="75"/>
        <v>656.58</v>
      </c>
      <c r="M396" s="654">
        <f t="shared" ca="1" si="73"/>
        <v>1</v>
      </c>
      <c r="N396" s="226">
        <f t="shared" ca="1" si="67"/>
        <v>0</v>
      </c>
      <c r="O396" s="1"/>
    </row>
    <row r="397" spans="1:15" ht="16.5" customHeight="1">
      <c r="A397" s="1"/>
      <c r="B397" s="657" t="str">
        <f t="shared" ca="1" si="68"/>
        <v/>
      </c>
      <c r="C397" s="223" t="str">
        <f t="shared" ca="1" si="69"/>
        <v/>
      </c>
      <c r="D397" s="519">
        <f t="shared" si="74"/>
        <v>392</v>
      </c>
      <c r="E397" s="225" t="str">
        <f t="shared" ca="1" si="70"/>
        <v/>
      </c>
      <c r="F397" s="224" t="str">
        <f t="shared" si="76"/>
        <v>CASSA</v>
      </c>
      <c r="G397" s="384" t="str">
        <f t="shared" ca="1" si="71"/>
        <v/>
      </c>
      <c r="H397" s="512">
        <f t="shared" ca="1" si="72"/>
        <v>0</v>
      </c>
      <c r="I397" s="1603" t="str">
        <f t="shared" ca="1" si="66"/>
        <v/>
      </c>
      <c r="J397" s="1604"/>
      <c r="K397" s="373"/>
      <c r="L397" s="513">
        <f t="shared" ca="1" si="75"/>
        <v>656.58</v>
      </c>
      <c r="M397" s="654">
        <f t="shared" ca="1" si="73"/>
        <v>1</v>
      </c>
      <c r="N397" s="226">
        <f t="shared" ca="1" si="67"/>
        <v>0</v>
      </c>
      <c r="O397" s="1"/>
    </row>
    <row r="398" spans="1:15" ht="16.5" customHeight="1">
      <c r="A398" s="1"/>
      <c r="B398" s="657" t="str">
        <f t="shared" ca="1" si="68"/>
        <v/>
      </c>
      <c r="C398" s="223" t="str">
        <f t="shared" ca="1" si="69"/>
        <v/>
      </c>
      <c r="D398" s="519">
        <f t="shared" si="74"/>
        <v>393</v>
      </c>
      <c r="E398" s="225" t="str">
        <f t="shared" ca="1" si="70"/>
        <v/>
      </c>
      <c r="F398" s="224" t="str">
        <f t="shared" si="76"/>
        <v>CASSA</v>
      </c>
      <c r="G398" s="384" t="str">
        <f t="shared" ca="1" si="71"/>
        <v/>
      </c>
      <c r="H398" s="512">
        <f t="shared" ca="1" si="72"/>
        <v>0</v>
      </c>
      <c r="I398" s="1603" t="str">
        <f t="shared" ca="1" si="66"/>
        <v/>
      </c>
      <c r="J398" s="1604"/>
      <c r="K398" s="373"/>
      <c r="L398" s="513">
        <f t="shared" ca="1" si="75"/>
        <v>656.58</v>
      </c>
      <c r="M398" s="654">
        <f t="shared" ca="1" si="73"/>
        <v>1</v>
      </c>
      <c r="N398" s="226">
        <f t="shared" ca="1" si="67"/>
        <v>0</v>
      </c>
      <c r="O398" s="1"/>
    </row>
    <row r="399" spans="1:15" ht="16.5" customHeight="1">
      <c r="A399" s="1"/>
      <c r="B399" s="657" t="str">
        <f t="shared" ca="1" si="68"/>
        <v/>
      </c>
      <c r="C399" s="223" t="str">
        <f t="shared" ca="1" si="69"/>
        <v/>
      </c>
      <c r="D399" s="519">
        <f t="shared" si="74"/>
        <v>394</v>
      </c>
      <c r="E399" s="225" t="str">
        <f t="shared" ca="1" si="70"/>
        <v/>
      </c>
      <c r="F399" s="224" t="str">
        <f t="shared" si="76"/>
        <v>CASSA</v>
      </c>
      <c r="G399" s="384" t="str">
        <f t="shared" ca="1" si="71"/>
        <v/>
      </c>
      <c r="H399" s="512">
        <f t="shared" ca="1" si="72"/>
        <v>0</v>
      </c>
      <c r="I399" s="1603" t="str">
        <f t="shared" ca="1" si="66"/>
        <v/>
      </c>
      <c r="J399" s="1604"/>
      <c r="K399" s="373"/>
      <c r="L399" s="513">
        <f t="shared" ca="1" si="75"/>
        <v>656.58</v>
      </c>
      <c r="M399" s="654">
        <f t="shared" ca="1" si="73"/>
        <v>1</v>
      </c>
      <c r="N399" s="226">
        <f t="shared" ca="1" si="67"/>
        <v>0</v>
      </c>
      <c r="O399" s="1"/>
    </row>
    <row r="400" spans="1:15" ht="16.5" customHeight="1">
      <c r="A400" s="1"/>
      <c r="B400" s="657" t="str">
        <f t="shared" ca="1" si="68"/>
        <v/>
      </c>
      <c r="C400" s="223" t="str">
        <f t="shared" ca="1" si="69"/>
        <v/>
      </c>
      <c r="D400" s="519">
        <f t="shared" si="74"/>
        <v>395</v>
      </c>
      <c r="E400" s="225" t="str">
        <f t="shared" ca="1" si="70"/>
        <v/>
      </c>
      <c r="F400" s="224" t="str">
        <f t="shared" si="76"/>
        <v>CASSA</v>
      </c>
      <c r="G400" s="384" t="str">
        <f t="shared" ca="1" si="71"/>
        <v/>
      </c>
      <c r="H400" s="512">
        <f t="shared" ca="1" si="72"/>
        <v>0</v>
      </c>
      <c r="I400" s="1603" t="str">
        <f t="shared" ca="1" si="66"/>
        <v/>
      </c>
      <c r="J400" s="1604"/>
      <c r="K400" s="373"/>
      <c r="L400" s="513">
        <f t="shared" ca="1" si="75"/>
        <v>656.58</v>
      </c>
      <c r="M400" s="654">
        <f t="shared" ca="1" si="73"/>
        <v>1</v>
      </c>
      <c r="N400" s="226">
        <f t="shared" ca="1" si="67"/>
        <v>0</v>
      </c>
      <c r="O400" s="1"/>
    </row>
    <row r="401" spans="1:15" ht="16.5" customHeight="1">
      <c r="A401" s="1"/>
      <c r="B401" s="657" t="str">
        <f t="shared" ca="1" si="68"/>
        <v/>
      </c>
      <c r="C401" s="223" t="str">
        <f t="shared" ca="1" si="69"/>
        <v/>
      </c>
      <c r="D401" s="519">
        <f t="shared" si="74"/>
        <v>396</v>
      </c>
      <c r="E401" s="225" t="str">
        <f t="shared" ca="1" si="70"/>
        <v/>
      </c>
      <c r="F401" s="224" t="str">
        <f t="shared" si="76"/>
        <v>CASSA</v>
      </c>
      <c r="G401" s="384" t="str">
        <f t="shared" ca="1" si="71"/>
        <v/>
      </c>
      <c r="H401" s="512">
        <f t="shared" ca="1" si="72"/>
        <v>0</v>
      </c>
      <c r="I401" s="1603" t="str">
        <f t="shared" ca="1" si="66"/>
        <v/>
      </c>
      <c r="J401" s="1604"/>
      <c r="K401" s="373"/>
      <c r="L401" s="513">
        <f t="shared" ca="1" si="75"/>
        <v>656.58</v>
      </c>
      <c r="M401" s="654">
        <f t="shared" ca="1" si="73"/>
        <v>1</v>
      </c>
      <c r="N401" s="226">
        <f t="shared" ca="1" si="67"/>
        <v>0</v>
      </c>
      <c r="O401" s="1"/>
    </row>
    <row r="402" spans="1:15" ht="16.5" customHeight="1">
      <c r="A402" s="1"/>
      <c r="B402" s="657" t="str">
        <f t="shared" ca="1" si="68"/>
        <v/>
      </c>
      <c r="C402" s="223" t="str">
        <f t="shared" ca="1" si="69"/>
        <v/>
      </c>
      <c r="D402" s="519">
        <f t="shared" si="74"/>
        <v>397</v>
      </c>
      <c r="E402" s="225" t="str">
        <f t="shared" ca="1" si="70"/>
        <v/>
      </c>
      <c r="F402" s="224" t="str">
        <f t="shared" si="76"/>
        <v>CASSA</v>
      </c>
      <c r="G402" s="384" t="str">
        <f t="shared" ca="1" si="71"/>
        <v/>
      </c>
      <c r="H402" s="512">
        <f t="shared" ca="1" si="72"/>
        <v>0</v>
      </c>
      <c r="I402" s="1603" t="str">
        <f t="shared" ca="1" si="66"/>
        <v/>
      </c>
      <c r="J402" s="1604"/>
      <c r="K402" s="373"/>
      <c r="L402" s="513">
        <f t="shared" ca="1" si="75"/>
        <v>656.58</v>
      </c>
      <c r="M402" s="654">
        <f t="shared" ca="1" si="73"/>
        <v>1</v>
      </c>
      <c r="N402" s="226">
        <f t="shared" ca="1" si="67"/>
        <v>0</v>
      </c>
      <c r="O402" s="1"/>
    </row>
    <row r="403" spans="1:15" ht="16.5" customHeight="1">
      <c r="A403" s="1"/>
      <c r="B403" s="657" t="str">
        <f t="shared" ca="1" si="68"/>
        <v/>
      </c>
      <c r="C403" s="223" t="str">
        <f t="shared" ca="1" si="69"/>
        <v/>
      </c>
      <c r="D403" s="519">
        <f t="shared" si="74"/>
        <v>398</v>
      </c>
      <c r="E403" s="225" t="str">
        <f t="shared" ca="1" si="70"/>
        <v/>
      </c>
      <c r="F403" s="224" t="str">
        <f t="shared" si="76"/>
        <v>CASSA</v>
      </c>
      <c r="G403" s="384" t="str">
        <f t="shared" ca="1" si="71"/>
        <v/>
      </c>
      <c r="H403" s="512">
        <f t="shared" ca="1" si="72"/>
        <v>0</v>
      </c>
      <c r="I403" s="1603" t="str">
        <f t="shared" ca="1" si="66"/>
        <v/>
      </c>
      <c r="J403" s="1604"/>
      <c r="K403" s="373"/>
      <c r="L403" s="513">
        <f t="shared" ca="1" si="75"/>
        <v>656.58</v>
      </c>
      <c r="M403" s="654">
        <f t="shared" ca="1" si="73"/>
        <v>1</v>
      </c>
      <c r="N403" s="226">
        <f t="shared" ca="1" si="67"/>
        <v>0</v>
      </c>
      <c r="O403" s="1"/>
    </row>
    <row r="404" spans="1:15" ht="16.5" customHeight="1">
      <c r="A404" s="1"/>
      <c r="B404" s="657" t="str">
        <f t="shared" ca="1" si="68"/>
        <v/>
      </c>
      <c r="C404" s="223" t="str">
        <f t="shared" ca="1" si="69"/>
        <v/>
      </c>
      <c r="D404" s="519">
        <f t="shared" si="74"/>
        <v>399</v>
      </c>
      <c r="E404" s="225" t="str">
        <f t="shared" ca="1" si="70"/>
        <v/>
      </c>
      <c r="F404" s="224" t="str">
        <f t="shared" si="76"/>
        <v>CASSA</v>
      </c>
      <c r="G404" s="384" t="str">
        <f t="shared" ca="1" si="71"/>
        <v/>
      </c>
      <c r="H404" s="512">
        <f t="shared" ca="1" si="72"/>
        <v>0</v>
      </c>
      <c r="I404" s="1603" t="str">
        <f t="shared" ca="1" si="66"/>
        <v/>
      </c>
      <c r="J404" s="1604"/>
      <c r="K404" s="373"/>
      <c r="L404" s="513">
        <f t="shared" ca="1" si="75"/>
        <v>656.58</v>
      </c>
      <c r="M404" s="654">
        <f t="shared" ca="1" si="73"/>
        <v>1</v>
      </c>
      <c r="N404" s="226">
        <f t="shared" ca="1" si="67"/>
        <v>0</v>
      </c>
      <c r="O404" s="1"/>
    </row>
    <row r="405" spans="1:15" ht="16.5" customHeight="1">
      <c r="A405" s="1"/>
      <c r="B405" s="657" t="str">
        <f t="shared" ca="1" si="68"/>
        <v/>
      </c>
      <c r="C405" s="223" t="str">
        <f t="shared" ca="1" si="69"/>
        <v/>
      </c>
      <c r="D405" s="519">
        <f t="shared" si="74"/>
        <v>400</v>
      </c>
      <c r="E405" s="225" t="str">
        <f t="shared" ca="1" si="70"/>
        <v/>
      </c>
      <c r="F405" s="224" t="str">
        <f t="shared" si="76"/>
        <v>CASSA</v>
      </c>
      <c r="G405" s="384" t="str">
        <f t="shared" ca="1" si="71"/>
        <v/>
      </c>
      <c r="H405" s="512">
        <f t="shared" ca="1" si="72"/>
        <v>0</v>
      </c>
      <c r="I405" s="1603" t="str">
        <f t="shared" ca="1" si="66"/>
        <v/>
      </c>
      <c r="J405" s="1604"/>
      <c r="K405" s="373"/>
      <c r="L405" s="513">
        <f t="shared" ca="1" si="75"/>
        <v>656.58</v>
      </c>
      <c r="M405" s="654">
        <f t="shared" ca="1" si="73"/>
        <v>1</v>
      </c>
      <c r="N405" s="226">
        <f t="shared" ca="1" si="67"/>
        <v>0</v>
      </c>
      <c r="O405" s="1"/>
    </row>
    <row r="406" spans="1:15" ht="16.5" customHeight="1">
      <c r="A406" s="1"/>
      <c r="B406" s="657" t="str">
        <f t="shared" ca="1" si="68"/>
        <v/>
      </c>
      <c r="C406" s="223" t="str">
        <f t="shared" ca="1" si="69"/>
        <v/>
      </c>
      <c r="D406" s="519">
        <f t="shared" si="74"/>
        <v>401</v>
      </c>
      <c r="E406" s="225" t="str">
        <f t="shared" ca="1" si="70"/>
        <v/>
      </c>
      <c r="F406" s="224" t="str">
        <f t="shared" si="76"/>
        <v>CASSA</v>
      </c>
      <c r="G406" s="384" t="str">
        <f t="shared" ca="1" si="71"/>
        <v/>
      </c>
      <c r="H406" s="512">
        <f t="shared" ca="1" si="72"/>
        <v>0</v>
      </c>
      <c r="I406" s="1603" t="str">
        <f t="shared" ca="1" si="66"/>
        <v/>
      </c>
      <c r="J406" s="1604"/>
      <c r="K406" s="373"/>
      <c r="L406" s="513">
        <f t="shared" ca="1" si="75"/>
        <v>656.58</v>
      </c>
      <c r="M406" s="654">
        <f t="shared" ca="1" si="73"/>
        <v>1</v>
      </c>
      <c r="N406" s="226">
        <f t="shared" ca="1" si="67"/>
        <v>0</v>
      </c>
      <c r="O406" s="1"/>
    </row>
    <row r="407" spans="1:15" ht="16.5" customHeight="1">
      <c r="A407" s="1"/>
      <c r="B407" s="657" t="str">
        <f t="shared" ca="1" si="68"/>
        <v/>
      </c>
      <c r="C407" s="223" t="str">
        <f t="shared" ca="1" si="69"/>
        <v/>
      </c>
      <c r="D407" s="519">
        <f t="shared" si="74"/>
        <v>402</v>
      </c>
      <c r="E407" s="225" t="str">
        <f t="shared" ca="1" si="70"/>
        <v/>
      </c>
      <c r="F407" s="224" t="str">
        <f t="shared" si="76"/>
        <v>CASSA</v>
      </c>
      <c r="G407" s="384" t="str">
        <f t="shared" ca="1" si="71"/>
        <v/>
      </c>
      <c r="H407" s="512">
        <f t="shared" ca="1" si="72"/>
        <v>0</v>
      </c>
      <c r="I407" s="1603" t="str">
        <f t="shared" ca="1" si="66"/>
        <v/>
      </c>
      <c r="J407" s="1604"/>
      <c r="K407" s="373"/>
      <c r="L407" s="513">
        <f t="shared" ca="1" si="75"/>
        <v>656.58</v>
      </c>
      <c r="M407" s="654">
        <f t="shared" ca="1" si="73"/>
        <v>1</v>
      </c>
      <c r="N407" s="226">
        <f t="shared" ca="1" si="67"/>
        <v>0</v>
      </c>
      <c r="O407" s="1"/>
    </row>
    <row r="408" spans="1:15" ht="16.5" customHeight="1">
      <c r="A408" s="1"/>
      <c r="B408" s="657" t="str">
        <f t="shared" ca="1" si="68"/>
        <v/>
      </c>
      <c r="C408" s="223" t="str">
        <f t="shared" ca="1" si="69"/>
        <v/>
      </c>
      <c r="D408" s="519">
        <f t="shared" si="74"/>
        <v>403</v>
      </c>
      <c r="E408" s="225" t="str">
        <f t="shared" ca="1" si="70"/>
        <v/>
      </c>
      <c r="F408" s="224" t="str">
        <f t="shared" si="76"/>
        <v>CASSA</v>
      </c>
      <c r="G408" s="384" t="str">
        <f t="shared" ca="1" si="71"/>
        <v/>
      </c>
      <c r="H408" s="512">
        <f t="shared" ca="1" si="72"/>
        <v>0</v>
      </c>
      <c r="I408" s="1603" t="str">
        <f t="shared" ca="1" si="66"/>
        <v/>
      </c>
      <c r="J408" s="1604"/>
      <c r="K408" s="373"/>
      <c r="L408" s="513">
        <f t="shared" ca="1" si="75"/>
        <v>656.58</v>
      </c>
      <c r="M408" s="654">
        <f t="shared" ca="1" si="73"/>
        <v>1</v>
      </c>
      <c r="N408" s="226">
        <f t="shared" ca="1" si="67"/>
        <v>0</v>
      </c>
      <c r="O408" s="1"/>
    </row>
    <row r="409" spans="1:15" ht="16.5" customHeight="1">
      <c r="A409" s="1"/>
      <c r="B409" s="657" t="str">
        <f t="shared" ca="1" si="68"/>
        <v/>
      </c>
      <c r="C409" s="223" t="str">
        <f t="shared" ca="1" si="69"/>
        <v/>
      </c>
      <c r="D409" s="519">
        <f t="shared" si="74"/>
        <v>404</v>
      </c>
      <c r="E409" s="225" t="str">
        <f t="shared" ca="1" si="70"/>
        <v/>
      </c>
      <c r="F409" s="224" t="str">
        <f t="shared" si="76"/>
        <v>CASSA</v>
      </c>
      <c r="G409" s="384" t="str">
        <f t="shared" ca="1" si="71"/>
        <v/>
      </c>
      <c r="H409" s="512">
        <f t="shared" ca="1" si="72"/>
        <v>0</v>
      </c>
      <c r="I409" s="1603" t="str">
        <f t="shared" ca="1" si="66"/>
        <v/>
      </c>
      <c r="J409" s="1604"/>
      <c r="K409" s="373"/>
      <c r="L409" s="513">
        <f t="shared" ca="1" si="75"/>
        <v>656.58</v>
      </c>
      <c r="M409" s="654">
        <f t="shared" ca="1" si="73"/>
        <v>1</v>
      </c>
      <c r="N409" s="226">
        <f t="shared" ca="1" si="67"/>
        <v>0</v>
      </c>
      <c r="O409" s="1"/>
    </row>
    <row r="410" spans="1:15" ht="16.5" customHeight="1">
      <c r="A410" s="1"/>
      <c r="B410" s="657" t="str">
        <f t="shared" ca="1" si="68"/>
        <v/>
      </c>
      <c r="C410" s="223" t="str">
        <f t="shared" ca="1" si="69"/>
        <v/>
      </c>
      <c r="D410" s="519">
        <f t="shared" si="74"/>
        <v>405</v>
      </c>
      <c r="E410" s="225" t="str">
        <f t="shared" ca="1" si="70"/>
        <v/>
      </c>
      <c r="F410" s="224" t="str">
        <f t="shared" si="76"/>
        <v>CASSA</v>
      </c>
      <c r="G410" s="384" t="str">
        <f t="shared" ca="1" si="71"/>
        <v/>
      </c>
      <c r="H410" s="512">
        <f t="shared" ca="1" si="72"/>
        <v>0</v>
      </c>
      <c r="I410" s="1603" t="str">
        <f t="shared" ca="1" si="66"/>
        <v/>
      </c>
      <c r="J410" s="1604"/>
      <c r="K410" s="373"/>
      <c r="L410" s="513">
        <f t="shared" ca="1" si="75"/>
        <v>656.58</v>
      </c>
      <c r="M410" s="654">
        <f t="shared" ca="1" si="73"/>
        <v>1</v>
      </c>
      <c r="N410" s="226">
        <f t="shared" ca="1" si="67"/>
        <v>0</v>
      </c>
      <c r="O410" s="1"/>
    </row>
    <row r="411" spans="1:15" ht="16.5" customHeight="1">
      <c r="A411" s="1"/>
      <c r="B411" s="657" t="str">
        <f t="shared" ca="1" si="68"/>
        <v/>
      </c>
      <c r="C411" s="223" t="str">
        <f t="shared" ca="1" si="69"/>
        <v/>
      </c>
      <c r="D411" s="519">
        <f t="shared" si="74"/>
        <v>406</v>
      </c>
      <c r="E411" s="225" t="str">
        <f t="shared" ca="1" si="70"/>
        <v/>
      </c>
      <c r="F411" s="224" t="str">
        <f t="shared" si="76"/>
        <v>CASSA</v>
      </c>
      <c r="G411" s="384" t="str">
        <f t="shared" ca="1" si="71"/>
        <v/>
      </c>
      <c r="H411" s="512">
        <f t="shared" ca="1" si="72"/>
        <v>0</v>
      </c>
      <c r="I411" s="1603" t="str">
        <f t="shared" ca="1" si="66"/>
        <v/>
      </c>
      <c r="J411" s="1604"/>
      <c r="K411" s="373"/>
      <c r="L411" s="513">
        <f t="shared" ca="1" si="75"/>
        <v>656.58</v>
      </c>
      <c r="M411" s="654">
        <f t="shared" ca="1" si="73"/>
        <v>1</v>
      </c>
      <c r="N411" s="226">
        <f t="shared" ca="1" si="67"/>
        <v>0</v>
      </c>
      <c r="O411" s="1"/>
    </row>
    <row r="412" spans="1:15" ht="16.5" customHeight="1">
      <c r="A412" s="1"/>
      <c r="B412" s="657" t="str">
        <f t="shared" ca="1" si="68"/>
        <v/>
      </c>
      <c r="C412" s="223" t="str">
        <f t="shared" ca="1" si="69"/>
        <v/>
      </c>
      <c r="D412" s="519">
        <f t="shared" si="74"/>
        <v>407</v>
      </c>
      <c r="E412" s="225" t="str">
        <f t="shared" ca="1" si="70"/>
        <v/>
      </c>
      <c r="F412" s="224" t="str">
        <f t="shared" si="76"/>
        <v>CASSA</v>
      </c>
      <c r="G412" s="384" t="str">
        <f t="shared" ca="1" si="71"/>
        <v/>
      </c>
      <c r="H412" s="512">
        <f t="shared" ca="1" si="72"/>
        <v>0</v>
      </c>
      <c r="I412" s="1603" t="str">
        <f t="shared" ca="1" si="66"/>
        <v/>
      </c>
      <c r="J412" s="1604"/>
      <c r="K412" s="373"/>
      <c r="L412" s="513">
        <f t="shared" ca="1" si="75"/>
        <v>656.58</v>
      </c>
      <c r="M412" s="654">
        <f t="shared" ca="1" si="73"/>
        <v>1</v>
      </c>
      <c r="N412" s="226">
        <f t="shared" ca="1" si="67"/>
        <v>0</v>
      </c>
      <c r="O412" s="1"/>
    </row>
    <row r="413" spans="1:15" ht="16.5" customHeight="1">
      <c r="A413" s="1"/>
      <c r="B413" s="657" t="str">
        <f t="shared" ca="1" si="68"/>
        <v/>
      </c>
      <c r="C413" s="223" t="str">
        <f t="shared" ca="1" si="69"/>
        <v/>
      </c>
      <c r="D413" s="519">
        <f t="shared" si="74"/>
        <v>408</v>
      </c>
      <c r="E413" s="225" t="str">
        <f t="shared" ca="1" si="70"/>
        <v/>
      </c>
      <c r="F413" s="224" t="str">
        <f t="shared" si="76"/>
        <v>CASSA</v>
      </c>
      <c r="G413" s="384" t="str">
        <f t="shared" ca="1" si="71"/>
        <v/>
      </c>
      <c r="H413" s="512">
        <f t="shared" ca="1" si="72"/>
        <v>0</v>
      </c>
      <c r="I413" s="1603" t="str">
        <f t="shared" ca="1" si="66"/>
        <v/>
      </c>
      <c r="J413" s="1604"/>
      <c r="K413" s="373"/>
      <c r="L413" s="513">
        <f t="shared" ca="1" si="75"/>
        <v>656.58</v>
      </c>
      <c r="M413" s="654">
        <f t="shared" ca="1" si="73"/>
        <v>1</v>
      </c>
      <c r="N413" s="226">
        <f t="shared" ca="1" si="67"/>
        <v>0</v>
      </c>
      <c r="O413" s="1"/>
    </row>
    <row r="414" spans="1:15" ht="16.5" customHeight="1">
      <c r="A414" s="1"/>
      <c r="B414" s="657" t="str">
        <f t="shared" ca="1" si="68"/>
        <v/>
      </c>
      <c r="C414" s="223" t="str">
        <f t="shared" ca="1" si="69"/>
        <v/>
      </c>
      <c r="D414" s="519">
        <f t="shared" si="74"/>
        <v>409</v>
      </c>
      <c r="E414" s="225" t="str">
        <f t="shared" ca="1" si="70"/>
        <v/>
      </c>
      <c r="F414" s="224" t="str">
        <f t="shared" si="76"/>
        <v>CASSA</v>
      </c>
      <c r="G414" s="384" t="str">
        <f t="shared" ca="1" si="71"/>
        <v/>
      </c>
      <c r="H414" s="512">
        <f t="shared" ca="1" si="72"/>
        <v>0</v>
      </c>
      <c r="I414" s="1603" t="str">
        <f t="shared" ca="1" si="66"/>
        <v/>
      </c>
      <c r="J414" s="1604"/>
      <c r="K414" s="373"/>
      <c r="L414" s="513">
        <f t="shared" ca="1" si="75"/>
        <v>656.58</v>
      </c>
      <c r="M414" s="654">
        <f t="shared" ca="1" si="73"/>
        <v>1</v>
      </c>
      <c r="N414" s="226">
        <f t="shared" ca="1" si="67"/>
        <v>0</v>
      </c>
      <c r="O414" s="1"/>
    </row>
    <row r="415" spans="1:15" ht="16.5" customHeight="1">
      <c r="A415" s="1"/>
      <c r="B415" s="657" t="str">
        <f t="shared" ca="1" si="68"/>
        <v/>
      </c>
      <c r="C415" s="223" t="str">
        <f t="shared" ca="1" si="69"/>
        <v/>
      </c>
      <c r="D415" s="519">
        <f t="shared" si="74"/>
        <v>410</v>
      </c>
      <c r="E415" s="225" t="str">
        <f t="shared" ca="1" si="70"/>
        <v/>
      </c>
      <c r="F415" s="224" t="str">
        <f t="shared" si="76"/>
        <v>CASSA</v>
      </c>
      <c r="G415" s="384" t="str">
        <f t="shared" ca="1" si="71"/>
        <v/>
      </c>
      <c r="H415" s="512">
        <f t="shared" ca="1" si="72"/>
        <v>0</v>
      </c>
      <c r="I415" s="1603" t="str">
        <f t="shared" ca="1" si="66"/>
        <v/>
      </c>
      <c r="J415" s="1604"/>
      <c r="K415" s="373"/>
      <c r="L415" s="513">
        <f t="shared" ca="1" si="75"/>
        <v>656.58</v>
      </c>
      <c r="M415" s="654">
        <f t="shared" ca="1" si="73"/>
        <v>1</v>
      </c>
      <c r="N415" s="226">
        <f t="shared" ca="1" si="67"/>
        <v>0</v>
      </c>
      <c r="O415" s="1"/>
    </row>
    <row r="416" spans="1:15" ht="16.5" customHeight="1">
      <c r="A416" s="1"/>
      <c r="B416" s="657" t="str">
        <f t="shared" ca="1" si="68"/>
        <v/>
      </c>
      <c r="C416" s="223" t="str">
        <f t="shared" ca="1" si="69"/>
        <v/>
      </c>
      <c r="D416" s="519">
        <f t="shared" si="74"/>
        <v>411</v>
      </c>
      <c r="E416" s="225" t="str">
        <f t="shared" ca="1" si="70"/>
        <v/>
      </c>
      <c r="F416" s="224" t="str">
        <f t="shared" si="76"/>
        <v>CASSA</v>
      </c>
      <c r="G416" s="384" t="str">
        <f t="shared" ca="1" si="71"/>
        <v/>
      </c>
      <c r="H416" s="512">
        <f t="shared" ca="1" si="72"/>
        <v>0</v>
      </c>
      <c r="I416" s="1603" t="str">
        <f t="shared" ca="1" si="66"/>
        <v/>
      </c>
      <c r="J416" s="1604"/>
      <c r="K416" s="373"/>
      <c r="L416" s="513">
        <f t="shared" ca="1" si="75"/>
        <v>656.58</v>
      </c>
      <c r="M416" s="654">
        <f t="shared" ca="1" si="73"/>
        <v>1</v>
      </c>
      <c r="N416" s="226">
        <f t="shared" ca="1" si="67"/>
        <v>0</v>
      </c>
      <c r="O416" s="1"/>
    </row>
    <row r="417" spans="1:15" ht="16.5" customHeight="1">
      <c r="A417" s="1"/>
      <c r="B417" s="657" t="str">
        <f t="shared" ca="1" si="68"/>
        <v/>
      </c>
      <c r="C417" s="223" t="str">
        <f t="shared" ca="1" si="69"/>
        <v/>
      </c>
      <c r="D417" s="519">
        <f t="shared" si="74"/>
        <v>412</v>
      </c>
      <c r="E417" s="225" t="str">
        <f t="shared" ca="1" si="70"/>
        <v/>
      </c>
      <c r="F417" s="224" t="str">
        <f t="shared" si="76"/>
        <v>CASSA</v>
      </c>
      <c r="G417" s="384" t="str">
        <f t="shared" ca="1" si="71"/>
        <v/>
      </c>
      <c r="H417" s="512">
        <f t="shared" ca="1" si="72"/>
        <v>0</v>
      </c>
      <c r="I417" s="1603" t="str">
        <f t="shared" ca="1" si="66"/>
        <v/>
      </c>
      <c r="J417" s="1604"/>
      <c r="K417" s="373"/>
      <c r="L417" s="513">
        <f t="shared" ca="1" si="75"/>
        <v>656.58</v>
      </c>
      <c r="M417" s="654">
        <f t="shared" ca="1" si="73"/>
        <v>1</v>
      </c>
      <c r="N417" s="226">
        <f t="shared" ca="1" si="67"/>
        <v>0</v>
      </c>
      <c r="O417" s="1"/>
    </row>
    <row r="418" spans="1:15" ht="16.5" customHeight="1">
      <c r="A418" s="1"/>
      <c r="B418" s="657" t="str">
        <f t="shared" ca="1" si="68"/>
        <v/>
      </c>
      <c r="C418" s="223" t="str">
        <f t="shared" ca="1" si="69"/>
        <v/>
      </c>
      <c r="D418" s="519">
        <f t="shared" si="74"/>
        <v>413</v>
      </c>
      <c r="E418" s="225" t="str">
        <f t="shared" ca="1" si="70"/>
        <v/>
      </c>
      <c r="F418" s="224" t="str">
        <f t="shared" si="76"/>
        <v>CASSA</v>
      </c>
      <c r="G418" s="384" t="str">
        <f t="shared" ca="1" si="71"/>
        <v/>
      </c>
      <c r="H418" s="512">
        <f t="shared" ca="1" si="72"/>
        <v>0</v>
      </c>
      <c r="I418" s="1603" t="str">
        <f t="shared" ca="1" si="66"/>
        <v/>
      </c>
      <c r="J418" s="1604"/>
      <c r="K418" s="373"/>
      <c r="L418" s="513">
        <f t="shared" ca="1" si="75"/>
        <v>656.58</v>
      </c>
      <c r="M418" s="654">
        <f t="shared" ca="1" si="73"/>
        <v>1</v>
      </c>
      <c r="N418" s="226">
        <f t="shared" ca="1" si="67"/>
        <v>0</v>
      </c>
      <c r="O418" s="1"/>
    </row>
    <row r="419" spans="1:15" ht="16.5" customHeight="1">
      <c r="A419" s="1"/>
      <c r="B419" s="657" t="str">
        <f t="shared" ca="1" si="68"/>
        <v/>
      </c>
      <c r="C419" s="223" t="str">
        <f t="shared" ca="1" si="69"/>
        <v/>
      </c>
      <c r="D419" s="519">
        <f t="shared" si="74"/>
        <v>414</v>
      </c>
      <c r="E419" s="225" t="str">
        <f t="shared" ca="1" si="70"/>
        <v/>
      </c>
      <c r="F419" s="224" t="str">
        <f t="shared" si="76"/>
        <v>CASSA</v>
      </c>
      <c r="G419" s="384" t="str">
        <f t="shared" ca="1" si="71"/>
        <v/>
      </c>
      <c r="H419" s="512">
        <f t="shared" ca="1" si="72"/>
        <v>0</v>
      </c>
      <c r="I419" s="1603" t="str">
        <f t="shared" ca="1" si="66"/>
        <v/>
      </c>
      <c r="J419" s="1604"/>
      <c r="K419" s="373"/>
      <c r="L419" s="513">
        <f t="shared" ca="1" si="75"/>
        <v>656.58</v>
      </c>
      <c r="M419" s="654">
        <f t="shared" ca="1" si="73"/>
        <v>1</v>
      </c>
      <c r="N419" s="226">
        <f t="shared" ca="1" si="67"/>
        <v>0</v>
      </c>
      <c r="O419" s="1"/>
    </row>
    <row r="420" spans="1:15" ht="16.5" customHeight="1">
      <c r="A420" s="1"/>
      <c r="B420" s="657" t="str">
        <f t="shared" ca="1" si="68"/>
        <v/>
      </c>
      <c r="C420" s="223" t="str">
        <f t="shared" ca="1" si="69"/>
        <v/>
      </c>
      <c r="D420" s="519">
        <f t="shared" si="74"/>
        <v>415</v>
      </c>
      <c r="E420" s="225" t="str">
        <f t="shared" ca="1" si="70"/>
        <v/>
      </c>
      <c r="F420" s="224" t="str">
        <f t="shared" si="76"/>
        <v>CASSA</v>
      </c>
      <c r="G420" s="384" t="str">
        <f t="shared" ca="1" si="71"/>
        <v/>
      </c>
      <c r="H420" s="512">
        <f t="shared" ca="1" si="72"/>
        <v>0</v>
      </c>
      <c r="I420" s="1603" t="str">
        <f t="shared" ca="1" si="66"/>
        <v/>
      </c>
      <c r="J420" s="1604"/>
      <c r="K420" s="373"/>
      <c r="L420" s="513">
        <f t="shared" ca="1" si="75"/>
        <v>656.58</v>
      </c>
      <c r="M420" s="654">
        <f t="shared" ca="1" si="73"/>
        <v>1</v>
      </c>
      <c r="N420" s="226">
        <f t="shared" ca="1" si="67"/>
        <v>0</v>
      </c>
      <c r="O420" s="1"/>
    </row>
    <row r="421" spans="1:15" ht="16.5" customHeight="1">
      <c r="A421" s="1"/>
      <c r="B421" s="657" t="str">
        <f t="shared" ca="1" si="68"/>
        <v/>
      </c>
      <c r="C421" s="223" t="str">
        <f t="shared" ca="1" si="69"/>
        <v/>
      </c>
      <c r="D421" s="519">
        <f t="shared" si="74"/>
        <v>416</v>
      </c>
      <c r="E421" s="225" t="str">
        <f t="shared" ca="1" si="70"/>
        <v/>
      </c>
      <c r="F421" s="224" t="str">
        <f t="shared" si="76"/>
        <v>CASSA</v>
      </c>
      <c r="G421" s="384" t="str">
        <f t="shared" ca="1" si="71"/>
        <v/>
      </c>
      <c r="H421" s="512">
        <f t="shared" ca="1" si="72"/>
        <v>0</v>
      </c>
      <c r="I421" s="1603" t="str">
        <f t="shared" ca="1" si="66"/>
        <v/>
      </c>
      <c r="J421" s="1604"/>
      <c r="K421" s="373"/>
      <c r="L421" s="513">
        <f t="shared" ca="1" si="75"/>
        <v>656.58</v>
      </c>
      <c r="M421" s="654">
        <f t="shared" ca="1" si="73"/>
        <v>1</v>
      </c>
      <c r="N421" s="226">
        <f t="shared" ca="1" si="67"/>
        <v>0</v>
      </c>
      <c r="O421" s="1"/>
    </row>
    <row r="422" spans="1:15" ht="16.5" customHeight="1">
      <c r="A422" s="1"/>
      <c r="B422" s="657" t="str">
        <f t="shared" ca="1" si="68"/>
        <v/>
      </c>
      <c r="C422" s="223" t="str">
        <f t="shared" ca="1" si="69"/>
        <v/>
      </c>
      <c r="D422" s="519">
        <f t="shared" si="74"/>
        <v>417</v>
      </c>
      <c r="E422" s="225" t="str">
        <f t="shared" ca="1" si="70"/>
        <v/>
      </c>
      <c r="F422" s="224" t="str">
        <f t="shared" si="76"/>
        <v>CASSA</v>
      </c>
      <c r="G422" s="384" t="str">
        <f t="shared" ca="1" si="71"/>
        <v/>
      </c>
      <c r="H422" s="512">
        <f t="shared" ca="1" si="72"/>
        <v>0</v>
      </c>
      <c r="I422" s="1603" t="str">
        <f t="shared" ca="1" si="66"/>
        <v/>
      </c>
      <c r="J422" s="1604"/>
      <c r="K422" s="373"/>
      <c r="L422" s="513">
        <f t="shared" ca="1" si="75"/>
        <v>656.58</v>
      </c>
      <c r="M422" s="654">
        <f t="shared" ca="1" si="73"/>
        <v>1</v>
      </c>
      <c r="N422" s="226">
        <f t="shared" ca="1" si="67"/>
        <v>0</v>
      </c>
      <c r="O422" s="1"/>
    </row>
    <row r="423" spans="1:15" ht="16.5" customHeight="1">
      <c r="A423" s="1"/>
      <c r="B423" s="657" t="str">
        <f t="shared" ca="1" si="68"/>
        <v/>
      </c>
      <c r="C423" s="223" t="str">
        <f t="shared" ca="1" si="69"/>
        <v/>
      </c>
      <c r="D423" s="519">
        <f t="shared" si="74"/>
        <v>418</v>
      </c>
      <c r="E423" s="225" t="str">
        <f t="shared" ca="1" si="70"/>
        <v/>
      </c>
      <c r="F423" s="224" t="str">
        <f t="shared" si="76"/>
        <v>CASSA</v>
      </c>
      <c r="G423" s="384" t="str">
        <f t="shared" ca="1" si="71"/>
        <v/>
      </c>
      <c r="H423" s="512">
        <f t="shared" ca="1" si="72"/>
        <v>0</v>
      </c>
      <c r="I423" s="1603" t="str">
        <f t="shared" ca="1" si="66"/>
        <v/>
      </c>
      <c r="J423" s="1604"/>
      <c r="K423" s="373"/>
      <c r="L423" s="513">
        <f t="shared" ca="1" si="75"/>
        <v>656.58</v>
      </c>
      <c r="M423" s="654">
        <f t="shared" ca="1" si="73"/>
        <v>1</v>
      </c>
      <c r="N423" s="226">
        <f t="shared" ca="1" si="67"/>
        <v>0</v>
      </c>
      <c r="O423" s="1"/>
    </row>
    <row r="424" spans="1:15" ht="16.5" customHeight="1">
      <c r="A424" s="1"/>
      <c r="B424" s="657" t="str">
        <f t="shared" ca="1" si="68"/>
        <v/>
      </c>
      <c r="C424" s="223" t="str">
        <f t="shared" ca="1" si="69"/>
        <v/>
      </c>
      <c r="D424" s="519">
        <f t="shared" si="74"/>
        <v>419</v>
      </c>
      <c r="E424" s="225" t="str">
        <f t="shared" ca="1" si="70"/>
        <v/>
      </c>
      <c r="F424" s="224" t="str">
        <f t="shared" si="76"/>
        <v>CASSA</v>
      </c>
      <c r="G424" s="384" t="str">
        <f t="shared" ca="1" si="71"/>
        <v/>
      </c>
      <c r="H424" s="512">
        <f t="shared" ca="1" si="72"/>
        <v>0</v>
      </c>
      <c r="I424" s="1603" t="str">
        <f t="shared" ca="1" si="66"/>
        <v/>
      </c>
      <c r="J424" s="1604"/>
      <c r="K424" s="373"/>
      <c r="L424" s="513">
        <f t="shared" ca="1" si="75"/>
        <v>656.58</v>
      </c>
      <c r="M424" s="654">
        <f t="shared" ca="1" si="73"/>
        <v>1</v>
      </c>
      <c r="N424" s="226">
        <f t="shared" ca="1" si="67"/>
        <v>0</v>
      </c>
      <c r="O424" s="1"/>
    </row>
    <row r="425" spans="1:15" ht="16.5" customHeight="1">
      <c r="A425" s="1"/>
      <c r="B425" s="657" t="str">
        <f t="shared" ca="1" si="68"/>
        <v/>
      </c>
      <c r="C425" s="223" t="str">
        <f t="shared" ca="1" si="69"/>
        <v/>
      </c>
      <c r="D425" s="519">
        <f t="shared" si="74"/>
        <v>420</v>
      </c>
      <c r="E425" s="225" t="str">
        <f t="shared" ca="1" si="70"/>
        <v/>
      </c>
      <c r="F425" s="224" t="str">
        <f t="shared" si="76"/>
        <v>CASSA</v>
      </c>
      <c r="G425" s="384" t="str">
        <f t="shared" ca="1" si="71"/>
        <v/>
      </c>
      <c r="H425" s="512">
        <f t="shared" ca="1" si="72"/>
        <v>0</v>
      </c>
      <c r="I425" s="1603" t="str">
        <f t="shared" ca="1" si="66"/>
        <v/>
      </c>
      <c r="J425" s="1604"/>
      <c r="K425" s="373"/>
      <c r="L425" s="513">
        <f t="shared" ca="1" si="75"/>
        <v>656.58</v>
      </c>
      <c r="M425" s="654">
        <f t="shared" ca="1" si="73"/>
        <v>1</v>
      </c>
      <c r="N425" s="226">
        <f t="shared" ca="1" si="67"/>
        <v>0</v>
      </c>
      <c r="O425" s="1"/>
    </row>
    <row r="426" spans="1:15" ht="16.5" customHeight="1">
      <c r="A426" s="1"/>
      <c r="B426" s="657" t="str">
        <f t="shared" ca="1" si="68"/>
        <v/>
      </c>
      <c r="C426" s="223" t="str">
        <f t="shared" ca="1" si="69"/>
        <v/>
      </c>
      <c r="D426" s="519">
        <f t="shared" si="74"/>
        <v>421</v>
      </c>
      <c r="E426" s="225" t="str">
        <f t="shared" ca="1" si="70"/>
        <v/>
      </c>
      <c r="F426" s="224" t="str">
        <f t="shared" si="76"/>
        <v>CASSA</v>
      </c>
      <c r="G426" s="384" t="str">
        <f t="shared" ca="1" si="71"/>
        <v/>
      </c>
      <c r="H426" s="512">
        <f t="shared" ca="1" si="72"/>
        <v>0</v>
      </c>
      <c r="I426" s="1603" t="str">
        <f t="shared" ca="1" si="66"/>
        <v/>
      </c>
      <c r="J426" s="1604"/>
      <c r="K426" s="373"/>
      <c r="L426" s="513">
        <f t="shared" ca="1" si="75"/>
        <v>656.58</v>
      </c>
      <c r="M426" s="654">
        <f t="shared" ca="1" si="73"/>
        <v>1</v>
      </c>
      <c r="N426" s="226">
        <f t="shared" ca="1" si="67"/>
        <v>0</v>
      </c>
      <c r="O426" s="1"/>
    </row>
    <row r="427" spans="1:15" ht="16.5" customHeight="1">
      <c r="A427" s="1"/>
      <c r="B427" s="657" t="str">
        <f t="shared" ca="1" si="68"/>
        <v/>
      </c>
      <c r="C427" s="223" t="str">
        <f t="shared" ca="1" si="69"/>
        <v/>
      </c>
      <c r="D427" s="519">
        <f t="shared" si="74"/>
        <v>422</v>
      </c>
      <c r="E427" s="225" t="str">
        <f t="shared" ca="1" si="70"/>
        <v/>
      </c>
      <c r="F427" s="224" t="str">
        <f t="shared" si="76"/>
        <v>CASSA</v>
      </c>
      <c r="G427" s="384" t="str">
        <f t="shared" ca="1" si="71"/>
        <v/>
      </c>
      <c r="H427" s="512">
        <f t="shared" ca="1" si="72"/>
        <v>0</v>
      </c>
      <c r="I427" s="1603" t="str">
        <f t="shared" ca="1" si="66"/>
        <v/>
      </c>
      <c r="J427" s="1604"/>
      <c r="K427" s="373"/>
      <c r="L427" s="513">
        <f t="shared" ca="1" si="75"/>
        <v>656.58</v>
      </c>
      <c r="M427" s="654">
        <f t="shared" ca="1" si="73"/>
        <v>1</v>
      </c>
      <c r="N427" s="226">
        <f t="shared" ca="1" si="67"/>
        <v>0</v>
      </c>
      <c r="O427" s="1"/>
    </row>
    <row r="428" spans="1:15" ht="16.5" customHeight="1">
      <c r="A428" s="1"/>
      <c r="B428" s="657" t="str">
        <f t="shared" ca="1" si="68"/>
        <v/>
      </c>
      <c r="C428" s="223" t="str">
        <f t="shared" ca="1" si="69"/>
        <v/>
      </c>
      <c r="D428" s="519">
        <f t="shared" si="74"/>
        <v>423</v>
      </c>
      <c r="E428" s="225" t="str">
        <f t="shared" ca="1" si="70"/>
        <v/>
      </c>
      <c r="F428" s="224" t="str">
        <f t="shared" si="76"/>
        <v>CASSA</v>
      </c>
      <c r="G428" s="384" t="str">
        <f t="shared" ca="1" si="71"/>
        <v/>
      </c>
      <c r="H428" s="512">
        <f t="shared" ca="1" si="72"/>
        <v>0</v>
      </c>
      <c r="I428" s="1603" t="str">
        <f t="shared" ca="1" si="66"/>
        <v/>
      </c>
      <c r="J428" s="1604"/>
      <c r="K428" s="373"/>
      <c r="L428" s="513">
        <f t="shared" ca="1" si="75"/>
        <v>656.58</v>
      </c>
      <c r="M428" s="654">
        <f t="shared" ca="1" si="73"/>
        <v>1</v>
      </c>
      <c r="N428" s="226">
        <f t="shared" ca="1" si="67"/>
        <v>0</v>
      </c>
      <c r="O428" s="1"/>
    </row>
    <row r="429" spans="1:15" ht="16.5" customHeight="1">
      <c r="A429" s="1"/>
      <c r="B429" s="657" t="str">
        <f t="shared" ca="1" si="68"/>
        <v/>
      </c>
      <c r="C429" s="223" t="str">
        <f t="shared" ca="1" si="69"/>
        <v/>
      </c>
      <c r="D429" s="519">
        <f t="shared" si="74"/>
        <v>424</v>
      </c>
      <c r="E429" s="225" t="str">
        <f t="shared" ca="1" si="70"/>
        <v/>
      </c>
      <c r="F429" s="224" t="str">
        <f t="shared" si="76"/>
        <v>CASSA</v>
      </c>
      <c r="G429" s="384" t="str">
        <f t="shared" ca="1" si="71"/>
        <v/>
      </c>
      <c r="H429" s="512">
        <f t="shared" ca="1" si="72"/>
        <v>0</v>
      </c>
      <c r="I429" s="1603" t="str">
        <f t="shared" ca="1" si="66"/>
        <v/>
      </c>
      <c r="J429" s="1604"/>
      <c r="K429" s="373"/>
      <c r="L429" s="513">
        <f t="shared" ca="1" si="75"/>
        <v>656.58</v>
      </c>
      <c r="M429" s="654">
        <f t="shared" ca="1" si="73"/>
        <v>1</v>
      </c>
      <c r="N429" s="226">
        <f t="shared" ca="1" si="67"/>
        <v>0</v>
      </c>
      <c r="O429" s="1"/>
    </row>
    <row r="430" spans="1:15" ht="16.5" customHeight="1">
      <c r="A430" s="1"/>
      <c r="B430" s="657" t="str">
        <f t="shared" ca="1" si="68"/>
        <v/>
      </c>
      <c r="C430" s="223" t="str">
        <f t="shared" ca="1" si="69"/>
        <v/>
      </c>
      <c r="D430" s="519">
        <f t="shared" si="74"/>
        <v>425</v>
      </c>
      <c r="E430" s="225" t="str">
        <f t="shared" ca="1" si="70"/>
        <v/>
      </c>
      <c r="F430" s="224" t="str">
        <f t="shared" si="76"/>
        <v>CASSA</v>
      </c>
      <c r="G430" s="384" t="str">
        <f t="shared" ca="1" si="71"/>
        <v/>
      </c>
      <c r="H430" s="512">
        <f t="shared" ca="1" si="72"/>
        <v>0</v>
      </c>
      <c r="I430" s="1603" t="str">
        <f t="shared" ca="1" si="66"/>
        <v/>
      </c>
      <c r="J430" s="1604"/>
      <c r="K430" s="373"/>
      <c r="L430" s="513">
        <f t="shared" ca="1" si="75"/>
        <v>656.58</v>
      </c>
      <c r="M430" s="654">
        <f t="shared" ca="1" si="73"/>
        <v>1</v>
      </c>
      <c r="N430" s="226">
        <f t="shared" ca="1" si="67"/>
        <v>0</v>
      </c>
      <c r="O430" s="1"/>
    </row>
    <row r="431" spans="1:15" ht="16.5" customHeight="1">
      <c r="A431" s="1"/>
      <c r="B431" s="657" t="str">
        <f t="shared" ca="1" si="68"/>
        <v/>
      </c>
      <c r="C431" s="223" t="str">
        <f t="shared" ca="1" si="69"/>
        <v/>
      </c>
      <c r="D431" s="519">
        <f t="shared" si="74"/>
        <v>426</v>
      </c>
      <c r="E431" s="225" t="str">
        <f t="shared" ca="1" si="70"/>
        <v/>
      </c>
      <c r="F431" s="224" t="str">
        <f t="shared" si="76"/>
        <v>CASSA</v>
      </c>
      <c r="G431" s="384" t="str">
        <f t="shared" ca="1" si="71"/>
        <v/>
      </c>
      <c r="H431" s="512">
        <f t="shared" ca="1" si="72"/>
        <v>0</v>
      </c>
      <c r="I431" s="1603" t="str">
        <f t="shared" ca="1" si="66"/>
        <v/>
      </c>
      <c r="J431" s="1604"/>
      <c r="K431" s="373"/>
      <c r="L431" s="513">
        <f t="shared" ca="1" si="75"/>
        <v>656.58</v>
      </c>
      <c r="M431" s="654">
        <f t="shared" ca="1" si="73"/>
        <v>1</v>
      </c>
      <c r="N431" s="226">
        <f t="shared" ca="1" si="67"/>
        <v>0</v>
      </c>
      <c r="O431" s="1"/>
    </row>
    <row r="432" spans="1:15" ht="16.5" customHeight="1">
      <c r="A432" s="1"/>
      <c r="B432" s="657" t="str">
        <f t="shared" ca="1" si="68"/>
        <v/>
      </c>
      <c r="C432" s="223" t="str">
        <f t="shared" ca="1" si="69"/>
        <v/>
      </c>
      <c r="D432" s="519">
        <f t="shared" si="74"/>
        <v>427</v>
      </c>
      <c r="E432" s="225" t="str">
        <f t="shared" ca="1" si="70"/>
        <v/>
      </c>
      <c r="F432" s="224" t="str">
        <f t="shared" si="76"/>
        <v>CASSA</v>
      </c>
      <c r="G432" s="384" t="str">
        <f t="shared" ca="1" si="71"/>
        <v/>
      </c>
      <c r="H432" s="512">
        <f t="shared" ca="1" si="72"/>
        <v>0</v>
      </c>
      <c r="I432" s="1603" t="str">
        <f t="shared" ca="1" si="66"/>
        <v/>
      </c>
      <c r="J432" s="1604"/>
      <c r="K432" s="373"/>
      <c r="L432" s="513">
        <f t="shared" ca="1" si="75"/>
        <v>656.58</v>
      </c>
      <c r="M432" s="654">
        <f t="shared" ca="1" si="73"/>
        <v>1</v>
      </c>
      <c r="N432" s="226">
        <f t="shared" ca="1" si="67"/>
        <v>0</v>
      </c>
      <c r="O432" s="1"/>
    </row>
    <row r="433" spans="1:15" ht="16.5" customHeight="1">
      <c r="A433" s="1"/>
      <c r="B433" s="657" t="str">
        <f t="shared" ca="1" si="68"/>
        <v/>
      </c>
      <c r="C433" s="223" t="str">
        <f t="shared" ca="1" si="69"/>
        <v/>
      </c>
      <c r="D433" s="519">
        <f t="shared" si="74"/>
        <v>428</v>
      </c>
      <c r="E433" s="225" t="str">
        <f t="shared" ca="1" si="70"/>
        <v/>
      </c>
      <c r="F433" s="224" t="str">
        <f t="shared" si="76"/>
        <v>CASSA</v>
      </c>
      <c r="G433" s="384" t="str">
        <f t="shared" ca="1" si="71"/>
        <v/>
      </c>
      <c r="H433" s="512">
        <f t="shared" ca="1" si="72"/>
        <v>0</v>
      </c>
      <c r="I433" s="1603" t="str">
        <f t="shared" ca="1" si="66"/>
        <v/>
      </c>
      <c r="J433" s="1604"/>
      <c r="K433" s="373"/>
      <c r="L433" s="513">
        <f t="shared" ca="1" si="75"/>
        <v>656.58</v>
      </c>
      <c r="M433" s="654">
        <f t="shared" ca="1" si="73"/>
        <v>1</v>
      </c>
      <c r="N433" s="226">
        <f t="shared" ca="1" si="67"/>
        <v>0</v>
      </c>
      <c r="O433" s="1"/>
    </row>
    <row r="434" spans="1:15" ht="16.5" customHeight="1">
      <c r="A434" s="1"/>
      <c r="B434" s="657" t="str">
        <f t="shared" ca="1" si="68"/>
        <v/>
      </c>
      <c r="C434" s="223" t="str">
        <f t="shared" ca="1" si="69"/>
        <v/>
      </c>
      <c r="D434" s="519">
        <f t="shared" si="74"/>
        <v>429</v>
      </c>
      <c r="E434" s="225" t="str">
        <f t="shared" ca="1" si="70"/>
        <v/>
      </c>
      <c r="F434" s="224" t="str">
        <f t="shared" si="76"/>
        <v>CASSA</v>
      </c>
      <c r="G434" s="384" t="str">
        <f t="shared" ca="1" si="71"/>
        <v/>
      </c>
      <c r="H434" s="512">
        <f t="shared" ca="1" si="72"/>
        <v>0</v>
      </c>
      <c r="I434" s="1603" t="str">
        <f t="shared" ca="1" si="66"/>
        <v/>
      </c>
      <c r="J434" s="1604"/>
      <c r="K434" s="373"/>
      <c r="L434" s="513">
        <f t="shared" ca="1" si="75"/>
        <v>656.58</v>
      </c>
      <c r="M434" s="654">
        <f t="shared" ca="1" si="73"/>
        <v>1</v>
      </c>
      <c r="N434" s="226">
        <f t="shared" ca="1" si="67"/>
        <v>0</v>
      </c>
      <c r="O434" s="1"/>
    </row>
    <row r="435" spans="1:15" ht="16.5" customHeight="1">
      <c r="A435" s="1"/>
      <c r="B435" s="657" t="str">
        <f t="shared" ca="1" si="68"/>
        <v/>
      </c>
      <c r="C435" s="223" t="str">
        <f t="shared" ca="1" si="69"/>
        <v/>
      </c>
      <c r="D435" s="519">
        <f t="shared" si="74"/>
        <v>430</v>
      </c>
      <c r="E435" s="225" t="str">
        <f t="shared" ca="1" si="70"/>
        <v/>
      </c>
      <c r="F435" s="224" t="str">
        <f t="shared" si="76"/>
        <v>CASSA</v>
      </c>
      <c r="G435" s="384" t="str">
        <f t="shared" ca="1" si="71"/>
        <v/>
      </c>
      <c r="H435" s="512">
        <f t="shared" ca="1" si="72"/>
        <v>0</v>
      </c>
      <c r="I435" s="1603" t="str">
        <f t="shared" ca="1" si="66"/>
        <v/>
      </c>
      <c r="J435" s="1604"/>
      <c r="K435" s="373"/>
      <c r="L435" s="513">
        <f t="shared" ca="1" si="75"/>
        <v>656.58</v>
      </c>
      <c r="M435" s="654">
        <f t="shared" ca="1" si="73"/>
        <v>1</v>
      </c>
      <c r="N435" s="226">
        <f t="shared" ca="1" si="67"/>
        <v>0</v>
      </c>
      <c r="O435" s="1"/>
    </row>
    <row r="436" spans="1:15" ht="16.5" customHeight="1">
      <c r="A436" s="1"/>
      <c r="B436" s="657" t="str">
        <f t="shared" ca="1" si="68"/>
        <v/>
      </c>
      <c r="C436" s="223" t="str">
        <f t="shared" ca="1" si="69"/>
        <v/>
      </c>
      <c r="D436" s="519">
        <f t="shared" si="74"/>
        <v>431</v>
      </c>
      <c r="E436" s="225" t="str">
        <f t="shared" ca="1" si="70"/>
        <v/>
      </c>
      <c r="F436" s="224" t="str">
        <f t="shared" si="76"/>
        <v>CASSA</v>
      </c>
      <c r="G436" s="384" t="str">
        <f t="shared" ca="1" si="71"/>
        <v/>
      </c>
      <c r="H436" s="512">
        <f t="shared" ca="1" si="72"/>
        <v>0</v>
      </c>
      <c r="I436" s="1603" t="str">
        <f t="shared" ca="1" si="66"/>
        <v/>
      </c>
      <c r="J436" s="1604"/>
      <c r="K436" s="373"/>
      <c r="L436" s="513">
        <f t="shared" ca="1" si="75"/>
        <v>656.58</v>
      </c>
      <c r="M436" s="654">
        <f t="shared" ca="1" si="73"/>
        <v>1</v>
      </c>
      <c r="N436" s="226">
        <f t="shared" ca="1" si="67"/>
        <v>0</v>
      </c>
      <c r="O436" s="1"/>
    </row>
    <row r="437" spans="1:15" ht="16.5" customHeight="1">
      <c r="A437" s="1"/>
      <c r="B437" s="657" t="str">
        <f t="shared" ca="1" si="68"/>
        <v/>
      </c>
      <c r="C437" s="223" t="str">
        <f t="shared" ca="1" si="69"/>
        <v/>
      </c>
      <c r="D437" s="519">
        <f t="shared" si="74"/>
        <v>432</v>
      </c>
      <c r="E437" s="225" t="str">
        <f t="shared" ca="1" si="70"/>
        <v/>
      </c>
      <c r="F437" s="224" t="str">
        <f t="shared" si="76"/>
        <v>CASSA</v>
      </c>
      <c r="G437" s="384" t="str">
        <f t="shared" ca="1" si="71"/>
        <v/>
      </c>
      <c r="H437" s="512">
        <f t="shared" ca="1" si="72"/>
        <v>0</v>
      </c>
      <c r="I437" s="1603" t="str">
        <f t="shared" ca="1" si="66"/>
        <v/>
      </c>
      <c r="J437" s="1604"/>
      <c r="K437" s="373"/>
      <c r="L437" s="513">
        <f t="shared" ca="1" si="75"/>
        <v>656.58</v>
      </c>
      <c r="M437" s="654">
        <f t="shared" ca="1" si="73"/>
        <v>1</v>
      </c>
      <c r="N437" s="226">
        <f t="shared" ca="1" si="67"/>
        <v>0</v>
      </c>
      <c r="O437" s="1"/>
    </row>
    <row r="438" spans="1:15" ht="16.5" customHeight="1">
      <c r="A438" s="1"/>
      <c r="B438" s="657" t="str">
        <f t="shared" ca="1" si="68"/>
        <v/>
      </c>
      <c r="C438" s="223" t="str">
        <f t="shared" ca="1" si="69"/>
        <v/>
      </c>
      <c r="D438" s="519">
        <f t="shared" si="74"/>
        <v>433</v>
      </c>
      <c r="E438" s="225" t="str">
        <f t="shared" ca="1" si="70"/>
        <v/>
      </c>
      <c r="F438" s="224" t="str">
        <f t="shared" si="76"/>
        <v>CASSA</v>
      </c>
      <c r="G438" s="384" t="str">
        <f t="shared" ca="1" si="71"/>
        <v/>
      </c>
      <c r="H438" s="512">
        <f t="shared" ca="1" si="72"/>
        <v>0</v>
      </c>
      <c r="I438" s="1603" t="str">
        <f t="shared" ca="1" si="66"/>
        <v/>
      </c>
      <c r="J438" s="1604"/>
      <c r="K438" s="373"/>
      <c r="L438" s="513">
        <f t="shared" ca="1" si="75"/>
        <v>656.58</v>
      </c>
      <c r="M438" s="654">
        <f t="shared" ca="1" si="73"/>
        <v>1</v>
      </c>
      <c r="N438" s="226">
        <f t="shared" ca="1" si="67"/>
        <v>0</v>
      </c>
      <c r="O438" s="1"/>
    </row>
    <row r="439" spans="1:15" ht="16.5" customHeight="1">
      <c r="A439" s="1"/>
      <c r="B439" s="657" t="str">
        <f t="shared" ca="1" si="68"/>
        <v/>
      </c>
      <c r="C439" s="223" t="str">
        <f t="shared" ca="1" si="69"/>
        <v/>
      </c>
      <c r="D439" s="519">
        <f t="shared" si="74"/>
        <v>434</v>
      </c>
      <c r="E439" s="225" t="str">
        <f t="shared" ca="1" si="70"/>
        <v/>
      </c>
      <c r="F439" s="224" t="str">
        <f t="shared" si="76"/>
        <v>CASSA</v>
      </c>
      <c r="G439" s="384" t="str">
        <f t="shared" ca="1" si="71"/>
        <v/>
      </c>
      <c r="H439" s="512">
        <f t="shared" ca="1" si="72"/>
        <v>0</v>
      </c>
      <c r="I439" s="1603" t="str">
        <f t="shared" ca="1" si="66"/>
        <v/>
      </c>
      <c r="J439" s="1604"/>
      <c r="K439" s="373"/>
      <c r="L439" s="513">
        <f t="shared" ca="1" si="75"/>
        <v>656.58</v>
      </c>
      <c r="M439" s="654">
        <f t="shared" ca="1" si="73"/>
        <v>1</v>
      </c>
      <c r="N439" s="226">
        <f t="shared" ca="1" si="67"/>
        <v>0</v>
      </c>
      <c r="O439" s="1"/>
    </row>
    <row r="440" spans="1:15" ht="16.5" customHeight="1">
      <c r="A440" s="1"/>
      <c r="B440" s="657" t="str">
        <f t="shared" ca="1" si="68"/>
        <v/>
      </c>
      <c r="C440" s="223" t="str">
        <f t="shared" ca="1" si="69"/>
        <v/>
      </c>
      <c r="D440" s="519">
        <f t="shared" si="74"/>
        <v>435</v>
      </c>
      <c r="E440" s="225" t="str">
        <f t="shared" ca="1" si="70"/>
        <v/>
      </c>
      <c r="F440" s="224" t="str">
        <f t="shared" si="76"/>
        <v>CASSA</v>
      </c>
      <c r="G440" s="384" t="str">
        <f t="shared" ca="1" si="71"/>
        <v/>
      </c>
      <c r="H440" s="512">
        <f t="shared" ca="1" si="72"/>
        <v>0</v>
      </c>
      <c r="I440" s="1603" t="str">
        <f t="shared" ca="1" si="66"/>
        <v/>
      </c>
      <c r="J440" s="1604"/>
      <c r="K440" s="373"/>
      <c r="L440" s="513">
        <f t="shared" ca="1" si="75"/>
        <v>656.58</v>
      </c>
      <c r="M440" s="654">
        <f t="shared" ca="1" si="73"/>
        <v>1</v>
      </c>
      <c r="N440" s="226">
        <f t="shared" ca="1" si="67"/>
        <v>0</v>
      </c>
      <c r="O440" s="1"/>
    </row>
    <row r="441" spans="1:15" ht="16.5" customHeight="1">
      <c r="A441" s="1"/>
      <c r="B441" s="657" t="str">
        <f t="shared" ca="1" si="68"/>
        <v/>
      </c>
      <c r="C441" s="223" t="str">
        <f t="shared" ca="1" si="69"/>
        <v/>
      </c>
      <c r="D441" s="519">
        <f t="shared" si="74"/>
        <v>436</v>
      </c>
      <c r="E441" s="225" t="str">
        <f t="shared" ca="1" si="70"/>
        <v/>
      </c>
      <c r="F441" s="224" t="str">
        <f t="shared" si="76"/>
        <v>CASSA</v>
      </c>
      <c r="G441" s="384" t="str">
        <f t="shared" ca="1" si="71"/>
        <v/>
      </c>
      <c r="H441" s="512">
        <f t="shared" ca="1" si="72"/>
        <v>0</v>
      </c>
      <c r="I441" s="1603" t="str">
        <f t="shared" ca="1" si="66"/>
        <v/>
      </c>
      <c r="J441" s="1604"/>
      <c r="K441" s="373"/>
      <c r="L441" s="513">
        <f t="shared" ca="1" si="75"/>
        <v>656.58</v>
      </c>
      <c r="M441" s="654">
        <f t="shared" ca="1" si="73"/>
        <v>1</v>
      </c>
      <c r="N441" s="226">
        <f t="shared" ca="1" si="67"/>
        <v>0</v>
      </c>
      <c r="O441" s="1"/>
    </row>
    <row r="442" spans="1:15" ht="16.5" customHeight="1">
      <c r="A442" s="1"/>
      <c r="B442" s="657" t="str">
        <f t="shared" ca="1" si="68"/>
        <v/>
      </c>
      <c r="C442" s="223" t="str">
        <f t="shared" ca="1" si="69"/>
        <v/>
      </c>
      <c r="D442" s="519">
        <f t="shared" si="74"/>
        <v>437</v>
      </c>
      <c r="E442" s="225" t="str">
        <f t="shared" ca="1" si="70"/>
        <v/>
      </c>
      <c r="F442" s="224" t="str">
        <f t="shared" si="76"/>
        <v>CASSA</v>
      </c>
      <c r="G442" s="384" t="str">
        <f t="shared" ca="1" si="71"/>
        <v/>
      </c>
      <c r="H442" s="512">
        <f t="shared" ca="1" si="72"/>
        <v>0</v>
      </c>
      <c r="I442" s="1603" t="str">
        <f t="shared" ca="1" si="66"/>
        <v/>
      </c>
      <c r="J442" s="1604"/>
      <c r="K442" s="373"/>
      <c r="L442" s="513">
        <f t="shared" ca="1" si="75"/>
        <v>656.58</v>
      </c>
      <c r="M442" s="654">
        <f t="shared" ca="1" si="73"/>
        <v>1</v>
      </c>
      <c r="N442" s="226">
        <f t="shared" ca="1" si="67"/>
        <v>0</v>
      </c>
      <c r="O442" s="1"/>
    </row>
    <row r="443" spans="1:15" ht="16.5" customHeight="1">
      <c r="A443" s="1"/>
      <c r="B443" s="657" t="str">
        <f t="shared" ca="1" si="68"/>
        <v/>
      </c>
      <c r="C443" s="223" t="str">
        <f t="shared" ca="1" si="69"/>
        <v/>
      </c>
      <c r="D443" s="519">
        <f t="shared" si="74"/>
        <v>438</v>
      </c>
      <c r="E443" s="225" t="str">
        <f t="shared" ca="1" si="70"/>
        <v/>
      </c>
      <c r="F443" s="224" t="str">
        <f t="shared" si="76"/>
        <v>CASSA</v>
      </c>
      <c r="G443" s="384" t="str">
        <f t="shared" ca="1" si="71"/>
        <v/>
      </c>
      <c r="H443" s="512">
        <f t="shared" ca="1" si="72"/>
        <v>0</v>
      </c>
      <c r="I443" s="1603" t="str">
        <f t="shared" ca="1" si="66"/>
        <v/>
      </c>
      <c r="J443" s="1604"/>
      <c r="K443" s="373"/>
      <c r="L443" s="513">
        <f t="shared" ca="1" si="75"/>
        <v>656.58</v>
      </c>
      <c r="M443" s="654">
        <f t="shared" ca="1" si="73"/>
        <v>1</v>
      </c>
      <c r="N443" s="226">
        <f t="shared" ca="1" si="67"/>
        <v>0</v>
      </c>
      <c r="O443" s="1"/>
    </row>
    <row r="444" spans="1:15" ht="16.5" customHeight="1">
      <c r="A444" s="1"/>
      <c r="B444" s="657" t="str">
        <f t="shared" ca="1" si="68"/>
        <v/>
      </c>
      <c r="C444" s="223" t="str">
        <f t="shared" ca="1" si="69"/>
        <v/>
      </c>
      <c r="D444" s="519">
        <f t="shared" si="74"/>
        <v>439</v>
      </c>
      <c r="E444" s="225" t="str">
        <f t="shared" ca="1" si="70"/>
        <v/>
      </c>
      <c r="F444" s="224" t="str">
        <f t="shared" si="76"/>
        <v>CASSA</v>
      </c>
      <c r="G444" s="384" t="str">
        <f t="shared" ca="1" si="71"/>
        <v/>
      </c>
      <c r="H444" s="512">
        <f t="shared" ca="1" si="72"/>
        <v>0</v>
      </c>
      <c r="I444" s="1603" t="str">
        <f t="shared" ca="1" si="66"/>
        <v/>
      </c>
      <c r="J444" s="1604"/>
      <c r="K444" s="373"/>
      <c r="L444" s="513">
        <f t="shared" ca="1" si="75"/>
        <v>656.58</v>
      </c>
      <c r="M444" s="654">
        <f t="shared" ca="1" si="73"/>
        <v>1</v>
      </c>
      <c r="N444" s="226">
        <f t="shared" ca="1" si="67"/>
        <v>0</v>
      </c>
      <c r="O444" s="1"/>
    </row>
    <row r="445" spans="1:15" ht="16.5" customHeight="1">
      <c r="A445" s="1"/>
      <c r="B445" s="657" t="str">
        <f t="shared" ca="1" si="68"/>
        <v/>
      </c>
      <c r="C445" s="223" t="str">
        <f t="shared" ca="1" si="69"/>
        <v/>
      </c>
      <c r="D445" s="519">
        <f t="shared" si="74"/>
        <v>440</v>
      </c>
      <c r="E445" s="225" t="str">
        <f t="shared" ca="1" si="70"/>
        <v/>
      </c>
      <c r="F445" s="224" t="str">
        <f t="shared" si="76"/>
        <v>CASSA</v>
      </c>
      <c r="G445" s="384" t="str">
        <f t="shared" ca="1" si="71"/>
        <v/>
      </c>
      <c r="H445" s="512">
        <f t="shared" ca="1" si="72"/>
        <v>0</v>
      </c>
      <c r="I445" s="1603" t="str">
        <f t="shared" ca="1" si="66"/>
        <v/>
      </c>
      <c r="J445" s="1604"/>
      <c r="K445" s="373"/>
      <c r="L445" s="513">
        <f t="shared" ca="1" si="75"/>
        <v>656.58</v>
      </c>
      <c r="M445" s="654">
        <f t="shared" ca="1" si="73"/>
        <v>1</v>
      </c>
      <c r="N445" s="226">
        <f t="shared" ca="1" si="67"/>
        <v>0</v>
      </c>
      <c r="O445" s="1"/>
    </row>
    <row r="446" spans="1:15" ht="16.5" customHeight="1">
      <c r="A446" s="1"/>
      <c r="B446" s="657" t="str">
        <f t="shared" ca="1" si="68"/>
        <v/>
      </c>
      <c r="C446" s="223" t="str">
        <f t="shared" ca="1" si="69"/>
        <v/>
      </c>
      <c r="D446" s="519">
        <f t="shared" si="74"/>
        <v>441</v>
      </c>
      <c r="E446" s="225" t="str">
        <f t="shared" ca="1" si="70"/>
        <v/>
      </c>
      <c r="F446" s="224" t="str">
        <f t="shared" si="76"/>
        <v>CASSA</v>
      </c>
      <c r="G446" s="384" t="str">
        <f t="shared" ca="1" si="71"/>
        <v/>
      </c>
      <c r="H446" s="512">
        <f t="shared" ca="1" si="72"/>
        <v>0</v>
      </c>
      <c r="I446" s="1603" t="str">
        <f t="shared" ca="1" si="66"/>
        <v/>
      </c>
      <c r="J446" s="1604"/>
      <c r="K446" s="373"/>
      <c r="L446" s="513">
        <f t="shared" ca="1" si="75"/>
        <v>656.58</v>
      </c>
      <c r="M446" s="654">
        <f t="shared" ca="1" si="73"/>
        <v>1</v>
      </c>
      <c r="N446" s="226">
        <f t="shared" ca="1" si="67"/>
        <v>0</v>
      </c>
      <c r="O446" s="1"/>
    </row>
    <row r="447" spans="1:15" ht="16.5" customHeight="1">
      <c r="A447" s="1"/>
      <c r="B447" s="657" t="str">
        <f t="shared" ca="1" si="68"/>
        <v/>
      </c>
      <c r="C447" s="223" t="str">
        <f t="shared" ca="1" si="69"/>
        <v/>
      </c>
      <c r="D447" s="519">
        <f t="shared" si="74"/>
        <v>442</v>
      </c>
      <c r="E447" s="225" t="str">
        <f t="shared" ca="1" si="70"/>
        <v/>
      </c>
      <c r="F447" s="224" t="str">
        <f t="shared" si="76"/>
        <v>CASSA</v>
      </c>
      <c r="G447" s="384" t="str">
        <f t="shared" ca="1" si="71"/>
        <v/>
      </c>
      <c r="H447" s="512">
        <f t="shared" ca="1" si="72"/>
        <v>0</v>
      </c>
      <c r="I447" s="1603" t="str">
        <f t="shared" ca="1" si="66"/>
        <v/>
      </c>
      <c r="J447" s="1604"/>
      <c r="K447" s="373"/>
      <c r="L447" s="513">
        <f t="shared" ca="1" si="75"/>
        <v>656.58</v>
      </c>
      <c r="M447" s="654">
        <f t="shared" ca="1" si="73"/>
        <v>1</v>
      </c>
      <c r="N447" s="226">
        <f t="shared" ca="1" si="67"/>
        <v>0</v>
      </c>
      <c r="O447" s="1"/>
    </row>
    <row r="448" spans="1:15" ht="16.5" customHeight="1">
      <c r="A448" s="1"/>
      <c r="B448" s="657" t="str">
        <f t="shared" ca="1" si="68"/>
        <v/>
      </c>
      <c r="C448" s="223" t="str">
        <f t="shared" ca="1" si="69"/>
        <v/>
      </c>
      <c r="D448" s="519">
        <f t="shared" si="74"/>
        <v>443</v>
      </c>
      <c r="E448" s="225" t="str">
        <f t="shared" ca="1" si="70"/>
        <v/>
      </c>
      <c r="F448" s="224" t="str">
        <f t="shared" si="76"/>
        <v>CASSA</v>
      </c>
      <c r="G448" s="384" t="str">
        <f t="shared" ca="1" si="71"/>
        <v/>
      </c>
      <c r="H448" s="512">
        <f t="shared" ca="1" si="72"/>
        <v>0</v>
      </c>
      <c r="I448" s="1603" t="str">
        <f t="shared" ca="1" si="66"/>
        <v/>
      </c>
      <c r="J448" s="1604"/>
      <c r="K448" s="373"/>
      <c r="L448" s="513">
        <f t="shared" ca="1" si="75"/>
        <v>656.58</v>
      </c>
      <c r="M448" s="654">
        <f t="shared" ca="1" si="73"/>
        <v>1</v>
      </c>
      <c r="N448" s="226">
        <f t="shared" ca="1" si="67"/>
        <v>0</v>
      </c>
      <c r="O448" s="1"/>
    </row>
    <row r="449" spans="1:15" ht="16.5" customHeight="1">
      <c r="A449" s="1"/>
      <c r="B449" s="657" t="str">
        <f t="shared" ca="1" si="68"/>
        <v/>
      </c>
      <c r="C449" s="223" t="str">
        <f t="shared" ca="1" si="69"/>
        <v/>
      </c>
      <c r="D449" s="519">
        <f t="shared" si="74"/>
        <v>444</v>
      </c>
      <c r="E449" s="225" t="str">
        <f t="shared" ca="1" si="70"/>
        <v/>
      </c>
      <c r="F449" s="224" t="str">
        <f t="shared" si="76"/>
        <v>CASSA</v>
      </c>
      <c r="G449" s="384" t="str">
        <f t="shared" ca="1" si="71"/>
        <v/>
      </c>
      <c r="H449" s="512">
        <f t="shared" ca="1" si="72"/>
        <v>0</v>
      </c>
      <c r="I449" s="1603" t="str">
        <f t="shared" ca="1" si="66"/>
        <v/>
      </c>
      <c r="J449" s="1604"/>
      <c r="K449" s="373"/>
      <c r="L449" s="513">
        <f t="shared" ca="1" si="75"/>
        <v>656.58</v>
      </c>
      <c r="M449" s="654">
        <f t="shared" ca="1" si="73"/>
        <v>1</v>
      </c>
      <c r="N449" s="226">
        <f t="shared" ca="1" si="67"/>
        <v>0</v>
      </c>
      <c r="O449" s="1"/>
    </row>
    <row r="450" spans="1:15" ht="16.5" customHeight="1">
      <c r="A450" s="1"/>
      <c r="B450" s="657" t="str">
        <f t="shared" ca="1" si="68"/>
        <v/>
      </c>
      <c r="C450" s="223" t="str">
        <f t="shared" ca="1" si="69"/>
        <v/>
      </c>
      <c r="D450" s="519">
        <f t="shared" si="74"/>
        <v>445</v>
      </c>
      <c r="E450" s="225" t="str">
        <f t="shared" ca="1" si="70"/>
        <v/>
      </c>
      <c r="F450" s="224" t="str">
        <f t="shared" si="76"/>
        <v>CASSA</v>
      </c>
      <c r="G450" s="384" t="str">
        <f t="shared" ca="1" si="71"/>
        <v/>
      </c>
      <c r="H450" s="512">
        <f t="shared" ca="1" si="72"/>
        <v>0</v>
      </c>
      <c r="I450" s="1603" t="str">
        <f t="shared" ca="1" si="66"/>
        <v/>
      </c>
      <c r="J450" s="1604"/>
      <c r="K450" s="373"/>
      <c r="L450" s="513">
        <f t="shared" ca="1" si="75"/>
        <v>656.58</v>
      </c>
      <c r="M450" s="654">
        <f t="shared" ca="1" si="73"/>
        <v>1</v>
      </c>
      <c r="N450" s="226">
        <f t="shared" ca="1" si="67"/>
        <v>0</v>
      </c>
      <c r="O450" s="1"/>
    </row>
    <row r="451" spans="1:15" ht="16.5" customHeight="1">
      <c r="A451" s="1"/>
      <c r="B451" s="657" t="str">
        <f t="shared" ca="1" si="68"/>
        <v/>
      </c>
      <c r="C451" s="223" t="str">
        <f t="shared" ca="1" si="69"/>
        <v/>
      </c>
      <c r="D451" s="519">
        <f t="shared" si="74"/>
        <v>446</v>
      </c>
      <c r="E451" s="225" t="str">
        <f t="shared" ca="1" si="70"/>
        <v/>
      </c>
      <c r="F451" s="224" t="str">
        <f t="shared" si="76"/>
        <v>CASSA</v>
      </c>
      <c r="G451" s="384" t="str">
        <f t="shared" ca="1" si="71"/>
        <v/>
      </c>
      <c r="H451" s="512">
        <f t="shared" ca="1" si="72"/>
        <v>0</v>
      </c>
      <c r="I451" s="1603" t="str">
        <f t="shared" ca="1" si="66"/>
        <v/>
      </c>
      <c r="J451" s="1604"/>
      <c r="K451" s="373"/>
      <c r="L451" s="513">
        <f t="shared" ca="1" si="75"/>
        <v>656.58</v>
      </c>
      <c r="M451" s="654">
        <f t="shared" ca="1" si="73"/>
        <v>1</v>
      </c>
      <c r="N451" s="226">
        <f t="shared" ca="1" si="67"/>
        <v>0</v>
      </c>
      <c r="O451" s="1"/>
    </row>
    <row r="452" spans="1:15" ht="16.5" customHeight="1">
      <c r="A452" s="1"/>
      <c r="B452" s="657" t="str">
        <f t="shared" ca="1" si="68"/>
        <v/>
      </c>
      <c r="C452" s="223" t="str">
        <f t="shared" ca="1" si="69"/>
        <v/>
      </c>
      <c r="D452" s="519">
        <f t="shared" si="74"/>
        <v>447</v>
      </c>
      <c r="E452" s="225" t="str">
        <f t="shared" ca="1" si="70"/>
        <v/>
      </c>
      <c r="F452" s="224" t="str">
        <f t="shared" si="76"/>
        <v>CASSA</v>
      </c>
      <c r="G452" s="384" t="str">
        <f t="shared" ca="1" si="71"/>
        <v/>
      </c>
      <c r="H452" s="512">
        <f t="shared" ca="1" si="72"/>
        <v>0</v>
      </c>
      <c r="I452" s="1603" t="str">
        <f t="shared" ca="1" si="66"/>
        <v/>
      </c>
      <c r="J452" s="1604"/>
      <c r="K452" s="373"/>
      <c r="L452" s="513">
        <f t="shared" ca="1" si="75"/>
        <v>656.58</v>
      </c>
      <c r="M452" s="654">
        <f t="shared" ca="1" si="73"/>
        <v>1</v>
      </c>
      <c r="N452" s="226">
        <f t="shared" ca="1" si="67"/>
        <v>0</v>
      </c>
      <c r="O452" s="1"/>
    </row>
    <row r="453" spans="1:15" ht="16.5" customHeight="1">
      <c r="A453" s="1"/>
      <c r="B453" s="657" t="str">
        <f t="shared" ca="1" si="68"/>
        <v/>
      </c>
      <c r="C453" s="223" t="str">
        <f t="shared" ca="1" si="69"/>
        <v/>
      </c>
      <c r="D453" s="519">
        <f t="shared" si="74"/>
        <v>448</v>
      </c>
      <c r="E453" s="225" t="str">
        <f t="shared" ca="1" si="70"/>
        <v/>
      </c>
      <c r="F453" s="224" t="str">
        <f t="shared" si="76"/>
        <v>CASSA</v>
      </c>
      <c r="G453" s="384" t="str">
        <f t="shared" ca="1" si="71"/>
        <v/>
      </c>
      <c r="H453" s="512">
        <f t="shared" ca="1" si="72"/>
        <v>0</v>
      </c>
      <c r="I453" s="1603" t="str">
        <f t="shared" ca="1" si="66"/>
        <v/>
      </c>
      <c r="J453" s="1604"/>
      <c r="K453" s="373"/>
      <c r="L453" s="513">
        <f t="shared" ca="1" si="75"/>
        <v>656.58</v>
      </c>
      <c r="M453" s="654">
        <f t="shared" ca="1" si="73"/>
        <v>1</v>
      </c>
      <c r="N453" s="226">
        <f t="shared" ca="1" si="67"/>
        <v>0</v>
      </c>
      <c r="O453" s="1"/>
    </row>
    <row r="454" spans="1:15" ht="16.5" customHeight="1">
      <c r="A454" s="1"/>
      <c r="B454" s="657" t="str">
        <f t="shared" ca="1" si="68"/>
        <v/>
      </c>
      <c r="C454" s="223" t="str">
        <f t="shared" ca="1" si="69"/>
        <v/>
      </c>
      <c r="D454" s="519">
        <f t="shared" si="74"/>
        <v>449</v>
      </c>
      <c r="E454" s="225" t="str">
        <f t="shared" ca="1" si="70"/>
        <v/>
      </c>
      <c r="F454" s="224" t="str">
        <f t="shared" si="76"/>
        <v>CASSA</v>
      </c>
      <c r="G454" s="384" t="str">
        <f t="shared" ca="1" si="71"/>
        <v/>
      </c>
      <c r="H454" s="512">
        <f t="shared" ca="1" si="72"/>
        <v>0</v>
      </c>
      <c r="I454" s="1603" t="str">
        <f t="shared" ref="I454:I517" ca="1" si="77">IF(F454="","",IF(ISERROR(VLOOKUP($D454,$B$1080:$L$4183,11,FALSE)),"",VLOOKUP($D454,$B$1080:$L$4183,11,FALSE)))</f>
        <v/>
      </c>
      <c r="J454" s="1604"/>
      <c r="K454" s="373"/>
      <c r="L454" s="513">
        <f t="shared" ca="1" si="75"/>
        <v>656.58</v>
      </c>
      <c r="M454" s="654">
        <f t="shared" ca="1" si="73"/>
        <v>1</v>
      </c>
      <c r="N454" s="226">
        <f t="shared" ref="N454:N517" ca="1" si="78">IF(ISERROR(VLOOKUP(G454,G$4171:G$4182,1,FALSE)),0,1)</f>
        <v>0</v>
      </c>
      <c r="O454" s="1"/>
    </row>
    <row r="455" spans="1:15" ht="16.5" customHeight="1">
      <c r="A455" s="1"/>
      <c r="B455" s="657" t="str">
        <f t="shared" ref="B455:B518" ca="1" si="79">IF(AND(E455&lt;&gt;"",M455=0),"[..]","")</f>
        <v/>
      </c>
      <c r="C455" s="223" t="str">
        <f t="shared" ref="C455:C518" ca="1" si="80">IF(ISBLANK(E$2),"",IF(ISERROR(VLOOKUP(D455,B$3067:B$4182,1,FALSE)),"",C$4185))</f>
        <v/>
      </c>
      <c r="D455" s="519">
        <f t="shared" si="74"/>
        <v>450</v>
      </c>
      <c r="E455" s="225" t="str">
        <f t="shared" ref="E455:E518" ca="1" si="81">IF(ISERROR(VLOOKUP($D455,$B$1080:$E$4183,4,FALSE)),"",VLOOKUP($D455,$B$1080:$E$4183,4,FALSE))</f>
        <v/>
      </c>
      <c r="F455" s="224" t="str">
        <f t="shared" si="76"/>
        <v>CASSA</v>
      </c>
      <c r="G455" s="384" t="str">
        <f t="shared" ref="G455:G518" ca="1" si="82">IF(ISERROR(VLOOKUP($D455,$B$1080:$G$4183,6,FALSE)),"",T(VLOOKUP($D455,$B$1080:$G$4183,6,FALSE)))</f>
        <v/>
      </c>
      <c r="H455" s="512">
        <f t="shared" ref="H455:H518" ca="1" si="83">IF(ISERROR(VLOOKUP($D455,$B$1080:$H$4183,7,FALSE)),0,VLOOKUP($D455,$B$1080:$H$4183,7,FALSE))*M455</f>
        <v>0</v>
      </c>
      <c r="I455" s="1603" t="str">
        <f t="shared" ca="1" si="77"/>
        <v/>
      </c>
      <c r="J455" s="1604"/>
      <c r="K455" s="373"/>
      <c r="L455" s="513">
        <f t="shared" ca="1" si="75"/>
        <v>656.58</v>
      </c>
      <c r="M455" s="654">
        <f t="shared" ref="M455:M518" ca="1" si="84">IF(AND(E455&gt;0,H$4188=0,OR(E455&lt;L$1020,E455&gt;L$1021)),0,1)</f>
        <v>1</v>
      </c>
      <c r="N455" s="226">
        <f t="shared" ca="1" si="78"/>
        <v>0</v>
      </c>
      <c r="O455" s="1"/>
    </row>
    <row r="456" spans="1:15" ht="16.5" customHeight="1">
      <c r="A456" s="1"/>
      <c r="B456" s="657" t="str">
        <f t="shared" ca="1" si="79"/>
        <v/>
      </c>
      <c r="C456" s="223" t="str">
        <f t="shared" ca="1" si="80"/>
        <v/>
      </c>
      <c r="D456" s="519">
        <f t="shared" ref="D456:D519" si="85">D455+1</f>
        <v>451</v>
      </c>
      <c r="E456" s="225" t="str">
        <f t="shared" ca="1" si="81"/>
        <v/>
      </c>
      <c r="F456" s="224" t="str">
        <f t="shared" si="76"/>
        <v>CASSA</v>
      </c>
      <c r="G456" s="384" t="str">
        <f t="shared" ca="1" si="82"/>
        <v/>
      </c>
      <c r="H456" s="512">
        <f t="shared" ca="1" si="83"/>
        <v>0</v>
      </c>
      <c r="I456" s="1603" t="str">
        <f t="shared" ca="1" si="77"/>
        <v/>
      </c>
      <c r="J456" s="1604"/>
      <c r="K456" s="373"/>
      <c r="L456" s="513">
        <f t="shared" ref="L456:L519" ca="1" si="86">ROUND(L455+H456,2)</f>
        <v>656.58</v>
      </c>
      <c r="M456" s="654">
        <f t="shared" ca="1" si="84"/>
        <v>1</v>
      </c>
      <c r="N456" s="226">
        <f t="shared" ca="1" si="78"/>
        <v>0</v>
      </c>
      <c r="O456" s="1"/>
    </row>
    <row r="457" spans="1:15" ht="16.5" customHeight="1">
      <c r="A457" s="1"/>
      <c r="B457" s="657" t="str">
        <f t="shared" ca="1" si="79"/>
        <v/>
      </c>
      <c r="C457" s="223" t="str">
        <f t="shared" ca="1" si="80"/>
        <v/>
      </c>
      <c r="D457" s="519">
        <f t="shared" si="85"/>
        <v>452</v>
      </c>
      <c r="E457" s="225" t="str">
        <f t="shared" ca="1" si="81"/>
        <v/>
      </c>
      <c r="F457" s="224" t="str">
        <f t="shared" si="76"/>
        <v>CASSA</v>
      </c>
      <c r="G457" s="384" t="str">
        <f t="shared" ca="1" si="82"/>
        <v/>
      </c>
      <c r="H457" s="512">
        <f t="shared" ca="1" si="83"/>
        <v>0</v>
      </c>
      <c r="I457" s="1603" t="str">
        <f t="shared" ca="1" si="77"/>
        <v/>
      </c>
      <c r="J457" s="1604"/>
      <c r="K457" s="373"/>
      <c r="L457" s="513">
        <f t="shared" ca="1" si="86"/>
        <v>656.58</v>
      </c>
      <c r="M457" s="654">
        <f t="shared" ca="1" si="84"/>
        <v>1</v>
      </c>
      <c r="N457" s="226">
        <f t="shared" ca="1" si="78"/>
        <v>0</v>
      </c>
      <c r="O457" s="1"/>
    </row>
    <row r="458" spans="1:15" ht="16.5" customHeight="1">
      <c r="A458" s="1"/>
      <c r="B458" s="657" t="str">
        <f t="shared" ca="1" si="79"/>
        <v/>
      </c>
      <c r="C458" s="223" t="str">
        <f t="shared" ca="1" si="80"/>
        <v/>
      </c>
      <c r="D458" s="519">
        <f t="shared" si="85"/>
        <v>453</v>
      </c>
      <c r="E458" s="225" t="str">
        <f t="shared" ca="1" si="81"/>
        <v/>
      </c>
      <c r="F458" s="224" t="str">
        <f t="shared" si="76"/>
        <v>CASSA</v>
      </c>
      <c r="G458" s="384" t="str">
        <f t="shared" ca="1" si="82"/>
        <v/>
      </c>
      <c r="H458" s="512">
        <f t="shared" ca="1" si="83"/>
        <v>0</v>
      </c>
      <c r="I458" s="1603" t="str">
        <f t="shared" ca="1" si="77"/>
        <v/>
      </c>
      <c r="J458" s="1604"/>
      <c r="K458" s="373"/>
      <c r="L458" s="513">
        <f t="shared" ca="1" si="86"/>
        <v>656.58</v>
      </c>
      <c r="M458" s="654">
        <f t="shared" ca="1" si="84"/>
        <v>1</v>
      </c>
      <c r="N458" s="226">
        <f t="shared" ca="1" si="78"/>
        <v>0</v>
      </c>
      <c r="O458" s="1"/>
    </row>
    <row r="459" spans="1:15" ht="16.5" customHeight="1">
      <c r="A459" s="1"/>
      <c r="B459" s="657" t="str">
        <f t="shared" ca="1" si="79"/>
        <v/>
      </c>
      <c r="C459" s="223" t="str">
        <f t="shared" ca="1" si="80"/>
        <v/>
      </c>
      <c r="D459" s="519">
        <f t="shared" si="85"/>
        <v>454</v>
      </c>
      <c r="E459" s="225" t="str">
        <f t="shared" ca="1" si="81"/>
        <v/>
      </c>
      <c r="F459" s="224" t="str">
        <f t="shared" si="76"/>
        <v>CASSA</v>
      </c>
      <c r="G459" s="384" t="str">
        <f t="shared" ca="1" si="82"/>
        <v/>
      </c>
      <c r="H459" s="512">
        <f t="shared" ca="1" si="83"/>
        <v>0</v>
      </c>
      <c r="I459" s="1603" t="str">
        <f t="shared" ca="1" si="77"/>
        <v/>
      </c>
      <c r="J459" s="1604"/>
      <c r="K459" s="373"/>
      <c r="L459" s="513">
        <f t="shared" ca="1" si="86"/>
        <v>656.58</v>
      </c>
      <c r="M459" s="654">
        <f t="shared" ca="1" si="84"/>
        <v>1</v>
      </c>
      <c r="N459" s="226">
        <f t="shared" ca="1" si="78"/>
        <v>0</v>
      </c>
      <c r="O459" s="1"/>
    </row>
    <row r="460" spans="1:15" ht="16.5" customHeight="1">
      <c r="A460" s="1"/>
      <c r="B460" s="657" t="str">
        <f t="shared" ca="1" si="79"/>
        <v/>
      </c>
      <c r="C460" s="223" t="str">
        <f t="shared" ca="1" si="80"/>
        <v/>
      </c>
      <c r="D460" s="519">
        <f t="shared" si="85"/>
        <v>455</v>
      </c>
      <c r="E460" s="225" t="str">
        <f t="shared" ca="1" si="81"/>
        <v/>
      </c>
      <c r="F460" s="224" t="str">
        <f t="shared" ref="F460:F523" si="87">F459</f>
        <v>CASSA</v>
      </c>
      <c r="G460" s="384" t="str">
        <f t="shared" ca="1" si="82"/>
        <v/>
      </c>
      <c r="H460" s="512">
        <f t="shared" ca="1" si="83"/>
        <v>0</v>
      </c>
      <c r="I460" s="1603" t="str">
        <f t="shared" ca="1" si="77"/>
        <v/>
      </c>
      <c r="J460" s="1604"/>
      <c r="K460" s="373"/>
      <c r="L460" s="513">
        <f t="shared" ca="1" si="86"/>
        <v>656.58</v>
      </c>
      <c r="M460" s="654">
        <f t="shared" ca="1" si="84"/>
        <v>1</v>
      </c>
      <c r="N460" s="226">
        <f t="shared" ca="1" si="78"/>
        <v>0</v>
      </c>
      <c r="O460" s="1"/>
    </row>
    <row r="461" spans="1:15" ht="16.5" customHeight="1">
      <c r="A461" s="1"/>
      <c r="B461" s="657" t="str">
        <f t="shared" ca="1" si="79"/>
        <v/>
      </c>
      <c r="C461" s="223" t="str">
        <f t="shared" ca="1" si="80"/>
        <v/>
      </c>
      <c r="D461" s="519">
        <f t="shared" si="85"/>
        <v>456</v>
      </c>
      <c r="E461" s="225" t="str">
        <f t="shared" ca="1" si="81"/>
        <v/>
      </c>
      <c r="F461" s="224" t="str">
        <f t="shared" si="87"/>
        <v>CASSA</v>
      </c>
      <c r="G461" s="384" t="str">
        <f t="shared" ca="1" si="82"/>
        <v/>
      </c>
      <c r="H461" s="512">
        <f t="shared" ca="1" si="83"/>
        <v>0</v>
      </c>
      <c r="I461" s="1603" t="str">
        <f t="shared" ca="1" si="77"/>
        <v/>
      </c>
      <c r="J461" s="1604"/>
      <c r="K461" s="373"/>
      <c r="L461" s="513">
        <f t="shared" ca="1" si="86"/>
        <v>656.58</v>
      </c>
      <c r="M461" s="654">
        <f t="shared" ca="1" si="84"/>
        <v>1</v>
      </c>
      <c r="N461" s="226">
        <f t="shared" ca="1" si="78"/>
        <v>0</v>
      </c>
      <c r="O461" s="1"/>
    </row>
    <row r="462" spans="1:15" ht="16.5" customHeight="1">
      <c r="A462" s="1"/>
      <c r="B462" s="657" t="str">
        <f t="shared" ca="1" si="79"/>
        <v/>
      </c>
      <c r="C462" s="223" t="str">
        <f t="shared" ca="1" si="80"/>
        <v/>
      </c>
      <c r="D462" s="519">
        <f t="shared" si="85"/>
        <v>457</v>
      </c>
      <c r="E462" s="225" t="str">
        <f t="shared" ca="1" si="81"/>
        <v/>
      </c>
      <c r="F462" s="224" t="str">
        <f t="shared" si="87"/>
        <v>CASSA</v>
      </c>
      <c r="G462" s="384" t="str">
        <f t="shared" ca="1" si="82"/>
        <v/>
      </c>
      <c r="H462" s="512">
        <f t="shared" ca="1" si="83"/>
        <v>0</v>
      </c>
      <c r="I462" s="1603" t="str">
        <f t="shared" ca="1" si="77"/>
        <v/>
      </c>
      <c r="J462" s="1604"/>
      <c r="K462" s="373"/>
      <c r="L462" s="513">
        <f t="shared" ca="1" si="86"/>
        <v>656.58</v>
      </c>
      <c r="M462" s="654">
        <f t="shared" ca="1" si="84"/>
        <v>1</v>
      </c>
      <c r="N462" s="226">
        <f t="shared" ca="1" si="78"/>
        <v>0</v>
      </c>
      <c r="O462" s="1"/>
    </row>
    <row r="463" spans="1:15" ht="16.5" customHeight="1">
      <c r="A463" s="1"/>
      <c r="B463" s="657" t="str">
        <f t="shared" ca="1" si="79"/>
        <v/>
      </c>
      <c r="C463" s="223" t="str">
        <f t="shared" ca="1" si="80"/>
        <v/>
      </c>
      <c r="D463" s="519">
        <f t="shared" si="85"/>
        <v>458</v>
      </c>
      <c r="E463" s="225" t="str">
        <f t="shared" ca="1" si="81"/>
        <v/>
      </c>
      <c r="F463" s="224" t="str">
        <f t="shared" si="87"/>
        <v>CASSA</v>
      </c>
      <c r="G463" s="384" t="str">
        <f t="shared" ca="1" si="82"/>
        <v/>
      </c>
      <c r="H463" s="512">
        <f t="shared" ca="1" si="83"/>
        <v>0</v>
      </c>
      <c r="I463" s="1603" t="str">
        <f t="shared" ca="1" si="77"/>
        <v/>
      </c>
      <c r="J463" s="1604"/>
      <c r="K463" s="373"/>
      <c r="L463" s="513">
        <f t="shared" ca="1" si="86"/>
        <v>656.58</v>
      </c>
      <c r="M463" s="654">
        <f t="shared" ca="1" si="84"/>
        <v>1</v>
      </c>
      <c r="N463" s="226">
        <f t="shared" ca="1" si="78"/>
        <v>0</v>
      </c>
      <c r="O463" s="1"/>
    </row>
    <row r="464" spans="1:15" ht="16.5" customHeight="1">
      <c r="A464" s="1"/>
      <c r="B464" s="657" t="str">
        <f t="shared" ca="1" si="79"/>
        <v/>
      </c>
      <c r="C464" s="223" t="str">
        <f t="shared" ca="1" si="80"/>
        <v/>
      </c>
      <c r="D464" s="519">
        <f t="shared" si="85"/>
        <v>459</v>
      </c>
      <c r="E464" s="225" t="str">
        <f t="shared" ca="1" si="81"/>
        <v/>
      </c>
      <c r="F464" s="224" t="str">
        <f t="shared" si="87"/>
        <v>CASSA</v>
      </c>
      <c r="G464" s="384" t="str">
        <f t="shared" ca="1" si="82"/>
        <v/>
      </c>
      <c r="H464" s="512">
        <f t="shared" ca="1" si="83"/>
        <v>0</v>
      </c>
      <c r="I464" s="1603" t="str">
        <f t="shared" ca="1" si="77"/>
        <v/>
      </c>
      <c r="J464" s="1604"/>
      <c r="K464" s="373"/>
      <c r="L464" s="513">
        <f t="shared" ca="1" si="86"/>
        <v>656.58</v>
      </c>
      <c r="M464" s="654">
        <f t="shared" ca="1" si="84"/>
        <v>1</v>
      </c>
      <c r="N464" s="226">
        <f t="shared" ca="1" si="78"/>
        <v>0</v>
      </c>
      <c r="O464" s="1"/>
    </row>
    <row r="465" spans="1:15" ht="16.5" customHeight="1">
      <c r="A465" s="1"/>
      <c r="B465" s="657" t="str">
        <f t="shared" ca="1" si="79"/>
        <v/>
      </c>
      <c r="C465" s="223" t="str">
        <f t="shared" ca="1" si="80"/>
        <v/>
      </c>
      <c r="D465" s="519">
        <f t="shared" si="85"/>
        <v>460</v>
      </c>
      <c r="E465" s="225" t="str">
        <f t="shared" ca="1" si="81"/>
        <v/>
      </c>
      <c r="F465" s="224" t="str">
        <f t="shared" si="87"/>
        <v>CASSA</v>
      </c>
      <c r="G465" s="384" t="str">
        <f t="shared" ca="1" si="82"/>
        <v/>
      </c>
      <c r="H465" s="512">
        <f t="shared" ca="1" si="83"/>
        <v>0</v>
      </c>
      <c r="I465" s="1603" t="str">
        <f t="shared" ca="1" si="77"/>
        <v/>
      </c>
      <c r="J465" s="1604"/>
      <c r="K465" s="373"/>
      <c r="L465" s="513">
        <f t="shared" ca="1" si="86"/>
        <v>656.58</v>
      </c>
      <c r="M465" s="654">
        <f t="shared" ca="1" si="84"/>
        <v>1</v>
      </c>
      <c r="N465" s="226">
        <f t="shared" ca="1" si="78"/>
        <v>0</v>
      </c>
      <c r="O465" s="1"/>
    </row>
    <row r="466" spans="1:15" ht="16.5" customHeight="1">
      <c r="A466" s="1"/>
      <c r="B466" s="657" t="str">
        <f t="shared" ca="1" si="79"/>
        <v/>
      </c>
      <c r="C466" s="223" t="str">
        <f t="shared" ca="1" si="80"/>
        <v/>
      </c>
      <c r="D466" s="519">
        <f t="shared" si="85"/>
        <v>461</v>
      </c>
      <c r="E466" s="225" t="str">
        <f t="shared" ca="1" si="81"/>
        <v/>
      </c>
      <c r="F466" s="224" t="str">
        <f t="shared" si="87"/>
        <v>CASSA</v>
      </c>
      <c r="G466" s="384" t="str">
        <f t="shared" ca="1" si="82"/>
        <v/>
      </c>
      <c r="H466" s="512">
        <f t="shared" ca="1" si="83"/>
        <v>0</v>
      </c>
      <c r="I466" s="1603" t="str">
        <f t="shared" ca="1" si="77"/>
        <v/>
      </c>
      <c r="J466" s="1604"/>
      <c r="K466" s="373"/>
      <c r="L466" s="513">
        <f t="shared" ca="1" si="86"/>
        <v>656.58</v>
      </c>
      <c r="M466" s="654">
        <f t="shared" ca="1" si="84"/>
        <v>1</v>
      </c>
      <c r="N466" s="226">
        <f t="shared" ca="1" si="78"/>
        <v>0</v>
      </c>
      <c r="O466" s="1"/>
    </row>
    <row r="467" spans="1:15" ht="16.5" customHeight="1">
      <c r="A467" s="1"/>
      <c r="B467" s="657" t="str">
        <f t="shared" ca="1" si="79"/>
        <v/>
      </c>
      <c r="C467" s="223" t="str">
        <f t="shared" ca="1" si="80"/>
        <v/>
      </c>
      <c r="D467" s="519">
        <f t="shared" si="85"/>
        <v>462</v>
      </c>
      <c r="E467" s="225" t="str">
        <f t="shared" ca="1" si="81"/>
        <v/>
      </c>
      <c r="F467" s="224" t="str">
        <f t="shared" si="87"/>
        <v>CASSA</v>
      </c>
      <c r="G467" s="384" t="str">
        <f t="shared" ca="1" si="82"/>
        <v/>
      </c>
      <c r="H467" s="512">
        <f t="shared" ca="1" si="83"/>
        <v>0</v>
      </c>
      <c r="I467" s="1603" t="str">
        <f t="shared" ca="1" si="77"/>
        <v/>
      </c>
      <c r="J467" s="1604"/>
      <c r="K467" s="373"/>
      <c r="L467" s="513">
        <f t="shared" ca="1" si="86"/>
        <v>656.58</v>
      </c>
      <c r="M467" s="654">
        <f t="shared" ca="1" si="84"/>
        <v>1</v>
      </c>
      <c r="N467" s="226">
        <f t="shared" ca="1" si="78"/>
        <v>0</v>
      </c>
      <c r="O467" s="1"/>
    </row>
    <row r="468" spans="1:15" ht="16.5" customHeight="1">
      <c r="A468" s="1"/>
      <c r="B468" s="657" t="str">
        <f t="shared" ca="1" si="79"/>
        <v/>
      </c>
      <c r="C468" s="223" t="str">
        <f t="shared" ca="1" si="80"/>
        <v/>
      </c>
      <c r="D468" s="519">
        <f t="shared" si="85"/>
        <v>463</v>
      </c>
      <c r="E468" s="225" t="str">
        <f t="shared" ca="1" si="81"/>
        <v/>
      </c>
      <c r="F468" s="224" t="str">
        <f t="shared" si="87"/>
        <v>CASSA</v>
      </c>
      <c r="G468" s="384" t="str">
        <f t="shared" ca="1" si="82"/>
        <v/>
      </c>
      <c r="H468" s="512">
        <f t="shared" ca="1" si="83"/>
        <v>0</v>
      </c>
      <c r="I468" s="1603" t="str">
        <f t="shared" ca="1" si="77"/>
        <v/>
      </c>
      <c r="J468" s="1604"/>
      <c r="K468" s="373"/>
      <c r="L468" s="513">
        <f t="shared" ca="1" si="86"/>
        <v>656.58</v>
      </c>
      <c r="M468" s="654">
        <f t="shared" ca="1" si="84"/>
        <v>1</v>
      </c>
      <c r="N468" s="226">
        <f t="shared" ca="1" si="78"/>
        <v>0</v>
      </c>
      <c r="O468" s="1"/>
    </row>
    <row r="469" spans="1:15" ht="16.5" customHeight="1">
      <c r="A469" s="1"/>
      <c r="B469" s="657" t="str">
        <f t="shared" ca="1" si="79"/>
        <v/>
      </c>
      <c r="C469" s="223" t="str">
        <f t="shared" ca="1" si="80"/>
        <v/>
      </c>
      <c r="D469" s="519">
        <f t="shared" si="85"/>
        <v>464</v>
      </c>
      <c r="E469" s="225" t="str">
        <f t="shared" ca="1" si="81"/>
        <v/>
      </c>
      <c r="F469" s="224" t="str">
        <f t="shared" si="87"/>
        <v>CASSA</v>
      </c>
      <c r="G469" s="384" t="str">
        <f t="shared" ca="1" si="82"/>
        <v/>
      </c>
      <c r="H469" s="512">
        <f t="shared" ca="1" si="83"/>
        <v>0</v>
      </c>
      <c r="I469" s="1603" t="str">
        <f t="shared" ca="1" si="77"/>
        <v/>
      </c>
      <c r="J469" s="1604"/>
      <c r="K469" s="373"/>
      <c r="L469" s="513">
        <f t="shared" ca="1" si="86"/>
        <v>656.58</v>
      </c>
      <c r="M469" s="654">
        <f t="shared" ca="1" si="84"/>
        <v>1</v>
      </c>
      <c r="N469" s="226">
        <f t="shared" ca="1" si="78"/>
        <v>0</v>
      </c>
      <c r="O469" s="1"/>
    </row>
    <row r="470" spans="1:15" ht="16.5" customHeight="1">
      <c r="A470" s="1"/>
      <c r="B470" s="657" t="str">
        <f t="shared" ca="1" si="79"/>
        <v/>
      </c>
      <c r="C470" s="223" t="str">
        <f t="shared" ca="1" si="80"/>
        <v/>
      </c>
      <c r="D470" s="519">
        <f t="shared" si="85"/>
        <v>465</v>
      </c>
      <c r="E470" s="225" t="str">
        <f t="shared" ca="1" si="81"/>
        <v/>
      </c>
      <c r="F470" s="224" t="str">
        <f t="shared" si="87"/>
        <v>CASSA</v>
      </c>
      <c r="G470" s="384" t="str">
        <f t="shared" ca="1" si="82"/>
        <v/>
      </c>
      <c r="H470" s="512">
        <f t="shared" ca="1" si="83"/>
        <v>0</v>
      </c>
      <c r="I470" s="1603" t="str">
        <f t="shared" ca="1" si="77"/>
        <v/>
      </c>
      <c r="J470" s="1604"/>
      <c r="K470" s="373"/>
      <c r="L470" s="513">
        <f t="shared" ca="1" si="86"/>
        <v>656.58</v>
      </c>
      <c r="M470" s="654">
        <f t="shared" ca="1" si="84"/>
        <v>1</v>
      </c>
      <c r="N470" s="226">
        <f t="shared" ca="1" si="78"/>
        <v>0</v>
      </c>
      <c r="O470" s="1"/>
    </row>
    <row r="471" spans="1:15" ht="16.5" customHeight="1">
      <c r="A471" s="1"/>
      <c r="B471" s="657" t="str">
        <f t="shared" ca="1" si="79"/>
        <v/>
      </c>
      <c r="C471" s="223" t="str">
        <f t="shared" ca="1" si="80"/>
        <v/>
      </c>
      <c r="D471" s="519">
        <f t="shared" si="85"/>
        <v>466</v>
      </c>
      <c r="E471" s="225" t="str">
        <f t="shared" ca="1" si="81"/>
        <v/>
      </c>
      <c r="F471" s="224" t="str">
        <f t="shared" si="87"/>
        <v>CASSA</v>
      </c>
      <c r="G471" s="384" t="str">
        <f t="shared" ca="1" si="82"/>
        <v/>
      </c>
      <c r="H471" s="512">
        <f t="shared" ca="1" si="83"/>
        <v>0</v>
      </c>
      <c r="I471" s="1603" t="str">
        <f t="shared" ca="1" si="77"/>
        <v/>
      </c>
      <c r="J471" s="1604"/>
      <c r="K471" s="373"/>
      <c r="L471" s="513">
        <f t="shared" ca="1" si="86"/>
        <v>656.58</v>
      </c>
      <c r="M471" s="654">
        <f t="shared" ca="1" si="84"/>
        <v>1</v>
      </c>
      <c r="N471" s="226">
        <f t="shared" ca="1" si="78"/>
        <v>0</v>
      </c>
      <c r="O471" s="1"/>
    </row>
    <row r="472" spans="1:15" ht="16.5" customHeight="1">
      <c r="A472" s="1"/>
      <c r="B472" s="657" t="str">
        <f t="shared" ca="1" si="79"/>
        <v/>
      </c>
      <c r="C472" s="223" t="str">
        <f t="shared" ca="1" si="80"/>
        <v/>
      </c>
      <c r="D472" s="519">
        <f t="shared" si="85"/>
        <v>467</v>
      </c>
      <c r="E472" s="225" t="str">
        <f t="shared" ca="1" si="81"/>
        <v/>
      </c>
      <c r="F472" s="224" t="str">
        <f t="shared" si="87"/>
        <v>CASSA</v>
      </c>
      <c r="G472" s="384" t="str">
        <f t="shared" ca="1" si="82"/>
        <v/>
      </c>
      <c r="H472" s="512">
        <f t="shared" ca="1" si="83"/>
        <v>0</v>
      </c>
      <c r="I472" s="1603" t="str">
        <f t="shared" ca="1" si="77"/>
        <v/>
      </c>
      <c r="J472" s="1604"/>
      <c r="K472" s="373"/>
      <c r="L472" s="513">
        <f t="shared" ca="1" si="86"/>
        <v>656.58</v>
      </c>
      <c r="M472" s="654">
        <f t="shared" ca="1" si="84"/>
        <v>1</v>
      </c>
      <c r="N472" s="226">
        <f t="shared" ca="1" si="78"/>
        <v>0</v>
      </c>
      <c r="O472" s="1"/>
    </row>
    <row r="473" spans="1:15" ht="16.5" customHeight="1">
      <c r="A473" s="1"/>
      <c r="B473" s="657" t="str">
        <f t="shared" ca="1" si="79"/>
        <v/>
      </c>
      <c r="C473" s="223" t="str">
        <f t="shared" ca="1" si="80"/>
        <v/>
      </c>
      <c r="D473" s="519">
        <f t="shared" si="85"/>
        <v>468</v>
      </c>
      <c r="E473" s="225" t="str">
        <f t="shared" ca="1" si="81"/>
        <v/>
      </c>
      <c r="F473" s="224" t="str">
        <f t="shared" si="87"/>
        <v>CASSA</v>
      </c>
      <c r="G473" s="384" t="str">
        <f t="shared" ca="1" si="82"/>
        <v/>
      </c>
      <c r="H473" s="512">
        <f t="shared" ca="1" si="83"/>
        <v>0</v>
      </c>
      <c r="I473" s="1603" t="str">
        <f t="shared" ca="1" si="77"/>
        <v/>
      </c>
      <c r="J473" s="1604"/>
      <c r="K473" s="373"/>
      <c r="L473" s="513">
        <f t="shared" ca="1" si="86"/>
        <v>656.58</v>
      </c>
      <c r="M473" s="654">
        <f t="shared" ca="1" si="84"/>
        <v>1</v>
      </c>
      <c r="N473" s="226">
        <f t="shared" ca="1" si="78"/>
        <v>0</v>
      </c>
      <c r="O473" s="1"/>
    </row>
    <row r="474" spans="1:15" ht="16.5" customHeight="1">
      <c r="A474" s="1"/>
      <c r="B474" s="657" t="str">
        <f t="shared" ca="1" si="79"/>
        <v/>
      </c>
      <c r="C474" s="223" t="str">
        <f t="shared" ca="1" si="80"/>
        <v/>
      </c>
      <c r="D474" s="519">
        <f t="shared" si="85"/>
        <v>469</v>
      </c>
      <c r="E474" s="225" t="str">
        <f t="shared" ca="1" si="81"/>
        <v/>
      </c>
      <c r="F474" s="224" t="str">
        <f t="shared" si="87"/>
        <v>CASSA</v>
      </c>
      <c r="G474" s="384" t="str">
        <f t="shared" ca="1" si="82"/>
        <v/>
      </c>
      <c r="H474" s="512">
        <f t="shared" ca="1" si="83"/>
        <v>0</v>
      </c>
      <c r="I474" s="1603" t="str">
        <f t="shared" ca="1" si="77"/>
        <v/>
      </c>
      <c r="J474" s="1604"/>
      <c r="K474" s="373"/>
      <c r="L474" s="513">
        <f t="shared" ca="1" si="86"/>
        <v>656.58</v>
      </c>
      <c r="M474" s="654">
        <f t="shared" ca="1" si="84"/>
        <v>1</v>
      </c>
      <c r="N474" s="226">
        <f t="shared" ca="1" si="78"/>
        <v>0</v>
      </c>
      <c r="O474" s="1"/>
    </row>
    <row r="475" spans="1:15" ht="16.5" customHeight="1">
      <c r="A475" s="1"/>
      <c r="B475" s="657" t="str">
        <f t="shared" ca="1" si="79"/>
        <v/>
      </c>
      <c r="C475" s="223" t="str">
        <f t="shared" ca="1" si="80"/>
        <v/>
      </c>
      <c r="D475" s="519">
        <f t="shared" si="85"/>
        <v>470</v>
      </c>
      <c r="E475" s="225" t="str">
        <f t="shared" ca="1" si="81"/>
        <v/>
      </c>
      <c r="F475" s="224" t="str">
        <f t="shared" si="87"/>
        <v>CASSA</v>
      </c>
      <c r="G475" s="384" t="str">
        <f t="shared" ca="1" si="82"/>
        <v/>
      </c>
      <c r="H475" s="512">
        <f t="shared" ca="1" si="83"/>
        <v>0</v>
      </c>
      <c r="I475" s="1603" t="str">
        <f t="shared" ca="1" si="77"/>
        <v/>
      </c>
      <c r="J475" s="1604"/>
      <c r="K475" s="373"/>
      <c r="L475" s="513">
        <f t="shared" ca="1" si="86"/>
        <v>656.58</v>
      </c>
      <c r="M475" s="654">
        <f t="shared" ca="1" si="84"/>
        <v>1</v>
      </c>
      <c r="N475" s="226">
        <f t="shared" ca="1" si="78"/>
        <v>0</v>
      </c>
      <c r="O475" s="1"/>
    </row>
    <row r="476" spans="1:15" ht="16.5" customHeight="1">
      <c r="A476" s="1"/>
      <c r="B476" s="657" t="str">
        <f t="shared" ca="1" si="79"/>
        <v/>
      </c>
      <c r="C476" s="223" t="str">
        <f t="shared" ca="1" si="80"/>
        <v/>
      </c>
      <c r="D476" s="519">
        <f t="shared" si="85"/>
        <v>471</v>
      </c>
      <c r="E476" s="225" t="str">
        <f t="shared" ca="1" si="81"/>
        <v/>
      </c>
      <c r="F476" s="224" t="str">
        <f t="shared" si="87"/>
        <v>CASSA</v>
      </c>
      <c r="G476" s="384" t="str">
        <f t="shared" ca="1" si="82"/>
        <v/>
      </c>
      <c r="H476" s="512">
        <f t="shared" ca="1" si="83"/>
        <v>0</v>
      </c>
      <c r="I476" s="1603" t="str">
        <f t="shared" ca="1" si="77"/>
        <v/>
      </c>
      <c r="J476" s="1604"/>
      <c r="K476" s="373"/>
      <c r="L476" s="513">
        <f t="shared" ca="1" si="86"/>
        <v>656.58</v>
      </c>
      <c r="M476" s="654">
        <f t="shared" ca="1" si="84"/>
        <v>1</v>
      </c>
      <c r="N476" s="226">
        <f t="shared" ca="1" si="78"/>
        <v>0</v>
      </c>
      <c r="O476" s="1"/>
    </row>
    <row r="477" spans="1:15" ht="16.5" customHeight="1">
      <c r="A477" s="1"/>
      <c r="B477" s="657" t="str">
        <f t="shared" ca="1" si="79"/>
        <v/>
      </c>
      <c r="C477" s="223" t="str">
        <f t="shared" ca="1" si="80"/>
        <v/>
      </c>
      <c r="D477" s="519">
        <f t="shared" si="85"/>
        <v>472</v>
      </c>
      <c r="E477" s="225" t="str">
        <f t="shared" ca="1" si="81"/>
        <v/>
      </c>
      <c r="F477" s="224" t="str">
        <f t="shared" si="87"/>
        <v>CASSA</v>
      </c>
      <c r="G477" s="384" t="str">
        <f t="shared" ca="1" si="82"/>
        <v/>
      </c>
      <c r="H477" s="512">
        <f t="shared" ca="1" si="83"/>
        <v>0</v>
      </c>
      <c r="I477" s="1603" t="str">
        <f t="shared" ca="1" si="77"/>
        <v/>
      </c>
      <c r="J477" s="1604"/>
      <c r="K477" s="373"/>
      <c r="L477" s="513">
        <f t="shared" ca="1" si="86"/>
        <v>656.58</v>
      </c>
      <c r="M477" s="654">
        <f t="shared" ca="1" si="84"/>
        <v>1</v>
      </c>
      <c r="N477" s="226">
        <f t="shared" ca="1" si="78"/>
        <v>0</v>
      </c>
      <c r="O477" s="1"/>
    </row>
    <row r="478" spans="1:15" ht="16.5" customHeight="1">
      <c r="A478" s="1"/>
      <c r="B478" s="657" t="str">
        <f t="shared" ca="1" si="79"/>
        <v/>
      </c>
      <c r="C478" s="223" t="str">
        <f t="shared" ca="1" si="80"/>
        <v/>
      </c>
      <c r="D478" s="519">
        <f t="shared" si="85"/>
        <v>473</v>
      </c>
      <c r="E478" s="225" t="str">
        <f t="shared" ca="1" si="81"/>
        <v/>
      </c>
      <c r="F478" s="224" t="str">
        <f t="shared" si="87"/>
        <v>CASSA</v>
      </c>
      <c r="G478" s="384" t="str">
        <f t="shared" ca="1" si="82"/>
        <v/>
      </c>
      <c r="H478" s="512">
        <f t="shared" ca="1" si="83"/>
        <v>0</v>
      </c>
      <c r="I478" s="1603" t="str">
        <f t="shared" ca="1" si="77"/>
        <v/>
      </c>
      <c r="J478" s="1604"/>
      <c r="K478" s="373"/>
      <c r="L478" s="513">
        <f t="shared" ca="1" si="86"/>
        <v>656.58</v>
      </c>
      <c r="M478" s="654">
        <f t="shared" ca="1" si="84"/>
        <v>1</v>
      </c>
      <c r="N478" s="226">
        <f t="shared" ca="1" si="78"/>
        <v>0</v>
      </c>
      <c r="O478" s="1"/>
    </row>
    <row r="479" spans="1:15" ht="16.5" customHeight="1">
      <c r="A479" s="1"/>
      <c r="B479" s="657" t="str">
        <f t="shared" ca="1" si="79"/>
        <v/>
      </c>
      <c r="C479" s="223" t="str">
        <f t="shared" ca="1" si="80"/>
        <v/>
      </c>
      <c r="D479" s="519">
        <f t="shared" si="85"/>
        <v>474</v>
      </c>
      <c r="E479" s="225" t="str">
        <f t="shared" ca="1" si="81"/>
        <v/>
      </c>
      <c r="F479" s="224" t="str">
        <f t="shared" si="87"/>
        <v>CASSA</v>
      </c>
      <c r="G479" s="384" t="str">
        <f t="shared" ca="1" si="82"/>
        <v/>
      </c>
      <c r="H479" s="512">
        <f t="shared" ca="1" si="83"/>
        <v>0</v>
      </c>
      <c r="I479" s="1603" t="str">
        <f t="shared" ca="1" si="77"/>
        <v/>
      </c>
      <c r="J479" s="1604"/>
      <c r="K479" s="373"/>
      <c r="L479" s="513">
        <f t="shared" ca="1" si="86"/>
        <v>656.58</v>
      </c>
      <c r="M479" s="654">
        <f t="shared" ca="1" si="84"/>
        <v>1</v>
      </c>
      <c r="N479" s="226">
        <f t="shared" ca="1" si="78"/>
        <v>0</v>
      </c>
      <c r="O479" s="1"/>
    </row>
    <row r="480" spans="1:15" ht="16.5" customHeight="1">
      <c r="A480" s="1"/>
      <c r="B480" s="657" t="str">
        <f t="shared" ca="1" si="79"/>
        <v/>
      </c>
      <c r="C480" s="223" t="str">
        <f t="shared" ca="1" si="80"/>
        <v/>
      </c>
      <c r="D480" s="519">
        <f t="shared" si="85"/>
        <v>475</v>
      </c>
      <c r="E480" s="225" t="str">
        <f t="shared" ca="1" si="81"/>
        <v/>
      </c>
      <c r="F480" s="224" t="str">
        <f t="shared" si="87"/>
        <v>CASSA</v>
      </c>
      <c r="G480" s="384" t="str">
        <f t="shared" ca="1" si="82"/>
        <v/>
      </c>
      <c r="H480" s="512">
        <f t="shared" ca="1" si="83"/>
        <v>0</v>
      </c>
      <c r="I480" s="1603" t="str">
        <f t="shared" ca="1" si="77"/>
        <v/>
      </c>
      <c r="J480" s="1604"/>
      <c r="K480" s="373"/>
      <c r="L480" s="513">
        <f t="shared" ca="1" si="86"/>
        <v>656.58</v>
      </c>
      <c r="M480" s="654">
        <f t="shared" ca="1" si="84"/>
        <v>1</v>
      </c>
      <c r="N480" s="226">
        <f t="shared" ca="1" si="78"/>
        <v>0</v>
      </c>
      <c r="O480" s="1"/>
    </row>
    <row r="481" spans="1:15" ht="16.5" customHeight="1">
      <c r="A481" s="1"/>
      <c r="B481" s="657" t="str">
        <f t="shared" ca="1" si="79"/>
        <v/>
      </c>
      <c r="C481" s="223" t="str">
        <f t="shared" ca="1" si="80"/>
        <v/>
      </c>
      <c r="D481" s="519">
        <f t="shared" si="85"/>
        <v>476</v>
      </c>
      <c r="E481" s="225" t="str">
        <f t="shared" ca="1" si="81"/>
        <v/>
      </c>
      <c r="F481" s="224" t="str">
        <f t="shared" si="87"/>
        <v>CASSA</v>
      </c>
      <c r="G481" s="384" t="str">
        <f t="shared" ca="1" si="82"/>
        <v/>
      </c>
      <c r="H481" s="512">
        <f t="shared" ca="1" si="83"/>
        <v>0</v>
      </c>
      <c r="I481" s="1603" t="str">
        <f t="shared" ca="1" si="77"/>
        <v/>
      </c>
      <c r="J481" s="1604"/>
      <c r="K481" s="373"/>
      <c r="L481" s="513">
        <f t="shared" ca="1" si="86"/>
        <v>656.58</v>
      </c>
      <c r="M481" s="654">
        <f t="shared" ca="1" si="84"/>
        <v>1</v>
      </c>
      <c r="N481" s="226">
        <f t="shared" ca="1" si="78"/>
        <v>0</v>
      </c>
      <c r="O481" s="1"/>
    </row>
    <row r="482" spans="1:15" ht="16.5" customHeight="1">
      <c r="A482" s="1"/>
      <c r="B482" s="657" t="str">
        <f t="shared" ca="1" si="79"/>
        <v/>
      </c>
      <c r="C482" s="223" t="str">
        <f t="shared" ca="1" si="80"/>
        <v/>
      </c>
      <c r="D482" s="519">
        <f t="shared" si="85"/>
        <v>477</v>
      </c>
      <c r="E482" s="225" t="str">
        <f t="shared" ca="1" si="81"/>
        <v/>
      </c>
      <c r="F482" s="224" t="str">
        <f t="shared" si="87"/>
        <v>CASSA</v>
      </c>
      <c r="G482" s="384" t="str">
        <f t="shared" ca="1" si="82"/>
        <v/>
      </c>
      <c r="H482" s="512">
        <f t="shared" ca="1" si="83"/>
        <v>0</v>
      </c>
      <c r="I482" s="1603" t="str">
        <f t="shared" ca="1" si="77"/>
        <v/>
      </c>
      <c r="J482" s="1604"/>
      <c r="K482" s="373"/>
      <c r="L482" s="513">
        <f t="shared" ca="1" si="86"/>
        <v>656.58</v>
      </c>
      <c r="M482" s="654">
        <f t="shared" ca="1" si="84"/>
        <v>1</v>
      </c>
      <c r="N482" s="226">
        <f t="shared" ca="1" si="78"/>
        <v>0</v>
      </c>
      <c r="O482" s="1"/>
    </row>
    <row r="483" spans="1:15" ht="16.5" customHeight="1">
      <c r="A483" s="1"/>
      <c r="B483" s="657" t="str">
        <f t="shared" ca="1" si="79"/>
        <v/>
      </c>
      <c r="C483" s="223" t="str">
        <f t="shared" ca="1" si="80"/>
        <v/>
      </c>
      <c r="D483" s="519">
        <f t="shared" si="85"/>
        <v>478</v>
      </c>
      <c r="E483" s="225" t="str">
        <f t="shared" ca="1" si="81"/>
        <v/>
      </c>
      <c r="F483" s="224" t="str">
        <f t="shared" si="87"/>
        <v>CASSA</v>
      </c>
      <c r="G483" s="384" t="str">
        <f t="shared" ca="1" si="82"/>
        <v/>
      </c>
      <c r="H483" s="512">
        <f t="shared" ca="1" si="83"/>
        <v>0</v>
      </c>
      <c r="I483" s="1603" t="str">
        <f t="shared" ca="1" si="77"/>
        <v/>
      </c>
      <c r="J483" s="1604"/>
      <c r="K483" s="373"/>
      <c r="L483" s="513">
        <f t="shared" ca="1" si="86"/>
        <v>656.58</v>
      </c>
      <c r="M483" s="654">
        <f t="shared" ca="1" si="84"/>
        <v>1</v>
      </c>
      <c r="N483" s="226">
        <f t="shared" ca="1" si="78"/>
        <v>0</v>
      </c>
      <c r="O483" s="1"/>
    </row>
    <row r="484" spans="1:15" ht="16.5" customHeight="1">
      <c r="A484" s="1"/>
      <c r="B484" s="657" t="str">
        <f t="shared" ca="1" si="79"/>
        <v/>
      </c>
      <c r="C484" s="223" t="str">
        <f t="shared" ca="1" si="80"/>
        <v/>
      </c>
      <c r="D484" s="519">
        <f t="shared" si="85"/>
        <v>479</v>
      </c>
      <c r="E484" s="225" t="str">
        <f t="shared" ca="1" si="81"/>
        <v/>
      </c>
      <c r="F484" s="224" t="str">
        <f t="shared" si="87"/>
        <v>CASSA</v>
      </c>
      <c r="G484" s="384" t="str">
        <f t="shared" ca="1" si="82"/>
        <v/>
      </c>
      <c r="H484" s="512">
        <f t="shared" ca="1" si="83"/>
        <v>0</v>
      </c>
      <c r="I484" s="1603" t="str">
        <f t="shared" ca="1" si="77"/>
        <v/>
      </c>
      <c r="J484" s="1604"/>
      <c r="K484" s="373"/>
      <c r="L484" s="513">
        <f t="shared" ca="1" si="86"/>
        <v>656.58</v>
      </c>
      <c r="M484" s="654">
        <f t="shared" ca="1" si="84"/>
        <v>1</v>
      </c>
      <c r="N484" s="226">
        <f t="shared" ca="1" si="78"/>
        <v>0</v>
      </c>
      <c r="O484" s="1"/>
    </row>
    <row r="485" spans="1:15" ht="16.5" customHeight="1">
      <c r="A485" s="1"/>
      <c r="B485" s="657" t="str">
        <f t="shared" ca="1" si="79"/>
        <v/>
      </c>
      <c r="C485" s="223" t="str">
        <f t="shared" ca="1" si="80"/>
        <v/>
      </c>
      <c r="D485" s="519">
        <f t="shared" si="85"/>
        <v>480</v>
      </c>
      <c r="E485" s="225" t="str">
        <f t="shared" ca="1" si="81"/>
        <v/>
      </c>
      <c r="F485" s="224" t="str">
        <f t="shared" si="87"/>
        <v>CASSA</v>
      </c>
      <c r="G485" s="384" t="str">
        <f t="shared" ca="1" si="82"/>
        <v/>
      </c>
      <c r="H485" s="512">
        <f t="shared" ca="1" si="83"/>
        <v>0</v>
      </c>
      <c r="I485" s="1603" t="str">
        <f t="shared" ca="1" si="77"/>
        <v/>
      </c>
      <c r="J485" s="1604"/>
      <c r="K485" s="373"/>
      <c r="L485" s="513">
        <f t="shared" ca="1" si="86"/>
        <v>656.58</v>
      </c>
      <c r="M485" s="654">
        <f t="shared" ca="1" si="84"/>
        <v>1</v>
      </c>
      <c r="N485" s="226">
        <f t="shared" ca="1" si="78"/>
        <v>0</v>
      </c>
      <c r="O485" s="1"/>
    </row>
    <row r="486" spans="1:15" ht="16.5" customHeight="1">
      <c r="A486" s="1"/>
      <c r="B486" s="657" t="str">
        <f t="shared" ca="1" si="79"/>
        <v/>
      </c>
      <c r="C486" s="223" t="str">
        <f t="shared" ca="1" si="80"/>
        <v/>
      </c>
      <c r="D486" s="519">
        <f t="shared" si="85"/>
        <v>481</v>
      </c>
      <c r="E486" s="225" t="str">
        <f t="shared" ca="1" si="81"/>
        <v/>
      </c>
      <c r="F486" s="224" t="str">
        <f t="shared" si="87"/>
        <v>CASSA</v>
      </c>
      <c r="G486" s="384" t="str">
        <f t="shared" ca="1" si="82"/>
        <v/>
      </c>
      <c r="H486" s="512">
        <f t="shared" ca="1" si="83"/>
        <v>0</v>
      </c>
      <c r="I486" s="1603" t="str">
        <f t="shared" ca="1" si="77"/>
        <v/>
      </c>
      <c r="J486" s="1604"/>
      <c r="K486" s="373"/>
      <c r="L486" s="513">
        <f t="shared" ca="1" si="86"/>
        <v>656.58</v>
      </c>
      <c r="M486" s="654">
        <f t="shared" ca="1" si="84"/>
        <v>1</v>
      </c>
      <c r="N486" s="226">
        <f t="shared" ca="1" si="78"/>
        <v>0</v>
      </c>
      <c r="O486" s="1"/>
    </row>
    <row r="487" spans="1:15" ht="16.5" customHeight="1">
      <c r="A487" s="1"/>
      <c r="B487" s="657" t="str">
        <f t="shared" ca="1" si="79"/>
        <v/>
      </c>
      <c r="C487" s="223" t="str">
        <f t="shared" ca="1" si="80"/>
        <v/>
      </c>
      <c r="D487" s="519">
        <f t="shared" si="85"/>
        <v>482</v>
      </c>
      <c r="E487" s="225" t="str">
        <f t="shared" ca="1" si="81"/>
        <v/>
      </c>
      <c r="F487" s="224" t="str">
        <f t="shared" si="87"/>
        <v>CASSA</v>
      </c>
      <c r="G487" s="384" t="str">
        <f t="shared" ca="1" si="82"/>
        <v/>
      </c>
      <c r="H487" s="512">
        <f t="shared" ca="1" si="83"/>
        <v>0</v>
      </c>
      <c r="I487" s="1603" t="str">
        <f t="shared" ca="1" si="77"/>
        <v/>
      </c>
      <c r="J487" s="1604"/>
      <c r="K487" s="373"/>
      <c r="L487" s="513">
        <f t="shared" ca="1" si="86"/>
        <v>656.58</v>
      </c>
      <c r="M487" s="654">
        <f t="shared" ca="1" si="84"/>
        <v>1</v>
      </c>
      <c r="N487" s="226">
        <f t="shared" ca="1" si="78"/>
        <v>0</v>
      </c>
      <c r="O487" s="1"/>
    </row>
    <row r="488" spans="1:15" ht="16.5" customHeight="1">
      <c r="A488" s="1"/>
      <c r="B488" s="657" t="str">
        <f t="shared" ca="1" si="79"/>
        <v/>
      </c>
      <c r="C488" s="223" t="str">
        <f t="shared" ca="1" si="80"/>
        <v/>
      </c>
      <c r="D488" s="519">
        <f t="shared" si="85"/>
        <v>483</v>
      </c>
      <c r="E488" s="225" t="str">
        <f t="shared" ca="1" si="81"/>
        <v/>
      </c>
      <c r="F488" s="224" t="str">
        <f t="shared" si="87"/>
        <v>CASSA</v>
      </c>
      <c r="G488" s="384" t="str">
        <f t="shared" ca="1" si="82"/>
        <v/>
      </c>
      <c r="H488" s="512">
        <f t="shared" ca="1" si="83"/>
        <v>0</v>
      </c>
      <c r="I488" s="1603" t="str">
        <f t="shared" ca="1" si="77"/>
        <v/>
      </c>
      <c r="J488" s="1604"/>
      <c r="K488" s="373"/>
      <c r="L488" s="513">
        <f t="shared" ca="1" si="86"/>
        <v>656.58</v>
      </c>
      <c r="M488" s="654">
        <f t="shared" ca="1" si="84"/>
        <v>1</v>
      </c>
      <c r="N488" s="226">
        <f t="shared" ca="1" si="78"/>
        <v>0</v>
      </c>
      <c r="O488" s="1"/>
    </row>
    <row r="489" spans="1:15" ht="16.5" customHeight="1">
      <c r="A489" s="1"/>
      <c r="B489" s="657" t="str">
        <f t="shared" ca="1" si="79"/>
        <v/>
      </c>
      <c r="C489" s="223" t="str">
        <f t="shared" ca="1" si="80"/>
        <v/>
      </c>
      <c r="D489" s="519">
        <f t="shared" si="85"/>
        <v>484</v>
      </c>
      <c r="E489" s="225" t="str">
        <f t="shared" ca="1" si="81"/>
        <v/>
      </c>
      <c r="F489" s="224" t="str">
        <f t="shared" si="87"/>
        <v>CASSA</v>
      </c>
      <c r="G489" s="384" t="str">
        <f t="shared" ca="1" si="82"/>
        <v/>
      </c>
      <c r="H489" s="512">
        <f t="shared" ca="1" si="83"/>
        <v>0</v>
      </c>
      <c r="I489" s="1603" t="str">
        <f t="shared" ca="1" si="77"/>
        <v/>
      </c>
      <c r="J489" s="1604"/>
      <c r="K489" s="373"/>
      <c r="L489" s="513">
        <f t="shared" ca="1" si="86"/>
        <v>656.58</v>
      </c>
      <c r="M489" s="654">
        <f t="shared" ca="1" si="84"/>
        <v>1</v>
      </c>
      <c r="N489" s="226">
        <f t="shared" ca="1" si="78"/>
        <v>0</v>
      </c>
      <c r="O489" s="1"/>
    </row>
    <row r="490" spans="1:15" ht="16.5" customHeight="1">
      <c r="A490" s="1"/>
      <c r="B490" s="657" t="str">
        <f t="shared" ca="1" si="79"/>
        <v/>
      </c>
      <c r="C490" s="223" t="str">
        <f t="shared" ca="1" si="80"/>
        <v/>
      </c>
      <c r="D490" s="519">
        <f t="shared" si="85"/>
        <v>485</v>
      </c>
      <c r="E490" s="225" t="str">
        <f t="shared" ca="1" si="81"/>
        <v/>
      </c>
      <c r="F490" s="224" t="str">
        <f t="shared" si="87"/>
        <v>CASSA</v>
      </c>
      <c r="G490" s="384" t="str">
        <f t="shared" ca="1" si="82"/>
        <v/>
      </c>
      <c r="H490" s="512">
        <f t="shared" ca="1" si="83"/>
        <v>0</v>
      </c>
      <c r="I490" s="1603" t="str">
        <f t="shared" ca="1" si="77"/>
        <v/>
      </c>
      <c r="J490" s="1604"/>
      <c r="K490" s="373"/>
      <c r="L490" s="513">
        <f t="shared" ca="1" si="86"/>
        <v>656.58</v>
      </c>
      <c r="M490" s="654">
        <f t="shared" ca="1" si="84"/>
        <v>1</v>
      </c>
      <c r="N490" s="226">
        <f t="shared" ca="1" si="78"/>
        <v>0</v>
      </c>
      <c r="O490" s="1"/>
    </row>
    <row r="491" spans="1:15" ht="16.5" customHeight="1">
      <c r="A491" s="1"/>
      <c r="B491" s="657" t="str">
        <f t="shared" ca="1" si="79"/>
        <v/>
      </c>
      <c r="C491" s="223" t="str">
        <f t="shared" ca="1" si="80"/>
        <v/>
      </c>
      <c r="D491" s="519">
        <f t="shared" si="85"/>
        <v>486</v>
      </c>
      <c r="E491" s="225" t="str">
        <f t="shared" ca="1" si="81"/>
        <v/>
      </c>
      <c r="F491" s="224" t="str">
        <f t="shared" si="87"/>
        <v>CASSA</v>
      </c>
      <c r="G491" s="384" t="str">
        <f t="shared" ca="1" si="82"/>
        <v/>
      </c>
      <c r="H491" s="512">
        <f t="shared" ca="1" si="83"/>
        <v>0</v>
      </c>
      <c r="I491" s="1603" t="str">
        <f t="shared" ca="1" si="77"/>
        <v/>
      </c>
      <c r="J491" s="1604"/>
      <c r="K491" s="373"/>
      <c r="L491" s="513">
        <f t="shared" ca="1" si="86"/>
        <v>656.58</v>
      </c>
      <c r="M491" s="654">
        <f t="shared" ca="1" si="84"/>
        <v>1</v>
      </c>
      <c r="N491" s="226">
        <f t="shared" ca="1" si="78"/>
        <v>0</v>
      </c>
      <c r="O491" s="1"/>
    </row>
    <row r="492" spans="1:15" ht="16.5" customHeight="1">
      <c r="A492" s="1"/>
      <c r="B492" s="657" t="str">
        <f t="shared" ca="1" si="79"/>
        <v/>
      </c>
      <c r="C492" s="223" t="str">
        <f t="shared" ca="1" si="80"/>
        <v/>
      </c>
      <c r="D492" s="519">
        <f t="shared" si="85"/>
        <v>487</v>
      </c>
      <c r="E492" s="225" t="str">
        <f t="shared" ca="1" si="81"/>
        <v/>
      </c>
      <c r="F492" s="224" t="str">
        <f t="shared" si="87"/>
        <v>CASSA</v>
      </c>
      <c r="G492" s="384" t="str">
        <f t="shared" ca="1" si="82"/>
        <v/>
      </c>
      <c r="H492" s="512">
        <f t="shared" ca="1" si="83"/>
        <v>0</v>
      </c>
      <c r="I492" s="1603" t="str">
        <f t="shared" ca="1" si="77"/>
        <v/>
      </c>
      <c r="J492" s="1604"/>
      <c r="K492" s="373"/>
      <c r="L492" s="513">
        <f t="shared" ca="1" si="86"/>
        <v>656.58</v>
      </c>
      <c r="M492" s="654">
        <f t="shared" ca="1" si="84"/>
        <v>1</v>
      </c>
      <c r="N492" s="226">
        <f t="shared" ca="1" si="78"/>
        <v>0</v>
      </c>
      <c r="O492" s="1"/>
    </row>
    <row r="493" spans="1:15" ht="16.5" customHeight="1">
      <c r="A493" s="1"/>
      <c r="B493" s="657" t="str">
        <f t="shared" ca="1" si="79"/>
        <v/>
      </c>
      <c r="C493" s="223" t="str">
        <f t="shared" ca="1" si="80"/>
        <v/>
      </c>
      <c r="D493" s="519">
        <f t="shared" si="85"/>
        <v>488</v>
      </c>
      <c r="E493" s="225" t="str">
        <f t="shared" ca="1" si="81"/>
        <v/>
      </c>
      <c r="F493" s="224" t="str">
        <f t="shared" si="87"/>
        <v>CASSA</v>
      </c>
      <c r="G493" s="384" t="str">
        <f t="shared" ca="1" si="82"/>
        <v/>
      </c>
      <c r="H493" s="512">
        <f t="shared" ca="1" si="83"/>
        <v>0</v>
      </c>
      <c r="I493" s="1603" t="str">
        <f t="shared" ca="1" si="77"/>
        <v/>
      </c>
      <c r="J493" s="1604"/>
      <c r="K493" s="373"/>
      <c r="L493" s="513">
        <f t="shared" ca="1" si="86"/>
        <v>656.58</v>
      </c>
      <c r="M493" s="654">
        <f t="shared" ca="1" si="84"/>
        <v>1</v>
      </c>
      <c r="N493" s="226">
        <f t="shared" ca="1" si="78"/>
        <v>0</v>
      </c>
      <c r="O493" s="1"/>
    </row>
    <row r="494" spans="1:15" ht="16.5" customHeight="1">
      <c r="A494" s="1"/>
      <c r="B494" s="657" t="str">
        <f t="shared" ca="1" si="79"/>
        <v/>
      </c>
      <c r="C494" s="223" t="str">
        <f t="shared" ca="1" si="80"/>
        <v/>
      </c>
      <c r="D494" s="519">
        <f t="shared" si="85"/>
        <v>489</v>
      </c>
      <c r="E494" s="225" t="str">
        <f t="shared" ca="1" si="81"/>
        <v/>
      </c>
      <c r="F494" s="224" t="str">
        <f t="shared" si="87"/>
        <v>CASSA</v>
      </c>
      <c r="G494" s="384" t="str">
        <f t="shared" ca="1" si="82"/>
        <v/>
      </c>
      <c r="H494" s="512">
        <f t="shared" ca="1" si="83"/>
        <v>0</v>
      </c>
      <c r="I494" s="1603" t="str">
        <f t="shared" ca="1" si="77"/>
        <v/>
      </c>
      <c r="J494" s="1604"/>
      <c r="K494" s="373"/>
      <c r="L494" s="513">
        <f t="shared" ca="1" si="86"/>
        <v>656.58</v>
      </c>
      <c r="M494" s="654">
        <f t="shared" ca="1" si="84"/>
        <v>1</v>
      </c>
      <c r="N494" s="226">
        <f t="shared" ca="1" si="78"/>
        <v>0</v>
      </c>
      <c r="O494" s="1"/>
    </row>
    <row r="495" spans="1:15" ht="16.5" customHeight="1">
      <c r="A495" s="1"/>
      <c r="B495" s="657" t="str">
        <f t="shared" ca="1" si="79"/>
        <v/>
      </c>
      <c r="C495" s="223" t="str">
        <f t="shared" ca="1" si="80"/>
        <v/>
      </c>
      <c r="D495" s="519">
        <f t="shared" si="85"/>
        <v>490</v>
      </c>
      <c r="E495" s="225" t="str">
        <f t="shared" ca="1" si="81"/>
        <v/>
      </c>
      <c r="F495" s="224" t="str">
        <f t="shared" si="87"/>
        <v>CASSA</v>
      </c>
      <c r="G495" s="384" t="str">
        <f t="shared" ca="1" si="82"/>
        <v/>
      </c>
      <c r="H495" s="512">
        <f t="shared" ca="1" si="83"/>
        <v>0</v>
      </c>
      <c r="I495" s="1603" t="str">
        <f t="shared" ca="1" si="77"/>
        <v/>
      </c>
      <c r="J495" s="1604"/>
      <c r="K495" s="373"/>
      <c r="L495" s="513">
        <f t="shared" ca="1" si="86"/>
        <v>656.58</v>
      </c>
      <c r="M495" s="654">
        <f t="shared" ca="1" si="84"/>
        <v>1</v>
      </c>
      <c r="N495" s="226">
        <f t="shared" ca="1" si="78"/>
        <v>0</v>
      </c>
      <c r="O495" s="1"/>
    </row>
    <row r="496" spans="1:15" ht="16.5" customHeight="1">
      <c r="A496" s="1"/>
      <c r="B496" s="657" t="str">
        <f t="shared" ca="1" si="79"/>
        <v/>
      </c>
      <c r="C496" s="223" t="str">
        <f t="shared" ca="1" si="80"/>
        <v/>
      </c>
      <c r="D496" s="519">
        <f t="shared" si="85"/>
        <v>491</v>
      </c>
      <c r="E496" s="225" t="str">
        <f t="shared" ca="1" si="81"/>
        <v/>
      </c>
      <c r="F496" s="224" t="str">
        <f t="shared" si="87"/>
        <v>CASSA</v>
      </c>
      <c r="G496" s="384" t="str">
        <f t="shared" ca="1" si="82"/>
        <v/>
      </c>
      <c r="H496" s="512">
        <f t="shared" ca="1" si="83"/>
        <v>0</v>
      </c>
      <c r="I496" s="1603" t="str">
        <f t="shared" ca="1" si="77"/>
        <v/>
      </c>
      <c r="J496" s="1604"/>
      <c r="K496" s="373"/>
      <c r="L496" s="513">
        <f t="shared" ca="1" si="86"/>
        <v>656.58</v>
      </c>
      <c r="M496" s="654">
        <f t="shared" ca="1" si="84"/>
        <v>1</v>
      </c>
      <c r="N496" s="226">
        <f t="shared" ca="1" si="78"/>
        <v>0</v>
      </c>
      <c r="O496" s="1"/>
    </row>
    <row r="497" spans="1:15" ht="16.5" customHeight="1">
      <c r="A497" s="1"/>
      <c r="B497" s="657" t="str">
        <f t="shared" ca="1" si="79"/>
        <v/>
      </c>
      <c r="C497" s="223" t="str">
        <f t="shared" ca="1" si="80"/>
        <v/>
      </c>
      <c r="D497" s="519">
        <f t="shared" si="85"/>
        <v>492</v>
      </c>
      <c r="E497" s="225" t="str">
        <f t="shared" ca="1" si="81"/>
        <v/>
      </c>
      <c r="F497" s="224" t="str">
        <f t="shared" si="87"/>
        <v>CASSA</v>
      </c>
      <c r="G497" s="384" t="str">
        <f t="shared" ca="1" si="82"/>
        <v/>
      </c>
      <c r="H497" s="512">
        <f t="shared" ca="1" si="83"/>
        <v>0</v>
      </c>
      <c r="I497" s="1603" t="str">
        <f t="shared" ca="1" si="77"/>
        <v/>
      </c>
      <c r="J497" s="1604"/>
      <c r="K497" s="373"/>
      <c r="L497" s="513">
        <f t="shared" ca="1" si="86"/>
        <v>656.58</v>
      </c>
      <c r="M497" s="654">
        <f t="shared" ca="1" si="84"/>
        <v>1</v>
      </c>
      <c r="N497" s="226">
        <f t="shared" ca="1" si="78"/>
        <v>0</v>
      </c>
      <c r="O497" s="1"/>
    </row>
    <row r="498" spans="1:15" ht="16.5" customHeight="1">
      <c r="A498" s="1"/>
      <c r="B498" s="657" t="str">
        <f t="shared" ca="1" si="79"/>
        <v/>
      </c>
      <c r="C498" s="223" t="str">
        <f t="shared" ca="1" si="80"/>
        <v/>
      </c>
      <c r="D498" s="519">
        <f t="shared" si="85"/>
        <v>493</v>
      </c>
      <c r="E498" s="225" t="str">
        <f t="shared" ca="1" si="81"/>
        <v/>
      </c>
      <c r="F498" s="224" t="str">
        <f t="shared" si="87"/>
        <v>CASSA</v>
      </c>
      <c r="G498" s="384" t="str">
        <f t="shared" ca="1" si="82"/>
        <v/>
      </c>
      <c r="H498" s="512">
        <f t="shared" ca="1" si="83"/>
        <v>0</v>
      </c>
      <c r="I498" s="1603" t="str">
        <f t="shared" ca="1" si="77"/>
        <v/>
      </c>
      <c r="J498" s="1604"/>
      <c r="K498" s="373"/>
      <c r="L498" s="513">
        <f t="shared" ca="1" si="86"/>
        <v>656.58</v>
      </c>
      <c r="M498" s="654">
        <f t="shared" ca="1" si="84"/>
        <v>1</v>
      </c>
      <c r="N498" s="226">
        <f t="shared" ca="1" si="78"/>
        <v>0</v>
      </c>
      <c r="O498" s="1"/>
    </row>
    <row r="499" spans="1:15" ht="16.5" customHeight="1">
      <c r="A499" s="1"/>
      <c r="B499" s="657" t="str">
        <f t="shared" ca="1" si="79"/>
        <v/>
      </c>
      <c r="C499" s="223" t="str">
        <f t="shared" ca="1" si="80"/>
        <v/>
      </c>
      <c r="D499" s="519">
        <f t="shared" si="85"/>
        <v>494</v>
      </c>
      <c r="E499" s="225" t="str">
        <f t="shared" ca="1" si="81"/>
        <v/>
      </c>
      <c r="F499" s="224" t="str">
        <f t="shared" si="87"/>
        <v>CASSA</v>
      </c>
      <c r="G499" s="384" t="str">
        <f t="shared" ca="1" si="82"/>
        <v/>
      </c>
      <c r="H499" s="512">
        <f t="shared" ca="1" si="83"/>
        <v>0</v>
      </c>
      <c r="I499" s="1603" t="str">
        <f t="shared" ca="1" si="77"/>
        <v/>
      </c>
      <c r="J499" s="1604"/>
      <c r="K499" s="373"/>
      <c r="L499" s="513">
        <f t="shared" ca="1" si="86"/>
        <v>656.58</v>
      </c>
      <c r="M499" s="654">
        <f t="shared" ca="1" si="84"/>
        <v>1</v>
      </c>
      <c r="N499" s="226">
        <f t="shared" ca="1" si="78"/>
        <v>0</v>
      </c>
      <c r="O499" s="1"/>
    </row>
    <row r="500" spans="1:15" ht="16.5" customHeight="1">
      <c r="A500" s="1"/>
      <c r="B500" s="657" t="str">
        <f t="shared" ca="1" si="79"/>
        <v/>
      </c>
      <c r="C500" s="223" t="str">
        <f t="shared" ca="1" si="80"/>
        <v/>
      </c>
      <c r="D500" s="519">
        <f t="shared" si="85"/>
        <v>495</v>
      </c>
      <c r="E500" s="225" t="str">
        <f t="shared" ca="1" si="81"/>
        <v/>
      </c>
      <c r="F500" s="224" t="str">
        <f t="shared" si="87"/>
        <v>CASSA</v>
      </c>
      <c r="G500" s="384" t="str">
        <f t="shared" ca="1" si="82"/>
        <v/>
      </c>
      <c r="H500" s="512">
        <f t="shared" ca="1" si="83"/>
        <v>0</v>
      </c>
      <c r="I500" s="1603" t="str">
        <f t="shared" ca="1" si="77"/>
        <v/>
      </c>
      <c r="J500" s="1604"/>
      <c r="K500" s="373"/>
      <c r="L500" s="513">
        <f t="shared" ca="1" si="86"/>
        <v>656.58</v>
      </c>
      <c r="M500" s="654">
        <f t="shared" ca="1" si="84"/>
        <v>1</v>
      </c>
      <c r="N500" s="226">
        <f t="shared" ca="1" si="78"/>
        <v>0</v>
      </c>
      <c r="O500" s="1"/>
    </row>
    <row r="501" spans="1:15" ht="16.5" customHeight="1">
      <c r="A501" s="1"/>
      <c r="B501" s="657" t="str">
        <f t="shared" ca="1" si="79"/>
        <v/>
      </c>
      <c r="C501" s="223" t="str">
        <f t="shared" ca="1" si="80"/>
        <v/>
      </c>
      <c r="D501" s="519">
        <f t="shared" si="85"/>
        <v>496</v>
      </c>
      <c r="E501" s="225" t="str">
        <f t="shared" ca="1" si="81"/>
        <v/>
      </c>
      <c r="F501" s="224" t="str">
        <f t="shared" si="87"/>
        <v>CASSA</v>
      </c>
      <c r="G501" s="384" t="str">
        <f t="shared" ca="1" si="82"/>
        <v/>
      </c>
      <c r="H501" s="512">
        <f t="shared" ca="1" si="83"/>
        <v>0</v>
      </c>
      <c r="I501" s="1603" t="str">
        <f t="shared" ca="1" si="77"/>
        <v/>
      </c>
      <c r="J501" s="1604"/>
      <c r="K501" s="373"/>
      <c r="L501" s="513">
        <f t="shared" ca="1" si="86"/>
        <v>656.58</v>
      </c>
      <c r="M501" s="654">
        <f t="shared" ca="1" si="84"/>
        <v>1</v>
      </c>
      <c r="N501" s="226">
        <f t="shared" ca="1" si="78"/>
        <v>0</v>
      </c>
      <c r="O501" s="1"/>
    </row>
    <row r="502" spans="1:15" ht="16.5" customHeight="1">
      <c r="A502" s="1"/>
      <c r="B502" s="657" t="str">
        <f t="shared" ca="1" si="79"/>
        <v/>
      </c>
      <c r="C502" s="223" t="str">
        <f t="shared" ca="1" si="80"/>
        <v/>
      </c>
      <c r="D502" s="519">
        <f t="shared" si="85"/>
        <v>497</v>
      </c>
      <c r="E502" s="225" t="str">
        <f t="shared" ca="1" si="81"/>
        <v/>
      </c>
      <c r="F502" s="224" t="str">
        <f t="shared" si="87"/>
        <v>CASSA</v>
      </c>
      <c r="G502" s="384" t="str">
        <f t="shared" ca="1" si="82"/>
        <v/>
      </c>
      <c r="H502" s="512">
        <f t="shared" ca="1" si="83"/>
        <v>0</v>
      </c>
      <c r="I502" s="1603" t="str">
        <f t="shared" ca="1" si="77"/>
        <v/>
      </c>
      <c r="J502" s="1604"/>
      <c r="K502" s="373"/>
      <c r="L502" s="513">
        <f t="shared" ca="1" si="86"/>
        <v>656.58</v>
      </c>
      <c r="M502" s="654">
        <f t="shared" ca="1" si="84"/>
        <v>1</v>
      </c>
      <c r="N502" s="226">
        <f t="shared" ca="1" si="78"/>
        <v>0</v>
      </c>
      <c r="O502" s="1"/>
    </row>
    <row r="503" spans="1:15" ht="16.5" customHeight="1">
      <c r="A503" s="1"/>
      <c r="B503" s="657" t="str">
        <f t="shared" ca="1" si="79"/>
        <v/>
      </c>
      <c r="C503" s="223" t="str">
        <f t="shared" ca="1" si="80"/>
        <v/>
      </c>
      <c r="D503" s="519">
        <f t="shared" si="85"/>
        <v>498</v>
      </c>
      <c r="E503" s="225" t="str">
        <f t="shared" ca="1" si="81"/>
        <v/>
      </c>
      <c r="F503" s="224" t="str">
        <f t="shared" si="87"/>
        <v>CASSA</v>
      </c>
      <c r="G503" s="384" t="str">
        <f t="shared" ca="1" si="82"/>
        <v/>
      </c>
      <c r="H503" s="512">
        <f t="shared" ca="1" si="83"/>
        <v>0</v>
      </c>
      <c r="I503" s="1603" t="str">
        <f t="shared" ca="1" si="77"/>
        <v/>
      </c>
      <c r="J503" s="1604"/>
      <c r="K503" s="373"/>
      <c r="L503" s="513">
        <f t="shared" ca="1" si="86"/>
        <v>656.58</v>
      </c>
      <c r="M503" s="654">
        <f t="shared" ca="1" si="84"/>
        <v>1</v>
      </c>
      <c r="N503" s="226">
        <f t="shared" ca="1" si="78"/>
        <v>0</v>
      </c>
      <c r="O503" s="1"/>
    </row>
    <row r="504" spans="1:15" ht="16.5" customHeight="1">
      <c r="A504" s="1"/>
      <c r="B504" s="657" t="str">
        <f t="shared" ca="1" si="79"/>
        <v/>
      </c>
      <c r="C504" s="223" t="str">
        <f t="shared" ca="1" si="80"/>
        <v/>
      </c>
      <c r="D504" s="519">
        <f t="shared" si="85"/>
        <v>499</v>
      </c>
      <c r="E504" s="225" t="str">
        <f t="shared" ca="1" si="81"/>
        <v/>
      </c>
      <c r="F504" s="224" t="str">
        <f t="shared" si="87"/>
        <v>CASSA</v>
      </c>
      <c r="G504" s="384" t="str">
        <f t="shared" ca="1" si="82"/>
        <v/>
      </c>
      <c r="H504" s="512">
        <f t="shared" ca="1" si="83"/>
        <v>0</v>
      </c>
      <c r="I504" s="1603" t="str">
        <f t="shared" ca="1" si="77"/>
        <v/>
      </c>
      <c r="J504" s="1604"/>
      <c r="K504" s="373"/>
      <c r="L504" s="513">
        <f t="shared" ca="1" si="86"/>
        <v>656.58</v>
      </c>
      <c r="M504" s="654">
        <f t="shared" ca="1" si="84"/>
        <v>1</v>
      </c>
      <c r="N504" s="226">
        <f t="shared" ca="1" si="78"/>
        <v>0</v>
      </c>
      <c r="O504" s="1"/>
    </row>
    <row r="505" spans="1:15" ht="16.5" customHeight="1">
      <c r="A505" s="1"/>
      <c r="B505" s="657" t="str">
        <f t="shared" ca="1" si="79"/>
        <v/>
      </c>
      <c r="C505" s="223" t="str">
        <f t="shared" ca="1" si="80"/>
        <v/>
      </c>
      <c r="D505" s="519">
        <f t="shared" si="85"/>
        <v>500</v>
      </c>
      <c r="E505" s="225" t="str">
        <f t="shared" ca="1" si="81"/>
        <v/>
      </c>
      <c r="F505" s="224" t="str">
        <f t="shared" si="87"/>
        <v>CASSA</v>
      </c>
      <c r="G505" s="384" t="str">
        <f t="shared" ca="1" si="82"/>
        <v/>
      </c>
      <c r="H505" s="512">
        <f t="shared" ca="1" si="83"/>
        <v>0</v>
      </c>
      <c r="I505" s="1603" t="str">
        <f t="shared" ca="1" si="77"/>
        <v/>
      </c>
      <c r="J505" s="1604"/>
      <c r="K505" s="373"/>
      <c r="L505" s="513">
        <f t="shared" ca="1" si="86"/>
        <v>656.58</v>
      </c>
      <c r="M505" s="654">
        <f t="shared" ca="1" si="84"/>
        <v>1</v>
      </c>
      <c r="N505" s="226">
        <f t="shared" ca="1" si="78"/>
        <v>0</v>
      </c>
      <c r="O505" s="1"/>
    </row>
    <row r="506" spans="1:15" ht="16.5" customHeight="1">
      <c r="A506" s="1"/>
      <c r="B506" s="657" t="str">
        <f t="shared" ca="1" si="79"/>
        <v/>
      </c>
      <c r="C506" s="223" t="str">
        <f t="shared" ca="1" si="80"/>
        <v/>
      </c>
      <c r="D506" s="519">
        <f t="shared" si="85"/>
        <v>501</v>
      </c>
      <c r="E506" s="225" t="str">
        <f t="shared" ca="1" si="81"/>
        <v/>
      </c>
      <c r="F506" s="224" t="str">
        <f t="shared" si="87"/>
        <v>CASSA</v>
      </c>
      <c r="G506" s="384" t="str">
        <f t="shared" ca="1" si="82"/>
        <v/>
      </c>
      <c r="H506" s="512">
        <f t="shared" ca="1" si="83"/>
        <v>0</v>
      </c>
      <c r="I506" s="1603" t="str">
        <f t="shared" ca="1" si="77"/>
        <v/>
      </c>
      <c r="J506" s="1604"/>
      <c r="K506" s="373"/>
      <c r="L506" s="513">
        <f t="shared" ca="1" si="86"/>
        <v>656.58</v>
      </c>
      <c r="M506" s="654">
        <f t="shared" ca="1" si="84"/>
        <v>1</v>
      </c>
      <c r="N506" s="226">
        <f t="shared" ca="1" si="78"/>
        <v>0</v>
      </c>
      <c r="O506" s="1"/>
    </row>
    <row r="507" spans="1:15" ht="16.5" customHeight="1">
      <c r="A507" s="1"/>
      <c r="B507" s="657" t="str">
        <f t="shared" ca="1" si="79"/>
        <v/>
      </c>
      <c r="C507" s="223" t="str">
        <f t="shared" ca="1" si="80"/>
        <v/>
      </c>
      <c r="D507" s="519">
        <f t="shared" si="85"/>
        <v>502</v>
      </c>
      <c r="E507" s="225" t="str">
        <f t="shared" ca="1" si="81"/>
        <v/>
      </c>
      <c r="F507" s="224" t="str">
        <f t="shared" si="87"/>
        <v>CASSA</v>
      </c>
      <c r="G507" s="384" t="str">
        <f t="shared" ca="1" si="82"/>
        <v/>
      </c>
      <c r="H507" s="512">
        <f t="shared" ca="1" si="83"/>
        <v>0</v>
      </c>
      <c r="I507" s="1603" t="str">
        <f t="shared" ca="1" si="77"/>
        <v/>
      </c>
      <c r="J507" s="1604"/>
      <c r="K507" s="373"/>
      <c r="L507" s="513">
        <f t="shared" ca="1" si="86"/>
        <v>656.58</v>
      </c>
      <c r="M507" s="654">
        <f t="shared" ca="1" si="84"/>
        <v>1</v>
      </c>
      <c r="N507" s="226">
        <f t="shared" ca="1" si="78"/>
        <v>0</v>
      </c>
      <c r="O507" s="1"/>
    </row>
    <row r="508" spans="1:15" ht="16.5" customHeight="1">
      <c r="A508" s="1"/>
      <c r="B508" s="657" t="str">
        <f t="shared" ca="1" si="79"/>
        <v/>
      </c>
      <c r="C508" s="223" t="str">
        <f t="shared" ca="1" si="80"/>
        <v/>
      </c>
      <c r="D508" s="519">
        <f t="shared" si="85"/>
        <v>503</v>
      </c>
      <c r="E508" s="225" t="str">
        <f t="shared" ca="1" si="81"/>
        <v/>
      </c>
      <c r="F508" s="224" t="str">
        <f t="shared" si="87"/>
        <v>CASSA</v>
      </c>
      <c r="G508" s="384" t="str">
        <f t="shared" ca="1" si="82"/>
        <v/>
      </c>
      <c r="H508" s="512">
        <f t="shared" ca="1" si="83"/>
        <v>0</v>
      </c>
      <c r="I508" s="1603" t="str">
        <f t="shared" ca="1" si="77"/>
        <v/>
      </c>
      <c r="J508" s="1604"/>
      <c r="K508" s="373"/>
      <c r="L508" s="513">
        <f t="shared" ca="1" si="86"/>
        <v>656.58</v>
      </c>
      <c r="M508" s="654">
        <f t="shared" ca="1" si="84"/>
        <v>1</v>
      </c>
      <c r="N508" s="226">
        <f t="shared" ca="1" si="78"/>
        <v>0</v>
      </c>
      <c r="O508" s="1"/>
    </row>
    <row r="509" spans="1:15" ht="16.5" customHeight="1">
      <c r="A509" s="1"/>
      <c r="B509" s="657" t="str">
        <f t="shared" ca="1" si="79"/>
        <v/>
      </c>
      <c r="C509" s="223" t="str">
        <f t="shared" ca="1" si="80"/>
        <v/>
      </c>
      <c r="D509" s="519">
        <f t="shared" si="85"/>
        <v>504</v>
      </c>
      <c r="E509" s="225" t="str">
        <f t="shared" ca="1" si="81"/>
        <v/>
      </c>
      <c r="F509" s="224" t="str">
        <f t="shared" si="87"/>
        <v>CASSA</v>
      </c>
      <c r="G509" s="384" t="str">
        <f t="shared" ca="1" si="82"/>
        <v/>
      </c>
      <c r="H509" s="512">
        <f t="shared" ca="1" si="83"/>
        <v>0</v>
      </c>
      <c r="I509" s="1603" t="str">
        <f t="shared" ca="1" si="77"/>
        <v/>
      </c>
      <c r="J509" s="1604"/>
      <c r="K509" s="373"/>
      <c r="L509" s="513">
        <f t="shared" ca="1" si="86"/>
        <v>656.58</v>
      </c>
      <c r="M509" s="654">
        <f t="shared" ca="1" si="84"/>
        <v>1</v>
      </c>
      <c r="N509" s="226">
        <f t="shared" ca="1" si="78"/>
        <v>0</v>
      </c>
      <c r="O509" s="1"/>
    </row>
    <row r="510" spans="1:15" ht="16.5" customHeight="1">
      <c r="A510" s="1"/>
      <c r="B510" s="657" t="str">
        <f t="shared" ca="1" si="79"/>
        <v/>
      </c>
      <c r="C510" s="223" t="str">
        <f t="shared" ca="1" si="80"/>
        <v/>
      </c>
      <c r="D510" s="519">
        <f t="shared" si="85"/>
        <v>505</v>
      </c>
      <c r="E510" s="225" t="str">
        <f t="shared" ca="1" si="81"/>
        <v/>
      </c>
      <c r="F510" s="224" t="str">
        <f t="shared" si="87"/>
        <v>CASSA</v>
      </c>
      <c r="G510" s="384" t="str">
        <f t="shared" ca="1" si="82"/>
        <v/>
      </c>
      <c r="H510" s="512">
        <f t="shared" ca="1" si="83"/>
        <v>0</v>
      </c>
      <c r="I510" s="1603" t="str">
        <f t="shared" ca="1" si="77"/>
        <v/>
      </c>
      <c r="J510" s="1604"/>
      <c r="K510" s="373"/>
      <c r="L510" s="513">
        <f t="shared" ca="1" si="86"/>
        <v>656.58</v>
      </c>
      <c r="M510" s="654">
        <f t="shared" ca="1" si="84"/>
        <v>1</v>
      </c>
      <c r="N510" s="226">
        <f t="shared" ca="1" si="78"/>
        <v>0</v>
      </c>
      <c r="O510" s="1"/>
    </row>
    <row r="511" spans="1:15" ht="16.5" customHeight="1">
      <c r="A511" s="1"/>
      <c r="B511" s="657" t="str">
        <f t="shared" ca="1" si="79"/>
        <v/>
      </c>
      <c r="C511" s="223" t="str">
        <f t="shared" ca="1" si="80"/>
        <v/>
      </c>
      <c r="D511" s="519">
        <f t="shared" si="85"/>
        <v>506</v>
      </c>
      <c r="E511" s="225" t="str">
        <f t="shared" ca="1" si="81"/>
        <v/>
      </c>
      <c r="F511" s="224" t="str">
        <f t="shared" si="87"/>
        <v>CASSA</v>
      </c>
      <c r="G511" s="384" t="str">
        <f t="shared" ca="1" si="82"/>
        <v/>
      </c>
      <c r="H511" s="512">
        <f t="shared" ca="1" si="83"/>
        <v>0</v>
      </c>
      <c r="I511" s="1603" t="str">
        <f t="shared" ca="1" si="77"/>
        <v/>
      </c>
      <c r="J511" s="1604"/>
      <c r="K511" s="373"/>
      <c r="L511" s="513">
        <f t="shared" ca="1" si="86"/>
        <v>656.58</v>
      </c>
      <c r="M511" s="654">
        <f t="shared" ca="1" si="84"/>
        <v>1</v>
      </c>
      <c r="N511" s="226">
        <f t="shared" ca="1" si="78"/>
        <v>0</v>
      </c>
      <c r="O511" s="1"/>
    </row>
    <row r="512" spans="1:15" ht="16.5" customHeight="1">
      <c r="A512" s="1"/>
      <c r="B512" s="657" t="str">
        <f t="shared" ca="1" si="79"/>
        <v/>
      </c>
      <c r="C512" s="223" t="str">
        <f t="shared" ca="1" si="80"/>
        <v/>
      </c>
      <c r="D512" s="519">
        <f t="shared" si="85"/>
        <v>507</v>
      </c>
      <c r="E512" s="225" t="str">
        <f t="shared" ca="1" si="81"/>
        <v/>
      </c>
      <c r="F512" s="224" t="str">
        <f t="shared" si="87"/>
        <v>CASSA</v>
      </c>
      <c r="G512" s="384" t="str">
        <f t="shared" ca="1" si="82"/>
        <v/>
      </c>
      <c r="H512" s="512">
        <f t="shared" ca="1" si="83"/>
        <v>0</v>
      </c>
      <c r="I512" s="1603" t="str">
        <f t="shared" ca="1" si="77"/>
        <v/>
      </c>
      <c r="J512" s="1604"/>
      <c r="K512" s="373"/>
      <c r="L512" s="513">
        <f t="shared" ca="1" si="86"/>
        <v>656.58</v>
      </c>
      <c r="M512" s="654">
        <f t="shared" ca="1" si="84"/>
        <v>1</v>
      </c>
      <c r="N512" s="226">
        <f t="shared" ca="1" si="78"/>
        <v>0</v>
      </c>
      <c r="O512" s="1"/>
    </row>
    <row r="513" spans="1:15" ht="16.5" customHeight="1">
      <c r="A513" s="1"/>
      <c r="B513" s="657" t="str">
        <f t="shared" ca="1" si="79"/>
        <v/>
      </c>
      <c r="C513" s="223" t="str">
        <f t="shared" ca="1" si="80"/>
        <v/>
      </c>
      <c r="D513" s="519">
        <f t="shared" si="85"/>
        <v>508</v>
      </c>
      <c r="E513" s="225" t="str">
        <f t="shared" ca="1" si="81"/>
        <v/>
      </c>
      <c r="F513" s="224" t="str">
        <f t="shared" si="87"/>
        <v>CASSA</v>
      </c>
      <c r="G513" s="384" t="str">
        <f t="shared" ca="1" si="82"/>
        <v/>
      </c>
      <c r="H513" s="512">
        <f t="shared" ca="1" si="83"/>
        <v>0</v>
      </c>
      <c r="I513" s="1603" t="str">
        <f t="shared" ca="1" si="77"/>
        <v/>
      </c>
      <c r="J513" s="1604"/>
      <c r="K513" s="373"/>
      <c r="L513" s="513">
        <f t="shared" ca="1" si="86"/>
        <v>656.58</v>
      </c>
      <c r="M513" s="654">
        <f t="shared" ca="1" si="84"/>
        <v>1</v>
      </c>
      <c r="N513" s="226">
        <f t="shared" ca="1" si="78"/>
        <v>0</v>
      </c>
      <c r="O513" s="1"/>
    </row>
    <row r="514" spans="1:15" ht="16.5" customHeight="1">
      <c r="A514" s="1"/>
      <c r="B514" s="657" t="str">
        <f t="shared" ca="1" si="79"/>
        <v/>
      </c>
      <c r="C514" s="223" t="str">
        <f t="shared" ca="1" si="80"/>
        <v/>
      </c>
      <c r="D514" s="519">
        <f t="shared" si="85"/>
        <v>509</v>
      </c>
      <c r="E514" s="225" t="str">
        <f t="shared" ca="1" si="81"/>
        <v/>
      </c>
      <c r="F514" s="224" t="str">
        <f t="shared" si="87"/>
        <v>CASSA</v>
      </c>
      <c r="G514" s="384" t="str">
        <f t="shared" ca="1" si="82"/>
        <v/>
      </c>
      <c r="H514" s="512">
        <f t="shared" ca="1" si="83"/>
        <v>0</v>
      </c>
      <c r="I514" s="1603" t="str">
        <f t="shared" ca="1" si="77"/>
        <v/>
      </c>
      <c r="J514" s="1604"/>
      <c r="K514" s="373"/>
      <c r="L514" s="513">
        <f t="shared" ca="1" si="86"/>
        <v>656.58</v>
      </c>
      <c r="M514" s="654">
        <f t="shared" ca="1" si="84"/>
        <v>1</v>
      </c>
      <c r="N514" s="226">
        <f t="shared" ca="1" si="78"/>
        <v>0</v>
      </c>
      <c r="O514" s="1"/>
    </row>
    <row r="515" spans="1:15" ht="16.5" customHeight="1">
      <c r="A515" s="1"/>
      <c r="B515" s="657" t="str">
        <f t="shared" ca="1" si="79"/>
        <v/>
      </c>
      <c r="C515" s="223" t="str">
        <f t="shared" ca="1" si="80"/>
        <v/>
      </c>
      <c r="D515" s="519">
        <f t="shared" si="85"/>
        <v>510</v>
      </c>
      <c r="E515" s="225" t="str">
        <f t="shared" ca="1" si="81"/>
        <v/>
      </c>
      <c r="F515" s="224" t="str">
        <f t="shared" si="87"/>
        <v>CASSA</v>
      </c>
      <c r="G515" s="384" t="str">
        <f t="shared" ca="1" si="82"/>
        <v/>
      </c>
      <c r="H515" s="512">
        <f t="shared" ca="1" si="83"/>
        <v>0</v>
      </c>
      <c r="I515" s="1603" t="str">
        <f t="shared" ca="1" si="77"/>
        <v/>
      </c>
      <c r="J515" s="1604"/>
      <c r="K515" s="373"/>
      <c r="L515" s="513">
        <f t="shared" ca="1" si="86"/>
        <v>656.58</v>
      </c>
      <c r="M515" s="654">
        <f t="shared" ca="1" si="84"/>
        <v>1</v>
      </c>
      <c r="N515" s="226">
        <f t="shared" ca="1" si="78"/>
        <v>0</v>
      </c>
      <c r="O515" s="1"/>
    </row>
    <row r="516" spans="1:15" ht="16.5" customHeight="1">
      <c r="A516" s="1"/>
      <c r="B516" s="657" t="str">
        <f t="shared" ca="1" si="79"/>
        <v/>
      </c>
      <c r="C516" s="223" t="str">
        <f t="shared" ca="1" si="80"/>
        <v/>
      </c>
      <c r="D516" s="519">
        <f t="shared" si="85"/>
        <v>511</v>
      </c>
      <c r="E516" s="225" t="str">
        <f t="shared" ca="1" si="81"/>
        <v/>
      </c>
      <c r="F516" s="224" t="str">
        <f t="shared" si="87"/>
        <v>CASSA</v>
      </c>
      <c r="G516" s="384" t="str">
        <f t="shared" ca="1" si="82"/>
        <v/>
      </c>
      <c r="H516" s="512">
        <f t="shared" ca="1" si="83"/>
        <v>0</v>
      </c>
      <c r="I516" s="1603" t="str">
        <f t="shared" ca="1" si="77"/>
        <v/>
      </c>
      <c r="J516" s="1604"/>
      <c r="K516" s="373"/>
      <c r="L516" s="513">
        <f t="shared" ca="1" si="86"/>
        <v>656.58</v>
      </c>
      <c r="M516" s="654">
        <f t="shared" ca="1" si="84"/>
        <v>1</v>
      </c>
      <c r="N516" s="226">
        <f t="shared" ca="1" si="78"/>
        <v>0</v>
      </c>
      <c r="O516" s="1"/>
    </row>
    <row r="517" spans="1:15" ht="16.5" customHeight="1">
      <c r="A517" s="1"/>
      <c r="B517" s="657" t="str">
        <f t="shared" ca="1" si="79"/>
        <v/>
      </c>
      <c r="C517" s="223" t="str">
        <f t="shared" ca="1" si="80"/>
        <v/>
      </c>
      <c r="D517" s="519">
        <f t="shared" si="85"/>
        <v>512</v>
      </c>
      <c r="E517" s="225" t="str">
        <f t="shared" ca="1" si="81"/>
        <v/>
      </c>
      <c r="F517" s="224" t="str">
        <f t="shared" si="87"/>
        <v>CASSA</v>
      </c>
      <c r="G517" s="384" t="str">
        <f t="shared" ca="1" si="82"/>
        <v/>
      </c>
      <c r="H517" s="512">
        <f t="shared" ca="1" si="83"/>
        <v>0</v>
      </c>
      <c r="I517" s="1603" t="str">
        <f t="shared" ca="1" si="77"/>
        <v/>
      </c>
      <c r="J517" s="1604"/>
      <c r="K517" s="373"/>
      <c r="L517" s="513">
        <f t="shared" ca="1" si="86"/>
        <v>656.58</v>
      </c>
      <c r="M517" s="654">
        <f t="shared" ca="1" si="84"/>
        <v>1</v>
      </c>
      <c r="N517" s="226">
        <f t="shared" ca="1" si="78"/>
        <v>0</v>
      </c>
      <c r="O517" s="1"/>
    </row>
    <row r="518" spans="1:15" ht="16.5" customHeight="1">
      <c r="A518" s="1"/>
      <c r="B518" s="657" t="str">
        <f t="shared" ca="1" si="79"/>
        <v/>
      </c>
      <c r="C518" s="223" t="str">
        <f t="shared" ca="1" si="80"/>
        <v/>
      </c>
      <c r="D518" s="519">
        <f t="shared" si="85"/>
        <v>513</v>
      </c>
      <c r="E518" s="225" t="str">
        <f t="shared" ca="1" si="81"/>
        <v/>
      </c>
      <c r="F518" s="224" t="str">
        <f t="shared" si="87"/>
        <v>CASSA</v>
      </c>
      <c r="G518" s="384" t="str">
        <f t="shared" ca="1" si="82"/>
        <v/>
      </c>
      <c r="H518" s="512">
        <f t="shared" ca="1" si="83"/>
        <v>0</v>
      </c>
      <c r="I518" s="1603" t="str">
        <f t="shared" ref="I518:I581" ca="1" si="88">IF(F518="","",IF(ISERROR(VLOOKUP($D518,$B$1080:$L$4183,11,FALSE)),"",VLOOKUP($D518,$B$1080:$L$4183,11,FALSE)))</f>
        <v/>
      </c>
      <c r="J518" s="1604"/>
      <c r="K518" s="373"/>
      <c r="L518" s="513">
        <f t="shared" ca="1" si="86"/>
        <v>656.58</v>
      </c>
      <c r="M518" s="654">
        <f t="shared" ca="1" si="84"/>
        <v>1</v>
      </c>
      <c r="N518" s="226">
        <f t="shared" ref="N518:N581" ca="1" si="89">IF(ISERROR(VLOOKUP(G518,G$4171:G$4182,1,FALSE)),0,1)</f>
        <v>0</v>
      </c>
      <c r="O518" s="1"/>
    </row>
    <row r="519" spans="1:15" ht="16.5" customHeight="1">
      <c r="A519" s="1"/>
      <c r="B519" s="657" t="str">
        <f t="shared" ref="B519:B582" ca="1" si="90">IF(AND(E519&lt;&gt;"",M519=0),"[..]","")</f>
        <v/>
      </c>
      <c r="C519" s="223" t="str">
        <f t="shared" ref="C519:C582" ca="1" si="91">IF(ISBLANK(E$2),"",IF(ISERROR(VLOOKUP(D519,B$3067:B$4182,1,FALSE)),"",C$4185))</f>
        <v/>
      </c>
      <c r="D519" s="519">
        <f t="shared" si="85"/>
        <v>514</v>
      </c>
      <c r="E519" s="225" t="str">
        <f t="shared" ref="E519:E582" ca="1" si="92">IF(ISERROR(VLOOKUP($D519,$B$1080:$E$4183,4,FALSE)),"",VLOOKUP($D519,$B$1080:$E$4183,4,FALSE))</f>
        <v/>
      </c>
      <c r="F519" s="224" t="str">
        <f t="shared" si="87"/>
        <v>CASSA</v>
      </c>
      <c r="G519" s="384" t="str">
        <f t="shared" ref="G519:G582" ca="1" si="93">IF(ISERROR(VLOOKUP($D519,$B$1080:$G$4183,6,FALSE)),"",T(VLOOKUP($D519,$B$1080:$G$4183,6,FALSE)))</f>
        <v/>
      </c>
      <c r="H519" s="512">
        <f t="shared" ref="H519:H582" ca="1" si="94">IF(ISERROR(VLOOKUP($D519,$B$1080:$H$4183,7,FALSE)),0,VLOOKUP($D519,$B$1080:$H$4183,7,FALSE))*M519</f>
        <v>0</v>
      </c>
      <c r="I519" s="1603" t="str">
        <f t="shared" ca="1" si="88"/>
        <v/>
      </c>
      <c r="J519" s="1604"/>
      <c r="K519" s="373"/>
      <c r="L519" s="513">
        <f t="shared" ca="1" si="86"/>
        <v>656.58</v>
      </c>
      <c r="M519" s="654">
        <f t="shared" ref="M519:M582" ca="1" si="95">IF(AND(E519&gt;0,H$4188=0,OR(E519&lt;L$1020,E519&gt;L$1021)),0,1)</f>
        <v>1</v>
      </c>
      <c r="N519" s="226">
        <f t="shared" ca="1" si="89"/>
        <v>0</v>
      </c>
      <c r="O519" s="1"/>
    </row>
    <row r="520" spans="1:15" ht="16.5" customHeight="1">
      <c r="A520" s="1"/>
      <c r="B520" s="657" t="str">
        <f t="shared" ca="1" si="90"/>
        <v/>
      </c>
      <c r="C520" s="223" t="str">
        <f t="shared" ca="1" si="91"/>
        <v/>
      </c>
      <c r="D520" s="519">
        <f t="shared" ref="D520:D583" si="96">D519+1</f>
        <v>515</v>
      </c>
      <c r="E520" s="225" t="str">
        <f t="shared" ca="1" si="92"/>
        <v/>
      </c>
      <c r="F520" s="224" t="str">
        <f t="shared" si="87"/>
        <v>CASSA</v>
      </c>
      <c r="G520" s="384" t="str">
        <f t="shared" ca="1" si="93"/>
        <v/>
      </c>
      <c r="H520" s="512">
        <f t="shared" ca="1" si="94"/>
        <v>0</v>
      </c>
      <c r="I520" s="1603" t="str">
        <f t="shared" ca="1" si="88"/>
        <v/>
      </c>
      <c r="J520" s="1604"/>
      <c r="K520" s="373"/>
      <c r="L520" s="513">
        <f t="shared" ref="L520:L583" ca="1" si="97">ROUND(L519+H520,2)</f>
        <v>656.58</v>
      </c>
      <c r="M520" s="654">
        <f t="shared" ca="1" si="95"/>
        <v>1</v>
      </c>
      <c r="N520" s="226">
        <f t="shared" ca="1" si="89"/>
        <v>0</v>
      </c>
      <c r="O520" s="1"/>
    </row>
    <row r="521" spans="1:15" ht="16.5" customHeight="1">
      <c r="A521" s="1"/>
      <c r="B521" s="657" t="str">
        <f t="shared" ca="1" si="90"/>
        <v/>
      </c>
      <c r="C521" s="223" t="str">
        <f t="shared" ca="1" si="91"/>
        <v/>
      </c>
      <c r="D521" s="519">
        <f t="shared" si="96"/>
        <v>516</v>
      </c>
      <c r="E521" s="225" t="str">
        <f t="shared" ca="1" si="92"/>
        <v/>
      </c>
      <c r="F521" s="224" t="str">
        <f t="shared" si="87"/>
        <v>CASSA</v>
      </c>
      <c r="G521" s="384" t="str">
        <f t="shared" ca="1" si="93"/>
        <v/>
      </c>
      <c r="H521" s="512">
        <f t="shared" ca="1" si="94"/>
        <v>0</v>
      </c>
      <c r="I521" s="1603" t="str">
        <f t="shared" ca="1" si="88"/>
        <v/>
      </c>
      <c r="J521" s="1604"/>
      <c r="K521" s="373"/>
      <c r="L521" s="513">
        <f t="shared" ca="1" si="97"/>
        <v>656.58</v>
      </c>
      <c r="M521" s="654">
        <f t="shared" ca="1" si="95"/>
        <v>1</v>
      </c>
      <c r="N521" s="226">
        <f t="shared" ca="1" si="89"/>
        <v>0</v>
      </c>
      <c r="O521" s="1"/>
    </row>
    <row r="522" spans="1:15" ht="16.5" customHeight="1">
      <c r="A522" s="1"/>
      <c r="B522" s="657" t="str">
        <f t="shared" ca="1" si="90"/>
        <v/>
      </c>
      <c r="C522" s="223" t="str">
        <f t="shared" ca="1" si="91"/>
        <v/>
      </c>
      <c r="D522" s="519">
        <f t="shared" si="96"/>
        <v>517</v>
      </c>
      <c r="E522" s="225" t="str">
        <f t="shared" ca="1" si="92"/>
        <v/>
      </c>
      <c r="F522" s="224" t="str">
        <f t="shared" si="87"/>
        <v>CASSA</v>
      </c>
      <c r="G522" s="384" t="str">
        <f t="shared" ca="1" si="93"/>
        <v/>
      </c>
      <c r="H522" s="512">
        <f t="shared" ca="1" si="94"/>
        <v>0</v>
      </c>
      <c r="I522" s="1603" t="str">
        <f t="shared" ca="1" si="88"/>
        <v/>
      </c>
      <c r="J522" s="1604"/>
      <c r="K522" s="373"/>
      <c r="L522" s="513">
        <f t="shared" ca="1" si="97"/>
        <v>656.58</v>
      </c>
      <c r="M522" s="654">
        <f t="shared" ca="1" si="95"/>
        <v>1</v>
      </c>
      <c r="N522" s="226">
        <f t="shared" ca="1" si="89"/>
        <v>0</v>
      </c>
      <c r="O522" s="1"/>
    </row>
    <row r="523" spans="1:15" ht="16.5" customHeight="1">
      <c r="A523" s="1"/>
      <c r="B523" s="657" t="str">
        <f t="shared" ca="1" si="90"/>
        <v/>
      </c>
      <c r="C523" s="223" t="str">
        <f t="shared" ca="1" si="91"/>
        <v/>
      </c>
      <c r="D523" s="519">
        <f t="shared" si="96"/>
        <v>518</v>
      </c>
      <c r="E523" s="225" t="str">
        <f t="shared" ca="1" si="92"/>
        <v/>
      </c>
      <c r="F523" s="224" t="str">
        <f t="shared" si="87"/>
        <v>CASSA</v>
      </c>
      <c r="G523" s="384" t="str">
        <f t="shared" ca="1" si="93"/>
        <v/>
      </c>
      <c r="H523" s="512">
        <f t="shared" ca="1" si="94"/>
        <v>0</v>
      </c>
      <c r="I523" s="1603" t="str">
        <f t="shared" ca="1" si="88"/>
        <v/>
      </c>
      <c r="J523" s="1604"/>
      <c r="K523" s="373"/>
      <c r="L523" s="513">
        <f t="shared" ca="1" si="97"/>
        <v>656.58</v>
      </c>
      <c r="M523" s="654">
        <f t="shared" ca="1" si="95"/>
        <v>1</v>
      </c>
      <c r="N523" s="226">
        <f t="shared" ca="1" si="89"/>
        <v>0</v>
      </c>
      <c r="O523" s="1"/>
    </row>
    <row r="524" spans="1:15" ht="16.5" customHeight="1">
      <c r="A524" s="1"/>
      <c r="B524" s="657" t="str">
        <f t="shared" ca="1" si="90"/>
        <v/>
      </c>
      <c r="C524" s="223" t="str">
        <f t="shared" ca="1" si="91"/>
        <v/>
      </c>
      <c r="D524" s="519">
        <f t="shared" si="96"/>
        <v>519</v>
      </c>
      <c r="E524" s="225" t="str">
        <f t="shared" ca="1" si="92"/>
        <v/>
      </c>
      <c r="F524" s="224" t="str">
        <f t="shared" ref="F524:F587" si="98">F523</f>
        <v>CASSA</v>
      </c>
      <c r="G524" s="384" t="str">
        <f t="shared" ca="1" si="93"/>
        <v/>
      </c>
      <c r="H524" s="512">
        <f t="shared" ca="1" si="94"/>
        <v>0</v>
      </c>
      <c r="I524" s="1603" t="str">
        <f t="shared" ca="1" si="88"/>
        <v/>
      </c>
      <c r="J524" s="1604"/>
      <c r="K524" s="373"/>
      <c r="L524" s="513">
        <f t="shared" ca="1" si="97"/>
        <v>656.58</v>
      </c>
      <c r="M524" s="654">
        <f t="shared" ca="1" si="95"/>
        <v>1</v>
      </c>
      <c r="N524" s="226">
        <f t="shared" ca="1" si="89"/>
        <v>0</v>
      </c>
      <c r="O524" s="1"/>
    </row>
    <row r="525" spans="1:15" ht="16.5" customHeight="1">
      <c r="A525" s="1"/>
      <c r="B525" s="657" t="str">
        <f t="shared" ca="1" si="90"/>
        <v/>
      </c>
      <c r="C525" s="223" t="str">
        <f t="shared" ca="1" si="91"/>
        <v/>
      </c>
      <c r="D525" s="519">
        <f t="shared" si="96"/>
        <v>520</v>
      </c>
      <c r="E525" s="225" t="str">
        <f t="shared" ca="1" si="92"/>
        <v/>
      </c>
      <c r="F525" s="224" t="str">
        <f t="shared" si="98"/>
        <v>CASSA</v>
      </c>
      <c r="G525" s="384" t="str">
        <f t="shared" ca="1" si="93"/>
        <v/>
      </c>
      <c r="H525" s="512">
        <f t="shared" ca="1" si="94"/>
        <v>0</v>
      </c>
      <c r="I525" s="1603" t="str">
        <f t="shared" ca="1" si="88"/>
        <v/>
      </c>
      <c r="J525" s="1604"/>
      <c r="K525" s="373"/>
      <c r="L525" s="513">
        <f t="shared" ca="1" si="97"/>
        <v>656.58</v>
      </c>
      <c r="M525" s="654">
        <f t="shared" ca="1" si="95"/>
        <v>1</v>
      </c>
      <c r="N525" s="226">
        <f t="shared" ca="1" si="89"/>
        <v>0</v>
      </c>
      <c r="O525" s="1"/>
    </row>
    <row r="526" spans="1:15" ht="16.5" customHeight="1">
      <c r="A526" s="1"/>
      <c r="B526" s="657" t="str">
        <f t="shared" ca="1" si="90"/>
        <v/>
      </c>
      <c r="C526" s="223" t="str">
        <f t="shared" ca="1" si="91"/>
        <v/>
      </c>
      <c r="D526" s="519">
        <f t="shared" si="96"/>
        <v>521</v>
      </c>
      <c r="E526" s="225" t="str">
        <f t="shared" ca="1" si="92"/>
        <v/>
      </c>
      <c r="F526" s="224" t="str">
        <f t="shared" si="98"/>
        <v>CASSA</v>
      </c>
      <c r="G526" s="384" t="str">
        <f t="shared" ca="1" si="93"/>
        <v/>
      </c>
      <c r="H526" s="512">
        <f t="shared" ca="1" si="94"/>
        <v>0</v>
      </c>
      <c r="I526" s="1603" t="str">
        <f t="shared" ca="1" si="88"/>
        <v/>
      </c>
      <c r="J526" s="1604"/>
      <c r="K526" s="373"/>
      <c r="L526" s="513">
        <f t="shared" ca="1" si="97"/>
        <v>656.58</v>
      </c>
      <c r="M526" s="654">
        <f t="shared" ca="1" si="95"/>
        <v>1</v>
      </c>
      <c r="N526" s="226">
        <f t="shared" ca="1" si="89"/>
        <v>0</v>
      </c>
      <c r="O526" s="1"/>
    </row>
    <row r="527" spans="1:15" ht="16.5" customHeight="1">
      <c r="A527" s="1"/>
      <c r="B527" s="657" t="str">
        <f t="shared" ca="1" si="90"/>
        <v/>
      </c>
      <c r="C527" s="223" t="str">
        <f t="shared" ca="1" si="91"/>
        <v/>
      </c>
      <c r="D527" s="519">
        <f t="shared" si="96"/>
        <v>522</v>
      </c>
      <c r="E527" s="225" t="str">
        <f t="shared" ca="1" si="92"/>
        <v/>
      </c>
      <c r="F527" s="224" t="str">
        <f t="shared" si="98"/>
        <v>CASSA</v>
      </c>
      <c r="G527" s="384" t="str">
        <f t="shared" ca="1" si="93"/>
        <v/>
      </c>
      <c r="H527" s="512">
        <f t="shared" ca="1" si="94"/>
        <v>0</v>
      </c>
      <c r="I527" s="1603" t="str">
        <f t="shared" ca="1" si="88"/>
        <v/>
      </c>
      <c r="J527" s="1604"/>
      <c r="K527" s="373"/>
      <c r="L527" s="513">
        <f t="shared" ca="1" si="97"/>
        <v>656.58</v>
      </c>
      <c r="M527" s="654">
        <f t="shared" ca="1" si="95"/>
        <v>1</v>
      </c>
      <c r="N527" s="226">
        <f t="shared" ca="1" si="89"/>
        <v>0</v>
      </c>
      <c r="O527" s="1"/>
    </row>
    <row r="528" spans="1:15" ht="16.5" customHeight="1">
      <c r="A528" s="1"/>
      <c r="B528" s="657" t="str">
        <f t="shared" ca="1" si="90"/>
        <v/>
      </c>
      <c r="C528" s="223" t="str">
        <f t="shared" ca="1" si="91"/>
        <v/>
      </c>
      <c r="D528" s="519">
        <f t="shared" si="96"/>
        <v>523</v>
      </c>
      <c r="E528" s="225" t="str">
        <f t="shared" ca="1" si="92"/>
        <v/>
      </c>
      <c r="F528" s="224" t="str">
        <f t="shared" si="98"/>
        <v>CASSA</v>
      </c>
      <c r="G528" s="384" t="str">
        <f t="shared" ca="1" si="93"/>
        <v/>
      </c>
      <c r="H528" s="512">
        <f t="shared" ca="1" si="94"/>
        <v>0</v>
      </c>
      <c r="I528" s="1603" t="str">
        <f t="shared" ca="1" si="88"/>
        <v/>
      </c>
      <c r="J528" s="1604"/>
      <c r="K528" s="373"/>
      <c r="L528" s="513">
        <f t="shared" ca="1" si="97"/>
        <v>656.58</v>
      </c>
      <c r="M528" s="654">
        <f t="shared" ca="1" si="95"/>
        <v>1</v>
      </c>
      <c r="N528" s="226">
        <f t="shared" ca="1" si="89"/>
        <v>0</v>
      </c>
      <c r="O528" s="1"/>
    </row>
    <row r="529" spans="1:15" ht="16.5" customHeight="1">
      <c r="A529" s="1"/>
      <c r="B529" s="657" t="str">
        <f t="shared" ca="1" si="90"/>
        <v/>
      </c>
      <c r="C529" s="223" t="str">
        <f t="shared" ca="1" si="91"/>
        <v/>
      </c>
      <c r="D529" s="519">
        <f t="shared" si="96"/>
        <v>524</v>
      </c>
      <c r="E529" s="225" t="str">
        <f t="shared" ca="1" si="92"/>
        <v/>
      </c>
      <c r="F529" s="224" t="str">
        <f t="shared" si="98"/>
        <v>CASSA</v>
      </c>
      <c r="G529" s="384" t="str">
        <f t="shared" ca="1" si="93"/>
        <v/>
      </c>
      <c r="H529" s="512">
        <f t="shared" ca="1" si="94"/>
        <v>0</v>
      </c>
      <c r="I529" s="1603" t="str">
        <f t="shared" ca="1" si="88"/>
        <v/>
      </c>
      <c r="J529" s="1604"/>
      <c r="K529" s="373"/>
      <c r="L529" s="513">
        <f t="shared" ca="1" si="97"/>
        <v>656.58</v>
      </c>
      <c r="M529" s="654">
        <f t="shared" ca="1" si="95"/>
        <v>1</v>
      </c>
      <c r="N529" s="226">
        <f t="shared" ca="1" si="89"/>
        <v>0</v>
      </c>
      <c r="O529" s="1"/>
    </row>
    <row r="530" spans="1:15" ht="16.5" customHeight="1">
      <c r="A530" s="1"/>
      <c r="B530" s="657" t="str">
        <f t="shared" ca="1" si="90"/>
        <v/>
      </c>
      <c r="C530" s="223" t="str">
        <f t="shared" ca="1" si="91"/>
        <v/>
      </c>
      <c r="D530" s="519">
        <f t="shared" si="96"/>
        <v>525</v>
      </c>
      <c r="E530" s="225" t="str">
        <f t="shared" ca="1" si="92"/>
        <v/>
      </c>
      <c r="F530" s="224" t="str">
        <f t="shared" si="98"/>
        <v>CASSA</v>
      </c>
      <c r="G530" s="384" t="str">
        <f t="shared" ca="1" si="93"/>
        <v/>
      </c>
      <c r="H530" s="512">
        <f t="shared" ca="1" si="94"/>
        <v>0</v>
      </c>
      <c r="I530" s="1603" t="str">
        <f t="shared" ca="1" si="88"/>
        <v/>
      </c>
      <c r="J530" s="1604"/>
      <c r="K530" s="373"/>
      <c r="L530" s="513">
        <f t="shared" ca="1" si="97"/>
        <v>656.58</v>
      </c>
      <c r="M530" s="654">
        <f t="shared" ca="1" si="95"/>
        <v>1</v>
      </c>
      <c r="N530" s="226">
        <f t="shared" ca="1" si="89"/>
        <v>0</v>
      </c>
      <c r="O530" s="1"/>
    </row>
    <row r="531" spans="1:15" ht="16.5" customHeight="1">
      <c r="A531" s="1"/>
      <c r="B531" s="657" t="str">
        <f t="shared" ca="1" si="90"/>
        <v/>
      </c>
      <c r="C531" s="223" t="str">
        <f t="shared" ca="1" si="91"/>
        <v/>
      </c>
      <c r="D531" s="519">
        <f t="shared" si="96"/>
        <v>526</v>
      </c>
      <c r="E531" s="225" t="str">
        <f t="shared" ca="1" si="92"/>
        <v/>
      </c>
      <c r="F531" s="224" t="str">
        <f t="shared" si="98"/>
        <v>CASSA</v>
      </c>
      <c r="G531" s="384" t="str">
        <f t="shared" ca="1" si="93"/>
        <v/>
      </c>
      <c r="H531" s="512">
        <f t="shared" ca="1" si="94"/>
        <v>0</v>
      </c>
      <c r="I531" s="1603" t="str">
        <f t="shared" ca="1" si="88"/>
        <v/>
      </c>
      <c r="J531" s="1604"/>
      <c r="K531" s="373"/>
      <c r="L531" s="513">
        <f t="shared" ca="1" si="97"/>
        <v>656.58</v>
      </c>
      <c r="M531" s="654">
        <f t="shared" ca="1" si="95"/>
        <v>1</v>
      </c>
      <c r="N531" s="226">
        <f t="shared" ca="1" si="89"/>
        <v>0</v>
      </c>
      <c r="O531" s="1"/>
    </row>
    <row r="532" spans="1:15" ht="16.5" customHeight="1">
      <c r="A532" s="1"/>
      <c r="B532" s="657" t="str">
        <f t="shared" ca="1" si="90"/>
        <v/>
      </c>
      <c r="C532" s="223" t="str">
        <f t="shared" ca="1" si="91"/>
        <v/>
      </c>
      <c r="D532" s="519">
        <f t="shared" si="96"/>
        <v>527</v>
      </c>
      <c r="E532" s="225" t="str">
        <f t="shared" ca="1" si="92"/>
        <v/>
      </c>
      <c r="F532" s="224" t="str">
        <f t="shared" si="98"/>
        <v>CASSA</v>
      </c>
      <c r="G532" s="384" t="str">
        <f t="shared" ca="1" si="93"/>
        <v/>
      </c>
      <c r="H532" s="512">
        <f t="shared" ca="1" si="94"/>
        <v>0</v>
      </c>
      <c r="I532" s="1603" t="str">
        <f t="shared" ca="1" si="88"/>
        <v/>
      </c>
      <c r="J532" s="1604"/>
      <c r="K532" s="373"/>
      <c r="L532" s="513">
        <f t="shared" ca="1" si="97"/>
        <v>656.58</v>
      </c>
      <c r="M532" s="654">
        <f t="shared" ca="1" si="95"/>
        <v>1</v>
      </c>
      <c r="N532" s="226">
        <f t="shared" ca="1" si="89"/>
        <v>0</v>
      </c>
      <c r="O532" s="1"/>
    </row>
    <row r="533" spans="1:15" ht="16.5" customHeight="1">
      <c r="A533" s="1"/>
      <c r="B533" s="657" t="str">
        <f t="shared" ca="1" si="90"/>
        <v/>
      </c>
      <c r="C533" s="223" t="str">
        <f t="shared" ca="1" si="91"/>
        <v/>
      </c>
      <c r="D533" s="519">
        <f t="shared" si="96"/>
        <v>528</v>
      </c>
      <c r="E533" s="225" t="str">
        <f t="shared" ca="1" si="92"/>
        <v/>
      </c>
      <c r="F533" s="224" t="str">
        <f t="shared" si="98"/>
        <v>CASSA</v>
      </c>
      <c r="G533" s="384" t="str">
        <f t="shared" ca="1" si="93"/>
        <v/>
      </c>
      <c r="H533" s="512">
        <f t="shared" ca="1" si="94"/>
        <v>0</v>
      </c>
      <c r="I533" s="1603" t="str">
        <f t="shared" ca="1" si="88"/>
        <v/>
      </c>
      <c r="J533" s="1604"/>
      <c r="K533" s="373"/>
      <c r="L533" s="513">
        <f t="shared" ca="1" si="97"/>
        <v>656.58</v>
      </c>
      <c r="M533" s="654">
        <f t="shared" ca="1" si="95"/>
        <v>1</v>
      </c>
      <c r="N533" s="226">
        <f t="shared" ca="1" si="89"/>
        <v>0</v>
      </c>
      <c r="O533" s="1"/>
    </row>
    <row r="534" spans="1:15" ht="16.5" customHeight="1">
      <c r="A534" s="1"/>
      <c r="B534" s="657" t="str">
        <f t="shared" ca="1" si="90"/>
        <v/>
      </c>
      <c r="C534" s="223" t="str">
        <f t="shared" ca="1" si="91"/>
        <v/>
      </c>
      <c r="D534" s="519">
        <f t="shared" si="96"/>
        <v>529</v>
      </c>
      <c r="E534" s="225" t="str">
        <f t="shared" ca="1" si="92"/>
        <v/>
      </c>
      <c r="F534" s="224" t="str">
        <f t="shared" si="98"/>
        <v>CASSA</v>
      </c>
      <c r="G534" s="384" t="str">
        <f t="shared" ca="1" si="93"/>
        <v/>
      </c>
      <c r="H534" s="512">
        <f t="shared" ca="1" si="94"/>
        <v>0</v>
      </c>
      <c r="I534" s="1603" t="str">
        <f t="shared" ca="1" si="88"/>
        <v/>
      </c>
      <c r="J534" s="1604"/>
      <c r="K534" s="373"/>
      <c r="L534" s="513">
        <f t="shared" ca="1" si="97"/>
        <v>656.58</v>
      </c>
      <c r="M534" s="654">
        <f t="shared" ca="1" si="95"/>
        <v>1</v>
      </c>
      <c r="N534" s="226">
        <f t="shared" ca="1" si="89"/>
        <v>0</v>
      </c>
      <c r="O534" s="1"/>
    </row>
    <row r="535" spans="1:15" ht="16.5" customHeight="1">
      <c r="A535" s="1"/>
      <c r="B535" s="657" t="str">
        <f t="shared" ca="1" si="90"/>
        <v/>
      </c>
      <c r="C535" s="223" t="str">
        <f t="shared" ca="1" si="91"/>
        <v/>
      </c>
      <c r="D535" s="519">
        <f t="shared" si="96"/>
        <v>530</v>
      </c>
      <c r="E535" s="225" t="str">
        <f t="shared" ca="1" si="92"/>
        <v/>
      </c>
      <c r="F535" s="224" t="str">
        <f t="shared" si="98"/>
        <v>CASSA</v>
      </c>
      <c r="G535" s="384" t="str">
        <f t="shared" ca="1" si="93"/>
        <v/>
      </c>
      <c r="H535" s="512">
        <f t="shared" ca="1" si="94"/>
        <v>0</v>
      </c>
      <c r="I535" s="1603" t="str">
        <f t="shared" ca="1" si="88"/>
        <v/>
      </c>
      <c r="J535" s="1604"/>
      <c r="K535" s="373"/>
      <c r="L535" s="513">
        <f t="shared" ca="1" si="97"/>
        <v>656.58</v>
      </c>
      <c r="M535" s="654">
        <f t="shared" ca="1" si="95"/>
        <v>1</v>
      </c>
      <c r="N535" s="226">
        <f t="shared" ca="1" si="89"/>
        <v>0</v>
      </c>
      <c r="O535" s="1"/>
    </row>
    <row r="536" spans="1:15" ht="16.5" customHeight="1">
      <c r="A536" s="1"/>
      <c r="B536" s="657" t="str">
        <f t="shared" ca="1" si="90"/>
        <v/>
      </c>
      <c r="C536" s="223" t="str">
        <f t="shared" ca="1" si="91"/>
        <v/>
      </c>
      <c r="D536" s="519">
        <f t="shared" si="96"/>
        <v>531</v>
      </c>
      <c r="E536" s="225" t="str">
        <f t="shared" ca="1" si="92"/>
        <v/>
      </c>
      <c r="F536" s="224" t="str">
        <f t="shared" si="98"/>
        <v>CASSA</v>
      </c>
      <c r="G536" s="384" t="str">
        <f t="shared" ca="1" si="93"/>
        <v/>
      </c>
      <c r="H536" s="512">
        <f t="shared" ca="1" si="94"/>
        <v>0</v>
      </c>
      <c r="I536" s="1603" t="str">
        <f t="shared" ca="1" si="88"/>
        <v/>
      </c>
      <c r="J536" s="1604"/>
      <c r="K536" s="373"/>
      <c r="L536" s="513">
        <f t="shared" ca="1" si="97"/>
        <v>656.58</v>
      </c>
      <c r="M536" s="654">
        <f t="shared" ca="1" si="95"/>
        <v>1</v>
      </c>
      <c r="N536" s="226">
        <f t="shared" ca="1" si="89"/>
        <v>0</v>
      </c>
      <c r="O536" s="1"/>
    </row>
    <row r="537" spans="1:15" ht="16.5" customHeight="1">
      <c r="A537" s="1"/>
      <c r="B537" s="657" t="str">
        <f t="shared" ca="1" si="90"/>
        <v/>
      </c>
      <c r="C537" s="223" t="str">
        <f t="shared" ca="1" si="91"/>
        <v/>
      </c>
      <c r="D537" s="519">
        <f t="shared" si="96"/>
        <v>532</v>
      </c>
      <c r="E537" s="225" t="str">
        <f t="shared" ca="1" si="92"/>
        <v/>
      </c>
      <c r="F537" s="224" t="str">
        <f t="shared" si="98"/>
        <v>CASSA</v>
      </c>
      <c r="G537" s="384" t="str">
        <f t="shared" ca="1" si="93"/>
        <v/>
      </c>
      <c r="H537" s="512">
        <f t="shared" ca="1" si="94"/>
        <v>0</v>
      </c>
      <c r="I537" s="1603" t="str">
        <f t="shared" ca="1" si="88"/>
        <v/>
      </c>
      <c r="J537" s="1604"/>
      <c r="K537" s="373"/>
      <c r="L537" s="513">
        <f t="shared" ca="1" si="97"/>
        <v>656.58</v>
      </c>
      <c r="M537" s="654">
        <f t="shared" ca="1" si="95"/>
        <v>1</v>
      </c>
      <c r="N537" s="226">
        <f t="shared" ca="1" si="89"/>
        <v>0</v>
      </c>
      <c r="O537" s="1"/>
    </row>
    <row r="538" spans="1:15" ht="16.5" customHeight="1">
      <c r="A538" s="1"/>
      <c r="B538" s="657" t="str">
        <f t="shared" ca="1" si="90"/>
        <v/>
      </c>
      <c r="C538" s="223" t="str">
        <f t="shared" ca="1" si="91"/>
        <v/>
      </c>
      <c r="D538" s="519">
        <f t="shared" si="96"/>
        <v>533</v>
      </c>
      <c r="E538" s="225" t="str">
        <f t="shared" ca="1" si="92"/>
        <v/>
      </c>
      <c r="F538" s="224" t="str">
        <f t="shared" si="98"/>
        <v>CASSA</v>
      </c>
      <c r="G538" s="384" t="str">
        <f t="shared" ca="1" si="93"/>
        <v/>
      </c>
      <c r="H538" s="512">
        <f t="shared" ca="1" si="94"/>
        <v>0</v>
      </c>
      <c r="I538" s="1603" t="str">
        <f t="shared" ca="1" si="88"/>
        <v/>
      </c>
      <c r="J538" s="1604"/>
      <c r="K538" s="373"/>
      <c r="L538" s="513">
        <f t="shared" ca="1" si="97"/>
        <v>656.58</v>
      </c>
      <c r="M538" s="654">
        <f t="shared" ca="1" si="95"/>
        <v>1</v>
      </c>
      <c r="N538" s="226">
        <f t="shared" ca="1" si="89"/>
        <v>0</v>
      </c>
      <c r="O538" s="1"/>
    </row>
    <row r="539" spans="1:15" ht="16.5" customHeight="1">
      <c r="A539" s="1"/>
      <c r="B539" s="657" t="str">
        <f t="shared" ca="1" si="90"/>
        <v/>
      </c>
      <c r="C539" s="223" t="str">
        <f t="shared" ca="1" si="91"/>
        <v/>
      </c>
      <c r="D539" s="519">
        <f t="shared" si="96"/>
        <v>534</v>
      </c>
      <c r="E539" s="225" t="str">
        <f t="shared" ca="1" si="92"/>
        <v/>
      </c>
      <c r="F539" s="224" t="str">
        <f t="shared" si="98"/>
        <v>CASSA</v>
      </c>
      <c r="G539" s="384" t="str">
        <f t="shared" ca="1" si="93"/>
        <v/>
      </c>
      <c r="H539" s="512">
        <f t="shared" ca="1" si="94"/>
        <v>0</v>
      </c>
      <c r="I539" s="1603" t="str">
        <f t="shared" ca="1" si="88"/>
        <v/>
      </c>
      <c r="J539" s="1604"/>
      <c r="K539" s="373"/>
      <c r="L539" s="513">
        <f t="shared" ca="1" si="97"/>
        <v>656.58</v>
      </c>
      <c r="M539" s="654">
        <f t="shared" ca="1" si="95"/>
        <v>1</v>
      </c>
      <c r="N539" s="226">
        <f t="shared" ca="1" si="89"/>
        <v>0</v>
      </c>
      <c r="O539" s="1"/>
    </row>
    <row r="540" spans="1:15" ht="16.5" customHeight="1">
      <c r="A540" s="1"/>
      <c r="B540" s="657" t="str">
        <f t="shared" ca="1" si="90"/>
        <v/>
      </c>
      <c r="C540" s="223" t="str">
        <f t="shared" ca="1" si="91"/>
        <v/>
      </c>
      <c r="D540" s="519">
        <f t="shared" si="96"/>
        <v>535</v>
      </c>
      <c r="E540" s="225" t="str">
        <f t="shared" ca="1" si="92"/>
        <v/>
      </c>
      <c r="F540" s="224" t="str">
        <f t="shared" si="98"/>
        <v>CASSA</v>
      </c>
      <c r="G540" s="384" t="str">
        <f t="shared" ca="1" si="93"/>
        <v/>
      </c>
      <c r="H540" s="512">
        <f t="shared" ca="1" si="94"/>
        <v>0</v>
      </c>
      <c r="I540" s="1603" t="str">
        <f t="shared" ca="1" si="88"/>
        <v/>
      </c>
      <c r="J540" s="1604"/>
      <c r="K540" s="373"/>
      <c r="L540" s="513">
        <f t="shared" ca="1" si="97"/>
        <v>656.58</v>
      </c>
      <c r="M540" s="654">
        <f t="shared" ca="1" si="95"/>
        <v>1</v>
      </c>
      <c r="N540" s="226">
        <f t="shared" ca="1" si="89"/>
        <v>0</v>
      </c>
      <c r="O540" s="1"/>
    </row>
    <row r="541" spans="1:15" ht="16.5" customHeight="1">
      <c r="A541" s="1"/>
      <c r="B541" s="657" t="str">
        <f t="shared" ca="1" si="90"/>
        <v/>
      </c>
      <c r="C541" s="223" t="str">
        <f t="shared" ca="1" si="91"/>
        <v/>
      </c>
      <c r="D541" s="519">
        <f t="shared" si="96"/>
        <v>536</v>
      </c>
      <c r="E541" s="225" t="str">
        <f t="shared" ca="1" si="92"/>
        <v/>
      </c>
      <c r="F541" s="224" t="str">
        <f t="shared" si="98"/>
        <v>CASSA</v>
      </c>
      <c r="G541" s="384" t="str">
        <f t="shared" ca="1" si="93"/>
        <v/>
      </c>
      <c r="H541" s="512">
        <f t="shared" ca="1" si="94"/>
        <v>0</v>
      </c>
      <c r="I541" s="1603" t="str">
        <f t="shared" ca="1" si="88"/>
        <v/>
      </c>
      <c r="J541" s="1604"/>
      <c r="K541" s="373"/>
      <c r="L541" s="513">
        <f t="shared" ca="1" si="97"/>
        <v>656.58</v>
      </c>
      <c r="M541" s="654">
        <f t="shared" ca="1" si="95"/>
        <v>1</v>
      </c>
      <c r="N541" s="226">
        <f t="shared" ca="1" si="89"/>
        <v>0</v>
      </c>
      <c r="O541" s="1"/>
    </row>
    <row r="542" spans="1:15" ht="16.5" customHeight="1">
      <c r="A542" s="1"/>
      <c r="B542" s="657" t="str">
        <f t="shared" ca="1" si="90"/>
        <v/>
      </c>
      <c r="C542" s="223" t="str">
        <f t="shared" ca="1" si="91"/>
        <v/>
      </c>
      <c r="D542" s="519">
        <f t="shared" si="96"/>
        <v>537</v>
      </c>
      <c r="E542" s="225" t="str">
        <f t="shared" ca="1" si="92"/>
        <v/>
      </c>
      <c r="F542" s="224" t="str">
        <f t="shared" si="98"/>
        <v>CASSA</v>
      </c>
      <c r="G542" s="384" t="str">
        <f t="shared" ca="1" si="93"/>
        <v/>
      </c>
      <c r="H542" s="512">
        <f t="shared" ca="1" si="94"/>
        <v>0</v>
      </c>
      <c r="I542" s="1603" t="str">
        <f t="shared" ca="1" si="88"/>
        <v/>
      </c>
      <c r="J542" s="1604"/>
      <c r="K542" s="373"/>
      <c r="L542" s="513">
        <f t="shared" ca="1" si="97"/>
        <v>656.58</v>
      </c>
      <c r="M542" s="654">
        <f t="shared" ca="1" si="95"/>
        <v>1</v>
      </c>
      <c r="N542" s="226">
        <f t="shared" ca="1" si="89"/>
        <v>0</v>
      </c>
      <c r="O542" s="1"/>
    </row>
    <row r="543" spans="1:15" ht="16.5" customHeight="1">
      <c r="A543" s="1"/>
      <c r="B543" s="657" t="str">
        <f t="shared" ca="1" si="90"/>
        <v/>
      </c>
      <c r="C543" s="223" t="str">
        <f t="shared" ca="1" si="91"/>
        <v/>
      </c>
      <c r="D543" s="519">
        <f t="shared" si="96"/>
        <v>538</v>
      </c>
      <c r="E543" s="225" t="str">
        <f t="shared" ca="1" si="92"/>
        <v/>
      </c>
      <c r="F543" s="224" t="str">
        <f t="shared" si="98"/>
        <v>CASSA</v>
      </c>
      <c r="G543" s="384" t="str">
        <f t="shared" ca="1" si="93"/>
        <v/>
      </c>
      <c r="H543" s="512">
        <f t="shared" ca="1" si="94"/>
        <v>0</v>
      </c>
      <c r="I543" s="1603" t="str">
        <f t="shared" ca="1" si="88"/>
        <v/>
      </c>
      <c r="J543" s="1604"/>
      <c r="K543" s="373"/>
      <c r="L543" s="513">
        <f t="shared" ca="1" si="97"/>
        <v>656.58</v>
      </c>
      <c r="M543" s="654">
        <f t="shared" ca="1" si="95"/>
        <v>1</v>
      </c>
      <c r="N543" s="226">
        <f t="shared" ca="1" si="89"/>
        <v>0</v>
      </c>
      <c r="O543" s="1"/>
    </row>
    <row r="544" spans="1:15" ht="16.5" customHeight="1">
      <c r="A544" s="1"/>
      <c r="B544" s="657" t="str">
        <f t="shared" ca="1" si="90"/>
        <v/>
      </c>
      <c r="C544" s="223" t="str">
        <f t="shared" ca="1" si="91"/>
        <v/>
      </c>
      <c r="D544" s="519">
        <f t="shared" si="96"/>
        <v>539</v>
      </c>
      <c r="E544" s="225" t="str">
        <f t="shared" ca="1" si="92"/>
        <v/>
      </c>
      <c r="F544" s="224" t="str">
        <f t="shared" si="98"/>
        <v>CASSA</v>
      </c>
      <c r="G544" s="384" t="str">
        <f t="shared" ca="1" si="93"/>
        <v/>
      </c>
      <c r="H544" s="512">
        <f t="shared" ca="1" si="94"/>
        <v>0</v>
      </c>
      <c r="I544" s="1603" t="str">
        <f t="shared" ca="1" si="88"/>
        <v/>
      </c>
      <c r="J544" s="1604"/>
      <c r="K544" s="373"/>
      <c r="L544" s="513">
        <f t="shared" ca="1" si="97"/>
        <v>656.58</v>
      </c>
      <c r="M544" s="654">
        <f t="shared" ca="1" si="95"/>
        <v>1</v>
      </c>
      <c r="N544" s="226">
        <f t="shared" ca="1" si="89"/>
        <v>0</v>
      </c>
      <c r="O544" s="1"/>
    </row>
    <row r="545" spans="1:15" ht="16.5" customHeight="1">
      <c r="A545" s="1"/>
      <c r="B545" s="657" t="str">
        <f t="shared" ca="1" si="90"/>
        <v/>
      </c>
      <c r="C545" s="223" t="str">
        <f t="shared" ca="1" si="91"/>
        <v/>
      </c>
      <c r="D545" s="519">
        <f t="shared" si="96"/>
        <v>540</v>
      </c>
      <c r="E545" s="225" t="str">
        <f t="shared" ca="1" si="92"/>
        <v/>
      </c>
      <c r="F545" s="224" t="str">
        <f t="shared" si="98"/>
        <v>CASSA</v>
      </c>
      <c r="G545" s="384" t="str">
        <f t="shared" ca="1" si="93"/>
        <v/>
      </c>
      <c r="H545" s="512">
        <f t="shared" ca="1" si="94"/>
        <v>0</v>
      </c>
      <c r="I545" s="1603" t="str">
        <f t="shared" ca="1" si="88"/>
        <v/>
      </c>
      <c r="J545" s="1604"/>
      <c r="K545" s="373"/>
      <c r="L545" s="513">
        <f t="shared" ca="1" si="97"/>
        <v>656.58</v>
      </c>
      <c r="M545" s="654">
        <f t="shared" ca="1" si="95"/>
        <v>1</v>
      </c>
      <c r="N545" s="226">
        <f t="shared" ca="1" si="89"/>
        <v>0</v>
      </c>
      <c r="O545" s="1"/>
    </row>
    <row r="546" spans="1:15" ht="16.5" customHeight="1">
      <c r="A546" s="1"/>
      <c r="B546" s="657" t="str">
        <f t="shared" ca="1" si="90"/>
        <v/>
      </c>
      <c r="C546" s="223" t="str">
        <f t="shared" ca="1" si="91"/>
        <v/>
      </c>
      <c r="D546" s="519">
        <f t="shared" si="96"/>
        <v>541</v>
      </c>
      <c r="E546" s="225" t="str">
        <f t="shared" ca="1" si="92"/>
        <v/>
      </c>
      <c r="F546" s="224" t="str">
        <f t="shared" si="98"/>
        <v>CASSA</v>
      </c>
      <c r="G546" s="384" t="str">
        <f t="shared" ca="1" si="93"/>
        <v/>
      </c>
      <c r="H546" s="512">
        <f t="shared" ca="1" si="94"/>
        <v>0</v>
      </c>
      <c r="I546" s="1603" t="str">
        <f t="shared" ca="1" si="88"/>
        <v/>
      </c>
      <c r="J546" s="1604"/>
      <c r="K546" s="373"/>
      <c r="L546" s="513">
        <f t="shared" ca="1" si="97"/>
        <v>656.58</v>
      </c>
      <c r="M546" s="654">
        <f t="shared" ca="1" si="95"/>
        <v>1</v>
      </c>
      <c r="N546" s="226">
        <f t="shared" ca="1" si="89"/>
        <v>0</v>
      </c>
      <c r="O546" s="1"/>
    </row>
    <row r="547" spans="1:15" ht="16.5" customHeight="1">
      <c r="A547" s="1"/>
      <c r="B547" s="657" t="str">
        <f t="shared" ca="1" si="90"/>
        <v/>
      </c>
      <c r="C547" s="223" t="str">
        <f t="shared" ca="1" si="91"/>
        <v/>
      </c>
      <c r="D547" s="519">
        <f t="shared" si="96"/>
        <v>542</v>
      </c>
      <c r="E547" s="225" t="str">
        <f t="shared" ca="1" si="92"/>
        <v/>
      </c>
      <c r="F547" s="224" t="str">
        <f t="shared" si="98"/>
        <v>CASSA</v>
      </c>
      <c r="G547" s="384" t="str">
        <f t="shared" ca="1" si="93"/>
        <v/>
      </c>
      <c r="H547" s="512">
        <f t="shared" ca="1" si="94"/>
        <v>0</v>
      </c>
      <c r="I547" s="1603" t="str">
        <f t="shared" ca="1" si="88"/>
        <v/>
      </c>
      <c r="J547" s="1604"/>
      <c r="K547" s="373"/>
      <c r="L547" s="513">
        <f t="shared" ca="1" si="97"/>
        <v>656.58</v>
      </c>
      <c r="M547" s="654">
        <f t="shared" ca="1" si="95"/>
        <v>1</v>
      </c>
      <c r="N547" s="226">
        <f t="shared" ca="1" si="89"/>
        <v>0</v>
      </c>
      <c r="O547" s="1"/>
    </row>
    <row r="548" spans="1:15" ht="16.5" customHeight="1">
      <c r="A548" s="1"/>
      <c r="B548" s="657" t="str">
        <f t="shared" ca="1" si="90"/>
        <v/>
      </c>
      <c r="C548" s="223" t="str">
        <f t="shared" ca="1" si="91"/>
        <v/>
      </c>
      <c r="D548" s="519">
        <f t="shared" si="96"/>
        <v>543</v>
      </c>
      <c r="E548" s="225" t="str">
        <f t="shared" ca="1" si="92"/>
        <v/>
      </c>
      <c r="F548" s="224" t="str">
        <f t="shared" si="98"/>
        <v>CASSA</v>
      </c>
      <c r="G548" s="384" t="str">
        <f t="shared" ca="1" si="93"/>
        <v/>
      </c>
      <c r="H548" s="512">
        <f t="shared" ca="1" si="94"/>
        <v>0</v>
      </c>
      <c r="I548" s="1603" t="str">
        <f t="shared" ca="1" si="88"/>
        <v/>
      </c>
      <c r="J548" s="1604"/>
      <c r="K548" s="373"/>
      <c r="L548" s="513">
        <f t="shared" ca="1" si="97"/>
        <v>656.58</v>
      </c>
      <c r="M548" s="654">
        <f t="shared" ca="1" si="95"/>
        <v>1</v>
      </c>
      <c r="N548" s="226">
        <f t="shared" ca="1" si="89"/>
        <v>0</v>
      </c>
      <c r="O548" s="1"/>
    </row>
    <row r="549" spans="1:15" ht="16.5" customHeight="1">
      <c r="A549" s="1"/>
      <c r="B549" s="657" t="str">
        <f t="shared" ca="1" si="90"/>
        <v/>
      </c>
      <c r="C549" s="223" t="str">
        <f t="shared" ca="1" si="91"/>
        <v/>
      </c>
      <c r="D549" s="519">
        <f t="shared" si="96"/>
        <v>544</v>
      </c>
      <c r="E549" s="225" t="str">
        <f t="shared" ca="1" si="92"/>
        <v/>
      </c>
      <c r="F549" s="224" t="str">
        <f t="shared" si="98"/>
        <v>CASSA</v>
      </c>
      <c r="G549" s="384" t="str">
        <f t="shared" ca="1" si="93"/>
        <v/>
      </c>
      <c r="H549" s="512">
        <f t="shared" ca="1" si="94"/>
        <v>0</v>
      </c>
      <c r="I549" s="1603" t="str">
        <f t="shared" ca="1" si="88"/>
        <v/>
      </c>
      <c r="J549" s="1604"/>
      <c r="K549" s="373"/>
      <c r="L549" s="513">
        <f t="shared" ca="1" si="97"/>
        <v>656.58</v>
      </c>
      <c r="M549" s="654">
        <f t="shared" ca="1" si="95"/>
        <v>1</v>
      </c>
      <c r="N549" s="226">
        <f t="shared" ca="1" si="89"/>
        <v>0</v>
      </c>
      <c r="O549" s="1"/>
    </row>
    <row r="550" spans="1:15" ht="16.5" customHeight="1">
      <c r="A550" s="1"/>
      <c r="B550" s="657" t="str">
        <f t="shared" ca="1" si="90"/>
        <v/>
      </c>
      <c r="C550" s="223" t="str">
        <f t="shared" ca="1" si="91"/>
        <v/>
      </c>
      <c r="D550" s="519">
        <f t="shared" si="96"/>
        <v>545</v>
      </c>
      <c r="E550" s="225" t="str">
        <f t="shared" ca="1" si="92"/>
        <v/>
      </c>
      <c r="F550" s="224" t="str">
        <f t="shared" si="98"/>
        <v>CASSA</v>
      </c>
      <c r="G550" s="384" t="str">
        <f t="shared" ca="1" si="93"/>
        <v/>
      </c>
      <c r="H550" s="512">
        <f t="shared" ca="1" si="94"/>
        <v>0</v>
      </c>
      <c r="I550" s="1603" t="str">
        <f t="shared" ca="1" si="88"/>
        <v/>
      </c>
      <c r="J550" s="1604"/>
      <c r="K550" s="373"/>
      <c r="L550" s="513">
        <f t="shared" ca="1" si="97"/>
        <v>656.58</v>
      </c>
      <c r="M550" s="654">
        <f t="shared" ca="1" si="95"/>
        <v>1</v>
      </c>
      <c r="N550" s="226">
        <f t="shared" ca="1" si="89"/>
        <v>0</v>
      </c>
      <c r="O550" s="1"/>
    </row>
    <row r="551" spans="1:15" ht="16.5" customHeight="1">
      <c r="A551" s="1"/>
      <c r="B551" s="657" t="str">
        <f t="shared" ca="1" si="90"/>
        <v/>
      </c>
      <c r="C551" s="223" t="str">
        <f t="shared" ca="1" si="91"/>
        <v/>
      </c>
      <c r="D551" s="519">
        <f t="shared" si="96"/>
        <v>546</v>
      </c>
      <c r="E551" s="225" t="str">
        <f t="shared" ca="1" si="92"/>
        <v/>
      </c>
      <c r="F551" s="224" t="str">
        <f t="shared" si="98"/>
        <v>CASSA</v>
      </c>
      <c r="G551" s="384" t="str">
        <f t="shared" ca="1" si="93"/>
        <v/>
      </c>
      <c r="H551" s="512">
        <f t="shared" ca="1" si="94"/>
        <v>0</v>
      </c>
      <c r="I551" s="1603" t="str">
        <f t="shared" ca="1" si="88"/>
        <v/>
      </c>
      <c r="J551" s="1604"/>
      <c r="K551" s="373"/>
      <c r="L551" s="513">
        <f t="shared" ca="1" si="97"/>
        <v>656.58</v>
      </c>
      <c r="M551" s="654">
        <f t="shared" ca="1" si="95"/>
        <v>1</v>
      </c>
      <c r="N551" s="226">
        <f t="shared" ca="1" si="89"/>
        <v>0</v>
      </c>
      <c r="O551" s="1"/>
    </row>
    <row r="552" spans="1:15" ht="16.5" customHeight="1">
      <c r="A552" s="1"/>
      <c r="B552" s="657" t="str">
        <f t="shared" ca="1" si="90"/>
        <v/>
      </c>
      <c r="C552" s="223" t="str">
        <f t="shared" ca="1" si="91"/>
        <v/>
      </c>
      <c r="D552" s="519">
        <f t="shared" si="96"/>
        <v>547</v>
      </c>
      <c r="E552" s="225" t="str">
        <f t="shared" ca="1" si="92"/>
        <v/>
      </c>
      <c r="F552" s="224" t="str">
        <f t="shared" si="98"/>
        <v>CASSA</v>
      </c>
      <c r="G552" s="384" t="str">
        <f t="shared" ca="1" si="93"/>
        <v/>
      </c>
      <c r="H552" s="512">
        <f t="shared" ca="1" si="94"/>
        <v>0</v>
      </c>
      <c r="I552" s="1603" t="str">
        <f t="shared" ca="1" si="88"/>
        <v/>
      </c>
      <c r="J552" s="1604"/>
      <c r="K552" s="373"/>
      <c r="L552" s="513">
        <f t="shared" ca="1" si="97"/>
        <v>656.58</v>
      </c>
      <c r="M552" s="654">
        <f t="shared" ca="1" si="95"/>
        <v>1</v>
      </c>
      <c r="N552" s="226">
        <f t="shared" ca="1" si="89"/>
        <v>0</v>
      </c>
      <c r="O552" s="1"/>
    </row>
    <row r="553" spans="1:15" ht="16.5" customHeight="1">
      <c r="A553" s="1"/>
      <c r="B553" s="657" t="str">
        <f t="shared" ca="1" si="90"/>
        <v/>
      </c>
      <c r="C553" s="223" t="str">
        <f t="shared" ca="1" si="91"/>
        <v/>
      </c>
      <c r="D553" s="519">
        <f t="shared" si="96"/>
        <v>548</v>
      </c>
      <c r="E553" s="225" t="str">
        <f t="shared" ca="1" si="92"/>
        <v/>
      </c>
      <c r="F553" s="224" t="str">
        <f t="shared" si="98"/>
        <v>CASSA</v>
      </c>
      <c r="G553" s="384" t="str">
        <f t="shared" ca="1" si="93"/>
        <v/>
      </c>
      <c r="H553" s="512">
        <f t="shared" ca="1" si="94"/>
        <v>0</v>
      </c>
      <c r="I553" s="1603" t="str">
        <f t="shared" ca="1" si="88"/>
        <v/>
      </c>
      <c r="J553" s="1604"/>
      <c r="K553" s="373"/>
      <c r="L553" s="513">
        <f t="shared" ca="1" si="97"/>
        <v>656.58</v>
      </c>
      <c r="M553" s="654">
        <f t="shared" ca="1" si="95"/>
        <v>1</v>
      </c>
      <c r="N553" s="226">
        <f t="shared" ca="1" si="89"/>
        <v>0</v>
      </c>
      <c r="O553" s="1"/>
    </row>
    <row r="554" spans="1:15" ht="16.5" customHeight="1">
      <c r="A554" s="1"/>
      <c r="B554" s="657" t="str">
        <f t="shared" ca="1" si="90"/>
        <v/>
      </c>
      <c r="C554" s="223" t="str">
        <f t="shared" ca="1" si="91"/>
        <v/>
      </c>
      <c r="D554" s="519">
        <f t="shared" si="96"/>
        <v>549</v>
      </c>
      <c r="E554" s="225" t="str">
        <f t="shared" ca="1" si="92"/>
        <v/>
      </c>
      <c r="F554" s="224" t="str">
        <f t="shared" si="98"/>
        <v>CASSA</v>
      </c>
      <c r="G554" s="384" t="str">
        <f t="shared" ca="1" si="93"/>
        <v/>
      </c>
      <c r="H554" s="512">
        <f t="shared" ca="1" si="94"/>
        <v>0</v>
      </c>
      <c r="I554" s="1603" t="str">
        <f t="shared" ca="1" si="88"/>
        <v/>
      </c>
      <c r="J554" s="1604"/>
      <c r="K554" s="373"/>
      <c r="L554" s="513">
        <f t="shared" ca="1" si="97"/>
        <v>656.58</v>
      </c>
      <c r="M554" s="654">
        <f t="shared" ca="1" si="95"/>
        <v>1</v>
      </c>
      <c r="N554" s="226">
        <f t="shared" ca="1" si="89"/>
        <v>0</v>
      </c>
      <c r="O554" s="1"/>
    </row>
    <row r="555" spans="1:15" ht="16.5" customHeight="1">
      <c r="A555" s="1"/>
      <c r="B555" s="657" t="str">
        <f t="shared" ca="1" si="90"/>
        <v/>
      </c>
      <c r="C555" s="223" t="str">
        <f t="shared" ca="1" si="91"/>
        <v/>
      </c>
      <c r="D555" s="519">
        <f t="shared" si="96"/>
        <v>550</v>
      </c>
      <c r="E555" s="225" t="str">
        <f t="shared" ca="1" si="92"/>
        <v/>
      </c>
      <c r="F555" s="224" t="str">
        <f t="shared" si="98"/>
        <v>CASSA</v>
      </c>
      <c r="G555" s="384" t="str">
        <f t="shared" ca="1" si="93"/>
        <v/>
      </c>
      <c r="H555" s="512">
        <f t="shared" ca="1" si="94"/>
        <v>0</v>
      </c>
      <c r="I555" s="1603" t="str">
        <f t="shared" ca="1" si="88"/>
        <v/>
      </c>
      <c r="J555" s="1604"/>
      <c r="K555" s="373"/>
      <c r="L555" s="513">
        <f t="shared" ca="1" si="97"/>
        <v>656.58</v>
      </c>
      <c r="M555" s="654">
        <f t="shared" ca="1" si="95"/>
        <v>1</v>
      </c>
      <c r="N555" s="226">
        <f t="shared" ca="1" si="89"/>
        <v>0</v>
      </c>
      <c r="O555" s="1"/>
    </row>
    <row r="556" spans="1:15" ht="16.5" customHeight="1">
      <c r="A556" s="1"/>
      <c r="B556" s="657" t="str">
        <f t="shared" ca="1" si="90"/>
        <v/>
      </c>
      <c r="C556" s="223" t="str">
        <f t="shared" ca="1" si="91"/>
        <v/>
      </c>
      <c r="D556" s="519">
        <f t="shared" si="96"/>
        <v>551</v>
      </c>
      <c r="E556" s="225" t="str">
        <f t="shared" ca="1" si="92"/>
        <v/>
      </c>
      <c r="F556" s="224" t="str">
        <f t="shared" si="98"/>
        <v>CASSA</v>
      </c>
      <c r="G556" s="384" t="str">
        <f t="shared" ca="1" si="93"/>
        <v/>
      </c>
      <c r="H556" s="512">
        <f t="shared" ca="1" si="94"/>
        <v>0</v>
      </c>
      <c r="I556" s="1603" t="str">
        <f t="shared" ca="1" si="88"/>
        <v/>
      </c>
      <c r="J556" s="1604"/>
      <c r="K556" s="373"/>
      <c r="L556" s="513">
        <f t="shared" ca="1" si="97"/>
        <v>656.58</v>
      </c>
      <c r="M556" s="654">
        <f t="shared" ca="1" si="95"/>
        <v>1</v>
      </c>
      <c r="N556" s="226">
        <f t="shared" ca="1" si="89"/>
        <v>0</v>
      </c>
      <c r="O556" s="1"/>
    </row>
    <row r="557" spans="1:15" ht="16.5" customHeight="1">
      <c r="A557" s="1"/>
      <c r="B557" s="657" t="str">
        <f t="shared" ca="1" si="90"/>
        <v/>
      </c>
      <c r="C557" s="223" t="str">
        <f t="shared" ca="1" si="91"/>
        <v/>
      </c>
      <c r="D557" s="519">
        <f t="shared" si="96"/>
        <v>552</v>
      </c>
      <c r="E557" s="225" t="str">
        <f t="shared" ca="1" si="92"/>
        <v/>
      </c>
      <c r="F557" s="224" t="str">
        <f t="shared" si="98"/>
        <v>CASSA</v>
      </c>
      <c r="G557" s="384" t="str">
        <f t="shared" ca="1" si="93"/>
        <v/>
      </c>
      <c r="H557" s="512">
        <f t="shared" ca="1" si="94"/>
        <v>0</v>
      </c>
      <c r="I557" s="1603" t="str">
        <f t="shared" ca="1" si="88"/>
        <v/>
      </c>
      <c r="J557" s="1604"/>
      <c r="K557" s="373"/>
      <c r="L557" s="513">
        <f t="shared" ca="1" si="97"/>
        <v>656.58</v>
      </c>
      <c r="M557" s="654">
        <f t="shared" ca="1" si="95"/>
        <v>1</v>
      </c>
      <c r="N557" s="226">
        <f t="shared" ca="1" si="89"/>
        <v>0</v>
      </c>
      <c r="O557" s="1"/>
    </row>
    <row r="558" spans="1:15" ht="16.5" customHeight="1">
      <c r="A558" s="1"/>
      <c r="B558" s="657" t="str">
        <f t="shared" ca="1" si="90"/>
        <v/>
      </c>
      <c r="C558" s="223" t="str">
        <f t="shared" ca="1" si="91"/>
        <v/>
      </c>
      <c r="D558" s="519">
        <f t="shared" si="96"/>
        <v>553</v>
      </c>
      <c r="E558" s="225" t="str">
        <f t="shared" ca="1" si="92"/>
        <v/>
      </c>
      <c r="F558" s="224" t="str">
        <f t="shared" si="98"/>
        <v>CASSA</v>
      </c>
      <c r="G558" s="384" t="str">
        <f t="shared" ca="1" si="93"/>
        <v/>
      </c>
      <c r="H558" s="512">
        <f t="shared" ca="1" si="94"/>
        <v>0</v>
      </c>
      <c r="I558" s="1603" t="str">
        <f t="shared" ca="1" si="88"/>
        <v/>
      </c>
      <c r="J558" s="1604"/>
      <c r="K558" s="373"/>
      <c r="L558" s="513">
        <f t="shared" ca="1" si="97"/>
        <v>656.58</v>
      </c>
      <c r="M558" s="654">
        <f t="shared" ca="1" si="95"/>
        <v>1</v>
      </c>
      <c r="N558" s="226">
        <f t="shared" ca="1" si="89"/>
        <v>0</v>
      </c>
      <c r="O558" s="1"/>
    </row>
    <row r="559" spans="1:15" ht="16.5" customHeight="1">
      <c r="A559" s="1"/>
      <c r="B559" s="657" t="str">
        <f t="shared" ca="1" si="90"/>
        <v/>
      </c>
      <c r="C559" s="223" t="str">
        <f t="shared" ca="1" si="91"/>
        <v/>
      </c>
      <c r="D559" s="519">
        <f t="shared" si="96"/>
        <v>554</v>
      </c>
      <c r="E559" s="225" t="str">
        <f t="shared" ca="1" si="92"/>
        <v/>
      </c>
      <c r="F559" s="224" t="str">
        <f t="shared" si="98"/>
        <v>CASSA</v>
      </c>
      <c r="G559" s="384" t="str">
        <f t="shared" ca="1" si="93"/>
        <v/>
      </c>
      <c r="H559" s="512">
        <f t="shared" ca="1" si="94"/>
        <v>0</v>
      </c>
      <c r="I559" s="1603" t="str">
        <f t="shared" ca="1" si="88"/>
        <v/>
      </c>
      <c r="J559" s="1604"/>
      <c r="K559" s="373"/>
      <c r="L559" s="513">
        <f t="shared" ca="1" si="97"/>
        <v>656.58</v>
      </c>
      <c r="M559" s="654">
        <f t="shared" ca="1" si="95"/>
        <v>1</v>
      </c>
      <c r="N559" s="226">
        <f t="shared" ca="1" si="89"/>
        <v>0</v>
      </c>
      <c r="O559" s="1"/>
    </row>
    <row r="560" spans="1:15" ht="16.5" customHeight="1">
      <c r="A560" s="1"/>
      <c r="B560" s="657" t="str">
        <f t="shared" ca="1" si="90"/>
        <v/>
      </c>
      <c r="C560" s="223" t="str">
        <f t="shared" ca="1" si="91"/>
        <v/>
      </c>
      <c r="D560" s="519">
        <f t="shared" si="96"/>
        <v>555</v>
      </c>
      <c r="E560" s="225" t="str">
        <f t="shared" ca="1" si="92"/>
        <v/>
      </c>
      <c r="F560" s="224" t="str">
        <f t="shared" si="98"/>
        <v>CASSA</v>
      </c>
      <c r="G560" s="384" t="str">
        <f t="shared" ca="1" si="93"/>
        <v/>
      </c>
      <c r="H560" s="512">
        <f t="shared" ca="1" si="94"/>
        <v>0</v>
      </c>
      <c r="I560" s="1603" t="str">
        <f t="shared" ca="1" si="88"/>
        <v/>
      </c>
      <c r="J560" s="1604"/>
      <c r="K560" s="373"/>
      <c r="L560" s="513">
        <f t="shared" ca="1" si="97"/>
        <v>656.58</v>
      </c>
      <c r="M560" s="654">
        <f t="shared" ca="1" si="95"/>
        <v>1</v>
      </c>
      <c r="N560" s="226">
        <f t="shared" ca="1" si="89"/>
        <v>0</v>
      </c>
      <c r="O560" s="1"/>
    </row>
    <row r="561" spans="1:15" ht="16.5" customHeight="1">
      <c r="A561" s="1"/>
      <c r="B561" s="657" t="str">
        <f t="shared" ca="1" si="90"/>
        <v/>
      </c>
      <c r="C561" s="223" t="str">
        <f t="shared" ca="1" si="91"/>
        <v/>
      </c>
      <c r="D561" s="519">
        <f t="shared" si="96"/>
        <v>556</v>
      </c>
      <c r="E561" s="225" t="str">
        <f t="shared" ca="1" si="92"/>
        <v/>
      </c>
      <c r="F561" s="224" t="str">
        <f t="shared" si="98"/>
        <v>CASSA</v>
      </c>
      <c r="G561" s="384" t="str">
        <f t="shared" ca="1" si="93"/>
        <v/>
      </c>
      <c r="H561" s="512">
        <f t="shared" ca="1" si="94"/>
        <v>0</v>
      </c>
      <c r="I561" s="1603" t="str">
        <f t="shared" ca="1" si="88"/>
        <v/>
      </c>
      <c r="J561" s="1604"/>
      <c r="K561" s="373"/>
      <c r="L561" s="513">
        <f t="shared" ca="1" si="97"/>
        <v>656.58</v>
      </c>
      <c r="M561" s="654">
        <f t="shared" ca="1" si="95"/>
        <v>1</v>
      </c>
      <c r="N561" s="226">
        <f t="shared" ca="1" si="89"/>
        <v>0</v>
      </c>
      <c r="O561" s="1"/>
    </row>
    <row r="562" spans="1:15" ht="16.5" customHeight="1">
      <c r="A562" s="1"/>
      <c r="B562" s="657" t="str">
        <f t="shared" ca="1" si="90"/>
        <v/>
      </c>
      <c r="C562" s="223" t="str">
        <f t="shared" ca="1" si="91"/>
        <v/>
      </c>
      <c r="D562" s="519">
        <f t="shared" si="96"/>
        <v>557</v>
      </c>
      <c r="E562" s="225" t="str">
        <f t="shared" ca="1" si="92"/>
        <v/>
      </c>
      <c r="F562" s="224" t="str">
        <f t="shared" si="98"/>
        <v>CASSA</v>
      </c>
      <c r="G562" s="384" t="str">
        <f t="shared" ca="1" si="93"/>
        <v/>
      </c>
      <c r="H562" s="512">
        <f t="shared" ca="1" si="94"/>
        <v>0</v>
      </c>
      <c r="I562" s="1603" t="str">
        <f t="shared" ca="1" si="88"/>
        <v/>
      </c>
      <c r="J562" s="1604"/>
      <c r="K562" s="373"/>
      <c r="L562" s="513">
        <f t="shared" ca="1" si="97"/>
        <v>656.58</v>
      </c>
      <c r="M562" s="654">
        <f t="shared" ca="1" si="95"/>
        <v>1</v>
      </c>
      <c r="N562" s="226">
        <f t="shared" ca="1" si="89"/>
        <v>0</v>
      </c>
      <c r="O562" s="1"/>
    </row>
    <row r="563" spans="1:15" ht="16.5" customHeight="1">
      <c r="A563" s="1"/>
      <c r="B563" s="657" t="str">
        <f t="shared" ca="1" si="90"/>
        <v/>
      </c>
      <c r="C563" s="223" t="str">
        <f t="shared" ca="1" si="91"/>
        <v/>
      </c>
      <c r="D563" s="519">
        <f t="shared" si="96"/>
        <v>558</v>
      </c>
      <c r="E563" s="225" t="str">
        <f t="shared" ca="1" si="92"/>
        <v/>
      </c>
      <c r="F563" s="224" t="str">
        <f t="shared" si="98"/>
        <v>CASSA</v>
      </c>
      <c r="G563" s="384" t="str">
        <f t="shared" ca="1" si="93"/>
        <v/>
      </c>
      <c r="H563" s="512">
        <f t="shared" ca="1" si="94"/>
        <v>0</v>
      </c>
      <c r="I563" s="1603" t="str">
        <f t="shared" ca="1" si="88"/>
        <v/>
      </c>
      <c r="J563" s="1604"/>
      <c r="K563" s="373"/>
      <c r="L563" s="513">
        <f t="shared" ca="1" si="97"/>
        <v>656.58</v>
      </c>
      <c r="M563" s="654">
        <f t="shared" ca="1" si="95"/>
        <v>1</v>
      </c>
      <c r="N563" s="226">
        <f t="shared" ca="1" si="89"/>
        <v>0</v>
      </c>
      <c r="O563" s="1"/>
    </row>
    <row r="564" spans="1:15" ht="16.5" customHeight="1">
      <c r="A564" s="1"/>
      <c r="B564" s="657" t="str">
        <f t="shared" ca="1" si="90"/>
        <v/>
      </c>
      <c r="C564" s="223" t="str">
        <f t="shared" ca="1" si="91"/>
        <v/>
      </c>
      <c r="D564" s="519">
        <f t="shared" si="96"/>
        <v>559</v>
      </c>
      <c r="E564" s="225" t="str">
        <f t="shared" ca="1" si="92"/>
        <v/>
      </c>
      <c r="F564" s="224" t="str">
        <f t="shared" si="98"/>
        <v>CASSA</v>
      </c>
      <c r="G564" s="384" t="str">
        <f t="shared" ca="1" si="93"/>
        <v/>
      </c>
      <c r="H564" s="512">
        <f t="shared" ca="1" si="94"/>
        <v>0</v>
      </c>
      <c r="I564" s="1603" t="str">
        <f t="shared" ca="1" si="88"/>
        <v/>
      </c>
      <c r="J564" s="1604"/>
      <c r="K564" s="373"/>
      <c r="L564" s="513">
        <f t="shared" ca="1" si="97"/>
        <v>656.58</v>
      </c>
      <c r="M564" s="654">
        <f t="shared" ca="1" si="95"/>
        <v>1</v>
      </c>
      <c r="N564" s="226">
        <f t="shared" ca="1" si="89"/>
        <v>0</v>
      </c>
      <c r="O564" s="1"/>
    </row>
    <row r="565" spans="1:15" ht="16.5" customHeight="1">
      <c r="A565" s="1"/>
      <c r="B565" s="657" t="str">
        <f t="shared" ca="1" si="90"/>
        <v/>
      </c>
      <c r="C565" s="223" t="str">
        <f t="shared" ca="1" si="91"/>
        <v/>
      </c>
      <c r="D565" s="519">
        <f t="shared" si="96"/>
        <v>560</v>
      </c>
      <c r="E565" s="225" t="str">
        <f t="shared" ca="1" si="92"/>
        <v/>
      </c>
      <c r="F565" s="224" t="str">
        <f t="shared" si="98"/>
        <v>CASSA</v>
      </c>
      <c r="G565" s="384" t="str">
        <f t="shared" ca="1" si="93"/>
        <v/>
      </c>
      <c r="H565" s="512">
        <f t="shared" ca="1" si="94"/>
        <v>0</v>
      </c>
      <c r="I565" s="1603" t="str">
        <f t="shared" ca="1" si="88"/>
        <v/>
      </c>
      <c r="J565" s="1604"/>
      <c r="K565" s="373"/>
      <c r="L565" s="513">
        <f t="shared" ca="1" si="97"/>
        <v>656.58</v>
      </c>
      <c r="M565" s="654">
        <f t="shared" ca="1" si="95"/>
        <v>1</v>
      </c>
      <c r="N565" s="226">
        <f t="shared" ca="1" si="89"/>
        <v>0</v>
      </c>
      <c r="O565" s="1"/>
    </row>
    <row r="566" spans="1:15" ht="16.5" customHeight="1">
      <c r="A566" s="1"/>
      <c r="B566" s="657" t="str">
        <f t="shared" ca="1" si="90"/>
        <v/>
      </c>
      <c r="C566" s="223" t="str">
        <f t="shared" ca="1" si="91"/>
        <v/>
      </c>
      <c r="D566" s="519">
        <f t="shared" si="96"/>
        <v>561</v>
      </c>
      <c r="E566" s="225" t="str">
        <f t="shared" ca="1" si="92"/>
        <v/>
      </c>
      <c r="F566" s="224" t="str">
        <f t="shared" si="98"/>
        <v>CASSA</v>
      </c>
      <c r="G566" s="384" t="str">
        <f t="shared" ca="1" si="93"/>
        <v/>
      </c>
      <c r="H566" s="512">
        <f t="shared" ca="1" si="94"/>
        <v>0</v>
      </c>
      <c r="I566" s="1603" t="str">
        <f t="shared" ca="1" si="88"/>
        <v/>
      </c>
      <c r="J566" s="1604"/>
      <c r="K566" s="373"/>
      <c r="L566" s="513">
        <f t="shared" ca="1" si="97"/>
        <v>656.58</v>
      </c>
      <c r="M566" s="654">
        <f t="shared" ca="1" si="95"/>
        <v>1</v>
      </c>
      <c r="N566" s="226">
        <f t="shared" ca="1" si="89"/>
        <v>0</v>
      </c>
      <c r="O566" s="1"/>
    </row>
    <row r="567" spans="1:15" ht="16.5" customHeight="1">
      <c r="A567" s="1"/>
      <c r="B567" s="657" t="str">
        <f t="shared" ca="1" si="90"/>
        <v/>
      </c>
      <c r="C567" s="223" t="str">
        <f t="shared" ca="1" si="91"/>
        <v/>
      </c>
      <c r="D567" s="519">
        <f t="shared" si="96"/>
        <v>562</v>
      </c>
      <c r="E567" s="225" t="str">
        <f t="shared" ca="1" si="92"/>
        <v/>
      </c>
      <c r="F567" s="224" t="str">
        <f t="shared" si="98"/>
        <v>CASSA</v>
      </c>
      <c r="G567" s="384" t="str">
        <f t="shared" ca="1" si="93"/>
        <v/>
      </c>
      <c r="H567" s="512">
        <f t="shared" ca="1" si="94"/>
        <v>0</v>
      </c>
      <c r="I567" s="1603" t="str">
        <f t="shared" ca="1" si="88"/>
        <v/>
      </c>
      <c r="J567" s="1604"/>
      <c r="K567" s="373"/>
      <c r="L567" s="513">
        <f t="shared" ca="1" si="97"/>
        <v>656.58</v>
      </c>
      <c r="M567" s="654">
        <f t="shared" ca="1" si="95"/>
        <v>1</v>
      </c>
      <c r="N567" s="226">
        <f t="shared" ca="1" si="89"/>
        <v>0</v>
      </c>
      <c r="O567" s="1"/>
    </row>
    <row r="568" spans="1:15" ht="16.5" customHeight="1">
      <c r="A568" s="1"/>
      <c r="B568" s="657" t="str">
        <f t="shared" ca="1" si="90"/>
        <v/>
      </c>
      <c r="C568" s="223" t="str">
        <f t="shared" ca="1" si="91"/>
        <v/>
      </c>
      <c r="D568" s="519">
        <f t="shared" si="96"/>
        <v>563</v>
      </c>
      <c r="E568" s="225" t="str">
        <f t="shared" ca="1" si="92"/>
        <v/>
      </c>
      <c r="F568" s="224" t="str">
        <f t="shared" si="98"/>
        <v>CASSA</v>
      </c>
      <c r="G568" s="384" t="str">
        <f t="shared" ca="1" si="93"/>
        <v/>
      </c>
      <c r="H568" s="512">
        <f t="shared" ca="1" si="94"/>
        <v>0</v>
      </c>
      <c r="I568" s="1603" t="str">
        <f t="shared" ca="1" si="88"/>
        <v/>
      </c>
      <c r="J568" s="1604"/>
      <c r="K568" s="373"/>
      <c r="L568" s="513">
        <f t="shared" ca="1" si="97"/>
        <v>656.58</v>
      </c>
      <c r="M568" s="654">
        <f t="shared" ca="1" si="95"/>
        <v>1</v>
      </c>
      <c r="N568" s="226">
        <f t="shared" ca="1" si="89"/>
        <v>0</v>
      </c>
      <c r="O568" s="1"/>
    </row>
    <row r="569" spans="1:15" ht="16.5" customHeight="1">
      <c r="A569" s="1"/>
      <c r="B569" s="657" t="str">
        <f t="shared" ca="1" si="90"/>
        <v/>
      </c>
      <c r="C569" s="223" t="str">
        <f t="shared" ca="1" si="91"/>
        <v/>
      </c>
      <c r="D569" s="519">
        <f t="shared" si="96"/>
        <v>564</v>
      </c>
      <c r="E569" s="225" t="str">
        <f t="shared" ca="1" si="92"/>
        <v/>
      </c>
      <c r="F569" s="224" t="str">
        <f t="shared" si="98"/>
        <v>CASSA</v>
      </c>
      <c r="G569" s="384" t="str">
        <f t="shared" ca="1" si="93"/>
        <v/>
      </c>
      <c r="H569" s="512">
        <f t="shared" ca="1" si="94"/>
        <v>0</v>
      </c>
      <c r="I569" s="1603" t="str">
        <f t="shared" ca="1" si="88"/>
        <v/>
      </c>
      <c r="J569" s="1604"/>
      <c r="K569" s="373"/>
      <c r="L569" s="513">
        <f t="shared" ca="1" si="97"/>
        <v>656.58</v>
      </c>
      <c r="M569" s="654">
        <f t="shared" ca="1" si="95"/>
        <v>1</v>
      </c>
      <c r="N569" s="226">
        <f t="shared" ca="1" si="89"/>
        <v>0</v>
      </c>
      <c r="O569" s="1"/>
    </row>
    <row r="570" spans="1:15" ht="16.5" customHeight="1">
      <c r="A570" s="1"/>
      <c r="B570" s="657" t="str">
        <f t="shared" ca="1" si="90"/>
        <v/>
      </c>
      <c r="C570" s="223" t="str">
        <f t="shared" ca="1" si="91"/>
        <v/>
      </c>
      <c r="D570" s="519">
        <f t="shared" si="96"/>
        <v>565</v>
      </c>
      <c r="E570" s="225" t="str">
        <f t="shared" ca="1" si="92"/>
        <v/>
      </c>
      <c r="F570" s="224" t="str">
        <f t="shared" si="98"/>
        <v>CASSA</v>
      </c>
      <c r="G570" s="384" t="str">
        <f t="shared" ca="1" si="93"/>
        <v/>
      </c>
      <c r="H570" s="512">
        <f t="shared" ca="1" si="94"/>
        <v>0</v>
      </c>
      <c r="I570" s="1603" t="str">
        <f t="shared" ca="1" si="88"/>
        <v/>
      </c>
      <c r="J570" s="1604"/>
      <c r="K570" s="373"/>
      <c r="L570" s="513">
        <f t="shared" ca="1" si="97"/>
        <v>656.58</v>
      </c>
      <c r="M570" s="654">
        <f t="shared" ca="1" si="95"/>
        <v>1</v>
      </c>
      <c r="N570" s="226">
        <f t="shared" ca="1" si="89"/>
        <v>0</v>
      </c>
      <c r="O570" s="1"/>
    </row>
    <row r="571" spans="1:15" ht="16.5" customHeight="1">
      <c r="A571" s="1"/>
      <c r="B571" s="657" t="str">
        <f t="shared" ca="1" si="90"/>
        <v/>
      </c>
      <c r="C571" s="223" t="str">
        <f t="shared" ca="1" si="91"/>
        <v/>
      </c>
      <c r="D571" s="519">
        <f t="shared" si="96"/>
        <v>566</v>
      </c>
      <c r="E571" s="225" t="str">
        <f t="shared" ca="1" si="92"/>
        <v/>
      </c>
      <c r="F571" s="224" t="str">
        <f t="shared" si="98"/>
        <v>CASSA</v>
      </c>
      <c r="G571" s="384" t="str">
        <f t="shared" ca="1" si="93"/>
        <v/>
      </c>
      <c r="H571" s="512">
        <f t="shared" ca="1" si="94"/>
        <v>0</v>
      </c>
      <c r="I571" s="1603" t="str">
        <f t="shared" ca="1" si="88"/>
        <v/>
      </c>
      <c r="J571" s="1604"/>
      <c r="K571" s="373"/>
      <c r="L571" s="513">
        <f t="shared" ca="1" si="97"/>
        <v>656.58</v>
      </c>
      <c r="M571" s="654">
        <f t="shared" ca="1" si="95"/>
        <v>1</v>
      </c>
      <c r="N571" s="226">
        <f t="shared" ca="1" si="89"/>
        <v>0</v>
      </c>
      <c r="O571" s="1"/>
    </row>
    <row r="572" spans="1:15" ht="16.5" customHeight="1">
      <c r="A572" s="1"/>
      <c r="B572" s="657" t="str">
        <f t="shared" ca="1" si="90"/>
        <v/>
      </c>
      <c r="C572" s="223" t="str">
        <f t="shared" ca="1" si="91"/>
        <v/>
      </c>
      <c r="D572" s="519">
        <f t="shared" si="96"/>
        <v>567</v>
      </c>
      <c r="E572" s="225" t="str">
        <f t="shared" ca="1" si="92"/>
        <v/>
      </c>
      <c r="F572" s="224" t="str">
        <f t="shared" si="98"/>
        <v>CASSA</v>
      </c>
      <c r="G572" s="384" t="str">
        <f t="shared" ca="1" si="93"/>
        <v/>
      </c>
      <c r="H572" s="512">
        <f t="shared" ca="1" si="94"/>
        <v>0</v>
      </c>
      <c r="I572" s="1603" t="str">
        <f t="shared" ca="1" si="88"/>
        <v/>
      </c>
      <c r="J572" s="1604"/>
      <c r="K572" s="373"/>
      <c r="L572" s="513">
        <f t="shared" ca="1" si="97"/>
        <v>656.58</v>
      </c>
      <c r="M572" s="654">
        <f t="shared" ca="1" si="95"/>
        <v>1</v>
      </c>
      <c r="N572" s="226">
        <f t="shared" ca="1" si="89"/>
        <v>0</v>
      </c>
      <c r="O572" s="1"/>
    </row>
    <row r="573" spans="1:15" ht="16.5" customHeight="1">
      <c r="A573" s="1"/>
      <c r="B573" s="657" t="str">
        <f t="shared" ca="1" si="90"/>
        <v/>
      </c>
      <c r="C573" s="223" t="str">
        <f t="shared" ca="1" si="91"/>
        <v/>
      </c>
      <c r="D573" s="519">
        <f t="shared" si="96"/>
        <v>568</v>
      </c>
      <c r="E573" s="225" t="str">
        <f t="shared" ca="1" si="92"/>
        <v/>
      </c>
      <c r="F573" s="224" t="str">
        <f t="shared" si="98"/>
        <v>CASSA</v>
      </c>
      <c r="G573" s="384" t="str">
        <f t="shared" ca="1" si="93"/>
        <v/>
      </c>
      <c r="H573" s="512">
        <f t="shared" ca="1" si="94"/>
        <v>0</v>
      </c>
      <c r="I573" s="1603" t="str">
        <f t="shared" ca="1" si="88"/>
        <v/>
      </c>
      <c r="J573" s="1604"/>
      <c r="K573" s="373"/>
      <c r="L573" s="513">
        <f t="shared" ca="1" si="97"/>
        <v>656.58</v>
      </c>
      <c r="M573" s="654">
        <f t="shared" ca="1" si="95"/>
        <v>1</v>
      </c>
      <c r="N573" s="226">
        <f t="shared" ca="1" si="89"/>
        <v>0</v>
      </c>
      <c r="O573" s="1"/>
    </row>
    <row r="574" spans="1:15" ht="16.5" customHeight="1">
      <c r="A574" s="1"/>
      <c r="B574" s="657" t="str">
        <f t="shared" ca="1" si="90"/>
        <v/>
      </c>
      <c r="C574" s="223" t="str">
        <f t="shared" ca="1" si="91"/>
        <v/>
      </c>
      <c r="D574" s="519">
        <f t="shared" si="96"/>
        <v>569</v>
      </c>
      <c r="E574" s="225" t="str">
        <f t="shared" ca="1" si="92"/>
        <v/>
      </c>
      <c r="F574" s="224" t="str">
        <f t="shared" si="98"/>
        <v>CASSA</v>
      </c>
      <c r="G574" s="384" t="str">
        <f t="shared" ca="1" si="93"/>
        <v/>
      </c>
      <c r="H574" s="512">
        <f t="shared" ca="1" si="94"/>
        <v>0</v>
      </c>
      <c r="I574" s="1603" t="str">
        <f t="shared" ca="1" si="88"/>
        <v/>
      </c>
      <c r="J574" s="1604"/>
      <c r="K574" s="373"/>
      <c r="L574" s="513">
        <f t="shared" ca="1" si="97"/>
        <v>656.58</v>
      </c>
      <c r="M574" s="654">
        <f t="shared" ca="1" si="95"/>
        <v>1</v>
      </c>
      <c r="N574" s="226">
        <f t="shared" ca="1" si="89"/>
        <v>0</v>
      </c>
      <c r="O574" s="1"/>
    </row>
    <row r="575" spans="1:15" ht="16.5" customHeight="1">
      <c r="A575" s="1"/>
      <c r="B575" s="657" t="str">
        <f t="shared" ca="1" si="90"/>
        <v/>
      </c>
      <c r="C575" s="223" t="str">
        <f t="shared" ca="1" si="91"/>
        <v/>
      </c>
      <c r="D575" s="519">
        <f t="shared" si="96"/>
        <v>570</v>
      </c>
      <c r="E575" s="225" t="str">
        <f t="shared" ca="1" si="92"/>
        <v/>
      </c>
      <c r="F575" s="224" t="str">
        <f t="shared" si="98"/>
        <v>CASSA</v>
      </c>
      <c r="G575" s="384" t="str">
        <f t="shared" ca="1" si="93"/>
        <v/>
      </c>
      <c r="H575" s="512">
        <f t="shared" ca="1" si="94"/>
        <v>0</v>
      </c>
      <c r="I575" s="1603" t="str">
        <f t="shared" ca="1" si="88"/>
        <v/>
      </c>
      <c r="J575" s="1604"/>
      <c r="K575" s="373"/>
      <c r="L575" s="513">
        <f t="shared" ca="1" si="97"/>
        <v>656.58</v>
      </c>
      <c r="M575" s="654">
        <f t="shared" ca="1" si="95"/>
        <v>1</v>
      </c>
      <c r="N575" s="226">
        <f t="shared" ca="1" si="89"/>
        <v>0</v>
      </c>
      <c r="O575" s="1"/>
    </row>
    <row r="576" spans="1:15" ht="16.5" customHeight="1">
      <c r="A576" s="1"/>
      <c r="B576" s="657" t="str">
        <f t="shared" ca="1" si="90"/>
        <v/>
      </c>
      <c r="C576" s="223" t="str">
        <f t="shared" ca="1" si="91"/>
        <v/>
      </c>
      <c r="D576" s="519">
        <f t="shared" si="96"/>
        <v>571</v>
      </c>
      <c r="E576" s="225" t="str">
        <f t="shared" ca="1" si="92"/>
        <v/>
      </c>
      <c r="F576" s="224" t="str">
        <f t="shared" si="98"/>
        <v>CASSA</v>
      </c>
      <c r="G576" s="384" t="str">
        <f t="shared" ca="1" si="93"/>
        <v/>
      </c>
      <c r="H576" s="512">
        <f t="shared" ca="1" si="94"/>
        <v>0</v>
      </c>
      <c r="I576" s="1603" t="str">
        <f t="shared" ca="1" si="88"/>
        <v/>
      </c>
      <c r="J576" s="1604"/>
      <c r="K576" s="373"/>
      <c r="L576" s="513">
        <f t="shared" ca="1" si="97"/>
        <v>656.58</v>
      </c>
      <c r="M576" s="654">
        <f t="shared" ca="1" si="95"/>
        <v>1</v>
      </c>
      <c r="N576" s="226">
        <f t="shared" ca="1" si="89"/>
        <v>0</v>
      </c>
      <c r="O576" s="1"/>
    </row>
    <row r="577" spans="1:15" ht="16.5" customHeight="1">
      <c r="A577" s="1"/>
      <c r="B577" s="657" t="str">
        <f t="shared" ca="1" si="90"/>
        <v/>
      </c>
      <c r="C577" s="223" t="str">
        <f t="shared" ca="1" si="91"/>
        <v/>
      </c>
      <c r="D577" s="519">
        <f t="shared" si="96"/>
        <v>572</v>
      </c>
      <c r="E577" s="225" t="str">
        <f t="shared" ca="1" si="92"/>
        <v/>
      </c>
      <c r="F577" s="224" t="str">
        <f t="shared" si="98"/>
        <v>CASSA</v>
      </c>
      <c r="G577" s="384" t="str">
        <f t="shared" ca="1" si="93"/>
        <v/>
      </c>
      <c r="H577" s="512">
        <f t="shared" ca="1" si="94"/>
        <v>0</v>
      </c>
      <c r="I577" s="1603" t="str">
        <f t="shared" ca="1" si="88"/>
        <v/>
      </c>
      <c r="J577" s="1604"/>
      <c r="K577" s="373"/>
      <c r="L577" s="513">
        <f t="shared" ca="1" si="97"/>
        <v>656.58</v>
      </c>
      <c r="M577" s="654">
        <f t="shared" ca="1" si="95"/>
        <v>1</v>
      </c>
      <c r="N577" s="226">
        <f t="shared" ca="1" si="89"/>
        <v>0</v>
      </c>
      <c r="O577" s="1"/>
    </row>
    <row r="578" spans="1:15" ht="16.5" customHeight="1">
      <c r="A578" s="1"/>
      <c r="B578" s="657" t="str">
        <f t="shared" ca="1" si="90"/>
        <v/>
      </c>
      <c r="C578" s="223" t="str">
        <f t="shared" ca="1" si="91"/>
        <v/>
      </c>
      <c r="D578" s="519">
        <f t="shared" si="96"/>
        <v>573</v>
      </c>
      <c r="E578" s="225" t="str">
        <f t="shared" ca="1" si="92"/>
        <v/>
      </c>
      <c r="F578" s="224" t="str">
        <f t="shared" si="98"/>
        <v>CASSA</v>
      </c>
      <c r="G578" s="384" t="str">
        <f t="shared" ca="1" si="93"/>
        <v/>
      </c>
      <c r="H578" s="512">
        <f t="shared" ca="1" si="94"/>
        <v>0</v>
      </c>
      <c r="I578" s="1603" t="str">
        <f t="shared" ca="1" si="88"/>
        <v/>
      </c>
      <c r="J578" s="1604"/>
      <c r="K578" s="373"/>
      <c r="L578" s="513">
        <f t="shared" ca="1" si="97"/>
        <v>656.58</v>
      </c>
      <c r="M578" s="654">
        <f t="shared" ca="1" si="95"/>
        <v>1</v>
      </c>
      <c r="N578" s="226">
        <f t="shared" ca="1" si="89"/>
        <v>0</v>
      </c>
      <c r="O578" s="1"/>
    </row>
    <row r="579" spans="1:15" ht="16.5" customHeight="1">
      <c r="A579" s="1"/>
      <c r="B579" s="657" t="str">
        <f t="shared" ca="1" si="90"/>
        <v/>
      </c>
      <c r="C579" s="223" t="str">
        <f t="shared" ca="1" si="91"/>
        <v/>
      </c>
      <c r="D579" s="519">
        <f t="shared" si="96"/>
        <v>574</v>
      </c>
      <c r="E579" s="225" t="str">
        <f t="shared" ca="1" si="92"/>
        <v/>
      </c>
      <c r="F579" s="224" t="str">
        <f t="shared" si="98"/>
        <v>CASSA</v>
      </c>
      <c r="G579" s="384" t="str">
        <f t="shared" ca="1" si="93"/>
        <v/>
      </c>
      <c r="H579" s="512">
        <f t="shared" ca="1" si="94"/>
        <v>0</v>
      </c>
      <c r="I579" s="1603" t="str">
        <f t="shared" ca="1" si="88"/>
        <v/>
      </c>
      <c r="J579" s="1604"/>
      <c r="K579" s="373"/>
      <c r="L579" s="513">
        <f t="shared" ca="1" si="97"/>
        <v>656.58</v>
      </c>
      <c r="M579" s="654">
        <f t="shared" ca="1" si="95"/>
        <v>1</v>
      </c>
      <c r="N579" s="226">
        <f t="shared" ca="1" si="89"/>
        <v>0</v>
      </c>
      <c r="O579" s="1"/>
    </row>
    <row r="580" spans="1:15" ht="16.5" customHeight="1">
      <c r="A580" s="1"/>
      <c r="B580" s="657" t="str">
        <f t="shared" ca="1" si="90"/>
        <v/>
      </c>
      <c r="C580" s="223" t="str">
        <f t="shared" ca="1" si="91"/>
        <v/>
      </c>
      <c r="D580" s="519">
        <f t="shared" si="96"/>
        <v>575</v>
      </c>
      <c r="E580" s="225" t="str">
        <f t="shared" ca="1" si="92"/>
        <v/>
      </c>
      <c r="F580" s="224" t="str">
        <f t="shared" si="98"/>
        <v>CASSA</v>
      </c>
      <c r="G580" s="384" t="str">
        <f t="shared" ca="1" si="93"/>
        <v/>
      </c>
      <c r="H580" s="512">
        <f t="shared" ca="1" si="94"/>
        <v>0</v>
      </c>
      <c r="I580" s="1603" t="str">
        <f t="shared" ca="1" si="88"/>
        <v/>
      </c>
      <c r="J580" s="1604"/>
      <c r="K580" s="373"/>
      <c r="L580" s="513">
        <f t="shared" ca="1" si="97"/>
        <v>656.58</v>
      </c>
      <c r="M580" s="654">
        <f t="shared" ca="1" si="95"/>
        <v>1</v>
      </c>
      <c r="N580" s="226">
        <f t="shared" ca="1" si="89"/>
        <v>0</v>
      </c>
      <c r="O580" s="1"/>
    </row>
    <row r="581" spans="1:15" ht="16.5" customHeight="1">
      <c r="A581" s="1"/>
      <c r="B581" s="657" t="str">
        <f t="shared" ca="1" si="90"/>
        <v/>
      </c>
      <c r="C581" s="223" t="str">
        <f t="shared" ca="1" si="91"/>
        <v/>
      </c>
      <c r="D581" s="519">
        <f t="shared" si="96"/>
        <v>576</v>
      </c>
      <c r="E581" s="225" t="str">
        <f t="shared" ca="1" si="92"/>
        <v/>
      </c>
      <c r="F581" s="224" t="str">
        <f t="shared" si="98"/>
        <v>CASSA</v>
      </c>
      <c r="G581" s="384" t="str">
        <f t="shared" ca="1" si="93"/>
        <v/>
      </c>
      <c r="H581" s="512">
        <f t="shared" ca="1" si="94"/>
        <v>0</v>
      </c>
      <c r="I581" s="1603" t="str">
        <f t="shared" ca="1" si="88"/>
        <v/>
      </c>
      <c r="J581" s="1604"/>
      <c r="K581" s="373"/>
      <c r="L581" s="513">
        <f t="shared" ca="1" si="97"/>
        <v>656.58</v>
      </c>
      <c r="M581" s="654">
        <f t="shared" ca="1" si="95"/>
        <v>1</v>
      </c>
      <c r="N581" s="226">
        <f t="shared" ca="1" si="89"/>
        <v>0</v>
      </c>
      <c r="O581" s="1"/>
    </row>
    <row r="582" spans="1:15" ht="16.5" customHeight="1">
      <c r="A582" s="1"/>
      <c r="B582" s="657" t="str">
        <f t="shared" ca="1" si="90"/>
        <v/>
      </c>
      <c r="C582" s="223" t="str">
        <f t="shared" ca="1" si="91"/>
        <v/>
      </c>
      <c r="D582" s="519">
        <f t="shared" si="96"/>
        <v>577</v>
      </c>
      <c r="E582" s="225" t="str">
        <f t="shared" ca="1" si="92"/>
        <v/>
      </c>
      <c r="F582" s="224" t="str">
        <f t="shared" si="98"/>
        <v>CASSA</v>
      </c>
      <c r="G582" s="384" t="str">
        <f t="shared" ca="1" si="93"/>
        <v/>
      </c>
      <c r="H582" s="512">
        <f t="shared" ca="1" si="94"/>
        <v>0</v>
      </c>
      <c r="I582" s="1603" t="str">
        <f t="shared" ref="I582:I645" ca="1" si="99">IF(F582="","",IF(ISERROR(VLOOKUP($D582,$B$1080:$L$4183,11,FALSE)),"",VLOOKUP($D582,$B$1080:$L$4183,11,FALSE)))</f>
        <v/>
      </c>
      <c r="J582" s="1604"/>
      <c r="K582" s="373"/>
      <c r="L582" s="513">
        <f t="shared" ca="1" si="97"/>
        <v>656.58</v>
      </c>
      <c r="M582" s="654">
        <f t="shared" ca="1" si="95"/>
        <v>1</v>
      </c>
      <c r="N582" s="226">
        <f t="shared" ref="N582:N645" ca="1" si="100">IF(ISERROR(VLOOKUP(G582,G$4171:G$4182,1,FALSE)),0,1)</f>
        <v>0</v>
      </c>
      <c r="O582" s="1"/>
    </row>
    <row r="583" spans="1:15" ht="16.5" customHeight="1">
      <c r="A583" s="1"/>
      <c r="B583" s="657" t="str">
        <f t="shared" ref="B583:B646" ca="1" si="101">IF(AND(E583&lt;&gt;"",M583=0),"[..]","")</f>
        <v/>
      </c>
      <c r="C583" s="223" t="str">
        <f t="shared" ref="C583:C646" ca="1" si="102">IF(ISBLANK(E$2),"",IF(ISERROR(VLOOKUP(D583,B$3067:B$4182,1,FALSE)),"",C$4185))</f>
        <v/>
      </c>
      <c r="D583" s="519">
        <f t="shared" si="96"/>
        <v>578</v>
      </c>
      <c r="E583" s="225" t="str">
        <f t="shared" ref="E583:E646" ca="1" si="103">IF(ISERROR(VLOOKUP($D583,$B$1080:$E$4183,4,FALSE)),"",VLOOKUP($D583,$B$1080:$E$4183,4,FALSE))</f>
        <v/>
      </c>
      <c r="F583" s="224" t="str">
        <f t="shared" si="98"/>
        <v>CASSA</v>
      </c>
      <c r="G583" s="384" t="str">
        <f t="shared" ref="G583:G646" ca="1" si="104">IF(ISERROR(VLOOKUP($D583,$B$1080:$G$4183,6,FALSE)),"",T(VLOOKUP($D583,$B$1080:$G$4183,6,FALSE)))</f>
        <v/>
      </c>
      <c r="H583" s="512">
        <f t="shared" ref="H583:H646" ca="1" si="105">IF(ISERROR(VLOOKUP($D583,$B$1080:$H$4183,7,FALSE)),0,VLOOKUP($D583,$B$1080:$H$4183,7,FALSE))*M583</f>
        <v>0</v>
      </c>
      <c r="I583" s="1603" t="str">
        <f t="shared" ca="1" si="99"/>
        <v/>
      </c>
      <c r="J583" s="1604"/>
      <c r="K583" s="373"/>
      <c r="L583" s="513">
        <f t="shared" ca="1" si="97"/>
        <v>656.58</v>
      </c>
      <c r="M583" s="654">
        <f t="shared" ref="M583:M646" ca="1" si="106">IF(AND(E583&gt;0,H$4188=0,OR(E583&lt;L$1020,E583&gt;L$1021)),0,1)</f>
        <v>1</v>
      </c>
      <c r="N583" s="226">
        <f t="shared" ca="1" si="100"/>
        <v>0</v>
      </c>
      <c r="O583" s="1"/>
    </row>
    <row r="584" spans="1:15" ht="16.5" customHeight="1">
      <c r="A584" s="1"/>
      <c r="B584" s="657" t="str">
        <f t="shared" ca="1" si="101"/>
        <v/>
      </c>
      <c r="C584" s="223" t="str">
        <f t="shared" ca="1" si="102"/>
        <v/>
      </c>
      <c r="D584" s="519">
        <f t="shared" ref="D584:D647" si="107">D583+1</f>
        <v>579</v>
      </c>
      <c r="E584" s="225" t="str">
        <f t="shared" ca="1" si="103"/>
        <v/>
      </c>
      <c r="F584" s="224" t="str">
        <f t="shared" si="98"/>
        <v>CASSA</v>
      </c>
      <c r="G584" s="384" t="str">
        <f t="shared" ca="1" si="104"/>
        <v/>
      </c>
      <c r="H584" s="512">
        <f t="shared" ca="1" si="105"/>
        <v>0</v>
      </c>
      <c r="I584" s="1603" t="str">
        <f t="shared" ca="1" si="99"/>
        <v/>
      </c>
      <c r="J584" s="1604"/>
      <c r="K584" s="373"/>
      <c r="L584" s="513">
        <f t="shared" ref="L584:L647" ca="1" si="108">ROUND(L583+H584,2)</f>
        <v>656.58</v>
      </c>
      <c r="M584" s="654">
        <f t="shared" ca="1" si="106"/>
        <v>1</v>
      </c>
      <c r="N584" s="226">
        <f t="shared" ca="1" si="100"/>
        <v>0</v>
      </c>
      <c r="O584" s="1"/>
    </row>
    <row r="585" spans="1:15" ht="16.5" customHeight="1">
      <c r="A585" s="1"/>
      <c r="B585" s="657" t="str">
        <f t="shared" ca="1" si="101"/>
        <v/>
      </c>
      <c r="C585" s="223" t="str">
        <f t="shared" ca="1" si="102"/>
        <v/>
      </c>
      <c r="D585" s="519">
        <f t="shared" si="107"/>
        <v>580</v>
      </c>
      <c r="E585" s="225" t="str">
        <f t="shared" ca="1" si="103"/>
        <v/>
      </c>
      <c r="F585" s="224" t="str">
        <f t="shared" si="98"/>
        <v>CASSA</v>
      </c>
      <c r="G585" s="384" t="str">
        <f t="shared" ca="1" si="104"/>
        <v/>
      </c>
      <c r="H585" s="512">
        <f t="shared" ca="1" si="105"/>
        <v>0</v>
      </c>
      <c r="I585" s="1603" t="str">
        <f t="shared" ca="1" si="99"/>
        <v/>
      </c>
      <c r="J585" s="1604"/>
      <c r="K585" s="373"/>
      <c r="L585" s="513">
        <f t="shared" ca="1" si="108"/>
        <v>656.58</v>
      </c>
      <c r="M585" s="654">
        <f t="shared" ca="1" si="106"/>
        <v>1</v>
      </c>
      <c r="N585" s="226">
        <f t="shared" ca="1" si="100"/>
        <v>0</v>
      </c>
      <c r="O585" s="1"/>
    </row>
    <row r="586" spans="1:15" ht="16.5" customHeight="1">
      <c r="A586" s="1"/>
      <c r="B586" s="657" t="str">
        <f t="shared" ca="1" si="101"/>
        <v/>
      </c>
      <c r="C586" s="223" t="str">
        <f t="shared" ca="1" si="102"/>
        <v/>
      </c>
      <c r="D586" s="519">
        <f t="shared" si="107"/>
        <v>581</v>
      </c>
      <c r="E586" s="225" t="str">
        <f t="shared" ca="1" si="103"/>
        <v/>
      </c>
      <c r="F586" s="224" t="str">
        <f t="shared" si="98"/>
        <v>CASSA</v>
      </c>
      <c r="G586" s="384" t="str">
        <f t="shared" ca="1" si="104"/>
        <v/>
      </c>
      <c r="H586" s="512">
        <f t="shared" ca="1" si="105"/>
        <v>0</v>
      </c>
      <c r="I586" s="1603" t="str">
        <f t="shared" ca="1" si="99"/>
        <v/>
      </c>
      <c r="J586" s="1604"/>
      <c r="K586" s="373"/>
      <c r="L586" s="513">
        <f t="shared" ca="1" si="108"/>
        <v>656.58</v>
      </c>
      <c r="M586" s="654">
        <f t="shared" ca="1" si="106"/>
        <v>1</v>
      </c>
      <c r="N586" s="226">
        <f t="shared" ca="1" si="100"/>
        <v>0</v>
      </c>
      <c r="O586" s="1"/>
    </row>
    <row r="587" spans="1:15" ht="16.5" customHeight="1">
      <c r="A587" s="1"/>
      <c r="B587" s="657" t="str">
        <f t="shared" ca="1" si="101"/>
        <v/>
      </c>
      <c r="C587" s="223" t="str">
        <f t="shared" ca="1" si="102"/>
        <v/>
      </c>
      <c r="D587" s="519">
        <f t="shared" si="107"/>
        <v>582</v>
      </c>
      <c r="E587" s="225" t="str">
        <f t="shared" ca="1" si="103"/>
        <v/>
      </c>
      <c r="F587" s="224" t="str">
        <f t="shared" si="98"/>
        <v>CASSA</v>
      </c>
      <c r="G587" s="384" t="str">
        <f t="shared" ca="1" si="104"/>
        <v/>
      </c>
      <c r="H587" s="512">
        <f t="shared" ca="1" si="105"/>
        <v>0</v>
      </c>
      <c r="I587" s="1603" t="str">
        <f t="shared" ca="1" si="99"/>
        <v/>
      </c>
      <c r="J587" s="1604"/>
      <c r="K587" s="373"/>
      <c r="L587" s="513">
        <f t="shared" ca="1" si="108"/>
        <v>656.58</v>
      </c>
      <c r="M587" s="654">
        <f t="shared" ca="1" si="106"/>
        <v>1</v>
      </c>
      <c r="N587" s="226">
        <f t="shared" ca="1" si="100"/>
        <v>0</v>
      </c>
      <c r="O587" s="1"/>
    </row>
    <row r="588" spans="1:15" ht="16.5" customHeight="1">
      <c r="A588" s="1"/>
      <c r="B588" s="657" t="str">
        <f t="shared" ca="1" si="101"/>
        <v/>
      </c>
      <c r="C588" s="223" t="str">
        <f t="shared" ca="1" si="102"/>
        <v/>
      </c>
      <c r="D588" s="519">
        <f t="shared" si="107"/>
        <v>583</v>
      </c>
      <c r="E588" s="225" t="str">
        <f t="shared" ca="1" si="103"/>
        <v/>
      </c>
      <c r="F588" s="224" t="str">
        <f t="shared" ref="F588:F651" si="109">F587</f>
        <v>CASSA</v>
      </c>
      <c r="G588" s="384" t="str">
        <f t="shared" ca="1" si="104"/>
        <v/>
      </c>
      <c r="H588" s="512">
        <f t="shared" ca="1" si="105"/>
        <v>0</v>
      </c>
      <c r="I588" s="1603" t="str">
        <f t="shared" ca="1" si="99"/>
        <v/>
      </c>
      <c r="J588" s="1604"/>
      <c r="K588" s="373"/>
      <c r="L588" s="513">
        <f t="shared" ca="1" si="108"/>
        <v>656.58</v>
      </c>
      <c r="M588" s="654">
        <f t="shared" ca="1" si="106"/>
        <v>1</v>
      </c>
      <c r="N588" s="226">
        <f t="shared" ca="1" si="100"/>
        <v>0</v>
      </c>
      <c r="O588" s="1"/>
    </row>
    <row r="589" spans="1:15" ht="16.5" customHeight="1">
      <c r="A589" s="1"/>
      <c r="B589" s="657" t="str">
        <f t="shared" ca="1" si="101"/>
        <v/>
      </c>
      <c r="C589" s="223" t="str">
        <f t="shared" ca="1" si="102"/>
        <v/>
      </c>
      <c r="D589" s="519">
        <f t="shared" si="107"/>
        <v>584</v>
      </c>
      <c r="E589" s="225" t="str">
        <f t="shared" ca="1" si="103"/>
        <v/>
      </c>
      <c r="F589" s="224" t="str">
        <f t="shared" si="109"/>
        <v>CASSA</v>
      </c>
      <c r="G589" s="384" t="str">
        <f t="shared" ca="1" si="104"/>
        <v/>
      </c>
      <c r="H589" s="512">
        <f t="shared" ca="1" si="105"/>
        <v>0</v>
      </c>
      <c r="I589" s="1603" t="str">
        <f t="shared" ca="1" si="99"/>
        <v/>
      </c>
      <c r="J589" s="1604"/>
      <c r="K589" s="373"/>
      <c r="L589" s="513">
        <f t="shared" ca="1" si="108"/>
        <v>656.58</v>
      </c>
      <c r="M589" s="654">
        <f t="shared" ca="1" si="106"/>
        <v>1</v>
      </c>
      <c r="N589" s="226">
        <f t="shared" ca="1" si="100"/>
        <v>0</v>
      </c>
      <c r="O589" s="1"/>
    </row>
    <row r="590" spans="1:15" ht="16.5" customHeight="1">
      <c r="A590" s="1"/>
      <c r="B590" s="657" t="str">
        <f t="shared" ca="1" si="101"/>
        <v/>
      </c>
      <c r="C590" s="223" t="str">
        <f t="shared" ca="1" si="102"/>
        <v/>
      </c>
      <c r="D590" s="519">
        <f t="shared" si="107"/>
        <v>585</v>
      </c>
      <c r="E590" s="225" t="str">
        <f t="shared" ca="1" si="103"/>
        <v/>
      </c>
      <c r="F590" s="224" t="str">
        <f t="shared" si="109"/>
        <v>CASSA</v>
      </c>
      <c r="G590" s="384" t="str">
        <f t="shared" ca="1" si="104"/>
        <v/>
      </c>
      <c r="H590" s="512">
        <f t="shared" ca="1" si="105"/>
        <v>0</v>
      </c>
      <c r="I590" s="1603" t="str">
        <f t="shared" ca="1" si="99"/>
        <v/>
      </c>
      <c r="J590" s="1604"/>
      <c r="K590" s="373"/>
      <c r="L590" s="513">
        <f t="shared" ca="1" si="108"/>
        <v>656.58</v>
      </c>
      <c r="M590" s="654">
        <f t="shared" ca="1" si="106"/>
        <v>1</v>
      </c>
      <c r="N590" s="226">
        <f t="shared" ca="1" si="100"/>
        <v>0</v>
      </c>
      <c r="O590" s="1"/>
    </row>
    <row r="591" spans="1:15" ht="16.5" customHeight="1">
      <c r="A591" s="1"/>
      <c r="B591" s="657" t="str">
        <f t="shared" ca="1" si="101"/>
        <v/>
      </c>
      <c r="C591" s="223" t="str">
        <f t="shared" ca="1" si="102"/>
        <v/>
      </c>
      <c r="D591" s="519">
        <f t="shared" si="107"/>
        <v>586</v>
      </c>
      <c r="E591" s="225" t="str">
        <f t="shared" ca="1" si="103"/>
        <v/>
      </c>
      <c r="F591" s="224" t="str">
        <f t="shared" si="109"/>
        <v>CASSA</v>
      </c>
      <c r="G591" s="384" t="str">
        <f t="shared" ca="1" si="104"/>
        <v/>
      </c>
      <c r="H591" s="512">
        <f t="shared" ca="1" si="105"/>
        <v>0</v>
      </c>
      <c r="I591" s="1603" t="str">
        <f t="shared" ca="1" si="99"/>
        <v/>
      </c>
      <c r="J591" s="1604"/>
      <c r="K591" s="373"/>
      <c r="L591" s="513">
        <f t="shared" ca="1" si="108"/>
        <v>656.58</v>
      </c>
      <c r="M591" s="654">
        <f t="shared" ca="1" si="106"/>
        <v>1</v>
      </c>
      <c r="N591" s="226">
        <f t="shared" ca="1" si="100"/>
        <v>0</v>
      </c>
      <c r="O591" s="1"/>
    </row>
    <row r="592" spans="1:15" ht="16.5" customHeight="1">
      <c r="A592" s="1"/>
      <c r="B592" s="657" t="str">
        <f t="shared" ca="1" si="101"/>
        <v/>
      </c>
      <c r="C592" s="223" t="str">
        <f t="shared" ca="1" si="102"/>
        <v/>
      </c>
      <c r="D592" s="519">
        <f t="shared" si="107"/>
        <v>587</v>
      </c>
      <c r="E592" s="225" t="str">
        <f t="shared" ca="1" si="103"/>
        <v/>
      </c>
      <c r="F592" s="224" t="str">
        <f t="shared" si="109"/>
        <v>CASSA</v>
      </c>
      <c r="G592" s="384" t="str">
        <f t="shared" ca="1" si="104"/>
        <v/>
      </c>
      <c r="H592" s="512">
        <f t="shared" ca="1" si="105"/>
        <v>0</v>
      </c>
      <c r="I592" s="1603" t="str">
        <f t="shared" ca="1" si="99"/>
        <v/>
      </c>
      <c r="J592" s="1604"/>
      <c r="K592" s="373"/>
      <c r="L592" s="513">
        <f t="shared" ca="1" si="108"/>
        <v>656.58</v>
      </c>
      <c r="M592" s="654">
        <f t="shared" ca="1" si="106"/>
        <v>1</v>
      </c>
      <c r="N592" s="226">
        <f t="shared" ca="1" si="100"/>
        <v>0</v>
      </c>
      <c r="O592" s="1"/>
    </row>
    <row r="593" spans="1:15" ht="16.5" customHeight="1">
      <c r="A593" s="1"/>
      <c r="B593" s="657" t="str">
        <f t="shared" ca="1" si="101"/>
        <v/>
      </c>
      <c r="C593" s="223" t="str">
        <f t="shared" ca="1" si="102"/>
        <v/>
      </c>
      <c r="D593" s="519">
        <f t="shared" si="107"/>
        <v>588</v>
      </c>
      <c r="E593" s="225" t="str">
        <f t="shared" ca="1" si="103"/>
        <v/>
      </c>
      <c r="F593" s="224" t="str">
        <f t="shared" si="109"/>
        <v>CASSA</v>
      </c>
      <c r="G593" s="384" t="str">
        <f t="shared" ca="1" si="104"/>
        <v/>
      </c>
      <c r="H593" s="512">
        <f t="shared" ca="1" si="105"/>
        <v>0</v>
      </c>
      <c r="I593" s="1603" t="str">
        <f t="shared" ca="1" si="99"/>
        <v/>
      </c>
      <c r="J593" s="1604"/>
      <c r="K593" s="373"/>
      <c r="L593" s="513">
        <f t="shared" ca="1" si="108"/>
        <v>656.58</v>
      </c>
      <c r="M593" s="654">
        <f t="shared" ca="1" si="106"/>
        <v>1</v>
      </c>
      <c r="N593" s="226">
        <f t="shared" ca="1" si="100"/>
        <v>0</v>
      </c>
      <c r="O593" s="1"/>
    </row>
    <row r="594" spans="1:15" ht="16.5" customHeight="1">
      <c r="A594" s="1"/>
      <c r="B594" s="657" t="str">
        <f t="shared" ca="1" si="101"/>
        <v/>
      </c>
      <c r="C594" s="223" t="str">
        <f t="shared" ca="1" si="102"/>
        <v/>
      </c>
      <c r="D594" s="519">
        <f t="shared" si="107"/>
        <v>589</v>
      </c>
      <c r="E594" s="225" t="str">
        <f t="shared" ca="1" si="103"/>
        <v/>
      </c>
      <c r="F594" s="224" t="str">
        <f t="shared" si="109"/>
        <v>CASSA</v>
      </c>
      <c r="G594" s="384" t="str">
        <f t="shared" ca="1" si="104"/>
        <v/>
      </c>
      <c r="H594" s="512">
        <f t="shared" ca="1" si="105"/>
        <v>0</v>
      </c>
      <c r="I594" s="1603" t="str">
        <f t="shared" ca="1" si="99"/>
        <v/>
      </c>
      <c r="J594" s="1604"/>
      <c r="K594" s="373"/>
      <c r="L594" s="513">
        <f t="shared" ca="1" si="108"/>
        <v>656.58</v>
      </c>
      <c r="M594" s="654">
        <f t="shared" ca="1" si="106"/>
        <v>1</v>
      </c>
      <c r="N594" s="226">
        <f t="shared" ca="1" si="100"/>
        <v>0</v>
      </c>
      <c r="O594" s="1"/>
    </row>
    <row r="595" spans="1:15" ht="16.5" customHeight="1">
      <c r="A595" s="1"/>
      <c r="B595" s="657" t="str">
        <f t="shared" ca="1" si="101"/>
        <v/>
      </c>
      <c r="C595" s="223" t="str">
        <f t="shared" ca="1" si="102"/>
        <v/>
      </c>
      <c r="D595" s="519">
        <f t="shared" si="107"/>
        <v>590</v>
      </c>
      <c r="E595" s="225" t="str">
        <f t="shared" ca="1" si="103"/>
        <v/>
      </c>
      <c r="F595" s="224" t="str">
        <f t="shared" si="109"/>
        <v>CASSA</v>
      </c>
      <c r="G595" s="384" t="str">
        <f t="shared" ca="1" si="104"/>
        <v/>
      </c>
      <c r="H595" s="512">
        <f t="shared" ca="1" si="105"/>
        <v>0</v>
      </c>
      <c r="I595" s="1603" t="str">
        <f t="shared" ca="1" si="99"/>
        <v/>
      </c>
      <c r="J595" s="1604"/>
      <c r="K595" s="373"/>
      <c r="L595" s="513">
        <f t="shared" ca="1" si="108"/>
        <v>656.58</v>
      </c>
      <c r="M595" s="654">
        <f t="shared" ca="1" si="106"/>
        <v>1</v>
      </c>
      <c r="N595" s="226">
        <f t="shared" ca="1" si="100"/>
        <v>0</v>
      </c>
      <c r="O595" s="1"/>
    </row>
    <row r="596" spans="1:15" ht="16.5" customHeight="1">
      <c r="A596" s="1"/>
      <c r="B596" s="657" t="str">
        <f t="shared" ca="1" si="101"/>
        <v/>
      </c>
      <c r="C596" s="223" t="str">
        <f t="shared" ca="1" si="102"/>
        <v/>
      </c>
      <c r="D596" s="519">
        <f t="shared" si="107"/>
        <v>591</v>
      </c>
      <c r="E596" s="225" t="str">
        <f t="shared" ca="1" si="103"/>
        <v/>
      </c>
      <c r="F596" s="224" t="str">
        <f t="shared" si="109"/>
        <v>CASSA</v>
      </c>
      <c r="G596" s="384" t="str">
        <f t="shared" ca="1" si="104"/>
        <v/>
      </c>
      <c r="H596" s="512">
        <f t="shared" ca="1" si="105"/>
        <v>0</v>
      </c>
      <c r="I596" s="1603" t="str">
        <f t="shared" ca="1" si="99"/>
        <v/>
      </c>
      <c r="J596" s="1604"/>
      <c r="K596" s="373"/>
      <c r="L596" s="513">
        <f t="shared" ca="1" si="108"/>
        <v>656.58</v>
      </c>
      <c r="M596" s="654">
        <f t="shared" ca="1" si="106"/>
        <v>1</v>
      </c>
      <c r="N596" s="226">
        <f t="shared" ca="1" si="100"/>
        <v>0</v>
      </c>
      <c r="O596" s="1"/>
    </row>
    <row r="597" spans="1:15" ht="16.5" customHeight="1">
      <c r="A597" s="1"/>
      <c r="B597" s="657" t="str">
        <f t="shared" ca="1" si="101"/>
        <v/>
      </c>
      <c r="C597" s="223" t="str">
        <f t="shared" ca="1" si="102"/>
        <v/>
      </c>
      <c r="D597" s="519">
        <f t="shared" si="107"/>
        <v>592</v>
      </c>
      <c r="E597" s="225" t="str">
        <f t="shared" ca="1" si="103"/>
        <v/>
      </c>
      <c r="F597" s="224" t="str">
        <f t="shared" si="109"/>
        <v>CASSA</v>
      </c>
      <c r="G597" s="384" t="str">
        <f t="shared" ca="1" si="104"/>
        <v/>
      </c>
      <c r="H597" s="512">
        <f t="shared" ca="1" si="105"/>
        <v>0</v>
      </c>
      <c r="I597" s="1603" t="str">
        <f t="shared" ca="1" si="99"/>
        <v/>
      </c>
      <c r="J597" s="1604"/>
      <c r="K597" s="373"/>
      <c r="L597" s="513">
        <f t="shared" ca="1" si="108"/>
        <v>656.58</v>
      </c>
      <c r="M597" s="654">
        <f t="shared" ca="1" si="106"/>
        <v>1</v>
      </c>
      <c r="N597" s="226">
        <f t="shared" ca="1" si="100"/>
        <v>0</v>
      </c>
      <c r="O597" s="1"/>
    </row>
    <row r="598" spans="1:15" ht="16.5" customHeight="1">
      <c r="A598" s="1"/>
      <c r="B598" s="657" t="str">
        <f t="shared" ca="1" si="101"/>
        <v/>
      </c>
      <c r="C598" s="223" t="str">
        <f t="shared" ca="1" si="102"/>
        <v/>
      </c>
      <c r="D598" s="519">
        <f t="shared" si="107"/>
        <v>593</v>
      </c>
      <c r="E598" s="225" t="str">
        <f t="shared" ca="1" si="103"/>
        <v/>
      </c>
      <c r="F598" s="224" t="str">
        <f t="shared" si="109"/>
        <v>CASSA</v>
      </c>
      <c r="G598" s="384" t="str">
        <f t="shared" ca="1" si="104"/>
        <v/>
      </c>
      <c r="H598" s="512">
        <f t="shared" ca="1" si="105"/>
        <v>0</v>
      </c>
      <c r="I598" s="1603" t="str">
        <f t="shared" ca="1" si="99"/>
        <v/>
      </c>
      <c r="J598" s="1604"/>
      <c r="K598" s="373"/>
      <c r="L598" s="513">
        <f t="shared" ca="1" si="108"/>
        <v>656.58</v>
      </c>
      <c r="M598" s="654">
        <f t="shared" ca="1" si="106"/>
        <v>1</v>
      </c>
      <c r="N598" s="226">
        <f t="shared" ca="1" si="100"/>
        <v>0</v>
      </c>
      <c r="O598" s="1"/>
    </row>
    <row r="599" spans="1:15" ht="16.5" customHeight="1">
      <c r="A599" s="1"/>
      <c r="B599" s="657" t="str">
        <f t="shared" ca="1" si="101"/>
        <v/>
      </c>
      <c r="C599" s="223" t="str">
        <f t="shared" ca="1" si="102"/>
        <v/>
      </c>
      <c r="D599" s="519">
        <f t="shared" si="107"/>
        <v>594</v>
      </c>
      <c r="E599" s="225" t="str">
        <f t="shared" ca="1" si="103"/>
        <v/>
      </c>
      <c r="F599" s="224" t="str">
        <f t="shared" si="109"/>
        <v>CASSA</v>
      </c>
      <c r="G599" s="384" t="str">
        <f t="shared" ca="1" si="104"/>
        <v/>
      </c>
      <c r="H599" s="512">
        <f t="shared" ca="1" si="105"/>
        <v>0</v>
      </c>
      <c r="I599" s="1603" t="str">
        <f t="shared" ca="1" si="99"/>
        <v/>
      </c>
      <c r="J599" s="1604"/>
      <c r="K599" s="373"/>
      <c r="L599" s="513">
        <f t="shared" ca="1" si="108"/>
        <v>656.58</v>
      </c>
      <c r="M599" s="654">
        <f t="shared" ca="1" si="106"/>
        <v>1</v>
      </c>
      <c r="N599" s="226">
        <f t="shared" ca="1" si="100"/>
        <v>0</v>
      </c>
      <c r="O599" s="1"/>
    </row>
    <row r="600" spans="1:15" ht="16.5" customHeight="1">
      <c r="A600" s="1"/>
      <c r="B600" s="657" t="str">
        <f t="shared" ca="1" si="101"/>
        <v/>
      </c>
      <c r="C600" s="223" t="str">
        <f t="shared" ca="1" si="102"/>
        <v/>
      </c>
      <c r="D600" s="519">
        <f t="shared" si="107"/>
        <v>595</v>
      </c>
      <c r="E600" s="225" t="str">
        <f t="shared" ca="1" si="103"/>
        <v/>
      </c>
      <c r="F600" s="224" t="str">
        <f t="shared" si="109"/>
        <v>CASSA</v>
      </c>
      <c r="G600" s="384" t="str">
        <f t="shared" ca="1" si="104"/>
        <v/>
      </c>
      <c r="H600" s="512">
        <f t="shared" ca="1" si="105"/>
        <v>0</v>
      </c>
      <c r="I600" s="1603" t="str">
        <f t="shared" ca="1" si="99"/>
        <v/>
      </c>
      <c r="J600" s="1604"/>
      <c r="K600" s="373"/>
      <c r="L600" s="513">
        <f t="shared" ca="1" si="108"/>
        <v>656.58</v>
      </c>
      <c r="M600" s="654">
        <f t="shared" ca="1" si="106"/>
        <v>1</v>
      </c>
      <c r="N600" s="226">
        <f t="shared" ca="1" si="100"/>
        <v>0</v>
      </c>
      <c r="O600" s="1"/>
    </row>
    <row r="601" spans="1:15" ht="16.5" customHeight="1">
      <c r="A601" s="1"/>
      <c r="B601" s="657" t="str">
        <f t="shared" ca="1" si="101"/>
        <v/>
      </c>
      <c r="C601" s="223" t="str">
        <f t="shared" ca="1" si="102"/>
        <v/>
      </c>
      <c r="D601" s="519">
        <f t="shared" si="107"/>
        <v>596</v>
      </c>
      <c r="E601" s="225" t="str">
        <f t="shared" ca="1" si="103"/>
        <v/>
      </c>
      <c r="F601" s="224" t="str">
        <f t="shared" si="109"/>
        <v>CASSA</v>
      </c>
      <c r="G601" s="384" t="str">
        <f t="shared" ca="1" si="104"/>
        <v/>
      </c>
      <c r="H601" s="512">
        <f t="shared" ca="1" si="105"/>
        <v>0</v>
      </c>
      <c r="I601" s="1603" t="str">
        <f t="shared" ca="1" si="99"/>
        <v/>
      </c>
      <c r="J601" s="1604"/>
      <c r="K601" s="373"/>
      <c r="L601" s="513">
        <f t="shared" ca="1" si="108"/>
        <v>656.58</v>
      </c>
      <c r="M601" s="654">
        <f t="shared" ca="1" si="106"/>
        <v>1</v>
      </c>
      <c r="N601" s="226">
        <f t="shared" ca="1" si="100"/>
        <v>0</v>
      </c>
      <c r="O601" s="1"/>
    </row>
    <row r="602" spans="1:15" ht="16.5" customHeight="1">
      <c r="A602" s="1"/>
      <c r="B602" s="657" t="str">
        <f t="shared" ca="1" si="101"/>
        <v/>
      </c>
      <c r="C602" s="223" t="str">
        <f t="shared" ca="1" si="102"/>
        <v/>
      </c>
      <c r="D602" s="519">
        <f t="shared" si="107"/>
        <v>597</v>
      </c>
      <c r="E602" s="225" t="str">
        <f t="shared" ca="1" si="103"/>
        <v/>
      </c>
      <c r="F602" s="224" t="str">
        <f t="shared" si="109"/>
        <v>CASSA</v>
      </c>
      <c r="G602" s="384" t="str">
        <f t="shared" ca="1" si="104"/>
        <v/>
      </c>
      <c r="H602" s="512">
        <f t="shared" ca="1" si="105"/>
        <v>0</v>
      </c>
      <c r="I602" s="1603" t="str">
        <f t="shared" ca="1" si="99"/>
        <v/>
      </c>
      <c r="J602" s="1604"/>
      <c r="K602" s="373"/>
      <c r="L602" s="513">
        <f t="shared" ca="1" si="108"/>
        <v>656.58</v>
      </c>
      <c r="M602" s="654">
        <f t="shared" ca="1" si="106"/>
        <v>1</v>
      </c>
      <c r="N602" s="226">
        <f t="shared" ca="1" si="100"/>
        <v>0</v>
      </c>
      <c r="O602" s="1"/>
    </row>
    <row r="603" spans="1:15" ht="16.5" customHeight="1">
      <c r="A603" s="1"/>
      <c r="B603" s="657" t="str">
        <f t="shared" ca="1" si="101"/>
        <v/>
      </c>
      <c r="C603" s="223" t="str">
        <f t="shared" ca="1" si="102"/>
        <v/>
      </c>
      <c r="D603" s="519">
        <f t="shared" si="107"/>
        <v>598</v>
      </c>
      <c r="E603" s="225" t="str">
        <f t="shared" ca="1" si="103"/>
        <v/>
      </c>
      <c r="F603" s="224" t="str">
        <f t="shared" si="109"/>
        <v>CASSA</v>
      </c>
      <c r="G603" s="384" t="str">
        <f t="shared" ca="1" si="104"/>
        <v/>
      </c>
      <c r="H603" s="512">
        <f t="shared" ca="1" si="105"/>
        <v>0</v>
      </c>
      <c r="I603" s="1603" t="str">
        <f t="shared" ca="1" si="99"/>
        <v/>
      </c>
      <c r="J603" s="1604"/>
      <c r="K603" s="373"/>
      <c r="L603" s="513">
        <f t="shared" ca="1" si="108"/>
        <v>656.58</v>
      </c>
      <c r="M603" s="654">
        <f t="shared" ca="1" si="106"/>
        <v>1</v>
      </c>
      <c r="N603" s="226">
        <f t="shared" ca="1" si="100"/>
        <v>0</v>
      </c>
      <c r="O603" s="1"/>
    </row>
    <row r="604" spans="1:15" ht="16.5" customHeight="1">
      <c r="A604" s="1"/>
      <c r="B604" s="657" t="str">
        <f t="shared" ca="1" si="101"/>
        <v/>
      </c>
      <c r="C604" s="223" t="str">
        <f t="shared" ca="1" si="102"/>
        <v/>
      </c>
      <c r="D604" s="519">
        <f t="shared" si="107"/>
        <v>599</v>
      </c>
      <c r="E604" s="225" t="str">
        <f t="shared" ca="1" si="103"/>
        <v/>
      </c>
      <c r="F604" s="224" t="str">
        <f t="shared" si="109"/>
        <v>CASSA</v>
      </c>
      <c r="G604" s="384" t="str">
        <f t="shared" ca="1" si="104"/>
        <v/>
      </c>
      <c r="H604" s="512">
        <f t="shared" ca="1" si="105"/>
        <v>0</v>
      </c>
      <c r="I604" s="1603" t="str">
        <f t="shared" ca="1" si="99"/>
        <v/>
      </c>
      <c r="J604" s="1604"/>
      <c r="K604" s="373"/>
      <c r="L604" s="513">
        <f t="shared" ca="1" si="108"/>
        <v>656.58</v>
      </c>
      <c r="M604" s="654">
        <f t="shared" ca="1" si="106"/>
        <v>1</v>
      </c>
      <c r="N604" s="226">
        <f t="shared" ca="1" si="100"/>
        <v>0</v>
      </c>
      <c r="O604" s="1"/>
    </row>
    <row r="605" spans="1:15" ht="16.5" customHeight="1">
      <c r="A605" s="1"/>
      <c r="B605" s="657" t="str">
        <f t="shared" ca="1" si="101"/>
        <v/>
      </c>
      <c r="C605" s="223" t="str">
        <f t="shared" ca="1" si="102"/>
        <v/>
      </c>
      <c r="D605" s="519">
        <f t="shared" si="107"/>
        <v>600</v>
      </c>
      <c r="E605" s="225" t="str">
        <f t="shared" ca="1" si="103"/>
        <v/>
      </c>
      <c r="F605" s="224" t="str">
        <f t="shared" si="109"/>
        <v>CASSA</v>
      </c>
      <c r="G605" s="384" t="str">
        <f t="shared" ca="1" si="104"/>
        <v/>
      </c>
      <c r="H605" s="512">
        <f t="shared" ca="1" si="105"/>
        <v>0</v>
      </c>
      <c r="I605" s="1603" t="str">
        <f t="shared" ca="1" si="99"/>
        <v/>
      </c>
      <c r="J605" s="1604"/>
      <c r="K605" s="373"/>
      <c r="L605" s="513">
        <f t="shared" ca="1" si="108"/>
        <v>656.58</v>
      </c>
      <c r="M605" s="654">
        <f t="shared" ca="1" si="106"/>
        <v>1</v>
      </c>
      <c r="N605" s="226">
        <f t="shared" ca="1" si="100"/>
        <v>0</v>
      </c>
      <c r="O605" s="1"/>
    </row>
    <row r="606" spans="1:15" ht="16.5" customHeight="1">
      <c r="A606" s="1"/>
      <c r="B606" s="657" t="str">
        <f t="shared" ca="1" si="101"/>
        <v/>
      </c>
      <c r="C606" s="223" t="str">
        <f t="shared" ca="1" si="102"/>
        <v/>
      </c>
      <c r="D606" s="519">
        <f t="shared" si="107"/>
        <v>601</v>
      </c>
      <c r="E606" s="225" t="str">
        <f t="shared" ca="1" si="103"/>
        <v/>
      </c>
      <c r="F606" s="224" t="str">
        <f t="shared" si="109"/>
        <v>CASSA</v>
      </c>
      <c r="G606" s="384" t="str">
        <f t="shared" ca="1" si="104"/>
        <v/>
      </c>
      <c r="H606" s="512">
        <f t="shared" ca="1" si="105"/>
        <v>0</v>
      </c>
      <c r="I606" s="1603" t="str">
        <f t="shared" ca="1" si="99"/>
        <v/>
      </c>
      <c r="J606" s="1604"/>
      <c r="K606" s="373"/>
      <c r="L606" s="513">
        <f t="shared" ca="1" si="108"/>
        <v>656.58</v>
      </c>
      <c r="M606" s="654">
        <f t="shared" ca="1" si="106"/>
        <v>1</v>
      </c>
      <c r="N606" s="226">
        <f t="shared" ca="1" si="100"/>
        <v>0</v>
      </c>
      <c r="O606" s="1"/>
    </row>
    <row r="607" spans="1:15" ht="16.5" customHeight="1">
      <c r="A607" s="1"/>
      <c r="B607" s="657" t="str">
        <f t="shared" ca="1" si="101"/>
        <v/>
      </c>
      <c r="C607" s="223" t="str">
        <f t="shared" ca="1" si="102"/>
        <v/>
      </c>
      <c r="D607" s="519">
        <f t="shared" si="107"/>
        <v>602</v>
      </c>
      <c r="E607" s="225" t="str">
        <f t="shared" ca="1" si="103"/>
        <v/>
      </c>
      <c r="F607" s="224" t="str">
        <f t="shared" si="109"/>
        <v>CASSA</v>
      </c>
      <c r="G607" s="384" t="str">
        <f t="shared" ca="1" si="104"/>
        <v/>
      </c>
      <c r="H607" s="512">
        <f t="shared" ca="1" si="105"/>
        <v>0</v>
      </c>
      <c r="I607" s="1603" t="str">
        <f t="shared" ca="1" si="99"/>
        <v/>
      </c>
      <c r="J607" s="1604"/>
      <c r="K607" s="373"/>
      <c r="L607" s="513">
        <f t="shared" ca="1" si="108"/>
        <v>656.58</v>
      </c>
      <c r="M607" s="654">
        <f t="shared" ca="1" si="106"/>
        <v>1</v>
      </c>
      <c r="N607" s="226">
        <f t="shared" ca="1" si="100"/>
        <v>0</v>
      </c>
      <c r="O607" s="1"/>
    </row>
    <row r="608" spans="1:15" ht="16.5" customHeight="1">
      <c r="A608" s="1"/>
      <c r="B608" s="657" t="str">
        <f t="shared" ca="1" si="101"/>
        <v/>
      </c>
      <c r="C608" s="223" t="str">
        <f t="shared" ca="1" si="102"/>
        <v/>
      </c>
      <c r="D608" s="519">
        <f t="shared" si="107"/>
        <v>603</v>
      </c>
      <c r="E608" s="225" t="str">
        <f t="shared" ca="1" si="103"/>
        <v/>
      </c>
      <c r="F608" s="224" t="str">
        <f t="shared" si="109"/>
        <v>CASSA</v>
      </c>
      <c r="G608" s="384" t="str">
        <f t="shared" ca="1" si="104"/>
        <v/>
      </c>
      <c r="H608" s="512">
        <f t="shared" ca="1" si="105"/>
        <v>0</v>
      </c>
      <c r="I608" s="1603" t="str">
        <f t="shared" ca="1" si="99"/>
        <v/>
      </c>
      <c r="J608" s="1604"/>
      <c r="K608" s="373"/>
      <c r="L608" s="513">
        <f t="shared" ca="1" si="108"/>
        <v>656.58</v>
      </c>
      <c r="M608" s="654">
        <f t="shared" ca="1" si="106"/>
        <v>1</v>
      </c>
      <c r="N608" s="226">
        <f t="shared" ca="1" si="100"/>
        <v>0</v>
      </c>
      <c r="O608" s="1"/>
    </row>
    <row r="609" spans="1:15" ht="16.5" customHeight="1">
      <c r="A609" s="1"/>
      <c r="B609" s="657" t="str">
        <f t="shared" ca="1" si="101"/>
        <v/>
      </c>
      <c r="C609" s="223" t="str">
        <f t="shared" ca="1" si="102"/>
        <v/>
      </c>
      <c r="D609" s="519">
        <f t="shared" si="107"/>
        <v>604</v>
      </c>
      <c r="E609" s="225" t="str">
        <f t="shared" ca="1" si="103"/>
        <v/>
      </c>
      <c r="F609" s="224" t="str">
        <f t="shared" si="109"/>
        <v>CASSA</v>
      </c>
      <c r="G609" s="384" t="str">
        <f t="shared" ca="1" si="104"/>
        <v/>
      </c>
      <c r="H609" s="512">
        <f t="shared" ca="1" si="105"/>
        <v>0</v>
      </c>
      <c r="I609" s="1603" t="str">
        <f t="shared" ca="1" si="99"/>
        <v/>
      </c>
      <c r="J609" s="1604"/>
      <c r="K609" s="373"/>
      <c r="L609" s="513">
        <f t="shared" ca="1" si="108"/>
        <v>656.58</v>
      </c>
      <c r="M609" s="654">
        <f t="shared" ca="1" si="106"/>
        <v>1</v>
      </c>
      <c r="N609" s="226">
        <f t="shared" ca="1" si="100"/>
        <v>0</v>
      </c>
      <c r="O609" s="1"/>
    </row>
    <row r="610" spans="1:15" ht="16.5" customHeight="1">
      <c r="A610" s="1"/>
      <c r="B610" s="657" t="str">
        <f t="shared" ca="1" si="101"/>
        <v/>
      </c>
      <c r="C610" s="223" t="str">
        <f t="shared" ca="1" si="102"/>
        <v/>
      </c>
      <c r="D610" s="519">
        <f t="shared" si="107"/>
        <v>605</v>
      </c>
      <c r="E610" s="225" t="str">
        <f t="shared" ca="1" si="103"/>
        <v/>
      </c>
      <c r="F610" s="224" t="str">
        <f t="shared" si="109"/>
        <v>CASSA</v>
      </c>
      <c r="G610" s="384" t="str">
        <f t="shared" ca="1" si="104"/>
        <v/>
      </c>
      <c r="H610" s="512">
        <f t="shared" ca="1" si="105"/>
        <v>0</v>
      </c>
      <c r="I610" s="1603" t="str">
        <f t="shared" ca="1" si="99"/>
        <v/>
      </c>
      <c r="J610" s="1604"/>
      <c r="K610" s="373"/>
      <c r="L610" s="513">
        <f t="shared" ca="1" si="108"/>
        <v>656.58</v>
      </c>
      <c r="M610" s="654">
        <f t="shared" ca="1" si="106"/>
        <v>1</v>
      </c>
      <c r="N610" s="226">
        <f t="shared" ca="1" si="100"/>
        <v>0</v>
      </c>
      <c r="O610" s="1"/>
    </row>
    <row r="611" spans="1:15" ht="16.5" customHeight="1">
      <c r="A611" s="1"/>
      <c r="B611" s="657" t="str">
        <f t="shared" ca="1" si="101"/>
        <v/>
      </c>
      <c r="C611" s="223" t="str">
        <f t="shared" ca="1" si="102"/>
        <v/>
      </c>
      <c r="D611" s="519">
        <f t="shared" si="107"/>
        <v>606</v>
      </c>
      <c r="E611" s="225" t="str">
        <f t="shared" ca="1" si="103"/>
        <v/>
      </c>
      <c r="F611" s="224" t="str">
        <f t="shared" si="109"/>
        <v>CASSA</v>
      </c>
      <c r="G611" s="384" t="str">
        <f t="shared" ca="1" si="104"/>
        <v/>
      </c>
      <c r="H611" s="512">
        <f t="shared" ca="1" si="105"/>
        <v>0</v>
      </c>
      <c r="I611" s="1603" t="str">
        <f t="shared" ca="1" si="99"/>
        <v/>
      </c>
      <c r="J611" s="1604"/>
      <c r="K611" s="373"/>
      <c r="L611" s="513">
        <f t="shared" ca="1" si="108"/>
        <v>656.58</v>
      </c>
      <c r="M611" s="654">
        <f t="shared" ca="1" si="106"/>
        <v>1</v>
      </c>
      <c r="N611" s="226">
        <f t="shared" ca="1" si="100"/>
        <v>0</v>
      </c>
      <c r="O611" s="1"/>
    </row>
    <row r="612" spans="1:15" ht="16.5" customHeight="1">
      <c r="A612" s="1"/>
      <c r="B612" s="657" t="str">
        <f t="shared" ca="1" si="101"/>
        <v/>
      </c>
      <c r="C612" s="223" t="str">
        <f t="shared" ca="1" si="102"/>
        <v/>
      </c>
      <c r="D612" s="519">
        <f t="shared" si="107"/>
        <v>607</v>
      </c>
      <c r="E612" s="225" t="str">
        <f t="shared" ca="1" si="103"/>
        <v/>
      </c>
      <c r="F612" s="224" t="str">
        <f t="shared" si="109"/>
        <v>CASSA</v>
      </c>
      <c r="G612" s="384" t="str">
        <f t="shared" ca="1" si="104"/>
        <v/>
      </c>
      <c r="H612" s="512">
        <f t="shared" ca="1" si="105"/>
        <v>0</v>
      </c>
      <c r="I612" s="1603" t="str">
        <f t="shared" ca="1" si="99"/>
        <v/>
      </c>
      <c r="J612" s="1604"/>
      <c r="K612" s="373"/>
      <c r="L612" s="513">
        <f t="shared" ca="1" si="108"/>
        <v>656.58</v>
      </c>
      <c r="M612" s="654">
        <f t="shared" ca="1" si="106"/>
        <v>1</v>
      </c>
      <c r="N612" s="226">
        <f t="shared" ca="1" si="100"/>
        <v>0</v>
      </c>
      <c r="O612" s="1"/>
    </row>
    <row r="613" spans="1:15" ht="16.5" customHeight="1">
      <c r="A613" s="1"/>
      <c r="B613" s="657" t="str">
        <f t="shared" ca="1" si="101"/>
        <v/>
      </c>
      <c r="C613" s="223" t="str">
        <f t="shared" ca="1" si="102"/>
        <v/>
      </c>
      <c r="D613" s="519">
        <f t="shared" si="107"/>
        <v>608</v>
      </c>
      <c r="E613" s="225" t="str">
        <f t="shared" ca="1" si="103"/>
        <v/>
      </c>
      <c r="F613" s="224" t="str">
        <f t="shared" si="109"/>
        <v>CASSA</v>
      </c>
      <c r="G613" s="384" t="str">
        <f t="shared" ca="1" si="104"/>
        <v/>
      </c>
      <c r="H613" s="512">
        <f t="shared" ca="1" si="105"/>
        <v>0</v>
      </c>
      <c r="I613" s="1603" t="str">
        <f t="shared" ca="1" si="99"/>
        <v/>
      </c>
      <c r="J613" s="1604"/>
      <c r="K613" s="373"/>
      <c r="L613" s="513">
        <f t="shared" ca="1" si="108"/>
        <v>656.58</v>
      </c>
      <c r="M613" s="654">
        <f t="shared" ca="1" si="106"/>
        <v>1</v>
      </c>
      <c r="N613" s="226">
        <f t="shared" ca="1" si="100"/>
        <v>0</v>
      </c>
      <c r="O613" s="1"/>
    </row>
    <row r="614" spans="1:15" ht="16.5" customHeight="1">
      <c r="A614" s="1"/>
      <c r="B614" s="657" t="str">
        <f t="shared" ca="1" si="101"/>
        <v/>
      </c>
      <c r="C614" s="223" t="str">
        <f t="shared" ca="1" si="102"/>
        <v/>
      </c>
      <c r="D614" s="519">
        <f t="shared" si="107"/>
        <v>609</v>
      </c>
      <c r="E614" s="225" t="str">
        <f t="shared" ca="1" si="103"/>
        <v/>
      </c>
      <c r="F614" s="224" t="str">
        <f t="shared" si="109"/>
        <v>CASSA</v>
      </c>
      <c r="G614" s="384" t="str">
        <f t="shared" ca="1" si="104"/>
        <v/>
      </c>
      <c r="H614" s="512">
        <f t="shared" ca="1" si="105"/>
        <v>0</v>
      </c>
      <c r="I614" s="1603" t="str">
        <f t="shared" ca="1" si="99"/>
        <v/>
      </c>
      <c r="J614" s="1604"/>
      <c r="K614" s="373"/>
      <c r="L614" s="513">
        <f t="shared" ca="1" si="108"/>
        <v>656.58</v>
      </c>
      <c r="M614" s="654">
        <f t="shared" ca="1" si="106"/>
        <v>1</v>
      </c>
      <c r="N614" s="226">
        <f t="shared" ca="1" si="100"/>
        <v>0</v>
      </c>
      <c r="O614" s="1"/>
    </row>
    <row r="615" spans="1:15" ht="16.5" customHeight="1">
      <c r="A615" s="1"/>
      <c r="B615" s="657" t="str">
        <f t="shared" ca="1" si="101"/>
        <v/>
      </c>
      <c r="C615" s="223" t="str">
        <f t="shared" ca="1" si="102"/>
        <v/>
      </c>
      <c r="D615" s="519">
        <f t="shared" si="107"/>
        <v>610</v>
      </c>
      <c r="E615" s="225" t="str">
        <f t="shared" ca="1" si="103"/>
        <v/>
      </c>
      <c r="F615" s="224" t="str">
        <f t="shared" si="109"/>
        <v>CASSA</v>
      </c>
      <c r="G615" s="384" t="str">
        <f t="shared" ca="1" si="104"/>
        <v/>
      </c>
      <c r="H615" s="512">
        <f t="shared" ca="1" si="105"/>
        <v>0</v>
      </c>
      <c r="I615" s="1603" t="str">
        <f t="shared" ca="1" si="99"/>
        <v/>
      </c>
      <c r="J615" s="1604"/>
      <c r="K615" s="373"/>
      <c r="L615" s="513">
        <f t="shared" ca="1" si="108"/>
        <v>656.58</v>
      </c>
      <c r="M615" s="654">
        <f t="shared" ca="1" si="106"/>
        <v>1</v>
      </c>
      <c r="N615" s="226">
        <f t="shared" ca="1" si="100"/>
        <v>0</v>
      </c>
      <c r="O615" s="1"/>
    </row>
    <row r="616" spans="1:15" ht="16.5" customHeight="1">
      <c r="A616" s="1"/>
      <c r="B616" s="657" t="str">
        <f t="shared" ca="1" si="101"/>
        <v/>
      </c>
      <c r="C616" s="223" t="str">
        <f t="shared" ca="1" si="102"/>
        <v/>
      </c>
      <c r="D616" s="519">
        <f t="shared" si="107"/>
        <v>611</v>
      </c>
      <c r="E616" s="225" t="str">
        <f t="shared" ca="1" si="103"/>
        <v/>
      </c>
      <c r="F616" s="224" t="str">
        <f t="shared" si="109"/>
        <v>CASSA</v>
      </c>
      <c r="G616" s="384" t="str">
        <f t="shared" ca="1" si="104"/>
        <v/>
      </c>
      <c r="H616" s="512">
        <f t="shared" ca="1" si="105"/>
        <v>0</v>
      </c>
      <c r="I616" s="1603" t="str">
        <f t="shared" ca="1" si="99"/>
        <v/>
      </c>
      <c r="J616" s="1604"/>
      <c r="K616" s="373"/>
      <c r="L616" s="513">
        <f t="shared" ca="1" si="108"/>
        <v>656.58</v>
      </c>
      <c r="M616" s="654">
        <f t="shared" ca="1" si="106"/>
        <v>1</v>
      </c>
      <c r="N616" s="226">
        <f t="shared" ca="1" si="100"/>
        <v>0</v>
      </c>
      <c r="O616" s="1"/>
    </row>
    <row r="617" spans="1:15" ht="16.5" customHeight="1">
      <c r="A617" s="1"/>
      <c r="B617" s="657" t="str">
        <f t="shared" ca="1" si="101"/>
        <v/>
      </c>
      <c r="C617" s="223" t="str">
        <f t="shared" ca="1" si="102"/>
        <v/>
      </c>
      <c r="D617" s="519">
        <f t="shared" si="107"/>
        <v>612</v>
      </c>
      <c r="E617" s="225" t="str">
        <f t="shared" ca="1" si="103"/>
        <v/>
      </c>
      <c r="F617" s="224" t="str">
        <f t="shared" si="109"/>
        <v>CASSA</v>
      </c>
      <c r="G617" s="384" t="str">
        <f t="shared" ca="1" si="104"/>
        <v/>
      </c>
      <c r="H617" s="512">
        <f t="shared" ca="1" si="105"/>
        <v>0</v>
      </c>
      <c r="I617" s="1603" t="str">
        <f t="shared" ca="1" si="99"/>
        <v/>
      </c>
      <c r="J617" s="1604"/>
      <c r="K617" s="373"/>
      <c r="L617" s="513">
        <f t="shared" ca="1" si="108"/>
        <v>656.58</v>
      </c>
      <c r="M617" s="654">
        <f t="shared" ca="1" si="106"/>
        <v>1</v>
      </c>
      <c r="N617" s="226">
        <f t="shared" ca="1" si="100"/>
        <v>0</v>
      </c>
      <c r="O617" s="1"/>
    </row>
    <row r="618" spans="1:15" ht="16.5" customHeight="1">
      <c r="A618" s="1"/>
      <c r="B618" s="657" t="str">
        <f t="shared" ca="1" si="101"/>
        <v/>
      </c>
      <c r="C618" s="223" t="str">
        <f t="shared" ca="1" si="102"/>
        <v/>
      </c>
      <c r="D618" s="519">
        <f t="shared" si="107"/>
        <v>613</v>
      </c>
      <c r="E618" s="225" t="str">
        <f t="shared" ca="1" si="103"/>
        <v/>
      </c>
      <c r="F618" s="224" t="str">
        <f t="shared" si="109"/>
        <v>CASSA</v>
      </c>
      <c r="G618" s="384" t="str">
        <f t="shared" ca="1" si="104"/>
        <v/>
      </c>
      <c r="H618" s="512">
        <f t="shared" ca="1" si="105"/>
        <v>0</v>
      </c>
      <c r="I618" s="1603" t="str">
        <f t="shared" ca="1" si="99"/>
        <v/>
      </c>
      <c r="J618" s="1604"/>
      <c r="K618" s="373"/>
      <c r="L618" s="513">
        <f t="shared" ca="1" si="108"/>
        <v>656.58</v>
      </c>
      <c r="M618" s="654">
        <f t="shared" ca="1" si="106"/>
        <v>1</v>
      </c>
      <c r="N618" s="226">
        <f t="shared" ca="1" si="100"/>
        <v>0</v>
      </c>
      <c r="O618" s="1"/>
    </row>
    <row r="619" spans="1:15" ht="16.5" customHeight="1">
      <c r="A619" s="1"/>
      <c r="B619" s="657" t="str">
        <f t="shared" ca="1" si="101"/>
        <v/>
      </c>
      <c r="C619" s="223" t="str">
        <f t="shared" ca="1" si="102"/>
        <v/>
      </c>
      <c r="D619" s="519">
        <f t="shared" si="107"/>
        <v>614</v>
      </c>
      <c r="E619" s="225" t="str">
        <f t="shared" ca="1" si="103"/>
        <v/>
      </c>
      <c r="F619" s="224" t="str">
        <f t="shared" si="109"/>
        <v>CASSA</v>
      </c>
      <c r="G619" s="384" t="str">
        <f t="shared" ca="1" si="104"/>
        <v/>
      </c>
      <c r="H619" s="512">
        <f t="shared" ca="1" si="105"/>
        <v>0</v>
      </c>
      <c r="I619" s="1603" t="str">
        <f t="shared" ca="1" si="99"/>
        <v/>
      </c>
      <c r="J619" s="1604"/>
      <c r="K619" s="373"/>
      <c r="L619" s="513">
        <f t="shared" ca="1" si="108"/>
        <v>656.58</v>
      </c>
      <c r="M619" s="654">
        <f t="shared" ca="1" si="106"/>
        <v>1</v>
      </c>
      <c r="N619" s="226">
        <f t="shared" ca="1" si="100"/>
        <v>0</v>
      </c>
      <c r="O619" s="1"/>
    </row>
    <row r="620" spans="1:15" ht="16.5" customHeight="1">
      <c r="A620" s="1"/>
      <c r="B620" s="657" t="str">
        <f t="shared" ca="1" si="101"/>
        <v/>
      </c>
      <c r="C620" s="223" t="str">
        <f t="shared" ca="1" si="102"/>
        <v/>
      </c>
      <c r="D620" s="519">
        <f t="shared" si="107"/>
        <v>615</v>
      </c>
      <c r="E620" s="225" t="str">
        <f t="shared" ca="1" si="103"/>
        <v/>
      </c>
      <c r="F620" s="224" t="str">
        <f t="shared" si="109"/>
        <v>CASSA</v>
      </c>
      <c r="G620" s="384" t="str">
        <f t="shared" ca="1" si="104"/>
        <v/>
      </c>
      <c r="H620" s="512">
        <f t="shared" ca="1" si="105"/>
        <v>0</v>
      </c>
      <c r="I620" s="1603" t="str">
        <f t="shared" ca="1" si="99"/>
        <v/>
      </c>
      <c r="J620" s="1604"/>
      <c r="K620" s="373"/>
      <c r="L620" s="513">
        <f t="shared" ca="1" si="108"/>
        <v>656.58</v>
      </c>
      <c r="M620" s="654">
        <f t="shared" ca="1" si="106"/>
        <v>1</v>
      </c>
      <c r="N620" s="226">
        <f t="shared" ca="1" si="100"/>
        <v>0</v>
      </c>
      <c r="O620" s="1"/>
    </row>
    <row r="621" spans="1:15" ht="16.5" customHeight="1">
      <c r="A621" s="1"/>
      <c r="B621" s="657" t="str">
        <f t="shared" ca="1" si="101"/>
        <v/>
      </c>
      <c r="C621" s="223" t="str">
        <f t="shared" ca="1" si="102"/>
        <v/>
      </c>
      <c r="D621" s="519">
        <f t="shared" si="107"/>
        <v>616</v>
      </c>
      <c r="E621" s="225" t="str">
        <f t="shared" ca="1" si="103"/>
        <v/>
      </c>
      <c r="F621" s="224" t="str">
        <f t="shared" si="109"/>
        <v>CASSA</v>
      </c>
      <c r="G621" s="384" t="str">
        <f t="shared" ca="1" si="104"/>
        <v/>
      </c>
      <c r="H621" s="512">
        <f t="shared" ca="1" si="105"/>
        <v>0</v>
      </c>
      <c r="I621" s="1603" t="str">
        <f t="shared" ca="1" si="99"/>
        <v/>
      </c>
      <c r="J621" s="1604"/>
      <c r="K621" s="373"/>
      <c r="L621" s="513">
        <f t="shared" ca="1" si="108"/>
        <v>656.58</v>
      </c>
      <c r="M621" s="654">
        <f t="shared" ca="1" si="106"/>
        <v>1</v>
      </c>
      <c r="N621" s="226">
        <f t="shared" ca="1" si="100"/>
        <v>0</v>
      </c>
      <c r="O621" s="1"/>
    </row>
    <row r="622" spans="1:15" ht="16.5" customHeight="1">
      <c r="A622" s="1"/>
      <c r="B622" s="657" t="str">
        <f t="shared" ca="1" si="101"/>
        <v/>
      </c>
      <c r="C622" s="223" t="str">
        <f t="shared" ca="1" si="102"/>
        <v/>
      </c>
      <c r="D622" s="519">
        <f t="shared" si="107"/>
        <v>617</v>
      </c>
      <c r="E622" s="225" t="str">
        <f t="shared" ca="1" si="103"/>
        <v/>
      </c>
      <c r="F622" s="224" t="str">
        <f t="shared" si="109"/>
        <v>CASSA</v>
      </c>
      <c r="G622" s="384" t="str">
        <f t="shared" ca="1" si="104"/>
        <v/>
      </c>
      <c r="H622" s="512">
        <f t="shared" ca="1" si="105"/>
        <v>0</v>
      </c>
      <c r="I622" s="1603" t="str">
        <f t="shared" ca="1" si="99"/>
        <v/>
      </c>
      <c r="J622" s="1604"/>
      <c r="K622" s="373"/>
      <c r="L622" s="513">
        <f t="shared" ca="1" si="108"/>
        <v>656.58</v>
      </c>
      <c r="M622" s="654">
        <f t="shared" ca="1" si="106"/>
        <v>1</v>
      </c>
      <c r="N622" s="226">
        <f t="shared" ca="1" si="100"/>
        <v>0</v>
      </c>
      <c r="O622" s="1"/>
    </row>
    <row r="623" spans="1:15" ht="16.5" customHeight="1">
      <c r="A623" s="1"/>
      <c r="B623" s="657" t="str">
        <f t="shared" ca="1" si="101"/>
        <v/>
      </c>
      <c r="C623" s="223" t="str">
        <f t="shared" ca="1" si="102"/>
        <v/>
      </c>
      <c r="D623" s="519">
        <f t="shared" si="107"/>
        <v>618</v>
      </c>
      <c r="E623" s="225" t="str">
        <f t="shared" ca="1" si="103"/>
        <v/>
      </c>
      <c r="F623" s="224" t="str">
        <f t="shared" si="109"/>
        <v>CASSA</v>
      </c>
      <c r="G623" s="384" t="str">
        <f t="shared" ca="1" si="104"/>
        <v/>
      </c>
      <c r="H623" s="512">
        <f t="shared" ca="1" si="105"/>
        <v>0</v>
      </c>
      <c r="I623" s="1603" t="str">
        <f t="shared" ca="1" si="99"/>
        <v/>
      </c>
      <c r="J623" s="1604"/>
      <c r="K623" s="373"/>
      <c r="L623" s="513">
        <f t="shared" ca="1" si="108"/>
        <v>656.58</v>
      </c>
      <c r="M623" s="654">
        <f t="shared" ca="1" si="106"/>
        <v>1</v>
      </c>
      <c r="N623" s="226">
        <f t="shared" ca="1" si="100"/>
        <v>0</v>
      </c>
      <c r="O623" s="1"/>
    </row>
    <row r="624" spans="1:15" ht="16.5" customHeight="1">
      <c r="A624" s="1"/>
      <c r="B624" s="657" t="str">
        <f t="shared" ca="1" si="101"/>
        <v/>
      </c>
      <c r="C624" s="223" t="str">
        <f t="shared" ca="1" si="102"/>
        <v/>
      </c>
      <c r="D624" s="519">
        <f t="shared" si="107"/>
        <v>619</v>
      </c>
      <c r="E624" s="225" t="str">
        <f t="shared" ca="1" si="103"/>
        <v/>
      </c>
      <c r="F624" s="224" t="str">
        <f t="shared" si="109"/>
        <v>CASSA</v>
      </c>
      <c r="G624" s="384" t="str">
        <f t="shared" ca="1" si="104"/>
        <v/>
      </c>
      <c r="H624" s="512">
        <f t="shared" ca="1" si="105"/>
        <v>0</v>
      </c>
      <c r="I624" s="1603" t="str">
        <f t="shared" ca="1" si="99"/>
        <v/>
      </c>
      <c r="J624" s="1604"/>
      <c r="K624" s="373"/>
      <c r="L624" s="513">
        <f t="shared" ca="1" si="108"/>
        <v>656.58</v>
      </c>
      <c r="M624" s="654">
        <f t="shared" ca="1" si="106"/>
        <v>1</v>
      </c>
      <c r="N624" s="226">
        <f t="shared" ca="1" si="100"/>
        <v>0</v>
      </c>
      <c r="O624" s="1"/>
    </row>
    <row r="625" spans="1:15" ht="16.5" customHeight="1">
      <c r="A625" s="1"/>
      <c r="B625" s="657" t="str">
        <f t="shared" ca="1" si="101"/>
        <v/>
      </c>
      <c r="C625" s="223" t="str">
        <f t="shared" ca="1" si="102"/>
        <v/>
      </c>
      <c r="D625" s="519">
        <f t="shared" si="107"/>
        <v>620</v>
      </c>
      <c r="E625" s="225" t="str">
        <f t="shared" ca="1" si="103"/>
        <v/>
      </c>
      <c r="F625" s="224" t="str">
        <f t="shared" si="109"/>
        <v>CASSA</v>
      </c>
      <c r="G625" s="384" t="str">
        <f t="shared" ca="1" si="104"/>
        <v/>
      </c>
      <c r="H625" s="512">
        <f t="shared" ca="1" si="105"/>
        <v>0</v>
      </c>
      <c r="I625" s="1603" t="str">
        <f t="shared" ca="1" si="99"/>
        <v/>
      </c>
      <c r="J625" s="1604"/>
      <c r="K625" s="373"/>
      <c r="L625" s="513">
        <f t="shared" ca="1" si="108"/>
        <v>656.58</v>
      </c>
      <c r="M625" s="654">
        <f t="shared" ca="1" si="106"/>
        <v>1</v>
      </c>
      <c r="N625" s="226">
        <f t="shared" ca="1" si="100"/>
        <v>0</v>
      </c>
      <c r="O625" s="1"/>
    </row>
    <row r="626" spans="1:15" ht="16.5" customHeight="1">
      <c r="A626" s="1"/>
      <c r="B626" s="657" t="str">
        <f t="shared" ca="1" si="101"/>
        <v/>
      </c>
      <c r="C626" s="223" t="str">
        <f t="shared" ca="1" si="102"/>
        <v/>
      </c>
      <c r="D626" s="519">
        <f t="shared" si="107"/>
        <v>621</v>
      </c>
      <c r="E626" s="225" t="str">
        <f t="shared" ca="1" si="103"/>
        <v/>
      </c>
      <c r="F626" s="224" t="str">
        <f t="shared" si="109"/>
        <v>CASSA</v>
      </c>
      <c r="G626" s="384" t="str">
        <f t="shared" ca="1" si="104"/>
        <v/>
      </c>
      <c r="H626" s="512">
        <f t="shared" ca="1" si="105"/>
        <v>0</v>
      </c>
      <c r="I626" s="1603" t="str">
        <f t="shared" ca="1" si="99"/>
        <v/>
      </c>
      <c r="J626" s="1604"/>
      <c r="K626" s="373"/>
      <c r="L626" s="513">
        <f t="shared" ca="1" si="108"/>
        <v>656.58</v>
      </c>
      <c r="M626" s="654">
        <f t="shared" ca="1" si="106"/>
        <v>1</v>
      </c>
      <c r="N626" s="226">
        <f t="shared" ca="1" si="100"/>
        <v>0</v>
      </c>
      <c r="O626" s="1"/>
    </row>
    <row r="627" spans="1:15" ht="16.5" customHeight="1">
      <c r="A627" s="1"/>
      <c r="B627" s="657" t="str">
        <f t="shared" ca="1" si="101"/>
        <v/>
      </c>
      <c r="C627" s="223" t="str">
        <f t="shared" ca="1" si="102"/>
        <v/>
      </c>
      <c r="D627" s="519">
        <f t="shared" si="107"/>
        <v>622</v>
      </c>
      <c r="E627" s="225" t="str">
        <f t="shared" ca="1" si="103"/>
        <v/>
      </c>
      <c r="F627" s="224" t="str">
        <f t="shared" si="109"/>
        <v>CASSA</v>
      </c>
      <c r="G627" s="384" t="str">
        <f t="shared" ca="1" si="104"/>
        <v/>
      </c>
      <c r="H627" s="512">
        <f t="shared" ca="1" si="105"/>
        <v>0</v>
      </c>
      <c r="I627" s="1603" t="str">
        <f t="shared" ca="1" si="99"/>
        <v/>
      </c>
      <c r="J627" s="1604"/>
      <c r="K627" s="373"/>
      <c r="L627" s="513">
        <f t="shared" ca="1" si="108"/>
        <v>656.58</v>
      </c>
      <c r="M627" s="654">
        <f t="shared" ca="1" si="106"/>
        <v>1</v>
      </c>
      <c r="N627" s="226">
        <f t="shared" ca="1" si="100"/>
        <v>0</v>
      </c>
      <c r="O627" s="1"/>
    </row>
    <row r="628" spans="1:15" ht="16.5" customHeight="1">
      <c r="A628" s="1"/>
      <c r="B628" s="657" t="str">
        <f t="shared" ca="1" si="101"/>
        <v/>
      </c>
      <c r="C628" s="223" t="str">
        <f t="shared" ca="1" si="102"/>
        <v/>
      </c>
      <c r="D628" s="519">
        <f t="shared" si="107"/>
        <v>623</v>
      </c>
      <c r="E628" s="225" t="str">
        <f t="shared" ca="1" si="103"/>
        <v/>
      </c>
      <c r="F628" s="224" t="str">
        <f t="shared" si="109"/>
        <v>CASSA</v>
      </c>
      <c r="G628" s="384" t="str">
        <f t="shared" ca="1" si="104"/>
        <v/>
      </c>
      <c r="H628" s="512">
        <f t="shared" ca="1" si="105"/>
        <v>0</v>
      </c>
      <c r="I628" s="1603" t="str">
        <f t="shared" ca="1" si="99"/>
        <v/>
      </c>
      <c r="J628" s="1604"/>
      <c r="K628" s="373"/>
      <c r="L628" s="513">
        <f t="shared" ca="1" si="108"/>
        <v>656.58</v>
      </c>
      <c r="M628" s="654">
        <f t="shared" ca="1" si="106"/>
        <v>1</v>
      </c>
      <c r="N628" s="226">
        <f t="shared" ca="1" si="100"/>
        <v>0</v>
      </c>
      <c r="O628" s="1"/>
    </row>
    <row r="629" spans="1:15" ht="16.5" customHeight="1">
      <c r="A629" s="1"/>
      <c r="B629" s="657" t="str">
        <f t="shared" ca="1" si="101"/>
        <v/>
      </c>
      <c r="C629" s="223" t="str">
        <f t="shared" ca="1" si="102"/>
        <v/>
      </c>
      <c r="D629" s="519">
        <f t="shared" si="107"/>
        <v>624</v>
      </c>
      <c r="E629" s="225" t="str">
        <f t="shared" ca="1" si="103"/>
        <v/>
      </c>
      <c r="F629" s="224" t="str">
        <f t="shared" si="109"/>
        <v>CASSA</v>
      </c>
      <c r="G629" s="384" t="str">
        <f t="shared" ca="1" si="104"/>
        <v/>
      </c>
      <c r="H629" s="512">
        <f t="shared" ca="1" si="105"/>
        <v>0</v>
      </c>
      <c r="I629" s="1603" t="str">
        <f t="shared" ca="1" si="99"/>
        <v/>
      </c>
      <c r="J629" s="1604"/>
      <c r="K629" s="373"/>
      <c r="L629" s="513">
        <f t="shared" ca="1" si="108"/>
        <v>656.58</v>
      </c>
      <c r="M629" s="654">
        <f t="shared" ca="1" si="106"/>
        <v>1</v>
      </c>
      <c r="N629" s="226">
        <f t="shared" ca="1" si="100"/>
        <v>0</v>
      </c>
      <c r="O629" s="1"/>
    </row>
    <row r="630" spans="1:15" ht="16.5" customHeight="1">
      <c r="A630" s="1"/>
      <c r="B630" s="657" t="str">
        <f t="shared" ca="1" si="101"/>
        <v/>
      </c>
      <c r="C630" s="223" t="str">
        <f t="shared" ca="1" si="102"/>
        <v/>
      </c>
      <c r="D630" s="519">
        <f t="shared" si="107"/>
        <v>625</v>
      </c>
      <c r="E630" s="225" t="str">
        <f t="shared" ca="1" si="103"/>
        <v/>
      </c>
      <c r="F630" s="224" t="str">
        <f t="shared" si="109"/>
        <v>CASSA</v>
      </c>
      <c r="G630" s="384" t="str">
        <f t="shared" ca="1" si="104"/>
        <v/>
      </c>
      <c r="H630" s="512">
        <f t="shared" ca="1" si="105"/>
        <v>0</v>
      </c>
      <c r="I630" s="1603" t="str">
        <f t="shared" ca="1" si="99"/>
        <v/>
      </c>
      <c r="J630" s="1604"/>
      <c r="K630" s="373"/>
      <c r="L630" s="513">
        <f t="shared" ca="1" si="108"/>
        <v>656.58</v>
      </c>
      <c r="M630" s="654">
        <f t="shared" ca="1" si="106"/>
        <v>1</v>
      </c>
      <c r="N630" s="226">
        <f t="shared" ca="1" si="100"/>
        <v>0</v>
      </c>
      <c r="O630" s="1"/>
    </row>
    <row r="631" spans="1:15" ht="16.5" customHeight="1">
      <c r="A631" s="1"/>
      <c r="B631" s="657" t="str">
        <f t="shared" ca="1" si="101"/>
        <v/>
      </c>
      <c r="C631" s="223" t="str">
        <f t="shared" ca="1" si="102"/>
        <v/>
      </c>
      <c r="D631" s="519">
        <f t="shared" si="107"/>
        <v>626</v>
      </c>
      <c r="E631" s="225" t="str">
        <f t="shared" ca="1" si="103"/>
        <v/>
      </c>
      <c r="F631" s="224" t="str">
        <f t="shared" si="109"/>
        <v>CASSA</v>
      </c>
      <c r="G631" s="384" t="str">
        <f t="shared" ca="1" si="104"/>
        <v/>
      </c>
      <c r="H631" s="512">
        <f t="shared" ca="1" si="105"/>
        <v>0</v>
      </c>
      <c r="I631" s="1603" t="str">
        <f t="shared" ca="1" si="99"/>
        <v/>
      </c>
      <c r="J631" s="1604"/>
      <c r="K631" s="373"/>
      <c r="L631" s="513">
        <f t="shared" ca="1" si="108"/>
        <v>656.58</v>
      </c>
      <c r="M631" s="654">
        <f t="shared" ca="1" si="106"/>
        <v>1</v>
      </c>
      <c r="N631" s="226">
        <f t="shared" ca="1" si="100"/>
        <v>0</v>
      </c>
      <c r="O631" s="1"/>
    </row>
    <row r="632" spans="1:15" ht="16.5" customHeight="1">
      <c r="A632" s="1"/>
      <c r="B632" s="657" t="str">
        <f t="shared" ca="1" si="101"/>
        <v/>
      </c>
      <c r="C632" s="223" t="str">
        <f t="shared" ca="1" si="102"/>
        <v/>
      </c>
      <c r="D632" s="519">
        <f t="shared" si="107"/>
        <v>627</v>
      </c>
      <c r="E632" s="225" t="str">
        <f t="shared" ca="1" si="103"/>
        <v/>
      </c>
      <c r="F632" s="224" t="str">
        <f t="shared" si="109"/>
        <v>CASSA</v>
      </c>
      <c r="G632" s="384" t="str">
        <f t="shared" ca="1" si="104"/>
        <v/>
      </c>
      <c r="H632" s="512">
        <f t="shared" ca="1" si="105"/>
        <v>0</v>
      </c>
      <c r="I632" s="1603" t="str">
        <f t="shared" ca="1" si="99"/>
        <v/>
      </c>
      <c r="J632" s="1604"/>
      <c r="K632" s="373"/>
      <c r="L632" s="513">
        <f t="shared" ca="1" si="108"/>
        <v>656.58</v>
      </c>
      <c r="M632" s="654">
        <f t="shared" ca="1" si="106"/>
        <v>1</v>
      </c>
      <c r="N632" s="226">
        <f t="shared" ca="1" si="100"/>
        <v>0</v>
      </c>
      <c r="O632" s="1"/>
    </row>
    <row r="633" spans="1:15" ht="16.5" customHeight="1">
      <c r="A633" s="1"/>
      <c r="B633" s="657" t="str">
        <f t="shared" ca="1" si="101"/>
        <v/>
      </c>
      <c r="C633" s="223" t="str">
        <f t="shared" ca="1" si="102"/>
        <v/>
      </c>
      <c r="D633" s="519">
        <f t="shared" si="107"/>
        <v>628</v>
      </c>
      <c r="E633" s="225" t="str">
        <f t="shared" ca="1" si="103"/>
        <v/>
      </c>
      <c r="F633" s="224" t="str">
        <f t="shared" si="109"/>
        <v>CASSA</v>
      </c>
      <c r="G633" s="384" t="str">
        <f t="shared" ca="1" si="104"/>
        <v/>
      </c>
      <c r="H633" s="512">
        <f t="shared" ca="1" si="105"/>
        <v>0</v>
      </c>
      <c r="I633" s="1603" t="str">
        <f t="shared" ca="1" si="99"/>
        <v/>
      </c>
      <c r="J633" s="1604"/>
      <c r="K633" s="373"/>
      <c r="L633" s="513">
        <f t="shared" ca="1" si="108"/>
        <v>656.58</v>
      </c>
      <c r="M633" s="654">
        <f t="shared" ca="1" si="106"/>
        <v>1</v>
      </c>
      <c r="N633" s="226">
        <f t="shared" ca="1" si="100"/>
        <v>0</v>
      </c>
      <c r="O633" s="1"/>
    </row>
    <row r="634" spans="1:15" ht="16.5" customHeight="1">
      <c r="A634" s="1"/>
      <c r="B634" s="657" t="str">
        <f t="shared" ca="1" si="101"/>
        <v/>
      </c>
      <c r="C634" s="223" t="str">
        <f t="shared" ca="1" si="102"/>
        <v/>
      </c>
      <c r="D634" s="519">
        <f t="shared" si="107"/>
        <v>629</v>
      </c>
      <c r="E634" s="225" t="str">
        <f t="shared" ca="1" si="103"/>
        <v/>
      </c>
      <c r="F634" s="224" t="str">
        <f t="shared" si="109"/>
        <v>CASSA</v>
      </c>
      <c r="G634" s="384" t="str">
        <f t="shared" ca="1" si="104"/>
        <v/>
      </c>
      <c r="H634" s="512">
        <f t="shared" ca="1" si="105"/>
        <v>0</v>
      </c>
      <c r="I634" s="1603" t="str">
        <f t="shared" ca="1" si="99"/>
        <v/>
      </c>
      <c r="J634" s="1604"/>
      <c r="K634" s="373"/>
      <c r="L634" s="513">
        <f t="shared" ca="1" si="108"/>
        <v>656.58</v>
      </c>
      <c r="M634" s="654">
        <f t="shared" ca="1" si="106"/>
        <v>1</v>
      </c>
      <c r="N634" s="226">
        <f t="shared" ca="1" si="100"/>
        <v>0</v>
      </c>
      <c r="O634" s="1"/>
    </row>
    <row r="635" spans="1:15" ht="16.5" customHeight="1">
      <c r="A635" s="1"/>
      <c r="B635" s="657" t="str">
        <f t="shared" ca="1" si="101"/>
        <v/>
      </c>
      <c r="C635" s="223" t="str">
        <f t="shared" ca="1" si="102"/>
        <v/>
      </c>
      <c r="D635" s="519">
        <f t="shared" si="107"/>
        <v>630</v>
      </c>
      <c r="E635" s="225" t="str">
        <f t="shared" ca="1" si="103"/>
        <v/>
      </c>
      <c r="F635" s="224" t="str">
        <f t="shared" si="109"/>
        <v>CASSA</v>
      </c>
      <c r="G635" s="384" t="str">
        <f t="shared" ca="1" si="104"/>
        <v/>
      </c>
      <c r="H635" s="512">
        <f t="shared" ca="1" si="105"/>
        <v>0</v>
      </c>
      <c r="I635" s="1603" t="str">
        <f t="shared" ca="1" si="99"/>
        <v/>
      </c>
      <c r="J635" s="1604"/>
      <c r="K635" s="373"/>
      <c r="L635" s="513">
        <f t="shared" ca="1" si="108"/>
        <v>656.58</v>
      </c>
      <c r="M635" s="654">
        <f t="shared" ca="1" si="106"/>
        <v>1</v>
      </c>
      <c r="N635" s="226">
        <f t="shared" ca="1" si="100"/>
        <v>0</v>
      </c>
      <c r="O635" s="1"/>
    </row>
    <row r="636" spans="1:15" ht="16.5" customHeight="1">
      <c r="A636" s="1"/>
      <c r="B636" s="657" t="str">
        <f t="shared" ca="1" si="101"/>
        <v/>
      </c>
      <c r="C636" s="223" t="str">
        <f t="shared" ca="1" si="102"/>
        <v/>
      </c>
      <c r="D636" s="519">
        <f t="shared" si="107"/>
        <v>631</v>
      </c>
      <c r="E636" s="225" t="str">
        <f t="shared" ca="1" si="103"/>
        <v/>
      </c>
      <c r="F636" s="224" t="str">
        <f t="shared" si="109"/>
        <v>CASSA</v>
      </c>
      <c r="G636" s="384" t="str">
        <f t="shared" ca="1" si="104"/>
        <v/>
      </c>
      <c r="H636" s="512">
        <f t="shared" ca="1" si="105"/>
        <v>0</v>
      </c>
      <c r="I636" s="1603" t="str">
        <f t="shared" ca="1" si="99"/>
        <v/>
      </c>
      <c r="J636" s="1604"/>
      <c r="K636" s="373"/>
      <c r="L636" s="513">
        <f t="shared" ca="1" si="108"/>
        <v>656.58</v>
      </c>
      <c r="M636" s="654">
        <f t="shared" ca="1" si="106"/>
        <v>1</v>
      </c>
      <c r="N636" s="226">
        <f t="shared" ca="1" si="100"/>
        <v>0</v>
      </c>
      <c r="O636" s="1"/>
    </row>
    <row r="637" spans="1:15" ht="16.5" customHeight="1">
      <c r="A637" s="1"/>
      <c r="B637" s="657" t="str">
        <f t="shared" ca="1" si="101"/>
        <v/>
      </c>
      <c r="C637" s="223" t="str">
        <f t="shared" ca="1" si="102"/>
        <v/>
      </c>
      <c r="D637" s="519">
        <f t="shared" si="107"/>
        <v>632</v>
      </c>
      <c r="E637" s="225" t="str">
        <f t="shared" ca="1" si="103"/>
        <v/>
      </c>
      <c r="F637" s="224" t="str">
        <f t="shared" si="109"/>
        <v>CASSA</v>
      </c>
      <c r="G637" s="384" t="str">
        <f t="shared" ca="1" si="104"/>
        <v/>
      </c>
      <c r="H637" s="512">
        <f t="shared" ca="1" si="105"/>
        <v>0</v>
      </c>
      <c r="I637" s="1603" t="str">
        <f t="shared" ca="1" si="99"/>
        <v/>
      </c>
      <c r="J637" s="1604"/>
      <c r="K637" s="373"/>
      <c r="L637" s="513">
        <f t="shared" ca="1" si="108"/>
        <v>656.58</v>
      </c>
      <c r="M637" s="654">
        <f t="shared" ca="1" si="106"/>
        <v>1</v>
      </c>
      <c r="N637" s="226">
        <f t="shared" ca="1" si="100"/>
        <v>0</v>
      </c>
      <c r="O637" s="1"/>
    </row>
    <row r="638" spans="1:15" ht="16.5" customHeight="1">
      <c r="A638" s="1"/>
      <c r="B638" s="657" t="str">
        <f t="shared" ca="1" si="101"/>
        <v/>
      </c>
      <c r="C638" s="223" t="str">
        <f t="shared" ca="1" si="102"/>
        <v/>
      </c>
      <c r="D638" s="519">
        <f t="shared" si="107"/>
        <v>633</v>
      </c>
      <c r="E638" s="225" t="str">
        <f t="shared" ca="1" si="103"/>
        <v/>
      </c>
      <c r="F638" s="224" t="str">
        <f t="shared" si="109"/>
        <v>CASSA</v>
      </c>
      <c r="G638" s="384" t="str">
        <f t="shared" ca="1" si="104"/>
        <v/>
      </c>
      <c r="H638" s="512">
        <f t="shared" ca="1" si="105"/>
        <v>0</v>
      </c>
      <c r="I638" s="1603" t="str">
        <f t="shared" ca="1" si="99"/>
        <v/>
      </c>
      <c r="J638" s="1604"/>
      <c r="K638" s="373"/>
      <c r="L638" s="513">
        <f t="shared" ca="1" si="108"/>
        <v>656.58</v>
      </c>
      <c r="M638" s="654">
        <f t="shared" ca="1" si="106"/>
        <v>1</v>
      </c>
      <c r="N638" s="226">
        <f t="shared" ca="1" si="100"/>
        <v>0</v>
      </c>
      <c r="O638" s="1"/>
    </row>
    <row r="639" spans="1:15" ht="16.5" customHeight="1">
      <c r="A639" s="1"/>
      <c r="B639" s="657" t="str">
        <f t="shared" ca="1" si="101"/>
        <v/>
      </c>
      <c r="C639" s="223" t="str">
        <f t="shared" ca="1" si="102"/>
        <v/>
      </c>
      <c r="D639" s="519">
        <f t="shared" si="107"/>
        <v>634</v>
      </c>
      <c r="E639" s="225" t="str">
        <f t="shared" ca="1" si="103"/>
        <v/>
      </c>
      <c r="F639" s="224" t="str">
        <f t="shared" si="109"/>
        <v>CASSA</v>
      </c>
      <c r="G639" s="384" t="str">
        <f t="shared" ca="1" si="104"/>
        <v/>
      </c>
      <c r="H639" s="512">
        <f t="shared" ca="1" si="105"/>
        <v>0</v>
      </c>
      <c r="I639" s="1603" t="str">
        <f t="shared" ca="1" si="99"/>
        <v/>
      </c>
      <c r="J639" s="1604"/>
      <c r="K639" s="373"/>
      <c r="L639" s="513">
        <f t="shared" ca="1" si="108"/>
        <v>656.58</v>
      </c>
      <c r="M639" s="654">
        <f t="shared" ca="1" si="106"/>
        <v>1</v>
      </c>
      <c r="N639" s="226">
        <f t="shared" ca="1" si="100"/>
        <v>0</v>
      </c>
      <c r="O639" s="1"/>
    </row>
    <row r="640" spans="1:15" ht="16.5" customHeight="1">
      <c r="A640" s="1"/>
      <c r="B640" s="657" t="str">
        <f t="shared" ca="1" si="101"/>
        <v/>
      </c>
      <c r="C640" s="223" t="str">
        <f t="shared" ca="1" si="102"/>
        <v/>
      </c>
      <c r="D640" s="519">
        <f t="shared" si="107"/>
        <v>635</v>
      </c>
      <c r="E640" s="225" t="str">
        <f t="shared" ca="1" si="103"/>
        <v/>
      </c>
      <c r="F640" s="224" t="str">
        <f t="shared" si="109"/>
        <v>CASSA</v>
      </c>
      <c r="G640" s="384" t="str">
        <f t="shared" ca="1" si="104"/>
        <v/>
      </c>
      <c r="H640" s="512">
        <f t="shared" ca="1" si="105"/>
        <v>0</v>
      </c>
      <c r="I640" s="1603" t="str">
        <f t="shared" ca="1" si="99"/>
        <v/>
      </c>
      <c r="J640" s="1604"/>
      <c r="K640" s="373"/>
      <c r="L640" s="513">
        <f t="shared" ca="1" si="108"/>
        <v>656.58</v>
      </c>
      <c r="M640" s="654">
        <f t="shared" ca="1" si="106"/>
        <v>1</v>
      </c>
      <c r="N640" s="226">
        <f t="shared" ca="1" si="100"/>
        <v>0</v>
      </c>
      <c r="O640" s="1"/>
    </row>
    <row r="641" spans="1:15" ht="16.5" customHeight="1">
      <c r="A641" s="1"/>
      <c r="B641" s="657" t="str">
        <f t="shared" ca="1" si="101"/>
        <v/>
      </c>
      <c r="C641" s="223" t="str">
        <f t="shared" ca="1" si="102"/>
        <v/>
      </c>
      <c r="D641" s="519">
        <f t="shared" si="107"/>
        <v>636</v>
      </c>
      <c r="E641" s="225" t="str">
        <f t="shared" ca="1" si="103"/>
        <v/>
      </c>
      <c r="F641" s="224" t="str">
        <f t="shared" si="109"/>
        <v>CASSA</v>
      </c>
      <c r="G641" s="384" t="str">
        <f t="shared" ca="1" si="104"/>
        <v/>
      </c>
      <c r="H641" s="512">
        <f t="shared" ca="1" si="105"/>
        <v>0</v>
      </c>
      <c r="I641" s="1603" t="str">
        <f t="shared" ca="1" si="99"/>
        <v/>
      </c>
      <c r="J641" s="1604"/>
      <c r="K641" s="373"/>
      <c r="L641" s="513">
        <f t="shared" ca="1" si="108"/>
        <v>656.58</v>
      </c>
      <c r="M641" s="654">
        <f t="shared" ca="1" si="106"/>
        <v>1</v>
      </c>
      <c r="N641" s="226">
        <f t="shared" ca="1" si="100"/>
        <v>0</v>
      </c>
      <c r="O641" s="1"/>
    </row>
    <row r="642" spans="1:15" ht="16.5" customHeight="1">
      <c r="A642" s="1"/>
      <c r="B642" s="657" t="str">
        <f t="shared" ca="1" si="101"/>
        <v/>
      </c>
      <c r="C642" s="223" t="str">
        <f t="shared" ca="1" si="102"/>
        <v/>
      </c>
      <c r="D642" s="519">
        <f t="shared" si="107"/>
        <v>637</v>
      </c>
      <c r="E642" s="225" t="str">
        <f t="shared" ca="1" si="103"/>
        <v/>
      </c>
      <c r="F642" s="224" t="str">
        <f t="shared" si="109"/>
        <v>CASSA</v>
      </c>
      <c r="G642" s="384" t="str">
        <f t="shared" ca="1" si="104"/>
        <v/>
      </c>
      <c r="H642" s="512">
        <f t="shared" ca="1" si="105"/>
        <v>0</v>
      </c>
      <c r="I642" s="1603" t="str">
        <f t="shared" ca="1" si="99"/>
        <v/>
      </c>
      <c r="J642" s="1604"/>
      <c r="K642" s="373"/>
      <c r="L642" s="513">
        <f t="shared" ca="1" si="108"/>
        <v>656.58</v>
      </c>
      <c r="M642" s="654">
        <f t="shared" ca="1" si="106"/>
        <v>1</v>
      </c>
      <c r="N642" s="226">
        <f t="shared" ca="1" si="100"/>
        <v>0</v>
      </c>
      <c r="O642" s="1"/>
    </row>
    <row r="643" spans="1:15" ht="16.5" customHeight="1">
      <c r="A643" s="1"/>
      <c r="B643" s="657" t="str">
        <f t="shared" ca="1" si="101"/>
        <v/>
      </c>
      <c r="C643" s="223" t="str">
        <f t="shared" ca="1" si="102"/>
        <v/>
      </c>
      <c r="D643" s="519">
        <f t="shared" si="107"/>
        <v>638</v>
      </c>
      <c r="E643" s="225" t="str">
        <f t="shared" ca="1" si="103"/>
        <v/>
      </c>
      <c r="F643" s="224" t="str">
        <f t="shared" si="109"/>
        <v>CASSA</v>
      </c>
      <c r="G643" s="384" t="str">
        <f t="shared" ca="1" si="104"/>
        <v/>
      </c>
      <c r="H643" s="512">
        <f t="shared" ca="1" si="105"/>
        <v>0</v>
      </c>
      <c r="I643" s="1603" t="str">
        <f t="shared" ca="1" si="99"/>
        <v/>
      </c>
      <c r="J643" s="1604"/>
      <c r="K643" s="373"/>
      <c r="L643" s="513">
        <f t="shared" ca="1" si="108"/>
        <v>656.58</v>
      </c>
      <c r="M643" s="654">
        <f t="shared" ca="1" si="106"/>
        <v>1</v>
      </c>
      <c r="N643" s="226">
        <f t="shared" ca="1" si="100"/>
        <v>0</v>
      </c>
      <c r="O643" s="1"/>
    </row>
    <row r="644" spans="1:15" ht="16.5" customHeight="1">
      <c r="A644" s="1"/>
      <c r="B644" s="657" t="str">
        <f t="shared" ca="1" si="101"/>
        <v/>
      </c>
      <c r="C644" s="223" t="str">
        <f t="shared" ca="1" si="102"/>
        <v/>
      </c>
      <c r="D644" s="519">
        <f t="shared" si="107"/>
        <v>639</v>
      </c>
      <c r="E644" s="225" t="str">
        <f t="shared" ca="1" si="103"/>
        <v/>
      </c>
      <c r="F644" s="224" t="str">
        <f t="shared" si="109"/>
        <v>CASSA</v>
      </c>
      <c r="G644" s="384" t="str">
        <f t="shared" ca="1" si="104"/>
        <v/>
      </c>
      <c r="H644" s="512">
        <f t="shared" ca="1" si="105"/>
        <v>0</v>
      </c>
      <c r="I644" s="1603" t="str">
        <f t="shared" ca="1" si="99"/>
        <v/>
      </c>
      <c r="J644" s="1604"/>
      <c r="K644" s="373"/>
      <c r="L644" s="513">
        <f t="shared" ca="1" si="108"/>
        <v>656.58</v>
      </c>
      <c r="M644" s="654">
        <f t="shared" ca="1" si="106"/>
        <v>1</v>
      </c>
      <c r="N644" s="226">
        <f t="shared" ca="1" si="100"/>
        <v>0</v>
      </c>
      <c r="O644" s="1"/>
    </row>
    <row r="645" spans="1:15" ht="16.5" customHeight="1">
      <c r="A645" s="1"/>
      <c r="B645" s="657" t="str">
        <f t="shared" ca="1" si="101"/>
        <v/>
      </c>
      <c r="C645" s="223" t="str">
        <f t="shared" ca="1" si="102"/>
        <v/>
      </c>
      <c r="D645" s="519">
        <f t="shared" si="107"/>
        <v>640</v>
      </c>
      <c r="E645" s="225" t="str">
        <f t="shared" ca="1" si="103"/>
        <v/>
      </c>
      <c r="F645" s="224" t="str">
        <f t="shared" si="109"/>
        <v>CASSA</v>
      </c>
      <c r="G645" s="384" t="str">
        <f t="shared" ca="1" si="104"/>
        <v/>
      </c>
      <c r="H645" s="512">
        <f t="shared" ca="1" si="105"/>
        <v>0</v>
      </c>
      <c r="I645" s="1603" t="str">
        <f t="shared" ca="1" si="99"/>
        <v/>
      </c>
      <c r="J645" s="1604"/>
      <c r="K645" s="373"/>
      <c r="L645" s="513">
        <f t="shared" ca="1" si="108"/>
        <v>656.58</v>
      </c>
      <c r="M645" s="654">
        <f t="shared" ca="1" si="106"/>
        <v>1</v>
      </c>
      <c r="N645" s="226">
        <f t="shared" ca="1" si="100"/>
        <v>0</v>
      </c>
      <c r="O645" s="1"/>
    </row>
    <row r="646" spans="1:15" ht="16.5" customHeight="1">
      <c r="A646" s="1"/>
      <c r="B646" s="657" t="str">
        <f t="shared" ca="1" si="101"/>
        <v/>
      </c>
      <c r="C646" s="223" t="str">
        <f t="shared" ca="1" si="102"/>
        <v/>
      </c>
      <c r="D646" s="519">
        <f t="shared" si="107"/>
        <v>641</v>
      </c>
      <c r="E646" s="225" t="str">
        <f t="shared" ca="1" si="103"/>
        <v/>
      </c>
      <c r="F646" s="224" t="str">
        <f t="shared" si="109"/>
        <v>CASSA</v>
      </c>
      <c r="G646" s="384" t="str">
        <f t="shared" ca="1" si="104"/>
        <v/>
      </c>
      <c r="H646" s="512">
        <f t="shared" ca="1" si="105"/>
        <v>0</v>
      </c>
      <c r="I646" s="1603" t="str">
        <f t="shared" ref="I646:I709" ca="1" si="110">IF(F646="","",IF(ISERROR(VLOOKUP($D646,$B$1080:$L$4183,11,FALSE)),"",VLOOKUP($D646,$B$1080:$L$4183,11,FALSE)))</f>
        <v/>
      </c>
      <c r="J646" s="1604"/>
      <c r="K646" s="373"/>
      <c r="L646" s="513">
        <f t="shared" ca="1" si="108"/>
        <v>656.58</v>
      </c>
      <c r="M646" s="654">
        <f t="shared" ca="1" si="106"/>
        <v>1</v>
      </c>
      <c r="N646" s="226">
        <f t="shared" ref="N646:N709" ca="1" si="111">IF(ISERROR(VLOOKUP(G646,G$4171:G$4182,1,FALSE)),0,1)</f>
        <v>0</v>
      </c>
      <c r="O646" s="1"/>
    </row>
    <row r="647" spans="1:15" ht="16.5" customHeight="1">
      <c r="A647" s="1"/>
      <c r="B647" s="657" t="str">
        <f t="shared" ref="B647:B710" ca="1" si="112">IF(AND(E647&lt;&gt;"",M647=0),"[..]","")</f>
        <v/>
      </c>
      <c r="C647" s="223" t="str">
        <f t="shared" ref="C647:C710" ca="1" si="113">IF(ISBLANK(E$2),"",IF(ISERROR(VLOOKUP(D647,B$3067:B$4182,1,FALSE)),"",C$4185))</f>
        <v/>
      </c>
      <c r="D647" s="519">
        <f t="shared" si="107"/>
        <v>642</v>
      </c>
      <c r="E647" s="225" t="str">
        <f t="shared" ref="E647:E710" ca="1" si="114">IF(ISERROR(VLOOKUP($D647,$B$1080:$E$4183,4,FALSE)),"",VLOOKUP($D647,$B$1080:$E$4183,4,FALSE))</f>
        <v/>
      </c>
      <c r="F647" s="224" t="str">
        <f t="shared" si="109"/>
        <v>CASSA</v>
      </c>
      <c r="G647" s="384" t="str">
        <f t="shared" ref="G647:G710" ca="1" si="115">IF(ISERROR(VLOOKUP($D647,$B$1080:$G$4183,6,FALSE)),"",T(VLOOKUP($D647,$B$1080:$G$4183,6,FALSE)))</f>
        <v/>
      </c>
      <c r="H647" s="512">
        <f t="shared" ref="H647:H710" ca="1" si="116">IF(ISERROR(VLOOKUP($D647,$B$1080:$H$4183,7,FALSE)),0,VLOOKUP($D647,$B$1080:$H$4183,7,FALSE))*M647</f>
        <v>0</v>
      </c>
      <c r="I647" s="1603" t="str">
        <f t="shared" ca="1" si="110"/>
        <v/>
      </c>
      <c r="J647" s="1604"/>
      <c r="K647" s="373"/>
      <c r="L647" s="513">
        <f t="shared" ca="1" si="108"/>
        <v>656.58</v>
      </c>
      <c r="M647" s="654">
        <f t="shared" ref="M647:M710" ca="1" si="117">IF(AND(E647&gt;0,H$4188=0,OR(E647&lt;L$1020,E647&gt;L$1021)),0,1)</f>
        <v>1</v>
      </c>
      <c r="N647" s="226">
        <f t="shared" ca="1" si="111"/>
        <v>0</v>
      </c>
      <c r="O647" s="1"/>
    </row>
    <row r="648" spans="1:15" ht="16.5" customHeight="1">
      <c r="A648" s="1"/>
      <c r="B648" s="657" t="str">
        <f t="shared" ca="1" si="112"/>
        <v/>
      </c>
      <c r="C648" s="223" t="str">
        <f t="shared" ca="1" si="113"/>
        <v/>
      </c>
      <c r="D648" s="519">
        <f t="shared" ref="D648:D711" si="118">D647+1</f>
        <v>643</v>
      </c>
      <c r="E648" s="225" t="str">
        <f t="shared" ca="1" si="114"/>
        <v/>
      </c>
      <c r="F648" s="224" t="str">
        <f t="shared" si="109"/>
        <v>CASSA</v>
      </c>
      <c r="G648" s="384" t="str">
        <f t="shared" ca="1" si="115"/>
        <v/>
      </c>
      <c r="H648" s="512">
        <f t="shared" ca="1" si="116"/>
        <v>0</v>
      </c>
      <c r="I648" s="1603" t="str">
        <f t="shared" ca="1" si="110"/>
        <v/>
      </c>
      <c r="J648" s="1604"/>
      <c r="K648" s="373"/>
      <c r="L648" s="513">
        <f t="shared" ref="L648:L711" ca="1" si="119">ROUND(L647+H648,2)</f>
        <v>656.58</v>
      </c>
      <c r="M648" s="654">
        <f t="shared" ca="1" si="117"/>
        <v>1</v>
      </c>
      <c r="N648" s="226">
        <f t="shared" ca="1" si="111"/>
        <v>0</v>
      </c>
      <c r="O648" s="1"/>
    </row>
    <row r="649" spans="1:15" ht="16.5" customHeight="1">
      <c r="A649" s="1"/>
      <c r="B649" s="657" t="str">
        <f t="shared" ca="1" si="112"/>
        <v/>
      </c>
      <c r="C649" s="223" t="str">
        <f t="shared" ca="1" si="113"/>
        <v/>
      </c>
      <c r="D649" s="519">
        <f t="shared" si="118"/>
        <v>644</v>
      </c>
      <c r="E649" s="225" t="str">
        <f t="shared" ca="1" si="114"/>
        <v/>
      </c>
      <c r="F649" s="224" t="str">
        <f t="shared" si="109"/>
        <v>CASSA</v>
      </c>
      <c r="G649" s="384" t="str">
        <f t="shared" ca="1" si="115"/>
        <v/>
      </c>
      <c r="H649" s="512">
        <f t="shared" ca="1" si="116"/>
        <v>0</v>
      </c>
      <c r="I649" s="1603" t="str">
        <f t="shared" ca="1" si="110"/>
        <v/>
      </c>
      <c r="J649" s="1604"/>
      <c r="K649" s="373"/>
      <c r="L649" s="513">
        <f t="shared" ca="1" si="119"/>
        <v>656.58</v>
      </c>
      <c r="M649" s="654">
        <f t="shared" ca="1" si="117"/>
        <v>1</v>
      </c>
      <c r="N649" s="226">
        <f t="shared" ca="1" si="111"/>
        <v>0</v>
      </c>
      <c r="O649" s="1"/>
    </row>
    <row r="650" spans="1:15" ht="16.5" customHeight="1">
      <c r="A650" s="1"/>
      <c r="B650" s="657" t="str">
        <f t="shared" ca="1" si="112"/>
        <v/>
      </c>
      <c r="C650" s="223" t="str">
        <f t="shared" ca="1" si="113"/>
        <v/>
      </c>
      <c r="D650" s="519">
        <f t="shared" si="118"/>
        <v>645</v>
      </c>
      <c r="E650" s="225" t="str">
        <f t="shared" ca="1" si="114"/>
        <v/>
      </c>
      <c r="F650" s="224" t="str">
        <f t="shared" si="109"/>
        <v>CASSA</v>
      </c>
      <c r="G650" s="384" t="str">
        <f t="shared" ca="1" si="115"/>
        <v/>
      </c>
      <c r="H650" s="512">
        <f t="shared" ca="1" si="116"/>
        <v>0</v>
      </c>
      <c r="I650" s="1603" t="str">
        <f t="shared" ca="1" si="110"/>
        <v/>
      </c>
      <c r="J650" s="1604"/>
      <c r="K650" s="373"/>
      <c r="L650" s="513">
        <f t="shared" ca="1" si="119"/>
        <v>656.58</v>
      </c>
      <c r="M650" s="654">
        <f t="shared" ca="1" si="117"/>
        <v>1</v>
      </c>
      <c r="N650" s="226">
        <f t="shared" ca="1" si="111"/>
        <v>0</v>
      </c>
      <c r="O650" s="1"/>
    </row>
    <row r="651" spans="1:15" ht="16.5" customHeight="1">
      <c r="A651" s="1"/>
      <c r="B651" s="657" t="str">
        <f t="shared" ca="1" si="112"/>
        <v/>
      </c>
      <c r="C651" s="223" t="str">
        <f t="shared" ca="1" si="113"/>
        <v/>
      </c>
      <c r="D651" s="519">
        <f t="shared" si="118"/>
        <v>646</v>
      </c>
      <c r="E651" s="225" t="str">
        <f t="shared" ca="1" si="114"/>
        <v/>
      </c>
      <c r="F651" s="224" t="str">
        <f t="shared" si="109"/>
        <v>CASSA</v>
      </c>
      <c r="G651" s="384" t="str">
        <f t="shared" ca="1" si="115"/>
        <v/>
      </c>
      <c r="H651" s="512">
        <f t="shared" ca="1" si="116"/>
        <v>0</v>
      </c>
      <c r="I651" s="1603" t="str">
        <f t="shared" ca="1" si="110"/>
        <v/>
      </c>
      <c r="J651" s="1604"/>
      <c r="K651" s="373"/>
      <c r="L651" s="513">
        <f t="shared" ca="1" si="119"/>
        <v>656.58</v>
      </c>
      <c r="M651" s="654">
        <f t="shared" ca="1" si="117"/>
        <v>1</v>
      </c>
      <c r="N651" s="226">
        <f t="shared" ca="1" si="111"/>
        <v>0</v>
      </c>
      <c r="O651" s="1"/>
    </row>
    <row r="652" spans="1:15" ht="16.5" customHeight="1">
      <c r="A652" s="1"/>
      <c r="B652" s="657" t="str">
        <f t="shared" ca="1" si="112"/>
        <v/>
      </c>
      <c r="C652" s="223" t="str">
        <f t="shared" ca="1" si="113"/>
        <v/>
      </c>
      <c r="D652" s="519">
        <f t="shared" si="118"/>
        <v>647</v>
      </c>
      <c r="E652" s="225" t="str">
        <f t="shared" ca="1" si="114"/>
        <v/>
      </c>
      <c r="F652" s="224" t="str">
        <f t="shared" ref="F652:F715" si="120">F651</f>
        <v>CASSA</v>
      </c>
      <c r="G652" s="384" t="str">
        <f t="shared" ca="1" si="115"/>
        <v/>
      </c>
      <c r="H652" s="512">
        <f t="shared" ca="1" si="116"/>
        <v>0</v>
      </c>
      <c r="I652" s="1603" t="str">
        <f t="shared" ca="1" si="110"/>
        <v/>
      </c>
      <c r="J652" s="1604"/>
      <c r="K652" s="373"/>
      <c r="L652" s="513">
        <f t="shared" ca="1" si="119"/>
        <v>656.58</v>
      </c>
      <c r="M652" s="654">
        <f t="shared" ca="1" si="117"/>
        <v>1</v>
      </c>
      <c r="N652" s="226">
        <f t="shared" ca="1" si="111"/>
        <v>0</v>
      </c>
      <c r="O652" s="1"/>
    </row>
    <row r="653" spans="1:15" ht="16.5" customHeight="1">
      <c r="A653" s="1"/>
      <c r="B653" s="657" t="str">
        <f t="shared" ca="1" si="112"/>
        <v/>
      </c>
      <c r="C653" s="223" t="str">
        <f t="shared" ca="1" si="113"/>
        <v/>
      </c>
      <c r="D653" s="519">
        <f t="shared" si="118"/>
        <v>648</v>
      </c>
      <c r="E653" s="225" t="str">
        <f t="shared" ca="1" si="114"/>
        <v/>
      </c>
      <c r="F653" s="224" t="str">
        <f t="shared" si="120"/>
        <v>CASSA</v>
      </c>
      <c r="G653" s="384" t="str">
        <f t="shared" ca="1" si="115"/>
        <v/>
      </c>
      <c r="H653" s="512">
        <f t="shared" ca="1" si="116"/>
        <v>0</v>
      </c>
      <c r="I653" s="1603" t="str">
        <f t="shared" ca="1" si="110"/>
        <v/>
      </c>
      <c r="J653" s="1604"/>
      <c r="K653" s="373"/>
      <c r="L653" s="513">
        <f t="shared" ca="1" si="119"/>
        <v>656.58</v>
      </c>
      <c r="M653" s="654">
        <f t="shared" ca="1" si="117"/>
        <v>1</v>
      </c>
      <c r="N653" s="226">
        <f t="shared" ca="1" si="111"/>
        <v>0</v>
      </c>
      <c r="O653" s="1"/>
    </row>
    <row r="654" spans="1:15" ht="16.5" customHeight="1">
      <c r="A654" s="1"/>
      <c r="B654" s="657" t="str">
        <f t="shared" ca="1" si="112"/>
        <v/>
      </c>
      <c r="C654" s="223" t="str">
        <f t="shared" ca="1" si="113"/>
        <v/>
      </c>
      <c r="D654" s="519">
        <f t="shared" si="118"/>
        <v>649</v>
      </c>
      <c r="E654" s="225" t="str">
        <f t="shared" ca="1" si="114"/>
        <v/>
      </c>
      <c r="F654" s="224" t="str">
        <f t="shared" si="120"/>
        <v>CASSA</v>
      </c>
      <c r="G654" s="384" t="str">
        <f t="shared" ca="1" si="115"/>
        <v/>
      </c>
      <c r="H654" s="512">
        <f t="shared" ca="1" si="116"/>
        <v>0</v>
      </c>
      <c r="I654" s="1603" t="str">
        <f t="shared" ca="1" si="110"/>
        <v/>
      </c>
      <c r="J654" s="1604"/>
      <c r="K654" s="373"/>
      <c r="L654" s="513">
        <f t="shared" ca="1" si="119"/>
        <v>656.58</v>
      </c>
      <c r="M654" s="654">
        <f t="shared" ca="1" si="117"/>
        <v>1</v>
      </c>
      <c r="N654" s="226">
        <f t="shared" ca="1" si="111"/>
        <v>0</v>
      </c>
      <c r="O654" s="1"/>
    </row>
    <row r="655" spans="1:15" ht="16.5" customHeight="1">
      <c r="A655" s="1"/>
      <c r="B655" s="657" t="str">
        <f t="shared" ca="1" si="112"/>
        <v/>
      </c>
      <c r="C655" s="223" t="str">
        <f t="shared" ca="1" si="113"/>
        <v/>
      </c>
      <c r="D655" s="519">
        <f t="shared" si="118"/>
        <v>650</v>
      </c>
      <c r="E655" s="225" t="str">
        <f t="shared" ca="1" si="114"/>
        <v/>
      </c>
      <c r="F655" s="224" t="str">
        <f t="shared" si="120"/>
        <v>CASSA</v>
      </c>
      <c r="G655" s="384" t="str">
        <f t="shared" ca="1" si="115"/>
        <v/>
      </c>
      <c r="H655" s="512">
        <f t="shared" ca="1" si="116"/>
        <v>0</v>
      </c>
      <c r="I655" s="1603" t="str">
        <f t="shared" ca="1" si="110"/>
        <v/>
      </c>
      <c r="J655" s="1604"/>
      <c r="K655" s="373"/>
      <c r="L655" s="513">
        <f t="shared" ca="1" si="119"/>
        <v>656.58</v>
      </c>
      <c r="M655" s="654">
        <f t="shared" ca="1" si="117"/>
        <v>1</v>
      </c>
      <c r="N655" s="226">
        <f t="shared" ca="1" si="111"/>
        <v>0</v>
      </c>
      <c r="O655" s="1"/>
    </row>
    <row r="656" spans="1:15" ht="16.5" customHeight="1">
      <c r="A656" s="1"/>
      <c r="B656" s="657" t="str">
        <f t="shared" ca="1" si="112"/>
        <v/>
      </c>
      <c r="C656" s="223" t="str">
        <f t="shared" ca="1" si="113"/>
        <v/>
      </c>
      <c r="D656" s="519">
        <f t="shared" si="118"/>
        <v>651</v>
      </c>
      <c r="E656" s="225" t="str">
        <f t="shared" ca="1" si="114"/>
        <v/>
      </c>
      <c r="F656" s="224" t="str">
        <f t="shared" si="120"/>
        <v>CASSA</v>
      </c>
      <c r="G656" s="384" t="str">
        <f t="shared" ca="1" si="115"/>
        <v/>
      </c>
      <c r="H656" s="512">
        <f t="shared" ca="1" si="116"/>
        <v>0</v>
      </c>
      <c r="I656" s="1603" t="str">
        <f t="shared" ca="1" si="110"/>
        <v/>
      </c>
      <c r="J656" s="1604"/>
      <c r="K656" s="373"/>
      <c r="L656" s="513">
        <f t="shared" ca="1" si="119"/>
        <v>656.58</v>
      </c>
      <c r="M656" s="654">
        <f t="shared" ca="1" si="117"/>
        <v>1</v>
      </c>
      <c r="N656" s="226">
        <f t="shared" ca="1" si="111"/>
        <v>0</v>
      </c>
      <c r="O656" s="1"/>
    </row>
    <row r="657" spans="1:15" ht="16.5" customHeight="1">
      <c r="A657" s="1"/>
      <c r="B657" s="657" t="str">
        <f t="shared" ca="1" si="112"/>
        <v/>
      </c>
      <c r="C657" s="223" t="str">
        <f t="shared" ca="1" si="113"/>
        <v/>
      </c>
      <c r="D657" s="519">
        <f t="shared" si="118"/>
        <v>652</v>
      </c>
      <c r="E657" s="225" t="str">
        <f t="shared" ca="1" si="114"/>
        <v/>
      </c>
      <c r="F657" s="224" t="str">
        <f t="shared" si="120"/>
        <v>CASSA</v>
      </c>
      <c r="G657" s="384" t="str">
        <f t="shared" ca="1" si="115"/>
        <v/>
      </c>
      <c r="H657" s="512">
        <f t="shared" ca="1" si="116"/>
        <v>0</v>
      </c>
      <c r="I657" s="1603" t="str">
        <f t="shared" ca="1" si="110"/>
        <v/>
      </c>
      <c r="J657" s="1604"/>
      <c r="K657" s="373"/>
      <c r="L657" s="513">
        <f t="shared" ca="1" si="119"/>
        <v>656.58</v>
      </c>
      <c r="M657" s="654">
        <f t="shared" ca="1" si="117"/>
        <v>1</v>
      </c>
      <c r="N657" s="226">
        <f t="shared" ca="1" si="111"/>
        <v>0</v>
      </c>
      <c r="O657" s="1"/>
    </row>
    <row r="658" spans="1:15" ht="16.5" customHeight="1">
      <c r="A658" s="1"/>
      <c r="B658" s="657" t="str">
        <f t="shared" ca="1" si="112"/>
        <v/>
      </c>
      <c r="C658" s="223" t="str">
        <f t="shared" ca="1" si="113"/>
        <v/>
      </c>
      <c r="D658" s="519">
        <f t="shared" si="118"/>
        <v>653</v>
      </c>
      <c r="E658" s="225" t="str">
        <f t="shared" ca="1" si="114"/>
        <v/>
      </c>
      <c r="F658" s="224" t="str">
        <f t="shared" si="120"/>
        <v>CASSA</v>
      </c>
      <c r="G658" s="384" t="str">
        <f t="shared" ca="1" si="115"/>
        <v/>
      </c>
      <c r="H658" s="512">
        <f t="shared" ca="1" si="116"/>
        <v>0</v>
      </c>
      <c r="I658" s="1603" t="str">
        <f t="shared" ca="1" si="110"/>
        <v/>
      </c>
      <c r="J658" s="1604"/>
      <c r="K658" s="373"/>
      <c r="L658" s="513">
        <f t="shared" ca="1" si="119"/>
        <v>656.58</v>
      </c>
      <c r="M658" s="654">
        <f t="shared" ca="1" si="117"/>
        <v>1</v>
      </c>
      <c r="N658" s="226">
        <f t="shared" ca="1" si="111"/>
        <v>0</v>
      </c>
      <c r="O658" s="1"/>
    </row>
    <row r="659" spans="1:15" ht="16.5" customHeight="1">
      <c r="A659" s="1"/>
      <c r="B659" s="657" t="str">
        <f t="shared" ca="1" si="112"/>
        <v/>
      </c>
      <c r="C659" s="223" t="str">
        <f t="shared" ca="1" si="113"/>
        <v/>
      </c>
      <c r="D659" s="519">
        <f t="shared" si="118"/>
        <v>654</v>
      </c>
      <c r="E659" s="225" t="str">
        <f t="shared" ca="1" si="114"/>
        <v/>
      </c>
      <c r="F659" s="224" t="str">
        <f t="shared" si="120"/>
        <v>CASSA</v>
      </c>
      <c r="G659" s="384" t="str">
        <f t="shared" ca="1" si="115"/>
        <v/>
      </c>
      <c r="H659" s="512">
        <f t="shared" ca="1" si="116"/>
        <v>0</v>
      </c>
      <c r="I659" s="1603" t="str">
        <f t="shared" ca="1" si="110"/>
        <v/>
      </c>
      <c r="J659" s="1604"/>
      <c r="K659" s="373"/>
      <c r="L659" s="513">
        <f t="shared" ca="1" si="119"/>
        <v>656.58</v>
      </c>
      <c r="M659" s="654">
        <f t="shared" ca="1" si="117"/>
        <v>1</v>
      </c>
      <c r="N659" s="226">
        <f t="shared" ca="1" si="111"/>
        <v>0</v>
      </c>
      <c r="O659" s="1"/>
    </row>
    <row r="660" spans="1:15" ht="16.5" customHeight="1">
      <c r="A660" s="1"/>
      <c r="B660" s="657" t="str">
        <f t="shared" ca="1" si="112"/>
        <v/>
      </c>
      <c r="C660" s="223" t="str">
        <f t="shared" ca="1" si="113"/>
        <v/>
      </c>
      <c r="D660" s="519">
        <f t="shared" si="118"/>
        <v>655</v>
      </c>
      <c r="E660" s="225" t="str">
        <f t="shared" ca="1" si="114"/>
        <v/>
      </c>
      <c r="F660" s="224" t="str">
        <f t="shared" si="120"/>
        <v>CASSA</v>
      </c>
      <c r="G660" s="384" t="str">
        <f t="shared" ca="1" si="115"/>
        <v/>
      </c>
      <c r="H660" s="512">
        <f t="shared" ca="1" si="116"/>
        <v>0</v>
      </c>
      <c r="I660" s="1603" t="str">
        <f t="shared" ca="1" si="110"/>
        <v/>
      </c>
      <c r="J660" s="1604"/>
      <c r="K660" s="373"/>
      <c r="L660" s="513">
        <f t="shared" ca="1" si="119"/>
        <v>656.58</v>
      </c>
      <c r="M660" s="654">
        <f t="shared" ca="1" si="117"/>
        <v>1</v>
      </c>
      <c r="N660" s="226">
        <f t="shared" ca="1" si="111"/>
        <v>0</v>
      </c>
      <c r="O660" s="1"/>
    </row>
    <row r="661" spans="1:15" ht="16.5" customHeight="1">
      <c r="A661" s="1"/>
      <c r="B661" s="657" t="str">
        <f t="shared" ca="1" si="112"/>
        <v/>
      </c>
      <c r="C661" s="223" t="str">
        <f t="shared" ca="1" si="113"/>
        <v/>
      </c>
      <c r="D661" s="519">
        <f t="shared" si="118"/>
        <v>656</v>
      </c>
      <c r="E661" s="225" t="str">
        <f t="shared" ca="1" si="114"/>
        <v/>
      </c>
      <c r="F661" s="224" t="str">
        <f t="shared" si="120"/>
        <v>CASSA</v>
      </c>
      <c r="G661" s="384" t="str">
        <f t="shared" ca="1" si="115"/>
        <v/>
      </c>
      <c r="H661" s="512">
        <f t="shared" ca="1" si="116"/>
        <v>0</v>
      </c>
      <c r="I661" s="1603" t="str">
        <f t="shared" ca="1" si="110"/>
        <v/>
      </c>
      <c r="J661" s="1604"/>
      <c r="K661" s="373"/>
      <c r="L661" s="513">
        <f t="shared" ca="1" si="119"/>
        <v>656.58</v>
      </c>
      <c r="M661" s="654">
        <f t="shared" ca="1" si="117"/>
        <v>1</v>
      </c>
      <c r="N661" s="226">
        <f t="shared" ca="1" si="111"/>
        <v>0</v>
      </c>
      <c r="O661" s="1"/>
    </row>
    <row r="662" spans="1:15" ht="16.5" customHeight="1">
      <c r="A662" s="1"/>
      <c r="B662" s="657" t="str">
        <f t="shared" ca="1" si="112"/>
        <v/>
      </c>
      <c r="C662" s="223" t="str">
        <f t="shared" ca="1" si="113"/>
        <v/>
      </c>
      <c r="D662" s="519">
        <f t="shared" si="118"/>
        <v>657</v>
      </c>
      <c r="E662" s="225" t="str">
        <f t="shared" ca="1" si="114"/>
        <v/>
      </c>
      <c r="F662" s="224" t="str">
        <f t="shared" si="120"/>
        <v>CASSA</v>
      </c>
      <c r="G662" s="384" t="str">
        <f t="shared" ca="1" si="115"/>
        <v/>
      </c>
      <c r="H662" s="512">
        <f t="shared" ca="1" si="116"/>
        <v>0</v>
      </c>
      <c r="I662" s="1603" t="str">
        <f t="shared" ca="1" si="110"/>
        <v/>
      </c>
      <c r="J662" s="1604"/>
      <c r="K662" s="373"/>
      <c r="L662" s="513">
        <f t="shared" ca="1" si="119"/>
        <v>656.58</v>
      </c>
      <c r="M662" s="654">
        <f t="shared" ca="1" si="117"/>
        <v>1</v>
      </c>
      <c r="N662" s="226">
        <f t="shared" ca="1" si="111"/>
        <v>0</v>
      </c>
      <c r="O662" s="1"/>
    </row>
    <row r="663" spans="1:15" ht="16.5" customHeight="1">
      <c r="A663" s="1"/>
      <c r="B663" s="657" t="str">
        <f t="shared" ca="1" si="112"/>
        <v/>
      </c>
      <c r="C663" s="223" t="str">
        <f t="shared" ca="1" si="113"/>
        <v/>
      </c>
      <c r="D663" s="519">
        <f t="shared" si="118"/>
        <v>658</v>
      </c>
      <c r="E663" s="225" t="str">
        <f t="shared" ca="1" si="114"/>
        <v/>
      </c>
      <c r="F663" s="224" t="str">
        <f t="shared" si="120"/>
        <v>CASSA</v>
      </c>
      <c r="G663" s="384" t="str">
        <f t="shared" ca="1" si="115"/>
        <v/>
      </c>
      <c r="H663" s="512">
        <f t="shared" ca="1" si="116"/>
        <v>0</v>
      </c>
      <c r="I663" s="1603" t="str">
        <f t="shared" ca="1" si="110"/>
        <v/>
      </c>
      <c r="J663" s="1604"/>
      <c r="K663" s="373"/>
      <c r="L663" s="513">
        <f t="shared" ca="1" si="119"/>
        <v>656.58</v>
      </c>
      <c r="M663" s="654">
        <f t="shared" ca="1" si="117"/>
        <v>1</v>
      </c>
      <c r="N663" s="226">
        <f t="shared" ca="1" si="111"/>
        <v>0</v>
      </c>
      <c r="O663" s="1"/>
    </row>
    <row r="664" spans="1:15" ht="16.5" customHeight="1">
      <c r="A664" s="1"/>
      <c r="B664" s="657" t="str">
        <f t="shared" ca="1" si="112"/>
        <v/>
      </c>
      <c r="C664" s="223" t="str">
        <f t="shared" ca="1" si="113"/>
        <v/>
      </c>
      <c r="D664" s="519">
        <f t="shared" si="118"/>
        <v>659</v>
      </c>
      <c r="E664" s="225" t="str">
        <f t="shared" ca="1" si="114"/>
        <v/>
      </c>
      <c r="F664" s="224" t="str">
        <f t="shared" si="120"/>
        <v>CASSA</v>
      </c>
      <c r="G664" s="384" t="str">
        <f t="shared" ca="1" si="115"/>
        <v/>
      </c>
      <c r="H664" s="512">
        <f t="shared" ca="1" si="116"/>
        <v>0</v>
      </c>
      <c r="I664" s="1603" t="str">
        <f t="shared" ca="1" si="110"/>
        <v/>
      </c>
      <c r="J664" s="1604"/>
      <c r="K664" s="373"/>
      <c r="L664" s="513">
        <f t="shared" ca="1" si="119"/>
        <v>656.58</v>
      </c>
      <c r="M664" s="654">
        <f t="shared" ca="1" si="117"/>
        <v>1</v>
      </c>
      <c r="N664" s="226">
        <f t="shared" ca="1" si="111"/>
        <v>0</v>
      </c>
      <c r="O664" s="1"/>
    </row>
    <row r="665" spans="1:15" ht="16.5" customHeight="1">
      <c r="A665" s="1"/>
      <c r="B665" s="657" t="str">
        <f t="shared" ca="1" si="112"/>
        <v/>
      </c>
      <c r="C665" s="223" t="str">
        <f t="shared" ca="1" si="113"/>
        <v/>
      </c>
      <c r="D665" s="519">
        <f t="shared" si="118"/>
        <v>660</v>
      </c>
      <c r="E665" s="225" t="str">
        <f t="shared" ca="1" si="114"/>
        <v/>
      </c>
      <c r="F665" s="224" t="str">
        <f t="shared" si="120"/>
        <v>CASSA</v>
      </c>
      <c r="G665" s="384" t="str">
        <f t="shared" ca="1" si="115"/>
        <v/>
      </c>
      <c r="H665" s="512">
        <f t="shared" ca="1" si="116"/>
        <v>0</v>
      </c>
      <c r="I665" s="1603" t="str">
        <f t="shared" ca="1" si="110"/>
        <v/>
      </c>
      <c r="J665" s="1604"/>
      <c r="K665" s="373"/>
      <c r="L665" s="513">
        <f t="shared" ca="1" si="119"/>
        <v>656.58</v>
      </c>
      <c r="M665" s="654">
        <f t="shared" ca="1" si="117"/>
        <v>1</v>
      </c>
      <c r="N665" s="226">
        <f t="shared" ca="1" si="111"/>
        <v>0</v>
      </c>
      <c r="O665" s="1"/>
    </row>
    <row r="666" spans="1:15" ht="16.5" customHeight="1">
      <c r="A666" s="1"/>
      <c r="B666" s="657" t="str">
        <f t="shared" ca="1" si="112"/>
        <v/>
      </c>
      <c r="C666" s="223" t="str">
        <f t="shared" ca="1" si="113"/>
        <v/>
      </c>
      <c r="D666" s="519">
        <f t="shared" si="118"/>
        <v>661</v>
      </c>
      <c r="E666" s="225" t="str">
        <f t="shared" ca="1" si="114"/>
        <v/>
      </c>
      <c r="F666" s="224" t="str">
        <f t="shared" si="120"/>
        <v>CASSA</v>
      </c>
      <c r="G666" s="384" t="str">
        <f t="shared" ca="1" si="115"/>
        <v/>
      </c>
      <c r="H666" s="512">
        <f t="shared" ca="1" si="116"/>
        <v>0</v>
      </c>
      <c r="I666" s="1603" t="str">
        <f t="shared" ca="1" si="110"/>
        <v/>
      </c>
      <c r="J666" s="1604"/>
      <c r="K666" s="373"/>
      <c r="L666" s="513">
        <f t="shared" ca="1" si="119"/>
        <v>656.58</v>
      </c>
      <c r="M666" s="654">
        <f t="shared" ca="1" si="117"/>
        <v>1</v>
      </c>
      <c r="N666" s="226">
        <f t="shared" ca="1" si="111"/>
        <v>0</v>
      </c>
      <c r="O666" s="1"/>
    </row>
    <row r="667" spans="1:15" ht="16.5" customHeight="1">
      <c r="A667" s="1"/>
      <c r="B667" s="657" t="str">
        <f t="shared" ca="1" si="112"/>
        <v/>
      </c>
      <c r="C667" s="223" t="str">
        <f t="shared" ca="1" si="113"/>
        <v/>
      </c>
      <c r="D667" s="519">
        <f t="shared" si="118"/>
        <v>662</v>
      </c>
      <c r="E667" s="225" t="str">
        <f t="shared" ca="1" si="114"/>
        <v/>
      </c>
      <c r="F667" s="224" t="str">
        <f t="shared" si="120"/>
        <v>CASSA</v>
      </c>
      <c r="G667" s="384" t="str">
        <f t="shared" ca="1" si="115"/>
        <v/>
      </c>
      <c r="H667" s="512">
        <f t="shared" ca="1" si="116"/>
        <v>0</v>
      </c>
      <c r="I667" s="1603" t="str">
        <f t="shared" ca="1" si="110"/>
        <v/>
      </c>
      <c r="J667" s="1604"/>
      <c r="K667" s="373"/>
      <c r="L667" s="513">
        <f t="shared" ca="1" si="119"/>
        <v>656.58</v>
      </c>
      <c r="M667" s="654">
        <f t="shared" ca="1" si="117"/>
        <v>1</v>
      </c>
      <c r="N667" s="226">
        <f t="shared" ca="1" si="111"/>
        <v>0</v>
      </c>
      <c r="O667" s="1"/>
    </row>
    <row r="668" spans="1:15" ht="16.5" customHeight="1">
      <c r="A668" s="1"/>
      <c r="B668" s="657" t="str">
        <f t="shared" ca="1" si="112"/>
        <v/>
      </c>
      <c r="C668" s="223" t="str">
        <f t="shared" ca="1" si="113"/>
        <v/>
      </c>
      <c r="D668" s="519">
        <f t="shared" si="118"/>
        <v>663</v>
      </c>
      <c r="E668" s="225" t="str">
        <f t="shared" ca="1" si="114"/>
        <v/>
      </c>
      <c r="F668" s="224" t="str">
        <f t="shared" si="120"/>
        <v>CASSA</v>
      </c>
      <c r="G668" s="384" t="str">
        <f t="shared" ca="1" si="115"/>
        <v/>
      </c>
      <c r="H668" s="512">
        <f t="shared" ca="1" si="116"/>
        <v>0</v>
      </c>
      <c r="I668" s="1603" t="str">
        <f t="shared" ca="1" si="110"/>
        <v/>
      </c>
      <c r="J668" s="1604"/>
      <c r="K668" s="373"/>
      <c r="L668" s="513">
        <f t="shared" ca="1" si="119"/>
        <v>656.58</v>
      </c>
      <c r="M668" s="654">
        <f t="shared" ca="1" si="117"/>
        <v>1</v>
      </c>
      <c r="N668" s="226">
        <f t="shared" ca="1" si="111"/>
        <v>0</v>
      </c>
      <c r="O668" s="1"/>
    </row>
    <row r="669" spans="1:15" ht="16.5" customHeight="1">
      <c r="A669" s="1"/>
      <c r="B669" s="657" t="str">
        <f t="shared" ca="1" si="112"/>
        <v/>
      </c>
      <c r="C669" s="223" t="str">
        <f t="shared" ca="1" si="113"/>
        <v/>
      </c>
      <c r="D669" s="519">
        <f t="shared" si="118"/>
        <v>664</v>
      </c>
      <c r="E669" s="225" t="str">
        <f t="shared" ca="1" si="114"/>
        <v/>
      </c>
      <c r="F669" s="224" t="str">
        <f t="shared" si="120"/>
        <v>CASSA</v>
      </c>
      <c r="G669" s="384" t="str">
        <f t="shared" ca="1" si="115"/>
        <v/>
      </c>
      <c r="H669" s="512">
        <f t="shared" ca="1" si="116"/>
        <v>0</v>
      </c>
      <c r="I669" s="1603" t="str">
        <f t="shared" ca="1" si="110"/>
        <v/>
      </c>
      <c r="J669" s="1604"/>
      <c r="K669" s="373"/>
      <c r="L669" s="513">
        <f t="shared" ca="1" si="119"/>
        <v>656.58</v>
      </c>
      <c r="M669" s="654">
        <f t="shared" ca="1" si="117"/>
        <v>1</v>
      </c>
      <c r="N669" s="226">
        <f t="shared" ca="1" si="111"/>
        <v>0</v>
      </c>
      <c r="O669" s="1"/>
    </row>
    <row r="670" spans="1:15" ht="16.5" customHeight="1">
      <c r="A670" s="1"/>
      <c r="B670" s="657" t="str">
        <f t="shared" ca="1" si="112"/>
        <v/>
      </c>
      <c r="C670" s="223" t="str">
        <f t="shared" ca="1" si="113"/>
        <v/>
      </c>
      <c r="D670" s="519">
        <f t="shared" si="118"/>
        <v>665</v>
      </c>
      <c r="E670" s="225" t="str">
        <f t="shared" ca="1" si="114"/>
        <v/>
      </c>
      <c r="F670" s="224" t="str">
        <f t="shared" si="120"/>
        <v>CASSA</v>
      </c>
      <c r="G670" s="384" t="str">
        <f t="shared" ca="1" si="115"/>
        <v/>
      </c>
      <c r="H670" s="512">
        <f t="shared" ca="1" si="116"/>
        <v>0</v>
      </c>
      <c r="I670" s="1603" t="str">
        <f t="shared" ca="1" si="110"/>
        <v/>
      </c>
      <c r="J670" s="1604"/>
      <c r="K670" s="373"/>
      <c r="L670" s="513">
        <f t="shared" ca="1" si="119"/>
        <v>656.58</v>
      </c>
      <c r="M670" s="654">
        <f t="shared" ca="1" si="117"/>
        <v>1</v>
      </c>
      <c r="N670" s="226">
        <f t="shared" ca="1" si="111"/>
        <v>0</v>
      </c>
      <c r="O670" s="1"/>
    </row>
    <row r="671" spans="1:15" ht="16.5" customHeight="1">
      <c r="A671" s="1"/>
      <c r="B671" s="657" t="str">
        <f t="shared" ca="1" si="112"/>
        <v/>
      </c>
      <c r="C671" s="223" t="str">
        <f t="shared" ca="1" si="113"/>
        <v/>
      </c>
      <c r="D671" s="519">
        <f t="shared" si="118"/>
        <v>666</v>
      </c>
      <c r="E671" s="225" t="str">
        <f t="shared" ca="1" si="114"/>
        <v/>
      </c>
      <c r="F671" s="224" t="str">
        <f t="shared" si="120"/>
        <v>CASSA</v>
      </c>
      <c r="G671" s="384" t="str">
        <f t="shared" ca="1" si="115"/>
        <v/>
      </c>
      <c r="H671" s="512">
        <f t="shared" ca="1" si="116"/>
        <v>0</v>
      </c>
      <c r="I671" s="1603" t="str">
        <f t="shared" ca="1" si="110"/>
        <v/>
      </c>
      <c r="J671" s="1604"/>
      <c r="K671" s="373"/>
      <c r="L671" s="513">
        <f t="shared" ca="1" si="119"/>
        <v>656.58</v>
      </c>
      <c r="M671" s="654">
        <f t="shared" ca="1" si="117"/>
        <v>1</v>
      </c>
      <c r="N671" s="226">
        <f t="shared" ca="1" si="111"/>
        <v>0</v>
      </c>
      <c r="O671" s="1"/>
    </row>
    <row r="672" spans="1:15" ht="16.5" customHeight="1">
      <c r="A672" s="1"/>
      <c r="B672" s="657" t="str">
        <f t="shared" ca="1" si="112"/>
        <v/>
      </c>
      <c r="C672" s="223" t="str">
        <f t="shared" ca="1" si="113"/>
        <v/>
      </c>
      <c r="D672" s="519">
        <f t="shared" si="118"/>
        <v>667</v>
      </c>
      <c r="E672" s="225" t="str">
        <f t="shared" ca="1" si="114"/>
        <v/>
      </c>
      <c r="F672" s="224" t="str">
        <f t="shared" si="120"/>
        <v>CASSA</v>
      </c>
      <c r="G672" s="384" t="str">
        <f t="shared" ca="1" si="115"/>
        <v/>
      </c>
      <c r="H672" s="512">
        <f t="shared" ca="1" si="116"/>
        <v>0</v>
      </c>
      <c r="I672" s="1603" t="str">
        <f t="shared" ca="1" si="110"/>
        <v/>
      </c>
      <c r="J672" s="1604"/>
      <c r="K672" s="373"/>
      <c r="L672" s="513">
        <f t="shared" ca="1" si="119"/>
        <v>656.58</v>
      </c>
      <c r="M672" s="654">
        <f t="shared" ca="1" si="117"/>
        <v>1</v>
      </c>
      <c r="N672" s="226">
        <f t="shared" ca="1" si="111"/>
        <v>0</v>
      </c>
      <c r="O672" s="1"/>
    </row>
    <row r="673" spans="1:15" ht="16.5" customHeight="1">
      <c r="A673" s="1"/>
      <c r="B673" s="657" t="str">
        <f t="shared" ca="1" si="112"/>
        <v/>
      </c>
      <c r="C673" s="223" t="str">
        <f t="shared" ca="1" si="113"/>
        <v/>
      </c>
      <c r="D673" s="519">
        <f t="shared" si="118"/>
        <v>668</v>
      </c>
      <c r="E673" s="225" t="str">
        <f t="shared" ca="1" si="114"/>
        <v/>
      </c>
      <c r="F673" s="224" t="str">
        <f t="shared" si="120"/>
        <v>CASSA</v>
      </c>
      <c r="G673" s="384" t="str">
        <f t="shared" ca="1" si="115"/>
        <v/>
      </c>
      <c r="H673" s="512">
        <f t="shared" ca="1" si="116"/>
        <v>0</v>
      </c>
      <c r="I673" s="1603" t="str">
        <f t="shared" ca="1" si="110"/>
        <v/>
      </c>
      <c r="J673" s="1604"/>
      <c r="K673" s="373"/>
      <c r="L673" s="513">
        <f t="shared" ca="1" si="119"/>
        <v>656.58</v>
      </c>
      <c r="M673" s="654">
        <f t="shared" ca="1" si="117"/>
        <v>1</v>
      </c>
      <c r="N673" s="226">
        <f t="shared" ca="1" si="111"/>
        <v>0</v>
      </c>
      <c r="O673" s="1"/>
    </row>
    <row r="674" spans="1:15" ht="16.5" customHeight="1">
      <c r="A674" s="1"/>
      <c r="B674" s="657" t="str">
        <f t="shared" ca="1" si="112"/>
        <v/>
      </c>
      <c r="C674" s="223" t="str">
        <f t="shared" ca="1" si="113"/>
        <v/>
      </c>
      <c r="D674" s="519">
        <f t="shared" si="118"/>
        <v>669</v>
      </c>
      <c r="E674" s="225" t="str">
        <f t="shared" ca="1" si="114"/>
        <v/>
      </c>
      <c r="F674" s="224" t="str">
        <f t="shared" si="120"/>
        <v>CASSA</v>
      </c>
      <c r="G674" s="384" t="str">
        <f t="shared" ca="1" si="115"/>
        <v/>
      </c>
      <c r="H674" s="512">
        <f t="shared" ca="1" si="116"/>
        <v>0</v>
      </c>
      <c r="I674" s="1603" t="str">
        <f t="shared" ca="1" si="110"/>
        <v/>
      </c>
      <c r="J674" s="1604"/>
      <c r="K674" s="373"/>
      <c r="L674" s="513">
        <f t="shared" ca="1" si="119"/>
        <v>656.58</v>
      </c>
      <c r="M674" s="654">
        <f t="shared" ca="1" si="117"/>
        <v>1</v>
      </c>
      <c r="N674" s="226">
        <f t="shared" ca="1" si="111"/>
        <v>0</v>
      </c>
      <c r="O674" s="1"/>
    </row>
    <row r="675" spans="1:15" ht="16.5" customHeight="1">
      <c r="A675" s="1"/>
      <c r="B675" s="657" t="str">
        <f t="shared" ca="1" si="112"/>
        <v/>
      </c>
      <c r="C675" s="223" t="str">
        <f t="shared" ca="1" si="113"/>
        <v/>
      </c>
      <c r="D675" s="519">
        <f t="shared" si="118"/>
        <v>670</v>
      </c>
      <c r="E675" s="225" t="str">
        <f t="shared" ca="1" si="114"/>
        <v/>
      </c>
      <c r="F675" s="224" t="str">
        <f t="shared" si="120"/>
        <v>CASSA</v>
      </c>
      <c r="G675" s="384" t="str">
        <f t="shared" ca="1" si="115"/>
        <v/>
      </c>
      <c r="H675" s="512">
        <f t="shared" ca="1" si="116"/>
        <v>0</v>
      </c>
      <c r="I675" s="1603" t="str">
        <f t="shared" ca="1" si="110"/>
        <v/>
      </c>
      <c r="J675" s="1604"/>
      <c r="K675" s="373"/>
      <c r="L675" s="513">
        <f t="shared" ca="1" si="119"/>
        <v>656.58</v>
      </c>
      <c r="M675" s="654">
        <f t="shared" ca="1" si="117"/>
        <v>1</v>
      </c>
      <c r="N675" s="226">
        <f t="shared" ca="1" si="111"/>
        <v>0</v>
      </c>
      <c r="O675" s="1"/>
    </row>
    <row r="676" spans="1:15" ht="16.5" customHeight="1">
      <c r="A676" s="1"/>
      <c r="B676" s="657" t="str">
        <f t="shared" ca="1" si="112"/>
        <v/>
      </c>
      <c r="C676" s="223" t="str">
        <f t="shared" ca="1" si="113"/>
        <v/>
      </c>
      <c r="D676" s="519">
        <f t="shared" si="118"/>
        <v>671</v>
      </c>
      <c r="E676" s="225" t="str">
        <f t="shared" ca="1" si="114"/>
        <v/>
      </c>
      <c r="F676" s="224" t="str">
        <f t="shared" si="120"/>
        <v>CASSA</v>
      </c>
      <c r="G676" s="384" t="str">
        <f t="shared" ca="1" si="115"/>
        <v/>
      </c>
      <c r="H676" s="512">
        <f t="shared" ca="1" si="116"/>
        <v>0</v>
      </c>
      <c r="I676" s="1603" t="str">
        <f t="shared" ca="1" si="110"/>
        <v/>
      </c>
      <c r="J676" s="1604"/>
      <c r="K676" s="373"/>
      <c r="L676" s="513">
        <f t="shared" ca="1" si="119"/>
        <v>656.58</v>
      </c>
      <c r="M676" s="654">
        <f t="shared" ca="1" si="117"/>
        <v>1</v>
      </c>
      <c r="N676" s="226">
        <f t="shared" ca="1" si="111"/>
        <v>0</v>
      </c>
      <c r="O676" s="1"/>
    </row>
    <row r="677" spans="1:15" ht="16.5" customHeight="1">
      <c r="A677" s="1"/>
      <c r="B677" s="657" t="str">
        <f t="shared" ca="1" si="112"/>
        <v/>
      </c>
      <c r="C677" s="223" t="str">
        <f t="shared" ca="1" si="113"/>
        <v/>
      </c>
      <c r="D677" s="519">
        <f t="shared" si="118"/>
        <v>672</v>
      </c>
      <c r="E677" s="225" t="str">
        <f t="shared" ca="1" si="114"/>
        <v/>
      </c>
      <c r="F677" s="224" t="str">
        <f t="shared" si="120"/>
        <v>CASSA</v>
      </c>
      <c r="G677" s="384" t="str">
        <f t="shared" ca="1" si="115"/>
        <v/>
      </c>
      <c r="H677" s="512">
        <f t="shared" ca="1" si="116"/>
        <v>0</v>
      </c>
      <c r="I677" s="1603" t="str">
        <f t="shared" ca="1" si="110"/>
        <v/>
      </c>
      <c r="J677" s="1604"/>
      <c r="K677" s="373"/>
      <c r="L677" s="513">
        <f t="shared" ca="1" si="119"/>
        <v>656.58</v>
      </c>
      <c r="M677" s="654">
        <f t="shared" ca="1" si="117"/>
        <v>1</v>
      </c>
      <c r="N677" s="226">
        <f t="shared" ca="1" si="111"/>
        <v>0</v>
      </c>
      <c r="O677" s="1"/>
    </row>
    <row r="678" spans="1:15" ht="16.5" customHeight="1">
      <c r="A678" s="1"/>
      <c r="B678" s="657" t="str">
        <f t="shared" ca="1" si="112"/>
        <v/>
      </c>
      <c r="C678" s="223" t="str">
        <f t="shared" ca="1" si="113"/>
        <v/>
      </c>
      <c r="D678" s="519">
        <f t="shared" si="118"/>
        <v>673</v>
      </c>
      <c r="E678" s="225" t="str">
        <f t="shared" ca="1" si="114"/>
        <v/>
      </c>
      <c r="F678" s="224" t="str">
        <f t="shared" si="120"/>
        <v>CASSA</v>
      </c>
      <c r="G678" s="384" t="str">
        <f t="shared" ca="1" si="115"/>
        <v/>
      </c>
      <c r="H678" s="512">
        <f t="shared" ca="1" si="116"/>
        <v>0</v>
      </c>
      <c r="I678" s="1603" t="str">
        <f t="shared" ca="1" si="110"/>
        <v/>
      </c>
      <c r="J678" s="1604"/>
      <c r="K678" s="373"/>
      <c r="L678" s="513">
        <f t="shared" ca="1" si="119"/>
        <v>656.58</v>
      </c>
      <c r="M678" s="654">
        <f t="shared" ca="1" si="117"/>
        <v>1</v>
      </c>
      <c r="N678" s="226">
        <f t="shared" ca="1" si="111"/>
        <v>0</v>
      </c>
      <c r="O678" s="1"/>
    </row>
    <row r="679" spans="1:15" ht="16.5" customHeight="1">
      <c r="A679" s="1"/>
      <c r="B679" s="657" t="str">
        <f t="shared" ca="1" si="112"/>
        <v/>
      </c>
      <c r="C679" s="223" t="str">
        <f t="shared" ca="1" si="113"/>
        <v/>
      </c>
      <c r="D679" s="519">
        <f t="shared" si="118"/>
        <v>674</v>
      </c>
      <c r="E679" s="225" t="str">
        <f t="shared" ca="1" si="114"/>
        <v/>
      </c>
      <c r="F679" s="224" t="str">
        <f t="shared" si="120"/>
        <v>CASSA</v>
      </c>
      <c r="G679" s="384" t="str">
        <f t="shared" ca="1" si="115"/>
        <v/>
      </c>
      <c r="H679" s="512">
        <f t="shared" ca="1" si="116"/>
        <v>0</v>
      </c>
      <c r="I679" s="1603" t="str">
        <f t="shared" ca="1" si="110"/>
        <v/>
      </c>
      <c r="J679" s="1604"/>
      <c r="K679" s="373"/>
      <c r="L679" s="513">
        <f t="shared" ca="1" si="119"/>
        <v>656.58</v>
      </c>
      <c r="M679" s="654">
        <f t="shared" ca="1" si="117"/>
        <v>1</v>
      </c>
      <c r="N679" s="226">
        <f t="shared" ca="1" si="111"/>
        <v>0</v>
      </c>
      <c r="O679" s="1"/>
    </row>
    <row r="680" spans="1:15" ht="16.5" customHeight="1">
      <c r="A680" s="1"/>
      <c r="B680" s="657" t="str">
        <f t="shared" ca="1" si="112"/>
        <v/>
      </c>
      <c r="C680" s="223" t="str">
        <f t="shared" ca="1" si="113"/>
        <v/>
      </c>
      <c r="D680" s="519">
        <f t="shared" si="118"/>
        <v>675</v>
      </c>
      <c r="E680" s="225" t="str">
        <f t="shared" ca="1" si="114"/>
        <v/>
      </c>
      <c r="F680" s="224" t="str">
        <f t="shared" si="120"/>
        <v>CASSA</v>
      </c>
      <c r="G680" s="384" t="str">
        <f t="shared" ca="1" si="115"/>
        <v/>
      </c>
      <c r="H680" s="512">
        <f t="shared" ca="1" si="116"/>
        <v>0</v>
      </c>
      <c r="I680" s="1603" t="str">
        <f t="shared" ca="1" si="110"/>
        <v/>
      </c>
      <c r="J680" s="1604"/>
      <c r="K680" s="373"/>
      <c r="L680" s="513">
        <f t="shared" ca="1" si="119"/>
        <v>656.58</v>
      </c>
      <c r="M680" s="654">
        <f t="shared" ca="1" si="117"/>
        <v>1</v>
      </c>
      <c r="N680" s="226">
        <f t="shared" ca="1" si="111"/>
        <v>0</v>
      </c>
      <c r="O680" s="1"/>
    </row>
    <row r="681" spans="1:15" ht="16.5" customHeight="1">
      <c r="A681" s="1"/>
      <c r="B681" s="657" t="str">
        <f t="shared" ca="1" si="112"/>
        <v/>
      </c>
      <c r="C681" s="223" t="str">
        <f t="shared" ca="1" si="113"/>
        <v/>
      </c>
      <c r="D681" s="519">
        <f t="shared" si="118"/>
        <v>676</v>
      </c>
      <c r="E681" s="225" t="str">
        <f t="shared" ca="1" si="114"/>
        <v/>
      </c>
      <c r="F681" s="224" t="str">
        <f t="shared" si="120"/>
        <v>CASSA</v>
      </c>
      <c r="G681" s="384" t="str">
        <f t="shared" ca="1" si="115"/>
        <v/>
      </c>
      <c r="H681" s="512">
        <f t="shared" ca="1" si="116"/>
        <v>0</v>
      </c>
      <c r="I681" s="1603" t="str">
        <f t="shared" ca="1" si="110"/>
        <v/>
      </c>
      <c r="J681" s="1604"/>
      <c r="K681" s="373"/>
      <c r="L681" s="513">
        <f t="shared" ca="1" si="119"/>
        <v>656.58</v>
      </c>
      <c r="M681" s="654">
        <f t="shared" ca="1" si="117"/>
        <v>1</v>
      </c>
      <c r="N681" s="226">
        <f t="shared" ca="1" si="111"/>
        <v>0</v>
      </c>
      <c r="O681" s="1"/>
    </row>
    <row r="682" spans="1:15" ht="16.5" customHeight="1">
      <c r="A682" s="1"/>
      <c r="B682" s="657" t="str">
        <f t="shared" ca="1" si="112"/>
        <v/>
      </c>
      <c r="C682" s="223" t="str">
        <f t="shared" ca="1" si="113"/>
        <v/>
      </c>
      <c r="D682" s="519">
        <f t="shared" si="118"/>
        <v>677</v>
      </c>
      <c r="E682" s="225" t="str">
        <f t="shared" ca="1" si="114"/>
        <v/>
      </c>
      <c r="F682" s="224" t="str">
        <f t="shared" si="120"/>
        <v>CASSA</v>
      </c>
      <c r="G682" s="384" t="str">
        <f t="shared" ca="1" si="115"/>
        <v/>
      </c>
      <c r="H682" s="512">
        <f t="shared" ca="1" si="116"/>
        <v>0</v>
      </c>
      <c r="I682" s="1603" t="str">
        <f t="shared" ca="1" si="110"/>
        <v/>
      </c>
      <c r="J682" s="1604"/>
      <c r="K682" s="373"/>
      <c r="L682" s="513">
        <f t="shared" ca="1" si="119"/>
        <v>656.58</v>
      </c>
      <c r="M682" s="654">
        <f t="shared" ca="1" si="117"/>
        <v>1</v>
      </c>
      <c r="N682" s="226">
        <f t="shared" ca="1" si="111"/>
        <v>0</v>
      </c>
      <c r="O682" s="1"/>
    </row>
    <row r="683" spans="1:15" ht="16.5" customHeight="1">
      <c r="A683" s="1"/>
      <c r="B683" s="657" t="str">
        <f t="shared" ca="1" si="112"/>
        <v/>
      </c>
      <c r="C683" s="223" t="str">
        <f t="shared" ca="1" si="113"/>
        <v/>
      </c>
      <c r="D683" s="519">
        <f t="shared" si="118"/>
        <v>678</v>
      </c>
      <c r="E683" s="225" t="str">
        <f t="shared" ca="1" si="114"/>
        <v/>
      </c>
      <c r="F683" s="224" t="str">
        <f t="shared" si="120"/>
        <v>CASSA</v>
      </c>
      <c r="G683" s="384" t="str">
        <f t="shared" ca="1" si="115"/>
        <v/>
      </c>
      <c r="H683" s="512">
        <f t="shared" ca="1" si="116"/>
        <v>0</v>
      </c>
      <c r="I683" s="1603" t="str">
        <f t="shared" ca="1" si="110"/>
        <v/>
      </c>
      <c r="J683" s="1604"/>
      <c r="K683" s="373"/>
      <c r="L683" s="513">
        <f t="shared" ca="1" si="119"/>
        <v>656.58</v>
      </c>
      <c r="M683" s="654">
        <f t="shared" ca="1" si="117"/>
        <v>1</v>
      </c>
      <c r="N683" s="226">
        <f t="shared" ca="1" si="111"/>
        <v>0</v>
      </c>
      <c r="O683" s="1"/>
    </row>
    <row r="684" spans="1:15" ht="16.5" customHeight="1">
      <c r="A684" s="1"/>
      <c r="B684" s="657" t="str">
        <f t="shared" ca="1" si="112"/>
        <v/>
      </c>
      <c r="C684" s="223" t="str">
        <f t="shared" ca="1" si="113"/>
        <v/>
      </c>
      <c r="D684" s="519">
        <f t="shared" si="118"/>
        <v>679</v>
      </c>
      <c r="E684" s="225" t="str">
        <f t="shared" ca="1" si="114"/>
        <v/>
      </c>
      <c r="F684" s="224" t="str">
        <f t="shared" si="120"/>
        <v>CASSA</v>
      </c>
      <c r="G684" s="384" t="str">
        <f t="shared" ca="1" si="115"/>
        <v/>
      </c>
      <c r="H684" s="512">
        <f t="shared" ca="1" si="116"/>
        <v>0</v>
      </c>
      <c r="I684" s="1603" t="str">
        <f t="shared" ca="1" si="110"/>
        <v/>
      </c>
      <c r="J684" s="1604"/>
      <c r="K684" s="373"/>
      <c r="L684" s="513">
        <f t="shared" ca="1" si="119"/>
        <v>656.58</v>
      </c>
      <c r="M684" s="654">
        <f t="shared" ca="1" si="117"/>
        <v>1</v>
      </c>
      <c r="N684" s="226">
        <f t="shared" ca="1" si="111"/>
        <v>0</v>
      </c>
      <c r="O684" s="1"/>
    </row>
    <row r="685" spans="1:15" ht="16.5" customHeight="1">
      <c r="A685" s="1"/>
      <c r="B685" s="657" t="str">
        <f t="shared" ca="1" si="112"/>
        <v/>
      </c>
      <c r="C685" s="223" t="str">
        <f t="shared" ca="1" si="113"/>
        <v/>
      </c>
      <c r="D685" s="519">
        <f t="shared" si="118"/>
        <v>680</v>
      </c>
      <c r="E685" s="225" t="str">
        <f t="shared" ca="1" si="114"/>
        <v/>
      </c>
      <c r="F685" s="224" t="str">
        <f t="shared" si="120"/>
        <v>CASSA</v>
      </c>
      <c r="G685" s="384" t="str">
        <f t="shared" ca="1" si="115"/>
        <v/>
      </c>
      <c r="H685" s="512">
        <f t="shared" ca="1" si="116"/>
        <v>0</v>
      </c>
      <c r="I685" s="1603" t="str">
        <f t="shared" ca="1" si="110"/>
        <v/>
      </c>
      <c r="J685" s="1604"/>
      <c r="K685" s="373"/>
      <c r="L685" s="513">
        <f t="shared" ca="1" si="119"/>
        <v>656.58</v>
      </c>
      <c r="M685" s="654">
        <f t="shared" ca="1" si="117"/>
        <v>1</v>
      </c>
      <c r="N685" s="226">
        <f t="shared" ca="1" si="111"/>
        <v>0</v>
      </c>
      <c r="O685" s="1"/>
    </row>
    <row r="686" spans="1:15" ht="16.5" customHeight="1">
      <c r="A686" s="1"/>
      <c r="B686" s="657" t="str">
        <f t="shared" ca="1" si="112"/>
        <v/>
      </c>
      <c r="C686" s="223" t="str">
        <f t="shared" ca="1" si="113"/>
        <v/>
      </c>
      <c r="D686" s="519">
        <f t="shared" si="118"/>
        <v>681</v>
      </c>
      <c r="E686" s="225" t="str">
        <f t="shared" ca="1" si="114"/>
        <v/>
      </c>
      <c r="F686" s="224" t="str">
        <f t="shared" si="120"/>
        <v>CASSA</v>
      </c>
      <c r="G686" s="384" t="str">
        <f t="shared" ca="1" si="115"/>
        <v/>
      </c>
      <c r="H686" s="512">
        <f t="shared" ca="1" si="116"/>
        <v>0</v>
      </c>
      <c r="I686" s="1603" t="str">
        <f t="shared" ca="1" si="110"/>
        <v/>
      </c>
      <c r="J686" s="1604"/>
      <c r="K686" s="373"/>
      <c r="L686" s="513">
        <f t="shared" ca="1" si="119"/>
        <v>656.58</v>
      </c>
      <c r="M686" s="654">
        <f t="shared" ca="1" si="117"/>
        <v>1</v>
      </c>
      <c r="N686" s="226">
        <f t="shared" ca="1" si="111"/>
        <v>0</v>
      </c>
      <c r="O686" s="1"/>
    </row>
    <row r="687" spans="1:15" ht="16.5" customHeight="1">
      <c r="A687" s="1"/>
      <c r="B687" s="657" t="str">
        <f t="shared" ca="1" si="112"/>
        <v/>
      </c>
      <c r="C687" s="223" t="str">
        <f t="shared" ca="1" si="113"/>
        <v/>
      </c>
      <c r="D687" s="519">
        <f t="shared" si="118"/>
        <v>682</v>
      </c>
      <c r="E687" s="225" t="str">
        <f t="shared" ca="1" si="114"/>
        <v/>
      </c>
      <c r="F687" s="224" t="str">
        <f t="shared" si="120"/>
        <v>CASSA</v>
      </c>
      <c r="G687" s="384" t="str">
        <f t="shared" ca="1" si="115"/>
        <v/>
      </c>
      <c r="H687" s="512">
        <f t="shared" ca="1" si="116"/>
        <v>0</v>
      </c>
      <c r="I687" s="1603" t="str">
        <f t="shared" ca="1" si="110"/>
        <v/>
      </c>
      <c r="J687" s="1604"/>
      <c r="K687" s="373"/>
      <c r="L687" s="513">
        <f t="shared" ca="1" si="119"/>
        <v>656.58</v>
      </c>
      <c r="M687" s="654">
        <f t="shared" ca="1" si="117"/>
        <v>1</v>
      </c>
      <c r="N687" s="226">
        <f t="shared" ca="1" si="111"/>
        <v>0</v>
      </c>
      <c r="O687" s="1"/>
    </row>
    <row r="688" spans="1:15" ht="16.5" customHeight="1">
      <c r="A688" s="1"/>
      <c r="B688" s="657" t="str">
        <f t="shared" ca="1" si="112"/>
        <v/>
      </c>
      <c r="C688" s="223" t="str">
        <f t="shared" ca="1" si="113"/>
        <v/>
      </c>
      <c r="D688" s="519">
        <f t="shared" si="118"/>
        <v>683</v>
      </c>
      <c r="E688" s="225" t="str">
        <f t="shared" ca="1" si="114"/>
        <v/>
      </c>
      <c r="F688" s="224" t="str">
        <f t="shared" si="120"/>
        <v>CASSA</v>
      </c>
      <c r="G688" s="384" t="str">
        <f t="shared" ca="1" si="115"/>
        <v/>
      </c>
      <c r="H688" s="512">
        <f t="shared" ca="1" si="116"/>
        <v>0</v>
      </c>
      <c r="I688" s="1603" t="str">
        <f t="shared" ca="1" si="110"/>
        <v/>
      </c>
      <c r="J688" s="1604"/>
      <c r="K688" s="373"/>
      <c r="L688" s="513">
        <f t="shared" ca="1" si="119"/>
        <v>656.58</v>
      </c>
      <c r="M688" s="654">
        <f t="shared" ca="1" si="117"/>
        <v>1</v>
      </c>
      <c r="N688" s="226">
        <f t="shared" ca="1" si="111"/>
        <v>0</v>
      </c>
      <c r="O688" s="1"/>
    </row>
    <row r="689" spans="1:15" ht="16.5" customHeight="1">
      <c r="A689" s="1"/>
      <c r="B689" s="657" t="str">
        <f t="shared" ca="1" si="112"/>
        <v/>
      </c>
      <c r="C689" s="223" t="str">
        <f t="shared" ca="1" si="113"/>
        <v/>
      </c>
      <c r="D689" s="519">
        <f t="shared" si="118"/>
        <v>684</v>
      </c>
      <c r="E689" s="225" t="str">
        <f t="shared" ca="1" si="114"/>
        <v/>
      </c>
      <c r="F689" s="224" t="str">
        <f t="shared" si="120"/>
        <v>CASSA</v>
      </c>
      <c r="G689" s="384" t="str">
        <f t="shared" ca="1" si="115"/>
        <v/>
      </c>
      <c r="H689" s="512">
        <f t="shared" ca="1" si="116"/>
        <v>0</v>
      </c>
      <c r="I689" s="1603" t="str">
        <f t="shared" ca="1" si="110"/>
        <v/>
      </c>
      <c r="J689" s="1604"/>
      <c r="K689" s="373"/>
      <c r="L689" s="513">
        <f t="shared" ca="1" si="119"/>
        <v>656.58</v>
      </c>
      <c r="M689" s="654">
        <f t="shared" ca="1" si="117"/>
        <v>1</v>
      </c>
      <c r="N689" s="226">
        <f t="shared" ca="1" si="111"/>
        <v>0</v>
      </c>
      <c r="O689" s="1"/>
    </row>
    <row r="690" spans="1:15" ht="16.5" customHeight="1">
      <c r="A690" s="1"/>
      <c r="B690" s="657" t="str">
        <f t="shared" ca="1" si="112"/>
        <v/>
      </c>
      <c r="C690" s="223" t="str">
        <f t="shared" ca="1" si="113"/>
        <v/>
      </c>
      <c r="D690" s="519">
        <f t="shared" si="118"/>
        <v>685</v>
      </c>
      <c r="E690" s="225" t="str">
        <f t="shared" ca="1" si="114"/>
        <v/>
      </c>
      <c r="F690" s="224" t="str">
        <f t="shared" si="120"/>
        <v>CASSA</v>
      </c>
      <c r="G690" s="384" t="str">
        <f t="shared" ca="1" si="115"/>
        <v/>
      </c>
      <c r="H690" s="512">
        <f t="shared" ca="1" si="116"/>
        <v>0</v>
      </c>
      <c r="I690" s="1603" t="str">
        <f t="shared" ca="1" si="110"/>
        <v/>
      </c>
      <c r="J690" s="1604"/>
      <c r="K690" s="373"/>
      <c r="L690" s="513">
        <f t="shared" ca="1" si="119"/>
        <v>656.58</v>
      </c>
      <c r="M690" s="654">
        <f t="shared" ca="1" si="117"/>
        <v>1</v>
      </c>
      <c r="N690" s="226">
        <f t="shared" ca="1" si="111"/>
        <v>0</v>
      </c>
      <c r="O690" s="1"/>
    </row>
    <row r="691" spans="1:15" ht="16.5" customHeight="1">
      <c r="A691" s="1"/>
      <c r="B691" s="657" t="str">
        <f t="shared" ca="1" si="112"/>
        <v/>
      </c>
      <c r="C691" s="223" t="str">
        <f t="shared" ca="1" si="113"/>
        <v/>
      </c>
      <c r="D691" s="519">
        <f t="shared" si="118"/>
        <v>686</v>
      </c>
      <c r="E691" s="225" t="str">
        <f t="shared" ca="1" si="114"/>
        <v/>
      </c>
      <c r="F691" s="224" t="str">
        <f t="shared" si="120"/>
        <v>CASSA</v>
      </c>
      <c r="G691" s="384" t="str">
        <f t="shared" ca="1" si="115"/>
        <v/>
      </c>
      <c r="H691" s="512">
        <f t="shared" ca="1" si="116"/>
        <v>0</v>
      </c>
      <c r="I691" s="1603" t="str">
        <f t="shared" ca="1" si="110"/>
        <v/>
      </c>
      <c r="J691" s="1604"/>
      <c r="K691" s="373"/>
      <c r="L691" s="513">
        <f t="shared" ca="1" si="119"/>
        <v>656.58</v>
      </c>
      <c r="M691" s="654">
        <f t="shared" ca="1" si="117"/>
        <v>1</v>
      </c>
      <c r="N691" s="226">
        <f t="shared" ca="1" si="111"/>
        <v>0</v>
      </c>
      <c r="O691" s="1"/>
    </row>
    <row r="692" spans="1:15" ht="16.5" customHeight="1">
      <c r="A692" s="1"/>
      <c r="B692" s="657" t="str">
        <f t="shared" ca="1" si="112"/>
        <v/>
      </c>
      <c r="C692" s="223" t="str">
        <f t="shared" ca="1" si="113"/>
        <v/>
      </c>
      <c r="D692" s="519">
        <f t="shared" si="118"/>
        <v>687</v>
      </c>
      <c r="E692" s="225" t="str">
        <f t="shared" ca="1" si="114"/>
        <v/>
      </c>
      <c r="F692" s="224" t="str">
        <f t="shared" si="120"/>
        <v>CASSA</v>
      </c>
      <c r="G692" s="384" t="str">
        <f t="shared" ca="1" si="115"/>
        <v/>
      </c>
      <c r="H692" s="512">
        <f t="shared" ca="1" si="116"/>
        <v>0</v>
      </c>
      <c r="I692" s="1603" t="str">
        <f t="shared" ca="1" si="110"/>
        <v/>
      </c>
      <c r="J692" s="1604"/>
      <c r="K692" s="373"/>
      <c r="L692" s="513">
        <f t="shared" ca="1" si="119"/>
        <v>656.58</v>
      </c>
      <c r="M692" s="654">
        <f t="shared" ca="1" si="117"/>
        <v>1</v>
      </c>
      <c r="N692" s="226">
        <f t="shared" ca="1" si="111"/>
        <v>0</v>
      </c>
      <c r="O692" s="1"/>
    </row>
    <row r="693" spans="1:15" ht="16.5" customHeight="1">
      <c r="A693" s="1"/>
      <c r="B693" s="657" t="str">
        <f t="shared" ca="1" si="112"/>
        <v/>
      </c>
      <c r="C693" s="223" t="str">
        <f t="shared" ca="1" si="113"/>
        <v/>
      </c>
      <c r="D693" s="519">
        <f t="shared" si="118"/>
        <v>688</v>
      </c>
      <c r="E693" s="225" t="str">
        <f t="shared" ca="1" si="114"/>
        <v/>
      </c>
      <c r="F693" s="224" t="str">
        <f t="shared" si="120"/>
        <v>CASSA</v>
      </c>
      <c r="G693" s="384" t="str">
        <f t="shared" ca="1" si="115"/>
        <v/>
      </c>
      <c r="H693" s="512">
        <f t="shared" ca="1" si="116"/>
        <v>0</v>
      </c>
      <c r="I693" s="1603" t="str">
        <f t="shared" ca="1" si="110"/>
        <v/>
      </c>
      <c r="J693" s="1604"/>
      <c r="K693" s="373"/>
      <c r="L693" s="513">
        <f t="shared" ca="1" si="119"/>
        <v>656.58</v>
      </c>
      <c r="M693" s="654">
        <f t="shared" ca="1" si="117"/>
        <v>1</v>
      </c>
      <c r="N693" s="226">
        <f t="shared" ca="1" si="111"/>
        <v>0</v>
      </c>
      <c r="O693" s="1"/>
    </row>
    <row r="694" spans="1:15" ht="16.5" customHeight="1">
      <c r="A694" s="1"/>
      <c r="B694" s="657" t="str">
        <f t="shared" ca="1" si="112"/>
        <v/>
      </c>
      <c r="C694" s="223" t="str">
        <f t="shared" ca="1" si="113"/>
        <v/>
      </c>
      <c r="D694" s="519">
        <f t="shared" si="118"/>
        <v>689</v>
      </c>
      <c r="E694" s="225" t="str">
        <f t="shared" ca="1" si="114"/>
        <v/>
      </c>
      <c r="F694" s="224" t="str">
        <f t="shared" si="120"/>
        <v>CASSA</v>
      </c>
      <c r="G694" s="384" t="str">
        <f t="shared" ca="1" si="115"/>
        <v/>
      </c>
      <c r="H694" s="512">
        <f t="shared" ca="1" si="116"/>
        <v>0</v>
      </c>
      <c r="I694" s="1603" t="str">
        <f t="shared" ca="1" si="110"/>
        <v/>
      </c>
      <c r="J694" s="1604"/>
      <c r="K694" s="373"/>
      <c r="L694" s="513">
        <f t="shared" ca="1" si="119"/>
        <v>656.58</v>
      </c>
      <c r="M694" s="654">
        <f t="shared" ca="1" si="117"/>
        <v>1</v>
      </c>
      <c r="N694" s="226">
        <f t="shared" ca="1" si="111"/>
        <v>0</v>
      </c>
      <c r="O694" s="1"/>
    </row>
    <row r="695" spans="1:15" ht="16.5" customHeight="1">
      <c r="A695" s="1"/>
      <c r="B695" s="657" t="str">
        <f t="shared" ca="1" si="112"/>
        <v/>
      </c>
      <c r="C695" s="223" t="str">
        <f t="shared" ca="1" si="113"/>
        <v/>
      </c>
      <c r="D695" s="519">
        <f t="shared" si="118"/>
        <v>690</v>
      </c>
      <c r="E695" s="225" t="str">
        <f t="shared" ca="1" si="114"/>
        <v/>
      </c>
      <c r="F695" s="224" t="str">
        <f t="shared" si="120"/>
        <v>CASSA</v>
      </c>
      <c r="G695" s="384" t="str">
        <f t="shared" ca="1" si="115"/>
        <v/>
      </c>
      <c r="H695" s="512">
        <f t="shared" ca="1" si="116"/>
        <v>0</v>
      </c>
      <c r="I695" s="1603" t="str">
        <f t="shared" ca="1" si="110"/>
        <v/>
      </c>
      <c r="J695" s="1604"/>
      <c r="K695" s="373"/>
      <c r="L695" s="513">
        <f t="shared" ca="1" si="119"/>
        <v>656.58</v>
      </c>
      <c r="M695" s="654">
        <f t="shared" ca="1" si="117"/>
        <v>1</v>
      </c>
      <c r="N695" s="226">
        <f t="shared" ca="1" si="111"/>
        <v>0</v>
      </c>
      <c r="O695" s="1"/>
    </row>
    <row r="696" spans="1:15" ht="16.5" customHeight="1">
      <c r="A696" s="1"/>
      <c r="B696" s="657" t="str">
        <f t="shared" ca="1" si="112"/>
        <v/>
      </c>
      <c r="C696" s="223" t="str">
        <f t="shared" ca="1" si="113"/>
        <v/>
      </c>
      <c r="D696" s="519">
        <f t="shared" si="118"/>
        <v>691</v>
      </c>
      <c r="E696" s="225" t="str">
        <f t="shared" ca="1" si="114"/>
        <v/>
      </c>
      <c r="F696" s="224" t="str">
        <f t="shared" si="120"/>
        <v>CASSA</v>
      </c>
      <c r="G696" s="384" t="str">
        <f t="shared" ca="1" si="115"/>
        <v/>
      </c>
      <c r="H696" s="512">
        <f t="shared" ca="1" si="116"/>
        <v>0</v>
      </c>
      <c r="I696" s="1603" t="str">
        <f t="shared" ca="1" si="110"/>
        <v/>
      </c>
      <c r="J696" s="1604"/>
      <c r="K696" s="373"/>
      <c r="L696" s="513">
        <f t="shared" ca="1" si="119"/>
        <v>656.58</v>
      </c>
      <c r="M696" s="654">
        <f t="shared" ca="1" si="117"/>
        <v>1</v>
      </c>
      <c r="N696" s="226">
        <f t="shared" ca="1" si="111"/>
        <v>0</v>
      </c>
      <c r="O696" s="1"/>
    </row>
    <row r="697" spans="1:15" ht="16.5" customHeight="1">
      <c r="A697" s="1"/>
      <c r="B697" s="657" t="str">
        <f t="shared" ca="1" si="112"/>
        <v/>
      </c>
      <c r="C697" s="223" t="str">
        <f t="shared" ca="1" si="113"/>
        <v/>
      </c>
      <c r="D697" s="519">
        <f t="shared" si="118"/>
        <v>692</v>
      </c>
      <c r="E697" s="225" t="str">
        <f t="shared" ca="1" si="114"/>
        <v/>
      </c>
      <c r="F697" s="224" t="str">
        <f t="shared" si="120"/>
        <v>CASSA</v>
      </c>
      <c r="G697" s="384" t="str">
        <f t="shared" ca="1" si="115"/>
        <v/>
      </c>
      <c r="H697" s="512">
        <f t="shared" ca="1" si="116"/>
        <v>0</v>
      </c>
      <c r="I697" s="1603" t="str">
        <f t="shared" ca="1" si="110"/>
        <v/>
      </c>
      <c r="J697" s="1604"/>
      <c r="K697" s="373"/>
      <c r="L697" s="513">
        <f t="shared" ca="1" si="119"/>
        <v>656.58</v>
      </c>
      <c r="M697" s="654">
        <f t="shared" ca="1" si="117"/>
        <v>1</v>
      </c>
      <c r="N697" s="226">
        <f t="shared" ca="1" si="111"/>
        <v>0</v>
      </c>
      <c r="O697" s="1"/>
    </row>
    <row r="698" spans="1:15" ht="16.5" customHeight="1">
      <c r="A698" s="1"/>
      <c r="B698" s="657" t="str">
        <f t="shared" ca="1" si="112"/>
        <v/>
      </c>
      <c r="C698" s="223" t="str">
        <f t="shared" ca="1" si="113"/>
        <v/>
      </c>
      <c r="D698" s="519">
        <f t="shared" si="118"/>
        <v>693</v>
      </c>
      <c r="E698" s="225" t="str">
        <f t="shared" ca="1" si="114"/>
        <v/>
      </c>
      <c r="F698" s="224" t="str">
        <f t="shared" si="120"/>
        <v>CASSA</v>
      </c>
      <c r="G698" s="384" t="str">
        <f t="shared" ca="1" si="115"/>
        <v/>
      </c>
      <c r="H698" s="512">
        <f t="shared" ca="1" si="116"/>
        <v>0</v>
      </c>
      <c r="I698" s="1603" t="str">
        <f t="shared" ca="1" si="110"/>
        <v/>
      </c>
      <c r="J698" s="1604"/>
      <c r="K698" s="373"/>
      <c r="L698" s="513">
        <f t="shared" ca="1" si="119"/>
        <v>656.58</v>
      </c>
      <c r="M698" s="654">
        <f t="shared" ca="1" si="117"/>
        <v>1</v>
      </c>
      <c r="N698" s="226">
        <f t="shared" ca="1" si="111"/>
        <v>0</v>
      </c>
      <c r="O698" s="1"/>
    </row>
    <row r="699" spans="1:15" ht="16.5" customHeight="1">
      <c r="A699" s="1"/>
      <c r="B699" s="657" t="str">
        <f t="shared" ca="1" si="112"/>
        <v/>
      </c>
      <c r="C699" s="223" t="str">
        <f t="shared" ca="1" si="113"/>
        <v/>
      </c>
      <c r="D699" s="519">
        <f t="shared" si="118"/>
        <v>694</v>
      </c>
      <c r="E699" s="225" t="str">
        <f t="shared" ca="1" si="114"/>
        <v/>
      </c>
      <c r="F699" s="224" t="str">
        <f t="shared" si="120"/>
        <v>CASSA</v>
      </c>
      <c r="G699" s="384" t="str">
        <f t="shared" ca="1" si="115"/>
        <v/>
      </c>
      <c r="H699" s="512">
        <f t="shared" ca="1" si="116"/>
        <v>0</v>
      </c>
      <c r="I699" s="1603" t="str">
        <f t="shared" ca="1" si="110"/>
        <v/>
      </c>
      <c r="J699" s="1604"/>
      <c r="K699" s="373"/>
      <c r="L699" s="513">
        <f t="shared" ca="1" si="119"/>
        <v>656.58</v>
      </c>
      <c r="M699" s="654">
        <f t="shared" ca="1" si="117"/>
        <v>1</v>
      </c>
      <c r="N699" s="226">
        <f t="shared" ca="1" si="111"/>
        <v>0</v>
      </c>
      <c r="O699" s="1"/>
    </row>
    <row r="700" spans="1:15" ht="16.5" customHeight="1">
      <c r="A700" s="1"/>
      <c r="B700" s="657" t="str">
        <f t="shared" ca="1" si="112"/>
        <v/>
      </c>
      <c r="C700" s="223" t="str">
        <f t="shared" ca="1" si="113"/>
        <v/>
      </c>
      <c r="D700" s="519">
        <f t="shared" si="118"/>
        <v>695</v>
      </c>
      <c r="E700" s="225" t="str">
        <f t="shared" ca="1" si="114"/>
        <v/>
      </c>
      <c r="F700" s="224" t="str">
        <f t="shared" si="120"/>
        <v>CASSA</v>
      </c>
      <c r="G700" s="384" t="str">
        <f t="shared" ca="1" si="115"/>
        <v/>
      </c>
      <c r="H700" s="512">
        <f t="shared" ca="1" si="116"/>
        <v>0</v>
      </c>
      <c r="I700" s="1603" t="str">
        <f t="shared" ca="1" si="110"/>
        <v/>
      </c>
      <c r="J700" s="1604"/>
      <c r="K700" s="373"/>
      <c r="L700" s="513">
        <f t="shared" ca="1" si="119"/>
        <v>656.58</v>
      </c>
      <c r="M700" s="654">
        <f t="shared" ca="1" si="117"/>
        <v>1</v>
      </c>
      <c r="N700" s="226">
        <f t="shared" ca="1" si="111"/>
        <v>0</v>
      </c>
      <c r="O700" s="1"/>
    </row>
    <row r="701" spans="1:15" ht="16.5" customHeight="1">
      <c r="A701" s="1"/>
      <c r="B701" s="657" t="str">
        <f t="shared" ca="1" si="112"/>
        <v/>
      </c>
      <c r="C701" s="223" t="str">
        <f t="shared" ca="1" si="113"/>
        <v/>
      </c>
      <c r="D701" s="519">
        <f t="shared" si="118"/>
        <v>696</v>
      </c>
      <c r="E701" s="225" t="str">
        <f t="shared" ca="1" si="114"/>
        <v/>
      </c>
      <c r="F701" s="224" t="str">
        <f t="shared" si="120"/>
        <v>CASSA</v>
      </c>
      <c r="G701" s="384" t="str">
        <f t="shared" ca="1" si="115"/>
        <v/>
      </c>
      <c r="H701" s="512">
        <f t="shared" ca="1" si="116"/>
        <v>0</v>
      </c>
      <c r="I701" s="1603" t="str">
        <f t="shared" ca="1" si="110"/>
        <v/>
      </c>
      <c r="J701" s="1604"/>
      <c r="K701" s="373"/>
      <c r="L701" s="513">
        <f t="shared" ca="1" si="119"/>
        <v>656.58</v>
      </c>
      <c r="M701" s="654">
        <f t="shared" ca="1" si="117"/>
        <v>1</v>
      </c>
      <c r="N701" s="226">
        <f t="shared" ca="1" si="111"/>
        <v>0</v>
      </c>
      <c r="O701" s="1"/>
    </row>
    <row r="702" spans="1:15" ht="16.5" customHeight="1">
      <c r="A702" s="1"/>
      <c r="B702" s="657" t="str">
        <f t="shared" ca="1" si="112"/>
        <v/>
      </c>
      <c r="C702" s="223" t="str">
        <f t="shared" ca="1" si="113"/>
        <v/>
      </c>
      <c r="D702" s="519">
        <f t="shared" si="118"/>
        <v>697</v>
      </c>
      <c r="E702" s="225" t="str">
        <f t="shared" ca="1" si="114"/>
        <v/>
      </c>
      <c r="F702" s="224" t="str">
        <f t="shared" si="120"/>
        <v>CASSA</v>
      </c>
      <c r="G702" s="384" t="str">
        <f t="shared" ca="1" si="115"/>
        <v/>
      </c>
      <c r="H702" s="512">
        <f t="shared" ca="1" si="116"/>
        <v>0</v>
      </c>
      <c r="I702" s="1603" t="str">
        <f t="shared" ca="1" si="110"/>
        <v/>
      </c>
      <c r="J702" s="1604"/>
      <c r="K702" s="373"/>
      <c r="L702" s="513">
        <f t="shared" ca="1" si="119"/>
        <v>656.58</v>
      </c>
      <c r="M702" s="654">
        <f t="shared" ca="1" si="117"/>
        <v>1</v>
      </c>
      <c r="N702" s="226">
        <f t="shared" ca="1" si="111"/>
        <v>0</v>
      </c>
      <c r="O702" s="1"/>
    </row>
    <row r="703" spans="1:15" ht="16.5" customHeight="1">
      <c r="A703" s="1"/>
      <c r="B703" s="657" t="str">
        <f t="shared" ca="1" si="112"/>
        <v/>
      </c>
      <c r="C703" s="223" t="str">
        <f t="shared" ca="1" si="113"/>
        <v/>
      </c>
      <c r="D703" s="519">
        <f t="shared" si="118"/>
        <v>698</v>
      </c>
      <c r="E703" s="225" t="str">
        <f t="shared" ca="1" si="114"/>
        <v/>
      </c>
      <c r="F703" s="224" t="str">
        <f t="shared" si="120"/>
        <v>CASSA</v>
      </c>
      <c r="G703" s="384" t="str">
        <f t="shared" ca="1" si="115"/>
        <v/>
      </c>
      <c r="H703" s="512">
        <f t="shared" ca="1" si="116"/>
        <v>0</v>
      </c>
      <c r="I703" s="1603" t="str">
        <f t="shared" ca="1" si="110"/>
        <v/>
      </c>
      <c r="J703" s="1604"/>
      <c r="K703" s="373"/>
      <c r="L703" s="513">
        <f t="shared" ca="1" si="119"/>
        <v>656.58</v>
      </c>
      <c r="M703" s="654">
        <f t="shared" ca="1" si="117"/>
        <v>1</v>
      </c>
      <c r="N703" s="226">
        <f t="shared" ca="1" si="111"/>
        <v>0</v>
      </c>
      <c r="O703" s="1"/>
    </row>
    <row r="704" spans="1:15" ht="16.5" customHeight="1">
      <c r="A704" s="1"/>
      <c r="B704" s="657" t="str">
        <f t="shared" ca="1" si="112"/>
        <v/>
      </c>
      <c r="C704" s="223" t="str">
        <f t="shared" ca="1" si="113"/>
        <v/>
      </c>
      <c r="D704" s="519">
        <f t="shared" si="118"/>
        <v>699</v>
      </c>
      <c r="E704" s="225" t="str">
        <f t="shared" ca="1" si="114"/>
        <v/>
      </c>
      <c r="F704" s="224" t="str">
        <f t="shared" si="120"/>
        <v>CASSA</v>
      </c>
      <c r="G704" s="384" t="str">
        <f t="shared" ca="1" si="115"/>
        <v/>
      </c>
      <c r="H704" s="512">
        <f t="shared" ca="1" si="116"/>
        <v>0</v>
      </c>
      <c r="I704" s="1603" t="str">
        <f t="shared" ca="1" si="110"/>
        <v/>
      </c>
      <c r="J704" s="1604"/>
      <c r="K704" s="373"/>
      <c r="L704" s="513">
        <f t="shared" ca="1" si="119"/>
        <v>656.58</v>
      </c>
      <c r="M704" s="654">
        <f t="shared" ca="1" si="117"/>
        <v>1</v>
      </c>
      <c r="N704" s="226">
        <f t="shared" ca="1" si="111"/>
        <v>0</v>
      </c>
      <c r="O704" s="1"/>
    </row>
    <row r="705" spans="1:15" ht="16.5" customHeight="1">
      <c r="A705" s="1"/>
      <c r="B705" s="657" t="str">
        <f t="shared" ca="1" si="112"/>
        <v/>
      </c>
      <c r="C705" s="223" t="str">
        <f t="shared" ca="1" si="113"/>
        <v/>
      </c>
      <c r="D705" s="519">
        <f t="shared" si="118"/>
        <v>700</v>
      </c>
      <c r="E705" s="225" t="str">
        <f t="shared" ca="1" si="114"/>
        <v/>
      </c>
      <c r="F705" s="224" t="str">
        <f t="shared" si="120"/>
        <v>CASSA</v>
      </c>
      <c r="G705" s="384" t="str">
        <f t="shared" ca="1" si="115"/>
        <v/>
      </c>
      <c r="H705" s="512">
        <f t="shared" ca="1" si="116"/>
        <v>0</v>
      </c>
      <c r="I705" s="1603" t="str">
        <f t="shared" ca="1" si="110"/>
        <v/>
      </c>
      <c r="J705" s="1604"/>
      <c r="K705" s="373"/>
      <c r="L705" s="513">
        <f t="shared" ca="1" si="119"/>
        <v>656.58</v>
      </c>
      <c r="M705" s="654">
        <f t="shared" ca="1" si="117"/>
        <v>1</v>
      </c>
      <c r="N705" s="226">
        <f t="shared" ca="1" si="111"/>
        <v>0</v>
      </c>
      <c r="O705" s="1"/>
    </row>
    <row r="706" spans="1:15" ht="16.5" customHeight="1">
      <c r="A706" s="1"/>
      <c r="B706" s="657" t="str">
        <f t="shared" ca="1" si="112"/>
        <v/>
      </c>
      <c r="C706" s="223" t="str">
        <f t="shared" ca="1" si="113"/>
        <v/>
      </c>
      <c r="D706" s="519">
        <f t="shared" si="118"/>
        <v>701</v>
      </c>
      <c r="E706" s="225" t="str">
        <f t="shared" ca="1" si="114"/>
        <v/>
      </c>
      <c r="F706" s="224" t="str">
        <f t="shared" si="120"/>
        <v>CASSA</v>
      </c>
      <c r="G706" s="384" t="str">
        <f t="shared" ca="1" si="115"/>
        <v/>
      </c>
      <c r="H706" s="512">
        <f t="shared" ca="1" si="116"/>
        <v>0</v>
      </c>
      <c r="I706" s="1603" t="str">
        <f t="shared" ca="1" si="110"/>
        <v/>
      </c>
      <c r="J706" s="1604"/>
      <c r="K706" s="373"/>
      <c r="L706" s="513">
        <f t="shared" ca="1" si="119"/>
        <v>656.58</v>
      </c>
      <c r="M706" s="654">
        <f t="shared" ca="1" si="117"/>
        <v>1</v>
      </c>
      <c r="N706" s="226">
        <f t="shared" ca="1" si="111"/>
        <v>0</v>
      </c>
      <c r="O706" s="1"/>
    </row>
    <row r="707" spans="1:15" ht="16.5" customHeight="1">
      <c r="A707" s="1"/>
      <c r="B707" s="657" t="str">
        <f t="shared" ca="1" si="112"/>
        <v/>
      </c>
      <c r="C707" s="223" t="str">
        <f t="shared" ca="1" si="113"/>
        <v/>
      </c>
      <c r="D707" s="519">
        <f t="shared" si="118"/>
        <v>702</v>
      </c>
      <c r="E707" s="225" t="str">
        <f t="shared" ca="1" si="114"/>
        <v/>
      </c>
      <c r="F707" s="224" t="str">
        <f t="shared" si="120"/>
        <v>CASSA</v>
      </c>
      <c r="G707" s="384" t="str">
        <f t="shared" ca="1" si="115"/>
        <v/>
      </c>
      <c r="H707" s="512">
        <f t="shared" ca="1" si="116"/>
        <v>0</v>
      </c>
      <c r="I707" s="1603" t="str">
        <f t="shared" ca="1" si="110"/>
        <v/>
      </c>
      <c r="J707" s="1604"/>
      <c r="K707" s="373"/>
      <c r="L707" s="513">
        <f t="shared" ca="1" si="119"/>
        <v>656.58</v>
      </c>
      <c r="M707" s="654">
        <f t="shared" ca="1" si="117"/>
        <v>1</v>
      </c>
      <c r="N707" s="226">
        <f t="shared" ca="1" si="111"/>
        <v>0</v>
      </c>
      <c r="O707" s="1"/>
    </row>
    <row r="708" spans="1:15" ht="16.5" customHeight="1">
      <c r="A708" s="1"/>
      <c r="B708" s="657" t="str">
        <f t="shared" ca="1" si="112"/>
        <v/>
      </c>
      <c r="C708" s="223" t="str">
        <f t="shared" ca="1" si="113"/>
        <v/>
      </c>
      <c r="D708" s="519">
        <f t="shared" si="118"/>
        <v>703</v>
      </c>
      <c r="E708" s="225" t="str">
        <f t="shared" ca="1" si="114"/>
        <v/>
      </c>
      <c r="F708" s="224" t="str">
        <f t="shared" si="120"/>
        <v>CASSA</v>
      </c>
      <c r="G708" s="384" t="str">
        <f t="shared" ca="1" si="115"/>
        <v/>
      </c>
      <c r="H708" s="512">
        <f t="shared" ca="1" si="116"/>
        <v>0</v>
      </c>
      <c r="I708" s="1603" t="str">
        <f t="shared" ca="1" si="110"/>
        <v/>
      </c>
      <c r="J708" s="1604"/>
      <c r="K708" s="373"/>
      <c r="L708" s="513">
        <f t="shared" ca="1" si="119"/>
        <v>656.58</v>
      </c>
      <c r="M708" s="654">
        <f t="shared" ca="1" si="117"/>
        <v>1</v>
      </c>
      <c r="N708" s="226">
        <f t="shared" ca="1" si="111"/>
        <v>0</v>
      </c>
      <c r="O708" s="1"/>
    </row>
    <row r="709" spans="1:15" ht="16.5" customHeight="1">
      <c r="A709" s="1"/>
      <c r="B709" s="657" t="str">
        <f t="shared" ca="1" si="112"/>
        <v/>
      </c>
      <c r="C709" s="223" t="str">
        <f t="shared" ca="1" si="113"/>
        <v/>
      </c>
      <c r="D709" s="519">
        <f t="shared" si="118"/>
        <v>704</v>
      </c>
      <c r="E709" s="225" t="str">
        <f t="shared" ca="1" si="114"/>
        <v/>
      </c>
      <c r="F709" s="224" t="str">
        <f t="shared" si="120"/>
        <v>CASSA</v>
      </c>
      <c r="G709" s="384" t="str">
        <f t="shared" ca="1" si="115"/>
        <v/>
      </c>
      <c r="H709" s="512">
        <f t="shared" ca="1" si="116"/>
        <v>0</v>
      </c>
      <c r="I709" s="1603" t="str">
        <f t="shared" ca="1" si="110"/>
        <v/>
      </c>
      <c r="J709" s="1604"/>
      <c r="K709" s="373"/>
      <c r="L709" s="513">
        <f t="shared" ca="1" si="119"/>
        <v>656.58</v>
      </c>
      <c r="M709" s="654">
        <f t="shared" ca="1" si="117"/>
        <v>1</v>
      </c>
      <c r="N709" s="226">
        <f t="shared" ca="1" si="111"/>
        <v>0</v>
      </c>
      <c r="O709" s="1"/>
    </row>
    <row r="710" spans="1:15" ht="16.5" customHeight="1">
      <c r="A710" s="1"/>
      <c r="B710" s="657" t="str">
        <f t="shared" ca="1" si="112"/>
        <v/>
      </c>
      <c r="C710" s="223" t="str">
        <f t="shared" ca="1" si="113"/>
        <v/>
      </c>
      <c r="D710" s="519">
        <f t="shared" si="118"/>
        <v>705</v>
      </c>
      <c r="E710" s="225" t="str">
        <f t="shared" ca="1" si="114"/>
        <v/>
      </c>
      <c r="F710" s="224" t="str">
        <f t="shared" si="120"/>
        <v>CASSA</v>
      </c>
      <c r="G710" s="384" t="str">
        <f t="shared" ca="1" si="115"/>
        <v/>
      </c>
      <c r="H710" s="512">
        <f t="shared" ca="1" si="116"/>
        <v>0</v>
      </c>
      <c r="I710" s="1603" t="str">
        <f t="shared" ref="I710:I773" ca="1" si="121">IF(F710="","",IF(ISERROR(VLOOKUP($D710,$B$1080:$L$4183,11,FALSE)),"",VLOOKUP($D710,$B$1080:$L$4183,11,FALSE)))</f>
        <v/>
      </c>
      <c r="J710" s="1604"/>
      <c r="K710" s="373"/>
      <c r="L710" s="513">
        <f t="shared" ca="1" si="119"/>
        <v>656.58</v>
      </c>
      <c r="M710" s="654">
        <f t="shared" ca="1" si="117"/>
        <v>1</v>
      </c>
      <c r="N710" s="226">
        <f t="shared" ref="N710:N773" ca="1" si="122">IF(ISERROR(VLOOKUP(G710,G$4171:G$4182,1,FALSE)),0,1)</f>
        <v>0</v>
      </c>
      <c r="O710" s="1"/>
    </row>
    <row r="711" spans="1:15" ht="16.5" customHeight="1">
      <c r="A711" s="1"/>
      <c r="B711" s="657" t="str">
        <f t="shared" ref="B711:B774" ca="1" si="123">IF(AND(E711&lt;&gt;"",M711=0),"[..]","")</f>
        <v/>
      </c>
      <c r="C711" s="223" t="str">
        <f t="shared" ref="C711:C774" ca="1" si="124">IF(ISBLANK(E$2),"",IF(ISERROR(VLOOKUP(D711,B$3067:B$4182,1,FALSE)),"",C$4185))</f>
        <v/>
      </c>
      <c r="D711" s="519">
        <f t="shared" si="118"/>
        <v>706</v>
      </c>
      <c r="E711" s="225" t="str">
        <f t="shared" ref="E711:E774" ca="1" si="125">IF(ISERROR(VLOOKUP($D711,$B$1080:$E$4183,4,FALSE)),"",VLOOKUP($D711,$B$1080:$E$4183,4,FALSE))</f>
        <v/>
      </c>
      <c r="F711" s="224" t="str">
        <f t="shared" si="120"/>
        <v>CASSA</v>
      </c>
      <c r="G711" s="384" t="str">
        <f t="shared" ref="G711:G774" ca="1" si="126">IF(ISERROR(VLOOKUP($D711,$B$1080:$G$4183,6,FALSE)),"",T(VLOOKUP($D711,$B$1080:$G$4183,6,FALSE)))</f>
        <v/>
      </c>
      <c r="H711" s="512">
        <f t="shared" ref="H711:H774" ca="1" si="127">IF(ISERROR(VLOOKUP($D711,$B$1080:$H$4183,7,FALSE)),0,VLOOKUP($D711,$B$1080:$H$4183,7,FALSE))*M711</f>
        <v>0</v>
      </c>
      <c r="I711" s="1603" t="str">
        <f t="shared" ca="1" si="121"/>
        <v/>
      </c>
      <c r="J711" s="1604"/>
      <c r="K711" s="373"/>
      <c r="L711" s="513">
        <f t="shared" ca="1" si="119"/>
        <v>656.58</v>
      </c>
      <c r="M711" s="654">
        <f t="shared" ref="M711:M774" ca="1" si="128">IF(AND(E711&gt;0,H$4188=0,OR(E711&lt;L$1020,E711&gt;L$1021)),0,1)</f>
        <v>1</v>
      </c>
      <c r="N711" s="226">
        <f t="shared" ca="1" si="122"/>
        <v>0</v>
      </c>
      <c r="O711" s="1"/>
    </row>
    <row r="712" spans="1:15" ht="16.5" customHeight="1">
      <c r="A712" s="1"/>
      <c r="B712" s="657" t="str">
        <f t="shared" ca="1" si="123"/>
        <v/>
      </c>
      <c r="C712" s="223" t="str">
        <f t="shared" ca="1" si="124"/>
        <v/>
      </c>
      <c r="D712" s="519">
        <f t="shared" ref="D712:D775" si="129">D711+1</f>
        <v>707</v>
      </c>
      <c r="E712" s="225" t="str">
        <f t="shared" ca="1" si="125"/>
        <v/>
      </c>
      <c r="F712" s="224" t="str">
        <f t="shared" si="120"/>
        <v>CASSA</v>
      </c>
      <c r="G712" s="384" t="str">
        <f t="shared" ca="1" si="126"/>
        <v/>
      </c>
      <c r="H712" s="512">
        <f t="shared" ca="1" si="127"/>
        <v>0</v>
      </c>
      <c r="I712" s="1603" t="str">
        <f t="shared" ca="1" si="121"/>
        <v/>
      </c>
      <c r="J712" s="1604"/>
      <c r="K712" s="373"/>
      <c r="L712" s="513">
        <f t="shared" ref="L712:L775" ca="1" si="130">ROUND(L711+H712,2)</f>
        <v>656.58</v>
      </c>
      <c r="M712" s="654">
        <f t="shared" ca="1" si="128"/>
        <v>1</v>
      </c>
      <c r="N712" s="226">
        <f t="shared" ca="1" si="122"/>
        <v>0</v>
      </c>
      <c r="O712" s="1"/>
    </row>
    <row r="713" spans="1:15" ht="16.5" customHeight="1">
      <c r="A713" s="1"/>
      <c r="B713" s="657" t="str">
        <f t="shared" ca="1" si="123"/>
        <v/>
      </c>
      <c r="C713" s="223" t="str">
        <f t="shared" ca="1" si="124"/>
        <v/>
      </c>
      <c r="D713" s="519">
        <f t="shared" si="129"/>
        <v>708</v>
      </c>
      <c r="E713" s="225" t="str">
        <f t="shared" ca="1" si="125"/>
        <v/>
      </c>
      <c r="F713" s="224" t="str">
        <f t="shared" si="120"/>
        <v>CASSA</v>
      </c>
      <c r="G713" s="384" t="str">
        <f t="shared" ca="1" si="126"/>
        <v/>
      </c>
      <c r="H713" s="512">
        <f t="shared" ca="1" si="127"/>
        <v>0</v>
      </c>
      <c r="I713" s="1603" t="str">
        <f t="shared" ca="1" si="121"/>
        <v/>
      </c>
      <c r="J713" s="1604"/>
      <c r="K713" s="373"/>
      <c r="L713" s="513">
        <f t="shared" ca="1" si="130"/>
        <v>656.58</v>
      </c>
      <c r="M713" s="654">
        <f t="shared" ca="1" si="128"/>
        <v>1</v>
      </c>
      <c r="N713" s="226">
        <f t="shared" ca="1" si="122"/>
        <v>0</v>
      </c>
      <c r="O713" s="1"/>
    </row>
    <row r="714" spans="1:15" ht="16.5" customHeight="1">
      <c r="A714" s="1"/>
      <c r="B714" s="657" t="str">
        <f t="shared" ca="1" si="123"/>
        <v/>
      </c>
      <c r="C714" s="223" t="str">
        <f t="shared" ca="1" si="124"/>
        <v/>
      </c>
      <c r="D714" s="519">
        <f t="shared" si="129"/>
        <v>709</v>
      </c>
      <c r="E714" s="225" t="str">
        <f t="shared" ca="1" si="125"/>
        <v/>
      </c>
      <c r="F714" s="224" t="str">
        <f t="shared" si="120"/>
        <v>CASSA</v>
      </c>
      <c r="G714" s="384" t="str">
        <f t="shared" ca="1" si="126"/>
        <v/>
      </c>
      <c r="H714" s="512">
        <f t="shared" ca="1" si="127"/>
        <v>0</v>
      </c>
      <c r="I714" s="1603" t="str">
        <f t="shared" ca="1" si="121"/>
        <v/>
      </c>
      <c r="J714" s="1604"/>
      <c r="K714" s="373"/>
      <c r="L714" s="513">
        <f t="shared" ca="1" si="130"/>
        <v>656.58</v>
      </c>
      <c r="M714" s="654">
        <f t="shared" ca="1" si="128"/>
        <v>1</v>
      </c>
      <c r="N714" s="226">
        <f t="shared" ca="1" si="122"/>
        <v>0</v>
      </c>
      <c r="O714" s="1"/>
    </row>
    <row r="715" spans="1:15" ht="16.5" customHeight="1">
      <c r="A715" s="1"/>
      <c r="B715" s="657" t="str">
        <f t="shared" ca="1" si="123"/>
        <v/>
      </c>
      <c r="C715" s="223" t="str">
        <f t="shared" ca="1" si="124"/>
        <v/>
      </c>
      <c r="D715" s="519">
        <f t="shared" si="129"/>
        <v>710</v>
      </c>
      <c r="E715" s="225" t="str">
        <f t="shared" ca="1" si="125"/>
        <v/>
      </c>
      <c r="F715" s="224" t="str">
        <f t="shared" si="120"/>
        <v>CASSA</v>
      </c>
      <c r="G715" s="384" t="str">
        <f t="shared" ca="1" si="126"/>
        <v/>
      </c>
      <c r="H715" s="512">
        <f t="shared" ca="1" si="127"/>
        <v>0</v>
      </c>
      <c r="I715" s="1603" t="str">
        <f t="shared" ca="1" si="121"/>
        <v/>
      </c>
      <c r="J715" s="1604"/>
      <c r="K715" s="373"/>
      <c r="L715" s="513">
        <f t="shared" ca="1" si="130"/>
        <v>656.58</v>
      </c>
      <c r="M715" s="654">
        <f t="shared" ca="1" si="128"/>
        <v>1</v>
      </c>
      <c r="N715" s="226">
        <f t="shared" ca="1" si="122"/>
        <v>0</v>
      </c>
      <c r="O715" s="1"/>
    </row>
    <row r="716" spans="1:15" ht="16.5" customHeight="1">
      <c r="A716" s="1"/>
      <c r="B716" s="657" t="str">
        <f t="shared" ca="1" si="123"/>
        <v/>
      </c>
      <c r="C716" s="223" t="str">
        <f t="shared" ca="1" si="124"/>
        <v/>
      </c>
      <c r="D716" s="519">
        <f t="shared" si="129"/>
        <v>711</v>
      </c>
      <c r="E716" s="225" t="str">
        <f t="shared" ca="1" si="125"/>
        <v/>
      </c>
      <c r="F716" s="224" t="str">
        <f t="shared" ref="F716:F779" si="131">F715</f>
        <v>CASSA</v>
      </c>
      <c r="G716" s="384" t="str">
        <f t="shared" ca="1" si="126"/>
        <v/>
      </c>
      <c r="H716" s="512">
        <f t="shared" ca="1" si="127"/>
        <v>0</v>
      </c>
      <c r="I716" s="1603" t="str">
        <f t="shared" ca="1" si="121"/>
        <v/>
      </c>
      <c r="J716" s="1604"/>
      <c r="K716" s="373"/>
      <c r="L716" s="513">
        <f t="shared" ca="1" si="130"/>
        <v>656.58</v>
      </c>
      <c r="M716" s="654">
        <f t="shared" ca="1" si="128"/>
        <v>1</v>
      </c>
      <c r="N716" s="226">
        <f t="shared" ca="1" si="122"/>
        <v>0</v>
      </c>
      <c r="O716" s="1"/>
    </row>
    <row r="717" spans="1:15" ht="16.5" customHeight="1">
      <c r="A717" s="1"/>
      <c r="B717" s="657" t="str">
        <f t="shared" ca="1" si="123"/>
        <v/>
      </c>
      <c r="C717" s="223" t="str">
        <f t="shared" ca="1" si="124"/>
        <v/>
      </c>
      <c r="D717" s="519">
        <f t="shared" si="129"/>
        <v>712</v>
      </c>
      <c r="E717" s="225" t="str">
        <f t="shared" ca="1" si="125"/>
        <v/>
      </c>
      <c r="F717" s="224" t="str">
        <f t="shared" si="131"/>
        <v>CASSA</v>
      </c>
      <c r="G717" s="384" t="str">
        <f t="shared" ca="1" si="126"/>
        <v/>
      </c>
      <c r="H717" s="512">
        <f t="shared" ca="1" si="127"/>
        <v>0</v>
      </c>
      <c r="I717" s="1603" t="str">
        <f t="shared" ca="1" si="121"/>
        <v/>
      </c>
      <c r="J717" s="1604"/>
      <c r="K717" s="373"/>
      <c r="L717" s="513">
        <f t="shared" ca="1" si="130"/>
        <v>656.58</v>
      </c>
      <c r="M717" s="654">
        <f t="shared" ca="1" si="128"/>
        <v>1</v>
      </c>
      <c r="N717" s="226">
        <f t="shared" ca="1" si="122"/>
        <v>0</v>
      </c>
      <c r="O717" s="1"/>
    </row>
    <row r="718" spans="1:15" ht="16.5" customHeight="1">
      <c r="A718" s="1"/>
      <c r="B718" s="657" t="str">
        <f t="shared" ca="1" si="123"/>
        <v/>
      </c>
      <c r="C718" s="223" t="str">
        <f t="shared" ca="1" si="124"/>
        <v/>
      </c>
      <c r="D718" s="519">
        <f t="shared" si="129"/>
        <v>713</v>
      </c>
      <c r="E718" s="225" t="str">
        <f t="shared" ca="1" si="125"/>
        <v/>
      </c>
      <c r="F718" s="224" t="str">
        <f t="shared" si="131"/>
        <v>CASSA</v>
      </c>
      <c r="G718" s="384" t="str">
        <f t="shared" ca="1" si="126"/>
        <v/>
      </c>
      <c r="H718" s="512">
        <f t="shared" ca="1" si="127"/>
        <v>0</v>
      </c>
      <c r="I718" s="1603" t="str">
        <f t="shared" ca="1" si="121"/>
        <v/>
      </c>
      <c r="J718" s="1604"/>
      <c r="K718" s="373"/>
      <c r="L718" s="513">
        <f t="shared" ca="1" si="130"/>
        <v>656.58</v>
      </c>
      <c r="M718" s="654">
        <f t="shared" ca="1" si="128"/>
        <v>1</v>
      </c>
      <c r="N718" s="226">
        <f t="shared" ca="1" si="122"/>
        <v>0</v>
      </c>
      <c r="O718" s="1"/>
    </row>
    <row r="719" spans="1:15" ht="16.5" customHeight="1">
      <c r="A719" s="1"/>
      <c r="B719" s="657" t="str">
        <f t="shared" ca="1" si="123"/>
        <v/>
      </c>
      <c r="C719" s="223" t="str">
        <f t="shared" ca="1" si="124"/>
        <v/>
      </c>
      <c r="D719" s="519">
        <f t="shared" si="129"/>
        <v>714</v>
      </c>
      <c r="E719" s="225" t="str">
        <f t="shared" ca="1" si="125"/>
        <v/>
      </c>
      <c r="F719" s="224" t="str">
        <f t="shared" si="131"/>
        <v>CASSA</v>
      </c>
      <c r="G719" s="384" t="str">
        <f t="shared" ca="1" si="126"/>
        <v/>
      </c>
      <c r="H719" s="512">
        <f t="shared" ca="1" si="127"/>
        <v>0</v>
      </c>
      <c r="I719" s="1603" t="str">
        <f t="shared" ca="1" si="121"/>
        <v/>
      </c>
      <c r="J719" s="1604"/>
      <c r="K719" s="373"/>
      <c r="L719" s="513">
        <f t="shared" ca="1" si="130"/>
        <v>656.58</v>
      </c>
      <c r="M719" s="654">
        <f t="shared" ca="1" si="128"/>
        <v>1</v>
      </c>
      <c r="N719" s="226">
        <f t="shared" ca="1" si="122"/>
        <v>0</v>
      </c>
      <c r="O719" s="1"/>
    </row>
    <row r="720" spans="1:15" ht="16.5" customHeight="1">
      <c r="A720" s="1"/>
      <c r="B720" s="657" t="str">
        <f t="shared" ca="1" si="123"/>
        <v/>
      </c>
      <c r="C720" s="223" t="str">
        <f t="shared" ca="1" si="124"/>
        <v/>
      </c>
      <c r="D720" s="519">
        <f t="shared" si="129"/>
        <v>715</v>
      </c>
      <c r="E720" s="225" t="str">
        <f t="shared" ca="1" si="125"/>
        <v/>
      </c>
      <c r="F720" s="224" t="str">
        <f t="shared" si="131"/>
        <v>CASSA</v>
      </c>
      <c r="G720" s="384" t="str">
        <f t="shared" ca="1" si="126"/>
        <v/>
      </c>
      <c r="H720" s="512">
        <f t="shared" ca="1" si="127"/>
        <v>0</v>
      </c>
      <c r="I720" s="1603" t="str">
        <f t="shared" ca="1" si="121"/>
        <v/>
      </c>
      <c r="J720" s="1604"/>
      <c r="K720" s="373"/>
      <c r="L720" s="513">
        <f t="shared" ca="1" si="130"/>
        <v>656.58</v>
      </c>
      <c r="M720" s="654">
        <f t="shared" ca="1" si="128"/>
        <v>1</v>
      </c>
      <c r="N720" s="226">
        <f t="shared" ca="1" si="122"/>
        <v>0</v>
      </c>
      <c r="O720" s="1"/>
    </row>
    <row r="721" spans="1:15" ht="16.5" customHeight="1">
      <c r="A721" s="1"/>
      <c r="B721" s="657" t="str">
        <f t="shared" ca="1" si="123"/>
        <v/>
      </c>
      <c r="C721" s="223" t="str">
        <f t="shared" ca="1" si="124"/>
        <v/>
      </c>
      <c r="D721" s="519">
        <f t="shared" si="129"/>
        <v>716</v>
      </c>
      <c r="E721" s="225" t="str">
        <f t="shared" ca="1" si="125"/>
        <v/>
      </c>
      <c r="F721" s="224" t="str">
        <f t="shared" si="131"/>
        <v>CASSA</v>
      </c>
      <c r="G721" s="384" t="str">
        <f t="shared" ca="1" si="126"/>
        <v/>
      </c>
      <c r="H721" s="512">
        <f t="shared" ca="1" si="127"/>
        <v>0</v>
      </c>
      <c r="I721" s="1603" t="str">
        <f t="shared" ca="1" si="121"/>
        <v/>
      </c>
      <c r="J721" s="1604"/>
      <c r="K721" s="373"/>
      <c r="L721" s="513">
        <f t="shared" ca="1" si="130"/>
        <v>656.58</v>
      </c>
      <c r="M721" s="654">
        <f t="shared" ca="1" si="128"/>
        <v>1</v>
      </c>
      <c r="N721" s="226">
        <f t="shared" ca="1" si="122"/>
        <v>0</v>
      </c>
      <c r="O721" s="1"/>
    </row>
    <row r="722" spans="1:15" ht="16.5" customHeight="1">
      <c r="A722" s="1"/>
      <c r="B722" s="657" t="str">
        <f t="shared" ca="1" si="123"/>
        <v/>
      </c>
      <c r="C722" s="223" t="str">
        <f t="shared" ca="1" si="124"/>
        <v/>
      </c>
      <c r="D722" s="519">
        <f t="shared" si="129"/>
        <v>717</v>
      </c>
      <c r="E722" s="225" t="str">
        <f t="shared" ca="1" si="125"/>
        <v/>
      </c>
      <c r="F722" s="224" t="str">
        <f t="shared" si="131"/>
        <v>CASSA</v>
      </c>
      <c r="G722" s="384" t="str">
        <f t="shared" ca="1" si="126"/>
        <v/>
      </c>
      <c r="H722" s="512">
        <f t="shared" ca="1" si="127"/>
        <v>0</v>
      </c>
      <c r="I722" s="1603" t="str">
        <f t="shared" ca="1" si="121"/>
        <v/>
      </c>
      <c r="J722" s="1604"/>
      <c r="K722" s="373"/>
      <c r="L722" s="513">
        <f t="shared" ca="1" si="130"/>
        <v>656.58</v>
      </c>
      <c r="M722" s="654">
        <f t="shared" ca="1" si="128"/>
        <v>1</v>
      </c>
      <c r="N722" s="226">
        <f t="shared" ca="1" si="122"/>
        <v>0</v>
      </c>
      <c r="O722" s="1"/>
    </row>
    <row r="723" spans="1:15" ht="16.5" customHeight="1">
      <c r="A723" s="1"/>
      <c r="B723" s="657" t="str">
        <f t="shared" ca="1" si="123"/>
        <v/>
      </c>
      <c r="C723" s="223" t="str">
        <f t="shared" ca="1" si="124"/>
        <v/>
      </c>
      <c r="D723" s="519">
        <f t="shared" si="129"/>
        <v>718</v>
      </c>
      <c r="E723" s="225" t="str">
        <f t="shared" ca="1" si="125"/>
        <v/>
      </c>
      <c r="F723" s="224" t="str">
        <f t="shared" si="131"/>
        <v>CASSA</v>
      </c>
      <c r="G723" s="384" t="str">
        <f t="shared" ca="1" si="126"/>
        <v/>
      </c>
      <c r="H723" s="512">
        <f t="shared" ca="1" si="127"/>
        <v>0</v>
      </c>
      <c r="I723" s="1603" t="str">
        <f t="shared" ca="1" si="121"/>
        <v/>
      </c>
      <c r="J723" s="1604"/>
      <c r="K723" s="373"/>
      <c r="L723" s="513">
        <f t="shared" ca="1" si="130"/>
        <v>656.58</v>
      </c>
      <c r="M723" s="654">
        <f t="shared" ca="1" si="128"/>
        <v>1</v>
      </c>
      <c r="N723" s="226">
        <f t="shared" ca="1" si="122"/>
        <v>0</v>
      </c>
      <c r="O723" s="1"/>
    </row>
    <row r="724" spans="1:15" ht="16.5" customHeight="1">
      <c r="A724" s="1"/>
      <c r="B724" s="657" t="str">
        <f t="shared" ca="1" si="123"/>
        <v/>
      </c>
      <c r="C724" s="223" t="str">
        <f t="shared" ca="1" si="124"/>
        <v/>
      </c>
      <c r="D724" s="519">
        <f t="shared" si="129"/>
        <v>719</v>
      </c>
      <c r="E724" s="225" t="str">
        <f t="shared" ca="1" si="125"/>
        <v/>
      </c>
      <c r="F724" s="224" t="str">
        <f t="shared" si="131"/>
        <v>CASSA</v>
      </c>
      <c r="G724" s="384" t="str">
        <f t="shared" ca="1" si="126"/>
        <v/>
      </c>
      <c r="H724" s="512">
        <f t="shared" ca="1" si="127"/>
        <v>0</v>
      </c>
      <c r="I724" s="1603" t="str">
        <f t="shared" ca="1" si="121"/>
        <v/>
      </c>
      <c r="J724" s="1604"/>
      <c r="K724" s="373"/>
      <c r="L724" s="513">
        <f t="shared" ca="1" si="130"/>
        <v>656.58</v>
      </c>
      <c r="M724" s="654">
        <f t="shared" ca="1" si="128"/>
        <v>1</v>
      </c>
      <c r="N724" s="226">
        <f t="shared" ca="1" si="122"/>
        <v>0</v>
      </c>
      <c r="O724" s="1"/>
    </row>
    <row r="725" spans="1:15" ht="16.5" customHeight="1">
      <c r="A725" s="1"/>
      <c r="B725" s="657" t="str">
        <f t="shared" ca="1" si="123"/>
        <v/>
      </c>
      <c r="C725" s="223" t="str">
        <f t="shared" ca="1" si="124"/>
        <v/>
      </c>
      <c r="D725" s="519">
        <f t="shared" si="129"/>
        <v>720</v>
      </c>
      <c r="E725" s="225" t="str">
        <f t="shared" ca="1" si="125"/>
        <v/>
      </c>
      <c r="F725" s="224" t="str">
        <f t="shared" si="131"/>
        <v>CASSA</v>
      </c>
      <c r="G725" s="384" t="str">
        <f t="shared" ca="1" si="126"/>
        <v/>
      </c>
      <c r="H725" s="512">
        <f t="shared" ca="1" si="127"/>
        <v>0</v>
      </c>
      <c r="I725" s="1603" t="str">
        <f t="shared" ca="1" si="121"/>
        <v/>
      </c>
      <c r="J725" s="1604"/>
      <c r="K725" s="373"/>
      <c r="L725" s="513">
        <f t="shared" ca="1" si="130"/>
        <v>656.58</v>
      </c>
      <c r="M725" s="654">
        <f t="shared" ca="1" si="128"/>
        <v>1</v>
      </c>
      <c r="N725" s="226">
        <f t="shared" ca="1" si="122"/>
        <v>0</v>
      </c>
      <c r="O725" s="1"/>
    </row>
    <row r="726" spans="1:15" ht="16.5" customHeight="1">
      <c r="A726" s="1"/>
      <c r="B726" s="657" t="str">
        <f t="shared" ca="1" si="123"/>
        <v/>
      </c>
      <c r="C726" s="223" t="str">
        <f t="shared" ca="1" si="124"/>
        <v/>
      </c>
      <c r="D726" s="519">
        <f t="shared" si="129"/>
        <v>721</v>
      </c>
      <c r="E726" s="225" t="str">
        <f t="shared" ca="1" si="125"/>
        <v/>
      </c>
      <c r="F726" s="224" t="str">
        <f t="shared" si="131"/>
        <v>CASSA</v>
      </c>
      <c r="G726" s="384" t="str">
        <f t="shared" ca="1" si="126"/>
        <v/>
      </c>
      <c r="H726" s="512">
        <f t="shared" ca="1" si="127"/>
        <v>0</v>
      </c>
      <c r="I726" s="1603" t="str">
        <f t="shared" ca="1" si="121"/>
        <v/>
      </c>
      <c r="J726" s="1604"/>
      <c r="K726" s="373"/>
      <c r="L726" s="513">
        <f t="shared" ca="1" si="130"/>
        <v>656.58</v>
      </c>
      <c r="M726" s="654">
        <f t="shared" ca="1" si="128"/>
        <v>1</v>
      </c>
      <c r="N726" s="226">
        <f t="shared" ca="1" si="122"/>
        <v>0</v>
      </c>
      <c r="O726" s="1"/>
    </row>
    <row r="727" spans="1:15" ht="16.5" customHeight="1">
      <c r="A727" s="1"/>
      <c r="B727" s="657" t="str">
        <f t="shared" ca="1" si="123"/>
        <v/>
      </c>
      <c r="C727" s="223" t="str">
        <f t="shared" ca="1" si="124"/>
        <v/>
      </c>
      <c r="D727" s="519">
        <f t="shared" si="129"/>
        <v>722</v>
      </c>
      <c r="E727" s="225" t="str">
        <f t="shared" ca="1" si="125"/>
        <v/>
      </c>
      <c r="F727" s="224" t="str">
        <f t="shared" si="131"/>
        <v>CASSA</v>
      </c>
      <c r="G727" s="384" t="str">
        <f t="shared" ca="1" si="126"/>
        <v/>
      </c>
      <c r="H727" s="512">
        <f t="shared" ca="1" si="127"/>
        <v>0</v>
      </c>
      <c r="I727" s="1603" t="str">
        <f t="shared" ca="1" si="121"/>
        <v/>
      </c>
      <c r="J727" s="1604"/>
      <c r="K727" s="373"/>
      <c r="L727" s="513">
        <f t="shared" ca="1" si="130"/>
        <v>656.58</v>
      </c>
      <c r="M727" s="654">
        <f t="shared" ca="1" si="128"/>
        <v>1</v>
      </c>
      <c r="N727" s="226">
        <f t="shared" ca="1" si="122"/>
        <v>0</v>
      </c>
      <c r="O727" s="1"/>
    </row>
    <row r="728" spans="1:15" ht="16.5" customHeight="1">
      <c r="A728" s="1"/>
      <c r="B728" s="657" t="str">
        <f t="shared" ca="1" si="123"/>
        <v/>
      </c>
      <c r="C728" s="223" t="str">
        <f t="shared" ca="1" si="124"/>
        <v/>
      </c>
      <c r="D728" s="519">
        <f t="shared" si="129"/>
        <v>723</v>
      </c>
      <c r="E728" s="225" t="str">
        <f t="shared" ca="1" si="125"/>
        <v/>
      </c>
      <c r="F728" s="224" t="str">
        <f t="shared" si="131"/>
        <v>CASSA</v>
      </c>
      <c r="G728" s="384" t="str">
        <f t="shared" ca="1" si="126"/>
        <v/>
      </c>
      <c r="H728" s="512">
        <f t="shared" ca="1" si="127"/>
        <v>0</v>
      </c>
      <c r="I728" s="1603" t="str">
        <f t="shared" ca="1" si="121"/>
        <v/>
      </c>
      <c r="J728" s="1604"/>
      <c r="K728" s="373"/>
      <c r="L728" s="513">
        <f t="shared" ca="1" si="130"/>
        <v>656.58</v>
      </c>
      <c r="M728" s="654">
        <f t="shared" ca="1" si="128"/>
        <v>1</v>
      </c>
      <c r="N728" s="226">
        <f t="shared" ca="1" si="122"/>
        <v>0</v>
      </c>
      <c r="O728" s="1"/>
    </row>
    <row r="729" spans="1:15" ht="16.5" customHeight="1">
      <c r="A729" s="1"/>
      <c r="B729" s="657" t="str">
        <f t="shared" ca="1" si="123"/>
        <v/>
      </c>
      <c r="C729" s="223" t="str">
        <f t="shared" ca="1" si="124"/>
        <v/>
      </c>
      <c r="D729" s="519">
        <f t="shared" si="129"/>
        <v>724</v>
      </c>
      <c r="E729" s="225" t="str">
        <f t="shared" ca="1" si="125"/>
        <v/>
      </c>
      <c r="F729" s="224" t="str">
        <f t="shared" si="131"/>
        <v>CASSA</v>
      </c>
      <c r="G729" s="384" t="str">
        <f t="shared" ca="1" si="126"/>
        <v/>
      </c>
      <c r="H729" s="512">
        <f t="shared" ca="1" si="127"/>
        <v>0</v>
      </c>
      <c r="I729" s="1603" t="str">
        <f t="shared" ca="1" si="121"/>
        <v/>
      </c>
      <c r="J729" s="1604"/>
      <c r="K729" s="373"/>
      <c r="L729" s="513">
        <f t="shared" ca="1" si="130"/>
        <v>656.58</v>
      </c>
      <c r="M729" s="654">
        <f t="shared" ca="1" si="128"/>
        <v>1</v>
      </c>
      <c r="N729" s="226">
        <f t="shared" ca="1" si="122"/>
        <v>0</v>
      </c>
      <c r="O729" s="1"/>
    </row>
    <row r="730" spans="1:15" ht="16.5" customHeight="1">
      <c r="A730" s="1"/>
      <c r="B730" s="657" t="str">
        <f t="shared" ca="1" si="123"/>
        <v/>
      </c>
      <c r="C730" s="223" t="str">
        <f t="shared" ca="1" si="124"/>
        <v/>
      </c>
      <c r="D730" s="519">
        <f t="shared" si="129"/>
        <v>725</v>
      </c>
      <c r="E730" s="225" t="str">
        <f t="shared" ca="1" si="125"/>
        <v/>
      </c>
      <c r="F730" s="224" t="str">
        <f t="shared" si="131"/>
        <v>CASSA</v>
      </c>
      <c r="G730" s="384" t="str">
        <f t="shared" ca="1" si="126"/>
        <v/>
      </c>
      <c r="H730" s="512">
        <f t="shared" ca="1" si="127"/>
        <v>0</v>
      </c>
      <c r="I730" s="1603" t="str">
        <f t="shared" ca="1" si="121"/>
        <v/>
      </c>
      <c r="J730" s="1604"/>
      <c r="K730" s="373"/>
      <c r="L730" s="513">
        <f t="shared" ca="1" si="130"/>
        <v>656.58</v>
      </c>
      <c r="M730" s="654">
        <f t="shared" ca="1" si="128"/>
        <v>1</v>
      </c>
      <c r="N730" s="226">
        <f t="shared" ca="1" si="122"/>
        <v>0</v>
      </c>
      <c r="O730" s="1"/>
    </row>
    <row r="731" spans="1:15" ht="16.5" customHeight="1">
      <c r="A731" s="1"/>
      <c r="B731" s="657" t="str">
        <f t="shared" ca="1" si="123"/>
        <v/>
      </c>
      <c r="C731" s="223" t="str">
        <f t="shared" ca="1" si="124"/>
        <v/>
      </c>
      <c r="D731" s="519">
        <f t="shared" si="129"/>
        <v>726</v>
      </c>
      <c r="E731" s="225" t="str">
        <f t="shared" ca="1" si="125"/>
        <v/>
      </c>
      <c r="F731" s="224" t="str">
        <f t="shared" si="131"/>
        <v>CASSA</v>
      </c>
      <c r="G731" s="384" t="str">
        <f t="shared" ca="1" si="126"/>
        <v/>
      </c>
      <c r="H731" s="512">
        <f t="shared" ca="1" si="127"/>
        <v>0</v>
      </c>
      <c r="I731" s="1603" t="str">
        <f t="shared" ca="1" si="121"/>
        <v/>
      </c>
      <c r="J731" s="1604"/>
      <c r="K731" s="373"/>
      <c r="L731" s="513">
        <f t="shared" ca="1" si="130"/>
        <v>656.58</v>
      </c>
      <c r="M731" s="654">
        <f t="shared" ca="1" si="128"/>
        <v>1</v>
      </c>
      <c r="N731" s="226">
        <f t="shared" ca="1" si="122"/>
        <v>0</v>
      </c>
      <c r="O731" s="1"/>
    </row>
    <row r="732" spans="1:15" ht="16.5" customHeight="1">
      <c r="A732" s="1"/>
      <c r="B732" s="657" t="str">
        <f t="shared" ca="1" si="123"/>
        <v/>
      </c>
      <c r="C732" s="223" t="str">
        <f t="shared" ca="1" si="124"/>
        <v/>
      </c>
      <c r="D732" s="519">
        <f t="shared" si="129"/>
        <v>727</v>
      </c>
      <c r="E732" s="225" t="str">
        <f t="shared" ca="1" si="125"/>
        <v/>
      </c>
      <c r="F732" s="224" t="str">
        <f t="shared" si="131"/>
        <v>CASSA</v>
      </c>
      <c r="G732" s="384" t="str">
        <f t="shared" ca="1" si="126"/>
        <v/>
      </c>
      <c r="H732" s="512">
        <f t="shared" ca="1" si="127"/>
        <v>0</v>
      </c>
      <c r="I732" s="1603" t="str">
        <f t="shared" ca="1" si="121"/>
        <v/>
      </c>
      <c r="J732" s="1604"/>
      <c r="K732" s="373"/>
      <c r="L732" s="513">
        <f t="shared" ca="1" si="130"/>
        <v>656.58</v>
      </c>
      <c r="M732" s="654">
        <f t="shared" ca="1" si="128"/>
        <v>1</v>
      </c>
      <c r="N732" s="226">
        <f t="shared" ca="1" si="122"/>
        <v>0</v>
      </c>
      <c r="O732" s="1"/>
    </row>
    <row r="733" spans="1:15" ht="16.5" customHeight="1">
      <c r="A733" s="1"/>
      <c r="B733" s="657" t="str">
        <f t="shared" ca="1" si="123"/>
        <v/>
      </c>
      <c r="C733" s="223" t="str">
        <f t="shared" ca="1" si="124"/>
        <v/>
      </c>
      <c r="D733" s="519">
        <f t="shared" si="129"/>
        <v>728</v>
      </c>
      <c r="E733" s="225" t="str">
        <f t="shared" ca="1" si="125"/>
        <v/>
      </c>
      <c r="F733" s="224" t="str">
        <f t="shared" si="131"/>
        <v>CASSA</v>
      </c>
      <c r="G733" s="384" t="str">
        <f t="shared" ca="1" si="126"/>
        <v/>
      </c>
      <c r="H733" s="512">
        <f t="shared" ca="1" si="127"/>
        <v>0</v>
      </c>
      <c r="I733" s="1603" t="str">
        <f t="shared" ca="1" si="121"/>
        <v/>
      </c>
      <c r="J733" s="1604"/>
      <c r="K733" s="373"/>
      <c r="L733" s="513">
        <f t="shared" ca="1" si="130"/>
        <v>656.58</v>
      </c>
      <c r="M733" s="654">
        <f t="shared" ca="1" si="128"/>
        <v>1</v>
      </c>
      <c r="N733" s="226">
        <f t="shared" ca="1" si="122"/>
        <v>0</v>
      </c>
      <c r="O733" s="1"/>
    </row>
    <row r="734" spans="1:15" ht="16.5" customHeight="1">
      <c r="A734" s="1"/>
      <c r="B734" s="657" t="str">
        <f t="shared" ca="1" si="123"/>
        <v/>
      </c>
      <c r="C734" s="223" t="str">
        <f t="shared" ca="1" si="124"/>
        <v/>
      </c>
      <c r="D734" s="519">
        <f t="shared" si="129"/>
        <v>729</v>
      </c>
      <c r="E734" s="225" t="str">
        <f t="shared" ca="1" si="125"/>
        <v/>
      </c>
      <c r="F734" s="224" t="str">
        <f t="shared" si="131"/>
        <v>CASSA</v>
      </c>
      <c r="G734" s="384" t="str">
        <f t="shared" ca="1" si="126"/>
        <v/>
      </c>
      <c r="H734" s="512">
        <f t="shared" ca="1" si="127"/>
        <v>0</v>
      </c>
      <c r="I734" s="1603" t="str">
        <f t="shared" ca="1" si="121"/>
        <v/>
      </c>
      <c r="J734" s="1604"/>
      <c r="K734" s="373"/>
      <c r="L734" s="513">
        <f t="shared" ca="1" si="130"/>
        <v>656.58</v>
      </c>
      <c r="M734" s="654">
        <f t="shared" ca="1" si="128"/>
        <v>1</v>
      </c>
      <c r="N734" s="226">
        <f t="shared" ca="1" si="122"/>
        <v>0</v>
      </c>
      <c r="O734" s="1"/>
    </row>
    <row r="735" spans="1:15" ht="16.5" customHeight="1">
      <c r="A735" s="1"/>
      <c r="B735" s="657" t="str">
        <f t="shared" ca="1" si="123"/>
        <v/>
      </c>
      <c r="C735" s="223" t="str">
        <f t="shared" ca="1" si="124"/>
        <v/>
      </c>
      <c r="D735" s="519">
        <f t="shared" si="129"/>
        <v>730</v>
      </c>
      <c r="E735" s="225" t="str">
        <f t="shared" ca="1" si="125"/>
        <v/>
      </c>
      <c r="F735" s="224" t="str">
        <f t="shared" si="131"/>
        <v>CASSA</v>
      </c>
      <c r="G735" s="384" t="str">
        <f t="shared" ca="1" si="126"/>
        <v/>
      </c>
      <c r="H735" s="512">
        <f t="shared" ca="1" si="127"/>
        <v>0</v>
      </c>
      <c r="I735" s="1603" t="str">
        <f t="shared" ca="1" si="121"/>
        <v/>
      </c>
      <c r="J735" s="1604"/>
      <c r="K735" s="373"/>
      <c r="L735" s="513">
        <f t="shared" ca="1" si="130"/>
        <v>656.58</v>
      </c>
      <c r="M735" s="654">
        <f t="shared" ca="1" si="128"/>
        <v>1</v>
      </c>
      <c r="N735" s="226">
        <f t="shared" ca="1" si="122"/>
        <v>0</v>
      </c>
      <c r="O735" s="1"/>
    </row>
    <row r="736" spans="1:15" ht="16.5" customHeight="1">
      <c r="A736" s="1"/>
      <c r="B736" s="657" t="str">
        <f t="shared" ca="1" si="123"/>
        <v/>
      </c>
      <c r="C736" s="223" t="str">
        <f t="shared" ca="1" si="124"/>
        <v/>
      </c>
      <c r="D736" s="519">
        <f t="shared" si="129"/>
        <v>731</v>
      </c>
      <c r="E736" s="225" t="str">
        <f t="shared" ca="1" si="125"/>
        <v/>
      </c>
      <c r="F736" s="224" t="str">
        <f t="shared" si="131"/>
        <v>CASSA</v>
      </c>
      <c r="G736" s="384" t="str">
        <f t="shared" ca="1" si="126"/>
        <v/>
      </c>
      <c r="H736" s="512">
        <f t="shared" ca="1" si="127"/>
        <v>0</v>
      </c>
      <c r="I736" s="1603" t="str">
        <f t="shared" ca="1" si="121"/>
        <v/>
      </c>
      <c r="J736" s="1604"/>
      <c r="K736" s="373"/>
      <c r="L736" s="513">
        <f t="shared" ca="1" si="130"/>
        <v>656.58</v>
      </c>
      <c r="M736" s="654">
        <f t="shared" ca="1" si="128"/>
        <v>1</v>
      </c>
      <c r="N736" s="226">
        <f t="shared" ca="1" si="122"/>
        <v>0</v>
      </c>
      <c r="O736" s="1"/>
    </row>
    <row r="737" spans="1:15" ht="16.5" customHeight="1">
      <c r="A737" s="1"/>
      <c r="B737" s="657" t="str">
        <f t="shared" ca="1" si="123"/>
        <v/>
      </c>
      <c r="C737" s="223" t="str">
        <f t="shared" ca="1" si="124"/>
        <v/>
      </c>
      <c r="D737" s="519">
        <f t="shared" si="129"/>
        <v>732</v>
      </c>
      <c r="E737" s="225" t="str">
        <f t="shared" ca="1" si="125"/>
        <v/>
      </c>
      <c r="F737" s="224" t="str">
        <f t="shared" si="131"/>
        <v>CASSA</v>
      </c>
      <c r="G737" s="384" t="str">
        <f t="shared" ca="1" si="126"/>
        <v/>
      </c>
      <c r="H737" s="512">
        <f t="shared" ca="1" si="127"/>
        <v>0</v>
      </c>
      <c r="I737" s="1603" t="str">
        <f t="shared" ca="1" si="121"/>
        <v/>
      </c>
      <c r="J737" s="1604"/>
      <c r="K737" s="373"/>
      <c r="L737" s="513">
        <f t="shared" ca="1" si="130"/>
        <v>656.58</v>
      </c>
      <c r="M737" s="654">
        <f t="shared" ca="1" si="128"/>
        <v>1</v>
      </c>
      <c r="N737" s="226">
        <f t="shared" ca="1" si="122"/>
        <v>0</v>
      </c>
      <c r="O737" s="1"/>
    </row>
    <row r="738" spans="1:15" ht="16.5" customHeight="1">
      <c r="A738" s="1"/>
      <c r="B738" s="657" t="str">
        <f t="shared" ca="1" si="123"/>
        <v/>
      </c>
      <c r="C738" s="223" t="str">
        <f t="shared" ca="1" si="124"/>
        <v/>
      </c>
      <c r="D738" s="519">
        <f t="shared" si="129"/>
        <v>733</v>
      </c>
      <c r="E738" s="225" t="str">
        <f t="shared" ca="1" si="125"/>
        <v/>
      </c>
      <c r="F738" s="224" t="str">
        <f t="shared" si="131"/>
        <v>CASSA</v>
      </c>
      <c r="G738" s="384" t="str">
        <f t="shared" ca="1" si="126"/>
        <v/>
      </c>
      <c r="H738" s="512">
        <f t="shared" ca="1" si="127"/>
        <v>0</v>
      </c>
      <c r="I738" s="1603" t="str">
        <f t="shared" ca="1" si="121"/>
        <v/>
      </c>
      <c r="J738" s="1604"/>
      <c r="K738" s="373"/>
      <c r="L738" s="513">
        <f t="shared" ca="1" si="130"/>
        <v>656.58</v>
      </c>
      <c r="M738" s="654">
        <f t="shared" ca="1" si="128"/>
        <v>1</v>
      </c>
      <c r="N738" s="226">
        <f t="shared" ca="1" si="122"/>
        <v>0</v>
      </c>
      <c r="O738" s="1"/>
    </row>
    <row r="739" spans="1:15" ht="16.5" customHeight="1">
      <c r="A739" s="1"/>
      <c r="B739" s="657" t="str">
        <f t="shared" ca="1" si="123"/>
        <v/>
      </c>
      <c r="C739" s="223" t="str">
        <f t="shared" ca="1" si="124"/>
        <v/>
      </c>
      <c r="D739" s="519">
        <f t="shared" si="129"/>
        <v>734</v>
      </c>
      <c r="E739" s="225" t="str">
        <f t="shared" ca="1" si="125"/>
        <v/>
      </c>
      <c r="F739" s="224" t="str">
        <f t="shared" si="131"/>
        <v>CASSA</v>
      </c>
      <c r="G739" s="384" t="str">
        <f t="shared" ca="1" si="126"/>
        <v/>
      </c>
      <c r="H739" s="512">
        <f t="shared" ca="1" si="127"/>
        <v>0</v>
      </c>
      <c r="I739" s="1603" t="str">
        <f t="shared" ca="1" si="121"/>
        <v/>
      </c>
      <c r="J739" s="1604"/>
      <c r="K739" s="373"/>
      <c r="L739" s="513">
        <f t="shared" ca="1" si="130"/>
        <v>656.58</v>
      </c>
      <c r="M739" s="654">
        <f t="shared" ca="1" si="128"/>
        <v>1</v>
      </c>
      <c r="N739" s="226">
        <f t="shared" ca="1" si="122"/>
        <v>0</v>
      </c>
      <c r="O739" s="1"/>
    </row>
    <row r="740" spans="1:15" ht="16.5" customHeight="1">
      <c r="A740" s="1"/>
      <c r="B740" s="657" t="str">
        <f t="shared" ca="1" si="123"/>
        <v/>
      </c>
      <c r="C740" s="223" t="str">
        <f t="shared" ca="1" si="124"/>
        <v/>
      </c>
      <c r="D740" s="519">
        <f t="shared" si="129"/>
        <v>735</v>
      </c>
      <c r="E740" s="225" t="str">
        <f t="shared" ca="1" si="125"/>
        <v/>
      </c>
      <c r="F740" s="224" t="str">
        <f t="shared" si="131"/>
        <v>CASSA</v>
      </c>
      <c r="G740" s="384" t="str">
        <f t="shared" ca="1" si="126"/>
        <v/>
      </c>
      <c r="H740" s="512">
        <f t="shared" ca="1" si="127"/>
        <v>0</v>
      </c>
      <c r="I740" s="1603" t="str">
        <f t="shared" ca="1" si="121"/>
        <v/>
      </c>
      <c r="J740" s="1604"/>
      <c r="K740" s="373"/>
      <c r="L740" s="513">
        <f t="shared" ca="1" si="130"/>
        <v>656.58</v>
      </c>
      <c r="M740" s="654">
        <f t="shared" ca="1" si="128"/>
        <v>1</v>
      </c>
      <c r="N740" s="226">
        <f t="shared" ca="1" si="122"/>
        <v>0</v>
      </c>
      <c r="O740" s="1"/>
    </row>
    <row r="741" spans="1:15" ht="16.5" customHeight="1">
      <c r="A741" s="1"/>
      <c r="B741" s="657" t="str">
        <f t="shared" ca="1" si="123"/>
        <v/>
      </c>
      <c r="C741" s="223" t="str">
        <f t="shared" ca="1" si="124"/>
        <v/>
      </c>
      <c r="D741" s="519">
        <f t="shared" si="129"/>
        <v>736</v>
      </c>
      <c r="E741" s="225" t="str">
        <f t="shared" ca="1" si="125"/>
        <v/>
      </c>
      <c r="F741" s="224" t="str">
        <f t="shared" si="131"/>
        <v>CASSA</v>
      </c>
      <c r="G741" s="384" t="str">
        <f t="shared" ca="1" si="126"/>
        <v/>
      </c>
      <c r="H741" s="512">
        <f t="shared" ca="1" si="127"/>
        <v>0</v>
      </c>
      <c r="I741" s="1603" t="str">
        <f t="shared" ca="1" si="121"/>
        <v/>
      </c>
      <c r="J741" s="1604"/>
      <c r="K741" s="373"/>
      <c r="L741" s="513">
        <f t="shared" ca="1" si="130"/>
        <v>656.58</v>
      </c>
      <c r="M741" s="654">
        <f t="shared" ca="1" si="128"/>
        <v>1</v>
      </c>
      <c r="N741" s="226">
        <f t="shared" ca="1" si="122"/>
        <v>0</v>
      </c>
      <c r="O741" s="1"/>
    </row>
    <row r="742" spans="1:15" ht="16.5" customHeight="1">
      <c r="A742" s="1"/>
      <c r="B742" s="657" t="str">
        <f t="shared" ca="1" si="123"/>
        <v/>
      </c>
      <c r="C742" s="223" t="str">
        <f t="shared" ca="1" si="124"/>
        <v/>
      </c>
      <c r="D742" s="519">
        <f t="shared" si="129"/>
        <v>737</v>
      </c>
      <c r="E742" s="225" t="str">
        <f t="shared" ca="1" si="125"/>
        <v/>
      </c>
      <c r="F742" s="224" t="str">
        <f t="shared" si="131"/>
        <v>CASSA</v>
      </c>
      <c r="G742" s="384" t="str">
        <f t="shared" ca="1" si="126"/>
        <v/>
      </c>
      <c r="H742" s="512">
        <f t="shared" ca="1" si="127"/>
        <v>0</v>
      </c>
      <c r="I742" s="1603" t="str">
        <f t="shared" ca="1" si="121"/>
        <v/>
      </c>
      <c r="J742" s="1604"/>
      <c r="K742" s="373"/>
      <c r="L742" s="513">
        <f t="shared" ca="1" si="130"/>
        <v>656.58</v>
      </c>
      <c r="M742" s="654">
        <f t="shared" ca="1" si="128"/>
        <v>1</v>
      </c>
      <c r="N742" s="226">
        <f t="shared" ca="1" si="122"/>
        <v>0</v>
      </c>
      <c r="O742" s="1"/>
    </row>
    <row r="743" spans="1:15" ht="16.5" customHeight="1">
      <c r="A743" s="1"/>
      <c r="B743" s="657" t="str">
        <f t="shared" ca="1" si="123"/>
        <v/>
      </c>
      <c r="C743" s="223" t="str">
        <f t="shared" ca="1" si="124"/>
        <v/>
      </c>
      <c r="D743" s="519">
        <f t="shared" si="129"/>
        <v>738</v>
      </c>
      <c r="E743" s="225" t="str">
        <f t="shared" ca="1" si="125"/>
        <v/>
      </c>
      <c r="F743" s="224" t="str">
        <f t="shared" si="131"/>
        <v>CASSA</v>
      </c>
      <c r="G743" s="384" t="str">
        <f t="shared" ca="1" si="126"/>
        <v/>
      </c>
      <c r="H743" s="512">
        <f t="shared" ca="1" si="127"/>
        <v>0</v>
      </c>
      <c r="I743" s="1603" t="str">
        <f t="shared" ca="1" si="121"/>
        <v/>
      </c>
      <c r="J743" s="1604"/>
      <c r="K743" s="373"/>
      <c r="L743" s="513">
        <f t="shared" ca="1" si="130"/>
        <v>656.58</v>
      </c>
      <c r="M743" s="654">
        <f t="shared" ca="1" si="128"/>
        <v>1</v>
      </c>
      <c r="N743" s="226">
        <f t="shared" ca="1" si="122"/>
        <v>0</v>
      </c>
      <c r="O743" s="1"/>
    </row>
    <row r="744" spans="1:15" ht="16.5" customHeight="1">
      <c r="A744" s="1"/>
      <c r="B744" s="657" t="str">
        <f t="shared" ca="1" si="123"/>
        <v/>
      </c>
      <c r="C744" s="223" t="str">
        <f t="shared" ca="1" si="124"/>
        <v/>
      </c>
      <c r="D744" s="519">
        <f t="shared" si="129"/>
        <v>739</v>
      </c>
      <c r="E744" s="225" t="str">
        <f t="shared" ca="1" si="125"/>
        <v/>
      </c>
      <c r="F744" s="224" t="str">
        <f t="shared" si="131"/>
        <v>CASSA</v>
      </c>
      <c r="G744" s="384" t="str">
        <f t="shared" ca="1" si="126"/>
        <v/>
      </c>
      <c r="H744" s="512">
        <f t="shared" ca="1" si="127"/>
        <v>0</v>
      </c>
      <c r="I744" s="1603" t="str">
        <f t="shared" ca="1" si="121"/>
        <v/>
      </c>
      <c r="J744" s="1604"/>
      <c r="K744" s="373"/>
      <c r="L744" s="513">
        <f t="shared" ca="1" si="130"/>
        <v>656.58</v>
      </c>
      <c r="M744" s="654">
        <f t="shared" ca="1" si="128"/>
        <v>1</v>
      </c>
      <c r="N744" s="226">
        <f t="shared" ca="1" si="122"/>
        <v>0</v>
      </c>
      <c r="O744" s="1"/>
    </row>
    <row r="745" spans="1:15" ht="16.5" customHeight="1">
      <c r="A745" s="1"/>
      <c r="B745" s="657" t="str">
        <f t="shared" ca="1" si="123"/>
        <v/>
      </c>
      <c r="C745" s="223" t="str">
        <f t="shared" ca="1" si="124"/>
        <v/>
      </c>
      <c r="D745" s="519">
        <f t="shared" si="129"/>
        <v>740</v>
      </c>
      <c r="E745" s="225" t="str">
        <f t="shared" ca="1" si="125"/>
        <v/>
      </c>
      <c r="F745" s="224" t="str">
        <f t="shared" si="131"/>
        <v>CASSA</v>
      </c>
      <c r="G745" s="384" t="str">
        <f t="shared" ca="1" si="126"/>
        <v/>
      </c>
      <c r="H745" s="512">
        <f t="shared" ca="1" si="127"/>
        <v>0</v>
      </c>
      <c r="I745" s="1603" t="str">
        <f t="shared" ca="1" si="121"/>
        <v/>
      </c>
      <c r="J745" s="1604"/>
      <c r="K745" s="373"/>
      <c r="L745" s="513">
        <f t="shared" ca="1" si="130"/>
        <v>656.58</v>
      </c>
      <c r="M745" s="654">
        <f t="shared" ca="1" si="128"/>
        <v>1</v>
      </c>
      <c r="N745" s="226">
        <f t="shared" ca="1" si="122"/>
        <v>0</v>
      </c>
      <c r="O745" s="1"/>
    </row>
    <row r="746" spans="1:15" ht="16.5" customHeight="1">
      <c r="A746" s="1"/>
      <c r="B746" s="657" t="str">
        <f t="shared" ca="1" si="123"/>
        <v/>
      </c>
      <c r="C746" s="223" t="str">
        <f t="shared" ca="1" si="124"/>
        <v/>
      </c>
      <c r="D746" s="519">
        <f t="shared" si="129"/>
        <v>741</v>
      </c>
      <c r="E746" s="225" t="str">
        <f t="shared" ca="1" si="125"/>
        <v/>
      </c>
      <c r="F746" s="224" t="str">
        <f t="shared" si="131"/>
        <v>CASSA</v>
      </c>
      <c r="G746" s="384" t="str">
        <f t="shared" ca="1" si="126"/>
        <v/>
      </c>
      <c r="H746" s="512">
        <f t="shared" ca="1" si="127"/>
        <v>0</v>
      </c>
      <c r="I746" s="1603" t="str">
        <f t="shared" ca="1" si="121"/>
        <v/>
      </c>
      <c r="J746" s="1604"/>
      <c r="K746" s="373"/>
      <c r="L746" s="513">
        <f t="shared" ca="1" si="130"/>
        <v>656.58</v>
      </c>
      <c r="M746" s="654">
        <f t="shared" ca="1" si="128"/>
        <v>1</v>
      </c>
      <c r="N746" s="226">
        <f t="shared" ca="1" si="122"/>
        <v>0</v>
      </c>
      <c r="O746" s="1"/>
    </row>
    <row r="747" spans="1:15" ht="16.5" customHeight="1">
      <c r="A747" s="1"/>
      <c r="B747" s="657" t="str">
        <f t="shared" ca="1" si="123"/>
        <v/>
      </c>
      <c r="C747" s="223" t="str">
        <f t="shared" ca="1" si="124"/>
        <v/>
      </c>
      <c r="D747" s="519">
        <f t="shared" si="129"/>
        <v>742</v>
      </c>
      <c r="E747" s="225" t="str">
        <f t="shared" ca="1" si="125"/>
        <v/>
      </c>
      <c r="F747" s="224" t="str">
        <f t="shared" si="131"/>
        <v>CASSA</v>
      </c>
      <c r="G747" s="384" t="str">
        <f t="shared" ca="1" si="126"/>
        <v/>
      </c>
      <c r="H747" s="512">
        <f t="shared" ca="1" si="127"/>
        <v>0</v>
      </c>
      <c r="I747" s="1603" t="str">
        <f t="shared" ca="1" si="121"/>
        <v/>
      </c>
      <c r="J747" s="1604"/>
      <c r="K747" s="373"/>
      <c r="L747" s="513">
        <f t="shared" ca="1" si="130"/>
        <v>656.58</v>
      </c>
      <c r="M747" s="654">
        <f t="shared" ca="1" si="128"/>
        <v>1</v>
      </c>
      <c r="N747" s="226">
        <f t="shared" ca="1" si="122"/>
        <v>0</v>
      </c>
      <c r="O747" s="1"/>
    </row>
    <row r="748" spans="1:15" ht="16.5" customHeight="1">
      <c r="A748" s="1"/>
      <c r="B748" s="657" t="str">
        <f t="shared" ca="1" si="123"/>
        <v/>
      </c>
      <c r="C748" s="223" t="str">
        <f t="shared" ca="1" si="124"/>
        <v/>
      </c>
      <c r="D748" s="519">
        <f t="shared" si="129"/>
        <v>743</v>
      </c>
      <c r="E748" s="225" t="str">
        <f t="shared" ca="1" si="125"/>
        <v/>
      </c>
      <c r="F748" s="224" t="str">
        <f t="shared" si="131"/>
        <v>CASSA</v>
      </c>
      <c r="G748" s="384" t="str">
        <f t="shared" ca="1" si="126"/>
        <v/>
      </c>
      <c r="H748" s="512">
        <f t="shared" ca="1" si="127"/>
        <v>0</v>
      </c>
      <c r="I748" s="1603" t="str">
        <f t="shared" ca="1" si="121"/>
        <v/>
      </c>
      <c r="J748" s="1604"/>
      <c r="K748" s="373"/>
      <c r="L748" s="513">
        <f t="shared" ca="1" si="130"/>
        <v>656.58</v>
      </c>
      <c r="M748" s="654">
        <f t="shared" ca="1" si="128"/>
        <v>1</v>
      </c>
      <c r="N748" s="226">
        <f t="shared" ca="1" si="122"/>
        <v>0</v>
      </c>
      <c r="O748" s="1"/>
    </row>
    <row r="749" spans="1:15" ht="16.5" customHeight="1">
      <c r="A749" s="1"/>
      <c r="B749" s="657" t="str">
        <f t="shared" ca="1" si="123"/>
        <v/>
      </c>
      <c r="C749" s="223" t="str">
        <f t="shared" ca="1" si="124"/>
        <v/>
      </c>
      <c r="D749" s="519">
        <f t="shared" si="129"/>
        <v>744</v>
      </c>
      <c r="E749" s="225" t="str">
        <f t="shared" ca="1" si="125"/>
        <v/>
      </c>
      <c r="F749" s="224" t="str">
        <f t="shared" si="131"/>
        <v>CASSA</v>
      </c>
      <c r="G749" s="384" t="str">
        <f t="shared" ca="1" si="126"/>
        <v/>
      </c>
      <c r="H749" s="512">
        <f t="shared" ca="1" si="127"/>
        <v>0</v>
      </c>
      <c r="I749" s="1603" t="str">
        <f t="shared" ca="1" si="121"/>
        <v/>
      </c>
      <c r="J749" s="1604"/>
      <c r="K749" s="373"/>
      <c r="L749" s="513">
        <f t="shared" ca="1" si="130"/>
        <v>656.58</v>
      </c>
      <c r="M749" s="654">
        <f t="shared" ca="1" si="128"/>
        <v>1</v>
      </c>
      <c r="N749" s="226">
        <f t="shared" ca="1" si="122"/>
        <v>0</v>
      </c>
      <c r="O749" s="1"/>
    </row>
    <row r="750" spans="1:15" ht="16.5" customHeight="1">
      <c r="A750" s="1"/>
      <c r="B750" s="657" t="str">
        <f t="shared" ca="1" si="123"/>
        <v/>
      </c>
      <c r="C750" s="223" t="str">
        <f t="shared" ca="1" si="124"/>
        <v/>
      </c>
      <c r="D750" s="519">
        <f t="shared" si="129"/>
        <v>745</v>
      </c>
      <c r="E750" s="225" t="str">
        <f t="shared" ca="1" si="125"/>
        <v/>
      </c>
      <c r="F750" s="224" t="str">
        <f t="shared" si="131"/>
        <v>CASSA</v>
      </c>
      <c r="G750" s="384" t="str">
        <f t="shared" ca="1" si="126"/>
        <v/>
      </c>
      <c r="H750" s="512">
        <f t="shared" ca="1" si="127"/>
        <v>0</v>
      </c>
      <c r="I750" s="1603" t="str">
        <f t="shared" ca="1" si="121"/>
        <v/>
      </c>
      <c r="J750" s="1604"/>
      <c r="K750" s="373"/>
      <c r="L750" s="513">
        <f t="shared" ca="1" si="130"/>
        <v>656.58</v>
      </c>
      <c r="M750" s="654">
        <f t="shared" ca="1" si="128"/>
        <v>1</v>
      </c>
      <c r="N750" s="226">
        <f t="shared" ca="1" si="122"/>
        <v>0</v>
      </c>
      <c r="O750" s="1"/>
    </row>
    <row r="751" spans="1:15" ht="16.5" customHeight="1">
      <c r="A751" s="1"/>
      <c r="B751" s="657" t="str">
        <f t="shared" ca="1" si="123"/>
        <v/>
      </c>
      <c r="C751" s="223" t="str">
        <f t="shared" ca="1" si="124"/>
        <v/>
      </c>
      <c r="D751" s="519">
        <f t="shared" si="129"/>
        <v>746</v>
      </c>
      <c r="E751" s="225" t="str">
        <f t="shared" ca="1" si="125"/>
        <v/>
      </c>
      <c r="F751" s="224" t="str">
        <f t="shared" si="131"/>
        <v>CASSA</v>
      </c>
      <c r="G751" s="384" t="str">
        <f t="shared" ca="1" si="126"/>
        <v/>
      </c>
      <c r="H751" s="512">
        <f t="shared" ca="1" si="127"/>
        <v>0</v>
      </c>
      <c r="I751" s="1603" t="str">
        <f t="shared" ca="1" si="121"/>
        <v/>
      </c>
      <c r="J751" s="1604"/>
      <c r="K751" s="373"/>
      <c r="L751" s="513">
        <f t="shared" ca="1" si="130"/>
        <v>656.58</v>
      </c>
      <c r="M751" s="654">
        <f t="shared" ca="1" si="128"/>
        <v>1</v>
      </c>
      <c r="N751" s="226">
        <f t="shared" ca="1" si="122"/>
        <v>0</v>
      </c>
      <c r="O751" s="1"/>
    </row>
    <row r="752" spans="1:15" ht="16.5" customHeight="1">
      <c r="A752" s="1"/>
      <c r="B752" s="657" t="str">
        <f t="shared" ca="1" si="123"/>
        <v/>
      </c>
      <c r="C752" s="223" t="str">
        <f t="shared" ca="1" si="124"/>
        <v/>
      </c>
      <c r="D752" s="519">
        <f t="shared" si="129"/>
        <v>747</v>
      </c>
      <c r="E752" s="225" t="str">
        <f t="shared" ca="1" si="125"/>
        <v/>
      </c>
      <c r="F752" s="224" t="str">
        <f t="shared" si="131"/>
        <v>CASSA</v>
      </c>
      <c r="G752" s="384" t="str">
        <f t="shared" ca="1" si="126"/>
        <v/>
      </c>
      <c r="H752" s="512">
        <f t="shared" ca="1" si="127"/>
        <v>0</v>
      </c>
      <c r="I752" s="1603" t="str">
        <f t="shared" ca="1" si="121"/>
        <v/>
      </c>
      <c r="J752" s="1604"/>
      <c r="K752" s="373"/>
      <c r="L752" s="513">
        <f t="shared" ca="1" si="130"/>
        <v>656.58</v>
      </c>
      <c r="M752" s="654">
        <f t="shared" ca="1" si="128"/>
        <v>1</v>
      </c>
      <c r="N752" s="226">
        <f t="shared" ca="1" si="122"/>
        <v>0</v>
      </c>
      <c r="O752" s="1"/>
    </row>
    <row r="753" spans="1:15" ht="16.5" customHeight="1">
      <c r="A753" s="1"/>
      <c r="B753" s="657" t="str">
        <f t="shared" ca="1" si="123"/>
        <v/>
      </c>
      <c r="C753" s="223" t="str">
        <f t="shared" ca="1" si="124"/>
        <v/>
      </c>
      <c r="D753" s="519">
        <f t="shared" si="129"/>
        <v>748</v>
      </c>
      <c r="E753" s="225" t="str">
        <f t="shared" ca="1" si="125"/>
        <v/>
      </c>
      <c r="F753" s="224" t="str">
        <f t="shared" si="131"/>
        <v>CASSA</v>
      </c>
      <c r="G753" s="384" t="str">
        <f t="shared" ca="1" si="126"/>
        <v/>
      </c>
      <c r="H753" s="512">
        <f t="shared" ca="1" si="127"/>
        <v>0</v>
      </c>
      <c r="I753" s="1603" t="str">
        <f t="shared" ca="1" si="121"/>
        <v/>
      </c>
      <c r="J753" s="1604"/>
      <c r="K753" s="373"/>
      <c r="L753" s="513">
        <f t="shared" ca="1" si="130"/>
        <v>656.58</v>
      </c>
      <c r="M753" s="654">
        <f t="shared" ca="1" si="128"/>
        <v>1</v>
      </c>
      <c r="N753" s="226">
        <f t="shared" ca="1" si="122"/>
        <v>0</v>
      </c>
      <c r="O753" s="1"/>
    </row>
    <row r="754" spans="1:15" ht="16.5" customHeight="1">
      <c r="A754" s="1"/>
      <c r="B754" s="657" t="str">
        <f t="shared" ca="1" si="123"/>
        <v/>
      </c>
      <c r="C754" s="223" t="str">
        <f t="shared" ca="1" si="124"/>
        <v/>
      </c>
      <c r="D754" s="519">
        <f t="shared" si="129"/>
        <v>749</v>
      </c>
      <c r="E754" s="225" t="str">
        <f t="shared" ca="1" si="125"/>
        <v/>
      </c>
      <c r="F754" s="224" t="str">
        <f t="shared" si="131"/>
        <v>CASSA</v>
      </c>
      <c r="G754" s="384" t="str">
        <f t="shared" ca="1" si="126"/>
        <v/>
      </c>
      <c r="H754" s="512">
        <f t="shared" ca="1" si="127"/>
        <v>0</v>
      </c>
      <c r="I754" s="1603" t="str">
        <f t="shared" ca="1" si="121"/>
        <v/>
      </c>
      <c r="J754" s="1604"/>
      <c r="K754" s="373"/>
      <c r="L754" s="513">
        <f t="shared" ca="1" si="130"/>
        <v>656.58</v>
      </c>
      <c r="M754" s="654">
        <f t="shared" ca="1" si="128"/>
        <v>1</v>
      </c>
      <c r="N754" s="226">
        <f t="shared" ca="1" si="122"/>
        <v>0</v>
      </c>
      <c r="O754" s="1"/>
    </row>
    <row r="755" spans="1:15" ht="16.5" customHeight="1">
      <c r="A755" s="1"/>
      <c r="B755" s="657" t="str">
        <f t="shared" ca="1" si="123"/>
        <v/>
      </c>
      <c r="C755" s="223" t="str">
        <f t="shared" ca="1" si="124"/>
        <v/>
      </c>
      <c r="D755" s="519">
        <f t="shared" si="129"/>
        <v>750</v>
      </c>
      <c r="E755" s="225" t="str">
        <f t="shared" ca="1" si="125"/>
        <v/>
      </c>
      <c r="F755" s="224" t="str">
        <f t="shared" si="131"/>
        <v>CASSA</v>
      </c>
      <c r="G755" s="384" t="str">
        <f t="shared" ca="1" si="126"/>
        <v/>
      </c>
      <c r="H755" s="512">
        <f t="shared" ca="1" si="127"/>
        <v>0</v>
      </c>
      <c r="I755" s="1603" t="str">
        <f t="shared" ca="1" si="121"/>
        <v/>
      </c>
      <c r="J755" s="1604"/>
      <c r="K755" s="373"/>
      <c r="L755" s="513">
        <f t="shared" ca="1" si="130"/>
        <v>656.58</v>
      </c>
      <c r="M755" s="654">
        <f t="shared" ca="1" si="128"/>
        <v>1</v>
      </c>
      <c r="N755" s="226">
        <f t="shared" ca="1" si="122"/>
        <v>0</v>
      </c>
      <c r="O755" s="1"/>
    </row>
    <row r="756" spans="1:15" ht="16.5" customHeight="1">
      <c r="A756" s="1"/>
      <c r="B756" s="657" t="str">
        <f t="shared" ca="1" si="123"/>
        <v/>
      </c>
      <c r="C756" s="223" t="str">
        <f t="shared" ca="1" si="124"/>
        <v/>
      </c>
      <c r="D756" s="519">
        <f t="shared" si="129"/>
        <v>751</v>
      </c>
      <c r="E756" s="225" t="str">
        <f t="shared" ca="1" si="125"/>
        <v/>
      </c>
      <c r="F756" s="224" t="str">
        <f t="shared" si="131"/>
        <v>CASSA</v>
      </c>
      <c r="G756" s="384" t="str">
        <f t="shared" ca="1" si="126"/>
        <v/>
      </c>
      <c r="H756" s="512">
        <f t="shared" ca="1" si="127"/>
        <v>0</v>
      </c>
      <c r="I756" s="1603" t="str">
        <f t="shared" ca="1" si="121"/>
        <v/>
      </c>
      <c r="J756" s="1604"/>
      <c r="K756" s="373"/>
      <c r="L756" s="513">
        <f t="shared" ca="1" si="130"/>
        <v>656.58</v>
      </c>
      <c r="M756" s="654">
        <f t="shared" ca="1" si="128"/>
        <v>1</v>
      </c>
      <c r="N756" s="226">
        <f t="shared" ca="1" si="122"/>
        <v>0</v>
      </c>
      <c r="O756" s="1"/>
    </row>
    <row r="757" spans="1:15" ht="16.5" customHeight="1">
      <c r="A757" s="1"/>
      <c r="B757" s="657" t="str">
        <f t="shared" ca="1" si="123"/>
        <v/>
      </c>
      <c r="C757" s="223" t="str">
        <f t="shared" ca="1" si="124"/>
        <v/>
      </c>
      <c r="D757" s="519">
        <f t="shared" si="129"/>
        <v>752</v>
      </c>
      <c r="E757" s="225" t="str">
        <f t="shared" ca="1" si="125"/>
        <v/>
      </c>
      <c r="F757" s="224" t="str">
        <f t="shared" si="131"/>
        <v>CASSA</v>
      </c>
      <c r="G757" s="384" t="str">
        <f t="shared" ca="1" si="126"/>
        <v/>
      </c>
      <c r="H757" s="512">
        <f t="shared" ca="1" si="127"/>
        <v>0</v>
      </c>
      <c r="I757" s="1603" t="str">
        <f t="shared" ca="1" si="121"/>
        <v/>
      </c>
      <c r="J757" s="1604"/>
      <c r="K757" s="373"/>
      <c r="L757" s="513">
        <f t="shared" ca="1" si="130"/>
        <v>656.58</v>
      </c>
      <c r="M757" s="654">
        <f t="shared" ca="1" si="128"/>
        <v>1</v>
      </c>
      <c r="N757" s="226">
        <f t="shared" ca="1" si="122"/>
        <v>0</v>
      </c>
      <c r="O757" s="1"/>
    </row>
    <row r="758" spans="1:15" ht="16.5" customHeight="1">
      <c r="A758" s="1"/>
      <c r="B758" s="657" t="str">
        <f t="shared" ca="1" si="123"/>
        <v/>
      </c>
      <c r="C758" s="223" t="str">
        <f t="shared" ca="1" si="124"/>
        <v/>
      </c>
      <c r="D758" s="519">
        <f t="shared" si="129"/>
        <v>753</v>
      </c>
      <c r="E758" s="225" t="str">
        <f t="shared" ca="1" si="125"/>
        <v/>
      </c>
      <c r="F758" s="224" t="str">
        <f t="shared" si="131"/>
        <v>CASSA</v>
      </c>
      <c r="G758" s="384" t="str">
        <f t="shared" ca="1" si="126"/>
        <v/>
      </c>
      <c r="H758" s="512">
        <f t="shared" ca="1" si="127"/>
        <v>0</v>
      </c>
      <c r="I758" s="1603" t="str">
        <f t="shared" ca="1" si="121"/>
        <v/>
      </c>
      <c r="J758" s="1604"/>
      <c r="K758" s="373"/>
      <c r="L758" s="513">
        <f t="shared" ca="1" si="130"/>
        <v>656.58</v>
      </c>
      <c r="M758" s="654">
        <f t="shared" ca="1" si="128"/>
        <v>1</v>
      </c>
      <c r="N758" s="226">
        <f t="shared" ca="1" si="122"/>
        <v>0</v>
      </c>
      <c r="O758" s="1"/>
    </row>
    <row r="759" spans="1:15" ht="16.5" customHeight="1">
      <c r="A759" s="1"/>
      <c r="B759" s="657" t="str">
        <f t="shared" ca="1" si="123"/>
        <v/>
      </c>
      <c r="C759" s="223" t="str">
        <f t="shared" ca="1" si="124"/>
        <v/>
      </c>
      <c r="D759" s="519">
        <f t="shared" si="129"/>
        <v>754</v>
      </c>
      <c r="E759" s="225" t="str">
        <f t="shared" ca="1" si="125"/>
        <v/>
      </c>
      <c r="F759" s="224" t="str">
        <f t="shared" si="131"/>
        <v>CASSA</v>
      </c>
      <c r="G759" s="384" t="str">
        <f t="shared" ca="1" si="126"/>
        <v/>
      </c>
      <c r="H759" s="512">
        <f t="shared" ca="1" si="127"/>
        <v>0</v>
      </c>
      <c r="I759" s="1603" t="str">
        <f t="shared" ca="1" si="121"/>
        <v/>
      </c>
      <c r="J759" s="1604"/>
      <c r="K759" s="373"/>
      <c r="L759" s="513">
        <f t="shared" ca="1" si="130"/>
        <v>656.58</v>
      </c>
      <c r="M759" s="654">
        <f t="shared" ca="1" si="128"/>
        <v>1</v>
      </c>
      <c r="N759" s="226">
        <f t="shared" ca="1" si="122"/>
        <v>0</v>
      </c>
      <c r="O759" s="1"/>
    </row>
    <row r="760" spans="1:15" ht="16.5" customHeight="1">
      <c r="A760" s="1"/>
      <c r="B760" s="657" t="str">
        <f t="shared" ca="1" si="123"/>
        <v/>
      </c>
      <c r="C760" s="223" t="str">
        <f t="shared" ca="1" si="124"/>
        <v/>
      </c>
      <c r="D760" s="519">
        <f t="shared" si="129"/>
        <v>755</v>
      </c>
      <c r="E760" s="225" t="str">
        <f t="shared" ca="1" si="125"/>
        <v/>
      </c>
      <c r="F760" s="224" t="str">
        <f t="shared" si="131"/>
        <v>CASSA</v>
      </c>
      <c r="G760" s="384" t="str">
        <f t="shared" ca="1" si="126"/>
        <v/>
      </c>
      <c r="H760" s="512">
        <f t="shared" ca="1" si="127"/>
        <v>0</v>
      </c>
      <c r="I760" s="1603" t="str">
        <f t="shared" ca="1" si="121"/>
        <v/>
      </c>
      <c r="J760" s="1604"/>
      <c r="K760" s="373"/>
      <c r="L760" s="513">
        <f t="shared" ca="1" si="130"/>
        <v>656.58</v>
      </c>
      <c r="M760" s="654">
        <f t="shared" ca="1" si="128"/>
        <v>1</v>
      </c>
      <c r="N760" s="226">
        <f t="shared" ca="1" si="122"/>
        <v>0</v>
      </c>
      <c r="O760" s="1"/>
    </row>
    <row r="761" spans="1:15" ht="16.5" customHeight="1">
      <c r="A761" s="1"/>
      <c r="B761" s="657" t="str">
        <f t="shared" ca="1" si="123"/>
        <v/>
      </c>
      <c r="C761" s="223" t="str">
        <f t="shared" ca="1" si="124"/>
        <v/>
      </c>
      <c r="D761" s="519">
        <f t="shared" si="129"/>
        <v>756</v>
      </c>
      <c r="E761" s="225" t="str">
        <f t="shared" ca="1" si="125"/>
        <v/>
      </c>
      <c r="F761" s="224" t="str">
        <f t="shared" si="131"/>
        <v>CASSA</v>
      </c>
      <c r="G761" s="384" t="str">
        <f t="shared" ca="1" si="126"/>
        <v/>
      </c>
      <c r="H761" s="512">
        <f t="shared" ca="1" si="127"/>
        <v>0</v>
      </c>
      <c r="I761" s="1603" t="str">
        <f t="shared" ca="1" si="121"/>
        <v/>
      </c>
      <c r="J761" s="1604"/>
      <c r="K761" s="373"/>
      <c r="L761" s="513">
        <f t="shared" ca="1" si="130"/>
        <v>656.58</v>
      </c>
      <c r="M761" s="654">
        <f t="shared" ca="1" si="128"/>
        <v>1</v>
      </c>
      <c r="N761" s="226">
        <f t="shared" ca="1" si="122"/>
        <v>0</v>
      </c>
      <c r="O761" s="1"/>
    </row>
    <row r="762" spans="1:15" ht="16.5" customHeight="1">
      <c r="A762" s="1"/>
      <c r="B762" s="657" t="str">
        <f t="shared" ca="1" si="123"/>
        <v/>
      </c>
      <c r="C762" s="223" t="str">
        <f t="shared" ca="1" si="124"/>
        <v/>
      </c>
      <c r="D762" s="519">
        <f t="shared" si="129"/>
        <v>757</v>
      </c>
      <c r="E762" s="225" t="str">
        <f t="shared" ca="1" si="125"/>
        <v/>
      </c>
      <c r="F762" s="224" t="str">
        <f t="shared" si="131"/>
        <v>CASSA</v>
      </c>
      <c r="G762" s="384" t="str">
        <f t="shared" ca="1" si="126"/>
        <v/>
      </c>
      <c r="H762" s="512">
        <f t="shared" ca="1" si="127"/>
        <v>0</v>
      </c>
      <c r="I762" s="1603" t="str">
        <f t="shared" ca="1" si="121"/>
        <v/>
      </c>
      <c r="J762" s="1604"/>
      <c r="K762" s="373"/>
      <c r="L762" s="513">
        <f t="shared" ca="1" si="130"/>
        <v>656.58</v>
      </c>
      <c r="M762" s="654">
        <f t="shared" ca="1" si="128"/>
        <v>1</v>
      </c>
      <c r="N762" s="226">
        <f t="shared" ca="1" si="122"/>
        <v>0</v>
      </c>
      <c r="O762" s="1"/>
    </row>
    <row r="763" spans="1:15" ht="16.5" customHeight="1">
      <c r="A763" s="1"/>
      <c r="B763" s="657" t="str">
        <f t="shared" ca="1" si="123"/>
        <v/>
      </c>
      <c r="C763" s="223" t="str">
        <f t="shared" ca="1" si="124"/>
        <v/>
      </c>
      <c r="D763" s="519">
        <f t="shared" si="129"/>
        <v>758</v>
      </c>
      <c r="E763" s="225" t="str">
        <f t="shared" ca="1" si="125"/>
        <v/>
      </c>
      <c r="F763" s="224" t="str">
        <f t="shared" si="131"/>
        <v>CASSA</v>
      </c>
      <c r="G763" s="384" t="str">
        <f t="shared" ca="1" si="126"/>
        <v/>
      </c>
      <c r="H763" s="512">
        <f t="shared" ca="1" si="127"/>
        <v>0</v>
      </c>
      <c r="I763" s="1603" t="str">
        <f t="shared" ca="1" si="121"/>
        <v/>
      </c>
      <c r="J763" s="1604"/>
      <c r="K763" s="373"/>
      <c r="L763" s="513">
        <f t="shared" ca="1" si="130"/>
        <v>656.58</v>
      </c>
      <c r="M763" s="654">
        <f t="shared" ca="1" si="128"/>
        <v>1</v>
      </c>
      <c r="N763" s="226">
        <f t="shared" ca="1" si="122"/>
        <v>0</v>
      </c>
      <c r="O763" s="1"/>
    </row>
    <row r="764" spans="1:15" ht="16.5" customHeight="1">
      <c r="A764" s="1"/>
      <c r="B764" s="657" t="str">
        <f t="shared" ca="1" si="123"/>
        <v/>
      </c>
      <c r="C764" s="223" t="str">
        <f t="shared" ca="1" si="124"/>
        <v/>
      </c>
      <c r="D764" s="519">
        <f t="shared" si="129"/>
        <v>759</v>
      </c>
      <c r="E764" s="225" t="str">
        <f t="shared" ca="1" si="125"/>
        <v/>
      </c>
      <c r="F764" s="224" t="str">
        <f t="shared" si="131"/>
        <v>CASSA</v>
      </c>
      <c r="G764" s="384" t="str">
        <f t="shared" ca="1" si="126"/>
        <v/>
      </c>
      <c r="H764" s="512">
        <f t="shared" ca="1" si="127"/>
        <v>0</v>
      </c>
      <c r="I764" s="1603" t="str">
        <f t="shared" ca="1" si="121"/>
        <v/>
      </c>
      <c r="J764" s="1604"/>
      <c r="K764" s="373"/>
      <c r="L764" s="513">
        <f t="shared" ca="1" si="130"/>
        <v>656.58</v>
      </c>
      <c r="M764" s="654">
        <f t="shared" ca="1" si="128"/>
        <v>1</v>
      </c>
      <c r="N764" s="226">
        <f t="shared" ca="1" si="122"/>
        <v>0</v>
      </c>
      <c r="O764" s="1"/>
    </row>
    <row r="765" spans="1:15" ht="16.5" customHeight="1">
      <c r="A765" s="1"/>
      <c r="B765" s="657" t="str">
        <f t="shared" ca="1" si="123"/>
        <v/>
      </c>
      <c r="C765" s="223" t="str">
        <f t="shared" ca="1" si="124"/>
        <v/>
      </c>
      <c r="D765" s="519">
        <f t="shared" si="129"/>
        <v>760</v>
      </c>
      <c r="E765" s="225" t="str">
        <f t="shared" ca="1" si="125"/>
        <v/>
      </c>
      <c r="F765" s="224" t="str">
        <f t="shared" si="131"/>
        <v>CASSA</v>
      </c>
      <c r="G765" s="384" t="str">
        <f t="shared" ca="1" si="126"/>
        <v/>
      </c>
      <c r="H765" s="512">
        <f t="shared" ca="1" si="127"/>
        <v>0</v>
      </c>
      <c r="I765" s="1603" t="str">
        <f t="shared" ca="1" si="121"/>
        <v/>
      </c>
      <c r="J765" s="1604"/>
      <c r="K765" s="373"/>
      <c r="L765" s="513">
        <f t="shared" ca="1" si="130"/>
        <v>656.58</v>
      </c>
      <c r="M765" s="654">
        <f t="shared" ca="1" si="128"/>
        <v>1</v>
      </c>
      <c r="N765" s="226">
        <f t="shared" ca="1" si="122"/>
        <v>0</v>
      </c>
      <c r="O765" s="1"/>
    </row>
    <row r="766" spans="1:15" ht="16.5" customHeight="1">
      <c r="A766" s="1"/>
      <c r="B766" s="657" t="str">
        <f t="shared" ca="1" si="123"/>
        <v/>
      </c>
      <c r="C766" s="223" t="str">
        <f t="shared" ca="1" si="124"/>
        <v/>
      </c>
      <c r="D766" s="519">
        <f t="shared" si="129"/>
        <v>761</v>
      </c>
      <c r="E766" s="225" t="str">
        <f t="shared" ca="1" si="125"/>
        <v/>
      </c>
      <c r="F766" s="224" t="str">
        <f t="shared" si="131"/>
        <v>CASSA</v>
      </c>
      <c r="G766" s="384" t="str">
        <f t="shared" ca="1" si="126"/>
        <v/>
      </c>
      <c r="H766" s="512">
        <f t="shared" ca="1" si="127"/>
        <v>0</v>
      </c>
      <c r="I766" s="1603" t="str">
        <f t="shared" ca="1" si="121"/>
        <v/>
      </c>
      <c r="J766" s="1604"/>
      <c r="K766" s="373"/>
      <c r="L766" s="513">
        <f t="shared" ca="1" si="130"/>
        <v>656.58</v>
      </c>
      <c r="M766" s="654">
        <f t="shared" ca="1" si="128"/>
        <v>1</v>
      </c>
      <c r="N766" s="226">
        <f t="shared" ca="1" si="122"/>
        <v>0</v>
      </c>
      <c r="O766" s="1"/>
    </row>
    <row r="767" spans="1:15" ht="16.5" customHeight="1">
      <c r="A767" s="1"/>
      <c r="B767" s="657" t="str">
        <f t="shared" ca="1" si="123"/>
        <v/>
      </c>
      <c r="C767" s="223" t="str">
        <f t="shared" ca="1" si="124"/>
        <v/>
      </c>
      <c r="D767" s="519">
        <f t="shared" si="129"/>
        <v>762</v>
      </c>
      <c r="E767" s="225" t="str">
        <f t="shared" ca="1" si="125"/>
        <v/>
      </c>
      <c r="F767" s="224" t="str">
        <f t="shared" si="131"/>
        <v>CASSA</v>
      </c>
      <c r="G767" s="384" t="str">
        <f t="shared" ca="1" si="126"/>
        <v/>
      </c>
      <c r="H767" s="512">
        <f t="shared" ca="1" si="127"/>
        <v>0</v>
      </c>
      <c r="I767" s="1603" t="str">
        <f t="shared" ca="1" si="121"/>
        <v/>
      </c>
      <c r="J767" s="1604"/>
      <c r="K767" s="373"/>
      <c r="L767" s="513">
        <f t="shared" ca="1" si="130"/>
        <v>656.58</v>
      </c>
      <c r="M767" s="654">
        <f t="shared" ca="1" si="128"/>
        <v>1</v>
      </c>
      <c r="N767" s="226">
        <f t="shared" ca="1" si="122"/>
        <v>0</v>
      </c>
      <c r="O767" s="1"/>
    </row>
    <row r="768" spans="1:15" ht="16.5" customHeight="1">
      <c r="A768" s="1"/>
      <c r="B768" s="657" t="str">
        <f t="shared" ca="1" si="123"/>
        <v/>
      </c>
      <c r="C768" s="223" t="str">
        <f t="shared" ca="1" si="124"/>
        <v/>
      </c>
      <c r="D768" s="519">
        <f t="shared" si="129"/>
        <v>763</v>
      </c>
      <c r="E768" s="225" t="str">
        <f t="shared" ca="1" si="125"/>
        <v/>
      </c>
      <c r="F768" s="224" t="str">
        <f t="shared" si="131"/>
        <v>CASSA</v>
      </c>
      <c r="G768" s="384" t="str">
        <f t="shared" ca="1" si="126"/>
        <v/>
      </c>
      <c r="H768" s="512">
        <f t="shared" ca="1" si="127"/>
        <v>0</v>
      </c>
      <c r="I768" s="1603" t="str">
        <f t="shared" ca="1" si="121"/>
        <v/>
      </c>
      <c r="J768" s="1604"/>
      <c r="K768" s="373"/>
      <c r="L768" s="513">
        <f t="shared" ca="1" si="130"/>
        <v>656.58</v>
      </c>
      <c r="M768" s="654">
        <f t="shared" ca="1" si="128"/>
        <v>1</v>
      </c>
      <c r="N768" s="226">
        <f t="shared" ca="1" si="122"/>
        <v>0</v>
      </c>
      <c r="O768" s="1"/>
    </row>
    <row r="769" spans="1:15" ht="16.5" customHeight="1">
      <c r="A769" s="1"/>
      <c r="B769" s="657" t="str">
        <f t="shared" ca="1" si="123"/>
        <v/>
      </c>
      <c r="C769" s="223" t="str">
        <f t="shared" ca="1" si="124"/>
        <v/>
      </c>
      <c r="D769" s="519">
        <f t="shared" si="129"/>
        <v>764</v>
      </c>
      <c r="E769" s="225" t="str">
        <f t="shared" ca="1" si="125"/>
        <v/>
      </c>
      <c r="F769" s="224" t="str">
        <f t="shared" si="131"/>
        <v>CASSA</v>
      </c>
      <c r="G769" s="384" t="str">
        <f t="shared" ca="1" si="126"/>
        <v/>
      </c>
      <c r="H769" s="512">
        <f t="shared" ca="1" si="127"/>
        <v>0</v>
      </c>
      <c r="I769" s="1603" t="str">
        <f t="shared" ca="1" si="121"/>
        <v/>
      </c>
      <c r="J769" s="1604"/>
      <c r="K769" s="373"/>
      <c r="L769" s="513">
        <f t="shared" ca="1" si="130"/>
        <v>656.58</v>
      </c>
      <c r="M769" s="654">
        <f t="shared" ca="1" si="128"/>
        <v>1</v>
      </c>
      <c r="N769" s="226">
        <f t="shared" ca="1" si="122"/>
        <v>0</v>
      </c>
      <c r="O769" s="1"/>
    </row>
    <row r="770" spans="1:15" ht="16.5" customHeight="1">
      <c r="A770" s="1"/>
      <c r="B770" s="657" t="str">
        <f t="shared" ca="1" si="123"/>
        <v/>
      </c>
      <c r="C770" s="223" t="str">
        <f t="shared" ca="1" si="124"/>
        <v/>
      </c>
      <c r="D770" s="519">
        <f t="shared" si="129"/>
        <v>765</v>
      </c>
      <c r="E770" s="225" t="str">
        <f t="shared" ca="1" si="125"/>
        <v/>
      </c>
      <c r="F770" s="224" t="str">
        <f t="shared" si="131"/>
        <v>CASSA</v>
      </c>
      <c r="G770" s="384" t="str">
        <f t="shared" ca="1" si="126"/>
        <v/>
      </c>
      <c r="H770" s="512">
        <f t="shared" ca="1" si="127"/>
        <v>0</v>
      </c>
      <c r="I770" s="1603" t="str">
        <f t="shared" ca="1" si="121"/>
        <v/>
      </c>
      <c r="J770" s="1604"/>
      <c r="K770" s="373"/>
      <c r="L770" s="513">
        <f t="shared" ca="1" si="130"/>
        <v>656.58</v>
      </c>
      <c r="M770" s="654">
        <f t="shared" ca="1" si="128"/>
        <v>1</v>
      </c>
      <c r="N770" s="226">
        <f t="shared" ca="1" si="122"/>
        <v>0</v>
      </c>
      <c r="O770" s="1"/>
    </row>
    <row r="771" spans="1:15" ht="16.5" customHeight="1">
      <c r="A771" s="1"/>
      <c r="B771" s="657" t="str">
        <f t="shared" ca="1" si="123"/>
        <v/>
      </c>
      <c r="C771" s="223" t="str">
        <f t="shared" ca="1" si="124"/>
        <v/>
      </c>
      <c r="D771" s="519">
        <f t="shared" si="129"/>
        <v>766</v>
      </c>
      <c r="E771" s="225" t="str">
        <f t="shared" ca="1" si="125"/>
        <v/>
      </c>
      <c r="F771" s="224" t="str">
        <f t="shared" si="131"/>
        <v>CASSA</v>
      </c>
      <c r="G771" s="384" t="str">
        <f t="shared" ca="1" si="126"/>
        <v/>
      </c>
      <c r="H771" s="512">
        <f t="shared" ca="1" si="127"/>
        <v>0</v>
      </c>
      <c r="I771" s="1603" t="str">
        <f t="shared" ca="1" si="121"/>
        <v/>
      </c>
      <c r="J771" s="1604"/>
      <c r="K771" s="373"/>
      <c r="L771" s="513">
        <f t="shared" ca="1" si="130"/>
        <v>656.58</v>
      </c>
      <c r="M771" s="654">
        <f t="shared" ca="1" si="128"/>
        <v>1</v>
      </c>
      <c r="N771" s="226">
        <f t="shared" ca="1" si="122"/>
        <v>0</v>
      </c>
      <c r="O771" s="1"/>
    </row>
    <row r="772" spans="1:15" ht="16.5" customHeight="1">
      <c r="A772" s="1"/>
      <c r="B772" s="657" t="str">
        <f t="shared" ca="1" si="123"/>
        <v/>
      </c>
      <c r="C772" s="223" t="str">
        <f t="shared" ca="1" si="124"/>
        <v/>
      </c>
      <c r="D772" s="519">
        <f t="shared" si="129"/>
        <v>767</v>
      </c>
      <c r="E772" s="225" t="str">
        <f t="shared" ca="1" si="125"/>
        <v/>
      </c>
      <c r="F772" s="224" t="str">
        <f t="shared" si="131"/>
        <v>CASSA</v>
      </c>
      <c r="G772" s="384" t="str">
        <f t="shared" ca="1" si="126"/>
        <v/>
      </c>
      <c r="H772" s="512">
        <f t="shared" ca="1" si="127"/>
        <v>0</v>
      </c>
      <c r="I772" s="1603" t="str">
        <f t="shared" ca="1" si="121"/>
        <v/>
      </c>
      <c r="J772" s="1604"/>
      <c r="K772" s="373"/>
      <c r="L772" s="513">
        <f t="shared" ca="1" si="130"/>
        <v>656.58</v>
      </c>
      <c r="M772" s="654">
        <f t="shared" ca="1" si="128"/>
        <v>1</v>
      </c>
      <c r="N772" s="226">
        <f t="shared" ca="1" si="122"/>
        <v>0</v>
      </c>
      <c r="O772" s="1"/>
    </row>
    <row r="773" spans="1:15" ht="16.5" customHeight="1">
      <c r="A773" s="1"/>
      <c r="B773" s="657" t="str">
        <f t="shared" ca="1" si="123"/>
        <v/>
      </c>
      <c r="C773" s="223" t="str">
        <f t="shared" ca="1" si="124"/>
        <v/>
      </c>
      <c r="D773" s="519">
        <f t="shared" si="129"/>
        <v>768</v>
      </c>
      <c r="E773" s="225" t="str">
        <f t="shared" ca="1" si="125"/>
        <v/>
      </c>
      <c r="F773" s="224" t="str">
        <f t="shared" si="131"/>
        <v>CASSA</v>
      </c>
      <c r="G773" s="384" t="str">
        <f t="shared" ca="1" si="126"/>
        <v/>
      </c>
      <c r="H773" s="512">
        <f t="shared" ca="1" si="127"/>
        <v>0</v>
      </c>
      <c r="I773" s="1603" t="str">
        <f t="shared" ca="1" si="121"/>
        <v/>
      </c>
      <c r="J773" s="1604"/>
      <c r="K773" s="373"/>
      <c r="L773" s="513">
        <f t="shared" ca="1" si="130"/>
        <v>656.58</v>
      </c>
      <c r="M773" s="654">
        <f t="shared" ca="1" si="128"/>
        <v>1</v>
      </c>
      <c r="N773" s="226">
        <f t="shared" ca="1" si="122"/>
        <v>0</v>
      </c>
      <c r="O773" s="1"/>
    </row>
    <row r="774" spans="1:15" ht="16.5" customHeight="1">
      <c r="A774" s="1"/>
      <c r="B774" s="657" t="str">
        <f t="shared" ca="1" si="123"/>
        <v/>
      </c>
      <c r="C774" s="223" t="str">
        <f t="shared" ca="1" si="124"/>
        <v/>
      </c>
      <c r="D774" s="519">
        <f t="shared" si="129"/>
        <v>769</v>
      </c>
      <c r="E774" s="225" t="str">
        <f t="shared" ca="1" si="125"/>
        <v/>
      </c>
      <c r="F774" s="224" t="str">
        <f t="shared" si="131"/>
        <v>CASSA</v>
      </c>
      <c r="G774" s="384" t="str">
        <f t="shared" ca="1" si="126"/>
        <v/>
      </c>
      <c r="H774" s="512">
        <f t="shared" ca="1" si="127"/>
        <v>0</v>
      </c>
      <c r="I774" s="1603" t="str">
        <f t="shared" ref="I774:I837" ca="1" si="132">IF(F774="","",IF(ISERROR(VLOOKUP($D774,$B$1080:$L$4183,11,FALSE)),"",VLOOKUP($D774,$B$1080:$L$4183,11,FALSE)))</f>
        <v/>
      </c>
      <c r="J774" s="1604"/>
      <c r="K774" s="373"/>
      <c r="L774" s="513">
        <f t="shared" ca="1" si="130"/>
        <v>656.58</v>
      </c>
      <c r="M774" s="654">
        <f t="shared" ca="1" si="128"/>
        <v>1</v>
      </c>
      <c r="N774" s="226">
        <f t="shared" ref="N774:N837" ca="1" si="133">IF(ISERROR(VLOOKUP(G774,G$4171:G$4182,1,FALSE)),0,1)</f>
        <v>0</v>
      </c>
      <c r="O774" s="1"/>
    </row>
    <row r="775" spans="1:15" ht="16.5" customHeight="1">
      <c r="A775" s="1"/>
      <c r="B775" s="657" t="str">
        <f t="shared" ref="B775:B838" ca="1" si="134">IF(AND(E775&lt;&gt;"",M775=0),"[..]","")</f>
        <v/>
      </c>
      <c r="C775" s="223" t="str">
        <f t="shared" ref="C775:C838" ca="1" si="135">IF(ISBLANK(E$2),"",IF(ISERROR(VLOOKUP(D775,B$3067:B$4182,1,FALSE)),"",C$4185))</f>
        <v/>
      </c>
      <c r="D775" s="519">
        <f t="shared" si="129"/>
        <v>770</v>
      </c>
      <c r="E775" s="225" t="str">
        <f t="shared" ref="E775:E838" ca="1" si="136">IF(ISERROR(VLOOKUP($D775,$B$1080:$E$4183,4,FALSE)),"",VLOOKUP($D775,$B$1080:$E$4183,4,FALSE))</f>
        <v/>
      </c>
      <c r="F775" s="224" t="str">
        <f t="shared" si="131"/>
        <v>CASSA</v>
      </c>
      <c r="G775" s="384" t="str">
        <f t="shared" ref="G775:G838" ca="1" si="137">IF(ISERROR(VLOOKUP($D775,$B$1080:$G$4183,6,FALSE)),"",T(VLOOKUP($D775,$B$1080:$G$4183,6,FALSE)))</f>
        <v/>
      </c>
      <c r="H775" s="512">
        <f t="shared" ref="H775:H838" ca="1" si="138">IF(ISERROR(VLOOKUP($D775,$B$1080:$H$4183,7,FALSE)),0,VLOOKUP($D775,$B$1080:$H$4183,7,FALSE))*M775</f>
        <v>0</v>
      </c>
      <c r="I775" s="1603" t="str">
        <f t="shared" ca="1" si="132"/>
        <v/>
      </c>
      <c r="J775" s="1604"/>
      <c r="K775" s="373"/>
      <c r="L775" s="513">
        <f t="shared" ca="1" si="130"/>
        <v>656.58</v>
      </c>
      <c r="M775" s="654">
        <f t="shared" ref="M775:M838" ca="1" si="139">IF(AND(E775&gt;0,H$4188=0,OR(E775&lt;L$1020,E775&gt;L$1021)),0,1)</f>
        <v>1</v>
      </c>
      <c r="N775" s="226">
        <f t="shared" ca="1" si="133"/>
        <v>0</v>
      </c>
      <c r="O775" s="1"/>
    </row>
    <row r="776" spans="1:15" ht="16.5" customHeight="1">
      <c r="A776" s="1"/>
      <c r="B776" s="657" t="str">
        <f t="shared" ca="1" si="134"/>
        <v/>
      </c>
      <c r="C776" s="223" t="str">
        <f t="shared" ca="1" si="135"/>
        <v/>
      </c>
      <c r="D776" s="519">
        <f t="shared" ref="D776:D839" si="140">D775+1</f>
        <v>771</v>
      </c>
      <c r="E776" s="225" t="str">
        <f t="shared" ca="1" si="136"/>
        <v/>
      </c>
      <c r="F776" s="224" t="str">
        <f t="shared" si="131"/>
        <v>CASSA</v>
      </c>
      <c r="G776" s="384" t="str">
        <f t="shared" ca="1" si="137"/>
        <v/>
      </c>
      <c r="H776" s="512">
        <f t="shared" ca="1" si="138"/>
        <v>0</v>
      </c>
      <c r="I776" s="1603" t="str">
        <f t="shared" ca="1" si="132"/>
        <v/>
      </c>
      <c r="J776" s="1604"/>
      <c r="K776" s="373"/>
      <c r="L776" s="513">
        <f t="shared" ref="L776:L839" ca="1" si="141">ROUND(L775+H776,2)</f>
        <v>656.58</v>
      </c>
      <c r="M776" s="654">
        <f t="shared" ca="1" si="139"/>
        <v>1</v>
      </c>
      <c r="N776" s="226">
        <f t="shared" ca="1" si="133"/>
        <v>0</v>
      </c>
      <c r="O776" s="1"/>
    </row>
    <row r="777" spans="1:15" ht="16.5" customHeight="1">
      <c r="A777" s="1"/>
      <c r="B777" s="657" t="str">
        <f t="shared" ca="1" si="134"/>
        <v/>
      </c>
      <c r="C777" s="223" t="str">
        <f t="shared" ca="1" si="135"/>
        <v/>
      </c>
      <c r="D777" s="519">
        <f t="shared" si="140"/>
        <v>772</v>
      </c>
      <c r="E777" s="225" t="str">
        <f t="shared" ca="1" si="136"/>
        <v/>
      </c>
      <c r="F777" s="224" t="str">
        <f t="shared" si="131"/>
        <v>CASSA</v>
      </c>
      <c r="G777" s="384" t="str">
        <f t="shared" ca="1" si="137"/>
        <v/>
      </c>
      <c r="H777" s="512">
        <f t="shared" ca="1" si="138"/>
        <v>0</v>
      </c>
      <c r="I777" s="1603" t="str">
        <f t="shared" ca="1" si="132"/>
        <v/>
      </c>
      <c r="J777" s="1604"/>
      <c r="K777" s="373"/>
      <c r="L777" s="513">
        <f t="shared" ca="1" si="141"/>
        <v>656.58</v>
      </c>
      <c r="M777" s="654">
        <f t="shared" ca="1" si="139"/>
        <v>1</v>
      </c>
      <c r="N777" s="226">
        <f t="shared" ca="1" si="133"/>
        <v>0</v>
      </c>
      <c r="O777" s="1"/>
    </row>
    <row r="778" spans="1:15" ht="16.5" customHeight="1">
      <c r="A778" s="1"/>
      <c r="B778" s="657" t="str">
        <f t="shared" ca="1" si="134"/>
        <v/>
      </c>
      <c r="C778" s="223" t="str">
        <f t="shared" ca="1" si="135"/>
        <v/>
      </c>
      <c r="D778" s="519">
        <f t="shared" si="140"/>
        <v>773</v>
      </c>
      <c r="E778" s="225" t="str">
        <f t="shared" ca="1" si="136"/>
        <v/>
      </c>
      <c r="F778" s="224" t="str">
        <f t="shared" si="131"/>
        <v>CASSA</v>
      </c>
      <c r="G778" s="384" t="str">
        <f t="shared" ca="1" si="137"/>
        <v/>
      </c>
      <c r="H778" s="512">
        <f t="shared" ca="1" si="138"/>
        <v>0</v>
      </c>
      <c r="I778" s="1603" t="str">
        <f t="shared" ca="1" si="132"/>
        <v/>
      </c>
      <c r="J778" s="1604"/>
      <c r="K778" s="373"/>
      <c r="L778" s="513">
        <f t="shared" ca="1" si="141"/>
        <v>656.58</v>
      </c>
      <c r="M778" s="654">
        <f t="shared" ca="1" si="139"/>
        <v>1</v>
      </c>
      <c r="N778" s="226">
        <f t="shared" ca="1" si="133"/>
        <v>0</v>
      </c>
      <c r="O778" s="1"/>
    </row>
    <row r="779" spans="1:15" ht="16.5" customHeight="1">
      <c r="A779" s="1"/>
      <c r="B779" s="657" t="str">
        <f t="shared" ca="1" si="134"/>
        <v/>
      </c>
      <c r="C779" s="223" t="str">
        <f t="shared" ca="1" si="135"/>
        <v/>
      </c>
      <c r="D779" s="519">
        <f t="shared" si="140"/>
        <v>774</v>
      </c>
      <c r="E779" s="225" t="str">
        <f t="shared" ca="1" si="136"/>
        <v/>
      </c>
      <c r="F779" s="224" t="str">
        <f t="shared" si="131"/>
        <v>CASSA</v>
      </c>
      <c r="G779" s="384" t="str">
        <f t="shared" ca="1" si="137"/>
        <v/>
      </c>
      <c r="H779" s="512">
        <f t="shared" ca="1" si="138"/>
        <v>0</v>
      </c>
      <c r="I779" s="1603" t="str">
        <f t="shared" ca="1" si="132"/>
        <v/>
      </c>
      <c r="J779" s="1604"/>
      <c r="K779" s="373"/>
      <c r="L779" s="513">
        <f t="shared" ca="1" si="141"/>
        <v>656.58</v>
      </c>
      <c r="M779" s="654">
        <f t="shared" ca="1" si="139"/>
        <v>1</v>
      </c>
      <c r="N779" s="226">
        <f t="shared" ca="1" si="133"/>
        <v>0</v>
      </c>
      <c r="O779" s="1"/>
    </row>
    <row r="780" spans="1:15" ht="16.5" customHeight="1">
      <c r="A780" s="1"/>
      <c r="B780" s="657" t="str">
        <f t="shared" ca="1" si="134"/>
        <v/>
      </c>
      <c r="C780" s="223" t="str">
        <f t="shared" ca="1" si="135"/>
        <v/>
      </c>
      <c r="D780" s="519">
        <f t="shared" si="140"/>
        <v>775</v>
      </c>
      <c r="E780" s="225" t="str">
        <f t="shared" ca="1" si="136"/>
        <v/>
      </c>
      <c r="F780" s="224" t="str">
        <f t="shared" ref="F780:F843" si="142">F779</f>
        <v>CASSA</v>
      </c>
      <c r="G780" s="384" t="str">
        <f t="shared" ca="1" si="137"/>
        <v/>
      </c>
      <c r="H780" s="512">
        <f t="shared" ca="1" si="138"/>
        <v>0</v>
      </c>
      <c r="I780" s="1603" t="str">
        <f t="shared" ca="1" si="132"/>
        <v/>
      </c>
      <c r="J780" s="1604"/>
      <c r="K780" s="373"/>
      <c r="L780" s="513">
        <f t="shared" ca="1" si="141"/>
        <v>656.58</v>
      </c>
      <c r="M780" s="654">
        <f t="shared" ca="1" si="139"/>
        <v>1</v>
      </c>
      <c r="N780" s="226">
        <f t="shared" ca="1" si="133"/>
        <v>0</v>
      </c>
      <c r="O780" s="1"/>
    </row>
    <row r="781" spans="1:15" ht="16.5" customHeight="1">
      <c r="A781" s="1"/>
      <c r="B781" s="657" t="str">
        <f t="shared" ca="1" si="134"/>
        <v/>
      </c>
      <c r="C781" s="223" t="str">
        <f t="shared" ca="1" si="135"/>
        <v/>
      </c>
      <c r="D781" s="519">
        <f t="shared" si="140"/>
        <v>776</v>
      </c>
      <c r="E781" s="225" t="str">
        <f t="shared" ca="1" si="136"/>
        <v/>
      </c>
      <c r="F781" s="224" t="str">
        <f t="shared" si="142"/>
        <v>CASSA</v>
      </c>
      <c r="G781" s="384" t="str">
        <f t="shared" ca="1" si="137"/>
        <v/>
      </c>
      <c r="H781" s="512">
        <f t="shared" ca="1" si="138"/>
        <v>0</v>
      </c>
      <c r="I781" s="1603" t="str">
        <f t="shared" ca="1" si="132"/>
        <v/>
      </c>
      <c r="J781" s="1604"/>
      <c r="K781" s="373"/>
      <c r="L781" s="513">
        <f t="shared" ca="1" si="141"/>
        <v>656.58</v>
      </c>
      <c r="M781" s="654">
        <f t="shared" ca="1" si="139"/>
        <v>1</v>
      </c>
      <c r="N781" s="226">
        <f t="shared" ca="1" si="133"/>
        <v>0</v>
      </c>
      <c r="O781" s="1"/>
    </row>
    <row r="782" spans="1:15" ht="16.5" customHeight="1">
      <c r="A782" s="1"/>
      <c r="B782" s="657" t="str">
        <f t="shared" ca="1" si="134"/>
        <v/>
      </c>
      <c r="C782" s="223" t="str">
        <f t="shared" ca="1" si="135"/>
        <v/>
      </c>
      <c r="D782" s="519">
        <f t="shared" si="140"/>
        <v>777</v>
      </c>
      <c r="E782" s="225" t="str">
        <f t="shared" ca="1" si="136"/>
        <v/>
      </c>
      <c r="F782" s="224" t="str">
        <f t="shared" si="142"/>
        <v>CASSA</v>
      </c>
      <c r="G782" s="384" t="str">
        <f t="shared" ca="1" si="137"/>
        <v/>
      </c>
      <c r="H782" s="512">
        <f t="shared" ca="1" si="138"/>
        <v>0</v>
      </c>
      <c r="I782" s="1603" t="str">
        <f t="shared" ca="1" si="132"/>
        <v/>
      </c>
      <c r="J782" s="1604"/>
      <c r="K782" s="373"/>
      <c r="L782" s="513">
        <f t="shared" ca="1" si="141"/>
        <v>656.58</v>
      </c>
      <c r="M782" s="654">
        <f t="shared" ca="1" si="139"/>
        <v>1</v>
      </c>
      <c r="N782" s="226">
        <f t="shared" ca="1" si="133"/>
        <v>0</v>
      </c>
      <c r="O782" s="1"/>
    </row>
    <row r="783" spans="1:15" ht="16.5" customHeight="1">
      <c r="A783" s="1"/>
      <c r="B783" s="657" t="str">
        <f t="shared" ca="1" si="134"/>
        <v/>
      </c>
      <c r="C783" s="223" t="str">
        <f t="shared" ca="1" si="135"/>
        <v/>
      </c>
      <c r="D783" s="519">
        <f t="shared" si="140"/>
        <v>778</v>
      </c>
      <c r="E783" s="225" t="str">
        <f t="shared" ca="1" si="136"/>
        <v/>
      </c>
      <c r="F783" s="224" t="str">
        <f t="shared" si="142"/>
        <v>CASSA</v>
      </c>
      <c r="G783" s="384" t="str">
        <f t="shared" ca="1" si="137"/>
        <v/>
      </c>
      <c r="H783" s="512">
        <f t="shared" ca="1" si="138"/>
        <v>0</v>
      </c>
      <c r="I783" s="1603" t="str">
        <f t="shared" ca="1" si="132"/>
        <v/>
      </c>
      <c r="J783" s="1604"/>
      <c r="K783" s="373"/>
      <c r="L783" s="513">
        <f t="shared" ca="1" si="141"/>
        <v>656.58</v>
      </c>
      <c r="M783" s="654">
        <f t="shared" ca="1" si="139"/>
        <v>1</v>
      </c>
      <c r="N783" s="226">
        <f t="shared" ca="1" si="133"/>
        <v>0</v>
      </c>
      <c r="O783" s="1"/>
    </row>
    <row r="784" spans="1:15" ht="16.5" customHeight="1">
      <c r="A784" s="1"/>
      <c r="B784" s="657" t="str">
        <f t="shared" ca="1" si="134"/>
        <v/>
      </c>
      <c r="C784" s="223" t="str">
        <f t="shared" ca="1" si="135"/>
        <v/>
      </c>
      <c r="D784" s="519">
        <f t="shared" si="140"/>
        <v>779</v>
      </c>
      <c r="E784" s="225" t="str">
        <f t="shared" ca="1" si="136"/>
        <v/>
      </c>
      <c r="F784" s="224" t="str">
        <f t="shared" si="142"/>
        <v>CASSA</v>
      </c>
      <c r="G784" s="384" t="str">
        <f t="shared" ca="1" si="137"/>
        <v/>
      </c>
      <c r="H784" s="512">
        <f t="shared" ca="1" si="138"/>
        <v>0</v>
      </c>
      <c r="I784" s="1603" t="str">
        <f t="shared" ca="1" si="132"/>
        <v/>
      </c>
      <c r="J784" s="1604"/>
      <c r="K784" s="373"/>
      <c r="L784" s="513">
        <f t="shared" ca="1" si="141"/>
        <v>656.58</v>
      </c>
      <c r="M784" s="654">
        <f t="shared" ca="1" si="139"/>
        <v>1</v>
      </c>
      <c r="N784" s="226">
        <f t="shared" ca="1" si="133"/>
        <v>0</v>
      </c>
      <c r="O784" s="1"/>
    </row>
    <row r="785" spans="1:15" ht="16.5" customHeight="1">
      <c r="A785" s="1"/>
      <c r="B785" s="657" t="str">
        <f t="shared" ca="1" si="134"/>
        <v/>
      </c>
      <c r="C785" s="223" t="str">
        <f t="shared" ca="1" si="135"/>
        <v/>
      </c>
      <c r="D785" s="519">
        <f t="shared" si="140"/>
        <v>780</v>
      </c>
      <c r="E785" s="225" t="str">
        <f t="shared" ca="1" si="136"/>
        <v/>
      </c>
      <c r="F785" s="224" t="str">
        <f t="shared" si="142"/>
        <v>CASSA</v>
      </c>
      <c r="G785" s="384" t="str">
        <f t="shared" ca="1" si="137"/>
        <v/>
      </c>
      <c r="H785" s="512">
        <f t="shared" ca="1" si="138"/>
        <v>0</v>
      </c>
      <c r="I785" s="1603" t="str">
        <f t="shared" ca="1" si="132"/>
        <v/>
      </c>
      <c r="J785" s="1604"/>
      <c r="K785" s="373"/>
      <c r="L785" s="513">
        <f t="shared" ca="1" si="141"/>
        <v>656.58</v>
      </c>
      <c r="M785" s="654">
        <f t="shared" ca="1" si="139"/>
        <v>1</v>
      </c>
      <c r="N785" s="226">
        <f t="shared" ca="1" si="133"/>
        <v>0</v>
      </c>
      <c r="O785" s="1"/>
    </row>
    <row r="786" spans="1:15" ht="16.5" customHeight="1">
      <c r="A786" s="1"/>
      <c r="B786" s="657" t="str">
        <f t="shared" ca="1" si="134"/>
        <v/>
      </c>
      <c r="C786" s="223" t="str">
        <f t="shared" ca="1" si="135"/>
        <v/>
      </c>
      <c r="D786" s="519">
        <f t="shared" si="140"/>
        <v>781</v>
      </c>
      <c r="E786" s="225" t="str">
        <f t="shared" ca="1" si="136"/>
        <v/>
      </c>
      <c r="F786" s="224" t="str">
        <f t="shared" si="142"/>
        <v>CASSA</v>
      </c>
      <c r="G786" s="384" t="str">
        <f t="shared" ca="1" si="137"/>
        <v/>
      </c>
      <c r="H786" s="512">
        <f t="shared" ca="1" si="138"/>
        <v>0</v>
      </c>
      <c r="I786" s="1603" t="str">
        <f t="shared" ca="1" si="132"/>
        <v/>
      </c>
      <c r="J786" s="1604"/>
      <c r="K786" s="373"/>
      <c r="L786" s="513">
        <f t="shared" ca="1" si="141"/>
        <v>656.58</v>
      </c>
      <c r="M786" s="654">
        <f t="shared" ca="1" si="139"/>
        <v>1</v>
      </c>
      <c r="N786" s="226">
        <f t="shared" ca="1" si="133"/>
        <v>0</v>
      </c>
      <c r="O786" s="1"/>
    </row>
    <row r="787" spans="1:15" ht="16.5" customHeight="1">
      <c r="A787" s="1"/>
      <c r="B787" s="657" t="str">
        <f t="shared" ca="1" si="134"/>
        <v/>
      </c>
      <c r="C787" s="223" t="str">
        <f t="shared" ca="1" si="135"/>
        <v/>
      </c>
      <c r="D787" s="519">
        <f t="shared" si="140"/>
        <v>782</v>
      </c>
      <c r="E787" s="225" t="str">
        <f t="shared" ca="1" si="136"/>
        <v/>
      </c>
      <c r="F787" s="224" t="str">
        <f t="shared" si="142"/>
        <v>CASSA</v>
      </c>
      <c r="G787" s="384" t="str">
        <f t="shared" ca="1" si="137"/>
        <v/>
      </c>
      <c r="H787" s="512">
        <f t="shared" ca="1" si="138"/>
        <v>0</v>
      </c>
      <c r="I787" s="1603" t="str">
        <f t="shared" ca="1" si="132"/>
        <v/>
      </c>
      <c r="J787" s="1604"/>
      <c r="K787" s="373"/>
      <c r="L787" s="513">
        <f t="shared" ca="1" si="141"/>
        <v>656.58</v>
      </c>
      <c r="M787" s="654">
        <f t="shared" ca="1" si="139"/>
        <v>1</v>
      </c>
      <c r="N787" s="226">
        <f t="shared" ca="1" si="133"/>
        <v>0</v>
      </c>
      <c r="O787" s="1"/>
    </row>
    <row r="788" spans="1:15" ht="16.5" customHeight="1">
      <c r="A788" s="1"/>
      <c r="B788" s="657" t="str">
        <f t="shared" ca="1" si="134"/>
        <v/>
      </c>
      <c r="C788" s="223" t="str">
        <f t="shared" ca="1" si="135"/>
        <v/>
      </c>
      <c r="D788" s="519">
        <f t="shared" si="140"/>
        <v>783</v>
      </c>
      <c r="E788" s="225" t="str">
        <f t="shared" ca="1" si="136"/>
        <v/>
      </c>
      <c r="F788" s="224" t="str">
        <f t="shared" si="142"/>
        <v>CASSA</v>
      </c>
      <c r="G788" s="384" t="str">
        <f t="shared" ca="1" si="137"/>
        <v/>
      </c>
      <c r="H788" s="512">
        <f t="shared" ca="1" si="138"/>
        <v>0</v>
      </c>
      <c r="I788" s="1603" t="str">
        <f t="shared" ca="1" si="132"/>
        <v/>
      </c>
      <c r="J788" s="1604"/>
      <c r="K788" s="373"/>
      <c r="L788" s="513">
        <f t="shared" ca="1" si="141"/>
        <v>656.58</v>
      </c>
      <c r="M788" s="654">
        <f t="shared" ca="1" si="139"/>
        <v>1</v>
      </c>
      <c r="N788" s="226">
        <f t="shared" ca="1" si="133"/>
        <v>0</v>
      </c>
      <c r="O788" s="1"/>
    </row>
    <row r="789" spans="1:15" ht="16.5" customHeight="1">
      <c r="A789" s="1"/>
      <c r="B789" s="657" t="str">
        <f t="shared" ca="1" si="134"/>
        <v/>
      </c>
      <c r="C789" s="223" t="str">
        <f t="shared" ca="1" si="135"/>
        <v/>
      </c>
      <c r="D789" s="519">
        <f t="shared" si="140"/>
        <v>784</v>
      </c>
      <c r="E789" s="225" t="str">
        <f t="shared" ca="1" si="136"/>
        <v/>
      </c>
      <c r="F789" s="224" t="str">
        <f t="shared" si="142"/>
        <v>CASSA</v>
      </c>
      <c r="G789" s="384" t="str">
        <f t="shared" ca="1" si="137"/>
        <v/>
      </c>
      <c r="H789" s="512">
        <f t="shared" ca="1" si="138"/>
        <v>0</v>
      </c>
      <c r="I789" s="1603" t="str">
        <f t="shared" ca="1" si="132"/>
        <v/>
      </c>
      <c r="J789" s="1604"/>
      <c r="K789" s="373"/>
      <c r="L789" s="513">
        <f t="shared" ca="1" si="141"/>
        <v>656.58</v>
      </c>
      <c r="M789" s="654">
        <f t="shared" ca="1" si="139"/>
        <v>1</v>
      </c>
      <c r="N789" s="226">
        <f t="shared" ca="1" si="133"/>
        <v>0</v>
      </c>
      <c r="O789" s="1"/>
    </row>
    <row r="790" spans="1:15" ht="16.5" customHeight="1">
      <c r="A790" s="1"/>
      <c r="B790" s="657" t="str">
        <f t="shared" ca="1" si="134"/>
        <v/>
      </c>
      <c r="C790" s="223" t="str">
        <f t="shared" ca="1" si="135"/>
        <v/>
      </c>
      <c r="D790" s="519">
        <f t="shared" si="140"/>
        <v>785</v>
      </c>
      <c r="E790" s="225" t="str">
        <f t="shared" ca="1" si="136"/>
        <v/>
      </c>
      <c r="F790" s="224" t="str">
        <f t="shared" si="142"/>
        <v>CASSA</v>
      </c>
      <c r="G790" s="384" t="str">
        <f t="shared" ca="1" si="137"/>
        <v/>
      </c>
      <c r="H790" s="512">
        <f t="shared" ca="1" si="138"/>
        <v>0</v>
      </c>
      <c r="I790" s="1603" t="str">
        <f t="shared" ca="1" si="132"/>
        <v/>
      </c>
      <c r="J790" s="1604"/>
      <c r="K790" s="373"/>
      <c r="L790" s="513">
        <f t="shared" ca="1" si="141"/>
        <v>656.58</v>
      </c>
      <c r="M790" s="654">
        <f t="shared" ca="1" si="139"/>
        <v>1</v>
      </c>
      <c r="N790" s="226">
        <f t="shared" ca="1" si="133"/>
        <v>0</v>
      </c>
      <c r="O790" s="1"/>
    </row>
    <row r="791" spans="1:15" ht="16.5" customHeight="1">
      <c r="A791" s="1"/>
      <c r="B791" s="657" t="str">
        <f t="shared" ca="1" si="134"/>
        <v/>
      </c>
      <c r="C791" s="223" t="str">
        <f t="shared" ca="1" si="135"/>
        <v/>
      </c>
      <c r="D791" s="519">
        <f t="shared" si="140"/>
        <v>786</v>
      </c>
      <c r="E791" s="225" t="str">
        <f t="shared" ca="1" si="136"/>
        <v/>
      </c>
      <c r="F791" s="224" t="str">
        <f t="shared" si="142"/>
        <v>CASSA</v>
      </c>
      <c r="G791" s="384" t="str">
        <f t="shared" ca="1" si="137"/>
        <v/>
      </c>
      <c r="H791" s="512">
        <f t="shared" ca="1" si="138"/>
        <v>0</v>
      </c>
      <c r="I791" s="1603" t="str">
        <f t="shared" ca="1" si="132"/>
        <v/>
      </c>
      <c r="J791" s="1604"/>
      <c r="K791" s="373"/>
      <c r="L791" s="513">
        <f t="shared" ca="1" si="141"/>
        <v>656.58</v>
      </c>
      <c r="M791" s="654">
        <f t="shared" ca="1" si="139"/>
        <v>1</v>
      </c>
      <c r="N791" s="226">
        <f t="shared" ca="1" si="133"/>
        <v>0</v>
      </c>
      <c r="O791" s="1"/>
    </row>
    <row r="792" spans="1:15" ht="16.5" customHeight="1">
      <c r="A792" s="1"/>
      <c r="B792" s="657" t="str">
        <f t="shared" ca="1" si="134"/>
        <v/>
      </c>
      <c r="C792" s="223" t="str">
        <f t="shared" ca="1" si="135"/>
        <v/>
      </c>
      <c r="D792" s="519">
        <f t="shared" si="140"/>
        <v>787</v>
      </c>
      <c r="E792" s="225" t="str">
        <f t="shared" ca="1" si="136"/>
        <v/>
      </c>
      <c r="F792" s="224" t="str">
        <f t="shared" si="142"/>
        <v>CASSA</v>
      </c>
      <c r="G792" s="384" t="str">
        <f t="shared" ca="1" si="137"/>
        <v/>
      </c>
      <c r="H792" s="512">
        <f t="shared" ca="1" si="138"/>
        <v>0</v>
      </c>
      <c r="I792" s="1603" t="str">
        <f t="shared" ca="1" si="132"/>
        <v/>
      </c>
      <c r="J792" s="1604"/>
      <c r="K792" s="373"/>
      <c r="L792" s="513">
        <f t="shared" ca="1" si="141"/>
        <v>656.58</v>
      </c>
      <c r="M792" s="654">
        <f t="shared" ca="1" si="139"/>
        <v>1</v>
      </c>
      <c r="N792" s="226">
        <f t="shared" ca="1" si="133"/>
        <v>0</v>
      </c>
      <c r="O792" s="1"/>
    </row>
    <row r="793" spans="1:15" ht="16.5" customHeight="1">
      <c r="A793" s="1"/>
      <c r="B793" s="657" t="str">
        <f t="shared" ca="1" si="134"/>
        <v/>
      </c>
      <c r="C793" s="223" t="str">
        <f t="shared" ca="1" si="135"/>
        <v/>
      </c>
      <c r="D793" s="519">
        <f t="shared" si="140"/>
        <v>788</v>
      </c>
      <c r="E793" s="225" t="str">
        <f t="shared" ca="1" si="136"/>
        <v/>
      </c>
      <c r="F793" s="224" t="str">
        <f t="shared" si="142"/>
        <v>CASSA</v>
      </c>
      <c r="G793" s="384" t="str">
        <f t="shared" ca="1" si="137"/>
        <v/>
      </c>
      <c r="H793" s="512">
        <f t="shared" ca="1" si="138"/>
        <v>0</v>
      </c>
      <c r="I793" s="1603" t="str">
        <f t="shared" ca="1" si="132"/>
        <v/>
      </c>
      <c r="J793" s="1604"/>
      <c r="K793" s="373"/>
      <c r="L793" s="513">
        <f t="shared" ca="1" si="141"/>
        <v>656.58</v>
      </c>
      <c r="M793" s="654">
        <f t="shared" ca="1" si="139"/>
        <v>1</v>
      </c>
      <c r="N793" s="226">
        <f t="shared" ca="1" si="133"/>
        <v>0</v>
      </c>
      <c r="O793" s="1"/>
    </row>
    <row r="794" spans="1:15" ht="16.5" customHeight="1">
      <c r="A794" s="1"/>
      <c r="B794" s="657" t="str">
        <f t="shared" ca="1" si="134"/>
        <v/>
      </c>
      <c r="C794" s="223" t="str">
        <f t="shared" ca="1" si="135"/>
        <v/>
      </c>
      <c r="D794" s="519">
        <f t="shared" si="140"/>
        <v>789</v>
      </c>
      <c r="E794" s="225" t="str">
        <f t="shared" ca="1" si="136"/>
        <v/>
      </c>
      <c r="F794" s="224" t="str">
        <f t="shared" si="142"/>
        <v>CASSA</v>
      </c>
      <c r="G794" s="384" t="str">
        <f t="shared" ca="1" si="137"/>
        <v/>
      </c>
      <c r="H794" s="512">
        <f t="shared" ca="1" si="138"/>
        <v>0</v>
      </c>
      <c r="I794" s="1603" t="str">
        <f t="shared" ca="1" si="132"/>
        <v/>
      </c>
      <c r="J794" s="1604"/>
      <c r="K794" s="373"/>
      <c r="L794" s="513">
        <f t="shared" ca="1" si="141"/>
        <v>656.58</v>
      </c>
      <c r="M794" s="654">
        <f t="shared" ca="1" si="139"/>
        <v>1</v>
      </c>
      <c r="N794" s="226">
        <f t="shared" ca="1" si="133"/>
        <v>0</v>
      </c>
      <c r="O794" s="1"/>
    </row>
    <row r="795" spans="1:15" ht="16.5" customHeight="1">
      <c r="A795" s="1"/>
      <c r="B795" s="657" t="str">
        <f t="shared" ca="1" si="134"/>
        <v/>
      </c>
      <c r="C795" s="223" t="str">
        <f t="shared" ca="1" si="135"/>
        <v/>
      </c>
      <c r="D795" s="519">
        <f t="shared" si="140"/>
        <v>790</v>
      </c>
      <c r="E795" s="225" t="str">
        <f t="shared" ca="1" si="136"/>
        <v/>
      </c>
      <c r="F795" s="224" t="str">
        <f t="shared" si="142"/>
        <v>CASSA</v>
      </c>
      <c r="G795" s="384" t="str">
        <f t="shared" ca="1" si="137"/>
        <v/>
      </c>
      <c r="H795" s="512">
        <f t="shared" ca="1" si="138"/>
        <v>0</v>
      </c>
      <c r="I795" s="1603" t="str">
        <f t="shared" ca="1" si="132"/>
        <v/>
      </c>
      <c r="J795" s="1604"/>
      <c r="K795" s="373"/>
      <c r="L795" s="513">
        <f t="shared" ca="1" si="141"/>
        <v>656.58</v>
      </c>
      <c r="M795" s="654">
        <f t="shared" ca="1" si="139"/>
        <v>1</v>
      </c>
      <c r="N795" s="226">
        <f t="shared" ca="1" si="133"/>
        <v>0</v>
      </c>
      <c r="O795" s="1"/>
    </row>
    <row r="796" spans="1:15" ht="16.5" customHeight="1">
      <c r="A796" s="1"/>
      <c r="B796" s="657" t="str">
        <f t="shared" ca="1" si="134"/>
        <v/>
      </c>
      <c r="C796" s="223" t="str">
        <f t="shared" ca="1" si="135"/>
        <v/>
      </c>
      <c r="D796" s="519">
        <f t="shared" si="140"/>
        <v>791</v>
      </c>
      <c r="E796" s="225" t="str">
        <f t="shared" ca="1" si="136"/>
        <v/>
      </c>
      <c r="F796" s="224" t="str">
        <f t="shared" si="142"/>
        <v>CASSA</v>
      </c>
      <c r="G796" s="384" t="str">
        <f t="shared" ca="1" si="137"/>
        <v/>
      </c>
      <c r="H796" s="512">
        <f t="shared" ca="1" si="138"/>
        <v>0</v>
      </c>
      <c r="I796" s="1603" t="str">
        <f t="shared" ca="1" si="132"/>
        <v/>
      </c>
      <c r="J796" s="1604"/>
      <c r="K796" s="373"/>
      <c r="L796" s="513">
        <f t="shared" ca="1" si="141"/>
        <v>656.58</v>
      </c>
      <c r="M796" s="654">
        <f t="shared" ca="1" si="139"/>
        <v>1</v>
      </c>
      <c r="N796" s="226">
        <f t="shared" ca="1" si="133"/>
        <v>0</v>
      </c>
      <c r="O796" s="1"/>
    </row>
    <row r="797" spans="1:15" ht="16.5" customHeight="1">
      <c r="A797" s="1"/>
      <c r="B797" s="657" t="str">
        <f t="shared" ca="1" si="134"/>
        <v/>
      </c>
      <c r="C797" s="223" t="str">
        <f t="shared" ca="1" si="135"/>
        <v/>
      </c>
      <c r="D797" s="519">
        <f t="shared" si="140"/>
        <v>792</v>
      </c>
      <c r="E797" s="225" t="str">
        <f t="shared" ca="1" si="136"/>
        <v/>
      </c>
      <c r="F797" s="224" t="str">
        <f t="shared" si="142"/>
        <v>CASSA</v>
      </c>
      <c r="G797" s="384" t="str">
        <f t="shared" ca="1" si="137"/>
        <v/>
      </c>
      <c r="H797" s="512">
        <f t="shared" ca="1" si="138"/>
        <v>0</v>
      </c>
      <c r="I797" s="1603" t="str">
        <f t="shared" ca="1" si="132"/>
        <v/>
      </c>
      <c r="J797" s="1604"/>
      <c r="K797" s="373"/>
      <c r="L797" s="513">
        <f t="shared" ca="1" si="141"/>
        <v>656.58</v>
      </c>
      <c r="M797" s="654">
        <f t="shared" ca="1" si="139"/>
        <v>1</v>
      </c>
      <c r="N797" s="226">
        <f t="shared" ca="1" si="133"/>
        <v>0</v>
      </c>
      <c r="O797" s="1"/>
    </row>
    <row r="798" spans="1:15" ht="16.5" customHeight="1">
      <c r="A798" s="1"/>
      <c r="B798" s="657" t="str">
        <f t="shared" ca="1" si="134"/>
        <v/>
      </c>
      <c r="C798" s="223" t="str">
        <f t="shared" ca="1" si="135"/>
        <v/>
      </c>
      <c r="D798" s="519">
        <f t="shared" si="140"/>
        <v>793</v>
      </c>
      <c r="E798" s="225" t="str">
        <f t="shared" ca="1" si="136"/>
        <v/>
      </c>
      <c r="F798" s="224" t="str">
        <f t="shared" si="142"/>
        <v>CASSA</v>
      </c>
      <c r="G798" s="384" t="str">
        <f t="shared" ca="1" si="137"/>
        <v/>
      </c>
      <c r="H798" s="512">
        <f t="shared" ca="1" si="138"/>
        <v>0</v>
      </c>
      <c r="I798" s="1603" t="str">
        <f t="shared" ca="1" si="132"/>
        <v/>
      </c>
      <c r="J798" s="1604"/>
      <c r="K798" s="373"/>
      <c r="L798" s="513">
        <f t="shared" ca="1" si="141"/>
        <v>656.58</v>
      </c>
      <c r="M798" s="654">
        <f t="shared" ca="1" si="139"/>
        <v>1</v>
      </c>
      <c r="N798" s="226">
        <f t="shared" ca="1" si="133"/>
        <v>0</v>
      </c>
      <c r="O798" s="1"/>
    </row>
    <row r="799" spans="1:15" ht="16.5" customHeight="1">
      <c r="A799" s="1"/>
      <c r="B799" s="657" t="str">
        <f t="shared" ca="1" si="134"/>
        <v/>
      </c>
      <c r="C799" s="223" t="str">
        <f t="shared" ca="1" si="135"/>
        <v/>
      </c>
      <c r="D799" s="519">
        <f t="shared" si="140"/>
        <v>794</v>
      </c>
      <c r="E799" s="225" t="str">
        <f t="shared" ca="1" si="136"/>
        <v/>
      </c>
      <c r="F799" s="224" t="str">
        <f t="shared" si="142"/>
        <v>CASSA</v>
      </c>
      <c r="G799" s="384" t="str">
        <f t="shared" ca="1" si="137"/>
        <v/>
      </c>
      <c r="H799" s="512">
        <f t="shared" ca="1" si="138"/>
        <v>0</v>
      </c>
      <c r="I799" s="1603" t="str">
        <f t="shared" ca="1" si="132"/>
        <v/>
      </c>
      <c r="J799" s="1604"/>
      <c r="K799" s="373"/>
      <c r="L799" s="513">
        <f t="shared" ca="1" si="141"/>
        <v>656.58</v>
      </c>
      <c r="M799" s="654">
        <f t="shared" ca="1" si="139"/>
        <v>1</v>
      </c>
      <c r="N799" s="226">
        <f t="shared" ca="1" si="133"/>
        <v>0</v>
      </c>
      <c r="O799" s="1"/>
    </row>
    <row r="800" spans="1:15" ht="16.5" customHeight="1">
      <c r="A800" s="1"/>
      <c r="B800" s="657" t="str">
        <f t="shared" ca="1" si="134"/>
        <v/>
      </c>
      <c r="C800" s="223" t="str">
        <f t="shared" ca="1" si="135"/>
        <v/>
      </c>
      <c r="D800" s="519">
        <f t="shared" si="140"/>
        <v>795</v>
      </c>
      <c r="E800" s="225" t="str">
        <f t="shared" ca="1" si="136"/>
        <v/>
      </c>
      <c r="F800" s="224" t="str">
        <f t="shared" si="142"/>
        <v>CASSA</v>
      </c>
      <c r="G800" s="384" t="str">
        <f t="shared" ca="1" si="137"/>
        <v/>
      </c>
      <c r="H800" s="512">
        <f t="shared" ca="1" si="138"/>
        <v>0</v>
      </c>
      <c r="I800" s="1603" t="str">
        <f t="shared" ca="1" si="132"/>
        <v/>
      </c>
      <c r="J800" s="1604"/>
      <c r="K800" s="373"/>
      <c r="L800" s="513">
        <f t="shared" ca="1" si="141"/>
        <v>656.58</v>
      </c>
      <c r="M800" s="654">
        <f t="shared" ca="1" si="139"/>
        <v>1</v>
      </c>
      <c r="N800" s="226">
        <f t="shared" ca="1" si="133"/>
        <v>0</v>
      </c>
      <c r="O800" s="1"/>
    </row>
    <row r="801" spans="1:15" ht="16.5" customHeight="1">
      <c r="A801" s="1"/>
      <c r="B801" s="657" t="str">
        <f t="shared" ca="1" si="134"/>
        <v/>
      </c>
      <c r="C801" s="223" t="str">
        <f t="shared" ca="1" si="135"/>
        <v/>
      </c>
      <c r="D801" s="519">
        <f t="shared" si="140"/>
        <v>796</v>
      </c>
      <c r="E801" s="225" t="str">
        <f t="shared" ca="1" si="136"/>
        <v/>
      </c>
      <c r="F801" s="224" t="str">
        <f t="shared" si="142"/>
        <v>CASSA</v>
      </c>
      <c r="G801" s="384" t="str">
        <f t="shared" ca="1" si="137"/>
        <v/>
      </c>
      <c r="H801" s="512">
        <f t="shared" ca="1" si="138"/>
        <v>0</v>
      </c>
      <c r="I801" s="1603" t="str">
        <f t="shared" ca="1" si="132"/>
        <v/>
      </c>
      <c r="J801" s="1604"/>
      <c r="K801" s="373"/>
      <c r="L801" s="513">
        <f t="shared" ca="1" si="141"/>
        <v>656.58</v>
      </c>
      <c r="M801" s="654">
        <f t="shared" ca="1" si="139"/>
        <v>1</v>
      </c>
      <c r="N801" s="226">
        <f t="shared" ca="1" si="133"/>
        <v>0</v>
      </c>
      <c r="O801" s="1"/>
    </row>
    <row r="802" spans="1:15" ht="16.5" customHeight="1">
      <c r="A802" s="1"/>
      <c r="B802" s="657" t="str">
        <f t="shared" ca="1" si="134"/>
        <v/>
      </c>
      <c r="C802" s="223" t="str">
        <f t="shared" ca="1" si="135"/>
        <v/>
      </c>
      <c r="D802" s="519">
        <f t="shared" si="140"/>
        <v>797</v>
      </c>
      <c r="E802" s="225" t="str">
        <f t="shared" ca="1" si="136"/>
        <v/>
      </c>
      <c r="F802" s="224" t="str">
        <f t="shared" si="142"/>
        <v>CASSA</v>
      </c>
      <c r="G802" s="384" t="str">
        <f t="shared" ca="1" si="137"/>
        <v/>
      </c>
      <c r="H802" s="512">
        <f t="shared" ca="1" si="138"/>
        <v>0</v>
      </c>
      <c r="I802" s="1603" t="str">
        <f t="shared" ca="1" si="132"/>
        <v/>
      </c>
      <c r="J802" s="1604"/>
      <c r="K802" s="373"/>
      <c r="L802" s="513">
        <f t="shared" ca="1" si="141"/>
        <v>656.58</v>
      </c>
      <c r="M802" s="654">
        <f t="shared" ca="1" si="139"/>
        <v>1</v>
      </c>
      <c r="N802" s="226">
        <f t="shared" ca="1" si="133"/>
        <v>0</v>
      </c>
      <c r="O802" s="1"/>
    </row>
    <row r="803" spans="1:15" ht="16.5" customHeight="1">
      <c r="A803" s="1"/>
      <c r="B803" s="657" t="str">
        <f t="shared" ca="1" si="134"/>
        <v/>
      </c>
      <c r="C803" s="223" t="str">
        <f t="shared" ca="1" si="135"/>
        <v/>
      </c>
      <c r="D803" s="519">
        <f t="shared" si="140"/>
        <v>798</v>
      </c>
      <c r="E803" s="225" t="str">
        <f t="shared" ca="1" si="136"/>
        <v/>
      </c>
      <c r="F803" s="224" t="str">
        <f t="shared" si="142"/>
        <v>CASSA</v>
      </c>
      <c r="G803" s="384" t="str">
        <f t="shared" ca="1" si="137"/>
        <v/>
      </c>
      <c r="H803" s="512">
        <f t="shared" ca="1" si="138"/>
        <v>0</v>
      </c>
      <c r="I803" s="1603" t="str">
        <f t="shared" ca="1" si="132"/>
        <v/>
      </c>
      <c r="J803" s="1604"/>
      <c r="K803" s="373"/>
      <c r="L803" s="513">
        <f t="shared" ca="1" si="141"/>
        <v>656.58</v>
      </c>
      <c r="M803" s="654">
        <f t="shared" ca="1" si="139"/>
        <v>1</v>
      </c>
      <c r="N803" s="226">
        <f t="shared" ca="1" si="133"/>
        <v>0</v>
      </c>
      <c r="O803" s="1"/>
    </row>
    <row r="804" spans="1:15" ht="16.5" customHeight="1">
      <c r="A804" s="1"/>
      <c r="B804" s="657" t="str">
        <f t="shared" ca="1" si="134"/>
        <v/>
      </c>
      <c r="C804" s="223" t="str">
        <f t="shared" ca="1" si="135"/>
        <v/>
      </c>
      <c r="D804" s="519">
        <f t="shared" si="140"/>
        <v>799</v>
      </c>
      <c r="E804" s="225" t="str">
        <f t="shared" ca="1" si="136"/>
        <v/>
      </c>
      <c r="F804" s="224" t="str">
        <f t="shared" si="142"/>
        <v>CASSA</v>
      </c>
      <c r="G804" s="384" t="str">
        <f t="shared" ca="1" si="137"/>
        <v/>
      </c>
      <c r="H804" s="512">
        <f t="shared" ca="1" si="138"/>
        <v>0</v>
      </c>
      <c r="I804" s="1603" t="str">
        <f t="shared" ca="1" si="132"/>
        <v/>
      </c>
      <c r="J804" s="1604"/>
      <c r="K804" s="373"/>
      <c r="L804" s="513">
        <f t="shared" ca="1" si="141"/>
        <v>656.58</v>
      </c>
      <c r="M804" s="654">
        <f t="shared" ca="1" si="139"/>
        <v>1</v>
      </c>
      <c r="N804" s="226">
        <f t="shared" ca="1" si="133"/>
        <v>0</v>
      </c>
      <c r="O804" s="1"/>
    </row>
    <row r="805" spans="1:15" ht="16.5" customHeight="1">
      <c r="A805" s="1"/>
      <c r="B805" s="657" t="str">
        <f t="shared" ca="1" si="134"/>
        <v/>
      </c>
      <c r="C805" s="223" t="str">
        <f t="shared" ca="1" si="135"/>
        <v/>
      </c>
      <c r="D805" s="519">
        <f t="shared" si="140"/>
        <v>800</v>
      </c>
      <c r="E805" s="225" t="str">
        <f t="shared" ca="1" si="136"/>
        <v/>
      </c>
      <c r="F805" s="224" t="str">
        <f t="shared" si="142"/>
        <v>CASSA</v>
      </c>
      <c r="G805" s="384" t="str">
        <f t="shared" ca="1" si="137"/>
        <v/>
      </c>
      <c r="H805" s="512">
        <f t="shared" ca="1" si="138"/>
        <v>0</v>
      </c>
      <c r="I805" s="1603" t="str">
        <f t="shared" ca="1" si="132"/>
        <v/>
      </c>
      <c r="J805" s="1604"/>
      <c r="K805" s="373"/>
      <c r="L805" s="513">
        <f t="shared" ca="1" si="141"/>
        <v>656.58</v>
      </c>
      <c r="M805" s="654">
        <f t="shared" ca="1" si="139"/>
        <v>1</v>
      </c>
      <c r="N805" s="226">
        <f t="shared" ca="1" si="133"/>
        <v>0</v>
      </c>
      <c r="O805" s="1"/>
    </row>
    <row r="806" spans="1:15" ht="16.5" customHeight="1">
      <c r="A806" s="1"/>
      <c r="B806" s="657" t="str">
        <f t="shared" ca="1" si="134"/>
        <v/>
      </c>
      <c r="C806" s="223" t="str">
        <f t="shared" ca="1" si="135"/>
        <v/>
      </c>
      <c r="D806" s="519">
        <f t="shared" si="140"/>
        <v>801</v>
      </c>
      <c r="E806" s="225" t="str">
        <f t="shared" ca="1" si="136"/>
        <v/>
      </c>
      <c r="F806" s="224" t="str">
        <f t="shared" si="142"/>
        <v>CASSA</v>
      </c>
      <c r="G806" s="384" t="str">
        <f t="shared" ca="1" si="137"/>
        <v/>
      </c>
      <c r="H806" s="512">
        <f t="shared" ca="1" si="138"/>
        <v>0</v>
      </c>
      <c r="I806" s="1603" t="str">
        <f t="shared" ca="1" si="132"/>
        <v/>
      </c>
      <c r="J806" s="1604"/>
      <c r="K806" s="373"/>
      <c r="L806" s="513">
        <f t="shared" ca="1" si="141"/>
        <v>656.58</v>
      </c>
      <c r="M806" s="654">
        <f t="shared" ca="1" si="139"/>
        <v>1</v>
      </c>
      <c r="N806" s="226">
        <f t="shared" ca="1" si="133"/>
        <v>0</v>
      </c>
      <c r="O806" s="1"/>
    </row>
    <row r="807" spans="1:15" ht="16.5" customHeight="1">
      <c r="A807" s="1"/>
      <c r="B807" s="657" t="str">
        <f t="shared" ca="1" si="134"/>
        <v/>
      </c>
      <c r="C807" s="223" t="str">
        <f t="shared" ca="1" si="135"/>
        <v/>
      </c>
      <c r="D807" s="519">
        <f t="shared" si="140"/>
        <v>802</v>
      </c>
      <c r="E807" s="225" t="str">
        <f t="shared" ca="1" si="136"/>
        <v/>
      </c>
      <c r="F807" s="224" t="str">
        <f t="shared" si="142"/>
        <v>CASSA</v>
      </c>
      <c r="G807" s="384" t="str">
        <f t="shared" ca="1" si="137"/>
        <v/>
      </c>
      <c r="H807" s="512">
        <f t="shared" ca="1" si="138"/>
        <v>0</v>
      </c>
      <c r="I807" s="1603" t="str">
        <f t="shared" ca="1" si="132"/>
        <v/>
      </c>
      <c r="J807" s="1604"/>
      <c r="K807" s="373"/>
      <c r="L807" s="513">
        <f t="shared" ca="1" si="141"/>
        <v>656.58</v>
      </c>
      <c r="M807" s="654">
        <f t="shared" ca="1" si="139"/>
        <v>1</v>
      </c>
      <c r="N807" s="226">
        <f t="shared" ca="1" si="133"/>
        <v>0</v>
      </c>
      <c r="O807" s="1"/>
    </row>
    <row r="808" spans="1:15" ht="16.5" customHeight="1">
      <c r="A808" s="1"/>
      <c r="B808" s="657" t="str">
        <f t="shared" ca="1" si="134"/>
        <v/>
      </c>
      <c r="C808" s="223" t="str">
        <f t="shared" ca="1" si="135"/>
        <v/>
      </c>
      <c r="D808" s="519">
        <f t="shared" si="140"/>
        <v>803</v>
      </c>
      <c r="E808" s="225" t="str">
        <f t="shared" ca="1" si="136"/>
        <v/>
      </c>
      <c r="F808" s="224" t="str">
        <f t="shared" si="142"/>
        <v>CASSA</v>
      </c>
      <c r="G808" s="384" t="str">
        <f t="shared" ca="1" si="137"/>
        <v/>
      </c>
      <c r="H808" s="512">
        <f t="shared" ca="1" si="138"/>
        <v>0</v>
      </c>
      <c r="I808" s="1603" t="str">
        <f t="shared" ca="1" si="132"/>
        <v/>
      </c>
      <c r="J808" s="1604"/>
      <c r="K808" s="373"/>
      <c r="L808" s="513">
        <f t="shared" ca="1" si="141"/>
        <v>656.58</v>
      </c>
      <c r="M808" s="654">
        <f t="shared" ca="1" si="139"/>
        <v>1</v>
      </c>
      <c r="N808" s="226">
        <f t="shared" ca="1" si="133"/>
        <v>0</v>
      </c>
      <c r="O808" s="1"/>
    </row>
    <row r="809" spans="1:15" ht="16.5" customHeight="1">
      <c r="A809" s="1"/>
      <c r="B809" s="657" t="str">
        <f t="shared" ca="1" si="134"/>
        <v/>
      </c>
      <c r="C809" s="223" t="str">
        <f t="shared" ca="1" si="135"/>
        <v/>
      </c>
      <c r="D809" s="519">
        <f t="shared" si="140"/>
        <v>804</v>
      </c>
      <c r="E809" s="225" t="str">
        <f t="shared" ca="1" si="136"/>
        <v/>
      </c>
      <c r="F809" s="224" t="str">
        <f t="shared" si="142"/>
        <v>CASSA</v>
      </c>
      <c r="G809" s="384" t="str">
        <f t="shared" ca="1" si="137"/>
        <v/>
      </c>
      <c r="H809" s="512">
        <f t="shared" ca="1" si="138"/>
        <v>0</v>
      </c>
      <c r="I809" s="1603" t="str">
        <f t="shared" ca="1" si="132"/>
        <v/>
      </c>
      <c r="J809" s="1604"/>
      <c r="K809" s="373"/>
      <c r="L809" s="513">
        <f t="shared" ca="1" si="141"/>
        <v>656.58</v>
      </c>
      <c r="M809" s="654">
        <f t="shared" ca="1" si="139"/>
        <v>1</v>
      </c>
      <c r="N809" s="226">
        <f t="shared" ca="1" si="133"/>
        <v>0</v>
      </c>
      <c r="O809" s="1"/>
    </row>
    <row r="810" spans="1:15" ht="16.5" customHeight="1">
      <c r="A810" s="1"/>
      <c r="B810" s="657" t="str">
        <f t="shared" ca="1" si="134"/>
        <v/>
      </c>
      <c r="C810" s="223" t="str">
        <f t="shared" ca="1" si="135"/>
        <v/>
      </c>
      <c r="D810" s="519">
        <f t="shared" si="140"/>
        <v>805</v>
      </c>
      <c r="E810" s="225" t="str">
        <f t="shared" ca="1" si="136"/>
        <v/>
      </c>
      <c r="F810" s="224" t="str">
        <f t="shared" si="142"/>
        <v>CASSA</v>
      </c>
      <c r="G810" s="384" t="str">
        <f t="shared" ca="1" si="137"/>
        <v/>
      </c>
      <c r="H810" s="512">
        <f t="shared" ca="1" si="138"/>
        <v>0</v>
      </c>
      <c r="I810" s="1603" t="str">
        <f t="shared" ca="1" si="132"/>
        <v/>
      </c>
      <c r="J810" s="1604"/>
      <c r="K810" s="373"/>
      <c r="L810" s="513">
        <f t="shared" ca="1" si="141"/>
        <v>656.58</v>
      </c>
      <c r="M810" s="654">
        <f t="shared" ca="1" si="139"/>
        <v>1</v>
      </c>
      <c r="N810" s="226">
        <f t="shared" ca="1" si="133"/>
        <v>0</v>
      </c>
      <c r="O810" s="1"/>
    </row>
    <row r="811" spans="1:15" ht="16.5" customHeight="1">
      <c r="A811" s="1"/>
      <c r="B811" s="657" t="str">
        <f t="shared" ca="1" si="134"/>
        <v/>
      </c>
      <c r="C811" s="223" t="str">
        <f t="shared" ca="1" si="135"/>
        <v/>
      </c>
      <c r="D811" s="519">
        <f t="shared" si="140"/>
        <v>806</v>
      </c>
      <c r="E811" s="225" t="str">
        <f t="shared" ca="1" si="136"/>
        <v/>
      </c>
      <c r="F811" s="224" t="str">
        <f t="shared" si="142"/>
        <v>CASSA</v>
      </c>
      <c r="G811" s="384" t="str">
        <f t="shared" ca="1" si="137"/>
        <v/>
      </c>
      <c r="H811" s="512">
        <f t="shared" ca="1" si="138"/>
        <v>0</v>
      </c>
      <c r="I811" s="1603" t="str">
        <f t="shared" ca="1" si="132"/>
        <v/>
      </c>
      <c r="J811" s="1604"/>
      <c r="K811" s="373"/>
      <c r="L811" s="513">
        <f t="shared" ca="1" si="141"/>
        <v>656.58</v>
      </c>
      <c r="M811" s="654">
        <f t="shared" ca="1" si="139"/>
        <v>1</v>
      </c>
      <c r="N811" s="226">
        <f t="shared" ca="1" si="133"/>
        <v>0</v>
      </c>
      <c r="O811" s="1"/>
    </row>
    <row r="812" spans="1:15" ht="16.5" customHeight="1">
      <c r="A812" s="1"/>
      <c r="B812" s="657" t="str">
        <f t="shared" ca="1" si="134"/>
        <v/>
      </c>
      <c r="C812" s="223" t="str">
        <f t="shared" ca="1" si="135"/>
        <v/>
      </c>
      <c r="D812" s="519">
        <f t="shared" si="140"/>
        <v>807</v>
      </c>
      <c r="E812" s="225" t="str">
        <f t="shared" ca="1" si="136"/>
        <v/>
      </c>
      <c r="F812" s="224" t="str">
        <f t="shared" si="142"/>
        <v>CASSA</v>
      </c>
      <c r="G812" s="384" t="str">
        <f t="shared" ca="1" si="137"/>
        <v/>
      </c>
      <c r="H812" s="512">
        <f t="shared" ca="1" si="138"/>
        <v>0</v>
      </c>
      <c r="I812" s="1603" t="str">
        <f t="shared" ca="1" si="132"/>
        <v/>
      </c>
      <c r="J812" s="1604"/>
      <c r="K812" s="373"/>
      <c r="L812" s="513">
        <f t="shared" ca="1" si="141"/>
        <v>656.58</v>
      </c>
      <c r="M812" s="654">
        <f t="shared" ca="1" si="139"/>
        <v>1</v>
      </c>
      <c r="N812" s="226">
        <f t="shared" ca="1" si="133"/>
        <v>0</v>
      </c>
      <c r="O812" s="1"/>
    </row>
    <row r="813" spans="1:15" ht="16.5" customHeight="1">
      <c r="A813" s="1"/>
      <c r="B813" s="657" t="str">
        <f t="shared" ca="1" si="134"/>
        <v/>
      </c>
      <c r="C813" s="223" t="str">
        <f t="shared" ca="1" si="135"/>
        <v/>
      </c>
      <c r="D813" s="519">
        <f t="shared" si="140"/>
        <v>808</v>
      </c>
      <c r="E813" s="225" t="str">
        <f t="shared" ca="1" si="136"/>
        <v/>
      </c>
      <c r="F813" s="224" t="str">
        <f t="shared" si="142"/>
        <v>CASSA</v>
      </c>
      <c r="G813" s="384" t="str">
        <f t="shared" ca="1" si="137"/>
        <v/>
      </c>
      <c r="H813" s="512">
        <f t="shared" ca="1" si="138"/>
        <v>0</v>
      </c>
      <c r="I813" s="1603" t="str">
        <f t="shared" ca="1" si="132"/>
        <v/>
      </c>
      <c r="J813" s="1604"/>
      <c r="K813" s="373"/>
      <c r="L813" s="513">
        <f t="shared" ca="1" si="141"/>
        <v>656.58</v>
      </c>
      <c r="M813" s="654">
        <f t="shared" ca="1" si="139"/>
        <v>1</v>
      </c>
      <c r="N813" s="226">
        <f t="shared" ca="1" si="133"/>
        <v>0</v>
      </c>
      <c r="O813" s="1"/>
    </row>
    <row r="814" spans="1:15" ht="16.5" customHeight="1">
      <c r="A814" s="1"/>
      <c r="B814" s="657" t="str">
        <f t="shared" ca="1" si="134"/>
        <v/>
      </c>
      <c r="C814" s="223" t="str">
        <f t="shared" ca="1" si="135"/>
        <v/>
      </c>
      <c r="D814" s="519">
        <f t="shared" si="140"/>
        <v>809</v>
      </c>
      <c r="E814" s="225" t="str">
        <f t="shared" ca="1" si="136"/>
        <v/>
      </c>
      <c r="F814" s="224" t="str">
        <f t="shared" si="142"/>
        <v>CASSA</v>
      </c>
      <c r="G814" s="384" t="str">
        <f t="shared" ca="1" si="137"/>
        <v/>
      </c>
      <c r="H814" s="512">
        <f t="shared" ca="1" si="138"/>
        <v>0</v>
      </c>
      <c r="I814" s="1603" t="str">
        <f t="shared" ca="1" si="132"/>
        <v/>
      </c>
      <c r="J814" s="1604"/>
      <c r="K814" s="373"/>
      <c r="L814" s="513">
        <f t="shared" ca="1" si="141"/>
        <v>656.58</v>
      </c>
      <c r="M814" s="654">
        <f t="shared" ca="1" si="139"/>
        <v>1</v>
      </c>
      <c r="N814" s="226">
        <f t="shared" ca="1" si="133"/>
        <v>0</v>
      </c>
      <c r="O814" s="1"/>
    </row>
    <row r="815" spans="1:15" ht="16.5" customHeight="1">
      <c r="A815" s="1"/>
      <c r="B815" s="657" t="str">
        <f t="shared" ca="1" si="134"/>
        <v/>
      </c>
      <c r="C815" s="223" t="str">
        <f t="shared" ca="1" si="135"/>
        <v/>
      </c>
      <c r="D815" s="519">
        <f t="shared" si="140"/>
        <v>810</v>
      </c>
      <c r="E815" s="225" t="str">
        <f t="shared" ca="1" si="136"/>
        <v/>
      </c>
      <c r="F815" s="224" t="str">
        <f t="shared" si="142"/>
        <v>CASSA</v>
      </c>
      <c r="G815" s="384" t="str">
        <f t="shared" ca="1" si="137"/>
        <v/>
      </c>
      <c r="H815" s="512">
        <f t="shared" ca="1" si="138"/>
        <v>0</v>
      </c>
      <c r="I815" s="1603" t="str">
        <f t="shared" ca="1" si="132"/>
        <v/>
      </c>
      <c r="J815" s="1604"/>
      <c r="K815" s="373"/>
      <c r="L815" s="513">
        <f t="shared" ca="1" si="141"/>
        <v>656.58</v>
      </c>
      <c r="M815" s="654">
        <f t="shared" ca="1" si="139"/>
        <v>1</v>
      </c>
      <c r="N815" s="226">
        <f t="shared" ca="1" si="133"/>
        <v>0</v>
      </c>
      <c r="O815" s="1"/>
    </row>
    <row r="816" spans="1:15" ht="16.5" customHeight="1">
      <c r="A816" s="1"/>
      <c r="B816" s="657" t="str">
        <f t="shared" ca="1" si="134"/>
        <v/>
      </c>
      <c r="C816" s="223" t="str">
        <f t="shared" ca="1" si="135"/>
        <v/>
      </c>
      <c r="D816" s="519">
        <f t="shared" si="140"/>
        <v>811</v>
      </c>
      <c r="E816" s="225" t="str">
        <f t="shared" ca="1" si="136"/>
        <v/>
      </c>
      <c r="F816" s="224" t="str">
        <f t="shared" si="142"/>
        <v>CASSA</v>
      </c>
      <c r="G816" s="384" t="str">
        <f t="shared" ca="1" si="137"/>
        <v/>
      </c>
      <c r="H816" s="512">
        <f t="shared" ca="1" si="138"/>
        <v>0</v>
      </c>
      <c r="I816" s="1603" t="str">
        <f t="shared" ca="1" si="132"/>
        <v/>
      </c>
      <c r="J816" s="1604"/>
      <c r="K816" s="373"/>
      <c r="L816" s="513">
        <f t="shared" ca="1" si="141"/>
        <v>656.58</v>
      </c>
      <c r="M816" s="654">
        <f t="shared" ca="1" si="139"/>
        <v>1</v>
      </c>
      <c r="N816" s="226">
        <f t="shared" ca="1" si="133"/>
        <v>0</v>
      </c>
      <c r="O816" s="1"/>
    </row>
    <row r="817" spans="1:15" ht="16.5" customHeight="1">
      <c r="A817" s="1"/>
      <c r="B817" s="657" t="str">
        <f t="shared" ca="1" si="134"/>
        <v/>
      </c>
      <c r="C817" s="223" t="str">
        <f t="shared" ca="1" si="135"/>
        <v/>
      </c>
      <c r="D817" s="519">
        <f t="shared" si="140"/>
        <v>812</v>
      </c>
      <c r="E817" s="225" t="str">
        <f t="shared" ca="1" si="136"/>
        <v/>
      </c>
      <c r="F817" s="224" t="str">
        <f t="shared" si="142"/>
        <v>CASSA</v>
      </c>
      <c r="G817" s="384" t="str">
        <f t="shared" ca="1" si="137"/>
        <v/>
      </c>
      <c r="H817" s="512">
        <f t="shared" ca="1" si="138"/>
        <v>0</v>
      </c>
      <c r="I817" s="1603" t="str">
        <f t="shared" ca="1" si="132"/>
        <v/>
      </c>
      <c r="J817" s="1604"/>
      <c r="K817" s="373"/>
      <c r="L817" s="513">
        <f t="shared" ca="1" si="141"/>
        <v>656.58</v>
      </c>
      <c r="M817" s="654">
        <f t="shared" ca="1" si="139"/>
        <v>1</v>
      </c>
      <c r="N817" s="226">
        <f t="shared" ca="1" si="133"/>
        <v>0</v>
      </c>
      <c r="O817" s="1"/>
    </row>
    <row r="818" spans="1:15" ht="16.5" customHeight="1">
      <c r="A818" s="1"/>
      <c r="B818" s="657" t="str">
        <f t="shared" ca="1" si="134"/>
        <v/>
      </c>
      <c r="C818" s="223" t="str">
        <f t="shared" ca="1" si="135"/>
        <v/>
      </c>
      <c r="D818" s="519">
        <f t="shared" si="140"/>
        <v>813</v>
      </c>
      <c r="E818" s="225" t="str">
        <f t="shared" ca="1" si="136"/>
        <v/>
      </c>
      <c r="F818" s="224" t="str">
        <f t="shared" si="142"/>
        <v>CASSA</v>
      </c>
      <c r="G818" s="384" t="str">
        <f t="shared" ca="1" si="137"/>
        <v/>
      </c>
      <c r="H818" s="512">
        <f t="shared" ca="1" si="138"/>
        <v>0</v>
      </c>
      <c r="I818" s="1603" t="str">
        <f t="shared" ca="1" si="132"/>
        <v/>
      </c>
      <c r="J818" s="1604"/>
      <c r="K818" s="373"/>
      <c r="L818" s="513">
        <f t="shared" ca="1" si="141"/>
        <v>656.58</v>
      </c>
      <c r="M818" s="654">
        <f t="shared" ca="1" si="139"/>
        <v>1</v>
      </c>
      <c r="N818" s="226">
        <f t="shared" ca="1" si="133"/>
        <v>0</v>
      </c>
      <c r="O818" s="1"/>
    </row>
    <row r="819" spans="1:15" ht="16.5" customHeight="1">
      <c r="A819" s="1"/>
      <c r="B819" s="657" t="str">
        <f t="shared" ca="1" si="134"/>
        <v/>
      </c>
      <c r="C819" s="223" t="str">
        <f t="shared" ca="1" si="135"/>
        <v/>
      </c>
      <c r="D819" s="519">
        <f t="shared" si="140"/>
        <v>814</v>
      </c>
      <c r="E819" s="225" t="str">
        <f t="shared" ca="1" si="136"/>
        <v/>
      </c>
      <c r="F819" s="224" t="str">
        <f t="shared" si="142"/>
        <v>CASSA</v>
      </c>
      <c r="G819" s="384" t="str">
        <f t="shared" ca="1" si="137"/>
        <v/>
      </c>
      <c r="H819" s="512">
        <f t="shared" ca="1" si="138"/>
        <v>0</v>
      </c>
      <c r="I819" s="1603" t="str">
        <f t="shared" ca="1" si="132"/>
        <v/>
      </c>
      <c r="J819" s="1604"/>
      <c r="K819" s="373"/>
      <c r="L819" s="513">
        <f t="shared" ca="1" si="141"/>
        <v>656.58</v>
      </c>
      <c r="M819" s="654">
        <f t="shared" ca="1" si="139"/>
        <v>1</v>
      </c>
      <c r="N819" s="226">
        <f t="shared" ca="1" si="133"/>
        <v>0</v>
      </c>
      <c r="O819" s="1"/>
    </row>
    <row r="820" spans="1:15" ht="16.5" customHeight="1">
      <c r="A820" s="1"/>
      <c r="B820" s="657" t="str">
        <f t="shared" ca="1" si="134"/>
        <v/>
      </c>
      <c r="C820" s="223" t="str">
        <f t="shared" ca="1" si="135"/>
        <v/>
      </c>
      <c r="D820" s="519">
        <f t="shared" si="140"/>
        <v>815</v>
      </c>
      <c r="E820" s="225" t="str">
        <f t="shared" ca="1" si="136"/>
        <v/>
      </c>
      <c r="F820" s="224" t="str">
        <f t="shared" si="142"/>
        <v>CASSA</v>
      </c>
      <c r="G820" s="384" t="str">
        <f t="shared" ca="1" si="137"/>
        <v/>
      </c>
      <c r="H820" s="512">
        <f t="shared" ca="1" si="138"/>
        <v>0</v>
      </c>
      <c r="I820" s="1603" t="str">
        <f t="shared" ca="1" si="132"/>
        <v/>
      </c>
      <c r="J820" s="1604"/>
      <c r="K820" s="373"/>
      <c r="L820" s="513">
        <f t="shared" ca="1" si="141"/>
        <v>656.58</v>
      </c>
      <c r="M820" s="654">
        <f t="shared" ca="1" si="139"/>
        <v>1</v>
      </c>
      <c r="N820" s="226">
        <f t="shared" ca="1" si="133"/>
        <v>0</v>
      </c>
      <c r="O820" s="1"/>
    </row>
    <row r="821" spans="1:15" ht="16.5" customHeight="1">
      <c r="A821" s="1"/>
      <c r="B821" s="657" t="str">
        <f t="shared" ca="1" si="134"/>
        <v/>
      </c>
      <c r="C821" s="223" t="str">
        <f t="shared" ca="1" si="135"/>
        <v/>
      </c>
      <c r="D821" s="519">
        <f t="shared" si="140"/>
        <v>816</v>
      </c>
      <c r="E821" s="225" t="str">
        <f t="shared" ca="1" si="136"/>
        <v/>
      </c>
      <c r="F821" s="224" t="str">
        <f t="shared" si="142"/>
        <v>CASSA</v>
      </c>
      <c r="G821" s="384" t="str">
        <f t="shared" ca="1" si="137"/>
        <v/>
      </c>
      <c r="H821" s="512">
        <f t="shared" ca="1" si="138"/>
        <v>0</v>
      </c>
      <c r="I821" s="1603" t="str">
        <f t="shared" ca="1" si="132"/>
        <v/>
      </c>
      <c r="J821" s="1604"/>
      <c r="K821" s="373"/>
      <c r="L821" s="513">
        <f t="shared" ca="1" si="141"/>
        <v>656.58</v>
      </c>
      <c r="M821" s="654">
        <f t="shared" ca="1" si="139"/>
        <v>1</v>
      </c>
      <c r="N821" s="226">
        <f t="shared" ca="1" si="133"/>
        <v>0</v>
      </c>
      <c r="O821" s="1"/>
    </row>
    <row r="822" spans="1:15" ht="16.5" customHeight="1">
      <c r="A822" s="1"/>
      <c r="B822" s="657" t="str">
        <f t="shared" ca="1" si="134"/>
        <v/>
      </c>
      <c r="C822" s="223" t="str">
        <f t="shared" ca="1" si="135"/>
        <v/>
      </c>
      <c r="D822" s="519">
        <f t="shared" si="140"/>
        <v>817</v>
      </c>
      <c r="E822" s="225" t="str">
        <f t="shared" ca="1" si="136"/>
        <v/>
      </c>
      <c r="F822" s="224" t="str">
        <f t="shared" si="142"/>
        <v>CASSA</v>
      </c>
      <c r="G822" s="384" t="str">
        <f t="shared" ca="1" si="137"/>
        <v/>
      </c>
      <c r="H822" s="512">
        <f t="shared" ca="1" si="138"/>
        <v>0</v>
      </c>
      <c r="I822" s="1603" t="str">
        <f t="shared" ca="1" si="132"/>
        <v/>
      </c>
      <c r="J822" s="1604"/>
      <c r="K822" s="373"/>
      <c r="L822" s="513">
        <f t="shared" ca="1" si="141"/>
        <v>656.58</v>
      </c>
      <c r="M822" s="654">
        <f t="shared" ca="1" si="139"/>
        <v>1</v>
      </c>
      <c r="N822" s="226">
        <f t="shared" ca="1" si="133"/>
        <v>0</v>
      </c>
      <c r="O822" s="1"/>
    </row>
    <row r="823" spans="1:15" ht="16.5" customHeight="1">
      <c r="A823" s="1"/>
      <c r="B823" s="657" t="str">
        <f t="shared" ca="1" si="134"/>
        <v/>
      </c>
      <c r="C823" s="223" t="str">
        <f t="shared" ca="1" si="135"/>
        <v/>
      </c>
      <c r="D823" s="519">
        <f t="shared" si="140"/>
        <v>818</v>
      </c>
      <c r="E823" s="225" t="str">
        <f t="shared" ca="1" si="136"/>
        <v/>
      </c>
      <c r="F823" s="224" t="str">
        <f t="shared" si="142"/>
        <v>CASSA</v>
      </c>
      <c r="G823" s="384" t="str">
        <f t="shared" ca="1" si="137"/>
        <v/>
      </c>
      <c r="H823" s="512">
        <f t="shared" ca="1" si="138"/>
        <v>0</v>
      </c>
      <c r="I823" s="1603" t="str">
        <f t="shared" ca="1" si="132"/>
        <v/>
      </c>
      <c r="J823" s="1604"/>
      <c r="K823" s="373"/>
      <c r="L823" s="513">
        <f t="shared" ca="1" si="141"/>
        <v>656.58</v>
      </c>
      <c r="M823" s="654">
        <f t="shared" ca="1" si="139"/>
        <v>1</v>
      </c>
      <c r="N823" s="226">
        <f t="shared" ca="1" si="133"/>
        <v>0</v>
      </c>
      <c r="O823" s="1"/>
    </row>
    <row r="824" spans="1:15" ht="16.5" customHeight="1">
      <c r="A824" s="1"/>
      <c r="B824" s="657" t="str">
        <f t="shared" ca="1" si="134"/>
        <v/>
      </c>
      <c r="C824" s="223" t="str">
        <f t="shared" ca="1" si="135"/>
        <v/>
      </c>
      <c r="D824" s="519">
        <f t="shared" si="140"/>
        <v>819</v>
      </c>
      <c r="E824" s="225" t="str">
        <f t="shared" ca="1" si="136"/>
        <v/>
      </c>
      <c r="F824" s="224" t="str">
        <f t="shared" si="142"/>
        <v>CASSA</v>
      </c>
      <c r="G824" s="384" t="str">
        <f t="shared" ca="1" si="137"/>
        <v/>
      </c>
      <c r="H824" s="512">
        <f t="shared" ca="1" si="138"/>
        <v>0</v>
      </c>
      <c r="I824" s="1603" t="str">
        <f t="shared" ca="1" si="132"/>
        <v/>
      </c>
      <c r="J824" s="1604"/>
      <c r="K824" s="373"/>
      <c r="L824" s="513">
        <f t="shared" ca="1" si="141"/>
        <v>656.58</v>
      </c>
      <c r="M824" s="654">
        <f t="shared" ca="1" si="139"/>
        <v>1</v>
      </c>
      <c r="N824" s="226">
        <f t="shared" ca="1" si="133"/>
        <v>0</v>
      </c>
      <c r="O824" s="1"/>
    </row>
    <row r="825" spans="1:15" ht="16.5" customHeight="1">
      <c r="A825" s="1"/>
      <c r="B825" s="657" t="str">
        <f t="shared" ca="1" si="134"/>
        <v/>
      </c>
      <c r="C825" s="223" t="str">
        <f t="shared" ca="1" si="135"/>
        <v/>
      </c>
      <c r="D825" s="519">
        <f t="shared" si="140"/>
        <v>820</v>
      </c>
      <c r="E825" s="225" t="str">
        <f t="shared" ca="1" si="136"/>
        <v/>
      </c>
      <c r="F825" s="224" t="str">
        <f t="shared" si="142"/>
        <v>CASSA</v>
      </c>
      <c r="G825" s="384" t="str">
        <f t="shared" ca="1" si="137"/>
        <v/>
      </c>
      <c r="H825" s="512">
        <f t="shared" ca="1" si="138"/>
        <v>0</v>
      </c>
      <c r="I825" s="1603" t="str">
        <f t="shared" ca="1" si="132"/>
        <v/>
      </c>
      <c r="J825" s="1604"/>
      <c r="K825" s="373"/>
      <c r="L825" s="513">
        <f t="shared" ca="1" si="141"/>
        <v>656.58</v>
      </c>
      <c r="M825" s="654">
        <f t="shared" ca="1" si="139"/>
        <v>1</v>
      </c>
      <c r="N825" s="226">
        <f t="shared" ca="1" si="133"/>
        <v>0</v>
      </c>
      <c r="O825" s="1"/>
    </row>
    <row r="826" spans="1:15" ht="16.5" customHeight="1">
      <c r="A826" s="1"/>
      <c r="B826" s="657" t="str">
        <f t="shared" ca="1" si="134"/>
        <v/>
      </c>
      <c r="C826" s="223" t="str">
        <f t="shared" ca="1" si="135"/>
        <v/>
      </c>
      <c r="D826" s="519">
        <f t="shared" si="140"/>
        <v>821</v>
      </c>
      <c r="E826" s="225" t="str">
        <f t="shared" ca="1" si="136"/>
        <v/>
      </c>
      <c r="F826" s="224" t="str">
        <f t="shared" si="142"/>
        <v>CASSA</v>
      </c>
      <c r="G826" s="384" t="str">
        <f t="shared" ca="1" si="137"/>
        <v/>
      </c>
      <c r="H826" s="512">
        <f t="shared" ca="1" si="138"/>
        <v>0</v>
      </c>
      <c r="I826" s="1603" t="str">
        <f t="shared" ca="1" si="132"/>
        <v/>
      </c>
      <c r="J826" s="1604"/>
      <c r="K826" s="373"/>
      <c r="L826" s="513">
        <f t="shared" ca="1" si="141"/>
        <v>656.58</v>
      </c>
      <c r="M826" s="654">
        <f t="shared" ca="1" si="139"/>
        <v>1</v>
      </c>
      <c r="N826" s="226">
        <f t="shared" ca="1" si="133"/>
        <v>0</v>
      </c>
      <c r="O826" s="1"/>
    </row>
    <row r="827" spans="1:15" ht="16.5" customHeight="1">
      <c r="A827" s="1"/>
      <c r="B827" s="657" t="str">
        <f t="shared" ca="1" si="134"/>
        <v/>
      </c>
      <c r="C827" s="223" t="str">
        <f t="shared" ca="1" si="135"/>
        <v/>
      </c>
      <c r="D827" s="519">
        <f t="shared" si="140"/>
        <v>822</v>
      </c>
      <c r="E827" s="225" t="str">
        <f t="shared" ca="1" si="136"/>
        <v/>
      </c>
      <c r="F827" s="224" t="str">
        <f t="shared" si="142"/>
        <v>CASSA</v>
      </c>
      <c r="G827" s="384" t="str">
        <f t="shared" ca="1" si="137"/>
        <v/>
      </c>
      <c r="H827" s="512">
        <f t="shared" ca="1" si="138"/>
        <v>0</v>
      </c>
      <c r="I827" s="1603" t="str">
        <f t="shared" ca="1" si="132"/>
        <v/>
      </c>
      <c r="J827" s="1604"/>
      <c r="K827" s="373"/>
      <c r="L827" s="513">
        <f t="shared" ca="1" si="141"/>
        <v>656.58</v>
      </c>
      <c r="M827" s="654">
        <f t="shared" ca="1" si="139"/>
        <v>1</v>
      </c>
      <c r="N827" s="226">
        <f t="shared" ca="1" si="133"/>
        <v>0</v>
      </c>
      <c r="O827" s="1"/>
    </row>
    <row r="828" spans="1:15" ht="16.5" customHeight="1">
      <c r="A828" s="1"/>
      <c r="B828" s="657" t="str">
        <f t="shared" ca="1" si="134"/>
        <v/>
      </c>
      <c r="C828" s="223" t="str">
        <f t="shared" ca="1" si="135"/>
        <v/>
      </c>
      <c r="D828" s="519">
        <f t="shared" si="140"/>
        <v>823</v>
      </c>
      <c r="E828" s="225" t="str">
        <f t="shared" ca="1" si="136"/>
        <v/>
      </c>
      <c r="F828" s="224" t="str">
        <f t="shared" si="142"/>
        <v>CASSA</v>
      </c>
      <c r="G828" s="384" t="str">
        <f t="shared" ca="1" si="137"/>
        <v/>
      </c>
      <c r="H828" s="512">
        <f t="shared" ca="1" si="138"/>
        <v>0</v>
      </c>
      <c r="I828" s="1603" t="str">
        <f t="shared" ca="1" si="132"/>
        <v/>
      </c>
      <c r="J828" s="1604"/>
      <c r="K828" s="373"/>
      <c r="L828" s="513">
        <f t="shared" ca="1" si="141"/>
        <v>656.58</v>
      </c>
      <c r="M828" s="654">
        <f t="shared" ca="1" si="139"/>
        <v>1</v>
      </c>
      <c r="N828" s="226">
        <f t="shared" ca="1" si="133"/>
        <v>0</v>
      </c>
      <c r="O828" s="1"/>
    </row>
    <row r="829" spans="1:15" ht="16.5" customHeight="1">
      <c r="A829" s="1"/>
      <c r="B829" s="657" t="str">
        <f t="shared" ca="1" si="134"/>
        <v/>
      </c>
      <c r="C829" s="223" t="str">
        <f t="shared" ca="1" si="135"/>
        <v/>
      </c>
      <c r="D829" s="519">
        <f t="shared" si="140"/>
        <v>824</v>
      </c>
      <c r="E829" s="225" t="str">
        <f t="shared" ca="1" si="136"/>
        <v/>
      </c>
      <c r="F829" s="224" t="str">
        <f t="shared" si="142"/>
        <v>CASSA</v>
      </c>
      <c r="G829" s="384" t="str">
        <f t="shared" ca="1" si="137"/>
        <v/>
      </c>
      <c r="H829" s="512">
        <f t="shared" ca="1" si="138"/>
        <v>0</v>
      </c>
      <c r="I829" s="1603" t="str">
        <f t="shared" ca="1" si="132"/>
        <v/>
      </c>
      <c r="J829" s="1604"/>
      <c r="K829" s="373"/>
      <c r="L829" s="513">
        <f t="shared" ca="1" si="141"/>
        <v>656.58</v>
      </c>
      <c r="M829" s="654">
        <f t="shared" ca="1" si="139"/>
        <v>1</v>
      </c>
      <c r="N829" s="226">
        <f t="shared" ca="1" si="133"/>
        <v>0</v>
      </c>
      <c r="O829" s="1"/>
    </row>
    <row r="830" spans="1:15" ht="16.5" customHeight="1">
      <c r="A830" s="1"/>
      <c r="B830" s="657" t="str">
        <f t="shared" ca="1" si="134"/>
        <v/>
      </c>
      <c r="C830" s="223" t="str">
        <f t="shared" ca="1" si="135"/>
        <v/>
      </c>
      <c r="D830" s="519">
        <f t="shared" si="140"/>
        <v>825</v>
      </c>
      <c r="E830" s="225" t="str">
        <f t="shared" ca="1" si="136"/>
        <v/>
      </c>
      <c r="F830" s="224" t="str">
        <f t="shared" si="142"/>
        <v>CASSA</v>
      </c>
      <c r="G830" s="384" t="str">
        <f t="shared" ca="1" si="137"/>
        <v/>
      </c>
      <c r="H830" s="512">
        <f t="shared" ca="1" si="138"/>
        <v>0</v>
      </c>
      <c r="I830" s="1603" t="str">
        <f t="shared" ca="1" si="132"/>
        <v/>
      </c>
      <c r="J830" s="1604"/>
      <c r="K830" s="373"/>
      <c r="L830" s="513">
        <f t="shared" ca="1" si="141"/>
        <v>656.58</v>
      </c>
      <c r="M830" s="654">
        <f t="shared" ca="1" si="139"/>
        <v>1</v>
      </c>
      <c r="N830" s="226">
        <f t="shared" ca="1" si="133"/>
        <v>0</v>
      </c>
      <c r="O830" s="1"/>
    </row>
    <row r="831" spans="1:15" ht="16.5" customHeight="1">
      <c r="A831" s="1"/>
      <c r="B831" s="657" t="str">
        <f t="shared" ca="1" si="134"/>
        <v/>
      </c>
      <c r="C831" s="223" t="str">
        <f t="shared" ca="1" si="135"/>
        <v/>
      </c>
      <c r="D831" s="519">
        <f t="shared" si="140"/>
        <v>826</v>
      </c>
      <c r="E831" s="225" t="str">
        <f t="shared" ca="1" si="136"/>
        <v/>
      </c>
      <c r="F831" s="224" t="str">
        <f t="shared" si="142"/>
        <v>CASSA</v>
      </c>
      <c r="G831" s="384" t="str">
        <f t="shared" ca="1" si="137"/>
        <v/>
      </c>
      <c r="H831" s="512">
        <f t="shared" ca="1" si="138"/>
        <v>0</v>
      </c>
      <c r="I831" s="1603" t="str">
        <f t="shared" ca="1" si="132"/>
        <v/>
      </c>
      <c r="J831" s="1604"/>
      <c r="K831" s="373"/>
      <c r="L831" s="513">
        <f t="shared" ca="1" si="141"/>
        <v>656.58</v>
      </c>
      <c r="M831" s="654">
        <f t="shared" ca="1" si="139"/>
        <v>1</v>
      </c>
      <c r="N831" s="226">
        <f t="shared" ca="1" si="133"/>
        <v>0</v>
      </c>
      <c r="O831" s="1"/>
    </row>
    <row r="832" spans="1:15" ht="16.5" customHeight="1">
      <c r="A832" s="1"/>
      <c r="B832" s="657" t="str">
        <f t="shared" ca="1" si="134"/>
        <v/>
      </c>
      <c r="C832" s="223" t="str">
        <f t="shared" ca="1" si="135"/>
        <v/>
      </c>
      <c r="D832" s="519">
        <f t="shared" si="140"/>
        <v>827</v>
      </c>
      <c r="E832" s="225" t="str">
        <f t="shared" ca="1" si="136"/>
        <v/>
      </c>
      <c r="F832" s="224" t="str">
        <f t="shared" si="142"/>
        <v>CASSA</v>
      </c>
      <c r="G832" s="384" t="str">
        <f t="shared" ca="1" si="137"/>
        <v/>
      </c>
      <c r="H832" s="512">
        <f t="shared" ca="1" si="138"/>
        <v>0</v>
      </c>
      <c r="I832" s="1603" t="str">
        <f t="shared" ca="1" si="132"/>
        <v/>
      </c>
      <c r="J832" s="1604"/>
      <c r="K832" s="373"/>
      <c r="L832" s="513">
        <f t="shared" ca="1" si="141"/>
        <v>656.58</v>
      </c>
      <c r="M832" s="654">
        <f t="shared" ca="1" si="139"/>
        <v>1</v>
      </c>
      <c r="N832" s="226">
        <f t="shared" ca="1" si="133"/>
        <v>0</v>
      </c>
      <c r="O832" s="1"/>
    </row>
    <row r="833" spans="1:15" ht="16.5" customHeight="1">
      <c r="A833" s="1"/>
      <c r="B833" s="657" t="str">
        <f t="shared" ca="1" si="134"/>
        <v/>
      </c>
      <c r="C833" s="223" t="str">
        <f t="shared" ca="1" si="135"/>
        <v/>
      </c>
      <c r="D833" s="519">
        <f t="shared" si="140"/>
        <v>828</v>
      </c>
      <c r="E833" s="225" t="str">
        <f t="shared" ca="1" si="136"/>
        <v/>
      </c>
      <c r="F833" s="224" t="str">
        <f t="shared" si="142"/>
        <v>CASSA</v>
      </c>
      <c r="G833" s="384" t="str">
        <f t="shared" ca="1" si="137"/>
        <v/>
      </c>
      <c r="H833" s="512">
        <f t="shared" ca="1" si="138"/>
        <v>0</v>
      </c>
      <c r="I833" s="1603" t="str">
        <f t="shared" ca="1" si="132"/>
        <v/>
      </c>
      <c r="J833" s="1604"/>
      <c r="K833" s="373"/>
      <c r="L833" s="513">
        <f t="shared" ca="1" si="141"/>
        <v>656.58</v>
      </c>
      <c r="M833" s="654">
        <f t="shared" ca="1" si="139"/>
        <v>1</v>
      </c>
      <c r="N833" s="226">
        <f t="shared" ca="1" si="133"/>
        <v>0</v>
      </c>
      <c r="O833" s="1"/>
    </row>
    <row r="834" spans="1:15" ht="16.5" customHeight="1">
      <c r="A834" s="1"/>
      <c r="B834" s="657" t="str">
        <f t="shared" ca="1" si="134"/>
        <v/>
      </c>
      <c r="C834" s="223" t="str">
        <f t="shared" ca="1" si="135"/>
        <v/>
      </c>
      <c r="D834" s="519">
        <f t="shared" si="140"/>
        <v>829</v>
      </c>
      <c r="E834" s="225" t="str">
        <f t="shared" ca="1" si="136"/>
        <v/>
      </c>
      <c r="F834" s="224" t="str">
        <f t="shared" si="142"/>
        <v>CASSA</v>
      </c>
      <c r="G834" s="384" t="str">
        <f t="shared" ca="1" si="137"/>
        <v/>
      </c>
      <c r="H834" s="512">
        <f t="shared" ca="1" si="138"/>
        <v>0</v>
      </c>
      <c r="I834" s="1603" t="str">
        <f t="shared" ca="1" si="132"/>
        <v/>
      </c>
      <c r="J834" s="1604"/>
      <c r="K834" s="373"/>
      <c r="L834" s="513">
        <f t="shared" ca="1" si="141"/>
        <v>656.58</v>
      </c>
      <c r="M834" s="654">
        <f t="shared" ca="1" si="139"/>
        <v>1</v>
      </c>
      <c r="N834" s="226">
        <f t="shared" ca="1" si="133"/>
        <v>0</v>
      </c>
      <c r="O834" s="1"/>
    </row>
    <row r="835" spans="1:15" ht="16.5" customHeight="1">
      <c r="A835" s="1"/>
      <c r="B835" s="657" t="str">
        <f t="shared" ca="1" si="134"/>
        <v/>
      </c>
      <c r="C835" s="223" t="str">
        <f t="shared" ca="1" si="135"/>
        <v/>
      </c>
      <c r="D835" s="519">
        <f t="shared" si="140"/>
        <v>830</v>
      </c>
      <c r="E835" s="225" t="str">
        <f t="shared" ca="1" si="136"/>
        <v/>
      </c>
      <c r="F835" s="224" t="str">
        <f t="shared" si="142"/>
        <v>CASSA</v>
      </c>
      <c r="G835" s="384" t="str">
        <f t="shared" ca="1" si="137"/>
        <v/>
      </c>
      <c r="H835" s="512">
        <f t="shared" ca="1" si="138"/>
        <v>0</v>
      </c>
      <c r="I835" s="1603" t="str">
        <f t="shared" ca="1" si="132"/>
        <v/>
      </c>
      <c r="J835" s="1604"/>
      <c r="K835" s="373"/>
      <c r="L835" s="513">
        <f t="shared" ca="1" si="141"/>
        <v>656.58</v>
      </c>
      <c r="M835" s="654">
        <f t="shared" ca="1" si="139"/>
        <v>1</v>
      </c>
      <c r="N835" s="226">
        <f t="shared" ca="1" si="133"/>
        <v>0</v>
      </c>
      <c r="O835" s="1"/>
    </row>
    <row r="836" spans="1:15" ht="16.5" customHeight="1">
      <c r="A836" s="1"/>
      <c r="B836" s="657" t="str">
        <f t="shared" ca="1" si="134"/>
        <v/>
      </c>
      <c r="C836" s="223" t="str">
        <f t="shared" ca="1" si="135"/>
        <v/>
      </c>
      <c r="D836" s="519">
        <f t="shared" si="140"/>
        <v>831</v>
      </c>
      <c r="E836" s="225" t="str">
        <f t="shared" ca="1" si="136"/>
        <v/>
      </c>
      <c r="F836" s="224" t="str">
        <f t="shared" si="142"/>
        <v>CASSA</v>
      </c>
      <c r="G836" s="384" t="str">
        <f t="shared" ca="1" si="137"/>
        <v/>
      </c>
      <c r="H836" s="512">
        <f t="shared" ca="1" si="138"/>
        <v>0</v>
      </c>
      <c r="I836" s="1603" t="str">
        <f t="shared" ca="1" si="132"/>
        <v/>
      </c>
      <c r="J836" s="1604"/>
      <c r="K836" s="373"/>
      <c r="L836" s="513">
        <f t="shared" ca="1" si="141"/>
        <v>656.58</v>
      </c>
      <c r="M836" s="654">
        <f t="shared" ca="1" si="139"/>
        <v>1</v>
      </c>
      <c r="N836" s="226">
        <f t="shared" ca="1" si="133"/>
        <v>0</v>
      </c>
      <c r="O836" s="1"/>
    </row>
    <row r="837" spans="1:15" ht="16.5" customHeight="1">
      <c r="A837" s="1"/>
      <c r="B837" s="657" t="str">
        <f t="shared" ca="1" si="134"/>
        <v/>
      </c>
      <c r="C837" s="223" t="str">
        <f t="shared" ca="1" si="135"/>
        <v/>
      </c>
      <c r="D837" s="519">
        <f t="shared" si="140"/>
        <v>832</v>
      </c>
      <c r="E837" s="225" t="str">
        <f t="shared" ca="1" si="136"/>
        <v/>
      </c>
      <c r="F837" s="224" t="str">
        <f t="shared" si="142"/>
        <v>CASSA</v>
      </c>
      <c r="G837" s="384" t="str">
        <f t="shared" ca="1" si="137"/>
        <v/>
      </c>
      <c r="H837" s="512">
        <f t="shared" ca="1" si="138"/>
        <v>0</v>
      </c>
      <c r="I837" s="1603" t="str">
        <f t="shared" ca="1" si="132"/>
        <v/>
      </c>
      <c r="J837" s="1604"/>
      <c r="K837" s="373"/>
      <c r="L837" s="513">
        <f t="shared" ca="1" si="141"/>
        <v>656.58</v>
      </c>
      <c r="M837" s="654">
        <f t="shared" ca="1" si="139"/>
        <v>1</v>
      </c>
      <c r="N837" s="226">
        <f t="shared" ca="1" si="133"/>
        <v>0</v>
      </c>
      <c r="O837" s="1"/>
    </row>
    <row r="838" spans="1:15" ht="16.5" customHeight="1">
      <c r="A838" s="1"/>
      <c r="B838" s="657" t="str">
        <f t="shared" ca="1" si="134"/>
        <v/>
      </c>
      <c r="C838" s="223" t="str">
        <f t="shared" ca="1" si="135"/>
        <v/>
      </c>
      <c r="D838" s="519">
        <f t="shared" si="140"/>
        <v>833</v>
      </c>
      <c r="E838" s="225" t="str">
        <f t="shared" ca="1" si="136"/>
        <v/>
      </c>
      <c r="F838" s="224" t="str">
        <f t="shared" si="142"/>
        <v>CASSA</v>
      </c>
      <c r="G838" s="384" t="str">
        <f t="shared" ca="1" si="137"/>
        <v/>
      </c>
      <c r="H838" s="512">
        <f t="shared" ca="1" si="138"/>
        <v>0</v>
      </c>
      <c r="I838" s="1603" t="str">
        <f t="shared" ref="I838:I901" ca="1" si="143">IF(F838="","",IF(ISERROR(VLOOKUP($D838,$B$1080:$L$4183,11,FALSE)),"",VLOOKUP($D838,$B$1080:$L$4183,11,FALSE)))</f>
        <v/>
      </c>
      <c r="J838" s="1604"/>
      <c r="K838" s="373"/>
      <c r="L838" s="513">
        <f t="shared" ca="1" si="141"/>
        <v>656.58</v>
      </c>
      <c r="M838" s="654">
        <f t="shared" ca="1" si="139"/>
        <v>1</v>
      </c>
      <c r="N838" s="226">
        <f t="shared" ref="N838:N901" ca="1" si="144">IF(ISERROR(VLOOKUP(G838,G$4171:G$4182,1,FALSE)),0,1)</f>
        <v>0</v>
      </c>
      <c r="O838" s="1"/>
    </row>
    <row r="839" spans="1:15" ht="16.5" customHeight="1">
      <c r="A839" s="1"/>
      <c r="B839" s="657" t="str">
        <f t="shared" ref="B839:B902" ca="1" si="145">IF(AND(E839&lt;&gt;"",M839=0),"[..]","")</f>
        <v/>
      </c>
      <c r="C839" s="223" t="str">
        <f t="shared" ref="C839:C902" ca="1" si="146">IF(ISBLANK(E$2),"",IF(ISERROR(VLOOKUP(D839,B$3067:B$4182,1,FALSE)),"",C$4185))</f>
        <v/>
      </c>
      <c r="D839" s="519">
        <f t="shared" si="140"/>
        <v>834</v>
      </c>
      <c r="E839" s="225" t="str">
        <f t="shared" ref="E839:E902" ca="1" si="147">IF(ISERROR(VLOOKUP($D839,$B$1080:$E$4183,4,FALSE)),"",VLOOKUP($D839,$B$1080:$E$4183,4,FALSE))</f>
        <v/>
      </c>
      <c r="F839" s="224" t="str">
        <f t="shared" si="142"/>
        <v>CASSA</v>
      </c>
      <c r="G839" s="384" t="str">
        <f t="shared" ref="G839:G902" ca="1" si="148">IF(ISERROR(VLOOKUP($D839,$B$1080:$G$4183,6,FALSE)),"",T(VLOOKUP($D839,$B$1080:$G$4183,6,FALSE)))</f>
        <v/>
      </c>
      <c r="H839" s="512">
        <f t="shared" ref="H839:H902" ca="1" si="149">IF(ISERROR(VLOOKUP($D839,$B$1080:$H$4183,7,FALSE)),0,VLOOKUP($D839,$B$1080:$H$4183,7,FALSE))*M839</f>
        <v>0</v>
      </c>
      <c r="I839" s="1603" t="str">
        <f t="shared" ca="1" si="143"/>
        <v/>
      </c>
      <c r="J839" s="1604"/>
      <c r="K839" s="373"/>
      <c r="L839" s="513">
        <f t="shared" ca="1" si="141"/>
        <v>656.58</v>
      </c>
      <c r="M839" s="654">
        <f t="shared" ref="M839:M902" ca="1" si="150">IF(AND(E839&gt;0,H$4188=0,OR(E839&lt;L$1020,E839&gt;L$1021)),0,1)</f>
        <v>1</v>
      </c>
      <c r="N839" s="226">
        <f t="shared" ca="1" si="144"/>
        <v>0</v>
      </c>
      <c r="O839" s="1"/>
    </row>
    <row r="840" spans="1:15" ht="16.5" customHeight="1">
      <c r="A840" s="1"/>
      <c r="B840" s="657" t="str">
        <f t="shared" ca="1" si="145"/>
        <v/>
      </c>
      <c r="C840" s="223" t="str">
        <f t="shared" ca="1" si="146"/>
        <v/>
      </c>
      <c r="D840" s="519">
        <f t="shared" ref="D840:D903" si="151">D839+1</f>
        <v>835</v>
      </c>
      <c r="E840" s="225" t="str">
        <f t="shared" ca="1" si="147"/>
        <v/>
      </c>
      <c r="F840" s="224" t="str">
        <f t="shared" si="142"/>
        <v>CASSA</v>
      </c>
      <c r="G840" s="384" t="str">
        <f t="shared" ca="1" si="148"/>
        <v/>
      </c>
      <c r="H840" s="512">
        <f t="shared" ca="1" si="149"/>
        <v>0</v>
      </c>
      <c r="I840" s="1603" t="str">
        <f t="shared" ca="1" si="143"/>
        <v/>
      </c>
      <c r="J840" s="1604"/>
      <c r="K840" s="373"/>
      <c r="L840" s="513">
        <f t="shared" ref="L840:L903" ca="1" si="152">ROUND(L839+H840,2)</f>
        <v>656.58</v>
      </c>
      <c r="M840" s="654">
        <f t="shared" ca="1" si="150"/>
        <v>1</v>
      </c>
      <c r="N840" s="226">
        <f t="shared" ca="1" si="144"/>
        <v>0</v>
      </c>
      <c r="O840" s="1"/>
    </row>
    <row r="841" spans="1:15" ht="16.5" customHeight="1">
      <c r="A841" s="1"/>
      <c r="B841" s="657" t="str">
        <f t="shared" ca="1" si="145"/>
        <v/>
      </c>
      <c r="C841" s="223" t="str">
        <f t="shared" ca="1" si="146"/>
        <v/>
      </c>
      <c r="D841" s="519">
        <f t="shared" si="151"/>
        <v>836</v>
      </c>
      <c r="E841" s="225" t="str">
        <f t="shared" ca="1" si="147"/>
        <v/>
      </c>
      <c r="F841" s="224" t="str">
        <f t="shared" si="142"/>
        <v>CASSA</v>
      </c>
      <c r="G841" s="384" t="str">
        <f t="shared" ca="1" si="148"/>
        <v/>
      </c>
      <c r="H841" s="512">
        <f t="shared" ca="1" si="149"/>
        <v>0</v>
      </c>
      <c r="I841" s="1603" t="str">
        <f t="shared" ca="1" si="143"/>
        <v/>
      </c>
      <c r="J841" s="1604"/>
      <c r="K841" s="373"/>
      <c r="L841" s="513">
        <f t="shared" ca="1" si="152"/>
        <v>656.58</v>
      </c>
      <c r="M841" s="654">
        <f t="shared" ca="1" si="150"/>
        <v>1</v>
      </c>
      <c r="N841" s="226">
        <f t="shared" ca="1" si="144"/>
        <v>0</v>
      </c>
      <c r="O841" s="1"/>
    </row>
    <row r="842" spans="1:15" ht="16.5" customHeight="1">
      <c r="A842" s="1"/>
      <c r="B842" s="657" t="str">
        <f t="shared" ca="1" si="145"/>
        <v/>
      </c>
      <c r="C842" s="223" t="str">
        <f t="shared" ca="1" si="146"/>
        <v/>
      </c>
      <c r="D842" s="519">
        <f t="shared" si="151"/>
        <v>837</v>
      </c>
      <c r="E842" s="225" t="str">
        <f t="shared" ca="1" si="147"/>
        <v/>
      </c>
      <c r="F842" s="224" t="str">
        <f t="shared" si="142"/>
        <v>CASSA</v>
      </c>
      <c r="G842" s="384" t="str">
        <f t="shared" ca="1" si="148"/>
        <v/>
      </c>
      <c r="H842" s="512">
        <f t="shared" ca="1" si="149"/>
        <v>0</v>
      </c>
      <c r="I842" s="1603" t="str">
        <f t="shared" ca="1" si="143"/>
        <v/>
      </c>
      <c r="J842" s="1604"/>
      <c r="K842" s="373"/>
      <c r="L842" s="513">
        <f t="shared" ca="1" si="152"/>
        <v>656.58</v>
      </c>
      <c r="M842" s="654">
        <f t="shared" ca="1" si="150"/>
        <v>1</v>
      </c>
      <c r="N842" s="226">
        <f t="shared" ca="1" si="144"/>
        <v>0</v>
      </c>
      <c r="O842" s="1"/>
    </row>
    <row r="843" spans="1:15" ht="16.5" customHeight="1">
      <c r="A843" s="1"/>
      <c r="B843" s="657" t="str">
        <f t="shared" ca="1" si="145"/>
        <v/>
      </c>
      <c r="C843" s="223" t="str">
        <f t="shared" ca="1" si="146"/>
        <v/>
      </c>
      <c r="D843" s="519">
        <f t="shared" si="151"/>
        <v>838</v>
      </c>
      <c r="E843" s="225" t="str">
        <f t="shared" ca="1" si="147"/>
        <v/>
      </c>
      <c r="F843" s="224" t="str">
        <f t="shared" si="142"/>
        <v>CASSA</v>
      </c>
      <c r="G843" s="384" t="str">
        <f t="shared" ca="1" si="148"/>
        <v/>
      </c>
      <c r="H843" s="512">
        <f t="shared" ca="1" si="149"/>
        <v>0</v>
      </c>
      <c r="I843" s="1603" t="str">
        <f t="shared" ca="1" si="143"/>
        <v/>
      </c>
      <c r="J843" s="1604"/>
      <c r="K843" s="373"/>
      <c r="L843" s="513">
        <f t="shared" ca="1" si="152"/>
        <v>656.58</v>
      </c>
      <c r="M843" s="654">
        <f t="shared" ca="1" si="150"/>
        <v>1</v>
      </c>
      <c r="N843" s="226">
        <f t="shared" ca="1" si="144"/>
        <v>0</v>
      </c>
      <c r="O843" s="1"/>
    </row>
    <row r="844" spans="1:15" ht="16.5" customHeight="1">
      <c r="A844" s="1"/>
      <c r="B844" s="657" t="str">
        <f t="shared" ca="1" si="145"/>
        <v/>
      </c>
      <c r="C844" s="223" t="str">
        <f t="shared" ca="1" si="146"/>
        <v/>
      </c>
      <c r="D844" s="519">
        <f t="shared" si="151"/>
        <v>839</v>
      </c>
      <c r="E844" s="225" t="str">
        <f t="shared" ca="1" si="147"/>
        <v/>
      </c>
      <c r="F844" s="224" t="str">
        <f t="shared" ref="F844:F907" si="153">F843</f>
        <v>CASSA</v>
      </c>
      <c r="G844" s="384" t="str">
        <f t="shared" ca="1" si="148"/>
        <v/>
      </c>
      <c r="H844" s="512">
        <f t="shared" ca="1" si="149"/>
        <v>0</v>
      </c>
      <c r="I844" s="1603" t="str">
        <f t="shared" ca="1" si="143"/>
        <v/>
      </c>
      <c r="J844" s="1604"/>
      <c r="K844" s="373"/>
      <c r="L844" s="513">
        <f t="shared" ca="1" si="152"/>
        <v>656.58</v>
      </c>
      <c r="M844" s="654">
        <f t="shared" ca="1" si="150"/>
        <v>1</v>
      </c>
      <c r="N844" s="226">
        <f t="shared" ca="1" si="144"/>
        <v>0</v>
      </c>
      <c r="O844" s="1"/>
    </row>
    <row r="845" spans="1:15" ht="16.5" customHeight="1">
      <c r="A845" s="1"/>
      <c r="B845" s="657" t="str">
        <f t="shared" ca="1" si="145"/>
        <v/>
      </c>
      <c r="C845" s="223" t="str">
        <f t="shared" ca="1" si="146"/>
        <v/>
      </c>
      <c r="D845" s="519">
        <f t="shared" si="151"/>
        <v>840</v>
      </c>
      <c r="E845" s="225" t="str">
        <f t="shared" ca="1" si="147"/>
        <v/>
      </c>
      <c r="F845" s="224" t="str">
        <f t="shared" si="153"/>
        <v>CASSA</v>
      </c>
      <c r="G845" s="384" t="str">
        <f t="shared" ca="1" si="148"/>
        <v/>
      </c>
      <c r="H845" s="512">
        <f t="shared" ca="1" si="149"/>
        <v>0</v>
      </c>
      <c r="I845" s="1603" t="str">
        <f t="shared" ca="1" si="143"/>
        <v/>
      </c>
      <c r="J845" s="1604"/>
      <c r="K845" s="373"/>
      <c r="L845" s="513">
        <f t="shared" ca="1" si="152"/>
        <v>656.58</v>
      </c>
      <c r="M845" s="654">
        <f t="shared" ca="1" si="150"/>
        <v>1</v>
      </c>
      <c r="N845" s="226">
        <f t="shared" ca="1" si="144"/>
        <v>0</v>
      </c>
      <c r="O845" s="1"/>
    </row>
    <row r="846" spans="1:15" ht="16.5" customHeight="1">
      <c r="A846" s="1"/>
      <c r="B846" s="657" t="str">
        <f t="shared" ca="1" si="145"/>
        <v/>
      </c>
      <c r="C846" s="223" t="str">
        <f t="shared" ca="1" si="146"/>
        <v/>
      </c>
      <c r="D846" s="519">
        <f t="shared" si="151"/>
        <v>841</v>
      </c>
      <c r="E846" s="225" t="str">
        <f t="shared" ca="1" si="147"/>
        <v/>
      </c>
      <c r="F846" s="224" t="str">
        <f t="shared" si="153"/>
        <v>CASSA</v>
      </c>
      <c r="G846" s="384" t="str">
        <f t="shared" ca="1" si="148"/>
        <v/>
      </c>
      <c r="H846" s="512">
        <f t="shared" ca="1" si="149"/>
        <v>0</v>
      </c>
      <c r="I846" s="1603" t="str">
        <f t="shared" ca="1" si="143"/>
        <v/>
      </c>
      <c r="J846" s="1604"/>
      <c r="K846" s="373"/>
      <c r="L846" s="513">
        <f t="shared" ca="1" si="152"/>
        <v>656.58</v>
      </c>
      <c r="M846" s="654">
        <f t="shared" ca="1" si="150"/>
        <v>1</v>
      </c>
      <c r="N846" s="226">
        <f t="shared" ca="1" si="144"/>
        <v>0</v>
      </c>
      <c r="O846" s="1"/>
    </row>
    <row r="847" spans="1:15" ht="16.5" customHeight="1">
      <c r="A847" s="1"/>
      <c r="B847" s="657" t="str">
        <f t="shared" ca="1" si="145"/>
        <v/>
      </c>
      <c r="C847" s="223" t="str">
        <f t="shared" ca="1" si="146"/>
        <v/>
      </c>
      <c r="D847" s="519">
        <f t="shared" si="151"/>
        <v>842</v>
      </c>
      <c r="E847" s="225" t="str">
        <f t="shared" ca="1" si="147"/>
        <v/>
      </c>
      <c r="F847" s="224" t="str">
        <f t="shared" si="153"/>
        <v>CASSA</v>
      </c>
      <c r="G847" s="384" t="str">
        <f t="shared" ca="1" si="148"/>
        <v/>
      </c>
      <c r="H847" s="512">
        <f t="shared" ca="1" si="149"/>
        <v>0</v>
      </c>
      <c r="I847" s="1603" t="str">
        <f t="shared" ca="1" si="143"/>
        <v/>
      </c>
      <c r="J847" s="1604"/>
      <c r="K847" s="373"/>
      <c r="L847" s="513">
        <f t="shared" ca="1" si="152"/>
        <v>656.58</v>
      </c>
      <c r="M847" s="654">
        <f t="shared" ca="1" si="150"/>
        <v>1</v>
      </c>
      <c r="N847" s="226">
        <f t="shared" ca="1" si="144"/>
        <v>0</v>
      </c>
      <c r="O847" s="1"/>
    </row>
    <row r="848" spans="1:15" ht="16.5" customHeight="1">
      <c r="A848" s="1"/>
      <c r="B848" s="657" t="str">
        <f t="shared" ca="1" si="145"/>
        <v/>
      </c>
      <c r="C848" s="223" t="str">
        <f t="shared" ca="1" si="146"/>
        <v/>
      </c>
      <c r="D848" s="519">
        <f t="shared" si="151"/>
        <v>843</v>
      </c>
      <c r="E848" s="225" t="str">
        <f t="shared" ca="1" si="147"/>
        <v/>
      </c>
      <c r="F848" s="224" t="str">
        <f t="shared" si="153"/>
        <v>CASSA</v>
      </c>
      <c r="G848" s="384" t="str">
        <f t="shared" ca="1" si="148"/>
        <v/>
      </c>
      <c r="H848" s="512">
        <f t="shared" ca="1" si="149"/>
        <v>0</v>
      </c>
      <c r="I848" s="1603" t="str">
        <f t="shared" ca="1" si="143"/>
        <v/>
      </c>
      <c r="J848" s="1604"/>
      <c r="K848" s="373"/>
      <c r="L848" s="513">
        <f t="shared" ca="1" si="152"/>
        <v>656.58</v>
      </c>
      <c r="M848" s="654">
        <f t="shared" ca="1" si="150"/>
        <v>1</v>
      </c>
      <c r="N848" s="226">
        <f t="shared" ca="1" si="144"/>
        <v>0</v>
      </c>
      <c r="O848" s="1"/>
    </row>
    <row r="849" spans="1:15" ht="16.5" customHeight="1">
      <c r="A849" s="1"/>
      <c r="B849" s="657" t="str">
        <f t="shared" ca="1" si="145"/>
        <v/>
      </c>
      <c r="C849" s="223" t="str">
        <f t="shared" ca="1" si="146"/>
        <v/>
      </c>
      <c r="D849" s="519">
        <f t="shared" si="151"/>
        <v>844</v>
      </c>
      <c r="E849" s="225" t="str">
        <f t="shared" ca="1" si="147"/>
        <v/>
      </c>
      <c r="F849" s="224" t="str">
        <f t="shared" si="153"/>
        <v>CASSA</v>
      </c>
      <c r="G849" s="384" t="str">
        <f t="shared" ca="1" si="148"/>
        <v/>
      </c>
      <c r="H849" s="512">
        <f t="shared" ca="1" si="149"/>
        <v>0</v>
      </c>
      <c r="I849" s="1603" t="str">
        <f t="shared" ca="1" si="143"/>
        <v/>
      </c>
      <c r="J849" s="1604"/>
      <c r="K849" s="373"/>
      <c r="L849" s="513">
        <f t="shared" ca="1" si="152"/>
        <v>656.58</v>
      </c>
      <c r="M849" s="654">
        <f t="shared" ca="1" si="150"/>
        <v>1</v>
      </c>
      <c r="N849" s="226">
        <f t="shared" ca="1" si="144"/>
        <v>0</v>
      </c>
      <c r="O849" s="1"/>
    </row>
    <row r="850" spans="1:15" ht="16.5" customHeight="1">
      <c r="A850" s="1"/>
      <c r="B850" s="657" t="str">
        <f t="shared" ca="1" si="145"/>
        <v/>
      </c>
      <c r="C850" s="223" t="str">
        <f t="shared" ca="1" si="146"/>
        <v/>
      </c>
      <c r="D850" s="519">
        <f t="shared" si="151"/>
        <v>845</v>
      </c>
      <c r="E850" s="225" t="str">
        <f t="shared" ca="1" si="147"/>
        <v/>
      </c>
      <c r="F850" s="224" t="str">
        <f t="shared" si="153"/>
        <v>CASSA</v>
      </c>
      <c r="G850" s="384" t="str">
        <f t="shared" ca="1" si="148"/>
        <v/>
      </c>
      <c r="H850" s="512">
        <f t="shared" ca="1" si="149"/>
        <v>0</v>
      </c>
      <c r="I850" s="1603" t="str">
        <f t="shared" ca="1" si="143"/>
        <v/>
      </c>
      <c r="J850" s="1604"/>
      <c r="K850" s="373"/>
      <c r="L850" s="513">
        <f t="shared" ca="1" si="152"/>
        <v>656.58</v>
      </c>
      <c r="M850" s="654">
        <f t="shared" ca="1" si="150"/>
        <v>1</v>
      </c>
      <c r="N850" s="226">
        <f t="shared" ca="1" si="144"/>
        <v>0</v>
      </c>
      <c r="O850" s="1"/>
    </row>
    <row r="851" spans="1:15" ht="16.5" customHeight="1">
      <c r="A851" s="1"/>
      <c r="B851" s="657" t="str">
        <f t="shared" ca="1" si="145"/>
        <v/>
      </c>
      <c r="C851" s="223" t="str">
        <f t="shared" ca="1" si="146"/>
        <v/>
      </c>
      <c r="D851" s="519">
        <f t="shared" si="151"/>
        <v>846</v>
      </c>
      <c r="E851" s="225" t="str">
        <f t="shared" ca="1" si="147"/>
        <v/>
      </c>
      <c r="F851" s="224" t="str">
        <f t="shared" si="153"/>
        <v>CASSA</v>
      </c>
      <c r="G851" s="384" t="str">
        <f t="shared" ca="1" si="148"/>
        <v/>
      </c>
      <c r="H851" s="512">
        <f t="shared" ca="1" si="149"/>
        <v>0</v>
      </c>
      <c r="I851" s="1603" t="str">
        <f t="shared" ca="1" si="143"/>
        <v/>
      </c>
      <c r="J851" s="1604"/>
      <c r="K851" s="373"/>
      <c r="L851" s="513">
        <f t="shared" ca="1" si="152"/>
        <v>656.58</v>
      </c>
      <c r="M851" s="654">
        <f t="shared" ca="1" si="150"/>
        <v>1</v>
      </c>
      <c r="N851" s="226">
        <f t="shared" ca="1" si="144"/>
        <v>0</v>
      </c>
      <c r="O851" s="1"/>
    </row>
    <row r="852" spans="1:15" ht="16.5" customHeight="1">
      <c r="A852" s="1"/>
      <c r="B852" s="657" t="str">
        <f t="shared" ca="1" si="145"/>
        <v/>
      </c>
      <c r="C852" s="223" t="str">
        <f t="shared" ca="1" si="146"/>
        <v/>
      </c>
      <c r="D852" s="519">
        <f t="shared" si="151"/>
        <v>847</v>
      </c>
      <c r="E852" s="225" t="str">
        <f t="shared" ca="1" si="147"/>
        <v/>
      </c>
      <c r="F852" s="224" t="str">
        <f t="shared" si="153"/>
        <v>CASSA</v>
      </c>
      <c r="G852" s="384" t="str">
        <f t="shared" ca="1" si="148"/>
        <v/>
      </c>
      <c r="H852" s="512">
        <f t="shared" ca="1" si="149"/>
        <v>0</v>
      </c>
      <c r="I852" s="1603" t="str">
        <f t="shared" ca="1" si="143"/>
        <v/>
      </c>
      <c r="J852" s="1604"/>
      <c r="K852" s="373"/>
      <c r="L852" s="513">
        <f t="shared" ca="1" si="152"/>
        <v>656.58</v>
      </c>
      <c r="M852" s="654">
        <f t="shared" ca="1" si="150"/>
        <v>1</v>
      </c>
      <c r="N852" s="226">
        <f t="shared" ca="1" si="144"/>
        <v>0</v>
      </c>
      <c r="O852" s="1"/>
    </row>
    <row r="853" spans="1:15" ht="16.5" customHeight="1">
      <c r="A853" s="1"/>
      <c r="B853" s="657" t="str">
        <f t="shared" ca="1" si="145"/>
        <v/>
      </c>
      <c r="C853" s="223" t="str">
        <f t="shared" ca="1" si="146"/>
        <v/>
      </c>
      <c r="D853" s="519">
        <f t="shared" si="151"/>
        <v>848</v>
      </c>
      <c r="E853" s="225" t="str">
        <f t="shared" ca="1" si="147"/>
        <v/>
      </c>
      <c r="F853" s="224" t="str">
        <f t="shared" si="153"/>
        <v>CASSA</v>
      </c>
      <c r="G853" s="384" t="str">
        <f t="shared" ca="1" si="148"/>
        <v/>
      </c>
      <c r="H853" s="512">
        <f t="shared" ca="1" si="149"/>
        <v>0</v>
      </c>
      <c r="I853" s="1603" t="str">
        <f t="shared" ca="1" si="143"/>
        <v/>
      </c>
      <c r="J853" s="1604"/>
      <c r="K853" s="373"/>
      <c r="L853" s="513">
        <f t="shared" ca="1" si="152"/>
        <v>656.58</v>
      </c>
      <c r="M853" s="654">
        <f t="shared" ca="1" si="150"/>
        <v>1</v>
      </c>
      <c r="N853" s="226">
        <f t="shared" ca="1" si="144"/>
        <v>0</v>
      </c>
      <c r="O853" s="1"/>
    </row>
    <row r="854" spans="1:15" ht="16.5" customHeight="1">
      <c r="A854" s="1"/>
      <c r="B854" s="657" t="str">
        <f t="shared" ca="1" si="145"/>
        <v/>
      </c>
      <c r="C854" s="223" t="str">
        <f t="shared" ca="1" si="146"/>
        <v/>
      </c>
      <c r="D854" s="519">
        <f t="shared" si="151"/>
        <v>849</v>
      </c>
      <c r="E854" s="225" t="str">
        <f t="shared" ca="1" si="147"/>
        <v/>
      </c>
      <c r="F854" s="224" t="str">
        <f t="shared" si="153"/>
        <v>CASSA</v>
      </c>
      <c r="G854" s="384" t="str">
        <f t="shared" ca="1" si="148"/>
        <v/>
      </c>
      <c r="H854" s="512">
        <f t="shared" ca="1" si="149"/>
        <v>0</v>
      </c>
      <c r="I854" s="1603" t="str">
        <f t="shared" ca="1" si="143"/>
        <v/>
      </c>
      <c r="J854" s="1604"/>
      <c r="K854" s="373"/>
      <c r="L854" s="513">
        <f t="shared" ca="1" si="152"/>
        <v>656.58</v>
      </c>
      <c r="M854" s="654">
        <f t="shared" ca="1" si="150"/>
        <v>1</v>
      </c>
      <c r="N854" s="226">
        <f t="shared" ca="1" si="144"/>
        <v>0</v>
      </c>
      <c r="O854" s="1"/>
    </row>
    <row r="855" spans="1:15" ht="16.5" customHeight="1">
      <c r="A855" s="1"/>
      <c r="B855" s="657" t="str">
        <f t="shared" ca="1" si="145"/>
        <v/>
      </c>
      <c r="C855" s="223" t="str">
        <f t="shared" ca="1" si="146"/>
        <v/>
      </c>
      <c r="D855" s="519">
        <f t="shared" si="151"/>
        <v>850</v>
      </c>
      <c r="E855" s="225" t="str">
        <f t="shared" ca="1" si="147"/>
        <v/>
      </c>
      <c r="F855" s="224" t="str">
        <f t="shared" si="153"/>
        <v>CASSA</v>
      </c>
      <c r="G855" s="384" t="str">
        <f t="shared" ca="1" si="148"/>
        <v/>
      </c>
      <c r="H855" s="512">
        <f t="shared" ca="1" si="149"/>
        <v>0</v>
      </c>
      <c r="I855" s="1603" t="str">
        <f t="shared" ca="1" si="143"/>
        <v/>
      </c>
      <c r="J855" s="1604"/>
      <c r="K855" s="373"/>
      <c r="L855" s="513">
        <f t="shared" ca="1" si="152"/>
        <v>656.58</v>
      </c>
      <c r="M855" s="654">
        <f t="shared" ca="1" si="150"/>
        <v>1</v>
      </c>
      <c r="N855" s="226">
        <f t="shared" ca="1" si="144"/>
        <v>0</v>
      </c>
      <c r="O855" s="1"/>
    </row>
    <row r="856" spans="1:15" ht="16.5" customHeight="1">
      <c r="A856" s="1"/>
      <c r="B856" s="657" t="str">
        <f t="shared" ca="1" si="145"/>
        <v/>
      </c>
      <c r="C856" s="223" t="str">
        <f t="shared" ca="1" si="146"/>
        <v/>
      </c>
      <c r="D856" s="519">
        <f t="shared" si="151"/>
        <v>851</v>
      </c>
      <c r="E856" s="225" t="str">
        <f t="shared" ca="1" si="147"/>
        <v/>
      </c>
      <c r="F856" s="224" t="str">
        <f t="shared" si="153"/>
        <v>CASSA</v>
      </c>
      <c r="G856" s="384" t="str">
        <f t="shared" ca="1" si="148"/>
        <v/>
      </c>
      <c r="H856" s="512">
        <f t="shared" ca="1" si="149"/>
        <v>0</v>
      </c>
      <c r="I856" s="1603" t="str">
        <f t="shared" ca="1" si="143"/>
        <v/>
      </c>
      <c r="J856" s="1604"/>
      <c r="K856" s="373"/>
      <c r="L856" s="513">
        <f t="shared" ca="1" si="152"/>
        <v>656.58</v>
      </c>
      <c r="M856" s="654">
        <f t="shared" ca="1" si="150"/>
        <v>1</v>
      </c>
      <c r="N856" s="226">
        <f t="shared" ca="1" si="144"/>
        <v>0</v>
      </c>
      <c r="O856" s="1"/>
    </row>
    <row r="857" spans="1:15" ht="16.5" customHeight="1">
      <c r="A857" s="1"/>
      <c r="B857" s="657" t="str">
        <f t="shared" ca="1" si="145"/>
        <v/>
      </c>
      <c r="C857" s="223" t="str">
        <f t="shared" ca="1" si="146"/>
        <v/>
      </c>
      <c r="D857" s="519">
        <f t="shared" si="151"/>
        <v>852</v>
      </c>
      <c r="E857" s="225" t="str">
        <f t="shared" ca="1" si="147"/>
        <v/>
      </c>
      <c r="F857" s="224" t="str">
        <f t="shared" si="153"/>
        <v>CASSA</v>
      </c>
      <c r="G857" s="384" t="str">
        <f t="shared" ca="1" si="148"/>
        <v/>
      </c>
      <c r="H857" s="512">
        <f t="shared" ca="1" si="149"/>
        <v>0</v>
      </c>
      <c r="I857" s="1603" t="str">
        <f t="shared" ca="1" si="143"/>
        <v/>
      </c>
      <c r="J857" s="1604"/>
      <c r="K857" s="373"/>
      <c r="L857" s="513">
        <f t="shared" ca="1" si="152"/>
        <v>656.58</v>
      </c>
      <c r="M857" s="654">
        <f t="shared" ca="1" si="150"/>
        <v>1</v>
      </c>
      <c r="N857" s="226">
        <f t="shared" ca="1" si="144"/>
        <v>0</v>
      </c>
      <c r="O857" s="1"/>
    </row>
    <row r="858" spans="1:15" ht="16.5" customHeight="1">
      <c r="A858" s="1"/>
      <c r="B858" s="657" t="str">
        <f t="shared" ca="1" si="145"/>
        <v/>
      </c>
      <c r="C858" s="223" t="str">
        <f t="shared" ca="1" si="146"/>
        <v/>
      </c>
      <c r="D858" s="519">
        <f t="shared" si="151"/>
        <v>853</v>
      </c>
      <c r="E858" s="225" t="str">
        <f t="shared" ca="1" si="147"/>
        <v/>
      </c>
      <c r="F858" s="224" t="str">
        <f t="shared" si="153"/>
        <v>CASSA</v>
      </c>
      <c r="G858" s="384" t="str">
        <f t="shared" ca="1" si="148"/>
        <v/>
      </c>
      <c r="H858" s="512">
        <f t="shared" ca="1" si="149"/>
        <v>0</v>
      </c>
      <c r="I858" s="1603" t="str">
        <f t="shared" ca="1" si="143"/>
        <v/>
      </c>
      <c r="J858" s="1604"/>
      <c r="K858" s="373"/>
      <c r="L858" s="513">
        <f t="shared" ca="1" si="152"/>
        <v>656.58</v>
      </c>
      <c r="M858" s="654">
        <f t="shared" ca="1" si="150"/>
        <v>1</v>
      </c>
      <c r="N858" s="226">
        <f t="shared" ca="1" si="144"/>
        <v>0</v>
      </c>
      <c r="O858" s="1"/>
    </row>
    <row r="859" spans="1:15" ht="16.5" customHeight="1">
      <c r="A859" s="1"/>
      <c r="B859" s="657" t="str">
        <f t="shared" ca="1" si="145"/>
        <v/>
      </c>
      <c r="C859" s="223" t="str">
        <f t="shared" ca="1" si="146"/>
        <v/>
      </c>
      <c r="D859" s="519">
        <f t="shared" si="151"/>
        <v>854</v>
      </c>
      <c r="E859" s="225" t="str">
        <f t="shared" ca="1" si="147"/>
        <v/>
      </c>
      <c r="F859" s="224" t="str">
        <f t="shared" si="153"/>
        <v>CASSA</v>
      </c>
      <c r="G859" s="384" t="str">
        <f t="shared" ca="1" si="148"/>
        <v/>
      </c>
      <c r="H859" s="512">
        <f t="shared" ca="1" si="149"/>
        <v>0</v>
      </c>
      <c r="I859" s="1603" t="str">
        <f t="shared" ca="1" si="143"/>
        <v/>
      </c>
      <c r="J859" s="1604"/>
      <c r="K859" s="373"/>
      <c r="L859" s="513">
        <f t="shared" ca="1" si="152"/>
        <v>656.58</v>
      </c>
      <c r="M859" s="654">
        <f t="shared" ca="1" si="150"/>
        <v>1</v>
      </c>
      <c r="N859" s="226">
        <f t="shared" ca="1" si="144"/>
        <v>0</v>
      </c>
      <c r="O859" s="1"/>
    </row>
    <row r="860" spans="1:15" ht="16.5" customHeight="1">
      <c r="A860" s="1"/>
      <c r="B860" s="657" t="str">
        <f t="shared" ca="1" si="145"/>
        <v/>
      </c>
      <c r="C860" s="223" t="str">
        <f t="shared" ca="1" si="146"/>
        <v/>
      </c>
      <c r="D860" s="519">
        <f t="shared" si="151"/>
        <v>855</v>
      </c>
      <c r="E860" s="225" t="str">
        <f t="shared" ca="1" si="147"/>
        <v/>
      </c>
      <c r="F860" s="224" t="str">
        <f t="shared" si="153"/>
        <v>CASSA</v>
      </c>
      <c r="G860" s="384" t="str">
        <f t="shared" ca="1" si="148"/>
        <v/>
      </c>
      <c r="H860" s="512">
        <f t="shared" ca="1" si="149"/>
        <v>0</v>
      </c>
      <c r="I860" s="1603" t="str">
        <f t="shared" ca="1" si="143"/>
        <v/>
      </c>
      <c r="J860" s="1604"/>
      <c r="K860" s="373"/>
      <c r="L860" s="513">
        <f t="shared" ca="1" si="152"/>
        <v>656.58</v>
      </c>
      <c r="M860" s="654">
        <f t="shared" ca="1" si="150"/>
        <v>1</v>
      </c>
      <c r="N860" s="226">
        <f t="shared" ca="1" si="144"/>
        <v>0</v>
      </c>
      <c r="O860" s="1"/>
    </row>
    <row r="861" spans="1:15" ht="16.5" customHeight="1">
      <c r="A861" s="1"/>
      <c r="B861" s="657" t="str">
        <f t="shared" ca="1" si="145"/>
        <v/>
      </c>
      <c r="C861" s="223" t="str">
        <f t="shared" ca="1" si="146"/>
        <v/>
      </c>
      <c r="D861" s="519">
        <f t="shared" si="151"/>
        <v>856</v>
      </c>
      <c r="E861" s="225" t="str">
        <f t="shared" ca="1" si="147"/>
        <v/>
      </c>
      <c r="F861" s="224" t="str">
        <f t="shared" si="153"/>
        <v>CASSA</v>
      </c>
      <c r="G861" s="384" t="str">
        <f t="shared" ca="1" si="148"/>
        <v/>
      </c>
      <c r="H861" s="512">
        <f t="shared" ca="1" si="149"/>
        <v>0</v>
      </c>
      <c r="I861" s="1603" t="str">
        <f t="shared" ca="1" si="143"/>
        <v/>
      </c>
      <c r="J861" s="1604"/>
      <c r="K861" s="373"/>
      <c r="L861" s="513">
        <f t="shared" ca="1" si="152"/>
        <v>656.58</v>
      </c>
      <c r="M861" s="654">
        <f t="shared" ca="1" si="150"/>
        <v>1</v>
      </c>
      <c r="N861" s="226">
        <f t="shared" ca="1" si="144"/>
        <v>0</v>
      </c>
      <c r="O861" s="1"/>
    </row>
    <row r="862" spans="1:15" ht="16.5" customHeight="1">
      <c r="A862" s="1"/>
      <c r="B862" s="657" t="str">
        <f t="shared" ca="1" si="145"/>
        <v/>
      </c>
      <c r="C862" s="223" t="str">
        <f t="shared" ca="1" si="146"/>
        <v/>
      </c>
      <c r="D862" s="519">
        <f t="shared" si="151"/>
        <v>857</v>
      </c>
      <c r="E862" s="225" t="str">
        <f t="shared" ca="1" si="147"/>
        <v/>
      </c>
      <c r="F862" s="224" t="str">
        <f t="shared" si="153"/>
        <v>CASSA</v>
      </c>
      <c r="G862" s="384" t="str">
        <f t="shared" ca="1" si="148"/>
        <v/>
      </c>
      <c r="H862" s="512">
        <f t="shared" ca="1" si="149"/>
        <v>0</v>
      </c>
      <c r="I862" s="1603" t="str">
        <f t="shared" ca="1" si="143"/>
        <v/>
      </c>
      <c r="J862" s="1604"/>
      <c r="K862" s="373"/>
      <c r="L862" s="513">
        <f t="shared" ca="1" si="152"/>
        <v>656.58</v>
      </c>
      <c r="M862" s="654">
        <f t="shared" ca="1" si="150"/>
        <v>1</v>
      </c>
      <c r="N862" s="226">
        <f t="shared" ca="1" si="144"/>
        <v>0</v>
      </c>
      <c r="O862" s="1"/>
    </row>
    <row r="863" spans="1:15" ht="16.5" customHeight="1">
      <c r="A863" s="1"/>
      <c r="B863" s="657" t="str">
        <f t="shared" ca="1" si="145"/>
        <v/>
      </c>
      <c r="C863" s="223" t="str">
        <f t="shared" ca="1" si="146"/>
        <v/>
      </c>
      <c r="D863" s="519">
        <f t="shared" si="151"/>
        <v>858</v>
      </c>
      <c r="E863" s="225" t="str">
        <f t="shared" ca="1" si="147"/>
        <v/>
      </c>
      <c r="F863" s="224" t="str">
        <f t="shared" si="153"/>
        <v>CASSA</v>
      </c>
      <c r="G863" s="384" t="str">
        <f t="shared" ca="1" si="148"/>
        <v/>
      </c>
      <c r="H863" s="512">
        <f t="shared" ca="1" si="149"/>
        <v>0</v>
      </c>
      <c r="I863" s="1603" t="str">
        <f t="shared" ca="1" si="143"/>
        <v/>
      </c>
      <c r="J863" s="1604"/>
      <c r="K863" s="373"/>
      <c r="L863" s="513">
        <f t="shared" ca="1" si="152"/>
        <v>656.58</v>
      </c>
      <c r="M863" s="654">
        <f t="shared" ca="1" si="150"/>
        <v>1</v>
      </c>
      <c r="N863" s="226">
        <f t="shared" ca="1" si="144"/>
        <v>0</v>
      </c>
      <c r="O863" s="1"/>
    </row>
    <row r="864" spans="1:15" ht="16.5" customHeight="1">
      <c r="A864" s="1"/>
      <c r="B864" s="657" t="str">
        <f t="shared" ca="1" si="145"/>
        <v/>
      </c>
      <c r="C864" s="223" t="str">
        <f t="shared" ca="1" si="146"/>
        <v/>
      </c>
      <c r="D864" s="519">
        <f t="shared" si="151"/>
        <v>859</v>
      </c>
      <c r="E864" s="225" t="str">
        <f t="shared" ca="1" si="147"/>
        <v/>
      </c>
      <c r="F864" s="224" t="str">
        <f t="shared" si="153"/>
        <v>CASSA</v>
      </c>
      <c r="G864" s="384" t="str">
        <f t="shared" ca="1" si="148"/>
        <v/>
      </c>
      <c r="H864" s="512">
        <f t="shared" ca="1" si="149"/>
        <v>0</v>
      </c>
      <c r="I864" s="1603" t="str">
        <f t="shared" ca="1" si="143"/>
        <v/>
      </c>
      <c r="J864" s="1604"/>
      <c r="K864" s="373"/>
      <c r="L864" s="513">
        <f t="shared" ca="1" si="152"/>
        <v>656.58</v>
      </c>
      <c r="M864" s="654">
        <f t="shared" ca="1" si="150"/>
        <v>1</v>
      </c>
      <c r="N864" s="226">
        <f t="shared" ca="1" si="144"/>
        <v>0</v>
      </c>
      <c r="O864" s="1"/>
    </row>
    <row r="865" spans="1:15" ht="16.5" customHeight="1">
      <c r="A865" s="1"/>
      <c r="B865" s="657" t="str">
        <f t="shared" ca="1" si="145"/>
        <v/>
      </c>
      <c r="C865" s="223" t="str">
        <f t="shared" ca="1" si="146"/>
        <v/>
      </c>
      <c r="D865" s="519">
        <f t="shared" si="151"/>
        <v>860</v>
      </c>
      <c r="E865" s="225" t="str">
        <f t="shared" ca="1" si="147"/>
        <v/>
      </c>
      <c r="F865" s="224" t="str">
        <f t="shared" si="153"/>
        <v>CASSA</v>
      </c>
      <c r="G865" s="384" t="str">
        <f t="shared" ca="1" si="148"/>
        <v/>
      </c>
      <c r="H865" s="512">
        <f t="shared" ca="1" si="149"/>
        <v>0</v>
      </c>
      <c r="I865" s="1603" t="str">
        <f t="shared" ca="1" si="143"/>
        <v/>
      </c>
      <c r="J865" s="1604"/>
      <c r="K865" s="373"/>
      <c r="L865" s="513">
        <f t="shared" ca="1" si="152"/>
        <v>656.58</v>
      </c>
      <c r="M865" s="654">
        <f t="shared" ca="1" si="150"/>
        <v>1</v>
      </c>
      <c r="N865" s="226">
        <f t="shared" ca="1" si="144"/>
        <v>0</v>
      </c>
      <c r="O865" s="1"/>
    </row>
    <row r="866" spans="1:15" ht="16.5" customHeight="1">
      <c r="A866" s="1"/>
      <c r="B866" s="657" t="str">
        <f t="shared" ca="1" si="145"/>
        <v/>
      </c>
      <c r="C866" s="223" t="str">
        <f t="shared" ca="1" si="146"/>
        <v/>
      </c>
      <c r="D866" s="519">
        <f t="shared" si="151"/>
        <v>861</v>
      </c>
      <c r="E866" s="225" t="str">
        <f t="shared" ca="1" si="147"/>
        <v/>
      </c>
      <c r="F866" s="224" t="str">
        <f t="shared" si="153"/>
        <v>CASSA</v>
      </c>
      <c r="G866" s="384" t="str">
        <f t="shared" ca="1" si="148"/>
        <v/>
      </c>
      <c r="H866" s="512">
        <f t="shared" ca="1" si="149"/>
        <v>0</v>
      </c>
      <c r="I866" s="1603" t="str">
        <f t="shared" ca="1" si="143"/>
        <v/>
      </c>
      <c r="J866" s="1604"/>
      <c r="K866" s="373"/>
      <c r="L866" s="513">
        <f t="shared" ca="1" si="152"/>
        <v>656.58</v>
      </c>
      <c r="M866" s="654">
        <f t="shared" ca="1" si="150"/>
        <v>1</v>
      </c>
      <c r="N866" s="226">
        <f t="shared" ca="1" si="144"/>
        <v>0</v>
      </c>
      <c r="O866" s="1"/>
    </row>
    <row r="867" spans="1:15" ht="16.5" customHeight="1">
      <c r="A867" s="1"/>
      <c r="B867" s="657" t="str">
        <f t="shared" ca="1" si="145"/>
        <v/>
      </c>
      <c r="C867" s="223" t="str">
        <f t="shared" ca="1" si="146"/>
        <v/>
      </c>
      <c r="D867" s="519">
        <f t="shared" si="151"/>
        <v>862</v>
      </c>
      <c r="E867" s="225" t="str">
        <f t="shared" ca="1" si="147"/>
        <v/>
      </c>
      <c r="F867" s="224" t="str">
        <f t="shared" si="153"/>
        <v>CASSA</v>
      </c>
      <c r="G867" s="384" t="str">
        <f t="shared" ca="1" si="148"/>
        <v/>
      </c>
      <c r="H867" s="512">
        <f t="shared" ca="1" si="149"/>
        <v>0</v>
      </c>
      <c r="I867" s="1603" t="str">
        <f t="shared" ca="1" si="143"/>
        <v/>
      </c>
      <c r="J867" s="1604"/>
      <c r="K867" s="373"/>
      <c r="L867" s="513">
        <f t="shared" ca="1" si="152"/>
        <v>656.58</v>
      </c>
      <c r="M867" s="654">
        <f t="shared" ca="1" si="150"/>
        <v>1</v>
      </c>
      <c r="N867" s="226">
        <f t="shared" ca="1" si="144"/>
        <v>0</v>
      </c>
      <c r="O867" s="1"/>
    </row>
    <row r="868" spans="1:15" ht="16.5" customHeight="1">
      <c r="A868" s="1"/>
      <c r="B868" s="657" t="str">
        <f t="shared" ca="1" si="145"/>
        <v/>
      </c>
      <c r="C868" s="223" t="str">
        <f t="shared" ca="1" si="146"/>
        <v/>
      </c>
      <c r="D868" s="519">
        <f t="shared" si="151"/>
        <v>863</v>
      </c>
      <c r="E868" s="225" t="str">
        <f t="shared" ca="1" si="147"/>
        <v/>
      </c>
      <c r="F868" s="224" t="str">
        <f t="shared" si="153"/>
        <v>CASSA</v>
      </c>
      <c r="G868" s="384" t="str">
        <f t="shared" ca="1" si="148"/>
        <v/>
      </c>
      <c r="H868" s="512">
        <f t="shared" ca="1" si="149"/>
        <v>0</v>
      </c>
      <c r="I868" s="1603" t="str">
        <f t="shared" ca="1" si="143"/>
        <v/>
      </c>
      <c r="J868" s="1604"/>
      <c r="K868" s="373"/>
      <c r="L868" s="513">
        <f t="shared" ca="1" si="152"/>
        <v>656.58</v>
      </c>
      <c r="M868" s="654">
        <f t="shared" ca="1" si="150"/>
        <v>1</v>
      </c>
      <c r="N868" s="226">
        <f t="shared" ca="1" si="144"/>
        <v>0</v>
      </c>
      <c r="O868" s="1"/>
    </row>
    <row r="869" spans="1:15" ht="16.5" customHeight="1">
      <c r="A869" s="1"/>
      <c r="B869" s="657" t="str">
        <f t="shared" ca="1" si="145"/>
        <v/>
      </c>
      <c r="C869" s="223" t="str">
        <f t="shared" ca="1" si="146"/>
        <v/>
      </c>
      <c r="D869" s="519">
        <f t="shared" si="151"/>
        <v>864</v>
      </c>
      <c r="E869" s="225" t="str">
        <f t="shared" ca="1" si="147"/>
        <v/>
      </c>
      <c r="F869" s="224" t="str">
        <f t="shared" si="153"/>
        <v>CASSA</v>
      </c>
      <c r="G869" s="384" t="str">
        <f t="shared" ca="1" si="148"/>
        <v/>
      </c>
      <c r="H869" s="512">
        <f t="shared" ca="1" si="149"/>
        <v>0</v>
      </c>
      <c r="I869" s="1603" t="str">
        <f t="shared" ca="1" si="143"/>
        <v/>
      </c>
      <c r="J869" s="1604"/>
      <c r="K869" s="373"/>
      <c r="L869" s="513">
        <f t="shared" ca="1" si="152"/>
        <v>656.58</v>
      </c>
      <c r="M869" s="654">
        <f t="shared" ca="1" si="150"/>
        <v>1</v>
      </c>
      <c r="N869" s="226">
        <f t="shared" ca="1" si="144"/>
        <v>0</v>
      </c>
      <c r="O869" s="1"/>
    </row>
    <row r="870" spans="1:15" ht="16.5" customHeight="1">
      <c r="A870" s="1"/>
      <c r="B870" s="657" t="str">
        <f t="shared" ca="1" si="145"/>
        <v/>
      </c>
      <c r="C870" s="223" t="str">
        <f t="shared" ca="1" si="146"/>
        <v/>
      </c>
      <c r="D870" s="519">
        <f t="shared" si="151"/>
        <v>865</v>
      </c>
      <c r="E870" s="225" t="str">
        <f t="shared" ca="1" si="147"/>
        <v/>
      </c>
      <c r="F870" s="224" t="str">
        <f t="shared" si="153"/>
        <v>CASSA</v>
      </c>
      <c r="G870" s="384" t="str">
        <f t="shared" ca="1" si="148"/>
        <v/>
      </c>
      <c r="H870" s="512">
        <f t="shared" ca="1" si="149"/>
        <v>0</v>
      </c>
      <c r="I870" s="1603" t="str">
        <f t="shared" ca="1" si="143"/>
        <v/>
      </c>
      <c r="J870" s="1604"/>
      <c r="K870" s="373"/>
      <c r="L870" s="513">
        <f t="shared" ca="1" si="152"/>
        <v>656.58</v>
      </c>
      <c r="M870" s="654">
        <f t="shared" ca="1" si="150"/>
        <v>1</v>
      </c>
      <c r="N870" s="226">
        <f t="shared" ca="1" si="144"/>
        <v>0</v>
      </c>
      <c r="O870" s="1"/>
    </row>
    <row r="871" spans="1:15" ht="16.5" customHeight="1">
      <c r="A871" s="1"/>
      <c r="B871" s="657" t="str">
        <f t="shared" ca="1" si="145"/>
        <v/>
      </c>
      <c r="C871" s="223" t="str">
        <f t="shared" ca="1" si="146"/>
        <v/>
      </c>
      <c r="D871" s="519">
        <f t="shared" si="151"/>
        <v>866</v>
      </c>
      <c r="E871" s="225" t="str">
        <f t="shared" ca="1" si="147"/>
        <v/>
      </c>
      <c r="F871" s="224" t="str">
        <f t="shared" si="153"/>
        <v>CASSA</v>
      </c>
      <c r="G871" s="384" t="str">
        <f t="shared" ca="1" si="148"/>
        <v/>
      </c>
      <c r="H871" s="512">
        <f t="shared" ca="1" si="149"/>
        <v>0</v>
      </c>
      <c r="I871" s="1603" t="str">
        <f t="shared" ca="1" si="143"/>
        <v/>
      </c>
      <c r="J871" s="1604"/>
      <c r="K871" s="373"/>
      <c r="L871" s="513">
        <f t="shared" ca="1" si="152"/>
        <v>656.58</v>
      </c>
      <c r="M871" s="654">
        <f t="shared" ca="1" si="150"/>
        <v>1</v>
      </c>
      <c r="N871" s="226">
        <f t="shared" ca="1" si="144"/>
        <v>0</v>
      </c>
      <c r="O871" s="1"/>
    </row>
    <row r="872" spans="1:15" ht="16.5" customHeight="1">
      <c r="A872" s="1"/>
      <c r="B872" s="657" t="str">
        <f t="shared" ca="1" si="145"/>
        <v/>
      </c>
      <c r="C872" s="223" t="str">
        <f t="shared" ca="1" si="146"/>
        <v/>
      </c>
      <c r="D872" s="519">
        <f t="shared" si="151"/>
        <v>867</v>
      </c>
      <c r="E872" s="225" t="str">
        <f t="shared" ca="1" si="147"/>
        <v/>
      </c>
      <c r="F872" s="224" t="str">
        <f t="shared" si="153"/>
        <v>CASSA</v>
      </c>
      <c r="G872" s="384" t="str">
        <f t="shared" ca="1" si="148"/>
        <v/>
      </c>
      <c r="H872" s="512">
        <f t="shared" ca="1" si="149"/>
        <v>0</v>
      </c>
      <c r="I872" s="1603" t="str">
        <f t="shared" ca="1" si="143"/>
        <v/>
      </c>
      <c r="J872" s="1604"/>
      <c r="K872" s="373"/>
      <c r="L872" s="513">
        <f t="shared" ca="1" si="152"/>
        <v>656.58</v>
      </c>
      <c r="M872" s="654">
        <f t="shared" ca="1" si="150"/>
        <v>1</v>
      </c>
      <c r="N872" s="226">
        <f t="shared" ca="1" si="144"/>
        <v>0</v>
      </c>
      <c r="O872" s="1"/>
    </row>
    <row r="873" spans="1:15" ht="16.5" customHeight="1">
      <c r="A873" s="1"/>
      <c r="B873" s="657" t="str">
        <f t="shared" ca="1" si="145"/>
        <v/>
      </c>
      <c r="C873" s="223" t="str">
        <f t="shared" ca="1" si="146"/>
        <v/>
      </c>
      <c r="D873" s="519">
        <f t="shared" si="151"/>
        <v>868</v>
      </c>
      <c r="E873" s="225" t="str">
        <f t="shared" ca="1" si="147"/>
        <v/>
      </c>
      <c r="F873" s="224" t="str">
        <f t="shared" si="153"/>
        <v>CASSA</v>
      </c>
      <c r="G873" s="384" t="str">
        <f t="shared" ca="1" si="148"/>
        <v/>
      </c>
      <c r="H873" s="512">
        <f t="shared" ca="1" si="149"/>
        <v>0</v>
      </c>
      <c r="I873" s="1603" t="str">
        <f t="shared" ca="1" si="143"/>
        <v/>
      </c>
      <c r="J873" s="1604"/>
      <c r="K873" s="373"/>
      <c r="L873" s="513">
        <f t="shared" ca="1" si="152"/>
        <v>656.58</v>
      </c>
      <c r="M873" s="654">
        <f t="shared" ca="1" si="150"/>
        <v>1</v>
      </c>
      <c r="N873" s="226">
        <f t="shared" ca="1" si="144"/>
        <v>0</v>
      </c>
      <c r="O873" s="1"/>
    </row>
    <row r="874" spans="1:15" ht="16.5" customHeight="1">
      <c r="A874" s="1"/>
      <c r="B874" s="657" t="str">
        <f t="shared" ca="1" si="145"/>
        <v/>
      </c>
      <c r="C874" s="223" t="str">
        <f t="shared" ca="1" si="146"/>
        <v/>
      </c>
      <c r="D874" s="519">
        <f t="shared" si="151"/>
        <v>869</v>
      </c>
      <c r="E874" s="225" t="str">
        <f t="shared" ca="1" si="147"/>
        <v/>
      </c>
      <c r="F874" s="224" t="str">
        <f t="shared" si="153"/>
        <v>CASSA</v>
      </c>
      <c r="G874" s="384" t="str">
        <f t="shared" ca="1" si="148"/>
        <v/>
      </c>
      <c r="H874" s="512">
        <f t="shared" ca="1" si="149"/>
        <v>0</v>
      </c>
      <c r="I874" s="1603" t="str">
        <f t="shared" ca="1" si="143"/>
        <v/>
      </c>
      <c r="J874" s="1604"/>
      <c r="K874" s="373"/>
      <c r="L874" s="513">
        <f t="shared" ca="1" si="152"/>
        <v>656.58</v>
      </c>
      <c r="M874" s="654">
        <f t="shared" ca="1" si="150"/>
        <v>1</v>
      </c>
      <c r="N874" s="226">
        <f t="shared" ca="1" si="144"/>
        <v>0</v>
      </c>
      <c r="O874" s="1"/>
    </row>
    <row r="875" spans="1:15" ht="16.5" customHeight="1">
      <c r="A875" s="1"/>
      <c r="B875" s="657" t="str">
        <f t="shared" ca="1" si="145"/>
        <v/>
      </c>
      <c r="C875" s="223" t="str">
        <f t="shared" ca="1" si="146"/>
        <v/>
      </c>
      <c r="D875" s="519">
        <f t="shared" si="151"/>
        <v>870</v>
      </c>
      <c r="E875" s="225" t="str">
        <f t="shared" ca="1" si="147"/>
        <v/>
      </c>
      <c r="F875" s="224" t="str">
        <f t="shared" si="153"/>
        <v>CASSA</v>
      </c>
      <c r="G875" s="384" t="str">
        <f t="shared" ca="1" si="148"/>
        <v/>
      </c>
      <c r="H875" s="512">
        <f t="shared" ca="1" si="149"/>
        <v>0</v>
      </c>
      <c r="I875" s="1603" t="str">
        <f t="shared" ca="1" si="143"/>
        <v/>
      </c>
      <c r="J875" s="1604"/>
      <c r="K875" s="373"/>
      <c r="L875" s="513">
        <f t="shared" ca="1" si="152"/>
        <v>656.58</v>
      </c>
      <c r="M875" s="654">
        <f t="shared" ca="1" si="150"/>
        <v>1</v>
      </c>
      <c r="N875" s="226">
        <f t="shared" ca="1" si="144"/>
        <v>0</v>
      </c>
      <c r="O875" s="1"/>
    </row>
    <row r="876" spans="1:15" ht="16.5" customHeight="1">
      <c r="A876" s="1"/>
      <c r="B876" s="657" t="str">
        <f t="shared" ca="1" si="145"/>
        <v/>
      </c>
      <c r="C876" s="223" t="str">
        <f t="shared" ca="1" si="146"/>
        <v/>
      </c>
      <c r="D876" s="519">
        <f t="shared" si="151"/>
        <v>871</v>
      </c>
      <c r="E876" s="225" t="str">
        <f t="shared" ca="1" si="147"/>
        <v/>
      </c>
      <c r="F876" s="224" t="str">
        <f t="shared" si="153"/>
        <v>CASSA</v>
      </c>
      <c r="G876" s="384" t="str">
        <f t="shared" ca="1" si="148"/>
        <v/>
      </c>
      <c r="H876" s="512">
        <f t="shared" ca="1" si="149"/>
        <v>0</v>
      </c>
      <c r="I876" s="1603" t="str">
        <f t="shared" ca="1" si="143"/>
        <v/>
      </c>
      <c r="J876" s="1604"/>
      <c r="K876" s="373"/>
      <c r="L876" s="513">
        <f t="shared" ca="1" si="152"/>
        <v>656.58</v>
      </c>
      <c r="M876" s="654">
        <f t="shared" ca="1" si="150"/>
        <v>1</v>
      </c>
      <c r="N876" s="226">
        <f t="shared" ca="1" si="144"/>
        <v>0</v>
      </c>
      <c r="O876" s="1"/>
    </row>
    <row r="877" spans="1:15" ht="16.5" customHeight="1">
      <c r="A877" s="1"/>
      <c r="B877" s="657" t="str">
        <f t="shared" ca="1" si="145"/>
        <v/>
      </c>
      <c r="C877" s="223" t="str">
        <f t="shared" ca="1" si="146"/>
        <v/>
      </c>
      <c r="D877" s="519">
        <f t="shared" si="151"/>
        <v>872</v>
      </c>
      <c r="E877" s="225" t="str">
        <f t="shared" ca="1" si="147"/>
        <v/>
      </c>
      <c r="F877" s="224" t="str">
        <f t="shared" si="153"/>
        <v>CASSA</v>
      </c>
      <c r="G877" s="384" t="str">
        <f t="shared" ca="1" si="148"/>
        <v/>
      </c>
      <c r="H877" s="512">
        <f t="shared" ca="1" si="149"/>
        <v>0</v>
      </c>
      <c r="I877" s="1603" t="str">
        <f t="shared" ca="1" si="143"/>
        <v/>
      </c>
      <c r="J877" s="1604"/>
      <c r="K877" s="373"/>
      <c r="L877" s="513">
        <f t="shared" ca="1" si="152"/>
        <v>656.58</v>
      </c>
      <c r="M877" s="654">
        <f t="shared" ca="1" si="150"/>
        <v>1</v>
      </c>
      <c r="N877" s="226">
        <f t="shared" ca="1" si="144"/>
        <v>0</v>
      </c>
      <c r="O877" s="1"/>
    </row>
    <row r="878" spans="1:15" ht="16.5" customHeight="1">
      <c r="A878" s="1"/>
      <c r="B878" s="657" t="str">
        <f t="shared" ca="1" si="145"/>
        <v/>
      </c>
      <c r="C878" s="223" t="str">
        <f t="shared" ca="1" si="146"/>
        <v/>
      </c>
      <c r="D878" s="519">
        <f t="shared" si="151"/>
        <v>873</v>
      </c>
      <c r="E878" s="225" t="str">
        <f t="shared" ca="1" si="147"/>
        <v/>
      </c>
      <c r="F878" s="224" t="str">
        <f t="shared" si="153"/>
        <v>CASSA</v>
      </c>
      <c r="G878" s="384" t="str">
        <f t="shared" ca="1" si="148"/>
        <v/>
      </c>
      <c r="H878" s="512">
        <f t="shared" ca="1" si="149"/>
        <v>0</v>
      </c>
      <c r="I878" s="1603" t="str">
        <f t="shared" ca="1" si="143"/>
        <v/>
      </c>
      <c r="J878" s="1604"/>
      <c r="K878" s="373"/>
      <c r="L878" s="513">
        <f t="shared" ca="1" si="152"/>
        <v>656.58</v>
      </c>
      <c r="M878" s="654">
        <f t="shared" ca="1" si="150"/>
        <v>1</v>
      </c>
      <c r="N878" s="226">
        <f t="shared" ca="1" si="144"/>
        <v>0</v>
      </c>
      <c r="O878" s="1"/>
    </row>
    <row r="879" spans="1:15" ht="16.5" customHeight="1">
      <c r="A879" s="1"/>
      <c r="B879" s="657" t="str">
        <f t="shared" ca="1" si="145"/>
        <v/>
      </c>
      <c r="C879" s="223" t="str">
        <f t="shared" ca="1" si="146"/>
        <v/>
      </c>
      <c r="D879" s="519">
        <f t="shared" si="151"/>
        <v>874</v>
      </c>
      <c r="E879" s="225" t="str">
        <f t="shared" ca="1" si="147"/>
        <v/>
      </c>
      <c r="F879" s="224" t="str">
        <f t="shared" si="153"/>
        <v>CASSA</v>
      </c>
      <c r="G879" s="384" t="str">
        <f t="shared" ca="1" si="148"/>
        <v/>
      </c>
      <c r="H879" s="512">
        <f t="shared" ca="1" si="149"/>
        <v>0</v>
      </c>
      <c r="I879" s="1603" t="str">
        <f t="shared" ca="1" si="143"/>
        <v/>
      </c>
      <c r="J879" s="1604"/>
      <c r="K879" s="373"/>
      <c r="L879" s="513">
        <f t="shared" ca="1" si="152"/>
        <v>656.58</v>
      </c>
      <c r="M879" s="654">
        <f t="shared" ca="1" si="150"/>
        <v>1</v>
      </c>
      <c r="N879" s="226">
        <f t="shared" ca="1" si="144"/>
        <v>0</v>
      </c>
      <c r="O879" s="1"/>
    </row>
    <row r="880" spans="1:15" ht="16.5" customHeight="1">
      <c r="A880" s="1"/>
      <c r="B880" s="657" t="str">
        <f t="shared" ca="1" si="145"/>
        <v/>
      </c>
      <c r="C880" s="223" t="str">
        <f t="shared" ca="1" si="146"/>
        <v/>
      </c>
      <c r="D880" s="519">
        <f t="shared" si="151"/>
        <v>875</v>
      </c>
      <c r="E880" s="225" t="str">
        <f t="shared" ca="1" si="147"/>
        <v/>
      </c>
      <c r="F880" s="224" t="str">
        <f t="shared" si="153"/>
        <v>CASSA</v>
      </c>
      <c r="G880" s="384" t="str">
        <f t="shared" ca="1" si="148"/>
        <v/>
      </c>
      <c r="H880" s="512">
        <f t="shared" ca="1" si="149"/>
        <v>0</v>
      </c>
      <c r="I880" s="1603" t="str">
        <f t="shared" ca="1" si="143"/>
        <v/>
      </c>
      <c r="J880" s="1604"/>
      <c r="K880" s="373"/>
      <c r="L880" s="513">
        <f t="shared" ca="1" si="152"/>
        <v>656.58</v>
      </c>
      <c r="M880" s="654">
        <f t="shared" ca="1" si="150"/>
        <v>1</v>
      </c>
      <c r="N880" s="226">
        <f t="shared" ca="1" si="144"/>
        <v>0</v>
      </c>
      <c r="O880" s="1"/>
    </row>
    <row r="881" spans="1:15" ht="16.5" customHeight="1">
      <c r="A881" s="1"/>
      <c r="B881" s="657" t="str">
        <f t="shared" ca="1" si="145"/>
        <v/>
      </c>
      <c r="C881" s="223" t="str">
        <f t="shared" ca="1" si="146"/>
        <v/>
      </c>
      <c r="D881" s="519">
        <f t="shared" si="151"/>
        <v>876</v>
      </c>
      <c r="E881" s="225" t="str">
        <f t="shared" ca="1" si="147"/>
        <v/>
      </c>
      <c r="F881" s="224" t="str">
        <f t="shared" si="153"/>
        <v>CASSA</v>
      </c>
      <c r="G881" s="384" t="str">
        <f t="shared" ca="1" si="148"/>
        <v/>
      </c>
      <c r="H881" s="512">
        <f t="shared" ca="1" si="149"/>
        <v>0</v>
      </c>
      <c r="I881" s="1603" t="str">
        <f t="shared" ca="1" si="143"/>
        <v/>
      </c>
      <c r="J881" s="1604"/>
      <c r="K881" s="373"/>
      <c r="L881" s="513">
        <f t="shared" ca="1" si="152"/>
        <v>656.58</v>
      </c>
      <c r="M881" s="654">
        <f t="shared" ca="1" si="150"/>
        <v>1</v>
      </c>
      <c r="N881" s="226">
        <f t="shared" ca="1" si="144"/>
        <v>0</v>
      </c>
      <c r="O881" s="1"/>
    </row>
    <row r="882" spans="1:15" ht="16.5" customHeight="1">
      <c r="A882" s="1"/>
      <c r="B882" s="657" t="str">
        <f t="shared" ca="1" si="145"/>
        <v/>
      </c>
      <c r="C882" s="223" t="str">
        <f t="shared" ca="1" si="146"/>
        <v/>
      </c>
      <c r="D882" s="519">
        <f t="shared" si="151"/>
        <v>877</v>
      </c>
      <c r="E882" s="225" t="str">
        <f t="shared" ca="1" si="147"/>
        <v/>
      </c>
      <c r="F882" s="224" t="str">
        <f t="shared" si="153"/>
        <v>CASSA</v>
      </c>
      <c r="G882" s="384" t="str">
        <f t="shared" ca="1" si="148"/>
        <v/>
      </c>
      <c r="H882" s="512">
        <f t="shared" ca="1" si="149"/>
        <v>0</v>
      </c>
      <c r="I882" s="1603" t="str">
        <f t="shared" ca="1" si="143"/>
        <v/>
      </c>
      <c r="J882" s="1604"/>
      <c r="K882" s="373"/>
      <c r="L882" s="513">
        <f t="shared" ca="1" si="152"/>
        <v>656.58</v>
      </c>
      <c r="M882" s="654">
        <f t="shared" ca="1" si="150"/>
        <v>1</v>
      </c>
      <c r="N882" s="226">
        <f t="shared" ca="1" si="144"/>
        <v>0</v>
      </c>
      <c r="O882" s="1"/>
    </row>
    <row r="883" spans="1:15" ht="16.5" customHeight="1">
      <c r="A883" s="1"/>
      <c r="B883" s="657" t="str">
        <f t="shared" ca="1" si="145"/>
        <v/>
      </c>
      <c r="C883" s="223" t="str">
        <f t="shared" ca="1" si="146"/>
        <v/>
      </c>
      <c r="D883" s="519">
        <f t="shared" si="151"/>
        <v>878</v>
      </c>
      <c r="E883" s="225" t="str">
        <f t="shared" ca="1" si="147"/>
        <v/>
      </c>
      <c r="F883" s="224" t="str">
        <f t="shared" si="153"/>
        <v>CASSA</v>
      </c>
      <c r="G883" s="384" t="str">
        <f t="shared" ca="1" si="148"/>
        <v/>
      </c>
      <c r="H883" s="512">
        <f t="shared" ca="1" si="149"/>
        <v>0</v>
      </c>
      <c r="I883" s="1603" t="str">
        <f t="shared" ca="1" si="143"/>
        <v/>
      </c>
      <c r="J883" s="1604"/>
      <c r="K883" s="373"/>
      <c r="L883" s="513">
        <f t="shared" ca="1" si="152"/>
        <v>656.58</v>
      </c>
      <c r="M883" s="654">
        <f t="shared" ca="1" si="150"/>
        <v>1</v>
      </c>
      <c r="N883" s="226">
        <f t="shared" ca="1" si="144"/>
        <v>0</v>
      </c>
      <c r="O883" s="1"/>
    </row>
    <row r="884" spans="1:15" ht="16.5" customHeight="1">
      <c r="A884" s="1"/>
      <c r="B884" s="657" t="str">
        <f t="shared" ca="1" si="145"/>
        <v/>
      </c>
      <c r="C884" s="223" t="str">
        <f t="shared" ca="1" si="146"/>
        <v/>
      </c>
      <c r="D884" s="519">
        <f t="shared" si="151"/>
        <v>879</v>
      </c>
      <c r="E884" s="225" t="str">
        <f t="shared" ca="1" si="147"/>
        <v/>
      </c>
      <c r="F884" s="224" t="str">
        <f t="shared" si="153"/>
        <v>CASSA</v>
      </c>
      <c r="G884" s="384" t="str">
        <f t="shared" ca="1" si="148"/>
        <v/>
      </c>
      <c r="H884" s="512">
        <f t="shared" ca="1" si="149"/>
        <v>0</v>
      </c>
      <c r="I884" s="1603" t="str">
        <f t="shared" ca="1" si="143"/>
        <v/>
      </c>
      <c r="J884" s="1604"/>
      <c r="K884" s="373"/>
      <c r="L884" s="513">
        <f t="shared" ca="1" si="152"/>
        <v>656.58</v>
      </c>
      <c r="M884" s="654">
        <f t="shared" ca="1" si="150"/>
        <v>1</v>
      </c>
      <c r="N884" s="226">
        <f t="shared" ca="1" si="144"/>
        <v>0</v>
      </c>
      <c r="O884" s="1"/>
    </row>
    <row r="885" spans="1:15" ht="16.5" customHeight="1">
      <c r="A885" s="1"/>
      <c r="B885" s="657" t="str">
        <f t="shared" ca="1" si="145"/>
        <v/>
      </c>
      <c r="C885" s="223" t="str">
        <f t="shared" ca="1" si="146"/>
        <v/>
      </c>
      <c r="D885" s="519">
        <f t="shared" si="151"/>
        <v>880</v>
      </c>
      <c r="E885" s="225" t="str">
        <f t="shared" ca="1" si="147"/>
        <v/>
      </c>
      <c r="F885" s="224" t="str">
        <f t="shared" si="153"/>
        <v>CASSA</v>
      </c>
      <c r="G885" s="384" t="str">
        <f t="shared" ca="1" si="148"/>
        <v/>
      </c>
      <c r="H885" s="512">
        <f t="shared" ca="1" si="149"/>
        <v>0</v>
      </c>
      <c r="I885" s="1603" t="str">
        <f t="shared" ca="1" si="143"/>
        <v/>
      </c>
      <c r="J885" s="1604"/>
      <c r="K885" s="373"/>
      <c r="L885" s="513">
        <f t="shared" ca="1" si="152"/>
        <v>656.58</v>
      </c>
      <c r="M885" s="654">
        <f t="shared" ca="1" si="150"/>
        <v>1</v>
      </c>
      <c r="N885" s="226">
        <f t="shared" ca="1" si="144"/>
        <v>0</v>
      </c>
      <c r="O885" s="1"/>
    </row>
    <row r="886" spans="1:15" ht="16.5" customHeight="1">
      <c r="A886" s="1"/>
      <c r="B886" s="657" t="str">
        <f t="shared" ca="1" si="145"/>
        <v/>
      </c>
      <c r="C886" s="223" t="str">
        <f t="shared" ca="1" si="146"/>
        <v/>
      </c>
      <c r="D886" s="519">
        <f t="shared" si="151"/>
        <v>881</v>
      </c>
      <c r="E886" s="225" t="str">
        <f t="shared" ca="1" si="147"/>
        <v/>
      </c>
      <c r="F886" s="224" t="str">
        <f t="shared" si="153"/>
        <v>CASSA</v>
      </c>
      <c r="G886" s="384" t="str">
        <f t="shared" ca="1" si="148"/>
        <v/>
      </c>
      <c r="H886" s="512">
        <f t="shared" ca="1" si="149"/>
        <v>0</v>
      </c>
      <c r="I886" s="1603" t="str">
        <f t="shared" ca="1" si="143"/>
        <v/>
      </c>
      <c r="J886" s="1604"/>
      <c r="K886" s="373"/>
      <c r="L886" s="513">
        <f t="shared" ca="1" si="152"/>
        <v>656.58</v>
      </c>
      <c r="M886" s="654">
        <f t="shared" ca="1" si="150"/>
        <v>1</v>
      </c>
      <c r="N886" s="226">
        <f t="shared" ca="1" si="144"/>
        <v>0</v>
      </c>
      <c r="O886" s="1"/>
    </row>
    <row r="887" spans="1:15" ht="16.5" customHeight="1">
      <c r="A887" s="1"/>
      <c r="B887" s="657" t="str">
        <f t="shared" ca="1" si="145"/>
        <v/>
      </c>
      <c r="C887" s="223" t="str">
        <f t="shared" ca="1" si="146"/>
        <v/>
      </c>
      <c r="D887" s="519">
        <f t="shared" si="151"/>
        <v>882</v>
      </c>
      <c r="E887" s="225" t="str">
        <f t="shared" ca="1" si="147"/>
        <v/>
      </c>
      <c r="F887" s="224" t="str">
        <f t="shared" si="153"/>
        <v>CASSA</v>
      </c>
      <c r="G887" s="384" t="str">
        <f t="shared" ca="1" si="148"/>
        <v/>
      </c>
      <c r="H887" s="512">
        <f t="shared" ca="1" si="149"/>
        <v>0</v>
      </c>
      <c r="I887" s="1603" t="str">
        <f t="shared" ca="1" si="143"/>
        <v/>
      </c>
      <c r="J887" s="1604"/>
      <c r="K887" s="373"/>
      <c r="L887" s="513">
        <f t="shared" ca="1" si="152"/>
        <v>656.58</v>
      </c>
      <c r="M887" s="654">
        <f t="shared" ca="1" si="150"/>
        <v>1</v>
      </c>
      <c r="N887" s="226">
        <f t="shared" ca="1" si="144"/>
        <v>0</v>
      </c>
      <c r="O887" s="1"/>
    </row>
    <row r="888" spans="1:15" ht="16.5" customHeight="1">
      <c r="A888" s="1"/>
      <c r="B888" s="657" t="str">
        <f t="shared" ca="1" si="145"/>
        <v/>
      </c>
      <c r="C888" s="223" t="str">
        <f t="shared" ca="1" si="146"/>
        <v/>
      </c>
      <c r="D888" s="519">
        <f t="shared" si="151"/>
        <v>883</v>
      </c>
      <c r="E888" s="225" t="str">
        <f t="shared" ca="1" si="147"/>
        <v/>
      </c>
      <c r="F888" s="224" t="str">
        <f t="shared" si="153"/>
        <v>CASSA</v>
      </c>
      <c r="G888" s="384" t="str">
        <f t="shared" ca="1" si="148"/>
        <v/>
      </c>
      <c r="H888" s="512">
        <f t="shared" ca="1" si="149"/>
        <v>0</v>
      </c>
      <c r="I888" s="1603" t="str">
        <f t="shared" ca="1" si="143"/>
        <v/>
      </c>
      <c r="J888" s="1604"/>
      <c r="K888" s="373"/>
      <c r="L888" s="513">
        <f t="shared" ca="1" si="152"/>
        <v>656.58</v>
      </c>
      <c r="M888" s="654">
        <f t="shared" ca="1" si="150"/>
        <v>1</v>
      </c>
      <c r="N888" s="226">
        <f t="shared" ca="1" si="144"/>
        <v>0</v>
      </c>
      <c r="O888" s="1"/>
    </row>
    <row r="889" spans="1:15" ht="16.5" customHeight="1">
      <c r="A889" s="1"/>
      <c r="B889" s="657" t="str">
        <f t="shared" ca="1" si="145"/>
        <v/>
      </c>
      <c r="C889" s="223" t="str">
        <f t="shared" ca="1" si="146"/>
        <v/>
      </c>
      <c r="D889" s="519">
        <f t="shared" si="151"/>
        <v>884</v>
      </c>
      <c r="E889" s="225" t="str">
        <f t="shared" ca="1" si="147"/>
        <v/>
      </c>
      <c r="F889" s="224" t="str">
        <f t="shared" si="153"/>
        <v>CASSA</v>
      </c>
      <c r="G889" s="384" t="str">
        <f t="shared" ca="1" si="148"/>
        <v/>
      </c>
      <c r="H889" s="512">
        <f t="shared" ca="1" si="149"/>
        <v>0</v>
      </c>
      <c r="I889" s="1603" t="str">
        <f t="shared" ca="1" si="143"/>
        <v/>
      </c>
      <c r="J889" s="1604"/>
      <c r="K889" s="373"/>
      <c r="L889" s="513">
        <f t="shared" ca="1" si="152"/>
        <v>656.58</v>
      </c>
      <c r="M889" s="654">
        <f t="shared" ca="1" si="150"/>
        <v>1</v>
      </c>
      <c r="N889" s="226">
        <f t="shared" ca="1" si="144"/>
        <v>0</v>
      </c>
      <c r="O889" s="1"/>
    </row>
    <row r="890" spans="1:15" ht="16.5" customHeight="1">
      <c r="A890" s="1"/>
      <c r="B890" s="657" t="str">
        <f t="shared" ca="1" si="145"/>
        <v/>
      </c>
      <c r="C890" s="223" t="str">
        <f t="shared" ca="1" si="146"/>
        <v/>
      </c>
      <c r="D890" s="519">
        <f t="shared" si="151"/>
        <v>885</v>
      </c>
      <c r="E890" s="225" t="str">
        <f t="shared" ca="1" si="147"/>
        <v/>
      </c>
      <c r="F890" s="224" t="str">
        <f t="shared" si="153"/>
        <v>CASSA</v>
      </c>
      <c r="G890" s="384" t="str">
        <f t="shared" ca="1" si="148"/>
        <v/>
      </c>
      <c r="H890" s="512">
        <f t="shared" ca="1" si="149"/>
        <v>0</v>
      </c>
      <c r="I890" s="1603" t="str">
        <f t="shared" ca="1" si="143"/>
        <v/>
      </c>
      <c r="J890" s="1604"/>
      <c r="K890" s="373"/>
      <c r="L890" s="513">
        <f t="shared" ca="1" si="152"/>
        <v>656.58</v>
      </c>
      <c r="M890" s="654">
        <f t="shared" ca="1" si="150"/>
        <v>1</v>
      </c>
      <c r="N890" s="226">
        <f t="shared" ca="1" si="144"/>
        <v>0</v>
      </c>
      <c r="O890" s="1"/>
    </row>
    <row r="891" spans="1:15" ht="16.5" customHeight="1">
      <c r="A891" s="1"/>
      <c r="B891" s="657" t="str">
        <f t="shared" ca="1" si="145"/>
        <v/>
      </c>
      <c r="C891" s="223" t="str">
        <f t="shared" ca="1" si="146"/>
        <v/>
      </c>
      <c r="D891" s="519">
        <f t="shared" si="151"/>
        <v>886</v>
      </c>
      <c r="E891" s="225" t="str">
        <f t="shared" ca="1" si="147"/>
        <v/>
      </c>
      <c r="F891" s="224" t="str">
        <f t="shared" si="153"/>
        <v>CASSA</v>
      </c>
      <c r="G891" s="384" t="str">
        <f t="shared" ca="1" si="148"/>
        <v/>
      </c>
      <c r="H891" s="512">
        <f t="shared" ca="1" si="149"/>
        <v>0</v>
      </c>
      <c r="I891" s="1603" t="str">
        <f t="shared" ca="1" si="143"/>
        <v/>
      </c>
      <c r="J891" s="1604"/>
      <c r="K891" s="373"/>
      <c r="L891" s="513">
        <f t="shared" ca="1" si="152"/>
        <v>656.58</v>
      </c>
      <c r="M891" s="654">
        <f t="shared" ca="1" si="150"/>
        <v>1</v>
      </c>
      <c r="N891" s="226">
        <f t="shared" ca="1" si="144"/>
        <v>0</v>
      </c>
      <c r="O891" s="1"/>
    </row>
    <row r="892" spans="1:15" ht="16.5" customHeight="1">
      <c r="A892" s="1"/>
      <c r="B892" s="657" t="str">
        <f t="shared" ca="1" si="145"/>
        <v/>
      </c>
      <c r="C892" s="223" t="str">
        <f t="shared" ca="1" si="146"/>
        <v/>
      </c>
      <c r="D892" s="519">
        <f t="shared" si="151"/>
        <v>887</v>
      </c>
      <c r="E892" s="225" t="str">
        <f t="shared" ca="1" si="147"/>
        <v/>
      </c>
      <c r="F892" s="224" t="str">
        <f t="shared" si="153"/>
        <v>CASSA</v>
      </c>
      <c r="G892" s="384" t="str">
        <f t="shared" ca="1" si="148"/>
        <v/>
      </c>
      <c r="H892" s="512">
        <f t="shared" ca="1" si="149"/>
        <v>0</v>
      </c>
      <c r="I892" s="1603" t="str">
        <f t="shared" ca="1" si="143"/>
        <v/>
      </c>
      <c r="J892" s="1604"/>
      <c r="K892" s="373"/>
      <c r="L892" s="513">
        <f t="shared" ca="1" si="152"/>
        <v>656.58</v>
      </c>
      <c r="M892" s="654">
        <f t="shared" ca="1" si="150"/>
        <v>1</v>
      </c>
      <c r="N892" s="226">
        <f t="shared" ca="1" si="144"/>
        <v>0</v>
      </c>
      <c r="O892" s="1"/>
    </row>
    <row r="893" spans="1:15" ht="16.5" customHeight="1">
      <c r="A893" s="1"/>
      <c r="B893" s="657" t="str">
        <f t="shared" ca="1" si="145"/>
        <v/>
      </c>
      <c r="C893" s="223" t="str">
        <f t="shared" ca="1" si="146"/>
        <v/>
      </c>
      <c r="D893" s="519">
        <f t="shared" si="151"/>
        <v>888</v>
      </c>
      <c r="E893" s="225" t="str">
        <f t="shared" ca="1" si="147"/>
        <v/>
      </c>
      <c r="F893" s="224" t="str">
        <f t="shared" si="153"/>
        <v>CASSA</v>
      </c>
      <c r="G893" s="384" t="str">
        <f t="shared" ca="1" si="148"/>
        <v/>
      </c>
      <c r="H893" s="512">
        <f t="shared" ca="1" si="149"/>
        <v>0</v>
      </c>
      <c r="I893" s="1603" t="str">
        <f t="shared" ca="1" si="143"/>
        <v/>
      </c>
      <c r="J893" s="1604"/>
      <c r="K893" s="373"/>
      <c r="L893" s="513">
        <f t="shared" ca="1" si="152"/>
        <v>656.58</v>
      </c>
      <c r="M893" s="654">
        <f t="shared" ca="1" si="150"/>
        <v>1</v>
      </c>
      <c r="N893" s="226">
        <f t="shared" ca="1" si="144"/>
        <v>0</v>
      </c>
      <c r="O893" s="1"/>
    </row>
    <row r="894" spans="1:15" ht="16.5" customHeight="1">
      <c r="A894" s="1"/>
      <c r="B894" s="657" t="str">
        <f t="shared" ca="1" si="145"/>
        <v/>
      </c>
      <c r="C894" s="223" t="str">
        <f t="shared" ca="1" si="146"/>
        <v/>
      </c>
      <c r="D894" s="519">
        <f t="shared" si="151"/>
        <v>889</v>
      </c>
      <c r="E894" s="225" t="str">
        <f t="shared" ca="1" si="147"/>
        <v/>
      </c>
      <c r="F894" s="224" t="str">
        <f t="shared" si="153"/>
        <v>CASSA</v>
      </c>
      <c r="G894" s="384" t="str">
        <f t="shared" ca="1" si="148"/>
        <v/>
      </c>
      <c r="H894" s="512">
        <f t="shared" ca="1" si="149"/>
        <v>0</v>
      </c>
      <c r="I894" s="1603" t="str">
        <f t="shared" ca="1" si="143"/>
        <v/>
      </c>
      <c r="J894" s="1604"/>
      <c r="K894" s="373"/>
      <c r="L894" s="513">
        <f t="shared" ca="1" si="152"/>
        <v>656.58</v>
      </c>
      <c r="M894" s="654">
        <f t="shared" ca="1" si="150"/>
        <v>1</v>
      </c>
      <c r="N894" s="226">
        <f t="shared" ca="1" si="144"/>
        <v>0</v>
      </c>
      <c r="O894" s="1"/>
    </row>
    <row r="895" spans="1:15" ht="16.5" customHeight="1">
      <c r="A895" s="1"/>
      <c r="B895" s="657" t="str">
        <f t="shared" ca="1" si="145"/>
        <v/>
      </c>
      <c r="C895" s="223" t="str">
        <f t="shared" ca="1" si="146"/>
        <v/>
      </c>
      <c r="D895" s="519">
        <f t="shared" si="151"/>
        <v>890</v>
      </c>
      <c r="E895" s="225" t="str">
        <f t="shared" ca="1" si="147"/>
        <v/>
      </c>
      <c r="F895" s="224" t="str">
        <f t="shared" si="153"/>
        <v>CASSA</v>
      </c>
      <c r="G895" s="384" t="str">
        <f t="shared" ca="1" si="148"/>
        <v/>
      </c>
      <c r="H895" s="512">
        <f t="shared" ca="1" si="149"/>
        <v>0</v>
      </c>
      <c r="I895" s="1603" t="str">
        <f t="shared" ca="1" si="143"/>
        <v/>
      </c>
      <c r="J895" s="1604"/>
      <c r="K895" s="373"/>
      <c r="L895" s="513">
        <f t="shared" ca="1" si="152"/>
        <v>656.58</v>
      </c>
      <c r="M895" s="654">
        <f t="shared" ca="1" si="150"/>
        <v>1</v>
      </c>
      <c r="N895" s="226">
        <f t="shared" ca="1" si="144"/>
        <v>0</v>
      </c>
      <c r="O895" s="1"/>
    </row>
    <row r="896" spans="1:15" ht="16.5" customHeight="1">
      <c r="A896" s="1"/>
      <c r="B896" s="657" t="str">
        <f t="shared" ca="1" si="145"/>
        <v/>
      </c>
      <c r="C896" s="223" t="str">
        <f t="shared" ca="1" si="146"/>
        <v/>
      </c>
      <c r="D896" s="519">
        <f t="shared" si="151"/>
        <v>891</v>
      </c>
      <c r="E896" s="225" t="str">
        <f t="shared" ca="1" si="147"/>
        <v/>
      </c>
      <c r="F896" s="224" t="str">
        <f t="shared" si="153"/>
        <v>CASSA</v>
      </c>
      <c r="G896" s="384" t="str">
        <f t="shared" ca="1" si="148"/>
        <v/>
      </c>
      <c r="H896" s="512">
        <f t="shared" ca="1" si="149"/>
        <v>0</v>
      </c>
      <c r="I896" s="1603" t="str">
        <f t="shared" ca="1" si="143"/>
        <v/>
      </c>
      <c r="J896" s="1604"/>
      <c r="K896" s="373"/>
      <c r="L896" s="513">
        <f t="shared" ca="1" si="152"/>
        <v>656.58</v>
      </c>
      <c r="M896" s="654">
        <f t="shared" ca="1" si="150"/>
        <v>1</v>
      </c>
      <c r="N896" s="226">
        <f t="shared" ca="1" si="144"/>
        <v>0</v>
      </c>
      <c r="O896" s="1"/>
    </row>
    <row r="897" spans="1:15" ht="16.5" customHeight="1">
      <c r="A897" s="1"/>
      <c r="B897" s="657" t="str">
        <f t="shared" ca="1" si="145"/>
        <v/>
      </c>
      <c r="C897" s="223" t="str">
        <f t="shared" ca="1" si="146"/>
        <v/>
      </c>
      <c r="D897" s="519">
        <f t="shared" si="151"/>
        <v>892</v>
      </c>
      <c r="E897" s="225" t="str">
        <f t="shared" ca="1" si="147"/>
        <v/>
      </c>
      <c r="F897" s="224" t="str">
        <f t="shared" si="153"/>
        <v>CASSA</v>
      </c>
      <c r="G897" s="384" t="str">
        <f t="shared" ca="1" si="148"/>
        <v/>
      </c>
      <c r="H897" s="512">
        <f t="shared" ca="1" si="149"/>
        <v>0</v>
      </c>
      <c r="I897" s="1603" t="str">
        <f t="shared" ca="1" si="143"/>
        <v/>
      </c>
      <c r="J897" s="1604"/>
      <c r="K897" s="373"/>
      <c r="L897" s="513">
        <f t="shared" ca="1" si="152"/>
        <v>656.58</v>
      </c>
      <c r="M897" s="654">
        <f t="shared" ca="1" si="150"/>
        <v>1</v>
      </c>
      <c r="N897" s="226">
        <f t="shared" ca="1" si="144"/>
        <v>0</v>
      </c>
      <c r="O897" s="1"/>
    </row>
    <row r="898" spans="1:15" ht="16.5" customHeight="1">
      <c r="A898" s="1"/>
      <c r="B898" s="657" t="str">
        <f t="shared" ca="1" si="145"/>
        <v/>
      </c>
      <c r="C898" s="223" t="str">
        <f t="shared" ca="1" si="146"/>
        <v/>
      </c>
      <c r="D898" s="519">
        <f t="shared" si="151"/>
        <v>893</v>
      </c>
      <c r="E898" s="225" t="str">
        <f t="shared" ca="1" si="147"/>
        <v/>
      </c>
      <c r="F898" s="224" t="str">
        <f t="shared" si="153"/>
        <v>CASSA</v>
      </c>
      <c r="G898" s="384" t="str">
        <f t="shared" ca="1" si="148"/>
        <v/>
      </c>
      <c r="H898" s="512">
        <f t="shared" ca="1" si="149"/>
        <v>0</v>
      </c>
      <c r="I898" s="1603" t="str">
        <f t="shared" ca="1" si="143"/>
        <v/>
      </c>
      <c r="J898" s="1604"/>
      <c r="K898" s="373"/>
      <c r="L898" s="513">
        <f t="shared" ca="1" si="152"/>
        <v>656.58</v>
      </c>
      <c r="M898" s="654">
        <f t="shared" ca="1" si="150"/>
        <v>1</v>
      </c>
      <c r="N898" s="226">
        <f t="shared" ca="1" si="144"/>
        <v>0</v>
      </c>
      <c r="O898" s="1"/>
    </row>
    <row r="899" spans="1:15" ht="16.5" customHeight="1">
      <c r="A899" s="1"/>
      <c r="B899" s="657" t="str">
        <f t="shared" ca="1" si="145"/>
        <v/>
      </c>
      <c r="C899" s="223" t="str">
        <f t="shared" ca="1" si="146"/>
        <v/>
      </c>
      <c r="D899" s="519">
        <f t="shared" si="151"/>
        <v>894</v>
      </c>
      <c r="E899" s="225" t="str">
        <f t="shared" ca="1" si="147"/>
        <v/>
      </c>
      <c r="F899" s="224" t="str">
        <f t="shared" si="153"/>
        <v>CASSA</v>
      </c>
      <c r="G899" s="384" t="str">
        <f t="shared" ca="1" si="148"/>
        <v/>
      </c>
      <c r="H899" s="512">
        <f t="shared" ca="1" si="149"/>
        <v>0</v>
      </c>
      <c r="I899" s="1603" t="str">
        <f t="shared" ca="1" si="143"/>
        <v/>
      </c>
      <c r="J899" s="1604"/>
      <c r="K899" s="373"/>
      <c r="L899" s="513">
        <f t="shared" ca="1" si="152"/>
        <v>656.58</v>
      </c>
      <c r="M899" s="654">
        <f t="shared" ca="1" si="150"/>
        <v>1</v>
      </c>
      <c r="N899" s="226">
        <f t="shared" ca="1" si="144"/>
        <v>0</v>
      </c>
      <c r="O899" s="1"/>
    </row>
    <row r="900" spans="1:15" ht="16.5" customHeight="1">
      <c r="A900" s="1"/>
      <c r="B900" s="657" t="str">
        <f t="shared" ca="1" si="145"/>
        <v/>
      </c>
      <c r="C900" s="223" t="str">
        <f t="shared" ca="1" si="146"/>
        <v/>
      </c>
      <c r="D900" s="519">
        <f t="shared" si="151"/>
        <v>895</v>
      </c>
      <c r="E900" s="225" t="str">
        <f t="shared" ca="1" si="147"/>
        <v/>
      </c>
      <c r="F900" s="224" t="str">
        <f t="shared" si="153"/>
        <v>CASSA</v>
      </c>
      <c r="G900" s="384" t="str">
        <f t="shared" ca="1" si="148"/>
        <v/>
      </c>
      <c r="H900" s="512">
        <f t="shared" ca="1" si="149"/>
        <v>0</v>
      </c>
      <c r="I900" s="1603" t="str">
        <f t="shared" ca="1" si="143"/>
        <v/>
      </c>
      <c r="J900" s="1604"/>
      <c r="K900" s="373"/>
      <c r="L900" s="513">
        <f t="shared" ca="1" si="152"/>
        <v>656.58</v>
      </c>
      <c r="M900" s="654">
        <f t="shared" ca="1" si="150"/>
        <v>1</v>
      </c>
      <c r="N900" s="226">
        <f t="shared" ca="1" si="144"/>
        <v>0</v>
      </c>
      <c r="O900" s="1"/>
    </row>
    <row r="901" spans="1:15" ht="16.5" customHeight="1">
      <c r="A901" s="1"/>
      <c r="B901" s="657" t="str">
        <f t="shared" ca="1" si="145"/>
        <v/>
      </c>
      <c r="C901" s="223" t="str">
        <f t="shared" ca="1" si="146"/>
        <v/>
      </c>
      <c r="D901" s="519">
        <f t="shared" si="151"/>
        <v>896</v>
      </c>
      <c r="E901" s="225" t="str">
        <f t="shared" ca="1" si="147"/>
        <v/>
      </c>
      <c r="F901" s="224" t="str">
        <f t="shared" si="153"/>
        <v>CASSA</v>
      </c>
      <c r="G901" s="384" t="str">
        <f t="shared" ca="1" si="148"/>
        <v/>
      </c>
      <c r="H901" s="512">
        <f t="shared" ca="1" si="149"/>
        <v>0</v>
      </c>
      <c r="I901" s="1603" t="str">
        <f t="shared" ca="1" si="143"/>
        <v/>
      </c>
      <c r="J901" s="1604"/>
      <c r="K901" s="373"/>
      <c r="L901" s="513">
        <f t="shared" ca="1" si="152"/>
        <v>656.58</v>
      </c>
      <c r="M901" s="654">
        <f t="shared" ca="1" si="150"/>
        <v>1</v>
      </c>
      <c r="N901" s="226">
        <f t="shared" ca="1" si="144"/>
        <v>0</v>
      </c>
      <c r="O901" s="1"/>
    </row>
    <row r="902" spans="1:15" ht="16.5" customHeight="1">
      <c r="A902" s="1"/>
      <c r="B902" s="657" t="str">
        <f t="shared" ca="1" si="145"/>
        <v/>
      </c>
      <c r="C902" s="223" t="str">
        <f t="shared" ca="1" si="146"/>
        <v/>
      </c>
      <c r="D902" s="519">
        <f t="shared" si="151"/>
        <v>897</v>
      </c>
      <c r="E902" s="225" t="str">
        <f t="shared" ca="1" si="147"/>
        <v/>
      </c>
      <c r="F902" s="224" t="str">
        <f t="shared" si="153"/>
        <v>CASSA</v>
      </c>
      <c r="G902" s="384" t="str">
        <f t="shared" ca="1" si="148"/>
        <v/>
      </c>
      <c r="H902" s="512">
        <f t="shared" ca="1" si="149"/>
        <v>0</v>
      </c>
      <c r="I902" s="1603" t="str">
        <f t="shared" ref="I902:I965" ca="1" si="154">IF(F902="","",IF(ISERROR(VLOOKUP($D902,$B$1080:$L$4183,11,FALSE)),"",VLOOKUP($D902,$B$1080:$L$4183,11,FALSE)))</f>
        <v/>
      </c>
      <c r="J902" s="1604"/>
      <c r="K902" s="373"/>
      <c r="L902" s="513">
        <f t="shared" ca="1" si="152"/>
        <v>656.58</v>
      </c>
      <c r="M902" s="654">
        <f t="shared" ca="1" si="150"/>
        <v>1</v>
      </c>
      <c r="N902" s="226">
        <f t="shared" ref="N902:N965" ca="1" si="155">IF(ISERROR(VLOOKUP(G902,G$4171:G$4182,1,FALSE)),0,1)</f>
        <v>0</v>
      </c>
      <c r="O902" s="1"/>
    </row>
    <row r="903" spans="1:15" ht="16.5" customHeight="1">
      <c r="A903" s="1"/>
      <c r="B903" s="657" t="str">
        <f t="shared" ref="B903:B966" ca="1" si="156">IF(AND(E903&lt;&gt;"",M903=0),"[..]","")</f>
        <v/>
      </c>
      <c r="C903" s="223" t="str">
        <f t="shared" ref="C903:C966" ca="1" si="157">IF(ISBLANK(E$2),"",IF(ISERROR(VLOOKUP(D903,B$3067:B$4182,1,FALSE)),"",C$4185))</f>
        <v/>
      </c>
      <c r="D903" s="519">
        <f t="shared" si="151"/>
        <v>898</v>
      </c>
      <c r="E903" s="225" t="str">
        <f t="shared" ref="E903:E966" ca="1" si="158">IF(ISERROR(VLOOKUP($D903,$B$1080:$E$4183,4,FALSE)),"",VLOOKUP($D903,$B$1080:$E$4183,4,FALSE))</f>
        <v/>
      </c>
      <c r="F903" s="224" t="str">
        <f t="shared" si="153"/>
        <v>CASSA</v>
      </c>
      <c r="G903" s="384" t="str">
        <f t="shared" ref="G903:G966" ca="1" si="159">IF(ISERROR(VLOOKUP($D903,$B$1080:$G$4183,6,FALSE)),"",T(VLOOKUP($D903,$B$1080:$G$4183,6,FALSE)))</f>
        <v/>
      </c>
      <c r="H903" s="512">
        <f t="shared" ref="H903:H966" ca="1" si="160">IF(ISERROR(VLOOKUP($D903,$B$1080:$H$4183,7,FALSE)),0,VLOOKUP($D903,$B$1080:$H$4183,7,FALSE))*M903</f>
        <v>0</v>
      </c>
      <c r="I903" s="1603" t="str">
        <f t="shared" ca="1" si="154"/>
        <v/>
      </c>
      <c r="J903" s="1604"/>
      <c r="K903" s="373"/>
      <c r="L903" s="513">
        <f t="shared" ca="1" si="152"/>
        <v>656.58</v>
      </c>
      <c r="M903" s="654">
        <f t="shared" ref="M903:M966" ca="1" si="161">IF(AND(E903&gt;0,H$4188=0,OR(E903&lt;L$1020,E903&gt;L$1021)),0,1)</f>
        <v>1</v>
      </c>
      <c r="N903" s="226">
        <f t="shared" ca="1" si="155"/>
        <v>0</v>
      </c>
      <c r="O903" s="1"/>
    </row>
    <row r="904" spans="1:15" ht="16.5" customHeight="1">
      <c r="A904" s="1"/>
      <c r="B904" s="657" t="str">
        <f t="shared" ca="1" si="156"/>
        <v/>
      </c>
      <c r="C904" s="223" t="str">
        <f t="shared" ca="1" si="157"/>
        <v/>
      </c>
      <c r="D904" s="519">
        <f t="shared" ref="D904:D967" si="162">D903+1</f>
        <v>899</v>
      </c>
      <c r="E904" s="225" t="str">
        <f t="shared" ca="1" si="158"/>
        <v/>
      </c>
      <c r="F904" s="224" t="str">
        <f t="shared" si="153"/>
        <v>CASSA</v>
      </c>
      <c r="G904" s="384" t="str">
        <f t="shared" ca="1" si="159"/>
        <v/>
      </c>
      <c r="H904" s="512">
        <f t="shared" ca="1" si="160"/>
        <v>0</v>
      </c>
      <c r="I904" s="1603" t="str">
        <f t="shared" ca="1" si="154"/>
        <v/>
      </c>
      <c r="J904" s="1604"/>
      <c r="K904" s="373"/>
      <c r="L904" s="513">
        <f t="shared" ref="L904:L967" ca="1" si="163">ROUND(L903+H904,2)</f>
        <v>656.58</v>
      </c>
      <c r="M904" s="654">
        <f t="shared" ca="1" si="161"/>
        <v>1</v>
      </c>
      <c r="N904" s="226">
        <f t="shared" ca="1" si="155"/>
        <v>0</v>
      </c>
      <c r="O904" s="1"/>
    </row>
    <row r="905" spans="1:15" ht="16.5" customHeight="1">
      <c r="A905" s="1"/>
      <c r="B905" s="657" t="str">
        <f t="shared" ca="1" si="156"/>
        <v/>
      </c>
      <c r="C905" s="223" t="str">
        <f t="shared" ca="1" si="157"/>
        <v/>
      </c>
      <c r="D905" s="519">
        <f t="shared" si="162"/>
        <v>900</v>
      </c>
      <c r="E905" s="225" t="str">
        <f t="shared" ca="1" si="158"/>
        <v/>
      </c>
      <c r="F905" s="224" t="str">
        <f t="shared" si="153"/>
        <v>CASSA</v>
      </c>
      <c r="G905" s="384" t="str">
        <f t="shared" ca="1" si="159"/>
        <v/>
      </c>
      <c r="H905" s="512">
        <f t="shared" ca="1" si="160"/>
        <v>0</v>
      </c>
      <c r="I905" s="1603" t="str">
        <f t="shared" ca="1" si="154"/>
        <v/>
      </c>
      <c r="J905" s="1604"/>
      <c r="K905" s="373"/>
      <c r="L905" s="513">
        <f t="shared" ca="1" si="163"/>
        <v>656.58</v>
      </c>
      <c r="M905" s="654">
        <f t="shared" ca="1" si="161"/>
        <v>1</v>
      </c>
      <c r="N905" s="226">
        <f t="shared" ca="1" si="155"/>
        <v>0</v>
      </c>
      <c r="O905" s="1"/>
    </row>
    <row r="906" spans="1:15" ht="16.5" customHeight="1">
      <c r="A906" s="1"/>
      <c r="B906" s="657" t="str">
        <f t="shared" ca="1" si="156"/>
        <v/>
      </c>
      <c r="C906" s="223" t="str">
        <f t="shared" ca="1" si="157"/>
        <v/>
      </c>
      <c r="D906" s="519">
        <f t="shared" si="162"/>
        <v>901</v>
      </c>
      <c r="E906" s="225" t="str">
        <f t="shared" ca="1" si="158"/>
        <v/>
      </c>
      <c r="F906" s="224" t="str">
        <f t="shared" si="153"/>
        <v>CASSA</v>
      </c>
      <c r="G906" s="384" t="str">
        <f t="shared" ca="1" si="159"/>
        <v/>
      </c>
      <c r="H906" s="512">
        <f t="shared" ca="1" si="160"/>
        <v>0</v>
      </c>
      <c r="I906" s="1603" t="str">
        <f t="shared" ca="1" si="154"/>
        <v/>
      </c>
      <c r="J906" s="1604"/>
      <c r="K906" s="373"/>
      <c r="L906" s="513">
        <f t="shared" ca="1" si="163"/>
        <v>656.58</v>
      </c>
      <c r="M906" s="654">
        <f t="shared" ca="1" si="161"/>
        <v>1</v>
      </c>
      <c r="N906" s="226">
        <f t="shared" ca="1" si="155"/>
        <v>0</v>
      </c>
      <c r="O906" s="1"/>
    </row>
    <row r="907" spans="1:15" ht="16.5" customHeight="1">
      <c r="A907" s="1"/>
      <c r="B907" s="657" t="str">
        <f t="shared" ca="1" si="156"/>
        <v/>
      </c>
      <c r="C907" s="223" t="str">
        <f t="shared" ca="1" si="157"/>
        <v/>
      </c>
      <c r="D907" s="519">
        <f t="shared" si="162"/>
        <v>902</v>
      </c>
      <c r="E907" s="225" t="str">
        <f t="shared" ca="1" si="158"/>
        <v/>
      </c>
      <c r="F907" s="224" t="str">
        <f t="shared" si="153"/>
        <v>CASSA</v>
      </c>
      <c r="G907" s="384" t="str">
        <f t="shared" ca="1" si="159"/>
        <v/>
      </c>
      <c r="H907" s="512">
        <f t="shared" ca="1" si="160"/>
        <v>0</v>
      </c>
      <c r="I907" s="1603" t="str">
        <f t="shared" ca="1" si="154"/>
        <v/>
      </c>
      <c r="J907" s="1604"/>
      <c r="K907" s="373"/>
      <c r="L907" s="513">
        <f t="shared" ca="1" si="163"/>
        <v>656.58</v>
      </c>
      <c r="M907" s="654">
        <f t="shared" ca="1" si="161"/>
        <v>1</v>
      </c>
      <c r="N907" s="226">
        <f t="shared" ca="1" si="155"/>
        <v>0</v>
      </c>
      <c r="O907" s="1"/>
    </row>
    <row r="908" spans="1:15" ht="16.5" customHeight="1">
      <c r="A908" s="1"/>
      <c r="B908" s="657" t="str">
        <f t="shared" ca="1" si="156"/>
        <v/>
      </c>
      <c r="C908" s="223" t="str">
        <f t="shared" ca="1" si="157"/>
        <v/>
      </c>
      <c r="D908" s="519">
        <f t="shared" si="162"/>
        <v>903</v>
      </c>
      <c r="E908" s="225" t="str">
        <f t="shared" ca="1" si="158"/>
        <v/>
      </c>
      <c r="F908" s="224" t="str">
        <f t="shared" ref="F908:F971" si="164">F907</f>
        <v>CASSA</v>
      </c>
      <c r="G908" s="384" t="str">
        <f t="shared" ca="1" si="159"/>
        <v/>
      </c>
      <c r="H908" s="512">
        <f t="shared" ca="1" si="160"/>
        <v>0</v>
      </c>
      <c r="I908" s="1603" t="str">
        <f t="shared" ca="1" si="154"/>
        <v/>
      </c>
      <c r="J908" s="1604"/>
      <c r="K908" s="373"/>
      <c r="L908" s="513">
        <f t="shared" ca="1" si="163"/>
        <v>656.58</v>
      </c>
      <c r="M908" s="654">
        <f t="shared" ca="1" si="161"/>
        <v>1</v>
      </c>
      <c r="N908" s="226">
        <f t="shared" ca="1" si="155"/>
        <v>0</v>
      </c>
      <c r="O908" s="1"/>
    </row>
    <row r="909" spans="1:15" ht="16.5" customHeight="1">
      <c r="A909" s="1"/>
      <c r="B909" s="657" t="str">
        <f t="shared" ca="1" si="156"/>
        <v/>
      </c>
      <c r="C909" s="223" t="str">
        <f t="shared" ca="1" si="157"/>
        <v/>
      </c>
      <c r="D909" s="519">
        <f t="shared" si="162"/>
        <v>904</v>
      </c>
      <c r="E909" s="225" t="str">
        <f t="shared" ca="1" si="158"/>
        <v/>
      </c>
      <c r="F909" s="224" t="str">
        <f t="shared" si="164"/>
        <v>CASSA</v>
      </c>
      <c r="G909" s="384" t="str">
        <f t="shared" ca="1" si="159"/>
        <v/>
      </c>
      <c r="H909" s="512">
        <f t="shared" ca="1" si="160"/>
        <v>0</v>
      </c>
      <c r="I909" s="1603" t="str">
        <f t="shared" ca="1" si="154"/>
        <v/>
      </c>
      <c r="J909" s="1604"/>
      <c r="K909" s="373"/>
      <c r="L909" s="513">
        <f t="shared" ca="1" si="163"/>
        <v>656.58</v>
      </c>
      <c r="M909" s="654">
        <f t="shared" ca="1" si="161"/>
        <v>1</v>
      </c>
      <c r="N909" s="226">
        <f t="shared" ca="1" si="155"/>
        <v>0</v>
      </c>
      <c r="O909" s="1"/>
    </row>
    <row r="910" spans="1:15" ht="16.5" customHeight="1">
      <c r="A910" s="1"/>
      <c r="B910" s="657" t="str">
        <f t="shared" ca="1" si="156"/>
        <v/>
      </c>
      <c r="C910" s="223" t="str">
        <f t="shared" ca="1" si="157"/>
        <v/>
      </c>
      <c r="D910" s="519">
        <f t="shared" si="162"/>
        <v>905</v>
      </c>
      <c r="E910" s="225" t="str">
        <f t="shared" ca="1" si="158"/>
        <v/>
      </c>
      <c r="F910" s="224" t="str">
        <f t="shared" si="164"/>
        <v>CASSA</v>
      </c>
      <c r="G910" s="384" t="str">
        <f t="shared" ca="1" si="159"/>
        <v/>
      </c>
      <c r="H910" s="512">
        <f t="shared" ca="1" si="160"/>
        <v>0</v>
      </c>
      <c r="I910" s="1603" t="str">
        <f t="shared" ca="1" si="154"/>
        <v/>
      </c>
      <c r="J910" s="1604"/>
      <c r="K910" s="373"/>
      <c r="L910" s="513">
        <f t="shared" ca="1" si="163"/>
        <v>656.58</v>
      </c>
      <c r="M910" s="654">
        <f t="shared" ca="1" si="161"/>
        <v>1</v>
      </c>
      <c r="N910" s="226">
        <f t="shared" ca="1" si="155"/>
        <v>0</v>
      </c>
      <c r="O910" s="1"/>
    </row>
    <row r="911" spans="1:15" ht="16.5" customHeight="1">
      <c r="A911" s="1"/>
      <c r="B911" s="657" t="str">
        <f t="shared" ca="1" si="156"/>
        <v/>
      </c>
      <c r="C911" s="223" t="str">
        <f t="shared" ca="1" si="157"/>
        <v/>
      </c>
      <c r="D911" s="519">
        <f t="shared" si="162"/>
        <v>906</v>
      </c>
      <c r="E911" s="225" t="str">
        <f t="shared" ca="1" si="158"/>
        <v/>
      </c>
      <c r="F911" s="224" t="str">
        <f t="shared" si="164"/>
        <v>CASSA</v>
      </c>
      <c r="G911" s="384" t="str">
        <f t="shared" ca="1" si="159"/>
        <v/>
      </c>
      <c r="H911" s="512">
        <f t="shared" ca="1" si="160"/>
        <v>0</v>
      </c>
      <c r="I911" s="1603" t="str">
        <f t="shared" ca="1" si="154"/>
        <v/>
      </c>
      <c r="J911" s="1604"/>
      <c r="K911" s="373"/>
      <c r="L911" s="513">
        <f t="shared" ca="1" si="163"/>
        <v>656.58</v>
      </c>
      <c r="M911" s="654">
        <f t="shared" ca="1" si="161"/>
        <v>1</v>
      </c>
      <c r="N911" s="226">
        <f t="shared" ca="1" si="155"/>
        <v>0</v>
      </c>
      <c r="O911" s="1"/>
    </row>
    <row r="912" spans="1:15" ht="16.5" customHeight="1">
      <c r="A912" s="1"/>
      <c r="B912" s="657" t="str">
        <f t="shared" ca="1" si="156"/>
        <v/>
      </c>
      <c r="C912" s="223" t="str">
        <f t="shared" ca="1" si="157"/>
        <v/>
      </c>
      <c r="D912" s="519">
        <f t="shared" si="162"/>
        <v>907</v>
      </c>
      <c r="E912" s="225" t="str">
        <f t="shared" ca="1" si="158"/>
        <v/>
      </c>
      <c r="F912" s="224" t="str">
        <f t="shared" si="164"/>
        <v>CASSA</v>
      </c>
      <c r="G912" s="384" t="str">
        <f t="shared" ca="1" si="159"/>
        <v/>
      </c>
      <c r="H912" s="512">
        <f t="shared" ca="1" si="160"/>
        <v>0</v>
      </c>
      <c r="I912" s="1603" t="str">
        <f t="shared" ca="1" si="154"/>
        <v/>
      </c>
      <c r="J912" s="1604"/>
      <c r="K912" s="373"/>
      <c r="L912" s="513">
        <f t="shared" ca="1" si="163"/>
        <v>656.58</v>
      </c>
      <c r="M912" s="654">
        <f t="shared" ca="1" si="161"/>
        <v>1</v>
      </c>
      <c r="N912" s="226">
        <f t="shared" ca="1" si="155"/>
        <v>0</v>
      </c>
      <c r="O912" s="1"/>
    </row>
    <row r="913" spans="1:15" ht="16.5" customHeight="1">
      <c r="A913" s="1"/>
      <c r="B913" s="657" t="str">
        <f t="shared" ca="1" si="156"/>
        <v/>
      </c>
      <c r="C913" s="223" t="str">
        <f t="shared" ca="1" si="157"/>
        <v/>
      </c>
      <c r="D913" s="519">
        <f t="shared" si="162"/>
        <v>908</v>
      </c>
      <c r="E913" s="225" t="str">
        <f t="shared" ca="1" si="158"/>
        <v/>
      </c>
      <c r="F913" s="224" t="str">
        <f t="shared" si="164"/>
        <v>CASSA</v>
      </c>
      <c r="G913" s="384" t="str">
        <f t="shared" ca="1" si="159"/>
        <v/>
      </c>
      <c r="H913" s="512">
        <f t="shared" ca="1" si="160"/>
        <v>0</v>
      </c>
      <c r="I913" s="1603" t="str">
        <f t="shared" ca="1" si="154"/>
        <v/>
      </c>
      <c r="J913" s="1604"/>
      <c r="K913" s="373"/>
      <c r="L913" s="513">
        <f t="shared" ca="1" si="163"/>
        <v>656.58</v>
      </c>
      <c r="M913" s="654">
        <f t="shared" ca="1" si="161"/>
        <v>1</v>
      </c>
      <c r="N913" s="226">
        <f t="shared" ca="1" si="155"/>
        <v>0</v>
      </c>
      <c r="O913" s="1"/>
    </row>
    <row r="914" spans="1:15" ht="16.5" customHeight="1">
      <c r="A914" s="1"/>
      <c r="B914" s="657" t="str">
        <f t="shared" ca="1" si="156"/>
        <v/>
      </c>
      <c r="C914" s="223" t="str">
        <f t="shared" ca="1" si="157"/>
        <v/>
      </c>
      <c r="D914" s="519">
        <f t="shared" si="162"/>
        <v>909</v>
      </c>
      <c r="E914" s="225" t="str">
        <f t="shared" ca="1" si="158"/>
        <v/>
      </c>
      <c r="F914" s="224" t="str">
        <f t="shared" si="164"/>
        <v>CASSA</v>
      </c>
      <c r="G914" s="384" t="str">
        <f t="shared" ca="1" si="159"/>
        <v/>
      </c>
      <c r="H914" s="512">
        <f t="shared" ca="1" si="160"/>
        <v>0</v>
      </c>
      <c r="I914" s="1603" t="str">
        <f t="shared" ca="1" si="154"/>
        <v/>
      </c>
      <c r="J914" s="1604"/>
      <c r="K914" s="373"/>
      <c r="L914" s="513">
        <f t="shared" ca="1" si="163"/>
        <v>656.58</v>
      </c>
      <c r="M914" s="654">
        <f t="shared" ca="1" si="161"/>
        <v>1</v>
      </c>
      <c r="N914" s="226">
        <f t="shared" ca="1" si="155"/>
        <v>0</v>
      </c>
      <c r="O914" s="1"/>
    </row>
    <row r="915" spans="1:15" ht="16.5" customHeight="1">
      <c r="A915" s="1"/>
      <c r="B915" s="657" t="str">
        <f t="shared" ca="1" si="156"/>
        <v/>
      </c>
      <c r="C915" s="223" t="str">
        <f t="shared" ca="1" si="157"/>
        <v/>
      </c>
      <c r="D915" s="519">
        <f t="shared" si="162"/>
        <v>910</v>
      </c>
      <c r="E915" s="225" t="str">
        <f t="shared" ca="1" si="158"/>
        <v/>
      </c>
      <c r="F915" s="224" t="str">
        <f t="shared" si="164"/>
        <v>CASSA</v>
      </c>
      <c r="G915" s="384" t="str">
        <f t="shared" ca="1" si="159"/>
        <v/>
      </c>
      <c r="H915" s="512">
        <f t="shared" ca="1" si="160"/>
        <v>0</v>
      </c>
      <c r="I915" s="1603" t="str">
        <f t="shared" ca="1" si="154"/>
        <v/>
      </c>
      <c r="J915" s="1604"/>
      <c r="K915" s="373"/>
      <c r="L915" s="513">
        <f t="shared" ca="1" si="163"/>
        <v>656.58</v>
      </c>
      <c r="M915" s="654">
        <f t="shared" ca="1" si="161"/>
        <v>1</v>
      </c>
      <c r="N915" s="226">
        <f t="shared" ca="1" si="155"/>
        <v>0</v>
      </c>
      <c r="O915" s="1"/>
    </row>
    <row r="916" spans="1:15" ht="16.5" customHeight="1">
      <c r="A916" s="1"/>
      <c r="B916" s="657" t="str">
        <f t="shared" ca="1" si="156"/>
        <v/>
      </c>
      <c r="C916" s="223" t="str">
        <f t="shared" ca="1" si="157"/>
        <v/>
      </c>
      <c r="D916" s="519">
        <f t="shared" si="162"/>
        <v>911</v>
      </c>
      <c r="E916" s="225" t="str">
        <f t="shared" ca="1" si="158"/>
        <v/>
      </c>
      <c r="F916" s="224" t="str">
        <f t="shared" si="164"/>
        <v>CASSA</v>
      </c>
      <c r="G916" s="384" t="str">
        <f t="shared" ca="1" si="159"/>
        <v/>
      </c>
      <c r="H916" s="512">
        <f t="shared" ca="1" si="160"/>
        <v>0</v>
      </c>
      <c r="I916" s="1603" t="str">
        <f t="shared" ca="1" si="154"/>
        <v/>
      </c>
      <c r="J916" s="1604"/>
      <c r="K916" s="373"/>
      <c r="L916" s="513">
        <f t="shared" ca="1" si="163"/>
        <v>656.58</v>
      </c>
      <c r="M916" s="654">
        <f t="shared" ca="1" si="161"/>
        <v>1</v>
      </c>
      <c r="N916" s="226">
        <f t="shared" ca="1" si="155"/>
        <v>0</v>
      </c>
      <c r="O916" s="1"/>
    </row>
    <row r="917" spans="1:15" ht="16.5" customHeight="1">
      <c r="A917" s="1"/>
      <c r="B917" s="657" t="str">
        <f t="shared" ca="1" si="156"/>
        <v/>
      </c>
      <c r="C917" s="223" t="str">
        <f t="shared" ca="1" si="157"/>
        <v/>
      </c>
      <c r="D917" s="519">
        <f t="shared" si="162"/>
        <v>912</v>
      </c>
      <c r="E917" s="225" t="str">
        <f t="shared" ca="1" si="158"/>
        <v/>
      </c>
      <c r="F917" s="224" t="str">
        <f t="shared" si="164"/>
        <v>CASSA</v>
      </c>
      <c r="G917" s="384" t="str">
        <f t="shared" ca="1" si="159"/>
        <v/>
      </c>
      <c r="H917" s="512">
        <f t="shared" ca="1" si="160"/>
        <v>0</v>
      </c>
      <c r="I917" s="1603" t="str">
        <f t="shared" ca="1" si="154"/>
        <v/>
      </c>
      <c r="J917" s="1604"/>
      <c r="K917" s="373"/>
      <c r="L917" s="513">
        <f t="shared" ca="1" si="163"/>
        <v>656.58</v>
      </c>
      <c r="M917" s="654">
        <f t="shared" ca="1" si="161"/>
        <v>1</v>
      </c>
      <c r="N917" s="226">
        <f t="shared" ca="1" si="155"/>
        <v>0</v>
      </c>
      <c r="O917" s="1"/>
    </row>
    <row r="918" spans="1:15" ht="16.5" customHeight="1">
      <c r="A918" s="1"/>
      <c r="B918" s="657" t="str">
        <f t="shared" ca="1" si="156"/>
        <v/>
      </c>
      <c r="C918" s="223" t="str">
        <f t="shared" ca="1" si="157"/>
        <v/>
      </c>
      <c r="D918" s="519">
        <f t="shared" si="162"/>
        <v>913</v>
      </c>
      <c r="E918" s="225" t="str">
        <f t="shared" ca="1" si="158"/>
        <v/>
      </c>
      <c r="F918" s="224" t="str">
        <f t="shared" si="164"/>
        <v>CASSA</v>
      </c>
      <c r="G918" s="384" t="str">
        <f t="shared" ca="1" si="159"/>
        <v/>
      </c>
      <c r="H918" s="512">
        <f t="shared" ca="1" si="160"/>
        <v>0</v>
      </c>
      <c r="I918" s="1603" t="str">
        <f t="shared" ca="1" si="154"/>
        <v/>
      </c>
      <c r="J918" s="1604"/>
      <c r="K918" s="373"/>
      <c r="L918" s="513">
        <f t="shared" ca="1" si="163"/>
        <v>656.58</v>
      </c>
      <c r="M918" s="654">
        <f t="shared" ca="1" si="161"/>
        <v>1</v>
      </c>
      <c r="N918" s="226">
        <f t="shared" ca="1" si="155"/>
        <v>0</v>
      </c>
      <c r="O918" s="1"/>
    </row>
    <row r="919" spans="1:15" ht="16.5" customHeight="1">
      <c r="A919" s="1"/>
      <c r="B919" s="657" t="str">
        <f t="shared" ca="1" si="156"/>
        <v/>
      </c>
      <c r="C919" s="223" t="str">
        <f t="shared" ca="1" si="157"/>
        <v/>
      </c>
      <c r="D919" s="519">
        <f t="shared" si="162"/>
        <v>914</v>
      </c>
      <c r="E919" s="225" t="str">
        <f t="shared" ca="1" si="158"/>
        <v/>
      </c>
      <c r="F919" s="224" t="str">
        <f t="shared" si="164"/>
        <v>CASSA</v>
      </c>
      <c r="G919" s="384" t="str">
        <f t="shared" ca="1" si="159"/>
        <v/>
      </c>
      <c r="H919" s="512">
        <f t="shared" ca="1" si="160"/>
        <v>0</v>
      </c>
      <c r="I919" s="1603" t="str">
        <f t="shared" ca="1" si="154"/>
        <v/>
      </c>
      <c r="J919" s="1604"/>
      <c r="K919" s="373"/>
      <c r="L919" s="513">
        <f t="shared" ca="1" si="163"/>
        <v>656.58</v>
      </c>
      <c r="M919" s="654">
        <f t="shared" ca="1" si="161"/>
        <v>1</v>
      </c>
      <c r="N919" s="226">
        <f t="shared" ca="1" si="155"/>
        <v>0</v>
      </c>
      <c r="O919" s="1"/>
    </row>
    <row r="920" spans="1:15" ht="16.5" customHeight="1">
      <c r="A920" s="1"/>
      <c r="B920" s="657" t="str">
        <f t="shared" ca="1" si="156"/>
        <v/>
      </c>
      <c r="C920" s="223" t="str">
        <f t="shared" ca="1" si="157"/>
        <v/>
      </c>
      <c r="D920" s="519">
        <f t="shared" si="162"/>
        <v>915</v>
      </c>
      <c r="E920" s="225" t="str">
        <f t="shared" ca="1" si="158"/>
        <v/>
      </c>
      <c r="F920" s="224" t="str">
        <f t="shared" si="164"/>
        <v>CASSA</v>
      </c>
      <c r="G920" s="384" t="str">
        <f t="shared" ca="1" si="159"/>
        <v/>
      </c>
      <c r="H920" s="512">
        <f t="shared" ca="1" si="160"/>
        <v>0</v>
      </c>
      <c r="I920" s="1603" t="str">
        <f t="shared" ca="1" si="154"/>
        <v/>
      </c>
      <c r="J920" s="1604"/>
      <c r="K920" s="373"/>
      <c r="L920" s="513">
        <f t="shared" ca="1" si="163"/>
        <v>656.58</v>
      </c>
      <c r="M920" s="654">
        <f t="shared" ca="1" si="161"/>
        <v>1</v>
      </c>
      <c r="N920" s="226">
        <f t="shared" ca="1" si="155"/>
        <v>0</v>
      </c>
      <c r="O920" s="1"/>
    </row>
    <row r="921" spans="1:15" ht="16.5" customHeight="1">
      <c r="A921" s="1"/>
      <c r="B921" s="657" t="str">
        <f t="shared" ca="1" si="156"/>
        <v/>
      </c>
      <c r="C921" s="223" t="str">
        <f t="shared" ca="1" si="157"/>
        <v/>
      </c>
      <c r="D921" s="519">
        <f t="shared" si="162"/>
        <v>916</v>
      </c>
      <c r="E921" s="225" t="str">
        <f t="shared" ca="1" si="158"/>
        <v/>
      </c>
      <c r="F921" s="224" t="str">
        <f t="shared" si="164"/>
        <v>CASSA</v>
      </c>
      <c r="G921" s="384" t="str">
        <f t="shared" ca="1" si="159"/>
        <v/>
      </c>
      <c r="H921" s="512">
        <f t="shared" ca="1" si="160"/>
        <v>0</v>
      </c>
      <c r="I921" s="1603" t="str">
        <f t="shared" ca="1" si="154"/>
        <v/>
      </c>
      <c r="J921" s="1604"/>
      <c r="K921" s="373"/>
      <c r="L921" s="513">
        <f t="shared" ca="1" si="163"/>
        <v>656.58</v>
      </c>
      <c r="M921" s="654">
        <f t="shared" ca="1" si="161"/>
        <v>1</v>
      </c>
      <c r="N921" s="226">
        <f t="shared" ca="1" si="155"/>
        <v>0</v>
      </c>
      <c r="O921" s="1"/>
    </row>
    <row r="922" spans="1:15" ht="16.5" customHeight="1">
      <c r="A922" s="1"/>
      <c r="B922" s="657" t="str">
        <f t="shared" ca="1" si="156"/>
        <v/>
      </c>
      <c r="C922" s="223" t="str">
        <f t="shared" ca="1" si="157"/>
        <v/>
      </c>
      <c r="D922" s="519">
        <f t="shared" si="162"/>
        <v>917</v>
      </c>
      <c r="E922" s="225" t="str">
        <f t="shared" ca="1" si="158"/>
        <v/>
      </c>
      <c r="F922" s="224" t="str">
        <f t="shared" si="164"/>
        <v>CASSA</v>
      </c>
      <c r="G922" s="384" t="str">
        <f t="shared" ca="1" si="159"/>
        <v/>
      </c>
      <c r="H922" s="512">
        <f t="shared" ca="1" si="160"/>
        <v>0</v>
      </c>
      <c r="I922" s="1603" t="str">
        <f t="shared" ca="1" si="154"/>
        <v/>
      </c>
      <c r="J922" s="1604"/>
      <c r="K922" s="373"/>
      <c r="L922" s="513">
        <f t="shared" ca="1" si="163"/>
        <v>656.58</v>
      </c>
      <c r="M922" s="654">
        <f t="shared" ca="1" si="161"/>
        <v>1</v>
      </c>
      <c r="N922" s="226">
        <f t="shared" ca="1" si="155"/>
        <v>0</v>
      </c>
      <c r="O922" s="1"/>
    </row>
    <row r="923" spans="1:15" ht="16.5" customHeight="1">
      <c r="A923" s="1"/>
      <c r="B923" s="657" t="str">
        <f t="shared" ca="1" si="156"/>
        <v/>
      </c>
      <c r="C923" s="223" t="str">
        <f t="shared" ca="1" si="157"/>
        <v/>
      </c>
      <c r="D923" s="519">
        <f t="shared" si="162"/>
        <v>918</v>
      </c>
      <c r="E923" s="225" t="str">
        <f t="shared" ca="1" si="158"/>
        <v/>
      </c>
      <c r="F923" s="224" t="str">
        <f t="shared" si="164"/>
        <v>CASSA</v>
      </c>
      <c r="G923" s="384" t="str">
        <f t="shared" ca="1" si="159"/>
        <v/>
      </c>
      <c r="H923" s="512">
        <f t="shared" ca="1" si="160"/>
        <v>0</v>
      </c>
      <c r="I923" s="1603" t="str">
        <f t="shared" ca="1" si="154"/>
        <v/>
      </c>
      <c r="J923" s="1604"/>
      <c r="K923" s="373"/>
      <c r="L923" s="513">
        <f t="shared" ca="1" si="163"/>
        <v>656.58</v>
      </c>
      <c r="M923" s="654">
        <f t="shared" ca="1" si="161"/>
        <v>1</v>
      </c>
      <c r="N923" s="226">
        <f t="shared" ca="1" si="155"/>
        <v>0</v>
      </c>
      <c r="O923" s="1"/>
    </row>
    <row r="924" spans="1:15" ht="16.5" customHeight="1">
      <c r="A924" s="1"/>
      <c r="B924" s="657" t="str">
        <f t="shared" ca="1" si="156"/>
        <v/>
      </c>
      <c r="C924" s="223" t="str">
        <f t="shared" ca="1" si="157"/>
        <v/>
      </c>
      <c r="D924" s="519">
        <f t="shared" si="162"/>
        <v>919</v>
      </c>
      <c r="E924" s="225" t="str">
        <f t="shared" ca="1" si="158"/>
        <v/>
      </c>
      <c r="F924" s="224" t="str">
        <f t="shared" si="164"/>
        <v>CASSA</v>
      </c>
      <c r="G924" s="384" t="str">
        <f t="shared" ca="1" si="159"/>
        <v/>
      </c>
      <c r="H924" s="512">
        <f t="shared" ca="1" si="160"/>
        <v>0</v>
      </c>
      <c r="I924" s="1603" t="str">
        <f t="shared" ca="1" si="154"/>
        <v/>
      </c>
      <c r="J924" s="1604"/>
      <c r="K924" s="373"/>
      <c r="L924" s="513">
        <f t="shared" ca="1" si="163"/>
        <v>656.58</v>
      </c>
      <c r="M924" s="654">
        <f t="shared" ca="1" si="161"/>
        <v>1</v>
      </c>
      <c r="N924" s="226">
        <f t="shared" ca="1" si="155"/>
        <v>0</v>
      </c>
      <c r="O924" s="1"/>
    </row>
    <row r="925" spans="1:15" ht="16.5" customHeight="1">
      <c r="A925" s="1"/>
      <c r="B925" s="657" t="str">
        <f t="shared" ca="1" si="156"/>
        <v/>
      </c>
      <c r="C925" s="223" t="str">
        <f t="shared" ca="1" si="157"/>
        <v/>
      </c>
      <c r="D925" s="519">
        <f t="shared" si="162"/>
        <v>920</v>
      </c>
      <c r="E925" s="225" t="str">
        <f t="shared" ca="1" si="158"/>
        <v/>
      </c>
      <c r="F925" s="224" t="str">
        <f t="shared" si="164"/>
        <v>CASSA</v>
      </c>
      <c r="G925" s="384" t="str">
        <f t="shared" ca="1" si="159"/>
        <v/>
      </c>
      <c r="H925" s="512">
        <f t="shared" ca="1" si="160"/>
        <v>0</v>
      </c>
      <c r="I925" s="1603" t="str">
        <f t="shared" ca="1" si="154"/>
        <v/>
      </c>
      <c r="J925" s="1604"/>
      <c r="K925" s="373"/>
      <c r="L925" s="513">
        <f t="shared" ca="1" si="163"/>
        <v>656.58</v>
      </c>
      <c r="M925" s="654">
        <f t="shared" ca="1" si="161"/>
        <v>1</v>
      </c>
      <c r="N925" s="226">
        <f t="shared" ca="1" si="155"/>
        <v>0</v>
      </c>
      <c r="O925" s="1"/>
    </row>
    <row r="926" spans="1:15" ht="16.5" customHeight="1">
      <c r="A926" s="1"/>
      <c r="B926" s="657" t="str">
        <f t="shared" ca="1" si="156"/>
        <v/>
      </c>
      <c r="C926" s="223" t="str">
        <f t="shared" ca="1" si="157"/>
        <v/>
      </c>
      <c r="D926" s="519">
        <f t="shared" si="162"/>
        <v>921</v>
      </c>
      <c r="E926" s="225" t="str">
        <f t="shared" ca="1" si="158"/>
        <v/>
      </c>
      <c r="F926" s="224" t="str">
        <f t="shared" si="164"/>
        <v>CASSA</v>
      </c>
      <c r="G926" s="384" t="str">
        <f t="shared" ca="1" si="159"/>
        <v/>
      </c>
      <c r="H926" s="512">
        <f t="shared" ca="1" si="160"/>
        <v>0</v>
      </c>
      <c r="I926" s="1603" t="str">
        <f t="shared" ca="1" si="154"/>
        <v/>
      </c>
      <c r="J926" s="1604"/>
      <c r="K926" s="373"/>
      <c r="L926" s="513">
        <f t="shared" ca="1" si="163"/>
        <v>656.58</v>
      </c>
      <c r="M926" s="654">
        <f t="shared" ca="1" si="161"/>
        <v>1</v>
      </c>
      <c r="N926" s="226">
        <f t="shared" ca="1" si="155"/>
        <v>0</v>
      </c>
      <c r="O926" s="1"/>
    </row>
    <row r="927" spans="1:15" ht="16.5" customHeight="1">
      <c r="A927" s="1"/>
      <c r="B927" s="657" t="str">
        <f t="shared" ca="1" si="156"/>
        <v/>
      </c>
      <c r="C927" s="223" t="str">
        <f t="shared" ca="1" si="157"/>
        <v/>
      </c>
      <c r="D927" s="519">
        <f t="shared" si="162"/>
        <v>922</v>
      </c>
      <c r="E927" s="225" t="str">
        <f t="shared" ca="1" si="158"/>
        <v/>
      </c>
      <c r="F927" s="224" t="str">
        <f t="shared" si="164"/>
        <v>CASSA</v>
      </c>
      <c r="G927" s="384" t="str">
        <f t="shared" ca="1" si="159"/>
        <v/>
      </c>
      <c r="H927" s="512">
        <f t="shared" ca="1" si="160"/>
        <v>0</v>
      </c>
      <c r="I927" s="1603" t="str">
        <f t="shared" ca="1" si="154"/>
        <v/>
      </c>
      <c r="J927" s="1604"/>
      <c r="K927" s="373"/>
      <c r="L927" s="513">
        <f t="shared" ca="1" si="163"/>
        <v>656.58</v>
      </c>
      <c r="M927" s="654">
        <f t="shared" ca="1" si="161"/>
        <v>1</v>
      </c>
      <c r="N927" s="226">
        <f t="shared" ca="1" si="155"/>
        <v>0</v>
      </c>
      <c r="O927" s="1"/>
    </row>
    <row r="928" spans="1:15" ht="16.5" customHeight="1">
      <c r="A928" s="1"/>
      <c r="B928" s="657" t="str">
        <f t="shared" ca="1" si="156"/>
        <v/>
      </c>
      <c r="C928" s="223" t="str">
        <f t="shared" ca="1" si="157"/>
        <v/>
      </c>
      <c r="D928" s="519">
        <f t="shared" si="162"/>
        <v>923</v>
      </c>
      <c r="E928" s="225" t="str">
        <f t="shared" ca="1" si="158"/>
        <v/>
      </c>
      <c r="F928" s="224" t="str">
        <f t="shared" si="164"/>
        <v>CASSA</v>
      </c>
      <c r="G928" s="384" t="str">
        <f t="shared" ca="1" si="159"/>
        <v/>
      </c>
      <c r="H928" s="512">
        <f t="shared" ca="1" si="160"/>
        <v>0</v>
      </c>
      <c r="I928" s="1603" t="str">
        <f t="shared" ca="1" si="154"/>
        <v/>
      </c>
      <c r="J928" s="1604"/>
      <c r="K928" s="373"/>
      <c r="L928" s="513">
        <f t="shared" ca="1" si="163"/>
        <v>656.58</v>
      </c>
      <c r="M928" s="654">
        <f t="shared" ca="1" si="161"/>
        <v>1</v>
      </c>
      <c r="N928" s="226">
        <f t="shared" ca="1" si="155"/>
        <v>0</v>
      </c>
      <c r="O928" s="1"/>
    </row>
    <row r="929" spans="1:15" ht="16.5" customHeight="1">
      <c r="A929" s="1"/>
      <c r="B929" s="657" t="str">
        <f t="shared" ca="1" si="156"/>
        <v/>
      </c>
      <c r="C929" s="223" t="str">
        <f t="shared" ca="1" si="157"/>
        <v/>
      </c>
      <c r="D929" s="519">
        <f t="shared" si="162"/>
        <v>924</v>
      </c>
      <c r="E929" s="225" t="str">
        <f t="shared" ca="1" si="158"/>
        <v/>
      </c>
      <c r="F929" s="224" t="str">
        <f t="shared" si="164"/>
        <v>CASSA</v>
      </c>
      <c r="G929" s="384" t="str">
        <f t="shared" ca="1" si="159"/>
        <v/>
      </c>
      <c r="H929" s="512">
        <f t="shared" ca="1" si="160"/>
        <v>0</v>
      </c>
      <c r="I929" s="1603" t="str">
        <f t="shared" ca="1" si="154"/>
        <v/>
      </c>
      <c r="J929" s="1604"/>
      <c r="K929" s="373"/>
      <c r="L929" s="513">
        <f t="shared" ca="1" si="163"/>
        <v>656.58</v>
      </c>
      <c r="M929" s="654">
        <f t="shared" ca="1" si="161"/>
        <v>1</v>
      </c>
      <c r="N929" s="226">
        <f t="shared" ca="1" si="155"/>
        <v>0</v>
      </c>
      <c r="O929" s="1"/>
    </row>
    <row r="930" spans="1:15" ht="16.5" customHeight="1">
      <c r="A930" s="1"/>
      <c r="B930" s="657" t="str">
        <f t="shared" ca="1" si="156"/>
        <v/>
      </c>
      <c r="C930" s="223" t="str">
        <f t="shared" ca="1" si="157"/>
        <v/>
      </c>
      <c r="D930" s="519">
        <f t="shared" si="162"/>
        <v>925</v>
      </c>
      <c r="E930" s="225" t="str">
        <f t="shared" ca="1" si="158"/>
        <v/>
      </c>
      <c r="F930" s="224" t="str">
        <f t="shared" si="164"/>
        <v>CASSA</v>
      </c>
      <c r="G930" s="384" t="str">
        <f t="shared" ca="1" si="159"/>
        <v/>
      </c>
      <c r="H930" s="512">
        <f t="shared" ca="1" si="160"/>
        <v>0</v>
      </c>
      <c r="I930" s="1603" t="str">
        <f t="shared" ca="1" si="154"/>
        <v/>
      </c>
      <c r="J930" s="1604"/>
      <c r="K930" s="373"/>
      <c r="L930" s="513">
        <f t="shared" ca="1" si="163"/>
        <v>656.58</v>
      </c>
      <c r="M930" s="654">
        <f t="shared" ca="1" si="161"/>
        <v>1</v>
      </c>
      <c r="N930" s="226">
        <f t="shared" ca="1" si="155"/>
        <v>0</v>
      </c>
      <c r="O930" s="1"/>
    </row>
    <row r="931" spans="1:15" ht="16.5" customHeight="1">
      <c r="A931" s="1"/>
      <c r="B931" s="657" t="str">
        <f t="shared" ca="1" si="156"/>
        <v/>
      </c>
      <c r="C931" s="223" t="str">
        <f t="shared" ca="1" si="157"/>
        <v/>
      </c>
      <c r="D931" s="519">
        <f t="shared" si="162"/>
        <v>926</v>
      </c>
      <c r="E931" s="225" t="str">
        <f t="shared" ca="1" si="158"/>
        <v/>
      </c>
      <c r="F931" s="224" t="str">
        <f t="shared" si="164"/>
        <v>CASSA</v>
      </c>
      <c r="G931" s="384" t="str">
        <f t="shared" ca="1" si="159"/>
        <v/>
      </c>
      <c r="H931" s="512">
        <f t="shared" ca="1" si="160"/>
        <v>0</v>
      </c>
      <c r="I931" s="1603" t="str">
        <f t="shared" ca="1" si="154"/>
        <v/>
      </c>
      <c r="J931" s="1604"/>
      <c r="K931" s="373"/>
      <c r="L931" s="513">
        <f t="shared" ca="1" si="163"/>
        <v>656.58</v>
      </c>
      <c r="M931" s="654">
        <f t="shared" ca="1" si="161"/>
        <v>1</v>
      </c>
      <c r="N931" s="226">
        <f t="shared" ca="1" si="155"/>
        <v>0</v>
      </c>
      <c r="O931" s="1"/>
    </row>
    <row r="932" spans="1:15" ht="16.5" customHeight="1">
      <c r="A932" s="1"/>
      <c r="B932" s="657" t="str">
        <f t="shared" ca="1" si="156"/>
        <v/>
      </c>
      <c r="C932" s="223" t="str">
        <f t="shared" ca="1" si="157"/>
        <v/>
      </c>
      <c r="D932" s="519">
        <f t="shared" si="162"/>
        <v>927</v>
      </c>
      <c r="E932" s="225" t="str">
        <f t="shared" ca="1" si="158"/>
        <v/>
      </c>
      <c r="F932" s="224" t="str">
        <f t="shared" si="164"/>
        <v>CASSA</v>
      </c>
      <c r="G932" s="384" t="str">
        <f t="shared" ca="1" si="159"/>
        <v/>
      </c>
      <c r="H932" s="512">
        <f t="shared" ca="1" si="160"/>
        <v>0</v>
      </c>
      <c r="I932" s="1603" t="str">
        <f t="shared" ca="1" si="154"/>
        <v/>
      </c>
      <c r="J932" s="1604"/>
      <c r="K932" s="373"/>
      <c r="L932" s="513">
        <f t="shared" ca="1" si="163"/>
        <v>656.58</v>
      </c>
      <c r="M932" s="654">
        <f t="shared" ca="1" si="161"/>
        <v>1</v>
      </c>
      <c r="N932" s="226">
        <f t="shared" ca="1" si="155"/>
        <v>0</v>
      </c>
      <c r="O932" s="1"/>
    </row>
    <row r="933" spans="1:15" ht="16.5" customHeight="1">
      <c r="A933" s="1"/>
      <c r="B933" s="657" t="str">
        <f t="shared" ca="1" si="156"/>
        <v/>
      </c>
      <c r="C933" s="223" t="str">
        <f t="shared" ca="1" si="157"/>
        <v/>
      </c>
      <c r="D933" s="519">
        <f t="shared" si="162"/>
        <v>928</v>
      </c>
      <c r="E933" s="225" t="str">
        <f t="shared" ca="1" si="158"/>
        <v/>
      </c>
      <c r="F933" s="224" t="str">
        <f t="shared" si="164"/>
        <v>CASSA</v>
      </c>
      <c r="G933" s="384" t="str">
        <f t="shared" ca="1" si="159"/>
        <v/>
      </c>
      <c r="H933" s="512">
        <f t="shared" ca="1" si="160"/>
        <v>0</v>
      </c>
      <c r="I933" s="1603" t="str">
        <f t="shared" ca="1" si="154"/>
        <v/>
      </c>
      <c r="J933" s="1604"/>
      <c r="K933" s="373"/>
      <c r="L933" s="513">
        <f t="shared" ca="1" si="163"/>
        <v>656.58</v>
      </c>
      <c r="M933" s="654">
        <f t="shared" ca="1" si="161"/>
        <v>1</v>
      </c>
      <c r="N933" s="226">
        <f t="shared" ca="1" si="155"/>
        <v>0</v>
      </c>
      <c r="O933" s="1"/>
    </row>
    <row r="934" spans="1:15" ht="16.5" customHeight="1">
      <c r="A934" s="1"/>
      <c r="B934" s="657" t="str">
        <f t="shared" ca="1" si="156"/>
        <v/>
      </c>
      <c r="C934" s="223" t="str">
        <f t="shared" ca="1" si="157"/>
        <v/>
      </c>
      <c r="D934" s="519">
        <f t="shared" si="162"/>
        <v>929</v>
      </c>
      <c r="E934" s="225" t="str">
        <f t="shared" ca="1" si="158"/>
        <v/>
      </c>
      <c r="F934" s="224" t="str">
        <f t="shared" si="164"/>
        <v>CASSA</v>
      </c>
      <c r="G934" s="384" t="str">
        <f t="shared" ca="1" si="159"/>
        <v/>
      </c>
      <c r="H934" s="512">
        <f t="shared" ca="1" si="160"/>
        <v>0</v>
      </c>
      <c r="I934" s="1603" t="str">
        <f t="shared" ca="1" si="154"/>
        <v/>
      </c>
      <c r="J934" s="1604"/>
      <c r="K934" s="373"/>
      <c r="L934" s="513">
        <f t="shared" ca="1" si="163"/>
        <v>656.58</v>
      </c>
      <c r="M934" s="654">
        <f t="shared" ca="1" si="161"/>
        <v>1</v>
      </c>
      <c r="N934" s="226">
        <f t="shared" ca="1" si="155"/>
        <v>0</v>
      </c>
      <c r="O934" s="1"/>
    </row>
    <row r="935" spans="1:15" ht="16.5" customHeight="1">
      <c r="A935" s="1"/>
      <c r="B935" s="657" t="str">
        <f t="shared" ca="1" si="156"/>
        <v/>
      </c>
      <c r="C935" s="223" t="str">
        <f t="shared" ca="1" si="157"/>
        <v/>
      </c>
      <c r="D935" s="519">
        <f t="shared" si="162"/>
        <v>930</v>
      </c>
      <c r="E935" s="225" t="str">
        <f t="shared" ca="1" si="158"/>
        <v/>
      </c>
      <c r="F935" s="224" t="str">
        <f t="shared" si="164"/>
        <v>CASSA</v>
      </c>
      <c r="G935" s="384" t="str">
        <f t="shared" ca="1" si="159"/>
        <v/>
      </c>
      <c r="H935" s="512">
        <f t="shared" ca="1" si="160"/>
        <v>0</v>
      </c>
      <c r="I935" s="1603" t="str">
        <f t="shared" ca="1" si="154"/>
        <v/>
      </c>
      <c r="J935" s="1604"/>
      <c r="K935" s="373"/>
      <c r="L935" s="513">
        <f t="shared" ca="1" si="163"/>
        <v>656.58</v>
      </c>
      <c r="M935" s="654">
        <f t="shared" ca="1" si="161"/>
        <v>1</v>
      </c>
      <c r="N935" s="226">
        <f t="shared" ca="1" si="155"/>
        <v>0</v>
      </c>
      <c r="O935" s="1"/>
    </row>
    <row r="936" spans="1:15" ht="16.5" customHeight="1">
      <c r="A936" s="1"/>
      <c r="B936" s="657" t="str">
        <f t="shared" ca="1" si="156"/>
        <v/>
      </c>
      <c r="C936" s="223" t="str">
        <f t="shared" ca="1" si="157"/>
        <v/>
      </c>
      <c r="D936" s="519">
        <f t="shared" si="162"/>
        <v>931</v>
      </c>
      <c r="E936" s="225" t="str">
        <f t="shared" ca="1" si="158"/>
        <v/>
      </c>
      <c r="F936" s="224" t="str">
        <f t="shared" si="164"/>
        <v>CASSA</v>
      </c>
      <c r="G936" s="384" t="str">
        <f t="shared" ca="1" si="159"/>
        <v/>
      </c>
      <c r="H936" s="512">
        <f t="shared" ca="1" si="160"/>
        <v>0</v>
      </c>
      <c r="I936" s="1603" t="str">
        <f t="shared" ca="1" si="154"/>
        <v/>
      </c>
      <c r="J936" s="1604"/>
      <c r="K936" s="373"/>
      <c r="L936" s="513">
        <f t="shared" ca="1" si="163"/>
        <v>656.58</v>
      </c>
      <c r="M936" s="654">
        <f t="shared" ca="1" si="161"/>
        <v>1</v>
      </c>
      <c r="N936" s="226">
        <f t="shared" ca="1" si="155"/>
        <v>0</v>
      </c>
      <c r="O936" s="1"/>
    </row>
    <row r="937" spans="1:15" ht="16.5" customHeight="1">
      <c r="A937" s="1"/>
      <c r="B937" s="657" t="str">
        <f t="shared" ca="1" si="156"/>
        <v/>
      </c>
      <c r="C937" s="223" t="str">
        <f t="shared" ca="1" si="157"/>
        <v/>
      </c>
      <c r="D937" s="519">
        <f t="shared" si="162"/>
        <v>932</v>
      </c>
      <c r="E937" s="225" t="str">
        <f t="shared" ca="1" si="158"/>
        <v/>
      </c>
      <c r="F937" s="224" t="str">
        <f t="shared" si="164"/>
        <v>CASSA</v>
      </c>
      <c r="G937" s="384" t="str">
        <f t="shared" ca="1" si="159"/>
        <v/>
      </c>
      <c r="H937" s="512">
        <f t="shared" ca="1" si="160"/>
        <v>0</v>
      </c>
      <c r="I937" s="1603" t="str">
        <f t="shared" ca="1" si="154"/>
        <v/>
      </c>
      <c r="J937" s="1604"/>
      <c r="K937" s="373"/>
      <c r="L937" s="513">
        <f t="shared" ca="1" si="163"/>
        <v>656.58</v>
      </c>
      <c r="M937" s="654">
        <f t="shared" ca="1" si="161"/>
        <v>1</v>
      </c>
      <c r="N937" s="226">
        <f t="shared" ca="1" si="155"/>
        <v>0</v>
      </c>
      <c r="O937" s="1"/>
    </row>
    <row r="938" spans="1:15" ht="16.5" customHeight="1">
      <c r="A938" s="1"/>
      <c r="B938" s="657" t="str">
        <f t="shared" ca="1" si="156"/>
        <v/>
      </c>
      <c r="C938" s="223" t="str">
        <f t="shared" ca="1" si="157"/>
        <v/>
      </c>
      <c r="D938" s="519">
        <f t="shared" si="162"/>
        <v>933</v>
      </c>
      <c r="E938" s="225" t="str">
        <f t="shared" ca="1" si="158"/>
        <v/>
      </c>
      <c r="F938" s="224" t="str">
        <f t="shared" si="164"/>
        <v>CASSA</v>
      </c>
      <c r="G938" s="384" t="str">
        <f t="shared" ca="1" si="159"/>
        <v/>
      </c>
      <c r="H938" s="512">
        <f t="shared" ca="1" si="160"/>
        <v>0</v>
      </c>
      <c r="I938" s="1603" t="str">
        <f t="shared" ca="1" si="154"/>
        <v/>
      </c>
      <c r="J938" s="1604"/>
      <c r="K938" s="373"/>
      <c r="L938" s="513">
        <f t="shared" ca="1" si="163"/>
        <v>656.58</v>
      </c>
      <c r="M938" s="654">
        <f t="shared" ca="1" si="161"/>
        <v>1</v>
      </c>
      <c r="N938" s="226">
        <f t="shared" ca="1" si="155"/>
        <v>0</v>
      </c>
      <c r="O938" s="1"/>
    </row>
    <row r="939" spans="1:15" ht="16.5" customHeight="1">
      <c r="A939" s="1"/>
      <c r="B939" s="657" t="str">
        <f t="shared" ca="1" si="156"/>
        <v/>
      </c>
      <c r="C939" s="223" t="str">
        <f t="shared" ca="1" si="157"/>
        <v/>
      </c>
      <c r="D939" s="519">
        <f t="shared" si="162"/>
        <v>934</v>
      </c>
      <c r="E939" s="225" t="str">
        <f t="shared" ca="1" si="158"/>
        <v/>
      </c>
      <c r="F939" s="224" t="str">
        <f t="shared" si="164"/>
        <v>CASSA</v>
      </c>
      <c r="G939" s="384" t="str">
        <f t="shared" ca="1" si="159"/>
        <v/>
      </c>
      <c r="H939" s="512">
        <f t="shared" ca="1" si="160"/>
        <v>0</v>
      </c>
      <c r="I939" s="1603" t="str">
        <f t="shared" ca="1" si="154"/>
        <v/>
      </c>
      <c r="J939" s="1604"/>
      <c r="K939" s="373"/>
      <c r="L939" s="513">
        <f t="shared" ca="1" si="163"/>
        <v>656.58</v>
      </c>
      <c r="M939" s="654">
        <f t="shared" ca="1" si="161"/>
        <v>1</v>
      </c>
      <c r="N939" s="226">
        <f t="shared" ca="1" si="155"/>
        <v>0</v>
      </c>
      <c r="O939" s="1"/>
    </row>
    <row r="940" spans="1:15" ht="16.5" customHeight="1">
      <c r="A940" s="1"/>
      <c r="B940" s="657" t="str">
        <f t="shared" ca="1" si="156"/>
        <v/>
      </c>
      <c r="C940" s="223" t="str">
        <f t="shared" ca="1" si="157"/>
        <v/>
      </c>
      <c r="D940" s="519">
        <f t="shared" si="162"/>
        <v>935</v>
      </c>
      <c r="E940" s="225" t="str">
        <f t="shared" ca="1" si="158"/>
        <v/>
      </c>
      <c r="F940" s="224" t="str">
        <f t="shared" si="164"/>
        <v>CASSA</v>
      </c>
      <c r="G940" s="384" t="str">
        <f t="shared" ca="1" si="159"/>
        <v/>
      </c>
      <c r="H940" s="512">
        <f t="shared" ca="1" si="160"/>
        <v>0</v>
      </c>
      <c r="I940" s="1603" t="str">
        <f t="shared" ca="1" si="154"/>
        <v/>
      </c>
      <c r="J940" s="1604"/>
      <c r="K940" s="373"/>
      <c r="L940" s="513">
        <f t="shared" ca="1" si="163"/>
        <v>656.58</v>
      </c>
      <c r="M940" s="654">
        <f t="shared" ca="1" si="161"/>
        <v>1</v>
      </c>
      <c r="N940" s="226">
        <f t="shared" ca="1" si="155"/>
        <v>0</v>
      </c>
      <c r="O940" s="1"/>
    </row>
    <row r="941" spans="1:15" ht="16.5" customHeight="1">
      <c r="A941" s="1"/>
      <c r="B941" s="657" t="str">
        <f t="shared" ca="1" si="156"/>
        <v/>
      </c>
      <c r="C941" s="223" t="str">
        <f t="shared" ca="1" si="157"/>
        <v/>
      </c>
      <c r="D941" s="519">
        <f t="shared" si="162"/>
        <v>936</v>
      </c>
      <c r="E941" s="225" t="str">
        <f t="shared" ca="1" si="158"/>
        <v/>
      </c>
      <c r="F941" s="224" t="str">
        <f t="shared" si="164"/>
        <v>CASSA</v>
      </c>
      <c r="G941" s="384" t="str">
        <f t="shared" ca="1" si="159"/>
        <v/>
      </c>
      <c r="H941" s="512">
        <f t="shared" ca="1" si="160"/>
        <v>0</v>
      </c>
      <c r="I941" s="1603" t="str">
        <f t="shared" ca="1" si="154"/>
        <v/>
      </c>
      <c r="J941" s="1604"/>
      <c r="K941" s="373"/>
      <c r="L941" s="513">
        <f t="shared" ca="1" si="163"/>
        <v>656.58</v>
      </c>
      <c r="M941" s="654">
        <f t="shared" ca="1" si="161"/>
        <v>1</v>
      </c>
      <c r="N941" s="226">
        <f t="shared" ca="1" si="155"/>
        <v>0</v>
      </c>
      <c r="O941" s="1"/>
    </row>
    <row r="942" spans="1:15" ht="16.5" customHeight="1">
      <c r="A942" s="1"/>
      <c r="B942" s="657" t="str">
        <f t="shared" ca="1" si="156"/>
        <v/>
      </c>
      <c r="C942" s="223" t="str">
        <f t="shared" ca="1" si="157"/>
        <v/>
      </c>
      <c r="D942" s="519">
        <f t="shared" si="162"/>
        <v>937</v>
      </c>
      <c r="E942" s="225" t="str">
        <f t="shared" ca="1" si="158"/>
        <v/>
      </c>
      <c r="F942" s="224" t="str">
        <f t="shared" si="164"/>
        <v>CASSA</v>
      </c>
      <c r="G942" s="384" t="str">
        <f t="shared" ca="1" si="159"/>
        <v/>
      </c>
      <c r="H942" s="512">
        <f t="shared" ca="1" si="160"/>
        <v>0</v>
      </c>
      <c r="I942" s="1603" t="str">
        <f t="shared" ca="1" si="154"/>
        <v/>
      </c>
      <c r="J942" s="1604"/>
      <c r="K942" s="373"/>
      <c r="L942" s="513">
        <f t="shared" ca="1" si="163"/>
        <v>656.58</v>
      </c>
      <c r="M942" s="654">
        <f t="shared" ca="1" si="161"/>
        <v>1</v>
      </c>
      <c r="N942" s="226">
        <f t="shared" ca="1" si="155"/>
        <v>0</v>
      </c>
      <c r="O942" s="1"/>
    </row>
    <row r="943" spans="1:15" ht="16.5" customHeight="1">
      <c r="A943" s="1"/>
      <c r="B943" s="657" t="str">
        <f t="shared" ca="1" si="156"/>
        <v/>
      </c>
      <c r="C943" s="223" t="str">
        <f t="shared" ca="1" si="157"/>
        <v/>
      </c>
      <c r="D943" s="519">
        <f t="shared" si="162"/>
        <v>938</v>
      </c>
      <c r="E943" s="225" t="str">
        <f t="shared" ca="1" si="158"/>
        <v/>
      </c>
      <c r="F943" s="224" t="str">
        <f t="shared" si="164"/>
        <v>CASSA</v>
      </c>
      <c r="G943" s="384" t="str">
        <f t="shared" ca="1" si="159"/>
        <v/>
      </c>
      <c r="H943" s="512">
        <f t="shared" ca="1" si="160"/>
        <v>0</v>
      </c>
      <c r="I943" s="1603" t="str">
        <f t="shared" ca="1" si="154"/>
        <v/>
      </c>
      <c r="J943" s="1604"/>
      <c r="K943" s="373"/>
      <c r="L943" s="513">
        <f t="shared" ca="1" si="163"/>
        <v>656.58</v>
      </c>
      <c r="M943" s="654">
        <f t="shared" ca="1" si="161"/>
        <v>1</v>
      </c>
      <c r="N943" s="226">
        <f t="shared" ca="1" si="155"/>
        <v>0</v>
      </c>
      <c r="O943" s="1"/>
    </row>
    <row r="944" spans="1:15" ht="16.5" customHeight="1">
      <c r="A944" s="1"/>
      <c r="B944" s="657" t="str">
        <f t="shared" ca="1" si="156"/>
        <v/>
      </c>
      <c r="C944" s="223" t="str">
        <f t="shared" ca="1" si="157"/>
        <v/>
      </c>
      <c r="D944" s="519">
        <f t="shared" si="162"/>
        <v>939</v>
      </c>
      <c r="E944" s="225" t="str">
        <f t="shared" ca="1" si="158"/>
        <v/>
      </c>
      <c r="F944" s="224" t="str">
        <f t="shared" si="164"/>
        <v>CASSA</v>
      </c>
      <c r="G944" s="384" t="str">
        <f t="shared" ca="1" si="159"/>
        <v/>
      </c>
      <c r="H944" s="512">
        <f t="shared" ca="1" si="160"/>
        <v>0</v>
      </c>
      <c r="I944" s="1603" t="str">
        <f t="shared" ca="1" si="154"/>
        <v/>
      </c>
      <c r="J944" s="1604"/>
      <c r="K944" s="373"/>
      <c r="L944" s="513">
        <f t="shared" ca="1" si="163"/>
        <v>656.58</v>
      </c>
      <c r="M944" s="654">
        <f t="shared" ca="1" si="161"/>
        <v>1</v>
      </c>
      <c r="N944" s="226">
        <f t="shared" ca="1" si="155"/>
        <v>0</v>
      </c>
      <c r="O944" s="1"/>
    </row>
    <row r="945" spans="1:15" ht="16.5" customHeight="1">
      <c r="A945" s="1"/>
      <c r="B945" s="657" t="str">
        <f t="shared" ca="1" si="156"/>
        <v/>
      </c>
      <c r="C945" s="223" t="str">
        <f t="shared" ca="1" si="157"/>
        <v/>
      </c>
      <c r="D945" s="519">
        <f t="shared" si="162"/>
        <v>940</v>
      </c>
      <c r="E945" s="225" t="str">
        <f t="shared" ca="1" si="158"/>
        <v/>
      </c>
      <c r="F945" s="224" t="str">
        <f t="shared" si="164"/>
        <v>CASSA</v>
      </c>
      <c r="G945" s="384" t="str">
        <f t="shared" ca="1" si="159"/>
        <v/>
      </c>
      <c r="H945" s="512">
        <f t="shared" ca="1" si="160"/>
        <v>0</v>
      </c>
      <c r="I945" s="1603" t="str">
        <f t="shared" ca="1" si="154"/>
        <v/>
      </c>
      <c r="J945" s="1604"/>
      <c r="K945" s="373"/>
      <c r="L945" s="513">
        <f t="shared" ca="1" si="163"/>
        <v>656.58</v>
      </c>
      <c r="M945" s="654">
        <f t="shared" ca="1" si="161"/>
        <v>1</v>
      </c>
      <c r="N945" s="226">
        <f t="shared" ca="1" si="155"/>
        <v>0</v>
      </c>
      <c r="O945" s="1"/>
    </row>
    <row r="946" spans="1:15" ht="16.5" customHeight="1">
      <c r="A946" s="1"/>
      <c r="B946" s="657" t="str">
        <f t="shared" ca="1" si="156"/>
        <v/>
      </c>
      <c r="C946" s="223" t="str">
        <f t="shared" ca="1" si="157"/>
        <v/>
      </c>
      <c r="D946" s="519">
        <f t="shared" si="162"/>
        <v>941</v>
      </c>
      <c r="E946" s="225" t="str">
        <f t="shared" ca="1" si="158"/>
        <v/>
      </c>
      <c r="F946" s="224" t="str">
        <f t="shared" si="164"/>
        <v>CASSA</v>
      </c>
      <c r="G946" s="384" t="str">
        <f t="shared" ca="1" si="159"/>
        <v/>
      </c>
      <c r="H946" s="512">
        <f t="shared" ca="1" si="160"/>
        <v>0</v>
      </c>
      <c r="I946" s="1603" t="str">
        <f t="shared" ca="1" si="154"/>
        <v/>
      </c>
      <c r="J946" s="1604"/>
      <c r="K946" s="373"/>
      <c r="L946" s="513">
        <f t="shared" ca="1" si="163"/>
        <v>656.58</v>
      </c>
      <c r="M946" s="654">
        <f t="shared" ca="1" si="161"/>
        <v>1</v>
      </c>
      <c r="N946" s="226">
        <f t="shared" ca="1" si="155"/>
        <v>0</v>
      </c>
      <c r="O946" s="1"/>
    </row>
    <row r="947" spans="1:15" ht="16.5" customHeight="1">
      <c r="A947" s="1"/>
      <c r="B947" s="657" t="str">
        <f t="shared" ca="1" si="156"/>
        <v/>
      </c>
      <c r="C947" s="223" t="str">
        <f t="shared" ca="1" si="157"/>
        <v/>
      </c>
      <c r="D947" s="519">
        <f t="shared" si="162"/>
        <v>942</v>
      </c>
      <c r="E947" s="225" t="str">
        <f t="shared" ca="1" si="158"/>
        <v/>
      </c>
      <c r="F947" s="224" t="str">
        <f t="shared" si="164"/>
        <v>CASSA</v>
      </c>
      <c r="G947" s="384" t="str">
        <f t="shared" ca="1" si="159"/>
        <v/>
      </c>
      <c r="H947" s="512">
        <f t="shared" ca="1" si="160"/>
        <v>0</v>
      </c>
      <c r="I947" s="1603" t="str">
        <f t="shared" ca="1" si="154"/>
        <v/>
      </c>
      <c r="J947" s="1604"/>
      <c r="K947" s="373"/>
      <c r="L947" s="513">
        <f t="shared" ca="1" si="163"/>
        <v>656.58</v>
      </c>
      <c r="M947" s="654">
        <f t="shared" ca="1" si="161"/>
        <v>1</v>
      </c>
      <c r="N947" s="226">
        <f t="shared" ca="1" si="155"/>
        <v>0</v>
      </c>
      <c r="O947" s="1"/>
    </row>
    <row r="948" spans="1:15" ht="16.5" customHeight="1">
      <c r="A948" s="1"/>
      <c r="B948" s="657" t="str">
        <f t="shared" ca="1" si="156"/>
        <v/>
      </c>
      <c r="C948" s="223" t="str">
        <f t="shared" ca="1" si="157"/>
        <v/>
      </c>
      <c r="D948" s="519">
        <f t="shared" si="162"/>
        <v>943</v>
      </c>
      <c r="E948" s="225" t="str">
        <f t="shared" ca="1" si="158"/>
        <v/>
      </c>
      <c r="F948" s="224" t="str">
        <f t="shared" si="164"/>
        <v>CASSA</v>
      </c>
      <c r="G948" s="384" t="str">
        <f t="shared" ca="1" si="159"/>
        <v/>
      </c>
      <c r="H948" s="512">
        <f t="shared" ca="1" si="160"/>
        <v>0</v>
      </c>
      <c r="I948" s="1603" t="str">
        <f t="shared" ca="1" si="154"/>
        <v/>
      </c>
      <c r="J948" s="1604"/>
      <c r="K948" s="373"/>
      <c r="L948" s="513">
        <f t="shared" ca="1" si="163"/>
        <v>656.58</v>
      </c>
      <c r="M948" s="654">
        <f t="shared" ca="1" si="161"/>
        <v>1</v>
      </c>
      <c r="N948" s="226">
        <f t="shared" ca="1" si="155"/>
        <v>0</v>
      </c>
      <c r="O948" s="1"/>
    </row>
    <row r="949" spans="1:15" ht="16.5" customHeight="1">
      <c r="A949" s="1"/>
      <c r="B949" s="657" t="str">
        <f t="shared" ca="1" si="156"/>
        <v/>
      </c>
      <c r="C949" s="223" t="str">
        <f t="shared" ca="1" si="157"/>
        <v/>
      </c>
      <c r="D949" s="519">
        <f t="shared" si="162"/>
        <v>944</v>
      </c>
      <c r="E949" s="225" t="str">
        <f t="shared" ca="1" si="158"/>
        <v/>
      </c>
      <c r="F949" s="224" t="str">
        <f t="shared" si="164"/>
        <v>CASSA</v>
      </c>
      <c r="G949" s="384" t="str">
        <f t="shared" ca="1" si="159"/>
        <v/>
      </c>
      <c r="H949" s="512">
        <f t="shared" ca="1" si="160"/>
        <v>0</v>
      </c>
      <c r="I949" s="1603" t="str">
        <f t="shared" ca="1" si="154"/>
        <v/>
      </c>
      <c r="J949" s="1604"/>
      <c r="K949" s="373"/>
      <c r="L949" s="513">
        <f t="shared" ca="1" si="163"/>
        <v>656.58</v>
      </c>
      <c r="M949" s="654">
        <f t="shared" ca="1" si="161"/>
        <v>1</v>
      </c>
      <c r="N949" s="226">
        <f t="shared" ca="1" si="155"/>
        <v>0</v>
      </c>
      <c r="O949" s="1"/>
    </row>
    <row r="950" spans="1:15" ht="16.5" customHeight="1">
      <c r="A950" s="1"/>
      <c r="B950" s="657" t="str">
        <f t="shared" ca="1" si="156"/>
        <v/>
      </c>
      <c r="C950" s="223" t="str">
        <f t="shared" ca="1" si="157"/>
        <v/>
      </c>
      <c r="D950" s="519">
        <f t="shared" si="162"/>
        <v>945</v>
      </c>
      <c r="E950" s="225" t="str">
        <f t="shared" ca="1" si="158"/>
        <v/>
      </c>
      <c r="F950" s="224" t="str">
        <f t="shared" si="164"/>
        <v>CASSA</v>
      </c>
      <c r="G950" s="384" t="str">
        <f t="shared" ca="1" si="159"/>
        <v/>
      </c>
      <c r="H950" s="512">
        <f t="shared" ca="1" si="160"/>
        <v>0</v>
      </c>
      <c r="I950" s="1603" t="str">
        <f t="shared" ca="1" si="154"/>
        <v/>
      </c>
      <c r="J950" s="1604"/>
      <c r="K950" s="373"/>
      <c r="L950" s="513">
        <f t="shared" ca="1" si="163"/>
        <v>656.58</v>
      </c>
      <c r="M950" s="654">
        <f t="shared" ca="1" si="161"/>
        <v>1</v>
      </c>
      <c r="N950" s="226">
        <f t="shared" ca="1" si="155"/>
        <v>0</v>
      </c>
      <c r="O950" s="1"/>
    </row>
    <row r="951" spans="1:15" ht="16.5" customHeight="1">
      <c r="A951" s="1"/>
      <c r="B951" s="657" t="str">
        <f t="shared" ca="1" si="156"/>
        <v/>
      </c>
      <c r="C951" s="223" t="str">
        <f t="shared" ca="1" si="157"/>
        <v/>
      </c>
      <c r="D951" s="519">
        <f t="shared" si="162"/>
        <v>946</v>
      </c>
      <c r="E951" s="225" t="str">
        <f t="shared" ca="1" si="158"/>
        <v/>
      </c>
      <c r="F951" s="224" t="str">
        <f t="shared" si="164"/>
        <v>CASSA</v>
      </c>
      <c r="G951" s="384" t="str">
        <f t="shared" ca="1" si="159"/>
        <v/>
      </c>
      <c r="H951" s="512">
        <f t="shared" ca="1" si="160"/>
        <v>0</v>
      </c>
      <c r="I951" s="1603" t="str">
        <f t="shared" ca="1" si="154"/>
        <v/>
      </c>
      <c r="J951" s="1604"/>
      <c r="K951" s="373"/>
      <c r="L951" s="513">
        <f t="shared" ca="1" si="163"/>
        <v>656.58</v>
      </c>
      <c r="M951" s="654">
        <f t="shared" ca="1" si="161"/>
        <v>1</v>
      </c>
      <c r="N951" s="226">
        <f t="shared" ca="1" si="155"/>
        <v>0</v>
      </c>
      <c r="O951" s="1"/>
    </row>
    <row r="952" spans="1:15" ht="16.5" customHeight="1">
      <c r="A952" s="1"/>
      <c r="B952" s="657" t="str">
        <f t="shared" ca="1" si="156"/>
        <v/>
      </c>
      <c r="C952" s="223" t="str">
        <f t="shared" ca="1" si="157"/>
        <v/>
      </c>
      <c r="D952" s="519">
        <f t="shared" si="162"/>
        <v>947</v>
      </c>
      <c r="E952" s="225" t="str">
        <f t="shared" ca="1" si="158"/>
        <v/>
      </c>
      <c r="F952" s="224" t="str">
        <f t="shared" si="164"/>
        <v>CASSA</v>
      </c>
      <c r="G952" s="384" t="str">
        <f t="shared" ca="1" si="159"/>
        <v/>
      </c>
      <c r="H952" s="512">
        <f t="shared" ca="1" si="160"/>
        <v>0</v>
      </c>
      <c r="I952" s="1603" t="str">
        <f t="shared" ca="1" si="154"/>
        <v/>
      </c>
      <c r="J952" s="1604"/>
      <c r="K952" s="373"/>
      <c r="L952" s="513">
        <f t="shared" ca="1" si="163"/>
        <v>656.58</v>
      </c>
      <c r="M952" s="654">
        <f t="shared" ca="1" si="161"/>
        <v>1</v>
      </c>
      <c r="N952" s="226">
        <f t="shared" ca="1" si="155"/>
        <v>0</v>
      </c>
      <c r="O952" s="1"/>
    </row>
    <row r="953" spans="1:15" ht="16.5" customHeight="1">
      <c r="A953" s="1"/>
      <c r="B953" s="657" t="str">
        <f t="shared" ca="1" si="156"/>
        <v/>
      </c>
      <c r="C953" s="223" t="str">
        <f t="shared" ca="1" si="157"/>
        <v/>
      </c>
      <c r="D953" s="519">
        <f t="shared" si="162"/>
        <v>948</v>
      </c>
      <c r="E953" s="225" t="str">
        <f t="shared" ca="1" si="158"/>
        <v/>
      </c>
      <c r="F953" s="224" t="str">
        <f t="shared" si="164"/>
        <v>CASSA</v>
      </c>
      <c r="G953" s="384" t="str">
        <f t="shared" ca="1" si="159"/>
        <v/>
      </c>
      <c r="H953" s="512">
        <f t="shared" ca="1" si="160"/>
        <v>0</v>
      </c>
      <c r="I953" s="1603" t="str">
        <f t="shared" ca="1" si="154"/>
        <v/>
      </c>
      <c r="J953" s="1604"/>
      <c r="K953" s="373"/>
      <c r="L953" s="513">
        <f t="shared" ca="1" si="163"/>
        <v>656.58</v>
      </c>
      <c r="M953" s="654">
        <f t="shared" ca="1" si="161"/>
        <v>1</v>
      </c>
      <c r="N953" s="226">
        <f t="shared" ca="1" si="155"/>
        <v>0</v>
      </c>
      <c r="O953" s="1"/>
    </row>
    <row r="954" spans="1:15" ht="16.5" customHeight="1">
      <c r="A954" s="1"/>
      <c r="B954" s="657" t="str">
        <f t="shared" ca="1" si="156"/>
        <v/>
      </c>
      <c r="C954" s="223" t="str">
        <f t="shared" ca="1" si="157"/>
        <v/>
      </c>
      <c r="D954" s="519">
        <f t="shared" si="162"/>
        <v>949</v>
      </c>
      <c r="E954" s="225" t="str">
        <f t="shared" ca="1" si="158"/>
        <v/>
      </c>
      <c r="F954" s="224" t="str">
        <f t="shared" si="164"/>
        <v>CASSA</v>
      </c>
      <c r="G954" s="384" t="str">
        <f t="shared" ca="1" si="159"/>
        <v/>
      </c>
      <c r="H954" s="512">
        <f t="shared" ca="1" si="160"/>
        <v>0</v>
      </c>
      <c r="I954" s="1603" t="str">
        <f t="shared" ca="1" si="154"/>
        <v/>
      </c>
      <c r="J954" s="1604"/>
      <c r="K954" s="373"/>
      <c r="L954" s="513">
        <f t="shared" ca="1" si="163"/>
        <v>656.58</v>
      </c>
      <c r="M954" s="654">
        <f t="shared" ca="1" si="161"/>
        <v>1</v>
      </c>
      <c r="N954" s="226">
        <f t="shared" ca="1" si="155"/>
        <v>0</v>
      </c>
      <c r="O954" s="1"/>
    </row>
    <row r="955" spans="1:15" ht="16.5" customHeight="1">
      <c r="A955" s="1"/>
      <c r="B955" s="657" t="str">
        <f t="shared" ca="1" si="156"/>
        <v/>
      </c>
      <c r="C955" s="223" t="str">
        <f t="shared" ca="1" si="157"/>
        <v/>
      </c>
      <c r="D955" s="519">
        <f t="shared" si="162"/>
        <v>950</v>
      </c>
      <c r="E955" s="225" t="str">
        <f t="shared" ca="1" si="158"/>
        <v/>
      </c>
      <c r="F955" s="224" t="str">
        <f t="shared" si="164"/>
        <v>CASSA</v>
      </c>
      <c r="G955" s="384" t="str">
        <f t="shared" ca="1" si="159"/>
        <v/>
      </c>
      <c r="H955" s="512">
        <f t="shared" ca="1" si="160"/>
        <v>0</v>
      </c>
      <c r="I955" s="1603" t="str">
        <f t="shared" ca="1" si="154"/>
        <v/>
      </c>
      <c r="J955" s="1604"/>
      <c r="K955" s="373"/>
      <c r="L955" s="513">
        <f t="shared" ca="1" si="163"/>
        <v>656.58</v>
      </c>
      <c r="M955" s="654">
        <f t="shared" ca="1" si="161"/>
        <v>1</v>
      </c>
      <c r="N955" s="226">
        <f t="shared" ca="1" si="155"/>
        <v>0</v>
      </c>
      <c r="O955" s="1"/>
    </row>
    <row r="956" spans="1:15" ht="16.5" customHeight="1">
      <c r="A956" s="1"/>
      <c r="B956" s="657" t="str">
        <f t="shared" ca="1" si="156"/>
        <v/>
      </c>
      <c r="C956" s="223" t="str">
        <f t="shared" ca="1" si="157"/>
        <v/>
      </c>
      <c r="D956" s="519">
        <f t="shared" si="162"/>
        <v>951</v>
      </c>
      <c r="E956" s="225" t="str">
        <f t="shared" ca="1" si="158"/>
        <v/>
      </c>
      <c r="F956" s="224" t="str">
        <f t="shared" si="164"/>
        <v>CASSA</v>
      </c>
      <c r="G956" s="384" t="str">
        <f t="shared" ca="1" si="159"/>
        <v/>
      </c>
      <c r="H956" s="512">
        <f t="shared" ca="1" si="160"/>
        <v>0</v>
      </c>
      <c r="I956" s="1603" t="str">
        <f t="shared" ca="1" si="154"/>
        <v/>
      </c>
      <c r="J956" s="1604"/>
      <c r="K956" s="373"/>
      <c r="L956" s="513">
        <f t="shared" ca="1" si="163"/>
        <v>656.58</v>
      </c>
      <c r="M956" s="654">
        <f t="shared" ca="1" si="161"/>
        <v>1</v>
      </c>
      <c r="N956" s="226">
        <f t="shared" ca="1" si="155"/>
        <v>0</v>
      </c>
      <c r="O956" s="1"/>
    </row>
    <row r="957" spans="1:15" ht="16.5" customHeight="1">
      <c r="A957" s="1"/>
      <c r="B957" s="657" t="str">
        <f t="shared" ca="1" si="156"/>
        <v/>
      </c>
      <c r="C957" s="223" t="str">
        <f t="shared" ca="1" si="157"/>
        <v/>
      </c>
      <c r="D957" s="519">
        <f t="shared" si="162"/>
        <v>952</v>
      </c>
      <c r="E957" s="225" t="str">
        <f t="shared" ca="1" si="158"/>
        <v/>
      </c>
      <c r="F957" s="224" t="str">
        <f t="shared" si="164"/>
        <v>CASSA</v>
      </c>
      <c r="G957" s="384" t="str">
        <f t="shared" ca="1" si="159"/>
        <v/>
      </c>
      <c r="H957" s="512">
        <f t="shared" ca="1" si="160"/>
        <v>0</v>
      </c>
      <c r="I957" s="1603" t="str">
        <f t="shared" ca="1" si="154"/>
        <v/>
      </c>
      <c r="J957" s="1604"/>
      <c r="K957" s="373"/>
      <c r="L957" s="513">
        <f t="shared" ca="1" si="163"/>
        <v>656.58</v>
      </c>
      <c r="M957" s="654">
        <f t="shared" ca="1" si="161"/>
        <v>1</v>
      </c>
      <c r="N957" s="226">
        <f t="shared" ca="1" si="155"/>
        <v>0</v>
      </c>
      <c r="O957" s="1"/>
    </row>
    <row r="958" spans="1:15" ht="16.5" customHeight="1">
      <c r="A958" s="1"/>
      <c r="B958" s="657" t="str">
        <f t="shared" ca="1" si="156"/>
        <v/>
      </c>
      <c r="C958" s="223" t="str">
        <f t="shared" ca="1" si="157"/>
        <v/>
      </c>
      <c r="D958" s="519">
        <f t="shared" si="162"/>
        <v>953</v>
      </c>
      <c r="E958" s="225" t="str">
        <f t="shared" ca="1" si="158"/>
        <v/>
      </c>
      <c r="F958" s="224" t="str">
        <f t="shared" si="164"/>
        <v>CASSA</v>
      </c>
      <c r="G958" s="384" t="str">
        <f t="shared" ca="1" si="159"/>
        <v/>
      </c>
      <c r="H958" s="512">
        <f t="shared" ca="1" si="160"/>
        <v>0</v>
      </c>
      <c r="I958" s="1603" t="str">
        <f t="shared" ca="1" si="154"/>
        <v/>
      </c>
      <c r="J958" s="1604"/>
      <c r="K958" s="373"/>
      <c r="L958" s="513">
        <f t="shared" ca="1" si="163"/>
        <v>656.58</v>
      </c>
      <c r="M958" s="654">
        <f t="shared" ca="1" si="161"/>
        <v>1</v>
      </c>
      <c r="N958" s="226">
        <f t="shared" ca="1" si="155"/>
        <v>0</v>
      </c>
      <c r="O958" s="1"/>
    </row>
    <row r="959" spans="1:15" ht="16.5" customHeight="1">
      <c r="A959" s="1"/>
      <c r="B959" s="657" t="str">
        <f t="shared" ca="1" si="156"/>
        <v/>
      </c>
      <c r="C959" s="223" t="str">
        <f t="shared" ca="1" si="157"/>
        <v/>
      </c>
      <c r="D959" s="519">
        <f t="shared" si="162"/>
        <v>954</v>
      </c>
      <c r="E959" s="225" t="str">
        <f t="shared" ca="1" si="158"/>
        <v/>
      </c>
      <c r="F959" s="224" t="str">
        <f t="shared" si="164"/>
        <v>CASSA</v>
      </c>
      <c r="G959" s="384" t="str">
        <f t="shared" ca="1" si="159"/>
        <v/>
      </c>
      <c r="H959" s="512">
        <f t="shared" ca="1" si="160"/>
        <v>0</v>
      </c>
      <c r="I959" s="1603" t="str">
        <f t="shared" ca="1" si="154"/>
        <v/>
      </c>
      <c r="J959" s="1604"/>
      <c r="K959" s="373"/>
      <c r="L959" s="513">
        <f t="shared" ca="1" si="163"/>
        <v>656.58</v>
      </c>
      <c r="M959" s="654">
        <f t="shared" ca="1" si="161"/>
        <v>1</v>
      </c>
      <c r="N959" s="226">
        <f t="shared" ca="1" si="155"/>
        <v>0</v>
      </c>
      <c r="O959" s="1"/>
    </row>
    <row r="960" spans="1:15" ht="16.5" customHeight="1">
      <c r="A960" s="1"/>
      <c r="B960" s="657" t="str">
        <f t="shared" ca="1" si="156"/>
        <v/>
      </c>
      <c r="C960" s="223" t="str">
        <f t="shared" ca="1" si="157"/>
        <v/>
      </c>
      <c r="D960" s="519">
        <f t="shared" si="162"/>
        <v>955</v>
      </c>
      <c r="E960" s="225" t="str">
        <f t="shared" ca="1" si="158"/>
        <v/>
      </c>
      <c r="F960" s="224" t="str">
        <f t="shared" si="164"/>
        <v>CASSA</v>
      </c>
      <c r="G960" s="384" t="str">
        <f t="shared" ca="1" si="159"/>
        <v/>
      </c>
      <c r="H960" s="512">
        <f t="shared" ca="1" si="160"/>
        <v>0</v>
      </c>
      <c r="I960" s="1603" t="str">
        <f t="shared" ca="1" si="154"/>
        <v/>
      </c>
      <c r="J960" s="1604"/>
      <c r="K960" s="373"/>
      <c r="L960" s="513">
        <f t="shared" ca="1" si="163"/>
        <v>656.58</v>
      </c>
      <c r="M960" s="654">
        <f t="shared" ca="1" si="161"/>
        <v>1</v>
      </c>
      <c r="N960" s="226">
        <f t="shared" ca="1" si="155"/>
        <v>0</v>
      </c>
      <c r="O960" s="1"/>
    </row>
    <row r="961" spans="1:15" ht="16.5" customHeight="1">
      <c r="A961" s="1"/>
      <c r="B961" s="657" t="str">
        <f t="shared" ca="1" si="156"/>
        <v/>
      </c>
      <c r="C961" s="223" t="str">
        <f t="shared" ca="1" si="157"/>
        <v/>
      </c>
      <c r="D961" s="519">
        <f t="shared" si="162"/>
        <v>956</v>
      </c>
      <c r="E961" s="225" t="str">
        <f t="shared" ca="1" si="158"/>
        <v/>
      </c>
      <c r="F961" s="224" t="str">
        <f t="shared" si="164"/>
        <v>CASSA</v>
      </c>
      <c r="G961" s="384" t="str">
        <f t="shared" ca="1" si="159"/>
        <v/>
      </c>
      <c r="H961" s="512">
        <f t="shared" ca="1" si="160"/>
        <v>0</v>
      </c>
      <c r="I961" s="1603" t="str">
        <f t="shared" ca="1" si="154"/>
        <v/>
      </c>
      <c r="J961" s="1604"/>
      <c r="K961" s="373"/>
      <c r="L961" s="513">
        <f t="shared" ca="1" si="163"/>
        <v>656.58</v>
      </c>
      <c r="M961" s="654">
        <f t="shared" ca="1" si="161"/>
        <v>1</v>
      </c>
      <c r="N961" s="226">
        <f t="shared" ca="1" si="155"/>
        <v>0</v>
      </c>
      <c r="O961" s="1"/>
    </row>
    <row r="962" spans="1:15" ht="16.5" customHeight="1">
      <c r="A962" s="1"/>
      <c r="B962" s="657" t="str">
        <f t="shared" ca="1" si="156"/>
        <v/>
      </c>
      <c r="C962" s="223" t="str">
        <f t="shared" ca="1" si="157"/>
        <v/>
      </c>
      <c r="D962" s="519">
        <f t="shared" si="162"/>
        <v>957</v>
      </c>
      <c r="E962" s="225" t="str">
        <f t="shared" ca="1" si="158"/>
        <v/>
      </c>
      <c r="F962" s="224" t="str">
        <f t="shared" si="164"/>
        <v>CASSA</v>
      </c>
      <c r="G962" s="384" t="str">
        <f t="shared" ca="1" si="159"/>
        <v/>
      </c>
      <c r="H962" s="512">
        <f t="shared" ca="1" si="160"/>
        <v>0</v>
      </c>
      <c r="I962" s="1603" t="str">
        <f t="shared" ca="1" si="154"/>
        <v/>
      </c>
      <c r="J962" s="1604"/>
      <c r="K962" s="373"/>
      <c r="L962" s="513">
        <f t="shared" ca="1" si="163"/>
        <v>656.58</v>
      </c>
      <c r="M962" s="654">
        <f t="shared" ca="1" si="161"/>
        <v>1</v>
      </c>
      <c r="N962" s="226">
        <f t="shared" ca="1" si="155"/>
        <v>0</v>
      </c>
      <c r="O962" s="1"/>
    </row>
    <row r="963" spans="1:15" ht="16.5" customHeight="1">
      <c r="A963" s="1"/>
      <c r="B963" s="657" t="str">
        <f t="shared" ca="1" si="156"/>
        <v/>
      </c>
      <c r="C963" s="223" t="str">
        <f t="shared" ca="1" si="157"/>
        <v/>
      </c>
      <c r="D963" s="519">
        <f t="shared" si="162"/>
        <v>958</v>
      </c>
      <c r="E963" s="225" t="str">
        <f t="shared" ca="1" si="158"/>
        <v/>
      </c>
      <c r="F963" s="224" t="str">
        <f t="shared" si="164"/>
        <v>CASSA</v>
      </c>
      <c r="G963" s="384" t="str">
        <f t="shared" ca="1" si="159"/>
        <v/>
      </c>
      <c r="H963" s="512">
        <f t="shared" ca="1" si="160"/>
        <v>0</v>
      </c>
      <c r="I963" s="1603" t="str">
        <f t="shared" ca="1" si="154"/>
        <v/>
      </c>
      <c r="J963" s="1604"/>
      <c r="K963" s="373"/>
      <c r="L963" s="513">
        <f t="shared" ca="1" si="163"/>
        <v>656.58</v>
      </c>
      <c r="M963" s="654">
        <f t="shared" ca="1" si="161"/>
        <v>1</v>
      </c>
      <c r="N963" s="226">
        <f t="shared" ca="1" si="155"/>
        <v>0</v>
      </c>
      <c r="O963" s="1"/>
    </row>
    <row r="964" spans="1:15" ht="16.5" customHeight="1">
      <c r="A964" s="1"/>
      <c r="B964" s="657" t="str">
        <f t="shared" ca="1" si="156"/>
        <v/>
      </c>
      <c r="C964" s="223" t="str">
        <f t="shared" ca="1" si="157"/>
        <v/>
      </c>
      <c r="D964" s="519">
        <f t="shared" si="162"/>
        <v>959</v>
      </c>
      <c r="E964" s="225" t="str">
        <f t="shared" ca="1" si="158"/>
        <v/>
      </c>
      <c r="F964" s="224" t="str">
        <f t="shared" si="164"/>
        <v>CASSA</v>
      </c>
      <c r="G964" s="384" t="str">
        <f t="shared" ca="1" si="159"/>
        <v/>
      </c>
      <c r="H964" s="512">
        <f t="shared" ca="1" si="160"/>
        <v>0</v>
      </c>
      <c r="I964" s="1603" t="str">
        <f t="shared" ca="1" si="154"/>
        <v/>
      </c>
      <c r="J964" s="1604"/>
      <c r="K964" s="373"/>
      <c r="L964" s="513">
        <f t="shared" ca="1" si="163"/>
        <v>656.58</v>
      </c>
      <c r="M964" s="654">
        <f t="shared" ca="1" si="161"/>
        <v>1</v>
      </c>
      <c r="N964" s="226">
        <f t="shared" ca="1" si="155"/>
        <v>0</v>
      </c>
      <c r="O964" s="1"/>
    </row>
    <row r="965" spans="1:15" ht="16.5" customHeight="1">
      <c r="A965" s="1"/>
      <c r="B965" s="657" t="str">
        <f t="shared" ca="1" si="156"/>
        <v/>
      </c>
      <c r="C965" s="223" t="str">
        <f t="shared" ca="1" si="157"/>
        <v/>
      </c>
      <c r="D965" s="519">
        <f t="shared" si="162"/>
        <v>960</v>
      </c>
      <c r="E965" s="225" t="str">
        <f t="shared" ca="1" si="158"/>
        <v/>
      </c>
      <c r="F965" s="224" t="str">
        <f t="shared" si="164"/>
        <v>CASSA</v>
      </c>
      <c r="G965" s="384" t="str">
        <f t="shared" ca="1" si="159"/>
        <v/>
      </c>
      <c r="H965" s="512">
        <f t="shared" ca="1" si="160"/>
        <v>0</v>
      </c>
      <c r="I965" s="1603" t="str">
        <f t="shared" ca="1" si="154"/>
        <v/>
      </c>
      <c r="J965" s="1604"/>
      <c r="K965" s="373"/>
      <c r="L965" s="513">
        <f t="shared" ca="1" si="163"/>
        <v>656.58</v>
      </c>
      <c r="M965" s="654">
        <f t="shared" ca="1" si="161"/>
        <v>1</v>
      </c>
      <c r="N965" s="226">
        <f t="shared" ca="1" si="155"/>
        <v>0</v>
      </c>
      <c r="O965" s="1"/>
    </row>
    <row r="966" spans="1:15" ht="16.5" customHeight="1">
      <c r="A966" s="1"/>
      <c r="B966" s="657" t="str">
        <f t="shared" ca="1" si="156"/>
        <v/>
      </c>
      <c r="C966" s="223" t="str">
        <f t="shared" ca="1" si="157"/>
        <v/>
      </c>
      <c r="D966" s="519">
        <f t="shared" si="162"/>
        <v>961</v>
      </c>
      <c r="E966" s="225" t="str">
        <f t="shared" ca="1" si="158"/>
        <v/>
      </c>
      <c r="F966" s="224" t="str">
        <f t="shared" si="164"/>
        <v>CASSA</v>
      </c>
      <c r="G966" s="384" t="str">
        <f t="shared" ca="1" si="159"/>
        <v/>
      </c>
      <c r="H966" s="512">
        <f t="shared" ca="1" si="160"/>
        <v>0</v>
      </c>
      <c r="I966" s="1603" t="str">
        <f t="shared" ref="I966:I1005" ca="1" si="165">IF(F966="","",IF(ISERROR(VLOOKUP($D966,$B$1080:$L$4183,11,FALSE)),"",VLOOKUP($D966,$B$1080:$L$4183,11,FALSE)))</f>
        <v/>
      </c>
      <c r="J966" s="1604"/>
      <c r="K966" s="373"/>
      <c r="L966" s="513">
        <f t="shared" ca="1" si="163"/>
        <v>656.58</v>
      </c>
      <c r="M966" s="654">
        <f t="shared" ca="1" si="161"/>
        <v>1</v>
      </c>
      <c r="N966" s="226">
        <f t="shared" ref="N966:N1005" ca="1" si="166">IF(ISERROR(VLOOKUP(G966,G$4171:G$4182,1,FALSE)),0,1)</f>
        <v>0</v>
      </c>
      <c r="O966" s="1"/>
    </row>
    <row r="967" spans="1:15" ht="16.5" customHeight="1">
      <c r="A967" s="1"/>
      <c r="B967" s="657" t="str">
        <f t="shared" ref="B967:B1004" ca="1" si="167">IF(AND(E967&lt;&gt;"",M967=0),"[..]","")</f>
        <v/>
      </c>
      <c r="C967" s="223" t="str">
        <f t="shared" ref="C967:C1005" ca="1" si="168">IF(ISBLANK(E$2),"",IF(ISERROR(VLOOKUP(D967,B$3067:B$4182,1,FALSE)),"",C$4185))</f>
        <v/>
      </c>
      <c r="D967" s="519">
        <f t="shared" si="162"/>
        <v>962</v>
      </c>
      <c r="E967" s="225" t="str">
        <f t="shared" ref="E967:E1005" ca="1" si="169">IF(ISERROR(VLOOKUP($D967,$B$1080:$E$4183,4,FALSE)),"",VLOOKUP($D967,$B$1080:$E$4183,4,FALSE))</f>
        <v/>
      </c>
      <c r="F967" s="224" t="str">
        <f t="shared" si="164"/>
        <v>CASSA</v>
      </c>
      <c r="G967" s="384" t="str">
        <f t="shared" ref="G967:G1005" ca="1" si="170">IF(ISERROR(VLOOKUP($D967,$B$1080:$G$4183,6,FALSE)),"",T(VLOOKUP($D967,$B$1080:$G$4183,6,FALSE)))</f>
        <v/>
      </c>
      <c r="H967" s="512">
        <f t="shared" ref="H967:H1005" ca="1" si="171">IF(ISERROR(VLOOKUP($D967,$B$1080:$H$4183,7,FALSE)),0,VLOOKUP($D967,$B$1080:$H$4183,7,FALSE))*M967</f>
        <v>0</v>
      </c>
      <c r="I967" s="1603" t="str">
        <f t="shared" ca="1" si="165"/>
        <v/>
      </c>
      <c r="J967" s="1604"/>
      <c r="K967" s="373"/>
      <c r="L967" s="513">
        <f t="shared" ca="1" si="163"/>
        <v>656.58</v>
      </c>
      <c r="M967" s="654">
        <f t="shared" ref="M967:M1005" ca="1" si="172">IF(AND(E967&gt;0,H$4188=0,OR(E967&lt;L$1020,E967&gt;L$1021)),0,1)</f>
        <v>1</v>
      </c>
      <c r="N967" s="226">
        <f t="shared" ca="1" si="166"/>
        <v>0</v>
      </c>
      <c r="O967" s="1"/>
    </row>
    <row r="968" spans="1:15" ht="16.5" customHeight="1">
      <c r="A968" s="1"/>
      <c r="B968" s="657" t="str">
        <f t="shared" ca="1" si="167"/>
        <v/>
      </c>
      <c r="C968" s="223" t="str">
        <f t="shared" ca="1" si="168"/>
        <v/>
      </c>
      <c r="D968" s="519">
        <f t="shared" ref="D968:D1005" si="173">D967+1</f>
        <v>963</v>
      </c>
      <c r="E968" s="225" t="str">
        <f t="shared" ca="1" si="169"/>
        <v/>
      </c>
      <c r="F968" s="224" t="str">
        <f t="shared" si="164"/>
        <v>CASSA</v>
      </c>
      <c r="G968" s="384" t="str">
        <f t="shared" ca="1" si="170"/>
        <v/>
      </c>
      <c r="H968" s="512">
        <f t="shared" ca="1" si="171"/>
        <v>0</v>
      </c>
      <c r="I968" s="1603" t="str">
        <f t="shared" ca="1" si="165"/>
        <v/>
      </c>
      <c r="J968" s="1604"/>
      <c r="K968" s="373"/>
      <c r="L968" s="513">
        <f t="shared" ref="L968:L1005" ca="1" si="174">ROUND(L967+H968,2)</f>
        <v>656.58</v>
      </c>
      <c r="M968" s="654">
        <f t="shared" ca="1" si="172"/>
        <v>1</v>
      </c>
      <c r="N968" s="226">
        <f t="shared" ca="1" si="166"/>
        <v>0</v>
      </c>
      <c r="O968" s="1"/>
    </row>
    <row r="969" spans="1:15" ht="16.5" customHeight="1">
      <c r="A969" s="1"/>
      <c r="B969" s="657" t="str">
        <f t="shared" ca="1" si="167"/>
        <v/>
      </c>
      <c r="C969" s="223" t="str">
        <f t="shared" ca="1" si="168"/>
        <v/>
      </c>
      <c r="D969" s="519">
        <f t="shared" si="173"/>
        <v>964</v>
      </c>
      <c r="E969" s="225" t="str">
        <f t="shared" ca="1" si="169"/>
        <v/>
      </c>
      <c r="F969" s="224" t="str">
        <f t="shared" si="164"/>
        <v>CASSA</v>
      </c>
      <c r="G969" s="384" t="str">
        <f t="shared" ca="1" si="170"/>
        <v/>
      </c>
      <c r="H969" s="512">
        <f t="shared" ca="1" si="171"/>
        <v>0</v>
      </c>
      <c r="I969" s="1603" t="str">
        <f t="shared" ca="1" si="165"/>
        <v/>
      </c>
      <c r="J969" s="1604"/>
      <c r="K969" s="373"/>
      <c r="L969" s="513">
        <f t="shared" ca="1" si="174"/>
        <v>656.58</v>
      </c>
      <c r="M969" s="654">
        <f t="shared" ca="1" si="172"/>
        <v>1</v>
      </c>
      <c r="N969" s="226">
        <f t="shared" ca="1" si="166"/>
        <v>0</v>
      </c>
      <c r="O969" s="1"/>
    </row>
    <row r="970" spans="1:15" ht="16.5" customHeight="1">
      <c r="A970" s="1"/>
      <c r="B970" s="657" t="str">
        <f t="shared" ca="1" si="167"/>
        <v/>
      </c>
      <c r="C970" s="223" t="str">
        <f t="shared" ca="1" si="168"/>
        <v/>
      </c>
      <c r="D970" s="519">
        <f t="shared" si="173"/>
        <v>965</v>
      </c>
      <c r="E970" s="225" t="str">
        <f t="shared" ca="1" si="169"/>
        <v/>
      </c>
      <c r="F970" s="224" t="str">
        <f t="shared" si="164"/>
        <v>CASSA</v>
      </c>
      <c r="G970" s="384" t="str">
        <f t="shared" ca="1" si="170"/>
        <v/>
      </c>
      <c r="H970" s="512">
        <f t="shared" ca="1" si="171"/>
        <v>0</v>
      </c>
      <c r="I970" s="1603" t="str">
        <f t="shared" ca="1" si="165"/>
        <v/>
      </c>
      <c r="J970" s="1604"/>
      <c r="K970" s="373"/>
      <c r="L970" s="513">
        <f t="shared" ca="1" si="174"/>
        <v>656.58</v>
      </c>
      <c r="M970" s="654">
        <f t="shared" ca="1" si="172"/>
        <v>1</v>
      </c>
      <c r="N970" s="226">
        <f t="shared" ca="1" si="166"/>
        <v>0</v>
      </c>
      <c r="O970" s="1"/>
    </row>
    <row r="971" spans="1:15" ht="16.5" customHeight="1">
      <c r="A971" s="1"/>
      <c r="B971" s="657" t="str">
        <f t="shared" ca="1" si="167"/>
        <v/>
      </c>
      <c r="C971" s="223" t="str">
        <f t="shared" ca="1" si="168"/>
        <v/>
      </c>
      <c r="D971" s="519">
        <f t="shared" si="173"/>
        <v>966</v>
      </c>
      <c r="E971" s="225" t="str">
        <f t="shared" ca="1" si="169"/>
        <v/>
      </c>
      <c r="F971" s="224" t="str">
        <f t="shared" si="164"/>
        <v>CASSA</v>
      </c>
      <c r="G971" s="384" t="str">
        <f t="shared" ca="1" si="170"/>
        <v/>
      </c>
      <c r="H971" s="512">
        <f t="shared" ca="1" si="171"/>
        <v>0</v>
      </c>
      <c r="I971" s="1603" t="str">
        <f t="shared" ca="1" si="165"/>
        <v/>
      </c>
      <c r="J971" s="1604"/>
      <c r="K971" s="373"/>
      <c r="L971" s="513">
        <f t="shared" ca="1" si="174"/>
        <v>656.58</v>
      </c>
      <c r="M971" s="654">
        <f t="shared" ca="1" si="172"/>
        <v>1</v>
      </c>
      <c r="N971" s="226">
        <f t="shared" ca="1" si="166"/>
        <v>0</v>
      </c>
      <c r="O971" s="1"/>
    </row>
    <row r="972" spans="1:15" ht="16.5" customHeight="1">
      <c r="A972" s="1"/>
      <c r="B972" s="657" t="str">
        <f t="shared" ca="1" si="167"/>
        <v/>
      </c>
      <c r="C972" s="223" t="str">
        <f t="shared" ca="1" si="168"/>
        <v/>
      </c>
      <c r="D972" s="519">
        <f t="shared" si="173"/>
        <v>967</v>
      </c>
      <c r="E972" s="225" t="str">
        <f t="shared" ca="1" si="169"/>
        <v/>
      </c>
      <c r="F972" s="224" t="str">
        <f t="shared" ref="F972:F1005" si="175">F971</f>
        <v>CASSA</v>
      </c>
      <c r="G972" s="384" t="str">
        <f t="shared" ca="1" si="170"/>
        <v/>
      </c>
      <c r="H972" s="512">
        <f t="shared" ca="1" si="171"/>
        <v>0</v>
      </c>
      <c r="I972" s="1603" t="str">
        <f t="shared" ca="1" si="165"/>
        <v/>
      </c>
      <c r="J972" s="1604"/>
      <c r="K972" s="373"/>
      <c r="L972" s="513">
        <f t="shared" ca="1" si="174"/>
        <v>656.58</v>
      </c>
      <c r="M972" s="654">
        <f t="shared" ca="1" si="172"/>
        <v>1</v>
      </c>
      <c r="N972" s="226">
        <f t="shared" ca="1" si="166"/>
        <v>0</v>
      </c>
      <c r="O972" s="1"/>
    </row>
    <row r="973" spans="1:15" ht="16.5" customHeight="1">
      <c r="A973" s="1"/>
      <c r="B973" s="657" t="str">
        <f t="shared" ca="1" si="167"/>
        <v/>
      </c>
      <c r="C973" s="223" t="str">
        <f t="shared" ca="1" si="168"/>
        <v/>
      </c>
      <c r="D973" s="519">
        <f t="shared" si="173"/>
        <v>968</v>
      </c>
      <c r="E973" s="225" t="str">
        <f t="shared" ca="1" si="169"/>
        <v/>
      </c>
      <c r="F973" s="224" t="str">
        <f t="shared" si="175"/>
        <v>CASSA</v>
      </c>
      <c r="G973" s="384" t="str">
        <f t="shared" ca="1" si="170"/>
        <v/>
      </c>
      <c r="H973" s="512">
        <f t="shared" ca="1" si="171"/>
        <v>0</v>
      </c>
      <c r="I973" s="1603" t="str">
        <f t="shared" ca="1" si="165"/>
        <v/>
      </c>
      <c r="J973" s="1604"/>
      <c r="K973" s="373"/>
      <c r="L973" s="513">
        <f t="shared" ca="1" si="174"/>
        <v>656.58</v>
      </c>
      <c r="M973" s="654">
        <f t="shared" ca="1" si="172"/>
        <v>1</v>
      </c>
      <c r="N973" s="226">
        <f t="shared" ca="1" si="166"/>
        <v>0</v>
      </c>
      <c r="O973" s="1"/>
    </row>
    <row r="974" spans="1:15" ht="16.5" customHeight="1">
      <c r="A974" s="1"/>
      <c r="B974" s="657" t="str">
        <f t="shared" ca="1" si="167"/>
        <v/>
      </c>
      <c r="C974" s="223" t="str">
        <f t="shared" ca="1" si="168"/>
        <v/>
      </c>
      <c r="D974" s="519">
        <f t="shared" si="173"/>
        <v>969</v>
      </c>
      <c r="E974" s="225" t="str">
        <f t="shared" ca="1" si="169"/>
        <v/>
      </c>
      <c r="F974" s="224" t="str">
        <f t="shared" si="175"/>
        <v>CASSA</v>
      </c>
      <c r="G974" s="384" t="str">
        <f t="shared" ca="1" si="170"/>
        <v/>
      </c>
      <c r="H974" s="512">
        <f t="shared" ca="1" si="171"/>
        <v>0</v>
      </c>
      <c r="I974" s="1603" t="str">
        <f t="shared" ca="1" si="165"/>
        <v/>
      </c>
      <c r="J974" s="1604"/>
      <c r="K974" s="373"/>
      <c r="L974" s="513">
        <f t="shared" ca="1" si="174"/>
        <v>656.58</v>
      </c>
      <c r="M974" s="654">
        <f t="shared" ca="1" si="172"/>
        <v>1</v>
      </c>
      <c r="N974" s="226">
        <f t="shared" ca="1" si="166"/>
        <v>0</v>
      </c>
      <c r="O974" s="1"/>
    </row>
    <row r="975" spans="1:15" ht="16.5" customHeight="1">
      <c r="A975" s="1"/>
      <c r="B975" s="657" t="str">
        <f t="shared" ca="1" si="167"/>
        <v/>
      </c>
      <c r="C975" s="223" t="str">
        <f t="shared" ca="1" si="168"/>
        <v/>
      </c>
      <c r="D975" s="519">
        <f t="shared" si="173"/>
        <v>970</v>
      </c>
      <c r="E975" s="225" t="str">
        <f t="shared" ca="1" si="169"/>
        <v/>
      </c>
      <c r="F975" s="224" t="str">
        <f t="shared" si="175"/>
        <v>CASSA</v>
      </c>
      <c r="G975" s="384" t="str">
        <f t="shared" ca="1" si="170"/>
        <v/>
      </c>
      <c r="H975" s="512">
        <f t="shared" ca="1" si="171"/>
        <v>0</v>
      </c>
      <c r="I975" s="1603" t="str">
        <f t="shared" ca="1" si="165"/>
        <v/>
      </c>
      <c r="J975" s="1604"/>
      <c r="K975" s="373"/>
      <c r="L975" s="513">
        <f t="shared" ca="1" si="174"/>
        <v>656.58</v>
      </c>
      <c r="M975" s="654">
        <f t="shared" ca="1" si="172"/>
        <v>1</v>
      </c>
      <c r="N975" s="226">
        <f t="shared" ca="1" si="166"/>
        <v>0</v>
      </c>
      <c r="O975" s="1"/>
    </row>
    <row r="976" spans="1:15" ht="16.5" customHeight="1">
      <c r="A976" s="1"/>
      <c r="B976" s="657" t="str">
        <f t="shared" ca="1" si="167"/>
        <v/>
      </c>
      <c r="C976" s="223" t="str">
        <f t="shared" ca="1" si="168"/>
        <v/>
      </c>
      <c r="D976" s="519">
        <f t="shared" si="173"/>
        <v>971</v>
      </c>
      <c r="E976" s="225" t="str">
        <f t="shared" ca="1" si="169"/>
        <v/>
      </c>
      <c r="F976" s="224" t="str">
        <f t="shared" si="175"/>
        <v>CASSA</v>
      </c>
      <c r="G976" s="384" t="str">
        <f t="shared" ca="1" si="170"/>
        <v/>
      </c>
      <c r="H976" s="512">
        <f t="shared" ca="1" si="171"/>
        <v>0</v>
      </c>
      <c r="I976" s="1603" t="str">
        <f t="shared" ca="1" si="165"/>
        <v/>
      </c>
      <c r="J976" s="1604"/>
      <c r="K976" s="373"/>
      <c r="L976" s="513">
        <f t="shared" ca="1" si="174"/>
        <v>656.58</v>
      </c>
      <c r="M976" s="654">
        <f t="shared" ca="1" si="172"/>
        <v>1</v>
      </c>
      <c r="N976" s="226">
        <f t="shared" ca="1" si="166"/>
        <v>0</v>
      </c>
      <c r="O976" s="1"/>
    </row>
    <row r="977" spans="1:15" ht="16.5" customHeight="1">
      <c r="A977" s="1"/>
      <c r="B977" s="657" t="str">
        <f t="shared" ca="1" si="167"/>
        <v/>
      </c>
      <c r="C977" s="223" t="str">
        <f t="shared" ca="1" si="168"/>
        <v/>
      </c>
      <c r="D977" s="519">
        <f t="shared" si="173"/>
        <v>972</v>
      </c>
      <c r="E977" s="225" t="str">
        <f t="shared" ca="1" si="169"/>
        <v/>
      </c>
      <c r="F977" s="224" t="str">
        <f t="shared" si="175"/>
        <v>CASSA</v>
      </c>
      <c r="G977" s="384" t="str">
        <f t="shared" ca="1" si="170"/>
        <v/>
      </c>
      <c r="H977" s="512">
        <f t="shared" ca="1" si="171"/>
        <v>0</v>
      </c>
      <c r="I977" s="1603" t="str">
        <f t="shared" ca="1" si="165"/>
        <v/>
      </c>
      <c r="J977" s="1604"/>
      <c r="K977" s="373"/>
      <c r="L977" s="513">
        <f t="shared" ca="1" si="174"/>
        <v>656.58</v>
      </c>
      <c r="M977" s="654">
        <f t="shared" ca="1" si="172"/>
        <v>1</v>
      </c>
      <c r="N977" s="226">
        <f t="shared" ca="1" si="166"/>
        <v>0</v>
      </c>
      <c r="O977" s="1"/>
    </row>
    <row r="978" spans="1:15" ht="16.5" customHeight="1">
      <c r="A978" s="1"/>
      <c r="B978" s="657" t="str">
        <f t="shared" ca="1" si="167"/>
        <v/>
      </c>
      <c r="C978" s="223" t="str">
        <f t="shared" ca="1" si="168"/>
        <v/>
      </c>
      <c r="D978" s="519">
        <f t="shared" si="173"/>
        <v>973</v>
      </c>
      <c r="E978" s="225" t="str">
        <f t="shared" ca="1" si="169"/>
        <v/>
      </c>
      <c r="F978" s="224" t="str">
        <f t="shared" si="175"/>
        <v>CASSA</v>
      </c>
      <c r="G978" s="384" t="str">
        <f t="shared" ca="1" si="170"/>
        <v/>
      </c>
      <c r="H978" s="512">
        <f t="shared" ca="1" si="171"/>
        <v>0</v>
      </c>
      <c r="I978" s="1603" t="str">
        <f t="shared" ca="1" si="165"/>
        <v/>
      </c>
      <c r="J978" s="1604"/>
      <c r="K978" s="373"/>
      <c r="L978" s="513">
        <f t="shared" ca="1" si="174"/>
        <v>656.58</v>
      </c>
      <c r="M978" s="654">
        <f t="shared" ca="1" si="172"/>
        <v>1</v>
      </c>
      <c r="N978" s="226">
        <f t="shared" ca="1" si="166"/>
        <v>0</v>
      </c>
      <c r="O978" s="1"/>
    </row>
    <row r="979" spans="1:15" ht="16.5" customHeight="1">
      <c r="A979" s="1"/>
      <c r="B979" s="657" t="str">
        <f t="shared" ca="1" si="167"/>
        <v/>
      </c>
      <c r="C979" s="223" t="str">
        <f t="shared" ca="1" si="168"/>
        <v/>
      </c>
      <c r="D979" s="519">
        <f t="shared" si="173"/>
        <v>974</v>
      </c>
      <c r="E979" s="225" t="str">
        <f t="shared" ca="1" si="169"/>
        <v/>
      </c>
      <c r="F979" s="224" t="str">
        <f t="shared" si="175"/>
        <v>CASSA</v>
      </c>
      <c r="G979" s="384" t="str">
        <f t="shared" ca="1" si="170"/>
        <v/>
      </c>
      <c r="H979" s="512">
        <f t="shared" ca="1" si="171"/>
        <v>0</v>
      </c>
      <c r="I979" s="1603" t="str">
        <f t="shared" ca="1" si="165"/>
        <v/>
      </c>
      <c r="J979" s="1604"/>
      <c r="K979" s="373"/>
      <c r="L979" s="513">
        <f t="shared" ca="1" si="174"/>
        <v>656.58</v>
      </c>
      <c r="M979" s="654">
        <f t="shared" ca="1" si="172"/>
        <v>1</v>
      </c>
      <c r="N979" s="226">
        <f t="shared" ca="1" si="166"/>
        <v>0</v>
      </c>
      <c r="O979" s="1"/>
    </row>
    <row r="980" spans="1:15" ht="16.5" customHeight="1">
      <c r="A980" s="1"/>
      <c r="B980" s="657" t="str">
        <f t="shared" ca="1" si="167"/>
        <v/>
      </c>
      <c r="C980" s="223" t="str">
        <f t="shared" ca="1" si="168"/>
        <v/>
      </c>
      <c r="D980" s="519">
        <f t="shared" si="173"/>
        <v>975</v>
      </c>
      <c r="E980" s="225" t="str">
        <f t="shared" ca="1" si="169"/>
        <v/>
      </c>
      <c r="F980" s="224" t="str">
        <f t="shared" si="175"/>
        <v>CASSA</v>
      </c>
      <c r="G980" s="384" t="str">
        <f t="shared" ca="1" si="170"/>
        <v/>
      </c>
      <c r="H980" s="512">
        <f t="shared" ca="1" si="171"/>
        <v>0</v>
      </c>
      <c r="I980" s="1603" t="str">
        <f t="shared" ca="1" si="165"/>
        <v/>
      </c>
      <c r="J980" s="1604"/>
      <c r="K980" s="373"/>
      <c r="L980" s="513">
        <f t="shared" ca="1" si="174"/>
        <v>656.58</v>
      </c>
      <c r="M980" s="654">
        <f t="shared" ca="1" si="172"/>
        <v>1</v>
      </c>
      <c r="N980" s="226">
        <f t="shared" ca="1" si="166"/>
        <v>0</v>
      </c>
      <c r="O980" s="1"/>
    </row>
    <row r="981" spans="1:15" ht="16.5" customHeight="1">
      <c r="A981" s="1"/>
      <c r="B981" s="657" t="str">
        <f t="shared" ca="1" si="167"/>
        <v/>
      </c>
      <c r="C981" s="223" t="str">
        <f t="shared" ca="1" si="168"/>
        <v/>
      </c>
      <c r="D981" s="519">
        <f t="shared" si="173"/>
        <v>976</v>
      </c>
      <c r="E981" s="225" t="str">
        <f t="shared" ca="1" si="169"/>
        <v/>
      </c>
      <c r="F981" s="224" t="str">
        <f t="shared" si="175"/>
        <v>CASSA</v>
      </c>
      <c r="G981" s="384" t="str">
        <f t="shared" ca="1" si="170"/>
        <v/>
      </c>
      <c r="H981" s="512">
        <f t="shared" ca="1" si="171"/>
        <v>0</v>
      </c>
      <c r="I981" s="1603" t="str">
        <f t="shared" ca="1" si="165"/>
        <v/>
      </c>
      <c r="J981" s="1604"/>
      <c r="K981" s="373"/>
      <c r="L981" s="513">
        <f t="shared" ca="1" si="174"/>
        <v>656.58</v>
      </c>
      <c r="M981" s="654">
        <f t="shared" ca="1" si="172"/>
        <v>1</v>
      </c>
      <c r="N981" s="226">
        <f t="shared" ca="1" si="166"/>
        <v>0</v>
      </c>
      <c r="O981" s="1"/>
    </row>
    <row r="982" spans="1:15" ht="16.5" customHeight="1">
      <c r="A982" s="1"/>
      <c r="B982" s="657" t="str">
        <f t="shared" ca="1" si="167"/>
        <v/>
      </c>
      <c r="C982" s="223" t="str">
        <f t="shared" ca="1" si="168"/>
        <v/>
      </c>
      <c r="D982" s="519">
        <f t="shared" si="173"/>
        <v>977</v>
      </c>
      <c r="E982" s="225" t="str">
        <f t="shared" ca="1" si="169"/>
        <v/>
      </c>
      <c r="F982" s="224" t="str">
        <f t="shared" si="175"/>
        <v>CASSA</v>
      </c>
      <c r="G982" s="384" t="str">
        <f t="shared" ca="1" si="170"/>
        <v/>
      </c>
      <c r="H982" s="512">
        <f t="shared" ca="1" si="171"/>
        <v>0</v>
      </c>
      <c r="I982" s="1603" t="str">
        <f t="shared" ca="1" si="165"/>
        <v/>
      </c>
      <c r="J982" s="1604"/>
      <c r="K982" s="373"/>
      <c r="L982" s="513">
        <f t="shared" ca="1" si="174"/>
        <v>656.58</v>
      </c>
      <c r="M982" s="654">
        <f t="shared" ca="1" si="172"/>
        <v>1</v>
      </c>
      <c r="N982" s="226">
        <f t="shared" ca="1" si="166"/>
        <v>0</v>
      </c>
      <c r="O982" s="1"/>
    </row>
    <row r="983" spans="1:15" ht="16.5" customHeight="1">
      <c r="A983" s="1"/>
      <c r="B983" s="657" t="str">
        <f t="shared" ca="1" si="167"/>
        <v/>
      </c>
      <c r="C983" s="223" t="str">
        <f t="shared" ca="1" si="168"/>
        <v/>
      </c>
      <c r="D983" s="519">
        <f t="shared" si="173"/>
        <v>978</v>
      </c>
      <c r="E983" s="225" t="str">
        <f t="shared" ca="1" si="169"/>
        <v/>
      </c>
      <c r="F983" s="224" t="str">
        <f t="shared" si="175"/>
        <v>CASSA</v>
      </c>
      <c r="G983" s="384" t="str">
        <f t="shared" ca="1" si="170"/>
        <v/>
      </c>
      <c r="H983" s="512">
        <f t="shared" ca="1" si="171"/>
        <v>0</v>
      </c>
      <c r="I983" s="1603" t="str">
        <f t="shared" ca="1" si="165"/>
        <v/>
      </c>
      <c r="J983" s="1604"/>
      <c r="K983" s="373"/>
      <c r="L983" s="513">
        <f t="shared" ca="1" si="174"/>
        <v>656.58</v>
      </c>
      <c r="M983" s="654">
        <f t="shared" ca="1" si="172"/>
        <v>1</v>
      </c>
      <c r="N983" s="226">
        <f t="shared" ca="1" si="166"/>
        <v>0</v>
      </c>
      <c r="O983" s="1"/>
    </row>
    <row r="984" spans="1:15" ht="16.5" customHeight="1">
      <c r="A984" s="1"/>
      <c r="B984" s="657" t="str">
        <f t="shared" ca="1" si="167"/>
        <v/>
      </c>
      <c r="C984" s="223" t="str">
        <f t="shared" ca="1" si="168"/>
        <v/>
      </c>
      <c r="D984" s="519">
        <f t="shared" si="173"/>
        <v>979</v>
      </c>
      <c r="E984" s="225" t="str">
        <f t="shared" ca="1" si="169"/>
        <v/>
      </c>
      <c r="F984" s="224" t="str">
        <f t="shared" si="175"/>
        <v>CASSA</v>
      </c>
      <c r="G984" s="384" t="str">
        <f t="shared" ca="1" si="170"/>
        <v/>
      </c>
      <c r="H984" s="512">
        <f t="shared" ca="1" si="171"/>
        <v>0</v>
      </c>
      <c r="I984" s="1603" t="str">
        <f t="shared" ca="1" si="165"/>
        <v/>
      </c>
      <c r="J984" s="1604"/>
      <c r="K984" s="373"/>
      <c r="L984" s="513">
        <f t="shared" ca="1" si="174"/>
        <v>656.58</v>
      </c>
      <c r="M984" s="654">
        <f t="shared" ca="1" si="172"/>
        <v>1</v>
      </c>
      <c r="N984" s="226">
        <f t="shared" ca="1" si="166"/>
        <v>0</v>
      </c>
      <c r="O984" s="1"/>
    </row>
    <row r="985" spans="1:15" ht="16.5" customHeight="1">
      <c r="A985" s="1"/>
      <c r="B985" s="657" t="str">
        <f t="shared" ca="1" si="167"/>
        <v/>
      </c>
      <c r="C985" s="223" t="str">
        <f t="shared" ca="1" si="168"/>
        <v/>
      </c>
      <c r="D985" s="519">
        <f t="shared" si="173"/>
        <v>980</v>
      </c>
      <c r="E985" s="225" t="str">
        <f t="shared" ca="1" si="169"/>
        <v/>
      </c>
      <c r="F985" s="224" t="str">
        <f t="shared" si="175"/>
        <v>CASSA</v>
      </c>
      <c r="G985" s="384" t="str">
        <f t="shared" ca="1" si="170"/>
        <v/>
      </c>
      <c r="H985" s="512">
        <f t="shared" ca="1" si="171"/>
        <v>0</v>
      </c>
      <c r="I985" s="1603" t="str">
        <f t="shared" ca="1" si="165"/>
        <v/>
      </c>
      <c r="J985" s="1604"/>
      <c r="K985" s="373"/>
      <c r="L985" s="513">
        <f t="shared" ca="1" si="174"/>
        <v>656.58</v>
      </c>
      <c r="M985" s="654">
        <f t="shared" ca="1" si="172"/>
        <v>1</v>
      </c>
      <c r="N985" s="226">
        <f t="shared" ca="1" si="166"/>
        <v>0</v>
      </c>
      <c r="O985" s="1"/>
    </row>
    <row r="986" spans="1:15" ht="16.5" customHeight="1">
      <c r="A986" s="1"/>
      <c r="B986" s="657" t="str">
        <f t="shared" ca="1" si="167"/>
        <v/>
      </c>
      <c r="C986" s="223" t="str">
        <f t="shared" ca="1" si="168"/>
        <v/>
      </c>
      <c r="D986" s="519">
        <f t="shared" si="173"/>
        <v>981</v>
      </c>
      <c r="E986" s="225" t="str">
        <f t="shared" ca="1" si="169"/>
        <v/>
      </c>
      <c r="F986" s="224" t="str">
        <f t="shared" si="175"/>
        <v>CASSA</v>
      </c>
      <c r="G986" s="384" t="str">
        <f t="shared" ca="1" si="170"/>
        <v/>
      </c>
      <c r="H986" s="512">
        <f t="shared" ca="1" si="171"/>
        <v>0</v>
      </c>
      <c r="I986" s="1603" t="str">
        <f t="shared" ca="1" si="165"/>
        <v/>
      </c>
      <c r="J986" s="1604"/>
      <c r="K986" s="373"/>
      <c r="L986" s="513">
        <f t="shared" ca="1" si="174"/>
        <v>656.58</v>
      </c>
      <c r="M986" s="654">
        <f t="shared" ca="1" si="172"/>
        <v>1</v>
      </c>
      <c r="N986" s="226">
        <f t="shared" ca="1" si="166"/>
        <v>0</v>
      </c>
      <c r="O986" s="1"/>
    </row>
    <row r="987" spans="1:15" ht="16.5" customHeight="1">
      <c r="A987" s="1"/>
      <c r="B987" s="657" t="str">
        <f t="shared" ca="1" si="167"/>
        <v/>
      </c>
      <c r="C987" s="223" t="str">
        <f t="shared" ca="1" si="168"/>
        <v/>
      </c>
      <c r="D987" s="519">
        <f t="shared" si="173"/>
        <v>982</v>
      </c>
      <c r="E987" s="225" t="str">
        <f t="shared" ca="1" si="169"/>
        <v/>
      </c>
      <c r="F987" s="224" t="str">
        <f t="shared" si="175"/>
        <v>CASSA</v>
      </c>
      <c r="G987" s="384" t="str">
        <f t="shared" ca="1" si="170"/>
        <v/>
      </c>
      <c r="H987" s="512">
        <f t="shared" ca="1" si="171"/>
        <v>0</v>
      </c>
      <c r="I987" s="1603" t="str">
        <f t="shared" ca="1" si="165"/>
        <v/>
      </c>
      <c r="J987" s="1604"/>
      <c r="K987" s="373"/>
      <c r="L987" s="513">
        <f t="shared" ca="1" si="174"/>
        <v>656.58</v>
      </c>
      <c r="M987" s="654">
        <f t="shared" ca="1" si="172"/>
        <v>1</v>
      </c>
      <c r="N987" s="226">
        <f t="shared" ca="1" si="166"/>
        <v>0</v>
      </c>
      <c r="O987" s="1"/>
    </row>
    <row r="988" spans="1:15" ht="16.5" customHeight="1">
      <c r="A988" s="1"/>
      <c r="B988" s="657" t="str">
        <f t="shared" ca="1" si="167"/>
        <v/>
      </c>
      <c r="C988" s="223" t="str">
        <f t="shared" ca="1" si="168"/>
        <v/>
      </c>
      <c r="D988" s="519">
        <f t="shared" si="173"/>
        <v>983</v>
      </c>
      <c r="E988" s="225" t="str">
        <f t="shared" ca="1" si="169"/>
        <v/>
      </c>
      <c r="F988" s="224" t="str">
        <f t="shared" si="175"/>
        <v>CASSA</v>
      </c>
      <c r="G988" s="384" t="str">
        <f t="shared" ca="1" si="170"/>
        <v/>
      </c>
      <c r="H988" s="512">
        <f t="shared" ca="1" si="171"/>
        <v>0</v>
      </c>
      <c r="I988" s="1603" t="str">
        <f t="shared" ca="1" si="165"/>
        <v/>
      </c>
      <c r="J988" s="1604"/>
      <c r="K988" s="373"/>
      <c r="L988" s="513">
        <f t="shared" ca="1" si="174"/>
        <v>656.58</v>
      </c>
      <c r="M988" s="654">
        <f t="shared" ca="1" si="172"/>
        <v>1</v>
      </c>
      <c r="N988" s="226">
        <f t="shared" ca="1" si="166"/>
        <v>0</v>
      </c>
      <c r="O988" s="1"/>
    </row>
    <row r="989" spans="1:15" ht="16.5" customHeight="1">
      <c r="A989" s="1"/>
      <c r="B989" s="657" t="str">
        <f t="shared" ca="1" si="167"/>
        <v/>
      </c>
      <c r="C989" s="223" t="str">
        <f t="shared" ca="1" si="168"/>
        <v/>
      </c>
      <c r="D989" s="519">
        <f t="shared" si="173"/>
        <v>984</v>
      </c>
      <c r="E989" s="225" t="str">
        <f t="shared" ca="1" si="169"/>
        <v/>
      </c>
      <c r="F989" s="224" t="str">
        <f t="shared" si="175"/>
        <v>CASSA</v>
      </c>
      <c r="G989" s="384" t="str">
        <f t="shared" ca="1" si="170"/>
        <v/>
      </c>
      <c r="H989" s="512">
        <f t="shared" ca="1" si="171"/>
        <v>0</v>
      </c>
      <c r="I989" s="1603" t="str">
        <f t="shared" ca="1" si="165"/>
        <v/>
      </c>
      <c r="J989" s="1604"/>
      <c r="K989" s="373"/>
      <c r="L989" s="513">
        <f t="shared" ca="1" si="174"/>
        <v>656.58</v>
      </c>
      <c r="M989" s="654">
        <f t="shared" ca="1" si="172"/>
        <v>1</v>
      </c>
      <c r="N989" s="226">
        <f t="shared" ca="1" si="166"/>
        <v>0</v>
      </c>
      <c r="O989" s="1"/>
    </row>
    <row r="990" spans="1:15" ht="16.5" customHeight="1">
      <c r="A990" s="1"/>
      <c r="B990" s="657" t="str">
        <f t="shared" ca="1" si="167"/>
        <v/>
      </c>
      <c r="C990" s="223" t="str">
        <f t="shared" ca="1" si="168"/>
        <v/>
      </c>
      <c r="D990" s="519">
        <f t="shared" si="173"/>
        <v>985</v>
      </c>
      <c r="E990" s="225" t="str">
        <f t="shared" ca="1" si="169"/>
        <v/>
      </c>
      <c r="F990" s="224" t="str">
        <f t="shared" si="175"/>
        <v>CASSA</v>
      </c>
      <c r="G990" s="384" t="str">
        <f t="shared" ca="1" si="170"/>
        <v/>
      </c>
      <c r="H990" s="512">
        <f t="shared" ca="1" si="171"/>
        <v>0</v>
      </c>
      <c r="I990" s="1603" t="str">
        <f t="shared" ca="1" si="165"/>
        <v/>
      </c>
      <c r="J990" s="1604"/>
      <c r="K990" s="373"/>
      <c r="L990" s="513">
        <f t="shared" ca="1" si="174"/>
        <v>656.58</v>
      </c>
      <c r="M990" s="654">
        <f t="shared" ca="1" si="172"/>
        <v>1</v>
      </c>
      <c r="N990" s="226">
        <f t="shared" ca="1" si="166"/>
        <v>0</v>
      </c>
      <c r="O990" s="1"/>
    </row>
    <row r="991" spans="1:15" ht="16.5" customHeight="1">
      <c r="A991" s="1"/>
      <c r="B991" s="657" t="str">
        <f t="shared" ca="1" si="167"/>
        <v/>
      </c>
      <c r="C991" s="223" t="str">
        <f t="shared" ca="1" si="168"/>
        <v/>
      </c>
      <c r="D991" s="519">
        <f t="shared" si="173"/>
        <v>986</v>
      </c>
      <c r="E991" s="225" t="str">
        <f t="shared" ca="1" si="169"/>
        <v/>
      </c>
      <c r="F991" s="224" t="str">
        <f t="shared" si="175"/>
        <v>CASSA</v>
      </c>
      <c r="G991" s="384" t="str">
        <f t="shared" ca="1" si="170"/>
        <v/>
      </c>
      <c r="H991" s="512">
        <f t="shared" ca="1" si="171"/>
        <v>0</v>
      </c>
      <c r="I991" s="1603" t="str">
        <f t="shared" ca="1" si="165"/>
        <v/>
      </c>
      <c r="J991" s="1604"/>
      <c r="K991" s="373"/>
      <c r="L991" s="513">
        <f t="shared" ca="1" si="174"/>
        <v>656.58</v>
      </c>
      <c r="M991" s="654">
        <f t="shared" ca="1" si="172"/>
        <v>1</v>
      </c>
      <c r="N991" s="226">
        <f t="shared" ca="1" si="166"/>
        <v>0</v>
      </c>
      <c r="O991" s="1"/>
    </row>
    <row r="992" spans="1:15" ht="16.5" customHeight="1">
      <c r="A992" s="1"/>
      <c r="B992" s="657" t="str">
        <f t="shared" ca="1" si="167"/>
        <v/>
      </c>
      <c r="C992" s="223" t="str">
        <f t="shared" ca="1" si="168"/>
        <v/>
      </c>
      <c r="D992" s="519">
        <f t="shared" si="173"/>
        <v>987</v>
      </c>
      <c r="E992" s="225" t="str">
        <f t="shared" ca="1" si="169"/>
        <v/>
      </c>
      <c r="F992" s="224" t="str">
        <f t="shared" si="175"/>
        <v>CASSA</v>
      </c>
      <c r="G992" s="384" t="str">
        <f t="shared" ca="1" si="170"/>
        <v/>
      </c>
      <c r="H992" s="512">
        <f t="shared" ca="1" si="171"/>
        <v>0</v>
      </c>
      <c r="I992" s="1603" t="str">
        <f t="shared" ca="1" si="165"/>
        <v/>
      </c>
      <c r="J992" s="1604"/>
      <c r="K992" s="373"/>
      <c r="L992" s="513">
        <f t="shared" ca="1" si="174"/>
        <v>656.58</v>
      </c>
      <c r="M992" s="654">
        <f t="shared" ca="1" si="172"/>
        <v>1</v>
      </c>
      <c r="N992" s="226">
        <f t="shared" ca="1" si="166"/>
        <v>0</v>
      </c>
      <c r="O992" s="1"/>
    </row>
    <row r="993" spans="1:15" ht="16.5" customHeight="1">
      <c r="A993" s="1"/>
      <c r="B993" s="657" t="str">
        <f t="shared" ca="1" si="167"/>
        <v/>
      </c>
      <c r="C993" s="223" t="str">
        <f t="shared" ca="1" si="168"/>
        <v/>
      </c>
      <c r="D993" s="519">
        <f t="shared" si="173"/>
        <v>988</v>
      </c>
      <c r="E993" s="225" t="str">
        <f t="shared" ca="1" si="169"/>
        <v/>
      </c>
      <c r="F993" s="224" t="str">
        <f t="shared" si="175"/>
        <v>CASSA</v>
      </c>
      <c r="G993" s="384" t="str">
        <f t="shared" ca="1" si="170"/>
        <v/>
      </c>
      <c r="H993" s="512">
        <f t="shared" ca="1" si="171"/>
        <v>0</v>
      </c>
      <c r="I993" s="1603" t="str">
        <f t="shared" ca="1" si="165"/>
        <v/>
      </c>
      <c r="J993" s="1604"/>
      <c r="K993" s="373"/>
      <c r="L993" s="513">
        <f t="shared" ca="1" si="174"/>
        <v>656.58</v>
      </c>
      <c r="M993" s="654">
        <f t="shared" ca="1" si="172"/>
        <v>1</v>
      </c>
      <c r="N993" s="226">
        <f t="shared" ca="1" si="166"/>
        <v>0</v>
      </c>
      <c r="O993" s="1"/>
    </row>
    <row r="994" spans="1:15" ht="16.5" customHeight="1">
      <c r="A994" s="1"/>
      <c r="B994" s="657" t="str">
        <f t="shared" ca="1" si="167"/>
        <v/>
      </c>
      <c r="C994" s="223" t="str">
        <f t="shared" ca="1" si="168"/>
        <v/>
      </c>
      <c r="D994" s="519">
        <f t="shared" si="173"/>
        <v>989</v>
      </c>
      <c r="E994" s="225" t="str">
        <f t="shared" ca="1" si="169"/>
        <v/>
      </c>
      <c r="F994" s="224" t="str">
        <f t="shared" si="175"/>
        <v>CASSA</v>
      </c>
      <c r="G994" s="384" t="str">
        <f t="shared" ca="1" si="170"/>
        <v/>
      </c>
      <c r="H994" s="512">
        <f t="shared" ca="1" si="171"/>
        <v>0</v>
      </c>
      <c r="I994" s="1603" t="str">
        <f t="shared" ca="1" si="165"/>
        <v/>
      </c>
      <c r="J994" s="1604"/>
      <c r="K994" s="373"/>
      <c r="L994" s="513">
        <f t="shared" ca="1" si="174"/>
        <v>656.58</v>
      </c>
      <c r="M994" s="654">
        <f t="shared" ca="1" si="172"/>
        <v>1</v>
      </c>
      <c r="N994" s="226">
        <f t="shared" ca="1" si="166"/>
        <v>0</v>
      </c>
      <c r="O994" s="1"/>
    </row>
    <row r="995" spans="1:15" ht="16.5" customHeight="1">
      <c r="A995" s="1"/>
      <c r="B995" s="657" t="str">
        <f t="shared" ca="1" si="167"/>
        <v/>
      </c>
      <c r="C995" s="223" t="str">
        <f t="shared" ca="1" si="168"/>
        <v/>
      </c>
      <c r="D995" s="519">
        <f t="shared" si="173"/>
        <v>990</v>
      </c>
      <c r="E995" s="225" t="str">
        <f t="shared" ca="1" si="169"/>
        <v/>
      </c>
      <c r="F995" s="224" t="str">
        <f t="shared" si="175"/>
        <v>CASSA</v>
      </c>
      <c r="G995" s="384" t="str">
        <f t="shared" ca="1" si="170"/>
        <v/>
      </c>
      <c r="H995" s="512">
        <f t="shared" ca="1" si="171"/>
        <v>0</v>
      </c>
      <c r="I995" s="1603" t="str">
        <f t="shared" ca="1" si="165"/>
        <v/>
      </c>
      <c r="J995" s="1604"/>
      <c r="K995" s="373"/>
      <c r="L995" s="513">
        <f t="shared" ca="1" si="174"/>
        <v>656.58</v>
      </c>
      <c r="M995" s="654">
        <f t="shared" ca="1" si="172"/>
        <v>1</v>
      </c>
      <c r="N995" s="226">
        <f t="shared" ca="1" si="166"/>
        <v>0</v>
      </c>
      <c r="O995" s="1"/>
    </row>
    <row r="996" spans="1:15" ht="16.5" customHeight="1">
      <c r="A996" s="1"/>
      <c r="B996" s="657" t="str">
        <f t="shared" ca="1" si="167"/>
        <v/>
      </c>
      <c r="C996" s="223" t="str">
        <f t="shared" ca="1" si="168"/>
        <v/>
      </c>
      <c r="D996" s="519">
        <f t="shared" si="173"/>
        <v>991</v>
      </c>
      <c r="E996" s="225" t="str">
        <f t="shared" ca="1" si="169"/>
        <v/>
      </c>
      <c r="F996" s="224" t="str">
        <f t="shared" si="175"/>
        <v>CASSA</v>
      </c>
      <c r="G996" s="384" t="str">
        <f t="shared" ca="1" si="170"/>
        <v/>
      </c>
      <c r="H996" s="512">
        <f t="shared" ca="1" si="171"/>
        <v>0</v>
      </c>
      <c r="I996" s="1603" t="str">
        <f t="shared" ca="1" si="165"/>
        <v/>
      </c>
      <c r="J996" s="1604"/>
      <c r="K996" s="373"/>
      <c r="L996" s="513">
        <f t="shared" ca="1" si="174"/>
        <v>656.58</v>
      </c>
      <c r="M996" s="654">
        <f t="shared" ca="1" si="172"/>
        <v>1</v>
      </c>
      <c r="N996" s="226">
        <f t="shared" ca="1" si="166"/>
        <v>0</v>
      </c>
      <c r="O996" s="1"/>
    </row>
    <row r="997" spans="1:15" ht="16.5" customHeight="1">
      <c r="A997" s="1"/>
      <c r="B997" s="657" t="str">
        <f t="shared" ca="1" si="167"/>
        <v/>
      </c>
      <c r="C997" s="223" t="str">
        <f t="shared" ca="1" si="168"/>
        <v/>
      </c>
      <c r="D997" s="519">
        <f t="shared" si="173"/>
        <v>992</v>
      </c>
      <c r="E997" s="225" t="str">
        <f t="shared" ca="1" si="169"/>
        <v/>
      </c>
      <c r="F997" s="224" t="str">
        <f t="shared" si="175"/>
        <v>CASSA</v>
      </c>
      <c r="G997" s="384" t="str">
        <f t="shared" ca="1" si="170"/>
        <v/>
      </c>
      <c r="H997" s="512">
        <f t="shared" ca="1" si="171"/>
        <v>0</v>
      </c>
      <c r="I997" s="1603" t="str">
        <f t="shared" ca="1" si="165"/>
        <v/>
      </c>
      <c r="J997" s="1604"/>
      <c r="K997" s="373"/>
      <c r="L997" s="513">
        <f t="shared" ca="1" si="174"/>
        <v>656.58</v>
      </c>
      <c r="M997" s="654">
        <f t="shared" ca="1" si="172"/>
        <v>1</v>
      </c>
      <c r="N997" s="226">
        <f t="shared" ca="1" si="166"/>
        <v>0</v>
      </c>
      <c r="O997" s="1"/>
    </row>
    <row r="998" spans="1:15" ht="16.5" customHeight="1">
      <c r="A998" s="1"/>
      <c r="B998" s="657" t="str">
        <f t="shared" ca="1" si="167"/>
        <v/>
      </c>
      <c r="C998" s="223" t="str">
        <f t="shared" ca="1" si="168"/>
        <v/>
      </c>
      <c r="D998" s="519">
        <f t="shared" si="173"/>
        <v>993</v>
      </c>
      <c r="E998" s="225" t="str">
        <f t="shared" ca="1" si="169"/>
        <v/>
      </c>
      <c r="F998" s="224" t="str">
        <f t="shared" si="175"/>
        <v>CASSA</v>
      </c>
      <c r="G998" s="384" t="str">
        <f t="shared" ca="1" si="170"/>
        <v/>
      </c>
      <c r="H998" s="512">
        <f t="shared" ca="1" si="171"/>
        <v>0</v>
      </c>
      <c r="I998" s="1603" t="str">
        <f t="shared" ca="1" si="165"/>
        <v/>
      </c>
      <c r="J998" s="1604"/>
      <c r="K998" s="373"/>
      <c r="L998" s="513">
        <f t="shared" ca="1" si="174"/>
        <v>656.58</v>
      </c>
      <c r="M998" s="654">
        <f t="shared" ca="1" si="172"/>
        <v>1</v>
      </c>
      <c r="N998" s="226">
        <f t="shared" ca="1" si="166"/>
        <v>0</v>
      </c>
      <c r="O998" s="1"/>
    </row>
    <row r="999" spans="1:15" ht="16.5" customHeight="1">
      <c r="A999" s="1"/>
      <c r="B999" s="657" t="str">
        <f t="shared" ca="1" si="167"/>
        <v/>
      </c>
      <c r="C999" s="223" t="str">
        <f t="shared" ca="1" si="168"/>
        <v/>
      </c>
      <c r="D999" s="519">
        <f t="shared" si="173"/>
        <v>994</v>
      </c>
      <c r="E999" s="225" t="str">
        <f t="shared" ca="1" si="169"/>
        <v/>
      </c>
      <c r="F999" s="224" t="str">
        <f t="shared" si="175"/>
        <v>CASSA</v>
      </c>
      <c r="G999" s="384" t="str">
        <f t="shared" ca="1" si="170"/>
        <v/>
      </c>
      <c r="H999" s="512">
        <f t="shared" ca="1" si="171"/>
        <v>0</v>
      </c>
      <c r="I999" s="1603" t="str">
        <f t="shared" ca="1" si="165"/>
        <v/>
      </c>
      <c r="J999" s="1604"/>
      <c r="K999" s="373"/>
      <c r="L999" s="513">
        <f t="shared" ca="1" si="174"/>
        <v>656.58</v>
      </c>
      <c r="M999" s="654">
        <f t="shared" ca="1" si="172"/>
        <v>1</v>
      </c>
      <c r="N999" s="226">
        <f t="shared" ca="1" si="166"/>
        <v>0</v>
      </c>
      <c r="O999" s="1"/>
    </row>
    <row r="1000" spans="1:15" ht="16.5" customHeight="1">
      <c r="A1000" s="1"/>
      <c r="B1000" s="657" t="str">
        <f t="shared" ca="1" si="167"/>
        <v/>
      </c>
      <c r="C1000" s="223" t="str">
        <f t="shared" ca="1" si="168"/>
        <v/>
      </c>
      <c r="D1000" s="519">
        <f t="shared" si="173"/>
        <v>995</v>
      </c>
      <c r="E1000" s="225" t="str">
        <f t="shared" ca="1" si="169"/>
        <v/>
      </c>
      <c r="F1000" s="224" t="str">
        <f t="shared" si="175"/>
        <v>CASSA</v>
      </c>
      <c r="G1000" s="384" t="str">
        <f t="shared" ca="1" si="170"/>
        <v/>
      </c>
      <c r="H1000" s="512">
        <f t="shared" ca="1" si="171"/>
        <v>0</v>
      </c>
      <c r="I1000" s="1603" t="str">
        <f t="shared" ca="1" si="165"/>
        <v/>
      </c>
      <c r="J1000" s="1604"/>
      <c r="K1000" s="373"/>
      <c r="L1000" s="513">
        <f t="shared" ca="1" si="174"/>
        <v>656.58</v>
      </c>
      <c r="M1000" s="654">
        <f t="shared" ca="1" si="172"/>
        <v>1</v>
      </c>
      <c r="N1000" s="226">
        <f t="shared" ca="1" si="166"/>
        <v>0</v>
      </c>
      <c r="O1000" s="1"/>
    </row>
    <row r="1001" spans="1:15" ht="16.5" customHeight="1">
      <c r="A1001" s="1"/>
      <c r="B1001" s="657" t="str">
        <f t="shared" ca="1" si="167"/>
        <v/>
      </c>
      <c r="C1001" s="223" t="str">
        <f t="shared" ca="1" si="168"/>
        <v/>
      </c>
      <c r="D1001" s="519">
        <f t="shared" si="173"/>
        <v>996</v>
      </c>
      <c r="E1001" s="225" t="str">
        <f t="shared" ca="1" si="169"/>
        <v/>
      </c>
      <c r="F1001" s="224" t="str">
        <f t="shared" si="175"/>
        <v>CASSA</v>
      </c>
      <c r="G1001" s="384" t="str">
        <f t="shared" ca="1" si="170"/>
        <v/>
      </c>
      <c r="H1001" s="512">
        <f t="shared" ca="1" si="171"/>
        <v>0</v>
      </c>
      <c r="I1001" s="1603" t="str">
        <f t="shared" ca="1" si="165"/>
        <v/>
      </c>
      <c r="J1001" s="1604"/>
      <c r="K1001" s="373"/>
      <c r="L1001" s="513">
        <f t="shared" ca="1" si="174"/>
        <v>656.58</v>
      </c>
      <c r="M1001" s="654">
        <f t="shared" ca="1" si="172"/>
        <v>1</v>
      </c>
      <c r="N1001" s="226">
        <f t="shared" ca="1" si="166"/>
        <v>0</v>
      </c>
      <c r="O1001" s="1"/>
    </row>
    <row r="1002" spans="1:15" ht="16.5" customHeight="1">
      <c r="A1002" s="1"/>
      <c r="B1002" s="657" t="str">
        <f t="shared" ca="1" si="167"/>
        <v/>
      </c>
      <c r="C1002" s="223" t="str">
        <f t="shared" ca="1" si="168"/>
        <v/>
      </c>
      <c r="D1002" s="519">
        <f t="shared" si="173"/>
        <v>997</v>
      </c>
      <c r="E1002" s="225" t="str">
        <f t="shared" ca="1" si="169"/>
        <v/>
      </c>
      <c r="F1002" s="224" t="str">
        <f t="shared" si="175"/>
        <v>CASSA</v>
      </c>
      <c r="G1002" s="384" t="str">
        <f t="shared" ca="1" si="170"/>
        <v/>
      </c>
      <c r="H1002" s="512">
        <f t="shared" ca="1" si="171"/>
        <v>0</v>
      </c>
      <c r="I1002" s="1603" t="str">
        <f t="shared" ca="1" si="165"/>
        <v/>
      </c>
      <c r="J1002" s="1604"/>
      <c r="K1002" s="373"/>
      <c r="L1002" s="513">
        <f t="shared" ca="1" si="174"/>
        <v>656.58</v>
      </c>
      <c r="M1002" s="654">
        <f t="shared" ca="1" si="172"/>
        <v>1</v>
      </c>
      <c r="N1002" s="226">
        <f t="shared" ca="1" si="166"/>
        <v>0</v>
      </c>
      <c r="O1002" s="1"/>
    </row>
    <row r="1003" spans="1:15" ht="16.5" customHeight="1">
      <c r="A1003" s="1"/>
      <c r="B1003" s="657" t="str">
        <f t="shared" ca="1" si="167"/>
        <v/>
      </c>
      <c r="C1003" s="223" t="str">
        <f t="shared" ca="1" si="168"/>
        <v/>
      </c>
      <c r="D1003" s="519">
        <f t="shared" si="173"/>
        <v>998</v>
      </c>
      <c r="E1003" s="225" t="str">
        <f t="shared" ca="1" si="169"/>
        <v/>
      </c>
      <c r="F1003" s="224" t="str">
        <f t="shared" si="175"/>
        <v>CASSA</v>
      </c>
      <c r="G1003" s="384" t="str">
        <f t="shared" ca="1" si="170"/>
        <v/>
      </c>
      <c r="H1003" s="512">
        <f t="shared" ca="1" si="171"/>
        <v>0</v>
      </c>
      <c r="I1003" s="1603" t="str">
        <f t="shared" ca="1" si="165"/>
        <v/>
      </c>
      <c r="J1003" s="1604"/>
      <c r="K1003" s="373"/>
      <c r="L1003" s="513">
        <f t="shared" ca="1" si="174"/>
        <v>656.58</v>
      </c>
      <c r="M1003" s="654">
        <f t="shared" ca="1" si="172"/>
        <v>1</v>
      </c>
      <c r="N1003" s="226">
        <f t="shared" ca="1" si="166"/>
        <v>0</v>
      </c>
      <c r="O1003" s="1"/>
    </row>
    <row r="1004" spans="1:15" ht="16.5" customHeight="1">
      <c r="A1004" s="1"/>
      <c r="B1004" s="657" t="str">
        <f t="shared" ca="1" si="167"/>
        <v/>
      </c>
      <c r="C1004" s="223" t="str">
        <f t="shared" ca="1" si="168"/>
        <v/>
      </c>
      <c r="D1004" s="519">
        <f t="shared" si="173"/>
        <v>999</v>
      </c>
      <c r="E1004" s="225" t="str">
        <f t="shared" ca="1" si="169"/>
        <v/>
      </c>
      <c r="F1004" s="224" t="str">
        <f t="shared" si="175"/>
        <v>CASSA</v>
      </c>
      <c r="G1004" s="384" t="str">
        <f t="shared" ca="1" si="170"/>
        <v/>
      </c>
      <c r="H1004" s="512">
        <f t="shared" ca="1" si="171"/>
        <v>0</v>
      </c>
      <c r="I1004" s="1603" t="str">
        <f t="shared" ca="1" si="165"/>
        <v/>
      </c>
      <c r="J1004" s="1604"/>
      <c r="K1004" s="373"/>
      <c r="L1004" s="513">
        <f t="shared" ca="1" si="174"/>
        <v>656.58</v>
      </c>
      <c r="M1004" s="654">
        <f t="shared" ca="1" si="172"/>
        <v>1</v>
      </c>
      <c r="N1004" s="226">
        <f t="shared" ca="1" si="166"/>
        <v>0</v>
      </c>
      <c r="O1004" s="1"/>
    </row>
    <row r="1005" spans="1:15" ht="16.5" customHeight="1">
      <c r="A1005" s="1"/>
      <c r="B1005" s="657" t="str">
        <f t="shared" ref="B1005" ca="1" si="176">IF(AND(E1005&lt;&gt;"",M1005=0),"[..]","")</f>
        <v/>
      </c>
      <c r="C1005" s="223" t="str">
        <f t="shared" ca="1" si="168"/>
        <v/>
      </c>
      <c r="D1005" s="519">
        <f t="shared" si="173"/>
        <v>1000</v>
      </c>
      <c r="E1005" s="225" t="str">
        <f t="shared" ca="1" si="169"/>
        <v/>
      </c>
      <c r="F1005" s="224" t="str">
        <f t="shared" si="175"/>
        <v>CASSA</v>
      </c>
      <c r="G1005" s="384" t="str">
        <f t="shared" ca="1" si="170"/>
        <v/>
      </c>
      <c r="H1005" s="512">
        <f t="shared" ca="1" si="171"/>
        <v>0</v>
      </c>
      <c r="I1005" s="1603" t="str">
        <f t="shared" ca="1" si="165"/>
        <v/>
      </c>
      <c r="J1005" s="1604"/>
      <c r="K1005" s="373"/>
      <c r="L1005" s="513">
        <f t="shared" ca="1" si="174"/>
        <v>656.58</v>
      </c>
      <c r="M1005" s="654">
        <f t="shared" ca="1" si="172"/>
        <v>1</v>
      </c>
      <c r="N1005" s="178">
        <f t="shared" ca="1" si="166"/>
        <v>0</v>
      </c>
      <c r="O1005" s="1"/>
    </row>
    <row r="1006" spans="1:15" ht="3" customHeight="1">
      <c r="A1006" s="1"/>
      <c r="B1006" s="1"/>
      <c r="C1006" s="1"/>
      <c r="D1006" s="28"/>
      <c r="E1006" s="29"/>
      <c r="F1006" s="30"/>
      <c r="G1006" s="30"/>
      <c r="H1006" s="220"/>
      <c r="I1006" s="1605"/>
      <c r="J1006" s="1606"/>
      <c r="K1006" s="1"/>
      <c r="L1006" s="222"/>
      <c r="M1006" s="1"/>
      <c r="N1006" s="1"/>
      <c r="O1006" s="1"/>
    </row>
    <row r="1007" spans="1:15" ht="4.5" customHeight="1">
      <c r="A1007" s="1"/>
      <c r="B1007" s="1"/>
      <c r="C1007" s="1"/>
      <c r="D1007" s="3"/>
      <c r="E1007" s="3"/>
      <c r="F1007" s="3"/>
      <c r="G1007" s="3"/>
      <c r="H1007" s="3"/>
      <c r="I1007" s="3"/>
      <c r="J1007" s="1"/>
      <c r="K1007" s="1"/>
      <c r="L1007" s="1"/>
      <c r="M1007" s="1"/>
      <c r="N1007" s="1"/>
      <c r="O1007" s="1"/>
    </row>
    <row r="1008" spans="1:15" ht="16.5" customHeight="1">
      <c r="A1008" s="1"/>
      <c r="B1008" s="1"/>
      <c r="C1008" s="1"/>
      <c r="D1008" s="32"/>
      <c r="E1008" s="33" t="s">
        <v>37</v>
      </c>
      <c r="F1008" s="517" t="s">
        <v>259</v>
      </c>
      <c r="G1008" s="333" t="s">
        <v>36</v>
      </c>
      <c r="H1008" s="515">
        <f ca="1">SUBTOTAL(9,$H$6:$H$1005)</f>
        <v>656.58</v>
      </c>
      <c r="I1008" s="3"/>
      <c r="J1008" s="1"/>
      <c r="K1008" s="1"/>
      <c r="L1008" s="1"/>
      <c r="M1008" s="1"/>
      <c r="N1008" s="1"/>
      <c r="O1008" s="1"/>
    </row>
    <row r="1009" spans="1:15" ht="16.5" customHeight="1">
      <c r="A1009" s="1"/>
      <c r="B1009" s="1"/>
      <c r="C1009" s="373"/>
      <c r="D1009" s="1"/>
      <c r="E1009" s="514">
        <f ca="1">SUBTOTAL(2,$E$6:$E$1005)</f>
        <v>28</v>
      </c>
      <c r="F1009" s="518" t="s">
        <v>35</v>
      </c>
      <c r="G1009" s="333" t="s">
        <v>38</v>
      </c>
      <c r="H1009" s="516">
        <f ca="1">H1008/E1009</f>
        <v>23.449285714285715</v>
      </c>
      <c r="I1009" s="3"/>
      <c r="J1009" s="1"/>
      <c r="K1009" s="1"/>
      <c r="L1009" s="1"/>
      <c r="M1009" s="1"/>
      <c r="N1009" s="1"/>
      <c r="O1009" s="1"/>
    </row>
    <row r="1010" spans="1:15" ht="6.75" customHeight="1">
      <c r="A1010" s="1"/>
      <c r="B1010" s="1"/>
      <c r="C1010" s="1"/>
      <c r="D1010" s="1"/>
      <c r="E1010" s="1"/>
      <c r="F1010" s="1"/>
      <c r="G1010" s="1"/>
      <c r="H1010" s="1"/>
      <c r="I1010" s="34"/>
      <c r="J1010" s="1"/>
      <c r="K1010" s="1"/>
      <c r="L1010" s="1"/>
      <c r="M1010" s="1"/>
      <c r="N1010" s="1"/>
      <c r="O1010" s="1"/>
    </row>
    <row r="1011" spans="1:15" ht="16.5" customHeight="1">
      <c r="A1011" s="1"/>
      <c r="B1011" s="1"/>
      <c r="C1011" s="1"/>
      <c r="D1011" s="1"/>
      <c r="E1011" s="1598"/>
      <c r="F1011" s="1598"/>
      <c r="G1011" s="1598"/>
      <c r="H1011" s="1598"/>
      <c r="I1011" s="34"/>
      <c r="J1011" s="1"/>
      <c r="K1011" s="1"/>
      <c r="L1011" s="540" t="s">
        <v>13</v>
      </c>
      <c r="M1011" s="1"/>
      <c r="N1011" s="1"/>
      <c r="O1011" s="1"/>
    </row>
    <row r="1012" spans="1:15" ht="16.5" customHeight="1">
      <c r="A1012" s="1"/>
      <c r="B1012" s="1"/>
      <c r="C1012" s="1"/>
      <c r="D1012" s="1"/>
      <c r="E1012" s="664" t="str">
        <f>Presentazione!C25</f>
        <v>CONDOMINIO:</v>
      </c>
      <c r="F1012" s="1597" t="str">
        <f>Presentazione!C26</f>
        <v>Inserisci qui il NOME</v>
      </c>
      <c r="G1012" s="1597"/>
      <c r="H1012" s="1597"/>
      <c r="I1012" s="1597"/>
      <c r="J1012" s="1597"/>
      <c r="K1012" s="51"/>
      <c r="L1012" s="667">
        <f>Presentazione!J26</f>
        <v>2024</v>
      </c>
      <c r="M1012" s="1"/>
      <c r="N1012" s="1"/>
      <c r="O1012" s="1"/>
    </row>
    <row r="1013" spans="1:15" ht="16.5" customHeight="1">
      <c r="A1013" s="1"/>
      <c r="B1013" s="1"/>
      <c r="C1013" s="1"/>
      <c r="D1013" s="1"/>
      <c r="E1013" s="1"/>
      <c r="F1013" s="1"/>
      <c r="H1013" s="1"/>
      <c r="I1013" s="1"/>
      <c r="J1013" s="1"/>
      <c r="K1013" s="1"/>
      <c r="M1013" s="1"/>
      <c r="N1013" s="1"/>
      <c r="O1013" s="1"/>
    </row>
    <row r="1014" spans="1:15" ht="16.5" customHeight="1">
      <c r="A1014" s="1"/>
      <c r="B1014" s="1"/>
      <c r="C1014" s="1"/>
      <c r="D1014" s="1387" t="str">
        <f>Presentazione!K155</f>
        <v>www.marcopiccoli.it</v>
      </c>
      <c r="E1014" s="1387"/>
      <c r="F1014" s="1387"/>
      <c r="G1014" s="1602" t="str">
        <f>Presentazione!$F$10</f>
        <v/>
      </c>
      <c r="H1014" s="1602"/>
      <c r="I1014" s="1602"/>
      <c r="J1014" s="1602"/>
      <c r="K1014" s="1602"/>
      <c r="L1014" s="1602"/>
      <c r="M1014" s="1"/>
      <c r="N1014" s="1"/>
      <c r="O1014" s="1"/>
    </row>
    <row r="1015" spans="1:15" ht="16.5" customHeight="1">
      <c r="A1015" s="1"/>
      <c r="B1015" s="1"/>
      <c r="C1015" s="37"/>
      <c r="D1015" s="1197" t="str">
        <f>Presentazione!B155</f>
        <v>Bilancio Condominiale 4.0.E05 FREE - per EXCEL .xlsx</v>
      </c>
      <c r="E1015" s="1197"/>
      <c r="F1015" s="1197"/>
      <c r="G1015" s="1354" t="str">
        <f>CONCATENATE(Presentazione!$E$93,"   -   ","P.I./C.F ",COSTI!N66)</f>
        <v>Inserisci qui il NOME   -   P.I./C.F codice fiscale condominio</v>
      </c>
      <c r="H1015" s="1354"/>
      <c r="I1015" s="1354"/>
      <c r="J1015" s="1354"/>
      <c r="K1015" s="1354"/>
      <c r="L1015" s="1354"/>
      <c r="M1015" s="1"/>
      <c r="N1015" s="1"/>
      <c r="O1015" s="1"/>
    </row>
    <row r="1016" spans="1:15" ht="16.5" hidden="1" customHeight="1">
      <c r="A1016" s="1"/>
      <c r="B1016" s="1"/>
      <c r="C1016" s="1"/>
      <c r="D1016" s="1"/>
      <c r="E1016" s="1"/>
      <c r="F1016" s="1"/>
      <c r="G1016" s="1"/>
      <c r="H1016" s="1"/>
      <c r="I1016" s="3"/>
      <c r="J1016" s="1"/>
      <c r="K1016" s="1"/>
      <c r="L1016" s="1"/>
      <c r="M1016" s="1"/>
      <c r="N1016" s="1"/>
      <c r="O1016" s="1"/>
    </row>
    <row r="1017" spans="1:15" ht="16.5" hidden="1" customHeight="1">
      <c r="A1017" s="1"/>
      <c r="B1017" s="1"/>
      <c r="C1017" s="1"/>
      <c r="D1017" s="1"/>
      <c r="E1017" s="1"/>
      <c r="F1017" s="1"/>
      <c r="G1017" s="1"/>
      <c r="H1017" s="1"/>
      <c r="I1017" s="3"/>
      <c r="J1017" s="1"/>
      <c r="K1017" s="1"/>
      <c r="L1017" s="1"/>
      <c r="M1017" s="1"/>
      <c r="N1017" s="1"/>
      <c r="O1017" s="1"/>
    </row>
    <row r="1018" spans="1:15" ht="16.5" hidden="1" customHeight="1">
      <c r="A1018" s="1"/>
      <c r="B1018" s="1"/>
      <c r="C1018" s="1"/>
      <c r="D1018" s="1"/>
      <c r="E1018" s="1"/>
      <c r="F1018" s="38" t="s">
        <v>34</v>
      </c>
      <c r="G1018" s="38" t="s">
        <v>34</v>
      </c>
      <c r="H1018" s="1"/>
      <c r="I1018" s="3"/>
      <c r="J1018" s="1"/>
      <c r="K1018" s="1"/>
      <c r="L1018" s="1"/>
      <c r="M1018" s="1"/>
      <c r="N1018" s="1"/>
      <c r="O1018" s="1"/>
    </row>
    <row r="1019" spans="1:15" ht="15" hidden="1" customHeight="1">
      <c r="A1019" s="1"/>
      <c r="B1019" s="1"/>
      <c r="C1019" s="1"/>
      <c r="D1019" s="27">
        <v>1</v>
      </c>
      <c r="E1019" s="28">
        <v>1</v>
      </c>
      <c r="F1019" s="160" t="str">
        <f>CONCATENATE("--------------------------- ","ENTI")</f>
        <v>--------------------------- ENTI</v>
      </c>
      <c r="G1019" s="103" t="str">
        <f t="shared" ref="G1019:G1050" ca="1" si="177">IF(MAX(E$1019:E$1076)&lt;D1019," ",VLOOKUP(D1019,E$1019:F$1076,2,FALSE))</f>
        <v>--------------------------- ENTI</v>
      </c>
      <c r="H1019" s="1"/>
      <c r="I1019" s="3"/>
      <c r="J1019" s="1"/>
      <c r="K1019" s="1"/>
      <c r="L1019" s="1"/>
      <c r="M1019" s="1"/>
      <c r="N1019" s="1"/>
      <c r="O1019" s="1"/>
    </row>
    <row r="1020" spans="1:15" ht="15" hidden="1" customHeight="1">
      <c r="A1020" s="1"/>
      <c r="B1020" s="1"/>
      <c r="C1020" s="1"/>
      <c r="D1020" s="27">
        <v>2</v>
      </c>
      <c r="E1020" s="27">
        <f ca="1">IF(F1020="",0,MAX(E$1019:E1019)+1)</f>
        <v>2</v>
      </c>
      <c r="F1020" s="104" t="str">
        <f ca="1">IF(AND(COUNTIF(ENTI!F9:Q9,0)=12,COUNTIF(PATRIMONIALE!F34:Q34,0)=12,COUNTIF(RIPARTIZIONI!G37:R37,0)=12),"",IF(ENTI!B9="","",ENTI!B9))</f>
        <v>Nome ENTE 1</v>
      </c>
      <c r="G1020" s="104" t="str">
        <f t="shared" ca="1" si="177"/>
        <v>Nome ENTE 1</v>
      </c>
      <c r="H1020" s="1"/>
      <c r="I1020" s="234">
        <f ca="1">SUM(PATRIMONIALE!S34)</f>
        <v>136.66</v>
      </c>
      <c r="J1020" s="1"/>
      <c r="K1020" s="1"/>
      <c r="L1020" s="288">
        <f>PATRIMONIALE!W1012</f>
        <v>45292</v>
      </c>
      <c r="M1020" s="292" t="s">
        <v>164</v>
      </c>
      <c r="N1020" s="1"/>
      <c r="O1020" s="1"/>
    </row>
    <row r="1021" spans="1:15" ht="15" hidden="1" customHeight="1">
      <c r="A1021" s="1"/>
      <c r="B1021" s="1"/>
      <c r="C1021" s="1"/>
      <c r="D1021" s="27">
        <v>3</v>
      </c>
      <c r="E1021" s="27">
        <f ca="1">IF(F1021="",0,MAX(E$1019:E1020)+1)</f>
        <v>3</v>
      </c>
      <c r="F1021" s="104" t="str">
        <f ca="1">IF(AND(COUNTIF(ENTI!F10:Q10,0)=12,COUNTIF(PATRIMONIALE!F35:Q35,0)=12,COUNTIF(RIPARTIZIONI!G38:R38,0)=12),"",IF(ENTI!B10="","",ENTI!B10))</f>
        <v>Nome ENTE 2</v>
      </c>
      <c r="G1021" s="104" t="str">
        <f t="shared" ca="1" si="177"/>
        <v>Nome ENTE 2</v>
      </c>
      <c r="H1021" s="1"/>
      <c r="I1021" s="235">
        <f ca="1">SUM(PATRIMONIALE!S35)</f>
        <v>309</v>
      </c>
      <c r="J1021" s="1"/>
      <c r="K1021" s="1"/>
      <c r="L1021" s="289">
        <f>PATRIMONIALE!W1013</f>
        <v>45657</v>
      </c>
      <c r="M1021" s="293" t="s">
        <v>365</v>
      </c>
      <c r="N1021" s="1"/>
      <c r="O1021" s="1"/>
    </row>
    <row r="1022" spans="1:15" ht="15" hidden="1" customHeight="1">
      <c r="A1022" s="1"/>
      <c r="B1022" s="1"/>
      <c r="C1022" s="1"/>
      <c r="D1022" s="27">
        <v>4</v>
      </c>
      <c r="E1022" s="27">
        <f ca="1">IF(F1022="",0,MAX(E$1019:E1021)+1)</f>
        <v>4</v>
      </c>
      <c r="F1022" s="104" t="str">
        <f ca="1">IF(AND(COUNTIF(ENTI!F11:Q11,0)=12,COUNTIF(PATRIMONIALE!F36:Q36,0)=12,COUNTIF(RIPARTIZIONI!G39:R39,0)=12),"",IF(ENTI!B11="","",ENTI!B11))</f>
        <v>Nome ENTE 3</v>
      </c>
      <c r="G1022" s="104" t="str">
        <f t="shared" ca="1" si="177"/>
        <v>Nome ENTE 3</v>
      </c>
      <c r="H1022" s="1"/>
      <c r="I1022" s="235">
        <f ca="1">SUM(PATRIMONIALE!S36)</f>
        <v>-106.92</v>
      </c>
      <c r="J1022" s="1"/>
      <c r="K1022" s="1"/>
      <c r="L1022" s="1"/>
      <c r="M1022" s="1"/>
      <c r="N1022" s="1"/>
      <c r="O1022" s="1"/>
    </row>
    <row r="1023" spans="1:15" ht="15" hidden="1" customHeight="1">
      <c r="A1023" s="1"/>
      <c r="B1023" s="1"/>
      <c r="C1023" s="1"/>
      <c r="D1023" s="27">
        <v>5</v>
      </c>
      <c r="E1023" s="27">
        <f ca="1">IF(F1023="",0,MAX(E$1019:E1022)+1)</f>
        <v>5</v>
      </c>
      <c r="F1023" s="163" t="str">
        <f ca="1">IF(AND(COUNTIF(ENTI!F12:Q12,0)=12,COUNTIF(PATRIMONIALE!F37:Q37,0)=12,COUNTIF(RIPARTIZIONI!G40:R40,0)=12),"",IF(ENTI!B12="","",ENTI!B12))</f>
        <v>Nome ENTE 4 / sovrascrivi</v>
      </c>
      <c r="G1023" s="104" t="str">
        <f t="shared" ca="1" si="177"/>
        <v>Nome ENTE 4 / sovrascrivi</v>
      </c>
      <c r="H1023" s="1"/>
      <c r="I1023" s="235">
        <f ca="1">SUM(PATRIMONIALE!S37)</f>
        <v>-15.17</v>
      </c>
      <c r="J1023" s="1"/>
      <c r="K1023" s="1"/>
      <c r="L1023" s="1"/>
      <c r="M1023" s="1"/>
      <c r="N1023" s="1"/>
      <c r="O1023" s="1"/>
    </row>
    <row r="1024" spans="1:15" ht="15" hidden="1" customHeight="1">
      <c r="A1024" s="1"/>
      <c r="B1024" s="1"/>
      <c r="C1024" s="1"/>
      <c r="D1024" s="27">
        <v>6</v>
      </c>
      <c r="E1024" s="27">
        <f ca="1">IF(F1024="",0,MAX(E$1019:E1023)+1)</f>
        <v>6</v>
      </c>
      <c r="F1024" s="105" t="str">
        <f ca="1">IF(AND(COUNTIF(ENTI!F13:Q13,0)=12,COUNTIF(PATRIMONIALE!F38:Q38,0)=12,COUNTIF(RIPARTIZIONI!G41:R41,0)=12),"",IF(ENTI!B13="","",ENTI!B13))</f>
        <v>Nome ENTE ultimo disponibile</v>
      </c>
      <c r="G1024" s="104" t="str">
        <f t="shared" ca="1" si="177"/>
        <v>Nome ENTE ultimo disponibile</v>
      </c>
      <c r="H1024" s="1"/>
      <c r="I1024" s="236">
        <f ca="1">SUM(PATRIMONIALE!S38)</f>
        <v>-960.33</v>
      </c>
      <c r="J1024" s="1"/>
      <c r="K1024" s="1"/>
      <c r="L1024" s="1"/>
      <c r="M1024" s="1"/>
      <c r="N1024" s="1"/>
      <c r="O1024" s="1"/>
    </row>
    <row r="1025" spans="1:15" ht="15" hidden="1" customHeight="1">
      <c r="A1025" s="1"/>
      <c r="B1025" s="1"/>
      <c r="C1025" s="1"/>
      <c r="D1025" s="27">
        <v>7</v>
      </c>
      <c r="E1025" s="27">
        <f ca="1">IF(F1025="",0,MAX(E$1019:E1024)+1)</f>
        <v>7</v>
      </c>
      <c r="F1025" s="160" t="str">
        <f>CONCATENATE("--------------------------- ","PATRIMONIALE: Liquidità")</f>
        <v>--------------------------- PATRIMONIALE: Liquidità</v>
      </c>
      <c r="G1025" s="104" t="str">
        <f t="shared" ca="1" si="177"/>
        <v>--------------------------- PATRIMONIALE: Liquidità</v>
      </c>
      <c r="H1025" s="1"/>
      <c r="I1025" s="3"/>
      <c r="J1025" s="1"/>
      <c r="K1025" s="1"/>
      <c r="L1025" s="1"/>
      <c r="M1025" s="1"/>
      <c r="N1025" s="1"/>
      <c r="O1025" s="1"/>
    </row>
    <row r="1026" spans="1:15" ht="15" hidden="1" customHeight="1">
      <c r="A1026" s="1"/>
      <c r="B1026" s="1"/>
      <c r="C1026" s="1"/>
      <c r="D1026" s="27">
        <v>8</v>
      </c>
      <c r="E1026" s="27">
        <f ca="1">IF(F1026="",0,MAX(E$1019:E1025)+1)</f>
        <v>8</v>
      </c>
      <c r="F1026" s="104" t="str">
        <f ca="1">IF(AND(SUM(PATRIMONIALE!F1041:Q1041)=0,PATRIMONIALE!S9=0),"",PATRIMONIALE!B9)</f>
        <v>CASSA</v>
      </c>
      <c r="G1026" s="104" t="str">
        <f t="shared" ca="1" si="177"/>
        <v>CASSA</v>
      </c>
      <c r="H1026" s="1"/>
      <c r="I1026" s="234">
        <f ca="1">SUM(PATRIMONIALE!S9)</f>
        <v>656.58</v>
      </c>
      <c r="J1026" s="1"/>
      <c r="K1026" s="1"/>
      <c r="L1026" s="1"/>
      <c r="M1026" s="1"/>
      <c r="N1026" s="1"/>
      <c r="O1026" s="1"/>
    </row>
    <row r="1027" spans="1:15" ht="15" hidden="1" customHeight="1">
      <c r="A1027" s="1"/>
      <c r="B1027" s="1"/>
      <c r="C1027" s="1"/>
      <c r="D1027" s="27">
        <v>9</v>
      </c>
      <c r="E1027" s="27">
        <f ca="1">IF(F1027="",0,MAX(E$1019:E1026)+1)</f>
        <v>9</v>
      </c>
      <c r="F1027" s="104" t="str">
        <f ca="1">IF(AND(SUM(PATRIMONIALE!F1042:Q1042)=0,PATRIMONIALE!S10=0),"",PATRIMONIALE!B10)</f>
        <v>BANCA C/C nr. 1234567</v>
      </c>
      <c r="G1027" s="104" t="str">
        <f t="shared" ca="1" si="177"/>
        <v>BANCA C/C nr. 1234567</v>
      </c>
      <c r="H1027" s="1"/>
      <c r="I1027" s="235">
        <f ca="1">SUM(PATRIMONIALE!S10)</f>
        <v>300</v>
      </c>
      <c r="J1027" s="1"/>
      <c r="K1027" s="1"/>
      <c r="L1027" s="1"/>
      <c r="M1027" s="1"/>
      <c r="N1027" s="1"/>
      <c r="O1027" s="1"/>
    </row>
    <row r="1028" spans="1:15" ht="15" hidden="1" customHeight="1">
      <c r="A1028" s="1"/>
      <c r="B1028" s="1"/>
      <c r="C1028" s="1"/>
      <c r="D1028" s="27">
        <v>10</v>
      </c>
      <c r="E1028" s="27">
        <f ca="1">IF(F1028="",0,MAX(E$1019:E1027)+1)</f>
        <v>10</v>
      </c>
      <c r="F1028" s="104" t="str">
        <f ca="1">IF(AND(SUM(PATRIMONIALE!F1043:Q1043)=0,PATRIMONIALE!S11=0),"",PATRIMONIALE!B11)</f>
        <v>POSTA C/C nr. 7654321</v>
      </c>
      <c r="G1028" s="104" t="str">
        <f t="shared" ca="1" si="177"/>
        <v>POSTA C/C nr. 7654321</v>
      </c>
      <c r="H1028" s="1"/>
      <c r="I1028" s="235">
        <f ca="1">SUM(PATRIMONIALE!S11)</f>
        <v>-43.34</v>
      </c>
      <c r="J1028" s="1"/>
      <c r="K1028" s="1"/>
      <c r="L1028" s="1"/>
      <c r="M1028" s="1"/>
      <c r="N1028" s="1"/>
      <c r="O1028" s="1"/>
    </row>
    <row r="1029" spans="1:15" ht="15" hidden="1" customHeight="1">
      <c r="A1029" s="1"/>
      <c r="B1029" s="1"/>
      <c r="C1029" s="1"/>
      <c r="D1029" s="27">
        <v>11</v>
      </c>
      <c r="E1029" s="27">
        <f ca="1">IF(F1029="",0,MAX(E$1019:E1028)+1)</f>
        <v>0</v>
      </c>
      <c r="F1029" s="104" t="str">
        <f ca="1">IF(AND(SUM(PATRIMONIALE!F1044:Q1044)=0,PATRIMONIALE!S12=0),"",PATRIMONIALE!B12)</f>
        <v/>
      </c>
      <c r="G1029" s="104" t="str">
        <f t="shared" ca="1" si="177"/>
        <v>DEBITO 1</v>
      </c>
      <c r="H1029" s="1"/>
      <c r="I1029" s="235">
        <f ca="1">SUM(PATRIMONIALE!S12)</f>
        <v>0</v>
      </c>
      <c r="J1029" s="1"/>
      <c r="K1029" s="1"/>
      <c r="L1029" s="1"/>
      <c r="M1029" s="1"/>
      <c r="N1029" s="1"/>
      <c r="O1029" s="1"/>
    </row>
    <row r="1030" spans="1:15" ht="15" hidden="1" customHeight="1">
      <c r="A1030" s="1"/>
      <c r="B1030" s="1"/>
      <c r="C1030" s="1"/>
      <c r="D1030" s="27">
        <v>12</v>
      </c>
      <c r="E1030" s="27">
        <f ca="1">IF(F1030="",0,MAX(E$1019:E1029)+1)</f>
        <v>0</v>
      </c>
      <c r="F1030" s="104" t="str">
        <f ca="1">IF(AND(SUM(PATRIMONIALE!F1045:Q1045)=0,PATRIMONIALE!S13=0),"",PATRIMONIALE!B13)</f>
        <v/>
      </c>
      <c r="G1030" s="104" t="str">
        <f t="shared" ca="1" si="177"/>
        <v>RISERVA ACCANTONATA</v>
      </c>
      <c r="H1030" s="1"/>
      <c r="I1030" s="235">
        <f ca="1">SUM(PATRIMONIALE!S13)</f>
        <v>0</v>
      </c>
      <c r="J1030" s="1"/>
      <c r="K1030" s="1"/>
      <c r="L1030" s="1"/>
      <c r="M1030" s="1"/>
      <c r="N1030" s="1"/>
      <c r="O1030" s="1"/>
    </row>
    <row r="1031" spans="1:15" ht="15" hidden="1" customHeight="1">
      <c r="A1031" s="1"/>
      <c r="B1031" s="1"/>
      <c r="C1031" s="1"/>
      <c r="D1031" s="27">
        <v>13</v>
      </c>
      <c r="E1031" s="27">
        <f ca="1">IF(F1031="",0,MAX(E$1019:E1030)+1)</f>
        <v>11</v>
      </c>
      <c r="F1031" s="104" t="str">
        <f ca="1">IF(AND(SUM(PATRIMONIALE!F1046:Q1046)=0,PATRIMONIALE!S14=0),"",PATRIMONIALE!B14)</f>
        <v>DEBITO 1</v>
      </c>
      <c r="G1031" s="104" t="str">
        <f t="shared" ca="1" si="177"/>
        <v>--------------------------- PATRIMONIALE: Crediti/Debiti</v>
      </c>
      <c r="H1031" s="1"/>
      <c r="I1031" s="235">
        <f ca="1">SUM(PATRIMONIALE!S14)</f>
        <v>0</v>
      </c>
      <c r="J1031" s="1"/>
      <c r="K1031" s="1"/>
      <c r="L1031" s="1"/>
      <c r="M1031" s="1"/>
      <c r="N1031" s="1"/>
      <c r="O1031" s="1"/>
    </row>
    <row r="1032" spans="1:15" ht="15" hidden="1" customHeight="1">
      <c r="A1032" s="1"/>
      <c r="B1032" s="1"/>
      <c r="C1032" s="1"/>
      <c r="D1032" s="27">
        <v>14</v>
      </c>
      <c r="E1032" s="27">
        <f ca="1">IF(F1032="",0,MAX(E$1019:E1031)+1)</f>
        <v>12</v>
      </c>
      <c r="F1032" s="105" t="str">
        <f ca="1">IF(AND(SUM(PATRIMONIALE!F1047:Q1047)=0,PATRIMONIALE!S15=0),"",PATRIMONIALE!B15)</f>
        <v>RISERVA ACCANTONATA</v>
      </c>
      <c r="G1032" s="104" t="str">
        <f t="shared" ca="1" si="177"/>
        <v>CR/DB - Nome ENTE 1</v>
      </c>
      <c r="H1032" s="1"/>
      <c r="I1032" s="236">
        <f ca="1">SUM(PATRIMONIALE!S15)</f>
        <v>150</v>
      </c>
      <c r="J1032" s="1"/>
      <c r="K1032" s="1"/>
      <c r="L1032" s="1"/>
      <c r="M1032" s="1"/>
      <c r="N1032" s="1"/>
      <c r="O1032" s="1"/>
    </row>
    <row r="1033" spans="1:15" ht="15" hidden="1" customHeight="1">
      <c r="A1033" s="1"/>
      <c r="B1033" s="1"/>
      <c r="C1033" s="1"/>
      <c r="D1033" s="27">
        <v>15</v>
      </c>
      <c r="E1033" s="27">
        <f ca="1">IF(F1033="",0,MAX(E$1019:E1032)+1)</f>
        <v>13</v>
      </c>
      <c r="F1033" s="160" t="str">
        <f>CONCATENATE("--------------------------- ","PATRIMONIALE: Crediti/Debiti")</f>
        <v>--------------------------- PATRIMONIALE: Crediti/Debiti</v>
      </c>
      <c r="G1033" s="104" t="str">
        <f t="shared" ca="1" si="177"/>
        <v>CR/DB - Nome ENTE 2</v>
      </c>
      <c r="H1033" s="1"/>
      <c r="I1033" s="3"/>
      <c r="J1033" s="1"/>
      <c r="K1033" s="1"/>
      <c r="L1033" s="1"/>
      <c r="M1033" s="1"/>
      <c r="N1033" s="1"/>
      <c r="O1033" s="1"/>
    </row>
    <row r="1034" spans="1:15" ht="15" hidden="1" customHeight="1">
      <c r="A1034" s="1"/>
      <c r="B1034" s="1"/>
      <c r="C1034" s="1"/>
      <c r="D1034" s="27">
        <v>16</v>
      </c>
      <c r="E1034" s="27">
        <f ca="1">IF(F1034="",0,MAX(E$1019:E1033)+1)</f>
        <v>14</v>
      </c>
      <c r="F1034" s="104" t="str">
        <f>IF(AND(ISERROR(VLOOKUP(PATRIMONIALE!B34,PATRIMONIALE!X$4:X$1003,1,FALSE)),PATRIMONIALE!E34=0),"",PATRIMONIALE!B34)</f>
        <v>CR/DB - Nome ENTE 1</v>
      </c>
      <c r="G1034" s="104" t="str">
        <f t="shared" ca="1" si="177"/>
        <v>CR/DB - Nome ENTE 3</v>
      </c>
      <c r="H1034" s="1"/>
      <c r="I1034" s="237" t="str">
        <f ca="1">I$4185&amp;F1020</f>
        <v>Confluisce in Nome ENTE 1</v>
      </c>
      <c r="J1034" s="1"/>
      <c r="K1034" s="1"/>
      <c r="L1034" s="1"/>
      <c r="M1034" s="1"/>
      <c r="N1034" s="1"/>
      <c r="O1034" s="1"/>
    </row>
    <row r="1035" spans="1:15" ht="15" hidden="1" customHeight="1">
      <c r="A1035" s="1"/>
      <c r="B1035" s="1"/>
      <c r="C1035" s="1"/>
      <c r="D1035" s="27">
        <v>17</v>
      </c>
      <c r="E1035" s="27">
        <f ca="1">IF(F1035="",0,MAX(E$1019:E1034)+1)</f>
        <v>15</v>
      </c>
      <c r="F1035" s="104" t="str">
        <f>IF(AND(ISERROR(VLOOKUP(PATRIMONIALE!B35,PATRIMONIALE!X$4:X$1003,1,FALSE)),PATRIMONIALE!E35=0),"",PATRIMONIALE!B35)</f>
        <v>CR/DB - Nome ENTE 2</v>
      </c>
      <c r="G1035" s="104" t="str">
        <f t="shared" ca="1" si="177"/>
        <v>--------------------------- COSTI del CONDOMINIO</v>
      </c>
      <c r="H1035" s="1"/>
      <c r="I1035" s="238" t="str">
        <f ca="1">I$4185&amp;F1021</f>
        <v>Confluisce in Nome ENTE 2</v>
      </c>
      <c r="J1035" s="1"/>
      <c r="K1035" s="1"/>
      <c r="L1035" s="1"/>
      <c r="M1035" s="1"/>
      <c r="N1035" s="1"/>
      <c r="O1035" s="1"/>
    </row>
    <row r="1036" spans="1:15" ht="15" hidden="1" customHeight="1">
      <c r="A1036" s="1"/>
      <c r="B1036" s="1"/>
      <c r="C1036" s="1"/>
      <c r="D1036" s="27">
        <v>18</v>
      </c>
      <c r="E1036" s="27">
        <f ca="1">IF(F1036="",0,MAX(E$1019:E1035)+1)</f>
        <v>16</v>
      </c>
      <c r="F1036" s="104" t="str">
        <f>IF(AND(ISERROR(VLOOKUP(PATRIMONIALE!B36,PATRIMONIALE!X$4:X$1003,1,FALSE)),PATRIMONIALE!E36=0),"",PATRIMONIALE!B36)</f>
        <v>CR/DB - Nome ENTE 3</v>
      </c>
      <c r="G1036" s="104" t="str">
        <f t="shared" ca="1" si="177"/>
        <v>Assicurazione</v>
      </c>
      <c r="H1036" s="1"/>
      <c r="I1036" s="238" t="str">
        <f ca="1">I$4185&amp;F1022</f>
        <v>Confluisce in Nome ENTE 3</v>
      </c>
      <c r="J1036" s="1"/>
      <c r="K1036" s="1"/>
      <c r="L1036" s="1"/>
      <c r="M1036" s="1"/>
      <c r="N1036" s="1"/>
      <c r="O1036" s="1"/>
    </row>
    <row r="1037" spans="1:15" ht="15" hidden="1" customHeight="1">
      <c r="A1037" s="1"/>
      <c r="B1037" s="1"/>
      <c r="C1037" s="1"/>
      <c r="D1037" s="27">
        <v>19</v>
      </c>
      <c r="E1037" s="27">
        <f>IF(F1037="",0,MAX(E$1019:E1036)+1)</f>
        <v>0</v>
      </c>
      <c r="F1037" s="104" t="str">
        <f>IF(AND(ISERROR(VLOOKUP(PATRIMONIALE!B37,PATRIMONIALE!X$4:X$1003,1,FALSE)),PATRIMONIALE!E37=0),"",PATRIMONIALE!B37)</f>
        <v/>
      </c>
      <c r="G1037" s="104" t="str">
        <f t="shared" ca="1" si="177"/>
        <v>Attrezzatura</v>
      </c>
      <c r="H1037" s="1"/>
      <c r="I1037" s="238" t="str">
        <f ca="1">I$4185&amp;F1023</f>
        <v>Confluisce in Nome ENTE 4 / sovrascrivi</v>
      </c>
      <c r="J1037" s="1"/>
      <c r="K1037" s="1"/>
      <c r="L1037" s="1"/>
      <c r="M1037" s="1"/>
      <c r="N1037" s="1"/>
      <c r="O1037" s="1"/>
    </row>
    <row r="1038" spans="1:15" ht="15" hidden="1" customHeight="1">
      <c r="A1038" s="1"/>
      <c r="B1038" s="1"/>
      <c r="C1038" s="1"/>
      <c r="D1038" s="27">
        <v>20</v>
      </c>
      <c r="E1038" s="27">
        <f>IF(F1038="",0,MAX(E$1019:E1036)+1)</f>
        <v>0</v>
      </c>
      <c r="F1038" s="105" t="str">
        <f>IF(AND(ISERROR(VLOOKUP(PATRIMONIALE!B38,PATRIMONIALE!X$4:X$1003,1,FALSE)),PATRIMONIALE!E38=0),"",PATRIMONIALE!B38)</f>
        <v/>
      </c>
      <c r="G1038" s="104" t="str">
        <f t="shared" ca="1" si="177"/>
        <v>Spese Postali - Notarili - Documenti</v>
      </c>
      <c r="H1038" s="1"/>
      <c r="I1038" s="239" t="str">
        <f ca="1">I$4185&amp;F1024</f>
        <v>Confluisce in Nome ENTE ultimo disponibile</v>
      </c>
      <c r="J1038" s="1"/>
      <c r="K1038" s="1"/>
      <c r="L1038" s="1"/>
      <c r="M1038" s="1"/>
      <c r="N1038" s="1"/>
      <c r="O1038" s="1"/>
    </row>
    <row r="1039" spans="1:15" ht="15" hidden="1" customHeight="1">
      <c r="A1039" s="1"/>
      <c r="B1039" s="1"/>
      <c r="C1039" s="1"/>
      <c r="D1039" s="27">
        <v>21</v>
      </c>
      <c r="E1039" s="27">
        <f ca="1">IF(F1039="",0,MAX(E$1019:E1038)+1)</f>
        <v>17</v>
      </c>
      <c r="F1039" s="160" t="str">
        <f>CONCATENATE("--------------------------- ","COSTI del CONDOMINIO")</f>
        <v>--------------------------- COSTI del CONDOMINIO</v>
      </c>
      <c r="G1039" s="104" t="str">
        <f t="shared" ca="1" si="177"/>
        <v>Spese Bancarie</v>
      </c>
      <c r="H1039" s="1"/>
      <c r="I1039" s="3"/>
      <c r="J1039" s="1"/>
      <c r="K1039" s="1"/>
      <c r="L1039" s="1"/>
      <c r="M1039" s="1"/>
      <c r="N1039" s="1"/>
      <c r="O1039" s="1"/>
    </row>
    <row r="1040" spans="1:15" ht="15" hidden="1" customHeight="1">
      <c r="A1040" s="1"/>
      <c r="B1040" s="1"/>
      <c r="C1040" s="1"/>
      <c r="D1040" s="27">
        <v>22</v>
      </c>
      <c r="E1040" s="27">
        <f ca="1">IF(F1040="",0,MAX(E$1019:E1039)+1)</f>
        <v>18</v>
      </c>
      <c r="F1040" s="161" t="str">
        <f>IF(COSTI!S9&lt;&gt;0,COSTI!B9,"")</f>
        <v>Assicurazione</v>
      </c>
      <c r="G1040" s="104" t="str">
        <f t="shared" ca="1" si="177"/>
        <v>Imposte e tasse condominiali</v>
      </c>
      <c r="H1040" s="1"/>
      <c r="I1040" s="234">
        <f>COSTI!S9</f>
        <v>150</v>
      </c>
      <c r="J1040" s="1"/>
      <c r="K1040" s="1"/>
      <c r="L1040" s="1"/>
      <c r="M1040" s="1"/>
      <c r="N1040" s="1"/>
      <c r="O1040" s="1"/>
    </row>
    <row r="1041" spans="1:15" ht="15" hidden="1" customHeight="1">
      <c r="A1041" s="1"/>
      <c r="B1041" s="1"/>
      <c r="C1041" s="1"/>
      <c r="D1041" s="27">
        <v>23</v>
      </c>
      <c r="E1041" s="27">
        <f ca="1">IF(F1041="",0,MAX(E$1019:E1040)+1)</f>
        <v>19</v>
      </c>
      <c r="F1041" s="161" t="str">
        <f>IF(COSTI!S10&lt;&gt;0,COSTI!B10,"")</f>
        <v>Attrezzatura</v>
      </c>
      <c r="G1041" s="104" t="str">
        <f t="shared" ca="1" si="177"/>
        <v>Fornitura combustibile</v>
      </c>
      <c r="H1041" s="1"/>
      <c r="I1041" s="235">
        <f>COSTI!S10</f>
        <v>150</v>
      </c>
      <c r="J1041" s="1"/>
      <c r="K1041" s="1"/>
      <c r="L1041" s="1"/>
      <c r="M1041" s="1"/>
      <c r="N1041" s="1"/>
      <c r="O1041" s="1"/>
    </row>
    <row r="1042" spans="1:15" ht="15" hidden="1" customHeight="1">
      <c r="A1042" s="1"/>
      <c r="B1042" s="1"/>
      <c r="C1042" s="1"/>
      <c r="D1042" s="27">
        <v>24</v>
      </c>
      <c r="E1042" s="27">
        <f ca="1">IF(F1042="",0,MAX(E$1019:E1041)+1)</f>
        <v>20</v>
      </c>
      <c r="F1042" s="161" t="str">
        <f>IF(COSTI!S11&lt;&gt;0,COSTI!B11,"")</f>
        <v>Spese Postali - Notarili - Documenti</v>
      </c>
      <c r="G1042" s="104" t="str">
        <f t="shared" ca="1" si="177"/>
        <v>Risc.to - Manutenzioni ordinarie</v>
      </c>
      <c r="H1042" s="1"/>
      <c r="I1042" s="235">
        <f>COSTI!S11</f>
        <v>150</v>
      </c>
      <c r="J1042" s="1"/>
      <c r="K1042" s="1"/>
      <c r="L1042" s="1"/>
      <c r="M1042" s="1"/>
      <c r="N1042" s="1"/>
      <c r="O1042" s="1"/>
    </row>
    <row r="1043" spans="1:15" ht="15" hidden="1" customHeight="1">
      <c r="A1043" s="1"/>
      <c r="B1043" s="1"/>
      <c r="C1043" s="1"/>
      <c r="D1043" s="27">
        <v>25</v>
      </c>
      <c r="E1043" s="27">
        <f ca="1">IF(F1043="",0,MAX(E$1019:E1042)+1)</f>
        <v>21</v>
      </c>
      <c r="F1043" s="161" t="str">
        <f>IF(COSTI!S12&lt;&gt;0,COSTI!B12,"")</f>
        <v>Spese Bancarie</v>
      </c>
      <c r="G1043" s="104" t="str">
        <f t="shared" ca="1" si="177"/>
        <v>Risc.to - Rip. e Manut.ni straordinarie</v>
      </c>
      <c r="H1043" s="1"/>
      <c r="I1043" s="235">
        <f>COSTI!S12</f>
        <v>200</v>
      </c>
      <c r="J1043" s="1"/>
      <c r="K1043" s="1"/>
      <c r="L1043" s="1"/>
      <c r="M1043" s="1"/>
      <c r="N1043" s="1"/>
      <c r="O1043" s="1"/>
    </row>
    <row r="1044" spans="1:15" ht="15" hidden="1" customHeight="1">
      <c r="A1044" s="1"/>
      <c r="B1044" s="1"/>
      <c r="C1044" s="1"/>
      <c r="D1044" s="27">
        <v>26</v>
      </c>
      <c r="E1044" s="27">
        <f ca="1">IF(F1044="",0,MAX(E$1019:E1043)+1)</f>
        <v>22</v>
      </c>
      <c r="F1044" s="161" t="str">
        <f>IF(COSTI!S13&lt;&gt;0,COSTI!B13,"")</f>
        <v>Imposte e tasse condominiali</v>
      </c>
      <c r="G1044" s="104" t="str">
        <f t="shared" ca="1" si="177"/>
        <v>Illuminazione</v>
      </c>
      <c r="H1044" s="1"/>
      <c r="I1044" s="235">
        <f>COSTI!S13</f>
        <v>200</v>
      </c>
      <c r="J1044" s="1"/>
      <c r="K1044" s="1"/>
      <c r="L1044" s="1"/>
      <c r="M1044" s="1"/>
      <c r="N1044" s="1"/>
      <c r="O1044" s="1"/>
    </row>
    <row r="1045" spans="1:15" ht="15" hidden="1" customHeight="1">
      <c r="A1045" s="1"/>
      <c r="B1045" s="1"/>
      <c r="C1045" s="1"/>
      <c r="D1045" s="27">
        <v>27</v>
      </c>
      <c r="E1045" s="27">
        <f ca="1">IF(F1045="",0,MAX(E$1019:E1044)+1)</f>
        <v>23</v>
      </c>
      <c r="F1045" s="161" t="str">
        <f>IF(COSTI!S14&lt;&gt;0,COSTI!B14,"")</f>
        <v>Fornitura combustibile</v>
      </c>
      <c r="G1045" s="104" t="str">
        <f t="shared" ca="1" si="177"/>
        <v>Piccole manutenzioni ordinarie</v>
      </c>
      <c r="H1045" s="1"/>
      <c r="I1045" s="235">
        <f>COSTI!S14</f>
        <v>200</v>
      </c>
      <c r="J1045" s="1"/>
      <c r="K1045" s="1"/>
      <c r="L1045" s="1"/>
      <c r="M1045" s="1"/>
      <c r="N1045" s="1"/>
      <c r="O1045" s="1"/>
    </row>
    <row r="1046" spans="1:15" ht="15" hidden="1" customHeight="1">
      <c r="A1046" s="1"/>
      <c r="B1046" s="1"/>
      <c r="C1046" s="1"/>
      <c r="D1046" s="27">
        <v>28</v>
      </c>
      <c r="E1046" s="27">
        <f ca="1">IF(F1046="",0,MAX(E$1019:E1045)+1)</f>
        <v>24</v>
      </c>
      <c r="F1046" s="161" t="str">
        <f>IF(COSTI!S15&lt;&gt;0,COSTI!B15,"")</f>
        <v>Risc.to - Manutenzioni ordinarie</v>
      </c>
      <c r="G1046" s="104" t="str">
        <f t="shared" ca="1" si="177"/>
        <v>Giardino</v>
      </c>
      <c r="H1046" s="1"/>
      <c r="I1046" s="235">
        <f>COSTI!S15</f>
        <v>150</v>
      </c>
      <c r="J1046" s="1"/>
      <c r="K1046" s="1"/>
      <c r="L1046" s="1"/>
      <c r="M1046" s="1"/>
      <c r="N1046" s="1"/>
      <c r="O1046" s="1"/>
    </row>
    <row r="1047" spans="1:15" ht="15" hidden="1" customHeight="1">
      <c r="A1047" s="1"/>
      <c r="B1047" s="1"/>
      <c r="C1047" s="1"/>
      <c r="D1047" s="27">
        <v>29</v>
      </c>
      <c r="E1047" s="27">
        <f ca="1">IF(F1047="",0,MAX(E$1019:E1046)+1)</f>
        <v>25</v>
      </c>
      <c r="F1047" s="161" t="str">
        <f>IF(COSTI!S16&lt;&gt;0,COSTI!B16,"")</f>
        <v>Risc.to - Rip. e Manut.ni straordinarie</v>
      </c>
      <c r="G1047" s="104" t="str">
        <f t="shared" ca="1" si="177"/>
        <v>Consumo idrico condominiale</v>
      </c>
      <c r="H1047" s="1"/>
      <c r="I1047" s="235">
        <f>COSTI!S16</f>
        <v>150</v>
      </c>
      <c r="J1047" s="1"/>
      <c r="K1047" s="1"/>
      <c r="L1047" s="1"/>
      <c r="M1047" s="1"/>
      <c r="N1047" s="1"/>
      <c r="O1047" s="1"/>
    </row>
    <row r="1048" spans="1:15" ht="15" hidden="1" customHeight="1">
      <c r="A1048" s="1"/>
      <c r="B1048" s="1"/>
      <c r="C1048" s="1"/>
      <c r="D1048" s="27">
        <v>30</v>
      </c>
      <c r="E1048" s="27">
        <f ca="1">IF(F1048="",0,MAX(E$1019:E1047)+1)</f>
        <v>26</v>
      </c>
      <c r="F1048" s="161" t="str">
        <f>IF(COSTI!S17&lt;&gt;0,COSTI!B17,"")</f>
        <v>Illuminazione</v>
      </c>
      <c r="G1048" s="104" t="str">
        <f t="shared" ca="1" si="177"/>
        <v>Materiale di consumo</v>
      </c>
      <c r="H1048" s="1"/>
      <c r="I1048" s="235">
        <f>COSTI!S17</f>
        <v>150</v>
      </c>
      <c r="J1048" s="1"/>
      <c r="K1048" s="1"/>
      <c r="L1048" s="1"/>
      <c r="M1048" s="1"/>
      <c r="N1048" s="1"/>
      <c r="O1048" s="1"/>
    </row>
    <row r="1049" spans="1:15" ht="15" hidden="1" customHeight="1">
      <c r="A1049" s="1"/>
      <c r="B1049" s="1"/>
      <c r="C1049" s="1"/>
      <c r="D1049" s="27">
        <v>31</v>
      </c>
      <c r="E1049" s="27">
        <f ca="1">IF(F1049="",0,MAX(E$1019:E1048)+1)</f>
        <v>27</v>
      </c>
      <c r="F1049" s="161" t="str">
        <f>IF(COSTI!S18&lt;&gt;0,COSTI!B18,"")</f>
        <v>Piccole manutenzioni ordinarie</v>
      </c>
      <c r="G1049" s="104" t="str">
        <f t="shared" ca="1" si="177"/>
        <v>Collaboratori</v>
      </c>
      <c r="H1049" s="1"/>
      <c r="I1049" s="235">
        <f>COSTI!S18</f>
        <v>150</v>
      </c>
      <c r="J1049" s="1"/>
      <c r="K1049" s="1"/>
      <c r="L1049" s="1"/>
      <c r="M1049" s="1"/>
      <c r="N1049" s="1"/>
      <c r="O1049" s="1"/>
    </row>
    <row r="1050" spans="1:15" ht="15" hidden="1" customHeight="1">
      <c r="A1050" s="1"/>
      <c r="B1050" s="1"/>
      <c r="C1050" s="1"/>
      <c r="D1050" s="27">
        <v>32</v>
      </c>
      <c r="E1050" s="27">
        <f ca="1">IF(F1050="",0,MAX(E$1019:E1049)+1)</f>
        <v>28</v>
      </c>
      <c r="F1050" s="161" t="str">
        <f>IF(COSTI!S19&lt;&gt;0,COSTI!B19,"")</f>
        <v>Giardino</v>
      </c>
      <c r="G1050" s="104" t="str">
        <f t="shared" ca="1" si="177"/>
        <v>Ascensore - Manutenzione</v>
      </c>
      <c r="H1050" s="1"/>
      <c r="I1050" s="235">
        <f>COSTI!S19</f>
        <v>150</v>
      </c>
      <c r="J1050" s="1"/>
      <c r="K1050" s="1"/>
      <c r="L1050" s="1"/>
      <c r="M1050" s="1"/>
      <c r="N1050" s="1"/>
      <c r="O1050" s="1"/>
    </row>
    <row r="1051" spans="1:15" ht="15" hidden="1" customHeight="1">
      <c r="A1051" s="1"/>
      <c r="B1051" s="1"/>
      <c r="C1051" s="1"/>
      <c r="D1051" s="27">
        <v>33</v>
      </c>
      <c r="E1051" s="27">
        <f ca="1">IF(F1051="",0,MAX(E$1019:E1050)+1)</f>
        <v>29</v>
      </c>
      <c r="F1051" s="161" t="str">
        <f>IF(COSTI!S20&lt;&gt;0,COSTI!B20,"")</f>
        <v>Consumo idrico condominiale</v>
      </c>
      <c r="G1051" s="104" t="str">
        <f t="shared" ref="G1051:G1076" ca="1" si="178">IF(MAX(E$1019:E$1076)&lt;D1051," ",VLOOKUP(D1051,E$1019:F$1076,2,FALSE))</f>
        <v>Ascensore - Oneri accessori</v>
      </c>
      <c r="H1051" s="1"/>
      <c r="I1051" s="235">
        <f>COSTI!S20</f>
        <v>50</v>
      </c>
      <c r="J1051" s="1"/>
      <c r="K1051" s="1"/>
      <c r="L1051" s="1"/>
      <c r="M1051" s="1"/>
      <c r="N1051" s="1"/>
      <c r="O1051" s="1"/>
    </row>
    <row r="1052" spans="1:15" ht="15" hidden="1" customHeight="1">
      <c r="A1052" s="1"/>
      <c r="B1052" s="1"/>
      <c r="C1052" s="1"/>
      <c r="D1052" s="27">
        <v>34</v>
      </c>
      <c r="E1052" s="27">
        <f ca="1">IF(F1052="",0,MAX(E$1019:E1051)+1)</f>
        <v>30</v>
      </c>
      <c r="F1052" s="161" t="str">
        <f>IF(COSTI!S21&lt;&gt;0,COSTI!B21,"")</f>
        <v>Materiale di consumo</v>
      </c>
      <c r="G1052" s="104" t="str">
        <f t="shared" ca="1" si="178"/>
        <v>Decorazioni</v>
      </c>
      <c r="H1052" s="1"/>
      <c r="I1052" s="235">
        <f>COSTI!S21</f>
        <v>50</v>
      </c>
      <c r="J1052" s="1"/>
      <c r="K1052" s="1"/>
      <c r="L1052" s="1"/>
      <c r="M1052" s="1"/>
      <c r="N1052" s="1"/>
      <c r="O1052" s="1"/>
    </row>
    <row r="1053" spans="1:15" ht="15" hidden="1" customHeight="1">
      <c r="A1053" s="1"/>
      <c r="B1053" s="1"/>
      <c r="C1053" s="1"/>
      <c r="D1053" s="27">
        <v>35</v>
      </c>
      <c r="E1053" s="27">
        <f ca="1">IF(F1053="",0,MAX(E$1019:E1052)+1)</f>
        <v>31</v>
      </c>
      <c r="F1053" s="161" t="str">
        <f>IF(COSTI!S22&lt;&gt;0,COSTI!B22,"")</f>
        <v>Collaboratori</v>
      </c>
      <c r="G1053" s="104" t="str">
        <f t="shared" ca="1" si="178"/>
        <v>Software contabilità</v>
      </c>
      <c r="H1053" s="1"/>
      <c r="I1053" s="235">
        <f>COSTI!S22</f>
        <v>50</v>
      </c>
      <c r="J1053" s="1"/>
      <c r="K1053" s="1"/>
      <c r="L1053" s="1"/>
      <c r="M1053" s="1"/>
      <c r="N1053" s="1"/>
      <c r="O1053" s="1"/>
    </row>
    <row r="1054" spans="1:15" ht="15" hidden="1" customHeight="1">
      <c r="A1054" s="1"/>
      <c r="B1054" s="1"/>
      <c r="C1054" s="1"/>
      <c r="D1054" s="27">
        <v>36</v>
      </c>
      <c r="E1054" s="27">
        <f ca="1">IF(F1054="",0,MAX(E$1019:E1053)+1)</f>
        <v>32</v>
      </c>
      <c r="F1054" s="161" t="str">
        <f>IF(COSTI!S23&lt;&gt;0,COSTI!B23,"")</f>
        <v>Ascensore - Manutenzione</v>
      </c>
      <c r="G1054" s="104" t="str">
        <f t="shared" ca="1" si="178"/>
        <v>Ultimo COSTO disponibile</v>
      </c>
      <c r="H1054" s="1"/>
      <c r="I1054" s="235">
        <f>COSTI!S23</f>
        <v>50</v>
      </c>
      <c r="J1054" s="1"/>
      <c r="K1054" s="1"/>
      <c r="L1054" s="1"/>
      <c r="M1054" s="1"/>
      <c r="N1054" s="1"/>
      <c r="O1054" s="1"/>
    </row>
    <row r="1055" spans="1:15" ht="15" hidden="1" customHeight="1">
      <c r="A1055" s="1"/>
      <c r="B1055" s="1"/>
      <c r="C1055" s="1"/>
      <c r="D1055" s="27">
        <v>37</v>
      </c>
      <c r="E1055" s="27">
        <f ca="1">IF(F1055="",0,MAX(E$1019:E1054)+1)</f>
        <v>33</v>
      </c>
      <c r="F1055" s="161" t="str">
        <f>IF(COSTI!S24&lt;&gt;0,COSTI!B24,"")</f>
        <v>Ascensore - Oneri accessori</v>
      </c>
      <c r="G1055" s="104" t="str">
        <f t="shared" ca="1" si="178"/>
        <v>AMMINISTRATORE</v>
      </c>
      <c r="H1055" s="1"/>
      <c r="I1055" s="235">
        <f>COSTI!S24</f>
        <v>50</v>
      </c>
      <c r="J1055" s="1"/>
      <c r="K1055" s="1"/>
      <c r="L1055" s="1"/>
      <c r="M1055" s="1"/>
      <c r="N1055" s="1"/>
      <c r="O1055" s="1"/>
    </row>
    <row r="1056" spans="1:15" ht="15" hidden="1" customHeight="1">
      <c r="A1056" s="1"/>
      <c r="B1056" s="1"/>
      <c r="C1056" s="1"/>
      <c r="D1056" s="27">
        <v>38</v>
      </c>
      <c r="E1056" s="27">
        <f ca="1">IF(F1056="",0,MAX(E$1019:E1055)+1)</f>
        <v>34</v>
      </c>
      <c r="F1056" s="161" t="str">
        <f>IF(COSTI!S25&lt;&gt;0,COSTI!B25,"")</f>
        <v>Decorazioni</v>
      </c>
      <c r="G1056" s="104" t="str">
        <f t="shared" ca="1" si="178"/>
        <v xml:space="preserve"> </v>
      </c>
      <c r="H1056" s="1"/>
      <c r="I1056" s="235">
        <f>COSTI!S25</f>
        <v>50</v>
      </c>
      <c r="J1056" s="1"/>
      <c r="K1056" s="1"/>
      <c r="L1056" s="1"/>
      <c r="M1056" s="1"/>
      <c r="N1056" s="1"/>
      <c r="O1056" s="1"/>
    </row>
    <row r="1057" spans="1:15" ht="15" hidden="1" customHeight="1">
      <c r="A1057" s="1"/>
      <c r="B1057" s="1"/>
      <c r="C1057" s="1"/>
      <c r="D1057" s="27">
        <v>39</v>
      </c>
      <c r="E1057" s="27">
        <f ca="1">IF(F1057="",0,MAX(E$1019:E1056)+1)</f>
        <v>35</v>
      </c>
      <c r="F1057" s="161" t="str">
        <f>IF(COSTI!S26&lt;&gt;0,COSTI!B26,"")</f>
        <v>Software contabilità</v>
      </c>
      <c r="G1057" s="104" t="str">
        <f t="shared" ca="1" si="178"/>
        <v xml:space="preserve"> </v>
      </c>
      <c r="H1057" s="1"/>
      <c r="I1057" s="235">
        <f>COSTI!S26</f>
        <v>50</v>
      </c>
      <c r="J1057" s="1"/>
      <c r="K1057" s="1"/>
      <c r="L1057" s="1"/>
      <c r="M1057" s="1"/>
      <c r="N1057" s="1"/>
      <c r="O1057" s="1"/>
    </row>
    <row r="1058" spans="1:15" ht="15" hidden="1" customHeight="1">
      <c r="A1058" s="1"/>
      <c r="B1058" s="1"/>
      <c r="C1058" s="1"/>
      <c r="D1058" s="27">
        <v>40</v>
      </c>
      <c r="E1058" s="27">
        <f>IF(F1058="",0,MAX(E$1019:E1057)+1)</f>
        <v>0</v>
      </c>
      <c r="F1058" s="161" t="str">
        <f>IF(COSTI!S27&lt;&gt;0,COSTI!B27,"")</f>
        <v/>
      </c>
      <c r="G1058" s="104" t="str">
        <f t="shared" ca="1" si="178"/>
        <v xml:space="preserve"> </v>
      </c>
      <c r="H1058" s="1"/>
      <c r="I1058" s="235">
        <f>COSTI!S27</f>
        <v>0</v>
      </c>
      <c r="J1058" s="1"/>
      <c r="K1058" s="1"/>
      <c r="L1058" s="1"/>
      <c r="M1058" s="1"/>
      <c r="N1058" s="1"/>
      <c r="O1058" s="1"/>
    </row>
    <row r="1059" spans="1:15" ht="15" hidden="1" customHeight="1">
      <c r="A1059" s="1"/>
      <c r="B1059" s="1"/>
      <c r="C1059" s="1"/>
      <c r="D1059" s="27">
        <v>41</v>
      </c>
      <c r="E1059" s="27">
        <f>IF(F1059="",0,MAX(E$1019:E1058)+1)</f>
        <v>0</v>
      </c>
      <c r="F1059" s="161" t="str">
        <f>IF(COSTI!S28&lt;&gt;0,COSTI!B28,"")</f>
        <v/>
      </c>
      <c r="G1059" s="104" t="str">
        <f t="shared" ca="1" si="178"/>
        <v xml:space="preserve"> </v>
      </c>
      <c r="H1059" s="1"/>
      <c r="I1059" s="235">
        <f>COSTI!S28</f>
        <v>0</v>
      </c>
      <c r="J1059" s="1"/>
      <c r="K1059" s="1"/>
      <c r="L1059" s="1"/>
      <c r="M1059" s="1"/>
      <c r="N1059" s="1"/>
      <c r="O1059" s="1"/>
    </row>
    <row r="1060" spans="1:15" ht="15" hidden="1" customHeight="1">
      <c r="A1060" s="1"/>
      <c r="B1060" s="1"/>
      <c r="C1060" s="1"/>
      <c r="D1060" s="27">
        <v>42</v>
      </c>
      <c r="E1060" s="27">
        <f>IF(F1060="",0,MAX(E$1019:E1059)+1)</f>
        <v>0</v>
      </c>
      <c r="F1060" s="161" t="str">
        <f>IF(COSTI!S29&lt;&gt;0,COSTI!B29,"")</f>
        <v/>
      </c>
      <c r="G1060" s="104" t="str">
        <f t="shared" ca="1" si="178"/>
        <v xml:space="preserve"> </v>
      </c>
      <c r="H1060" s="1"/>
      <c r="I1060" s="235">
        <f>COSTI!S29</f>
        <v>0</v>
      </c>
      <c r="J1060" s="1"/>
      <c r="K1060" s="1"/>
      <c r="L1060" s="1"/>
      <c r="M1060" s="1"/>
      <c r="N1060" s="1"/>
      <c r="O1060" s="1"/>
    </row>
    <row r="1061" spans="1:15" ht="15" hidden="1" customHeight="1">
      <c r="A1061" s="1"/>
      <c r="B1061" s="1"/>
      <c r="C1061" s="1"/>
      <c r="D1061" s="27">
        <v>43</v>
      </c>
      <c r="E1061" s="27">
        <f>IF(F1061="",0,MAX(E$1019:E1060)+1)</f>
        <v>0</v>
      </c>
      <c r="F1061" s="161" t="str">
        <f>IF(COSTI!S30&lt;&gt;0,COSTI!B30,"")</f>
        <v/>
      </c>
      <c r="G1061" s="104" t="str">
        <f t="shared" ca="1" si="178"/>
        <v xml:space="preserve"> </v>
      </c>
      <c r="H1061" s="1"/>
      <c r="I1061" s="235">
        <f>COSTI!S30</f>
        <v>0</v>
      </c>
      <c r="J1061" s="1"/>
      <c r="K1061" s="1"/>
      <c r="L1061" s="1"/>
      <c r="M1061" s="1"/>
      <c r="N1061" s="1"/>
      <c r="O1061" s="1"/>
    </row>
    <row r="1062" spans="1:15" ht="15" hidden="1" customHeight="1">
      <c r="A1062" s="1"/>
      <c r="B1062" s="1"/>
      <c r="C1062" s="1"/>
      <c r="D1062" s="27">
        <v>44</v>
      </c>
      <c r="E1062" s="27">
        <f>IF(F1062="",0,MAX(E$1019:E1061)+1)</f>
        <v>0</v>
      </c>
      <c r="F1062" s="161" t="str">
        <f>IF(COSTI!S31&lt;&gt;0,COSTI!B31,"")</f>
        <v/>
      </c>
      <c r="G1062" s="104" t="str">
        <f t="shared" ca="1" si="178"/>
        <v xml:space="preserve"> </v>
      </c>
      <c r="H1062" s="1"/>
      <c r="I1062" s="235">
        <f>COSTI!S31</f>
        <v>0</v>
      </c>
      <c r="J1062" s="1"/>
      <c r="K1062" s="1"/>
      <c r="L1062" s="1"/>
      <c r="M1062" s="1"/>
      <c r="N1062" s="1"/>
      <c r="O1062" s="1"/>
    </row>
    <row r="1063" spans="1:15" ht="15" hidden="1" customHeight="1">
      <c r="A1063" s="1"/>
      <c r="B1063" s="1"/>
      <c r="C1063" s="1"/>
      <c r="D1063" s="27">
        <v>45</v>
      </c>
      <c r="E1063" s="27">
        <f>IF(F1063="",0,MAX(E$1019:E1062)+1)</f>
        <v>0</v>
      </c>
      <c r="F1063" s="161" t="str">
        <f>IF(COSTI!S32&lt;&gt;0,COSTI!B32,"")</f>
        <v/>
      </c>
      <c r="G1063" s="104" t="str">
        <f t="shared" ca="1" si="178"/>
        <v xml:space="preserve"> </v>
      </c>
      <c r="H1063" s="1"/>
      <c r="I1063" s="235">
        <f>COSTI!S32</f>
        <v>0</v>
      </c>
      <c r="J1063" s="1"/>
      <c r="K1063" s="1"/>
      <c r="L1063" s="1"/>
      <c r="M1063" s="1"/>
      <c r="N1063" s="1"/>
      <c r="O1063" s="1"/>
    </row>
    <row r="1064" spans="1:15" ht="15" hidden="1" customHeight="1">
      <c r="A1064" s="1"/>
      <c r="B1064" s="1"/>
      <c r="C1064" s="1"/>
      <c r="D1064" s="27">
        <v>46</v>
      </c>
      <c r="E1064" s="27">
        <f>IF(F1064="",0,MAX(E$1019:E1063)+1)</f>
        <v>0</v>
      </c>
      <c r="F1064" s="161" t="str">
        <f>IF(COSTI!S33&lt;&gt;0,COSTI!B33,"")</f>
        <v/>
      </c>
      <c r="G1064" s="104" t="str">
        <f t="shared" ca="1" si="178"/>
        <v xml:space="preserve"> </v>
      </c>
      <c r="H1064" s="1"/>
      <c r="I1064" s="235">
        <f>COSTI!S33</f>
        <v>0</v>
      </c>
      <c r="J1064" s="1"/>
      <c r="K1064" s="1"/>
      <c r="L1064" s="1"/>
      <c r="M1064" s="1"/>
      <c r="N1064" s="1"/>
      <c r="O1064" s="1"/>
    </row>
    <row r="1065" spans="1:15" ht="15" hidden="1" customHeight="1">
      <c r="A1065" s="1"/>
      <c r="B1065" s="1"/>
      <c r="C1065" s="1"/>
      <c r="D1065" s="27">
        <v>47</v>
      </c>
      <c r="E1065" s="27">
        <f>IF(F1065="",0,MAX(E$1019:E1064)+1)</f>
        <v>0</v>
      </c>
      <c r="F1065" s="161" t="str">
        <f>IF(COSTI!S34&lt;&gt;0,COSTI!B34,"")</f>
        <v/>
      </c>
      <c r="G1065" s="104" t="str">
        <f t="shared" ca="1" si="178"/>
        <v xml:space="preserve"> </v>
      </c>
      <c r="H1065" s="1"/>
      <c r="I1065" s="235">
        <f>COSTI!S34</f>
        <v>0</v>
      </c>
      <c r="J1065" s="1"/>
      <c r="K1065" s="1"/>
      <c r="L1065" s="1"/>
      <c r="M1065" s="1"/>
      <c r="N1065" s="1"/>
      <c r="O1065" s="1"/>
    </row>
    <row r="1066" spans="1:15" ht="15" hidden="1" customHeight="1">
      <c r="A1066" s="1"/>
      <c r="B1066" s="1"/>
      <c r="C1066" s="1"/>
      <c r="D1066" s="27">
        <v>48</v>
      </c>
      <c r="E1066" s="27">
        <f>IF(F1066="",0,MAX(E$1019:E1065)+1)</f>
        <v>0</v>
      </c>
      <c r="F1066" s="161" t="str">
        <f>IF(COSTI!S35&lt;&gt;0,COSTI!B35,"")</f>
        <v/>
      </c>
      <c r="G1066" s="104" t="str">
        <f t="shared" ca="1" si="178"/>
        <v xml:space="preserve"> </v>
      </c>
      <c r="H1066" s="1"/>
      <c r="I1066" s="235">
        <f>COSTI!S35</f>
        <v>0</v>
      </c>
      <c r="J1066" s="1"/>
      <c r="K1066" s="1"/>
      <c r="L1066" s="1"/>
      <c r="M1066" s="1"/>
      <c r="N1066" s="1"/>
      <c r="O1066" s="1"/>
    </row>
    <row r="1067" spans="1:15" ht="15" hidden="1" customHeight="1">
      <c r="A1067" s="1"/>
      <c r="B1067" s="1"/>
      <c r="C1067" s="1"/>
      <c r="D1067" s="27">
        <v>49</v>
      </c>
      <c r="E1067" s="27">
        <f>IF(F1067="",0,MAX(E$1019:E1066)+1)</f>
        <v>0</v>
      </c>
      <c r="F1067" s="161" t="str">
        <f>IF(COSTI!S36&lt;&gt;0,COSTI!B36,"")</f>
        <v/>
      </c>
      <c r="G1067" s="104" t="str">
        <f t="shared" ca="1" si="178"/>
        <v xml:space="preserve"> </v>
      </c>
      <c r="H1067" s="1"/>
      <c r="I1067" s="235">
        <f>COSTI!S36</f>
        <v>0</v>
      </c>
      <c r="J1067" s="1"/>
      <c r="K1067" s="1"/>
      <c r="L1067" s="1"/>
      <c r="M1067" s="1"/>
      <c r="N1067" s="1"/>
      <c r="O1067" s="1"/>
    </row>
    <row r="1068" spans="1:15" ht="15" hidden="1" customHeight="1">
      <c r="A1068" s="1"/>
      <c r="B1068" s="1"/>
      <c r="C1068" s="1"/>
      <c r="D1068" s="27">
        <v>50</v>
      </c>
      <c r="E1068" s="27">
        <f>IF(F1068="",0,MAX(E$1019:E1067)+1)</f>
        <v>0</v>
      </c>
      <c r="F1068" s="161" t="str">
        <f>IF(COSTI!S37&lt;&gt;0,COSTI!B37,"")</f>
        <v/>
      </c>
      <c r="G1068" s="104" t="str">
        <f t="shared" ca="1" si="178"/>
        <v xml:space="preserve"> </v>
      </c>
      <c r="H1068" s="1"/>
      <c r="I1068" s="235">
        <f>COSTI!S37</f>
        <v>0</v>
      </c>
      <c r="J1068" s="1"/>
      <c r="K1068" s="1"/>
      <c r="L1068" s="1"/>
      <c r="M1068" s="1"/>
      <c r="N1068" s="1"/>
      <c r="O1068" s="1"/>
    </row>
    <row r="1069" spans="1:15" ht="15" hidden="1" customHeight="1">
      <c r="A1069" s="1"/>
      <c r="B1069" s="1"/>
      <c r="C1069" s="1"/>
      <c r="D1069" s="27">
        <v>51</v>
      </c>
      <c r="E1069" s="27">
        <f>IF(F1069="",0,MAX(E$1019:E1068)+1)</f>
        <v>0</v>
      </c>
      <c r="F1069" s="161" t="str">
        <f>IF(COSTI!S38&lt;&gt;0,COSTI!B38,"")</f>
        <v/>
      </c>
      <c r="G1069" s="104" t="str">
        <f t="shared" ca="1" si="178"/>
        <v xml:space="preserve"> </v>
      </c>
      <c r="H1069" s="1"/>
      <c r="I1069" s="235">
        <f>COSTI!S38</f>
        <v>0</v>
      </c>
      <c r="J1069" s="1"/>
      <c r="K1069" s="1"/>
      <c r="L1069" s="1"/>
      <c r="M1069" s="1"/>
      <c r="N1069" s="1"/>
      <c r="O1069" s="1"/>
    </row>
    <row r="1070" spans="1:15" ht="15" hidden="1" customHeight="1">
      <c r="A1070" s="1"/>
      <c r="B1070" s="1"/>
      <c r="C1070" s="1"/>
      <c r="D1070" s="27">
        <v>52</v>
      </c>
      <c r="E1070" s="27">
        <f>IF(F1070="",0,MAX(E$1019:E1069)+1)</f>
        <v>0</v>
      </c>
      <c r="F1070" s="161" t="str">
        <f>IF(COSTI!S39&lt;&gt;0,COSTI!B39,"")</f>
        <v/>
      </c>
      <c r="G1070" s="104" t="str">
        <f t="shared" ca="1" si="178"/>
        <v xml:space="preserve"> </v>
      </c>
      <c r="H1070" s="1"/>
      <c r="I1070" s="235">
        <f>COSTI!S39</f>
        <v>0</v>
      </c>
      <c r="J1070" s="1"/>
      <c r="K1070" s="1"/>
      <c r="L1070" s="1"/>
      <c r="M1070" s="1"/>
      <c r="N1070" s="1"/>
      <c r="O1070" s="1"/>
    </row>
    <row r="1071" spans="1:15" ht="15" hidden="1" customHeight="1">
      <c r="A1071" s="1"/>
      <c r="B1071" s="1"/>
      <c r="C1071" s="996" t="b">
        <f>IF(AND(C1077=0,C1074=0),PATRIMONIALE!W1020)</f>
        <v>0</v>
      </c>
      <c r="D1071" s="27">
        <v>53</v>
      </c>
      <c r="E1071" s="27">
        <f>IF(F1071="",0,MAX(E$1019:E1070)+1)</f>
        <v>0</v>
      </c>
      <c r="F1071" s="104" t="str">
        <f>IF(COSTI!S40&lt;&gt;0,COSTI!B40,"")</f>
        <v/>
      </c>
      <c r="G1071" s="104" t="str">
        <f t="shared" ca="1" si="178"/>
        <v xml:space="preserve"> </v>
      </c>
      <c r="H1071" s="1"/>
      <c r="I1071" s="235">
        <f>COSTI!S40</f>
        <v>0</v>
      </c>
      <c r="J1071" s="1"/>
      <c r="K1071" s="1"/>
      <c r="L1071" s="1"/>
      <c r="M1071" s="1"/>
      <c r="N1071" s="1"/>
      <c r="O1071" s="1"/>
    </row>
    <row r="1072" spans="1:15" ht="15" hidden="1" customHeight="1">
      <c r="A1072" s="1"/>
      <c r="B1072" s="1"/>
      <c r="C1072" s="996">
        <f>COSTI!U1432</f>
        <v>3</v>
      </c>
      <c r="D1072" s="27">
        <v>54</v>
      </c>
      <c r="E1072" s="27">
        <f>IF(F1072="",0,MAX(E$1019:E1071)+1)</f>
        <v>0</v>
      </c>
      <c r="F1072" s="104" t="str">
        <f>IF(COSTI!S41&lt;&gt;0,COSTI!B41,"")</f>
        <v/>
      </c>
      <c r="G1072" s="104" t="str">
        <f t="shared" ca="1" si="178"/>
        <v xml:space="preserve"> </v>
      </c>
      <c r="H1072" s="1"/>
      <c r="I1072" s="235">
        <f>COSTI!S41</f>
        <v>0</v>
      </c>
      <c r="J1072" s="1"/>
      <c r="K1072" s="1"/>
      <c r="L1072" s="1"/>
      <c r="M1072" s="1"/>
      <c r="N1072" s="1"/>
      <c r="O1072" s="1"/>
    </row>
    <row r="1073" spans="1:15" ht="15" hidden="1" customHeight="1">
      <c r="A1073" s="1"/>
      <c r="B1073" s="1"/>
      <c r="C1073" s="996">
        <f>COSTI!U1433</f>
        <v>0</v>
      </c>
      <c r="D1073" s="27">
        <v>55</v>
      </c>
      <c r="E1073" s="27">
        <f>IF(F1073="",0,MAX(E$1019:E1072)+1)</f>
        <v>0</v>
      </c>
      <c r="F1073" s="104" t="str">
        <f>IF(COSTI!S42&lt;&gt;0,COSTI!B42,"")</f>
        <v/>
      </c>
      <c r="G1073" s="104" t="str">
        <f t="shared" ca="1" si="178"/>
        <v xml:space="preserve"> </v>
      </c>
      <c r="H1073" s="1"/>
      <c r="I1073" s="235">
        <f>COSTI!S42</f>
        <v>0</v>
      </c>
      <c r="J1073" s="1"/>
      <c r="K1073" s="1"/>
      <c r="L1073" s="1"/>
      <c r="M1073" s="1"/>
      <c r="N1073" s="1"/>
      <c r="O1073" s="1"/>
    </row>
    <row r="1074" spans="1:15" ht="15" hidden="1" customHeight="1">
      <c r="A1074" s="1"/>
      <c r="B1074" s="1"/>
      <c r="C1074" s="996">
        <f>IF(C1076&gt;0,0,IF(COUNTIF(ENTI!F1034:Q1034,0)=12,ENTI!U1009,1))</f>
        <v>1</v>
      </c>
      <c r="D1074" s="27">
        <v>56</v>
      </c>
      <c r="E1074" s="27">
        <f>IF(F1074="",0,MAX(E$1019:E1073)+1)</f>
        <v>0</v>
      </c>
      <c r="F1074" s="104" t="str">
        <f>IF(COSTI!S43&lt;&gt;0,COSTI!B43,"")</f>
        <v/>
      </c>
      <c r="G1074" s="104" t="str">
        <f t="shared" ca="1" si="178"/>
        <v xml:space="preserve"> </v>
      </c>
      <c r="H1074" s="1"/>
      <c r="I1074" s="235">
        <f>COSTI!S43</f>
        <v>0</v>
      </c>
      <c r="J1074" s="1"/>
      <c r="K1074" s="1"/>
      <c r="L1074" s="1"/>
      <c r="M1074" s="1"/>
      <c r="N1074" s="1"/>
      <c r="O1074" s="1"/>
    </row>
    <row r="1075" spans="1:15" ht="15" hidden="1" customHeight="1">
      <c r="A1075" s="1"/>
      <c r="B1075" s="59" t="str">
        <f ca="1">IF(PATRIMONIALE!U1015=0,0,VLOOKUP(E2,F1025:F1038,1,FALSE))</f>
        <v>CASSA</v>
      </c>
      <c r="C1075" s="996">
        <f ca="1">IF(AND(ISTEXT(B1075),PATRIMONIALE!U1015=0),1,PATRIMONIALE!U1015)</f>
        <v>12</v>
      </c>
      <c r="D1075" s="27">
        <v>57</v>
      </c>
      <c r="E1075" s="27">
        <f ca="1">IF(F1075="",0,MAX(E$1019:E1074)+1)</f>
        <v>36</v>
      </c>
      <c r="F1075" s="104" t="str">
        <f>IF(COSTI!S44&lt;&gt;0,COSTI!B44,"")</f>
        <v>Ultimo COSTO disponibile</v>
      </c>
      <c r="G1075" s="104" t="str">
        <f t="shared" ca="1" si="178"/>
        <v xml:space="preserve"> </v>
      </c>
      <c r="H1075" s="1"/>
      <c r="I1075" s="235">
        <f>COSTI!S44</f>
        <v>50</v>
      </c>
      <c r="J1075" s="1"/>
      <c r="K1075" s="1"/>
      <c r="L1075" s="1"/>
      <c r="M1075" s="1"/>
      <c r="N1075" s="1"/>
      <c r="O1075" s="1"/>
    </row>
    <row r="1076" spans="1:15" ht="15" hidden="1" customHeight="1">
      <c r="A1076" s="1"/>
      <c r="B1076" s="1"/>
      <c r="C1076" s="996">
        <f>COSTI!U1006</f>
        <v>0</v>
      </c>
      <c r="D1076" s="27">
        <v>58</v>
      </c>
      <c r="E1076" s="27">
        <f ca="1">IF(F1076="",0,MAX(E$1019:E1075)+1)</f>
        <v>37</v>
      </c>
      <c r="F1076" s="105" t="str">
        <f ca="1">IF(OR(COSTI!S45&lt;&gt;0,COSTI!S78&lt;&gt;0),COSTI!B45,"")</f>
        <v>AMMINISTRATORE</v>
      </c>
      <c r="G1076" s="105" t="str">
        <f t="shared" ca="1" si="178"/>
        <v xml:space="preserve"> </v>
      </c>
      <c r="H1076" s="1"/>
      <c r="I1076" s="305">
        <f ca="1">COSTI!S78</f>
        <v>700</v>
      </c>
      <c r="J1076" s="1"/>
      <c r="K1076" s="1"/>
      <c r="L1076" s="1"/>
      <c r="M1076" s="1"/>
      <c r="N1076" s="1"/>
      <c r="O1076" s="1"/>
    </row>
    <row r="1077" spans="1:15" ht="15" hidden="1" customHeight="1">
      <c r="A1077" s="1"/>
      <c r="B1077" s="1"/>
      <c r="C1077" s="996">
        <f>IF(C1074=0,ENTI!AL1009,C1074)</f>
        <v>1</v>
      </c>
      <c r="D1077" s="27"/>
      <c r="E1077" s="27"/>
      <c r="F1077" s="156"/>
      <c r="G1077" s="156"/>
      <c r="H1077" s="1"/>
      <c r="I1077" s="3"/>
      <c r="J1077" s="1"/>
      <c r="K1077" s="1"/>
      <c r="L1077" s="1"/>
      <c r="M1077" s="1"/>
      <c r="N1077" s="1"/>
      <c r="O1077" s="1"/>
    </row>
    <row r="1078" spans="1:15" hidden="1">
      <c r="A1078" s="1"/>
      <c r="B1078" s="1"/>
      <c r="C1078" s="996">
        <f>PATRIMONIALE!AJ1015</f>
        <v>12</v>
      </c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</row>
    <row r="1079" spans="1:15" hidden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</row>
    <row r="1080" spans="1:15" ht="16.5" hidden="1" customHeight="1">
      <c r="A1080" s="1"/>
      <c r="B1080" s="40">
        <f ca="1">IF(OR(C$1075&gt;0,C$1077&gt;0,C$1073&gt;0,C$1071&gt;0),J1080+1,J1080)</f>
        <v>1</v>
      </c>
      <c r="C1080" s="496">
        <v>0</v>
      </c>
      <c r="D1080" s="124">
        <f ca="1">IF(OR(C1075&gt;0,C1077&gt;0,C1073&gt;0,C1071&gt;0),E1080,0)</f>
        <v>45292</v>
      </c>
      <c r="E1080" s="124">
        <f ca="1">IF(OR(C1075&gt;0,C1077&gt;0,C1073&gt;0,C1071&gt;0),DATE(L1012,1,1),0)</f>
        <v>45292</v>
      </c>
      <c r="F1080" s="124"/>
      <c r="G1080" s="125" t="s">
        <v>70</v>
      </c>
      <c r="H1080" s="126">
        <f ca="1">IF(C1073&gt;0,COSTI!E78,IF(C1075&gt;0,VLOOKUP(E2,PATRIMONIALE!C1057:F1068,4,FALSE),IF(C1077&gt;0,VLOOKUP(VLOOKUP(E2,ENTI!B9:T13,19,FALSE),PATRIMONIALE!A34:E38,5,FALSE),IF(C1071=1,PATRIMONIALE!Y1020))))</f>
        <v>200</v>
      </c>
      <c r="I1080" s="496">
        <v>0</v>
      </c>
      <c r="J1080" s="233">
        <v>0</v>
      </c>
      <c r="K1080" s="1"/>
      <c r="L1080" s="39" t="s">
        <v>90</v>
      </c>
      <c r="M1080" s="1"/>
      <c r="N1080" s="1"/>
      <c r="O1080" s="1"/>
    </row>
    <row r="1081" spans="1:15" hidden="1">
      <c r="A1081" s="1"/>
      <c r="B1081" s="40">
        <f t="shared" ref="B1081:B1144" ca="1" si="179">IF(OR(C$1075&gt;0,C$1077&gt;0,C$1073&gt;0,C$1071&gt;0),J1081+1,J1081)</f>
        <v>3</v>
      </c>
      <c r="C1081" s="496">
        <v>1</v>
      </c>
      <c r="D1081" s="41">
        <f ca="1">IF($C$1076&gt;0,VLOOKUP($C1081,COSTI!$U$4:$Z$1003,3,FALSE),IF($C$1075&gt;0,VLOOKUP($C1081,PATRIMONIALE!$U$4:$Z$1003,3,FALSE),IF($C$1074&gt;0,VLOOKUP($C1081,ENTI!$U$4:$Z$1003,3,FALSE),"")))</f>
        <v>45298</v>
      </c>
      <c r="E1081" s="41">
        <f ca="1">IF(ISERROR(D1081),"",D1081)</f>
        <v>45298</v>
      </c>
      <c r="F1081" s="41">
        <f t="shared" ref="F1081:F1144" ca="1" si="180">SMALL(E$1081:E$4183,C1081)</f>
        <v>45297</v>
      </c>
      <c r="G1081" s="39" t="str">
        <f ca="1">IF($C$1076&gt;0,VLOOKUP($C1081,COSTI!$U$4:$Z$1003,5,FALSE),IF($C$1075&gt;0,VLOOKUP($C1081,PATRIMONIALE!$U$4:$Z$1003,5,FALSE),IF($C$1074&gt;0,VLOOKUP($C1081,ENTI!$U$4:$Z$1003,5,FALSE),"")))</f>
        <v>Pagamento Riga 1 del Registro dei Costi</v>
      </c>
      <c r="H1081" s="42">
        <f ca="1">IF($C$1076&gt;0,VLOOKUP($C1081,COSTI!$U$4:$Z$1003,6,FALSE),IF($C$1075&gt;0,VLOOKUP($C1081,PATRIMONIALE!$U$4:$Z$1003,6,FALSE),IF($C$1074&gt;0,VLOOKUP($C1081,ENTI!$U$4:$Z$1003,6,FALSE),"")))</f>
        <v>-100</v>
      </c>
      <c r="I1081" s="496">
        <v>1</v>
      </c>
      <c r="J1081" s="233">
        <f ca="1">VLOOKUP(D1081,$F$1081:$I$4183,4,FALSE)</f>
        <v>2</v>
      </c>
      <c r="K1081" s="1"/>
      <c r="L1081" s="39" t="e">
        <f>IF($C$1074&gt;0,VLOOKUP($C1081,ENTI!$U$4:$AD$1003,10,FALSE),"")</f>
        <v>#N/A</v>
      </c>
      <c r="M1081" s="1"/>
      <c r="N1081" s="1"/>
      <c r="O1081" s="1"/>
    </row>
    <row r="1082" spans="1:15" hidden="1">
      <c r="A1082" s="1"/>
      <c r="B1082" s="40">
        <f t="shared" ca="1" si="179"/>
        <v>7</v>
      </c>
      <c r="C1082" s="496">
        <v>2</v>
      </c>
      <c r="D1082" s="41">
        <f ca="1">IF($C$1076&gt;0,VLOOKUP($C1082,COSTI!$U$4:$Z$1003,3,FALSE),IF($C$1075&gt;0,VLOOKUP($C1082,PATRIMONIALE!$U$4:$Z$1003,3,FALSE),IF($C$1074&gt;0,VLOOKUP($C1082,ENTI!$U$4:$Z$1003,3,FALSE),"")))</f>
        <v>45337</v>
      </c>
      <c r="E1082" s="41">
        <f t="shared" ref="E1082:E1145" ca="1" si="181">IF(ISERROR(D1082),"",D1082)</f>
        <v>45337</v>
      </c>
      <c r="F1082" s="41">
        <f t="shared" ca="1" si="180"/>
        <v>45298</v>
      </c>
      <c r="G1082" s="39" t="str">
        <f ca="1">IF($C$1076&gt;0,VLOOKUP($C1082,COSTI!$U$4:$Z$1003,5,FALSE),IF($C$1075&gt;0,VLOOKUP($C1082,PATRIMONIALE!$U$4:$Z$1003,5,FALSE),IF($C$1074&gt;0,VLOOKUP($C1082,ENTI!$U$4:$Z$1003,5,FALSE),"")))</f>
        <v>Pagamento Riga 4 del Registro dei Costi</v>
      </c>
      <c r="H1082" s="42">
        <f ca="1">IF($C$1076&gt;0,VLOOKUP($C1082,COSTI!$U$4:$Z$1003,6,FALSE),IF($C$1075&gt;0,VLOOKUP($C1082,PATRIMONIALE!$U$4:$Z$1003,6,FALSE),IF($C$1074&gt;0,VLOOKUP($C1082,ENTI!$U$4:$Z$1003,6,FALSE),"")))</f>
        <v>-100</v>
      </c>
      <c r="I1082" s="496">
        <v>2</v>
      </c>
      <c r="J1082" s="43">
        <f ca="1">VLOOKUP(D1082,$F$1081:$I$4183,4,FALSE)+COUNTIF(E$1081:E1081,E1082)</f>
        <v>6</v>
      </c>
      <c r="K1082" s="1"/>
      <c r="L1082" s="39" t="e">
        <f>IF($C$1074&gt;0,VLOOKUP($C1082,ENTI!$U$4:$AD$1003,10,FALSE),"")</f>
        <v>#N/A</v>
      </c>
      <c r="M1082" s="1"/>
      <c r="N1082" s="1"/>
      <c r="O1082" s="1"/>
    </row>
    <row r="1083" spans="1:15" hidden="1">
      <c r="A1083" s="1"/>
      <c r="B1083" s="40">
        <f t="shared" ca="1" si="179"/>
        <v>13</v>
      </c>
      <c r="C1083" s="496">
        <v>3</v>
      </c>
      <c r="D1083" s="41">
        <f ca="1">IF($C$1076&gt;0,VLOOKUP($C1083,COSTI!$U$4:$Z$1003,3,FALSE),IF($C$1075&gt;0,VLOOKUP($C1083,PATRIMONIALE!$U$4:$Z$1003,3,FALSE),IF($C$1074&gt;0,VLOOKUP($C1083,ENTI!$U$4:$Z$1003,3,FALSE),"")))</f>
        <v>45415</v>
      </c>
      <c r="E1083" s="41">
        <f t="shared" ca="1" si="181"/>
        <v>45415</v>
      </c>
      <c r="F1083" s="41">
        <f t="shared" ca="1" si="180"/>
        <v>45310</v>
      </c>
      <c r="G1083" s="39" t="str">
        <f ca="1">IF($C$1076&gt;0,VLOOKUP($C1083,COSTI!$U$4:$Z$1003,5,FALSE),IF($C$1075&gt;0,VLOOKUP($C1083,PATRIMONIALE!$U$4:$Z$1003,5,FALSE),IF($C$1074&gt;0,VLOOKUP($C1083,ENTI!$U$4:$Z$1003,5,FALSE),"")))</f>
        <v>Pagamento Riga 10 del Registro dei Costi</v>
      </c>
      <c r="H1083" s="42">
        <f ca="1">IF($C$1076&gt;0,VLOOKUP($C1083,COSTI!$U$4:$Z$1003,6,FALSE),IF($C$1075&gt;0,VLOOKUP($C1083,PATRIMONIALE!$U$4:$Z$1003,6,FALSE),IF($C$1074&gt;0,VLOOKUP($C1083,ENTI!$U$4:$Z$1003,6,FALSE),"")))</f>
        <v>-50</v>
      </c>
      <c r="I1083" s="496">
        <v>3</v>
      </c>
      <c r="J1083" s="43">
        <f ca="1">VLOOKUP(D1083,$F$1081:$I$4183,4,FALSE)+COUNTIF(E$1081:E1082,E1083)</f>
        <v>12</v>
      </c>
      <c r="K1083" s="1"/>
      <c r="L1083" s="39" t="e">
        <f>IF($C$1074&gt;0,VLOOKUP($C1083,ENTI!$U$4:$AD$1003,10,FALSE),"")</f>
        <v>#N/A</v>
      </c>
      <c r="M1083" s="1"/>
      <c r="N1083" s="1"/>
      <c r="O1083" s="1"/>
    </row>
    <row r="1084" spans="1:15" hidden="1">
      <c r="A1084" s="1"/>
      <c r="B1084" s="40">
        <f t="shared" ca="1" si="179"/>
        <v>14</v>
      </c>
      <c r="C1084" s="496">
        <v>4</v>
      </c>
      <c r="D1084" s="41">
        <f ca="1">IF($C$1076&gt;0,VLOOKUP($C1084,COSTI!$U$4:$Z$1003,3,FALSE),IF($C$1075&gt;0,VLOOKUP($C1084,PATRIMONIALE!$U$4:$Z$1003,3,FALSE),IF($C$1074&gt;0,VLOOKUP($C1084,ENTI!$U$4:$Z$1003,3,FALSE),"")))</f>
        <v>45453</v>
      </c>
      <c r="E1084" s="41">
        <f t="shared" ca="1" si="181"/>
        <v>45453</v>
      </c>
      <c r="F1084" s="41">
        <f t="shared" ca="1" si="180"/>
        <v>45323</v>
      </c>
      <c r="G1084" s="39" t="str">
        <f ca="1">IF($C$1076&gt;0,VLOOKUP($C1084,COSTI!$U$4:$Z$1003,5,FALSE),IF($C$1075&gt;0,VLOOKUP($C1084,PATRIMONIALE!$U$4:$Z$1003,5,FALSE),IF($C$1074&gt;0,VLOOKUP($C1084,ENTI!$U$4:$Z$1003,5,FALSE),"")))</f>
        <v>Pagamento Riga del Registro dei Costi / descrizione libera</v>
      </c>
      <c r="H1084" s="42">
        <f ca="1">IF($C$1076&gt;0,VLOOKUP($C1084,COSTI!$U$4:$Z$1003,6,FALSE),IF($C$1075&gt;0,VLOOKUP($C1084,PATRIMONIALE!$U$4:$Z$1003,6,FALSE),IF($C$1074&gt;0,VLOOKUP($C1084,ENTI!$U$4:$Z$1003,6,FALSE),"")))</f>
        <v>-50</v>
      </c>
      <c r="I1084" s="496">
        <v>4</v>
      </c>
      <c r="J1084" s="43">
        <f ca="1">VLOOKUP(D1084,$F$1081:$I$4183,4,FALSE)+COUNTIF(E$1081:E1083,E1084)</f>
        <v>13</v>
      </c>
      <c r="K1084" s="1"/>
      <c r="L1084" s="39" t="e">
        <f>IF($C$1074&gt;0,VLOOKUP($C1084,ENTI!$U$4:$AD$1003,10,FALSE),"")</f>
        <v>#N/A</v>
      </c>
      <c r="M1084" s="1"/>
      <c r="N1084" s="1"/>
      <c r="O1084" s="1"/>
    </row>
    <row r="1085" spans="1:15" hidden="1">
      <c r="A1085" s="1"/>
      <c r="B1085" s="40">
        <f t="shared" ca="1" si="179"/>
        <v>15</v>
      </c>
      <c r="C1085" s="496">
        <v>5</v>
      </c>
      <c r="D1085" s="41">
        <f ca="1">IF($C$1076&gt;0,VLOOKUP($C1085,COSTI!$U$4:$Z$1003,3,FALSE),IF($C$1075&gt;0,VLOOKUP($C1085,PATRIMONIALE!$U$4:$Z$1003,3,FALSE),IF($C$1074&gt;0,VLOOKUP($C1085,ENTI!$U$4:$Z$1003,3,FALSE),"")))</f>
        <v>45489</v>
      </c>
      <c r="E1085" s="41">
        <f t="shared" ca="1" si="181"/>
        <v>45489</v>
      </c>
      <c r="F1085" s="41">
        <f t="shared" ca="1" si="180"/>
        <v>45336</v>
      </c>
      <c r="G1085" s="39" t="str">
        <f ca="1">IF($C$1076&gt;0,VLOOKUP($C1085,COSTI!$U$4:$Z$1003,5,FALSE),IF($C$1075&gt;0,VLOOKUP($C1085,PATRIMONIALE!$U$4:$Z$1003,5,FALSE),IF($C$1074&gt;0,VLOOKUP($C1085,ENTI!$U$4:$Z$1003,5,FALSE),"")))</f>
        <v>Pagamento Riga del Registro dei Costi / descrizione libera</v>
      </c>
      <c r="H1085" s="42">
        <f ca="1">IF($C$1076&gt;0,VLOOKUP($C1085,COSTI!$U$4:$Z$1003,6,FALSE),IF($C$1075&gt;0,VLOOKUP($C1085,PATRIMONIALE!$U$4:$Z$1003,6,FALSE),IF($C$1074&gt;0,VLOOKUP($C1085,ENTI!$U$4:$Z$1003,6,FALSE),"")))</f>
        <v>-50</v>
      </c>
      <c r="I1085" s="496">
        <v>5</v>
      </c>
      <c r="J1085" s="43">
        <f ca="1">VLOOKUP(D1085,$F$1081:$I$4183,4,FALSE)+COUNTIF(E$1081:E1084,E1085)</f>
        <v>14</v>
      </c>
      <c r="K1085" s="1"/>
      <c r="L1085" s="39" t="e">
        <f>IF($C$1074&gt;0,VLOOKUP($C1085,ENTI!$U$4:$AD$1003,10,FALSE),"")</f>
        <v>#N/A</v>
      </c>
      <c r="M1085" s="1"/>
      <c r="N1085" s="1"/>
      <c r="O1085" s="1"/>
    </row>
    <row r="1086" spans="1:15" hidden="1">
      <c r="A1086" s="1"/>
      <c r="B1086" s="40">
        <f t="shared" ca="1" si="179"/>
        <v>19</v>
      </c>
      <c r="C1086" s="496">
        <v>6</v>
      </c>
      <c r="D1086" s="41">
        <f ca="1">IF($C$1076&gt;0,VLOOKUP($C1086,COSTI!$U$4:$Z$1003,3,FALSE),IF($C$1075&gt;0,VLOOKUP($C1086,PATRIMONIALE!$U$4:$Z$1003,3,FALSE),IF($C$1074&gt;0,VLOOKUP($C1086,ENTI!$U$4:$Z$1003,3,FALSE),"")))</f>
        <v>45525</v>
      </c>
      <c r="E1086" s="41">
        <f t="shared" ca="1" si="181"/>
        <v>45525</v>
      </c>
      <c r="F1086" s="41">
        <f t="shared" ca="1" si="180"/>
        <v>45337</v>
      </c>
      <c r="G1086" s="39" t="str">
        <f ca="1">IF($C$1076&gt;0,VLOOKUP($C1086,COSTI!$U$4:$Z$1003,5,FALSE),IF($C$1075&gt;0,VLOOKUP($C1086,PATRIMONIALE!$U$4:$Z$1003,5,FALSE),IF($C$1074&gt;0,VLOOKUP($C1086,ENTI!$U$4:$Z$1003,5,FALSE),"")))</f>
        <v>Pagamento Riga del Registro dei Costi / descrizione libera</v>
      </c>
      <c r="H1086" s="42">
        <f ca="1">IF($C$1076&gt;0,VLOOKUP($C1086,COSTI!$U$4:$Z$1003,6,FALSE),IF($C$1075&gt;0,VLOOKUP($C1086,PATRIMONIALE!$U$4:$Z$1003,6,FALSE),IF($C$1074&gt;0,VLOOKUP($C1086,ENTI!$U$4:$Z$1003,6,FALSE),"")))</f>
        <v>-50</v>
      </c>
      <c r="I1086" s="496">
        <v>6</v>
      </c>
      <c r="J1086" s="43">
        <f ca="1">VLOOKUP(D1086,$F$1081:$I$4183,4,FALSE)+COUNTIF(E$1081:E1085,E1086)</f>
        <v>18</v>
      </c>
      <c r="K1086" s="1"/>
      <c r="L1086" s="39" t="e">
        <f>IF($C$1074&gt;0,VLOOKUP($C1086,ENTI!$U$4:$AD$1003,10,FALSE),"")</f>
        <v>#N/A</v>
      </c>
      <c r="M1086" s="1"/>
      <c r="N1086" s="1"/>
      <c r="O1086" s="1"/>
    </row>
    <row r="1087" spans="1:15" hidden="1">
      <c r="A1087" s="1"/>
      <c r="B1087" s="40">
        <f t="shared" ca="1" si="179"/>
        <v>20</v>
      </c>
      <c r="C1087" s="496">
        <v>7</v>
      </c>
      <c r="D1087" s="41">
        <f ca="1">IF($C$1076&gt;0,VLOOKUP($C1087,COSTI!$U$4:$Z$1003,3,FALSE),IF($C$1075&gt;0,VLOOKUP($C1087,PATRIMONIALE!$U$4:$Z$1003,3,FALSE),IF($C$1074&gt;0,VLOOKUP($C1087,ENTI!$U$4:$Z$1003,3,FALSE),"")))</f>
        <v>45561</v>
      </c>
      <c r="E1087" s="41">
        <f t="shared" ca="1" si="181"/>
        <v>45561</v>
      </c>
      <c r="F1087" s="41">
        <f t="shared" ca="1" si="180"/>
        <v>45349</v>
      </c>
      <c r="G1087" s="39" t="str">
        <f ca="1">IF($C$1076&gt;0,VLOOKUP($C1087,COSTI!$U$4:$Z$1003,5,FALSE),IF($C$1075&gt;0,VLOOKUP($C1087,PATRIMONIALE!$U$4:$Z$1003,5,FALSE),IF($C$1074&gt;0,VLOOKUP($C1087,ENTI!$U$4:$Z$1003,5,FALSE),"")))</f>
        <v>Pagamento Riga del Registro dei Costi / descrizione libera</v>
      </c>
      <c r="H1087" s="42">
        <f ca="1">IF($C$1076&gt;0,VLOOKUP($C1087,COSTI!$U$4:$Z$1003,6,FALSE),IF($C$1075&gt;0,VLOOKUP($C1087,PATRIMONIALE!$U$4:$Z$1003,6,FALSE),IF($C$1074&gt;0,VLOOKUP($C1087,ENTI!$U$4:$Z$1003,6,FALSE),"")))</f>
        <v>-50</v>
      </c>
      <c r="I1087" s="496">
        <v>7</v>
      </c>
      <c r="J1087" s="43">
        <f ca="1">VLOOKUP(D1087,$F$1081:$I$4183,4,FALSE)+COUNTIF(E$1081:E1086,E1087)</f>
        <v>19</v>
      </c>
      <c r="K1087" s="1"/>
      <c r="L1087" s="39" t="e">
        <f>IF($C$1074&gt;0,VLOOKUP($C1087,ENTI!$U$4:$AD$1003,10,FALSE),"")</f>
        <v>#N/A</v>
      </c>
      <c r="M1087" s="1"/>
      <c r="N1087" s="1"/>
      <c r="O1087" s="1"/>
    </row>
    <row r="1088" spans="1:15" hidden="1">
      <c r="A1088" s="1"/>
      <c r="B1088" s="40">
        <f t="shared" ca="1" si="179"/>
        <v>23</v>
      </c>
      <c r="C1088" s="496">
        <v>8</v>
      </c>
      <c r="D1088" s="41">
        <f ca="1">IF($C$1076&gt;0,VLOOKUP($C1088,COSTI!$U$4:$Z$1003,3,FALSE),IF($C$1075&gt;0,VLOOKUP($C1088,PATRIMONIALE!$U$4:$Z$1003,3,FALSE),IF($C$1074&gt;0,VLOOKUP($C1088,ENTI!$U$4:$Z$1003,3,FALSE),"")))</f>
        <v>45597</v>
      </c>
      <c r="E1088" s="41">
        <f t="shared" ca="1" si="181"/>
        <v>45597</v>
      </c>
      <c r="F1088" s="41">
        <f t="shared" ca="1" si="180"/>
        <v>45352</v>
      </c>
      <c r="G1088" s="39" t="str">
        <f ca="1">IF($C$1076&gt;0,VLOOKUP($C1088,COSTI!$U$4:$Z$1003,5,FALSE),IF($C$1075&gt;0,VLOOKUP($C1088,PATRIMONIALE!$U$4:$Z$1003,5,FALSE),IF($C$1074&gt;0,VLOOKUP($C1088,ENTI!$U$4:$Z$1003,5,FALSE),"")))</f>
        <v>Pagamento Riga del Registro dei Costi / descrizione libera</v>
      </c>
      <c r="H1088" s="42">
        <f ca="1">IF($C$1076&gt;0,VLOOKUP($C1088,COSTI!$U$4:$Z$1003,6,FALSE),IF($C$1075&gt;0,VLOOKUP($C1088,PATRIMONIALE!$U$4:$Z$1003,6,FALSE),IF($C$1074&gt;0,VLOOKUP($C1088,ENTI!$U$4:$Z$1003,6,FALSE),"")))</f>
        <v>-100</v>
      </c>
      <c r="I1088" s="496">
        <v>8</v>
      </c>
      <c r="J1088" s="43">
        <f ca="1">VLOOKUP(D1088,$F$1081:$I$4183,4,FALSE)+COUNTIF(E$1081:E1087,E1088)</f>
        <v>22</v>
      </c>
      <c r="K1088" s="1"/>
      <c r="L1088" s="39" t="e">
        <f>IF($C$1074&gt;0,VLOOKUP($C1088,ENTI!$U$4:$AD$1003,10,FALSE),"")</f>
        <v>#N/A</v>
      </c>
      <c r="M1088" s="1"/>
      <c r="N1088" s="1"/>
      <c r="O1088" s="1"/>
    </row>
    <row r="1089" spans="1:15" hidden="1">
      <c r="A1089" s="1"/>
      <c r="B1089" s="40">
        <f t="shared" ca="1" si="179"/>
        <v>25</v>
      </c>
      <c r="C1089" s="496">
        <v>9</v>
      </c>
      <c r="D1089" s="41">
        <f ca="1">IF($C$1076&gt;0,VLOOKUP($C1089,COSTI!$U$4:$Z$1003,3,FALSE),IF($C$1075&gt;0,VLOOKUP($C1089,PATRIMONIALE!$U$4:$Z$1003,3,FALSE),IF($C$1074&gt;0,VLOOKUP($C1089,ENTI!$U$4:$Z$1003,3,FALSE),"")))</f>
        <v>45609</v>
      </c>
      <c r="E1089" s="41">
        <f t="shared" ca="1" si="181"/>
        <v>45609</v>
      </c>
      <c r="F1089" s="41">
        <f t="shared" ca="1" si="180"/>
        <v>45352</v>
      </c>
      <c r="G1089" s="39" t="str">
        <f ca="1">IF($C$1076&gt;0,VLOOKUP($C1089,COSTI!$U$4:$Z$1003,5,FALSE),IF($C$1075&gt;0,VLOOKUP($C1089,PATRIMONIALE!$U$4:$Z$1003,5,FALSE),IF($C$1074&gt;0,VLOOKUP($C1089,ENTI!$U$4:$Z$1003,5,FALSE),"")))</f>
        <v>Pagamento Riga del Registro dei Costi / descrizione libera</v>
      </c>
      <c r="H1089" s="42">
        <f ca="1">IF($C$1076&gt;0,VLOOKUP($C1089,COSTI!$U$4:$Z$1003,6,FALSE),IF($C$1075&gt;0,VLOOKUP($C1089,PATRIMONIALE!$U$4:$Z$1003,6,FALSE),IF($C$1074&gt;0,VLOOKUP($C1089,ENTI!$U$4:$Z$1003,6,FALSE),"")))</f>
        <v>-100</v>
      </c>
      <c r="I1089" s="496">
        <v>9</v>
      </c>
      <c r="J1089" s="43">
        <f ca="1">VLOOKUP(D1089,$F$1081:$I$4183,4,FALSE)+COUNTIF(E$1081:E1088,E1089)</f>
        <v>24</v>
      </c>
      <c r="K1089" s="1"/>
      <c r="L1089" s="39" t="e">
        <f>IF($C$1074&gt;0,VLOOKUP($C1089,ENTI!$U$4:$AD$1003,10,FALSE),"")</f>
        <v>#N/A</v>
      </c>
      <c r="M1089" s="1"/>
      <c r="N1089" s="1"/>
      <c r="O1089" s="1"/>
    </row>
    <row r="1090" spans="1:15" hidden="1">
      <c r="A1090" s="1"/>
      <c r="B1090" s="40">
        <f t="shared" ca="1" si="179"/>
        <v>27</v>
      </c>
      <c r="C1090" s="496">
        <v>10</v>
      </c>
      <c r="D1090" s="41">
        <f ca="1">IF($C$1076&gt;0,VLOOKUP($C1090,COSTI!$U$4:$Z$1003,3,FALSE),IF($C$1075&gt;0,VLOOKUP($C1090,PATRIMONIALE!$U$4:$Z$1003,3,FALSE),IF($C$1074&gt;0,VLOOKUP($C1090,ENTI!$U$4:$Z$1003,3,FALSE),"")))</f>
        <v>45621</v>
      </c>
      <c r="E1090" s="41">
        <f t="shared" ca="1" si="181"/>
        <v>45621</v>
      </c>
      <c r="F1090" s="41">
        <f t="shared" ca="1" si="180"/>
        <v>45352</v>
      </c>
      <c r="G1090" s="39" t="str">
        <f ca="1">IF($C$1076&gt;0,VLOOKUP($C1090,COSTI!$U$4:$Z$1003,5,FALSE),IF($C$1075&gt;0,VLOOKUP($C1090,PATRIMONIALE!$U$4:$Z$1003,5,FALSE),IF($C$1074&gt;0,VLOOKUP($C1090,ENTI!$U$4:$Z$1003,5,FALSE),"")))</f>
        <v>Pagamento Riga del Registro dei Costi / descrizione libera</v>
      </c>
      <c r="H1090" s="42">
        <f ca="1">IF($C$1076&gt;0,VLOOKUP($C1090,COSTI!$U$4:$Z$1003,6,FALSE),IF($C$1075&gt;0,VLOOKUP($C1090,PATRIMONIALE!$U$4:$Z$1003,6,FALSE),IF($C$1074&gt;0,VLOOKUP($C1090,ENTI!$U$4:$Z$1003,6,FALSE),"")))</f>
        <v>-100</v>
      </c>
      <c r="I1090" s="496">
        <v>10</v>
      </c>
      <c r="J1090" s="43">
        <f ca="1">VLOOKUP(D1090,$F$1081:$I$4183,4,FALSE)+COUNTIF(E$1081:E1089,E1090)</f>
        <v>26</v>
      </c>
      <c r="K1090" s="1"/>
      <c r="L1090" s="39" t="e">
        <f>IF($C$1074&gt;0,VLOOKUP($C1090,ENTI!$U$4:$AD$1003,10,FALSE),"")</f>
        <v>#N/A</v>
      </c>
      <c r="M1090" s="1"/>
      <c r="N1090" s="1"/>
      <c r="O1090" s="1"/>
    </row>
    <row r="1091" spans="1:15" hidden="1">
      <c r="A1091" s="1"/>
      <c r="B1091" s="40">
        <f t="shared" ca="1" si="179"/>
        <v>28</v>
      </c>
      <c r="C1091" s="496">
        <v>11</v>
      </c>
      <c r="D1091" s="41">
        <f ca="1">IF($C$1076&gt;0,VLOOKUP($C1091,COSTI!$U$4:$Z$1003,3,FALSE),IF($C$1075&gt;0,VLOOKUP($C1091,PATRIMONIALE!$U$4:$Z$1003,3,FALSE),IF($C$1074&gt;0,VLOOKUP($C1091,ENTI!$U$4:$Z$1003,3,FALSE),"")))</f>
        <v>45633</v>
      </c>
      <c r="E1091" s="41">
        <f t="shared" ca="1" si="181"/>
        <v>45633</v>
      </c>
      <c r="F1091" s="41">
        <f t="shared" ca="1" si="180"/>
        <v>45401</v>
      </c>
      <c r="G1091" s="39" t="str">
        <f ca="1">IF($C$1076&gt;0,VLOOKUP($C1091,COSTI!$U$4:$Z$1003,5,FALSE),IF($C$1075&gt;0,VLOOKUP($C1091,PATRIMONIALE!$U$4:$Z$1003,5,FALSE),IF($C$1074&gt;0,VLOOKUP($C1091,ENTI!$U$4:$Z$1003,5,FALSE),"")))</f>
        <v>Pagamento Riga del Registro dei Costi / descrizione libera</v>
      </c>
      <c r="H1091" s="42">
        <f ca="1">IF($C$1076&gt;0,VLOOKUP($C1091,COSTI!$U$4:$Z$1003,6,FALSE),IF($C$1075&gt;0,VLOOKUP($C1091,PATRIMONIALE!$U$4:$Z$1003,6,FALSE),IF($C$1074&gt;0,VLOOKUP($C1091,ENTI!$U$4:$Z$1003,6,FALSE),"")))</f>
        <v>-100</v>
      </c>
      <c r="I1091" s="496">
        <v>11</v>
      </c>
      <c r="J1091" s="43">
        <f ca="1">VLOOKUP(D1091,$F$1081:$I$4183,4,FALSE)+COUNTIF(E$1081:E1090,E1091)</f>
        <v>27</v>
      </c>
      <c r="K1091" s="1"/>
      <c r="L1091" s="39" t="e">
        <f>IF($C$1074&gt;0,VLOOKUP($C1091,ENTI!$U$4:$AD$1003,10,FALSE),"")</f>
        <v>#N/A</v>
      </c>
      <c r="M1091" s="1"/>
      <c r="N1091" s="1"/>
      <c r="O1091" s="1"/>
    </row>
    <row r="1092" spans="1:15" hidden="1">
      <c r="A1092" s="1"/>
      <c r="B1092" s="40">
        <f t="shared" ca="1" si="179"/>
        <v>21</v>
      </c>
      <c r="C1092" s="496">
        <v>12</v>
      </c>
      <c r="D1092" s="41">
        <f ca="1">IF($C$1076&gt;0,VLOOKUP($C1092,COSTI!$U$4:$Z$1003,3,FALSE),IF($C$1075&gt;0,VLOOKUP($C1092,PATRIMONIALE!$U$4:$Z$1003,3,FALSE),IF($C$1074&gt;0,VLOOKUP($C1092,ENTI!$U$4:$Z$1003,3,FALSE),"")))</f>
        <v>45566</v>
      </c>
      <c r="E1092" s="41">
        <f t="shared" ca="1" si="181"/>
        <v>45566</v>
      </c>
      <c r="F1092" s="41">
        <f t="shared" ca="1" si="180"/>
        <v>45415</v>
      </c>
      <c r="G1092" s="39" t="str">
        <f ca="1">IF($C$1076&gt;0,VLOOKUP($C1092,COSTI!$U$4:$Z$1003,5,FALSE),IF($C$1075&gt;0,VLOOKUP($C1092,PATRIMONIALE!$U$4:$Z$1003,5,FALSE),IF($C$1074&gt;0,VLOOKUP($C1092,ENTI!$U$4:$Z$1003,5,FALSE),"")))</f>
        <v>Pagato in anticipo spesa diretta addebitata all' ente</v>
      </c>
      <c r="H1092" s="42">
        <f ca="1">IF($C$1076&gt;0,VLOOKUP($C1092,COSTI!$U$4:$Z$1003,6,FALSE),IF($C$1075&gt;0,VLOOKUP($C1092,PATRIMONIALE!$U$4:$Z$1003,6,FALSE),IF($C$1074&gt;0,VLOOKUP($C1092,ENTI!$U$4:$Z$1003,6,FALSE),"")))</f>
        <v>-38.42</v>
      </c>
      <c r="I1092" s="496">
        <v>12</v>
      </c>
      <c r="J1092" s="43">
        <f ca="1">VLOOKUP(D1092,$F$1081:$I$4183,4,FALSE)+COUNTIF(E$1081:E1091,E1092)</f>
        <v>20</v>
      </c>
      <c r="K1092" s="1"/>
      <c r="L1092" s="39" t="e">
        <f>IF($C$1074&gt;0,VLOOKUP($C1092,ENTI!$U$4:$AD$1003,10,FALSE),"")</f>
        <v>#N/A</v>
      </c>
      <c r="M1092" s="1"/>
      <c r="N1092" s="1"/>
      <c r="O1092" s="1"/>
    </row>
    <row r="1093" spans="1:15" hidden="1">
      <c r="A1093" s="1"/>
      <c r="B1093" s="40" t="e">
        <f t="shared" ca="1" si="179"/>
        <v>#N/A</v>
      </c>
      <c r="C1093" s="496">
        <v>13</v>
      </c>
      <c r="D1093" s="41" t="e">
        <f ca="1">IF($C$1076&gt;0,VLOOKUP($C1093,COSTI!$U$4:$Z$1003,3,FALSE),IF($C$1075&gt;0,VLOOKUP($C1093,PATRIMONIALE!$U$4:$Z$1003,3,FALSE),IF($C$1074&gt;0,VLOOKUP($C1093,ENTI!$U$4:$Z$1003,3,FALSE),"")))</f>
        <v>#N/A</v>
      </c>
      <c r="E1093" s="41" t="str">
        <f t="shared" ca="1" si="181"/>
        <v/>
      </c>
      <c r="F1093" s="41">
        <f t="shared" ca="1" si="180"/>
        <v>45453</v>
      </c>
      <c r="G1093" s="39" t="e">
        <f ca="1">IF($C$1076&gt;0,VLOOKUP($C1093,COSTI!$U$4:$Z$1003,5,FALSE),IF($C$1075&gt;0,VLOOKUP($C1093,PATRIMONIALE!$U$4:$Z$1003,5,FALSE),IF($C$1074&gt;0,VLOOKUP($C1093,ENTI!$U$4:$Z$1003,5,FALSE),"")))</f>
        <v>#N/A</v>
      </c>
      <c r="H1093" s="42" t="e">
        <f ca="1">IF($C$1076&gt;0,VLOOKUP($C1093,COSTI!$U$4:$Z$1003,6,FALSE),IF($C$1075&gt;0,VLOOKUP($C1093,PATRIMONIALE!$U$4:$Z$1003,6,FALSE),IF($C$1074&gt;0,VLOOKUP($C1093,ENTI!$U$4:$Z$1003,6,FALSE),"")))</f>
        <v>#N/A</v>
      </c>
      <c r="I1093" s="496">
        <v>13</v>
      </c>
      <c r="J1093" s="43" t="e">
        <f ca="1">VLOOKUP(D1093,$F$1081:$I$4183,4,FALSE)+COUNTIF(E$1081:E1092,E1093)</f>
        <v>#N/A</v>
      </c>
      <c r="K1093" s="1"/>
      <c r="L1093" s="39" t="e">
        <f>IF($C$1074&gt;0,VLOOKUP($C1093,ENTI!$U$4:$AD$1003,10,FALSE),"")</f>
        <v>#N/A</v>
      </c>
      <c r="M1093" s="1"/>
      <c r="N1093" s="1"/>
      <c r="O1093" s="1"/>
    </row>
    <row r="1094" spans="1:15" hidden="1">
      <c r="A1094" s="1"/>
      <c r="B1094" s="40" t="e">
        <f t="shared" ca="1" si="179"/>
        <v>#N/A</v>
      </c>
      <c r="C1094" s="496">
        <v>14</v>
      </c>
      <c r="D1094" s="41" t="e">
        <f ca="1">IF($C$1076&gt;0,VLOOKUP($C1094,COSTI!$U$4:$Z$1003,3,FALSE),IF($C$1075&gt;0,VLOOKUP($C1094,PATRIMONIALE!$U$4:$Z$1003,3,FALSE),IF($C$1074&gt;0,VLOOKUP($C1094,ENTI!$U$4:$Z$1003,3,FALSE),"")))</f>
        <v>#N/A</v>
      </c>
      <c r="E1094" s="41" t="str">
        <f t="shared" ca="1" si="181"/>
        <v/>
      </c>
      <c r="F1094" s="41">
        <f t="shared" ca="1" si="180"/>
        <v>45489</v>
      </c>
      <c r="G1094" s="39" t="e">
        <f ca="1">IF($C$1076&gt;0,VLOOKUP($C1094,COSTI!$U$4:$Z$1003,5,FALSE),IF($C$1075&gt;0,VLOOKUP($C1094,PATRIMONIALE!$U$4:$Z$1003,5,FALSE),IF($C$1074&gt;0,VLOOKUP($C1094,ENTI!$U$4:$Z$1003,5,FALSE),"")))</f>
        <v>#N/A</v>
      </c>
      <c r="H1094" s="42" t="e">
        <f ca="1">IF($C$1076&gt;0,VLOOKUP($C1094,COSTI!$U$4:$Z$1003,6,FALSE),IF($C$1075&gt;0,VLOOKUP($C1094,PATRIMONIALE!$U$4:$Z$1003,6,FALSE),IF($C$1074&gt;0,VLOOKUP($C1094,ENTI!$U$4:$Z$1003,6,FALSE),"")))</f>
        <v>#N/A</v>
      </c>
      <c r="I1094" s="496">
        <v>14</v>
      </c>
      <c r="J1094" s="43" t="e">
        <f ca="1">VLOOKUP(D1094,$F$1081:$I$4183,4,FALSE)+COUNTIF(E$1081:E1093,E1094)</f>
        <v>#N/A</v>
      </c>
      <c r="K1094" s="1"/>
      <c r="L1094" s="39" t="e">
        <f>IF($C$1074&gt;0,VLOOKUP($C1094,ENTI!$U$4:$AD$1003,10,FALSE),"")</f>
        <v>#N/A</v>
      </c>
      <c r="M1094" s="1"/>
      <c r="N1094" s="1"/>
      <c r="O1094" s="1"/>
    </row>
    <row r="1095" spans="1:15" hidden="1">
      <c r="A1095" s="1"/>
      <c r="B1095" s="40" t="e">
        <f t="shared" ca="1" si="179"/>
        <v>#N/A</v>
      </c>
      <c r="C1095" s="496">
        <v>15</v>
      </c>
      <c r="D1095" s="41" t="e">
        <f ca="1">IF($C$1076&gt;0,VLOOKUP($C1095,COSTI!$U$4:$Z$1003,3,FALSE),IF($C$1075&gt;0,VLOOKUP($C1095,PATRIMONIALE!$U$4:$Z$1003,3,FALSE),IF($C$1074&gt;0,VLOOKUP($C1095,ENTI!$U$4:$Z$1003,3,FALSE),"")))</f>
        <v>#N/A</v>
      </c>
      <c r="E1095" s="41" t="str">
        <f t="shared" ca="1" si="181"/>
        <v/>
      </c>
      <c r="F1095" s="41">
        <f t="shared" ca="1" si="180"/>
        <v>45500</v>
      </c>
      <c r="G1095" s="39" t="e">
        <f ca="1">IF($C$1076&gt;0,VLOOKUP($C1095,COSTI!$U$4:$Z$1003,5,FALSE),IF($C$1075&gt;0,VLOOKUP($C1095,PATRIMONIALE!$U$4:$Z$1003,5,FALSE),IF($C$1074&gt;0,VLOOKUP($C1095,ENTI!$U$4:$Z$1003,5,FALSE),"")))</f>
        <v>#N/A</v>
      </c>
      <c r="H1095" s="42" t="e">
        <f ca="1">IF($C$1076&gt;0,VLOOKUP($C1095,COSTI!$U$4:$Z$1003,6,FALSE),IF($C$1075&gt;0,VLOOKUP($C1095,PATRIMONIALE!$U$4:$Z$1003,6,FALSE),IF($C$1074&gt;0,VLOOKUP($C1095,ENTI!$U$4:$Z$1003,6,FALSE),"")))</f>
        <v>#N/A</v>
      </c>
      <c r="I1095" s="496">
        <v>15</v>
      </c>
      <c r="J1095" s="43" t="e">
        <f ca="1">VLOOKUP(D1095,$F$1081:$I$4183,4,FALSE)+COUNTIF(E$1081:E1094,E1095)</f>
        <v>#N/A</v>
      </c>
      <c r="K1095" s="1"/>
      <c r="L1095" s="39" t="e">
        <f>IF($C$1074&gt;0,VLOOKUP($C1095,ENTI!$U$4:$AD$1003,10,FALSE),"")</f>
        <v>#N/A</v>
      </c>
      <c r="M1095" s="1"/>
      <c r="N1095" s="1"/>
      <c r="O1095" s="1"/>
    </row>
    <row r="1096" spans="1:15" hidden="1">
      <c r="A1096" s="1"/>
      <c r="B1096" s="40" t="e">
        <f t="shared" ca="1" si="179"/>
        <v>#N/A</v>
      </c>
      <c r="C1096" s="496">
        <v>16</v>
      </c>
      <c r="D1096" s="41" t="e">
        <f ca="1">IF($C$1076&gt;0,VLOOKUP($C1096,COSTI!$U$4:$Z$1003,3,FALSE),IF($C$1075&gt;0,VLOOKUP($C1096,PATRIMONIALE!$U$4:$Z$1003,3,FALSE),IF($C$1074&gt;0,VLOOKUP($C1096,ENTI!$U$4:$Z$1003,3,FALSE),"")))</f>
        <v>#N/A</v>
      </c>
      <c r="E1096" s="41" t="str">
        <f t="shared" ca="1" si="181"/>
        <v/>
      </c>
      <c r="F1096" s="41">
        <f t="shared" ca="1" si="180"/>
        <v>45512</v>
      </c>
      <c r="G1096" s="39" t="e">
        <f ca="1">IF($C$1076&gt;0,VLOOKUP($C1096,COSTI!$U$4:$Z$1003,5,FALSE),IF($C$1075&gt;0,VLOOKUP($C1096,PATRIMONIALE!$U$4:$Z$1003,5,FALSE),IF($C$1074&gt;0,VLOOKUP($C1096,ENTI!$U$4:$Z$1003,5,FALSE),"")))</f>
        <v>#N/A</v>
      </c>
      <c r="H1096" s="42" t="e">
        <f ca="1">IF($C$1076&gt;0,VLOOKUP($C1096,COSTI!$U$4:$Z$1003,6,FALSE),IF($C$1075&gt;0,VLOOKUP($C1096,PATRIMONIALE!$U$4:$Z$1003,6,FALSE),IF($C$1074&gt;0,VLOOKUP($C1096,ENTI!$U$4:$Z$1003,6,FALSE),"")))</f>
        <v>#N/A</v>
      </c>
      <c r="I1096" s="496">
        <v>16</v>
      </c>
      <c r="J1096" s="43" t="e">
        <f ca="1">VLOOKUP(D1096,$F$1081:$I$4183,4,FALSE)+COUNTIF(E$1081:E1095,E1096)</f>
        <v>#N/A</v>
      </c>
      <c r="K1096" s="1"/>
      <c r="L1096" s="39" t="e">
        <f>IF($C$1074&gt;0,VLOOKUP($C1096,ENTI!$U$4:$AD$1003,10,FALSE),"")</f>
        <v>#N/A</v>
      </c>
      <c r="M1096" s="1"/>
      <c r="N1096" s="1"/>
      <c r="O1096" s="1"/>
    </row>
    <row r="1097" spans="1:15" hidden="1">
      <c r="A1097" s="1"/>
      <c r="B1097" s="40" t="e">
        <f t="shared" ca="1" si="179"/>
        <v>#N/A</v>
      </c>
      <c r="C1097" s="496">
        <v>17</v>
      </c>
      <c r="D1097" s="41" t="e">
        <f ca="1">IF($C$1076&gt;0,VLOOKUP($C1097,COSTI!$U$4:$Z$1003,3,FALSE),IF($C$1075&gt;0,VLOOKUP($C1097,PATRIMONIALE!$U$4:$Z$1003,3,FALSE),IF($C$1074&gt;0,VLOOKUP($C1097,ENTI!$U$4:$Z$1003,3,FALSE),"")))</f>
        <v>#N/A</v>
      </c>
      <c r="E1097" s="41" t="str">
        <f t="shared" ca="1" si="181"/>
        <v/>
      </c>
      <c r="F1097" s="41">
        <f t="shared" ca="1" si="180"/>
        <v>45524</v>
      </c>
      <c r="G1097" s="39" t="e">
        <f ca="1">IF($C$1076&gt;0,VLOOKUP($C1097,COSTI!$U$4:$Z$1003,5,FALSE),IF($C$1075&gt;0,VLOOKUP($C1097,PATRIMONIALE!$U$4:$Z$1003,5,FALSE),IF($C$1074&gt;0,VLOOKUP($C1097,ENTI!$U$4:$Z$1003,5,FALSE),"")))</f>
        <v>#N/A</v>
      </c>
      <c r="H1097" s="42" t="e">
        <f ca="1">IF($C$1076&gt;0,VLOOKUP($C1097,COSTI!$U$4:$Z$1003,6,FALSE),IF($C$1075&gt;0,VLOOKUP($C1097,PATRIMONIALE!$U$4:$Z$1003,6,FALSE),IF($C$1074&gt;0,VLOOKUP($C1097,ENTI!$U$4:$Z$1003,6,FALSE),"")))</f>
        <v>#N/A</v>
      </c>
      <c r="I1097" s="496">
        <v>17</v>
      </c>
      <c r="J1097" s="43" t="e">
        <f ca="1">VLOOKUP(D1097,$F$1081:$I$4183,4,FALSE)+COUNTIF(E$1081:E1096,E1097)</f>
        <v>#N/A</v>
      </c>
      <c r="K1097" s="1"/>
      <c r="L1097" s="39" t="e">
        <f>IF($C$1074&gt;0,VLOOKUP($C1097,ENTI!$U$4:$AD$1003,10,FALSE),"")</f>
        <v>#N/A</v>
      </c>
      <c r="M1097" s="1"/>
      <c r="N1097" s="1"/>
      <c r="O1097" s="1"/>
    </row>
    <row r="1098" spans="1:15" hidden="1">
      <c r="A1098" s="1"/>
      <c r="B1098" s="40" t="e">
        <f t="shared" ca="1" si="179"/>
        <v>#N/A</v>
      </c>
      <c r="C1098" s="496">
        <v>18</v>
      </c>
      <c r="D1098" s="41" t="e">
        <f ca="1">IF($C$1076&gt;0,VLOOKUP($C1098,COSTI!$U$4:$Z$1003,3,FALSE),IF($C$1075&gt;0,VLOOKUP($C1098,PATRIMONIALE!$U$4:$Z$1003,3,FALSE),IF($C$1074&gt;0,VLOOKUP($C1098,ENTI!$U$4:$Z$1003,3,FALSE),"")))</f>
        <v>#N/A</v>
      </c>
      <c r="E1098" s="41" t="str">
        <f t="shared" ca="1" si="181"/>
        <v/>
      </c>
      <c r="F1098" s="41">
        <f t="shared" ca="1" si="180"/>
        <v>45525</v>
      </c>
      <c r="G1098" s="39" t="e">
        <f ca="1">IF($C$1076&gt;0,VLOOKUP($C1098,COSTI!$U$4:$Z$1003,5,FALSE),IF($C$1075&gt;0,VLOOKUP($C1098,PATRIMONIALE!$U$4:$Z$1003,5,FALSE),IF($C$1074&gt;0,VLOOKUP($C1098,ENTI!$U$4:$Z$1003,5,FALSE),"")))</f>
        <v>#N/A</v>
      </c>
      <c r="H1098" s="42" t="e">
        <f ca="1">IF($C$1076&gt;0,VLOOKUP($C1098,COSTI!$U$4:$Z$1003,6,FALSE),IF($C$1075&gt;0,VLOOKUP($C1098,PATRIMONIALE!$U$4:$Z$1003,6,FALSE),IF($C$1074&gt;0,VLOOKUP($C1098,ENTI!$U$4:$Z$1003,6,FALSE),"")))</f>
        <v>#N/A</v>
      </c>
      <c r="I1098" s="496">
        <v>18</v>
      </c>
      <c r="J1098" s="43" t="e">
        <f ca="1">VLOOKUP(D1098,$F$1081:$I$4183,4,FALSE)+COUNTIF(E$1081:E1097,E1098)</f>
        <v>#N/A</v>
      </c>
      <c r="K1098" s="1"/>
      <c r="L1098" s="39" t="e">
        <f>IF($C$1074&gt;0,VLOOKUP($C1098,ENTI!$U$4:$AD$1003,10,FALSE),"")</f>
        <v>#N/A</v>
      </c>
      <c r="M1098" s="1"/>
      <c r="N1098" s="1"/>
      <c r="O1098" s="1"/>
    </row>
    <row r="1099" spans="1:15" hidden="1">
      <c r="A1099" s="1"/>
      <c r="B1099" s="40" t="e">
        <f t="shared" ca="1" si="179"/>
        <v>#N/A</v>
      </c>
      <c r="C1099" s="496">
        <v>19</v>
      </c>
      <c r="D1099" s="41" t="e">
        <f ca="1">IF($C$1076&gt;0,VLOOKUP($C1099,COSTI!$U$4:$Z$1003,3,FALSE),IF($C$1075&gt;0,VLOOKUP($C1099,PATRIMONIALE!$U$4:$Z$1003,3,FALSE),IF($C$1074&gt;0,VLOOKUP($C1099,ENTI!$U$4:$Z$1003,3,FALSE),"")))</f>
        <v>#N/A</v>
      </c>
      <c r="E1099" s="41" t="str">
        <f t="shared" ca="1" si="181"/>
        <v/>
      </c>
      <c r="F1099" s="41">
        <f t="shared" ca="1" si="180"/>
        <v>45561</v>
      </c>
      <c r="G1099" s="39" t="e">
        <f ca="1">IF($C$1076&gt;0,VLOOKUP($C1099,COSTI!$U$4:$Z$1003,5,FALSE),IF($C$1075&gt;0,VLOOKUP($C1099,PATRIMONIALE!$U$4:$Z$1003,5,FALSE),IF($C$1074&gt;0,VLOOKUP($C1099,ENTI!$U$4:$Z$1003,5,FALSE),"")))</f>
        <v>#N/A</v>
      </c>
      <c r="H1099" s="42" t="e">
        <f ca="1">IF($C$1076&gt;0,VLOOKUP($C1099,COSTI!$U$4:$Z$1003,6,FALSE),IF($C$1075&gt;0,VLOOKUP($C1099,PATRIMONIALE!$U$4:$Z$1003,6,FALSE),IF($C$1074&gt;0,VLOOKUP($C1099,ENTI!$U$4:$Z$1003,6,FALSE),"")))</f>
        <v>#N/A</v>
      </c>
      <c r="I1099" s="496">
        <v>19</v>
      </c>
      <c r="J1099" s="43" t="e">
        <f ca="1">VLOOKUP(D1099,$F$1081:$I$4183,4,FALSE)+COUNTIF(E$1081:E1098,E1099)</f>
        <v>#N/A</v>
      </c>
      <c r="K1099" s="1"/>
      <c r="L1099" s="39" t="e">
        <f>IF($C$1074&gt;0,VLOOKUP($C1099,ENTI!$U$4:$AD$1003,10,FALSE),"")</f>
        <v>#N/A</v>
      </c>
      <c r="M1099" s="1"/>
      <c r="N1099" s="1"/>
      <c r="O1099" s="1"/>
    </row>
    <row r="1100" spans="1:15" hidden="1">
      <c r="A1100" s="1"/>
      <c r="B1100" s="40" t="e">
        <f t="shared" ca="1" si="179"/>
        <v>#N/A</v>
      </c>
      <c r="C1100" s="496">
        <v>20</v>
      </c>
      <c r="D1100" s="41" t="e">
        <f ca="1">IF($C$1076&gt;0,VLOOKUP($C1100,COSTI!$U$4:$Z$1003,3,FALSE),IF($C$1075&gt;0,VLOOKUP($C1100,PATRIMONIALE!$U$4:$Z$1003,3,FALSE),IF($C$1074&gt;0,VLOOKUP($C1100,ENTI!$U$4:$Z$1003,3,FALSE),"")))</f>
        <v>#N/A</v>
      </c>
      <c r="E1100" s="41" t="str">
        <f t="shared" ca="1" si="181"/>
        <v/>
      </c>
      <c r="F1100" s="41">
        <f t="shared" ca="1" si="180"/>
        <v>45566</v>
      </c>
      <c r="G1100" s="39" t="e">
        <f ca="1">IF($C$1076&gt;0,VLOOKUP($C1100,COSTI!$U$4:$Z$1003,5,FALSE),IF($C$1075&gt;0,VLOOKUP($C1100,PATRIMONIALE!$U$4:$Z$1003,5,FALSE),IF($C$1074&gt;0,VLOOKUP($C1100,ENTI!$U$4:$Z$1003,5,FALSE),"")))</f>
        <v>#N/A</v>
      </c>
      <c r="H1100" s="42" t="e">
        <f ca="1">IF($C$1076&gt;0,VLOOKUP($C1100,COSTI!$U$4:$Z$1003,6,FALSE),IF($C$1075&gt;0,VLOOKUP($C1100,PATRIMONIALE!$U$4:$Z$1003,6,FALSE),IF($C$1074&gt;0,VLOOKUP($C1100,ENTI!$U$4:$Z$1003,6,FALSE),"")))</f>
        <v>#N/A</v>
      </c>
      <c r="I1100" s="496">
        <v>20</v>
      </c>
      <c r="J1100" s="43" t="e">
        <f ca="1">VLOOKUP(D1100,$F$1081:$I$4183,4,FALSE)+COUNTIF(E$1081:E1099,E1100)</f>
        <v>#N/A</v>
      </c>
      <c r="K1100" s="1"/>
      <c r="L1100" s="39" t="e">
        <f>IF($C$1074&gt;0,VLOOKUP($C1100,ENTI!$U$4:$AD$1003,10,FALSE),"")</f>
        <v>#N/A</v>
      </c>
      <c r="M1100" s="1"/>
      <c r="N1100" s="1"/>
      <c r="O1100" s="1"/>
    </row>
    <row r="1101" spans="1:15" hidden="1">
      <c r="A1101" s="1"/>
      <c r="B1101" s="40" t="e">
        <f t="shared" ca="1" si="179"/>
        <v>#N/A</v>
      </c>
      <c r="C1101" s="496">
        <v>21</v>
      </c>
      <c r="D1101" s="41" t="e">
        <f ca="1">IF($C$1076&gt;0,VLOOKUP($C1101,COSTI!$U$4:$Z$1003,3,FALSE),IF($C$1075&gt;0,VLOOKUP($C1101,PATRIMONIALE!$U$4:$Z$1003,3,FALSE),IF($C$1074&gt;0,VLOOKUP($C1101,ENTI!$U$4:$Z$1003,3,FALSE),"")))</f>
        <v>#N/A</v>
      </c>
      <c r="E1101" s="41" t="str">
        <f t="shared" ca="1" si="181"/>
        <v/>
      </c>
      <c r="F1101" s="41">
        <f t="shared" ca="1" si="180"/>
        <v>45596</v>
      </c>
      <c r="G1101" s="39" t="e">
        <f ca="1">IF($C$1076&gt;0,VLOOKUP($C1101,COSTI!$U$4:$Z$1003,5,FALSE),IF($C$1075&gt;0,VLOOKUP($C1101,PATRIMONIALE!$U$4:$Z$1003,5,FALSE),IF($C$1074&gt;0,VLOOKUP($C1101,ENTI!$U$4:$Z$1003,5,FALSE),"")))</f>
        <v>#N/A</v>
      </c>
      <c r="H1101" s="42" t="e">
        <f ca="1">IF($C$1076&gt;0,VLOOKUP($C1101,COSTI!$U$4:$Z$1003,6,FALSE),IF($C$1075&gt;0,VLOOKUP($C1101,PATRIMONIALE!$U$4:$Z$1003,6,FALSE),IF($C$1074&gt;0,VLOOKUP($C1101,ENTI!$U$4:$Z$1003,6,FALSE),"")))</f>
        <v>#N/A</v>
      </c>
      <c r="I1101" s="496">
        <v>21</v>
      </c>
      <c r="J1101" s="43" t="e">
        <f ca="1">VLOOKUP(D1101,$F$1081:$I$4183,4,FALSE)+COUNTIF(E$1081:E1100,E1101)</f>
        <v>#N/A</v>
      </c>
      <c r="K1101" s="1"/>
      <c r="L1101" s="39" t="e">
        <f>IF($C$1074&gt;0,VLOOKUP($C1101,ENTI!$U$4:$AD$1003,10,FALSE),"")</f>
        <v>#N/A</v>
      </c>
      <c r="M1101" s="1"/>
      <c r="N1101" s="1"/>
      <c r="O1101" s="1"/>
    </row>
    <row r="1102" spans="1:15" hidden="1">
      <c r="A1102" s="1"/>
      <c r="B1102" s="40" t="e">
        <f t="shared" ca="1" si="179"/>
        <v>#N/A</v>
      </c>
      <c r="C1102" s="496">
        <v>22</v>
      </c>
      <c r="D1102" s="41" t="e">
        <f ca="1">IF($C$1076&gt;0,VLOOKUP($C1102,COSTI!$U$4:$Z$1003,3,FALSE),IF($C$1075&gt;0,VLOOKUP($C1102,PATRIMONIALE!$U$4:$Z$1003,3,FALSE),IF($C$1074&gt;0,VLOOKUP($C1102,ENTI!$U$4:$Z$1003,3,FALSE),"")))</f>
        <v>#N/A</v>
      </c>
      <c r="E1102" s="41" t="str">
        <f t="shared" ca="1" si="181"/>
        <v/>
      </c>
      <c r="F1102" s="41">
        <f t="shared" ca="1" si="180"/>
        <v>45597</v>
      </c>
      <c r="G1102" s="39" t="e">
        <f ca="1">IF($C$1076&gt;0,VLOOKUP($C1102,COSTI!$U$4:$Z$1003,5,FALSE),IF($C$1075&gt;0,VLOOKUP($C1102,PATRIMONIALE!$U$4:$Z$1003,5,FALSE),IF($C$1074&gt;0,VLOOKUP($C1102,ENTI!$U$4:$Z$1003,5,FALSE),"")))</f>
        <v>#N/A</v>
      </c>
      <c r="H1102" s="42" t="e">
        <f ca="1">IF($C$1076&gt;0,VLOOKUP($C1102,COSTI!$U$4:$Z$1003,6,FALSE),IF($C$1075&gt;0,VLOOKUP($C1102,PATRIMONIALE!$U$4:$Z$1003,6,FALSE),IF($C$1074&gt;0,VLOOKUP($C1102,ENTI!$U$4:$Z$1003,6,FALSE),"")))</f>
        <v>#N/A</v>
      </c>
      <c r="I1102" s="496">
        <v>22</v>
      </c>
      <c r="J1102" s="43" t="e">
        <f ca="1">VLOOKUP(D1102,$F$1081:$I$4183,4,FALSE)+COUNTIF(E$1081:E1101,E1102)</f>
        <v>#N/A</v>
      </c>
      <c r="K1102" s="1"/>
      <c r="L1102" s="39" t="e">
        <f>IF($C$1074&gt;0,VLOOKUP($C1102,ENTI!$U$4:$AD$1003,10,FALSE),"")</f>
        <v>#N/A</v>
      </c>
      <c r="M1102" s="1"/>
      <c r="N1102" s="1"/>
      <c r="O1102" s="1"/>
    </row>
    <row r="1103" spans="1:15" hidden="1">
      <c r="A1103" s="1"/>
      <c r="B1103" s="40" t="e">
        <f t="shared" ca="1" si="179"/>
        <v>#N/A</v>
      </c>
      <c r="C1103" s="496">
        <v>23</v>
      </c>
      <c r="D1103" s="41" t="e">
        <f ca="1">IF($C$1076&gt;0,VLOOKUP($C1103,COSTI!$U$4:$Z$1003,3,FALSE),IF($C$1075&gt;0,VLOOKUP($C1103,PATRIMONIALE!$U$4:$Z$1003,3,FALSE),IF($C$1074&gt;0,VLOOKUP($C1103,ENTI!$U$4:$Z$1003,3,FALSE),"")))</f>
        <v>#N/A</v>
      </c>
      <c r="E1103" s="41" t="str">
        <f t="shared" ca="1" si="181"/>
        <v/>
      </c>
      <c r="F1103" s="41">
        <f t="shared" ca="1" si="180"/>
        <v>45608</v>
      </c>
      <c r="G1103" s="39" t="e">
        <f ca="1">IF($C$1076&gt;0,VLOOKUP($C1103,COSTI!$U$4:$Z$1003,5,FALSE),IF($C$1075&gt;0,VLOOKUP($C1103,PATRIMONIALE!$U$4:$Z$1003,5,FALSE),IF($C$1074&gt;0,VLOOKUP($C1103,ENTI!$U$4:$Z$1003,5,FALSE),"")))</f>
        <v>#N/A</v>
      </c>
      <c r="H1103" s="42" t="e">
        <f ca="1">IF($C$1076&gt;0,VLOOKUP($C1103,COSTI!$U$4:$Z$1003,6,FALSE),IF($C$1075&gt;0,VLOOKUP($C1103,PATRIMONIALE!$U$4:$Z$1003,6,FALSE),IF($C$1074&gt;0,VLOOKUP($C1103,ENTI!$U$4:$Z$1003,6,FALSE),"")))</f>
        <v>#N/A</v>
      </c>
      <c r="I1103" s="496">
        <v>23</v>
      </c>
      <c r="J1103" s="43" t="e">
        <f ca="1">VLOOKUP(D1103,$F$1081:$I$4183,4,FALSE)+COUNTIF(E$1081:E1102,E1103)</f>
        <v>#N/A</v>
      </c>
      <c r="K1103" s="1"/>
      <c r="L1103" s="39" t="e">
        <f>IF($C$1074&gt;0,VLOOKUP($C1103,ENTI!$U$4:$AD$1003,10,FALSE),"")</f>
        <v>#N/A</v>
      </c>
      <c r="M1103" s="1"/>
      <c r="N1103" s="1"/>
      <c r="O1103" s="1"/>
    </row>
    <row r="1104" spans="1:15" hidden="1">
      <c r="A1104" s="1"/>
      <c r="B1104" s="40" t="e">
        <f t="shared" ca="1" si="179"/>
        <v>#N/A</v>
      </c>
      <c r="C1104" s="496">
        <v>24</v>
      </c>
      <c r="D1104" s="41" t="e">
        <f ca="1">IF($C$1076&gt;0,VLOOKUP($C1104,COSTI!$U$4:$Z$1003,3,FALSE),IF($C$1075&gt;0,VLOOKUP($C1104,PATRIMONIALE!$U$4:$Z$1003,3,FALSE),IF($C$1074&gt;0,VLOOKUP($C1104,ENTI!$U$4:$Z$1003,3,FALSE),"")))</f>
        <v>#N/A</v>
      </c>
      <c r="E1104" s="41" t="str">
        <f t="shared" ca="1" si="181"/>
        <v/>
      </c>
      <c r="F1104" s="41">
        <f t="shared" ca="1" si="180"/>
        <v>45609</v>
      </c>
      <c r="G1104" s="39" t="e">
        <f ca="1">IF($C$1076&gt;0,VLOOKUP($C1104,COSTI!$U$4:$Z$1003,5,FALSE),IF($C$1075&gt;0,VLOOKUP($C1104,PATRIMONIALE!$U$4:$Z$1003,5,FALSE),IF($C$1074&gt;0,VLOOKUP($C1104,ENTI!$U$4:$Z$1003,5,FALSE),"")))</f>
        <v>#N/A</v>
      </c>
      <c r="H1104" s="42" t="e">
        <f ca="1">IF($C$1076&gt;0,VLOOKUP($C1104,COSTI!$U$4:$Z$1003,6,FALSE),IF($C$1075&gt;0,VLOOKUP($C1104,PATRIMONIALE!$U$4:$Z$1003,6,FALSE),IF($C$1074&gt;0,VLOOKUP($C1104,ENTI!$U$4:$Z$1003,6,FALSE),"")))</f>
        <v>#N/A</v>
      </c>
      <c r="I1104" s="496">
        <v>24</v>
      </c>
      <c r="J1104" s="43" t="e">
        <f ca="1">VLOOKUP(D1104,$F$1081:$I$4183,4,FALSE)+COUNTIF(E$1081:E1103,E1104)</f>
        <v>#N/A</v>
      </c>
      <c r="K1104" s="1"/>
      <c r="L1104" s="39" t="e">
        <f>IF($C$1074&gt;0,VLOOKUP($C1104,ENTI!$U$4:$AD$1003,10,FALSE),"")</f>
        <v>#N/A</v>
      </c>
      <c r="M1104" s="1"/>
      <c r="N1104" s="1"/>
      <c r="O1104" s="1"/>
    </row>
    <row r="1105" spans="1:15" hidden="1">
      <c r="A1105" s="1"/>
      <c r="B1105" s="40" t="e">
        <f t="shared" ca="1" si="179"/>
        <v>#N/A</v>
      </c>
      <c r="C1105" s="496">
        <v>25</v>
      </c>
      <c r="D1105" s="41" t="e">
        <f ca="1">IF($C$1076&gt;0,VLOOKUP($C1105,COSTI!$U$4:$Z$1003,3,FALSE),IF($C$1075&gt;0,VLOOKUP($C1105,PATRIMONIALE!$U$4:$Z$1003,3,FALSE),IF($C$1074&gt;0,VLOOKUP($C1105,ENTI!$U$4:$Z$1003,3,FALSE),"")))</f>
        <v>#N/A</v>
      </c>
      <c r="E1105" s="41" t="str">
        <f t="shared" ca="1" si="181"/>
        <v/>
      </c>
      <c r="F1105" s="41">
        <f t="shared" ca="1" si="180"/>
        <v>45620</v>
      </c>
      <c r="G1105" s="39" t="e">
        <f ca="1">IF($C$1076&gt;0,VLOOKUP($C1105,COSTI!$U$4:$Z$1003,5,FALSE),IF($C$1075&gt;0,VLOOKUP($C1105,PATRIMONIALE!$U$4:$Z$1003,5,FALSE),IF($C$1074&gt;0,VLOOKUP($C1105,ENTI!$U$4:$Z$1003,5,FALSE),"")))</f>
        <v>#N/A</v>
      </c>
      <c r="H1105" s="42" t="e">
        <f ca="1">IF($C$1076&gt;0,VLOOKUP($C1105,COSTI!$U$4:$Z$1003,6,FALSE),IF($C$1075&gt;0,VLOOKUP($C1105,PATRIMONIALE!$U$4:$Z$1003,6,FALSE),IF($C$1074&gt;0,VLOOKUP($C1105,ENTI!$U$4:$Z$1003,6,FALSE),"")))</f>
        <v>#N/A</v>
      </c>
      <c r="I1105" s="496">
        <v>25</v>
      </c>
      <c r="J1105" s="43" t="e">
        <f ca="1">VLOOKUP(D1105,$F$1081:$I$4183,4,FALSE)+COUNTIF(E$1081:E1104,E1105)</f>
        <v>#N/A</v>
      </c>
      <c r="K1105" s="1"/>
      <c r="L1105" s="39" t="e">
        <f>IF($C$1074&gt;0,VLOOKUP($C1105,ENTI!$U$4:$AD$1003,10,FALSE),"")</f>
        <v>#N/A</v>
      </c>
      <c r="M1105" s="1"/>
      <c r="N1105" s="1"/>
      <c r="O1105" s="1"/>
    </row>
    <row r="1106" spans="1:15" hidden="1">
      <c r="A1106" s="1"/>
      <c r="B1106" s="40" t="e">
        <f t="shared" ca="1" si="179"/>
        <v>#N/A</v>
      </c>
      <c r="C1106" s="496">
        <v>26</v>
      </c>
      <c r="D1106" s="41" t="e">
        <f ca="1">IF($C$1076&gt;0,VLOOKUP($C1106,COSTI!$U$4:$Z$1003,3,FALSE),IF($C$1075&gt;0,VLOOKUP($C1106,PATRIMONIALE!$U$4:$Z$1003,3,FALSE),IF($C$1074&gt;0,VLOOKUP($C1106,ENTI!$U$4:$Z$1003,3,FALSE),"")))</f>
        <v>#N/A</v>
      </c>
      <c r="E1106" s="41" t="str">
        <f t="shared" ca="1" si="181"/>
        <v/>
      </c>
      <c r="F1106" s="41">
        <f t="shared" ca="1" si="180"/>
        <v>45621</v>
      </c>
      <c r="G1106" s="39" t="e">
        <f ca="1">IF($C$1076&gt;0,VLOOKUP($C1106,COSTI!$U$4:$Z$1003,5,FALSE),IF($C$1075&gt;0,VLOOKUP($C1106,PATRIMONIALE!$U$4:$Z$1003,5,FALSE),IF($C$1074&gt;0,VLOOKUP($C1106,ENTI!$U$4:$Z$1003,5,FALSE),"")))</f>
        <v>#N/A</v>
      </c>
      <c r="H1106" s="42" t="e">
        <f ca="1">IF($C$1076&gt;0,VLOOKUP($C1106,COSTI!$U$4:$Z$1003,6,FALSE),IF($C$1075&gt;0,VLOOKUP($C1106,PATRIMONIALE!$U$4:$Z$1003,6,FALSE),IF($C$1074&gt;0,VLOOKUP($C1106,ENTI!$U$4:$Z$1003,6,FALSE),"")))</f>
        <v>#N/A</v>
      </c>
      <c r="I1106" s="496">
        <v>26</v>
      </c>
      <c r="J1106" s="43" t="e">
        <f ca="1">VLOOKUP(D1106,$F$1081:$I$4183,4,FALSE)+COUNTIF(E$1081:E1105,E1106)</f>
        <v>#N/A</v>
      </c>
      <c r="K1106" s="1"/>
      <c r="L1106" s="39" t="e">
        <f>IF($C$1074&gt;0,VLOOKUP($C1106,ENTI!$U$4:$AD$1003,10,FALSE),"")</f>
        <v>#N/A</v>
      </c>
      <c r="M1106" s="1"/>
      <c r="N1106" s="1"/>
      <c r="O1106" s="1"/>
    </row>
    <row r="1107" spans="1:15" hidden="1">
      <c r="A1107" s="1"/>
      <c r="B1107" s="40" t="e">
        <f t="shared" ca="1" si="179"/>
        <v>#N/A</v>
      </c>
      <c r="C1107" s="496">
        <v>27</v>
      </c>
      <c r="D1107" s="41" t="e">
        <f ca="1">IF($C$1076&gt;0,VLOOKUP($C1107,COSTI!$U$4:$Z$1003,3,FALSE),IF($C$1075&gt;0,VLOOKUP($C1107,PATRIMONIALE!$U$4:$Z$1003,3,FALSE),IF($C$1074&gt;0,VLOOKUP($C1107,ENTI!$U$4:$Z$1003,3,FALSE),"")))</f>
        <v>#N/A</v>
      </c>
      <c r="E1107" s="41" t="str">
        <f t="shared" ca="1" si="181"/>
        <v/>
      </c>
      <c r="F1107" s="41">
        <f t="shared" ca="1" si="180"/>
        <v>45633</v>
      </c>
      <c r="G1107" s="39" t="e">
        <f ca="1">IF($C$1076&gt;0,VLOOKUP($C1107,COSTI!$U$4:$Z$1003,5,FALSE),IF($C$1075&gt;0,VLOOKUP($C1107,PATRIMONIALE!$U$4:$Z$1003,5,FALSE),IF($C$1074&gt;0,VLOOKUP($C1107,ENTI!$U$4:$Z$1003,5,FALSE),"")))</f>
        <v>#N/A</v>
      </c>
      <c r="H1107" s="42" t="e">
        <f ca="1">IF($C$1076&gt;0,VLOOKUP($C1107,COSTI!$U$4:$Z$1003,6,FALSE),IF($C$1075&gt;0,VLOOKUP($C1107,PATRIMONIALE!$U$4:$Z$1003,6,FALSE),IF($C$1074&gt;0,VLOOKUP($C1107,ENTI!$U$4:$Z$1003,6,FALSE),"")))</f>
        <v>#N/A</v>
      </c>
      <c r="I1107" s="496">
        <v>27</v>
      </c>
      <c r="J1107" s="43" t="e">
        <f ca="1">VLOOKUP(D1107,$F$1081:$I$4183,4,FALSE)+COUNTIF(E$1081:E1106,E1107)</f>
        <v>#N/A</v>
      </c>
      <c r="K1107" s="1"/>
      <c r="L1107" s="39" t="e">
        <f>IF($C$1074&gt;0,VLOOKUP($C1107,ENTI!$U$4:$AD$1003,10,FALSE),"")</f>
        <v>#N/A</v>
      </c>
      <c r="M1107" s="1"/>
      <c r="N1107" s="1"/>
      <c r="O1107" s="1"/>
    </row>
    <row r="1108" spans="1:15" hidden="1">
      <c r="A1108" s="1"/>
      <c r="B1108" s="40" t="e">
        <f t="shared" ca="1" si="179"/>
        <v>#N/A</v>
      </c>
      <c r="C1108" s="496">
        <v>28</v>
      </c>
      <c r="D1108" s="41" t="e">
        <f ca="1">IF($C$1076&gt;0,VLOOKUP($C1108,COSTI!$U$4:$Z$1003,3,FALSE),IF($C$1075&gt;0,VLOOKUP($C1108,PATRIMONIALE!$U$4:$Z$1003,3,FALSE),IF($C$1074&gt;0,VLOOKUP($C1108,ENTI!$U$4:$Z$1003,3,FALSE),"")))</f>
        <v>#N/A</v>
      </c>
      <c r="E1108" s="41" t="str">
        <f t="shared" ca="1" si="181"/>
        <v/>
      </c>
      <c r="F1108" s="41" t="e">
        <f t="shared" ca="1" si="180"/>
        <v>#NUM!</v>
      </c>
      <c r="G1108" s="39" t="e">
        <f ca="1">IF($C$1076&gt;0,VLOOKUP($C1108,COSTI!$U$4:$Z$1003,5,FALSE),IF($C$1075&gt;0,VLOOKUP($C1108,PATRIMONIALE!$U$4:$Z$1003,5,FALSE),IF($C$1074&gt;0,VLOOKUP($C1108,ENTI!$U$4:$Z$1003,5,FALSE),"")))</f>
        <v>#N/A</v>
      </c>
      <c r="H1108" s="42" t="e">
        <f ca="1">IF($C$1076&gt;0,VLOOKUP($C1108,COSTI!$U$4:$Z$1003,6,FALSE),IF($C$1075&gt;0,VLOOKUP($C1108,PATRIMONIALE!$U$4:$Z$1003,6,FALSE),IF($C$1074&gt;0,VLOOKUP($C1108,ENTI!$U$4:$Z$1003,6,FALSE),"")))</f>
        <v>#N/A</v>
      </c>
      <c r="I1108" s="496">
        <v>28</v>
      </c>
      <c r="J1108" s="43" t="e">
        <f ca="1">VLOOKUP(D1108,$F$1081:$I$4183,4,FALSE)+COUNTIF(E$1081:E1107,E1108)</f>
        <v>#N/A</v>
      </c>
      <c r="K1108" s="1"/>
      <c r="L1108" s="39" t="e">
        <f>IF($C$1074&gt;0,VLOOKUP($C1108,ENTI!$U$4:$AD$1003,10,FALSE),"")</f>
        <v>#N/A</v>
      </c>
      <c r="M1108" s="1"/>
      <c r="N1108" s="1"/>
      <c r="O1108" s="1"/>
    </row>
    <row r="1109" spans="1:15" hidden="1">
      <c r="A1109" s="1"/>
      <c r="B1109" s="40" t="e">
        <f t="shared" ca="1" si="179"/>
        <v>#N/A</v>
      </c>
      <c r="C1109" s="496">
        <v>29</v>
      </c>
      <c r="D1109" s="41" t="e">
        <f ca="1">IF($C$1076&gt;0,VLOOKUP($C1109,COSTI!$U$4:$Z$1003,3,FALSE),IF($C$1075&gt;0,VLOOKUP($C1109,PATRIMONIALE!$U$4:$Z$1003,3,FALSE),IF($C$1074&gt;0,VLOOKUP($C1109,ENTI!$U$4:$Z$1003,3,FALSE),"")))</f>
        <v>#N/A</v>
      </c>
      <c r="E1109" s="41" t="str">
        <f t="shared" ca="1" si="181"/>
        <v/>
      </c>
      <c r="F1109" s="41" t="e">
        <f t="shared" ca="1" si="180"/>
        <v>#NUM!</v>
      </c>
      <c r="G1109" s="39" t="e">
        <f ca="1">IF($C$1076&gt;0,VLOOKUP($C1109,COSTI!$U$4:$Z$1003,5,FALSE),IF($C$1075&gt;0,VLOOKUP($C1109,PATRIMONIALE!$U$4:$Z$1003,5,FALSE),IF($C$1074&gt;0,VLOOKUP($C1109,ENTI!$U$4:$Z$1003,5,FALSE),"")))</f>
        <v>#N/A</v>
      </c>
      <c r="H1109" s="42" t="e">
        <f ca="1">IF($C$1076&gt;0,VLOOKUP($C1109,COSTI!$U$4:$Z$1003,6,FALSE),IF($C$1075&gt;0,VLOOKUP($C1109,PATRIMONIALE!$U$4:$Z$1003,6,FALSE),IF($C$1074&gt;0,VLOOKUP($C1109,ENTI!$U$4:$Z$1003,6,FALSE),"")))</f>
        <v>#N/A</v>
      </c>
      <c r="I1109" s="496">
        <v>29</v>
      </c>
      <c r="J1109" s="43" t="e">
        <f ca="1">VLOOKUP(D1109,$F$1081:$I$4183,4,FALSE)+COUNTIF(E$1081:E1108,E1109)</f>
        <v>#N/A</v>
      </c>
      <c r="K1109" s="1"/>
      <c r="L1109" s="39" t="e">
        <f>IF($C$1074&gt;0,VLOOKUP($C1109,ENTI!$U$4:$AD$1003,10,FALSE),"")</f>
        <v>#N/A</v>
      </c>
      <c r="M1109" s="1"/>
      <c r="N1109" s="1"/>
      <c r="O1109" s="1"/>
    </row>
    <row r="1110" spans="1:15" hidden="1">
      <c r="A1110" s="1"/>
      <c r="B1110" s="40" t="e">
        <f t="shared" ca="1" si="179"/>
        <v>#N/A</v>
      </c>
      <c r="C1110" s="496">
        <v>30</v>
      </c>
      <c r="D1110" s="41" t="e">
        <f ca="1">IF($C$1076&gt;0,VLOOKUP($C1110,COSTI!$U$4:$Z$1003,3,FALSE),IF($C$1075&gt;0,VLOOKUP($C1110,PATRIMONIALE!$U$4:$Z$1003,3,FALSE),IF($C$1074&gt;0,VLOOKUP($C1110,ENTI!$U$4:$Z$1003,3,FALSE),"")))</f>
        <v>#N/A</v>
      </c>
      <c r="E1110" s="41" t="str">
        <f t="shared" ca="1" si="181"/>
        <v/>
      </c>
      <c r="F1110" s="41" t="e">
        <f t="shared" ca="1" si="180"/>
        <v>#NUM!</v>
      </c>
      <c r="G1110" s="39" t="e">
        <f ca="1">IF($C$1076&gt;0,VLOOKUP($C1110,COSTI!$U$4:$Z$1003,5,FALSE),IF($C$1075&gt;0,VLOOKUP($C1110,PATRIMONIALE!$U$4:$Z$1003,5,FALSE),IF($C$1074&gt;0,VLOOKUP($C1110,ENTI!$U$4:$Z$1003,5,FALSE),"")))</f>
        <v>#N/A</v>
      </c>
      <c r="H1110" s="42" t="e">
        <f ca="1">IF($C$1076&gt;0,VLOOKUP($C1110,COSTI!$U$4:$Z$1003,6,FALSE),IF($C$1075&gt;0,VLOOKUP($C1110,PATRIMONIALE!$U$4:$Z$1003,6,FALSE),IF($C$1074&gt;0,VLOOKUP($C1110,ENTI!$U$4:$Z$1003,6,FALSE),"")))</f>
        <v>#N/A</v>
      </c>
      <c r="I1110" s="496">
        <v>30</v>
      </c>
      <c r="J1110" s="43" t="e">
        <f ca="1">VLOOKUP(D1110,$F$1081:$I$4183,4,FALSE)+COUNTIF(E$1081:E1109,E1110)</f>
        <v>#N/A</v>
      </c>
      <c r="K1110" s="1"/>
      <c r="L1110" s="39" t="e">
        <f>IF($C$1074&gt;0,VLOOKUP($C1110,ENTI!$U$4:$AD$1003,10,FALSE),"")</f>
        <v>#N/A</v>
      </c>
      <c r="M1110" s="1"/>
      <c r="N1110" s="1"/>
      <c r="O1110" s="1"/>
    </row>
    <row r="1111" spans="1:15" hidden="1">
      <c r="A1111" s="1"/>
      <c r="B1111" s="40" t="e">
        <f t="shared" ca="1" si="179"/>
        <v>#N/A</v>
      </c>
      <c r="C1111" s="496">
        <v>31</v>
      </c>
      <c r="D1111" s="41" t="e">
        <f ca="1">IF($C$1076&gt;0,VLOOKUP($C1111,COSTI!$U$4:$Z$1003,3,FALSE),IF($C$1075&gt;0,VLOOKUP($C1111,PATRIMONIALE!$U$4:$Z$1003,3,FALSE),IF($C$1074&gt;0,VLOOKUP($C1111,ENTI!$U$4:$Z$1003,3,FALSE),"")))</f>
        <v>#N/A</v>
      </c>
      <c r="E1111" s="41" t="str">
        <f t="shared" ca="1" si="181"/>
        <v/>
      </c>
      <c r="F1111" s="41" t="e">
        <f t="shared" ca="1" si="180"/>
        <v>#NUM!</v>
      </c>
      <c r="G1111" s="39" t="e">
        <f ca="1">IF($C$1076&gt;0,VLOOKUP($C1111,COSTI!$U$4:$Z$1003,5,FALSE),IF($C$1075&gt;0,VLOOKUP($C1111,PATRIMONIALE!$U$4:$Z$1003,5,FALSE),IF($C$1074&gt;0,VLOOKUP($C1111,ENTI!$U$4:$Z$1003,5,FALSE),"")))</f>
        <v>#N/A</v>
      </c>
      <c r="H1111" s="42" t="e">
        <f ca="1">IF($C$1076&gt;0,VLOOKUP($C1111,COSTI!$U$4:$Z$1003,6,FALSE),IF($C$1075&gt;0,VLOOKUP($C1111,PATRIMONIALE!$U$4:$Z$1003,6,FALSE),IF($C$1074&gt;0,VLOOKUP($C1111,ENTI!$U$4:$Z$1003,6,FALSE),"")))</f>
        <v>#N/A</v>
      </c>
      <c r="I1111" s="496">
        <v>31</v>
      </c>
      <c r="J1111" s="43" t="e">
        <f ca="1">VLOOKUP(D1111,$F$1081:$I$4183,4,FALSE)+COUNTIF(E$1081:E1110,E1111)</f>
        <v>#N/A</v>
      </c>
      <c r="K1111" s="1"/>
      <c r="L1111" s="39" t="e">
        <f>IF($C$1074&gt;0,VLOOKUP($C1111,ENTI!$U$4:$AD$1003,10,FALSE),"")</f>
        <v>#N/A</v>
      </c>
      <c r="M1111" s="1"/>
      <c r="N1111" s="1"/>
      <c r="O1111" s="1"/>
    </row>
    <row r="1112" spans="1:15" hidden="1">
      <c r="A1112" s="1"/>
      <c r="B1112" s="40" t="e">
        <f t="shared" ca="1" si="179"/>
        <v>#N/A</v>
      </c>
      <c r="C1112" s="496">
        <v>32</v>
      </c>
      <c r="D1112" s="41" t="e">
        <f ca="1">IF($C$1076&gt;0,VLOOKUP($C1112,COSTI!$U$4:$Z$1003,3,FALSE),IF($C$1075&gt;0,VLOOKUP($C1112,PATRIMONIALE!$U$4:$Z$1003,3,FALSE),IF($C$1074&gt;0,VLOOKUP($C1112,ENTI!$U$4:$Z$1003,3,FALSE),"")))</f>
        <v>#N/A</v>
      </c>
      <c r="E1112" s="41" t="str">
        <f t="shared" ca="1" si="181"/>
        <v/>
      </c>
      <c r="F1112" s="41" t="e">
        <f t="shared" ca="1" si="180"/>
        <v>#NUM!</v>
      </c>
      <c r="G1112" s="39" t="e">
        <f ca="1">IF($C$1076&gt;0,VLOOKUP($C1112,COSTI!$U$4:$Z$1003,5,FALSE),IF($C$1075&gt;0,VLOOKUP($C1112,PATRIMONIALE!$U$4:$Z$1003,5,FALSE),IF($C$1074&gt;0,VLOOKUP($C1112,ENTI!$U$4:$Z$1003,5,FALSE),"")))</f>
        <v>#N/A</v>
      </c>
      <c r="H1112" s="42" t="e">
        <f ca="1">IF($C$1076&gt;0,VLOOKUP($C1112,COSTI!$U$4:$Z$1003,6,FALSE),IF($C$1075&gt;0,VLOOKUP($C1112,PATRIMONIALE!$U$4:$Z$1003,6,FALSE),IF($C$1074&gt;0,VLOOKUP($C1112,ENTI!$U$4:$Z$1003,6,FALSE),"")))</f>
        <v>#N/A</v>
      </c>
      <c r="I1112" s="496">
        <v>32</v>
      </c>
      <c r="J1112" s="43" t="e">
        <f ca="1">VLOOKUP(D1112,$F$1081:$I$4183,4,FALSE)+COUNTIF(E$1081:E1111,E1112)</f>
        <v>#N/A</v>
      </c>
      <c r="K1112" s="1"/>
      <c r="L1112" s="39" t="e">
        <f>IF($C$1074&gt;0,VLOOKUP($C1112,ENTI!$U$4:$AD$1003,10,FALSE),"")</f>
        <v>#N/A</v>
      </c>
      <c r="M1112" s="1"/>
      <c r="N1112" s="1"/>
      <c r="O1112" s="1"/>
    </row>
    <row r="1113" spans="1:15" hidden="1">
      <c r="A1113" s="1"/>
      <c r="B1113" s="40" t="e">
        <f t="shared" ca="1" si="179"/>
        <v>#N/A</v>
      </c>
      <c r="C1113" s="496">
        <v>33</v>
      </c>
      <c r="D1113" s="41" t="e">
        <f ca="1">IF($C$1076&gt;0,VLOOKUP($C1113,COSTI!$U$4:$Z$1003,3,FALSE),IF($C$1075&gt;0,VLOOKUP($C1113,PATRIMONIALE!$U$4:$Z$1003,3,FALSE),IF($C$1074&gt;0,VLOOKUP($C1113,ENTI!$U$4:$Z$1003,3,FALSE),"")))</f>
        <v>#N/A</v>
      </c>
      <c r="E1113" s="41" t="str">
        <f t="shared" ca="1" si="181"/>
        <v/>
      </c>
      <c r="F1113" s="41" t="e">
        <f t="shared" ca="1" si="180"/>
        <v>#NUM!</v>
      </c>
      <c r="G1113" s="39" t="e">
        <f ca="1">IF($C$1076&gt;0,VLOOKUP($C1113,COSTI!$U$4:$Z$1003,5,FALSE),IF($C$1075&gt;0,VLOOKUP($C1113,PATRIMONIALE!$U$4:$Z$1003,5,FALSE),IF($C$1074&gt;0,VLOOKUP($C1113,ENTI!$U$4:$Z$1003,5,FALSE),"")))</f>
        <v>#N/A</v>
      </c>
      <c r="H1113" s="42" t="e">
        <f ca="1">IF($C$1076&gt;0,VLOOKUP($C1113,COSTI!$U$4:$Z$1003,6,FALSE),IF($C$1075&gt;0,VLOOKUP($C1113,PATRIMONIALE!$U$4:$Z$1003,6,FALSE),IF($C$1074&gt;0,VLOOKUP($C1113,ENTI!$U$4:$Z$1003,6,FALSE),"")))</f>
        <v>#N/A</v>
      </c>
      <c r="I1113" s="496">
        <v>33</v>
      </c>
      <c r="J1113" s="43" t="e">
        <f ca="1">VLOOKUP(D1113,$F$1081:$I$4183,4,FALSE)+COUNTIF(E$1081:E1112,E1113)</f>
        <v>#N/A</v>
      </c>
      <c r="K1113" s="1"/>
      <c r="L1113" s="39" t="e">
        <f>IF($C$1074&gt;0,VLOOKUP($C1113,ENTI!$U$4:$AD$1003,10,FALSE),"")</f>
        <v>#N/A</v>
      </c>
      <c r="M1113" s="1"/>
      <c r="N1113" s="1"/>
      <c r="O1113" s="1"/>
    </row>
    <row r="1114" spans="1:15" hidden="1">
      <c r="A1114" s="1"/>
      <c r="B1114" s="40" t="e">
        <f t="shared" ca="1" si="179"/>
        <v>#N/A</v>
      </c>
      <c r="C1114" s="496">
        <v>34</v>
      </c>
      <c r="D1114" s="41" t="e">
        <f ca="1">IF($C$1076&gt;0,VLOOKUP($C1114,COSTI!$U$4:$Z$1003,3,FALSE),IF($C$1075&gt;0,VLOOKUP($C1114,PATRIMONIALE!$U$4:$Z$1003,3,FALSE),IF($C$1074&gt;0,VLOOKUP($C1114,ENTI!$U$4:$Z$1003,3,FALSE),"")))</f>
        <v>#N/A</v>
      </c>
      <c r="E1114" s="41" t="str">
        <f t="shared" ca="1" si="181"/>
        <v/>
      </c>
      <c r="F1114" s="41" t="e">
        <f t="shared" ca="1" si="180"/>
        <v>#NUM!</v>
      </c>
      <c r="G1114" s="39" t="e">
        <f ca="1">IF($C$1076&gt;0,VLOOKUP($C1114,COSTI!$U$4:$Z$1003,5,FALSE),IF($C$1075&gt;0,VLOOKUP($C1114,PATRIMONIALE!$U$4:$Z$1003,5,FALSE),IF($C$1074&gt;0,VLOOKUP($C1114,ENTI!$U$4:$Z$1003,5,FALSE),"")))</f>
        <v>#N/A</v>
      </c>
      <c r="H1114" s="42" t="e">
        <f ca="1">IF($C$1076&gt;0,VLOOKUP($C1114,COSTI!$U$4:$Z$1003,6,FALSE),IF($C$1075&gt;0,VLOOKUP($C1114,PATRIMONIALE!$U$4:$Z$1003,6,FALSE),IF($C$1074&gt;0,VLOOKUP($C1114,ENTI!$U$4:$Z$1003,6,FALSE),"")))</f>
        <v>#N/A</v>
      </c>
      <c r="I1114" s="496">
        <v>34</v>
      </c>
      <c r="J1114" s="43" t="e">
        <f ca="1">VLOOKUP(D1114,$F$1081:$I$4183,4,FALSE)+COUNTIF(E$1081:E1113,E1114)</f>
        <v>#N/A</v>
      </c>
      <c r="K1114" s="1"/>
      <c r="L1114" s="39" t="e">
        <f>IF($C$1074&gt;0,VLOOKUP($C1114,ENTI!$U$4:$AD$1003,10,FALSE),"")</f>
        <v>#N/A</v>
      </c>
      <c r="M1114" s="1"/>
      <c r="N1114" s="1"/>
      <c r="O1114" s="1"/>
    </row>
    <row r="1115" spans="1:15" hidden="1">
      <c r="A1115" s="1"/>
      <c r="B1115" s="40" t="e">
        <f t="shared" ca="1" si="179"/>
        <v>#N/A</v>
      </c>
      <c r="C1115" s="496">
        <v>35</v>
      </c>
      <c r="D1115" s="41" t="e">
        <f ca="1">IF($C$1076&gt;0,VLOOKUP($C1115,COSTI!$U$4:$Z$1003,3,FALSE),IF($C$1075&gt;0,VLOOKUP($C1115,PATRIMONIALE!$U$4:$Z$1003,3,FALSE),IF($C$1074&gt;0,VLOOKUP($C1115,ENTI!$U$4:$Z$1003,3,FALSE),"")))</f>
        <v>#N/A</v>
      </c>
      <c r="E1115" s="41" t="str">
        <f t="shared" ca="1" si="181"/>
        <v/>
      </c>
      <c r="F1115" s="41" t="e">
        <f t="shared" ca="1" si="180"/>
        <v>#NUM!</v>
      </c>
      <c r="G1115" s="39" t="e">
        <f ca="1">IF($C$1076&gt;0,VLOOKUP($C1115,COSTI!$U$4:$Z$1003,5,FALSE),IF($C$1075&gt;0,VLOOKUP($C1115,PATRIMONIALE!$U$4:$Z$1003,5,FALSE),IF($C$1074&gt;0,VLOOKUP($C1115,ENTI!$U$4:$Z$1003,5,FALSE),"")))</f>
        <v>#N/A</v>
      </c>
      <c r="H1115" s="42" t="e">
        <f ca="1">IF($C$1076&gt;0,VLOOKUP($C1115,COSTI!$U$4:$Z$1003,6,FALSE),IF($C$1075&gt;0,VLOOKUP($C1115,PATRIMONIALE!$U$4:$Z$1003,6,FALSE),IF($C$1074&gt;0,VLOOKUP($C1115,ENTI!$U$4:$Z$1003,6,FALSE),"")))</f>
        <v>#N/A</v>
      </c>
      <c r="I1115" s="496">
        <v>35</v>
      </c>
      <c r="J1115" s="43" t="e">
        <f ca="1">VLOOKUP(D1115,$F$1081:$I$4183,4,FALSE)+COUNTIF(E$1081:E1114,E1115)</f>
        <v>#N/A</v>
      </c>
      <c r="K1115" s="1"/>
      <c r="L1115" s="39" t="e">
        <f>IF($C$1074&gt;0,VLOOKUP($C1115,ENTI!$U$4:$AD$1003,10,FALSE),"")</f>
        <v>#N/A</v>
      </c>
      <c r="M1115" s="1"/>
      <c r="N1115" s="1"/>
      <c r="O1115" s="1"/>
    </row>
    <row r="1116" spans="1:15" hidden="1">
      <c r="A1116" s="1"/>
      <c r="B1116" s="40" t="e">
        <f t="shared" ca="1" si="179"/>
        <v>#N/A</v>
      </c>
      <c r="C1116" s="496">
        <v>36</v>
      </c>
      <c r="D1116" s="41" t="e">
        <f ca="1">IF($C$1076&gt;0,VLOOKUP($C1116,COSTI!$U$4:$Z$1003,3,FALSE),IF($C$1075&gt;0,VLOOKUP($C1116,PATRIMONIALE!$U$4:$Z$1003,3,FALSE),IF($C$1074&gt;0,VLOOKUP($C1116,ENTI!$U$4:$Z$1003,3,FALSE),"")))</f>
        <v>#N/A</v>
      </c>
      <c r="E1116" s="41" t="str">
        <f t="shared" ca="1" si="181"/>
        <v/>
      </c>
      <c r="F1116" s="41" t="e">
        <f t="shared" ca="1" si="180"/>
        <v>#NUM!</v>
      </c>
      <c r="G1116" s="39" t="e">
        <f ca="1">IF($C$1076&gt;0,VLOOKUP($C1116,COSTI!$U$4:$Z$1003,5,FALSE),IF($C$1075&gt;0,VLOOKUP($C1116,PATRIMONIALE!$U$4:$Z$1003,5,FALSE),IF($C$1074&gt;0,VLOOKUP($C1116,ENTI!$U$4:$Z$1003,5,FALSE),"")))</f>
        <v>#N/A</v>
      </c>
      <c r="H1116" s="42" t="e">
        <f ca="1">IF($C$1076&gt;0,VLOOKUP($C1116,COSTI!$U$4:$Z$1003,6,FALSE),IF($C$1075&gt;0,VLOOKUP($C1116,PATRIMONIALE!$U$4:$Z$1003,6,FALSE),IF($C$1074&gt;0,VLOOKUP($C1116,ENTI!$U$4:$Z$1003,6,FALSE),"")))</f>
        <v>#N/A</v>
      </c>
      <c r="I1116" s="496">
        <v>36</v>
      </c>
      <c r="J1116" s="43" t="e">
        <f ca="1">VLOOKUP(D1116,$F$1081:$I$4183,4,FALSE)+COUNTIF(E$1081:E1115,E1116)</f>
        <v>#N/A</v>
      </c>
      <c r="K1116" s="1"/>
      <c r="L1116" s="39" t="e">
        <f>IF($C$1074&gt;0,VLOOKUP($C1116,ENTI!$U$4:$AD$1003,10,FALSE),"")</f>
        <v>#N/A</v>
      </c>
      <c r="M1116" s="1"/>
      <c r="N1116" s="1"/>
      <c r="O1116" s="1"/>
    </row>
    <row r="1117" spans="1:15" hidden="1">
      <c r="A1117" s="1"/>
      <c r="B1117" s="40" t="e">
        <f t="shared" ca="1" si="179"/>
        <v>#N/A</v>
      </c>
      <c r="C1117" s="496">
        <v>37</v>
      </c>
      <c r="D1117" s="41" t="e">
        <f ca="1">IF($C$1076&gt;0,VLOOKUP($C1117,COSTI!$U$4:$Z$1003,3,FALSE),IF($C$1075&gt;0,VLOOKUP($C1117,PATRIMONIALE!$U$4:$Z$1003,3,FALSE),IF($C$1074&gt;0,VLOOKUP($C1117,ENTI!$U$4:$Z$1003,3,FALSE),"")))</f>
        <v>#N/A</v>
      </c>
      <c r="E1117" s="41" t="str">
        <f t="shared" ca="1" si="181"/>
        <v/>
      </c>
      <c r="F1117" s="41" t="e">
        <f t="shared" ca="1" si="180"/>
        <v>#NUM!</v>
      </c>
      <c r="G1117" s="39" t="e">
        <f ca="1">IF($C$1076&gt;0,VLOOKUP($C1117,COSTI!$U$4:$Z$1003,5,FALSE),IF($C$1075&gt;0,VLOOKUP($C1117,PATRIMONIALE!$U$4:$Z$1003,5,FALSE),IF($C$1074&gt;0,VLOOKUP($C1117,ENTI!$U$4:$Z$1003,5,FALSE),"")))</f>
        <v>#N/A</v>
      </c>
      <c r="H1117" s="42" t="e">
        <f ca="1">IF($C$1076&gt;0,VLOOKUP($C1117,COSTI!$U$4:$Z$1003,6,FALSE),IF($C$1075&gt;0,VLOOKUP($C1117,PATRIMONIALE!$U$4:$Z$1003,6,FALSE),IF($C$1074&gt;0,VLOOKUP($C1117,ENTI!$U$4:$Z$1003,6,FALSE),"")))</f>
        <v>#N/A</v>
      </c>
      <c r="I1117" s="496">
        <v>37</v>
      </c>
      <c r="J1117" s="43" t="e">
        <f ca="1">VLOOKUP(D1117,$F$1081:$I$4183,4,FALSE)+COUNTIF(E$1081:E1116,E1117)</f>
        <v>#N/A</v>
      </c>
      <c r="K1117" s="1"/>
      <c r="L1117" s="39" t="e">
        <f>IF($C$1074&gt;0,VLOOKUP($C1117,ENTI!$U$4:$AD$1003,10,FALSE),"")</f>
        <v>#N/A</v>
      </c>
      <c r="M1117" s="1"/>
      <c r="N1117" s="1"/>
      <c r="O1117" s="1"/>
    </row>
    <row r="1118" spans="1:15" hidden="1">
      <c r="A1118" s="1"/>
      <c r="B1118" s="40" t="e">
        <f t="shared" ca="1" si="179"/>
        <v>#N/A</v>
      </c>
      <c r="C1118" s="496">
        <v>38</v>
      </c>
      <c r="D1118" s="41" t="e">
        <f ca="1">IF($C$1076&gt;0,VLOOKUP($C1118,COSTI!$U$4:$Z$1003,3,FALSE),IF($C$1075&gt;0,VLOOKUP($C1118,PATRIMONIALE!$U$4:$Z$1003,3,FALSE),IF($C$1074&gt;0,VLOOKUP($C1118,ENTI!$U$4:$Z$1003,3,FALSE),"")))</f>
        <v>#N/A</v>
      </c>
      <c r="E1118" s="41" t="str">
        <f t="shared" ca="1" si="181"/>
        <v/>
      </c>
      <c r="F1118" s="41" t="e">
        <f t="shared" ca="1" si="180"/>
        <v>#NUM!</v>
      </c>
      <c r="G1118" s="39" t="e">
        <f ca="1">IF($C$1076&gt;0,VLOOKUP($C1118,COSTI!$U$4:$Z$1003,5,FALSE),IF($C$1075&gt;0,VLOOKUP($C1118,PATRIMONIALE!$U$4:$Z$1003,5,FALSE),IF($C$1074&gt;0,VLOOKUP($C1118,ENTI!$U$4:$Z$1003,5,FALSE),"")))</f>
        <v>#N/A</v>
      </c>
      <c r="H1118" s="42" t="e">
        <f ca="1">IF($C$1076&gt;0,VLOOKUP($C1118,COSTI!$U$4:$Z$1003,6,FALSE),IF($C$1075&gt;0,VLOOKUP($C1118,PATRIMONIALE!$U$4:$Z$1003,6,FALSE),IF($C$1074&gt;0,VLOOKUP($C1118,ENTI!$U$4:$Z$1003,6,FALSE),"")))</f>
        <v>#N/A</v>
      </c>
      <c r="I1118" s="496">
        <v>38</v>
      </c>
      <c r="J1118" s="43" t="e">
        <f ca="1">VLOOKUP(D1118,$F$1081:$I$4183,4,FALSE)+COUNTIF(E$1081:E1117,E1118)</f>
        <v>#N/A</v>
      </c>
      <c r="K1118" s="1"/>
      <c r="L1118" s="39" t="e">
        <f>IF($C$1074&gt;0,VLOOKUP($C1118,ENTI!$U$4:$AD$1003,10,FALSE),"")</f>
        <v>#N/A</v>
      </c>
      <c r="M1118" s="1"/>
      <c r="N1118" s="1"/>
      <c r="O1118" s="1"/>
    </row>
    <row r="1119" spans="1:15" hidden="1">
      <c r="A1119" s="1"/>
      <c r="B1119" s="40" t="e">
        <f t="shared" ca="1" si="179"/>
        <v>#N/A</v>
      </c>
      <c r="C1119" s="496">
        <v>39</v>
      </c>
      <c r="D1119" s="41" t="e">
        <f ca="1">IF($C$1076&gt;0,VLOOKUP($C1119,COSTI!$U$4:$Z$1003,3,FALSE),IF($C$1075&gt;0,VLOOKUP($C1119,PATRIMONIALE!$U$4:$Z$1003,3,FALSE),IF($C$1074&gt;0,VLOOKUP($C1119,ENTI!$U$4:$Z$1003,3,FALSE),"")))</f>
        <v>#N/A</v>
      </c>
      <c r="E1119" s="41" t="str">
        <f t="shared" ca="1" si="181"/>
        <v/>
      </c>
      <c r="F1119" s="41" t="e">
        <f t="shared" ca="1" si="180"/>
        <v>#NUM!</v>
      </c>
      <c r="G1119" s="39" t="e">
        <f ca="1">IF($C$1076&gt;0,VLOOKUP($C1119,COSTI!$U$4:$Z$1003,5,FALSE),IF($C$1075&gt;0,VLOOKUP($C1119,PATRIMONIALE!$U$4:$Z$1003,5,FALSE),IF($C$1074&gt;0,VLOOKUP($C1119,ENTI!$U$4:$Z$1003,5,FALSE),"")))</f>
        <v>#N/A</v>
      </c>
      <c r="H1119" s="42" t="e">
        <f ca="1">IF($C$1076&gt;0,VLOOKUP($C1119,COSTI!$U$4:$Z$1003,6,FALSE),IF($C$1075&gt;0,VLOOKUP($C1119,PATRIMONIALE!$U$4:$Z$1003,6,FALSE),IF($C$1074&gt;0,VLOOKUP($C1119,ENTI!$U$4:$Z$1003,6,FALSE),"")))</f>
        <v>#N/A</v>
      </c>
      <c r="I1119" s="496">
        <v>39</v>
      </c>
      <c r="J1119" s="43" t="e">
        <f ca="1">VLOOKUP(D1119,$F$1081:$I$4183,4,FALSE)+COUNTIF(E$1081:E1118,E1119)</f>
        <v>#N/A</v>
      </c>
      <c r="K1119" s="1"/>
      <c r="L1119" s="39" t="e">
        <f>IF($C$1074&gt;0,VLOOKUP($C1119,ENTI!$U$4:$AD$1003,10,FALSE),"")</f>
        <v>#N/A</v>
      </c>
      <c r="M1119" s="1"/>
      <c r="N1119" s="1"/>
      <c r="O1119" s="1"/>
    </row>
    <row r="1120" spans="1:15" hidden="1">
      <c r="A1120" s="1"/>
      <c r="B1120" s="40" t="e">
        <f t="shared" ca="1" si="179"/>
        <v>#N/A</v>
      </c>
      <c r="C1120" s="496">
        <v>40</v>
      </c>
      <c r="D1120" s="41" t="e">
        <f ca="1">IF($C$1076&gt;0,VLOOKUP($C1120,COSTI!$U$4:$Z$1003,3,FALSE),IF($C$1075&gt;0,VLOOKUP($C1120,PATRIMONIALE!$U$4:$Z$1003,3,FALSE),IF($C$1074&gt;0,VLOOKUP($C1120,ENTI!$U$4:$Z$1003,3,FALSE),"")))</f>
        <v>#N/A</v>
      </c>
      <c r="E1120" s="41" t="str">
        <f t="shared" ca="1" si="181"/>
        <v/>
      </c>
      <c r="F1120" s="41" t="e">
        <f t="shared" ca="1" si="180"/>
        <v>#NUM!</v>
      </c>
      <c r="G1120" s="39" t="e">
        <f ca="1">IF($C$1076&gt;0,VLOOKUP($C1120,COSTI!$U$4:$Z$1003,5,FALSE),IF($C$1075&gt;0,VLOOKUP($C1120,PATRIMONIALE!$U$4:$Z$1003,5,FALSE),IF($C$1074&gt;0,VLOOKUP($C1120,ENTI!$U$4:$Z$1003,5,FALSE),"")))</f>
        <v>#N/A</v>
      </c>
      <c r="H1120" s="42" t="e">
        <f ca="1">IF($C$1076&gt;0,VLOOKUP($C1120,COSTI!$U$4:$Z$1003,6,FALSE),IF($C$1075&gt;0,VLOOKUP($C1120,PATRIMONIALE!$U$4:$Z$1003,6,FALSE),IF($C$1074&gt;0,VLOOKUP($C1120,ENTI!$U$4:$Z$1003,6,FALSE),"")))</f>
        <v>#N/A</v>
      </c>
      <c r="I1120" s="496">
        <v>40</v>
      </c>
      <c r="J1120" s="43" t="e">
        <f ca="1">VLOOKUP(D1120,$F$1081:$I$4183,4,FALSE)+COUNTIF(E$1081:E1119,E1120)</f>
        <v>#N/A</v>
      </c>
      <c r="K1120" s="1"/>
      <c r="L1120" s="39" t="e">
        <f>IF($C$1074&gt;0,VLOOKUP($C1120,ENTI!$U$4:$AD$1003,10,FALSE),"")</f>
        <v>#N/A</v>
      </c>
      <c r="M1120" s="1"/>
      <c r="N1120" s="1"/>
      <c r="O1120" s="1"/>
    </row>
    <row r="1121" spans="1:15" hidden="1">
      <c r="A1121" s="1"/>
      <c r="B1121" s="40" t="e">
        <f t="shared" ca="1" si="179"/>
        <v>#N/A</v>
      </c>
      <c r="C1121" s="496">
        <v>41</v>
      </c>
      <c r="D1121" s="41" t="e">
        <f ca="1">IF($C$1076&gt;0,VLOOKUP($C1121,COSTI!$U$4:$Z$1003,3,FALSE),IF($C$1075&gt;0,VLOOKUP($C1121,PATRIMONIALE!$U$4:$Z$1003,3,FALSE),IF($C$1074&gt;0,VLOOKUP($C1121,ENTI!$U$4:$Z$1003,3,FALSE),"")))</f>
        <v>#N/A</v>
      </c>
      <c r="E1121" s="41" t="str">
        <f t="shared" ca="1" si="181"/>
        <v/>
      </c>
      <c r="F1121" s="41" t="e">
        <f t="shared" ca="1" si="180"/>
        <v>#NUM!</v>
      </c>
      <c r="G1121" s="39" t="e">
        <f ca="1">IF($C$1076&gt;0,VLOOKUP($C1121,COSTI!$U$4:$Z$1003,5,FALSE),IF($C$1075&gt;0,VLOOKUP($C1121,PATRIMONIALE!$U$4:$Z$1003,5,FALSE),IF($C$1074&gt;0,VLOOKUP($C1121,ENTI!$U$4:$Z$1003,5,FALSE),"")))</f>
        <v>#N/A</v>
      </c>
      <c r="H1121" s="42" t="e">
        <f ca="1">IF($C$1076&gt;0,VLOOKUP($C1121,COSTI!$U$4:$Z$1003,6,FALSE),IF($C$1075&gt;0,VLOOKUP($C1121,PATRIMONIALE!$U$4:$Z$1003,6,FALSE),IF($C$1074&gt;0,VLOOKUP($C1121,ENTI!$U$4:$Z$1003,6,FALSE),"")))</f>
        <v>#N/A</v>
      </c>
      <c r="I1121" s="496">
        <v>41</v>
      </c>
      <c r="J1121" s="43" t="e">
        <f ca="1">VLOOKUP(D1121,$F$1081:$I$4183,4,FALSE)+COUNTIF(E$1081:E1120,E1121)</f>
        <v>#N/A</v>
      </c>
      <c r="K1121" s="1"/>
      <c r="L1121" s="39" t="e">
        <f>IF($C$1074&gt;0,VLOOKUP($C1121,ENTI!$U$4:$AD$1003,10,FALSE),"")</f>
        <v>#N/A</v>
      </c>
      <c r="M1121" s="1"/>
      <c r="N1121" s="1"/>
      <c r="O1121" s="1"/>
    </row>
    <row r="1122" spans="1:15" hidden="1">
      <c r="A1122" s="1"/>
      <c r="B1122" s="40" t="e">
        <f t="shared" ca="1" si="179"/>
        <v>#N/A</v>
      </c>
      <c r="C1122" s="496">
        <v>42</v>
      </c>
      <c r="D1122" s="41" t="e">
        <f ca="1">IF($C$1076&gt;0,VLOOKUP($C1122,COSTI!$U$4:$Z$1003,3,FALSE),IF($C$1075&gt;0,VLOOKUP($C1122,PATRIMONIALE!$U$4:$Z$1003,3,FALSE),IF($C$1074&gt;0,VLOOKUP($C1122,ENTI!$U$4:$Z$1003,3,FALSE),"")))</f>
        <v>#N/A</v>
      </c>
      <c r="E1122" s="41" t="str">
        <f t="shared" ca="1" si="181"/>
        <v/>
      </c>
      <c r="F1122" s="41" t="e">
        <f t="shared" ca="1" si="180"/>
        <v>#NUM!</v>
      </c>
      <c r="G1122" s="39" t="e">
        <f ca="1">IF($C$1076&gt;0,VLOOKUP($C1122,COSTI!$U$4:$Z$1003,5,FALSE),IF($C$1075&gt;0,VLOOKUP($C1122,PATRIMONIALE!$U$4:$Z$1003,5,FALSE),IF($C$1074&gt;0,VLOOKUP($C1122,ENTI!$U$4:$Z$1003,5,FALSE),"")))</f>
        <v>#N/A</v>
      </c>
      <c r="H1122" s="42" t="e">
        <f ca="1">IF($C$1076&gt;0,VLOOKUP($C1122,COSTI!$U$4:$Z$1003,6,FALSE),IF($C$1075&gt;0,VLOOKUP($C1122,PATRIMONIALE!$U$4:$Z$1003,6,FALSE),IF($C$1074&gt;0,VLOOKUP($C1122,ENTI!$U$4:$Z$1003,6,FALSE),"")))</f>
        <v>#N/A</v>
      </c>
      <c r="I1122" s="496">
        <v>42</v>
      </c>
      <c r="J1122" s="43" t="e">
        <f ca="1">VLOOKUP(D1122,$F$1081:$I$4183,4,FALSE)+COUNTIF(E$1081:E1121,E1122)</f>
        <v>#N/A</v>
      </c>
      <c r="K1122" s="1"/>
      <c r="L1122" s="39" t="e">
        <f>IF($C$1074&gt;0,VLOOKUP($C1122,ENTI!$U$4:$AD$1003,10,FALSE),"")</f>
        <v>#N/A</v>
      </c>
      <c r="M1122" s="1"/>
      <c r="N1122" s="1"/>
      <c r="O1122" s="1"/>
    </row>
    <row r="1123" spans="1:15" hidden="1">
      <c r="A1123" s="1"/>
      <c r="B1123" s="40" t="e">
        <f t="shared" ca="1" si="179"/>
        <v>#N/A</v>
      </c>
      <c r="C1123" s="496">
        <v>43</v>
      </c>
      <c r="D1123" s="41" t="e">
        <f ca="1">IF($C$1076&gt;0,VLOOKUP($C1123,COSTI!$U$4:$Z$1003,3,FALSE),IF($C$1075&gt;0,VLOOKUP($C1123,PATRIMONIALE!$U$4:$Z$1003,3,FALSE),IF($C$1074&gt;0,VLOOKUP($C1123,ENTI!$U$4:$Z$1003,3,FALSE),"")))</f>
        <v>#N/A</v>
      </c>
      <c r="E1123" s="41" t="str">
        <f t="shared" ca="1" si="181"/>
        <v/>
      </c>
      <c r="F1123" s="41" t="e">
        <f t="shared" ca="1" si="180"/>
        <v>#NUM!</v>
      </c>
      <c r="G1123" s="39" t="e">
        <f ca="1">IF($C$1076&gt;0,VLOOKUP($C1123,COSTI!$U$4:$Z$1003,5,FALSE),IF($C$1075&gt;0,VLOOKUP($C1123,PATRIMONIALE!$U$4:$Z$1003,5,FALSE),IF($C$1074&gt;0,VLOOKUP($C1123,ENTI!$U$4:$Z$1003,5,FALSE),"")))</f>
        <v>#N/A</v>
      </c>
      <c r="H1123" s="42" t="e">
        <f ca="1">IF($C$1076&gt;0,VLOOKUP($C1123,COSTI!$U$4:$Z$1003,6,FALSE),IF($C$1075&gt;0,VLOOKUP($C1123,PATRIMONIALE!$U$4:$Z$1003,6,FALSE),IF($C$1074&gt;0,VLOOKUP($C1123,ENTI!$U$4:$Z$1003,6,FALSE),"")))</f>
        <v>#N/A</v>
      </c>
      <c r="I1123" s="496">
        <v>43</v>
      </c>
      <c r="J1123" s="43" t="e">
        <f ca="1">VLOOKUP(D1123,$F$1081:$I$4183,4,FALSE)+COUNTIF(E$1081:E1122,E1123)</f>
        <v>#N/A</v>
      </c>
      <c r="K1123" s="1"/>
      <c r="L1123" s="39" t="e">
        <f>IF($C$1074&gt;0,VLOOKUP($C1123,ENTI!$U$4:$AD$1003,10,FALSE),"")</f>
        <v>#N/A</v>
      </c>
      <c r="M1123" s="1"/>
      <c r="N1123" s="1"/>
      <c r="O1123" s="1"/>
    </row>
    <row r="1124" spans="1:15" hidden="1">
      <c r="A1124" s="1"/>
      <c r="B1124" s="40" t="e">
        <f t="shared" ca="1" si="179"/>
        <v>#N/A</v>
      </c>
      <c r="C1124" s="496">
        <v>44</v>
      </c>
      <c r="D1124" s="41" t="e">
        <f ca="1">IF($C$1076&gt;0,VLOOKUP($C1124,COSTI!$U$4:$Z$1003,3,FALSE),IF($C$1075&gt;0,VLOOKUP($C1124,PATRIMONIALE!$U$4:$Z$1003,3,FALSE),IF($C$1074&gt;0,VLOOKUP($C1124,ENTI!$U$4:$Z$1003,3,FALSE),"")))</f>
        <v>#N/A</v>
      </c>
      <c r="E1124" s="41" t="str">
        <f t="shared" ca="1" si="181"/>
        <v/>
      </c>
      <c r="F1124" s="41" t="e">
        <f t="shared" ca="1" si="180"/>
        <v>#NUM!</v>
      </c>
      <c r="G1124" s="39" t="e">
        <f ca="1">IF($C$1076&gt;0,VLOOKUP($C1124,COSTI!$U$4:$Z$1003,5,FALSE),IF($C$1075&gt;0,VLOOKUP($C1124,PATRIMONIALE!$U$4:$Z$1003,5,FALSE),IF($C$1074&gt;0,VLOOKUP($C1124,ENTI!$U$4:$Z$1003,5,FALSE),"")))</f>
        <v>#N/A</v>
      </c>
      <c r="H1124" s="42" t="e">
        <f ca="1">IF($C$1076&gt;0,VLOOKUP($C1124,COSTI!$U$4:$Z$1003,6,FALSE),IF($C$1075&gt;0,VLOOKUP($C1124,PATRIMONIALE!$U$4:$Z$1003,6,FALSE),IF($C$1074&gt;0,VLOOKUP($C1124,ENTI!$U$4:$Z$1003,6,FALSE),"")))</f>
        <v>#N/A</v>
      </c>
      <c r="I1124" s="496">
        <v>44</v>
      </c>
      <c r="J1124" s="43" t="e">
        <f ca="1">VLOOKUP(D1124,$F$1081:$I$4183,4,FALSE)+COUNTIF(E$1081:E1123,E1124)</f>
        <v>#N/A</v>
      </c>
      <c r="K1124" s="1"/>
      <c r="L1124" s="39" t="e">
        <f>IF($C$1074&gt;0,VLOOKUP($C1124,ENTI!$U$4:$AD$1003,10,FALSE),"")</f>
        <v>#N/A</v>
      </c>
      <c r="M1124" s="1"/>
      <c r="N1124" s="1"/>
      <c r="O1124" s="1"/>
    </row>
    <row r="1125" spans="1:15" hidden="1">
      <c r="A1125" s="1"/>
      <c r="B1125" s="40" t="e">
        <f t="shared" ca="1" si="179"/>
        <v>#N/A</v>
      </c>
      <c r="C1125" s="496">
        <v>45</v>
      </c>
      <c r="D1125" s="41" t="e">
        <f ca="1">IF($C$1076&gt;0,VLOOKUP($C1125,COSTI!$U$4:$Z$1003,3,FALSE),IF($C$1075&gt;0,VLOOKUP($C1125,PATRIMONIALE!$U$4:$Z$1003,3,FALSE),IF($C$1074&gt;0,VLOOKUP($C1125,ENTI!$U$4:$Z$1003,3,FALSE),"")))</f>
        <v>#N/A</v>
      </c>
      <c r="E1125" s="41" t="str">
        <f t="shared" ca="1" si="181"/>
        <v/>
      </c>
      <c r="F1125" s="41" t="e">
        <f t="shared" ca="1" si="180"/>
        <v>#NUM!</v>
      </c>
      <c r="G1125" s="39" t="e">
        <f ca="1">IF($C$1076&gt;0,VLOOKUP($C1125,COSTI!$U$4:$Z$1003,5,FALSE),IF($C$1075&gt;0,VLOOKUP($C1125,PATRIMONIALE!$U$4:$Z$1003,5,FALSE),IF($C$1074&gt;0,VLOOKUP($C1125,ENTI!$U$4:$Z$1003,5,FALSE),"")))</f>
        <v>#N/A</v>
      </c>
      <c r="H1125" s="42" t="e">
        <f ca="1">IF($C$1076&gt;0,VLOOKUP($C1125,COSTI!$U$4:$Z$1003,6,FALSE),IF($C$1075&gt;0,VLOOKUP($C1125,PATRIMONIALE!$U$4:$Z$1003,6,FALSE),IF($C$1074&gt;0,VLOOKUP($C1125,ENTI!$U$4:$Z$1003,6,FALSE),"")))</f>
        <v>#N/A</v>
      </c>
      <c r="I1125" s="496">
        <v>45</v>
      </c>
      <c r="J1125" s="43" t="e">
        <f ca="1">VLOOKUP(D1125,$F$1081:$I$4183,4,FALSE)+COUNTIF(E$1081:E1124,E1125)</f>
        <v>#N/A</v>
      </c>
      <c r="K1125" s="1"/>
      <c r="L1125" s="39" t="e">
        <f>IF($C$1074&gt;0,VLOOKUP($C1125,ENTI!$U$4:$AD$1003,10,FALSE),"")</f>
        <v>#N/A</v>
      </c>
      <c r="M1125" s="1"/>
      <c r="N1125" s="1"/>
      <c r="O1125" s="1"/>
    </row>
    <row r="1126" spans="1:15" hidden="1">
      <c r="A1126" s="1"/>
      <c r="B1126" s="40" t="e">
        <f t="shared" ca="1" si="179"/>
        <v>#N/A</v>
      </c>
      <c r="C1126" s="496">
        <v>46</v>
      </c>
      <c r="D1126" s="41" t="e">
        <f ca="1">IF($C$1076&gt;0,VLOOKUP($C1126,COSTI!$U$4:$Z$1003,3,FALSE),IF($C$1075&gt;0,VLOOKUP($C1126,PATRIMONIALE!$U$4:$Z$1003,3,FALSE),IF($C$1074&gt;0,VLOOKUP($C1126,ENTI!$U$4:$Z$1003,3,FALSE),"")))</f>
        <v>#N/A</v>
      </c>
      <c r="E1126" s="41" t="str">
        <f t="shared" ca="1" si="181"/>
        <v/>
      </c>
      <c r="F1126" s="41" t="e">
        <f t="shared" ca="1" si="180"/>
        <v>#NUM!</v>
      </c>
      <c r="G1126" s="39" t="e">
        <f ca="1">IF($C$1076&gt;0,VLOOKUP($C1126,COSTI!$U$4:$Z$1003,5,FALSE),IF($C$1075&gt;0,VLOOKUP($C1126,PATRIMONIALE!$U$4:$Z$1003,5,FALSE),IF($C$1074&gt;0,VLOOKUP($C1126,ENTI!$U$4:$Z$1003,5,FALSE),"")))</f>
        <v>#N/A</v>
      </c>
      <c r="H1126" s="42" t="e">
        <f ca="1">IF($C$1076&gt;0,VLOOKUP($C1126,COSTI!$U$4:$Z$1003,6,FALSE),IF($C$1075&gt;0,VLOOKUP($C1126,PATRIMONIALE!$U$4:$Z$1003,6,FALSE),IF($C$1074&gt;0,VLOOKUP($C1126,ENTI!$U$4:$Z$1003,6,FALSE),"")))</f>
        <v>#N/A</v>
      </c>
      <c r="I1126" s="496">
        <v>46</v>
      </c>
      <c r="J1126" s="43" t="e">
        <f ca="1">VLOOKUP(D1126,$F$1081:$I$4183,4,FALSE)+COUNTIF(E$1081:E1125,E1126)</f>
        <v>#N/A</v>
      </c>
      <c r="K1126" s="1"/>
      <c r="L1126" s="39" t="e">
        <f>IF($C$1074&gt;0,VLOOKUP($C1126,ENTI!$U$4:$AD$1003,10,FALSE),"")</f>
        <v>#N/A</v>
      </c>
      <c r="M1126" s="1"/>
      <c r="N1126" s="1"/>
      <c r="O1126" s="1"/>
    </row>
    <row r="1127" spans="1:15" hidden="1">
      <c r="A1127" s="1"/>
      <c r="B1127" s="40" t="e">
        <f t="shared" ca="1" si="179"/>
        <v>#N/A</v>
      </c>
      <c r="C1127" s="496">
        <v>47</v>
      </c>
      <c r="D1127" s="41" t="e">
        <f ca="1">IF($C$1076&gt;0,VLOOKUP($C1127,COSTI!$U$4:$Z$1003,3,FALSE),IF($C$1075&gt;0,VLOOKUP($C1127,PATRIMONIALE!$U$4:$Z$1003,3,FALSE),IF($C$1074&gt;0,VLOOKUP($C1127,ENTI!$U$4:$Z$1003,3,FALSE),"")))</f>
        <v>#N/A</v>
      </c>
      <c r="E1127" s="41" t="str">
        <f t="shared" ca="1" si="181"/>
        <v/>
      </c>
      <c r="F1127" s="41" t="e">
        <f t="shared" ca="1" si="180"/>
        <v>#NUM!</v>
      </c>
      <c r="G1127" s="39" t="e">
        <f ca="1">IF($C$1076&gt;0,VLOOKUP($C1127,COSTI!$U$4:$Z$1003,5,FALSE),IF($C$1075&gt;0,VLOOKUP($C1127,PATRIMONIALE!$U$4:$Z$1003,5,FALSE),IF($C$1074&gt;0,VLOOKUP($C1127,ENTI!$U$4:$Z$1003,5,FALSE),"")))</f>
        <v>#N/A</v>
      </c>
      <c r="H1127" s="42" t="e">
        <f ca="1">IF($C$1076&gt;0,VLOOKUP($C1127,COSTI!$U$4:$Z$1003,6,FALSE),IF($C$1075&gt;0,VLOOKUP($C1127,PATRIMONIALE!$U$4:$Z$1003,6,FALSE),IF($C$1074&gt;0,VLOOKUP($C1127,ENTI!$U$4:$Z$1003,6,FALSE),"")))</f>
        <v>#N/A</v>
      </c>
      <c r="I1127" s="496">
        <v>47</v>
      </c>
      <c r="J1127" s="43" t="e">
        <f ca="1">VLOOKUP(D1127,$F$1081:$I$4183,4,FALSE)+COUNTIF(E$1081:E1126,E1127)</f>
        <v>#N/A</v>
      </c>
      <c r="K1127" s="1"/>
      <c r="L1127" s="39" t="e">
        <f>IF($C$1074&gt;0,VLOOKUP($C1127,ENTI!$U$4:$AD$1003,10,FALSE),"")</f>
        <v>#N/A</v>
      </c>
      <c r="M1127" s="1"/>
      <c r="N1127" s="1"/>
      <c r="O1127" s="1"/>
    </row>
    <row r="1128" spans="1:15" hidden="1">
      <c r="A1128" s="1"/>
      <c r="B1128" s="40" t="e">
        <f t="shared" ca="1" si="179"/>
        <v>#N/A</v>
      </c>
      <c r="C1128" s="496">
        <v>48</v>
      </c>
      <c r="D1128" s="41" t="e">
        <f ca="1">IF($C$1076&gt;0,VLOOKUP($C1128,COSTI!$U$4:$Z$1003,3,FALSE),IF($C$1075&gt;0,VLOOKUP($C1128,PATRIMONIALE!$U$4:$Z$1003,3,FALSE),IF($C$1074&gt;0,VLOOKUP($C1128,ENTI!$U$4:$Z$1003,3,FALSE),"")))</f>
        <v>#N/A</v>
      </c>
      <c r="E1128" s="41" t="str">
        <f t="shared" ca="1" si="181"/>
        <v/>
      </c>
      <c r="F1128" s="41" t="e">
        <f t="shared" ca="1" si="180"/>
        <v>#NUM!</v>
      </c>
      <c r="G1128" s="39" t="e">
        <f ca="1">IF($C$1076&gt;0,VLOOKUP($C1128,COSTI!$U$4:$Z$1003,5,FALSE),IF($C$1075&gt;0,VLOOKUP($C1128,PATRIMONIALE!$U$4:$Z$1003,5,FALSE),IF($C$1074&gt;0,VLOOKUP($C1128,ENTI!$U$4:$Z$1003,5,FALSE),"")))</f>
        <v>#N/A</v>
      </c>
      <c r="H1128" s="42" t="e">
        <f ca="1">IF($C$1076&gt;0,VLOOKUP($C1128,COSTI!$U$4:$Z$1003,6,FALSE),IF($C$1075&gt;0,VLOOKUP($C1128,PATRIMONIALE!$U$4:$Z$1003,6,FALSE),IF($C$1074&gt;0,VLOOKUP($C1128,ENTI!$U$4:$Z$1003,6,FALSE),"")))</f>
        <v>#N/A</v>
      </c>
      <c r="I1128" s="496">
        <v>48</v>
      </c>
      <c r="J1128" s="43" t="e">
        <f ca="1">VLOOKUP(D1128,$F$1081:$I$4183,4,FALSE)+COUNTIF(E$1081:E1127,E1128)</f>
        <v>#N/A</v>
      </c>
      <c r="K1128" s="1"/>
      <c r="L1128" s="39" t="e">
        <f>IF($C$1074&gt;0,VLOOKUP($C1128,ENTI!$U$4:$AD$1003,10,FALSE),"")</f>
        <v>#N/A</v>
      </c>
      <c r="M1128" s="1"/>
      <c r="N1128" s="1"/>
      <c r="O1128" s="1"/>
    </row>
    <row r="1129" spans="1:15" hidden="1">
      <c r="A1129" s="1"/>
      <c r="B1129" s="40" t="e">
        <f t="shared" ca="1" si="179"/>
        <v>#N/A</v>
      </c>
      <c r="C1129" s="496">
        <v>49</v>
      </c>
      <c r="D1129" s="41" t="e">
        <f ca="1">IF($C$1076&gt;0,VLOOKUP($C1129,COSTI!$U$4:$Z$1003,3,FALSE),IF($C$1075&gt;0,VLOOKUP($C1129,PATRIMONIALE!$U$4:$Z$1003,3,FALSE),IF($C$1074&gt;0,VLOOKUP($C1129,ENTI!$U$4:$Z$1003,3,FALSE),"")))</f>
        <v>#N/A</v>
      </c>
      <c r="E1129" s="41" t="str">
        <f t="shared" ca="1" si="181"/>
        <v/>
      </c>
      <c r="F1129" s="41" t="e">
        <f t="shared" ca="1" si="180"/>
        <v>#NUM!</v>
      </c>
      <c r="G1129" s="39" t="e">
        <f ca="1">IF($C$1076&gt;0,VLOOKUP($C1129,COSTI!$U$4:$Z$1003,5,FALSE),IF($C$1075&gt;0,VLOOKUP($C1129,PATRIMONIALE!$U$4:$Z$1003,5,FALSE),IF($C$1074&gt;0,VLOOKUP($C1129,ENTI!$U$4:$Z$1003,5,FALSE),"")))</f>
        <v>#N/A</v>
      </c>
      <c r="H1129" s="42" t="e">
        <f ca="1">IF($C$1076&gt;0,VLOOKUP($C1129,COSTI!$U$4:$Z$1003,6,FALSE),IF($C$1075&gt;0,VLOOKUP($C1129,PATRIMONIALE!$U$4:$Z$1003,6,FALSE),IF($C$1074&gt;0,VLOOKUP($C1129,ENTI!$U$4:$Z$1003,6,FALSE),"")))</f>
        <v>#N/A</v>
      </c>
      <c r="I1129" s="496">
        <v>49</v>
      </c>
      <c r="J1129" s="43" t="e">
        <f ca="1">VLOOKUP(D1129,$F$1081:$I$4183,4,FALSE)+COUNTIF(E$1081:E1128,E1129)</f>
        <v>#N/A</v>
      </c>
      <c r="K1129" s="1"/>
      <c r="L1129" s="39" t="e">
        <f>IF($C$1074&gt;0,VLOOKUP($C1129,ENTI!$U$4:$AD$1003,10,FALSE),"")</f>
        <v>#N/A</v>
      </c>
      <c r="M1129" s="1"/>
      <c r="N1129" s="1"/>
      <c r="O1129" s="1"/>
    </row>
    <row r="1130" spans="1:15" hidden="1">
      <c r="A1130" s="1"/>
      <c r="B1130" s="40" t="e">
        <f t="shared" ca="1" si="179"/>
        <v>#N/A</v>
      </c>
      <c r="C1130" s="496">
        <v>50</v>
      </c>
      <c r="D1130" s="41" t="e">
        <f ca="1">IF($C$1076&gt;0,VLOOKUP($C1130,COSTI!$U$4:$Z$1003,3,FALSE),IF($C$1075&gt;0,VLOOKUP($C1130,PATRIMONIALE!$U$4:$Z$1003,3,FALSE),IF($C$1074&gt;0,VLOOKUP($C1130,ENTI!$U$4:$Z$1003,3,FALSE),"")))</f>
        <v>#N/A</v>
      </c>
      <c r="E1130" s="41" t="str">
        <f t="shared" ca="1" si="181"/>
        <v/>
      </c>
      <c r="F1130" s="41" t="e">
        <f t="shared" ca="1" si="180"/>
        <v>#NUM!</v>
      </c>
      <c r="G1130" s="39" t="e">
        <f ca="1">IF($C$1076&gt;0,VLOOKUP($C1130,COSTI!$U$4:$Z$1003,5,FALSE),IF($C$1075&gt;0,VLOOKUP($C1130,PATRIMONIALE!$U$4:$Z$1003,5,FALSE),IF($C$1074&gt;0,VLOOKUP($C1130,ENTI!$U$4:$Z$1003,5,FALSE),"")))</f>
        <v>#N/A</v>
      </c>
      <c r="H1130" s="42" t="e">
        <f ca="1">IF($C$1076&gt;0,VLOOKUP($C1130,COSTI!$U$4:$Z$1003,6,FALSE),IF($C$1075&gt;0,VLOOKUP($C1130,PATRIMONIALE!$U$4:$Z$1003,6,FALSE),IF($C$1074&gt;0,VLOOKUP($C1130,ENTI!$U$4:$Z$1003,6,FALSE),"")))</f>
        <v>#N/A</v>
      </c>
      <c r="I1130" s="496">
        <v>50</v>
      </c>
      <c r="J1130" s="43" t="e">
        <f ca="1">VLOOKUP(D1130,$F$1081:$I$4183,4,FALSE)+COUNTIF(E$1081:E1129,E1130)</f>
        <v>#N/A</v>
      </c>
      <c r="K1130" s="1"/>
      <c r="L1130" s="39" t="e">
        <f>IF($C$1074&gt;0,VLOOKUP($C1130,ENTI!$U$4:$AD$1003,10,FALSE),"")</f>
        <v>#N/A</v>
      </c>
      <c r="M1130" s="1"/>
      <c r="N1130" s="1"/>
      <c r="O1130" s="1"/>
    </row>
    <row r="1131" spans="1:15" hidden="1">
      <c r="A1131" s="1"/>
      <c r="B1131" s="40" t="e">
        <f t="shared" ca="1" si="179"/>
        <v>#N/A</v>
      </c>
      <c r="C1131" s="496">
        <v>51</v>
      </c>
      <c r="D1131" s="41" t="e">
        <f ca="1">IF($C$1076&gt;0,VLOOKUP($C1131,COSTI!$U$4:$Z$1003,3,FALSE),IF($C$1075&gt;0,VLOOKUP($C1131,PATRIMONIALE!$U$4:$Z$1003,3,FALSE),IF($C$1074&gt;0,VLOOKUP($C1131,ENTI!$U$4:$Z$1003,3,FALSE),"")))</f>
        <v>#N/A</v>
      </c>
      <c r="E1131" s="41" t="str">
        <f t="shared" ca="1" si="181"/>
        <v/>
      </c>
      <c r="F1131" s="41" t="e">
        <f t="shared" ca="1" si="180"/>
        <v>#NUM!</v>
      </c>
      <c r="G1131" s="39" t="e">
        <f ca="1">IF($C$1076&gt;0,VLOOKUP($C1131,COSTI!$U$4:$Z$1003,5,FALSE),IF($C$1075&gt;0,VLOOKUP($C1131,PATRIMONIALE!$U$4:$Z$1003,5,FALSE),IF($C$1074&gt;0,VLOOKUP($C1131,ENTI!$U$4:$Z$1003,5,FALSE),"")))</f>
        <v>#N/A</v>
      </c>
      <c r="H1131" s="42" t="e">
        <f ca="1">IF($C$1076&gt;0,VLOOKUP($C1131,COSTI!$U$4:$Z$1003,6,FALSE),IF($C$1075&gt;0,VLOOKUP($C1131,PATRIMONIALE!$U$4:$Z$1003,6,FALSE),IF($C$1074&gt;0,VLOOKUP($C1131,ENTI!$U$4:$Z$1003,6,FALSE),"")))</f>
        <v>#N/A</v>
      </c>
      <c r="I1131" s="496">
        <v>51</v>
      </c>
      <c r="J1131" s="43" t="e">
        <f ca="1">VLOOKUP(D1131,$F$1081:$I$4183,4,FALSE)+COUNTIF(E$1081:E1130,E1131)</f>
        <v>#N/A</v>
      </c>
      <c r="K1131" s="1"/>
      <c r="L1131" s="39" t="e">
        <f>IF($C$1074&gt;0,VLOOKUP($C1131,ENTI!$U$4:$AD$1003,10,FALSE),"")</f>
        <v>#N/A</v>
      </c>
      <c r="M1131" s="1"/>
      <c r="N1131" s="1"/>
      <c r="O1131" s="1"/>
    </row>
    <row r="1132" spans="1:15" hidden="1">
      <c r="A1132" s="1"/>
      <c r="B1132" s="40" t="e">
        <f t="shared" ca="1" si="179"/>
        <v>#N/A</v>
      </c>
      <c r="C1132" s="496">
        <v>52</v>
      </c>
      <c r="D1132" s="41" t="e">
        <f ca="1">IF($C$1076&gt;0,VLOOKUP($C1132,COSTI!$U$4:$Z$1003,3,FALSE),IF($C$1075&gt;0,VLOOKUP($C1132,PATRIMONIALE!$U$4:$Z$1003,3,FALSE),IF($C$1074&gt;0,VLOOKUP($C1132,ENTI!$U$4:$Z$1003,3,FALSE),"")))</f>
        <v>#N/A</v>
      </c>
      <c r="E1132" s="41" t="str">
        <f t="shared" ca="1" si="181"/>
        <v/>
      </c>
      <c r="F1132" s="41" t="e">
        <f t="shared" ca="1" si="180"/>
        <v>#NUM!</v>
      </c>
      <c r="G1132" s="39" t="e">
        <f ca="1">IF($C$1076&gt;0,VLOOKUP($C1132,COSTI!$U$4:$Z$1003,5,FALSE),IF($C$1075&gt;0,VLOOKUP($C1132,PATRIMONIALE!$U$4:$Z$1003,5,FALSE),IF($C$1074&gt;0,VLOOKUP($C1132,ENTI!$U$4:$Z$1003,5,FALSE),"")))</f>
        <v>#N/A</v>
      </c>
      <c r="H1132" s="42" t="e">
        <f ca="1">IF($C$1076&gt;0,VLOOKUP($C1132,COSTI!$U$4:$Z$1003,6,FALSE),IF($C$1075&gt;0,VLOOKUP($C1132,PATRIMONIALE!$U$4:$Z$1003,6,FALSE),IF($C$1074&gt;0,VLOOKUP($C1132,ENTI!$U$4:$Z$1003,6,FALSE),"")))</f>
        <v>#N/A</v>
      </c>
      <c r="I1132" s="496">
        <v>52</v>
      </c>
      <c r="J1132" s="43" t="e">
        <f ca="1">VLOOKUP(D1132,$F$1081:$I$4183,4,FALSE)+COUNTIF(E$1081:E1131,E1132)</f>
        <v>#N/A</v>
      </c>
      <c r="K1132" s="1"/>
      <c r="L1132" s="39" t="e">
        <f>IF($C$1074&gt;0,VLOOKUP($C1132,ENTI!$U$4:$AD$1003,10,FALSE),"")</f>
        <v>#N/A</v>
      </c>
      <c r="M1132" s="1"/>
      <c r="N1132" s="1"/>
      <c r="O1132" s="1"/>
    </row>
    <row r="1133" spans="1:15" hidden="1">
      <c r="A1133" s="1"/>
      <c r="B1133" s="40" t="e">
        <f t="shared" ca="1" si="179"/>
        <v>#N/A</v>
      </c>
      <c r="C1133" s="496">
        <v>53</v>
      </c>
      <c r="D1133" s="41" t="e">
        <f ca="1">IF($C$1076&gt;0,VLOOKUP($C1133,COSTI!$U$4:$Z$1003,3,FALSE),IF($C$1075&gt;0,VLOOKUP($C1133,PATRIMONIALE!$U$4:$Z$1003,3,FALSE),IF($C$1074&gt;0,VLOOKUP($C1133,ENTI!$U$4:$Z$1003,3,FALSE),"")))</f>
        <v>#N/A</v>
      </c>
      <c r="E1133" s="41" t="str">
        <f t="shared" ca="1" si="181"/>
        <v/>
      </c>
      <c r="F1133" s="41" t="e">
        <f t="shared" ca="1" si="180"/>
        <v>#NUM!</v>
      </c>
      <c r="G1133" s="39" t="e">
        <f ca="1">IF($C$1076&gt;0,VLOOKUP($C1133,COSTI!$U$4:$Z$1003,5,FALSE),IF($C$1075&gt;0,VLOOKUP($C1133,PATRIMONIALE!$U$4:$Z$1003,5,FALSE),IF($C$1074&gt;0,VLOOKUP($C1133,ENTI!$U$4:$Z$1003,5,FALSE),"")))</f>
        <v>#N/A</v>
      </c>
      <c r="H1133" s="42" t="e">
        <f ca="1">IF($C$1076&gt;0,VLOOKUP($C1133,COSTI!$U$4:$Z$1003,6,FALSE),IF($C$1075&gt;0,VLOOKUP($C1133,PATRIMONIALE!$U$4:$Z$1003,6,FALSE),IF($C$1074&gt;0,VLOOKUP($C1133,ENTI!$U$4:$Z$1003,6,FALSE),"")))</f>
        <v>#N/A</v>
      </c>
      <c r="I1133" s="496">
        <v>53</v>
      </c>
      <c r="J1133" s="43" t="e">
        <f ca="1">VLOOKUP(D1133,$F$1081:$I$4183,4,FALSE)+COUNTIF(E$1081:E1132,E1133)</f>
        <v>#N/A</v>
      </c>
      <c r="K1133" s="1"/>
      <c r="L1133" s="39" t="e">
        <f>IF($C$1074&gt;0,VLOOKUP($C1133,ENTI!$U$4:$AD$1003,10,FALSE),"")</f>
        <v>#N/A</v>
      </c>
      <c r="M1133" s="1"/>
      <c r="N1133" s="1"/>
      <c r="O1133" s="1"/>
    </row>
    <row r="1134" spans="1:15" hidden="1">
      <c r="A1134" s="1"/>
      <c r="B1134" s="40" t="e">
        <f t="shared" ca="1" si="179"/>
        <v>#N/A</v>
      </c>
      <c r="C1134" s="496">
        <v>54</v>
      </c>
      <c r="D1134" s="41" t="e">
        <f ca="1">IF($C$1076&gt;0,VLOOKUP($C1134,COSTI!$U$4:$Z$1003,3,FALSE),IF($C$1075&gt;0,VLOOKUP($C1134,PATRIMONIALE!$U$4:$Z$1003,3,FALSE),IF($C$1074&gt;0,VLOOKUP($C1134,ENTI!$U$4:$Z$1003,3,FALSE),"")))</f>
        <v>#N/A</v>
      </c>
      <c r="E1134" s="41" t="str">
        <f t="shared" ca="1" si="181"/>
        <v/>
      </c>
      <c r="F1134" s="41" t="e">
        <f t="shared" ca="1" si="180"/>
        <v>#NUM!</v>
      </c>
      <c r="G1134" s="39" t="e">
        <f ca="1">IF($C$1076&gt;0,VLOOKUP($C1134,COSTI!$U$4:$Z$1003,5,FALSE),IF($C$1075&gt;0,VLOOKUP($C1134,PATRIMONIALE!$U$4:$Z$1003,5,FALSE),IF($C$1074&gt;0,VLOOKUP($C1134,ENTI!$U$4:$Z$1003,5,FALSE),"")))</f>
        <v>#N/A</v>
      </c>
      <c r="H1134" s="42" t="e">
        <f ca="1">IF($C$1076&gt;0,VLOOKUP($C1134,COSTI!$U$4:$Z$1003,6,FALSE),IF($C$1075&gt;0,VLOOKUP($C1134,PATRIMONIALE!$U$4:$Z$1003,6,FALSE),IF($C$1074&gt;0,VLOOKUP($C1134,ENTI!$U$4:$Z$1003,6,FALSE),"")))</f>
        <v>#N/A</v>
      </c>
      <c r="I1134" s="496">
        <v>54</v>
      </c>
      <c r="J1134" s="43" t="e">
        <f ca="1">VLOOKUP(D1134,$F$1081:$I$4183,4,FALSE)+COUNTIF(E$1081:E1133,E1134)</f>
        <v>#N/A</v>
      </c>
      <c r="K1134" s="1"/>
      <c r="L1134" s="39" t="e">
        <f>IF($C$1074&gt;0,VLOOKUP($C1134,ENTI!$U$4:$AD$1003,10,FALSE),"")</f>
        <v>#N/A</v>
      </c>
      <c r="M1134" s="1"/>
      <c r="N1134" s="1"/>
      <c r="O1134" s="1"/>
    </row>
    <row r="1135" spans="1:15" hidden="1">
      <c r="A1135" s="1"/>
      <c r="B1135" s="40" t="e">
        <f t="shared" ca="1" si="179"/>
        <v>#N/A</v>
      </c>
      <c r="C1135" s="496">
        <v>55</v>
      </c>
      <c r="D1135" s="41" t="e">
        <f ca="1">IF($C$1076&gt;0,VLOOKUP($C1135,COSTI!$U$4:$Z$1003,3,FALSE),IF($C$1075&gt;0,VLOOKUP($C1135,PATRIMONIALE!$U$4:$Z$1003,3,FALSE),IF($C$1074&gt;0,VLOOKUP($C1135,ENTI!$U$4:$Z$1003,3,FALSE),"")))</f>
        <v>#N/A</v>
      </c>
      <c r="E1135" s="41" t="str">
        <f t="shared" ca="1" si="181"/>
        <v/>
      </c>
      <c r="F1135" s="41" t="e">
        <f t="shared" ca="1" si="180"/>
        <v>#NUM!</v>
      </c>
      <c r="G1135" s="39" t="e">
        <f ca="1">IF($C$1076&gt;0,VLOOKUP($C1135,COSTI!$U$4:$Z$1003,5,FALSE),IF($C$1075&gt;0,VLOOKUP($C1135,PATRIMONIALE!$U$4:$Z$1003,5,FALSE),IF($C$1074&gt;0,VLOOKUP($C1135,ENTI!$U$4:$Z$1003,5,FALSE),"")))</f>
        <v>#N/A</v>
      </c>
      <c r="H1135" s="42" t="e">
        <f ca="1">IF($C$1076&gt;0,VLOOKUP($C1135,COSTI!$U$4:$Z$1003,6,FALSE),IF($C$1075&gt;0,VLOOKUP($C1135,PATRIMONIALE!$U$4:$Z$1003,6,FALSE),IF($C$1074&gt;0,VLOOKUP($C1135,ENTI!$U$4:$Z$1003,6,FALSE),"")))</f>
        <v>#N/A</v>
      </c>
      <c r="I1135" s="496">
        <v>55</v>
      </c>
      <c r="J1135" s="43" t="e">
        <f ca="1">VLOOKUP(D1135,$F$1081:$I$4183,4,FALSE)+COUNTIF(E$1081:E1134,E1135)</f>
        <v>#N/A</v>
      </c>
      <c r="K1135" s="1"/>
      <c r="L1135" s="39" t="e">
        <f>IF($C$1074&gt;0,VLOOKUP($C1135,ENTI!$U$4:$AD$1003,10,FALSE),"")</f>
        <v>#N/A</v>
      </c>
      <c r="M1135" s="1"/>
      <c r="N1135" s="1"/>
      <c r="O1135" s="1"/>
    </row>
    <row r="1136" spans="1:15" hidden="1">
      <c r="A1136" s="1"/>
      <c r="B1136" s="40" t="e">
        <f t="shared" ca="1" si="179"/>
        <v>#N/A</v>
      </c>
      <c r="C1136" s="496">
        <v>56</v>
      </c>
      <c r="D1136" s="41" t="e">
        <f ca="1">IF($C$1076&gt;0,VLOOKUP($C1136,COSTI!$U$4:$Z$1003,3,FALSE),IF($C$1075&gt;0,VLOOKUP($C1136,PATRIMONIALE!$U$4:$Z$1003,3,FALSE),IF($C$1074&gt;0,VLOOKUP($C1136,ENTI!$U$4:$Z$1003,3,FALSE),"")))</f>
        <v>#N/A</v>
      </c>
      <c r="E1136" s="41" t="str">
        <f t="shared" ca="1" si="181"/>
        <v/>
      </c>
      <c r="F1136" s="41" t="e">
        <f t="shared" ca="1" si="180"/>
        <v>#NUM!</v>
      </c>
      <c r="G1136" s="39" t="e">
        <f ca="1">IF($C$1076&gt;0,VLOOKUP($C1136,COSTI!$U$4:$Z$1003,5,FALSE),IF($C$1075&gt;0,VLOOKUP($C1136,PATRIMONIALE!$U$4:$Z$1003,5,FALSE),IF($C$1074&gt;0,VLOOKUP($C1136,ENTI!$U$4:$Z$1003,5,FALSE),"")))</f>
        <v>#N/A</v>
      </c>
      <c r="H1136" s="42" t="e">
        <f ca="1">IF($C$1076&gt;0,VLOOKUP($C1136,COSTI!$U$4:$Z$1003,6,FALSE),IF($C$1075&gt;0,VLOOKUP($C1136,PATRIMONIALE!$U$4:$Z$1003,6,FALSE),IF($C$1074&gt;0,VLOOKUP($C1136,ENTI!$U$4:$Z$1003,6,FALSE),"")))</f>
        <v>#N/A</v>
      </c>
      <c r="I1136" s="496">
        <v>56</v>
      </c>
      <c r="J1136" s="43" t="e">
        <f ca="1">VLOOKUP(D1136,$F$1081:$I$4183,4,FALSE)+COUNTIF(E$1081:E1135,E1136)</f>
        <v>#N/A</v>
      </c>
      <c r="K1136" s="1"/>
      <c r="L1136" s="39" t="e">
        <f>IF($C$1074&gt;0,VLOOKUP($C1136,ENTI!$U$4:$AD$1003,10,FALSE),"")</f>
        <v>#N/A</v>
      </c>
      <c r="M1136" s="1"/>
      <c r="N1136" s="1"/>
      <c r="O1136" s="1"/>
    </row>
    <row r="1137" spans="1:15" hidden="1">
      <c r="A1137" s="1"/>
      <c r="B1137" s="40" t="e">
        <f t="shared" ca="1" si="179"/>
        <v>#N/A</v>
      </c>
      <c r="C1137" s="496">
        <v>57</v>
      </c>
      <c r="D1137" s="41" t="e">
        <f ca="1">IF($C$1076&gt;0,VLOOKUP($C1137,COSTI!$U$4:$Z$1003,3,FALSE),IF($C$1075&gt;0,VLOOKUP($C1137,PATRIMONIALE!$U$4:$Z$1003,3,FALSE),IF($C$1074&gt;0,VLOOKUP($C1137,ENTI!$U$4:$Z$1003,3,FALSE),"")))</f>
        <v>#N/A</v>
      </c>
      <c r="E1137" s="41" t="str">
        <f t="shared" ca="1" si="181"/>
        <v/>
      </c>
      <c r="F1137" s="41" t="e">
        <f t="shared" ca="1" si="180"/>
        <v>#NUM!</v>
      </c>
      <c r="G1137" s="39" t="e">
        <f ca="1">IF($C$1076&gt;0,VLOOKUP($C1137,COSTI!$U$4:$Z$1003,5,FALSE),IF($C$1075&gt;0,VLOOKUP($C1137,PATRIMONIALE!$U$4:$Z$1003,5,FALSE),IF($C$1074&gt;0,VLOOKUP($C1137,ENTI!$U$4:$Z$1003,5,FALSE),"")))</f>
        <v>#N/A</v>
      </c>
      <c r="H1137" s="42" t="e">
        <f ca="1">IF($C$1076&gt;0,VLOOKUP($C1137,COSTI!$U$4:$Z$1003,6,FALSE),IF($C$1075&gt;0,VLOOKUP($C1137,PATRIMONIALE!$U$4:$Z$1003,6,FALSE),IF($C$1074&gt;0,VLOOKUP($C1137,ENTI!$U$4:$Z$1003,6,FALSE),"")))</f>
        <v>#N/A</v>
      </c>
      <c r="I1137" s="496">
        <v>57</v>
      </c>
      <c r="J1137" s="43" t="e">
        <f ca="1">VLOOKUP(D1137,$F$1081:$I$4183,4,FALSE)+COUNTIF(E$1081:E1136,E1137)</f>
        <v>#N/A</v>
      </c>
      <c r="K1137" s="1"/>
      <c r="L1137" s="39" t="e">
        <f>IF($C$1074&gt;0,VLOOKUP($C1137,ENTI!$U$4:$AD$1003,10,FALSE),"")</f>
        <v>#N/A</v>
      </c>
      <c r="M1137" s="1"/>
      <c r="N1137" s="1"/>
      <c r="O1137" s="1"/>
    </row>
    <row r="1138" spans="1:15" hidden="1">
      <c r="A1138" s="1"/>
      <c r="B1138" s="40" t="e">
        <f t="shared" ca="1" si="179"/>
        <v>#N/A</v>
      </c>
      <c r="C1138" s="496">
        <v>58</v>
      </c>
      <c r="D1138" s="41" t="e">
        <f ca="1">IF($C$1076&gt;0,VLOOKUP($C1138,COSTI!$U$4:$Z$1003,3,FALSE),IF($C$1075&gt;0,VLOOKUP($C1138,PATRIMONIALE!$U$4:$Z$1003,3,FALSE),IF($C$1074&gt;0,VLOOKUP($C1138,ENTI!$U$4:$Z$1003,3,FALSE),"")))</f>
        <v>#N/A</v>
      </c>
      <c r="E1138" s="41" t="str">
        <f t="shared" ca="1" si="181"/>
        <v/>
      </c>
      <c r="F1138" s="41" t="e">
        <f t="shared" ca="1" si="180"/>
        <v>#NUM!</v>
      </c>
      <c r="G1138" s="39" t="e">
        <f ca="1">IF($C$1076&gt;0,VLOOKUP($C1138,COSTI!$U$4:$Z$1003,5,FALSE),IF($C$1075&gt;0,VLOOKUP($C1138,PATRIMONIALE!$U$4:$Z$1003,5,FALSE),IF($C$1074&gt;0,VLOOKUP($C1138,ENTI!$U$4:$Z$1003,5,FALSE),"")))</f>
        <v>#N/A</v>
      </c>
      <c r="H1138" s="42" t="e">
        <f ca="1">IF($C$1076&gt;0,VLOOKUP($C1138,COSTI!$U$4:$Z$1003,6,FALSE),IF($C$1075&gt;0,VLOOKUP($C1138,PATRIMONIALE!$U$4:$Z$1003,6,FALSE),IF($C$1074&gt;0,VLOOKUP($C1138,ENTI!$U$4:$Z$1003,6,FALSE),"")))</f>
        <v>#N/A</v>
      </c>
      <c r="I1138" s="496">
        <v>58</v>
      </c>
      <c r="J1138" s="43" t="e">
        <f ca="1">VLOOKUP(D1138,$F$1081:$I$4183,4,FALSE)+COUNTIF(E$1081:E1137,E1138)</f>
        <v>#N/A</v>
      </c>
      <c r="K1138" s="1"/>
      <c r="L1138" s="39" t="e">
        <f>IF($C$1074&gt;0,VLOOKUP($C1138,ENTI!$U$4:$AD$1003,10,FALSE),"")</f>
        <v>#N/A</v>
      </c>
      <c r="M1138" s="1"/>
      <c r="N1138" s="1"/>
      <c r="O1138" s="1"/>
    </row>
    <row r="1139" spans="1:15" hidden="1">
      <c r="A1139" s="1"/>
      <c r="B1139" s="40" t="e">
        <f t="shared" ca="1" si="179"/>
        <v>#N/A</v>
      </c>
      <c r="C1139" s="496">
        <v>59</v>
      </c>
      <c r="D1139" s="41" t="e">
        <f ca="1">IF($C$1076&gt;0,VLOOKUP($C1139,COSTI!$U$4:$Z$1003,3,FALSE),IF($C$1075&gt;0,VLOOKUP($C1139,PATRIMONIALE!$U$4:$Z$1003,3,FALSE),IF($C$1074&gt;0,VLOOKUP($C1139,ENTI!$U$4:$Z$1003,3,FALSE),"")))</f>
        <v>#N/A</v>
      </c>
      <c r="E1139" s="41" t="str">
        <f t="shared" ca="1" si="181"/>
        <v/>
      </c>
      <c r="F1139" s="41" t="e">
        <f t="shared" ca="1" si="180"/>
        <v>#NUM!</v>
      </c>
      <c r="G1139" s="39" t="e">
        <f ca="1">IF($C$1076&gt;0,VLOOKUP($C1139,COSTI!$U$4:$Z$1003,5,FALSE),IF($C$1075&gt;0,VLOOKUP($C1139,PATRIMONIALE!$U$4:$Z$1003,5,FALSE),IF($C$1074&gt;0,VLOOKUP($C1139,ENTI!$U$4:$Z$1003,5,FALSE),"")))</f>
        <v>#N/A</v>
      </c>
      <c r="H1139" s="42" t="e">
        <f ca="1">IF($C$1076&gt;0,VLOOKUP($C1139,COSTI!$U$4:$Z$1003,6,FALSE),IF($C$1075&gt;0,VLOOKUP($C1139,PATRIMONIALE!$U$4:$Z$1003,6,FALSE),IF($C$1074&gt;0,VLOOKUP($C1139,ENTI!$U$4:$Z$1003,6,FALSE),"")))</f>
        <v>#N/A</v>
      </c>
      <c r="I1139" s="496">
        <v>59</v>
      </c>
      <c r="J1139" s="43" t="e">
        <f ca="1">VLOOKUP(D1139,$F$1081:$I$4183,4,FALSE)+COUNTIF(E$1081:E1138,E1139)</f>
        <v>#N/A</v>
      </c>
      <c r="K1139" s="1"/>
      <c r="L1139" s="39" t="e">
        <f>IF($C$1074&gt;0,VLOOKUP($C1139,ENTI!$U$4:$AD$1003,10,FALSE),"")</f>
        <v>#N/A</v>
      </c>
      <c r="M1139" s="1"/>
      <c r="N1139" s="1"/>
      <c r="O1139" s="1"/>
    </row>
    <row r="1140" spans="1:15" hidden="1">
      <c r="A1140" s="1"/>
      <c r="B1140" s="40" t="e">
        <f t="shared" ca="1" si="179"/>
        <v>#N/A</v>
      </c>
      <c r="C1140" s="496">
        <v>60</v>
      </c>
      <c r="D1140" s="41" t="e">
        <f ca="1">IF($C$1076&gt;0,VLOOKUP($C1140,COSTI!$U$4:$Z$1003,3,FALSE),IF($C$1075&gt;0,VLOOKUP($C1140,PATRIMONIALE!$U$4:$Z$1003,3,FALSE),IF($C$1074&gt;0,VLOOKUP($C1140,ENTI!$U$4:$Z$1003,3,FALSE),"")))</f>
        <v>#N/A</v>
      </c>
      <c r="E1140" s="41" t="str">
        <f t="shared" ca="1" si="181"/>
        <v/>
      </c>
      <c r="F1140" s="41" t="e">
        <f t="shared" ca="1" si="180"/>
        <v>#NUM!</v>
      </c>
      <c r="G1140" s="39" t="e">
        <f ca="1">IF($C$1076&gt;0,VLOOKUP($C1140,COSTI!$U$4:$Z$1003,5,FALSE),IF($C$1075&gt;0,VLOOKUP($C1140,PATRIMONIALE!$U$4:$Z$1003,5,FALSE),IF($C$1074&gt;0,VLOOKUP($C1140,ENTI!$U$4:$Z$1003,5,FALSE),"")))</f>
        <v>#N/A</v>
      </c>
      <c r="H1140" s="42" t="e">
        <f ca="1">IF($C$1076&gt;0,VLOOKUP($C1140,COSTI!$U$4:$Z$1003,6,FALSE),IF($C$1075&gt;0,VLOOKUP($C1140,PATRIMONIALE!$U$4:$Z$1003,6,FALSE),IF($C$1074&gt;0,VLOOKUP($C1140,ENTI!$U$4:$Z$1003,6,FALSE),"")))</f>
        <v>#N/A</v>
      </c>
      <c r="I1140" s="496">
        <v>60</v>
      </c>
      <c r="J1140" s="43" t="e">
        <f ca="1">VLOOKUP(D1140,$F$1081:$I$4183,4,FALSE)+COUNTIF(E$1081:E1139,E1140)</f>
        <v>#N/A</v>
      </c>
      <c r="K1140" s="1"/>
      <c r="L1140" s="39" t="e">
        <f>IF($C$1074&gt;0,VLOOKUP($C1140,ENTI!$U$4:$AD$1003,10,FALSE),"")</f>
        <v>#N/A</v>
      </c>
      <c r="M1140" s="1"/>
      <c r="N1140" s="1"/>
      <c r="O1140" s="1"/>
    </row>
    <row r="1141" spans="1:15" hidden="1">
      <c r="A1141" s="1"/>
      <c r="B1141" s="40" t="e">
        <f t="shared" ca="1" si="179"/>
        <v>#N/A</v>
      </c>
      <c r="C1141" s="496">
        <v>61</v>
      </c>
      <c r="D1141" s="41" t="e">
        <f ca="1">IF($C$1076&gt;0,VLOOKUP($C1141,COSTI!$U$4:$Z$1003,3,FALSE),IF($C$1075&gt;0,VLOOKUP($C1141,PATRIMONIALE!$U$4:$Z$1003,3,FALSE),IF($C$1074&gt;0,VLOOKUP($C1141,ENTI!$U$4:$Z$1003,3,FALSE),"")))</f>
        <v>#N/A</v>
      </c>
      <c r="E1141" s="41" t="str">
        <f t="shared" ca="1" si="181"/>
        <v/>
      </c>
      <c r="F1141" s="41" t="e">
        <f t="shared" ca="1" si="180"/>
        <v>#NUM!</v>
      </c>
      <c r="G1141" s="39" t="e">
        <f ca="1">IF($C$1076&gt;0,VLOOKUP($C1141,COSTI!$U$4:$Z$1003,5,FALSE),IF($C$1075&gt;0,VLOOKUP($C1141,PATRIMONIALE!$U$4:$Z$1003,5,FALSE),IF($C$1074&gt;0,VLOOKUP($C1141,ENTI!$U$4:$Z$1003,5,FALSE),"")))</f>
        <v>#N/A</v>
      </c>
      <c r="H1141" s="42" t="e">
        <f ca="1">IF($C$1076&gt;0,VLOOKUP($C1141,COSTI!$U$4:$Z$1003,6,FALSE),IF($C$1075&gt;0,VLOOKUP($C1141,PATRIMONIALE!$U$4:$Z$1003,6,FALSE),IF($C$1074&gt;0,VLOOKUP($C1141,ENTI!$U$4:$Z$1003,6,FALSE),"")))</f>
        <v>#N/A</v>
      </c>
      <c r="I1141" s="496">
        <v>61</v>
      </c>
      <c r="J1141" s="43" t="e">
        <f ca="1">VLOOKUP(D1141,$F$1081:$I$4183,4,FALSE)+COUNTIF(E$1081:E1140,E1141)</f>
        <v>#N/A</v>
      </c>
      <c r="K1141" s="1"/>
      <c r="L1141" s="39" t="e">
        <f>IF($C$1074&gt;0,VLOOKUP($C1141,ENTI!$U$4:$AD$1003,10,FALSE),"")</f>
        <v>#N/A</v>
      </c>
      <c r="M1141" s="1"/>
      <c r="N1141" s="1"/>
      <c r="O1141" s="1"/>
    </row>
    <row r="1142" spans="1:15" hidden="1">
      <c r="A1142" s="1"/>
      <c r="B1142" s="40" t="e">
        <f t="shared" ca="1" si="179"/>
        <v>#N/A</v>
      </c>
      <c r="C1142" s="496">
        <v>62</v>
      </c>
      <c r="D1142" s="41" t="e">
        <f ca="1">IF($C$1076&gt;0,VLOOKUP($C1142,COSTI!$U$4:$Z$1003,3,FALSE),IF($C$1075&gt;0,VLOOKUP($C1142,PATRIMONIALE!$U$4:$Z$1003,3,FALSE),IF($C$1074&gt;0,VLOOKUP($C1142,ENTI!$U$4:$Z$1003,3,FALSE),"")))</f>
        <v>#N/A</v>
      </c>
      <c r="E1142" s="41" t="str">
        <f t="shared" ca="1" si="181"/>
        <v/>
      </c>
      <c r="F1142" s="41" t="e">
        <f t="shared" ca="1" si="180"/>
        <v>#NUM!</v>
      </c>
      <c r="G1142" s="39" t="e">
        <f ca="1">IF($C$1076&gt;0,VLOOKUP($C1142,COSTI!$U$4:$Z$1003,5,FALSE),IF($C$1075&gt;0,VLOOKUP($C1142,PATRIMONIALE!$U$4:$Z$1003,5,FALSE),IF($C$1074&gt;0,VLOOKUP($C1142,ENTI!$U$4:$Z$1003,5,FALSE),"")))</f>
        <v>#N/A</v>
      </c>
      <c r="H1142" s="42" t="e">
        <f ca="1">IF($C$1076&gt;0,VLOOKUP($C1142,COSTI!$U$4:$Z$1003,6,FALSE),IF($C$1075&gt;0,VLOOKUP($C1142,PATRIMONIALE!$U$4:$Z$1003,6,FALSE),IF($C$1074&gt;0,VLOOKUP($C1142,ENTI!$U$4:$Z$1003,6,FALSE),"")))</f>
        <v>#N/A</v>
      </c>
      <c r="I1142" s="496">
        <v>62</v>
      </c>
      <c r="J1142" s="43" t="e">
        <f ca="1">VLOOKUP(D1142,$F$1081:$I$4183,4,FALSE)+COUNTIF(E$1081:E1141,E1142)</f>
        <v>#N/A</v>
      </c>
      <c r="K1142" s="1"/>
      <c r="L1142" s="39" t="e">
        <f>IF($C$1074&gt;0,VLOOKUP($C1142,ENTI!$U$4:$AD$1003,10,FALSE),"")</f>
        <v>#N/A</v>
      </c>
      <c r="M1142" s="1"/>
      <c r="N1142" s="1"/>
      <c r="O1142" s="1"/>
    </row>
    <row r="1143" spans="1:15" hidden="1">
      <c r="A1143" s="1"/>
      <c r="B1143" s="40" t="e">
        <f t="shared" ca="1" si="179"/>
        <v>#N/A</v>
      </c>
      <c r="C1143" s="496">
        <v>63</v>
      </c>
      <c r="D1143" s="41" t="e">
        <f ca="1">IF($C$1076&gt;0,VLOOKUP($C1143,COSTI!$U$4:$Z$1003,3,FALSE),IF($C$1075&gt;0,VLOOKUP($C1143,PATRIMONIALE!$U$4:$Z$1003,3,FALSE),IF($C$1074&gt;0,VLOOKUP($C1143,ENTI!$U$4:$Z$1003,3,FALSE),"")))</f>
        <v>#N/A</v>
      </c>
      <c r="E1143" s="41" t="str">
        <f t="shared" ca="1" si="181"/>
        <v/>
      </c>
      <c r="F1143" s="41" t="e">
        <f t="shared" ca="1" si="180"/>
        <v>#NUM!</v>
      </c>
      <c r="G1143" s="39" t="e">
        <f ca="1">IF($C$1076&gt;0,VLOOKUP($C1143,COSTI!$U$4:$Z$1003,5,FALSE),IF($C$1075&gt;0,VLOOKUP($C1143,PATRIMONIALE!$U$4:$Z$1003,5,FALSE),IF($C$1074&gt;0,VLOOKUP($C1143,ENTI!$U$4:$Z$1003,5,FALSE),"")))</f>
        <v>#N/A</v>
      </c>
      <c r="H1143" s="42" t="e">
        <f ca="1">IF($C$1076&gt;0,VLOOKUP($C1143,COSTI!$U$4:$Z$1003,6,FALSE),IF($C$1075&gt;0,VLOOKUP($C1143,PATRIMONIALE!$U$4:$Z$1003,6,FALSE),IF($C$1074&gt;0,VLOOKUP($C1143,ENTI!$U$4:$Z$1003,6,FALSE),"")))</f>
        <v>#N/A</v>
      </c>
      <c r="I1143" s="496">
        <v>63</v>
      </c>
      <c r="J1143" s="43" t="e">
        <f ca="1">VLOOKUP(D1143,$F$1081:$I$4183,4,FALSE)+COUNTIF(E$1081:E1142,E1143)</f>
        <v>#N/A</v>
      </c>
      <c r="K1143" s="1"/>
      <c r="L1143" s="39" t="e">
        <f>IF($C$1074&gt;0,VLOOKUP($C1143,ENTI!$U$4:$AD$1003,10,FALSE),"")</f>
        <v>#N/A</v>
      </c>
      <c r="M1143" s="1"/>
      <c r="N1143" s="1"/>
      <c r="O1143" s="1"/>
    </row>
    <row r="1144" spans="1:15" hidden="1">
      <c r="A1144" s="1"/>
      <c r="B1144" s="40" t="e">
        <f t="shared" ca="1" si="179"/>
        <v>#N/A</v>
      </c>
      <c r="C1144" s="496">
        <v>64</v>
      </c>
      <c r="D1144" s="41" t="e">
        <f ca="1">IF($C$1076&gt;0,VLOOKUP($C1144,COSTI!$U$4:$Z$1003,3,FALSE),IF($C$1075&gt;0,VLOOKUP($C1144,PATRIMONIALE!$U$4:$Z$1003,3,FALSE),IF($C$1074&gt;0,VLOOKUP($C1144,ENTI!$U$4:$Z$1003,3,FALSE),"")))</f>
        <v>#N/A</v>
      </c>
      <c r="E1144" s="41" t="str">
        <f t="shared" ca="1" si="181"/>
        <v/>
      </c>
      <c r="F1144" s="41" t="e">
        <f t="shared" ca="1" si="180"/>
        <v>#NUM!</v>
      </c>
      <c r="G1144" s="39" t="e">
        <f ca="1">IF($C$1076&gt;0,VLOOKUP($C1144,COSTI!$U$4:$Z$1003,5,FALSE),IF($C$1075&gt;0,VLOOKUP($C1144,PATRIMONIALE!$U$4:$Z$1003,5,FALSE),IF($C$1074&gt;0,VLOOKUP($C1144,ENTI!$U$4:$Z$1003,5,FALSE),"")))</f>
        <v>#N/A</v>
      </c>
      <c r="H1144" s="42" t="e">
        <f ca="1">IF($C$1076&gt;0,VLOOKUP($C1144,COSTI!$U$4:$Z$1003,6,FALSE),IF($C$1075&gt;0,VLOOKUP($C1144,PATRIMONIALE!$U$4:$Z$1003,6,FALSE),IF($C$1074&gt;0,VLOOKUP($C1144,ENTI!$U$4:$Z$1003,6,FALSE),"")))</f>
        <v>#N/A</v>
      </c>
      <c r="I1144" s="496">
        <v>64</v>
      </c>
      <c r="J1144" s="43" t="e">
        <f ca="1">VLOOKUP(D1144,$F$1081:$I$4183,4,FALSE)+COUNTIF(E$1081:E1143,E1144)</f>
        <v>#N/A</v>
      </c>
      <c r="K1144" s="1"/>
      <c r="L1144" s="39" t="e">
        <f>IF($C$1074&gt;0,VLOOKUP($C1144,ENTI!$U$4:$AD$1003,10,FALSE),"")</f>
        <v>#N/A</v>
      </c>
      <c r="M1144" s="1"/>
      <c r="N1144" s="1"/>
      <c r="O1144" s="1"/>
    </row>
    <row r="1145" spans="1:15" hidden="1">
      <c r="A1145" s="1"/>
      <c r="B1145" s="40" t="e">
        <f t="shared" ref="B1145:B1208" ca="1" si="182">IF(OR(C$1075&gt;0,C$1077&gt;0,C$1073&gt;0,C$1071&gt;0),J1145+1,J1145)</f>
        <v>#N/A</v>
      </c>
      <c r="C1145" s="496">
        <v>65</v>
      </c>
      <c r="D1145" s="41" t="e">
        <f ca="1">IF($C$1076&gt;0,VLOOKUP($C1145,COSTI!$U$4:$Z$1003,3,FALSE),IF($C$1075&gt;0,VLOOKUP($C1145,PATRIMONIALE!$U$4:$Z$1003,3,FALSE),IF($C$1074&gt;0,VLOOKUP($C1145,ENTI!$U$4:$Z$1003,3,FALSE),"")))</f>
        <v>#N/A</v>
      </c>
      <c r="E1145" s="41" t="str">
        <f t="shared" ca="1" si="181"/>
        <v/>
      </c>
      <c r="F1145" s="41" t="e">
        <f t="shared" ref="F1145:F1208" ca="1" si="183">SMALL(E$1081:E$4183,C1145)</f>
        <v>#NUM!</v>
      </c>
      <c r="G1145" s="39" t="e">
        <f ca="1">IF($C$1076&gt;0,VLOOKUP($C1145,COSTI!$U$4:$Z$1003,5,FALSE),IF($C$1075&gt;0,VLOOKUP($C1145,PATRIMONIALE!$U$4:$Z$1003,5,FALSE),IF($C$1074&gt;0,VLOOKUP($C1145,ENTI!$U$4:$Z$1003,5,FALSE),"")))</f>
        <v>#N/A</v>
      </c>
      <c r="H1145" s="42" t="e">
        <f ca="1">IF($C$1076&gt;0,VLOOKUP($C1145,COSTI!$U$4:$Z$1003,6,FALSE),IF($C$1075&gt;0,VLOOKUP($C1145,PATRIMONIALE!$U$4:$Z$1003,6,FALSE),IF($C$1074&gt;0,VLOOKUP($C1145,ENTI!$U$4:$Z$1003,6,FALSE),"")))</f>
        <v>#N/A</v>
      </c>
      <c r="I1145" s="496">
        <v>65</v>
      </c>
      <c r="J1145" s="43" t="e">
        <f ca="1">VLOOKUP(D1145,$F$1081:$I$4183,4,FALSE)+COUNTIF(E$1081:E1144,E1145)</f>
        <v>#N/A</v>
      </c>
      <c r="K1145" s="1"/>
      <c r="L1145" s="39" t="e">
        <f>IF($C$1074&gt;0,VLOOKUP($C1145,ENTI!$U$4:$AD$1003,10,FALSE),"")</f>
        <v>#N/A</v>
      </c>
      <c r="M1145" s="1"/>
      <c r="N1145" s="1"/>
      <c r="O1145" s="1"/>
    </row>
    <row r="1146" spans="1:15" hidden="1">
      <c r="A1146" s="1"/>
      <c r="B1146" s="40" t="e">
        <f t="shared" ca="1" si="182"/>
        <v>#N/A</v>
      </c>
      <c r="C1146" s="496">
        <v>66</v>
      </c>
      <c r="D1146" s="41" t="e">
        <f ca="1">IF($C$1076&gt;0,VLOOKUP($C1146,COSTI!$U$4:$Z$1003,3,FALSE),IF($C$1075&gt;0,VLOOKUP($C1146,PATRIMONIALE!$U$4:$Z$1003,3,FALSE),IF($C$1074&gt;0,VLOOKUP($C1146,ENTI!$U$4:$Z$1003,3,FALSE),"")))</f>
        <v>#N/A</v>
      </c>
      <c r="E1146" s="41" t="str">
        <f t="shared" ref="E1146:E1177" ca="1" si="184">IF(ISERROR(D1146),"",D1146)</f>
        <v/>
      </c>
      <c r="F1146" s="41" t="e">
        <f t="shared" ca="1" si="183"/>
        <v>#NUM!</v>
      </c>
      <c r="G1146" s="39" t="e">
        <f ca="1">IF($C$1076&gt;0,VLOOKUP($C1146,COSTI!$U$4:$Z$1003,5,FALSE),IF($C$1075&gt;0,VLOOKUP($C1146,PATRIMONIALE!$U$4:$Z$1003,5,FALSE),IF($C$1074&gt;0,VLOOKUP($C1146,ENTI!$U$4:$Z$1003,5,FALSE),"")))</f>
        <v>#N/A</v>
      </c>
      <c r="H1146" s="42" t="e">
        <f ca="1">IF($C$1076&gt;0,VLOOKUP($C1146,COSTI!$U$4:$Z$1003,6,FALSE),IF($C$1075&gt;0,VLOOKUP($C1146,PATRIMONIALE!$U$4:$Z$1003,6,FALSE),IF($C$1074&gt;0,VLOOKUP($C1146,ENTI!$U$4:$Z$1003,6,FALSE),"")))</f>
        <v>#N/A</v>
      </c>
      <c r="I1146" s="496">
        <v>66</v>
      </c>
      <c r="J1146" s="43" t="e">
        <f ca="1">VLOOKUP(D1146,$F$1081:$I$4183,4,FALSE)+COUNTIF(E$1081:E1145,E1146)</f>
        <v>#N/A</v>
      </c>
      <c r="K1146" s="1"/>
      <c r="L1146" s="39" t="e">
        <f>IF($C$1074&gt;0,VLOOKUP($C1146,ENTI!$U$4:$AD$1003,10,FALSE),"")</f>
        <v>#N/A</v>
      </c>
      <c r="M1146" s="1"/>
      <c r="N1146" s="1"/>
      <c r="O1146" s="1"/>
    </row>
    <row r="1147" spans="1:15" hidden="1">
      <c r="A1147" s="1"/>
      <c r="B1147" s="40" t="e">
        <f t="shared" ca="1" si="182"/>
        <v>#N/A</v>
      </c>
      <c r="C1147" s="496">
        <v>67</v>
      </c>
      <c r="D1147" s="41" t="e">
        <f ca="1">IF($C$1076&gt;0,VLOOKUP($C1147,COSTI!$U$4:$Z$1003,3,FALSE),IF($C$1075&gt;0,VLOOKUP($C1147,PATRIMONIALE!$U$4:$Z$1003,3,FALSE),IF($C$1074&gt;0,VLOOKUP($C1147,ENTI!$U$4:$Z$1003,3,FALSE),"")))</f>
        <v>#N/A</v>
      </c>
      <c r="E1147" s="41" t="str">
        <f t="shared" ca="1" si="184"/>
        <v/>
      </c>
      <c r="F1147" s="41" t="e">
        <f t="shared" ca="1" si="183"/>
        <v>#NUM!</v>
      </c>
      <c r="G1147" s="39" t="e">
        <f ca="1">IF($C$1076&gt;0,VLOOKUP($C1147,COSTI!$U$4:$Z$1003,5,FALSE),IF($C$1075&gt;0,VLOOKUP($C1147,PATRIMONIALE!$U$4:$Z$1003,5,FALSE),IF($C$1074&gt;0,VLOOKUP($C1147,ENTI!$U$4:$Z$1003,5,FALSE),"")))</f>
        <v>#N/A</v>
      </c>
      <c r="H1147" s="42" t="e">
        <f ca="1">IF($C$1076&gt;0,VLOOKUP($C1147,COSTI!$U$4:$Z$1003,6,FALSE),IF($C$1075&gt;0,VLOOKUP($C1147,PATRIMONIALE!$U$4:$Z$1003,6,FALSE),IF($C$1074&gt;0,VLOOKUP($C1147,ENTI!$U$4:$Z$1003,6,FALSE),"")))</f>
        <v>#N/A</v>
      </c>
      <c r="I1147" s="496">
        <v>67</v>
      </c>
      <c r="J1147" s="43" t="e">
        <f ca="1">VLOOKUP(D1147,$F$1081:$I$4183,4,FALSE)+COUNTIF(E$1081:E1146,E1147)</f>
        <v>#N/A</v>
      </c>
      <c r="K1147" s="1"/>
      <c r="L1147" s="39" t="e">
        <f>IF($C$1074&gt;0,VLOOKUP($C1147,ENTI!$U$4:$AD$1003,10,FALSE),"")</f>
        <v>#N/A</v>
      </c>
      <c r="M1147" s="1"/>
      <c r="N1147" s="1"/>
      <c r="O1147" s="1"/>
    </row>
    <row r="1148" spans="1:15" hidden="1">
      <c r="A1148" s="1"/>
      <c r="B1148" s="40" t="e">
        <f t="shared" ca="1" si="182"/>
        <v>#N/A</v>
      </c>
      <c r="C1148" s="496">
        <v>68</v>
      </c>
      <c r="D1148" s="41" t="e">
        <f ca="1">IF($C$1076&gt;0,VLOOKUP($C1148,COSTI!$U$4:$Z$1003,3,FALSE),IF($C$1075&gt;0,VLOOKUP($C1148,PATRIMONIALE!$U$4:$Z$1003,3,FALSE),IF($C$1074&gt;0,VLOOKUP($C1148,ENTI!$U$4:$Z$1003,3,FALSE),"")))</f>
        <v>#N/A</v>
      </c>
      <c r="E1148" s="41" t="str">
        <f t="shared" ca="1" si="184"/>
        <v/>
      </c>
      <c r="F1148" s="41" t="e">
        <f t="shared" ca="1" si="183"/>
        <v>#NUM!</v>
      </c>
      <c r="G1148" s="39" t="e">
        <f ca="1">IF($C$1076&gt;0,VLOOKUP($C1148,COSTI!$U$4:$Z$1003,5,FALSE),IF($C$1075&gt;0,VLOOKUP($C1148,PATRIMONIALE!$U$4:$Z$1003,5,FALSE),IF($C$1074&gt;0,VLOOKUP($C1148,ENTI!$U$4:$Z$1003,5,FALSE),"")))</f>
        <v>#N/A</v>
      </c>
      <c r="H1148" s="42" t="e">
        <f ca="1">IF($C$1076&gt;0,VLOOKUP($C1148,COSTI!$U$4:$Z$1003,6,FALSE),IF($C$1075&gt;0,VLOOKUP($C1148,PATRIMONIALE!$U$4:$Z$1003,6,FALSE),IF($C$1074&gt;0,VLOOKUP($C1148,ENTI!$U$4:$Z$1003,6,FALSE),"")))</f>
        <v>#N/A</v>
      </c>
      <c r="I1148" s="496">
        <v>68</v>
      </c>
      <c r="J1148" s="43" t="e">
        <f ca="1">VLOOKUP(D1148,$F$1081:$I$4183,4,FALSE)+COUNTIF(E$1081:E1147,E1148)</f>
        <v>#N/A</v>
      </c>
      <c r="K1148" s="1"/>
      <c r="L1148" s="39" t="e">
        <f>IF($C$1074&gt;0,VLOOKUP($C1148,ENTI!$U$4:$AD$1003,10,FALSE),"")</f>
        <v>#N/A</v>
      </c>
      <c r="M1148" s="1"/>
      <c r="N1148" s="1"/>
      <c r="O1148" s="1"/>
    </row>
    <row r="1149" spans="1:15" hidden="1">
      <c r="A1149" s="1"/>
      <c r="B1149" s="40" t="e">
        <f t="shared" ca="1" si="182"/>
        <v>#N/A</v>
      </c>
      <c r="C1149" s="496">
        <v>69</v>
      </c>
      <c r="D1149" s="41" t="e">
        <f ca="1">IF($C$1076&gt;0,VLOOKUP($C1149,COSTI!$U$4:$Z$1003,3,FALSE),IF($C$1075&gt;0,VLOOKUP($C1149,PATRIMONIALE!$U$4:$Z$1003,3,FALSE),IF($C$1074&gt;0,VLOOKUP($C1149,ENTI!$U$4:$Z$1003,3,FALSE),"")))</f>
        <v>#N/A</v>
      </c>
      <c r="E1149" s="41" t="str">
        <f t="shared" ca="1" si="184"/>
        <v/>
      </c>
      <c r="F1149" s="41" t="e">
        <f t="shared" ca="1" si="183"/>
        <v>#NUM!</v>
      </c>
      <c r="G1149" s="39" t="e">
        <f ca="1">IF($C$1076&gt;0,VLOOKUP($C1149,COSTI!$U$4:$Z$1003,5,FALSE),IF($C$1075&gt;0,VLOOKUP($C1149,PATRIMONIALE!$U$4:$Z$1003,5,FALSE),IF($C$1074&gt;0,VLOOKUP($C1149,ENTI!$U$4:$Z$1003,5,FALSE),"")))</f>
        <v>#N/A</v>
      </c>
      <c r="H1149" s="42" t="e">
        <f ca="1">IF($C$1076&gt;0,VLOOKUP($C1149,COSTI!$U$4:$Z$1003,6,FALSE),IF($C$1075&gt;0,VLOOKUP($C1149,PATRIMONIALE!$U$4:$Z$1003,6,FALSE),IF($C$1074&gt;0,VLOOKUP($C1149,ENTI!$U$4:$Z$1003,6,FALSE),"")))</f>
        <v>#N/A</v>
      </c>
      <c r="I1149" s="496">
        <v>69</v>
      </c>
      <c r="J1149" s="43" t="e">
        <f ca="1">VLOOKUP(D1149,$F$1081:$I$4183,4,FALSE)+COUNTIF(E$1081:E1148,E1149)</f>
        <v>#N/A</v>
      </c>
      <c r="K1149" s="1"/>
      <c r="L1149" s="39" t="e">
        <f>IF($C$1074&gt;0,VLOOKUP($C1149,ENTI!$U$4:$AD$1003,10,FALSE),"")</f>
        <v>#N/A</v>
      </c>
      <c r="M1149" s="1"/>
      <c r="N1149" s="1"/>
      <c r="O1149" s="1"/>
    </row>
    <row r="1150" spans="1:15" hidden="1">
      <c r="A1150" s="1"/>
      <c r="B1150" s="40" t="e">
        <f t="shared" ca="1" si="182"/>
        <v>#N/A</v>
      </c>
      <c r="C1150" s="496">
        <v>70</v>
      </c>
      <c r="D1150" s="41" t="e">
        <f ca="1">IF($C$1076&gt;0,VLOOKUP($C1150,COSTI!$U$4:$Z$1003,3,FALSE),IF($C$1075&gt;0,VLOOKUP($C1150,PATRIMONIALE!$U$4:$Z$1003,3,FALSE),IF($C$1074&gt;0,VLOOKUP($C1150,ENTI!$U$4:$Z$1003,3,FALSE),"")))</f>
        <v>#N/A</v>
      </c>
      <c r="E1150" s="41" t="str">
        <f t="shared" ca="1" si="184"/>
        <v/>
      </c>
      <c r="F1150" s="41" t="e">
        <f t="shared" ca="1" si="183"/>
        <v>#NUM!</v>
      </c>
      <c r="G1150" s="39" t="e">
        <f ca="1">IF($C$1076&gt;0,VLOOKUP($C1150,COSTI!$U$4:$Z$1003,5,FALSE),IF($C$1075&gt;0,VLOOKUP($C1150,PATRIMONIALE!$U$4:$Z$1003,5,FALSE),IF($C$1074&gt;0,VLOOKUP($C1150,ENTI!$U$4:$Z$1003,5,FALSE),"")))</f>
        <v>#N/A</v>
      </c>
      <c r="H1150" s="42" t="e">
        <f ca="1">IF($C$1076&gt;0,VLOOKUP($C1150,COSTI!$U$4:$Z$1003,6,FALSE),IF($C$1075&gt;0,VLOOKUP($C1150,PATRIMONIALE!$U$4:$Z$1003,6,FALSE),IF($C$1074&gt;0,VLOOKUP($C1150,ENTI!$U$4:$Z$1003,6,FALSE),"")))</f>
        <v>#N/A</v>
      </c>
      <c r="I1150" s="496">
        <v>70</v>
      </c>
      <c r="J1150" s="43" t="e">
        <f ca="1">VLOOKUP(D1150,$F$1081:$I$4183,4,FALSE)+COUNTIF(E$1081:E1149,E1150)</f>
        <v>#N/A</v>
      </c>
      <c r="K1150" s="1"/>
      <c r="L1150" s="39" t="e">
        <f>IF($C$1074&gt;0,VLOOKUP($C1150,ENTI!$U$4:$AD$1003,10,FALSE),"")</f>
        <v>#N/A</v>
      </c>
      <c r="M1150" s="1"/>
      <c r="N1150" s="1"/>
      <c r="O1150" s="1"/>
    </row>
    <row r="1151" spans="1:15" hidden="1">
      <c r="A1151" s="1"/>
      <c r="B1151" s="40" t="e">
        <f t="shared" ca="1" si="182"/>
        <v>#N/A</v>
      </c>
      <c r="C1151" s="496">
        <v>71</v>
      </c>
      <c r="D1151" s="41" t="e">
        <f ca="1">IF($C$1076&gt;0,VLOOKUP($C1151,COSTI!$U$4:$Z$1003,3,FALSE),IF($C$1075&gt;0,VLOOKUP($C1151,PATRIMONIALE!$U$4:$Z$1003,3,FALSE),IF($C$1074&gt;0,VLOOKUP($C1151,ENTI!$U$4:$Z$1003,3,FALSE),"")))</f>
        <v>#N/A</v>
      </c>
      <c r="E1151" s="41" t="str">
        <f t="shared" ca="1" si="184"/>
        <v/>
      </c>
      <c r="F1151" s="41" t="e">
        <f t="shared" ca="1" si="183"/>
        <v>#NUM!</v>
      </c>
      <c r="G1151" s="39" t="e">
        <f ca="1">IF($C$1076&gt;0,VLOOKUP($C1151,COSTI!$U$4:$Z$1003,5,FALSE),IF($C$1075&gt;0,VLOOKUP($C1151,PATRIMONIALE!$U$4:$Z$1003,5,FALSE),IF($C$1074&gt;0,VLOOKUP($C1151,ENTI!$U$4:$Z$1003,5,FALSE),"")))</f>
        <v>#N/A</v>
      </c>
      <c r="H1151" s="42" t="e">
        <f ca="1">IF($C$1076&gt;0,VLOOKUP($C1151,COSTI!$U$4:$Z$1003,6,FALSE),IF($C$1075&gt;0,VLOOKUP($C1151,PATRIMONIALE!$U$4:$Z$1003,6,FALSE),IF($C$1074&gt;0,VLOOKUP($C1151,ENTI!$U$4:$Z$1003,6,FALSE),"")))</f>
        <v>#N/A</v>
      </c>
      <c r="I1151" s="496">
        <v>71</v>
      </c>
      <c r="J1151" s="43" t="e">
        <f ca="1">VLOOKUP(D1151,$F$1081:$I$4183,4,FALSE)+COUNTIF(E$1081:E1150,E1151)</f>
        <v>#N/A</v>
      </c>
      <c r="K1151" s="1"/>
      <c r="L1151" s="39" t="e">
        <f>IF($C$1074&gt;0,VLOOKUP($C1151,ENTI!$U$4:$AD$1003,10,FALSE),"")</f>
        <v>#N/A</v>
      </c>
      <c r="M1151" s="1"/>
      <c r="N1151" s="1"/>
      <c r="O1151" s="1"/>
    </row>
    <row r="1152" spans="1:15" hidden="1">
      <c r="A1152" s="1"/>
      <c r="B1152" s="40" t="e">
        <f t="shared" ca="1" si="182"/>
        <v>#N/A</v>
      </c>
      <c r="C1152" s="496">
        <v>72</v>
      </c>
      <c r="D1152" s="41" t="e">
        <f ca="1">IF($C$1076&gt;0,VLOOKUP($C1152,COSTI!$U$4:$Z$1003,3,FALSE),IF($C$1075&gt;0,VLOOKUP($C1152,PATRIMONIALE!$U$4:$Z$1003,3,FALSE),IF($C$1074&gt;0,VLOOKUP($C1152,ENTI!$U$4:$Z$1003,3,FALSE),"")))</f>
        <v>#N/A</v>
      </c>
      <c r="E1152" s="41" t="str">
        <f t="shared" ca="1" si="184"/>
        <v/>
      </c>
      <c r="F1152" s="41" t="e">
        <f t="shared" ca="1" si="183"/>
        <v>#NUM!</v>
      </c>
      <c r="G1152" s="39" t="e">
        <f ca="1">IF($C$1076&gt;0,VLOOKUP($C1152,COSTI!$U$4:$Z$1003,5,FALSE),IF($C$1075&gt;0,VLOOKUP($C1152,PATRIMONIALE!$U$4:$Z$1003,5,FALSE),IF($C$1074&gt;0,VLOOKUP($C1152,ENTI!$U$4:$Z$1003,5,FALSE),"")))</f>
        <v>#N/A</v>
      </c>
      <c r="H1152" s="42" t="e">
        <f ca="1">IF($C$1076&gt;0,VLOOKUP($C1152,COSTI!$U$4:$Z$1003,6,FALSE),IF($C$1075&gt;0,VLOOKUP($C1152,PATRIMONIALE!$U$4:$Z$1003,6,FALSE),IF($C$1074&gt;0,VLOOKUP($C1152,ENTI!$U$4:$Z$1003,6,FALSE),"")))</f>
        <v>#N/A</v>
      </c>
      <c r="I1152" s="496">
        <v>72</v>
      </c>
      <c r="J1152" s="43" t="e">
        <f ca="1">VLOOKUP(D1152,$F$1081:$I$4183,4,FALSE)+COUNTIF(E$1081:E1151,E1152)</f>
        <v>#N/A</v>
      </c>
      <c r="K1152" s="1"/>
      <c r="L1152" s="39" t="e">
        <f>IF($C$1074&gt;0,VLOOKUP($C1152,ENTI!$U$4:$AD$1003,10,FALSE),"")</f>
        <v>#N/A</v>
      </c>
      <c r="M1152" s="1"/>
      <c r="N1152" s="1"/>
      <c r="O1152" s="1"/>
    </row>
    <row r="1153" spans="1:15" hidden="1">
      <c r="A1153" s="1"/>
      <c r="B1153" s="40" t="e">
        <f t="shared" ca="1" si="182"/>
        <v>#N/A</v>
      </c>
      <c r="C1153" s="496">
        <v>73</v>
      </c>
      <c r="D1153" s="41" t="e">
        <f ca="1">IF($C$1076&gt;0,VLOOKUP($C1153,COSTI!$U$4:$Z$1003,3,FALSE),IF($C$1075&gt;0,VLOOKUP($C1153,PATRIMONIALE!$U$4:$Z$1003,3,FALSE),IF($C$1074&gt;0,VLOOKUP($C1153,ENTI!$U$4:$Z$1003,3,FALSE),"")))</f>
        <v>#N/A</v>
      </c>
      <c r="E1153" s="41" t="str">
        <f t="shared" ca="1" si="184"/>
        <v/>
      </c>
      <c r="F1153" s="41" t="e">
        <f t="shared" ca="1" si="183"/>
        <v>#NUM!</v>
      </c>
      <c r="G1153" s="39" t="e">
        <f ca="1">IF($C$1076&gt;0,VLOOKUP($C1153,COSTI!$U$4:$Z$1003,5,FALSE),IF($C$1075&gt;0,VLOOKUP($C1153,PATRIMONIALE!$U$4:$Z$1003,5,FALSE),IF($C$1074&gt;0,VLOOKUP($C1153,ENTI!$U$4:$Z$1003,5,FALSE),"")))</f>
        <v>#N/A</v>
      </c>
      <c r="H1153" s="42" t="e">
        <f ca="1">IF($C$1076&gt;0,VLOOKUP($C1153,COSTI!$U$4:$Z$1003,6,FALSE),IF($C$1075&gt;0,VLOOKUP($C1153,PATRIMONIALE!$U$4:$Z$1003,6,FALSE),IF($C$1074&gt;0,VLOOKUP($C1153,ENTI!$U$4:$Z$1003,6,FALSE),"")))</f>
        <v>#N/A</v>
      </c>
      <c r="I1153" s="496">
        <v>73</v>
      </c>
      <c r="J1153" s="43" t="e">
        <f ca="1">VLOOKUP(D1153,$F$1081:$I$4183,4,FALSE)+COUNTIF(E$1081:E1152,E1153)</f>
        <v>#N/A</v>
      </c>
      <c r="K1153" s="1"/>
      <c r="L1153" s="39" t="e">
        <f>IF($C$1074&gt;0,VLOOKUP($C1153,ENTI!$U$4:$AD$1003,10,FALSE),"")</f>
        <v>#N/A</v>
      </c>
      <c r="M1153" s="1"/>
      <c r="N1153" s="1"/>
      <c r="O1153" s="1"/>
    </row>
    <row r="1154" spans="1:15" hidden="1">
      <c r="A1154" s="1"/>
      <c r="B1154" s="40" t="e">
        <f t="shared" ca="1" si="182"/>
        <v>#N/A</v>
      </c>
      <c r="C1154" s="496">
        <v>74</v>
      </c>
      <c r="D1154" s="41" t="e">
        <f ca="1">IF($C$1076&gt;0,VLOOKUP($C1154,COSTI!$U$4:$Z$1003,3,FALSE),IF($C$1075&gt;0,VLOOKUP($C1154,PATRIMONIALE!$U$4:$Z$1003,3,FALSE),IF($C$1074&gt;0,VLOOKUP($C1154,ENTI!$U$4:$Z$1003,3,FALSE),"")))</f>
        <v>#N/A</v>
      </c>
      <c r="E1154" s="41" t="str">
        <f t="shared" ca="1" si="184"/>
        <v/>
      </c>
      <c r="F1154" s="41" t="e">
        <f t="shared" ca="1" si="183"/>
        <v>#NUM!</v>
      </c>
      <c r="G1154" s="39" t="e">
        <f ca="1">IF($C$1076&gt;0,VLOOKUP($C1154,COSTI!$U$4:$Z$1003,5,FALSE),IF($C$1075&gt;0,VLOOKUP($C1154,PATRIMONIALE!$U$4:$Z$1003,5,FALSE),IF($C$1074&gt;0,VLOOKUP($C1154,ENTI!$U$4:$Z$1003,5,FALSE),"")))</f>
        <v>#N/A</v>
      </c>
      <c r="H1154" s="42" t="e">
        <f ca="1">IF($C$1076&gt;0,VLOOKUP($C1154,COSTI!$U$4:$Z$1003,6,FALSE),IF($C$1075&gt;0,VLOOKUP($C1154,PATRIMONIALE!$U$4:$Z$1003,6,FALSE),IF($C$1074&gt;0,VLOOKUP($C1154,ENTI!$U$4:$Z$1003,6,FALSE),"")))</f>
        <v>#N/A</v>
      </c>
      <c r="I1154" s="496">
        <v>74</v>
      </c>
      <c r="J1154" s="43" t="e">
        <f ca="1">VLOOKUP(D1154,$F$1081:$I$4183,4,FALSE)+COUNTIF(E$1081:E1153,E1154)</f>
        <v>#N/A</v>
      </c>
      <c r="K1154" s="1"/>
      <c r="L1154" s="39" t="e">
        <f>IF($C$1074&gt;0,VLOOKUP($C1154,ENTI!$U$4:$AD$1003,10,FALSE),"")</f>
        <v>#N/A</v>
      </c>
      <c r="M1154" s="1"/>
      <c r="N1154" s="1"/>
      <c r="O1154" s="1"/>
    </row>
    <row r="1155" spans="1:15" hidden="1">
      <c r="A1155" s="1"/>
      <c r="B1155" s="40" t="e">
        <f t="shared" ca="1" si="182"/>
        <v>#N/A</v>
      </c>
      <c r="C1155" s="496">
        <v>75</v>
      </c>
      <c r="D1155" s="41" t="e">
        <f ca="1">IF($C$1076&gt;0,VLOOKUP($C1155,COSTI!$U$4:$Z$1003,3,FALSE),IF($C$1075&gt;0,VLOOKUP($C1155,PATRIMONIALE!$U$4:$Z$1003,3,FALSE),IF($C$1074&gt;0,VLOOKUP($C1155,ENTI!$U$4:$Z$1003,3,FALSE),"")))</f>
        <v>#N/A</v>
      </c>
      <c r="E1155" s="41" t="str">
        <f t="shared" ca="1" si="184"/>
        <v/>
      </c>
      <c r="F1155" s="41" t="e">
        <f t="shared" ca="1" si="183"/>
        <v>#NUM!</v>
      </c>
      <c r="G1155" s="39" t="e">
        <f ca="1">IF($C$1076&gt;0,VLOOKUP($C1155,COSTI!$U$4:$Z$1003,5,FALSE),IF($C$1075&gt;0,VLOOKUP($C1155,PATRIMONIALE!$U$4:$Z$1003,5,FALSE),IF($C$1074&gt;0,VLOOKUP($C1155,ENTI!$U$4:$Z$1003,5,FALSE),"")))</f>
        <v>#N/A</v>
      </c>
      <c r="H1155" s="42" t="e">
        <f ca="1">IF($C$1076&gt;0,VLOOKUP($C1155,COSTI!$U$4:$Z$1003,6,FALSE),IF($C$1075&gt;0,VLOOKUP($C1155,PATRIMONIALE!$U$4:$Z$1003,6,FALSE),IF($C$1074&gt;0,VLOOKUP($C1155,ENTI!$U$4:$Z$1003,6,FALSE),"")))</f>
        <v>#N/A</v>
      </c>
      <c r="I1155" s="496">
        <v>75</v>
      </c>
      <c r="J1155" s="43" t="e">
        <f ca="1">VLOOKUP(D1155,$F$1081:$I$4183,4,FALSE)+COUNTIF(E$1081:E1154,E1155)</f>
        <v>#N/A</v>
      </c>
      <c r="K1155" s="1"/>
      <c r="L1155" s="39" t="e">
        <f>IF($C$1074&gt;0,VLOOKUP($C1155,ENTI!$U$4:$AD$1003,10,FALSE),"")</f>
        <v>#N/A</v>
      </c>
      <c r="M1155" s="1"/>
      <c r="N1155" s="1"/>
      <c r="O1155" s="1"/>
    </row>
    <row r="1156" spans="1:15" hidden="1">
      <c r="A1156" s="1"/>
      <c r="B1156" s="40" t="e">
        <f t="shared" ca="1" si="182"/>
        <v>#N/A</v>
      </c>
      <c r="C1156" s="496">
        <v>76</v>
      </c>
      <c r="D1156" s="41" t="e">
        <f ca="1">IF($C$1076&gt;0,VLOOKUP($C1156,COSTI!$U$4:$Z$1003,3,FALSE),IF($C$1075&gt;0,VLOOKUP($C1156,PATRIMONIALE!$U$4:$Z$1003,3,FALSE),IF($C$1074&gt;0,VLOOKUP($C1156,ENTI!$U$4:$Z$1003,3,FALSE),"")))</f>
        <v>#N/A</v>
      </c>
      <c r="E1156" s="41" t="str">
        <f t="shared" ca="1" si="184"/>
        <v/>
      </c>
      <c r="F1156" s="41" t="e">
        <f t="shared" ca="1" si="183"/>
        <v>#NUM!</v>
      </c>
      <c r="G1156" s="39" t="e">
        <f ca="1">IF($C$1076&gt;0,VLOOKUP($C1156,COSTI!$U$4:$Z$1003,5,FALSE),IF($C$1075&gt;0,VLOOKUP($C1156,PATRIMONIALE!$U$4:$Z$1003,5,FALSE),IF($C$1074&gt;0,VLOOKUP($C1156,ENTI!$U$4:$Z$1003,5,FALSE),"")))</f>
        <v>#N/A</v>
      </c>
      <c r="H1156" s="42" t="e">
        <f ca="1">IF($C$1076&gt;0,VLOOKUP($C1156,COSTI!$U$4:$Z$1003,6,FALSE),IF($C$1075&gt;0,VLOOKUP($C1156,PATRIMONIALE!$U$4:$Z$1003,6,FALSE),IF($C$1074&gt;0,VLOOKUP($C1156,ENTI!$U$4:$Z$1003,6,FALSE),"")))</f>
        <v>#N/A</v>
      </c>
      <c r="I1156" s="496">
        <v>76</v>
      </c>
      <c r="J1156" s="43" t="e">
        <f ca="1">VLOOKUP(D1156,$F$1081:$I$4183,4,FALSE)+COUNTIF(E$1081:E1155,E1156)</f>
        <v>#N/A</v>
      </c>
      <c r="K1156" s="1"/>
      <c r="L1156" s="39" t="e">
        <f>IF($C$1074&gt;0,VLOOKUP($C1156,ENTI!$U$4:$AD$1003,10,FALSE),"")</f>
        <v>#N/A</v>
      </c>
      <c r="M1156" s="1"/>
      <c r="N1156" s="1"/>
      <c r="O1156" s="1"/>
    </row>
    <row r="1157" spans="1:15" hidden="1">
      <c r="A1157" s="1"/>
      <c r="B1157" s="40" t="e">
        <f t="shared" ca="1" si="182"/>
        <v>#N/A</v>
      </c>
      <c r="C1157" s="496">
        <v>77</v>
      </c>
      <c r="D1157" s="41" t="e">
        <f ca="1">IF($C$1076&gt;0,VLOOKUP($C1157,COSTI!$U$4:$Z$1003,3,FALSE),IF($C$1075&gt;0,VLOOKUP($C1157,PATRIMONIALE!$U$4:$Z$1003,3,FALSE),IF($C$1074&gt;0,VLOOKUP($C1157,ENTI!$U$4:$Z$1003,3,FALSE),"")))</f>
        <v>#N/A</v>
      </c>
      <c r="E1157" s="41" t="str">
        <f t="shared" ca="1" si="184"/>
        <v/>
      </c>
      <c r="F1157" s="41" t="e">
        <f t="shared" ca="1" si="183"/>
        <v>#NUM!</v>
      </c>
      <c r="G1157" s="39" t="e">
        <f ca="1">IF($C$1076&gt;0,VLOOKUP($C1157,COSTI!$U$4:$Z$1003,5,FALSE),IF($C$1075&gt;0,VLOOKUP($C1157,PATRIMONIALE!$U$4:$Z$1003,5,FALSE),IF($C$1074&gt;0,VLOOKUP($C1157,ENTI!$U$4:$Z$1003,5,FALSE),"")))</f>
        <v>#N/A</v>
      </c>
      <c r="H1157" s="42" t="e">
        <f ca="1">IF($C$1076&gt;0,VLOOKUP($C1157,COSTI!$U$4:$Z$1003,6,FALSE),IF($C$1075&gt;0,VLOOKUP($C1157,PATRIMONIALE!$U$4:$Z$1003,6,FALSE),IF($C$1074&gt;0,VLOOKUP($C1157,ENTI!$U$4:$Z$1003,6,FALSE),"")))</f>
        <v>#N/A</v>
      </c>
      <c r="I1157" s="496">
        <v>77</v>
      </c>
      <c r="J1157" s="43" t="e">
        <f ca="1">VLOOKUP(D1157,$F$1081:$I$4183,4,FALSE)+COUNTIF(E$1081:E1156,E1157)</f>
        <v>#N/A</v>
      </c>
      <c r="K1157" s="1"/>
      <c r="L1157" s="39" t="e">
        <f>IF($C$1074&gt;0,VLOOKUP($C1157,ENTI!$U$4:$AD$1003,10,FALSE),"")</f>
        <v>#N/A</v>
      </c>
      <c r="M1157" s="1"/>
      <c r="N1157" s="1"/>
      <c r="O1157" s="1"/>
    </row>
    <row r="1158" spans="1:15" hidden="1">
      <c r="A1158" s="1"/>
      <c r="B1158" s="40" t="e">
        <f t="shared" ca="1" si="182"/>
        <v>#N/A</v>
      </c>
      <c r="C1158" s="496">
        <v>78</v>
      </c>
      <c r="D1158" s="41" t="e">
        <f ca="1">IF($C$1076&gt;0,VLOOKUP($C1158,COSTI!$U$4:$Z$1003,3,FALSE),IF($C$1075&gt;0,VLOOKUP($C1158,PATRIMONIALE!$U$4:$Z$1003,3,FALSE),IF($C$1074&gt;0,VLOOKUP($C1158,ENTI!$U$4:$Z$1003,3,FALSE),"")))</f>
        <v>#N/A</v>
      </c>
      <c r="E1158" s="41" t="str">
        <f t="shared" ca="1" si="184"/>
        <v/>
      </c>
      <c r="F1158" s="41" t="e">
        <f t="shared" ca="1" si="183"/>
        <v>#NUM!</v>
      </c>
      <c r="G1158" s="39" t="e">
        <f ca="1">IF($C$1076&gt;0,VLOOKUP($C1158,COSTI!$U$4:$Z$1003,5,FALSE),IF($C$1075&gt;0,VLOOKUP($C1158,PATRIMONIALE!$U$4:$Z$1003,5,FALSE),IF($C$1074&gt;0,VLOOKUP($C1158,ENTI!$U$4:$Z$1003,5,FALSE),"")))</f>
        <v>#N/A</v>
      </c>
      <c r="H1158" s="42" t="e">
        <f ca="1">IF($C$1076&gt;0,VLOOKUP($C1158,COSTI!$U$4:$Z$1003,6,FALSE),IF($C$1075&gt;0,VLOOKUP($C1158,PATRIMONIALE!$U$4:$Z$1003,6,FALSE),IF($C$1074&gt;0,VLOOKUP($C1158,ENTI!$U$4:$Z$1003,6,FALSE),"")))</f>
        <v>#N/A</v>
      </c>
      <c r="I1158" s="496">
        <v>78</v>
      </c>
      <c r="J1158" s="43" t="e">
        <f ca="1">VLOOKUP(D1158,$F$1081:$I$4183,4,FALSE)+COUNTIF(E$1081:E1157,E1158)</f>
        <v>#N/A</v>
      </c>
      <c r="K1158" s="1"/>
      <c r="L1158" s="39" t="e">
        <f>IF($C$1074&gt;0,VLOOKUP($C1158,ENTI!$U$4:$AD$1003,10,FALSE),"")</f>
        <v>#N/A</v>
      </c>
      <c r="M1158" s="1"/>
      <c r="N1158" s="1"/>
      <c r="O1158" s="1"/>
    </row>
    <row r="1159" spans="1:15" hidden="1">
      <c r="A1159" s="1"/>
      <c r="B1159" s="40" t="e">
        <f t="shared" ca="1" si="182"/>
        <v>#N/A</v>
      </c>
      <c r="C1159" s="496">
        <v>79</v>
      </c>
      <c r="D1159" s="41" t="e">
        <f ca="1">IF($C$1076&gt;0,VLOOKUP($C1159,COSTI!$U$4:$Z$1003,3,FALSE),IF($C$1075&gt;0,VLOOKUP($C1159,PATRIMONIALE!$U$4:$Z$1003,3,FALSE),IF($C$1074&gt;0,VLOOKUP($C1159,ENTI!$U$4:$Z$1003,3,FALSE),"")))</f>
        <v>#N/A</v>
      </c>
      <c r="E1159" s="41" t="str">
        <f t="shared" ca="1" si="184"/>
        <v/>
      </c>
      <c r="F1159" s="41" t="e">
        <f t="shared" ca="1" si="183"/>
        <v>#NUM!</v>
      </c>
      <c r="G1159" s="39" t="e">
        <f ca="1">IF($C$1076&gt;0,VLOOKUP($C1159,COSTI!$U$4:$Z$1003,5,FALSE),IF($C$1075&gt;0,VLOOKUP($C1159,PATRIMONIALE!$U$4:$Z$1003,5,FALSE),IF($C$1074&gt;0,VLOOKUP($C1159,ENTI!$U$4:$Z$1003,5,FALSE),"")))</f>
        <v>#N/A</v>
      </c>
      <c r="H1159" s="42" t="e">
        <f ca="1">IF($C$1076&gt;0,VLOOKUP($C1159,COSTI!$U$4:$Z$1003,6,FALSE),IF($C$1075&gt;0,VLOOKUP($C1159,PATRIMONIALE!$U$4:$Z$1003,6,FALSE),IF($C$1074&gt;0,VLOOKUP($C1159,ENTI!$U$4:$Z$1003,6,FALSE),"")))</f>
        <v>#N/A</v>
      </c>
      <c r="I1159" s="496">
        <v>79</v>
      </c>
      <c r="J1159" s="43" t="e">
        <f ca="1">VLOOKUP(D1159,$F$1081:$I$4183,4,FALSE)+COUNTIF(E$1081:E1158,E1159)</f>
        <v>#N/A</v>
      </c>
      <c r="K1159" s="1"/>
      <c r="L1159" s="39" t="e">
        <f>IF($C$1074&gt;0,VLOOKUP($C1159,ENTI!$U$4:$AD$1003,10,FALSE),"")</f>
        <v>#N/A</v>
      </c>
      <c r="M1159" s="1"/>
      <c r="N1159" s="1"/>
      <c r="O1159" s="1"/>
    </row>
    <row r="1160" spans="1:15" hidden="1">
      <c r="A1160" s="1"/>
      <c r="B1160" s="40" t="e">
        <f t="shared" ca="1" si="182"/>
        <v>#N/A</v>
      </c>
      <c r="C1160" s="496">
        <v>80</v>
      </c>
      <c r="D1160" s="41" t="e">
        <f ca="1">IF($C$1076&gt;0,VLOOKUP($C1160,COSTI!$U$4:$Z$1003,3,FALSE),IF($C$1075&gt;0,VLOOKUP($C1160,PATRIMONIALE!$U$4:$Z$1003,3,FALSE),IF($C$1074&gt;0,VLOOKUP($C1160,ENTI!$U$4:$Z$1003,3,FALSE),"")))</f>
        <v>#N/A</v>
      </c>
      <c r="E1160" s="41" t="str">
        <f t="shared" ca="1" si="184"/>
        <v/>
      </c>
      <c r="F1160" s="41" t="e">
        <f t="shared" ca="1" si="183"/>
        <v>#NUM!</v>
      </c>
      <c r="G1160" s="39" t="e">
        <f ca="1">IF($C$1076&gt;0,VLOOKUP($C1160,COSTI!$U$4:$Z$1003,5,FALSE),IF($C$1075&gt;0,VLOOKUP($C1160,PATRIMONIALE!$U$4:$Z$1003,5,FALSE),IF($C$1074&gt;0,VLOOKUP($C1160,ENTI!$U$4:$Z$1003,5,FALSE),"")))</f>
        <v>#N/A</v>
      </c>
      <c r="H1160" s="42" t="e">
        <f ca="1">IF($C$1076&gt;0,VLOOKUP($C1160,COSTI!$U$4:$Z$1003,6,FALSE),IF($C$1075&gt;0,VLOOKUP($C1160,PATRIMONIALE!$U$4:$Z$1003,6,FALSE),IF($C$1074&gt;0,VLOOKUP($C1160,ENTI!$U$4:$Z$1003,6,FALSE),"")))</f>
        <v>#N/A</v>
      </c>
      <c r="I1160" s="496">
        <v>80</v>
      </c>
      <c r="J1160" s="43" t="e">
        <f ca="1">VLOOKUP(D1160,$F$1081:$I$4183,4,FALSE)+COUNTIF(E$1081:E1159,E1160)</f>
        <v>#N/A</v>
      </c>
      <c r="K1160" s="1"/>
      <c r="L1160" s="39" t="e">
        <f>IF($C$1074&gt;0,VLOOKUP($C1160,ENTI!$U$4:$AD$1003,10,FALSE),"")</f>
        <v>#N/A</v>
      </c>
      <c r="M1160" s="1"/>
      <c r="N1160" s="1"/>
      <c r="O1160" s="1"/>
    </row>
    <row r="1161" spans="1:15" hidden="1">
      <c r="A1161" s="1"/>
      <c r="B1161" s="40" t="e">
        <f t="shared" ca="1" si="182"/>
        <v>#N/A</v>
      </c>
      <c r="C1161" s="496">
        <v>81</v>
      </c>
      <c r="D1161" s="41" t="e">
        <f ca="1">IF($C$1076&gt;0,VLOOKUP($C1161,COSTI!$U$4:$Z$1003,3,FALSE),IF($C$1075&gt;0,VLOOKUP($C1161,PATRIMONIALE!$U$4:$Z$1003,3,FALSE),IF($C$1074&gt;0,VLOOKUP($C1161,ENTI!$U$4:$Z$1003,3,FALSE),"")))</f>
        <v>#N/A</v>
      </c>
      <c r="E1161" s="41" t="str">
        <f t="shared" ca="1" si="184"/>
        <v/>
      </c>
      <c r="F1161" s="41" t="e">
        <f t="shared" ca="1" si="183"/>
        <v>#NUM!</v>
      </c>
      <c r="G1161" s="39" t="e">
        <f ca="1">IF($C$1076&gt;0,VLOOKUP($C1161,COSTI!$U$4:$Z$1003,5,FALSE),IF($C$1075&gt;0,VLOOKUP($C1161,PATRIMONIALE!$U$4:$Z$1003,5,FALSE),IF($C$1074&gt;0,VLOOKUP($C1161,ENTI!$U$4:$Z$1003,5,FALSE),"")))</f>
        <v>#N/A</v>
      </c>
      <c r="H1161" s="42" t="e">
        <f ca="1">IF($C$1076&gt;0,VLOOKUP($C1161,COSTI!$U$4:$Z$1003,6,FALSE),IF($C$1075&gt;0,VLOOKUP($C1161,PATRIMONIALE!$U$4:$Z$1003,6,FALSE),IF($C$1074&gt;0,VLOOKUP($C1161,ENTI!$U$4:$Z$1003,6,FALSE),"")))</f>
        <v>#N/A</v>
      </c>
      <c r="I1161" s="496">
        <v>81</v>
      </c>
      <c r="J1161" s="43" t="e">
        <f ca="1">VLOOKUP(D1161,$F$1081:$I$4183,4,FALSE)+COUNTIF(E$1081:E1160,E1161)</f>
        <v>#N/A</v>
      </c>
      <c r="K1161" s="1"/>
      <c r="L1161" s="39" t="e">
        <f>IF($C$1074&gt;0,VLOOKUP($C1161,ENTI!$U$4:$AD$1003,10,FALSE),"")</f>
        <v>#N/A</v>
      </c>
      <c r="M1161" s="1"/>
      <c r="N1161" s="1"/>
      <c r="O1161" s="1"/>
    </row>
    <row r="1162" spans="1:15" hidden="1">
      <c r="A1162" s="1"/>
      <c r="B1162" s="40" t="e">
        <f t="shared" ca="1" si="182"/>
        <v>#N/A</v>
      </c>
      <c r="C1162" s="496">
        <v>82</v>
      </c>
      <c r="D1162" s="41" t="e">
        <f ca="1">IF($C$1076&gt;0,VLOOKUP($C1162,COSTI!$U$4:$Z$1003,3,FALSE),IF($C$1075&gt;0,VLOOKUP($C1162,PATRIMONIALE!$U$4:$Z$1003,3,FALSE),IF($C$1074&gt;0,VLOOKUP($C1162,ENTI!$U$4:$Z$1003,3,FALSE),"")))</f>
        <v>#N/A</v>
      </c>
      <c r="E1162" s="41" t="str">
        <f t="shared" ca="1" si="184"/>
        <v/>
      </c>
      <c r="F1162" s="41" t="e">
        <f t="shared" ca="1" si="183"/>
        <v>#NUM!</v>
      </c>
      <c r="G1162" s="39" t="e">
        <f ca="1">IF($C$1076&gt;0,VLOOKUP($C1162,COSTI!$U$4:$Z$1003,5,FALSE),IF($C$1075&gt;0,VLOOKUP($C1162,PATRIMONIALE!$U$4:$Z$1003,5,FALSE),IF($C$1074&gt;0,VLOOKUP($C1162,ENTI!$U$4:$Z$1003,5,FALSE),"")))</f>
        <v>#N/A</v>
      </c>
      <c r="H1162" s="42" t="e">
        <f ca="1">IF($C$1076&gt;0,VLOOKUP($C1162,COSTI!$U$4:$Z$1003,6,FALSE),IF($C$1075&gt;0,VLOOKUP($C1162,PATRIMONIALE!$U$4:$Z$1003,6,FALSE),IF($C$1074&gt;0,VLOOKUP($C1162,ENTI!$U$4:$Z$1003,6,FALSE),"")))</f>
        <v>#N/A</v>
      </c>
      <c r="I1162" s="496">
        <v>82</v>
      </c>
      <c r="J1162" s="43" t="e">
        <f ca="1">VLOOKUP(D1162,$F$1081:$I$4183,4,FALSE)+COUNTIF(E$1081:E1161,E1162)</f>
        <v>#N/A</v>
      </c>
      <c r="K1162" s="1"/>
      <c r="L1162" s="39" t="e">
        <f>IF($C$1074&gt;0,VLOOKUP($C1162,ENTI!$U$4:$AD$1003,10,FALSE),"")</f>
        <v>#N/A</v>
      </c>
      <c r="M1162" s="1"/>
      <c r="N1162" s="1"/>
      <c r="O1162" s="1"/>
    </row>
    <row r="1163" spans="1:15" hidden="1">
      <c r="A1163" s="1"/>
      <c r="B1163" s="40" t="e">
        <f t="shared" ca="1" si="182"/>
        <v>#N/A</v>
      </c>
      <c r="C1163" s="496">
        <v>83</v>
      </c>
      <c r="D1163" s="41" t="e">
        <f ca="1">IF($C$1076&gt;0,VLOOKUP($C1163,COSTI!$U$4:$Z$1003,3,FALSE),IF($C$1075&gt;0,VLOOKUP($C1163,PATRIMONIALE!$U$4:$Z$1003,3,FALSE),IF($C$1074&gt;0,VLOOKUP($C1163,ENTI!$U$4:$Z$1003,3,FALSE),"")))</f>
        <v>#N/A</v>
      </c>
      <c r="E1163" s="41" t="str">
        <f t="shared" ca="1" si="184"/>
        <v/>
      </c>
      <c r="F1163" s="41" t="e">
        <f t="shared" ca="1" si="183"/>
        <v>#NUM!</v>
      </c>
      <c r="G1163" s="39" t="e">
        <f ca="1">IF($C$1076&gt;0,VLOOKUP($C1163,COSTI!$U$4:$Z$1003,5,FALSE),IF($C$1075&gt;0,VLOOKUP($C1163,PATRIMONIALE!$U$4:$Z$1003,5,FALSE),IF($C$1074&gt;0,VLOOKUP($C1163,ENTI!$U$4:$Z$1003,5,FALSE),"")))</f>
        <v>#N/A</v>
      </c>
      <c r="H1163" s="42" t="e">
        <f ca="1">IF($C$1076&gt;0,VLOOKUP($C1163,COSTI!$U$4:$Z$1003,6,FALSE),IF($C$1075&gt;0,VLOOKUP($C1163,PATRIMONIALE!$U$4:$Z$1003,6,FALSE),IF($C$1074&gt;0,VLOOKUP($C1163,ENTI!$U$4:$Z$1003,6,FALSE),"")))</f>
        <v>#N/A</v>
      </c>
      <c r="I1163" s="496">
        <v>83</v>
      </c>
      <c r="J1163" s="43" t="e">
        <f ca="1">VLOOKUP(D1163,$F$1081:$I$4183,4,FALSE)+COUNTIF(E$1081:E1162,E1163)</f>
        <v>#N/A</v>
      </c>
      <c r="K1163" s="1"/>
      <c r="L1163" s="39" t="e">
        <f>IF($C$1074&gt;0,VLOOKUP($C1163,ENTI!$U$4:$AD$1003,10,FALSE),"")</f>
        <v>#N/A</v>
      </c>
      <c r="M1163" s="1"/>
      <c r="N1163" s="1"/>
      <c r="O1163" s="1"/>
    </row>
    <row r="1164" spans="1:15" hidden="1">
      <c r="A1164" s="1"/>
      <c r="B1164" s="40" t="e">
        <f t="shared" ca="1" si="182"/>
        <v>#N/A</v>
      </c>
      <c r="C1164" s="496">
        <v>84</v>
      </c>
      <c r="D1164" s="41" t="e">
        <f ca="1">IF($C$1076&gt;0,VLOOKUP($C1164,COSTI!$U$4:$Z$1003,3,FALSE),IF($C$1075&gt;0,VLOOKUP($C1164,PATRIMONIALE!$U$4:$Z$1003,3,FALSE),IF($C$1074&gt;0,VLOOKUP($C1164,ENTI!$U$4:$Z$1003,3,FALSE),"")))</f>
        <v>#N/A</v>
      </c>
      <c r="E1164" s="41" t="str">
        <f t="shared" ca="1" si="184"/>
        <v/>
      </c>
      <c r="F1164" s="41" t="e">
        <f t="shared" ca="1" si="183"/>
        <v>#NUM!</v>
      </c>
      <c r="G1164" s="39" t="e">
        <f ca="1">IF($C$1076&gt;0,VLOOKUP($C1164,COSTI!$U$4:$Z$1003,5,FALSE),IF($C$1075&gt;0,VLOOKUP($C1164,PATRIMONIALE!$U$4:$Z$1003,5,FALSE),IF($C$1074&gt;0,VLOOKUP($C1164,ENTI!$U$4:$Z$1003,5,FALSE),"")))</f>
        <v>#N/A</v>
      </c>
      <c r="H1164" s="42" t="e">
        <f ca="1">IF($C$1076&gt;0,VLOOKUP($C1164,COSTI!$U$4:$Z$1003,6,FALSE),IF($C$1075&gt;0,VLOOKUP($C1164,PATRIMONIALE!$U$4:$Z$1003,6,FALSE),IF($C$1074&gt;0,VLOOKUP($C1164,ENTI!$U$4:$Z$1003,6,FALSE),"")))</f>
        <v>#N/A</v>
      </c>
      <c r="I1164" s="496">
        <v>84</v>
      </c>
      <c r="J1164" s="43" t="e">
        <f ca="1">VLOOKUP(D1164,$F$1081:$I$4183,4,FALSE)+COUNTIF(E$1081:E1163,E1164)</f>
        <v>#N/A</v>
      </c>
      <c r="K1164" s="1"/>
      <c r="L1164" s="39" t="e">
        <f>IF($C$1074&gt;0,VLOOKUP($C1164,ENTI!$U$4:$AD$1003,10,FALSE),"")</f>
        <v>#N/A</v>
      </c>
      <c r="M1164" s="1"/>
      <c r="N1164" s="1"/>
      <c r="O1164" s="1"/>
    </row>
    <row r="1165" spans="1:15" hidden="1">
      <c r="A1165" s="1"/>
      <c r="B1165" s="40" t="e">
        <f t="shared" ca="1" si="182"/>
        <v>#N/A</v>
      </c>
      <c r="C1165" s="496">
        <v>85</v>
      </c>
      <c r="D1165" s="41" t="e">
        <f ca="1">IF($C$1076&gt;0,VLOOKUP($C1165,COSTI!$U$4:$Z$1003,3,FALSE),IF($C$1075&gt;0,VLOOKUP($C1165,PATRIMONIALE!$U$4:$Z$1003,3,FALSE),IF($C$1074&gt;0,VLOOKUP($C1165,ENTI!$U$4:$Z$1003,3,FALSE),"")))</f>
        <v>#N/A</v>
      </c>
      <c r="E1165" s="41" t="str">
        <f t="shared" ca="1" si="184"/>
        <v/>
      </c>
      <c r="F1165" s="41" t="e">
        <f t="shared" ca="1" si="183"/>
        <v>#NUM!</v>
      </c>
      <c r="G1165" s="39" t="e">
        <f ca="1">IF($C$1076&gt;0,VLOOKUP($C1165,COSTI!$U$4:$Z$1003,5,FALSE),IF($C$1075&gt;0,VLOOKUP($C1165,PATRIMONIALE!$U$4:$Z$1003,5,FALSE),IF($C$1074&gt;0,VLOOKUP($C1165,ENTI!$U$4:$Z$1003,5,FALSE),"")))</f>
        <v>#N/A</v>
      </c>
      <c r="H1165" s="42" t="e">
        <f ca="1">IF($C$1076&gt;0,VLOOKUP($C1165,COSTI!$U$4:$Z$1003,6,FALSE),IF($C$1075&gt;0,VLOOKUP($C1165,PATRIMONIALE!$U$4:$Z$1003,6,FALSE),IF($C$1074&gt;0,VLOOKUP($C1165,ENTI!$U$4:$Z$1003,6,FALSE),"")))</f>
        <v>#N/A</v>
      </c>
      <c r="I1165" s="496">
        <v>85</v>
      </c>
      <c r="J1165" s="43" t="e">
        <f ca="1">VLOOKUP(D1165,$F$1081:$I$4183,4,FALSE)+COUNTIF(E$1081:E1164,E1165)</f>
        <v>#N/A</v>
      </c>
      <c r="K1165" s="1"/>
      <c r="L1165" s="39" t="e">
        <f>IF($C$1074&gt;0,VLOOKUP($C1165,ENTI!$U$4:$AD$1003,10,FALSE),"")</f>
        <v>#N/A</v>
      </c>
      <c r="M1165" s="1"/>
      <c r="N1165" s="1"/>
      <c r="O1165" s="1"/>
    </row>
    <row r="1166" spans="1:15" hidden="1">
      <c r="A1166" s="1"/>
      <c r="B1166" s="40" t="e">
        <f t="shared" ca="1" si="182"/>
        <v>#N/A</v>
      </c>
      <c r="C1166" s="496">
        <v>86</v>
      </c>
      <c r="D1166" s="41" t="e">
        <f ca="1">IF($C$1076&gt;0,VLOOKUP($C1166,COSTI!$U$4:$Z$1003,3,FALSE),IF($C$1075&gt;0,VLOOKUP($C1166,PATRIMONIALE!$U$4:$Z$1003,3,FALSE),IF($C$1074&gt;0,VLOOKUP($C1166,ENTI!$U$4:$Z$1003,3,FALSE),"")))</f>
        <v>#N/A</v>
      </c>
      <c r="E1166" s="41" t="str">
        <f t="shared" ca="1" si="184"/>
        <v/>
      </c>
      <c r="F1166" s="41" t="e">
        <f t="shared" ca="1" si="183"/>
        <v>#NUM!</v>
      </c>
      <c r="G1166" s="39" t="e">
        <f ca="1">IF($C$1076&gt;0,VLOOKUP($C1166,COSTI!$U$4:$Z$1003,5,FALSE),IF($C$1075&gt;0,VLOOKUP($C1166,PATRIMONIALE!$U$4:$Z$1003,5,FALSE),IF($C$1074&gt;0,VLOOKUP($C1166,ENTI!$U$4:$Z$1003,5,FALSE),"")))</f>
        <v>#N/A</v>
      </c>
      <c r="H1166" s="42" t="e">
        <f ca="1">IF($C$1076&gt;0,VLOOKUP($C1166,COSTI!$U$4:$Z$1003,6,FALSE),IF($C$1075&gt;0,VLOOKUP($C1166,PATRIMONIALE!$U$4:$Z$1003,6,FALSE),IF($C$1074&gt;0,VLOOKUP($C1166,ENTI!$U$4:$Z$1003,6,FALSE),"")))</f>
        <v>#N/A</v>
      </c>
      <c r="I1166" s="496">
        <v>86</v>
      </c>
      <c r="J1166" s="43" t="e">
        <f ca="1">VLOOKUP(D1166,$F$1081:$I$4183,4,FALSE)+COUNTIF(E$1081:E1165,E1166)</f>
        <v>#N/A</v>
      </c>
      <c r="K1166" s="1"/>
      <c r="L1166" s="39" t="e">
        <f>IF($C$1074&gt;0,VLOOKUP($C1166,ENTI!$U$4:$AD$1003,10,FALSE),"")</f>
        <v>#N/A</v>
      </c>
      <c r="M1166" s="1"/>
      <c r="N1166" s="1"/>
      <c r="O1166" s="1"/>
    </row>
    <row r="1167" spans="1:15" hidden="1">
      <c r="A1167" s="1"/>
      <c r="B1167" s="40" t="e">
        <f t="shared" ca="1" si="182"/>
        <v>#N/A</v>
      </c>
      <c r="C1167" s="496">
        <v>87</v>
      </c>
      <c r="D1167" s="41" t="e">
        <f ca="1">IF($C$1076&gt;0,VLOOKUP($C1167,COSTI!$U$4:$Z$1003,3,FALSE),IF($C$1075&gt;0,VLOOKUP($C1167,PATRIMONIALE!$U$4:$Z$1003,3,FALSE),IF($C$1074&gt;0,VLOOKUP($C1167,ENTI!$U$4:$Z$1003,3,FALSE),"")))</f>
        <v>#N/A</v>
      </c>
      <c r="E1167" s="41" t="str">
        <f t="shared" ca="1" si="184"/>
        <v/>
      </c>
      <c r="F1167" s="41" t="e">
        <f t="shared" ca="1" si="183"/>
        <v>#NUM!</v>
      </c>
      <c r="G1167" s="39" t="e">
        <f ca="1">IF($C$1076&gt;0,VLOOKUP($C1167,COSTI!$U$4:$Z$1003,5,FALSE),IF($C$1075&gt;0,VLOOKUP($C1167,PATRIMONIALE!$U$4:$Z$1003,5,FALSE),IF($C$1074&gt;0,VLOOKUP($C1167,ENTI!$U$4:$Z$1003,5,FALSE),"")))</f>
        <v>#N/A</v>
      </c>
      <c r="H1167" s="42" t="e">
        <f ca="1">IF($C$1076&gt;0,VLOOKUP($C1167,COSTI!$U$4:$Z$1003,6,FALSE),IF($C$1075&gt;0,VLOOKUP($C1167,PATRIMONIALE!$U$4:$Z$1003,6,FALSE),IF($C$1074&gt;0,VLOOKUP($C1167,ENTI!$U$4:$Z$1003,6,FALSE),"")))</f>
        <v>#N/A</v>
      </c>
      <c r="I1167" s="496">
        <v>87</v>
      </c>
      <c r="J1167" s="43" t="e">
        <f ca="1">VLOOKUP(D1167,$F$1081:$I$4183,4,FALSE)+COUNTIF(E$1081:E1166,E1167)</f>
        <v>#N/A</v>
      </c>
      <c r="K1167" s="1"/>
      <c r="L1167" s="39" t="e">
        <f>IF($C$1074&gt;0,VLOOKUP($C1167,ENTI!$U$4:$AD$1003,10,FALSE),"")</f>
        <v>#N/A</v>
      </c>
      <c r="M1167" s="1"/>
      <c r="N1167" s="1"/>
      <c r="O1167" s="1"/>
    </row>
    <row r="1168" spans="1:15" hidden="1">
      <c r="A1168" s="1"/>
      <c r="B1168" s="40" t="e">
        <f t="shared" ca="1" si="182"/>
        <v>#N/A</v>
      </c>
      <c r="C1168" s="496">
        <v>88</v>
      </c>
      <c r="D1168" s="41" t="e">
        <f ca="1">IF($C$1076&gt;0,VLOOKUP($C1168,COSTI!$U$4:$Z$1003,3,FALSE),IF($C$1075&gt;0,VLOOKUP($C1168,PATRIMONIALE!$U$4:$Z$1003,3,FALSE),IF($C$1074&gt;0,VLOOKUP($C1168,ENTI!$U$4:$Z$1003,3,FALSE),"")))</f>
        <v>#N/A</v>
      </c>
      <c r="E1168" s="41" t="str">
        <f t="shared" ca="1" si="184"/>
        <v/>
      </c>
      <c r="F1168" s="41" t="e">
        <f t="shared" ca="1" si="183"/>
        <v>#NUM!</v>
      </c>
      <c r="G1168" s="39" t="e">
        <f ca="1">IF($C$1076&gt;0,VLOOKUP($C1168,COSTI!$U$4:$Z$1003,5,FALSE),IF($C$1075&gt;0,VLOOKUP($C1168,PATRIMONIALE!$U$4:$Z$1003,5,FALSE),IF($C$1074&gt;0,VLOOKUP($C1168,ENTI!$U$4:$Z$1003,5,FALSE),"")))</f>
        <v>#N/A</v>
      </c>
      <c r="H1168" s="42" t="e">
        <f ca="1">IF($C$1076&gt;0,VLOOKUP($C1168,COSTI!$U$4:$Z$1003,6,FALSE),IF($C$1075&gt;0,VLOOKUP($C1168,PATRIMONIALE!$U$4:$Z$1003,6,FALSE),IF($C$1074&gt;0,VLOOKUP($C1168,ENTI!$U$4:$Z$1003,6,FALSE),"")))</f>
        <v>#N/A</v>
      </c>
      <c r="I1168" s="496">
        <v>88</v>
      </c>
      <c r="J1168" s="43" t="e">
        <f ca="1">VLOOKUP(D1168,$F$1081:$I$4183,4,FALSE)+COUNTIF(E$1081:E1167,E1168)</f>
        <v>#N/A</v>
      </c>
      <c r="K1168" s="1"/>
      <c r="L1168" s="39" t="e">
        <f>IF($C$1074&gt;0,VLOOKUP($C1168,ENTI!$U$4:$AD$1003,10,FALSE),"")</f>
        <v>#N/A</v>
      </c>
      <c r="M1168" s="1"/>
      <c r="N1168" s="1"/>
      <c r="O1168" s="1"/>
    </row>
    <row r="1169" spans="1:15" hidden="1">
      <c r="A1169" s="1"/>
      <c r="B1169" s="40" t="e">
        <f t="shared" ca="1" si="182"/>
        <v>#N/A</v>
      </c>
      <c r="C1169" s="496">
        <v>89</v>
      </c>
      <c r="D1169" s="41" t="e">
        <f ca="1">IF($C$1076&gt;0,VLOOKUP($C1169,COSTI!$U$4:$Z$1003,3,FALSE),IF($C$1075&gt;0,VLOOKUP($C1169,PATRIMONIALE!$U$4:$Z$1003,3,FALSE),IF($C$1074&gt;0,VLOOKUP($C1169,ENTI!$U$4:$Z$1003,3,FALSE),"")))</f>
        <v>#N/A</v>
      </c>
      <c r="E1169" s="41" t="str">
        <f t="shared" ca="1" si="184"/>
        <v/>
      </c>
      <c r="F1169" s="41" t="e">
        <f t="shared" ca="1" si="183"/>
        <v>#NUM!</v>
      </c>
      <c r="G1169" s="39" t="e">
        <f ca="1">IF($C$1076&gt;0,VLOOKUP($C1169,COSTI!$U$4:$Z$1003,5,FALSE),IF($C$1075&gt;0,VLOOKUP($C1169,PATRIMONIALE!$U$4:$Z$1003,5,FALSE),IF($C$1074&gt;0,VLOOKUP($C1169,ENTI!$U$4:$Z$1003,5,FALSE),"")))</f>
        <v>#N/A</v>
      </c>
      <c r="H1169" s="42" t="e">
        <f ca="1">IF($C$1076&gt;0,VLOOKUP($C1169,COSTI!$U$4:$Z$1003,6,FALSE),IF($C$1075&gt;0,VLOOKUP($C1169,PATRIMONIALE!$U$4:$Z$1003,6,FALSE),IF($C$1074&gt;0,VLOOKUP($C1169,ENTI!$U$4:$Z$1003,6,FALSE),"")))</f>
        <v>#N/A</v>
      </c>
      <c r="I1169" s="496">
        <v>89</v>
      </c>
      <c r="J1169" s="43" t="e">
        <f ca="1">VLOOKUP(D1169,$F$1081:$I$4183,4,FALSE)+COUNTIF(E$1081:E1168,E1169)</f>
        <v>#N/A</v>
      </c>
      <c r="K1169" s="1"/>
      <c r="L1169" s="39" t="e">
        <f>IF($C$1074&gt;0,VLOOKUP($C1169,ENTI!$U$4:$AD$1003,10,FALSE),"")</f>
        <v>#N/A</v>
      </c>
      <c r="M1169" s="1"/>
      <c r="N1169" s="1"/>
      <c r="O1169" s="1"/>
    </row>
    <row r="1170" spans="1:15" hidden="1">
      <c r="A1170" s="1"/>
      <c r="B1170" s="40" t="e">
        <f t="shared" ca="1" si="182"/>
        <v>#N/A</v>
      </c>
      <c r="C1170" s="496">
        <v>90</v>
      </c>
      <c r="D1170" s="41" t="e">
        <f ca="1">IF($C$1076&gt;0,VLOOKUP($C1170,COSTI!$U$4:$Z$1003,3,FALSE),IF($C$1075&gt;0,VLOOKUP($C1170,PATRIMONIALE!$U$4:$Z$1003,3,FALSE),IF($C$1074&gt;0,VLOOKUP($C1170,ENTI!$U$4:$Z$1003,3,FALSE),"")))</f>
        <v>#N/A</v>
      </c>
      <c r="E1170" s="41" t="str">
        <f t="shared" ca="1" si="184"/>
        <v/>
      </c>
      <c r="F1170" s="41" t="e">
        <f t="shared" ca="1" si="183"/>
        <v>#NUM!</v>
      </c>
      <c r="G1170" s="39" t="e">
        <f ca="1">IF($C$1076&gt;0,VLOOKUP($C1170,COSTI!$U$4:$Z$1003,5,FALSE),IF($C$1075&gt;0,VLOOKUP($C1170,PATRIMONIALE!$U$4:$Z$1003,5,FALSE),IF($C$1074&gt;0,VLOOKUP($C1170,ENTI!$U$4:$Z$1003,5,FALSE),"")))</f>
        <v>#N/A</v>
      </c>
      <c r="H1170" s="42" t="e">
        <f ca="1">IF($C$1076&gt;0,VLOOKUP($C1170,COSTI!$U$4:$Z$1003,6,FALSE),IF($C$1075&gt;0,VLOOKUP($C1170,PATRIMONIALE!$U$4:$Z$1003,6,FALSE),IF($C$1074&gt;0,VLOOKUP($C1170,ENTI!$U$4:$Z$1003,6,FALSE),"")))</f>
        <v>#N/A</v>
      </c>
      <c r="I1170" s="496">
        <v>90</v>
      </c>
      <c r="J1170" s="43" t="e">
        <f ca="1">VLOOKUP(D1170,$F$1081:$I$4183,4,FALSE)+COUNTIF(E$1081:E1169,E1170)</f>
        <v>#N/A</v>
      </c>
      <c r="K1170" s="1"/>
      <c r="L1170" s="39" t="e">
        <f>IF($C$1074&gt;0,VLOOKUP($C1170,ENTI!$U$4:$AD$1003,10,FALSE),"")</f>
        <v>#N/A</v>
      </c>
      <c r="M1170" s="1"/>
      <c r="N1170" s="1"/>
      <c r="O1170" s="1"/>
    </row>
    <row r="1171" spans="1:15" hidden="1">
      <c r="A1171" s="1"/>
      <c r="B1171" s="40" t="e">
        <f t="shared" ca="1" si="182"/>
        <v>#N/A</v>
      </c>
      <c r="C1171" s="496">
        <v>91</v>
      </c>
      <c r="D1171" s="41" t="e">
        <f ca="1">IF($C$1076&gt;0,VLOOKUP($C1171,COSTI!$U$4:$Z$1003,3,FALSE),IF($C$1075&gt;0,VLOOKUP($C1171,PATRIMONIALE!$U$4:$Z$1003,3,FALSE),IF($C$1074&gt;0,VLOOKUP($C1171,ENTI!$U$4:$Z$1003,3,FALSE),"")))</f>
        <v>#N/A</v>
      </c>
      <c r="E1171" s="41" t="str">
        <f t="shared" ca="1" si="184"/>
        <v/>
      </c>
      <c r="F1171" s="41" t="e">
        <f t="shared" ca="1" si="183"/>
        <v>#NUM!</v>
      </c>
      <c r="G1171" s="39" t="e">
        <f ca="1">IF($C$1076&gt;0,VLOOKUP($C1171,COSTI!$U$4:$Z$1003,5,FALSE),IF($C$1075&gt;0,VLOOKUP($C1171,PATRIMONIALE!$U$4:$Z$1003,5,FALSE),IF($C$1074&gt;0,VLOOKUP($C1171,ENTI!$U$4:$Z$1003,5,FALSE),"")))</f>
        <v>#N/A</v>
      </c>
      <c r="H1171" s="42" t="e">
        <f ca="1">IF($C$1076&gt;0,VLOOKUP($C1171,COSTI!$U$4:$Z$1003,6,FALSE),IF($C$1075&gt;0,VLOOKUP($C1171,PATRIMONIALE!$U$4:$Z$1003,6,FALSE),IF($C$1074&gt;0,VLOOKUP($C1171,ENTI!$U$4:$Z$1003,6,FALSE),"")))</f>
        <v>#N/A</v>
      </c>
      <c r="I1171" s="496">
        <v>91</v>
      </c>
      <c r="J1171" s="43" t="e">
        <f ca="1">VLOOKUP(D1171,$F$1081:$I$4183,4,FALSE)+COUNTIF(E$1081:E1170,E1171)</f>
        <v>#N/A</v>
      </c>
      <c r="K1171" s="1"/>
      <c r="L1171" s="39" t="e">
        <f>IF($C$1074&gt;0,VLOOKUP($C1171,ENTI!$U$4:$AD$1003,10,FALSE),"")</f>
        <v>#N/A</v>
      </c>
      <c r="M1171" s="1"/>
      <c r="N1171" s="1"/>
      <c r="O1171" s="1"/>
    </row>
    <row r="1172" spans="1:15" hidden="1">
      <c r="A1172" s="1"/>
      <c r="B1172" s="40" t="e">
        <f t="shared" ca="1" si="182"/>
        <v>#N/A</v>
      </c>
      <c r="C1172" s="496">
        <v>92</v>
      </c>
      <c r="D1172" s="41" t="e">
        <f ca="1">IF($C$1076&gt;0,VLOOKUP($C1172,COSTI!$U$4:$Z$1003,3,FALSE),IF($C$1075&gt;0,VLOOKUP($C1172,PATRIMONIALE!$U$4:$Z$1003,3,FALSE),IF($C$1074&gt;0,VLOOKUP($C1172,ENTI!$U$4:$Z$1003,3,FALSE),"")))</f>
        <v>#N/A</v>
      </c>
      <c r="E1172" s="41" t="str">
        <f t="shared" ca="1" si="184"/>
        <v/>
      </c>
      <c r="F1172" s="41" t="e">
        <f t="shared" ca="1" si="183"/>
        <v>#NUM!</v>
      </c>
      <c r="G1172" s="39" t="e">
        <f ca="1">IF($C$1076&gt;0,VLOOKUP($C1172,COSTI!$U$4:$Z$1003,5,FALSE),IF($C$1075&gt;0,VLOOKUP($C1172,PATRIMONIALE!$U$4:$Z$1003,5,FALSE),IF($C$1074&gt;0,VLOOKUP($C1172,ENTI!$U$4:$Z$1003,5,FALSE),"")))</f>
        <v>#N/A</v>
      </c>
      <c r="H1172" s="42" t="e">
        <f ca="1">IF($C$1076&gt;0,VLOOKUP($C1172,COSTI!$U$4:$Z$1003,6,FALSE),IF($C$1075&gt;0,VLOOKUP($C1172,PATRIMONIALE!$U$4:$Z$1003,6,FALSE),IF($C$1074&gt;0,VLOOKUP($C1172,ENTI!$U$4:$Z$1003,6,FALSE),"")))</f>
        <v>#N/A</v>
      </c>
      <c r="I1172" s="496">
        <v>92</v>
      </c>
      <c r="J1172" s="43" t="e">
        <f ca="1">VLOOKUP(D1172,$F$1081:$I$4183,4,FALSE)+COUNTIF(E$1081:E1171,E1172)</f>
        <v>#N/A</v>
      </c>
      <c r="K1172" s="1"/>
      <c r="L1172" s="39" t="e">
        <f>IF($C$1074&gt;0,VLOOKUP($C1172,ENTI!$U$4:$AD$1003,10,FALSE),"")</f>
        <v>#N/A</v>
      </c>
      <c r="M1172" s="1"/>
      <c r="N1172" s="1"/>
      <c r="O1172" s="1"/>
    </row>
    <row r="1173" spans="1:15" hidden="1">
      <c r="A1173" s="1"/>
      <c r="B1173" s="40" t="e">
        <f t="shared" ca="1" si="182"/>
        <v>#N/A</v>
      </c>
      <c r="C1173" s="496">
        <v>93</v>
      </c>
      <c r="D1173" s="41" t="e">
        <f ca="1">IF($C$1076&gt;0,VLOOKUP($C1173,COSTI!$U$4:$Z$1003,3,FALSE),IF($C$1075&gt;0,VLOOKUP($C1173,PATRIMONIALE!$U$4:$Z$1003,3,FALSE),IF($C$1074&gt;0,VLOOKUP($C1173,ENTI!$U$4:$Z$1003,3,FALSE),"")))</f>
        <v>#N/A</v>
      </c>
      <c r="E1173" s="41" t="str">
        <f t="shared" ca="1" si="184"/>
        <v/>
      </c>
      <c r="F1173" s="41" t="e">
        <f t="shared" ca="1" si="183"/>
        <v>#NUM!</v>
      </c>
      <c r="G1173" s="39" t="e">
        <f ca="1">IF($C$1076&gt;0,VLOOKUP($C1173,COSTI!$U$4:$Z$1003,5,FALSE),IF($C$1075&gt;0,VLOOKUP($C1173,PATRIMONIALE!$U$4:$Z$1003,5,FALSE),IF($C$1074&gt;0,VLOOKUP($C1173,ENTI!$U$4:$Z$1003,5,FALSE),"")))</f>
        <v>#N/A</v>
      </c>
      <c r="H1173" s="42" t="e">
        <f ca="1">IF($C$1076&gt;0,VLOOKUP($C1173,COSTI!$U$4:$Z$1003,6,FALSE),IF($C$1075&gt;0,VLOOKUP($C1173,PATRIMONIALE!$U$4:$Z$1003,6,FALSE),IF($C$1074&gt;0,VLOOKUP($C1173,ENTI!$U$4:$Z$1003,6,FALSE),"")))</f>
        <v>#N/A</v>
      </c>
      <c r="I1173" s="496">
        <v>93</v>
      </c>
      <c r="J1173" s="43" t="e">
        <f ca="1">VLOOKUP(D1173,$F$1081:$I$4183,4,FALSE)+COUNTIF(E$1081:E1172,E1173)</f>
        <v>#N/A</v>
      </c>
      <c r="K1173" s="1"/>
      <c r="L1173" s="39" t="e">
        <f>IF($C$1074&gt;0,VLOOKUP($C1173,ENTI!$U$4:$AD$1003,10,FALSE),"")</f>
        <v>#N/A</v>
      </c>
      <c r="M1173" s="1"/>
      <c r="N1173" s="1"/>
      <c r="O1173" s="1"/>
    </row>
    <row r="1174" spans="1:15" hidden="1">
      <c r="A1174" s="1"/>
      <c r="B1174" s="40" t="e">
        <f t="shared" ca="1" si="182"/>
        <v>#N/A</v>
      </c>
      <c r="C1174" s="496">
        <v>94</v>
      </c>
      <c r="D1174" s="41" t="e">
        <f ca="1">IF($C$1076&gt;0,VLOOKUP($C1174,COSTI!$U$4:$Z$1003,3,FALSE),IF($C$1075&gt;0,VLOOKUP($C1174,PATRIMONIALE!$U$4:$Z$1003,3,FALSE),IF($C$1074&gt;0,VLOOKUP($C1174,ENTI!$U$4:$Z$1003,3,FALSE),"")))</f>
        <v>#N/A</v>
      </c>
      <c r="E1174" s="41" t="str">
        <f t="shared" ca="1" si="184"/>
        <v/>
      </c>
      <c r="F1174" s="41" t="e">
        <f t="shared" ca="1" si="183"/>
        <v>#NUM!</v>
      </c>
      <c r="G1174" s="39" t="e">
        <f ca="1">IF($C$1076&gt;0,VLOOKUP($C1174,COSTI!$U$4:$Z$1003,5,FALSE),IF($C$1075&gt;0,VLOOKUP($C1174,PATRIMONIALE!$U$4:$Z$1003,5,FALSE),IF($C$1074&gt;0,VLOOKUP($C1174,ENTI!$U$4:$Z$1003,5,FALSE),"")))</f>
        <v>#N/A</v>
      </c>
      <c r="H1174" s="42" t="e">
        <f ca="1">IF($C$1076&gt;0,VLOOKUP($C1174,COSTI!$U$4:$Z$1003,6,FALSE),IF($C$1075&gt;0,VLOOKUP($C1174,PATRIMONIALE!$U$4:$Z$1003,6,FALSE),IF($C$1074&gt;0,VLOOKUP($C1174,ENTI!$U$4:$Z$1003,6,FALSE),"")))</f>
        <v>#N/A</v>
      </c>
      <c r="I1174" s="496">
        <v>94</v>
      </c>
      <c r="J1174" s="43" t="e">
        <f ca="1">VLOOKUP(D1174,$F$1081:$I$4183,4,FALSE)+COUNTIF(E$1081:E1173,E1174)</f>
        <v>#N/A</v>
      </c>
      <c r="K1174" s="1"/>
      <c r="L1174" s="39" t="e">
        <f>IF($C$1074&gt;0,VLOOKUP($C1174,ENTI!$U$4:$AD$1003,10,FALSE),"")</f>
        <v>#N/A</v>
      </c>
      <c r="M1174" s="1"/>
      <c r="N1174" s="1"/>
      <c r="O1174" s="1"/>
    </row>
    <row r="1175" spans="1:15" hidden="1">
      <c r="A1175" s="1"/>
      <c r="B1175" s="40" t="e">
        <f t="shared" ca="1" si="182"/>
        <v>#N/A</v>
      </c>
      <c r="C1175" s="496">
        <v>95</v>
      </c>
      <c r="D1175" s="41" t="e">
        <f ca="1">IF($C$1076&gt;0,VLOOKUP($C1175,COSTI!$U$4:$Z$1003,3,FALSE),IF($C$1075&gt;0,VLOOKUP($C1175,PATRIMONIALE!$U$4:$Z$1003,3,FALSE),IF($C$1074&gt;0,VLOOKUP($C1175,ENTI!$U$4:$Z$1003,3,FALSE),"")))</f>
        <v>#N/A</v>
      </c>
      <c r="E1175" s="41" t="str">
        <f t="shared" ca="1" si="184"/>
        <v/>
      </c>
      <c r="F1175" s="41" t="e">
        <f t="shared" ca="1" si="183"/>
        <v>#NUM!</v>
      </c>
      <c r="G1175" s="39" t="e">
        <f ca="1">IF($C$1076&gt;0,VLOOKUP($C1175,COSTI!$U$4:$Z$1003,5,FALSE),IF($C$1075&gt;0,VLOOKUP($C1175,PATRIMONIALE!$U$4:$Z$1003,5,FALSE),IF($C$1074&gt;0,VLOOKUP($C1175,ENTI!$U$4:$Z$1003,5,FALSE),"")))</f>
        <v>#N/A</v>
      </c>
      <c r="H1175" s="42" t="e">
        <f ca="1">IF($C$1076&gt;0,VLOOKUP($C1175,COSTI!$U$4:$Z$1003,6,FALSE),IF($C$1075&gt;0,VLOOKUP($C1175,PATRIMONIALE!$U$4:$Z$1003,6,FALSE),IF($C$1074&gt;0,VLOOKUP($C1175,ENTI!$U$4:$Z$1003,6,FALSE),"")))</f>
        <v>#N/A</v>
      </c>
      <c r="I1175" s="496">
        <v>95</v>
      </c>
      <c r="J1175" s="43" t="e">
        <f ca="1">VLOOKUP(D1175,$F$1081:$I$4183,4,FALSE)+COUNTIF(E$1081:E1174,E1175)</f>
        <v>#N/A</v>
      </c>
      <c r="K1175" s="1"/>
      <c r="L1175" s="39" t="e">
        <f>IF($C$1074&gt;0,VLOOKUP($C1175,ENTI!$U$4:$AD$1003,10,FALSE),"")</f>
        <v>#N/A</v>
      </c>
      <c r="M1175" s="1"/>
      <c r="N1175" s="1"/>
      <c r="O1175" s="1"/>
    </row>
    <row r="1176" spans="1:15" hidden="1">
      <c r="A1176" s="1"/>
      <c r="B1176" s="40" t="e">
        <f t="shared" ca="1" si="182"/>
        <v>#N/A</v>
      </c>
      <c r="C1176" s="496">
        <v>96</v>
      </c>
      <c r="D1176" s="41" t="e">
        <f ca="1">IF($C$1076&gt;0,VLOOKUP($C1176,COSTI!$U$4:$Z$1003,3,FALSE),IF($C$1075&gt;0,VLOOKUP($C1176,PATRIMONIALE!$U$4:$Z$1003,3,FALSE),IF($C$1074&gt;0,VLOOKUP($C1176,ENTI!$U$4:$Z$1003,3,FALSE),"")))</f>
        <v>#N/A</v>
      </c>
      <c r="E1176" s="41" t="str">
        <f t="shared" ca="1" si="184"/>
        <v/>
      </c>
      <c r="F1176" s="41" t="e">
        <f t="shared" ca="1" si="183"/>
        <v>#NUM!</v>
      </c>
      <c r="G1176" s="39" t="e">
        <f ca="1">IF($C$1076&gt;0,VLOOKUP($C1176,COSTI!$U$4:$Z$1003,5,FALSE),IF($C$1075&gt;0,VLOOKUP($C1176,PATRIMONIALE!$U$4:$Z$1003,5,FALSE),IF($C$1074&gt;0,VLOOKUP($C1176,ENTI!$U$4:$Z$1003,5,FALSE),"")))</f>
        <v>#N/A</v>
      </c>
      <c r="H1176" s="42" t="e">
        <f ca="1">IF($C$1076&gt;0,VLOOKUP($C1176,COSTI!$U$4:$Z$1003,6,FALSE),IF($C$1075&gt;0,VLOOKUP($C1176,PATRIMONIALE!$U$4:$Z$1003,6,FALSE),IF($C$1074&gt;0,VLOOKUP($C1176,ENTI!$U$4:$Z$1003,6,FALSE),"")))</f>
        <v>#N/A</v>
      </c>
      <c r="I1176" s="496">
        <v>96</v>
      </c>
      <c r="J1176" s="43" t="e">
        <f ca="1">VLOOKUP(D1176,$F$1081:$I$4183,4,FALSE)+COUNTIF(E$1081:E1175,E1176)</f>
        <v>#N/A</v>
      </c>
      <c r="K1176" s="1"/>
      <c r="L1176" s="39" t="e">
        <f>IF($C$1074&gt;0,VLOOKUP($C1176,ENTI!$U$4:$AD$1003,10,FALSE),"")</f>
        <v>#N/A</v>
      </c>
      <c r="M1176" s="1"/>
      <c r="N1176" s="1"/>
      <c r="O1176" s="1"/>
    </row>
    <row r="1177" spans="1:15" hidden="1">
      <c r="A1177" s="1"/>
      <c r="B1177" s="40" t="e">
        <f t="shared" ca="1" si="182"/>
        <v>#N/A</v>
      </c>
      <c r="C1177" s="496">
        <v>97</v>
      </c>
      <c r="D1177" s="41" t="e">
        <f ca="1">IF($C$1076&gt;0,VLOOKUP($C1177,COSTI!$U$4:$Z$1003,3,FALSE),IF($C$1075&gt;0,VLOOKUP($C1177,PATRIMONIALE!$U$4:$Z$1003,3,FALSE),IF($C$1074&gt;0,VLOOKUP($C1177,ENTI!$U$4:$Z$1003,3,FALSE),"")))</f>
        <v>#N/A</v>
      </c>
      <c r="E1177" s="41" t="str">
        <f t="shared" ca="1" si="184"/>
        <v/>
      </c>
      <c r="F1177" s="41" t="e">
        <f t="shared" ca="1" si="183"/>
        <v>#NUM!</v>
      </c>
      <c r="G1177" s="39" t="e">
        <f ca="1">IF($C$1076&gt;0,VLOOKUP($C1177,COSTI!$U$4:$Z$1003,5,FALSE),IF($C$1075&gt;0,VLOOKUP($C1177,PATRIMONIALE!$U$4:$Z$1003,5,FALSE),IF($C$1074&gt;0,VLOOKUP($C1177,ENTI!$U$4:$Z$1003,5,FALSE),"")))</f>
        <v>#N/A</v>
      </c>
      <c r="H1177" s="42" t="e">
        <f ca="1">IF($C$1076&gt;0,VLOOKUP($C1177,COSTI!$U$4:$Z$1003,6,FALSE),IF($C$1075&gt;0,VLOOKUP($C1177,PATRIMONIALE!$U$4:$Z$1003,6,FALSE),IF($C$1074&gt;0,VLOOKUP($C1177,ENTI!$U$4:$Z$1003,6,FALSE),"")))</f>
        <v>#N/A</v>
      </c>
      <c r="I1177" s="496">
        <v>97</v>
      </c>
      <c r="J1177" s="43" t="e">
        <f ca="1">VLOOKUP(D1177,$F$1081:$I$4183,4,FALSE)+COUNTIF(E$1081:E1176,E1177)</f>
        <v>#N/A</v>
      </c>
      <c r="K1177" s="1"/>
      <c r="L1177" s="39" t="e">
        <f>IF($C$1074&gt;0,VLOOKUP($C1177,ENTI!$U$4:$AD$1003,10,FALSE),"")</f>
        <v>#N/A</v>
      </c>
      <c r="M1177" s="1"/>
      <c r="N1177" s="1"/>
      <c r="O1177" s="1"/>
    </row>
    <row r="1178" spans="1:15" hidden="1">
      <c r="A1178" s="1"/>
      <c r="B1178" s="40" t="e">
        <f t="shared" ca="1" si="182"/>
        <v>#N/A</v>
      </c>
      <c r="C1178" s="496">
        <v>98</v>
      </c>
      <c r="D1178" s="41" t="e">
        <f ca="1">IF($C$1076&gt;0,VLOOKUP($C1178,COSTI!$U$4:$Z$1003,3,FALSE),IF($C$1075&gt;0,VLOOKUP($C1178,PATRIMONIALE!$U$4:$Z$1003,3,FALSE),IF($C$1074&gt;0,VLOOKUP($C1178,ENTI!$U$4:$Z$1003,3,FALSE),"")))</f>
        <v>#N/A</v>
      </c>
      <c r="E1178" s="41" t="str">
        <f t="shared" ref="E1178:E1209" ca="1" si="185">IF(ISERROR(D1178),"",D1178)</f>
        <v/>
      </c>
      <c r="F1178" s="41" t="e">
        <f t="shared" ca="1" si="183"/>
        <v>#NUM!</v>
      </c>
      <c r="G1178" s="39" t="e">
        <f ca="1">IF($C$1076&gt;0,VLOOKUP($C1178,COSTI!$U$4:$Z$1003,5,FALSE),IF($C$1075&gt;0,VLOOKUP($C1178,PATRIMONIALE!$U$4:$Z$1003,5,FALSE),IF($C$1074&gt;0,VLOOKUP($C1178,ENTI!$U$4:$Z$1003,5,FALSE),"")))</f>
        <v>#N/A</v>
      </c>
      <c r="H1178" s="42" t="e">
        <f ca="1">IF($C$1076&gt;0,VLOOKUP($C1178,COSTI!$U$4:$Z$1003,6,FALSE),IF($C$1075&gt;0,VLOOKUP($C1178,PATRIMONIALE!$U$4:$Z$1003,6,FALSE),IF($C$1074&gt;0,VLOOKUP($C1178,ENTI!$U$4:$Z$1003,6,FALSE),"")))</f>
        <v>#N/A</v>
      </c>
      <c r="I1178" s="496">
        <v>98</v>
      </c>
      <c r="J1178" s="43" t="e">
        <f ca="1">VLOOKUP(D1178,$F$1081:$I$4183,4,FALSE)+COUNTIF(E$1081:E1177,E1178)</f>
        <v>#N/A</v>
      </c>
      <c r="K1178" s="1"/>
      <c r="L1178" s="39" t="e">
        <f>IF($C$1074&gt;0,VLOOKUP($C1178,ENTI!$U$4:$AD$1003,10,FALSE),"")</f>
        <v>#N/A</v>
      </c>
      <c r="M1178" s="1"/>
      <c r="N1178" s="1"/>
      <c r="O1178" s="1"/>
    </row>
    <row r="1179" spans="1:15" hidden="1">
      <c r="A1179" s="1"/>
      <c r="B1179" s="40" t="e">
        <f t="shared" ca="1" si="182"/>
        <v>#N/A</v>
      </c>
      <c r="C1179" s="496">
        <v>99</v>
      </c>
      <c r="D1179" s="41" t="e">
        <f ca="1">IF($C$1076&gt;0,VLOOKUP($C1179,COSTI!$U$4:$Z$1003,3,FALSE),IF($C$1075&gt;0,VLOOKUP($C1179,PATRIMONIALE!$U$4:$Z$1003,3,FALSE),IF($C$1074&gt;0,VLOOKUP($C1179,ENTI!$U$4:$Z$1003,3,FALSE),"")))</f>
        <v>#N/A</v>
      </c>
      <c r="E1179" s="41" t="str">
        <f t="shared" ca="1" si="185"/>
        <v/>
      </c>
      <c r="F1179" s="41" t="e">
        <f t="shared" ca="1" si="183"/>
        <v>#NUM!</v>
      </c>
      <c r="G1179" s="39" t="e">
        <f ca="1">IF($C$1076&gt;0,VLOOKUP($C1179,COSTI!$U$4:$Z$1003,5,FALSE),IF($C$1075&gt;0,VLOOKUP($C1179,PATRIMONIALE!$U$4:$Z$1003,5,FALSE),IF($C$1074&gt;0,VLOOKUP($C1179,ENTI!$U$4:$Z$1003,5,FALSE),"")))</f>
        <v>#N/A</v>
      </c>
      <c r="H1179" s="42" t="e">
        <f ca="1">IF($C$1076&gt;0,VLOOKUP($C1179,COSTI!$U$4:$Z$1003,6,FALSE),IF($C$1075&gt;0,VLOOKUP($C1179,PATRIMONIALE!$U$4:$Z$1003,6,FALSE),IF($C$1074&gt;0,VLOOKUP($C1179,ENTI!$U$4:$Z$1003,6,FALSE),"")))</f>
        <v>#N/A</v>
      </c>
      <c r="I1179" s="496">
        <v>99</v>
      </c>
      <c r="J1179" s="43" t="e">
        <f ca="1">VLOOKUP(D1179,$F$1081:$I$4183,4,FALSE)+COUNTIF(E$1081:E1178,E1179)</f>
        <v>#N/A</v>
      </c>
      <c r="K1179" s="1"/>
      <c r="L1179" s="39" t="e">
        <f>IF($C$1074&gt;0,VLOOKUP($C1179,ENTI!$U$4:$AD$1003,10,FALSE),"")</f>
        <v>#N/A</v>
      </c>
      <c r="M1179" s="1"/>
      <c r="N1179" s="1"/>
      <c r="O1179" s="1"/>
    </row>
    <row r="1180" spans="1:15" hidden="1">
      <c r="A1180" s="1"/>
      <c r="B1180" s="40" t="e">
        <f t="shared" ca="1" si="182"/>
        <v>#N/A</v>
      </c>
      <c r="C1180" s="496">
        <v>100</v>
      </c>
      <c r="D1180" s="41" t="e">
        <f ca="1">IF($C$1076&gt;0,VLOOKUP($C1180,COSTI!$U$4:$Z$1003,3,FALSE),IF($C$1075&gt;0,VLOOKUP($C1180,PATRIMONIALE!$U$4:$Z$1003,3,FALSE),IF($C$1074&gt;0,VLOOKUP($C1180,ENTI!$U$4:$Z$1003,3,FALSE),"")))</f>
        <v>#N/A</v>
      </c>
      <c r="E1180" s="41" t="str">
        <f t="shared" ca="1" si="185"/>
        <v/>
      </c>
      <c r="F1180" s="41" t="e">
        <f t="shared" ca="1" si="183"/>
        <v>#NUM!</v>
      </c>
      <c r="G1180" s="39" t="e">
        <f ca="1">IF($C$1076&gt;0,VLOOKUP($C1180,COSTI!$U$4:$Z$1003,5,FALSE),IF($C$1075&gt;0,VLOOKUP($C1180,PATRIMONIALE!$U$4:$Z$1003,5,FALSE),IF($C$1074&gt;0,VLOOKUP($C1180,ENTI!$U$4:$Z$1003,5,FALSE),"")))</f>
        <v>#N/A</v>
      </c>
      <c r="H1180" s="42" t="e">
        <f ca="1">IF($C$1076&gt;0,VLOOKUP($C1180,COSTI!$U$4:$Z$1003,6,FALSE),IF($C$1075&gt;0,VLOOKUP($C1180,PATRIMONIALE!$U$4:$Z$1003,6,FALSE),IF($C$1074&gt;0,VLOOKUP($C1180,ENTI!$U$4:$Z$1003,6,FALSE),"")))</f>
        <v>#N/A</v>
      </c>
      <c r="I1180" s="496">
        <v>100</v>
      </c>
      <c r="J1180" s="43" t="e">
        <f ca="1">VLOOKUP(D1180,$F$1081:$I$4183,4,FALSE)+COUNTIF(E$1081:E1179,E1180)</f>
        <v>#N/A</v>
      </c>
      <c r="K1180" s="1"/>
      <c r="L1180" s="39" t="e">
        <f>IF($C$1074&gt;0,VLOOKUP($C1180,ENTI!$U$4:$AD$1003,10,FALSE),"")</f>
        <v>#N/A</v>
      </c>
      <c r="M1180" s="1"/>
      <c r="N1180" s="1"/>
      <c r="O1180" s="1"/>
    </row>
    <row r="1181" spans="1:15" hidden="1">
      <c r="A1181" s="1"/>
      <c r="B1181" s="40" t="e">
        <f t="shared" ca="1" si="182"/>
        <v>#N/A</v>
      </c>
      <c r="C1181" s="496">
        <v>101</v>
      </c>
      <c r="D1181" s="41" t="e">
        <f ca="1">IF($C$1076&gt;0,VLOOKUP($C1181,COSTI!$U$4:$Z$1003,3,FALSE),IF($C$1075&gt;0,VLOOKUP($C1181,PATRIMONIALE!$U$4:$Z$1003,3,FALSE),IF($C$1074&gt;0,VLOOKUP($C1181,ENTI!$U$4:$Z$1003,3,FALSE),"")))</f>
        <v>#N/A</v>
      </c>
      <c r="E1181" s="41" t="str">
        <f t="shared" ca="1" si="185"/>
        <v/>
      </c>
      <c r="F1181" s="41" t="e">
        <f t="shared" ca="1" si="183"/>
        <v>#NUM!</v>
      </c>
      <c r="G1181" s="39" t="e">
        <f ca="1">IF($C$1076&gt;0,VLOOKUP($C1181,COSTI!$U$4:$Z$1003,5,FALSE),IF($C$1075&gt;0,VLOOKUP($C1181,PATRIMONIALE!$U$4:$Z$1003,5,FALSE),IF($C$1074&gt;0,VLOOKUP($C1181,ENTI!$U$4:$Z$1003,5,FALSE),"")))</f>
        <v>#N/A</v>
      </c>
      <c r="H1181" s="42" t="e">
        <f ca="1">IF($C$1076&gt;0,VLOOKUP($C1181,COSTI!$U$4:$Z$1003,6,FALSE),IF($C$1075&gt;0,VLOOKUP($C1181,PATRIMONIALE!$U$4:$Z$1003,6,FALSE),IF($C$1074&gt;0,VLOOKUP($C1181,ENTI!$U$4:$Z$1003,6,FALSE),"")))</f>
        <v>#N/A</v>
      </c>
      <c r="I1181" s="496">
        <v>101</v>
      </c>
      <c r="J1181" s="43" t="e">
        <f ca="1">VLOOKUP(D1181,$F$1081:$I$4183,4,FALSE)+COUNTIF(E$1081:E1180,E1181)</f>
        <v>#N/A</v>
      </c>
      <c r="K1181" s="1"/>
      <c r="L1181" s="39" t="e">
        <f>IF($C$1074&gt;0,VLOOKUP($C1181,ENTI!$U$4:$AD$1003,10,FALSE),"")</f>
        <v>#N/A</v>
      </c>
      <c r="M1181" s="1"/>
      <c r="N1181" s="1"/>
      <c r="O1181" s="1"/>
    </row>
    <row r="1182" spans="1:15" hidden="1">
      <c r="A1182" s="1"/>
      <c r="B1182" s="40" t="e">
        <f t="shared" ca="1" si="182"/>
        <v>#N/A</v>
      </c>
      <c r="C1182" s="496">
        <v>102</v>
      </c>
      <c r="D1182" s="41" t="e">
        <f ca="1">IF($C$1076&gt;0,VLOOKUP($C1182,COSTI!$U$4:$Z$1003,3,FALSE),IF($C$1075&gt;0,VLOOKUP($C1182,PATRIMONIALE!$U$4:$Z$1003,3,FALSE),IF($C$1074&gt;0,VLOOKUP($C1182,ENTI!$U$4:$Z$1003,3,FALSE),"")))</f>
        <v>#N/A</v>
      </c>
      <c r="E1182" s="41" t="str">
        <f t="shared" ca="1" si="185"/>
        <v/>
      </c>
      <c r="F1182" s="41" t="e">
        <f t="shared" ca="1" si="183"/>
        <v>#NUM!</v>
      </c>
      <c r="G1182" s="39" t="e">
        <f ca="1">IF($C$1076&gt;0,VLOOKUP($C1182,COSTI!$U$4:$Z$1003,5,FALSE),IF($C$1075&gt;0,VLOOKUP($C1182,PATRIMONIALE!$U$4:$Z$1003,5,FALSE),IF($C$1074&gt;0,VLOOKUP($C1182,ENTI!$U$4:$Z$1003,5,FALSE),"")))</f>
        <v>#N/A</v>
      </c>
      <c r="H1182" s="42" t="e">
        <f ca="1">IF($C$1076&gt;0,VLOOKUP($C1182,COSTI!$U$4:$Z$1003,6,FALSE),IF($C$1075&gt;0,VLOOKUP($C1182,PATRIMONIALE!$U$4:$Z$1003,6,FALSE),IF($C$1074&gt;0,VLOOKUP($C1182,ENTI!$U$4:$Z$1003,6,FALSE),"")))</f>
        <v>#N/A</v>
      </c>
      <c r="I1182" s="496">
        <v>102</v>
      </c>
      <c r="J1182" s="43" t="e">
        <f ca="1">VLOOKUP(D1182,$F$1081:$I$4183,4,FALSE)+COUNTIF(E$1081:E1181,E1182)</f>
        <v>#N/A</v>
      </c>
      <c r="K1182" s="1"/>
      <c r="L1182" s="39" t="e">
        <f>IF($C$1074&gt;0,VLOOKUP($C1182,ENTI!$U$4:$AD$1003,10,FALSE),"")</f>
        <v>#N/A</v>
      </c>
      <c r="M1182" s="1"/>
      <c r="N1182" s="1"/>
      <c r="O1182" s="1"/>
    </row>
    <row r="1183" spans="1:15" hidden="1">
      <c r="A1183" s="1"/>
      <c r="B1183" s="40" t="e">
        <f t="shared" ca="1" si="182"/>
        <v>#N/A</v>
      </c>
      <c r="C1183" s="496">
        <v>103</v>
      </c>
      <c r="D1183" s="41" t="e">
        <f ca="1">IF($C$1076&gt;0,VLOOKUP($C1183,COSTI!$U$4:$Z$1003,3,FALSE),IF($C$1075&gt;0,VLOOKUP($C1183,PATRIMONIALE!$U$4:$Z$1003,3,FALSE),IF($C$1074&gt;0,VLOOKUP($C1183,ENTI!$U$4:$Z$1003,3,FALSE),"")))</f>
        <v>#N/A</v>
      </c>
      <c r="E1183" s="41" t="str">
        <f t="shared" ca="1" si="185"/>
        <v/>
      </c>
      <c r="F1183" s="41" t="e">
        <f t="shared" ca="1" si="183"/>
        <v>#NUM!</v>
      </c>
      <c r="G1183" s="39" t="e">
        <f ca="1">IF($C$1076&gt;0,VLOOKUP($C1183,COSTI!$U$4:$Z$1003,5,FALSE),IF($C$1075&gt;0,VLOOKUP($C1183,PATRIMONIALE!$U$4:$Z$1003,5,FALSE),IF($C$1074&gt;0,VLOOKUP($C1183,ENTI!$U$4:$Z$1003,5,FALSE),"")))</f>
        <v>#N/A</v>
      </c>
      <c r="H1183" s="42" t="e">
        <f ca="1">IF($C$1076&gt;0,VLOOKUP($C1183,COSTI!$U$4:$Z$1003,6,FALSE),IF($C$1075&gt;0,VLOOKUP($C1183,PATRIMONIALE!$U$4:$Z$1003,6,FALSE),IF($C$1074&gt;0,VLOOKUP($C1183,ENTI!$U$4:$Z$1003,6,FALSE),"")))</f>
        <v>#N/A</v>
      </c>
      <c r="I1183" s="496">
        <v>103</v>
      </c>
      <c r="J1183" s="43" t="e">
        <f ca="1">VLOOKUP(D1183,$F$1081:$I$4183,4,FALSE)+COUNTIF(E$1081:E1182,E1183)</f>
        <v>#N/A</v>
      </c>
      <c r="K1183" s="1"/>
      <c r="L1183" s="39" t="e">
        <f>IF($C$1074&gt;0,VLOOKUP($C1183,ENTI!$U$4:$AD$1003,10,FALSE),"")</f>
        <v>#N/A</v>
      </c>
      <c r="M1183" s="1"/>
      <c r="N1183" s="1"/>
      <c r="O1183" s="1"/>
    </row>
    <row r="1184" spans="1:15" hidden="1">
      <c r="A1184" s="1"/>
      <c r="B1184" s="40" t="e">
        <f t="shared" ca="1" si="182"/>
        <v>#N/A</v>
      </c>
      <c r="C1184" s="496">
        <v>104</v>
      </c>
      <c r="D1184" s="41" t="e">
        <f ca="1">IF($C$1076&gt;0,VLOOKUP($C1184,COSTI!$U$4:$Z$1003,3,FALSE),IF($C$1075&gt;0,VLOOKUP($C1184,PATRIMONIALE!$U$4:$Z$1003,3,FALSE),IF($C$1074&gt;0,VLOOKUP($C1184,ENTI!$U$4:$Z$1003,3,FALSE),"")))</f>
        <v>#N/A</v>
      </c>
      <c r="E1184" s="41" t="str">
        <f t="shared" ca="1" si="185"/>
        <v/>
      </c>
      <c r="F1184" s="41" t="e">
        <f t="shared" ca="1" si="183"/>
        <v>#NUM!</v>
      </c>
      <c r="G1184" s="39" t="e">
        <f ca="1">IF($C$1076&gt;0,VLOOKUP($C1184,COSTI!$U$4:$Z$1003,5,FALSE),IF($C$1075&gt;0,VLOOKUP($C1184,PATRIMONIALE!$U$4:$Z$1003,5,FALSE),IF($C$1074&gt;0,VLOOKUP($C1184,ENTI!$U$4:$Z$1003,5,FALSE),"")))</f>
        <v>#N/A</v>
      </c>
      <c r="H1184" s="42" t="e">
        <f ca="1">IF($C$1076&gt;0,VLOOKUP($C1184,COSTI!$U$4:$Z$1003,6,FALSE),IF($C$1075&gt;0,VLOOKUP($C1184,PATRIMONIALE!$U$4:$Z$1003,6,FALSE),IF($C$1074&gt;0,VLOOKUP($C1184,ENTI!$U$4:$Z$1003,6,FALSE),"")))</f>
        <v>#N/A</v>
      </c>
      <c r="I1184" s="496">
        <v>104</v>
      </c>
      <c r="J1184" s="43" t="e">
        <f ca="1">VLOOKUP(D1184,$F$1081:$I$4183,4,FALSE)+COUNTIF(E$1081:E1183,E1184)</f>
        <v>#N/A</v>
      </c>
      <c r="K1184" s="1"/>
      <c r="L1184" s="39" t="e">
        <f>IF($C$1074&gt;0,VLOOKUP($C1184,ENTI!$U$4:$AD$1003,10,FALSE),"")</f>
        <v>#N/A</v>
      </c>
      <c r="M1184" s="1"/>
      <c r="N1184" s="1"/>
      <c r="O1184" s="1"/>
    </row>
    <row r="1185" spans="1:15" hidden="1">
      <c r="A1185" s="1"/>
      <c r="B1185" s="40" t="e">
        <f t="shared" ca="1" si="182"/>
        <v>#N/A</v>
      </c>
      <c r="C1185" s="496">
        <v>105</v>
      </c>
      <c r="D1185" s="41" t="e">
        <f ca="1">IF($C$1076&gt;0,VLOOKUP($C1185,COSTI!$U$4:$Z$1003,3,FALSE),IF($C$1075&gt;0,VLOOKUP($C1185,PATRIMONIALE!$U$4:$Z$1003,3,FALSE),IF($C$1074&gt;0,VLOOKUP($C1185,ENTI!$U$4:$Z$1003,3,FALSE),"")))</f>
        <v>#N/A</v>
      </c>
      <c r="E1185" s="41" t="str">
        <f t="shared" ca="1" si="185"/>
        <v/>
      </c>
      <c r="F1185" s="41" t="e">
        <f t="shared" ca="1" si="183"/>
        <v>#NUM!</v>
      </c>
      <c r="G1185" s="39" t="e">
        <f ca="1">IF($C$1076&gt;0,VLOOKUP($C1185,COSTI!$U$4:$Z$1003,5,FALSE),IF($C$1075&gt;0,VLOOKUP($C1185,PATRIMONIALE!$U$4:$Z$1003,5,FALSE),IF($C$1074&gt;0,VLOOKUP($C1185,ENTI!$U$4:$Z$1003,5,FALSE),"")))</f>
        <v>#N/A</v>
      </c>
      <c r="H1185" s="42" t="e">
        <f ca="1">IF($C$1076&gt;0,VLOOKUP($C1185,COSTI!$U$4:$Z$1003,6,FALSE),IF($C$1075&gt;0,VLOOKUP($C1185,PATRIMONIALE!$U$4:$Z$1003,6,FALSE),IF($C$1074&gt;0,VLOOKUP($C1185,ENTI!$U$4:$Z$1003,6,FALSE),"")))</f>
        <v>#N/A</v>
      </c>
      <c r="I1185" s="496">
        <v>105</v>
      </c>
      <c r="J1185" s="43" t="e">
        <f ca="1">VLOOKUP(D1185,$F$1081:$I$4183,4,FALSE)+COUNTIF(E$1081:E1184,E1185)</f>
        <v>#N/A</v>
      </c>
      <c r="K1185" s="1"/>
      <c r="L1185" s="39" t="e">
        <f>IF($C$1074&gt;0,VLOOKUP($C1185,ENTI!$U$4:$AD$1003,10,FALSE),"")</f>
        <v>#N/A</v>
      </c>
      <c r="M1185" s="1"/>
      <c r="N1185" s="1"/>
      <c r="O1185" s="1"/>
    </row>
    <row r="1186" spans="1:15" hidden="1">
      <c r="A1186" s="1"/>
      <c r="B1186" s="40" t="e">
        <f t="shared" ca="1" si="182"/>
        <v>#N/A</v>
      </c>
      <c r="C1186" s="496">
        <v>106</v>
      </c>
      <c r="D1186" s="41" t="e">
        <f ca="1">IF($C$1076&gt;0,VLOOKUP($C1186,COSTI!$U$4:$Z$1003,3,FALSE),IF($C$1075&gt;0,VLOOKUP($C1186,PATRIMONIALE!$U$4:$Z$1003,3,FALSE),IF($C$1074&gt;0,VLOOKUP($C1186,ENTI!$U$4:$Z$1003,3,FALSE),"")))</f>
        <v>#N/A</v>
      </c>
      <c r="E1186" s="41" t="str">
        <f t="shared" ca="1" si="185"/>
        <v/>
      </c>
      <c r="F1186" s="41" t="e">
        <f t="shared" ca="1" si="183"/>
        <v>#NUM!</v>
      </c>
      <c r="G1186" s="39" t="e">
        <f ca="1">IF($C$1076&gt;0,VLOOKUP($C1186,COSTI!$U$4:$Z$1003,5,FALSE),IF($C$1075&gt;0,VLOOKUP($C1186,PATRIMONIALE!$U$4:$Z$1003,5,FALSE),IF($C$1074&gt;0,VLOOKUP($C1186,ENTI!$U$4:$Z$1003,5,FALSE),"")))</f>
        <v>#N/A</v>
      </c>
      <c r="H1186" s="42" t="e">
        <f ca="1">IF($C$1076&gt;0,VLOOKUP($C1186,COSTI!$U$4:$Z$1003,6,FALSE),IF($C$1075&gt;0,VLOOKUP($C1186,PATRIMONIALE!$U$4:$Z$1003,6,FALSE),IF($C$1074&gt;0,VLOOKUP($C1186,ENTI!$U$4:$Z$1003,6,FALSE),"")))</f>
        <v>#N/A</v>
      </c>
      <c r="I1186" s="496">
        <v>106</v>
      </c>
      <c r="J1186" s="43" t="e">
        <f ca="1">VLOOKUP(D1186,$F$1081:$I$4183,4,FALSE)+COUNTIF(E$1081:E1185,E1186)</f>
        <v>#N/A</v>
      </c>
      <c r="K1186" s="1"/>
      <c r="L1186" s="39" t="e">
        <f>IF($C$1074&gt;0,VLOOKUP($C1186,ENTI!$U$4:$AD$1003,10,FALSE),"")</f>
        <v>#N/A</v>
      </c>
      <c r="M1186" s="1"/>
      <c r="N1186" s="1"/>
      <c r="O1186" s="1"/>
    </row>
    <row r="1187" spans="1:15" hidden="1">
      <c r="A1187" s="1"/>
      <c r="B1187" s="40" t="e">
        <f t="shared" ca="1" si="182"/>
        <v>#N/A</v>
      </c>
      <c r="C1187" s="496">
        <v>107</v>
      </c>
      <c r="D1187" s="41" t="e">
        <f ca="1">IF($C$1076&gt;0,VLOOKUP($C1187,COSTI!$U$4:$Z$1003,3,FALSE),IF($C$1075&gt;0,VLOOKUP($C1187,PATRIMONIALE!$U$4:$Z$1003,3,FALSE),IF($C$1074&gt;0,VLOOKUP($C1187,ENTI!$U$4:$Z$1003,3,FALSE),"")))</f>
        <v>#N/A</v>
      </c>
      <c r="E1187" s="41" t="str">
        <f t="shared" ca="1" si="185"/>
        <v/>
      </c>
      <c r="F1187" s="41" t="e">
        <f t="shared" ca="1" si="183"/>
        <v>#NUM!</v>
      </c>
      <c r="G1187" s="39" t="e">
        <f ca="1">IF($C$1076&gt;0,VLOOKUP($C1187,COSTI!$U$4:$Z$1003,5,FALSE),IF($C$1075&gt;0,VLOOKUP($C1187,PATRIMONIALE!$U$4:$Z$1003,5,FALSE),IF($C$1074&gt;0,VLOOKUP($C1187,ENTI!$U$4:$Z$1003,5,FALSE),"")))</f>
        <v>#N/A</v>
      </c>
      <c r="H1187" s="42" t="e">
        <f ca="1">IF($C$1076&gt;0,VLOOKUP($C1187,COSTI!$U$4:$Z$1003,6,FALSE),IF($C$1075&gt;0,VLOOKUP($C1187,PATRIMONIALE!$U$4:$Z$1003,6,FALSE),IF($C$1074&gt;0,VLOOKUP($C1187,ENTI!$U$4:$Z$1003,6,FALSE),"")))</f>
        <v>#N/A</v>
      </c>
      <c r="I1187" s="496">
        <v>107</v>
      </c>
      <c r="J1187" s="43" t="e">
        <f ca="1">VLOOKUP(D1187,$F$1081:$I$4183,4,FALSE)+COUNTIF(E$1081:E1186,E1187)</f>
        <v>#N/A</v>
      </c>
      <c r="K1187" s="1"/>
      <c r="L1187" s="39" t="e">
        <f>IF($C$1074&gt;0,VLOOKUP($C1187,ENTI!$U$4:$AD$1003,10,FALSE),"")</f>
        <v>#N/A</v>
      </c>
      <c r="M1187" s="1"/>
      <c r="N1187" s="1"/>
      <c r="O1187" s="1"/>
    </row>
    <row r="1188" spans="1:15" hidden="1">
      <c r="A1188" s="1"/>
      <c r="B1188" s="40" t="e">
        <f t="shared" ca="1" si="182"/>
        <v>#N/A</v>
      </c>
      <c r="C1188" s="496">
        <v>108</v>
      </c>
      <c r="D1188" s="41" t="e">
        <f ca="1">IF($C$1076&gt;0,VLOOKUP($C1188,COSTI!$U$4:$Z$1003,3,FALSE),IF($C$1075&gt;0,VLOOKUP($C1188,PATRIMONIALE!$U$4:$Z$1003,3,FALSE),IF($C$1074&gt;0,VLOOKUP($C1188,ENTI!$U$4:$Z$1003,3,FALSE),"")))</f>
        <v>#N/A</v>
      </c>
      <c r="E1188" s="41" t="str">
        <f t="shared" ca="1" si="185"/>
        <v/>
      </c>
      <c r="F1188" s="41" t="e">
        <f t="shared" ca="1" si="183"/>
        <v>#NUM!</v>
      </c>
      <c r="G1188" s="39" t="e">
        <f ca="1">IF($C$1076&gt;0,VLOOKUP($C1188,COSTI!$U$4:$Z$1003,5,FALSE),IF($C$1075&gt;0,VLOOKUP($C1188,PATRIMONIALE!$U$4:$Z$1003,5,FALSE),IF($C$1074&gt;0,VLOOKUP($C1188,ENTI!$U$4:$Z$1003,5,FALSE),"")))</f>
        <v>#N/A</v>
      </c>
      <c r="H1188" s="42" t="e">
        <f ca="1">IF($C$1076&gt;0,VLOOKUP($C1188,COSTI!$U$4:$Z$1003,6,FALSE),IF($C$1075&gt;0,VLOOKUP($C1188,PATRIMONIALE!$U$4:$Z$1003,6,FALSE),IF($C$1074&gt;0,VLOOKUP($C1188,ENTI!$U$4:$Z$1003,6,FALSE),"")))</f>
        <v>#N/A</v>
      </c>
      <c r="I1188" s="496">
        <v>108</v>
      </c>
      <c r="J1188" s="43" t="e">
        <f ca="1">VLOOKUP(D1188,$F$1081:$I$4183,4,FALSE)+COUNTIF(E$1081:E1187,E1188)</f>
        <v>#N/A</v>
      </c>
      <c r="K1188" s="1"/>
      <c r="L1188" s="39" t="e">
        <f>IF($C$1074&gt;0,VLOOKUP($C1188,ENTI!$U$4:$AD$1003,10,FALSE),"")</f>
        <v>#N/A</v>
      </c>
      <c r="M1188" s="1"/>
      <c r="N1188" s="1"/>
      <c r="O1188" s="1"/>
    </row>
    <row r="1189" spans="1:15" hidden="1">
      <c r="A1189" s="1"/>
      <c r="B1189" s="40" t="e">
        <f t="shared" ca="1" si="182"/>
        <v>#N/A</v>
      </c>
      <c r="C1189" s="496">
        <v>109</v>
      </c>
      <c r="D1189" s="41" t="e">
        <f ca="1">IF($C$1076&gt;0,VLOOKUP($C1189,COSTI!$U$4:$Z$1003,3,FALSE),IF($C$1075&gt;0,VLOOKUP($C1189,PATRIMONIALE!$U$4:$Z$1003,3,FALSE),IF($C$1074&gt;0,VLOOKUP($C1189,ENTI!$U$4:$Z$1003,3,FALSE),"")))</f>
        <v>#N/A</v>
      </c>
      <c r="E1189" s="41" t="str">
        <f t="shared" ca="1" si="185"/>
        <v/>
      </c>
      <c r="F1189" s="41" t="e">
        <f t="shared" ca="1" si="183"/>
        <v>#NUM!</v>
      </c>
      <c r="G1189" s="39" t="e">
        <f ca="1">IF($C$1076&gt;0,VLOOKUP($C1189,COSTI!$U$4:$Z$1003,5,FALSE),IF($C$1075&gt;0,VLOOKUP($C1189,PATRIMONIALE!$U$4:$Z$1003,5,FALSE),IF($C$1074&gt;0,VLOOKUP($C1189,ENTI!$U$4:$Z$1003,5,FALSE),"")))</f>
        <v>#N/A</v>
      </c>
      <c r="H1189" s="42" t="e">
        <f ca="1">IF($C$1076&gt;0,VLOOKUP($C1189,COSTI!$U$4:$Z$1003,6,FALSE),IF($C$1075&gt;0,VLOOKUP($C1189,PATRIMONIALE!$U$4:$Z$1003,6,FALSE),IF($C$1074&gt;0,VLOOKUP($C1189,ENTI!$U$4:$Z$1003,6,FALSE),"")))</f>
        <v>#N/A</v>
      </c>
      <c r="I1189" s="496">
        <v>109</v>
      </c>
      <c r="J1189" s="43" t="e">
        <f ca="1">VLOOKUP(D1189,$F$1081:$I$4183,4,FALSE)+COUNTIF(E$1081:E1188,E1189)</f>
        <v>#N/A</v>
      </c>
      <c r="K1189" s="1"/>
      <c r="L1189" s="39" t="e">
        <f>IF($C$1074&gt;0,VLOOKUP($C1189,ENTI!$U$4:$AD$1003,10,FALSE),"")</f>
        <v>#N/A</v>
      </c>
      <c r="M1189" s="1"/>
      <c r="N1189" s="1"/>
      <c r="O1189" s="1"/>
    </row>
    <row r="1190" spans="1:15" hidden="1">
      <c r="A1190" s="1"/>
      <c r="B1190" s="40" t="e">
        <f t="shared" ca="1" si="182"/>
        <v>#N/A</v>
      </c>
      <c r="C1190" s="496">
        <v>110</v>
      </c>
      <c r="D1190" s="41" t="e">
        <f ca="1">IF($C$1076&gt;0,VLOOKUP($C1190,COSTI!$U$4:$Z$1003,3,FALSE),IF($C$1075&gt;0,VLOOKUP($C1190,PATRIMONIALE!$U$4:$Z$1003,3,FALSE),IF($C$1074&gt;0,VLOOKUP($C1190,ENTI!$U$4:$Z$1003,3,FALSE),"")))</f>
        <v>#N/A</v>
      </c>
      <c r="E1190" s="41" t="str">
        <f t="shared" ca="1" si="185"/>
        <v/>
      </c>
      <c r="F1190" s="41" t="e">
        <f t="shared" ca="1" si="183"/>
        <v>#NUM!</v>
      </c>
      <c r="G1190" s="39" t="e">
        <f ca="1">IF($C$1076&gt;0,VLOOKUP($C1190,COSTI!$U$4:$Z$1003,5,FALSE),IF($C$1075&gt;0,VLOOKUP($C1190,PATRIMONIALE!$U$4:$Z$1003,5,FALSE),IF($C$1074&gt;0,VLOOKUP($C1190,ENTI!$U$4:$Z$1003,5,FALSE),"")))</f>
        <v>#N/A</v>
      </c>
      <c r="H1190" s="42" t="e">
        <f ca="1">IF($C$1076&gt;0,VLOOKUP($C1190,COSTI!$U$4:$Z$1003,6,FALSE),IF($C$1075&gt;0,VLOOKUP($C1190,PATRIMONIALE!$U$4:$Z$1003,6,FALSE),IF($C$1074&gt;0,VLOOKUP($C1190,ENTI!$U$4:$Z$1003,6,FALSE),"")))</f>
        <v>#N/A</v>
      </c>
      <c r="I1190" s="496">
        <v>110</v>
      </c>
      <c r="J1190" s="43" t="e">
        <f ca="1">VLOOKUP(D1190,$F$1081:$I$4183,4,FALSE)+COUNTIF(E$1081:E1189,E1190)</f>
        <v>#N/A</v>
      </c>
      <c r="K1190" s="1"/>
      <c r="L1190" s="39" t="e">
        <f>IF($C$1074&gt;0,VLOOKUP($C1190,ENTI!$U$4:$AD$1003,10,FALSE),"")</f>
        <v>#N/A</v>
      </c>
      <c r="M1190" s="1"/>
      <c r="N1190" s="1"/>
      <c r="O1190" s="1"/>
    </row>
    <row r="1191" spans="1:15" hidden="1">
      <c r="A1191" s="1"/>
      <c r="B1191" s="40" t="e">
        <f t="shared" ca="1" si="182"/>
        <v>#N/A</v>
      </c>
      <c r="C1191" s="496">
        <v>111</v>
      </c>
      <c r="D1191" s="41" t="e">
        <f ca="1">IF($C$1076&gt;0,VLOOKUP($C1191,COSTI!$U$4:$Z$1003,3,FALSE),IF($C$1075&gt;0,VLOOKUP($C1191,PATRIMONIALE!$U$4:$Z$1003,3,FALSE),IF($C$1074&gt;0,VLOOKUP($C1191,ENTI!$U$4:$Z$1003,3,FALSE),"")))</f>
        <v>#N/A</v>
      </c>
      <c r="E1191" s="41" t="str">
        <f t="shared" ca="1" si="185"/>
        <v/>
      </c>
      <c r="F1191" s="41" t="e">
        <f t="shared" ca="1" si="183"/>
        <v>#NUM!</v>
      </c>
      <c r="G1191" s="39" t="e">
        <f ca="1">IF($C$1076&gt;0,VLOOKUP($C1191,COSTI!$U$4:$Z$1003,5,FALSE),IF($C$1075&gt;0,VLOOKUP($C1191,PATRIMONIALE!$U$4:$Z$1003,5,FALSE),IF($C$1074&gt;0,VLOOKUP($C1191,ENTI!$U$4:$Z$1003,5,FALSE),"")))</f>
        <v>#N/A</v>
      </c>
      <c r="H1191" s="42" t="e">
        <f ca="1">IF($C$1076&gt;0,VLOOKUP($C1191,COSTI!$U$4:$Z$1003,6,FALSE),IF($C$1075&gt;0,VLOOKUP($C1191,PATRIMONIALE!$U$4:$Z$1003,6,FALSE),IF($C$1074&gt;0,VLOOKUP($C1191,ENTI!$U$4:$Z$1003,6,FALSE),"")))</f>
        <v>#N/A</v>
      </c>
      <c r="I1191" s="496">
        <v>111</v>
      </c>
      <c r="J1191" s="43" t="e">
        <f ca="1">VLOOKUP(D1191,$F$1081:$I$4183,4,FALSE)+COUNTIF(E$1081:E1190,E1191)</f>
        <v>#N/A</v>
      </c>
      <c r="K1191" s="1"/>
      <c r="L1191" s="39" t="e">
        <f>IF($C$1074&gt;0,VLOOKUP($C1191,ENTI!$U$4:$AD$1003,10,FALSE),"")</f>
        <v>#N/A</v>
      </c>
      <c r="M1191" s="1"/>
      <c r="N1191" s="1"/>
      <c r="O1191" s="1"/>
    </row>
    <row r="1192" spans="1:15" hidden="1">
      <c r="A1192" s="1"/>
      <c r="B1192" s="40" t="e">
        <f t="shared" ca="1" si="182"/>
        <v>#N/A</v>
      </c>
      <c r="C1192" s="496">
        <v>112</v>
      </c>
      <c r="D1192" s="41" t="e">
        <f ca="1">IF($C$1076&gt;0,VLOOKUP($C1192,COSTI!$U$4:$Z$1003,3,FALSE),IF($C$1075&gt;0,VLOOKUP($C1192,PATRIMONIALE!$U$4:$Z$1003,3,FALSE),IF($C$1074&gt;0,VLOOKUP($C1192,ENTI!$U$4:$Z$1003,3,FALSE),"")))</f>
        <v>#N/A</v>
      </c>
      <c r="E1192" s="41" t="str">
        <f t="shared" ca="1" si="185"/>
        <v/>
      </c>
      <c r="F1192" s="41" t="e">
        <f t="shared" ca="1" si="183"/>
        <v>#NUM!</v>
      </c>
      <c r="G1192" s="39" t="e">
        <f ca="1">IF($C$1076&gt;0,VLOOKUP($C1192,COSTI!$U$4:$Z$1003,5,FALSE),IF($C$1075&gt;0,VLOOKUP($C1192,PATRIMONIALE!$U$4:$Z$1003,5,FALSE),IF($C$1074&gt;0,VLOOKUP($C1192,ENTI!$U$4:$Z$1003,5,FALSE),"")))</f>
        <v>#N/A</v>
      </c>
      <c r="H1192" s="42" t="e">
        <f ca="1">IF($C$1076&gt;0,VLOOKUP($C1192,COSTI!$U$4:$Z$1003,6,FALSE),IF($C$1075&gt;0,VLOOKUP($C1192,PATRIMONIALE!$U$4:$Z$1003,6,FALSE),IF($C$1074&gt;0,VLOOKUP($C1192,ENTI!$U$4:$Z$1003,6,FALSE),"")))</f>
        <v>#N/A</v>
      </c>
      <c r="I1192" s="496">
        <v>112</v>
      </c>
      <c r="J1192" s="43" t="e">
        <f ca="1">VLOOKUP(D1192,$F$1081:$I$4183,4,FALSE)+COUNTIF(E$1081:E1191,E1192)</f>
        <v>#N/A</v>
      </c>
      <c r="K1192" s="1"/>
      <c r="L1192" s="39" t="e">
        <f>IF($C$1074&gt;0,VLOOKUP($C1192,ENTI!$U$4:$AD$1003,10,FALSE),"")</f>
        <v>#N/A</v>
      </c>
      <c r="M1192" s="1"/>
      <c r="N1192" s="1"/>
      <c r="O1192" s="1"/>
    </row>
    <row r="1193" spans="1:15" hidden="1">
      <c r="A1193" s="1"/>
      <c r="B1193" s="40" t="e">
        <f t="shared" ca="1" si="182"/>
        <v>#N/A</v>
      </c>
      <c r="C1193" s="496">
        <v>113</v>
      </c>
      <c r="D1193" s="41" t="e">
        <f ca="1">IF($C$1076&gt;0,VLOOKUP($C1193,COSTI!$U$4:$Z$1003,3,FALSE),IF($C$1075&gt;0,VLOOKUP($C1193,PATRIMONIALE!$U$4:$Z$1003,3,FALSE),IF($C$1074&gt;0,VLOOKUP($C1193,ENTI!$U$4:$Z$1003,3,FALSE),"")))</f>
        <v>#N/A</v>
      </c>
      <c r="E1193" s="41" t="str">
        <f t="shared" ca="1" si="185"/>
        <v/>
      </c>
      <c r="F1193" s="41" t="e">
        <f t="shared" ca="1" si="183"/>
        <v>#NUM!</v>
      </c>
      <c r="G1193" s="39" t="e">
        <f ca="1">IF($C$1076&gt;0,VLOOKUP($C1193,COSTI!$U$4:$Z$1003,5,FALSE),IF($C$1075&gt;0,VLOOKUP($C1193,PATRIMONIALE!$U$4:$Z$1003,5,FALSE),IF($C$1074&gt;0,VLOOKUP($C1193,ENTI!$U$4:$Z$1003,5,FALSE),"")))</f>
        <v>#N/A</v>
      </c>
      <c r="H1193" s="42" t="e">
        <f ca="1">IF($C$1076&gt;0,VLOOKUP($C1193,COSTI!$U$4:$Z$1003,6,FALSE),IF($C$1075&gt;0,VLOOKUP($C1193,PATRIMONIALE!$U$4:$Z$1003,6,FALSE),IF($C$1074&gt;0,VLOOKUP($C1193,ENTI!$U$4:$Z$1003,6,FALSE),"")))</f>
        <v>#N/A</v>
      </c>
      <c r="I1193" s="496">
        <v>113</v>
      </c>
      <c r="J1193" s="43" t="e">
        <f ca="1">VLOOKUP(D1193,$F$1081:$I$4183,4,FALSE)+COUNTIF(E$1081:E1192,E1193)</f>
        <v>#N/A</v>
      </c>
      <c r="K1193" s="1"/>
      <c r="L1193" s="39" t="e">
        <f>IF($C$1074&gt;0,VLOOKUP($C1193,ENTI!$U$4:$AD$1003,10,FALSE),"")</f>
        <v>#N/A</v>
      </c>
      <c r="M1193" s="1"/>
      <c r="N1193" s="1"/>
      <c r="O1193" s="1"/>
    </row>
    <row r="1194" spans="1:15" hidden="1">
      <c r="A1194" s="1"/>
      <c r="B1194" s="40" t="e">
        <f t="shared" ca="1" si="182"/>
        <v>#N/A</v>
      </c>
      <c r="C1194" s="496">
        <v>114</v>
      </c>
      <c r="D1194" s="41" t="e">
        <f ca="1">IF($C$1076&gt;0,VLOOKUP($C1194,COSTI!$U$4:$Z$1003,3,FALSE),IF($C$1075&gt;0,VLOOKUP($C1194,PATRIMONIALE!$U$4:$Z$1003,3,FALSE),IF($C$1074&gt;0,VLOOKUP($C1194,ENTI!$U$4:$Z$1003,3,FALSE),"")))</f>
        <v>#N/A</v>
      </c>
      <c r="E1194" s="41" t="str">
        <f t="shared" ca="1" si="185"/>
        <v/>
      </c>
      <c r="F1194" s="41" t="e">
        <f t="shared" ca="1" si="183"/>
        <v>#NUM!</v>
      </c>
      <c r="G1194" s="39" t="e">
        <f ca="1">IF($C$1076&gt;0,VLOOKUP($C1194,COSTI!$U$4:$Z$1003,5,FALSE),IF($C$1075&gt;0,VLOOKUP($C1194,PATRIMONIALE!$U$4:$Z$1003,5,FALSE),IF($C$1074&gt;0,VLOOKUP($C1194,ENTI!$U$4:$Z$1003,5,FALSE),"")))</f>
        <v>#N/A</v>
      </c>
      <c r="H1194" s="42" t="e">
        <f ca="1">IF($C$1076&gt;0,VLOOKUP($C1194,COSTI!$U$4:$Z$1003,6,FALSE),IF($C$1075&gt;0,VLOOKUP($C1194,PATRIMONIALE!$U$4:$Z$1003,6,FALSE),IF($C$1074&gt;0,VLOOKUP($C1194,ENTI!$U$4:$Z$1003,6,FALSE),"")))</f>
        <v>#N/A</v>
      </c>
      <c r="I1194" s="496">
        <v>114</v>
      </c>
      <c r="J1194" s="43" t="e">
        <f ca="1">VLOOKUP(D1194,$F$1081:$I$4183,4,FALSE)+COUNTIF(E$1081:E1193,E1194)</f>
        <v>#N/A</v>
      </c>
      <c r="K1194" s="1"/>
      <c r="L1194" s="39" t="e">
        <f>IF($C$1074&gt;0,VLOOKUP($C1194,ENTI!$U$4:$AD$1003,10,FALSE),"")</f>
        <v>#N/A</v>
      </c>
      <c r="M1194" s="1"/>
      <c r="N1194" s="1"/>
      <c r="O1194" s="1"/>
    </row>
    <row r="1195" spans="1:15" hidden="1">
      <c r="A1195" s="1"/>
      <c r="B1195" s="40" t="e">
        <f t="shared" ca="1" si="182"/>
        <v>#N/A</v>
      </c>
      <c r="C1195" s="496">
        <v>115</v>
      </c>
      <c r="D1195" s="41" t="e">
        <f ca="1">IF($C$1076&gt;0,VLOOKUP($C1195,COSTI!$U$4:$Z$1003,3,FALSE),IF($C$1075&gt;0,VLOOKUP($C1195,PATRIMONIALE!$U$4:$Z$1003,3,FALSE),IF($C$1074&gt;0,VLOOKUP($C1195,ENTI!$U$4:$Z$1003,3,FALSE),"")))</f>
        <v>#N/A</v>
      </c>
      <c r="E1195" s="41" t="str">
        <f t="shared" ca="1" si="185"/>
        <v/>
      </c>
      <c r="F1195" s="41" t="e">
        <f t="shared" ca="1" si="183"/>
        <v>#NUM!</v>
      </c>
      <c r="G1195" s="39" t="e">
        <f ca="1">IF($C$1076&gt;0,VLOOKUP($C1195,COSTI!$U$4:$Z$1003,5,FALSE),IF($C$1075&gt;0,VLOOKUP($C1195,PATRIMONIALE!$U$4:$Z$1003,5,FALSE),IF($C$1074&gt;0,VLOOKUP($C1195,ENTI!$U$4:$Z$1003,5,FALSE),"")))</f>
        <v>#N/A</v>
      </c>
      <c r="H1195" s="42" t="e">
        <f ca="1">IF($C$1076&gt;0,VLOOKUP($C1195,COSTI!$U$4:$Z$1003,6,FALSE),IF($C$1075&gt;0,VLOOKUP($C1195,PATRIMONIALE!$U$4:$Z$1003,6,FALSE),IF($C$1074&gt;0,VLOOKUP($C1195,ENTI!$U$4:$Z$1003,6,FALSE),"")))</f>
        <v>#N/A</v>
      </c>
      <c r="I1195" s="496">
        <v>115</v>
      </c>
      <c r="J1195" s="43" t="e">
        <f ca="1">VLOOKUP(D1195,$F$1081:$I$4183,4,FALSE)+COUNTIF(E$1081:E1194,E1195)</f>
        <v>#N/A</v>
      </c>
      <c r="K1195" s="1"/>
      <c r="L1195" s="39" t="e">
        <f>IF($C$1074&gt;0,VLOOKUP($C1195,ENTI!$U$4:$AD$1003,10,FALSE),"")</f>
        <v>#N/A</v>
      </c>
      <c r="M1195" s="1"/>
      <c r="N1195" s="1"/>
      <c r="O1195" s="1"/>
    </row>
    <row r="1196" spans="1:15" hidden="1">
      <c r="A1196" s="1"/>
      <c r="B1196" s="40" t="e">
        <f t="shared" ca="1" si="182"/>
        <v>#N/A</v>
      </c>
      <c r="C1196" s="496">
        <v>116</v>
      </c>
      <c r="D1196" s="41" t="e">
        <f ca="1">IF($C$1076&gt;0,VLOOKUP($C1196,COSTI!$U$4:$Z$1003,3,FALSE),IF($C$1075&gt;0,VLOOKUP($C1196,PATRIMONIALE!$U$4:$Z$1003,3,FALSE),IF($C$1074&gt;0,VLOOKUP($C1196,ENTI!$U$4:$Z$1003,3,FALSE),"")))</f>
        <v>#N/A</v>
      </c>
      <c r="E1196" s="41" t="str">
        <f t="shared" ca="1" si="185"/>
        <v/>
      </c>
      <c r="F1196" s="41" t="e">
        <f t="shared" ca="1" si="183"/>
        <v>#NUM!</v>
      </c>
      <c r="G1196" s="39" t="e">
        <f ca="1">IF($C$1076&gt;0,VLOOKUP($C1196,COSTI!$U$4:$Z$1003,5,FALSE),IF($C$1075&gt;0,VLOOKUP($C1196,PATRIMONIALE!$U$4:$Z$1003,5,FALSE),IF($C$1074&gt;0,VLOOKUP($C1196,ENTI!$U$4:$Z$1003,5,FALSE),"")))</f>
        <v>#N/A</v>
      </c>
      <c r="H1196" s="42" t="e">
        <f ca="1">IF($C$1076&gt;0,VLOOKUP($C1196,COSTI!$U$4:$Z$1003,6,FALSE),IF($C$1075&gt;0,VLOOKUP($C1196,PATRIMONIALE!$U$4:$Z$1003,6,FALSE),IF($C$1074&gt;0,VLOOKUP($C1196,ENTI!$U$4:$Z$1003,6,FALSE),"")))</f>
        <v>#N/A</v>
      </c>
      <c r="I1196" s="496">
        <v>116</v>
      </c>
      <c r="J1196" s="43" t="e">
        <f ca="1">VLOOKUP(D1196,$F$1081:$I$4183,4,FALSE)+COUNTIF(E$1081:E1195,E1196)</f>
        <v>#N/A</v>
      </c>
      <c r="K1196" s="1"/>
      <c r="L1196" s="39" t="e">
        <f>IF($C$1074&gt;0,VLOOKUP($C1196,ENTI!$U$4:$AD$1003,10,FALSE),"")</f>
        <v>#N/A</v>
      </c>
      <c r="M1196" s="1"/>
      <c r="N1196" s="1"/>
      <c r="O1196" s="1"/>
    </row>
    <row r="1197" spans="1:15" hidden="1">
      <c r="A1197" s="1"/>
      <c r="B1197" s="40" t="e">
        <f t="shared" ca="1" si="182"/>
        <v>#N/A</v>
      </c>
      <c r="C1197" s="496">
        <v>117</v>
      </c>
      <c r="D1197" s="41" t="e">
        <f ca="1">IF($C$1076&gt;0,VLOOKUP($C1197,COSTI!$U$4:$Z$1003,3,FALSE),IF($C$1075&gt;0,VLOOKUP($C1197,PATRIMONIALE!$U$4:$Z$1003,3,FALSE),IF($C$1074&gt;0,VLOOKUP($C1197,ENTI!$U$4:$Z$1003,3,FALSE),"")))</f>
        <v>#N/A</v>
      </c>
      <c r="E1197" s="41" t="str">
        <f t="shared" ca="1" si="185"/>
        <v/>
      </c>
      <c r="F1197" s="41" t="e">
        <f t="shared" ca="1" si="183"/>
        <v>#NUM!</v>
      </c>
      <c r="G1197" s="39" t="e">
        <f ca="1">IF($C$1076&gt;0,VLOOKUP($C1197,COSTI!$U$4:$Z$1003,5,FALSE),IF($C$1075&gt;0,VLOOKUP($C1197,PATRIMONIALE!$U$4:$Z$1003,5,FALSE),IF($C$1074&gt;0,VLOOKUP($C1197,ENTI!$U$4:$Z$1003,5,FALSE),"")))</f>
        <v>#N/A</v>
      </c>
      <c r="H1197" s="42" t="e">
        <f ca="1">IF($C$1076&gt;0,VLOOKUP($C1197,COSTI!$U$4:$Z$1003,6,FALSE),IF($C$1075&gt;0,VLOOKUP($C1197,PATRIMONIALE!$U$4:$Z$1003,6,FALSE),IF($C$1074&gt;0,VLOOKUP($C1197,ENTI!$U$4:$Z$1003,6,FALSE),"")))</f>
        <v>#N/A</v>
      </c>
      <c r="I1197" s="496">
        <v>117</v>
      </c>
      <c r="J1197" s="43" t="e">
        <f ca="1">VLOOKUP(D1197,$F$1081:$I$4183,4,FALSE)+COUNTIF(E$1081:E1196,E1197)</f>
        <v>#N/A</v>
      </c>
      <c r="K1197" s="1"/>
      <c r="L1197" s="39" t="e">
        <f>IF($C$1074&gt;0,VLOOKUP($C1197,ENTI!$U$4:$AD$1003,10,FALSE),"")</f>
        <v>#N/A</v>
      </c>
      <c r="M1197" s="1"/>
      <c r="N1197" s="1"/>
      <c r="O1197" s="1"/>
    </row>
    <row r="1198" spans="1:15" hidden="1">
      <c r="A1198" s="1"/>
      <c r="B1198" s="40" t="e">
        <f t="shared" ca="1" si="182"/>
        <v>#N/A</v>
      </c>
      <c r="C1198" s="496">
        <v>118</v>
      </c>
      <c r="D1198" s="41" t="e">
        <f ca="1">IF($C$1076&gt;0,VLOOKUP($C1198,COSTI!$U$4:$Z$1003,3,FALSE),IF($C$1075&gt;0,VLOOKUP($C1198,PATRIMONIALE!$U$4:$Z$1003,3,FALSE),IF($C$1074&gt;0,VLOOKUP($C1198,ENTI!$U$4:$Z$1003,3,FALSE),"")))</f>
        <v>#N/A</v>
      </c>
      <c r="E1198" s="41" t="str">
        <f t="shared" ca="1" si="185"/>
        <v/>
      </c>
      <c r="F1198" s="41" t="e">
        <f t="shared" ca="1" si="183"/>
        <v>#NUM!</v>
      </c>
      <c r="G1198" s="39" t="e">
        <f ca="1">IF($C$1076&gt;0,VLOOKUP($C1198,COSTI!$U$4:$Z$1003,5,FALSE),IF($C$1075&gt;0,VLOOKUP($C1198,PATRIMONIALE!$U$4:$Z$1003,5,FALSE),IF($C$1074&gt;0,VLOOKUP($C1198,ENTI!$U$4:$Z$1003,5,FALSE),"")))</f>
        <v>#N/A</v>
      </c>
      <c r="H1198" s="42" t="e">
        <f ca="1">IF($C$1076&gt;0,VLOOKUP($C1198,COSTI!$U$4:$Z$1003,6,FALSE),IF($C$1075&gt;0,VLOOKUP($C1198,PATRIMONIALE!$U$4:$Z$1003,6,FALSE),IF($C$1074&gt;0,VLOOKUP($C1198,ENTI!$U$4:$Z$1003,6,FALSE),"")))</f>
        <v>#N/A</v>
      </c>
      <c r="I1198" s="496">
        <v>118</v>
      </c>
      <c r="J1198" s="43" t="e">
        <f ca="1">VLOOKUP(D1198,$F$1081:$I$4183,4,FALSE)+COUNTIF(E$1081:E1197,E1198)</f>
        <v>#N/A</v>
      </c>
      <c r="K1198" s="1"/>
      <c r="L1198" s="39" t="e">
        <f>IF($C$1074&gt;0,VLOOKUP($C1198,ENTI!$U$4:$AD$1003,10,FALSE),"")</f>
        <v>#N/A</v>
      </c>
      <c r="M1198" s="1"/>
      <c r="N1198" s="1"/>
      <c r="O1198" s="1"/>
    </row>
    <row r="1199" spans="1:15" hidden="1">
      <c r="A1199" s="1"/>
      <c r="B1199" s="40" t="e">
        <f t="shared" ca="1" si="182"/>
        <v>#N/A</v>
      </c>
      <c r="C1199" s="496">
        <v>119</v>
      </c>
      <c r="D1199" s="41" t="e">
        <f ca="1">IF($C$1076&gt;0,VLOOKUP($C1199,COSTI!$U$4:$Z$1003,3,FALSE),IF($C$1075&gt;0,VLOOKUP($C1199,PATRIMONIALE!$U$4:$Z$1003,3,FALSE),IF($C$1074&gt;0,VLOOKUP($C1199,ENTI!$U$4:$Z$1003,3,FALSE),"")))</f>
        <v>#N/A</v>
      </c>
      <c r="E1199" s="41" t="str">
        <f t="shared" ca="1" si="185"/>
        <v/>
      </c>
      <c r="F1199" s="41" t="e">
        <f t="shared" ca="1" si="183"/>
        <v>#NUM!</v>
      </c>
      <c r="G1199" s="39" t="e">
        <f ca="1">IF($C$1076&gt;0,VLOOKUP($C1199,COSTI!$U$4:$Z$1003,5,FALSE),IF($C$1075&gt;0,VLOOKUP($C1199,PATRIMONIALE!$U$4:$Z$1003,5,FALSE),IF($C$1074&gt;0,VLOOKUP($C1199,ENTI!$U$4:$Z$1003,5,FALSE),"")))</f>
        <v>#N/A</v>
      </c>
      <c r="H1199" s="42" t="e">
        <f ca="1">IF($C$1076&gt;0,VLOOKUP($C1199,COSTI!$U$4:$Z$1003,6,FALSE),IF($C$1075&gt;0,VLOOKUP($C1199,PATRIMONIALE!$U$4:$Z$1003,6,FALSE),IF($C$1074&gt;0,VLOOKUP($C1199,ENTI!$U$4:$Z$1003,6,FALSE),"")))</f>
        <v>#N/A</v>
      </c>
      <c r="I1199" s="496">
        <v>119</v>
      </c>
      <c r="J1199" s="43" t="e">
        <f ca="1">VLOOKUP(D1199,$F$1081:$I$4183,4,FALSE)+COUNTIF(E$1081:E1198,E1199)</f>
        <v>#N/A</v>
      </c>
      <c r="K1199" s="1"/>
      <c r="L1199" s="39" t="e">
        <f>IF($C$1074&gt;0,VLOOKUP($C1199,ENTI!$U$4:$AD$1003,10,FALSE),"")</f>
        <v>#N/A</v>
      </c>
      <c r="M1199" s="1"/>
      <c r="N1199" s="1"/>
      <c r="O1199" s="1"/>
    </row>
    <row r="1200" spans="1:15" hidden="1">
      <c r="A1200" s="1"/>
      <c r="B1200" s="40" t="e">
        <f t="shared" ca="1" si="182"/>
        <v>#N/A</v>
      </c>
      <c r="C1200" s="496">
        <v>120</v>
      </c>
      <c r="D1200" s="41" t="e">
        <f ca="1">IF($C$1076&gt;0,VLOOKUP($C1200,COSTI!$U$4:$Z$1003,3,FALSE),IF($C$1075&gt;0,VLOOKUP($C1200,PATRIMONIALE!$U$4:$Z$1003,3,FALSE),IF($C$1074&gt;0,VLOOKUP($C1200,ENTI!$U$4:$Z$1003,3,FALSE),"")))</f>
        <v>#N/A</v>
      </c>
      <c r="E1200" s="41" t="str">
        <f t="shared" ca="1" si="185"/>
        <v/>
      </c>
      <c r="F1200" s="41" t="e">
        <f t="shared" ca="1" si="183"/>
        <v>#NUM!</v>
      </c>
      <c r="G1200" s="39" t="e">
        <f ca="1">IF($C$1076&gt;0,VLOOKUP($C1200,COSTI!$U$4:$Z$1003,5,FALSE),IF($C$1075&gt;0,VLOOKUP($C1200,PATRIMONIALE!$U$4:$Z$1003,5,FALSE),IF($C$1074&gt;0,VLOOKUP($C1200,ENTI!$U$4:$Z$1003,5,FALSE),"")))</f>
        <v>#N/A</v>
      </c>
      <c r="H1200" s="42" t="e">
        <f ca="1">IF($C$1076&gt;0,VLOOKUP($C1200,COSTI!$U$4:$Z$1003,6,FALSE),IF($C$1075&gt;0,VLOOKUP($C1200,PATRIMONIALE!$U$4:$Z$1003,6,FALSE),IF($C$1074&gt;0,VLOOKUP($C1200,ENTI!$U$4:$Z$1003,6,FALSE),"")))</f>
        <v>#N/A</v>
      </c>
      <c r="I1200" s="496">
        <v>120</v>
      </c>
      <c r="J1200" s="43" t="e">
        <f ca="1">VLOOKUP(D1200,$F$1081:$I$4183,4,FALSE)+COUNTIF(E$1081:E1199,E1200)</f>
        <v>#N/A</v>
      </c>
      <c r="K1200" s="1"/>
      <c r="L1200" s="39" t="e">
        <f>IF($C$1074&gt;0,VLOOKUP($C1200,ENTI!$U$4:$AD$1003,10,FALSE),"")</f>
        <v>#N/A</v>
      </c>
      <c r="M1200" s="1"/>
      <c r="N1200" s="1"/>
      <c r="O1200" s="1"/>
    </row>
    <row r="1201" spans="1:15" hidden="1">
      <c r="A1201" s="1"/>
      <c r="B1201" s="40" t="e">
        <f t="shared" ca="1" si="182"/>
        <v>#N/A</v>
      </c>
      <c r="C1201" s="496">
        <v>121</v>
      </c>
      <c r="D1201" s="41" t="e">
        <f ca="1">IF($C$1076&gt;0,VLOOKUP($C1201,COSTI!$U$4:$Z$1003,3,FALSE),IF($C$1075&gt;0,VLOOKUP($C1201,PATRIMONIALE!$U$4:$Z$1003,3,FALSE),IF($C$1074&gt;0,VLOOKUP($C1201,ENTI!$U$4:$Z$1003,3,FALSE),"")))</f>
        <v>#N/A</v>
      </c>
      <c r="E1201" s="41" t="str">
        <f t="shared" ca="1" si="185"/>
        <v/>
      </c>
      <c r="F1201" s="41" t="e">
        <f t="shared" ca="1" si="183"/>
        <v>#NUM!</v>
      </c>
      <c r="G1201" s="39" t="e">
        <f ca="1">IF($C$1076&gt;0,VLOOKUP($C1201,COSTI!$U$4:$Z$1003,5,FALSE),IF($C$1075&gt;0,VLOOKUP($C1201,PATRIMONIALE!$U$4:$Z$1003,5,FALSE),IF($C$1074&gt;0,VLOOKUP($C1201,ENTI!$U$4:$Z$1003,5,FALSE),"")))</f>
        <v>#N/A</v>
      </c>
      <c r="H1201" s="42" t="e">
        <f ca="1">IF($C$1076&gt;0,VLOOKUP($C1201,COSTI!$U$4:$Z$1003,6,FALSE),IF($C$1075&gt;0,VLOOKUP($C1201,PATRIMONIALE!$U$4:$Z$1003,6,FALSE),IF($C$1074&gt;0,VLOOKUP($C1201,ENTI!$U$4:$Z$1003,6,FALSE),"")))</f>
        <v>#N/A</v>
      </c>
      <c r="I1201" s="496">
        <v>121</v>
      </c>
      <c r="J1201" s="43" t="e">
        <f ca="1">VLOOKUP(D1201,$F$1081:$I$4183,4,FALSE)+COUNTIF(E$1081:E1200,E1201)</f>
        <v>#N/A</v>
      </c>
      <c r="K1201" s="1"/>
      <c r="L1201" s="39" t="e">
        <f>IF($C$1074&gt;0,VLOOKUP($C1201,ENTI!$U$4:$AD$1003,10,FALSE),"")</f>
        <v>#N/A</v>
      </c>
      <c r="M1201" s="1"/>
      <c r="N1201" s="1"/>
      <c r="O1201" s="1"/>
    </row>
    <row r="1202" spans="1:15" hidden="1">
      <c r="A1202" s="1"/>
      <c r="B1202" s="40" t="e">
        <f t="shared" ca="1" si="182"/>
        <v>#N/A</v>
      </c>
      <c r="C1202" s="496">
        <v>122</v>
      </c>
      <c r="D1202" s="41" t="e">
        <f ca="1">IF($C$1076&gt;0,VLOOKUP($C1202,COSTI!$U$4:$Z$1003,3,FALSE),IF($C$1075&gt;0,VLOOKUP($C1202,PATRIMONIALE!$U$4:$Z$1003,3,FALSE),IF($C$1074&gt;0,VLOOKUP($C1202,ENTI!$U$4:$Z$1003,3,FALSE),"")))</f>
        <v>#N/A</v>
      </c>
      <c r="E1202" s="41" t="str">
        <f t="shared" ca="1" si="185"/>
        <v/>
      </c>
      <c r="F1202" s="41" t="e">
        <f t="shared" ca="1" si="183"/>
        <v>#NUM!</v>
      </c>
      <c r="G1202" s="39" t="e">
        <f ca="1">IF($C$1076&gt;0,VLOOKUP($C1202,COSTI!$U$4:$Z$1003,5,FALSE),IF($C$1075&gt;0,VLOOKUP($C1202,PATRIMONIALE!$U$4:$Z$1003,5,FALSE),IF($C$1074&gt;0,VLOOKUP($C1202,ENTI!$U$4:$Z$1003,5,FALSE),"")))</f>
        <v>#N/A</v>
      </c>
      <c r="H1202" s="42" t="e">
        <f ca="1">IF($C$1076&gt;0,VLOOKUP($C1202,COSTI!$U$4:$Z$1003,6,FALSE),IF($C$1075&gt;0,VLOOKUP($C1202,PATRIMONIALE!$U$4:$Z$1003,6,FALSE),IF($C$1074&gt;0,VLOOKUP($C1202,ENTI!$U$4:$Z$1003,6,FALSE),"")))</f>
        <v>#N/A</v>
      </c>
      <c r="I1202" s="496">
        <v>122</v>
      </c>
      <c r="J1202" s="43" t="e">
        <f ca="1">VLOOKUP(D1202,$F$1081:$I$4183,4,FALSE)+COUNTIF(E$1081:E1201,E1202)</f>
        <v>#N/A</v>
      </c>
      <c r="K1202" s="1"/>
      <c r="L1202" s="39" t="e">
        <f>IF($C$1074&gt;0,VLOOKUP($C1202,ENTI!$U$4:$AD$1003,10,FALSE),"")</f>
        <v>#N/A</v>
      </c>
      <c r="M1202" s="1"/>
      <c r="N1202" s="1"/>
      <c r="O1202" s="1"/>
    </row>
    <row r="1203" spans="1:15" hidden="1">
      <c r="A1203" s="1"/>
      <c r="B1203" s="40" t="e">
        <f t="shared" ca="1" si="182"/>
        <v>#N/A</v>
      </c>
      <c r="C1203" s="496">
        <v>123</v>
      </c>
      <c r="D1203" s="41" t="e">
        <f ca="1">IF($C$1076&gt;0,VLOOKUP($C1203,COSTI!$U$4:$Z$1003,3,FALSE),IF($C$1075&gt;0,VLOOKUP($C1203,PATRIMONIALE!$U$4:$Z$1003,3,FALSE),IF($C$1074&gt;0,VLOOKUP($C1203,ENTI!$U$4:$Z$1003,3,FALSE),"")))</f>
        <v>#N/A</v>
      </c>
      <c r="E1203" s="41" t="str">
        <f t="shared" ca="1" si="185"/>
        <v/>
      </c>
      <c r="F1203" s="41" t="e">
        <f t="shared" ca="1" si="183"/>
        <v>#NUM!</v>
      </c>
      <c r="G1203" s="39" t="e">
        <f ca="1">IF($C$1076&gt;0,VLOOKUP($C1203,COSTI!$U$4:$Z$1003,5,FALSE),IF($C$1075&gt;0,VLOOKUP($C1203,PATRIMONIALE!$U$4:$Z$1003,5,FALSE),IF($C$1074&gt;0,VLOOKUP($C1203,ENTI!$U$4:$Z$1003,5,FALSE),"")))</f>
        <v>#N/A</v>
      </c>
      <c r="H1203" s="42" t="e">
        <f ca="1">IF($C$1076&gt;0,VLOOKUP($C1203,COSTI!$U$4:$Z$1003,6,FALSE),IF($C$1075&gt;0,VLOOKUP($C1203,PATRIMONIALE!$U$4:$Z$1003,6,FALSE),IF($C$1074&gt;0,VLOOKUP($C1203,ENTI!$U$4:$Z$1003,6,FALSE),"")))</f>
        <v>#N/A</v>
      </c>
      <c r="I1203" s="496">
        <v>123</v>
      </c>
      <c r="J1203" s="43" t="e">
        <f ca="1">VLOOKUP(D1203,$F$1081:$I$4183,4,FALSE)+COUNTIF(E$1081:E1202,E1203)</f>
        <v>#N/A</v>
      </c>
      <c r="K1203" s="1"/>
      <c r="L1203" s="39" t="e">
        <f>IF($C$1074&gt;0,VLOOKUP($C1203,ENTI!$U$4:$AD$1003,10,FALSE),"")</f>
        <v>#N/A</v>
      </c>
      <c r="M1203" s="1"/>
      <c r="N1203" s="1"/>
      <c r="O1203" s="1"/>
    </row>
    <row r="1204" spans="1:15" hidden="1">
      <c r="A1204" s="1"/>
      <c r="B1204" s="40" t="e">
        <f t="shared" ca="1" si="182"/>
        <v>#N/A</v>
      </c>
      <c r="C1204" s="496">
        <v>124</v>
      </c>
      <c r="D1204" s="41" t="e">
        <f ca="1">IF($C$1076&gt;0,VLOOKUP($C1204,COSTI!$U$4:$Z$1003,3,FALSE),IF($C$1075&gt;0,VLOOKUP($C1204,PATRIMONIALE!$U$4:$Z$1003,3,FALSE),IF($C$1074&gt;0,VLOOKUP($C1204,ENTI!$U$4:$Z$1003,3,FALSE),"")))</f>
        <v>#N/A</v>
      </c>
      <c r="E1204" s="41" t="str">
        <f t="shared" ca="1" si="185"/>
        <v/>
      </c>
      <c r="F1204" s="41" t="e">
        <f t="shared" ca="1" si="183"/>
        <v>#NUM!</v>
      </c>
      <c r="G1204" s="39" t="e">
        <f ca="1">IF($C$1076&gt;0,VLOOKUP($C1204,COSTI!$U$4:$Z$1003,5,FALSE),IF($C$1075&gt;0,VLOOKUP($C1204,PATRIMONIALE!$U$4:$Z$1003,5,FALSE),IF($C$1074&gt;0,VLOOKUP($C1204,ENTI!$U$4:$Z$1003,5,FALSE),"")))</f>
        <v>#N/A</v>
      </c>
      <c r="H1204" s="42" t="e">
        <f ca="1">IF($C$1076&gt;0,VLOOKUP($C1204,COSTI!$U$4:$Z$1003,6,FALSE),IF($C$1075&gt;0,VLOOKUP($C1204,PATRIMONIALE!$U$4:$Z$1003,6,FALSE),IF($C$1074&gt;0,VLOOKUP($C1204,ENTI!$U$4:$Z$1003,6,FALSE),"")))</f>
        <v>#N/A</v>
      </c>
      <c r="I1204" s="496">
        <v>124</v>
      </c>
      <c r="J1204" s="43" t="e">
        <f ca="1">VLOOKUP(D1204,$F$1081:$I$4183,4,FALSE)+COUNTIF(E$1081:E1203,E1204)</f>
        <v>#N/A</v>
      </c>
      <c r="K1204" s="1"/>
      <c r="L1204" s="39" t="e">
        <f>IF($C$1074&gt;0,VLOOKUP($C1204,ENTI!$U$4:$AD$1003,10,FALSE),"")</f>
        <v>#N/A</v>
      </c>
      <c r="M1204" s="1"/>
      <c r="N1204" s="1"/>
      <c r="O1204" s="1"/>
    </row>
    <row r="1205" spans="1:15" hidden="1">
      <c r="A1205" s="1"/>
      <c r="B1205" s="40" t="e">
        <f t="shared" ca="1" si="182"/>
        <v>#N/A</v>
      </c>
      <c r="C1205" s="496">
        <v>125</v>
      </c>
      <c r="D1205" s="41" t="e">
        <f ca="1">IF($C$1076&gt;0,VLOOKUP($C1205,COSTI!$U$4:$Z$1003,3,FALSE),IF($C$1075&gt;0,VLOOKUP($C1205,PATRIMONIALE!$U$4:$Z$1003,3,FALSE),IF($C$1074&gt;0,VLOOKUP($C1205,ENTI!$U$4:$Z$1003,3,FALSE),"")))</f>
        <v>#N/A</v>
      </c>
      <c r="E1205" s="41" t="str">
        <f t="shared" ca="1" si="185"/>
        <v/>
      </c>
      <c r="F1205" s="41" t="e">
        <f t="shared" ca="1" si="183"/>
        <v>#NUM!</v>
      </c>
      <c r="G1205" s="39" t="e">
        <f ca="1">IF($C$1076&gt;0,VLOOKUP($C1205,COSTI!$U$4:$Z$1003,5,FALSE),IF($C$1075&gt;0,VLOOKUP($C1205,PATRIMONIALE!$U$4:$Z$1003,5,FALSE),IF($C$1074&gt;0,VLOOKUP($C1205,ENTI!$U$4:$Z$1003,5,FALSE),"")))</f>
        <v>#N/A</v>
      </c>
      <c r="H1205" s="42" t="e">
        <f ca="1">IF($C$1076&gt;0,VLOOKUP($C1205,COSTI!$U$4:$Z$1003,6,FALSE),IF($C$1075&gt;0,VLOOKUP($C1205,PATRIMONIALE!$U$4:$Z$1003,6,FALSE),IF($C$1074&gt;0,VLOOKUP($C1205,ENTI!$U$4:$Z$1003,6,FALSE),"")))</f>
        <v>#N/A</v>
      </c>
      <c r="I1205" s="496">
        <v>125</v>
      </c>
      <c r="J1205" s="43" t="e">
        <f ca="1">VLOOKUP(D1205,$F$1081:$I$4183,4,FALSE)+COUNTIF(E$1081:E1204,E1205)</f>
        <v>#N/A</v>
      </c>
      <c r="K1205" s="1"/>
      <c r="L1205" s="39" t="e">
        <f>IF($C$1074&gt;0,VLOOKUP($C1205,ENTI!$U$4:$AD$1003,10,FALSE),"")</f>
        <v>#N/A</v>
      </c>
      <c r="M1205" s="1"/>
      <c r="N1205" s="1"/>
      <c r="O1205" s="1"/>
    </row>
    <row r="1206" spans="1:15" hidden="1">
      <c r="A1206" s="1"/>
      <c r="B1206" s="40" t="e">
        <f t="shared" ca="1" si="182"/>
        <v>#N/A</v>
      </c>
      <c r="C1206" s="496">
        <v>126</v>
      </c>
      <c r="D1206" s="41" t="e">
        <f ca="1">IF($C$1076&gt;0,VLOOKUP($C1206,COSTI!$U$4:$Z$1003,3,FALSE),IF($C$1075&gt;0,VLOOKUP($C1206,PATRIMONIALE!$U$4:$Z$1003,3,FALSE),IF($C$1074&gt;0,VLOOKUP($C1206,ENTI!$U$4:$Z$1003,3,FALSE),"")))</f>
        <v>#N/A</v>
      </c>
      <c r="E1206" s="41" t="str">
        <f t="shared" ca="1" si="185"/>
        <v/>
      </c>
      <c r="F1206" s="41" t="e">
        <f t="shared" ca="1" si="183"/>
        <v>#NUM!</v>
      </c>
      <c r="G1206" s="39" t="e">
        <f ca="1">IF($C$1076&gt;0,VLOOKUP($C1206,COSTI!$U$4:$Z$1003,5,FALSE),IF($C$1075&gt;0,VLOOKUP($C1206,PATRIMONIALE!$U$4:$Z$1003,5,FALSE),IF($C$1074&gt;0,VLOOKUP($C1206,ENTI!$U$4:$Z$1003,5,FALSE),"")))</f>
        <v>#N/A</v>
      </c>
      <c r="H1206" s="42" t="e">
        <f ca="1">IF($C$1076&gt;0,VLOOKUP($C1206,COSTI!$U$4:$Z$1003,6,FALSE),IF($C$1075&gt;0,VLOOKUP($C1206,PATRIMONIALE!$U$4:$Z$1003,6,FALSE),IF($C$1074&gt;0,VLOOKUP($C1206,ENTI!$U$4:$Z$1003,6,FALSE),"")))</f>
        <v>#N/A</v>
      </c>
      <c r="I1206" s="496">
        <v>126</v>
      </c>
      <c r="J1206" s="43" t="e">
        <f ca="1">VLOOKUP(D1206,$F$1081:$I$4183,4,FALSE)+COUNTIF(E$1081:E1205,E1206)</f>
        <v>#N/A</v>
      </c>
      <c r="K1206" s="1"/>
      <c r="L1206" s="39" t="e">
        <f>IF($C$1074&gt;0,VLOOKUP($C1206,ENTI!$U$4:$AD$1003,10,FALSE),"")</f>
        <v>#N/A</v>
      </c>
      <c r="M1206" s="1"/>
      <c r="N1206" s="1"/>
      <c r="O1206" s="1"/>
    </row>
    <row r="1207" spans="1:15" hidden="1">
      <c r="A1207" s="1"/>
      <c r="B1207" s="40" t="e">
        <f t="shared" ca="1" si="182"/>
        <v>#N/A</v>
      </c>
      <c r="C1207" s="496">
        <v>127</v>
      </c>
      <c r="D1207" s="41" t="e">
        <f ca="1">IF($C$1076&gt;0,VLOOKUP($C1207,COSTI!$U$4:$Z$1003,3,FALSE),IF($C$1075&gt;0,VLOOKUP($C1207,PATRIMONIALE!$U$4:$Z$1003,3,FALSE),IF($C$1074&gt;0,VLOOKUP($C1207,ENTI!$U$4:$Z$1003,3,FALSE),"")))</f>
        <v>#N/A</v>
      </c>
      <c r="E1207" s="41" t="str">
        <f t="shared" ca="1" si="185"/>
        <v/>
      </c>
      <c r="F1207" s="41" t="e">
        <f t="shared" ca="1" si="183"/>
        <v>#NUM!</v>
      </c>
      <c r="G1207" s="39" t="e">
        <f ca="1">IF($C$1076&gt;0,VLOOKUP($C1207,COSTI!$U$4:$Z$1003,5,FALSE),IF($C$1075&gt;0,VLOOKUP($C1207,PATRIMONIALE!$U$4:$Z$1003,5,FALSE),IF($C$1074&gt;0,VLOOKUP($C1207,ENTI!$U$4:$Z$1003,5,FALSE),"")))</f>
        <v>#N/A</v>
      </c>
      <c r="H1207" s="42" t="e">
        <f ca="1">IF($C$1076&gt;0,VLOOKUP($C1207,COSTI!$U$4:$Z$1003,6,FALSE),IF($C$1075&gt;0,VLOOKUP($C1207,PATRIMONIALE!$U$4:$Z$1003,6,FALSE),IF($C$1074&gt;0,VLOOKUP($C1207,ENTI!$U$4:$Z$1003,6,FALSE),"")))</f>
        <v>#N/A</v>
      </c>
      <c r="I1207" s="496">
        <v>127</v>
      </c>
      <c r="J1207" s="43" t="e">
        <f ca="1">VLOOKUP(D1207,$F$1081:$I$4183,4,FALSE)+COUNTIF(E$1081:E1206,E1207)</f>
        <v>#N/A</v>
      </c>
      <c r="K1207" s="1"/>
      <c r="L1207" s="39" t="e">
        <f>IF($C$1074&gt;0,VLOOKUP($C1207,ENTI!$U$4:$AD$1003,10,FALSE),"")</f>
        <v>#N/A</v>
      </c>
      <c r="M1207" s="1"/>
      <c r="N1207" s="1"/>
      <c r="O1207" s="1"/>
    </row>
    <row r="1208" spans="1:15" hidden="1">
      <c r="A1208" s="1"/>
      <c r="B1208" s="40" t="e">
        <f t="shared" ca="1" si="182"/>
        <v>#N/A</v>
      </c>
      <c r="C1208" s="496">
        <v>128</v>
      </c>
      <c r="D1208" s="41" t="e">
        <f ca="1">IF($C$1076&gt;0,VLOOKUP($C1208,COSTI!$U$4:$Z$1003,3,FALSE),IF($C$1075&gt;0,VLOOKUP($C1208,PATRIMONIALE!$U$4:$Z$1003,3,FALSE),IF($C$1074&gt;0,VLOOKUP($C1208,ENTI!$U$4:$Z$1003,3,FALSE),"")))</f>
        <v>#N/A</v>
      </c>
      <c r="E1208" s="41" t="str">
        <f t="shared" ca="1" si="185"/>
        <v/>
      </c>
      <c r="F1208" s="41" t="e">
        <f t="shared" ca="1" si="183"/>
        <v>#NUM!</v>
      </c>
      <c r="G1208" s="39" t="e">
        <f ca="1">IF($C$1076&gt;0,VLOOKUP($C1208,COSTI!$U$4:$Z$1003,5,FALSE),IF($C$1075&gt;0,VLOOKUP($C1208,PATRIMONIALE!$U$4:$Z$1003,5,FALSE),IF($C$1074&gt;0,VLOOKUP($C1208,ENTI!$U$4:$Z$1003,5,FALSE),"")))</f>
        <v>#N/A</v>
      </c>
      <c r="H1208" s="42" t="e">
        <f ca="1">IF($C$1076&gt;0,VLOOKUP($C1208,COSTI!$U$4:$Z$1003,6,FALSE),IF($C$1075&gt;0,VLOOKUP($C1208,PATRIMONIALE!$U$4:$Z$1003,6,FALSE),IF($C$1074&gt;0,VLOOKUP($C1208,ENTI!$U$4:$Z$1003,6,FALSE),"")))</f>
        <v>#N/A</v>
      </c>
      <c r="I1208" s="496">
        <v>128</v>
      </c>
      <c r="J1208" s="43" t="e">
        <f ca="1">VLOOKUP(D1208,$F$1081:$I$4183,4,FALSE)+COUNTIF(E$1081:E1207,E1208)</f>
        <v>#N/A</v>
      </c>
      <c r="K1208" s="1"/>
      <c r="L1208" s="39" t="e">
        <f>IF($C$1074&gt;0,VLOOKUP($C1208,ENTI!$U$4:$AD$1003,10,FALSE),"")</f>
        <v>#N/A</v>
      </c>
      <c r="M1208" s="1"/>
      <c r="N1208" s="1"/>
      <c r="O1208" s="1"/>
    </row>
    <row r="1209" spans="1:15" hidden="1">
      <c r="A1209" s="1"/>
      <c r="B1209" s="40" t="e">
        <f t="shared" ref="B1209:B1272" ca="1" si="186">IF(OR(C$1075&gt;0,C$1077&gt;0,C$1073&gt;0,C$1071&gt;0),J1209+1,J1209)</f>
        <v>#N/A</v>
      </c>
      <c r="C1209" s="496">
        <v>129</v>
      </c>
      <c r="D1209" s="41" t="e">
        <f ca="1">IF($C$1076&gt;0,VLOOKUP($C1209,COSTI!$U$4:$Z$1003,3,FALSE),IF($C$1075&gt;0,VLOOKUP($C1209,PATRIMONIALE!$U$4:$Z$1003,3,FALSE),IF($C$1074&gt;0,VLOOKUP($C1209,ENTI!$U$4:$Z$1003,3,FALSE),"")))</f>
        <v>#N/A</v>
      </c>
      <c r="E1209" s="41" t="str">
        <f t="shared" ca="1" si="185"/>
        <v/>
      </c>
      <c r="F1209" s="41" t="e">
        <f t="shared" ref="F1209:F1272" ca="1" si="187">SMALL(E$1081:E$4183,C1209)</f>
        <v>#NUM!</v>
      </c>
      <c r="G1209" s="39" t="e">
        <f ca="1">IF($C$1076&gt;0,VLOOKUP($C1209,COSTI!$U$4:$Z$1003,5,FALSE),IF($C$1075&gt;0,VLOOKUP($C1209,PATRIMONIALE!$U$4:$Z$1003,5,FALSE),IF($C$1074&gt;0,VLOOKUP($C1209,ENTI!$U$4:$Z$1003,5,FALSE),"")))</f>
        <v>#N/A</v>
      </c>
      <c r="H1209" s="42" t="e">
        <f ca="1">IF($C$1076&gt;0,VLOOKUP($C1209,COSTI!$U$4:$Z$1003,6,FALSE),IF($C$1075&gt;0,VLOOKUP($C1209,PATRIMONIALE!$U$4:$Z$1003,6,FALSE),IF($C$1074&gt;0,VLOOKUP($C1209,ENTI!$U$4:$Z$1003,6,FALSE),"")))</f>
        <v>#N/A</v>
      </c>
      <c r="I1209" s="496">
        <v>129</v>
      </c>
      <c r="J1209" s="43" t="e">
        <f ca="1">VLOOKUP(D1209,$F$1081:$I$4183,4,FALSE)+COUNTIF(E$1081:E1208,E1209)</f>
        <v>#N/A</v>
      </c>
      <c r="K1209" s="1"/>
      <c r="L1209" s="39" t="e">
        <f>IF($C$1074&gt;0,VLOOKUP($C1209,ENTI!$U$4:$AD$1003,10,FALSE),"")</f>
        <v>#N/A</v>
      </c>
      <c r="M1209" s="1"/>
      <c r="N1209" s="1"/>
      <c r="O1209" s="1"/>
    </row>
    <row r="1210" spans="1:15" hidden="1">
      <c r="A1210" s="1"/>
      <c r="B1210" s="40" t="e">
        <f t="shared" ca="1" si="186"/>
        <v>#N/A</v>
      </c>
      <c r="C1210" s="496">
        <v>130</v>
      </c>
      <c r="D1210" s="41" t="e">
        <f ca="1">IF($C$1076&gt;0,VLOOKUP($C1210,COSTI!$U$4:$Z$1003,3,FALSE),IF($C$1075&gt;0,VLOOKUP($C1210,PATRIMONIALE!$U$4:$Z$1003,3,FALSE),IF($C$1074&gt;0,VLOOKUP($C1210,ENTI!$U$4:$Z$1003,3,FALSE),"")))</f>
        <v>#N/A</v>
      </c>
      <c r="E1210" s="41" t="str">
        <f t="shared" ref="E1210:E1241" ca="1" si="188">IF(ISERROR(D1210),"",D1210)</f>
        <v/>
      </c>
      <c r="F1210" s="41" t="e">
        <f t="shared" ca="1" si="187"/>
        <v>#NUM!</v>
      </c>
      <c r="G1210" s="39" t="e">
        <f ca="1">IF($C$1076&gt;0,VLOOKUP($C1210,COSTI!$U$4:$Z$1003,5,FALSE),IF($C$1075&gt;0,VLOOKUP($C1210,PATRIMONIALE!$U$4:$Z$1003,5,FALSE),IF($C$1074&gt;0,VLOOKUP($C1210,ENTI!$U$4:$Z$1003,5,FALSE),"")))</f>
        <v>#N/A</v>
      </c>
      <c r="H1210" s="42" t="e">
        <f ca="1">IF($C$1076&gt;0,VLOOKUP($C1210,COSTI!$U$4:$Z$1003,6,FALSE),IF($C$1075&gt;0,VLOOKUP($C1210,PATRIMONIALE!$U$4:$Z$1003,6,FALSE),IF($C$1074&gt;0,VLOOKUP($C1210,ENTI!$U$4:$Z$1003,6,FALSE),"")))</f>
        <v>#N/A</v>
      </c>
      <c r="I1210" s="496">
        <v>130</v>
      </c>
      <c r="J1210" s="43" t="e">
        <f ca="1">VLOOKUP(D1210,$F$1081:$I$4183,4,FALSE)+COUNTIF(E$1081:E1209,E1210)</f>
        <v>#N/A</v>
      </c>
      <c r="K1210" s="1"/>
      <c r="L1210" s="39" t="e">
        <f>IF($C$1074&gt;0,VLOOKUP($C1210,ENTI!$U$4:$AD$1003,10,FALSE),"")</f>
        <v>#N/A</v>
      </c>
      <c r="M1210" s="1"/>
      <c r="N1210" s="1"/>
      <c r="O1210" s="1"/>
    </row>
    <row r="1211" spans="1:15" hidden="1">
      <c r="A1211" s="1"/>
      <c r="B1211" s="40" t="e">
        <f t="shared" ca="1" si="186"/>
        <v>#N/A</v>
      </c>
      <c r="C1211" s="496">
        <v>131</v>
      </c>
      <c r="D1211" s="41" t="e">
        <f ca="1">IF($C$1076&gt;0,VLOOKUP($C1211,COSTI!$U$4:$Z$1003,3,FALSE),IF($C$1075&gt;0,VLOOKUP($C1211,PATRIMONIALE!$U$4:$Z$1003,3,FALSE),IF($C$1074&gt;0,VLOOKUP($C1211,ENTI!$U$4:$Z$1003,3,FALSE),"")))</f>
        <v>#N/A</v>
      </c>
      <c r="E1211" s="41" t="str">
        <f t="shared" ca="1" si="188"/>
        <v/>
      </c>
      <c r="F1211" s="41" t="e">
        <f t="shared" ca="1" si="187"/>
        <v>#NUM!</v>
      </c>
      <c r="G1211" s="39" t="e">
        <f ca="1">IF($C$1076&gt;0,VLOOKUP($C1211,COSTI!$U$4:$Z$1003,5,FALSE),IF($C$1075&gt;0,VLOOKUP($C1211,PATRIMONIALE!$U$4:$Z$1003,5,FALSE),IF($C$1074&gt;0,VLOOKUP($C1211,ENTI!$U$4:$Z$1003,5,FALSE),"")))</f>
        <v>#N/A</v>
      </c>
      <c r="H1211" s="42" t="e">
        <f ca="1">IF($C$1076&gt;0,VLOOKUP($C1211,COSTI!$U$4:$Z$1003,6,FALSE),IF($C$1075&gt;0,VLOOKUP($C1211,PATRIMONIALE!$U$4:$Z$1003,6,FALSE),IF($C$1074&gt;0,VLOOKUP($C1211,ENTI!$U$4:$Z$1003,6,FALSE),"")))</f>
        <v>#N/A</v>
      </c>
      <c r="I1211" s="496">
        <v>131</v>
      </c>
      <c r="J1211" s="43" t="e">
        <f ca="1">VLOOKUP(D1211,$F$1081:$I$4183,4,FALSE)+COUNTIF(E$1081:E1210,E1211)</f>
        <v>#N/A</v>
      </c>
      <c r="K1211" s="1"/>
      <c r="L1211" s="39" t="e">
        <f>IF($C$1074&gt;0,VLOOKUP($C1211,ENTI!$U$4:$AD$1003,10,FALSE),"")</f>
        <v>#N/A</v>
      </c>
      <c r="M1211" s="1"/>
      <c r="N1211" s="1"/>
      <c r="O1211" s="1"/>
    </row>
    <row r="1212" spans="1:15" hidden="1">
      <c r="A1212" s="1"/>
      <c r="B1212" s="40" t="e">
        <f t="shared" ca="1" si="186"/>
        <v>#N/A</v>
      </c>
      <c r="C1212" s="496">
        <v>132</v>
      </c>
      <c r="D1212" s="41" t="e">
        <f ca="1">IF($C$1076&gt;0,VLOOKUP($C1212,COSTI!$U$4:$Z$1003,3,FALSE),IF($C$1075&gt;0,VLOOKUP($C1212,PATRIMONIALE!$U$4:$Z$1003,3,FALSE),IF($C$1074&gt;0,VLOOKUP($C1212,ENTI!$U$4:$Z$1003,3,FALSE),"")))</f>
        <v>#N/A</v>
      </c>
      <c r="E1212" s="41" t="str">
        <f t="shared" ca="1" si="188"/>
        <v/>
      </c>
      <c r="F1212" s="41" t="e">
        <f t="shared" ca="1" si="187"/>
        <v>#NUM!</v>
      </c>
      <c r="G1212" s="39" t="e">
        <f ca="1">IF($C$1076&gt;0,VLOOKUP($C1212,COSTI!$U$4:$Z$1003,5,FALSE),IF($C$1075&gt;0,VLOOKUP($C1212,PATRIMONIALE!$U$4:$Z$1003,5,FALSE),IF($C$1074&gt;0,VLOOKUP($C1212,ENTI!$U$4:$Z$1003,5,FALSE),"")))</f>
        <v>#N/A</v>
      </c>
      <c r="H1212" s="42" t="e">
        <f ca="1">IF($C$1076&gt;0,VLOOKUP($C1212,COSTI!$U$4:$Z$1003,6,FALSE),IF($C$1075&gt;0,VLOOKUP($C1212,PATRIMONIALE!$U$4:$Z$1003,6,FALSE),IF($C$1074&gt;0,VLOOKUP($C1212,ENTI!$U$4:$Z$1003,6,FALSE),"")))</f>
        <v>#N/A</v>
      </c>
      <c r="I1212" s="496">
        <v>132</v>
      </c>
      <c r="J1212" s="43" t="e">
        <f ca="1">VLOOKUP(D1212,$F$1081:$I$4183,4,FALSE)+COUNTIF(E$1081:E1211,E1212)</f>
        <v>#N/A</v>
      </c>
      <c r="K1212" s="1"/>
      <c r="L1212" s="39" t="e">
        <f>IF($C$1074&gt;0,VLOOKUP($C1212,ENTI!$U$4:$AD$1003,10,FALSE),"")</f>
        <v>#N/A</v>
      </c>
      <c r="M1212" s="1"/>
      <c r="N1212" s="1"/>
      <c r="O1212" s="1"/>
    </row>
    <row r="1213" spans="1:15" hidden="1">
      <c r="A1213" s="1"/>
      <c r="B1213" s="40" t="e">
        <f t="shared" ca="1" si="186"/>
        <v>#N/A</v>
      </c>
      <c r="C1213" s="496">
        <v>133</v>
      </c>
      <c r="D1213" s="41" t="e">
        <f ca="1">IF($C$1076&gt;0,VLOOKUP($C1213,COSTI!$U$4:$Z$1003,3,FALSE),IF($C$1075&gt;0,VLOOKUP($C1213,PATRIMONIALE!$U$4:$Z$1003,3,FALSE),IF($C$1074&gt;0,VLOOKUP($C1213,ENTI!$U$4:$Z$1003,3,FALSE),"")))</f>
        <v>#N/A</v>
      </c>
      <c r="E1213" s="41" t="str">
        <f t="shared" ca="1" si="188"/>
        <v/>
      </c>
      <c r="F1213" s="41" t="e">
        <f t="shared" ca="1" si="187"/>
        <v>#NUM!</v>
      </c>
      <c r="G1213" s="39" t="e">
        <f ca="1">IF($C$1076&gt;0,VLOOKUP($C1213,COSTI!$U$4:$Z$1003,5,FALSE),IF($C$1075&gt;0,VLOOKUP($C1213,PATRIMONIALE!$U$4:$Z$1003,5,FALSE),IF($C$1074&gt;0,VLOOKUP($C1213,ENTI!$U$4:$Z$1003,5,FALSE),"")))</f>
        <v>#N/A</v>
      </c>
      <c r="H1213" s="42" t="e">
        <f ca="1">IF($C$1076&gt;0,VLOOKUP($C1213,COSTI!$U$4:$Z$1003,6,FALSE),IF($C$1075&gt;0,VLOOKUP($C1213,PATRIMONIALE!$U$4:$Z$1003,6,FALSE),IF($C$1074&gt;0,VLOOKUP($C1213,ENTI!$U$4:$Z$1003,6,FALSE),"")))</f>
        <v>#N/A</v>
      </c>
      <c r="I1213" s="496">
        <v>133</v>
      </c>
      <c r="J1213" s="43" t="e">
        <f ca="1">VLOOKUP(D1213,$F$1081:$I$4183,4,FALSE)+COUNTIF(E$1081:E1212,E1213)</f>
        <v>#N/A</v>
      </c>
      <c r="K1213" s="1"/>
      <c r="L1213" s="39" t="e">
        <f>IF($C$1074&gt;0,VLOOKUP($C1213,ENTI!$U$4:$AD$1003,10,FALSE),"")</f>
        <v>#N/A</v>
      </c>
      <c r="M1213" s="1"/>
      <c r="N1213" s="1"/>
      <c r="O1213" s="1"/>
    </row>
    <row r="1214" spans="1:15" hidden="1">
      <c r="A1214" s="1"/>
      <c r="B1214" s="40" t="e">
        <f t="shared" ca="1" si="186"/>
        <v>#N/A</v>
      </c>
      <c r="C1214" s="496">
        <v>134</v>
      </c>
      <c r="D1214" s="41" t="e">
        <f ca="1">IF($C$1076&gt;0,VLOOKUP($C1214,COSTI!$U$4:$Z$1003,3,FALSE),IF($C$1075&gt;0,VLOOKUP($C1214,PATRIMONIALE!$U$4:$Z$1003,3,FALSE),IF($C$1074&gt;0,VLOOKUP($C1214,ENTI!$U$4:$Z$1003,3,FALSE),"")))</f>
        <v>#N/A</v>
      </c>
      <c r="E1214" s="41" t="str">
        <f t="shared" ca="1" si="188"/>
        <v/>
      </c>
      <c r="F1214" s="41" t="e">
        <f t="shared" ca="1" si="187"/>
        <v>#NUM!</v>
      </c>
      <c r="G1214" s="39" t="e">
        <f ca="1">IF($C$1076&gt;0,VLOOKUP($C1214,COSTI!$U$4:$Z$1003,5,FALSE),IF($C$1075&gt;0,VLOOKUP($C1214,PATRIMONIALE!$U$4:$Z$1003,5,FALSE),IF($C$1074&gt;0,VLOOKUP($C1214,ENTI!$U$4:$Z$1003,5,FALSE),"")))</f>
        <v>#N/A</v>
      </c>
      <c r="H1214" s="42" t="e">
        <f ca="1">IF($C$1076&gt;0,VLOOKUP($C1214,COSTI!$U$4:$Z$1003,6,FALSE),IF($C$1075&gt;0,VLOOKUP($C1214,PATRIMONIALE!$U$4:$Z$1003,6,FALSE),IF($C$1074&gt;0,VLOOKUP($C1214,ENTI!$U$4:$Z$1003,6,FALSE),"")))</f>
        <v>#N/A</v>
      </c>
      <c r="I1214" s="496">
        <v>134</v>
      </c>
      <c r="J1214" s="43" t="e">
        <f ca="1">VLOOKUP(D1214,$F$1081:$I$4183,4,FALSE)+COUNTIF(E$1081:E1213,E1214)</f>
        <v>#N/A</v>
      </c>
      <c r="K1214" s="1"/>
      <c r="L1214" s="39" t="e">
        <f>IF($C$1074&gt;0,VLOOKUP($C1214,ENTI!$U$4:$AD$1003,10,FALSE),"")</f>
        <v>#N/A</v>
      </c>
      <c r="M1214" s="1"/>
      <c r="N1214" s="1"/>
      <c r="O1214" s="1"/>
    </row>
    <row r="1215" spans="1:15" hidden="1">
      <c r="A1215" s="1"/>
      <c r="B1215" s="40" t="e">
        <f t="shared" ca="1" si="186"/>
        <v>#N/A</v>
      </c>
      <c r="C1215" s="496">
        <v>135</v>
      </c>
      <c r="D1215" s="41" t="e">
        <f ca="1">IF($C$1076&gt;0,VLOOKUP($C1215,COSTI!$U$4:$Z$1003,3,FALSE),IF($C$1075&gt;0,VLOOKUP($C1215,PATRIMONIALE!$U$4:$Z$1003,3,FALSE),IF($C$1074&gt;0,VLOOKUP($C1215,ENTI!$U$4:$Z$1003,3,FALSE),"")))</f>
        <v>#N/A</v>
      </c>
      <c r="E1215" s="41" t="str">
        <f t="shared" ca="1" si="188"/>
        <v/>
      </c>
      <c r="F1215" s="41" t="e">
        <f t="shared" ca="1" si="187"/>
        <v>#NUM!</v>
      </c>
      <c r="G1215" s="39" t="e">
        <f ca="1">IF($C$1076&gt;0,VLOOKUP($C1215,COSTI!$U$4:$Z$1003,5,FALSE),IF($C$1075&gt;0,VLOOKUP($C1215,PATRIMONIALE!$U$4:$Z$1003,5,FALSE),IF($C$1074&gt;0,VLOOKUP($C1215,ENTI!$U$4:$Z$1003,5,FALSE),"")))</f>
        <v>#N/A</v>
      </c>
      <c r="H1215" s="42" t="e">
        <f ca="1">IF($C$1076&gt;0,VLOOKUP($C1215,COSTI!$U$4:$Z$1003,6,FALSE),IF($C$1075&gt;0,VLOOKUP($C1215,PATRIMONIALE!$U$4:$Z$1003,6,FALSE),IF($C$1074&gt;0,VLOOKUP($C1215,ENTI!$U$4:$Z$1003,6,FALSE),"")))</f>
        <v>#N/A</v>
      </c>
      <c r="I1215" s="496">
        <v>135</v>
      </c>
      <c r="J1215" s="43" t="e">
        <f ca="1">VLOOKUP(D1215,$F$1081:$I$4183,4,FALSE)+COUNTIF(E$1081:E1214,E1215)</f>
        <v>#N/A</v>
      </c>
      <c r="K1215" s="1"/>
      <c r="L1215" s="39" t="e">
        <f>IF($C$1074&gt;0,VLOOKUP($C1215,ENTI!$U$4:$AD$1003,10,FALSE),"")</f>
        <v>#N/A</v>
      </c>
      <c r="M1215" s="1"/>
      <c r="N1215" s="1"/>
      <c r="O1215" s="1"/>
    </row>
    <row r="1216" spans="1:15" hidden="1">
      <c r="A1216" s="1"/>
      <c r="B1216" s="40" t="e">
        <f t="shared" ca="1" si="186"/>
        <v>#N/A</v>
      </c>
      <c r="C1216" s="496">
        <v>136</v>
      </c>
      <c r="D1216" s="41" t="e">
        <f ca="1">IF($C$1076&gt;0,VLOOKUP($C1216,COSTI!$U$4:$Z$1003,3,FALSE),IF($C$1075&gt;0,VLOOKUP($C1216,PATRIMONIALE!$U$4:$Z$1003,3,FALSE),IF($C$1074&gt;0,VLOOKUP($C1216,ENTI!$U$4:$Z$1003,3,FALSE),"")))</f>
        <v>#N/A</v>
      </c>
      <c r="E1216" s="41" t="str">
        <f t="shared" ca="1" si="188"/>
        <v/>
      </c>
      <c r="F1216" s="41" t="e">
        <f t="shared" ca="1" si="187"/>
        <v>#NUM!</v>
      </c>
      <c r="G1216" s="39" t="e">
        <f ca="1">IF($C$1076&gt;0,VLOOKUP($C1216,COSTI!$U$4:$Z$1003,5,FALSE),IF($C$1075&gt;0,VLOOKUP($C1216,PATRIMONIALE!$U$4:$Z$1003,5,FALSE),IF($C$1074&gt;0,VLOOKUP($C1216,ENTI!$U$4:$Z$1003,5,FALSE),"")))</f>
        <v>#N/A</v>
      </c>
      <c r="H1216" s="42" t="e">
        <f ca="1">IF($C$1076&gt;0,VLOOKUP($C1216,COSTI!$U$4:$Z$1003,6,FALSE),IF($C$1075&gt;0,VLOOKUP($C1216,PATRIMONIALE!$U$4:$Z$1003,6,FALSE),IF($C$1074&gt;0,VLOOKUP($C1216,ENTI!$U$4:$Z$1003,6,FALSE),"")))</f>
        <v>#N/A</v>
      </c>
      <c r="I1216" s="496">
        <v>136</v>
      </c>
      <c r="J1216" s="43" t="e">
        <f ca="1">VLOOKUP(D1216,$F$1081:$I$4183,4,FALSE)+COUNTIF(E$1081:E1215,E1216)</f>
        <v>#N/A</v>
      </c>
      <c r="K1216" s="1"/>
      <c r="L1216" s="39" t="e">
        <f>IF($C$1074&gt;0,VLOOKUP($C1216,ENTI!$U$4:$AD$1003,10,FALSE),"")</f>
        <v>#N/A</v>
      </c>
      <c r="M1216" s="1"/>
      <c r="N1216" s="1"/>
      <c r="O1216" s="1"/>
    </row>
    <row r="1217" spans="1:15" hidden="1">
      <c r="A1217" s="1"/>
      <c r="B1217" s="40" t="e">
        <f t="shared" ca="1" si="186"/>
        <v>#N/A</v>
      </c>
      <c r="C1217" s="496">
        <v>137</v>
      </c>
      <c r="D1217" s="41" t="e">
        <f ca="1">IF($C$1076&gt;0,VLOOKUP($C1217,COSTI!$U$4:$Z$1003,3,FALSE),IF($C$1075&gt;0,VLOOKUP($C1217,PATRIMONIALE!$U$4:$Z$1003,3,FALSE),IF($C$1074&gt;0,VLOOKUP($C1217,ENTI!$U$4:$Z$1003,3,FALSE),"")))</f>
        <v>#N/A</v>
      </c>
      <c r="E1217" s="41" t="str">
        <f t="shared" ca="1" si="188"/>
        <v/>
      </c>
      <c r="F1217" s="41" t="e">
        <f t="shared" ca="1" si="187"/>
        <v>#NUM!</v>
      </c>
      <c r="G1217" s="39" t="e">
        <f ca="1">IF($C$1076&gt;0,VLOOKUP($C1217,COSTI!$U$4:$Z$1003,5,FALSE),IF($C$1075&gt;0,VLOOKUP($C1217,PATRIMONIALE!$U$4:$Z$1003,5,FALSE),IF($C$1074&gt;0,VLOOKUP($C1217,ENTI!$U$4:$Z$1003,5,FALSE),"")))</f>
        <v>#N/A</v>
      </c>
      <c r="H1217" s="42" t="e">
        <f ca="1">IF($C$1076&gt;0,VLOOKUP($C1217,COSTI!$U$4:$Z$1003,6,FALSE),IF($C$1075&gt;0,VLOOKUP($C1217,PATRIMONIALE!$U$4:$Z$1003,6,FALSE),IF($C$1074&gt;0,VLOOKUP($C1217,ENTI!$U$4:$Z$1003,6,FALSE),"")))</f>
        <v>#N/A</v>
      </c>
      <c r="I1217" s="496">
        <v>137</v>
      </c>
      <c r="J1217" s="43" t="e">
        <f ca="1">VLOOKUP(D1217,$F$1081:$I$4183,4,FALSE)+COUNTIF(E$1081:E1216,E1217)</f>
        <v>#N/A</v>
      </c>
      <c r="K1217" s="1"/>
      <c r="L1217" s="39" t="e">
        <f>IF($C$1074&gt;0,VLOOKUP($C1217,ENTI!$U$4:$AD$1003,10,FALSE),"")</f>
        <v>#N/A</v>
      </c>
      <c r="M1217" s="1"/>
      <c r="N1217" s="1"/>
      <c r="O1217" s="1"/>
    </row>
    <row r="1218" spans="1:15" hidden="1">
      <c r="A1218" s="1"/>
      <c r="B1218" s="40" t="e">
        <f t="shared" ca="1" si="186"/>
        <v>#N/A</v>
      </c>
      <c r="C1218" s="496">
        <v>138</v>
      </c>
      <c r="D1218" s="41" t="e">
        <f ca="1">IF($C$1076&gt;0,VLOOKUP($C1218,COSTI!$U$4:$Z$1003,3,FALSE),IF($C$1075&gt;0,VLOOKUP($C1218,PATRIMONIALE!$U$4:$Z$1003,3,FALSE),IF($C$1074&gt;0,VLOOKUP($C1218,ENTI!$U$4:$Z$1003,3,FALSE),"")))</f>
        <v>#N/A</v>
      </c>
      <c r="E1218" s="41" t="str">
        <f t="shared" ca="1" si="188"/>
        <v/>
      </c>
      <c r="F1218" s="41" t="e">
        <f t="shared" ca="1" si="187"/>
        <v>#NUM!</v>
      </c>
      <c r="G1218" s="39" t="e">
        <f ca="1">IF($C$1076&gt;0,VLOOKUP($C1218,COSTI!$U$4:$Z$1003,5,FALSE),IF($C$1075&gt;0,VLOOKUP($C1218,PATRIMONIALE!$U$4:$Z$1003,5,FALSE),IF($C$1074&gt;0,VLOOKUP($C1218,ENTI!$U$4:$Z$1003,5,FALSE),"")))</f>
        <v>#N/A</v>
      </c>
      <c r="H1218" s="42" t="e">
        <f ca="1">IF($C$1076&gt;0,VLOOKUP($C1218,COSTI!$U$4:$Z$1003,6,FALSE),IF($C$1075&gt;0,VLOOKUP($C1218,PATRIMONIALE!$U$4:$Z$1003,6,FALSE),IF($C$1074&gt;0,VLOOKUP($C1218,ENTI!$U$4:$Z$1003,6,FALSE),"")))</f>
        <v>#N/A</v>
      </c>
      <c r="I1218" s="496">
        <v>138</v>
      </c>
      <c r="J1218" s="43" t="e">
        <f ca="1">VLOOKUP(D1218,$F$1081:$I$4183,4,FALSE)+COUNTIF(E$1081:E1217,E1218)</f>
        <v>#N/A</v>
      </c>
      <c r="K1218" s="1"/>
      <c r="L1218" s="39" t="e">
        <f>IF($C$1074&gt;0,VLOOKUP($C1218,ENTI!$U$4:$AD$1003,10,FALSE),"")</f>
        <v>#N/A</v>
      </c>
      <c r="M1218" s="1"/>
      <c r="N1218" s="1"/>
      <c r="O1218" s="1"/>
    </row>
    <row r="1219" spans="1:15" hidden="1">
      <c r="A1219" s="1"/>
      <c r="B1219" s="40" t="e">
        <f t="shared" ca="1" si="186"/>
        <v>#N/A</v>
      </c>
      <c r="C1219" s="496">
        <v>139</v>
      </c>
      <c r="D1219" s="41" t="e">
        <f ca="1">IF($C$1076&gt;0,VLOOKUP($C1219,COSTI!$U$4:$Z$1003,3,FALSE),IF($C$1075&gt;0,VLOOKUP($C1219,PATRIMONIALE!$U$4:$Z$1003,3,FALSE),IF($C$1074&gt;0,VLOOKUP($C1219,ENTI!$U$4:$Z$1003,3,FALSE),"")))</f>
        <v>#N/A</v>
      </c>
      <c r="E1219" s="41" t="str">
        <f t="shared" ca="1" si="188"/>
        <v/>
      </c>
      <c r="F1219" s="41" t="e">
        <f t="shared" ca="1" si="187"/>
        <v>#NUM!</v>
      </c>
      <c r="G1219" s="39" t="e">
        <f ca="1">IF($C$1076&gt;0,VLOOKUP($C1219,COSTI!$U$4:$Z$1003,5,FALSE),IF($C$1075&gt;0,VLOOKUP($C1219,PATRIMONIALE!$U$4:$Z$1003,5,FALSE),IF($C$1074&gt;0,VLOOKUP($C1219,ENTI!$U$4:$Z$1003,5,FALSE),"")))</f>
        <v>#N/A</v>
      </c>
      <c r="H1219" s="42" t="e">
        <f ca="1">IF($C$1076&gt;0,VLOOKUP($C1219,COSTI!$U$4:$Z$1003,6,FALSE),IF($C$1075&gt;0,VLOOKUP($C1219,PATRIMONIALE!$U$4:$Z$1003,6,FALSE),IF($C$1074&gt;0,VLOOKUP($C1219,ENTI!$U$4:$Z$1003,6,FALSE),"")))</f>
        <v>#N/A</v>
      </c>
      <c r="I1219" s="496">
        <v>139</v>
      </c>
      <c r="J1219" s="43" t="e">
        <f ca="1">VLOOKUP(D1219,$F$1081:$I$4183,4,FALSE)+COUNTIF(E$1081:E1218,E1219)</f>
        <v>#N/A</v>
      </c>
      <c r="K1219" s="1"/>
      <c r="L1219" s="39" t="e">
        <f>IF($C$1074&gt;0,VLOOKUP($C1219,ENTI!$U$4:$AD$1003,10,FALSE),"")</f>
        <v>#N/A</v>
      </c>
      <c r="M1219" s="1"/>
      <c r="N1219" s="1"/>
      <c r="O1219" s="1"/>
    </row>
    <row r="1220" spans="1:15" hidden="1">
      <c r="A1220" s="1"/>
      <c r="B1220" s="40" t="e">
        <f t="shared" ca="1" si="186"/>
        <v>#N/A</v>
      </c>
      <c r="C1220" s="496">
        <v>140</v>
      </c>
      <c r="D1220" s="41" t="e">
        <f ca="1">IF($C$1076&gt;0,VLOOKUP($C1220,COSTI!$U$4:$Z$1003,3,FALSE),IF($C$1075&gt;0,VLOOKUP($C1220,PATRIMONIALE!$U$4:$Z$1003,3,FALSE),IF($C$1074&gt;0,VLOOKUP($C1220,ENTI!$U$4:$Z$1003,3,FALSE),"")))</f>
        <v>#N/A</v>
      </c>
      <c r="E1220" s="41" t="str">
        <f t="shared" ca="1" si="188"/>
        <v/>
      </c>
      <c r="F1220" s="41" t="e">
        <f t="shared" ca="1" si="187"/>
        <v>#NUM!</v>
      </c>
      <c r="G1220" s="39" t="e">
        <f ca="1">IF($C$1076&gt;0,VLOOKUP($C1220,COSTI!$U$4:$Z$1003,5,FALSE),IF($C$1075&gt;0,VLOOKUP($C1220,PATRIMONIALE!$U$4:$Z$1003,5,FALSE),IF($C$1074&gt;0,VLOOKUP($C1220,ENTI!$U$4:$Z$1003,5,FALSE),"")))</f>
        <v>#N/A</v>
      </c>
      <c r="H1220" s="42" t="e">
        <f ca="1">IF($C$1076&gt;0,VLOOKUP($C1220,COSTI!$U$4:$Z$1003,6,FALSE),IF($C$1075&gt;0,VLOOKUP($C1220,PATRIMONIALE!$U$4:$Z$1003,6,FALSE),IF($C$1074&gt;0,VLOOKUP($C1220,ENTI!$U$4:$Z$1003,6,FALSE),"")))</f>
        <v>#N/A</v>
      </c>
      <c r="I1220" s="496">
        <v>140</v>
      </c>
      <c r="J1220" s="43" t="e">
        <f ca="1">VLOOKUP(D1220,$F$1081:$I$4183,4,FALSE)+COUNTIF(E$1081:E1219,E1220)</f>
        <v>#N/A</v>
      </c>
      <c r="K1220" s="1"/>
      <c r="L1220" s="39" t="e">
        <f>IF($C$1074&gt;0,VLOOKUP($C1220,ENTI!$U$4:$AD$1003,10,FALSE),"")</f>
        <v>#N/A</v>
      </c>
      <c r="M1220" s="1"/>
      <c r="N1220" s="1"/>
      <c r="O1220" s="1"/>
    </row>
    <row r="1221" spans="1:15" hidden="1">
      <c r="A1221" s="1"/>
      <c r="B1221" s="40" t="e">
        <f t="shared" ca="1" si="186"/>
        <v>#N/A</v>
      </c>
      <c r="C1221" s="496">
        <v>141</v>
      </c>
      <c r="D1221" s="41" t="e">
        <f ca="1">IF($C$1076&gt;0,VLOOKUP($C1221,COSTI!$U$4:$Z$1003,3,FALSE),IF($C$1075&gt;0,VLOOKUP($C1221,PATRIMONIALE!$U$4:$Z$1003,3,FALSE),IF($C$1074&gt;0,VLOOKUP($C1221,ENTI!$U$4:$Z$1003,3,FALSE),"")))</f>
        <v>#N/A</v>
      </c>
      <c r="E1221" s="41" t="str">
        <f t="shared" ca="1" si="188"/>
        <v/>
      </c>
      <c r="F1221" s="41" t="e">
        <f t="shared" ca="1" si="187"/>
        <v>#NUM!</v>
      </c>
      <c r="G1221" s="39" t="e">
        <f ca="1">IF($C$1076&gt;0,VLOOKUP($C1221,COSTI!$U$4:$Z$1003,5,FALSE),IF($C$1075&gt;0,VLOOKUP($C1221,PATRIMONIALE!$U$4:$Z$1003,5,FALSE),IF($C$1074&gt;0,VLOOKUP($C1221,ENTI!$U$4:$Z$1003,5,FALSE),"")))</f>
        <v>#N/A</v>
      </c>
      <c r="H1221" s="42" t="e">
        <f ca="1">IF($C$1076&gt;0,VLOOKUP($C1221,COSTI!$U$4:$Z$1003,6,FALSE),IF($C$1075&gt;0,VLOOKUP($C1221,PATRIMONIALE!$U$4:$Z$1003,6,FALSE),IF($C$1074&gt;0,VLOOKUP($C1221,ENTI!$U$4:$Z$1003,6,FALSE),"")))</f>
        <v>#N/A</v>
      </c>
      <c r="I1221" s="496">
        <v>141</v>
      </c>
      <c r="J1221" s="43" t="e">
        <f ca="1">VLOOKUP(D1221,$F$1081:$I$4183,4,FALSE)+COUNTIF(E$1081:E1220,E1221)</f>
        <v>#N/A</v>
      </c>
      <c r="K1221" s="1"/>
      <c r="L1221" s="39" t="e">
        <f>IF($C$1074&gt;0,VLOOKUP($C1221,ENTI!$U$4:$AD$1003,10,FALSE),"")</f>
        <v>#N/A</v>
      </c>
      <c r="M1221" s="1"/>
      <c r="N1221" s="1"/>
      <c r="O1221" s="1"/>
    </row>
    <row r="1222" spans="1:15" hidden="1">
      <c r="A1222" s="1"/>
      <c r="B1222" s="40" t="e">
        <f t="shared" ca="1" si="186"/>
        <v>#N/A</v>
      </c>
      <c r="C1222" s="496">
        <v>142</v>
      </c>
      <c r="D1222" s="41" t="e">
        <f ca="1">IF($C$1076&gt;0,VLOOKUP($C1222,COSTI!$U$4:$Z$1003,3,FALSE),IF($C$1075&gt;0,VLOOKUP($C1222,PATRIMONIALE!$U$4:$Z$1003,3,FALSE),IF($C$1074&gt;0,VLOOKUP($C1222,ENTI!$U$4:$Z$1003,3,FALSE),"")))</f>
        <v>#N/A</v>
      </c>
      <c r="E1222" s="41" t="str">
        <f t="shared" ca="1" si="188"/>
        <v/>
      </c>
      <c r="F1222" s="41" t="e">
        <f t="shared" ca="1" si="187"/>
        <v>#NUM!</v>
      </c>
      <c r="G1222" s="39" t="e">
        <f ca="1">IF($C$1076&gt;0,VLOOKUP($C1222,COSTI!$U$4:$Z$1003,5,FALSE),IF($C$1075&gt;0,VLOOKUP($C1222,PATRIMONIALE!$U$4:$Z$1003,5,FALSE),IF($C$1074&gt;0,VLOOKUP($C1222,ENTI!$U$4:$Z$1003,5,FALSE),"")))</f>
        <v>#N/A</v>
      </c>
      <c r="H1222" s="42" t="e">
        <f ca="1">IF($C$1076&gt;0,VLOOKUP($C1222,COSTI!$U$4:$Z$1003,6,FALSE),IF($C$1075&gt;0,VLOOKUP($C1222,PATRIMONIALE!$U$4:$Z$1003,6,FALSE),IF($C$1074&gt;0,VLOOKUP($C1222,ENTI!$U$4:$Z$1003,6,FALSE),"")))</f>
        <v>#N/A</v>
      </c>
      <c r="I1222" s="496">
        <v>142</v>
      </c>
      <c r="J1222" s="43" t="e">
        <f ca="1">VLOOKUP(D1222,$F$1081:$I$4183,4,FALSE)+COUNTIF(E$1081:E1221,E1222)</f>
        <v>#N/A</v>
      </c>
      <c r="K1222" s="1"/>
      <c r="L1222" s="39" t="e">
        <f>IF($C$1074&gt;0,VLOOKUP($C1222,ENTI!$U$4:$AD$1003,10,FALSE),"")</f>
        <v>#N/A</v>
      </c>
      <c r="M1222" s="1"/>
      <c r="N1222" s="1"/>
      <c r="O1222" s="1"/>
    </row>
    <row r="1223" spans="1:15" hidden="1">
      <c r="A1223" s="1"/>
      <c r="B1223" s="40" t="e">
        <f t="shared" ca="1" si="186"/>
        <v>#N/A</v>
      </c>
      <c r="C1223" s="496">
        <v>143</v>
      </c>
      <c r="D1223" s="41" t="e">
        <f ca="1">IF($C$1076&gt;0,VLOOKUP($C1223,COSTI!$U$4:$Z$1003,3,FALSE),IF($C$1075&gt;0,VLOOKUP($C1223,PATRIMONIALE!$U$4:$Z$1003,3,FALSE),IF($C$1074&gt;0,VLOOKUP($C1223,ENTI!$U$4:$Z$1003,3,FALSE),"")))</f>
        <v>#N/A</v>
      </c>
      <c r="E1223" s="41" t="str">
        <f t="shared" ca="1" si="188"/>
        <v/>
      </c>
      <c r="F1223" s="41" t="e">
        <f t="shared" ca="1" si="187"/>
        <v>#NUM!</v>
      </c>
      <c r="G1223" s="39" t="e">
        <f ca="1">IF($C$1076&gt;0,VLOOKUP($C1223,COSTI!$U$4:$Z$1003,5,FALSE),IF($C$1075&gt;0,VLOOKUP($C1223,PATRIMONIALE!$U$4:$Z$1003,5,FALSE),IF($C$1074&gt;0,VLOOKUP($C1223,ENTI!$U$4:$Z$1003,5,FALSE),"")))</f>
        <v>#N/A</v>
      </c>
      <c r="H1223" s="42" t="e">
        <f ca="1">IF($C$1076&gt;0,VLOOKUP($C1223,COSTI!$U$4:$Z$1003,6,FALSE),IF($C$1075&gt;0,VLOOKUP($C1223,PATRIMONIALE!$U$4:$Z$1003,6,FALSE),IF($C$1074&gt;0,VLOOKUP($C1223,ENTI!$U$4:$Z$1003,6,FALSE),"")))</f>
        <v>#N/A</v>
      </c>
      <c r="I1223" s="496">
        <v>143</v>
      </c>
      <c r="J1223" s="43" t="e">
        <f ca="1">VLOOKUP(D1223,$F$1081:$I$4183,4,FALSE)+COUNTIF(E$1081:E1222,E1223)</f>
        <v>#N/A</v>
      </c>
      <c r="K1223" s="1"/>
      <c r="L1223" s="39" t="e">
        <f>IF($C$1074&gt;0,VLOOKUP($C1223,ENTI!$U$4:$AD$1003,10,FALSE),"")</f>
        <v>#N/A</v>
      </c>
      <c r="M1223" s="1"/>
      <c r="N1223" s="1"/>
      <c r="O1223" s="1"/>
    </row>
    <row r="1224" spans="1:15" hidden="1">
      <c r="A1224" s="1"/>
      <c r="B1224" s="40" t="e">
        <f t="shared" ca="1" si="186"/>
        <v>#N/A</v>
      </c>
      <c r="C1224" s="496">
        <v>144</v>
      </c>
      <c r="D1224" s="41" t="e">
        <f ca="1">IF($C$1076&gt;0,VLOOKUP($C1224,COSTI!$U$4:$Z$1003,3,FALSE),IF($C$1075&gt;0,VLOOKUP($C1224,PATRIMONIALE!$U$4:$Z$1003,3,FALSE),IF($C$1074&gt;0,VLOOKUP($C1224,ENTI!$U$4:$Z$1003,3,FALSE),"")))</f>
        <v>#N/A</v>
      </c>
      <c r="E1224" s="41" t="str">
        <f t="shared" ca="1" si="188"/>
        <v/>
      </c>
      <c r="F1224" s="41" t="e">
        <f t="shared" ca="1" si="187"/>
        <v>#NUM!</v>
      </c>
      <c r="G1224" s="39" t="e">
        <f ca="1">IF($C$1076&gt;0,VLOOKUP($C1224,COSTI!$U$4:$Z$1003,5,FALSE),IF($C$1075&gt;0,VLOOKUP($C1224,PATRIMONIALE!$U$4:$Z$1003,5,FALSE),IF($C$1074&gt;0,VLOOKUP($C1224,ENTI!$U$4:$Z$1003,5,FALSE),"")))</f>
        <v>#N/A</v>
      </c>
      <c r="H1224" s="42" t="e">
        <f ca="1">IF($C$1076&gt;0,VLOOKUP($C1224,COSTI!$U$4:$Z$1003,6,FALSE),IF($C$1075&gt;0,VLOOKUP($C1224,PATRIMONIALE!$U$4:$Z$1003,6,FALSE),IF($C$1074&gt;0,VLOOKUP($C1224,ENTI!$U$4:$Z$1003,6,FALSE),"")))</f>
        <v>#N/A</v>
      </c>
      <c r="I1224" s="496">
        <v>144</v>
      </c>
      <c r="J1224" s="43" t="e">
        <f ca="1">VLOOKUP(D1224,$F$1081:$I$4183,4,FALSE)+COUNTIF(E$1081:E1223,E1224)</f>
        <v>#N/A</v>
      </c>
      <c r="K1224" s="1"/>
      <c r="L1224" s="39" t="e">
        <f>IF($C$1074&gt;0,VLOOKUP($C1224,ENTI!$U$4:$AD$1003,10,FALSE),"")</f>
        <v>#N/A</v>
      </c>
      <c r="M1224" s="1"/>
      <c r="N1224" s="1"/>
      <c r="O1224" s="1"/>
    </row>
    <row r="1225" spans="1:15" hidden="1">
      <c r="A1225" s="1"/>
      <c r="B1225" s="40" t="e">
        <f t="shared" ca="1" si="186"/>
        <v>#N/A</v>
      </c>
      <c r="C1225" s="496">
        <v>145</v>
      </c>
      <c r="D1225" s="41" t="e">
        <f ca="1">IF($C$1076&gt;0,VLOOKUP($C1225,COSTI!$U$4:$Z$1003,3,FALSE),IF($C$1075&gt;0,VLOOKUP($C1225,PATRIMONIALE!$U$4:$Z$1003,3,FALSE),IF($C$1074&gt;0,VLOOKUP($C1225,ENTI!$U$4:$Z$1003,3,FALSE),"")))</f>
        <v>#N/A</v>
      </c>
      <c r="E1225" s="41" t="str">
        <f t="shared" ca="1" si="188"/>
        <v/>
      </c>
      <c r="F1225" s="41" t="e">
        <f t="shared" ca="1" si="187"/>
        <v>#NUM!</v>
      </c>
      <c r="G1225" s="39" t="e">
        <f ca="1">IF($C$1076&gt;0,VLOOKUP($C1225,COSTI!$U$4:$Z$1003,5,FALSE),IF($C$1075&gt;0,VLOOKUP($C1225,PATRIMONIALE!$U$4:$Z$1003,5,FALSE),IF($C$1074&gt;0,VLOOKUP($C1225,ENTI!$U$4:$Z$1003,5,FALSE),"")))</f>
        <v>#N/A</v>
      </c>
      <c r="H1225" s="42" t="e">
        <f ca="1">IF($C$1076&gt;0,VLOOKUP($C1225,COSTI!$U$4:$Z$1003,6,FALSE),IF($C$1075&gt;0,VLOOKUP($C1225,PATRIMONIALE!$U$4:$Z$1003,6,FALSE),IF($C$1074&gt;0,VLOOKUP($C1225,ENTI!$U$4:$Z$1003,6,FALSE),"")))</f>
        <v>#N/A</v>
      </c>
      <c r="I1225" s="496">
        <v>145</v>
      </c>
      <c r="J1225" s="43" t="e">
        <f ca="1">VLOOKUP(D1225,$F$1081:$I$4183,4,FALSE)+COUNTIF(E$1081:E1224,E1225)</f>
        <v>#N/A</v>
      </c>
      <c r="K1225" s="1"/>
      <c r="L1225" s="39" t="e">
        <f>IF($C$1074&gt;0,VLOOKUP($C1225,ENTI!$U$4:$AD$1003,10,FALSE),"")</f>
        <v>#N/A</v>
      </c>
      <c r="M1225" s="1"/>
      <c r="N1225" s="1"/>
      <c r="O1225" s="1"/>
    </row>
    <row r="1226" spans="1:15" hidden="1">
      <c r="A1226" s="1"/>
      <c r="B1226" s="40" t="e">
        <f t="shared" ca="1" si="186"/>
        <v>#N/A</v>
      </c>
      <c r="C1226" s="496">
        <v>146</v>
      </c>
      <c r="D1226" s="41" t="e">
        <f ca="1">IF($C$1076&gt;0,VLOOKUP($C1226,COSTI!$U$4:$Z$1003,3,FALSE),IF($C$1075&gt;0,VLOOKUP($C1226,PATRIMONIALE!$U$4:$Z$1003,3,FALSE),IF($C$1074&gt;0,VLOOKUP($C1226,ENTI!$U$4:$Z$1003,3,FALSE),"")))</f>
        <v>#N/A</v>
      </c>
      <c r="E1226" s="41" t="str">
        <f t="shared" ca="1" si="188"/>
        <v/>
      </c>
      <c r="F1226" s="41" t="e">
        <f t="shared" ca="1" si="187"/>
        <v>#NUM!</v>
      </c>
      <c r="G1226" s="39" t="e">
        <f ca="1">IF($C$1076&gt;0,VLOOKUP($C1226,COSTI!$U$4:$Z$1003,5,FALSE),IF($C$1075&gt;0,VLOOKUP($C1226,PATRIMONIALE!$U$4:$Z$1003,5,FALSE),IF($C$1074&gt;0,VLOOKUP($C1226,ENTI!$U$4:$Z$1003,5,FALSE),"")))</f>
        <v>#N/A</v>
      </c>
      <c r="H1226" s="42" t="e">
        <f ca="1">IF($C$1076&gt;0,VLOOKUP($C1226,COSTI!$U$4:$Z$1003,6,FALSE),IF($C$1075&gt;0,VLOOKUP($C1226,PATRIMONIALE!$U$4:$Z$1003,6,FALSE),IF($C$1074&gt;0,VLOOKUP($C1226,ENTI!$U$4:$Z$1003,6,FALSE),"")))</f>
        <v>#N/A</v>
      </c>
      <c r="I1226" s="496">
        <v>146</v>
      </c>
      <c r="J1226" s="43" t="e">
        <f ca="1">VLOOKUP(D1226,$F$1081:$I$4183,4,FALSE)+COUNTIF(E$1081:E1225,E1226)</f>
        <v>#N/A</v>
      </c>
      <c r="K1226" s="1"/>
      <c r="L1226" s="39" t="e">
        <f>IF($C$1074&gt;0,VLOOKUP($C1226,ENTI!$U$4:$AD$1003,10,FALSE),"")</f>
        <v>#N/A</v>
      </c>
      <c r="M1226" s="1"/>
      <c r="N1226" s="1"/>
      <c r="O1226" s="1"/>
    </row>
    <row r="1227" spans="1:15" hidden="1">
      <c r="A1227" s="1"/>
      <c r="B1227" s="40" t="e">
        <f t="shared" ca="1" si="186"/>
        <v>#N/A</v>
      </c>
      <c r="C1227" s="496">
        <v>147</v>
      </c>
      <c r="D1227" s="41" t="e">
        <f ca="1">IF($C$1076&gt;0,VLOOKUP($C1227,COSTI!$U$4:$Z$1003,3,FALSE),IF($C$1075&gt;0,VLOOKUP($C1227,PATRIMONIALE!$U$4:$Z$1003,3,FALSE),IF($C$1074&gt;0,VLOOKUP($C1227,ENTI!$U$4:$Z$1003,3,FALSE),"")))</f>
        <v>#N/A</v>
      </c>
      <c r="E1227" s="41" t="str">
        <f t="shared" ca="1" si="188"/>
        <v/>
      </c>
      <c r="F1227" s="41" t="e">
        <f t="shared" ca="1" si="187"/>
        <v>#NUM!</v>
      </c>
      <c r="G1227" s="39" t="e">
        <f ca="1">IF($C$1076&gt;0,VLOOKUP($C1227,COSTI!$U$4:$Z$1003,5,FALSE),IF($C$1075&gt;0,VLOOKUP($C1227,PATRIMONIALE!$U$4:$Z$1003,5,FALSE),IF($C$1074&gt;0,VLOOKUP($C1227,ENTI!$U$4:$Z$1003,5,FALSE),"")))</f>
        <v>#N/A</v>
      </c>
      <c r="H1227" s="42" t="e">
        <f ca="1">IF($C$1076&gt;0,VLOOKUP($C1227,COSTI!$U$4:$Z$1003,6,FALSE),IF($C$1075&gt;0,VLOOKUP($C1227,PATRIMONIALE!$U$4:$Z$1003,6,FALSE),IF($C$1074&gt;0,VLOOKUP($C1227,ENTI!$U$4:$Z$1003,6,FALSE),"")))</f>
        <v>#N/A</v>
      </c>
      <c r="I1227" s="496">
        <v>147</v>
      </c>
      <c r="J1227" s="43" t="e">
        <f ca="1">VLOOKUP(D1227,$F$1081:$I$4183,4,FALSE)+COUNTIF(E$1081:E1226,E1227)</f>
        <v>#N/A</v>
      </c>
      <c r="K1227" s="1"/>
      <c r="L1227" s="39" t="e">
        <f>IF($C$1074&gt;0,VLOOKUP($C1227,ENTI!$U$4:$AD$1003,10,FALSE),"")</f>
        <v>#N/A</v>
      </c>
      <c r="M1227" s="1"/>
      <c r="N1227" s="1"/>
      <c r="O1227" s="1"/>
    </row>
    <row r="1228" spans="1:15" hidden="1">
      <c r="A1228" s="1"/>
      <c r="B1228" s="40" t="e">
        <f t="shared" ca="1" si="186"/>
        <v>#N/A</v>
      </c>
      <c r="C1228" s="496">
        <v>148</v>
      </c>
      <c r="D1228" s="41" t="e">
        <f ca="1">IF($C$1076&gt;0,VLOOKUP($C1228,COSTI!$U$4:$Z$1003,3,FALSE),IF($C$1075&gt;0,VLOOKUP($C1228,PATRIMONIALE!$U$4:$Z$1003,3,FALSE),IF($C$1074&gt;0,VLOOKUP($C1228,ENTI!$U$4:$Z$1003,3,FALSE),"")))</f>
        <v>#N/A</v>
      </c>
      <c r="E1228" s="41" t="str">
        <f t="shared" ca="1" si="188"/>
        <v/>
      </c>
      <c r="F1228" s="41" t="e">
        <f t="shared" ca="1" si="187"/>
        <v>#NUM!</v>
      </c>
      <c r="G1228" s="39" t="e">
        <f ca="1">IF($C$1076&gt;0,VLOOKUP($C1228,COSTI!$U$4:$Z$1003,5,FALSE),IF($C$1075&gt;0,VLOOKUP($C1228,PATRIMONIALE!$U$4:$Z$1003,5,FALSE),IF($C$1074&gt;0,VLOOKUP($C1228,ENTI!$U$4:$Z$1003,5,FALSE),"")))</f>
        <v>#N/A</v>
      </c>
      <c r="H1228" s="42" t="e">
        <f ca="1">IF($C$1076&gt;0,VLOOKUP($C1228,COSTI!$U$4:$Z$1003,6,FALSE),IF($C$1075&gt;0,VLOOKUP($C1228,PATRIMONIALE!$U$4:$Z$1003,6,FALSE),IF($C$1074&gt;0,VLOOKUP($C1228,ENTI!$U$4:$Z$1003,6,FALSE),"")))</f>
        <v>#N/A</v>
      </c>
      <c r="I1228" s="496">
        <v>148</v>
      </c>
      <c r="J1228" s="43" t="e">
        <f ca="1">VLOOKUP(D1228,$F$1081:$I$4183,4,FALSE)+COUNTIF(E$1081:E1227,E1228)</f>
        <v>#N/A</v>
      </c>
      <c r="K1228" s="1"/>
      <c r="L1228" s="39" t="e">
        <f>IF($C$1074&gt;0,VLOOKUP($C1228,ENTI!$U$4:$AD$1003,10,FALSE),"")</f>
        <v>#N/A</v>
      </c>
      <c r="M1228" s="1"/>
      <c r="N1228" s="1"/>
      <c r="O1228" s="1"/>
    </row>
    <row r="1229" spans="1:15" hidden="1">
      <c r="A1229" s="1"/>
      <c r="B1229" s="40" t="e">
        <f t="shared" ca="1" si="186"/>
        <v>#N/A</v>
      </c>
      <c r="C1229" s="496">
        <v>149</v>
      </c>
      <c r="D1229" s="41" t="e">
        <f ca="1">IF($C$1076&gt;0,VLOOKUP($C1229,COSTI!$U$4:$Z$1003,3,FALSE),IF($C$1075&gt;0,VLOOKUP($C1229,PATRIMONIALE!$U$4:$Z$1003,3,FALSE),IF($C$1074&gt;0,VLOOKUP($C1229,ENTI!$U$4:$Z$1003,3,FALSE),"")))</f>
        <v>#N/A</v>
      </c>
      <c r="E1229" s="41" t="str">
        <f t="shared" ca="1" si="188"/>
        <v/>
      </c>
      <c r="F1229" s="41" t="e">
        <f t="shared" ca="1" si="187"/>
        <v>#NUM!</v>
      </c>
      <c r="G1229" s="39" t="e">
        <f ca="1">IF($C$1076&gt;0,VLOOKUP($C1229,COSTI!$U$4:$Z$1003,5,FALSE),IF($C$1075&gt;0,VLOOKUP($C1229,PATRIMONIALE!$U$4:$Z$1003,5,FALSE),IF($C$1074&gt;0,VLOOKUP($C1229,ENTI!$U$4:$Z$1003,5,FALSE),"")))</f>
        <v>#N/A</v>
      </c>
      <c r="H1229" s="42" t="e">
        <f ca="1">IF($C$1076&gt;0,VLOOKUP($C1229,COSTI!$U$4:$Z$1003,6,FALSE),IF($C$1075&gt;0,VLOOKUP($C1229,PATRIMONIALE!$U$4:$Z$1003,6,FALSE),IF($C$1074&gt;0,VLOOKUP($C1229,ENTI!$U$4:$Z$1003,6,FALSE),"")))</f>
        <v>#N/A</v>
      </c>
      <c r="I1229" s="496">
        <v>149</v>
      </c>
      <c r="J1229" s="43" t="e">
        <f ca="1">VLOOKUP(D1229,$F$1081:$I$4183,4,FALSE)+COUNTIF(E$1081:E1228,E1229)</f>
        <v>#N/A</v>
      </c>
      <c r="K1229" s="1"/>
      <c r="L1229" s="39" t="e">
        <f>IF($C$1074&gt;0,VLOOKUP($C1229,ENTI!$U$4:$AD$1003,10,FALSE),"")</f>
        <v>#N/A</v>
      </c>
      <c r="M1229" s="1"/>
      <c r="N1229" s="1"/>
      <c r="O1229" s="1"/>
    </row>
    <row r="1230" spans="1:15" hidden="1">
      <c r="A1230" s="1"/>
      <c r="B1230" s="40" t="e">
        <f t="shared" ca="1" si="186"/>
        <v>#N/A</v>
      </c>
      <c r="C1230" s="496">
        <v>150</v>
      </c>
      <c r="D1230" s="41" t="e">
        <f ca="1">IF($C$1076&gt;0,VLOOKUP($C1230,COSTI!$U$4:$Z$1003,3,FALSE),IF($C$1075&gt;0,VLOOKUP($C1230,PATRIMONIALE!$U$4:$Z$1003,3,FALSE),IF($C$1074&gt;0,VLOOKUP($C1230,ENTI!$U$4:$Z$1003,3,FALSE),"")))</f>
        <v>#N/A</v>
      </c>
      <c r="E1230" s="41" t="str">
        <f t="shared" ca="1" si="188"/>
        <v/>
      </c>
      <c r="F1230" s="41" t="e">
        <f t="shared" ca="1" si="187"/>
        <v>#NUM!</v>
      </c>
      <c r="G1230" s="39" t="e">
        <f ca="1">IF($C$1076&gt;0,VLOOKUP($C1230,COSTI!$U$4:$Z$1003,5,FALSE),IF($C$1075&gt;0,VLOOKUP($C1230,PATRIMONIALE!$U$4:$Z$1003,5,FALSE),IF($C$1074&gt;0,VLOOKUP($C1230,ENTI!$U$4:$Z$1003,5,FALSE),"")))</f>
        <v>#N/A</v>
      </c>
      <c r="H1230" s="42" t="e">
        <f ca="1">IF($C$1076&gt;0,VLOOKUP($C1230,COSTI!$U$4:$Z$1003,6,FALSE),IF($C$1075&gt;0,VLOOKUP($C1230,PATRIMONIALE!$U$4:$Z$1003,6,FALSE),IF($C$1074&gt;0,VLOOKUP($C1230,ENTI!$U$4:$Z$1003,6,FALSE),"")))</f>
        <v>#N/A</v>
      </c>
      <c r="I1230" s="496">
        <v>150</v>
      </c>
      <c r="J1230" s="43" t="e">
        <f ca="1">VLOOKUP(D1230,$F$1081:$I$4183,4,FALSE)+COUNTIF(E$1081:E1229,E1230)</f>
        <v>#N/A</v>
      </c>
      <c r="K1230" s="1"/>
      <c r="L1230" s="39" t="e">
        <f>IF($C$1074&gt;0,VLOOKUP($C1230,ENTI!$U$4:$AD$1003,10,FALSE),"")</f>
        <v>#N/A</v>
      </c>
      <c r="M1230" s="1"/>
      <c r="N1230" s="1"/>
      <c r="O1230" s="1"/>
    </row>
    <row r="1231" spans="1:15" hidden="1">
      <c r="A1231" s="1"/>
      <c r="B1231" s="40" t="e">
        <f t="shared" ca="1" si="186"/>
        <v>#N/A</v>
      </c>
      <c r="C1231" s="496">
        <v>151</v>
      </c>
      <c r="D1231" s="41" t="e">
        <f ca="1">IF($C$1076&gt;0,VLOOKUP($C1231,COSTI!$U$4:$Z$1003,3,FALSE),IF($C$1075&gt;0,VLOOKUP($C1231,PATRIMONIALE!$U$4:$Z$1003,3,FALSE),IF($C$1074&gt;0,VLOOKUP($C1231,ENTI!$U$4:$Z$1003,3,FALSE),"")))</f>
        <v>#N/A</v>
      </c>
      <c r="E1231" s="41" t="str">
        <f t="shared" ca="1" si="188"/>
        <v/>
      </c>
      <c r="F1231" s="41" t="e">
        <f t="shared" ca="1" si="187"/>
        <v>#NUM!</v>
      </c>
      <c r="G1231" s="39" t="e">
        <f ca="1">IF($C$1076&gt;0,VLOOKUP($C1231,COSTI!$U$4:$Z$1003,5,FALSE),IF($C$1075&gt;0,VLOOKUP($C1231,PATRIMONIALE!$U$4:$Z$1003,5,FALSE),IF($C$1074&gt;0,VLOOKUP($C1231,ENTI!$U$4:$Z$1003,5,FALSE),"")))</f>
        <v>#N/A</v>
      </c>
      <c r="H1231" s="42" t="e">
        <f ca="1">IF($C$1076&gt;0,VLOOKUP($C1231,COSTI!$U$4:$Z$1003,6,FALSE),IF($C$1075&gt;0,VLOOKUP($C1231,PATRIMONIALE!$U$4:$Z$1003,6,FALSE),IF($C$1074&gt;0,VLOOKUP($C1231,ENTI!$U$4:$Z$1003,6,FALSE),"")))</f>
        <v>#N/A</v>
      </c>
      <c r="I1231" s="496">
        <v>151</v>
      </c>
      <c r="J1231" s="43" t="e">
        <f ca="1">VLOOKUP(D1231,$F$1081:$I$4183,4,FALSE)+COUNTIF(E$1081:E1230,E1231)</f>
        <v>#N/A</v>
      </c>
      <c r="K1231" s="1"/>
      <c r="L1231" s="39" t="e">
        <f>IF($C$1074&gt;0,VLOOKUP($C1231,ENTI!$U$4:$AD$1003,10,FALSE),"")</f>
        <v>#N/A</v>
      </c>
      <c r="M1231" s="1"/>
      <c r="N1231" s="1"/>
      <c r="O1231" s="1"/>
    </row>
    <row r="1232" spans="1:15" hidden="1">
      <c r="A1232" s="1"/>
      <c r="B1232" s="40" t="e">
        <f t="shared" ca="1" si="186"/>
        <v>#N/A</v>
      </c>
      <c r="C1232" s="496">
        <v>152</v>
      </c>
      <c r="D1232" s="41" t="e">
        <f ca="1">IF($C$1076&gt;0,VLOOKUP($C1232,COSTI!$U$4:$Z$1003,3,FALSE),IF($C$1075&gt;0,VLOOKUP($C1232,PATRIMONIALE!$U$4:$Z$1003,3,FALSE),IF($C$1074&gt;0,VLOOKUP($C1232,ENTI!$U$4:$Z$1003,3,FALSE),"")))</f>
        <v>#N/A</v>
      </c>
      <c r="E1232" s="41" t="str">
        <f t="shared" ca="1" si="188"/>
        <v/>
      </c>
      <c r="F1232" s="41" t="e">
        <f t="shared" ca="1" si="187"/>
        <v>#NUM!</v>
      </c>
      <c r="G1232" s="39" t="e">
        <f ca="1">IF($C$1076&gt;0,VLOOKUP($C1232,COSTI!$U$4:$Z$1003,5,FALSE),IF($C$1075&gt;0,VLOOKUP($C1232,PATRIMONIALE!$U$4:$Z$1003,5,FALSE),IF($C$1074&gt;0,VLOOKUP($C1232,ENTI!$U$4:$Z$1003,5,FALSE),"")))</f>
        <v>#N/A</v>
      </c>
      <c r="H1232" s="42" t="e">
        <f ca="1">IF($C$1076&gt;0,VLOOKUP($C1232,COSTI!$U$4:$Z$1003,6,FALSE),IF($C$1075&gt;0,VLOOKUP($C1232,PATRIMONIALE!$U$4:$Z$1003,6,FALSE),IF($C$1074&gt;0,VLOOKUP($C1232,ENTI!$U$4:$Z$1003,6,FALSE),"")))</f>
        <v>#N/A</v>
      </c>
      <c r="I1232" s="496">
        <v>152</v>
      </c>
      <c r="J1232" s="43" t="e">
        <f ca="1">VLOOKUP(D1232,$F$1081:$I$4183,4,FALSE)+COUNTIF(E$1081:E1231,E1232)</f>
        <v>#N/A</v>
      </c>
      <c r="K1232" s="1"/>
      <c r="L1232" s="39" t="e">
        <f>IF($C$1074&gt;0,VLOOKUP($C1232,ENTI!$U$4:$AD$1003,10,FALSE),"")</f>
        <v>#N/A</v>
      </c>
      <c r="M1232" s="1"/>
      <c r="N1232" s="1"/>
      <c r="O1232" s="1"/>
    </row>
    <row r="1233" spans="1:15" hidden="1">
      <c r="A1233" s="1"/>
      <c r="B1233" s="40" t="e">
        <f t="shared" ca="1" si="186"/>
        <v>#N/A</v>
      </c>
      <c r="C1233" s="496">
        <v>153</v>
      </c>
      <c r="D1233" s="41" t="e">
        <f ca="1">IF($C$1076&gt;0,VLOOKUP($C1233,COSTI!$U$4:$Z$1003,3,FALSE),IF($C$1075&gt;0,VLOOKUP($C1233,PATRIMONIALE!$U$4:$Z$1003,3,FALSE),IF($C$1074&gt;0,VLOOKUP($C1233,ENTI!$U$4:$Z$1003,3,FALSE),"")))</f>
        <v>#N/A</v>
      </c>
      <c r="E1233" s="41" t="str">
        <f t="shared" ca="1" si="188"/>
        <v/>
      </c>
      <c r="F1233" s="41" t="e">
        <f t="shared" ca="1" si="187"/>
        <v>#NUM!</v>
      </c>
      <c r="G1233" s="39" t="e">
        <f ca="1">IF($C$1076&gt;0,VLOOKUP($C1233,COSTI!$U$4:$Z$1003,5,FALSE),IF($C$1075&gt;0,VLOOKUP($C1233,PATRIMONIALE!$U$4:$Z$1003,5,FALSE),IF($C$1074&gt;0,VLOOKUP($C1233,ENTI!$U$4:$Z$1003,5,FALSE),"")))</f>
        <v>#N/A</v>
      </c>
      <c r="H1233" s="42" t="e">
        <f ca="1">IF($C$1076&gt;0,VLOOKUP($C1233,COSTI!$U$4:$Z$1003,6,FALSE),IF($C$1075&gt;0,VLOOKUP($C1233,PATRIMONIALE!$U$4:$Z$1003,6,FALSE),IF($C$1074&gt;0,VLOOKUP($C1233,ENTI!$U$4:$Z$1003,6,FALSE),"")))</f>
        <v>#N/A</v>
      </c>
      <c r="I1233" s="496">
        <v>153</v>
      </c>
      <c r="J1233" s="43" t="e">
        <f ca="1">VLOOKUP(D1233,$F$1081:$I$4183,4,FALSE)+COUNTIF(E$1081:E1232,E1233)</f>
        <v>#N/A</v>
      </c>
      <c r="K1233" s="1"/>
      <c r="L1233" s="39" t="e">
        <f>IF($C$1074&gt;0,VLOOKUP($C1233,ENTI!$U$4:$AD$1003,10,FALSE),"")</f>
        <v>#N/A</v>
      </c>
      <c r="M1233" s="1"/>
      <c r="N1233" s="1"/>
      <c r="O1233" s="1"/>
    </row>
    <row r="1234" spans="1:15" hidden="1">
      <c r="A1234" s="1"/>
      <c r="B1234" s="40" t="e">
        <f t="shared" ca="1" si="186"/>
        <v>#N/A</v>
      </c>
      <c r="C1234" s="496">
        <v>154</v>
      </c>
      <c r="D1234" s="41" t="e">
        <f ca="1">IF($C$1076&gt;0,VLOOKUP($C1234,COSTI!$U$4:$Z$1003,3,FALSE),IF($C$1075&gt;0,VLOOKUP($C1234,PATRIMONIALE!$U$4:$Z$1003,3,FALSE),IF($C$1074&gt;0,VLOOKUP($C1234,ENTI!$U$4:$Z$1003,3,FALSE),"")))</f>
        <v>#N/A</v>
      </c>
      <c r="E1234" s="41" t="str">
        <f t="shared" ca="1" si="188"/>
        <v/>
      </c>
      <c r="F1234" s="41" t="e">
        <f t="shared" ca="1" si="187"/>
        <v>#NUM!</v>
      </c>
      <c r="G1234" s="39" t="e">
        <f ca="1">IF($C$1076&gt;0,VLOOKUP($C1234,COSTI!$U$4:$Z$1003,5,FALSE),IF($C$1075&gt;0,VLOOKUP($C1234,PATRIMONIALE!$U$4:$Z$1003,5,FALSE),IF($C$1074&gt;0,VLOOKUP($C1234,ENTI!$U$4:$Z$1003,5,FALSE),"")))</f>
        <v>#N/A</v>
      </c>
      <c r="H1234" s="42" t="e">
        <f ca="1">IF($C$1076&gt;0,VLOOKUP($C1234,COSTI!$U$4:$Z$1003,6,FALSE),IF($C$1075&gt;0,VLOOKUP($C1234,PATRIMONIALE!$U$4:$Z$1003,6,FALSE),IF($C$1074&gt;0,VLOOKUP($C1234,ENTI!$U$4:$Z$1003,6,FALSE),"")))</f>
        <v>#N/A</v>
      </c>
      <c r="I1234" s="496">
        <v>154</v>
      </c>
      <c r="J1234" s="43" t="e">
        <f ca="1">VLOOKUP(D1234,$F$1081:$I$4183,4,FALSE)+COUNTIF(E$1081:E1233,E1234)</f>
        <v>#N/A</v>
      </c>
      <c r="K1234" s="1"/>
      <c r="L1234" s="39" t="e">
        <f>IF($C$1074&gt;0,VLOOKUP($C1234,ENTI!$U$4:$AD$1003,10,FALSE),"")</f>
        <v>#N/A</v>
      </c>
      <c r="M1234" s="1"/>
      <c r="N1234" s="1"/>
      <c r="O1234" s="1"/>
    </row>
    <row r="1235" spans="1:15" hidden="1">
      <c r="A1235" s="1"/>
      <c r="B1235" s="40" t="e">
        <f t="shared" ca="1" si="186"/>
        <v>#N/A</v>
      </c>
      <c r="C1235" s="496">
        <v>155</v>
      </c>
      <c r="D1235" s="41" t="e">
        <f ca="1">IF($C$1076&gt;0,VLOOKUP($C1235,COSTI!$U$4:$Z$1003,3,FALSE),IF($C$1075&gt;0,VLOOKUP($C1235,PATRIMONIALE!$U$4:$Z$1003,3,FALSE),IF($C$1074&gt;0,VLOOKUP($C1235,ENTI!$U$4:$Z$1003,3,FALSE),"")))</f>
        <v>#N/A</v>
      </c>
      <c r="E1235" s="41" t="str">
        <f t="shared" ca="1" si="188"/>
        <v/>
      </c>
      <c r="F1235" s="41" t="e">
        <f t="shared" ca="1" si="187"/>
        <v>#NUM!</v>
      </c>
      <c r="G1235" s="39" t="e">
        <f ca="1">IF($C$1076&gt;0,VLOOKUP($C1235,COSTI!$U$4:$Z$1003,5,FALSE),IF($C$1075&gt;0,VLOOKUP($C1235,PATRIMONIALE!$U$4:$Z$1003,5,FALSE),IF($C$1074&gt;0,VLOOKUP($C1235,ENTI!$U$4:$Z$1003,5,FALSE),"")))</f>
        <v>#N/A</v>
      </c>
      <c r="H1235" s="42" t="e">
        <f ca="1">IF($C$1076&gt;0,VLOOKUP($C1235,COSTI!$U$4:$Z$1003,6,FALSE),IF($C$1075&gt;0,VLOOKUP($C1235,PATRIMONIALE!$U$4:$Z$1003,6,FALSE),IF($C$1074&gt;0,VLOOKUP($C1235,ENTI!$U$4:$Z$1003,6,FALSE),"")))</f>
        <v>#N/A</v>
      </c>
      <c r="I1235" s="496">
        <v>155</v>
      </c>
      <c r="J1235" s="43" t="e">
        <f ca="1">VLOOKUP(D1235,$F$1081:$I$4183,4,FALSE)+COUNTIF(E$1081:E1234,E1235)</f>
        <v>#N/A</v>
      </c>
      <c r="K1235" s="1"/>
      <c r="L1235" s="39" t="e">
        <f>IF($C$1074&gt;0,VLOOKUP($C1235,ENTI!$U$4:$AD$1003,10,FALSE),"")</f>
        <v>#N/A</v>
      </c>
      <c r="M1235" s="1"/>
      <c r="N1235" s="1"/>
      <c r="O1235" s="1"/>
    </row>
    <row r="1236" spans="1:15" hidden="1">
      <c r="A1236" s="1"/>
      <c r="B1236" s="40" t="e">
        <f t="shared" ca="1" si="186"/>
        <v>#N/A</v>
      </c>
      <c r="C1236" s="496">
        <v>156</v>
      </c>
      <c r="D1236" s="41" t="e">
        <f ca="1">IF($C$1076&gt;0,VLOOKUP($C1236,COSTI!$U$4:$Z$1003,3,FALSE),IF($C$1075&gt;0,VLOOKUP($C1236,PATRIMONIALE!$U$4:$Z$1003,3,FALSE),IF($C$1074&gt;0,VLOOKUP($C1236,ENTI!$U$4:$Z$1003,3,FALSE),"")))</f>
        <v>#N/A</v>
      </c>
      <c r="E1236" s="41" t="str">
        <f t="shared" ca="1" si="188"/>
        <v/>
      </c>
      <c r="F1236" s="41" t="e">
        <f t="shared" ca="1" si="187"/>
        <v>#NUM!</v>
      </c>
      <c r="G1236" s="39" t="e">
        <f ca="1">IF($C$1076&gt;0,VLOOKUP($C1236,COSTI!$U$4:$Z$1003,5,FALSE),IF($C$1075&gt;0,VLOOKUP($C1236,PATRIMONIALE!$U$4:$Z$1003,5,FALSE),IF($C$1074&gt;0,VLOOKUP($C1236,ENTI!$U$4:$Z$1003,5,FALSE),"")))</f>
        <v>#N/A</v>
      </c>
      <c r="H1236" s="42" t="e">
        <f ca="1">IF($C$1076&gt;0,VLOOKUP($C1236,COSTI!$U$4:$Z$1003,6,FALSE),IF($C$1075&gt;0,VLOOKUP($C1236,PATRIMONIALE!$U$4:$Z$1003,6,FALSE),IF($C$1074&gt;0,VLOOKUP($C1236,ENTI!$U$4:$Z$1003,6,FALSE),"")))</f>
        <v>#N/A</v>
      </c>
      <c r="I1236" s="496">
        <v>156</v>
      </c>
      <c r="J1236" s="43" t="e">
        <f ca="1">VLOOKUP(D1236,$F$1081:$I$4183,4,FALSE)+COUNTIF(E$1081:E1235,E1236)</f>
        <v>#N/A</v>
      </c>
      <c r="K1236" s="1"/>
      <c r="L1236" s="39" t="e">
        <f>IF($C$1074&gt;0,VLOOKUP($C1236,ENTI!$U$4:$AD$1003,10,FALSE),"")</f>
        <v>#N/A</v>
      </c>
      <c r="M1236" s="1"/>
      <c r="N1236" s="1"/>
      <c r="O1236" s="1"/>
    </row>
    <row r="1237" spans="1:15" hidden="1">
      <c r="A1237" s="1"/>
      <c r="B1237" s="40" t="e">
        <f t="shared" ca="1" si="186"/>
        <v>#N/A</v>
      </c>
      <c r="C1237" s="496">
        <v>157</v>
      </c>
      <c r="D1237" s="41" t="e">
        <f ca="1">IF($C$1076&gt;0,VLOOKUP($C1237,COSTI!$U$4:$Z$1003,3,FALSE),IF($C$1075&gt;0,VLOOKUP($C1237,PATRIMONIALE!$U$4:$Z$1003,3,FALSE),IF($C$1074&gt;0,VLOOKUP($C1237,ENTI!$U$4:$Z$1003,3,FALSE),"")))</f>
        <v>#N/A</v>
      </c>
      <c r="E1237" s="41" t="str">
        <f t="shared" ca="1" si="188"/>
        <v/>
      </c>
      <c r="F1237" s="41" t="e">
        <f t="shared" ca="1" si="187"/>
        <v>#NUM!</v>
      </c>
      <c r="G1237" s="39" t="e">
        <f ca="1">IF($C$1076&gt;0,VLOOKUP($C1237,COSTI!$U$4:$Z$1003,5,FALSE),IF($C$1075&gt;0,VLOOKUP($C1237,PATRIMONIALE!$U$4:$Z$1003,5,FALSE),IF($C$1074&gt;0,VLOOKUP($C1237,ENTI!$U$4:$Z$1003,5,FALSE),"")))</f>
        <v>#N/A</v>
      </c>
      <c r="H1237" s="42" t="e">
        <f ca="1">IF($C$1076&gt;0,VLOOKUP($C1237,COSTI!$U$4:$Z$1003,6,FALSE),IF($C$1075&gt;0,VLOOKUP($C1237,PATRIMONIALE!$U$4:$Z$1003,6,FALSE),IF($C$1074&gt;0,VLOOKUP($C1237,ENTI!$U$4:$Z$1003,6,FALSE),"")))</f>
        <v>#N/A</v>
      </c>
      <c r="I1237" s="496">
        <v>157</v>
      </c>
      <c r="J1237" s="43" t="e">
        <f ca="1">VLOOKUP(D1237,$F$1081:$I$4183,4,FALSE)+COUNTIF(E$1081:E1236,E1237)</f>
        <v>#N/A</v>
      </c>
      <c r="K1237" s="1"/>
      <c r="L1237" s="39" t="e">
        <f>IF($C$1074&gt;0,VLOOKUP($C1237,ENTI!$U$4:$AD$1003,10,FALSE),"")</f>
        <v>#N/A</v>
      </c>
      <c r="M1237" s="1"/>
      <c r="N1237" s="1"/>
      <c r="O1237" s="1"/>
    </row>
    <row r="1238" spans="1:15" hidden="1">
      <c r="A1238" s="1"/>
      <c r="B1238" s="40" t="e">
        <f t="shared" ca="1" si="186"/>
        <v>#N/A</v>
      </c>
      <c r="C1238" s="496">
        <v>158</v>
      </c>
      <c r="D1238" s="41" t="e">
        <f ca="1">IF($C$1076&gt;0,VLOOKUP($C1238,COSTI!$U$4:$Z$1003,3,FALSE),IF($C$1075&gt;0,VLOOKUP($C1238,PATRIMONIALE!$U$4:$Z$1003,3,FALSE),IF($C$1074&gt;0,VLOOKUP($C1238,ENTI!$U$4:$Z$1003,3,FALSE),"")))</f>
        <v>#N/A</v>
      </c>
      <c r="E1238" s="41" t="str">
        <f t="shared" ca="1" si="188"/>
        <v/>
      </c>
      <c r="F1238" s="41" t="e">
        <f t="shared" ca="1" si="187"/>
        <v>#NUM!</v>
      </c>
      <c r="G1238" s="39" t="e">
        <f ca="1">IF($C$1076&gt;0,VLOOKUP($C1238,COSTI!$U$4:$Z$1003,5,FALSE),IF($C$1075&gt;0,VLOOKUP($C1238,PATRIMONIALE!$U$4:$Z$1003,5,FALSE),IF($C$1074&gt;0,VLOOKUP($C1238,ENTI!$U$4:$Z$1003,5,FALSE),"")))</f>
        <v>#N/A</v>
      </c>
      <c r="H1238" s="42" t="e">
        <f ca="1">IF($C$1076&gt;0,VLOOKUP($C1238,COSTI!$U$4:$Z$1003,6,FALSE),IF($C$1075&gt;0,VLOOKUP($C1238,PATRIMONIALE!$U$4:$Z$1003,6,FALSE),IF($C$1074&gt;0,VLOOKUP($C1238,ENTI!$U$4:$Z$1003,6,FALSE),"")))</f>
        <v>#N/A</v>
      </c>
      <c r="I1238" s="496">
        <v>158</v>
      </c>
      <c r="J1238" s="43" t="e">
        <f ca="1">VLOOKUP(D1238,$F$1081:$I$4183,4,FALSE)+COUNTIF(E$1081:E1237,E1238)</f>
        <v>#N/A</v>
      </c>
      <c r="K1238" s="1"/>
      <c r="L1238" s="39" t="e">
        <f>IF($C$1074&gt;0,VLOOKUP($C1238,ENTI!$U$4:$AD$1003,10,FALSE),"")</f>
        <v>#N/A</v>
      </c>
      <c r="M1238" s="1"/>
      <c r="N1238" s="1"/>
      <c r="O1238" s="1"/>
    </row>
    <row r="1239" spans="1:15" hidden="1">
      <c r="A1239" s="1"/>
      <c r="B1239" s="40" t="e">
        <f t="shared" ca="1" si="186"/>
        <v>#N/A</v>
      </c>
      <c r="C1239" s="496">
        <v>159</v>
      </c>
      <c r="D1239" s="41" t="e">
        <f ca="1">IF($C$1076&gt;0,VLOOKUP($C1239,COSTI!$U$4:$Z$1003,3,FALSE),IF($C$1075&gt;0,VLOOKUP($C1239,PATRIMONIALE!$U$4:$Z$1003,3,FALSE),IF($C$1074&gt;0,VLOOKUP($C1239,ENTI!$U$4:$Z$1003,3,FALSE),"")))</f>
        <v>#N/A</v>
      </c>
      <c r="E1239" s="41" t="str">
        <f t="shared" ca="1" si="188"/>
        <v/>
      </c>
      <c r="F1239" s="41" t="e">
        <f t="shared" ca="1" si="187"/>
        <v>#NUM!</v>
      </c>
      <c r="G1239" s="39" t="e">
        <f ca="1">IF($C$1076&gt;0,VLOOKUP($C1239,COSTI!$U$4:$Z$1003,5,FALSE),IF($C$1075&gt;0,VLOOKUP($C1239,PATRIMONIALE!$U$4:$Z$1003,5,FALSE),IF($C$1074&gt;0,VLOOKUP($C1239,ENTI!$U$4:$Z$1003,5,FALSE),"")))</f>
        <v>#N/A</v>
      </c>
      <c r="H1239" s="42" t="e">
        <f ca="1">IF($C$1076&gt;0,VLOOKUP($C1239,COSTI!$U$4:$Z$1003,6,FALSE),IF($C$1075&gt;0,VLOOKUP($C1239,PATRIMONIALE!$U$4:$Z$1003,6,FALSE),IF($C$1074&gt;0,VLOOKUP($C1239,ENTI!$U$4:$Z$1003,6,FALSE),"")))</f>
        <v>#N/A</v>
      </c>
      <c r="I1239" s="496">
        <v>159</v>
      </c>
      <c r="J1239" s="43" t="e">
        <f ca="1">VLOOKUP(D1239,$F$1081:$I$4183,4,FALSE)+COUNTIF(E$1081:E1238,E1239)</f>
        <v>#N/A</v>
      </c>
      <c r="K1239" s="1"/>
      <c r="L1239" s="39" t="e">
        <f>IF($C$1074&gt;0,VLOOKUP($C1239,ENTI!$U$4:$AD$1003,10,FALSE),"")</f>
        <v>#N/A</v>
      </c>
      <c r="M1239" s="1"/>
      <c r="N1239" s="1"/>
      <c r="O1239" s="1"/>
    </row>
    <row r="1240" spans="1:15" hidden="1">
      <c r="A1240" s="1"/>
      <c r="B1240" s="40" t="e">
        <f t="shared" ca="1" si="186"/>
        <v>#N/A</v>
      </c>
      <c r="C1240" s="496">
        <v>160</v>
      </c>
      <c r="D1240" s="41" t="e">
        <f ca="1">IF($C$1076&gt;0,VLOOKUP($C1240,COSTI!$U$4:$Z$1003,3,FALSE),IF($C$1075&gt;0,VLOOKUP($C1240,PATRIMONIALE!$U$4:$Z$1003,3,FALSE),IF($C$1074&gt;0,VLOOKUP($C1240,ENTI!$U$4:$Z$1003,3,FALSE),"")))</f>
        <v>#N/A</v>
      </c>
      <c r="E1240" s="41" t="str">
        <f t="shared" ca="1" si="188"/>
        <v/>
      </c>
      <c r="F1240" s="41" t="e">
        <f t="shared" ca="1" si="187"/>
        <v>#NUM!</v>
      </c>
      <c r="G1240" s="39" t="e">
        <f ca="1">IF($C$1076&gt;0,VLOOKUP($C1240,COSTI!$U$4:$Z$1003,5,FALSE),IF($C$1075&gt;0,VLOOKUP($C1240,PATRIMONIALE!$U$4:$Z$1003,5,FALSE),IF($C$1074&gt;0,VLOOKUP($C1240,ENTI!$U$4:$Z$1003,5,FALSE),"")))</f>
        <v>#N/A</v>
      </c>
      <c r="H1240" s="42" t="e">
        <f ca="1">IF($C$1076&gt;0,VLOOKUP($C1240,COSTI!$U$4:$Z$1003,6,FALSE),IF($C$1075&gt;0,VLOOKUP($C1240,PATRIMONIALE!$U$4:$Z$1003,6,FALSE),IF($C$1074&gt;0,VLOOKUP($C1240,ENTI!$U$4:$Z$1003,6,FALSE),"")))</f>
        <v>#N/A</v>
      </c>
      <c r="I1240" s="496">
        <v>160</v>
      </c>
      <c r="J1240" s="43" t="e">
        <f ca="1">VLOOKUP(D1240,$F$1081:$I$4183,4,FALSE)+COUNTIF(E$1081:E1239,E1240)</f>
        <v>#N/A</v>
      </c>
      <c r="K1240" s="1"/>
      <c r="L1240" s="39" t="e">
        <f>IF($C$1074&gt;0,VLOOKUP($C1240,ENTI!$U$4:$AD$1003,10,FALSE),"")</f>
        <v>#N/A</v>
      </c>
      <c r="M1240" s="1"/>
      <c r="N1240" s="1"/>
      <c r="O1240" s="1"/>
    </row>
    <row r="1241" spans="1:15" hidden="1">
      <c r="A1241" s="1"/>
      <c r="B1241" s="40" t="e">
        <f t="shared" ca="1" si="186"/>
        <v>#N/A</v>
      </c>
      <c r="C1241" s="496">
        <v>161</v>
      </c>
      <c r="D1241" s="41" t="e">
        <f ca="1">IF($C$1076&gt;0,VLOOKUP($C1241,COSTI!$U$4:$Z$1003,3,FALSE),IF($C$1075&gt;0,VLOOKUP($C1241,PATRIMONIALE!$U$4:$Z$1003,3,FALSE),IF($C$1074&gt;0,VLOOKUP($C1241,ENTI!$U$4:$Z$1003,3,FALSE),"")))</f>
        <v>#N/A</v>
      </c>
      <c r="E1241" s="41" t="str">
        <f t="shared" ca="1" si="188"/>
        <v/>
      </c>
      <c r="F1241" s="41" t="e">
        <f t="shared" ca="1" si="187"/>
        <v>#NUM!</v>
      </c>
      <c r="G1241" s="39" t="e">
        <f ca="1">IF($C$1076&gt;0,VLOOKUP($C1241,COSTI!$U$4:$Z$1003,5,FALSE),IF($C$1075&gt;0,VLOOKUP($C1241,PATRIMONIALE!$U$4:$Z$1003,5,FALSE),IF($C$1074&gt;0,VLOOKUP($C1241,ENTI!$U$4:$Z$1003,5,FALSE),"")))</f>
        <v>#N/A</v>
      </c>
      <c r="H1241" s="42" t="e">
        <f ca="1">IF($C$1076&gt;0,VLOOKUP($C1241,COSTI!$U$4:$Z$1003,6,FALSE),IF($C$1075&gt;0,VLOOKUP($C1241,PATRIMONIALE!$U$4:$Z$1003,6,FALSE),IF($C$1074&gt;0,VLOOKUP($C1241,ENTI!$U$4:$Z$1003,6,FALSE),"")))</f>
        <v>#N/A</v>
      </c>
      <c r="I1241" s="496">
        <v>161</v>
      </c>
      <c r="J1241" s="43" t="e">
        <f ca="1">VLOOKUP(D1241,$F$1081:$I$4183,4,FALSE)+COUNTIF(E$1081:E1240,E1241)</f>
        <v>#N/A</v>
      </c>
      <c r="K1241" s="1"/>
      <c r="L1241" s="39" t="e">
        <f>IF($C$1074&gt;0,VLOOKUP($C1241,ENTI!$U$4:$AD$1003,10,FALSE),"")</f>
        <v>#N/A</v>
      </c>
      <c r="M1241" s="1"/>
      <c r="N1241" s="1"/>
      <c r="O1241" s="1"/>
    </row>
    <row r="1242" spans="1:15" hidden="1">
      <c r="A1242" s="1"/>
      <c r="B1242" s="40" t="e">
        <f t="shared" ca="1" si="186"/>
        <v>#N/A</v>
      </c>
      <c r="C1242" s="496">
        <v>162</v>
      </c>
      <c r="D1242" s="41" t="e">
        <f ca="1">IF($C$1076&gt;0,VLOOKUP($C1242,COSTI!$U$4:$Z$1003,3,FALSE),IF($C$1075&gt;0,VLOOKUP($C1242,PATRIMONIALE!$U$4:$Z$1003,3,FALSE),IF($C$1074&gt;0,VLOOKUP($C1242,ENTI!$U$4:$Z$1003,3,FALSE),"")))</f>
        <v>#N/A</v>
      </c>
      <c r="E1242" s="41" t="str">
        <f t="shared" ref="E1242:E1266" ca="1" si="189">IF(ISERROR(D1242),"",D1242)</f>
        <v/>
      </c>
      <c r="F1242" s="41" t="e">
        <f t="shared" ca="1" si="187"/>
        <v>#NUM!</v>
      </c>
      <c r="G1242" s="39" t="e">
        <f ca="1">IF($C$1076&gt;0,VLOOKUP($C1242,COSTI!$U$4:$Z$1003,5,FALSE),IF($C$1075&gt;0,VLOOKUP($C1242,PATRIMONIALE!$U$4:$Z$1003,5,FALSE),IF($C$1074&gt;0,VLOOKUP($C1242,ENTI!$U$4:$Z$1003,5,FALSE),"")))</f>
        <v>#N/A</v>
      </c>
      <c r="H1242" s="42" t="e">
        <f ca="1">IF($C$1076&gt;0,VLOOKUP($C1242,COSTI!$U$4:$Z$1003,6,FALSE),IF($C$1075&gt;0,VLOOKUP($C1242,PATRIMONIALE!$U$4:$Z$1003,6,FALSE),IF($C$1074&gt;0,VLOOKUP($C1242,ENTI!$U$4:$Z$1003,6,FALSE),"")))</f>
        <v>#N/A</v>
      </c>
      <c r="I1242" s="496">
        <v>162</v>
      </c>
      <c r="J1242" s="43" t="e">
        <f ca="1">VLOOKUP(D1242,$F$1081:$I$4183,4,FALSE)+COUNTIF(E$1081:E1241,E1242)</f>
        <v>#N/A</v>
      </c>
      <c r="K1242" s="1"/>
      <c r="L1242" s="39" t="e">
        <f>IF($C$1074&gt;0,VLOOKUP($C1242,ENTI!$U$4:$AD$1003,10,FALSE),"")</f>
        <v>#N/A</v>
      </c>
      <c r="M1242" s="1"/>
      <c r="N1242" s="1"/>
      <c r="O1242" s="1"/>
    </row>
    <row r="1243" spans="1:15" hidden="1">
      <c r="A1243" s="1"/>
      <c r="B1243" s="40" t="e">
        <f t="shared" ca="1" si="186"/>
        <v>#N/A</v>
      </c>
      <c r="C1243" s="496">
        <v>163</v>
      </c>
      <c r="D1243" s="41" t="e">
        <f ca="1">IF($C$1076&gt;0,VLOOKUP($C1243,COSTI!$U$4:$Z$1003,3,FALSE),IF($C$1075&gt;0,VLOOKUP($C1243,PATRIMONIALE!$U$4:$Z$1003,3,FALSE),IF($C$1074&gt;0,VLOOKUP($C1243,ENTI!$U$4:$Z$1003,3,FALSE),"")))</f>
        <v>#N/A</v>
      </c>
      <c r="E1243" s="41" t="str">
        <f t="shared" ca="1" si="189"/>
        <v/>
      </c>
      <c r="F1243" s="41" t="e">
        <f t="shared" ca="1" si="187"/>
        <v>#NUM!</v>
      </c>
      <c r="G1243" s="39" t="e">
        <f ca="1">IF($C$1076&gt;0,VLOOKUP($C1243,COSTI!$U$4:$Z$1003,5,FALSE),IF($C$1075&gt;0,VLOOKUP($C1243,PATRIMONIALE!$U$4:$Z$1003,5,FALSE),IF($C$1074&gt;0,VLOOKUP($C1243,ENTI!$U$4:$Z$1003,5,FALSE),"")))</f>
        <v>#N/A</v>
      </c>
      <c r="H1243" s="42" t="e">
        <f ca="1">IF($C$1076&gt;0,VLOOKUP($C1243,COSTI!$U$4:$Z$1003,6,FALSE),IF($C$1075&gt;0,VLOOKUP($C1243,PATRIMONIALE!$U$4:$Z$1003,6,FALSE),IF($C$1074&gt;0,VLOOKUP($C1243,ENTI!$U$4:$Z$1003,6,FALSE),"")))</f>
        <v>#N/A</v>
      </c>
      <c r="I1243" s="496">
        <v>163</v>
      </c>
      <c r="J1243" s="43" t="e">
        <f ca="1">VLOOKUP(D1243,$F$1081:$I$4183,4,FALSE)+COUNTIF(E$1081:E1242,E1243)</f>
        <v>#N/A</v>
      </c>
      <c r="K1243" s="1"/>
      <c r="L1243" s="39" t="e">
        <f>IF($C$1074&gt;0,VLOOKUP($C1243,ENTI!$U$4:$AD$1003,10,FALSE),"")</f>
        <v>#N/A</v>
      </c>
      <c r="M1243" s="1"/>
      <c r="N1243" s="1"/>
      <c r="O1243" s="1"/>
    </row>
    <row r="1244" spans="1:15" hidden="1">
      <c r="A1244" s="1"/>
      <c r="B1244" s="40" t="e">
        <f t="shared" ca="1" si="186"/>
        <v>#N/A</v>
      </c>
      <c r="C1244" s="496">
        <v>164</v>
      </c>
      <c r="D1244" s="41" t="e">
        <f ca="1">IF($C$1076&gt;0,VLOOKUP($C1244,COSTI!$U$4:$Z$1003,3,FALSE),IF($C$1075&gt;0,VLOOKUP($C1244,PATRIMONIALE!$U$4:$Z$1003,3,FALSE),IF($C$1074&gt;0,VLOOKUP($C1244,ENTI!$U$4:$Z$1003,3,FALSE),"")))</f>
        <v>#N/A</v>
      </c>
      <c r="E1244" s="41" t="str">
        <f t="shared" ca="1" si="189"/>
        <v/>
      </c>
      <c r="F1244" s="41" t="e">
        <f t="shared" ca="1" si="187"/>
        <v>#NUM!</v>
      </c>
      <c r="G1244" s="39" t="e">
        <f ca="1">IF($C$1076&gt;0,VLOOKUP($C1244,COSTI!$U$4:$Z$1003,5,FALSE),IF($C$1075&gt;0,VLOOKUP($C1244,PATRIMONIALE!$U$4:$Z$1003,5,FALSE),IF($C$1074&gt;0,VLOOKUP($C1244,ENTI!$U$4:$Z$1003,5,FALSE),"")))</f>
        <v>#N/A</v>
      </c>
      <c r="H1244" s="42" t="e">
        <f ca="1">IF($C$1076&gt;0,VLOOKUP($C1244,COSTI!$U$4:$Z$1003,6,FALSE),IF($C$1075&gt;0,VLOOKUP($C1244,PATRIMONIALE!$U$4:$Z$1003,6,FALSE),IF($C$1074&gt;0,VLOOKUP($C1244,ENTI!$U$4:$Z$1003,6,FALSE),"")))</f>
        <v>#N/A</v>
      </c>
      <c r="I1244" s="496">
        <v>164</v>
      </c>
      <c r="J1244" s="43" t="e">
        <f ca="1">VLOOKUP(D1244,$F$1081:$I$4183,4,FALSE)+COUNTIF(E$1081:E1243,E1244)</f>
        <v>#N/A</v>
      </c>
      <c r="K1244" s="1"/>
      <c r="L1244" s="39" t="e">
        <f>IF($C$1074&gt;0,VLOOKUP($C1244,ENTI!$U$4:$AD$1003,10,FALSE),"")</f>
        <v>#N/A</v>
      </c>
      <c r="M1244" s="1"/>
      <c r="N1244" s="1"/>
      <c r="O1244" s="1"/>
    </row>
    <row r="1245" spans="1:15" hidden="1">
      <c r="A1245" s="1"/>
      <c r="B1245" s="40" t="e">
        <f t="shared" ca="1" si="186"/>
        <v>#N/A</v>
      </c>
      <c r="C1245" s="496">
        <v>165</v>
      </c>
      <c r="D1245" s="41" t="e">
        <f ca="1">IF($C$1076&gt;0,VLOOKUP($C1245,COSTI!$U$4:$Z$1003,3,FALSE),IF($C$1075&gt;0,VLOOKUP($C1245,PATRIMONIALE!$U$4:$Z$1003,3,FALSE),IF($C$1074&gt;0,VLOOKUP($C1245,ENTI!$U$4:$Z$1003,3,FALSE),"")))</f>
        <v>#N/A</v>
      </c>
      <c r="E1245" s="41" t="str">
        <f t="shared" ca="1" si="189"/>
        <v/>
      </c>
      <c r="F1245" s="41" t="e">
        <f t="shared" ca="1" si="187"/>
        <v>#NUM!</v>
      </c>
      <c r="G1245" s="39" t="e">
        <f ca="1">IF($C$1076&gt;0,VLOOKUP($C1245,COSTI!$U$4:$Z$1003,5,FALSE),IF($C$1075&gt;0,VLOOKUP($C1245,PATRIMONIALE!$U$4:$Z$1003,5,FALSE),IF($C$1074&gt;0,VLOOKUP($C1245,ENTI!$U$4:$Z$1003,5,FALSE),"")))</f>
        <v>#N/A</v>
      </c>
      <c r="H1245" s="42" t="e">
        <f ca="1">IF($C$1076&gt;0,VLOOKUP($C1245,COSTI!$U$4:$Z$1003,6,FALSE),IF($C$1075&gt;0,VLOOKUP($C1245,PATRIMONIALE!$U$4:$Z$1003,6,FALSE),IF($C$1074&gt;0,VLOOKUP($C1245,ENTI!$U$4:$Z$1003,6,FALSE),"")))</f>
        <v>#N/A</v>
      </c>
      <c r="I1245" s="496">
        <v>165</v>
      </c>
      <c r="J1245" s="43" t="e">
        <f ca="1">VLOOKUP(D1245,$F$1081:$I$4183,4,FALSE)+COUNTIF(E$1081:E1244,E1245)</f>
        <v>#N/A</v>
      </c>
      <c r="K1245" s="1"/>
      <c r="L1245" s="39" t="e">
        <f>IF($C$1074&gt;0,VLOOKUP($C1245,ENTI!$U$4:$AD$1003,10,FALSE),"")</f>
        <v>#N/A</v>
      </c>
      <c r="M1245" s="1"/>
      <c r="N1245" s="1"/>
      <c r="O1245" s="1"/>
    </row>
    <row r="1246" spans="1:15" hidden="1">
      <c r="A1246" s="1"/>
      <c r="B1246" s="40" t="e">
        <f t="shared" ca="1" si="186"/>
        <v>#N/A</v>
      </c>
      <c r="C1246" s="496">
        <v>166</v>
      </c>
      <c r="D1246" s="41" t="e">
        <f ca="1">IF($C$1076&gt;0,VLOOKUP($C1246,COSTI!$U$4:$Z$1003,3,FALSE),IF($C$1075&gt;0,VLOOKUP($C1246,PATRIMONIALE!$U$4:$Z$1003,3,FALSE),IF($C$1074&gt;0,VLOOKUP($C1246,ENTI!$U$4:$Z$1003,3,FALSE),"")))</f>
        <v>#N/A</v>
      </c>
      <c r="E1246" s="41" t="str">
        <f t="shared" ca="1" si="189"/>
        <v/>
      </c>
      <c r="F1246" s="41" t="e">
        <f t="shared" ca="1" si="187"/>
        <v>#NUM!</v>
      </c>
      <c r="G1246" s="39" t="e">
        <f ca="1">IF($C$1076&gt;0,VLOOKUP($C1246,COSTI!$U$4:$Z$1003,5,FALSE),IF($C$1075&gt;0,VLOOKUP($C1246,PATRIMONIALE!$U$4:$Z$1003,5,FALSE),IF($C$1074&gt;0,VLOOKUP($C1246,ENTI!$U$4:$Z$1003,5,FALSE),"")))</f>
        <v>#N/A</v>
      </c>
      <c r="H1246" s="42" t="e">
        <f ca="1">IF($C$1076&gt;0,VLOOKUP($C1246,COSTI!$U$4:$Z$1003,6,FALSE),IF($C$1075&gt;0,VLOOKUP($C1246,PATRIMONIALE!$U$4:$Z$1003,6,FALSE),IF($C$1074&gt;0,VLOOKUP($C1246,ENTI!$U$4:$Z$1003,6,FALSE),"")))</f>
        <v>#N/A</v>
      </c>
      <c r="I1246" s="496">
        <v>166</v>
      </c>
      <c r="J1246" s="43" t="e">
        <f ca="1">VLOOKUP(D1246,$F$1081:$I$4183,4,FALSE)+COUNTIF(E$1081:E1245,E1246)</f>
        <v>#N/A</v>
      </c>
      <c r="K1246" s="1"/>
      <c r="L1246" s="39" t="e">
        <f>IF($C$1074&gt;0,VLOOKUP($C1246,ENTI!$U$4:$AD$1003,10,FALSE),"")</f>
        <v>#N/A</v>
      </c>
      <c r="M1246" s="1"/>
      <c r="N1246" s="1"/>
      <c r="O1246" s="1"/>
    </row>
    <row r="1247" spans="1:15" hidden="1">
      <c r="A1247" s="1"/>
      <c r="B1247" s="40" t="e">
        <f t="shared" ca="1" si="186"/>
        <v>#N/A</v>
      </c>
      <c r="C1247" s="496">
        <v>167</v>
      </c>
      <c r="D1247" s="41" t="e">
        <f ca="1">IF($C$1076&gt;0,VLOOKUP($C1247,COSTI!$U$4:$Z$1003,3,FALSE),IF($C$1075&gt;0,VLOOKUP($C1247,PATRIMONIALE!$U$4:$Z$1003,3,FALSE),IF($C$1074&gt;0,VLOOKUP($C1247,ENTI!$U$4:$Z$1003,3,FALSE),"")))</f>
        <v>#N/A</v>
      </c>
      <c r="E1247" s="41" t="str">
        <f t="shared" ca="1" si="189"/>
        <v/>
      </c>
      <c r="F1247" s="41" t="e">
        <f t="shared" ca="1" si="187"/>
        <v>#NUM!</v>
      </c>
      <c r="G1247" s="39" t="e">
        <f ca="1">IF($C$1076&gt;0,VLOOKUP($C1247,COSTI!$U$4:$Z$1003,5,FALSE),IF($C$1075&gt;0,VLOOKUP($C1247,PATRIMONIALE!$U$4:$Z$1003,5,FALSE),IF($C$1074&gt;0,VLOOKUP($C1247,ENTI!$U$4:$Z$1003,5,FALSE),"")))</f>
        <v>#N/A</v>
      </c>
      <c r="H1247" s="42" t="e">
        <f ca="1">IF($C$1076&gt;0,VLOOKUP($C1247,COSTI!$U$4:$Z$1003,6,FALSE),IF($C$1075&gt;0,VLOOKUP($C1247,PATRIMONIALE!$U$4:$Z$1003,6,FALSE),IF($C$1074&gt;0,VLOOKUP($C1247,ENTI!$U$4:$Z$1003,6,FALSE),"")))</f>
        <v>#N/A</v>
      </c>
      <c r="I1247" s="496">
        <v>167</v>
      </c>
      <c r="J1247" s="43" t="e">
        <f ca="1">VLOOKUP(D1247,$F$1081:$I$4183,4,FALSE)+COUNTIF(E$1081:E1246,E1247)</f>
        <v>#N/A</v>
      </c>
      <c r="K1247" s="1"/>
      <c r="L1247" s="39" t="e">
        <f>IF($C$1074&gt;0,VLOOKUP($C1247,ENTI!$U$4:$AD$1003,10,FALSE),"")</f>
        <v>#N/A</v>
      </c>
      <c r="M1247" s="1"/>
      <c r="N1247" s="1"/>
      <c r="O1247" s="1"/>
    </row>
    <row r="1248" spans="1:15" hidden="1">
      <c r="A1248" s="1"/>
      <c r="B1248" s="40" t="e">
        <f t="shared" ca="1" si="186"/>
        <v>#N/A</v>
      </c>
      <c r="C1248" s="496">
        <v>168</v>
      </c>
      <c r="D1248" s="41" t="e">
        <f ca="1">IF($C$1076&gt;0,VLOOKUP($C1248,COSTI!$U$4:$Z$1003,3,FALSE),IF($C$1075&gt;0,VLOOKUP($C1248,PATRIMONIALE!$U$4:$Z$1003,3,FALSE),IF($C$1074&gt;0,VLOOKUP($C1248,ENTI!$U$4:$Z$1003,3,FALSE),"")))</f>
        <v>#N/A</v>
      </c>
      <c r="E1248" s="41" t="str">
        <f t="shared" ca="1" si="189"/>
        <v/>
      </c>
      <c r="F1248" s="41" t="e">
        <f t="shared" ca="1" si="187"/>
        <v>#NUM!</v>
      </c>
      <c r="G1248" s="39" t="e">
        <f ca="1">IF($C$1076&gt;0,VLOOKUP($C1248,COSTI!$U$4:$Z$1003,5,FALSE),IF($C$1075&gt;0,VLOOKUP($C1248,PATRIMONIALE!$U$4:$Z$1003,5,FALSE),IF($C$1074&gt;0,VLOOKUP($C1248,ENTI!$U$4:$Z$1003,5,FALSE),"")))</f>
        <v>#N/A</v>
      </c>
      <c r="H1248" s="42" t="e">
        <f ca="1">IF($C$1076&gt;0,VLOOKUP($C1248,COSTI!$U$4:$Z$1003,6,FALSE),IF($C$1075&gt;0,VLOOKUP($C1248,PATRIMONIALE!$U$4:$Z$1003,6,FALSE),IF($C$1074&gt;0,VLOOKUP($C1248,ENTI!$U$4:$Z$1003,6,FALSE),"")))</f>
        <v>#N/A</v>
      </c>
      <c r="I1248" s="496">
        <v>168</v>
      </c>
      <c r="J1248" s="43" t="e">
        <f ca="1">VLOOKUP(D1248,$F$1081:$I$4183,4,FALSE)+COUNTIF(E$1081:E1247,E1248)</f>
        <v>#N/A</v>
      </c>
      <c r="K1248" s="1"/>
      <c r="L1248" s="39" t="e">
        <f>IF($C$1074&gt;0,VLOOKUP($C1248,ENTI!$U$4:$AD$1003,10,FALSE),"")</f>
        <v>#N/A</v>
      </c>
      <c r="M1248" s="1"/>
      <c r="N1248" s="1"/>
      <c r="O1248" s="1"/>
    </row>
    <row r="1249" spans="1:15" hidden="1">
      <c r="A1249" s="1"/>
      <c r="B1249" s="40" t="e">
        <f t="shared" ca="1" si="186"/>
        <v>#N/A</v>
      </c>
      <c r="C1249" s="496">
        <v>169</v>
      </c>
      <c r="D1249" s="41" t="e">
        <f ca="1">IF($C$1076&gt;0,VLOOKUP($C1249,COSTI!$U$4:$Z$1003,3,FALSE),IF($C$1075&gt;0,VLOOKUP($C1249,PATRIMONIALE!$U$4:$Z$1003,3,FALSE),IF($C$1074&gt;0,VLOOKUP($C1249,ENTI!$U$4:$Z$1003,3,FALSE),"")))</f>
        <v>#N/A</v>
      </c>
      <c r="E1249" s="41" t="str">
        <f t="shared" ca="1" si="189"/>
        <v/>
      </c>
      <c r="F1249" s="41" t="e">
        <f t="shared" ca="1" si="187"/>
        <v>#NUM!</v>
      </c>
      <c r="G1249" s="39" t="e">
        <f ca="1">IF($C$1076&gt;0,VLOOKUP($C1249,COSTI!$U$4:$Z$1003,5,FALSE),IF($C$1075&gt;0,VLOOKUP($C1249,PATRIMONIALE!$U$4:$Z$1003,5,FALSE),IF($C$1074&gt;0,VLOOKUP($C1249,ENTI!$U$4:$Z$1003,5,FALSE),"")))</f>
        <v>#N/A</v>
      </c>
      <c r="H1249" s="42" t="e">
        <f ca="1">IF($C$1076&gt;0,VLOOKUP($C1249,COSTI!$U$4:$Z$1003,6,FALSE),IF($C$1075&gt;0,VLOOKUP($C1249,PATRIMONIALE!$U$4:$Z$1003,6,FALSE),IF($C$1074&gt;0,VLOOKUP($C1249,ENTI!$U$4:$Z$1003,6,FALSE),"")))</f>
        <v>#N/A</v>
      </c>
      <c r="I1249" s="496">
        <v>169</v>
      </c>
      <c r="J1249" s="43" t="e">
        <f ca="1">VLOOKUP(D1249,$F$1081:$I$4183,4,FALSE)+COUNTIF(E$1081:E1248,E1249)</f>
        <v>#N/A</v>
      </c>
      <c r="K1249" s="1"/>
      <c r="L1249" s="39" t="e">
        <f>IF($C$1074&gt;0,VLOOKUP($C1249,ENTI!$U$4:$AD$1003,10,FALSE),"")</f>
        <v>#N/A</v>
      </c>
      <c r="M1249" s="1"/>
      <c r="N1249" s="1"/>
      <c r="O1249" s="1"/>
    </row>
    <row r="1250" spans="1:15" hidden="1">
      <c r="A1250" s="1"/>
      <c r="B1250" s="40" t="e">
        <f t="shared" ca="1" si="186"/>
        <v>#N/A</v>
      </c>
      <c r="C1250" s="496">
        <v>170</v>
      </c>
      <c r="D1250" s="41" t="e">
        <f ca="1">IF($C$1076&gt;0,VLOOKUP($C1250,COSTI!$U$4:$Z$1003,3,FALSE),IF($C$1075&gt;0,VLOOKUP($C1250,PATRIMONIALE!$U$4:$Z$1003,3,FALSE),IF($C$1074&gt;0,VLOOKUP($C1250,ENTI!$U$4:$Z$1003,3,FALSE),"")))</f>
        <v>#N/A</v>
      </c>
      <c r="E1250" s="41" t="str">
        <f t="shared" ca="1" si="189"/>
        <v/>
      </c>
      <c r="F1250" s="41" t="e">
        <f t="shared" ca="1" si="187"/>
        <v>#NUM!</v>
      </c>
      <c r="G1250" s="39" t="e">
        <f ca="1">IF($C$1076&gt;0,VLOOKUP($C1250,COSTI!$U$4:$Z$1003,5,FALSE),IF($C$1075&gt;0,VLOOKUP($C1250,PATRIMONIALE!$U$4:$Z$1003,5,FALSE),IF($C$1074&gt;0,VLOOKUP($C1250,ENTI!$U$4:$Z$1003,5,FALSE),"")))</f>
        <v>#N/A</v>
      </c>
      <c r="H1250" s="42" t="e">
        <f ca="1">IF($C$1076&gt;0,VLOOKUP($C1250,COSTI!$U$4:$Z$1003,6,FALSE),IF($C$1075&gt;0,VLOOKUP($C1250,PATRIMONIALE!$U$4:$Z$1003,6,FALSE),IF($C$1074&gt;0,VLOOKUP($C1250,ENTI!$U$4:$Z$1003,6,FALSE),"")))</f>
        <v>#N/A</v>
      </c>
      <c r="I1250" s="496">
        <v>170</v>
      </c>
      <c r="J1250" s="43" t="e">
        <f ca="1">VLOOKUP(D1250,$F$1081:$I$4183,4,FALSE)+COUNTIF(E$1081:E1249,E1250)</f>
        <v>#N/A</v>
      </c>
      <c r="K1250" s="1"/>
      <c r="L1250" s="39" t="e">
        <f>IF($C$1074&gt;0,VLOOKUP($C1250,ENTI!$U$4:$AD$1003,10,FALSE),"")</f>
        <v>#N/A</v>
      </c>
      <c r="M1250" s="1"/>
      <c r="N1250" s="1"/>
      <c r="O1250" s="1"/>
    </row>
    <row r="1251" spans="1:15" hidden="1">
      <c r="A1251" s="1"/>
      <c r="B1251" s="40" t="e">
        <f t="shared" ca="1" si="186"/>
        <v>#N/A</v>
      </c>
      <c r="C1251" s="496">
        <v>171</v>
      </c>
      <c r="D1251" s="41" t="e">
        <f ca="1">IF($C$1076&gt;0,VLOOKUP($C1251,COSTI!$U$4:$Z$1003,3,FALSE),IF($C$1075&gt;0,VLOOKUP($C1251,PATRIMONIALE!$U$4:$Z$1003,3,FALSE),IF($C$1074&gt;0,VLOOKUP($C1251,ENTI!$U$4:$Z$1003,3,FALSE),"")))</f>
        <v>#N/A</v>
      </c>
      <c r="E1251" s="41" t="str">
        <f t="shared" ca="1" si="189"/>
        <v/>
      </c>
      <c r="F1251" s="41" t="e">
        <f t="shared" ca="1" si="187"/>
        <v>#NUM!</v>
      </c>
      <c r="G1251" s="39" t="e">
        <f ca="1">IF($C$1076&gt;0,VLOOKUP($C1251,COSTI!$U$4:$Z$1003,5,FALSE),IF($C$1075&gt;0,VLOOKUP($C1251,PATRIMONIALE!$U$4:$Z$1003,5,FALSE),IF($C$1074&gt;0,VLOOKUP($C1251,ENTI!$U$4:$Z$1003,5,FALSE),"")))</f>
        <v>#N/A</v>
      </c>
      <c r="H1251" s="42" t="e">
        <f ca="1">IF($C$1076&gt;0,VLOOKUP($C1251,COSTI!$U$4:$Z$1003,6,FALSE),IF($C$1075&gt;0,VLOOKUP($C1251,PATRIMONIALE!$U$4:$Z$1003,6,FALSE),IF($C$1074&gt;0,VLOOKUP($C1251,ENTI!$U$4:$Z$1003,6,FALSE),"")))</f>
        <v>#N/A</v>
      </c>
      <c r="I1251" s="496">
        <v>171</v>
      </c>
      <c r="J1251" s="43" t="e">
        <f ca="1">VLOOKUP(D1251,$F$1081:$I$4183,4,FALSE)+COUNTIF(E$1081:E1250,E1251)</f>
        <v>#N/A</v>
      </c>
      <c r="K1251" s="1"/>
      <c r="L1251" s="39" t="e">
        <f>IF($C$1074&gt;0,VLOOKUP($C1251,ENTI!$U$4:$AD$1003,10,FALSE),"")</f>
        <v>#N/A</v>
      </c>
      <c r="M1251" s="1"/>
      <c r="N1251" s="1"/>
      <c r="O1251" s="1"/>
    </row>
    <row r="1252" spans="1:15" hidden="1">
      <c r="A1252" s="1"/>
      <c r="B1252" s="40" t="e">
        <f t="shared" ca="1" si="186"/>
        <v>#N/A</v>
      </c>
      <c r="C1252" s="496">
        <v>172</v>
      </c>
      <c r="D1252" s="41" t="e">
        <f ca="1">IF($C$1076&gt;0,VLOOKUP($C1252,COSTI!$U$4:$Z$1003,3,FALSE),IF($C$1075&gt;0,VLOOKUP($C1252,PATRIMONIALE!$U$4:$Z$1003,3,FALSE),IF($C$1074&gt;0,VLOOKUP($C1252,ENTI!$U$4:$Z$1003,3,FALSE),"")))</f>
        <v>#N/A</v>
      </c>
      <c r="E1252" s="41" t="str">
        <f t="shared" ca="1" si="189"/>
        <v/>
      </c>
      <c r="F1252" s="41" t="e">
        <f t="shared" ca="1" si="187"/>
        <v>#NUM!</v>
      </c>
      <c r="G1252" s="39" t="e">
        <f ca="1">IF($C$1076&gt;0,VLOOKUP($C1252,COSTI!$U$4:$Z$1003,5,FALSE),IF($C$1075&gt;0,VLOOKUP($C1252,PATRIMONIALE!$U$4:$Z$1003,5,FALSE),IF($C$1074&gt;0,VLOOKUP($C1252,ENTI!$U$4:$Z$1003,5,FALSE),"")))</f>
        <v>#N/A</v>
      </c>
      <c r="H1252" s="42" t="e">
        <f ca="1">IF($C$1076&gt;0,VLOOKUP($C1252,COSTI!$U$4:$Z$1003,6,FALSE),IF($C$1075&gt;0,VLOOKUP($C1252,PATRIMONIALE!$U$4:$Z$1003,6,FALSE),IF($C$1074&gt;0,VLOOKUP($C1252,ENTI!$U$4:$Z$1003,6,FALSE),"")))</f>
        <v>#N/A</v>
      </c>
      <c r="I1252" s="496">
        <v>172</v>
      </c>
      <c r="J1252" s="43" t="e">
        <f ca="1">VLOOKUP(D1252,$F$1081:$I$4183,4,FALSE)+COUNTIF(E$1081:E1251,E1252)</f>
        <v>#N/A</v>
      </c>
      <c r="K1252" s="1"/>
      <c r="L1252" s="39" t="e">
        <f>IF($C$1074&gt;0,VLOOKUP($C1252,ENTI!$U$4:$AD$1003,10,FALSE),"")</f>
        <v>#N/A</v>
      </c>
      <c r="M1252" s="1"/>
      <c r="N1252" s="1"/>
      <c r="O1252" s="1"/>
    </row>
    <row r="1253" spans="1:15" hidden="1">
      <c r="A1253" s="1"/>
      <c r="B1253" s="40" t="e">
        <f t="shared" ca="1" si="186"/>
        <v>#N/A</v>
      </c>
      <c r="C1253" s="496">
        <v>173</v>
      </c>
      <c r="D1253" s="41" t="e">
        <f ca="1">IF($C$1076&gt;0,VLOOKUP($C1253,COSTI!$U$4:$Z$1003,3,FALSE),IF($C$1075&gt;0,VLOOKUP($C1253,PATRIMONIALE!$U$4:$Z$1003,3,FALSE),IF($C$1074&gt;0,VLOOKUP($C1253,ENTI!$U$4:$Z$1003,3,FALSE),"")))</f>
        <v>#N/A</v>
      </c>
      <c r="E1253" s="41" t="str">
        <f t="shared" ca="1" si="189"/>
        <v/>
      </c>
      <c r="F1253" s="41" t="e">
        <f t="shared" ca="1" si="187"/>
        <v>#NUM!</v>
      </c>
      <c r="G1253" s="39" t="e">
        <f ca="1">IF($C$1076&gt;0,VLOOKUP($C1253,COSTI!$U$4:$Z$1003,5,FALSE),IF($C$1075&gt;0,VLOOKUP($C1253,PATRIMONIALE!$U$4:$Z$1003,5,FALSE),IF($C$1074&gt;0,VLOOKUP($C1253,ENTI!$U$4:$Z$1003,5,FALSE),"")))</f>
        <v>#N/A</v>
      </c>
      <c r="H1253" s="42" t="e">
        <f ca="1">IF($C$1076&gt;0,VLOOKUP($C1253,COSTI!$U$4:$Z$1003,6,FALSE),IF($C$1075&gt;0,VLOOKUP($C1253,PATRIMONIALE!$U$4:$Z$1003,6,FALSE),IF($C$1074&gt;0,VLOOKUP($C1253,ENTI!$U$4:$Z$1003,6,FALSE),"")))</f>
        <v>#N/A</v>
      </c>
      <c r="I1253" s="496">
        <v>173</v>
      </c>
      <c r="J1253" s="43" t="e">
        <f ca="1">VLOOKUP(D1253,$F$1081:$I$4183,4,FALSE)+COUNTIF(E$1081:E1252,E1253)</f>
        <v>#N/A</v>
      </c>
      <c r="K1253" s="1"/>
      <c r="L1253" s="39" t="e">
        <f>IF($C$1074&gt;0,VLOOKUP($C1253,ENTI!$U$4:$AD$1003,10,FALSE),"")</f>
        <v>#N/A</v>
      </c>
      <c r="M1253" s="1"/>
      <c r="N1253" s="1"/>
      <c r="O1253" s="1"/>
    </row>
    <row r="1254" spans="1:15" hidden="1">
      <c r="A1254" s="1"/>
      <c r="B1254" s="40" t="e">
        <f t="shared" ca="1" si="186"/>
        <v>#N/A</v>
      </c>
      <c r="C1254" s="496">
        <v>174</v>
      </c>
      <c r="D1254" s="41" t="e">
        <f ca="1">IF($C$1076&gt;0,VLOOKUP($C1254,COSTI!$U$4:$Z$1003,3,FALSE),IF($C$1075&gt;0,VLOOKUP($C1254,PATRIMONIALE!$U$4:$Z$1003,3,FALSE),IF($C$1074&gt;0,VLOOKUP($C1254,ENTI!$U$4:$Z$1003,3,FALSE),"")))</f>
        <v>#N/A</v>
      </c>
      <c r="E1254" s="41" t="str">
        <f t="shared" ca="1" si="189"/>
        <v/>
      </c>
      <c r="F1254" s="41" t="e">
        <f t="shared" ca="1" si="187"/>
        <v>#NUM!</v>
      </c>
      <c r="G1254" s="39" t="e">
        <f ca="1">IF($C$1076&gt;0,VLOOKUP($C1254,COSTI!$U$4:$Z$1003,5,FALSE),IF($C$1075&gt;0,VLOOKUP($C1254,PATRIMONIALE!$U$4:$Z$1003,5,FALSE),IF($C$1074&gt;0,VLOOKUP($C1254,ENTI!$U$4:$Z$1003,5,FALSE),"")))</f>
        <v>#N/A</v>
      </c>
      <c r="H1254" s="42" t="e">
        <f ca="1">IF($C$1076&gt;0,VLOOKUP($C1254,COSTI!$U$4:$Z$1003,6,FALSE),IF($C$1075&gt;0,VLOOKUP($C1254,PATRIMONIALE!$U$4:$Z$1003,6,FALSE),IF($C$1074&gt;0,VLOOKUP($C1254,ENTI!$U$4:$Z$1003,6,FALSE),"")))</f>
        <v>#N/A</v>
      </c>
      <c r="I1254" s="496">
        <v>174</v>
      </c>
      <c r="J1254" s="43" t="e">
        <f ca="1">VLOOKUP(D1254,$F$1081:$I$4183,4,FALSE)+COUNTIF(E$1081:E1253,E1254)</f>
        <v>#N/A</v>
      </c>
      <c r="K1254" s="1"/>
      <c r="L1254" s="39" t="e">
        <f>IF($C$1074&gt;0,VLOOKUP($C1254,ENTI!$U$4:$AD$1003,10,FALSE),"")</f>
        <v>#N/A</v>
      </c>
      <c r="M1254" s="1"/>
      <c r="N1254" s="1"/>
      <c r="O1254" s="1"/>
    </row>
    <row r="1255" spans="1:15" hidden="1">
      <c r="A1255" s="1"/>
      <c r="B1255" s="40" t="e">
        <f t="shared" ca="1" si="186"/>
        <v>#N/A</v>
      </c>
      <c r="C1255" s="496">
        <v>175</v>
      </c>
      <c r="D1255" s="41" t="e">
        <f ca="1">IF($C$1076&gt;0,VLOOKUP($C1255,COSTI!$U$4:$Z$1003,3,FALSE),IF($C$1075&gt;0,VLOOKUP($C1255,PATRIMONIALE!$U$4:$Z$1003,3,FALSE),IF($C$1074&gt;0,VLOOKUP($C1255,ENTI!$U$4:$Z$1003,3,FALSE),"")))</f>
        <v>#N/A</v>
      </c>
      <c r="E1255" s="41" t="str">
        <f t="shared" ca="1" si="189"/>
        <v/>
      </c>
      <c r="F1255" s="41" t="e">
        <f t="shared" ca="1" si="187"/>
        <v>#NUM!</v>
      </c>
      <c r="G1255" s="39" t="e">
        <f ca="1">IF($C$1076&gt;0,VLOOKUP($C1255,COSTI!$U$4:$Z$1003,5,FALSE),IF($C$1075&gt;0,VLOOKUP($C1255,PATRIMONIALE!$U$4:$Z$1003,5,FALSE),IF($C$1074&gt;0,VLOOKUP($C1255,ENTI!$U$4:$Z$1003,5,FALSE),"")))</f>
        <v>#N/A</v>
      </c>
      <c r="H1255" s="42" t="e">
        <f ca="1">IF($C$1076&gt;0,VLOOKUP($C1255,COSTI!$U$4:$Z$1003,6,FALSE),IF($C$1075&gt;0,VLOOKUP($C1255,PATRIMONIALE!$U$4:$Z$1003,6,FALSE),IF($C$1074&gt;0,VLOOKUP($C1255,ENTI!$U$4:$Z$1003,6,FALSE),"")))</f>
        <v>#N/A</v>
      </c>
      <c r="I1255" s="496">
        <v>175</v>
      </c>
      <c r="J1255" s="43" t="e">
        <f ca="1">VLOOKUP(D1255,$F$1081:$I$4183,4,FALSE)+COUNTIF(E$1081:E1254,E1255)</f>
        <v>#N/A</v>
      </c>
      <c r="K1255" s="1"/>
      <c r="L1255" s="39" t="e">
        <f>IF($C$1074&gt;0,VLOOKUP($C1255,ENTI!$U$4:$AD$1003,10,FALSE),"")</f>
        <v>#N/A</v>
      </c>
      <c r="M1255" s="1"/>
      <c r="N1255" s="1"/>
      <c r="O1255" s="1"/>
    </row>
    <row r="1256" spans="1:15" hidden="1">
      <c r="A1256" s="1"/>
      <c r="B1256" s="40" t="e">
        <f t="shared" ca="1" si="186"/>
        <v>#N/A</v>
      </c>
      <c r="C1256" s="496">
        <v>176</v>
      </c>
      <c r="D1256" s="41" t="e">
        <f ca="1">IF($C$1076&gt;0,VLOOKUP($C1256,COSTI!$U$4:$Z$1003,3,FALSE),IF($C$1075&gt;0,VLOOKUP($C1256,PATRIMONIALE!$U$4:$Z$1003,3,FALSE),IF($C$1074&gt;0,VLOOKUP($C1256,ENTI!$U$4:$Z$1003,3,FALSE),"")))</f>
        <v>#N/A</v>
      </c>
      <c r="E1256" s="41" t="str">
        <f t="shared" ca="1" si="189"/>
        <v/>
      </c>
      <c r="F1256" s="41" t="e">
        <f t="shared" ca="1" si="187"/>
        <v>#NUM!</v>
      </c>
      <c r="G1256" s="39" t="e">
        <f ca="1">IF($C$1076&gt;0,VLOOKUP($C1256,COSTI!$U$4:$Z$1003,5,FALSE),IF($C$1075&gt;0,VLOOKUP($C1256,PATRIMONIALE!$U$4:$Z$1003,5,FALSE),IF($C$1074&gt;0,VLOOKUP($C1256,ENTI!$U$4:$Z$1003,5,FALSE),"")))</f>
        <v>#N/A</v>
      </c>
      <c r="H1256" s="42" t="e">
        <f ca="1">IF($C$1076&gt;0,VLOOKUP($C1256,COSTI!$U$4:$Z$1003,6,FALSE),IF($C$1075&gt;0,VLOOKUP($C1256,PATRIMONIALE!$U$4:$Z$1003,6,FALSE),IF($C$1074&gt;0,VLOOKUP($C1256,ENTI!$U$4:$Z$1003,6,FALSE),"")))</f>
        <v>#N/A</v>
      </c>
      <c r="I1256" s="496">
        <v>176</v>
      </c>
      <c r="J1256" s="43" t="e">
        <f ca="1">VLOOKUP(D1256,$F$1081:$I$4183,4,FALSE)+COUNTIF(E$1081:E1255,E1256)</f>
        <v>#N/A</v>
      </c>
      <c r="K1256" s="1"/>
      <c r="L1256" s="39" t="e">
        <f>IF($C$1074&gt;0,VLOOKUP($C1256,ENTI!$U$4:$AD$1003,10,FALSE),"")</f>
        <v>#N/A</v>
      </c>
      <c r="M1256" s="1"/>
      <c r="N1256" s="1"/>
      <c r="O1256" s="1"/>
    </row>
    <row r="1257" spans="1:15" hidden="1">
      <c r="A1257" s="1"/>
      <c r="B1257" s="40" t="e">
        <f t="shared" ca="1" si="186"/>
        <v>#N/A</v>
      </c>
      <c r="C1257" s="496">
        <v>177</v>
      </c>
      <c r="D1257" s="41" t="e">
        <f ca="1">IF($C$1076&gt;0,VLOOKUP($C1257,COSTI!$U$4:$Z$1003,3,FALSE),IF($C$1075&gt;0,VLOOKUP($C1257,PATRIMONIALE!$U$4:$Z$1003,3,FALSE),IF($C$1074&gt;0,VLOOKUP($C1257,ENTI!$U$4:$Z$1003,3,FALSE),"")))</f>
        <v>#N/A</v>
      </c>
      <c r="E1257" s="41" t="str">
        <f t="shared" ca="1" si="189"/>
        <v/>
      </c>
      <c r="F1257" s="41" t="e">
        <f t="shared" ca="1" si="187"/>
        <v>#NUM!</v>
      </c>
      <c r="G1257" s="39" t="e">
        <f ca="1">IF($C$1076&gt;0,VLOOKUP($C1257,COSTI!$U$4:$Z$1003,5,FALSE),IF($C$1075&gt;0,VLOOKUP($C1257,PATRIMONIALE!$U$4:$Z$1003,5,FALSE),IF($C$1074&gt;0,VLOOKUP($C1257,ENTI!$U$4:$Z$1003,5,FALSE),"")))</f>
        <v>#N/A</v>
      </c>
      <c r="H1257" s="42" t="e">
        <f ca="1">IF($C$1076&gt;0,VLOOKUP($C1257,COSTI!$U$4:$Z$1003,6,FALSE),IF($C$1075&gt;0,VLOOKUP($C1257,PATRIMONIALE!$U$4:$Z$1003,6,FALSE),IF($C$1074&gt;0,VLOOKUP($C1257,ENTI!$U$4:$Z$1003,6,FALSE),"")))</f>
        <v>#N/A</v>
      </c>
      <c r="I1257" s="496">
        <v>177</v>
      </c>
      <c r="J1257" s="43" t="e">
        <f ca="1">VLOOKUP(D1257,$F$1081:$I$4183,4,FALSE)+COUNTIF(E$1081:E1256,E1257)</f>
        <v>#N/A</v>
      </c>
      <c r="K1257" s="1"/>
      <c r="L1257" s="39" t="e">
        <f>IF($C$1074&gt;0,VLOOKUP($C1257,ENTI!$U$4:$AD$1003,10,FALSE),"")</f>
        <v>#N/A</v>
      </c>
      <c r="M1257" s="1"/>
      <c r="N1257" s="1"/>
      <c r="O1257" s="1"/>
    </row>
    <row r="1258" spans="1:15" hidden="1">
      <c r="A1258" s="1"/>
      <c r="B1258" s="40" t="e">
        <f t="shared" ca="1" si="186"/>
        <v>#N/A</v>
      </c>
      <c r="C1258" s="496">
        <v>178</v>
      </c>
      <c r="D1258" s="41" t="e">
        <f ca="1">IF($C$1076&gt;0,VLOOKUP($C1258,COSTI!$U$4:$Z$1003,3,FALSE),IF($C$1075&gt;0,VLOOKUP($C1258,PATRIMONIALE!$U$4:$Z$1003,3,FALSE),IF($C$1074&gt;0,VLOOKUP($C1258,ENTI!$U$4:$Z$1003,3,FALSE),"")))</f>
        <v>#N/A</v>
      </c>
      <c r="E1258" s="41" t="str">
        <f t="shared" ca="1" si="189"/>
        <v/>
      </c>
      <c r="F1258" s="41" t="e">
        <f t="shared" ca="1" si="187"/>
        <v>#NUM!</v>
      </c>
      <c r="G1258" s="39" t="e">
        <f ca="1">IF($C$1076&gt;0,VLOOKUP($C1258,COSTI!$U$4:$Z$1003,5,FALSE),IF($C$1075&gt;0,VLOOKUP($C1258,PATRIMONIALE!$U$4:$Z$1003,5,FALSE),IF($C$1074&gt;0,VLOOKUP($C1258,ENTI!$U$4:$Z$1003,5,FALSE),"")))</f>
        <v>#N/A</v>
      </c>
      <c r="H1258" s="42" t="e">
        <f ca="1">IF($C$1076&gt;0,VLOOKUP($C1258,COSTI!$U$4:$Z$1003,6,FALSE),IF($C$1075&gt;0,VLOOKUP($C1258,PATRIMONIALE!$U$4:$Z$1003,6,FALSE),IF($C$1074&gt;0,VLOOKUP($C1258,ENTI!$U$4:$Z$1003,6,FALSE),"")))</f>
        <v>#N/A</v>
      </c>
      <c r="I1258" s="496">
        <v>178</v>
      </c>
      <c r="J1258" s="43" t="e">
        <f ca="1">VLOOKUP(D1258,$F$1081:$I$4183,4,FALSE)+COUNTIF(E$1081:E1257,E1258)</f>
        <v>#N/A</v>
      </c>
      <c r="K1258" s="1"/>
      <c r="L1258" s="39" t="e">
        <f>IF($C$1074&gt;0,VLOOKUP($C1258,ENTI!$U$4:$AD$1003,10,FALSE),"")</f>
        <v>#N/A</v>
      </c>
      <c r="M1258" s="1"/>
      <c r="N1258" s="1"/>
      <c r="O1258" s="1"/>
    </row>
    <row r="1259" spans="1:15" hidden="1">
      <c r="A1259" s="1"/>
      <c r="B1259" s="40" t="e">
        <f t="shared" ca="1" si="186"/>
        <v>#N/A</v>
      </c>
      <c r="C1259" s="496">
        <v>179</v>
      </c>
      <c r="D1259" s="41" t="e">
        <f ca="1">IF($C$1076&gt;0,VLOOKUP($C1259,COSTI!$U$4:$Z$1003,3,FALSE),IF($C$1075&gt;0,VLOOKUP($C1259,PATRIMONIALE!$U$4:$Z$1003,3,FALSE),IF($C$1074&gt;0,VLOOKUP($C1259,ENTI!$U$4:$Z$1003,3,FALSE),"")))</f>
        <v>#N/A</v>
      </c>
      <c r="E1259" s="41" t="str">
        <f t="shared" ca="1" si="189"/>
        <v/>
      </c>
      <c r="F1259" s="41" t="e">
        <f t="shared" ca="1" si="187"/>
        <v>#NUM!</v>
      </c>
      <c r="G1259" s="39" t="e">
        <f ca="1">IF($C$1076&gt;0,VLOOKUP($C1259,COSTI!$U$4:$Z$1003,5,FALSE),IF($C$1075&gt;0,VLOOKUP($C1259,PATRIMONIALE!$U$4:$Z$1003,5,FALSE),IF($C$1074&gt;0,VLOOKUP($C1259,ENTI!$U$4:$Z$1003,5,FALSE),"")))</f>
        <v>#N/A</v>
      </c>
      <c r="H1259" s="42" t="e">
        <f ca="1">IF($C$1076&gt;0,VLOOKUP($C1259,COSTI!$U$4:$Z$1003,6,FALSE),IF($C$1075&gt;0,VLOOKUP($C1259,PATRIMONIALE!$U$4:$Z$1003,6,FALSE),IF($C$1074&gt;0,VLOOKUP($C1259,ENTI!$U$4:$Z$1003,6,FALSE),"")))</f>
        <v>#N/A</v>
      </c>
      <c r="I1259" s="496">
        <v>179</v>
      </c>
      <c r="J1259" s="43" t="e">
        <f ca="1">VLOOKUP(D1259,$F$1081:$I$4183,4,FALSE)+COUNTIF(E$1081:E1258,E1259)</f>
        <v>#N/A</v>
      </c>
      <c r="K1259" s="1"/>
      <c r="L1259" s="39" t="e">
        <f>IF($C$1074&gt;0,VLOOKUP($C1259,ENTI!$U$4:$AD$1003,10,FALSE),"")</f>
        <v>#N/A</v>
      </c>
      <c r="M1259" s="1"/>
      <c r="N1259" s="1"/>
      <c r="O1259" s="1"/>
    </row>
    <row r="1260" spans="1:15" hidden="1">
      <c r="A1260" s="1"/>
      <c r="B1260" s="40" t="e">
        <f t="shared" ca="1" si="186"/>
        <v>#N/A</v>
      </c>
      <c r="C1260" s="496">
        <v>180</v>
      </c>
      <c r="D1260" s="41" t="e">
        <f ca="1">IF($C$1076&gt;0,VLOOKUP($C1260,COSTI!$U$4:$Z$1003,3,FALSE),IF($C$1075&gt;0,VLOOKUP($C1260,PATRIMONIALE!$U$4:$Z$1003,3,FALSE),IF($C$1074&gt;0,VLOOKUP($C1260,ENTI!$U$4:$Z$1003,3,FALSE),"")))</f>
        <v>#N/A</v>
      </c>
      <c r="E1260" s="41" t="str">
        <f t="shared" ca="1" si="189"/>
        <v/>
      </c>
      <c r="F1260" s="41" t="e">
        <f t="shared" ca="1" si="187"/>
        <v>#NUM!</v>
      </c>
      <c r="G1260" s="39" t="e">
        <f ca="1">IF($C$1076&gt;0,VLOOKUP($C1260,COSTI!$U$4:$Z$1003,5,FALSE),IF($C$1075&gt;0,VLOOKUP($C1260,PATRIMONIALE!$U$4:$Z$1003,5,FALSE),IF($C$1074&gt;0,VLOOKUP($C1260,ENTI!$U$4:$Z$1003,5,FALSE),"")))</f>
        <v>#N/A</v>
      </c>
      <c r="H1260" s="42" t="e">
        <f ca="1">IF($C$1076&gt;0,VLOOKUP($C1260,COSTI!$U$4:$Z$1003,6,FALSE),IF($C$1075&gt;0,VLOOKUP($C1260,PATRIMONIALE!$U$4:$Z$1003,6,FALSE),IF($C$1074&gt;0,VLOOKUP($C1260,ENTI!$U$4:$Z$1003,6,FALSE),"")))</f>
        <v>#N/A</v>
      </c>
      <c r="I1260" s="496">
        <v>180</v>
      </c>
      <c r="J1260" s="43" t="e">
        <f ca="1">VLOOKUP(D1260,$F$1081:$I$4183,4,FALSE)+COUNTIF(E$1081:E1259,E1260)</f>
        <v>#N/A</v>
      </c>
      <c r="K1260" s="1"/>
      <c r="L1260" s="39" t="e">
        <f>IF($C$1074&gt;0,VLOOKUP($C1260,ENTI!$U$4:$AD$1003,10,FALSE),"")</f>
        <v>#N/A</v>
      </c>
      <c r="M1260" s="1"/>
      <c r="N1260" s="1"/>
      <c r="O1260" s="1"/>
    </row>
    <row r="1261" spans="1:15" hidden="1">
      <c r="A1261" s="1"/>
      <c r="B1261" s="40" t="e">
        <f t="shared" ca="1" si="186"/>
        <v>#N/A</v>
      </c>
      <c r="C1261" s="496">
        <v>181</v>
      </c>
      <c r="D1261" s="41" t="e">
        <f ca="1">IF($C$1076&gt;0,VLOOKUP($C1261,COSTI!$U$4:$Z$1003,3,FALSE),IF($C$1075&gt;0,VLOOKUP($C1261,PATRIMONIALE!$U$4:$Z$1003,3,FALSE),IF($C$1074&gt;0,VLOOKUP($C1261,ENTI!$U$4:$Z$1003,3,FALSE),"")))</f>
        <v>#N/A</v>
      </c>
      <c r="E1261" s="41" t="str">
        <f t="shared" ca="1" si="189"/>
        <v/>
      </c>
      <c r="F1261" s="41" t="e">
        <f t="shared" ca="1" si="187"/>
        <v>#NUM!</v>
      </c>
      <c r="G1261" s="39" t="e">
        <f ca="1">IF($C$1076&gt;0,VLOOKUP($C1261,COSTI!$U$4:$Z$1003,5,FALSE),IF($C$1075&gt;0,VLOOKUP($C1261,PATRIMONIALE!$U$4:$Z$1003,5,FALSE),IF($C$1074&gt;0,VLOOKUP($C1261,ENTI!$U$4:$Z$1003,5,FALSE),"")))</f>
        <v>#N/A</v>
      </c>
      <c r="H1261" s="42" t="e">
        <f ca="1">IF($C$1076&gt;0,VLOOKUP($C1261,COSTI!$U$4:$Z$1003,6,FALSE),IF($C$1075&gt;0,VLOOKUP($C1261,PATRIMONIALE!$U$4:$Z$1003,6,FALSE),IF($C$1074&gt;0,VLOOKUP($C1261,ENTI!$U$4:$Z$1003,6,FALSE),"")))</f>
        <v>#N/A</v>
      </c>
      <c r="I1261" s="496">
        <v>181</v>
      </c>
      <c r="J1261" s="43" t="e">
        <f ca="1">VLOOKUP(D1261,$F$1081:$I$4183,4,FALSE)+COUNTIF(E$1081:E1260,E1261)</f>
        <v>#N/A</v>
      </c>
      <c r="K1261" s="1"/>
      <c r="L1261" s="39" t="e">
        <f>IF($C$1074&gt;0,VLOOKUP($C1261,ENTI!$U$4:$AD$1003,10,FALSE),"")</f>
        <v>#N/A</v>
      </c>
      <c r="M1261" s="1"/>
      <c r="N1261" s="1"/>
      <c r="O1261" s="1"/>
    </row>
    <row r="1262" spans="1:15" hidden="1">
      <c r="A1262" s="1"/>
      <c r="B1262" s="40" t="e">
        <f t="shared" ca="1" si="186"/>
        <v>#N/A</v>
      </c>
      <c r="C1262" s="496">
        <v>182</v>
      </c>
      <c r="D1262" s="41" t="e">
        <f ca="1">IF($C$1076&gt;0,VLOOKUP($C1262,COSTI!$U$4:$Z$1003,3,FALSE),IF($C$1075&gt;0,VLOOKUP($C1262,PATRIMONIALE!$U$4:$Z$1003,3,FALSE),IF($C$1074&gt;0,VLOOKUP($C1262,ENTI!$U$4:$Z$1003,3,FALSE),"")))</f>
        <v>#N/A</v>
      </c>
      <c r="E1262" s="41" t="str">
        <f t="shared" ca="1" si="189"/>
        <v/>
      </c>
      <c r="F1262" s="41" t="e">
        <f t="shared" ca="1" si="187"/>
        <v>#NUM!</v>
      </c>
      <c r="G1262" s="39" t="e">
        <f ca="1">IF($C$1076&gt;0,VLOOKUP($C1262,COSTI!$U$4:$Z$1003,5,FALSE),IF($C$1075&gt;0,VLOOKUP($C1262,PATRIMONIALE!$U$4:$Z$1003,5,FALSE),IF($C$1074&gt;0,VLOOKUP($C1262,ENTI!$U$4:$Z$1003,5,FALSE),"")))</f>
        <v>#N/A</v>
      </c>
      <c r="H1262" s="42" t="e">
        <f ca="1">IF($C$1076&gt;0,VLOOKUP($C1262,COSTI!$U$4:$Z$1003,6,FALSE),IF($C$1075&gt;0,VLOOKUP($C1262,PATRIMONIALE!$U$4:$Z$1003,6,FALSE),IF($C$1074&gt;0,VLOOKUP($C1262,ENTI!$U$4:$Z$1003,6,FALSE),"")))</f>
        <v>#N/A</v>
      </c>
      <c r="I1262" s="496">
        <v>182</v>
      </c>
      <c r="J1262" s="43" t="e">
        <f ca="1">VLOOKUP(D1262,$F$1081:$I$4183,4,FALSE)+COUNTIF(E$1081:E1261,E1262)</f>
        <v>#N/A</v>
      </c>
      <c r="K1262" s="1"/>
      <c r="L1262" s="39" t="e">
        <f>IF($C$1074&gt;0,VLOOKUP($C1262,ENTI!$U$4:$AD$1003,10,FALSE),"")</f>
        <v>#N/A</v>
      </c>
      <c r="M1262" s="1"/>
      <c r="N1262" s="1"/>
      <c r="O1262" s="1"/>
    </row>
    <row r="1263" spans="1:15" hidden="1">
      <c r="A1263" s="1"/>
      <c r="B1263" s="40" t="e">
        <f t="shared" ca="1" si="186"/>
        <v>#N/A</v>
      </c>
      <c r="C1263" s="496">
        <v>183</v>
      </c>
      <c r="D1263" s="41" t="e">
        <f ca="1">IF($C$1076&gt;0,VLOOKUP($C1263,COSTI!$U$4:$Z$1003,3,FALSE),IF($C$1075&gt;0,VLOOKUP($C1263,PATRIMONIALE!$U$4:$Z$1003,3,FALSE),IF($C$1074&gt;0,VLOOKUP($C1263,ENTI!$U$4:$Z$1003,3,FALSE),"")))</f>
        <v>#N/A</v>
      </c>
      <c r="E1263" s="41" t="str">
        <f t="shared" ca="1" si="189"/>
        <v/>
      </c>
      <c r="F1263" s="41" t="e">
        <f t="shared" ca="1" si="187"/>
        <v>#NUM!</v>
      </c>
      <c r="G1263" s="39" t="e">
        <f ca="1">IF($C$1076&gt;0,VLOOKUP($C1263,COSTI!$U$4:$Z$1003,5,FALSE),IF($C$1075&gt;0,VLOOKUP($C1263,PATRIMONIALE!$U$4:$Z$1003,5,FALSE),IF($C$1074&gt;0,VLOOKUP($C1263,ENTI!$U$4:$Z$1003,5,FALSE),"")))</f>
        <v>#N/A</v>
      </c>
      <c r="H1263" s="42" t="e">
        <f ca="1">IF($C$1076&gt;0,VLOOKUP($C1263,COSTI!$U$4:$Z$1003,6,FALSE),IF($C$1075&gt;0,VLOOKUP($C1263,PATRIMONIALE!$U$4:$Z$1003,6,FALSE),IF($C$1074&gt;0,VLOOKUP($C1263,ENTI!$U$4:$Z$1003,6,FALSE),"")))</f>
        <v>#N/A</v>
      </c>
      <c r="I1263" s="496">
        <v>183</v>
      </c>
      <c r="J1263" s="43" t="e">
        <f ca="1">VLOOKUP(D1263,$F$1081:$I$4183,4,FALSE)+COUNTIF(E$1081:E1262,E1263)</f>
        <v>#N/A</v>
      </c>
      <c r="K1263" s="1"/>
      <c r="L1263" s="39" t="e">
        <f>IF($C$1074&gt;0,VLOOKUP($C1263,ENTI!$U$4:$AD$1003,10,FALSE),"")</f>
        <v>#N/A</v>
      </c>
      <c r="M1263" s="1"/>
      <c r="N1263" s="1"/>
      <c r="O1263" s="1"/>
    </row>
    <row r="1264" spans="1:15" hidden="1">
      <c r="A1264" s="1"/>
      <c r="B1264" s="40" t="e">
        <f t="shared" ca="1" si="186"/>
        <v>#N/A</v>
      </c>
      <c r="C1264" s="496">
        <v>184</v>
      </c>
      <c r="D1264" s="41" t="e">
        <f ca="1">IF($C$1076&gt;0,VLOOKUP($C1264,COSTI!$U$4:$Z$1003,3,FALSE),IF($C$1075&gt;0,VLOOKUP($C1264,PATRIMONIALE!$U$4:$Z$1003,3,FALSE),IF($C$1074&gt;0,VLOOKUP($C1264,ENTI!$U$4:$Z$1003,3,FALSE),"")))</f>
        <v>#N/A</v>
      </c>
      <c r="E1264" s="41" t="str">
        <f t="shared" ca="1" si="189"/>
        <v/>
      </c>
      <c r="F1264" s="41" t="e">
        <f t="shared" ca="1" si="187"/>
        <v>#NUM!</v>
      </c>
      <c r="G1264" s="39" t="e">
        <f ca="1">IF($C$1076&gt;0,VLOOKUP($C1264,COSTI!$U$4:$Z$1003,5,FALSE),IF($C$1075&gt;0,VLOOKUP($C1264,PATRIMONIALE!$U$4:$Z$1003,5,FALSE),IF($C$1074&gt;0,VLOOKUP($C1264,ENTI!$U$4:$Z$1003,5,FALSE),"")))</f>
        <v>#N/A</v>
      </c>
      <c r="H1264" s="42" t="e">
        <f ca="1">IF($C$1076&gt;0,VLOOKUP($C1264,COSTI!$U$4:$Z$1003,6,FALSE),IF($C$1075&gt;0,VLOOKUP($C1264,PATRIMONIALE!$U$4:$Z$1003,6,FALSE),IF($C$1074&gt;0,VLOOKUP($C1264,ENTI!$U$4:$Z$1003,6,FALSE),"")))</f>
        <v>#N/A</v>
      </c>
      <c r="I1264" s="496">
        <v>184</v>
      </c>
      <c r="J1264" s="43" t="e">
        <f ca="1">VLOOKUP(D1264,$F$1081:$I$4183,4,FALSE)+COUNTIF(E$1081:E1263,E1264)</f>
        <v>#N/A</v>
      </c>
      <c r="K1264" s="1"/>
      <c r="L1264" s="39" t="e">
        <f>IF($C$1074&gt;0,VLOOKUP($C1264,ENTI!$U$4:$AD$1003,10,FALSE),"")</f>
        <v>#N/A</v>
      </c>
      <c r="M1264" s="1"/>
      <c r="N1264" s="1"/>
      <c r="O1264" s="1"/>
    </row>
    <row r="1265" spans="1:15" hidden="1">
      <c r="A1265" s="1"/>
      <c r="B1265" s="40" t="e">
        <f t="shared" ca="1" si="186"/>
        <v>#N/A</v>
      </c>
      <c r="C1265" s="496">
        <v>185</v>
      </c>
      <c r="D1265" s="41" t="e">
        <f ca="1">IF($C$1076&gt;0,VLOOKUP($C1265,COSTI!$U$4:$Z$1003,3,FALSE),IF($C$1075&gt;0,VLOOKUP($C1265,PATRIMONIALE!$U$4:$Z$1003,3,FALSE),IF($C$1074&gt;0,VLOOKUP($C1265,ENTI!$U$4:$Z$1003,3,FALSE),"")))</f>
        <v>#N/A</v>
      </c>
      <c r="E1265" s="41" t="str">
        <f t="shared" ca="1" si="189"/>
        <v/>
      </c>
      <c r="F1265" s="41" t="e">
        <f t="shared" ca="1" si="187"/>
        <v>#NUM!</v>
      </c>
      <c r="G1265" s="39" t="e">
        <f ca="1">IF($C$1076&gt;0,VLOOKUP($C1265,COSTI!$U$4:$Z$1003,5,FALSE),IF($C$1075&gt;0,VLOOKUP($C1265,PATRIMONIALE!$U$4:$Z$1003,5,FALSE),IF($C$1074&gt;0,VLOOKUP($C1265,ENTI!$U$4:$Z$1003,5,FALSE),"")))</f>
        <v>#N/A</v>
      </c>
      <c r="H1265" s="42" t="e">
        <f ca="1">IF($C$1076&gt;0,VLOOKUP($C1265,COSTI!$U$4:$Z$1003,6,FALSE),IF($C$1075&gt;0,VLOOKUP($C1265,PATRIMONIALE!$U$4:$Z$1003,6,FALSE),IF($C$1074&gt;0,VLOOKUP($C1265,ENTI!$U$4:$Z$1003,6,FALSE),"")))</f>
        <v>#N/A</v>
      </c>
      <c r="I1265" s="496">
        <v>185</v>
      </c>
      <c r="J1265" s="43" t="e">
        <f ca="1">VLOOKUP(D1265,$F$1081:$I$4183,4,FALSE)+COUNTIF(E$1081:E1264,E1265)</f>
        <v>#N/A</v>
      </c>
      <c r="K1265" s="1"/>
      <c r="L1265" s="39" t="e">
        <f>IF($C$1074&gt;0,VLOOKUP($C1265,ENTI!$U$4:$AD$1003,10,FALSE),"")</f>
        <v>#N/A</v>
      </c>
      <c r="M1265" s="1"/>
      <c r="N1265" s="1"/>
      <c r="O1265" s="1"/>
    </row>
    <row r="1266" spans="1:15" hidden="1">
      <c r="A1266" s="1"/>
      <c r="B1266" s="40" t="e">
        <f t="shared" ca="1" si="186"/>
        <v>#N/A</v>
      </c>
      <c r="C1266" s="496">
        <v>186</v>
      </c>
      <c r="D1266" s="41" t="e">
        <f ca="1">IF($C$1076&gt;0,VLOOKUP($C1266,COSTI!$U$4:$Z$1003,3,FALSE),IF($C$1075&gt;0,VLOOKUP($C1266,PATRIMONIALE!$U$4:$Z$1003,3,FALSE),IF($C$1074&gt;0,VLOOKUP($C1266,ENTI!$U$4:$Z$1003,3,FALSE),"")))</f>
        <v>#N/A</v>
      </c>
      <c r="E1266" s="41" t="str">
        <f t="shared" ca="1" si="189"/>
        <v/>
      </c>
      <c r="F1266" s="41" t="e">
        <f t="shared" ca="1" si="187"/>
        <v>#NUM!</v>
      </c>
      <c r="G1266" s="39" t="e">
        <f ca="1">IF($C$1076&gt;0,VLOOKUP($C1266,COSTI!$U$4:$Z$1003,5,FALSE),IF($C$1075&gt;0,VLOOKUP($C1266,PATRIMONIALE!$U$4:$Z$1003,5,FALSE),IF($C$1074&gt;0,VLOOKUP($C1266,ENTI!$U$4:$Z$1003,5,FALSE),"")))</f>
        <v>#N/A</v>
      </c>
      <c r="H1266" s="42" t="e">
        <f ca="1">IF($C$1076&gt;0,VLOOKUP($C1266,COSTI!$U$4:$Z$1003,6,FALSE),IF($C$1075&gt;0,VLOOKUP($C1266,PATRIMONIALE!$U$4:$Z$1003,6,FALSE),IF($C$1074&gt;0,VLOOKUP($C1266,ENTI!$U$4:$Z$1003,6,FALSE),"")))</f>
        <v>#N/A</v>
      </c>
      <c r="I1266" s="496">
        <v>186</v>
      </c>
      <c r="J1266" s="43" t="e">
        <f ca="1">VLOOKUP(D1266,$F$1081:$I$4183,4,FALSE)+COUNTIF(E$1081:E1265,E1266)</f>
        <v>#N/A</v>
      </c>
      <c r="K1266" s="1"/>
      <c r="L1266" s="39" t="e">
        <f>IF($C$1074&gt;0,VLOOKUP($C1266,ENTI!$U$4:$AD$1003,10,FALSE),"")</f>
        <v>#N/A</v>
      </c>
      <c r="M1266" s="1"/>
      <c r="N1266" s="1"/>
      <c r="O1266" s="1"/>
    </row>
    <row r="1267" spans="1:15" hidden="1">
      <c r="A1267" s="1"/>
      <c r="B1267" s="40" t="e">
        <f t="shared" ca="1" si="186"/>
        <v>#N/A</v>
      </c>
      <c r="C1267" s="496">
        <v>187</v>
      </c>
      <c r="D1267" s="41" t="e">
        <f ca="1">IF($C$1076&gt;0,VLOOKUP($C1267,COSTI!$U$4:$Z$1003,3,FALSE),IF($C$1075&gt;0,VLOOKUP($C1267,PATRIMONIALE!$U$4:$Z$1003,3,FALSE),IF($C$1074&gt;0,VLOOKUP($C1267,ENTI!$U$4:$Z$1003,3,FALSE),"")))</f>
        <v>#N/A</v>
      </c>
      <c r="E1267" s="41" t="str">
        <f t="shared" ref="E1267:E1330" ca="1" si="190">IF(ISERROR(D1267),"",D1267)</f>
        <v/>
      </c>
      <c r="F1267" s="41" t="e">
        <f t="shared" ca="1" si="187"/>
        <v>#NUM!</v>
      </c>
      <c r="G1267" s="39" t="e">
        <f ca="1">IF($C$1076&gt;0,VLOOKUP($C1267,COSTI!$U$4:$Z$1003,5,FALSE),IF($C$1075&gt;0,VLOOKUP($C1267,PATRIMONIALE!$U$4:$Z$1003,5,FALSE),IF($C$1074&gt;0,VLOOKUP($C1267,ENTI!$U$4:$Z$1003,5,FALSE),"")))</f>
        <v>#N/A</v>
      </c>
      <c r="H1267" s="42" t="e">
        <f ca="1">IF($C$1076&gt;0,VLOOKUP($C1267,COSTI!$U$4:$Z$1003,6,FALSE),IF($C$1075&gt;0,VLOOKUP($C1267,PATRIMONIALE!$U$4:$Z$1003,6,FALSE),IF($C$1074&gt;0,VLOOKUP($C1267,ENTI!$U$4:$Z$1003,6,FALSE),"")))</f>
        <v>#N/A</v>
      </c>
      <c r="I1267" s="496">
        <v>187</v>
      </c>
      <c r="J1267" s="43" t="e">
        <f ca="1">VLOOKUP(D1267,$F$1081:$I$4183,4,FALSE)+COUNTIF(E$1081:E1266,E1267)</f>
        <v>#N/A</v>
      </c>
      <c r="K1267" s="1"/>
      <c r="L1267" s="39" t="e">
        <f>IF($C$1074&gt;0,VLOOKUP($C1267,ENTI!$U$4:$AD$1003,10,FALSE),"")</f>
        <v>#N/A</v>
      </c>
      <c r="M1267" s="1"/>
      <c r="N1267" s="1"/>
      <c r="O1267" s="1"/>
    </row>
    <row r="1268" spans="1:15" hidden="1">
      <c r="A1268" s="1"/>
      <c r="B1268" s="40" t="e">
        <f t="shared" ca="1" si="186"/>
        <v>#N/A</v>
      </c>
      <c r="C1268" s="496">
        <v>188</v>
      </c>
      <c r="D1268" s="41" t="e">
        <f ca="1">IF($C$1076&gt;0,VLOOKUP($C1268,COSTI!$U$4:$Z$1003,3,FALSE),IF($C$1075&gt;0,VLOOKUP($C1268,PATRIMONIALE!$U$4:$Z$1003,3,FALSE),IF($C$1074&gt;0,VLOOKUP($C1268,ENTI!$U$4:$Z$1003,3,FALSE),"")))</f>
        <v>#N/A</v>
      </c>
      <c r="E1268" s="41" t="str">
        <f t="shared" ca="1" si="190"/>
        <v/>
      </c>
      <c r="F1268" s="41" t="e">
        <f t="shared" ca="1" si="187"/>
        <v>#NUM!</v>
      </c>
      <c r="G1268" s="39" t="e">
        <f ca="1">IF($C$1076&gt;0,VLOOKUP($C1268,COSTI!$U$4:$Z$1003,5,FALSE),IF($C$1075&gt;0,VLOOKUP($C1268,PATRIMONIALE!$U$4:$Z$1003,5,FALSE),IF($C$1074&gt;0,VLOOKUP($C1268,ENTI!$U$4:$Z$1003,5,FALSE),"")))</f>
        <v>#N/A</v>
      </c>
      <c r="H1268" s="42" t="e">
        <f ca="1">IF($C$1076&gt;0,VLOOKUP($C1268,COSTI!$U$4:$Z$1003,6,FALSE),IF($C$1075&gt;0,VLOOKUP($C1268,PATRIMONIALE!$U$4:$Z$1003,6,FALSE),IF($C$1074&gt;0,VLOOKUP($C1268,ENTI!$U$4:$Z$1003,6,FALSE),"")))</f>
        <v>#N/A</v>
      </c>
      <c r="I1268" s="496">
        <v>188</v>
      </c>
      <c r="J1268" s="43" t="e">
        <f ca="1">VLOOKUP(D1268,$F$1081:$I$4183,4,FALSE)+COUNTIF(E$1081:E1267,E1268)</f>
        <v>#N/A</v>
      </c>
      <c r="K1268" s="1"/>
      <c r="L1268" s="39" t="e">
        <f>IF($C$1074&gt;0,VLOOKUP($C1268,ENTI!$U$4:$AD$1003,10,FALSE),"")</f>
        <v>#N/A</v>
      </c>
      <c r="M1268" s="1"/>
      <c r="N1268" s="1"/>
      <c r="O1268" s="1"/>
    </row>
    <row r="1269" spans="1:15" hidden="1">
      <c r="A1269" s="1"/>
      <c r="B1269" s="40" t="e">
        <f t="shared" ca="1" si="186"/>
        <v>#N/A</v>
      </c>
      <c r="C1269" s="496">
        <v>189</v>
      </c>
      <c r="D1269" s="41" t="e">
        <f ca="1">IF($C$1076&gt;0,VLOOKUP($C1269,COSTI!$U$4:$Z$1003,3,FALSE),IF($C$1075&gt;0,VLOOKUP($C1269,PATRIMONIALE!$U$4:$Z$1003,3,FALSE),IF($C$1074&gt;0,VLOOKUP($C1269,ENTI!$U$4:$Z$1003,3,FALSE),"")))</f>
        <v>#N/A</v>
      </c>
      <c r="E1269" s="41" t="str">
        <f t="shared" ca="1" si="190"/>
        <v/>
      </c>
      <c r="F1269" s="41" t="e">
        <f t="shared" ca="1" si="187"/>
        <v>#NUM!</v>
      </c>
      <c r="G1269" s="39" t="e">
        <f ca="1">IF($C$1076&gt;0,VLOOKUP($C1269,COSTI!$U$4:$Z$1003,5,FALSE),IF($C$1075&gt;0,VLOOKUP($C1269,PATRIMONIALE!$U$4:$Z$1003,5,FALSE),IF($C$1074&gt;0,VLOOKUP($C1269,ENTI!$U$4:$Z$1003,5,FALSE),"")))</f>
        <v>#N/A</v>
      </c>
      <c r="H1269" s="42" t="e">
        <f ca="1">IF($C$1076&gt;0,VLOOKUP($C1269,COSTI!$U$4:$Z$1003,6,FALSE),IF($C$1075&gt;0,VLOOKUP($C1269,PATRIMONIALE!$U$4:$Z$1003,6,FALSE),IF($C$1074&gt;0,VLOOKUP($C1269,ENTI!$U$4:$Z$1003,6,FALSE),"")))</f>
        <v>#N/A</v>
      </c>
      <c r="I1269" s="496">
        <v>189</v>
      </c>
      <c r="J1269" s="43" t="e">
        <f ca="1">VLOOKUP(D1269,$F$1081:$I$4183,4,FALSE)+COUNTIF(E$1081:E1268,E1269)</f>
        <v>#N/A</v>
      </c>
      <c r="K1269" s="1"/>
      <c r="L1269" s="39" t="e">
        <f>IF($C$1074&gt;0,VLOOKUP($C1269,ENTI!$U$4:$AD$1003,10,FALSE),"")</f>
        <v>#N/A</v>
      </c>
      <c r="M1269" s="1"/>
      <c r="N1269" s="1"/>
      <c r="O1269" s="1"/>
    </row>
    <row r="1270" spans="1:15" hidden="1">
      <c r="A1270" s="1"/>
      <c r="B1270" s="40" t="e">
        <f t="shared" ca="1" si="186"/>
        <v>#N/A</v>
      </c>
      <c r="C1270" s="496">
        <v>190</v>
      </c>
      <c r="D1270" s="41" t="e">
        <f ca="1">IF($C$1076&gt;0,VLOOKUP($C1270,COSTI!$U$4:$Z$1003,3,FALSE),IF($C$1075&gt;0,VLOOKUP($C1270,PATRIMONIALE!$U$4:$Z$1003,3,FALSE),IF($C$1074&gt;0,VLOOKUP($C1270,ENTI!$U$4:$Z$1003,3,FALSE),"")))</f>
        <v>#N/A</v>
      </c>
      <c r="E1270" s="41" t="str">
        <f t="shared" ca="1" si="190"/>
        <v/>
      </c>
      <c r="F1270" s="41" t="e">
        <f t="shared" ca="1" si="187"/>
        <v>#NUM!</v>
      </c>
      <c r="G1270" s="39" t="e">
        <f ca="1">IF($C$1076&gt;0,VLOOKUP($C1270,COSTI!$U$4:$Z$1003,5,FALSE),IF($C$1075&gt;0,VLOOKUP($C1270,PATRIMONIALE!$U$4:$Z$1003,5,FALSE),IF($C$1074&gt;0,VLOOKUP($C1270,ENTI!$U$4:$Z$1003,5,FALSE),"")))</f>
        <v>#N/A</v>
      </c>
      <c r="H1270" s="42" t="e">
        <f ca="1">IF($C$1076&gt;0,VLOOKUP($C1270,COSTI!$U$4:$Z$1003,6,FALSE),IF($C$1075&gt;0,VLOOKUP($C1270,PATRIMONIALE!$U$4:$Z$1003,6,FALSE),IF($C$1074&gt;0,VLOOKUP($C1270,ENTI!$U$4:$Z$1003,6,FALSE),"")))</f>
        <v>#N/A</v>
      </c>
      <c r="I1270" s="496">
        <v>190</v>
      </c>
      <c r="J1270" s="43" t="e">
        <f ca="1">VLOOKUP(D1270,$F$1081:$I$4183,4,FALSE)+COUNTIF(E$1081:E1269,E1270)</f>
        <v>#N/A</v>
      </c>
      <c r="K1270" s="1"/>
      <c r="L1270" s="39" t="e">
        <f>IF($C$1074&gt;0,VLOOKUP($C1270,ENTI!$U$4:$AD$1003,10,FALSE),"")</f>
        <v>#N/A</v>
      </c>
      <c r="M1270" s="1"/>
      <c r="N1270" s="1"/>
      <c r="O1270" s="1"/>
    </row>
    <row r="1271" spans="1:15" hidden="1">
      <c r="A1271" s="1"/>
      <c r="B1271" s="40" t="e">
        <f t="shared" ca="1" si="186"/>
        <v>#N/A</v>
      </c>
      <c r="C1271" s="496">
        <v>191</v>
      </c>
      <c r="D1271" s="41" t="e">
        <f ca="1">IF($C$1076&gt;0,VLOOKUP($C1271,COSTI!$U$4:$Z$1003,3,FALSE),IF($C$1075&gt;0,VLOOKUP($C1271,PATRIMONIALE!$U$4:$Z$1003,3,FALSE),IF($C$1074&gt;0,VLOOKUP($C1271,ENTI!$U$4:$Z$1003,3,FALSE),"")))</f>
        <v>#N/A</v>
      </c>
      <c r="E1271" s="41" t="str">
        <f t="shared" ca="1" si="190"/>
        <v/>
      </c>
      <c r="F1271" s="41" t="e">
        <f t="shared" ca="1" si="187"/>
        <v>#NUM!</v>
      </c>
      <c r="G1271" s="39" t="e">
        <f ca="1">IF($C$1076&gt;0,VLOOKUP($C1271,COSTI!$U$4:$Z$1003,5,FALSE),IF($C$1075&gt;0,VLOOKUP($C1271,PATRIMONIALE!$U$4:$Z$1003,5,FALSE),IF($C$1074&gt;0,VLOOKUP($C1271,ENTI!$U$4:$Z$1003,5,FALSE),"")))</f>
        <v>#N/A</v>
      </c>
      <c r="H1271" s="42" t="e">
        <f ca="1">IF($C$1076&gt;0,VLOOKUP($C1271,COSTI!$U$4:$Z$1003,6,FALSE),IF($C$1075&gt;0,VLOOKUP($C1271,PATRIMONIALE!$U$4:$Z$1003,6,FALSE),IF($C$1074&gt;0,VLOOKUP($C1271,ENTI!$U$4:$Z$1003,6,FALSE),"")))</f>
        <v>#N/A</v>
      </c>
      <c r="I1271" s="496">
        <v>191</v>
      </c>
      <c r="J1271" s="43" t="e">
        <f ca="1">VLOOKUP(D1271,$F$1081:$I$4183,4,FALSE)+COUNTIF(E$1081:E1270,E1271)</f>
        <v>#N/A</v>
      </c>
      <c r="K1271" s="1"/>
      <c r="L1271" s="39" t="e">
        <f>IF($C$1074&gt;0,VLOOKUP($C1271,ENTI!$U$4:$AD$1003,10,FALSE),"")</f>
        <v>#N/A</v>
      </c>
      <c r="M1271" s="1"/>
      <c r="N1271" s="1"/>
      <c r="O1271" s="1"/>
    </row>
    <row r="1272" spans="1:15" hidden="1">
      <c r="A1272" s="1"/>
      <c r="B1272" s="40" t="e">
        <f t="shared" ca="1" si="186"/>
        <v>#N/A</v>
      </c>
      <c r="C1272" s="496">
        <v>192</v>
      </c>
      <c r="D1272" s="41" t="e">
        <f ca="1">IF($C$1076&gt;0,VLOOKUP($C1272,COSTI!$U$4:$Z$1003,3,FALSE),IF($C$1075&gt;0,VLOOKUP($C1272,PATRIMONIALE!$U$4:$Z$1003,3,FALSE),IF($C$1074&gt;0,VLOOKUP($C1272,ENTI!$U$4:$Z$1003,3,FALSE),"")))</f>
        <v>#N/A</v>
      </c>
      <c r="E1272" s="41" t="str">
        <f t="shared" ca="1" si="190"/>
        <v/>
      </c>
      <c r="F1272" s="41" t="e">
        <f t="shared" ca="1" si="187"/>
        <v>#NUM!</v>
      </c>
      <c r="G1272" s="39" t="e">
        <f ca="1">IF($C$1076&gt;0,VLOOKUP($C1272,COSTI!$U$4:$Z$1003,5,FALSE),IF($C$1075&gt;0,VLOOKUP($C1272,PATRIMONIALE!$U$4:$Z$1003,5,FALSE),IF($C$1074&gt;0,VLOOKUP($C1272,ENTI!$U$4:$Z$1003,5,FALSE),"")))</f>
        <v>#N/A</v>
      </c>
      <c r="H1272" s="42" t="e">
        <f ca="1">IF($C$1076&gt;0,VLOOKUP($C1272,COSTI!$U$4:$Z$1003,6,FALSE),IF($C$1075&gt;0,VLOOKUP($C1272,PATRIMONIALE!$U$4:$Z$1003,6,FALSE),IF($C$1074&gt;0,VLOOKUP($C1272,ENTI!$U$4:$Z$1003,6,FALSE),"")))</f>
        <v>#N/A</v>
      </c>
      <c r="I1272" s="496">
        <v>192</v>
      </c>
      <c r="J1272" s="43" t="e">
        <f ca="1">VLOOKUP(D1272,$F$1081:$I$4183,4,FALSE)+COUNTIF(E$1081:E1271,E1272)</f>
        <v>#N/A</v>
      </c>
      <c r="K1272" s="1"/>
      <c r="L1272" s="39" t="e">
        <f>IF($C$1074&gt;0,VLOOKUP($C1272,ENTI!$U$4:$AD$1003,10,FALSE),"")</f>
        <v>#N/A</v>
      </c>
      <c r="M1272" s="1"/>
      <c r="N1272" s="1"/>
      <c r="O1272" s="1"/>
    </row>
    <row r="1273" spans="1:15" hidden="1">
      <c r="A1273" s="1"/>
      <c r="B1273" s="40" t="e">
        <f t="shared" ref="B1273:B1336" ca="1" si="191">IF(OR(C$1075&gt;0,C$1077&gt;0,C$1073&gt;0,C$1071&gt;0),J1273+1,J1273)</f>
        <v>#N/A</v>
      </c>
      <c r="C1273" s="496">
        <v>193</v>
      </c>
      <c r="D1273" s="41" t="e">
        <f ca="1">IF($C$1076&gt;0,VLOOKUP($C1273,COSTI!$U$4:$Z$1003,3,FALSE),IF($C$1075&gt;0,VLOOKUP($C1273,PATRIMONIALE!$U$4:$Z$1003,3,FALSE),IF($C$1074&gt;0,VLOOKUP($C1273,ENTI!$U$4:$Z$1003,3,FALSE),"")))</f>
        <v>#N/A</v>
      </c>
      <c r="E1273" s="41" t="str">
        <f t="shared" ca="1" si="190"/>
        <v/>
      </c>
      <c r="F1273" s="41" t="e">
        <f t="shared" ref="F1273:F1336" ca="1" si="192">SMALL(E$1081:E$4183,C1273)</f>
        <v>#NUM!</v>
      </c>
      <c r="G1273" s="39" t="e">
        <f ca="1">IF($C$1076&gt;0,VLOOKUP($C1273,COSTI!$U$4:$Z$1003,5,FALSE),IF($C$1075&gt;0,VLOOKUP($C1273,PATRIMONIALE!$U$4:$Z$1003,5,FALSE),IF($C$1074&gt;0,VLOOKUP($C1273,ENTI!$U$4:$Z$1003,5,FALSE),"")))</f>
        <v>#N/A</v>
      </c>
      <c r="H1273" s="42" t="e">
        <f ca="1">IF($C$1076&gt;0,VLOOKUP($C1273,COSTI!$U$4:$Z$1003,6,FALSE),IF($C$1075&gt;0,VLOOKUP($C1273,PATRIMONIALE!$U$4:$Z$1003,6,FALSE),IF($C$1074&gt;0,VLOOKUP($C1273,ENTI!$U$4:$Z$1003,6,FALSE),"")))</f>
        <v>#N/A</v>
      </c>
      <c r="I1273" s="496">
        <v>193</v>
      </c>
      <c r="J1273" s="43" t="e">
        <f ca="1">VLOOKUP(D1273,$F$1081:$I$4183,4,FALSE)+COUNTIF(E$1081:E1272,E1273)</f>
        <v>#N/A</v>
      </c>
      <c r="K1273" s="1"/>
      <c r="L1273" s="39" t="e">
        <f>IF($C$1074&gt;0,VLOOKUP($C1273,ENTI!$U$4:$AD$1003,10,FALSE),"")</f>
        <v>#N/A</v>
      </c>
      <c r="M1273" s="1"/>
      <c r="N1273" s="1"/>
      <c r="O1273" s="1"/>
    </row>
    <row r="1274" spans="1:15" hidden="1">
      <c r="A1274" s="1"/>
      <c r="B1274" s="40" t="e">
        <f t="shared" ca="1" si="191"/>
        <v>#N/A</v>
      </c>
      <c r="C1274" s="496">
        <v>194</v>
      </c>
      <c r="D1274" s="41" t="e">
        <f ca="1">IF($C$1076&gt;0,VLOOKUP($C1274,COSTI!$U$4:$Z$1003,3,FALSE),IF($C$1075&gt;0,VLOOKUP($C1274,PATRIMONIALE!$U$4:$Z$1003,3,FALSE),IF($C$1074&gt;0,VLOOKUP($C1274,ENTI!$U$4:$Z$1003,3,FALSE),"")))</f>
        <v>#N/A</v>
      </c>
      <c r="E1274" s="41" t="str">
        <f t="shared" ca="1" si="190"/>
        <v/>
      </c>
      <c r="F1274" s="41" t="e">
        <f t="shared" ca="1" si="192"/>
        <v>#NUM!</v>
      </c>
      <c r="G1274" s="39" t="e">
        <f ca="1">IF($C$1076&gt;0,VLOOKUP($C1274,COSTI!$U$4:$Z$1003,5,FALSE),IF($C$1075&gt;0,VLOOKUP($C1274,PATRIMONIALE!$U$4:$Z$1003,5,FALSE),IF($C$1074&gt;0,VLOOKUP($C1274,ENTI!$U$4:$Z$1003,5,FALSE),"")))</f>
        <v>#N/A</v>
      </c>
      <c r="H1274" s="42" t="e">
        <f ca="1">IF($C$1076&gt;0,VLOOKUP($C1274,COSTI!$U$4:$Z$1003,6,FALSE),IF($C$1075&gt;0,VLOOKUP($C1274,PATRIMONIALE!$U$4:$Z$1003,6,FALSE),IF($C$1074&gt;0,VLOOKUP($C1274,ENTI!$U$4:$Z$1003,6,FALSE),"")))</f>
        <v>#N/A</v>
      </c>
      <c r="I1274" s="496">
        <v>194</v>
      </c>
      <c r="J1274" s="43" t="e">
        <f ca="1">VLOOKUP(D1274,$F$1081:$I$4183,4,FALSE)+COUNTIF(E$1081:E1273,E1274)</f>
        <v>#N/A</v>
      </c>
      <c r="K1274" s="1"/>
      <c r="L1274" s="39" t="e">
        <f>IF($C$1074&gt;0,VLOOKUP($C1274,ENTI!$U$4:$AD$1003,10,FALSE),"")</f>
        <v>#N/A</v>
      </c>
      <c r="M1274" s="1"/>
      <c r="N1274" s="1"/>
      <c r="O1274" s="1"/>
    </row>
    <row r="1275" spans="1:15" hidden="1">
      <c r="A1275" s="1"/>
      <c r="B1275" s="40" t="e">
        <f t="shared" ca="1" si="191"/>
        <v>#N/A</v>
      </c>
      <c r="C1275" s="496">
        <v>195</v>
      </c>
      <c r="D1275" s="41" t="e">
        <f ca="1">IF($C$1076&gt;0,VLOOKUP($C1275,COSTI!$U$4:$Z$1003,3,FALSE),IF($C$1075&gt;0,VLOOKUP($C1275,PATRIMONIALE!$U$4:$Z$1003,3,FALSE),IF($C$1074&gt;0,VLOOKUP($C1275,ENTI!$U$4:$Z$1003,3,FALSE),"")))</f>
        <v>#N/A</v>
      </c>
      <c r="E1275" s="41" t="str">
        <f t="shared" ca="1" si="190"/>
        <v/>
      </c>
      <c r="F1275" s="41" t="e">
        <f t="shared" ca="1" si="192"/>
        <v>#NUM!</v>
      </c>
      <c r="G1275" s="39" t="e">
        <f ca="1">IF($C$1076&gt;0,VLOOKUP($C1275,COSTI!$U$4:$Z$1003,5,FALSE),IF($C$1075&gt;0,VLOOKUP($C1275,PATRIMONIALE!$U$4:$Z$1003,5,FALSE),IF($C$1074&gt;0,VLOOKUP($C1275,ENTI!$U$4:$Z$1003,5,FALSE),"")))</f>
        <v>#N/A</v>
      </c>
      <c r="H1275" s="42" t="e">
        <f ca="1">IF($C$1076&gt;0,VLOOKUP($C1275,COSTI!$U$4:$Z$1003,6,FALSE),IF($C$1075&gt;0,VLOOKUP($C1275,PATRIMONIALE!$U$4:$Z$1003,6,FALSE),IF($C$1074&gt;0,VLOOKUP($C1275,ENTI!$U$4:$Z$1003,6,FALSE),"")))</f>
        <v>#N/A</v>
      </c>
      <c r="I1275" s="496">
        <v>195</v>
      </c>
      <c r="J1275" s="43" t="e">
        <f ca="1">VLOOKUP(D1275,$F$1081:$I$4183,4,FALSE)+COUNTIF(E$1081:E1274,E1275)</f>
        <v>#N/A</v>
      </c>
      <c r="K1275" s="1"/>
      <c r="L1275" s="39" t="e">
        <f>IF($C$1074&gt;0,VLOOKUP($C1275,ENTI!$U$4:$AD$1003,10,FALSE),"")</f>
        <v>#N/A</v>
      </c>
      <c r="M1275" s="1"/>
      <c r="N1275" s="1"/>
      <c r="O1275" s="1"/>
    </row>
    <row r="1276" spans="1:15" hidden="1">
      <c r="A1276" s="1"/>
      <c r="B1276" s="40" t="e">
        <f t="shared" ca="1" si="191"/>
        <v>#N/A</v>
      </c>
      <c r="C1276" s="496">
        <v>196</v>
      </c>
      <c r="D1276" s="41" t="e">
        <f ca="1">IF($C$1076&gt;0,VLOOKUP($C1276,COSTI!$U$4:$Z$1003,3,FALSE),IF($C$1075&gt;0,VLOOKUP($C1276,PATRIMONIALE!$U$4:$Z$1003,3,FALSE),IF($C$1074&gt;0,VLOOKUP($C1276,ENTI!$U$4:$Z$1003,3,FALSE),"")))</f>
        <v>#N/A</v>
      </c>
      <c r="E1276" s="41" t="str">
        <f t="shared" ca="1" si="190"/>
        <v/>
      </c>
      <c r="F1276" s="41" t="e">
        <f t="shared" ca="1" si="192"/>
        <v>#NUM!</v>
      </c>
      <c r="G1276" s="39" t="e">
        <f ca="1">IF($C$1076&gt;0,VLOOKUP($C1276,COSTI!$U$4:$Z$1003,5,FALSE),IF($C$1075&gt;0,VLOOKUP($C1276,PATRIMONIALE!$U$4:$Z$1003,5,FALSE),IF($C$1074&gt;0,VLOOKUP($C1276,ENTI!$U$4:$Z$1003,5,FALSE),"")))</f>
        <v>#N/A</v>
      </c>
      <c r="H1276" s="42" t="e">
        <f ca="1">IF($C$1076&gt;0,VLOOKUP($C1276,COSTI!$U$4:$Z$1003,6,FALSE),IF($C$1075&gt;0,VLOOKUP($C1276,PATRIMONIALE!$U$4:$Z$1003,6,FALSE),IF($C$1074&gt;0,VLOOKUP($C1276,ENTI!$U$4:$Z$1003,6,FALSE),"")))</f>
        <v>#N/A</v>
      </c>
      <c r="I1276" s="496">
        <v>196</v>
      </c>
      <c r="J1276" s="43" t="e">
        <f ca="1">VLOOKUP(D1276,$F$1081:$I$4183,4,FALSE)+COUNTIF(E$1081:E1275,E1276)</f>
        <v>#N/A</v>
      </c>
      <c r="K1276" s="1"/>
      <c r="L1276" s="39" t="e">
        <f>IF($C$1074&gt;0,VLOOKUP($C1276,ENTI!$U$4:$AD$1003,10,FALSE),"")</f>
        <v>#N/A</v>
      </c>
      <c r="M1276" s="1"/>
      <c r="N1276" s="1"/>
      <c r="O1276" s="1"/>
    </row>
    <row r="1277" spans="1:15" hidden="1">
      <c r="A1277" s="1"/>
      <c r="B1277" s="40" t="e">
        <f t="shared" ca="1" si="191"/>
        <v>#N/A</v>
      </c>
      <c r="C1277" s="496">
        <v>197</v>
      </c>
      <c r="D1277" s="41" t="e">
        <f ca="1">IF($C$1076&gt;0,VLOOKUP($C1277,COSTI!$U$4:$Z$1003,3,FALSE),IF($C$1075&gt;0,VLOOKUP($C1277,PATRIMONIALE!$U$4:$Z$1003,3,FALSE),IF($C$1074&gt;0,VLOOKUP($C1277,ENTI!$U$4:$Z$1003,3,FALSE),"")))</f>
        <v>#N/A</v>
      </c>
      <c r="E1277" s="41" t="str">
        <f t="shared" ca="1" si="190"/>
        <v/>
      </c>
      <c r="F1277" s="41" t="e">
        <f t="shared" ca="1" si="192"/>
        <v>#NUM!</v>
      </c>
      <c r="G1277" s="39" t="e">
        <f ca="1">IF($C$1076&gt;0,VLOOKUP($C1277,COSTI!$U$4:$Z$1003,5,FALSE),IF($C$1075&gt;0,VLOOKUP($C1277,PATRIMONIALE!$U$4:$Z$1003,5,FALSE),IF($C$1074&gt;0,VLOOKUP($C1277,ENTI!$U$4:$Z$1003,5,FALSE),"")))</f>
        <v>#N/A</v>
      </c>
      <c r="H1277" s="42" t="e">
        <f ca="1">IF($C$1076&gt;0,VLOOKUP($C1277,COSTI!$U$4:$Z$1003,6,FALSE),IF($C$1075&gt;0,VLOOKUP($C1277,PATRIMONIALE!$U$4:$Z$1003,6,FALSE),IF($C$1074&gt;0,VLOOKUP($C1277,ENTI!$U$4:$Z$1003,6,FALSE),"")))</f>
        <v>#N/A</v>
      </c>
      <c r="I1277" s="496">
        <v>197</v>
      </c>
      <c r="J1277" s="43" t="e">
        <f ca="1">VLOOKUP(D1277,$F$1081:$I$4183,4,FALSE)+COUNTIF(E$1081:E1276,E1277)</f>
        <v>#N/A</v>
      </c>
      <c r="K1277" s="1"/>
      <c r="L1277" s="39" t="e">
        <f>IF($C$1074&gt;0,VLOOKUP($C1277,ENTI!$U$4:$AD$1003,10,FALSE),"")</f>
        <v>#N/A</v>
      </c>
      <c r="M1277" s="1"/>
      <c r="N1277" s="1"/>
      <c r="O1277" s="1"/>
    </row>
    <row r="1278" spans="1:15" hidden="1">
      <c r="A1278" s="1"/>
      <c r="B1278" s="40" t="e">
        <f t="shared" ca="1" si="191"/>
        <v>#N/A</v>
      </c>
      <c r="C1278" s="496">
        <v>198</v>
      </c>
      <c r="D1278" s="41" t="e">
        <f ca="1">IF($C$1076&gt;0,VLOOKUP($C1278,COSTI!$U$4:$Z$1003,3,FALSE),IF($C$1075&gt;0,VLOOKUP($C1278,PATRIMONIALE!$U$4:$Z$1003,3,FALSE),IF($C$1074&gt;0,VLOOKUP($C1278,ENTI!$U$4:$Z$1003,3,FALSE),"")))</f>
        <v>#N/A</v>
      </c>
      <c r="E1278" s="41" t="str">
        <f t="shared" ca="1" si="190"/>
        <v/>
      </c>
      <c r="F1278" s="41" t="e">
        <f t="shared" ca="1" si="192"/>
        <v>#NUM!</v>
      </c>
      <c r="G1278" s="39" t="e">
        <f ca="1">IF($C$1076&gt;0,VLOOKUP($C1278,COSTI!$U$4:$Z$1003,5,FALSE),IF($C$1075&gt;0,VLOOKUP($C1278,PATRIMONIALE!$U$4:$Z$1003,5,FALSE),IF($C$1074&gt;0,VLOOKUP($C1278,ENTI!$U$4:$Z$1003,5,FALSE),"")))</f>
        <v>#N/A</v>
      </c>
      <c r="H1278" s="42" t="e">
        <f ca="1">IF($C$1076&gt;0,VLOOKUP($C1278,COSTI!$U$4:$Z$1003,6,FALSE),IF($C$1075&gt;0,VLOOKUP($C1278,PATRIMONIALE!$U$4:$Z$1003,6,FALSE),IF($C$1074&gt;0,VLOOKUP($C1278,ENTI!$U$4:$Z$1003,6,FALSE),"")))</f>
        <v>#N/A</v>
      </c>
      <c r="I1278" s="496">
        <v>198</v>
      </c>
      <c r="J1278" s="43" t="e">
        <f ca="1">VLOOKUP(D1278,$F$1081:$I$4183,4,FALSE)+COUNTIF(E$1081:E1277,E1278)</f>
        <v>#N/A</v>
      </c>
      <c r="K1278" s="1"/>
      <c r="L1278" s="39" t="e">
        <f>IF($C$1074&gt;0,VLOOKUP($C1278,ENTI!$U$4:$AD$1003,10,FALSE),"")</f>
        <v>#N/A</v>
      </c>
      <c r="M1278" s="1"/>
      <c r="N1278" s="1"/>
      <c r="O1278" s="1"/>
    </row>
    <row r="1279" spans="1:15" hidden="1">
      <c r="A1279" s="1"/>
      <c r="B1279" s="40" t="e">
        <f t="shared" ca="1" si="191"/>
        <v>#N/A</v>
      </c>
      <c r="C1279" s="496">
        <v>199</v>
      </c>
      <c r="D1279" s="41" t="e">
        <f ca="1">IF($C$1076&gt;0,VLOOKUP($C1279,COSTI!$U$4:$Z$1003,3,FALSE),IF($C$1075&gt;0,VLOOKUP($C1279,PATRIMONIALE!$U$4:$Z$1003,3,FALSE),IF($C$1074&gt;0,VLOOKUP($C1279,ENTI!$U$4:$Z$1003,3,FALSE),"")))</f>
        <v>#N/A</v>
      </c>
      <c r="E1279" s="41" t="str">
        <f t="shared" ca="1" si="190"/>
        <v/>
      </c>
      <c r="F1279" s="41" t="e">
        <f t="shared" ca="1" si="192"/>
        <v>#NUM!</v>
      </c>
      <c r="G1279" s="39" t="e">
        <f ca="1">IF($C$1076&gt;0,VLOOKUP($C1279,COSTI!$U$4:$Z$1003,5,FALSE),IF($C$1075&gt;0,VLOOKUP($C1279,PATRIMONIALE!$U$4:$Z$1003,5,FALSE),IF($C$1074&gt;0,VLOOKUP($C1279,ENTI!$U$4:$Z$1003,5,FALSE),"")))</f>
        <v>#N/A</v>
      </c>
      <c r="H1279" s="42" t="e">
        <f ca="1">IF($C$1076&gt;0,VLOOKUP($C1279,COSTI!$U$4:$Z$1003,6,FALSE),IF($C$1075&gt;0,VLOOKUP($C1279,PATRIMONIALE!$U$4:$Z$1003,6,FALSE),IF($C$1074&gt;0,VLOOKUP($C1279,ENTI!$U$4:$Z$1003,6,FALSE),"")))</f>
        <v>#N/A</v>
      </c>
      <c r="I1279" s="496">
        <v>199</v>
      </c>
      <c r="J1279" s="43" t="e">
        <f ca="1">VLOOKUP(D1279,$F$1081:$I$4183,4,FALSE)+COUNTIF(E$1081:E1278,E1279)</f>
        <v>#N/A</v>
      </c>
      <c r="K1279" s="1"/>
      <c r="L1279" s="39" t="e">
        <f>IF($C$1074&gt;0,VLOOKUP($C1279,ENTI!$U$4:$AD$1003,10,FALSE),"")</f>
        <v>#N/A</v>
      </c>
      <c r="M1279" s="1"/>
      <c r="N1279" s="1"/>
      <c r="O1279" s="1"/>
    </row>
    <row r="1280" spans="1:15" hidden="1">
      <c r="A1280" s="1"/>
      <c r="B1280" s="40" t="e">
        <f t="shared" ca="1" si="191"/>
        <v>#N/A</v>
      </c>
      <c r="C1280" s="496">
        <v>200</v>
      </c>
      <c r="D1280" s="41" t="e">
        <f ca="1">IF($C$1076&gt;0,VLOOKUP($C1280,COSTI!$U$4:$Z$1003,3,FALSE),IF($C$1075&gt;0,VLOOKUP($C1280,PATRIMONIALE!$U$4:$Z$1003,3,FALSE),IF($C$1074&gt;0,VLOOKUP($C1280,ENTI!$U$4:$Z$1003,3,FALSE),"")))</f>
        <v>#N/A</v>
      </c>
      <c r="E1280" s="41" t="str">
        <f t="shared" ca="1" si="190"/>
        <v/>
      </c>
      <c r="F1280" s="41" t="e">
        <f t="shared" ca="1" si="192"/>
        <v>#NUM!</v>
      </c>
      <c r="G1280" s="39" t="e">
        <f ca="1">IF($C$1076&gt;0,VLOOKUP($C1280,COSTI!$U$4:$Z$1003,5,FALSE),IF($C$1075&gt;0,VLOOKUP($C1280,PATRIMONIALE!$U$4:$Z$1003,5,FALSE),IF($C$1074&gt;0,VLOOKUP($C1280,ENTI!$U$4:$Z$1003,5,FALSE),"")))</f>
        <v>#N/A</v>
      </c>
      <c r="H1280" s="42" t="e">
        <f ca="1">IF($C$1076&gt;0,VLOOKUP($C1280,COSTI!$U$4:$Z$1003,6,FALSE),IF($C$1075&gt;0,VLOOKUP($C1280,PATRIMONIALE!$U$4:$Z$1003,6,FALSE),IF($C$1074&gt;0,VLOOKUP($C1280,ENTI!$U$4:$Z$1003,6,FALSE),"")))</f>
        <v>#N/A</v>
      </c>
      <c r="I1280" s="496">
        <v>200</v>
      </c>
      <c r="J1280" s="43" t="e">
        <f ca="1">VLOOKUP(D1280,$F$1081:$I$4183,4,FALSE)+COUNTIF(E$1081:E1279,E1280)</f>
        <v>#N/A</v>
      </c>
      <c r="K1280" s="1"/>
      <c r="L1280" s="39" t="e">
        <f>IF($C$1074&gt;0,VLOOKUP($C1280,ENTI!$U$4:$AD$1003,10,FALSE),"")</f>
        <v>#N/A</v>
      </c>
      <c r="M1280" s="1"/>
      <c r="N1280" s="1"/>
      <c r="O1280" s="1"/>
    </row>
    <row r="1281" spans="1:15" hidden="1">
      <c r="A1281" s="1"/>
      <c r="B1281" s="40" t="e">
        <f t="shared" ca="1" si="191"/>
        <v>#N/A</v>
      </c>
      <c r="C1281" s="496">
        <v>201</v>
      </c>
      <c r="D1281" s="41" t="e">
        <f ca="1">IF($C$1076&gt;0,VLOOKUP($C1281,COSTI!$U$4:$Z$1003,3,FALSE),IF($C$1075&gt;0,VLOOKUP($C1281,PATRIMONIALE!$U$4:$Z$1003,3,FALSE),IF($C$1074&gt;0,VLOOKUP($C1281,ENTI!$U$4:$Z$1003,3,FALSE),"")))</f>
        <v>#N/A</v>
      </c>
      <c r="E1281" s="41" t="str">
        <f t="shared" ca="1" si="190"/>
        <v/>
      </c>
      <c r="F1281" s="41" t="e">
        <f t="shared" ca="1" si="192"/>
        <v>#NUM!</v>
      </c>
      <c r="G1281" s="39" t="e">
        <f ca="1">IF($C$1076&gt;0,VLOOKUP($C1281,COSTI!$U$4:$Z$1003,5,FALSE),IF($C$1075&gt;0,VLOOKUP($C1281,PATRIMONIALE!$U$4:$Z$1003,5,FALSE),IF($C$1074&gt;0,VLOOKUP($C1281,ENTI!$U$4:$Z$1003,5,FALSE),"")))</f>
        <v>#N/A</v>
      </c>
      <c r="H1281" s="42" t="e">
        <f ca="1">IF($C$1076&gt;0,VLOOKUP($C1281,COSTI!$U$4:$Z$1003,6,FALSE),IF($C$1075&gt;0,VLOOKUP($C1281,PATRIMONIALE!$U$4:$Z$1003,6,FALSE),IF($C$1074&gt;0,VLOOKUP($C1281,ENTI!$U$4:$Z$1003,6,FALSE),"")))</f>
        <v>#N/A</v>
      </c>
      <c r="I1281" s="496">
        <v>201</v>
      </c>
      <c r="J1281" s="43" t="e">
        <f ca="1">VLOOKUP(D1281,$F$1081:$I$4183,4,FALSE)+COUNTIF(E$1081:E1280,E1281)</f>
        <v>#N/A</v>
      </c>
      <c r="K1281" s="1"/>
      <c r="L1281" s="39" t="e">
        <f>IF($C$1074&gt;0,VLOOKUP($C1281,ENTI!$U$4:$AD$1003,10,FALSE),"")</f>
        <v>#N/A</v>
      </c>
      <c r="M1281" s="1"/>
      <c r="N1281" s="1"/>
      <c r="O1281" s="1"/>
    </row>
    <row r="1282" spans="1:15" hidden="1">
      <c r="A1282" s="1"/>
      <c r="B1282" s="40" t="e">
        <f t="shared" ca="1" si="191"/>
        <v>#N/A</v>
      </c>
      <c r="C1282" s="496">
        <v>202</v>
      </c>
      <c r="D1282" s="41" t="e">
        <f ca="1">IF($C$1076&gt;0,VLOOKUP($C1282,COSTI!$U$4:$Z$1003,3,FALSE),IF($C$1075&gt;0,VLOOKUP($C1282,PATRIMONIALE!$U$4:$Z$1003,3,FALSE),IF($C$1074&gt;0,VLOOKUP($C1282,ENTI!$U$4:$Z$1003,3,FALSE),"")))</f>
        <v>#N/A</v>
      </c>
      <c r="E1282" s="41" t="str">
        <f t="shared" ca="1" si="190"/>
        <v/>
      </c>
      <c r="F1282" s="41" t="e">
        <f t="shared" ca="1" si="192"/>
        <v>#NUM!</v>
      </c>
      <c r="G1282" s="39" t="e">
        <f ca="1">IF($C$1076&gt;0,VLOOKUP($C1282,COSTI!$U$4:$Z$1003,5,FALSE),IF($C$1075&gt;0,VLOOKUP($C1282,PATRIMONIALE!$U$4:$Z$1003,5,FALSE),IF($C$1074&gt;0,VLOOKUP($C1282,ENTI!$U$4:$Z$1003,5,FALSE),"")))</f>
        <v>#N/A</v>
      </c>
      <c r="H1282" s="42" t="e">
        <f ca="1">IF($C$1076&gt;0,VLOOKUP($C1282,COSTI!$U$4:$Z$1003,6,FALSE),IF($C$1075&gt;0,VLOOKUP($C1282,PATRIMONIALE!$U$4:$Z$1003,6,FALSE),IF($C$1074&gt;0,VLOOKUP($C1282,ENTI!$U$4:$Z$1003,6,FALSE),"")))</f>
        <v>#N/A</v>
      </c>
      <c r="I1282" s="496">
        <v>202</v>
      </c>
      <c r="J1282" s="43" t="e">
        <f ca="1">VLOOKUP(D1282,$F$1081:$I$4183,4,FALSE)+COUNTIF(E$1081:E1281,E1282)</f>
        <v>#N/A</v>
      </c>
      <c r="K1282" s="1"/>
      <c r="L1282" s="39" t="e">
        <f>IF($C$1074&gt;0,VLOOKUP($C1282,ENTI!$U$4:$AD$1003,10,FALSE),"")</f>
        <v>#N/A</v>
      </c>
      <c r="M1282" s="1"/>
      <c r="N1282" s="1"/>
      <c r="O1282" s="1"/>
    </row>
    <row r="1283" spans="1:15" hidden="1">
      <c r="A1283" s="1"/>
      <c r="B1283" s="40" t="e">
        <f t="shared" ca="1" si="191"/>
        <v>#N/A</v>
      </c>
      <c r="C1283" s="496">
        <v>203</v>
      </c>
      <c r="D1283" s="41" t="e">
        <f ca="1">IF($C$1076&gt;0,VLOOKUP($C1283,COSTI!$U$4:$Z$1003,3,FALSE),IF($C$1075&gt;0,VLOOKUP($C1283,PATRIMONIALE!$U$4:$Z$1003,3,FALSE),IF($C$1074&gt;0,VLOOKUP($C1283,ENTI!$U$4:$Z$1003,3,FALSE),"")))</f>
        <v>#N/A</v>
      </c>
      <c r="E1283" s="41" t="str">
        <f t="shared" ca="1" si="190"/>
        <v/>
      </c>
      <c r="F1283" s="41" t="e">
        <f t="shared" ca="1" si="192"/>
        <v>#NUM!</v>
      </c>
      <c r="G1283" s="39" t="e">
        <f ca="1">IF($C$1076&gt;0,VLOOKUP($C1283,COSTI!$U$4:$Z$1003,5,FALSE),IF($C$1075&gt;0,VLOOKUP($C1283,PATRIMONIALE!$U$4:$Z$1003,5,FALSE),IF($C$1074&gt;0,VLOOKUP($C1283,ENTI!$U$4:$Z$1003,5,FALSE),"")))</f>
        <v>#N/A</v>
      </c>
      <c r="H1283" s="42" t="e">
        <f ca="1">IF($C$1076&gt;0,VLOOKUP($C1283,COSTI!$U$4:$Z$1003,6,FALSE),IF($C$1075&gt;0,VLOOKUP($C1283,PATRIMONIALE!$U$4:$Z$1003,6,FALSE),IF($C$1074&gt;0,VLOOKUP($C1283,ENTI!$U$4:$Z$1003,6,FALSE),"")))</f>
        <v>#N/A</v>
      </c>
      <c r="I1283" s="496">
        <v>203</v>
      </c>
      <c r="J1283" s="43" t="e">
        <f ca="1">VLOOKUP(D1283,$F$1081:$I$4183,4,FALSE)+COUNTIF(E$1081:E1282,E1283)</f>
        <v>#N/A</v>
      </c>
      <c r="K1283" s="1"/>
      <c r="L1283" s="39" t="e">
        <f>IF($C$1074&gt;0,VLOOKUP($C1283,ENTI!$U$4:$AD$1003,10,FALSE),"")</f>
        <v>#N/A</v>
      </c>
      <c r="M1283" s="1"/>
      <c r="N1283" s="1"/>
      <c r="O1283" s="1"/>
    </row>
    <row r="1284" spans="1:15" hidden="1">
      <c r="A1284" s="1"/>
      <c r="B1284" s="40" t="e">
        <f t="shared" ca="1" si="191"/>
        <v>#N/A</v>
      </c>
      <c r="C1284" s="496">
        <v>204</v>
      </c>
      <c r="D1284" s="41" t="e">
        <f ca="1">IF($C$1076&gt;0,VLOOKUP($C1284,COSTI!$U$4:$Z$1003,3,FALSE),IF($C$1075&gt;0,VLOOKUP($C1284,PATRIMONIALE!$U$4:$Z$1003,3,FALSE),IF($C$1074&gt;0,VLOOKUP($C1284,ENTI!$U$4:$Z$1003,3,FALSE),"")))</f>
        <v>#N/A</v>
      </c>
      <c r="E1284" s="41" t="str">
        <f t="shared" ca="1" si="190"/>
        <v/>
      </c>
      <c r="F1284" s="41" t="e">
        <f t="shared" ca="1" si="192"/>
        <v>#NUM!</v>
      </c>
      <c r="G1284" s="39" t="e">
        <f ca="1">IF($C$1076&gt;0,VLOOKUP($C1284,COSTI!$U$4:$Z$1003,5,FALSE),IF($C$1075&gt;0,VLOOKUP($C1284,PATRIMONIALE!$U$4:$Z$1003,5,FALSE),IF($C$1074&gt;0,VLOOKUP($C1284,ENTI!$U$4:$Z$1003,5,FALSE),"")))</f>
        <v>#N/A</v>
      </c>
      <c r="H1284" s="42" t="e">
        <f ca="1">IF($C$1076&gt;0,VLOOKUP($C1284,COSTI!$U$4:$Z$1003,6,FALSE),IF($C$1075&gt;0,VLOOKUP($C1284,PATRIMONIALE!$U$4:$Z$1003,6,FALSE),IF($C$1074&gt;0,VLOOKUP($C1284,ENTI!$U$4:$Z$1003,6,FALSE),"")))</f>
        <v>#N/A</v>
      </c>
      <c r="I1284" s="496">
        <v>204</v>
      </c>
      <c r="J1284" s="43" t="e">
        <f ca="1">VLOOKUP(D1284,$F$1081:$I$4183,4,FALSE)+COUNTIF(E$1081:E1283,E1284)</f>
        <v>#N/A</v>
      </c>
      <c r="K1284" s="1"/>
      <c r="L1284" s="39" t="e">
        <f>IF($C$1074&gt;0,VLOOKUP($C1284,ENTI!$U$4:$AD$1003,10,FALSE),"")</f>
        <v>#N/A</v>
      </c>
      <c r="M1284" s="1"/>
      <c r="N1284" s="1"/>
      <c r="O1284" s="1"/>
    </row>
    <row r="1285" spans="1:15" hidden="1">
      <c r="A1285" s="1"/>
      <c r="B1285" s="40" t="e">
        <f t="shared" ca="1" si="191"/>
        <v>#N/A</v>
      </c>
      <c r="C1285" s="496">
        <v>205</v>
      </c>
      <c r="D1285" s="41" t="e">
        <f ca="1">IF($C$1076&gt;0,VLOOKUP($C1285,COSTI!$U$4:$Z$1003,3,FALSE),IF($C$1075&gt;0,VLOOKUP($C1285,PATRIMONIALE!$U$4:$Z$1003,3,FALSE),IF($C$1074&gt;0,VLOOKUP($C1285,ENTI!$U$4:$Z$1003,3,FALSE),"")))</f>
        <v>#N/A</v>
      </c>
      <c r="E1285" s="41" t="str">
        <f t="shared" ca="1" si="190"/>
        <v/>
      </c>
      <c r="F1285" s="41" t="e">
        <f t="shared" ca="1" si="192"/>
        <v>#NUM!</v>
      </c>
      <c r="G1285" s="39" t="e">
        <f ca="1">IF($C$1076&gt;0,VLOOKUP($C1285,COSTI!$U$4:$Z$1003,5,FALSE),IF($C$1075&gt;0,VLOOKUP($C1285,PATRIMONIALE!$U$4:$Z$1003,5,FALSE),IF($C$1074&gt;0,VLOOKUP($C1285,ENTI!$U$4:$Z$1003,5,FALSE),"")))</f>
        <v>#N/A</v>
      </c>
      <c r="H1285" s="42" t="e">
        <f ca="1">IF($C$1076&gt;0,VLOOKUP($C1285,COSTI!$U$4:$Z$1003,6,FALSE),IF($C$1075&gt;0,VLOOKUP($C1285,PATRIMONIALE!$U$4:$Z$1003,6,FALSE),IF($C$1074&gt;0,VLOOKUP($C1285,ENTI!$U$4:$Z$1003,6,FALSE),"")))</f>
        <v>#N/A</v>
      </c>
      <c r="I1285" s="496">
        <v>205</v>
      </c>
      <c r="J1285" s="43" t="e">
        <f ca="1">VLOOKUP(D1285,$F$1081:$I$4183,4,FALSE)+COUNTIF(E$1081:E1284,E1285)</f>
        <v>#N/A</v>
      </c>
      <c r="K1285" s="1"/>
      <c r="L1285" s="39" t="e">
        <f>IF($C$1074&gt;0,VLOOKUP($C1285,ENTI!$U$4:$AD$1003,10,FALSE),"")</f>
        <v>#N/A</v>
      </c>
      <c r="M1285" s="1"/>
      <c r="N1285" s="1"/>
      <c r="O1285" s="1"/>
    </row>
    <row r="1286" spans="1:15" hidden="1">
      <c r="A1286" s="1"/>
      <c r="B1286" s="40" t="e">
        <f t="shared" ca="1" si="191"/>
        <v>#N/A</v>
      </c>
      <c r="C1286" s="496">
        <v>206</v>
      </c>
      <c r="D1286" s="41" t="e">
        <f ca="1">IF($C$1076&gt;0,VLOOKUP($C1286,COSTI!$U$4:$Z$1003,3,FALSE),IF($C$1075&gt;0,VLOOKUP($C1286,PATRIMONIALE!$U$4:$Z$1003,3,FALSE),IF($C$1074&gt;0,VLOOKUP($C1286,ENTI!$U$4:$Z$1003,3,FALSE),"")))</f>
        <v>#N/A</v>
      </c>
      <c r="E1286" s="41" t="str">
        <f t="shared" ca="1" si="190"/>
        <v/>
      </c>
      <c r="F1286" s="41" t="e">
        <f t="shared" ca="1" si="192"/>
        <v>#NUM!</v>
      </c>
      <c r="G1286" s="39" t="e">
        <f ca="1">IF($C$1076&gt;0,VLOOKUP($C1286,COSTI!$U$4:$Z$1003,5,FALSE),IF($C$1075&gt;0,VLOOKUP($C1286,PATRIMONIALE!$U$4:$Z$1003,5,FALSE),IF($C$1074&gt;0,VLOOKUP($C1286,ENTI!$U$4:$Z$1003,5,FALSE),"")))</f>
        <v>#N/A</v>
      </c>
      <c r="H1286" s="42" t="e">
        <f ca="1">IF($C$1076&gt;0,VLOOKUP($C1286,COSTI!$U$4:$Z$1003,6,FALSE),IF($C$1075&gt;0,VLOOKUP($C1286,PATRIMONIALE!$U$4:$Z$1003,6,FALSE),IF($C$1074&gt;0,VLOOKUP($C1286,ENTI!$U$4:$Z$1003,6,FALSE),"")))</f>
        <v>#N/A</v>
      </c>
      <c r="I1286" s="496">
        <v>206</v>
      </c>
      <c r="J1286" s="43" t="e">
        <f ca="1">VLOOKUP(D1286,$F$1081:$I$4183,4,FALSE)+COUNTIF(E$1081:E1285,E1286)</f>
        <v>#N/A</v>
      </c>
      <c r="K1286" s="1"/>
      <c r="L1286" s="39" t="e">
        <f>IF($C$1074&gt;0,VLOOKUP($C1286,ENTI!$U$4:$AD$1003,10,FALSE),"")</f>
        <v>#N/A</v>
      </c>
      <c r="M1286" s="1"/>
      <c r="N1286" s="1"/>
      <c r="O1286" s="1"/>
    </row>
    <row r="1287" spans="1:15" hidden="1">
      <c r="A1287" s="1"/>
      <c r="B1287" s="40" t="e">
        <f t="shared" ca="1" si="191"/>
        <v>#N/A</v>
      </c>
      <c r="C1287" s="496">
        <v>207</v>
      </c>
      <c r="D1287" s="41" t="e">
        <f ca="1">IF($C$1076&gt;0,VLOOKUP($C1287,COSTI!$U$4:$Z$1003,3,FALSE),IF($C$1075&gt;0,VLOOKUP($C1287,PATRIMONIALE!$U$4:$Z$1003,3,FALSE),IF($C$1074&gt;0,VLOOKUP($C1287,ENTI!$U$4:$Z$1003,3,FALSE),"")))</f>
        <v>#N/A</v>
      </c>
      <c r="E1287" s="41" t="str">
        <f t="shared" ca="1" si="190"/>
        <v/>
      </c>
      <c r="F1287" s="41" t="e">
        <f t="shared" ca="1" si="192"/>
        <v>#NUM!</v>
      </c>
      <c r="G1287" s="39" t="e">
        <f ca="1">IF($C$1076&gt;0,VLOOKUP($C1287,COSTI!$U$4:$Z$1003,5,FALSE),IF($C$1075&gt;0,VLOOKUP($C1287,PATRIMONIALE!$U$4:$Z$1003,5,FALSE),IF($C$1074&gt;0,VLOOKUP($C1287,ENTI!$U$4:$Z$1003,5,FALSE),"")))</f>
        <v>#N/A</v>
      </c>
      <c r="H1287" s="42" t="e">
        <f ca="1">IF($C$1076&gt;0,VLOOKUP($C1287,COSTI!$U$4:$Z$1003,6,FALSE),IF($C$1075&gt;0,VLOOKUP($C1287,PATRIMONIALE!$U$4:$Z$1003,6,FALSE),IF($C$1074&gt;0,VLOOKUP($C1287,ENTI!$U$4:$Z$1003,6,FALSE),"")))</f>
        <v>#N/A</v>
      </c>
      <c r="I1287" s="496">
        <v>207</v>
      </c>
      <c r="J1287" s="43" t="e">
        <f ca="1">VLOOKUP(D1287,$F$1081:$I$4183,4,FALSE)+COUNTIF(E$1081:E1286,E1287)</f>
        <v>#N/A</v>
      </c>
      <c r="K1287" s="1"/>
      <c r="L1287" s="39" t="e">
        <f>IF($C$1074&gt;0,VLOOKUP($C1287,ENTI!$U$4:$AD$1003,10,FALSE),"")</f>
        <v>#N/A</v>
      </c>
      <c r="M1287" s="1"/>
      <c r="N1287" s="1"/>
      <c r="O1287" s="1"/>
    </row>
    <row r="1288" spans="1:15" hidden="1">
      <c r="A1288" s="1"/>
      <c r="B1288" s="40" t="e">
        <f t="shared" ca="1" si="191"/>
        <v>#N/A</v>
      </c>
      <c r="C1288" s="496">
        <v>208</v>
      </c>
      <c r="D1288" s="41" t="e">
        <f ca="1">IF($C$1076&gt;0,VLOOKUP($C1288,COSTI!$U$4:$Z$1003,3,FALSE),IF($C$1075&gt;0,VLOOKUP($C1288,PATRIMONIALE!$U$4:$Z$1003,3,FALSE),IF($C$1074&gt;0,VLOOKUP($C1288,ENTI!$U$4:$Z$1003,3,FALSE),"")))</f>
        <v>#N/A</v>
      </c>
      <c r="E1288" s="41" t="str">
        <f t="shared" ca="1" si="190"/>
        <v/>
      </c>
      <c r="F1288" s="41" t="e">
        <f t="shared" ca="1" si="192"/>
        <v>#NUM!</v>
      </c>
      <c r="G1288" s="39" t="e">
        <f ca="1">IF($C$1076&gt;0,VLOOKUP($C1288,COSTI!$U$4:$Z$1003,5,FALSE),IF($C$1075&gt;0,VLOOKUP($C1288,PATRIMONIALE!$U$4:$Z$1003,5,FALSE),IF($C$1074&gt;0,VLOOKUP($C1288,ENTI!$U$4:$Z$1003,5,FALSE),"")))</f>
        <v>#N/A</v>
      </c>
      <c r="H1288" s="42" t="e">
        <f ca="1">IF($C$1076&gt;0,VLOOKUP($C1288,COSTI!$U$4:$Z$1003,6,FALSE),IF($C$1075&gt;0,VLOOKUP($C1288,PATRIMONIALE!$U$4:$Z$1003,6,FALSE),IF($C$1074&gt;0,VLOOKUP($C1288,ENTI!$U$4:$Z$1003,6,FALSE),"")))</f>
        <v>#N/A</v>
      </c>
      <c r="I1288" s="496">
        <v>208</v>
      </c>
      <c r="J1288" s="43" t="e">
        <f ca="1">VLOOKUP(D1288,$F$1081:$I$4183,4,FALSE)+COUNTIF(E$1081:E1287,E1288)</f>
        <v>#N/A</v>
      </c>
      <c r="K1288" s="1"/>
      <c r="L1288" s="39" t="e">
        <f>IF($C$1074&gt;0,VLOOKUP($C1288,ENTI!$U$4:$AD$1003,10,FALSE),"")</f>
        <v>#N/A</v>
      </c>
      <c r="M1288" s="1"/>
      <c r="N1288" s="1"/>
      <c r="O1288" s="1"/>
    </row>
    <row r="1289" spans="1:15" hidden="1">
      <c r="A1289" s="1"/>
      <c r="B1289" s="40" t="e">
        <f t="shared" ca="1" si="191"/>
        <v>#N/A</v>
      </c>
      <c r="C1289" s="496">
        <v>209</v>
      </c>
      <c r="D1289" s="41" t="e">
        <f ca="1">IF($C$1076&gt;0,VLOOKUP($C1289,COSTI!$U$4:$Z$1003,3,FALSE),IF($C$1075&gt;0,VLOOKUP($C1289,PATRIMONIALE!$U$4:$Z$1003,3,FALSE),IF($C$1074&gt;0,VLOOKUP($C1289,ENTI!$U$4:$Z$1003,3,FALSE),"")))</f>
        <v>#N/A</v>
      </c>
      <c r="E1289" s="41" t="str">
        <f t="shared" ca="1" si="190"/>
        <v/>
      </c>
      <c r="F1289" s="41" t="e">
        <f t="shared" ca="1" si="192"/>
        <v>#NUM!</v>
      </c>
      <c r="G1289" s="39" t="e">
        <f ca="1">IF($C$1076&gt;0,VLOOKUP($C1289,COSTI!$U$4:$Z$1003,5,FALSE),IF($C$1075&gt;0,VLOOKUP($C1289,PATRIMONIALE!$U$4:$Z$1003,5,FALSE),IF($C$1074&gt;0,VLOOKUP($C1289,ENTI!$U$4:$Z$1003,5,FALSE),"")))</f>
        <v>#N/A</v>
      </c>
      <c r="H1289" s="42" t="e">
        <f ca="1">IF($C$1076&gt;0,VLOOKUP($C1289,COSTI!$U$4:$Z$1003,6,FALSE),IF($C$1075&gt;0,VLOOKUP($C1289,PATRIMONIALE!$U$4:$Z$1003,6,FALSE),IF($C$1074&gt;0,VLOOKUP($C1289,ENTI!$U$4:$Z$1003,6,FALSE),"")))</f>
        <v>#N/A</v>
      </c>
      <c r="I1289" s="496">
        <v>209</v>
      </c>
      <c r="J1289" s="43" t="e">
        <f ca="1">VLOOKUP(D1289,$F$1081:$I$4183,4,FALSE)+COUNTIF(E$1081:E1288,E1289)</f>
        <v>#N/A</v>
      </c>
      <c r="K1289" s="1"/>
      <c r="L1289" s="39" t="e">
        <f>IF($C$1074&gt;0,VLOOKUP($C1289,ENTI!$U$4:$AD$1003,10,FALSE),"")</f>
        <v>#N/A</v>
      </c>
      <c r="M1289" s="1"/>
      <c r="N1289" s="1"/>
      <c r="O1289" s="1"/>
    </row>
    <row r="1290" spans="1:15" hidden="1">
      <c r="A1290" s="1"/>
      <c r="B1290" s="40" t="e">
        <f t="shared" ca="1" si="191"/>
        <v>#N/A</v>
      </c>
      <c r="C1290" s="496">
        <v>210</v>
      </c>
      <c r="D1290" s="41" t="e">
        <f ca="1">IF($C$1076&gt;0,VLOOKUP($C1290,COSTI!$U$4:$Z$1003,3,FALSE),IF($C$1075&gt;0,VLOOKUP($C1290,PATRIMONIALE!$U$4:$Z$1003,3,FALSE),IF($C$1074&gt;0,VLOOKUP($C1290,ENTI!$U$4:$Z$1003,3,FALSE),"")))</f>
        <v>#N/A</v>
      </c>
      <c r="E1290" s="41" t="str">
        <f t="shared" ca="1" si="190"/>
        <v/>
      </c>
      <c r="F1290" s="41" t="e">
        <f t="shared" ca="1" si="192"/>
        <v>#NUM!</v>
      </c>
      <c r="G1290" s="39" t="e">
        <f ca="1">IF($C$1076&gt;0,VLOOKUP($C1290,COSTI!$U$4:$Z$1003,5,FALSE),IF($C$1075&gt;0,VLOOKUP($C1290,PATRIMONIALE!$U$4:$Z$1003,5,FALSE),IF($C$1074&gt;0,VLOOKUP($C1290,ENTI!$U$4:$Z$1003,5,FALSE),"")))</f>
        <v>#N/A</v>
      </c>
      <c r="H1290" s="42" t="e">
        <f ca="1">IF($C$1076&gt;0,VLOOKUP($C1290,COSTI!$U$4:$Z$1003,6,FALSE),IF($C$1075&gt;0,VLOOKUP($C1290,PATRIMONIALE!$U$4:$Z$1003,6,FALSE),IF($C$1074&gt;0,VLOOKUP($C1290,ENTI!$U$4:$Z$1003,6,FALSE),"")))</f>
        <v>#N/A</v>
      </c>
      <c r="I1290" s="496">
        <v>210</v>
      </c>
      <c r="J1290" s="43" t="e">
        <f ca="1">VLOOKUP(D1290,$F$1081:$I$4183,4,FALSE)+COUNTIF(E$1081:E1289,E1290)</f>
        <v>#N/A</v>
      </c>
      <c r="K1290" s="1"/>
      <c r="L1290" s="39" t="e">
        <f>IF($C$1074&gt;0,VLOOKUP($C1290,ENTI!$U$4:$AD$1003,10,FALSE),"")</f>
        <v>#N/A</v>
      </c>
      <c r="M1290" s="1"/>
      <c r="N1290" s="1"/>
      <c r="O1290" s="1"/>
    </row>
    <row r="1291" spans="1:15" hidden="1">
      <c r="A1291" s="1"/>
      <c r="B1291" s="40" t="e">
        <f t="shared" ca="1" si="191"/>
        <v>#N/A</v>
      </c>
      <c r="C1291" s="496">
        <v>211</v>
      </c>
      <c r="D1291" s="41" t="e">
        <f ca="1">IF($C$1076&gt;0,VLOOKUP($C1291,COSTI!$U$4:$Z$1003,3,FALSE),IF($C$1075&gt;0,VLOOKUP($C1291,PATRIMONIALE!$U$4:$Z$1003,3,FALSE),IF($C$1074&gt;0,VLOOKUP($C1291,ENTI!$U$4:$Z$1003,3,FALSE),"")))</f>
        <v>#N/A</v>
      </c>
      <c r="E1291" s="41" t="str">
        <f t="shared" ca="1" si="190"/>
        <v/>
      </c>
      <c r="F1291" s="41" t="e">
        <f t="shared" ca="1" si="192"/>
        <v>#NUM!</v>
      </c>
      <c r="G1291" s="39" t="e">
        <f ca="1">IF($C$1076&gt;0,VLOOKUP($C1291,COSTI!$U$4:$Z$1003,5,FALSE),IF($C$1075&gt;0,VLOOKUP($C1291,PATRIMONIALE!$U$4:$Z$1003,5,FALSE),IF($C$1074&gt;0,VLOOKUP($C1291,ENTI!$U$4:$Z$1003,5,FALSE),"")))</f>
        <v>#N/A</v>
      </c>
      <c r="H1291" s="42" t="e">
        <f ca="1">IF($C$1076&gt;0,VLOOKUP($C1291,COSTI!$U$4:$Z$1003,6,FALSE),IF($C$1075&gt;0,VLOOKUP($C1291,PATRIMONIALE!$U$4:$Z$1003,6,FALSE),IF($C$1074&gt;0,VLOOKUP($C1291,ENTI!$U$4:$Z$1003,6,FALSE),"")))</f>
        <v>#N/A</v>
      </c>
      <c r="I1291" s="496">
        <v>211</v>
      </c>
      <c r="J1291" s="43" t="e">
        <f ca="1">VLOOKUP(D1291,$F$1081:$I$4183,4,FALSE)+COUNTIF(E$1081:E1290,E1291)</f>
        <v>#N/A</v>
      </c>
      <c r="K1291" s="1"/>
      <c r="L1291" s="39" t="e">
        <f>IF($C$1074&gt;0,VLOOKUP($C1291,ENTI!$U$4:$AD$1003,10,FALSE),"")</f>
        <v>#N/A</v>
      </c>
      <c r="M1291" s="1"/>
      <c r="N1291" s="1"/>
      <c r="O1291" s="1"/>
    </row>
    <row r="1292" spans="1:15" hidden="1">
      <c r="A1292" s="1"/>
      <c r="B1292" s="40" t="e">
        <f t="shared" ca="1" si="191"/>
        <v>#N/A</v>
      </c>
      <c r="C1292" s="496">
        <v>212</v>
      </c>
      <c r="D1292" s="41" t="e">
        <f ca="1">IF($C$1076&gt;0,VLOOKUP($C1292,COSTI!$U$4:$Z$1003,3,FALSE),IF($C$1075&gt;0,VLOOKUP($C1292,PATRIMONIALE!$U$4:$Z$1003,3,FALSE),IF($C$1074&gt;0,VLOOKUP($C1292,ENTI!$U$4:$Z$1003,3,FALSE),"")))</f>
        <v>#N/A</v>
      </c>
      <c r="E1292" s="41" t="str">
        <f t="shared" ca="1" si="190"/>
        <v/>
      </c>
      <c r="F1292" s="41" t="e">
        <f t="shared" ca="1" si="192"/>
        <v>#NUM!</v>
      </c>
      <c r="G1292" s="39" t="e">
        <f ca="1">IF($C$1076&gt;0,VLOOKUP($C1292,COSTI!$U$4:$Z$1003,5,FALSE),IF($C$1075&gt;0,VLOOKUP($C1292,PATRIMONIALE!$U$4:$Z$1003,5,FALSE),IF($C$1074&gt;0,VLOOKUP($C1292,ENTI!$U$4:$Z$1003,5,FALSE),"")))</f>
        <v>#N/A</v>
      </c>
      <c r="H1292" s="42" t="e">
        <f ca="1">IF($C$1076&gt;0,VLOOKUP($C1292,COSTI!$U$4:$Z$1003,6,FALSE),IF($C$1075&gt;0,VLOOKUP($C1292,PATRIMONIALE!$U$4:$Z$1003,6,FALSE),IF($C$1074&gt;0,VLOOKUP($C1292,ENTI!$U$4:$Z$1003,6,FALSE),"")))</f>
        <v>#N/A</v>
      </c>
      <c r="I1292" s="496">
        <v>212</v>
      </c>
      <c r="J1292" s="43" t="e">
        <f ca="1">VLOOKUP(D1292,$F$1081:$I$4183,4,FALSE)+COUNTIF(E$1081:E1291,E1292)</f>
        <v>#N/A</v>
      </c>
      <c r="K1292" s="1"/>
      <c r="L1292" s="39" t="e">
        <f>IF($C$1074&gt;0,VLOOKUP($C1292,ENTI!$U$4:$AD$1003,10,FALSE),"")</f>
        <v>#N/A</v>
      </c>
      <c r="M1292" s="1"/>
      <c r="N1292" s="1"/>
      <c r="O1292" s="1"/>
    </row>
    <row r="1293" spans="1:15" hidden="1">
      <c r="A1293" s="1"/>
      <c r="B1293" s="40" t="e">
        <f t="shared" ca="1" si="191"/>
        <v>#N/A</v>
      </c>
      <c r="C1293" s="496">
        <v>213</v>
      </c>
      <c r="D1293" s="41" t="e">
        <f ca="1">IF($C$1076&gt;0,VLOOKUP($C1293,COSTI!$U$4:$Z$1003,3,FALSE),IF($C$1075&gt;0,VLOOKUP($C1293,PATRIMONIALE!$U$4:$Z$1003,3,FALSE),IF($C$1074&gt;0,VLOOKUP($C1293,ENTI!$U$4:$Z$1003,3,FALSE),"")))</f>
        <v>#N/A</v>
      </c>
      <c r="E1293" s="41" t="str">
        <f t="shared" ca="1" si="190"/>
        <v/>
      </c>
      <c r="F1293" s="41" t="e">
        <f t="shared" ca="1" si="192"/>
        <v>#NUM!</v>
      </c>
      <c r="G1293" s="39" t="e">
        <f ca="1">IF($C$1076&gt;0,VLOOKUP($C1293,COSTI!$U$4:$Z$1003,5,FALSE),IF($C$1075&gt;0,VLOOKUP($C1293,PATRIMONIALE!$U$4:$Z$1003,5,FALSE),IF($C$1074&gt;0,VLOOKUP($C1293,ENTI!$U$4:$Z$1003,5,FALSE),"")))</f>
        <v>#N/A</v>
      </c>
      <c r="H1293" s="42" t="e">
        <f ca="1">IF($C$1076&gt;0,VLOOKUP($C1293,COSTI!$U$4:$Z$1003,6,FALSE),IF($C$1075&gt;0,VLOOKUP($C1293,PATRIMONIALE!$U$4:$Z$1003,6,FALSE),IF($C$1074&gt;0,VLOOKUP($C1293,ENTI!$U$4:$Z$1003,6,FALSE),"")))</f>
        <v>#N/A</v>
      </c>
      <c r="I1293" s="496">
        <v>213</v>
      </c>
      <c r="J1293" s="43" t="e">
        <f ca="1">VLOOKUP(D1293,$F$1081:$I$4183,4,FALSE)+COUNTIF(E$1081:E1292,E1293)</f>
        <v>#N/A</v>
      </c>
      <c r="K1293" s="1"/>
      <c r="L1293" s="39" t="e">
        <f>IF($C$1074&gt;0,VLOOKUP($C1293,ENTI!$U$4:$AD$1003,10,FALSE),"")</f>
        <v>#N/A</v>
      </c>
      <c r="M1293" s="1"/>
      <c r="N1293" s="1"/>
      <c r="O1293" s="1"/>
    </row>
    <row r="1294" spans="1:15" hidden="1">
      <c r="A1294" s="1"/>
      <c r="B1294" s="40" t="e">
        <f t="shared" ca="1" si="191"/>
        <v>#N/A</v>
      </c>
      <c r="C1294" s="496">
        <v>214</v>
      </c>
      <c r="D1294" s="41" t="e">
        <f ca="1">IF($C$1076&gt;0,VLOOKUP($C1294,COSTI!$U$4:$Z$1003,3,FALSE),IF($C$1075&gt;0,VLOOKUP($C1294,PATRIMONIALE!$U$4:$Z$1003,3,FALSE),IF($C$1074&gt;0,VLOOKUP($C1294,ENTI!$U$4:$Z$1003,3,FALSE),"")))</f>
        <v>#N/A</v>
      </c>
      <c r="E1294" s="41" t="str">
        <f t="shared" ca="1" si="190"/>
        <v/>
      </c>
      <c r="F1294" s="41" t="e">
        <f t="shared" ca="1" si="192"/>
        <v>#NUM!</v>
      </c>
      <c r="G1294" s="39" t="e">
        <f ca="1">IF($C$1076&gt;0,VLOOKUP($C1294,COSTI!$U$4:$Z$1003,5,FALSE),IF($C$1075&gt;0,VLOOKUP($C1294,PATRIMONIALE!$U$4:$Z$1003,5,FALSE),IF($C$1074&gt;0,VLOOKUP($C1294,ENTI!$U$4:$Z$1003,5,FALSE),"")))</f>
        <v>#N/A</v>
      </c>
      <c r="H1294" s="42" t="e">
        <f ca="1">IF($C$1076&gt;0,VLOOKUP($C1294,COSTI!$U$4:$Z$1003,6,FALSE),IF($C$1075&gt;0,VLOOKUP($C1294,PATRIMONIALE!$U$4:$Z$1003,6,FALSE),IF($C$1074&gt;0,VLOOKUP($C1294,ENTI!$U$4:$Z$1003,6,FALSE),"")))</f>
        <v>#N/A</v>
      </c>
      <c r="I1294" s="496">
        <v>214</v>
      </c>
      <c r="J1294" s="43" t="e">
        <f ca="1">VLOOKUP(D1294,$F$1081:$I$4183,4,FALSE)+COUNTIF(E$1081:E1293,E1294)</f>
        <v>#N/A</v>
      </c>
      <c r="K1294" s="1"/>
      <c r="L1294" s="39" t="e">
        <f>IF($C$1074&gt;0,VLOOKUP($C1294,ENTI!$U$4:$AD$1003,10,FALSE),"")</f>
        <v>#N/A</v>
      </c>
      <c r="M1294" s="1"/>
      <c r="N1294" s="1"/>
      <c r="O1294" s="1"/>
    </row>
    <row r="1295" spans="1:15" hidden="1">
      <c r="A1295" s="1"/>
      <c r="B1295" s="40" t="e">
        <f t="shared" ca="1" si="191"/>
        <v>#N/A</v>
      </c>
      <c r="C1295" s="496">
        <v>215</v>
      </c>
      <c r="D1295" s="41" t="e">
        <f ca="1">IF($C$1076&gt;0,VLOOKUP($C1295,COSTI!$U$4:$Z$1003,3,FALSE),IF($C$1075&gt;0,VLOOKUP($C1295,PATRIMONIALE!$U$4:$Z$1003,3,FALSE),IF($C$1074&gt;0,VLOOKUP($C1295,ENTI!$U$4:$Z$1003,3,FALSE),"")))</f>
        <v>#N/A</v>
      </c>
      <c r="E1295" s="41" t="str">
        <f t="shared" ca="1" si="190"/>
        <v/>
      </c>
      <c r="F1295" s="41" t="e">
        <f t="shared" ca="1" si="192"/>
        <v>#NUM!</v>
      </c>
      <c r="G1295" s="39" t="e">
        <f ca="1">IF($C$1076&gt;0,VLOOKUP($C1295,COSTI!$U$4:$Z$1003,5,FALSE),IF($C$1075&gt;0,VLOOKUP($C1295,PATRIMONIALE!$U$4:$Z$1003,5,FALSE),IF($C$1074&gt;0,VLOOKUP($C1295,ENTI!$U$4:$Z$1003,5,FALSE),"")))</f>
        <v>#N/A</v>
      </c>
      <c r="H1295" s="42" t="e">
        <f ca="1">IF($C$1076&gt;0,VLOOKUP($C1295,COSTI!$U$4:$Z$1003,6,FALSE),IF($C$1075&gt;0,VLOOKUP($C1295,PATRIMONIALE!$U$4:$Z$1003,6,FALSE),IF($C$1074&gt;0,VLOOKUP($C1295,ENTI!$U$4:$Z$1003,6,FALSE),"")))</f>
        <v>#N/A</v>
      </c>
      <c r="I1295" s="496">
        <v>215</v>
      </c>
      <c r="J1295" s="43" t="e">
        <f ca="1">VLOOKUP(D1295,$F$1081:$I$4183,4,FALSE)+COUNTIF(E$1081:E1294,E1295)</f>
        <v>#N/A</v>
      </c>
      <c r="K1295" s="1"/>
      <c r="L1295" s="39" t="e">
        <f>IF($C$1074&gt;0,VLOOKUP($C1295,ENTI!$U$4:$AD$1003,10,FALSE),"")</f>
        <v>#N/A</v>
      </c>
      <c r="M1295" s="1"/>
      <c r="N1295" s="1"/>
      <c r="O1295" s="1"/>
    </row>
    <row r="1296" spans="1:15" hidden="1">
      <c r="A1296" s="1"/>
      <c r="B1296" s="40" t="e">
        <f t="shared" ca="1" si="191"/>
        <v>#N/A</v>
      </c>
      <c r="C1296" s="496">
        <v>216</v>
      </c>
      <c r="D1296" s="41" t="e">
        <f ca="1">IF($C$1076&gt;0,VLOOKUP($C1296,COSTI!$U$4:$Z$1003,3,FALSE),IF($C$1075&gt;0,VLOOKUP($C1296,PATRIMONIALE!$U$4:$Z$1003,3,FALSE),IF($C$1074&gt;0,VLOOKUP($C1296,ENTI!$U$4:$Z$1003,3,FALSE),"")))</f>
        <v>#N/A</v>
      </c>
      <c r="E1296" s="41" t="str">
        <f t="shared" ca="1" si="190"/>
        <v/>
      </c>
      <c r="F1296" s="41" t="e">
        <f t="shared" ca="1" si="192"/>
        <v>#NUM!</v>
      </c>
      <c r="G1296" s="39" t="e">
        <f ca="1">IF($C$1076&gt;0,VLOOKUP($C1296,COSTI!$U$4:$Z$1003,5,FALSE),IF($C$1075&gt;0,VLOOKUP($C1296,PATRIMONIALE!$U$4:$Z$1003,5,FALSE),IF($C$1074&gt;0,VLOOKUP($C1296,ENTI!$U$4:$Z$1003,5,FALSE),"")))</f>
        <v>#N/A</v>
      </c>
      <c r="H1296" s="42" t="e">
        <f ca="1">IF($C$1076&gt;0,VLOOKUP($C1296,COSTI!$U$4:$Z$1003,6,FALSE),IF($C$1075&gt;0,VLOOKUP($C1296,PATRIMONIALE!$U$4:$Z$1003,6,FALSE),IF($C$1074&gt;0,VLOOKUP($C1296,ENTI!$U$4:$Z$1003,6,FALSE),"")))</f>
        <v>#N/A</v>
      </c>
      <c r="I1296" s="496">
        <v>216</v>
      </c>
      <c r="J1296" s="43" t="e">
        <f ca="1">VLOOKUP(D1296,$F$1081:$I$4183,4,FALSE)+COUNTIF(E$1081:E1295,E1296)</f>
        <v>#N/A</v>
      </c>
      <c r="K1296" s="1"/>
      <c r="L1296" s="39" t="e">
        <f>IF($C$1074&gt;0,VLOOKUP($C1296,ENTI!$U$4:$AD$1003,10,FALSE),"")</f>
        <v>#N/A</v>
      </c>
      <c r="M1296" s="1"/>
      <c r="N1296" s="1"/>
      <c r="O1296" s="1"/>
    </row>
    <row r="1297" spans="1:15" hidden="1">
      <c r="A1297" s="1"/>
      <c r="B1297" s="40" t="e">
        <f t="shared" ca="1" si="191"/>
        <v>#N/A</v>
      </c>
      <c r="C1297" s="496">
        <v>217</v>
      </c>
      <c r="D1297" s="41" t="e">
        <f ca="1">IF($C$1076&gt;0,VLOOKUP($C1297,COSTI!$U$4:$Z$1003,3,FALSE),IF($C$1075&gt;0,VLOOKUP($C1297,PATRIMONIALE!$U$4:$Z$1003,3,FALSE),IF($C$1074&gt;0,VLOOKUP($C1297,ENTI!$U$4:$Z$1003,3,FALSE),"")))</f>
        <v>#N/A</v>
      </c>
      <c r="E1297" s="41" t="str">
        <f t="shared" ca="1" si="190"/>
        <v/>
      </c>
      <c r="F1297" s="41" t="e">
        <f t="shared" ca="1" si="192"/>
        <v>#NUM!</v>
      </c>
      <c r="G1297" s="39" t="e">
        <f ca="1">IF($C$1076&gt;0,VLOOKUP($C1297,COSTI!$U$4:$Z$1003,5,FALSE),IF($C$1075&gt;0,VLOOKUP($C1297,PATRIMONIALE!$U$4:$Z$1003,5,FALSE),IF($C$1074&gt;0,VLOOKUP($C1297,ENTI!$U$4:$Z$1003,5,FALSE),"")))</f>
        <v>#N/A</v>
      </c>
      <c r="H1297" s="42" t="e">
        <f ca="1">IF($C$1076&gt;0,VLOOKUP($C1297,COSTI!$U$4:$Z$1003,6,FALSE),IF($C$1075&gt;0,VLOOKUP($C1297,PATRIMONIALE!$U$4:$Z$1003,6,FALSE),IF($C$1074&gt;0,VLOOKUP($C1297,ENTI!$U$4:$Z$1003,6,FALSE),"")))</f>
        <v>#N/A</v>
      </c>
      <c r="I1297" s="496">
        <v>217</v>
      </c>
      <c r="J1297" s="43" t="e">
        <f ca="1">VLOOKUP(D1297,$F$1081:$I$4183,4,FALSE)+COUNTIF(E$1081:E1296,E1297)</f>
        <v>#N/A</v>
      </c>
      <c r="K1297" s="1"/>
      <c r="L1297" s="39" t="e">
        <f>IF($C$1074&gt;0,VLOOKUP($C1297,ENTI!$U$4:$AD$1003,10,FALSE),"")</f>
        <v>#N/A</v>
      </c>
      <c r="M1297" s="1"/>
      <c r="N1297" s="1"/>
      <c r="O1297" s="1"/>
    </row>
    <row r="1298" spans="1:15" hidden="1">
      <c r="A1298" s="1"/>
      <c r="B1298" s="40" t="e">
        <f t="shared" ca="1" si="191"/>
        <v>#N/A</v>
      </c>
      <c r="C1298" s="496">
        <v>218</v>
      </c>
      <c r="D1298" s="41" t="e">
        <f ca="1">IF($C$1076&gt;0,VLOOKUP($C1298,COSTI!$U$4:$Z$1003,3,FALSE),IF($C$1075&gt;0,VLOOKUP($C1298,PATRIMONIALE!$U$4:$Z$1003,3,FALSE),IF($C$1074&gt;0,VLOOKUP($C1298,ENTI!$U$4:$Z$1003,3,FALSE),"")))</f>
        <v>#N/A</v>
      </c>
      <c r="E1298" s="41" t="str">
        <f t="shared" ca="1" si="190"/>
        <v/>
      </c>
      <c r="F1298" s="41" t="e">
        <f t="shared" ca="1" si="192"/>
        <v>#NUM!</v>
      </c>
      <c r="G1298" s="39" t="e">
        <f ca="1">IF($C$1076&gt;0,VLOOKUP($C1298,COSTI!$U$4:$Z$1003,5,FALSE),IF($C$1075&gt;0,VLOOKUP($C1298,PATRIMONIALE!$U$4:$Z$1003,5,FALSE),IF($C$1074&gt;0,VLOOKUP($C1298,ENTI!$U$4:$Z$1003,5,FALSE),"")))</f>
        <v>#N/A</v>
      </c>
      <c r="H1298" s="42" t="e">
        <f ca="1">IF($C$1076&gt;0,VLOOKUP($C1298,COSTI!$U$4:$Z$1003,6,FALSE),IF($C$1075&gt;0,VLOOKUP($C1298,PATRIMONIALE!$U$4:$Z$1003,6,FALSE),IF($C$1074&gt;0,VLOOKUP($C1298,ENTI!$U$4:$Z$1003,6,FALSE),"")))</f>
        <v>#N/A</v>
      </c>
      <c r="I1298" s="496">
        <v>218</v>
      </c>
      <c r="J1298" s="43" t="e">
        <f ca="1">VLOOKUP(D1298,$F$1081:$I$4183,4,FALSE)+COUNTIF(E$1081:E1297,E1298)</f>
        <v>#N/A</v>
      </c>
      <c r="K1298" s="1"/>
      <c r="L1298" s="39" t="e">
        <f>IF($C$1074&gt;0,VLOOKUP($C1298,ENTI!$U$4:$AD$1003,10,FALSE),"")</f>
        <v>#N/A</v>
      </c>
      <c r="M1298" s="1"/>
      <c r="N1298" s="1"/>
      <c r="O1298" s="1"/>
    </row>
    <row r="1299" spans="1:15" hidden="1">
      <c r="A1299" s="1"/>
      <c r="B1299" s="40" t="e">
        <f t="shared" ca="1" si="191"/>
        <v>#N/A</v>
      </c>
      <c r="C1299" s="496">
        <v>219</v>
      </c>
      <c r="D1299" s="41" t="e">
        <f ca="1">IF($C$1076&gt;0,VLOOKUP($C1299,COSTI!$U$4:$Z$1003,3,FALSE),IF($C$1075&gt;0,VLOOKUP($C1299,PATRIMONIALE!$U$4:$Z$1003,3,FALSE),IF($C$1074&gt;0,VLOOKUP($C1299,ENTI!$U$4:$Z$1003,3,FALSE),"")))</f>
        <v>#N/A</v>
      </c>
      <c r="E1299" s="41" t="str">
        <f t="shared" ca="1" si="190"/>
        <v/>
      </c>
      <c r="F1299" s="41" t="e">
        <f t="shared" ca="1" si="192"/>
        <v>#NUM!</v>
      </c>
      <c r="G1299" s="39" t="e">
        <f ca="1">IF($C$1076&gt;0,VLOOKUP($C1299,COSTI!$U$4:$Z$1003,5,FALSE),IF($C$1075&gt;0,VLOOKUP($C1299,PATRIMONIALE!$U$4:$Z$1003,5,FALSE),IF($C$1074&gt;0,VLOOKUP($C1299,ENTI!$U$4:$Z$1003,5,FALSE),"")))</f>
        <v>#N/A</v>
      </c>
      <c r="H1299" s="42" t="e">
        <f ca="1">IF($C$1076&gt;0,VLOOKUP($C1299,COSTI!$U$4:$Z$1003,6,FALSE),IF($C$1075&gt;0,VLOOKUP($C1299,PATRIMONIALE!$U$4:$Z$1003,6,FALSE),IF($C$1074&gt;0,VLOOKUP($C1299,ENTI!$U$4:$Z$1003,6,FALSE),"")))</f>
        <v>#N/A</v>
      </c>
      <c r="I1299" s="496">
        <v>219</v>
      </c>
      <c r="J1299" s="43" t="e">
        <f ca="1">VLOOKUP(D1299,$F$1081:$I$4183,4,FALSE)+COUNTIF(E$1081:E1298,E1299)</f>
        <v>#N/A</v>
      </c>
      <c r="K1299" s="1"/>
      <c r="L1299" s="39" t="e">
        <f>IF($C$1074&gt;0,VLOOKUP($C1299,ENTI!$U$4:$AD$1003,10,FALSE),"")</f>
        <v>#N/A</v>
      </c>
      <c r="M1299" s="1"/>
      <c r="N1299" s="1"/>
      <c r="O1299" s="1"/>
    </row>
    <row r="1300" spans="1:15" hidden="1">
      <c r="A1300" s="1"/>
      <c r="B1300" s="40" t="e">
        <f t="shared" ca="1" si="191"/>
        <v>#N/A</v>
      </c>
      <c r="C1300" s="496">
        <v>220</v>
      </c>
      <c r="D1300" s="41" t="e">
        <f ca="1">IF($C$1076&gt;0,VLOOKUP($C1300,COSTI!$U$4:$Z$1003,3,FALSE),IF($C$1075&gt;0,VLOOKUP($C1300,PATRIMONIALE!$U$4:$Z$1003,3,FALSE),IF($C$1074&gt;0,VLOOKUP($C1300,ENTI!$U$4:$Z$1003,3,FALSE),"")))</f>
        <v>#N/A</v>
      </c>
      <c r="E1300" s="41" t="str">
        <f t="shared" ca="1" si="190"/>
        <v/>
      </c>
      <c r="F1300" s="41" t="e">
        <f t="shared" ca="1" si="192"/>
        <v>#NUM!</v>
      </c>
      <c r="G1300" s="39" t="e">
        <f ca="1">IF($C$1076&gt;0,VLOOKUP($C1300,COSTI!$U$4:$Z$1003,5,FALSE),IF($C$1075&gt;0,VLOOKUP($C1300,PATRIMONIALE!$U$4:$Z$1003,5,FALSE),IF($C$1074&gt;0,VLOOKUP($C1300,ENTI!$U$4:$Z$1003,5,FALSE),"")))</f>
        <v>#N/A</v>
      </c>
      <c r="H1300" s="42" t="e">
        <f ca="1">IF($C$1076&gt;0,VLOOKUP($C1300,COSTI!$U$4:$Z$1003,6,FALSE),IF($C$1075&gt;0,VLOOKUP($C1300,PATRIMONIALE!$U$4:$Z$1003,6,FALSE),IF($C$1074&gt;0,VLOOKUP($C1300,ENTI!$U$4:$Z$1003,6,FALSE),"")))</f>
        <v>#N/A</v>
      </c>
      <c r="I1300" s="496">
        <v>220</v>
      </c>
      <c r="J1300" s="43" t="e">
        <f ca="1">VLOOKUP(D1300,$F$1081:$I$4183,4,FALSE)+COUNTIF(E$1081:E1299,E1300)</f>
        <v>#N/A</v>
      </c>
      <c r="K1300" s="1"/>
      <c r="L1300" s="39" t="e">
        <f>IF($C$1074&gt;0,VLOOKUP($C1300,ENTI!$U$4:$AD$1003,10,FALSE),"")</f>
        <v>#N/A</v>
      </c>
      <c r="M1300" s="1"/>
      <c r="N1300" s="1"/>
      <c r="O1300" s="1"/>
    </row>
    <row r="1301" spans="1:15" hidden="1">
      <c r="A1301" s="1"/>
      <c r="B1301" s="40" t="e">
        <f t="shared" ca="1" si="191"/>
        <v>#N/A</v>
      </c>
      <c r="C1301" s="496">
        <v>221</v>
      </c>
      <c r="D1301" s="41" t="e">
        <f ca="1">IF($C$1076&gt;0,VLOOKUP($C1301,COSTI!$U$4:$Z$1003,3,FALSE),IF($C$1075&gt;0,VLOOKUP($C1301,PATRIMONIALE!$U$4:$Z$1003,3,FALSE),IF($C$1074&gt;0,VLOOKUP($C1301,ENTI!$U$4:$Z$1003,3,FALSE),"")))</f>
        <v>#N/A</v>
      </c>
      <c r="E1301" s="41" t="str">
        <f t="shared" ca="1" si="190"/>
        <v/>
      </c>
      <c r="F1301" s="41" t="e">
        <f t="shared" ca="1" si="192"/>
        <v>#NUM!</v>
      </c>
      <c r="G1301" s="39" t="e">
        <f ca="1">IF($C$1076&gt;0,VLOOKUP($C1301,COSTI!$U$4:$Z$1003,5,FALSE),IF($C$1075&gt;0,VLOOKUP($C1301,PATRIMONIALE!$U$4:$Z$1003,5,FALSE),IF($C$1074&gt;0,VLOOKUP($C1301,ENTI!$U$4:$Z$1003,5,FALSE),"")))</f>
        <v>#N/A</v>
      </c>
      <c r="H1301" s="42" t="e">
        <f ca="1">IF($C$1076&gt;0,VLOOKUP($C1301,COSTI!$U$4:$Z$1003,6,FALSE),IF($C$1075&gt;0,VLOOKUP($C1301,PATRIMONIALE!$U$4:$Z$1003,6,FALSE),IF($C$1074&gt;0,VLOOKUP($C1301,ENTI!$U$4:$Z$1003,6,FALSE),"")))</f>
        <v>#N/A</v>
      </c>
      <c r="I1301" s="496">
        <v>221</v>
      </c>
      <c r="J1301" s="43" t="e">
        <f ca="1">VLOOKUP(D1301,$F$1081:$I$4183,4,FALSE)+COUNTIF(E$1081:E1300,E1301)</f>
        <v>#N/A</v>
      </c>
      <c r="K1301" s="1"/>
      <c r="L1301" s="39" t="e">
        <f>IF($C$1074&gt;0,VLOOKUP($C1301,ENTI!$U$4:$AD$1003,10,FALSE),"")</f>
        <v>#N/A</v>
      </c>
      <c r="M1301" s="1"/>
      <c r="N1301" s="1"/>
      <c r="O1301" s="1"/>
    </row>
    <row r="1302" spans="1:15" hidden="1">
      <c r="A1302" s="1"/>
      <c r="B1302" s="40" t="e">
        <f t="shared" ca="1" si="191"/>
        <v>#N/A</v>
      </c>
      <c r="C1302" s="496">
        <v>222</v>
      </c>
      <c r="D1302" s="41" t="e">
        <f ca="1">IF($C$1076&gt;0,VLOOKUP($C1302,COSTI!$U$4:$Z$1003,3,FALSE),IF($C$1075&gt;0,VLOOKUP($C1302,PATRIMONIALE!$U$4:$Z$1003,3,FALSE),IF($C$1074&gt;0,VLOOKUP($C1302,ENTI!$U$4:$Z$1003,3,FALSE),"")))</f>
        <v>#N/A</v>
      </c>
      <c r="E1302" s="41" t="str">
        <f t="shared" ca="1" si="190"/>
        <v/>
      </c>
      <c r="F1302" s="41" t="e">
        <f t="shared" ca="1" si="192"/>
        <v>#NUM!</v>
      </c>
      <c r="G1302" s="39" t="e">
        <f ca="1">IF($C$1076&gt;0,VLOOKUP($C1302,COSTI!$U$4:$Z$1003,5,FALSE),IF($C$1075&gt;0,VLOOKUP($C1302,PATRIMONIALE!$U$4:$Z$1003,5,FALSE),IF($C$1074&gt;0,VLOOKUP($C1302,ENTI!$U$4:$Z$1003,5,FALSE),"")))</f>
        <v>#N/A</v>
      </c>
      <c r="H1302" s="42" t="e">
        <f ca="1">IF($C$1076&gt;0,VLOOKUP($C1302,COSTI!$U$4:$Z$1003,6,FALSE),IF($C$1075&gt;0,VLOOKUP($C1302,PATRIMONIALE!$U$4:$Z$1003,6,FALSE),IF($C$1074&gt;0,VLOOKUP($C1302,ENTI!$U$4:$Z$1003,6,FALSE),"")))</f>
        <v>#N/A</v>
      </c>
      <c r="I1302" s="496">
        <v>222</v>
      </c>
      <c r="J1302" s="43" t="e">
        <f ca="1">VLOOKUP(D1302,$F$1081:$I$4183,4,FALSE)+COUNTIF(E$1081:E1301,E1302)</f>
        <v>#N/A</v>
      </c>
      <c r="K1302" s="1"/>
      <c r="L1302" s="39" t="e">
        <f>IF($C$1074&gt;0,VLOOKUP($C1302,ENTI!$U$4:$AD$1003,10,FALSE),"")</f>
        <v>#N/A</v>
      </c>
      <c r="M1302" s="1"/>
      <c r="N1302" s="1"/>
      <c r="O1302" s="1"/>
    </row>
    <row r="1303" spans="1:15" hidden="1">
      <c r="A1303" s="1"/>
      <c r="B1303" s="40" t="e">
        <f t="shared" ca="1" si="191"/>
        <v>#N/A</v>
      </c>
      <c r="C1303" s="496">
        <v>223</v>
      </c>
      <c r="D1303" s="41" t="e">
        <f ca="1">IF($C$1076&gt;0,VLOOKUP($C1303,COSTI!$U$4:$Z$1003,3,FALSE),IF($C$1075&gt;0,VLOOKUP($C1303,PATRIMONIALE!$U$4:$Z$1003,3,FALSE),IF($C$1074&gt;0,VLOOKUP($C1303,ENTI!$U$4:$Z$1003,3,FALSE),"")))</f>
        <v>#N/A</v>
      </c>
      <c r="E1303" s="41" t="str">
        <f t="shared" ca="1" si="190"/>
        <v/>
      </c>
      <c r="F1303" s="41" t="e">
        <f t="shared" ca="1" si="192"/>
        <v>#NUM!</v>
      </c>
      <c r="G1303" s="39" t="e">
        <f ca="1">IF($C$1076&gt;0,VLOOKUP($C1303,COSTI!$U$4:$Z$1003,5,FALSE),IF($C$1075&gt;0,VLOOKUP($C1303,PATRIMONIALE!$U$4:$Z$1003,5,FALSE),IF($C$1074&gt;0,VLOOKUP($C1303,ENTI!$U$4:$Z$1003,5,FALSE),"")))</f>
        <v>#N/A</v>
      </c>
      <c r="H1303" s="42" t="e">
        <f ca="1">IF($C$1076&gt;0,VLOOKUP($C1303,COSTI!$U$4:$Z$1003,6,FALSE),IF($C$1075&gt;0,VLOOKUP($C1303,PATRIMONIALE!$U$4:$Z$1003,6,FALSE),IF($C$1074&gt;0,VLOOKUP($C1303,ENTI!$U$4:$Z$1003,6,FALSE),"")))</f>
        <v>#N/A</v>
      </c>
      <c r="I1303" s="496">
        <v>223</v>
      </c>
      <c r="J1303" s="43" t="e">
        <f ca="1">VLOOKUP(D1303,$F$1081:$I$4183,4,FALSE)+COUNTIF(E$1081:E1302,E1303)</f>
        <v>#N/A</v>
      </c>
      <c r="K1303" s="1"/>
      <c r="L1303" s="39" t="e">
        <f>IF($C$1074&gt;0,VLOOKUP($C1303,ENTI!$U$4:$AD$1003,10,FALSE),"")</f>
        <v>#N/A</v>
      </c>
      <c r="M1303" s="1"/>
      <c r="N1303" s="1"/>
      <c r="O1303" s="1"/>
    </row>
    <row r="1304" spans="1:15" hidden="1">
      <c r="A1304" s="1"/>
      <c r="B1304" s="40" t="e">
        <f t="shared" ca="1" si="191"/>
        <v>#N/A</v>
      </c>
      <c r="C1304" s="496">
        <v>224</v>
      </c>
      <c r="D1304" s="41" t="e">
        <f ca="1">IF($C$1076&gt;0,VLOOKUP($C1304,COSTI!$U$4:$Z$1003,3,FALSE),IF($C$1075&gt;0,VLOOKUP($C1304,PATRIMONIALE!$U$4:$Z$1003,3,FALSE),IF($C$1074&gt;0,VLOOKUP($C1304,ENTI!$U$4:$Z$1003,3,FALSE),"")))</f>
        <v>#N/A</v>
      </c>
      <c r="E1304" s="41" t="str">
        <f t="shared" ca="1" si="190"/>
        <v/>
      </c>
      <c r="F1304" s="41" t="e">
        <f t="shared" ca="1" si="192"/>
        <v>#NUM!</v>
      </c>
      <c r="G1304" s="39" t="e">
        <f ca="1">IF($C$1076&gt;0,VLOOKUP($C1304,COSTI!$U$4:$Z$1003,5,FALSE),IF($C$1075&gt;0,VLOOKUP($C1304,PATRIMONIALE!$U$4:$Z$1003,5,FALSE),IF($C$1074&gt;0,VLOOKUP($C1304,ENTI!$U$4:$Z$1003,5,FALSE),"")))</f>
        <v>#N/A</v>
      </c>
      <c r="H1304" s="42" t="e">
        <f ca="1">IF($C$1076&gt;0,VLOOKUP($C1304,COSTI!$U$4:$Z$1003,6,FALSE),IF($C$1075&gt;0,VLOOKUP($C1304,PATRIMONIALE!$U$4:$Z$1003,6,FALSE),IF($C$1074&gt;0,VLOOKUP($C1304,ENTI!$U$4:$Z$1003,6,FALSE),"")))</f>
        <v>#N/A</v>
      </c>
      <c r="I1304" s="496">
        <v>224</v>
      </c>
      <c r="J1304" s="43" t="e">
        <f ca="1">VLOOKUP(D1304,$F$1081:$I$4183,4,FALSE)+COUNTIF(E$1081:E1303,E1304)</f>
        <v>#N/A</v>
      </c>
      <c r="K1304" s="1"/>
      <c r="L1304" s="39" t="e">
        <f>IF($C$1074&gt;0,VLOOKUP($C1304,ENTI!$U$4:$AD$1003,10,FALSE),"")</f>
        <v>#N/A</v>
      </c>
      <c r="M1304" s="1"/>
      <c r="N1304" s="1"/>
      <c r="O1304" s="1"/>
    </row>
    <row r="1305" spans="1:15" hidden="1">
      <c r="A1305" s="1"/>
      <c r="B1305" s="40" t="e">
        <f t="shared" ca="1" si="191"/>
        <v>#N/A</v>
      </c>
      <c r="C1305" s="496">
        <v>225</v>
      </c>
      <c r="D1305" s="41" t="e">
        <f ca="1">IF($C$1076&gt;0,VLOOKUP($C1305,COSTI!$U$4:$Z$1003,3,FALSE),IF($C$1075&gt;0,VLOOKUP($C1305,PATRIMONIALE!$U$4:$Z$1003,3,FALSE),IF($C$1074&gt;0,VLOOKUP($C1305,ENTI!$U$4:$Z$1003,3,FALSE),"")))</f>
        <v>#N/A</v>
      </c>
      <c r="E1305" s="41" t="str">
        <f t="shared" ca="1" si="190"/>
        <v/>
      </c>
      <c r="F1305" s="41" t="e">
        <f t="shared" ca="1" si="192"/>
        <v>#NUM!</v>
      </c>
      <c r="G1305" s="39" t="e">
        <f ca="1">IF($C$1076&gt;0,VLOOKUP($C1305,COSTI!$U$4:$Z$1003,5,FALSE),IF($C$1075&gt;0,VLOOKUP($C1305,PATRIMONIALE!$U$4:$Z$1003,5,FALSE),IF($C$1074&gt;0,VLOOKUP($C1305,ENTI!$U$4:$Z$1003,5,FALSE),"")))</f>
        <v>#N/A</v>
      </c>
      <c r="H1305" s="42" t="e">
        <f ca="1">IF($C$1076&gt;0,VLOOKUP($C1305,COSTI!$U$4:$Z$1003,6,FALSE),IF($C$1075&gt;0,VLOOKUP($C1305,PATRIMONIALE!$U$4:$Z$1003,6,FALSE),IF($C$1074&gt;0,VLOOKUP($C1305,ENTI!$U$4:$Z$1003,6,FALSE),"")))</f>
        <v>#N/A</v>
      </c>
      <c r="I1305" s="496">
        <v>225</v>
      </c>
      <c r="J1305" s="43" t="e">
        <f ca="1">VLOOKUP(D1305,$F$1081:$I$4183,4,FALSE)+COUNTIF(E$1081:E1304,E1305)</f>
        <v>#N/A</v>
      </c>
      <c r="K1305" s="1"/>
      <c r="L1305" s="39" t="e">
        <f>IF($C$1074&gt;0,VLOOKUP($C1305,ENTI!$U$4:$AD$1003,10,FALSE),"")</f>
        <v>#N/A</v>
      </c>
      <c r="M1305" s="1"/>
      <c r="N1305" s="1"/>
      <c r="O1305" s="1"/>
    </row>
    <row r="1306" spans="1:15" hidden="1">
      <c r="A1306" s="1"/>
      <c r="B1306" s="40" t="e">
        <f t="shared" ca="1" si="191"/>
        <v>#N/A</v>
      </c>
      <c r="C1306" s="496">
        <v>226</v>
      </c>
      <c r="D1306" s="41" t="e">
        <f ca="1">IF($C$1076&gt;0,VLOOKUP($C1306,COSTI!$U$4:$Z$1003,3,FALSE),IF($C$1075&gt;0,VLOOKUP($C1306,PATRIMONIALE!$U$4:$Z$1003,3,FALSE),IF($C$1074&gt;0,VLOOKUP($C1306,ENTI!$U$4:$Z$1003,3,FALSE),"")))</f>
        <v>#N/A</v>
      </c>
      <c r="E1306" s="41" t="str">
        <f t="shared" ca="1" si="190"/>
        <v/>
      </c>
      <c r="F1306" s="41" t="e">
        <f t="shared" ca="1" si="192"/>
        <v>#NUM!</v>
      </c>
      <c r="G1306" s="39" t="e">
        <f ca="1">IF($C$1076&gt;0,VLOOKUP($C1306,COSTI!$U$4:$Z$1003,5,FALSE),IF($C$1075&gt;0,VLOOKUP($C1306,PATRIMONIALE!$U$4:$Z$1003,5,FALSE),IF($C$1074&gt;0,VLOOKUP($C1306,ENTI!$U$4:$Z$1003,5,FALSE),"")))</f>
        <v>#N/A</v>
      </c>
      <c r="H1306" s="42" t="e">
        <f ca="1">IF($C$1076&gt;0,VLOOKUP($C1306,COSTI!$U$4:$Z$1003,6,FALSE),IF($C$1075&gt;0,VLOOKUP($C1306,PATRIMONIALE!$U$4:$Z$1003,6,FALSE),IF($C$1074&gt;0,VLOOKUP($C1306,ENTI!$U$4:$Z$1003,6,FALSE),"")))</f>
        <v>#N/A</v>
      </c>
      <c r="I1306" s="496">
        <v>226</v>
      </c>
      <c r="J1306" s="43" t="e">
        <f ca="1">VLOOKUP(D1306,$F$1081:$I$4183,4,FALSE)+COUNTIF(E$1081:E1305,E1306)</f>
        <v>#N/A</v>
      </c>
      <c r="K1306" s="1"/>
      <c r="L1306" s="39" t="e">
        <f>IF($C$1074&gt;0,VLOOKUP($C1306,ENTI!$U$4:$AD$1003,10,FALSE),"")</f>
        <v>#N/A</v>
      </c>
      <c r="M1306" s="1"/>
      <c r="N1306" s="1"/>
      <c r="O1306" s="1"/>
    </row>
    <row r="1307" spans="1:15" hidden="1">
      <c r="A1307" s="1"/>
      <c r="B1307" s="40" t="e">
        <f t="shared" ca="1" si="191"/>
        <v>#N/A</v>
      </c>
      <c r="C1307" s="496">
        <v>227</v>
      </c>
      <c r="D1307" s="41" t="e">
        <f ca="1">IF($C$1076&gt;0,VLOOKUP($C1307,COSTI!$U$4:$Z$1003,3,FALSE),IF($C$1075&gt;0,VLOOKUP($C1307,PATRIMONIALE!$U$4:$Z$1003,3,FALSE),IF($C$1074&gt;0,VLOOKUP($C1307,ENTI!$U$4:$Z$1003,3,FALSE),"")))</f>
        <v>#N/A</v>
      </c>
      <c r="E1307" s="41" t="str">
        <f t="shared" ca="1" si="190"/>
        <v/>
      </c>
      <c r="F1307" s="41" t="e">
        <f t="shared" ca="1" si="192"/>
        <v>#NUM!</v>
      </c>
      <c r="G1307" s="39" t="e">
        <f ca="1">IF($C$1076&gt;0,VLOOKUP($C1307,COSTI!$U$4:$Z$1003,5,FALSE),IF($C$1075&gt;0,VLOOKUP($C1307,PATRIMONIALE!$U$4:$Z$1003,5,FALSE),IF($C$1074&gt;0,VLOOKUP($C1307,ENTI!$U$4:$Z$1003,5,FALSE),"")))</f>
        <v>#N/A</v>
      </c>
      <c r="H1307" s="42" t="e">
        <f ca="1">IF($C$1076&gt;0,VLOOKUP($C1307,COSTI!$U$4:$Z$1003,6,FALSE),IF($C$1075&gt;0,VLOOKUP($C1307,PATRIMONIALE!$U$4:$Z$1003,6,FALSE),IF($C$1074&gt;0,VLOOKUP($C1307,ENTI!$U$4:$Z$1003,6,FALSE),"")))</f>
        <v>#N/A</v>
      </c>
      <c r="I1307" s="496">
        <v>227</v>
      </c>
      <c r="J1307" s="43" t="e">
        <f ca="1">VLOOKUP(D1307,$F$1081:$I$4183,4,FALSE)+COUNTIF(E$1081:E1306,E1307)</f>
        <v>#N/A</v>
      </c>
      <c r="K1307" s="1"/>
      <c r="L1307" s="39" t="e">
        <f>IF($C$1074&gt;0,VLOOKUP($C1307,ENTI!$U$4:$AD$1003,10,FALSE),"")</f>
        <v>#N/A</v>
      </c>
      <c r="M1307" s="1"/>
      <c r="N1307" s="1"/>
      <c r="O1307" s="1"/>
    </row>
    <row r="1308" spans="1:15" hidden="1">
      <c r="A1308" s="1"/>
      <c r="B1308" s="40" t="e">
        <f t="shared" ca="1" si="191"/>
        <v>#N/A</v>
      </c>
      <c r="C1308" s="496">
        <v>228</v>
      </c>
      <c r="D1308" s="41" t="e">
        <f ca="1">IF($C$1076&gt;0,VLOOKUP($C1308,COSTI!$U$4:$Z$1003,3,FALSE),IF($C$1075&gt;0,VLOOKUP($C1308,PATRIMONIALE!$U$4:$Z$1003,3,FALSE),IF($C$1074&gt;0,VLOOKUP($C1308,ENTI!$U$4:$Z$1003,3,FALSE),"")))</f>
        <v>#N/A</v>
      </c>
      <c r="E1308" s="41" t="str">
        <f t="shared" ca="1" si="190"/>
        <v/>
      </c>
      <c r="F1308" s="41" t="e">
        <f t="shared" ca="1" si="192"/>
        <v>#NUM!</v>
      </c>
      <c r="G1308" s="39" t="e">
        <f ca="1">IF($C$1076&gt;0,VLOOKUP($C1308,COSTI!$U$4:$Z$1003,5,FALSE),IF($C$1075&gt;0,VLOOKUP($C1308,PATRIMONIALE!$U$4:$Z$1003,5,FALSE),IF($C$1074&gt;0,VLOOKUP($C1308,ENTI!$U$4:$Z$1003,5,FALSE),"")))</f>
        <v>#N/A</v>
      </c>
      <c r="H1308" s="42" t="e">
        <f ca="1">IF($C$1076&gt;0,VLOOKUP($C1308,COSTI!$U$4:$Z$1003,6,FALSE),IF($C$1075&gt;0,VLOOKUP($C1308,PATRIMONIALE!$U$4:$Z$1003,6,FALSE),IF($C$1074&gt;0,VLOOKUP($C1308,ENTI!$U$4:$Z$1003,6,FALSE),"")))</f>
        <v>#N/A</v>
      </c>
      <c r="I1308" s="496">
        <v>228</v>
      </c>
      <c r="J1308" s="43" t="e">
        <f ca="1">VLOOKUP(D1308,$F$1081:$I$4183,4,FALSE)+COUNTIF(E$1081:E1307,E1308)</f>
        <v>#N/A</v>
      </c>
      <c r="K1308" s="1"/>
      <c r="L1308" s="39" t="e">
        <f>IF($C$1074&gt;0,VLOOKUP($C1308,ENTI!$U$4:$AD$1003,10,FALSE),"")</f>
        <v>#N/A</v>
      </c>
      <c r="M1308" s="1"/>
      <c r="N1308" s="1"/>
      <c r="O1308" s="1"/>
    </row>
    <row r="1309" spans="1:15" hidden="1">
      <c r="A1309" s="1"/>
      <c r="B1309" s="40" t="e">
        <f t="shared" ca="1" si="191"/>
        <v>#N/A</v>
      </c>
      <c r="C1309" s="496">
        <v>229</v>
      </c>
      <c r="D1309" s="41" t="e">
        <f ca="1">IF($C$1076&gt;0,VLOOKUP($C1309,COSTI!$U$4:$Z$1003,3,FALSE),IF($C$1075&gt;0,VLOOKUP($C1309,PATRIMONIALE!$U$4:$Z$1003,3,FALSE),IF($C$1074&gt;0,VLOOKUP($C1309,ENTI!$U$4:$Z$1003,3,FALSE),"")))</f>
        <v>#N/A</v>
      </c>
      <c r="E1309" s="41" t="str">
        <f t="shared" ca="1" si="190"/>
        <v/>
      </c>
      <c r="F1309" s="41" t="e">
        <f t="shared" ca="1" si="192"/>
        <v>#NUM!</v>
      </c>
      <c r="G1309" s="39" t="e">
        <f ca="1">IF($C$1076&gt;0,VLOOKUP($C1309,COSTI!$U$4:$Z$1003,5,FALSE),IF($C$1075&gt;0,VLOOKUP($C1309,PATRIMONIALE!$U$4:$Z$1003,5,FALSE),IF($C$1074&gt;0,VLOOKUP($C1309,ENTI!$U$4:$Z$1003,5,FALSE),"")))</f>
        <v>#N/A</v>
      </c>
      <c r="H1309" s="42" t="e">
        <f ca="1">IF($C$1076&gt;0,VLOOKUP($C1309,COSTI!$U$4:$Z$1003,6,FALSE),IF($C$1075&gt;0,VLOOKUP($C1309,PATRIMONIALE!$U$4:$Z$1003,6,FALSE),IF($C$1074&gt;0,VLOOKUP($C1309,ENTI!$U$4:$Z$1003,6,FALSE),"")))</f>
        <v>#N/A</v>
      </c>
      <c r="I1309" s="496">
        <v>229</v>
      </c>
      <c r="J1309" s="43" t="e">
        <f ca="1">VLOOKUP(D1309,$F$1081:$I$4183,4,FALSE)+COUNTIF(E$1081:E1308,E1309)</f>
        <v>#N/A</v>
      </c>
      <c r="K1309" s="1"/>
      <c r="L1309" s="39" t="e">
        <f>IF($C$1074&gt;0,VLOOKUP($C1309,ENTI!$U$4:$AD$1003,10,FALSE),"")</f>
        <v>#N/A</v>
      </c>
      <c r="M1309" s="1"/>
      <c r="N1309" s="1"/>
      <c r="O1309" s="1"/>
    </row>
    <row r="1310" spans="1:15" hidden="1">
      <c r="A1310" s="1"/>
      <c r="B1310" s="40" t="e">
        <f t="shared" ca="1" si="191"/>
        <v>#N/A</v>
      </c>
      <c r="C1310" s="496">
        <v>230</v>
      </c>
      <c r="D1310" s="41" t="e">
        <f ca="1">IF($C$1076&gt;0,VLOOKUP($C1310,COSTI!$U$4:$Z$1003,3,FALSE),IF($C$1075&gt;0,VLOOKUP($C1310,PATRIMONIALE!$U$4:$Z$1003,3,FALSE),IF($C$1074&gt;0,VLOOKUP($C1310,ENTI!$U$4:$Z$1003,3,FALSE),"")))</f>
        <v>#N/A</v>
      </c>
      <c r="E1310" s="41" t="str">
        <f t="shared" ca="1" si="190"/>
        <v/>
      </c>
      <c r="F1310" s="41" t="e">
        <f t="shared" ca="1" si="192"/>
        <v>#NUM!</v>
      </c>
      <c r="G1310" s="39" t="e">
        <f ca="1">IF($C$1076&gt;0,VLOOKUP($C1310,COSTI!$U$4:$Z$1003,5,FALSE),IF($C$1075&gt;0,VLOOKUP($C1310,PATRIMONIALE!$U$4:$Z$1003,5,FALSE),IF($C$1074&gt;0,VLOOKUP($C1310,ENTI!$U$4:$Z$1003,5,FALSE),"")))</f>
        <v>#N/A</v>
      </c>
      <c r="H1310" s="42" t="e">
        <f ca="1">IF($C$1076&gt;0,VLOOKUP($C1310,COSTI!$U$4:$Z$1003,6,FALSE),IF($C$1075&gt;0,VLOOKUP($C1310,PATRIMONIALE!$U$4:$Z$1003,6,FALSE),IF($C$1074&gt;0,VLOOKUP($C1310,ENTI!$U$4:$Z$1003,6,FALSE),"")))</f>
        <v>#N/A</v>
      </c>
      <c r="I1310" s="496">
        <v>230</v>
      </c>
      <c r="J1310" s="43" t="e">
        <f ca="1">VLOOKUP(D1310,$F$1081:$I$4183,4,FALSE)+COUNTIF(E$1081:E1309,E1310)</f>
        <v>#N/A</v>
      </c>
      <c r="K1310" s="1"/>
      <c r="L1310" s="39" t="e">
        <f>IF($C$1074&gt;0,VLOOKUP($C1310,ENTI!$U$4:$AD$1003,10,FALSE),"")</f>
        <v>#N/A</v>
      </c>
      <c r="M1310" s="1"/>
      <c r="N1310" s="1"/>
      <c r="O1310" s="1"/>
    </row>
    <row r="1311" spans="1:15" hidden="1">
      <c r="A1311" s="1"/>
      <c r="B1311" s="40" t="e">
        <f t="shared" ca="1" si="191"/>
        <v>#N/A</v>
      </c>
      <c r="C1311" s="496">
        <v>231</v>
      </c>
      <c r="D1311" s="41" t="e">
        <f ca="1">IF($C$1076&gt;0,VLOOKUP($C1311,COSTI!$U$4:$Z$1003,3,FALSE),IF($C$1075&gt;0,VLOOKUP($C1311,PATRIMONIALE!$U$4:$Z$1003,3,FALSE),IF($C$1074&gt;0,VLOOKUP($C1311,ENTI!$U$4:$Z$1003,3,FALSE),"")))</f>
        <v>#N/A</v>
      </c>
      <c r="E1311" s="41" t="str">
        <f t="shared" ca="1" si="190"/>
        <v/>
      </c>
      <c r="F1311" s="41" t="e">
        <f t="shared" ca="1" si="192"/>
        <v>#NUM!</v>
      </c>
      <c r="G1311" s="39" t="e">
        <f ca="1">IF($C$1076&gt;0,VLOOKUP($C1311,COSTI!$U$4:$Z$1003,5,FALSE),IF($C$1075&gt;0,VLOOKUP($C1311,PATRIMONIALE!$U$4:$Z$1003,5,FALSE),IF($C$1074&gt;0,VLOOKUP($C1311,ENTI!$U$4:$Z$1003,5,FALSE),"")))</f>
        <v>#N/A</v>
      </c>
      <c r="H1311" s="42" t="e">
        <f ca="1">IF($C$1076&gt;0,VLOOKUP($C1311,COSTI!$U$4:$Z$1003,6,FALSE),IF($C$1075&gt;0,VLOOKUP($C1311,PATRIMONIALE!$U$4:$Z$1003,6,FALSE),IF($C$1074&gt;0,VLOOKUP($C1311,ENTI!$U$4:$Z$1003,6,FALSE),"")))</f>
        <v>#N/A</v>
      </c>
      <c r="I1311" s="496">
        <v>231</v>
      </c>
      <c r="J1311" s="43" t="e">
        <f ca="1">VLOOKUP(D1311,$F$1081:$I$4183,4,FALSE)+COUNTIF(E$1081:E1310,E1311)</f>
        <v>#N/A</v>
      </c>
      <c r="K1311" s="1"/>
      <c r="L1311" s="39" t="e">
        <f>IF($C$1074&gt;0,VLOOKUP($C1311,ENTI!$U$4:$AD$1003,10,FALSE),"")</f>
        <v>#N/A</v>
      </c>
      <c r="M1311" s="1"/>
      <c r="N1311" s="1"/>
      <c r="O1311" s="1"/>
    </row>
    <row r="1312" spans="1:15" hidden="1">
      <c r="A1312" s="1"/>
      <c r="B1312" s="40" t="e">
        <f t="shared" ca="1" si="191"/>
        <v>#N/A</v>
      </c>
      <c r="C1312" s="496">
        <v>232</v>
      </c>
      <c r="D1312" s="41" t="e">
        <f ca="1">IF($C$1076&gt;0,VLOOKUP($C1312,COSTI!$U$4:$Z$1003,3,FALSE),IF($C$1075&gt;0,VLOOKUP($C1312,PATRIMONIALE!$U$4:$Z$1003,3,FALSE),IF($C$1074&gt;0,VLOOKUP($C1312,ENTI!$U$4:$Z$1003,3,FALSE),"")))</f>
        <v>#N/A</v>
      </c>
      <c r="E1312" s="41" t="str">
        <f t="shared" ca="1" si="190"/>
        <v/>
      </c>
      <c r="F1312" s="41" t="e">
        <f t="shared" ca="1" si="192"/>
        <v>#NUM!</v>
      </c>
      <c r="G1312" s="39" t="e">
        <f ca="1">IF($C$1076&gt;0,VLOOKUP($C1312,COSTI!$U$4:$Z$1003,5,FALSE),IF($C$1075&gt;0,VLOOKUP($C1312,PATRIMONIALE!$U$4:$Z$1003,5,FALSE),IF($C$1074&gt;0,VLOOKUP($C1312,ENTI!$U$4:$Z$1003,5,FALSE),"")))</f>
        <v>#N/A</v>
      </c>
      <c r="H1312" s="42" t="e">
        <f ca="1">IF($C$1076&gt;0,VLOOKUP($C1312,COSTI!$U$4:$Z$1003,6,FALSE),IF($C$1075&gt;0,VLOOKUP($C1312,PATRIMONIALE!$U$4:$Z$1003,6,FALSE),IF($C$1074&gt;0,VLOOKUP($C1312,ENTI!$U$4:$Z$1003,6,FALSE),"")))</f>
        <v>#N/A</v>
      </c>
      <c r="I1312" s="496">
        <v>232</v>
      </c>
      <c r="J1312" s="43" t="e">
        <f ca="1">VLOOKUP(D1312,$F$1081:$I$4183,4,FALSE)+COUNTIF(E$1081:E1311,E1312)</f>
        <v>#N/A</v>
      </c>
      <c r="K1312" s="1"/>
      <c r="L1312" s="39" t="e">
        <f>IF($C$1074&gt;0,VLOOKUP($C1312,ENTI!$U$4:$AD$1003,10,FALSE),"")</f>
        <v>#N/A</v>
      </c>
      <c r="M1312" s="1"/>
      <c r="N1312" s="1"/>
      <c r="O1312" s="1"/>
    </row>
    <row r="1313" spans="1:15" hidden="1">
      <c r="A1313" s="1"/>
      <c r="B1313" s="40" t="e">
        <f t="shared" ca="1" si="191"/>
        <v>#N/A</v>
      </c>
      <c r="C1313" s="496">
        <v>233</v>
      </c>
      <c r="D1313" s="41" t="e">
        <f ca="1">IF($C$1076&gt;0,VLOOKUP($C1313,COSTI!$U$4:$Z$1003,3,FALSE),IF($C$1075&gt;0,VLOOKUP($C1313,PATRIMONIALE!$U$4:$Z$1003,3,FALSE),IF($C$1074&gt;0,VLOOKUP($C1313,ENTI!$U$4:$Z$1003,3,FALSE),"")))</f>
        <v>#N/A</v>
      </c>
      <c r="E1313" s="41" t="str">
        <f t="shared" ca="1" si="190"/>
        <v/>
      </c>
      <c r="F1313" s="41" t="e">
        <f t="shared" ca="1" si="192"/>
        <v>#NUM!</v>
      </c>
      <c r="G1313" s="39" t="e">
        <f ca="1">IF($C$1076&gt;0,VLOOKUP($C1313,COSTI!$U$4:$Z$1003,5,FALSE),IF($C$1075&gt;0,VLOOKUP($C1313,PATRIMONIALE!$U$4:$Z$1003,5,FALSE),IF($C$1074&gt;0,VLOOKUP($C1313,ENTI!$U$4:$Z$1003,5,FALSE),"")))</f>
        <v>#N/A</v>
      </c>
      <c r="H1313" s="42" t="e">
        <f ca="1">IF($C$1076&gt;0,VLOOKUP($C1313,COSTI!$U$4:$Z$1003,6,FALSE),IF($C$1075&gt;0,VLOOKUP($C1313,PATRIMONIALE!$U$4:$Z$1003,6,FALSE),IF($C$1074&gt;0,VLOOKUP($C1313,ENTI!$U$4:$Z$1003,6,FALSE),"")))</f>
        <v>#N/A</v>
      </c>
      <c r="I1313" s="496">
        <v>233</v>
      </c>
      <c r="J1313" s="43" t="e">
        <f ca="1">VLOOKUP(D1313,$F$1081:$I$4183,4,FALSE)+COUNTIF(E$1081:E1312,E1313)</f>
        <v>#N/A</v>
      </c>
      <c r="K1313" s="1"/>
      <c r="L1313" s="39" t="e">
        <f>IF($C$1074&gt;0,VLOOKUP($C1313,ENTI!$U$4:$AD$1003,10,FALSE),"")</f>
        <v>#N/A</v>
      </c>
      <c r="M1313" s="1"/>
      <c r="N1313" s="1"/>
      <c r="O1313" s="1"/>
    </row>
    <row r="1314" spans="1:15" hidden="1">
      <c r="A1314" s="1"/>
      <c r="B1314" s="40" t="e">
        <f t="shared" ca="1" si="191"/>
        <v>#N/A</v>
      </c>
      <c r="C1314" s="496">
        <v>234</v>
      </c>
      <c r="D1314" s="41" t="e">
        <f ca="1">IF($C$1076&gt;0,VLOOKUP($C1314,COSTI!$U$4:$Z$1003,3,FALSE),IF($C$1075&gt;0,VLOOKUP($C1314,PATRIMONIALE!$U$4:$Z$1003,3,FALSE),IF($C$1074&gt;0,VLOOKUP($C1314,ENTI!$U$4:$Z$1003,3,FALSE),"")))</f>
        <v>#N/A</v>
      </c>
      <c r="E1314" s="41" t="str">
        <f t="shared" ca="1" si="190"/>
        <v/>
      </c>
      <c r="F1314" s="41" t="e">
        <f t="shared" ca="1" si="192"/>
        <v>#NUM!</v>
      </c>
      <c r="G1314" s="39" t="e">
        <f ca="1">IF($C$1076&gt;0,VLOOKUP($C1314,COSTI!$U$4:$Z$1003,5,FALSE),IF($C$1075&gt;0,VLOOKUP($C1314,PATRIMONIALE!$U$4:$Z$1003,5,FALSE),IF($C$1074&gt;0,VLOOKUP($C1314,ENTI!$U$4:$Z$1003,5,FALSE),"")))</f>
        <v>#N/A</v>
      </c>
      <c r="H1314" s="42" t="e">
        <f ca="1">IF($C$1076&gt;0,VLOOKUP($C1314,COSTI!$U$4:$Z$1003,6,FALSE),IF($C$1075&gt;0,VLOOKUP($C1314,PATRIMONIALE!$U$4:$Z$1003,6,FALSE),IF($C$1074&gt;0,VLOOKUP($C1314,ENTI!$U$4:$Z$1003,6,FALSE),"")))</f>
        <v>#N/A</v>
      </c>
      <c r="I1314" s="496">
        <v>234</v>
      </c>
      <c r="J1314" s="43" t="e">
        <f ca="1">VLOOKUP(D1314,$F$1081:$I$4183,4,FALSE)+COUNTIF(E$1081:E1313,E1314)</f>
        <v>#N/A</v>
      </c>
      <c r="K1314" s="1"/>
      <c r="L1314" s="39" t="e">
        <f>IF($C$1074&gt;0,VLOOKUP($C1314,ENTI!$U$4:$AD$1003,10,FALSE),"")</f>
        <v>#N/A</v>
      </c>
      <c r="M1314" s="1"/>
      <c r="N1314" s="1"/>
      <c r="O1314" s="1"/>
    </row>
    <row r="1315" spans="1:15" hidden="1">
      <c r="A1315" s="1"/>
      <c r="B1315" s="40" t="e">
        <f t="shared" ca="1" si="191"/>
        <v>#N/A</v>
      </c>
      <c r="C1315" s="496">
        <v>235</v>
      </c>
      <c r="D1315" s="41" t="e">
        <f ca="1">IF($C$1076&gt;0,VLOOKUP($C1315,COSTI!$U$4:$Z$1003,3,FALSE),IF($C$1075&gt;0,VLOOKUP($C1315,PATRIMONIALE!$U$4:$Z$1003,3,FALSE),IF($C$1074&gt;0,VLOOKUP($C1315,ENTI!$U$4:$Z$1003,3,FALSE),"")))</f>
        <v>#N/A</v>
      </c>
      <c r="E1315" s="41" t="str">
        <f t="shared" ca="1" si="190"/>
        <v/>
      </c>
      <c r="F1315" s="41" t="e">
        <f t="shared" ca="1" si="192"/>
        <v>#NUM!</v>
      </c>
      <c r="G1315" s="39" t="e">
        <f ca="1">IF($C$1076&gt;0,VLOOKUP($C1315,COSTI!$U$4:$Z$1003,5,FALSE),IF($C$1075&gt;0,VLOOKUP($C1315,PATRIMONIALE!$U$4:$Z$1003,5,FALSE),IF($C$1074&gt;0,VLOOKUP($C1315,ENTI!$U$4:$Z$1003,5,FALSE),"")))</f>
        <v>#N/A</v>
      </c>
      <c r="H1315" s="42" t="e">
        <f ca="1">IF($C$1076&gt;0,VLOOKUP($C1315,COSTI!$U$4:$Z$1003,6,FALSE),IF($C$1075&gt;0,VLOOKUP($C1315,PATRIMONIALE!$U$4:$Z$1003,6,FALSE),IF($C$1074&gt;0,VLOOKUP($C1315,ENTI!$U$4:$Z$1003,6,FALSE),"")))</f>
        <v>#N/A</v>
      </c>
      <c r="I1315" s="496">
        <v>235</v>
      </c>
      <c r="J1315" s="43" t="e">
        <f ca="1">VLOOKUP(D1315,$F$1081:$I$4183,4,FALSE)+COUNTIF(E$1081:E1314,E1315)</f>
        <v>#N/A</v>
      </c>
      <c r="K1315" s="1"/>
      <c r="L1315" s="39" t="e">
        <f>IF($C$1074&gt;0,VLOOKUP($C1315,ENTI!$U$4:$AD$1003,10,FALSE),"")</f>
        <v>#N/A</v>
      </c>
      <c r="M1315" s="1"/>
      <c r="N1315" s="1"/>
      <c r="O1315" s="1"/>
    </row>
    <row r="1316" spans="1:15" hidden="1">
      <c r="A1316" s="1"/>
      <c r="B1316" s="40" t="e">
        <f t="shared" ca="1" si="191"/>
        <v>#N/A</v>
      </c>
      <c r="C1316" s="496">
        <v>236</v>
      </c>
      <c r="D1316" s="41" t="e">
        <f ca="1">IF($C$1076&gt;0,VLOOKUP($C1316,COSTI!$U$4:$Z$1003,3,FALSE),IF($C$1075&gt;0,VLOOKUP($C1316,PATRIMONIALE!$U$4:$Z$1003,3,FALSE),IF($C$1074&gt;0,VLOOKUP($C1316,ENTI!$U$4:$Z$1003,3,FALSE),"")))</f>
        <v>#N/A</v>
      </c>
      <c r="E1316" s="41" t="str">
        <f t="shared" ca="1" si="190"/>
        <v/>
      </c>
      <c r="F1316" s="41" t="e">
        <f t="shared" ca="1" si="192"/>
        <v>#NUM!</v>
      </c>
      <c r="G1316" s="39" t="e">
        <f ca="1">IF($C$1076&gt;0,VLOOKUP($C1316,COSTI!$U$4:$Z$1003,5,FALSE),IF($C$1075&gt;0,VLOOKUP($C1316,PATRIMONIALE!$U$4:$Z$1003,5,FALSE),IF($C$1074&gt;0,VLOOKUP($C1316,ENTI!$U$4:$Z$1003,5,FALSE),"")))</f>
        <v>#N/A</v>
      </c>
      <c r="H1316" s="42" t="e">
        <f ca="1">IF($C$1076&gt;0,VLOOKUP($C1316,COSTI!$U$4:$Z$1003,6,FALSE),IF($C$1075&gt;0,VLOOKUP($C1316,PATRIMONIALE!$U$4:$Z$1003,6,FALSE),IF($C$1074&gt;0,VLOOKUP($C1316,ENTI!$U$4:$Z$1003,6,FALSE),"")))</f>
        <v>#N/A</v>
      </c>
      <c r="I1316" s="496">
        <v>236</v>
      </c>
      <c r="J1316" s="43" t="e">
        <f ca="1">VLOOKUP(D1316,$F$1081:$I$4183,4,FALSE)+COUNTIF(E$1081:E1315,E1316)</f>
        <v>#N/A</v>
      </c>
      <c r="K1316" s="1"/>
      <c r="L1316" s="39" t="e">
        <f>IF($C$1074&gt;0,VLOOKUP($C1316,ENTI!$U$4:$AD$1003,10,FALSE),"")</f>
        <v>#N/A</v>
      </c>
      <c r="M1316" s="1"/>
      <c r="N1316" s="1"/>
      <c r="O1316" s="1"/>
    </row>
    <row r="1317" spans="1:15" hidden="1">
      <c r="A1317" s="1"/>
      <c r="B1317" s="40" t="e">
        <f t="shared" ca="1" si="191"/>
        <v>#N/A</v>
      </c>
      <c r="C1317" s="496">
        <v>237</v>
      </c>
      <c r="D1317" s="41" t="e">
        <f ca="1">IF($C$1076&gt;0,VLOOKUP($C1317,COSTI!$U$4:$Z$1003,3,FALSE),IF($C$1075&gt;0,VLOOKUP($C1317,PATRIMONIALE!$U$4:$Z$1003,3,FALSE),IF($C$1074&gt;0,VLOOKUP($C1317,ENTI!$U$4:$Z$1003,3,FALSE),"")))</f>
        <v>#N/A</v>
      </c>
      <c r="E1317" s="41" t="str">
        <f t="shared" ca="1" si="190"/>
        <v/>
      </c>
      <c r="F1317" s="41" t="e">
        <f t="shared" ca="1" si="192"/>
        <v>#NUM!</v>
      </c>
      <c r="G1317" s="39" t="e">
        <f ca="1">IF($C$1076&gt;0,VLOOKUP($C1317,COSTI!$U$4:$Z$1003,5,FALSE),IF($C$1075&gt;0,VLOOKUP($C1317,PATRIMONIALE!$U$4:$Z$1003,5,FALSE),IF($C$1074&gt;0,VLOOKUP($C1317,ENTI!$U$4:$Z$1003,5,FALSE),"")))</f>
        <v>#N/A</v>
      </c>
      <c r="H1317" s="42" t="e">
        <f ca="1">IF($C$1076&gt;0,VLOOKUP($C1317,COSTI!$U$4:$Z$1003,6,FALSE),IF($C$1075&gt;0,VLOOKUP($C1317,PATRIMONIALE!$U$4:$Z$1003,6,FALSE),IF($C$1074&gt;0,VLOOKUP($C1317,ENTI!$U$4:$Z$1003,6,FALSE),"")))</f>
        <v>#N/A</v>
      </c>
      <c r="I1317" s="496">
        <v>237</v>
      </c>
      <c r="J1317" s="43" t="e">
        <f ca="1">VLOOKUP(D1317,$F$1081:$I$4183,4,FALSE)+COUNTIF(E$1081:E1316,E1317)</f>
        <v>#N/A</v>
      </c>
      <c r="K1317" s="1"/>
      <c r="L1317" s="39" t="e">
        <f>IF($C$1074&gt;0,VLOOKUP($C1317,ENTI!$U$4:$AD$1003,10,FALSE),"")</f>
        <v>#N/A</v>
      </c>
      <c r="M1317" s="1"/>
      <c r="N1317" s="1"/>
      <c r="O1317" s="1"/>
    </row>
    <row r="1318" spans="1:15" hidden="1">
      <c r="A1318" s="1"/>
      <c r="B1318" s="40" t="e">
        <f t="shared" ca="1" si="191"/>
        <v>#N/A</v>
      </c>
      <c r="C1318" s="496">
        <v>238</v>
      </c>
      <c r="D1318" s="41" t="e">
        <f ca="1">IF($C$1076&gt;0,VLOOKUP($C1318,COSTI!$U$4:$Z$1003,3,FALSE),IF($C$1075&gt;0,VLOOKUP($C1318,PATRIMONIALE!$U$4:$Z$1003,3,FALSE),IF($C$1074&gt;0,VLOOKUP($C1318,ENTI!$U$4:$Z$1003,3,FALSE),"")))</f>
        <v>#N/A</v>
      </c>
      <c r="E1318" s="41" t="str">
        <f t="shared" ca="1" si="190"/>
        <v/>
      </c>
      <c r="F1318" s="41" t="e">
        <f t="shared" ca="1" si="192"/>
        <v>#NUM!</v>
      </c>
      <c r="G1318" s="39" t="e">
        <f ca="1">IF($C$1076&gt;0,VLOOKUP($C1318,COSTI!$U$4:$Z$1003,5,FALSE),IF($C$1075&gt;0,VLOOKUP($C1318,PATRIMONIALE!$U$4:$Z$1003,5,FALSE),IF($C$1074&gt;0,VLOOKUP($C1318,ENTI!$U$4:$Z$1003,5,FALSE),"")))</f>
        <v>#N/A</v>
      </c>
      <c r="H1318" s="42" t="e">
        <f ca="1">IF($C$1076&gt;0,VLOOKUP($C1318,COSTI!$U$4:$Z$1003,6,FALSE),IF($C$1075&gt;0,VLOOKUP($C1318,PATRIMONIALE!$U$4:$Z$1003,6,FALSE),IF($C$1074&gt;0,VLOOKUP($C1318,ENTI!$U$4:$Z$1003,6,FALSE),"")))</f>
        <v>#N/A</v>
      </c>
      <c r="I1318" s="496">
        <v>238</v>
      </c>
      <c r="J1318" s="43" t="e">
        <f ca="1">VLOOKUP(D1318,$F$1081:$I$4183,4,FALSE)+COUNTIF(E$1081:E1317,E1318)</f>
        <v>#N/A</v>
      </c>
      <c r="K1318" s="1"/>
      <c r="L1318" s="39" t="e">
        <f>IF($C$1074&gt;0,VLOOKUP($C1318,ENTI!$U$4:$AD$1003,10,FALSE),"")</f>
        <v>#N/A</v>
      </c>
      <c r="M1318" s="1"/>
      <c r="N1318" s="1"/>
      <c r="O1318" s="1"/>
    </row>
    <row r="1319" spans="1:15" hidden="1">
      <c r="A1319" s="1"/>
      <c r="B1319" s="40" t="e">
        <f t="shared" ca="1" si="191"/>
        <v>#N/A</v>
      </c>
      <c r="C1319" s="496">
        <v>239</v>
      </c>
      <c r="D1319" s="41" t="e">
        <f ca="1">IF($C$1076&gt;0,VLOOKUP($C1319,COSTI!$U$4:$Z$1003,3,FALSE),IF($C$1075&gt;0,VLOOKUP($C1319,PATRIMONIALE!$U$4:$Z$1003,3,FALSE),IF($C$1074&gt;0,VLOOKUP($C1319,ENTI!$U$4:$Z$1003,3,FALSE),"")))</f>
        <v>#N/A</v>
      </c>
      <c r="E1319" s="41" t="str">
        <f t="shared" ca="1" si="190"/>
        <v/>
      </c>
      <c r="F1319" s="41" t="e">
        <f t="shared" ca="1" si="192"/>
        <v>#NUM!</v>
      </c>
      <c r="G1319" s="39" t="e">
        <f ca="1">IF($C$1076&gt;0,VLOOKUP($C1319,COSTI!$U$4:$Z$1003,5,FALSE),IF($C$1075&gt;0,VLOOKUP($C1319,PATRIMONIALE!$U$4:$Z$1003,5,FALSE),IF($C$1074&gt;0,VLOOKUP($C1319,ENTI!$U$4:$Z$1003,5,FALSE),"")))</f>
        <v>#N/A</v>
      </c>
      <c r="H1319" s="42" t="e">
        <f ca="1">IF($C$1076&gt;0,VLOOKUP($C1319,COSTI!$U$4:$Z$1003,6,FALSE),IF($C$1075&gt;0,VLOOKUP($C1319,PATRIMONIALE!$U$4:$Z$1003,6,FALSE),IF($C$1074&gt;0,VLOOKUP($C1319,ENTI!$U$4:$Z$1003,6,FALSE),"")))</f>
        <v>#N/A</v>
      </c>
      <c r="I1319" s="496">
        <v>239</v>
      </c>
      <c r="J1319" s="43" t="e">
        <f ca="1">VLOOKUP(D1319,$F$1081:$I$4183,4,FALSE)+COUNTIF(E$1081:E1318,E1319)</f>
        <v>#N/A</v>
      </c>
      <c r="K1319" s="1"/>
      <c r="L1319" s="39" t="e">
        <f>IF($C$1074&gt;0,VLOOKUP($C1319,ENTI!$U$4:$AD$1003,10,FALSE),"")</f>
        <v>#N/A</v>
      </c>
      <c r="M1319" s="1"/>
      <c r="N1319" s="1"/>
      <c r="O1319" s="1"/>
    </row>
    <row r="1320" spans="1:15" hidden="1">
      <c r="A1320" s="1"/>
      <c r="B1320" s="40" t="e">
        <f t="shared" ca="1" si="191"/>
        <v>#N/A</v>
      </c>
      <c r="C1320" s="496">
        <v>240</v>
      </c>
      <c r="D1320" s="41" t="e">
        <f ca="1">IF($C$1076&gt;0,VLOOKUP($C1320,COSTI!$U$4:$Z$1003,3,FALSE),IF($C$1075&gt;0,VLOOKUP($C1320,PATRIMONIALE!$U$4:$Z$1003,3,FALSE),IF($C$1074&gt;0,VLOOKUP($C1320,ENTI!$U$4:$Z$1003,3,FALSE),"")))</f>
        <v>#N/A</v>
      </c>
      <c r="E1320" s="41" t="str">
        <f t="shared" ca="1" si="190"/>
        <v/>
      </c>
      <c r="F1320" s="41" t="e">
        <f t="shared" ca="1" si="192"/>
        <v>#NUM!</v>
      </c>
      <c r="G1320" s="39" t="e">
        <f ca="1">IF($C$1076&gt;0,VLOOKUP($C1320,COSTI!$U$4:$Z$1003,5,FALSE),IF($C$1075&gt;0,VLOOKUP($C1320,PATRIMONIALE!$U$4:$Z$1003,5,FALSE),IF($C$1074&gt;0,VLOOKUP($C1320,ENTI!$U$4:$Z$1003,5,FALSE),"")))</f>
        <v>#N/A</v>
      </c>
      <c r="H1320" s="42" t="e">
        <f ca="1">IF($C$1076&gt;0,VLOOKUP($C1320,COSTI!$U$4:$Z$1003,6,FALSE),IF($C$1075&gt;0,VLOOKUP($C1320,PATRIMONIALE!$U$4:$Z$1003,6,FALSE),IF($C$1074&gt;0,VLOOKUP($C1320,ENTI!$U$4:$Z$1003,6,FALSE),"")))</f>
        <v>#N/A</v>
      </c>
      <c r="I1320" s="496">
        <v>240</v>
      </c>
      <c r="J1320" s="43" t="e">
        <f ca="1">VLOOKUP(D1320,$F$1081:$I$4183,4,FALSE)+COUNTIF(E$1081:E1319,E1320)</f>
        <v>#N/A</v>
      </c>
      <c r="K1320" s="1"/>
      <c r="L1320" s="39" t="e">
        <f>IF($C$1074&gt;0,VLOOKUP($C1320,ENTI!$U$4:$AD$1003,10,FALSE),"")</f>
        <v>#N/A</v>
      </c>
      <c r="M1320" s="1"/>
      <c r="N1320" s="1"/>
      <c r="O1320" s="1"/>
    </row>
    <row r="1321" spans="1:15" hidden="1">
      <c r="A1321" s="1"/>
      <c r="B1321" s="40" t="e">
        <f t="shared" ca="1" si="191"/>
        <v>#N/A</v>
      </c>
      <c r="C1321" s="496">
        <v>241</v>
      </c>
      <c r="D1321" s="41" t="e">
        <f ca="1">IF($C$1076&gt;0,VLOOKUP($C1321,COSTI!$U$4:$Z$1003,3,FALSE),IF($C$1075&gt;0,VLOOKUP($C1321,PATRIMONIALE!$U$4:$Z$1003,3,FALSE),IF($C$1074&gt;0,VLOOKUP($C1321,ENTI!$U$4:$Z$1003,3,FALSE),"")))</f>
        <v>#N/A</v>
      </c>
      <c r="E1321" s="41" t="str">
        <f t="shared" ca="1" si="190"/>
        <v/>
      </c>
      <c r="F1321" s="41" t="e">
        <f t="shared" ca="1" si="192"/>
        <v>#NUM!</v>
      </c>
      <c r="G1321" s="39" t="e">
        <f ca="1">IF($C$1076&gt;0,VLOOKUP($C1321,COSTI!$U$4:$Z$1003,5,FALSE),IF($C$1075&gt;0,VLOOKUP($C1321,PATRIMONIALE!$U$4:$Z$1003,5,FALSE),IF($C$1074&gt;0,VLOOKUP($C1321,ENTI!$U$4:$Z$1003,5,FALSE),"")))</f>
        <v>#N/A</v>
      </c>
      <c r="H1321" s="42" t="e">
        <f ca="1">IF($C$1076&gt;0,VLOOKUP($C1321,COSTI!$U$4:$Z$1003,6,FALSE),IF($C$1075&gt;0,VLOOKUP($C1321,PATRIMONIALE!$U$4:$Z$1003,6,FALSE),IF($C$1074&gt;0,VLOOKUP($C1321,ENTI!$U$4:$Z$1003,6,FALSE),"")))</f>
        <v>#N/A</v>
      </c>
      <c r="I1321" s="496">
        <v>241</v>
      </c>
      <c r="J1321" s="43" t="e">
        <f ca="1">VLOOKUP(D1321,$F$1081:$I$4183,4,FALSE)+COUNTIF(E$1081:E1320,E1321)</f>
        <v>#N/A</v>
      </c>
      <c r="K1321" s="1"/>
      <c r="L1321" s="39" t="e">
        <f>IF($C$1074&gt;0,VLOOKUP($C1321,ENTI!$U$4:$AD$1003,10,FALSE),"")</f>
        <v>#N/A</v>
      </c>
      <c r="M1321" s="1"/>
      <c r="N1321" s="1"/>
      <c r="O1321" s="1"/>
    </row>
    <row r="1322" spans="1:15" hidden="1">
      <c r="A1322" s="1"/>
      <c r="B1322" s="40" t="e">
        <f t="shared" ca="1" si="191"/>
        <v>#N/A</v>
      </c>
      <c r="C1322" s="496">
        <v>242</v>
      </c>
      <c r="D1322" s="41" t="e">
        <f ca="1">IF($C$1076&gt;0,VLOOKUP($C1322,COSTI!$U$4:$Z$1003,3,FALSE),IF($C$1075&gt;0,VLOOKUP($C1322,PATRIMONIALE!$U$4:$Z$1003,3,FALSE),IF($C$1074&gt;0,VLOOKUP($C1322,ENTI!$U$4:$Z$1003,3,FALSE),"")))</f>
        <v>#N/A</v>
      </c>
      <c r="E1322" s="41" t="str">
        <f t="shared" ca="1" si="190"/>
        <v/>
      </c>
      <c r="F1322" s="41" t="e">
        <f t="shared" ca="1" si="192"/>
        <v>#NUM!</v>
      </c>
      <c r="G1322" s="39" t="e">
        <f ca="1">IF($C$1076&gt;0,VLOOKUP($C1322,COSTI!$U$4:$Z$1003,5,FALSE),IF($C$1075&gt;0,VLOOKUP($C1322,PATRIMONIALE!$U$4:$Z$1003,5,FALSE),IF($C$1074&gt;0,VLOOKUP($C1322,ENTI!$U$4:$Z$1003,5,FALSE),"")))</f>
        <v>#N/A</v>
      </c>
      <c r="H1322" s="42" t="e">
        <f ca="1">IF($C$1076&gt;0,VLOOKUP($C1322,COSTI!$U$4:$Z$1003,6,FALSE),IF($C$1075&gt;0,VLOOKUP($C1322,PATRIMONIALE!$U$4:$Z$1003,6,FALSE),IF($C$1074&gt;0,VLOOKUP($C1322,ENTI!$U$4:$Z$1003,6,FALSE),"")))</f>
        <v>#N/A</v>
      </c>
      <c r="I1322" s="496">
        <v>242</v>
      </c>
      <c r="J1322" s="43" t="e">
        <f ca="1">VLOOKUP(D1322,$F$1081:$I$4183,4,FALSE)+COUNTIF(E$1081:E1321,E1322)</f>
        <v>#N/A</v>
      </c>
      <c r="K1322" s="1"/>
      <c r="L1322" s="39" t="e">
        <f>IF($C$1074&gt;0,VLOOKUP($C1322,ENTI!$U$4:$AD$1003,10,FALSE),"")</f>
        <v>#N/A</v>
      </c>
      <c r="M1322" s="1"/>
      <c r="N1322" s="1"/>
      <c r="O1322" s="1"/>
    </row>
    <row r="1323" spans="1:15" hidden="1">
      <c r="A1323" s="1"/>
      <c r="B1323" s="40" t="e">
        <f t="shared" ca="1" si="191"/>
        <v>#N/A</v>
      </c>
      <c r="C1323" s="496">
        <v>243</v>
      </c>
      <c r="D1323" s="41" t="e">
        <f ca="1">IF($C$1076&gt;0,VLOOKUP($C1323,COSTI!$U$4:$Z$1003,3,FALSE),IF($C$1075&gt;0,VLOOKUP($C1323,PATRIMONIALE!$U$4:$Z$1003,3,FALSE),IF($C$1074&gt;0,VLOOKUP($C1323,ENTI!$U$4:$Z$1003,3,FALSE),"")))</f>
        <v>#N/A</v>
      </c>
      <c r="E1323" s="41" t="str">
        <f t="shared" ca="1" si="190"/>
        <v/>
      </c>
      <c r="F1323" s="41" t="e">
        <f t="shared" ca="1" si="192"/>
        <v>#NUM!</v>
      </c>
      <c r="G1323" s="39" t="e">
        <f ca="1">IF($C$1076&gt;0,VLOOKUP($C1323,COSTI!$U$4:$Z$1003,5,FALSE),IF($C$1075&gt;0,VLOOKUP($C1323,PATRIMONIALE!$U$4:$Z$1003,5,FALSE),IF($C$1074&gt;0,VLOOKUP($C1323,ENTI!$U$4:$Z$1003,5,FALSE),"")))</f>
        <v>#N/A</v>
      </c>
      <c r="H1323" s="42" t="e">
        <f ca="1">IF($C$1076&gt;0,VLOOKUP($C1323,COSTI!$U$4:$Z$1003,6,FALSE),IF($C$1075&gt;0,VLOOKUP($C1323,PATRIMONIALE!$U$4:$Z$1003,6,FALSE),IF($C$1074&gt;0,VLOOKUP($C1323,ENTI!$U$4:$Z$1003,6,FALSE),"")))</f>
        <v>#N/A</v>
      </c>
      <c r="I1323" s="496">
        <v>243</v>
      </c>
      <c r="J1323" s="43" t="e">
        <f ca="1">VLOOKUP(D1323,$F$1081:$I$4183,4,FALSE)+COUNTIF(E$1081:E1322,E1323)</f>
        <v>#N/A</v>
      </c>
      <c r="K1323" s="1"/>
      <c r="L1323" s="39" t="e">
        <f>IF($C$1074&gt;0,VLOOKUP($C1323,ENTI!$U$4:$AD$1003,10,FALSE),"")</f>
        <v>#N/A</v>
      </c>
      <c r="M1323" s="1"/>
      <c r="N1323" s="1"/>
      <c r="O1323" s="1"/>
    </row>
    <row r="1324" spans="1:15" hidden="1">
      <c r="A1324" s="1"/>
      <c r="B1324" s="40" t="e">
        <f t="shared" ca="1" si="191"/>
        <v>#N/A</v>
      </c>
      <c r="C1324" s="496">
        <v>244</v>
      </c>
      <c r="D1324" s="41" t="e">
        <f ca="1">IF($C$1076&gt;0,VLOOKUP($C1324,COSTI!$U$4:$Z$1003,3,FALSE),IF($C$1075&gt;0,VLOOKUP($C1324,PATRIMONIALE!$U$4:$Z$1003,3,FALSE),IF($C$1074&gt;0,VLOOKUP($C1324,ENTI!$U$4:$Z$1003,3,FALSE),"")))</f>
        <v>#N/A</v>
      </c>
      <c r="E1324" s="41" t="str">
        <f t="shared" ca="1" si="190"/>
        <v/>
      </c>
      <c r="F1324" s="41" t="e">
        <f t="shared" ca="1" si="192"/>
        <v>#NUM!</v>
      </c>
      <c r="G1324" s="39" t="e">
        <f ca="1">IF($C$1076&gt;0,VLOOKUP($C1324,COSTI!$U$4:$Z$1003,5,FALSE),IF($C$1075&gt;0,VLOOKUP($C1324,PATRIMONIALE!$U$4:$Z$1003,5,FALSE),IF($C$1074&gt;0,VLOOKUP($C1324,ENTI!$U$4:$Z$1003,5,FALSE),"")))</f>
        <v>#N/A</v>
      </c>
      <c r="H1324" s="42" t="e">
        <f ca="1">IF($C$1076&gt;0,VLOOKUP($C1324,COSTI!$U$4:$Z$1003,6,FALSE),IF($C$1075&gt;0,VLOOKUP($C1324,PATRIMONIALE!$U$4:$Z$1003,6,FALSE),IF($C$1074&gt;0,VLOOKUP($C1324,ENTI!$U$4:$Z$1003,6,FALSE),"")))</f>
        <v>#N/A</v>
      </c>
      <c r="I1324" s="496">
        <v>244</v>
      </c>
      <c r="J1324" s="43" t="e">
        <f ca="1">VLOOKUP(D1324,$F$1081:$I$4183,4,FALSE)+COUNTIF(E$1081:E1323,E1324)</f>
        <v>#N/A</v>
      </c>
      <c r="K1324" s="1"/>
      <c r="L1324" s="39" t="e">
        <f>IF($C$1074&gt;0,VLOOKUP($C1324,ENTI!$U$4:$AD$1003,10,FALSE),"")</f>
        <v>#N/A</v>
      </c>
      <c r="M1324" s="1"/>
      <c r="N1324" s="1"/>
      <c r="O1324" s="1"/>
    </row>
    <row r="1325" spans="1:15" hidden="1">
      <c r="A1325" s="1"/>
      <c r="B1325" s="40" t="e">
        <f t="shared" ca="1" si="191"/>
        <v>#N/A</v>
      </c>
      <c r="C1325" s="496">
        <v>245</v>
      </c>
      <c r="D1325" s="41" t="e">
        <f ca="1">IF($C$1076&gt;0,VLOOKUP($C1325,COSTI!$U$4:$Z$1003,3,FALSE),IF($C$1075&gt;0,VLOOKUP($C1325,PATRIMONIALE!$U$4:$Z$1003,3,FALSE),IF($C$1074&gt;0,VLOOKUP($C1325,ENTI!$U$4:$Z$1003,3,FALSE),"")))</f>
        <v>#N/A</v>
      </c>
      <c r="E1325" s="41" t="str">
        <f t="shared" ca="1" si="190"/>
        <v/>
      </c>
      <c r="F1325" s="41" t="e">
        <f t="shared" ca="1" si="192"/>
        <v>#NUM!</v>
      </c>
      <c r="G1325" s="39" t="e">
        <f ca="1">IF($C$1076&gt;0,VLOOKUP($C1325,COSTI!$U$4:$Z$1003,5,FALSE),IF($C$1075&gt;0,VLOOKUP($C1325,PATRIMONIALE!$U$4:$Z$1003,5,FALSE),IF($C$1074&gt;0,VLOOKUP($C1325,ENTI!$U$4:$Z$1003,5,FALSE),"")))</f>
        <v>#N/A</v>
      </c>
      <c r="H1325" s="42" t="e">
        <f ca="1">IF($C$1076&gt;0,VLOOKUP($C1325,COSTI!$U$4:$Z$1003,6,FALSE),IF($C$1075&gt;0,VLOOKUP($C1325,PATRIMONIALE!$U$4:$Z$1003,6,FALSE),IF($C$1074&gt;0,VLOOKUP($C1325,ENTI!$U$4:$Z$1003,6,FALSE),"")))</f>
        <v>#N/A</v>
      </c>
      <c r="I1325" s="496">
        <v>245</v>
      </c>
      <c r="J1325" s="43" t="e">
        <f ca="1">VLOOKUP(D1325,$F$1081:$I$4183,4,FALSE)+COUNTIF(E$1081:E1324,E1325)</f>
        <v>#N/A</v>
      </c>
      <c r="K1325" s="1"/>
      <c r="L1325" s="39" t="e">
        <f>IF($C$1074&gt;0,VLOOKUP($C1325,ENTI!$U$4:$AD$1003,10,FALSE),"")</f>
        <v>#N/A</v>
      </c>
      <c r="M1325" s="1"/>
      <c r="N1325" s="1"/>
      <c r="O1325" s="1"/>
    </row>
    <row r="1326" spans="1:15" hidden="1">
      <c r="A1326" s="1"/>
      <c r="B1326" s="40" t="e">
        <f t="shared" ca="1" si="191"/>
        <v>#N/A</v>
      </c>
      <c r="C1326" s="496">
        <v>246</v>
      </c>
      <c r="D1326" s="41" t="e">
        <f ca="1">IF($C$1076&gt;0,VLOOKUP($C1326,COSTI!$U$4:$Z$1003,3,FALSE),IF($C$1075&gt;0,VLOOKUP($C1326,PATRIMONIALE!$U$4:$Z$1003,3,FALSE),IF($C$1074&gt;0,VLOOKUP($C1326,ENTI!$U$4:$Z$1003,3,FALSE),"")))</f>
        <v>#N/A</v>
      </c>
      <c r="E1326" s="41" t="str">
        <f t="shared" ca="1" si="190"/>
        <v/>
      </c>
      <c r="F1326" s="41" t="e">
        <f t="shared" ca="1" si="192"/>
        <v>#NUM!</v>
      </c>
      <c r="G1326" s="39" t="e">
        <f ca="1">IF($C$1076&gt;0,VLOOKUP($C1326,COSTI!$U$4:$Z$1003,5,FALSE),IF($C$1075&gt;0,VLOOKUP($C1326,PATRIMONIALE!$U$4:$Z$1003,5,FALSE),IF($C$1074&gt;0,VLOOKUP($C1326,ENTI!$U$4:$Z$1003,5,FALSE),"")))</f>
        <v>#N/A</v>
      </c>
      <c r="H1326" s="42" t="e">
        <f ca="1">IF($C$1076&gt;0,VLOOKUP($C1326,COSTI!$U$4:$Z$1003,6,FALSE),IF($C$1075&gt;0,VLOOKUP($C1326,PATRIMONIALE!$U$4:$Z$1003,6,FALSE),IF($C$1074&gt;0,VLOOKUP($C1326,ENTI!$U$4:$Z$1003,6,FALSE),"")))</f>
        <v>#N/A</v>
      </c>
      <c r="I1326" s="496">
        <v>246</v>
      </c>
      <c r="J1326" s="43" t="e">
        <f ca="1">VLOOKUP(D1326,$F$1081:$I$4183,4,FALSE)+COUNTIF(E$1081:E1325,E1326)</f>
        <v>#N/A</v>
      </c>
      <c r="K1326" s="1"/>
      <c r="L1326" s="39" t="e">
        <f>IF($C$1074&gt;0,VLOOKUP($C1326,ENTI!$U$4:$AD$1003,10,FALSE),"")</f>
        <v>#N/A</v>
      </c>
      <c r="M1326" s="1"/>
      <c r="N1326" s="1"/>
      <c r="O1326" s="1"/>
    </row>
    <row r="1327" spans="1:15" hidden="1">
      <c r="A1327" s="1"/>
      <c r="B1327" s="40" t="e">
        <f t="shared" ca="1" si="191"/>
        <v>#N/A</v>
      </c>
      <c r="C1327" s="496">
        <v>247</v>
      </c>
      <c r="D1327" s="41" t="e">
        <f ca="1">IF($C$1076&gt;0,VLOOKUP($C1327,COSTI!$U$4:$Z$1003,3,FALSE),IF($C$1075&gt;0,VLOOKUP($C1327,PATRIMONIALE!$U$4:$Z$1003,3,FALSE),IF($C$1074&gt;0,VLOOKUP($C1327,ENTI!$U$4:$Z$1003,3,FALSE),"")))</f>
        <v>#N/A</v>
      </c>
      <c r="E1327" s="41" t="str">
        <f t="shared" ca="1" si="190"/>
        <v/>
      </c>
      <c r="F1327" s="41" t="e">
        <f t="shared" ca="1" si="192"/>
        <v>#NUM!</v>
      </c>
      <c r="G1327" s="39" t="e">
        <f ca="1">IF($C$1076&gt;0,VLOOKUP($C1327,COSTI!$U$4:$Z$1003,5,FALSE),IF($C$1075&gt;0,VLOOKUP($C1327,PATRIMONIALE!$U$4:$Z$1003,5,FALSE),IF($C$1074&gt;0,VLOOKUP($C1327,ENTI!$U$4:$Z$1003,5,FALSE),"")))</f>
        <v>#N/A</v>
      </c>
      <c r="H1327" s="42" t="e">
        <f ca="1">IF($C$1076&gt;0,VLOOKUP($C1327,COSTI!$U$4:$Z$1003,6,FALSE),IF($C$1075&gt;0,VLOOKUP($C1327,PATRIMONIALE!$U$4:$Z$1003,6,FALSE),IF($C$1074&gt;0,VLOOKUP($C1327,ENTI!$U$4:$Z$1003,6,FALSE),"")))</f>
        <v>#N/A</v>
      </c>
      <c r="I1327" s="496">
        <v>247</v>
      </c>
      <c r="J1327" s="43" t="e">
        <f ca="1">VLOOKUP(D1327,$F$1081:$I$4183,4,FALSE)+COUNTIF(E$1081:E1326,E1327)</f>
        <v>#N/A</v>
      </c>
      <c r="K1327" s="1"/>
      <c r="L1327" s="39" t="e">
        <f>IF($C$1074&gt;0,VLOOKUP($C1327,ENTI!$U$4:$AD$1003,10,FALSE),"")</f>
        <v>#N/A</v>
      </c>
      <c r="M1327" s="1"/>
      <c r="N1327" s="1"/>
      <c r="O1327" s="1"/>
    </row>
    <row r="1328" spans="1:15" hidden="1">
      <c r="A1328" s="1"/>
      <c r="B1328" s="40" t="e">
        <f t="shared" ca="1" si="191"/>
        <v>#N/A</v>
      </c>
      <c r="C1328" s="496">
        <v>248</v>
      </c>
      <c r="D1328" s="41" t="e">
        <f ca="1">IF($C$1076&gt;0,VLOOKUP($C1328,COSTI!$U$4:$Z$1003,3,FALSE),IF($C$1075&gt;0,VLOOKUP($C1328,PATRIMONIALE!$U$4:$Z$1003,3,FALSE),IF($C$1074&gt;0,VLOOKUP($C1328,ENTI!$U$4:$Z$1003,3,FALSE),"")))</f>
        <v>#N/A</v>
      </c>
      <c r="E1328" s="41" t="str">
        <f t="shared" ca="1" si="190"/>
        <v/>
      </c>
      <c r="F1328" s="41" t="e">
        <f t="shared" ca="1" si="192"/>
        <v>#NUM!</v>
      </c>
      <c r="G1328" s="39" t="e">
        <f ca="1">IF($C$1076&gt;0,VLOOKUP($C1328,COSTI!$U$4:$Z$1003,5,FALSE),IF($C$1075&gt;0,VLOOKUP($C1328,PATRIMONIALE!$U$4:$Z$1003,5,FALSE),IF($C$1074&gt;0,VLOOKUP($C1328,ENTI!$U$4:$Z$1003,5,FALSE),"")))</f>
        <v>#N/A</v>
      </c>
      <c r="H1328" s="42" t="e">
        <f ca="1">IF($C$1076&gt;0,VLOOKUP($C1328,COSTI!$U$4:$Z$1003,6,FALSE),IF($C$1075&gt;0,VLOOKUP($C1328,PATRIMONIALE!$U$4:$Z$1003,6,FALSE),IF($C$1074&gt;0,VLOOKUP($C1328,ENTI!$U$4:$Z$1003,6,FALSE),"")))</f>
        <v>#N/A</v>
      </c>
      <c r="I1328" s="496">
        <v>248</v>
      </c>
      <c r="J1328" s="43" t="e">
        <f ca="1">VLOOKUP(D1328,$F$1081:$I$4183,4,FALSE)+COUNTIF(E$1081:E1327,E1328)</f>
        <v>#N/A</v>
      </c>
      <c r="K1328" s="1"/>
      <c r="L1328" s="39" t="e">
        <f>IF($C$1074&gt;0,VLOOKUP($C1328,ENTI!$U$4:$AD$1003,10,FALSE),"")</f>
        <v>#N/A</v>
      </c>
      <c r="M1328" s="1"/>
      <c r="N1328" s="1"/>
      <c r="O1328" s="1"/>
    </row>
    <row r="1329" spans="1:15" hidden="1">
      <c r="A1329" s="1"/>
      <c r="B1329" s="40" t="e">
        <f t="shared" ca="1" si="191"/>
        <v>#N/A</v>
      </c>
      <c r="C1329" s="496">
        <v>249</v>
      </c>
      <c r="D1329" s="41" t="e">
        <f ca="1">IF($C$1076&gt;0,VLOOKUP($C1329,COSTI!$U$4:$Z$1003,3,FALSE),IF($C$1075&gt;0,VLOOKUP($C1329,PATRIMONIALE!$U$4:$Z$1003,3,FALSE),IF($C$1074&gt;0,VLOOKUP($C1329,ENTI!$U$4:$Z$1003,3,FALSE),"")))</f>
        <v>#N/A</v>
      </c>
      <c r="E1329" s="41" t="str">
        <f t="shared" ca="1" si="190"/>
        <v/>
      </c>
      <c r="F1329" s="41" t="e">
        <f t="shared" ca="1" si="192"/>
        <v>#NUM!</v>
      </c>
      <c r="G1329" s="39" t="e">
        <f ca="1">IF($C$1076&gt;0,VLOOKUP($C1329,COSTI!$U$4:$Z$1003,5,FALSE),IF($C$1075&gt;0,VLOOKUP($C1329,PATRIMONIALE!$U$4:$Z$1003,5,FALSE),IF($C$1074&gt;0,VLOOKUP($C1329,ENTI!$U$4:$Z$1003,5,FALSE),"")))</f>
        <v>#N/A</v>
      </c>
      <c r="H1329" s="42" t="e">
        <f ca="1">IF($C$1076&gt;0,VLOOKUP($C1329,COSTI!$U$4:$Z$1003,6,FALSE),IF($C$1075&gt;0,VLOOKUP($C1329,PATRIMONIALE!$U$4:$Z$1003,6,FALSE),IF($C$1074&gt;0,VLOOKUP($C1329,ENTI!$U$4:$Z$1003,6,FALSE),"")))</f>
        <v>#N/A</v>
      </c>
      <c r="I1329" s="496">
        <v>249</v>
      </c>
      <c r="J1329" s="43" t="e">
        <f ca="1">VLOOKUP(D1329,$F$1081:$I$4183,4,FALSE)+COUNTIF(E$1081:E1328,E1329)</f>
        <v>#N/A</v>
      </c>
      <c r="K1329" s="1"/>
      <c r="L1329" s="39" t="e">
        <f>IF($C$1074&gt;0,VLOOKUP($C1329,ENTI!$U$4:$AD$1003,10,FALSE),"")</f>
        <v>#N/A</v>
      </c>
      <c r="M1329" s="1"/>
      <c r="N1329" s="1"/>
      <c r="O1329" s="1"/>
    </row>
    <row r="1330" spans="1:15" hidden="1">
      <c r="A1330" s="1"/>
      <c r="B1330" s="40" t="e">
        <f t="shared" ca="1" si="191"/>
        <v>#N/A</v>
      </c>
      <c r="C1330" s="496">
        <v>250</v>
      </c>
      <c r="D1330" s="41" t="e">
        <f ca="1">IF($C$1076&gt;0,VLOOKUP($C1330,COSTI!$U$4:$Z$1003,3,FALSE),IF($C$1075&gt;0,VLOOKUP($C1330,PATRIMONIALE!$U$4:$Z$1003,3,FALSE),IF($C$1074&gt;0,VLOOKUP($C1330,ENTI!$U$4:$Z$1003,3,FALSE),"")))</f>
        <v>#N/A</v>
      </c>
      <c r="E1330" s="41" t="str">
        <f t="shared" ca="1" si="190"/>
        <v/>
      </c>
      <c r="F1330" s="41" t="e">
        <f t="shared" ca="1" si="192"/>
        <v>#NUM!</v>
      </c>
      <c r="G1330" s="39" t="e">
        <f ca="1">IF($C$1076&gt;0,VLOOKUP($C1330,COSTI!$U$4:$Z$1003,5,FALSE),IF($C$1075&gt;0,VLOOKUP($C1330,PATRIMONIALE!$U$4:$Z$1003,5,FALSE),IF($C$1074&gt;0,VLOOKUP($C1330,ENTI!$U$4:$Z$1003,5,FALSE),"")))</f>
        <v>#N/A</v>
      </c>
      <c r="H1330" s="42" t="e">
        <f ca="1">IF($C$1076&gt;0,VLOOKUP($C1330,COSTI!$U$4:$Z$1003,6,FALSE),IF($C$1075&gt;0,VLOOKUP($C1330,PATRIMONIALE!$U$4:$Z$1003,6,FALSE),IF($C$1074&gt;0,VLOOKUP($C1330,ENTI!$U$4:$Z$1003,6,FALSE),"")))</f>
        <v>#N/A</v>
      </c>
      <c r="I1330" s="496">
        <v>250</v>
      </c>
      <c r="J1330" s="43" t="e">
        <f ca="1">VLOOKUP(D1330,$F$1081:$I$4183,4,FALSE)+COUNTIF(E$1081:E1329,E1330)</f>
        <v>#N/A</v>
      </c>
      <c r="K1330" s="1"/>
      <c r="L1330" s="39" t="e">
        <f>IF($C$1074&gt;0,VLOOKUP($C1330,ENTI!$U$4:$AD$1003,10,FALSE),"")</f>
        <v>#N/A</v>
      </c>
      <c r="M1330" s="1"/>
      <c r="N1330" s="1"/>
      <c r="O1330" s="1"/>
    </row>
    <row r="1331" spans="1:15" hidden="1">
      <c r="A1331" s="1"/>
      <c r="B1331" s="40" t="e">
        <f t="shared" ca="1" si="191"/>
        <v>#N/A</v>
      </c>
      <c r="C1331" s="496">
        <v>251</v>
      </c>
      <c r="D1331" s="41" t="e">
        <f ca="1">IF($C$1076&gt;0,VLOOKUP($C1331,COSTI!$U$4:$Z$1003,3,FALSE),IF($C$1075&gt;0,VLOOKUP($C1331,PATRIMONIALE!$U$4:$Z$1003,3,FALSE),IF($C$1074&gt;0,VLOOKUP($C1331,ENTI!$U$4:$Z$1003,3,FALSE),"")))</f>
        <v>#N/A</v>
      </c>
      <c r="E1331" s="41" t="str">
        <f t="shared" ref="E1331:E1394" ca="1" si="193">IF(ISERROR(D1331),"",D1331)</f>
        <v/>
      </c>
      <c r="F1331" s="41" t="e">
        <f t="shared" ca="1" si="192"/>
        <v>#NUM!</v>
      </c>
      <c r="G1331" s="39" t="e">
        <f ca="1">IF($C$1076&gt;0,VLOOKUP($C1331,COSTI!$U$4:$Z$1003,5,FALSE),IF($C$1075&gt;0,VLOOKUP($C1331,PATRIMONIALE!$U$4:$Z$1003,5,FALSE),IF($C$1074&gt;0,VLOOKUP($C1331,ENTI!$U$4:$Z$1003,5,FALSE),"")))</f>
        <v>#N/A</v>
      </c>
      <c r="H1331" s="42" t="e">
        <f ca="1">IF($C$1076&gt;0,VLOOKUP($C1331,COSTI!$U$4:$Z$1003,6,FALSE),IF($C$1075&gt;0,VLOOKUP($C1331,PATRIMONIALE!$U$4:$Z$1003,6,FALSE),IF($C$1074&gt;0,VLOOKUP($C1331,ENTI!$U$4:$Z$1003,6,FALSE),"")))</f>
        <v>#N/A</v>
      </c>
      <c r="I1331" s="496">
        <v>251</v>
      </c>
      <c r="J1331" s="43" t="e">
        <f ca="1">VLOOKUP(D1331,$F$1081:$I$4183,4,FALSE)+COUNTIF(E$1081:E1330,E1331)</f>
        <v>#N/A</v>
      </c>
      <c r="K1331" s="1"/>
      <c r="L1331" s="39" t="e">
        <f>IF($C$1074&gt;0,VLOOKUP($C1331,ENTI!$U$4:$AD$1003,10,FALSE),"")</f>
        <v>#N/A</v>
      </c>
      <c r="M1331" s="1"/>
      <c r="N1331" s="1"/>
      <c r="O1331" s="1"/>
    </row>
    <row r="1332" spans="1:15" hidden="1">
      <c r="A1332" s="1"/>
      <c r="B1332" s="40" t="e">
        <f t="shared" ca="1" si="191"/>
        <v>#N/A</v>
      </c>
      <c r="C1332" s="496">
        <v>252</v>
      </c>
      <c r="D1332" s="41" t="e">
        <f ca="1">IF($C$1076&gt;0,VLOOKUP($C1332,COSTI!$U$4:$Z$1003,3,FALSE),IF($C$1075&gt;0,VLOOKUP($C1332,PATRIMONIALE!$U$4:$Z$1003,3,FALSE),IF($C$1074&gt;0,VLOOKUP($C1332,ENTI!$U$4:$Z$1003,3,FALSE),"")))</f>
        <v>#N/A</v>
      </c>
      <c r="E1332" s="41" t="str">
        <f t="shared" ca="1" si="193"/>
        <v/>
      </c>
      <c r="F1332" s="41" t="e">
        <f t="shared" ca="1" si="192"/>
        <v>#NUM!</v>
      </c>
      <c r="G1332" s="39" t="e">
        <f ca="1">IF($C$1076&gt;0,VLOOKUP($C1332,COSTI!$U$4:$Z$1003,5,FALSE),IF($C$1075&gt;0,VLOOKUP($C1332,PATRIMONIALE!$U$4:$Z$1003,5,FALSE),IF($C$1074&gt;0,VLOOKUP($C1332,ENTI!$U$4:$Z$1003,5,FALSE),"")))</f>
        <v>#N/A</v>
      </c>
      <c r="H1332" s="42" t="e">
        <f ca="1">IF($C$1076&gt;0,VLOOKUP($C1332,COSTI!$U$4:$Z$1003,6,FALSE),IF($C$1075&gt;0,VLOOKUP($C1332,PATRIMONIALE!$U$4:$Z$1003,6,FALSE),IF($C$1074&gt;0,VLOOKUP($C1332,ENTI!$U$4:$Z$1003,6,FALSE),"")))</f>
        <v>#N/A</v>
      </c>
      <c r="I1332" s="496">
        <v>252</v>
      </c>
      <c r="J1332" s="43" t="e">
        <f ca="1">VLOOKUP(D1332,$F$1081:$I$4183,4,FALSE)+COUNTIF(E$1081:E1331,E1332)</f>
        <v>#N/A</v>
      </c>
      <c r="K1332" s="1"/>
      <c r="L1332" s="39" t="e">
        <f>IF($C$1074&gt;0,VLOOKUP($C1332,ENTI!$U$4:$AD$1003,10,FALSE),"")</f>
        <v>#N/A</v>
      </c>
      <c r="M1332" s="1"/>
      <c r="N1332" s="1"/>
      <c r="O1332" s="1"/>
    </row>
    <row r="1333" spans="1:15" hidden="1">
      <c r="A1333" s="1"/>
      <c r="B1333" s="40" t="e">
        <f t="shared" ca="1" si="191"/>
        <v>#N/A</v>
      </c>
      <c r="C1333" s="496">
        <v>253</v>
      </c>
      <c r="D1333" s="41" t="e">
        <f ca="1">IF($C$1076&gt;0,VLOOKUP($C1333,COSTI!$U$4:$Z$1003,3,FALSE),IF($C$1075&gt;0,VLOOKUP($C1333,PATRIMONIALE!$U$4:$Z$1003,3,FALSE),IF($C$1074&gt;0,VLOOKUP($C1333,ENTI!$U$4:$Z$1003,3,FALSE),"")))</f>
        <v>#N/A</v>
      </c>
      <c r="E1333" s="41" t="str">
        <f t="shared" ca="1" si="193"/>
        <v/>
      </c>
      <c r="F1333" s="41" t="e">
        <f t="shared" ca="1" si="192"/>
        <v>#NUM!</v>
      </c>
      <c r="G1333" s="39" t="e">
        <f ca="1">IF($C$1076&gt;0,VLOOKUP($C1333,COSTI!$U$4:$Z$1003,5,FALSE),IF($C$1075&gt;0,VLOOKUP($C1333,PATRIMONIALE!$U$4:$Z$1003,5,FALSE),IF($C$1074&gt;0,VLOOKUP($C1333,ENTI!$U$4:$Z$1003,5,FALSE),"")))</f>
        <v>#N/A</v>
      </c>
      <c r="H1333" s="42" t="e">
        <f ca="1">IF($C$1076&gt;0,VLOOKUP($C1333,COSTI!$U$4:$Z$1003,6,FALSE),IF($C$1075&gt;0,VLOOKUP($C1333,PATRIMONIALE!$U$4:$Z$1003,6,FALSE),IF($C$1074&gt;0,VLOOKUP($C1333,ENTI!$U$4:$Z$1003,6,FALSE),"")))</f>
        <v>#N/A</v>
      </c>
      <c r="I1333" s="496">
        <v>253</v>
      </c>
      <c r="J1333" s="43" t="e">
        <f ca="1">VLOOKUP(D1333,$F$1081:$I$4183,4,FALSE)+COUNTIF(E$1081:E1332,E1333)</f>
        <v>#N/A</v>
      </c>
      <c r="K1333" s="1"/>
      <c r="L1333" s="39" t="e">
        <f>IF($C$1074&gt;0,VLOOKUP($C1333,ENTI!$U$4:$AD$1003,10,FALSE),"")</f>
        <v>#N/A</v>
      </c>
      <c r="M1333" s="1"/>
      <c r="N1333" s="1"/>
      <c r="O1333" s="1"/>
    </row>
    <row r="1334" spans="1:15" hidden="1">
      <c r="A1334" s="1"/>
      <c r="B1334" s="40" t="e">
        <f t="shared" ca="1" si="191"/>
        <v>#N/A</v>
      </c>
      <c r="C1334" s="496">
        <v>254</v>
      </c>
      <c r="D1334" s="41" t="e">
        <f ca="1">IF($C$1076&gt;0,VLOOKUP($C1334,COSTI!$U$4:$Z$1003,3,FALSE),IF($C$1075&gt;0,VLOOKUP($C1334,PATRIMONIALE!$U$4:$Z$1003,3,FALSE),IF($C$1074&gt;0,VLOOKUP($C1334,ENTI!$U$4:$Z$1003,3,FALSE),"")))</f>
        <v>#N/A</v>
      </c>
      <c r="E1334" s="41" t="str">
        <f t="shared" ca="1" si="193"/>
        <v/>
      </c>
      <c r="F1334" s="41" t="e">
        <f t="shared" ca="1" si="192"/>
        <v>#NUM!</v>
      </c>
      <c r="G1334" s="39" t="e">
        <f ca="1">IF($C$1076&gt;0,VLOOKUP($C1334,COSTI!$U$4:$Z$1003,5,FALSE),IF($C$1075&gt;0,VLOOKUP($C1334,PATRIMONIALE!$U$4:$Z$1003,5,FALSE),IF($C$1074&gt;0,VLOOKUP($C1334,ENTI!$U$4:$Z$1003,5,FALSE),"")))</f>
        <v>#N/A</v>
      </c>
      <c r="H1334" s="42" t="e">
        <f ca="1">IF($C$1076&gt;0,VLOOKUP($C1334,COSTI!$U$4:$Z$1003,6,FALSE),IF($C$1075&gt;0,VLOOKUP($C1334,PATRIMONIALE!$U$4:$Z$1003,6,FALSE),IF($C$1074&gt;0,VLOOKUP($C1334,ENTI!$U$4:$Z$1003,6,FALSE),"")))</f>
        <v>#N/A</v>
      </c>
      <c r="I1334" s="496">
        <v>254</v>
      </c>
      <c r="J1334" s="43" t="e">
        <f ca="1">VLOOKUP(D1334,$F$1081:$I$4183,4,FALSE)+COUNTIF(E$1081:E1333,E1334)</f>
        <v>#N/A</v>
      </c>
      <c r="K1334" s="1"/>
      <c r="L1334" s="39" t="e">
        <f>IF($C$1074&gt;0,VLOOKUP($C1334,ENTI!$U$4:$AD$1003,10,FALSE),"")</f>
        <v>#N/A</v>
      </c>
      <c r="M1334" s="1"/>
      <c r="N1334" s="1"/>
      <c r="O1334" s="1"/>
    </row>
    <row r="1335" spans="1:15" hidden="1">
      <c r="A1335" s="1"/>
      <c r="B1335" s="40" t="e">
        <f t="shared" ca="1" si="191"/>
        <v>#N/A</v>
      </c>
      <c r="C1335" s="496">
        <v>255</v>
      </c>
      <c r="D1335" s="41" t="e">
        <f ca="1">IF($C$1076&gt;0,VLOOKUP($C1335,COSTI!$U$4:$Z$1003,3,FALSE),IF($C$1075&gt;0,VLOOKUP($C1335,PATRIMONIALE!$U$4:$Z$1003,3,FALSE),IF($C$1074&gt;0,VLOOKUP($C1335,ENTI!$U$4:$Z$1003,3,FALSE),"")))</f>
        <v>#N/A</v>
      </c>
      <c r="E1335" s="41" t="str">
        <f t="shared" ca="1" si="193"/>
        <v/>
      </c>
      <c r="F1335" s="41" t="e">
        <f t="shared" ca="1" si="192"/>
        <v>#NUM!</v>
      </c>
      <c r="G1335" s="39" t="e">
        <f ca="1">IF($C$1076&gt;0,VLOOKUP($C1335,COSTI!$U$4:$Z$1003,5,FALSE),IF($C$1075&gt;0,VLOOKUP($C1335,PATRIMONIALE!$U$4:$Z$1003,5,FALSE),IF($C$1074&gt;0,VLOOKUP($C1335,ENTI!$U$4:$Z$1003,5,FALSE),"")))</f>
        <v>#N/A</v>
      </c>
      <c r="H1335" s="42" t="e">
        <f ca="1">IF($C$1076&gt;0,VLOOKUP($C1335,COSTI!$U$4:$Z$1003,6,FALSE),IF($C$1075&gt;0,VLOOKUP($C1335,PATRIMONIALE!$U$4:$Z$1003,6,FALSE),IF($C$1074&gt;0,VLOOKUP($C1335,ENTI!$U$4:$Z$1003,6,FALSE),"")))</f>
        <v>#N/A</v>
      </c>
      <c r="I1335" s="496">
        <v>255</v>
      </c>
      <c r="J1335" s="43" t="e">
        <f ca="1">VLOOKUP(D1335,$F$1081:$I$4183,4,FALSE)+COUNTIF(E$1081:E1334,E1335)</f>
        <v>#N/A</v>
      </c>
      <c r="K1335" s="1"/>
      <c r="L1335" s="39" t="e">
        <f>IF($C$1074&gt;0,VLOOKUP($C1335,ENTI!$U$4:$AD$1003,10,FALSE),"")</f>
        <v>#N/A</v>
      </c>
      <c r="M1335" s="1"/>
      <c r="N1335" s="1"/>
      <c r="O1335" s="1"/>
    </row>
    <row r="1336" spans="1:15" hidden="1">
      <c r="A1336" s="1"/>
      <c r="B1336" s="40" t="e">
        <f t="shared" ca="1" si="191"/>
        <v>#N/A</v>
      </c>
      <c r="C1336" s="496">
        <v>256</v>
      </c>
      <c r="D1336" s="41" t="e">
        <f ca="1">IF($C$1076&gt;0,VLOOKUP($C1336,COSTI!$U$4:$Z$1003,3,FALSE),IF($C$1075&gt;0,VLOOKUP($C1336,PATRIMONIALE!$U$4:$Z$1003,3,FALSE),IF($C$1074&gt;0,VLOOKUP($C1336,ENTI!$U$4:$Z$1003,3,FALSE),"")))</f>
        <v>#N/A</v>
      </c>
      <c r="E1336" s="41" t="str">
        <f t="shared" ca="1" si="193"/>
        <v/>
      </c>
      <c r="F1336" s="41" t="e">
        <f t="shared" ca="1" si="192"/>
        <v>#NUM!</v>
      </c>
      <c r="G1336" s="39" t="e">
        <f ca="1">IF($C$1076&gt;0,VLOOKUP($C1336,COSTI!$U$4:$Z$1003,5,FALSE),IF($C$1075&gt;0,VLOOKUP($C1336,PATRIMONIALE!$U$4:$Z$1003,5,FALSE),IF($C$1074&gt;0,VLOOKUP($C1336,ENTI!$U$4:$Z$1003,5,FALSE),"")))</f>
        <v>#N/A</v>
      </c>
      <c r="H1336" s="42" t="e">
        <f ca="1">IF($C$1076&gt;0,VLOOKUP($C1336,COSTI!$U$4:$Z$1003,6,FALSE),IF($C$1075&gt;0,VLOOKUP($C1336,PATRIMONIALE!$U$4:$Z$1003,6,FALSE),IF($C$1074&gt;0,VLOOKUP($C1336,ENTI!$U$4:$Z$1003,6,FALSE),"")))</f>
        <v>#N/A</v>
      </c>
      <c r="I1336" s="496">
        <v>256</v>
      </c>
      <c r="J1336" s="43" t="e">
        <f ca="1">VLOOKUP(D1336,$F$1081:$I$4183,4,FALSE)+COUNTIF(E$1081:E1335,E1336)</f>
        <v>#N/A</v>
      </c>
      <c r="K1336" s="1"/>
      <c r="L1336" s="39" t="e">
        <f>IF($C$1074&gt;0,VLOOKUP($C1336,ENTI!$U$4:$AD$1003,10,FALSE),"")</f>
        <v>#N/A</v>
      </c>
      <c r="M1336" s="1"/>
      <c r="N1336" s="1"/>
      <c r="O1336" s="1"/>
    </row>
    <row r="1337" spans="1:15" hidden="1">
      <c r="A1337" s="1"/>
      <c r="B1337" s="40" t="e">
        <f t="shared" ref="B1337:B1400" ca="1" si="194">IF(OR(C$1075&gt;0,C$1077&gt;0,C$1073&gt;0,C$1071&gt;0),J1337+1,J1337)</f>
        <v>#N/A</v>
      </c>
      <c r="C1337" s="496">
        <v>257</v>
      </c>
      <c r="D1337" s="41" t="e">
        <f ca="1">IF($C$1076&gt;0,VLOOKUP($C1337,COSTI!$U$4:$Z$1003,3,FALSE),IF($C$1075&gt;0,VLOOKUP($C1337,PATRIMONIALE!$U$4:$Z$1003,3,FALSE),IF($C$1074&gt;0,VLOOKUP($C1337,ENTI!$U$4:$Z$1003,3,FALSE),"")))</f>
        <v>#N/A</v>
      </c>
      <c r="E1337" s="41" t="str">
        <f t="shared" ca="1" si="193"/>
        <v/>
      </c>
      <c r="F1337" s="41" t="e">
        <f t="shared" ref="F1337:F1400" ca="1" si="195">SMALL(E$1081:E$4183,C1337)</f>
        <v>#NUM!</v>
      </c>
      <c r="G1337" s="39" t="e">
        <f ca="1">IF($C$1076&gt;0,VLOOKUP($C1337,COSTI!$U$4:$Z$1003,5,FALSE),IF($C$1075&gt;0,VLOOKUP($C1337,PATRIMONIALE!$U$4:$Z$1003,5,FALSE),IF($C$1074&gt;0,VLOOKUP($C1337,ENTI!$U$4:$Z$1003,5,FALSE),"")))</f>
        <v>#N/A</v>
      </c>
      <c r="H1337" s="42" t="e">
        <f ca="1">IF($C$1076&gt;0,VLOOKUP($C1337,COSTI!$U$4:$Z$1003,6,FALSE),IF($C$1075&gt;0,VLOOKUP($C1337,PATRIMONIALE!$U$4:$Z$1003,6,FALSE),IF($C$1074&gt;0,VLOOKUP($C1337,ENTI!$U$4:$Z$1003,6,FALSE),"")))</f>
        <v>#N/A</v>
      </c>
      <c r="I1337" s="496">
        <v>257</v>
      </c>
      <c r="J1337" s="43" t="e">
        <f ca="1">VLOOKUP(D1337,$F$1081:$I$4183,4,FALSE)+COUNTIF(E$1081:E1336,E1337)</f>
        <v>#N/A</v>
      </c>
      <c r="K1337" s="1"/>
      <c r="L1337" s="39" t="e">
        <f>IF($C$1074&gt;0,VLOOKUP($C1337,ENTI!$U$4:$AD$1003,10,FALSE),"")</f>
        <v>#N/A</v>
      </c>
      <c r="M1337" s="1"/>
      <c r="N1337" s="1"/>
      <c r="O1337" s="1"/>
    </row>
    <row r="1338" spans="1:15" hidden="1">
      <c r="A1338" s="1"/>
      <c r="B1338" s="40" t="e">
        <f t="shared" ca="1" si="194"/>
        <v>#N/A</v>
      </c>
      <c r="C1338" s="496">
        <v>258</v>
      </c>
      <c r="D1338" s="41" t="e">
        <f ca="1">IF($C$1076&gt;0,VLOOKUP($C1338,COSTI!$U$4:$Z$1003,3,FALSE),IF($C$1075&gt;0,VLOOKUP($C1338,PATRIMONIALE!$U$4:$Z$1003,3,FALSE),IF($C$1074&gt;0,VLOOKUP($C1338,ENTI!$U$4:$Z$1003,3,FALSE),"")))</f>
        <v>#N/A</v>
      </c>
      <c r="E1338" s="41" t="str">
        <f t="shared" ca="1" si="193"/>
        <v/>
      </c>
      <c r="F1338" s="41" t="e">
        <f t="shared" ca="1" si="195"/>
        <v>#NUM!</v>
      </c>
      <c r="G1338" s="39" t="e">
        <f ca="1">IF($C$1076&gt;0,VLOOKUP($C1338,COSTI!$U$4:$Z$1003,5,FALSE),IF($C$1075&gt;0,VLOOKUP($C1338,PATRIMONIALE!$U$4:$Z$1003,5,FALSE),IF($C$1074&gt;0,VLOOKUP($C1338,ENTI!$U$4:$Z$1003,5,FALSE),"")))</f>
        <v>#N/A</v>
      </c>
      <c r="H1338" s="42" t="e">
        <f ca="1">IF($C$1076&gt;0,VLOOKUP($C1338,COSTI!$U$4:$Z$1003,6,FALSE),IF($C$1075&gt;0,VLOOKUP($C1338,PATRIMONIALE!$U$4:$Z$1003,6,FALSE),IF($C$1074&gt;0,VLOOKUP($C1338,ENTI!$U$4:$Z$1003,6,FALSE),"")))</f>
        <v>#N/A</v>
      </c>
      <c r="I1338" s="496">
        <v>258</v>
      </c>
      <c r="J1338" s="43" t="e">
        <f ca="1">VLOOKUP(D1338,$F$1081:$I$4183,4,FALSE)+COUNTIF(E$1081:E1337,E1338)</f>
        <v>#N/A</v>
      </c>
      <c r="K1338" s="1"/>
      <c r="L1338" s="39" t="e">
        <f>IF($C$1074&gt;0,VLOOKUP($C1338,ENTI!$U$4:$AD$1003,10,FALSE),"")</f>
        <v>#N/A</v>
      </c>
      <c r="M1338" s="1"/>
      <c r="N1338" s="1"/>
      <c r="O1338" s="1"/>
    </row>
    <row r="1339" spans="1:15" hidden="1">
      <c r="A1339" s="1"/>
      <c r="B1339" s="40" t="e">
        <f t="shared" ca="1" si="194"/>
        <v>#N/A</v>
      </c>
      <c r="C1339" s="496">
        <v>259</v>
      </c>
      <c r="D1339" s="41" t="e">
        <f ca="1">IF($C$1076&gt;0,VLOOKUP($C1339,COSTI!$U$4:$Z$1003,3,FALSE),IF($C$1075&gt;0,VLOOKUP($C1339,PATRIMONIALE!$U$4:$Z$1003,3,FALSE),IF($C$1074&gt;0,VLOOKUP($C1339,ENTI!$U$4:$Z$1003,3,FALSE),"")))</f>
        <v>#N/A</v>
      </c>
      <c r="E1339" s="41" t="str">
        <f t="shared" ca="1" si="193"/>
        <v/>
      </c>
      <c r="F1339" s="41" t="e">
        <f t="shared" ca="1" si="195"/>
        <v>#NUM!</v>
      </c>
      <c r="G1339" s="39" t="e">
        <f ca="1">IF($C$1076&gt;0,VLOOKUP($C1339,COSTI!$U$4:$Z$1003,5,FALSE),IF($C$1075&gt;0,VLOOKUP($C1339,PATRIMONIALE!$U$4:$Z$1003,5,FALSE),IF($C$1074&gt;0,VLOOKUP($C1339,ENTI!$U$4:$Z$1003,5,FALSE),"")))</f>
        <v>#N/A</v>
      </c>
      <c r="H1339" s="42" t="e">
        <f ca="1">IF($C$1076&gt;0,VLOOKUP($C1339,COSTI!$U$4:$Z$1003,6,FALSE),IF($C$1075&gt;0,VLOOKUP($C1339,PATRIMONIALE!$U$4:$Z$1003,6,FALSE),IF($C$1074&gt;0,VLOOKUP($C1339,ENTI!$U$4:$Z$1003,6,FALSE),"")))</f>
        <v>#N/A</v>
      </c>
      <c r="I1339" s="496">
        <v>259</v>
      </c>
      <c r="J1339" s="43" t="e">
        <f ca="1">VLOOKUP(D1339,$F$1081:$I$4183,4,FALSE)+COUNTIF(E$1081:E1338,E1339)</f>
        <v>#N/A</v>
      </c>
      <c r="K1339" s="1"/>
      <c r="L1339" s="39" t="e">
        <f>IF($C$1074&gt;0,VLOOKUP($C1339,ENTI!$U$4:$AD$1003,10,FALSE),"")</f>
        <v>#N/A</v>
      </c>
      <c r="M1339" s="1"/>
      <c r="N1339" s="1"/>
      <c r="O1339" s="1"/>
    </row>
    <row r="1340" spans="1:15" hidden="1">
      <c r="A1340" s="1"/>
      <c r="B1340" s="40" t="e">
        <f t="shared" ca="1" si="194"/>
        <v>#N/A</v>
      </c>
      <c r="C1340" s="496">
        <v>260</v>
      </c>
      <c r="D1340" s="41" t="e">
        <f ca="1">IF($C$1076&gt;0,VLOOKUP($C1340,COSTI!$U$4:$Z$1003,3,FALSE),IF($C$1075&gt;0,VLOOKUP($C1340,PATRIMONIALE!$U$4:$Z$1003,3,FALSE),IF($C$1074&gt;0,VLOOKUP($C1340,ENTI!$U$4:$Z$1003,3,FALSE),"")))</f>
        <v>#N/A</v>
      </c>
      <c r="E1340" s="41" t="str">
        <f t="shared" ca="1" si="193"/>
        <v/>
      </c>
      <c r="F1340" s="41" t="e">
        <f t="shared" ca="1" si="195"/>
        <v>#NUM!</v>
      </c>
      <c r="G1340" s="39" t="e">
        <f ca="1">IF($C$1076&gt;0,VLOOKUP($C1340,COSTI!$U$4:$Z$1003,5,FALSE),IF($C$1075&gt;0,VLOOKUP($C1340,PATRIMONIALE!$U$4:$Z$1003,5,FALSE),IF($C$1074&gt;0,VLOOKUP($C1340,ENTI!$U$4:$Z$1003,5,FALSE),"")))</f>
        <v>#N/A</v>
      </c>
      <c r="H1340" s="42" t="e">
        <f ca="1">IF($C$1076&gt;0,VLOOKUP($C1340,COSTI!$U$4:$Z$1003,6,FALSE),IF($C$1075&gt;0,VLOOKUP($C1340,PATRIMONIALE!$U$4:$Z$1003,6,FALSE),IF($C$1074&gt;0,VLOOKUP($C1340,ENTI!$U$4:$Z$1003,6,FALSE),"")))</f>
        <v>#N/A</v>
      </c>
      <c r="I1340" s="496">
        <v>260</v>
      </c>
      <c r="J1340" s="43" t="e">
        <f ca="1">VLOOKUP(D1340,$F$1081:$I$4183,4,FALSE)+COUNTIF(E$1081:E1339,E1340)</f>
        <v>#N/A</v>
      </c>
      <c r="K1340" s="1"/>
      <c r="L1340" s="39" t="e">
        <f>IF($C$1074&gt;0,VLOOKUP($C1340,ENTI!$U$4:$AD$1003,10,FALSE),"")</f>
        <v>#N/A</v>
      </c>
      <c r="M1340" s="1"/>
      <c r="N1340" s="1"/>
      <c r="O1340" s="1"/>
    </row>
    <row r="1341" spans="1:15" hidden="1">
      <c r="A1341" s="1"/>
      <c r="B1341" s="40" t="e">
        <f t="shared" ca="1" si="194"/>
        <v>#N/A</v>
      </c>
      <c r="C1341" s="496">
        <v>261</v>
      </c>
      <c r="D1341" s="41" t="e">
        <f ca="1">IF($C$1076&gt;0,VLOOKUP($C1341,COSTI!$U$4:$Z$1003,3,FALSE),IF($C$1075&gt;0,VLOOKUP($C1341,PATRIMONIALE!$U$4:$Z$1003,3,FALSE),IF($C$1074&gt;0,VLOOKUP($C1341,ENTI!$U$4:$Z$1003,3,FALSE),"")))</f>
        <v>#N/A</v>
      </c>
      <c r="E1341" s="41" t="str">
        <f t="shared" ca="1" si="193"/>
        <v/>
      </c>
      <c r="F1341" s="41" t="e">
        <f t="shared" ca="1" si="195"/>
        <v>#NUM!</v>
      </c>
      <c r="G1341" s="39" t="e">
        <f ca="1">IF($C$1076&gt;0,VLOOKUP($C1341,COSTI!$U$4:$Z$1003,5,FALSE),IF($C$1075&gt;0,VLOOKUP($C1341,PATRIMONIALE!$U$4:$Z$1003,5,FALSE),IF($C$1074&gt;0,VLOOKUP($C1341,ENTI!$U$4:$Z$1003,5,FALSE),"")))</f>
        <v>#N/A</v>
      </c>
      <c r="H1341" s="42" t="e">
        <f ca="1">IF($C$1076&gt;0,VLOOKUP($C1341,COSTI!$U$4:$Z$1003,6,FALSE),IF($C$1075&gt;0,VLOOKUP($C1341,PATRIMONIALE!$U$4:$Z$1003,6,FALSE),IF($C$1074&gt;0,VLOOKUP($C1341,ENTI!$U$4:$Z$1003,6,FALSE),"")))</f>
        <v>#N/A</v>
      </c>
      <c r="I1341" s="496">
        <v>261</v>
      </c>
      <c r="J1341" s="43" t="e">
        <f ca="1">VLOOKUP(D1341,$F$1081:$I$4183,4,FALSE)+COUNTIF(E$1081:E1340,E1341)</f>
        <v>#N/A</v>
      </c>
      <c r="K1341" s="1"/>
      <c r="L1341" s="39" t="e">
        <f>IF($C$1074&gt;0,VLOOKUP($C1341,ENTI!$U$4:$AD$1003,10,FALSE),"")</f>
        <v>#N/A</v>
      </c>
      <c r="M1341" s="1"/>
      <c r="N1341" s="1"/>
      <c r="O1341" s="1"/>
    </row>
    <row r="1342" spans="1:15" hidden="1">
      <c r="A1342" s="1"/>
      <c r="B1342" s="40" t="e">
        <f t="shared" ca="1" si="194"/>
        <v>#N/A</v>
      </c>
      <c r="C1342" s="496">
        <v>262</v>
      </c>
      <c r="D1342" s="41" t="e">
        <f ca="1">IF($C$1076&gt;0,VLOOKUP($C1342,COSTI!$U$4:$Z$1003,3,FALSE),IF($C$1075&gt;0,VLOOKUP($C1342,PATRIMONIALE!$U$4:$Z$1003,3,FALSE),IF($C$1074&gt;0,VLOOKUP($C1342,ENTI!$U$4:$Z$1003,3,FALSE),"")))</f>
        <v>#N/A</v>
      </c>
      <c r="E1342" s="41" t="str">
        <f t="shared" ca="1" si="193"/>
        <v/>
      </c>
      <c r="F1342" s="41" t="e">
        <f t="shared" ca="1" si="195"/>
        <v>#NUM!</v>
      </c>
      <c r="G1342" s="39" t="e">
        <f ca="1">IF($C$1076&gt;0,VLOOKUP($C1342,COSTI!$U$4:$Z$1003,5,FALSE),IF($C$1075&gt;0,VLOOKUP($C1342,PATRIMONIALE!$U$4:$Z$1003,5,FALSE),IF($C$1074&gt;0,VLOOKUP($C1342,ENTI!$U$4:$Z$1003,5,FALSE),"")))</f>
        <v>#N/A</v>
      </c>
      <c r="H1342" s="42" t="e">
        <f ca="1">IF($C$1076&gt;0,VLOOKUP($C1342,COSTI!$U$4:$Z$1003,6,FALSE),IF($C$1075&gt;0,VLOOKUP($C1342,PATRIMONIALE!$U$4:$Z$1003,6,FALSE),IF($C$1074&gt;0,VLOOKUP($C1342,ENTI!$U$4:$Z$1003,6,FALSE),"")))</f>
        <v>#N/A</v>
      </c>
      <c r="I1342" s="496">
        <v>262</v>
      </c>
      <c r="J1342" s="43" t="e">
        <f ca="1">VLOOKUP(D1342,$F$1081:$I$4183,4,FALSE)+COUNTIF(E$1081:E1341,E1342)</f>
        <v>#N/A</v>
      </c>
      <c r="K1342" s="1"/>
      <c r="L1342" s="39" t="e">
        <f>IF($C$1074&gt;0,VLOOKUP($C1342,ENTI!$U$4:$AD$1003,10,FALSE),"")</f>
        <v>#N/A</v>
      </c>
      <c r="M1342" s="1"/>
      <c r="N1342" s="1"/>
      <c r="O1342" s="1"/>
    </row>
    <row r="1343" spans="1:15" hidden="1">
      <c r="A1343" s="1"/>
      <c r="B1343" s="40" t="e">
        <f t="shared" ca="1" si="194"/>
        <v>#N/A</v>
      </c>
      <c r="C1343" s="496">
        <v>263</v>
      </c>
      <c r="D1343" s="41" t="e">
        <f ca="1">IF($C$1076&gt;0,VLOOKUP($C1343,COSTI!$U$4:$Z$1003,3,FALSE),IF($C$1075&gt;0,VLOOKUP($C1343,PATRIMONIALE!$U$4:$Z$1003,3,FALSE),IF($C$1074&gt;0,VLOOKUP($C1343,ENTI!$U$4:$Z$1003,3,FALSE),"")))</f>
        <v>#N/A</v>
      </c>
      <c r="E1343" s="41" t="str">
        <f t="shared" ca="1" si="193"/>
        <v/>
      </c>
      <c r="F1343" s="41" t="e">
        <f t="shared" ca="1" si="195"/>
        <v>#NUM!</v>
      </c>
      <c r="G1343" s="39" t="e">
        <f ca="1">IF($C$1076&gt;0,VLOOKUP($C1343,COSTI!$U$4:$Z$1003,5,FALSE),IF($C$1075&gt;0,VLOOKUP($C1343,PATRIMONIALE!$U$4:$Z$1003,5,FALSE),IF($C$1074&gt;0,VLOOKUP($C1343,ENTI!$U$4:$Z$1003,5,FALSE),"")))</f>
        <v>#N/A</v>
      </c>
      <c r="H1343" s="42" t="e">
        <f ca="1">IF($C$1076&gt;0,VLOOKUP($C1343,COSTI!$U$4:$Z$1003,6,FALSE),IF($C$1075&gt;0,VLOOKUP($C1343,PATRIMONIALE!$U$4:$Z$1003,6,FALSE),IF($C$1074&gt;0,VLOOKUP($C1343,ENTI!$U$4:$Z$1003,6,FALSE),"")))</f>
        <v>#N/A</v>
      </c>
      <c r="I1343" s="496">
        <v>263</v>
      </c>
      <c r="J1343" s="43" t="e">
        <f ca="1">VLOOKUP(D1343,$F$1081:$I$4183,4,FALSE)+COUNTIF(E$1081:E1342,E1343)</f>
        <v>#N/A</v>
      </c>
      <c r="K1343" s="1"/>
      <c r="L1343" s="39" t="e">
        <f>IF($C$1074&gt;0,VLOOKUP($C1343,ENTI!$U$4:$AD$1003,10,FALSE),"")</f>
        <v>#N/A</v>
      </c>
      <c r="M1343" s="1"/>
      <c r="N1343" s="1"/>
      <c r="O1343" s="1"/>
    </row>
    <row r="1344" spans="1:15" hidden="1">
      <c r="A1344" s="1"/>
      <c r="B1344" s="40" t="e">
        <f t="shared" ca="1" si="194"/>
        <v>#N/A</v>
      </c>
      <c r="C1344" s="496">
        <v>264</v>
      </c>
      <c r="D1344" s="41" t="e">
        <f ca="1">IF($C$1076&gt;0,VLOOKUP($C1344,COSTI!$U$4:$Z$1003,3,FALSE),IF($C$1075&gt;0,VLOOKUP($C1344,PATRIMONIALE!$U$4:$Z$1003,3,FALSE),IF($C$1074&gt;0,VLOOKUP($C1344,ENTI!$U$4:$Z$1003,3,FALSE),"")))</f>
        <v>#N/A</v>
      </c>
      <c r="E1344" s="41" t="str">
        <f t="shared" ca="1" si="193"/>
        <v/>
      </c>
      <c r="F1344" s="41" t="e">
        <f t="shared" ca="1" si="195"/>
        <v>#NUM!</v>
      </c>
      <c r="G1344" s="39" t="e">
        <f ca="1">IF($C$1076&gt;0,VLOOKUP($C1344,COSTI!$U$4:$Z$1003,5,FALSE),IF($C$1075&gt;0,VLOOKUP($C1344,PATRIMONIALE!$U$4:$Z$1003,5,FALSE),IF($C$1074&gt;0,VLOOKUP($C1344,ENTI!$U$4:$Z$1003,5,FALSE),"")))</f>
        <v>#N/A</v>
      </c>
      <c r="H1344" s="42" t="e">
        <f ca="1">IF($C$1076&gt;0,VLOOKUP($C1344,COSTI!$U$4:$Z$1003,6,FALSE),IF($C$1075&gt;0,VLOOKUP($C1344,PATRIMONIALE!$U$4:$Z$1003,6,FALSE),IF($C$1074&gt;0,VLOOKUP($C1344,ENTI!$U$4:$Z$1003,6,FALSE),"")))</f>
        <v>#N/A</v>
      </c>
      <c r="I1344" s="496">
        <v>264</v>
      </c>
      <c r="J1344" s="43" t="e">
        <f ca="1">VLOOKUP(D1344,$F$1081:$I$4183,4,FALSE)+COUNTIF(E$1081:E1343,E1344)</f>
        <v>#N/A</v>
      </c>
      <c r="K1344" s="1"/>
      <c r="L1344" s="39" t="e">
        <f>IF($C$1074&gt;0,VLOOKUP($C1344,ENTI!$U$4:$AD$1003,10,FALSE),"")</f>
        <v>#N/A</v>
      </c>
      <c r="M1344" s="1"/>
      <c r="N1344" s="1"/>
      <c r="O1344" s="1"/>
    </row>
    <row r="1345" spans="1:15" hidden="1">
      <c r="A1345" s="1"/>
      <c r="B1345" s="40" t="e">
        <f t="shared" ca="1" si="194"/>
        <v>#N/A</v>
      </c>
      <c r="C1345" s="496">
        <v>265</v>
      </c>
      <c r="D1345" s="41" t="e">
        <f ca="1">IF($C$1076&gt;0,VLOOKUP($C1345,COSTI!$U$4:$Z$1003,3,FALSE),IF($C$1075&gt;0,VLOOKUP($C1345,PATRIMONIALE!$U$4:$Z$1003,3,FALSE),IF($C$1074&gt;0,VLOOKUP($C1345,ENTI!$U$4:$Z$1003,3,FALSE),"")))</f>
        <v>#N/A</v>
      </c>
      <c r="E1345" s="41" t="str">
        <f t="shared" ca="1" si="193"/>
        <v/>
      </c>
      <c r="F1345" s="41" t="e">
        <f t="shared" ca="1" si="195"/>
        <v>#NUM!</v>
      </c>
      <c r="G1345" s="39" t="e">
        <f ca="1">IF($C$1076&gt;0,VLOOKUP($C1345,COSTI!$U$4:$Z$1003,5,FALSE),IF($C$1075&gt;0,VLOOKUP($C1345,PATRIMONIALE!$U$4:$Z$1003,5,FALSE),IF($C$1074&gt;0,VLOOKUP($C1345,ENTI!$U$4:$Z$1003,5,FALSE),"")))</f>
        <v>#N/A</v>
      </c>
      <c r="H1345" s="42" t="e">
        <f ca="1">IF($C$1076&gt;0,VLOOKUP($C1345,COSTI!$U$4:$Z$1003,6,FALSE),IF($C$1075&gt;0,VLOOKUP($C1345,PATRIMONIALE!$U$4:$Z$1003,6,FALSE),IF($C$1074&gt;0,VLOOKUP($C1345,ENTI!$U$4:$Z$1003,6,FALSE),"")))</f>
        <v>#N/A</v>
      </c>
      <c r="I1345" s="496">
        <v>265</v>
      </c>
      <c r="J1345" s="43" t="e">
        <f ca="1">VLOOKUP(D1345,$F$1081:$I$4183,4,FALSE)+COUNTIF(E$1081:E1344,E1345)</f>
        <v>#N/A</v>
      </c>
      <c r="K1345" s="1"/>
      <c r="L1345" s="39" t="e">
        <f>IF($C$1074&gt;0,VLOOKUP($C1345,ENTI!$U$4:$AD$1003,10,FALSE),"")</f>
        <v>#N/A</v>
      </c>
      <c r="M1345" s="1"/>
      <c r="N1345" s="1"/>
      <c r="O1345" s="1"/>
    </row>
    <row r="1346" spans="1:15" hidden="1">
      <c r="A1346" s="1"/>
      <c r="B1346" s="40" t="e">
        <f t="shared" ca="1" si="194"/>
        <v>#N/A</v>
      </c>
      <c r="C1346" s="496">
        <v>266</v>
      </c>
      <c r="D1346" s="41" t="e">
        <f ca="1">IF($C$1076&gt;0,VLOOKUP($C1346,COSTI!$U$4:$Z$1003,3,FALSE),IF($C$1075&gt;0,VLOOKUP($C1346,PATRIMONIALE!$U$4:$Z$1003,3,FALSE),IF($C$1074&gt;0,VLOOKUP($C1346,ENTI!$U$4:$Z$1003,3,FALSE),"")))</f>
        <v>#N/A</v>
      </c>
      <c r="E1346" s="41" t="str">
        <f t="shared" ca="1" si="193"/>
        <v/>
      </c>
      <c r="F1346" s="41" t="e">
        <f t="shared" ca="1" si="195"/>
        <v>#NUM!</v>
      </c>
      <c r="G1346" s="39" t="e">
        <f ca="1">IF($C$1076&gt;0,VLOOKUP($C1346,COSTI!$U$4:$Z$1003,5,FALSE),IF($C$1075&gt;0,VLOOKUP($C1346,PATRIMONIALE!$U$4:$Z$1003,5,FALSE),IF($C$1074&gt;0,VLOOKUP($C1346,ENTI!$U$4:$Z$1003,5,FALSE),"")))</f>
        <v>#N/A</v>
      </c>
      <c r="H1346" s="42" t="e">
        <f ca="1">IF($C$1076&gt;0,VLOOKUP($C1346,COSTI!$U$4:$Z$1003,6,FALSE),IF($C$1075&gt;0,VLOOKUP($C1346,PATRIMONIALE!$U$4:$Z$1003,6,FALSE),IF($C$1074&gt;0,VLOOKUP($C1346,ENTI!$U$4:$Z$1003,6,FALSE),"")))</f>
        <v>#N/A</v>
      </c>
      <c r="I1346" s="496">
        <v>266</v>
      </c>
      <c r="J1346" s="43" t="e">
        <f ca="1">VLOOKUP(D1346,$F$1081:$I$4183,4,FALSE)+COUNTIF(E$1081:E1345,E1346)</f>
        <v>#N/A</v>
      </c>
      <c r="K1346" s="1"/>
      <c r="L1346" s="39" t="e">
        <f>IF($C$1074&gt;0,VLOOKUP($C1346,ENTI!$U$4:$AD$1003,10,FALSE),"")</f>
        <v>#N/A</v>
      </c>
      <c r="M1346" s="1"/>
      <c r="N1346" s="1"/>
      <c r="O1346" s="1"/>
    </row>
    <row r="1347" spans="1:15" hidden="1">
      <c r="A1347" s="1"/>
      <c r="B1347" s="40" t="e">
        <f t="shared" ca="1" si="194"/>
        <v>#N/A</v>
      </c>
      <c r="C1347" s="496">
        <v>267</v>
      </c>
      <c r="D1347" s="41" t="e">
        <f ca="1">IF($C$1076&gt;0,VLOOKUP($C1347,COSTI!$U$4:$Z$1003,3,FALSE),IF($C$1075&gt;0,VLOOKUP($C1347,PATRIMONIALE!$U$4:$Z$1003,3,FALSE),IF($C$1074&gt;0,VLOOKUP($C1347,ENTI!$U$4:$Z$1003,3,FALSE),"")))</f>
        <v>#N/A</v>
      </c>
      <c r="E1347" s="41" t="str">
        <f t="shared" ca="1" si="193"/>
        <v/>
      </c>
      <c r="F1347" s="41" t="e">
        <f t="shared" ca="1" si="195"/>
        <v>#NUM!</v>
      </c>
      <c r="G1347" s="39" t="e">
        <f ca="1">IF($C$1076&gt;0,VLOOKUP($C1347,COSTI!$U$4:$Z$1003,5,FALSE),IF($C$1075&gt;0,VLOOKUP($C1347,PATRIMONIALE!$U$4:$Z$1003,5,FALSE),IF($C$1074&gt;0,VLOOKUP($C1347,ENTI!$U$4:$Z$1003,5,FALSE),"")))</f>
        <v>#N/A</v>
      </c>
      <c r="H1347" s="42" t="e">
        <f ca="1">IF($C$1076&gt;0,VLOOKUP($C1347,COSTI!$U$4:$Z$1003,6,FALSE),IF($C$1075&gt;0,VLOOKUP($C1347,PATRIMONIALE!$U$4:$Z$1003,6,FALSE),IF($C$1074&gt;0,VLOOKUP($C1347,ENTI!$U$4:$Z$1003,6,FALSE),"")))</f>
        <v>#N/A</v>
      </c>
      <c r="I1347" s="496">
        <v>267</v>
      </c>
      <c r="J1347" s="43" t="e">
        <f ca="1">VLOOKUP(D1347,$F$1081:$I$4183,4,FALSE)+COUNTIF(E$1081:E1346,E1347)</f>
        <v>#N/A</v>
      </c>
      <c r="K1347" s="1"/>
      <c r="L1347" s="39" t="e">
        <f>IF($C$1074&gt;0,VLOOKUP($C1347,ENTI!$U$4:$AD$1003,10,FALSE),"")</f>
        <v>#N/A</v>
      </c>
      <c r="M1347" s="1"/>
      <c r="N1347" s="1"/>
      <c r="O1347" s="1"/>
    </row>
    <row r="1348" spans="1:15" hidden="1">
      <c r="A1348" s="1"/>
      <c r="B1348" s="40" t="e">
        <f t="shared" ca="1" si="194"/>
        <v>#N/A</v>
      </c>
      <c r="C1348" s="496">
        <v>268</v>
      </c>
      <c r="D1348" s="41" t="e">
        <f ca="1">IF($C$1076&gt;0,VLOOKUP($C1348,COSTI!$U$4:$Z$1003,3,FALSE),IF($C$1075&gt;0,VLOOKUP($C1348,PATRIMONIALE!$U$4:$Z$1003,3,FALSE),IF($C$1074&gt;0,VLOOKUP($C1348,ENTI!$U$4:$Z$1003,3,FALSE),"")))</f>
        <v>#N/A</v>
      </c>
      <c r="E1348" s="41" t="str">
        <f t="shared" ca="1" si="193"/>
        <v/>
      </c>
      <c r="F1348" s="41" t="e">
        <f t="shared" ca="1" si="195"/>
        <v>#NUM!</v>
      </c>
      <c r="G1348" s="39" t="e">
        <f ca="1">IF($C$1076&gt;0,VLOOKUP($C1348,COSTI!$U$4:$Z$1003,5,FALSE),IF($C$1075&gt;0,VLOOKUP($C1348,PATRIMONIALE!$U$4:$Z$1003,5,FALSE),IF($C$1074&gt;0,VLOOKUP($C1348,ENTI!$U$4:$Z$1003,5,FALSE),"")))</f>
        <v>#N/A</v>
      </c>
      <c r="H1348" s="42" t="e">
        <f ca="1">IF($C$1076&gt;0,VLOOKUP($C1348,COSTI!$U$4:$Z$1003,6,FALSE),IF($C$1075&gt;0,VLOOKUP($C1348,PATRIMONIALE!$U$4:$Z$1003,6,FALSE),IF($C$1074&gt;0,VLOOKUP($C1348,ENTI!$U$4:$Z$1003,6,FALSE),"")))</f>
        <v>#N/A</v>
      </c>
      <c r="I1348" s="496">
        <v>268</v>
      </c>
      <c r="J1348" s="43" t="e">
        <f ca="1">VLOOKUP(D1348,$F$1081:$I$4183,4,FALSE)+COUNTIF(E$1081:E1347,E1348)</f>
        <v>#N/A</v>
      </c>
      <c r="K1348" s="1"/>
      <c r="L1348" s="39" t="e">
        <f>IF($C$1074&gt;0,VLOOKUP($C1348,ENTI!$U$4:$AD$1003,10,FALSE),"")</f>
        <v>#N/A</v>
      </c>
      <c r="M1348" s="1"/>
      <c r="N1348" s="1"/>
      <c r="O1348" s="1"/>
    </row>
    <row r="1349" spans="1:15" hidden="1">
      <c r="A1349" s="1"/>
      <c r="B1349" s="40" t="e">
        <f t="shared" ca="1" si="194"/>
        <v>#N/A</v>
      </c>
      <c r="C1349" s="496">
        <v>269</v>
      </c>
      <c r="D1349" s="41" t="e">
        <f ca="1">IF($C$1076&gt;0,VLOOKUP($C1349,COSTI!$U$4:$Z$1003,3,FALSE),IF($C$1075&gt;0,VLOOKUP($C1349,PATRIMONIALE!$U$4:$Z$1003,3,FALSE),IF($C$1074&gt;0,VLOOKUP($C1349,ENTI!$U$4:$Z$1003,3,FALSE),"")))</f>
        <v>#N/A</v>
      </c>
      <c r="E1349" s="41" t="str">
        <f t="shared" ca="1" si="193"/>
        <v/>
      </c>
      <c r="F1349" s="41" t="e">
        <f t="shared" ca="1" si="195"/>
        <v>#NUM!</v>
      </c>
      <c r="G1349" s="39" t="e">
        <f ca="1">IF($C$1076&gt;0,VLOOKUP($C1349,COSTI!$U$4:$Z$1003,5,FALSE),IF($C$1075&gt;0,VLOOKUP($C1349,PATRIMONIALE!$U$4:$Z$1003,5,FALSE),IF($C$1074&gt;0,VLOOKUP($C1349,ENTI!$U$4:$Z$1003,5,FALSE),"")))</f>
        <v>#N/A</v>
      </c>
      <c r="H1349" s="42" t="e">
        <f ca="1">IF($C$1076&gt;0,VLOOKUP($C1349,COSTI!$U$4:$Z$1003,6,FALSE),IF($C$1075&gt;0,VLOOKUP($C1349,PATRIMONIALE!$U$4:$Z$1003,6,FALSE),IF($C$1074&gt;0,VLOOKUP($C1349,ENTI!$U$4:$Z$1003,6,FALSE),"")))</f>
        <v>#N/A</v>
      </c>
      <c r="I1349" s="496">
        <v>269</v>
      </c>
      <c r="J1349" s="43" t="e">
        <f ca="1">VLOOKUP(D1349,$F$1081:$I$4183,4,FALSE)+COUNTIF(E$1081:E1348,E1349)</f>
        <v>#N/A</v>
      </c>
      <c r="K1349" s="1"/>
      <c r="L1349" s="39" t="e">
        <f>IF($C$1074&gt;0,VLOOKUP($C1349,ENTI!$U$4:$AD$1003,10,FALSE),"")</f>
        <v>#N/A</v>
      </c>
      <c r="M1349" s="1"/>
      <c r="N1349" s="1"/>
      <c r="O1349" s="1"/>
    </row>
    <row r="1350" spans="1:15" hidden="1">
      <c r="A1350" s="1"/>
      <c r="B1350" s="40" t="e">
        <f t="shared" ca="1" si="194"/>
        <v>#N/A</v>
      </c>
      <c r="C1350" s="496">
        <v>270</v>
      </c>
      <c r="D1350" s="41" t="e">
        <f ca="1">IF($C$1076&gt;0,VLOOKUP($C1350,COSTI!$U$4:$Z$1003,3,FALSE),IF($C$1075&gt;0,VLOOKUP($C1350,PATRIMONIALE!$U$4:$Z$1003,3,FALSE),IF($C$1074&gt;0,VLOOKUP($C1350,ENTI!$U$4:$Z$1003,3,FALSE),"")))</f>
        <v>#N/A</v>
      </c>
      <c r="E1350" s="41" t="str">
        <f t="shared" ca="1" si="193"/>
        <v/>
      </c>
      <c r="F1350" s="41" t="e">
        <f t="shared" ca="1" si="195"/>
        <v>#NUM!</v>
      </c>
      <c r="G1350" s="39" t="e">
        <f ca="1">IF($C$1076&gt;0,VLOOKUP($C1350,COSTI!$U$4:$Z$1003,5,FALSE),IF($C$1075&gt;0,VLOOKUP($C1350,PATRIMONIALE!$U$4:$Z$1003,5,FALSE),IF($C$1074&gt;0,VLOOKUP($C1350,ENTI!$U$4:$Z$1003,5,FALSE),"")))</f>
        <v>#N/A</v>
      </c>
      <c r="H1350" s="42" t="e">
        <f ca="1">IF($C$1076&gt;0,VLOOKUP($C1350,COSTI!$U$4:$Z$1003,6,FALSE),IF($C$1075&gt;0,VLOOKUP($C1350,PATRIMONIALE!$U$4:$Z$1003,6,FALSE),IF($C$1074&gt;0,VLOOKUP($C1350,ENTI!$U$4:$Z$1003,6,FALSE),"")))</f>
        <v>#N/A</v>
      </c>
      <c r="I1350" s="496">
        <v>270</v>
      </c>
      <c r="J1350" s="43" t="e">
        <f ca="1">VLOOKUP(D1350,$F$1081:$I$4183,4,FALSE)+COUNTIF(E$1081:E1349,E1350)</f>
        <v>#N/A</v>
      </c>
      <c r="K1350" s="1"/>
      <c r="L1350" s="39" t="e">
        <f>IF($C$1074&gt;0,VLOOKUP($C1350,ENTI!$U$4:$AD$1003,10,FALSE),"")</f>
        <v>#N/A</v>
      </c>
      <c r="M1350" s="1"/>
      <c r="N1350" s="1"/>
      <c r="O1350" s="1"/>
    </row>
    <row r="1351" spans="1:15" hidden="1">
      <c r="A1351" s="1"/>
      <c r="B1351" s="40" t="e">
        <f t="shared" ca="1" si="194"/>
        <v>#N/A</v>
      </c>
      <c r="C1351" s="496">
        <v>271</v>
      </c>
      <c r="D1351" s="41" t="e">
        <f ca="1">IF($C$1076&gt;0,VLOOKUP($C1351,COSTI!$U$4:$Z$1003,3,FALSE),IF($C$1075&gt;0,VLOOKUP($C1351,PATRIMONIALE!$U$4:$Z$1003,3,FALSE),IF($C$1074&gt;0,VLOOKUP($C1351,ENTI!$U$4:$Z$1003,3,FALSE),"")))</f>
        <v>#N/A</v>
      </c>
      <c r="E1351" s="41" t="str">
        <f t="shared" ca="1" si="193"/>
        <v/>
      </c>
      <c r="F1351" s="41" t="e">
        <f t="shared" ca="1" si="195"/>
        <v>#NUM!</v>
      </c>
      <c r="G1351" s="39" t="e">
        <f ca="1">IF($C$1076&gt;0,VLOOKUP($C1351,COSTI!$U$4:$Z$1003,5,FALSE),IF($C$1075&gt;0,VLOOKUP($C1351,PATRIMONIALE!$U$4:$Z$1003,5,FALSE),IF($C$1074&gt;0,VLOOKUP($C1351,ENTI!$U$4:$Z$1003,5,FALSE),"")))</f>
        <v>#N/A</v>
      </c>
      <c r="H1351" s="42" t="e">
        <f ca="1">IF($C$1076&gt;0,VLOOKUP($C1351,COSTI!$U$4:$Z$1003,6,FALSE),IF($C$1075&gt;0,VLOOKUP($C1351,PATRIMONIALE!$U$4:$Z$1003,6,FALSE),IF($C$1074&gt;0,VLOOKUP($C1351,ENTI!$U$4:$Z$1003,6,FALSE),"")))</f>
        <v>#N/A</v>
      </c>
      <c r="I1351" s="496">
        <v>271</v>
      </c>
      <c r="J1351" s="43" t="e">
        <f ca="1">VLOOKUP(D1351,$F$1081:$I$4183,4,FALSE)+COUNTIF(E$1081:E1350,E1351)</f>
        <v>#N/A</v>
      </c>
      <c r="K1351" s="1"/>
      <c r="L1351" s="39" t="e">
        <f>IF($C$1074&gt;0,VLOOKUP($C1351,ENTI!$U$4:$AD$1003,10,FALSE),"")</f>
        <v>#N/A</v>
      </c>
      <c r="M1351" s="1"/>
      <c r="N1351" s="1"/>
      <c r="O1351" s="1"/>
    </row>
    <row r="1352" spans="1:15" hidden="1">
      <c r="A1352" s="1"/>
      <c r="B1352" s="40" t="e">
        <f t="shared" ca="1" si="194"/>
        <v>#N/A</v>
      </c>
      <c r="C1352" s="496">
        <v>272</v>
      </c>
      <c r="D1352" s="41" t="e">
        <f ca="1">IF($C$1076&gt;0,VLOOKUP($C1352,COSTI!$U$4:$Z$1003,3,FALSE),IF($C$1075&gt;0,VLOOKUP($C1352,PATRIMONIALE!$U$4:$Z$1003,3,FALSE),IF($C$1074&gt;0,VLOOKUP($C1352,ENTI!$U$4:$Z$1003,3,FALSE),"")))</f>
        <v>#N/A</v>
      </c>
      <c r="E1352" s="41" t="str">
        <f t="shared" ca="1" si="193"/>
        <v/>
      </c>
      <c r="F1352" s="41" t="e">
        <f t="shared" ca="1" si="195"/>
        <v>#NUM!</v>
      </c>
      <c r="G1352" s="39" t="e">
        <f ca="1">IF($C$1076&gt;0,VLOOKUP($C1352,COSTI!$U$4:$Z$1003,5,FALSE),IF($C$1075&gt;0,VLOOKUP($C1352,PATRIMONIALE!$U$4:$Z$1003,5,FALSE),IF($C$1074&gt;0,VLOOKUP($C1352,ENTI!$U$4:$Z$1003,5,FALSE),"")))</f>
        <v>#N/A</v>
      </c>
      <c r="H1352" s="42" t="e">
        <f ca="1">IF($C$1076&gt;0,VLOOKUP($C1352,COSTI!$U$4:$Z$1003,6,FALSE),IF($C$1075&gt;0,VLOOKUP($C1352,PATRIMONIALE!$U$4:$Z$1003,6,FALSE),IF($C$1074&gt;0,VLOOKUP($C1352,ENTI!$U$4:$Z$1003,6,FALSE),"")))</f>
        <v>#N/A</v>
      </c>
      <c r="I1352" s="496">
        <v>272</v>
      </c>
      <c r="J1352" s="43" t="e">
        <f ca="1">VLOOKUP(D1352,$F$1081:$I$4183,4,FALSE)+COUNTIF(E$1081:E1351,E1352)</f>
        <v>#N/A</v>
      </c>
      <c r="K1352" s="1"/>
      <c r="L1352" s="39" t="e">
        <f>IF($C$1074&gt;0,VLOOKUP($C1352,ENTI!$U$4:$AD$1003,10,FALSE),"")</f>
        <v>#N/A</v>
      </c>
      <c r="M1352" s="1"/>
      <c r="N1352" s="1"/>
      <c r="O1352" s="1"/>
    </row>
    <row r="1353" spans="1:15" hidden="1">
      <c r="A1353" s="1"/>
      <c r="B1353" s="40" t="e">
        <f t="shared" ca="1" si="194"/>
        <v>#N/A</v>
      </c>
      <c r="C1353" s="496">
        <v>273</v>
      </c>
      <c r="D1353" s="41" t="e">
        <f ca="1">IF($C$1076&gt;0,VLOOKUP($C1353,COSTI!$U$4:$Z$1003,3,FALSE),IF($C$1075&gt;0,VLOOKUP($C1353,PATRIMONIALE!$U$4:$Z$1003,3,FALSE),IF($C$1074&gt;0,VLOOKUP($C1353,ENTI!$U$4:$Z$1003,3,FALSE),"")))</f>
        <v>#N/A</v>
      </c>
      <c r="E1353" s="41" t="str">
        <f t="shared" ca="1" si="193"/>
        <v/>
      </c>
      <c r="F1353" s="41" t="e">
        <f t="shared" ca="1" si="195"/>
        <v>#NUM!</v>
      </c>
      <c r="G1353" s="39" t="e">
        <f ca="1">IF($C$1076&gt;0,VLOOKUP($C1353,COSTI!$U$4:$Z$1003,5,FALSE),IF($C$1075&gt;0,VLOOKUP($C1353,PATRIMONIALE!$U$4:$Z$1003,5,FALSE),IF($C$1074&gt;0,VLOOKUP($C1353,ENTI!$U$4:$Z$1003,5,FALSE),"")))</f>
        <v>#N/A</v>
      </c>
      <c r="H1353" s="42" t="e">
        <f ca="1">IF($C$1076&gt;0,VLOOKUP($C1353,COSTI!$U$4:$Z$1003,6,FALSE),IF($C$1075&gt;0,VLOOKUP($C1353,PATRIMONIALE!$U$4:$Z$1003,6,FALSE),IF($C$1074&gt;0,VLOOKUP($C1353,ENTI!$U$4:$Z$1003,6,FALSE),"")))</f>
        <v>#N/A</v>
      </c>
      <c r="I1353" s="496">
        <v>273</v>
      </c>
      <c r="J1353" s="43" t="e">
        <f ca="1">VLOOKUP(D1353,$F$1081:$I$4183,4,FALSE)+COUNTIF(E$1081:E1352,E1353)</f>
        <v>#N/A</v>
      </c>
      <c r="K1353" s="1"/>
      <c r="L1353" s="39" t="e">
        <f>IF($C$1074&gt;0,VLOOKUP($C1353,ENTI!$U$4:$AD$1003,10,FALSE),"")</f>
        <v>#N/A</v>
      </c>
      <c r="M1353" s="1"/>
      <c r="N1353" s="1"/>
      <c r="O1353" s="1"/>
    </row>
    <row r="1354" spans="1:15" hidden="1">
      <c r="A1354" s="1"/>
      <c r="B1354" s="40" t="e">
        <f t="shared" ca="1" si="194"/>
        <v>#N/A</v>
      </c>
      <c r="C1354" s="496">
        <v>274</v>
      </c>
      <c r="D1354" s="41" t="e">
        <f ca="1">IF($C$1076&gt;0,VLOOKUP($C1354,COSTI!$U$4:$Z$1003,3,FALSE),IF($C$1075&gt;0,VLOOKUP($C1354,PATRIMONIALE!$U$4:$Z$1003,3,FALSE),IF($C$1074&gt;0,VLOOKUP($C1354,ENTI!$U$4:$Z$1003,3,FALSE),"")))</f>
        <v>#N/A</v>
      </c>
      <c r="E1354" s="41" t="str">
        <f t="shared" ca="1" si="193"/>
        <v/>
      </c>
      <c r="F1354" s="41" t="e">
        <f t="shared" ca="1" si="195"/>
        <v>#NUM!</v>
      </c>
      <c r="G1354" s="39" t="e">
        <f ca="1">IF($C$1076&gt;0,VLOOKUP($C1354,COSTI!$U$4:$Z$1003,5,FALSE),IF($C$1075&gt;0,VLOOKUP($C1354,PATRIMONIALE!$U$4:$Z$1003,5,FALSE),IF($C$1074&gt;0,VLOOKUP($C1354,ENTI!$U$4:$Z$1003,5,FALSE),"")))</f>
        <v>#N/A</v>
      </c>
      <c r="H1354" s="42" t="e">
        <f ca="1">IF($C$1076&gt;0,VLOOKUP($C1354,COSTI!$U$4:$Z$1003,6,FALSE),IF($C$1075&gt;0,VLOOKUP($C1354,PATRIMONIALE!$U$4:$Z$1003,6,FALSE),IF($C$1074&gt;0,VLOOKUP($C1354,ENTI!$U$4:$Z$1003,6,FALSE),"")))</f>
        <v>#N/A</v>
      </c>
      <c r="I1354" s="496">
        <v>274</v>
      </c>
      <c r="J1354" s="43" t="e">
        <f ca="1">VLOOKUP(D1354,$F$1081:$I$4183,4,FALSE)+COUNTIF(E$1081:E1353,E1354)</f>
        <v>#N/A</v>
      </c>
      <c r="K1354" s="1"/>
      <c r="L1354" s="39" t="e">
        <f>IF($C$1074&gt;0,VLOOKUP($C1354,ENTI!$U$4:$AD$1003,10,FALSE),"")</f>
        <v>#N/A</v>
      </c>
      <c r="M1354" s="1"/>
      <c r="N1354" s="1"/>
      <c r="O1354" s="1"/>
    </row>
    <row r="1355" spans="1:15" hidden="1">
      <c r="A1355" s="1"/>
      <c r="B1355" s="40" t="e">
        <f t="shared" ca="1" si="194"/>
        <v>#N/A</v>
      </c>
      <c r="C1355" s="496">
        <v>275</v>
      </c>
      <c r="D1355" s="41" t="e">
        <f ca="1">IF($C$1076&gt;0,VLOOKUP($C1355,COSTI!$U$4:$Z$1003,3,FALSE),IF($C$1075&gt;0,VLOOKUP($C1355,PATRIMONIALE!$U$4:$Z$1003,3,FALSE),IF($C$1074&gt;0,VLOOKUP($C1355,ENTI!$U$4:$Z$1003,3,FALSE),"")))</f>
        <v>#N/A</v>
      </c>
      <c r="E1355" s="41" t="str">
        <f t="shared" ca="1" si="193"/>
        <v/>
      </c>
      <c r="F1355" s="41" t="e">
        <f t="shared" ca="1" si="195"/>
        <v>#NUM!</v>
      </c>
      <c r="G1355" s="39" t="e">
        <f ca="1">IF($C$1076&gt;0,VLOOKUP($C1355,COSTI!$U$4:$Z$1003,5,FALSE),IF($C$1075&gt;0,VLOOKUP($C1355,PATRIMONIALE!$U$4:$Z$1003,5,FALSE),IF($C$1074&gt;0,VLOOKUP($C1355,ENTI!$U$4:$Z$1003,5,FALSE),"")))</f>
        <v>#N/A</v>
      </c>
      <c r="H1355" s="42" t="e">
        <f ca="1">IF($C$1076&gt;0,VLOOKUP($C1355,COSTI!$U$4:$Z$1003,6,FALSE),IF($C$1075&gt;0,VLOOKUP($C1355,PATRIMONIALE!$U$4:$Z$1003,6,FALSE),IF($C$1074&gt;0,VLOOKUP($C1355,ENTI!$U$4:$Z$1003,6,FALSE),"")))</f>
        <v>#N/A</v>
      </c>
      <c r="I1355" s="496">
        <v>275</v>
      </c>
      <c r="J1355" s="43" t="e">
        <f ca="1">VLOOKUP(D1355,$F$1081:$I$4183,4,FALSE)+COUNTIF(E$1081:E1354,E1355)</f>
        <v>#N/A</v>
      </c>
      <c r="K1355" s="1"/>
      <c r="L1355" s="39" t="e">
        <f>IF($C$1074&gt;0,VLOOKUP($C1355,ENTI!$U$4:$AD$1003,10,FALSE),"")</f>
        <v>#N/A</v>
      </c>
      <c r="M1355" s="1"/>
      <c r="N1355" s="1"/>
      <c r="O1355" s="1"/>
    </row>
    <row r="1356" spans="1:15" hidden="1">
      <c r="A1356" s="1"/>
      <c r="B1356" s="40" t="e">
        <f t="shared" ca="1" si="194"/>
        <v>#N/A</v>
      </c>
      <c r="C1356" s="496">
        <v>276</v>
      </c>
      <c r="D1356" s="41" t="e">
        <f ca="1">IF($C$1076&gt;0,VLOOKUP($C1356,COSTI!$U$4:$Z$1003,3,FALSE),IF($C$1075&gt;0,VLOOKUP($C1356,PATRIMONIALE!$U$4:$Z$1003,3,FALSE),IF($C$1074&gt;0,VLOOKUP($C1356,ENTI!$U$4:$Z$1003,3,FALSE),"")))</f>
        <v>#N/A</v>
      </c>
      <c r="E1356" s="41" t="str">
        <f t="shared" ca="1" si="193"/>
        <v/>
      </c>
      <c r="F1356" s="41" t="e">
        <f t="shared" ca="1" si="195"/>
        <v>#NUM!</v>
      </c>
      <c r="G1356" s="39" t="e">
        <f ca="1">IF($C$1076&gt;0,VLOOKUP($C1356,COSTI!$U$4:$Z$1003,5,FALSE),IF($C$1075&gt;0,VLOOKUP($C1356,PATRIMONIALE!$U$4:$Z$1003,5,FALSE),IF($C$1074&gt;0,VLOOKUP($C1356,ENTI!$U$4:$Z$1003,5,FALSE),"")))</f>
        <v>#N/A</v>
      </c>
      <c r="H1356" s="42" t="e">
        <f ca="1">IF($C$1076&gt;0,VLOOKUP($C1356,COSTI!$U$4:$Z$1003,6,FALSE),IF($C$1075&gt;0,VLOOKUP($C1356,PATRIMONIALE!$U$4:$Z$1003,6,FALSE),IF($C$1074&gt;0,VLOOKUP($C1356,ENTI!$U$4:$Z$1003,6,FALSE),"")))</f>
        <v>#N/A</v>
      </c>
      <c r="I1356" s="496">
        <v>276</v>
      </c>
      <c r="J1356" s="43" t="e">
        <f ca="1">VLOOKUP(D1356,$F$1081:$I$4183,4,FALSE)+COUNTIF(E$1081:E1355,E1356)</f>
        <v>#N/A</v>
      </c>
      <c r="K1356" s="1"/>
      <c r="L1356" s="39" t="e">
        <f>IF($C$1074&gt;0,VLOOKUP($C1356,ENTI!$U$4:$AD$1003,10,FALSE),"")</f>
        <v>#N/A</v>
      </c>
      <c r="M1356" s="1"/>
      <c r="N1356" s="1"/>
      <c r="O1356" s="1"/>
    </row>
    <row r="1357" spans="1:15" hidden="1">
      <c r="A1357" s="1"/>
      <c r="B1357" s="40" t="e">
        <f t="shared" ca="1" si="194"/>
        <v>#N/A</v>
      </c>
      <c r="C1357" s="496">
        <v>277</v>
      </c>
      <c r="D1357" s="41" t="e">
        <f ca="1">IF($C$1076&gt;0,VLOOKUP($C1357,COSTI!$U$4:$Z$1003,3,FALSE),IF($C$1075&gt;0,VLOOKUP($C1357,PATRIMONIALE!$U$4:$Z$1003,3,FALSE),IF($C$1074&gt;0,VLOOKUP($C1357,ENTI!$U$4:$Z$1003,3,FALSE),"")))</f>
        <v>#N/A</v>
      </c>
      <c r="E1357" s="41" t="str">
        <f t="shared" ca="1" si="193"/>
        <v/>
      </c>
      <c r="F1357" s="41" t="e">
        <f t="shared" ca="1" si="195"/>
        <v>#NUM!</v>
      </c>
      <c r="G1357" s="39" t="e">
        <f ca="1">IF($C$1076&gt;0,VLOOKUP($C1357,COSTI!$U$4:$Z$1003,5,FALSE),IF($C$1075&gt;0,VLOOKUP($C1357,PATRIMONIALE!$U$4:$Z$1003,5,FALSE),IF($C$1074&gt;0,VLOOKUP($C1357,ENTI!$U$4:$Z$1003,5,FALSE),"")))</f>
        <v>#N/A</v>
      </c>
      <c r="H1357" s="42" t="e">
        <f ca="1">IF($C$1076&gt;0,VLOOKUP($C1357,COSTI!$U$4:$Z$1003,6,FALSE),IF($C$1075&gt;0,VLOOKUP($C1357,PATRIMONIALE!$U$4:$Z$1003,6,FALSE),IF($C$1074&gt;0,VLOOKUP($C1357,ENTI!$U$4:$Z$1003,6,FALSE),"")))</f>
        <v>#N/A</v>
      </c>
      <c r="I1357" s="496">
        <v>277</v>
      </c>
      <c r="J1357" s="43" t="e">
        <f ca="1">VLOOKUP(D1357,$F$1081:$I$4183,4,FALSE)+COUNTIF(E$1081:E1356,E1357)</f>
        <v>#N/A</v>
      </c>
      <c r="K1357" s="1"/>
      <c r="L1357" s="39" t="e">
        <f>IF($C$1074&gt;0,VLOOKUP($C1357,ENTI!$U$4:$AD$1003,10,FALSE),"")</f>
        <v>#N/A</v>
      </c>
      <c r="M1357" s="1"/>
      <c r="N1357" s="1"/>
      <c r="O1357" s="1"/>
    </row>
    <row r="1358" spans="1:15" hidden="1">
      <c r="A1358" s="1"/>
      <c r="B1358" s="40" t="e">
        <f t="shared" ca="1" si="194"/>
        <v>#N/A</v>
      </c>
      <c r="C1358" s="496">
        <v>278</v>
      </c>
      <c r="D1358" s="41" t="e">
        <f ca="1">IF($C$1076&gt;0,VLOOKUP($C1358,COSTI!$U$4:$Z$1003,3,FALSE),IF($C$1075&gt;0,VLOOKUP($C1358,PATRIMONIALE!$U$4:$Z$1003,3,FALSE),IF($C$1074&gt;0,VLOOKUP($C1358,ENTI!$U$4:$Z$1003,3,FALSE),"")))</f>
        <v>#N/A</v>
      </c>
      <c r="E1358" s="41" t="str">
        <f t="shared" ca="1" si="193"/>
        <v/>
      </c>
      <c r="F1358" s="41" t="e">
        <f t="shared" ca="1" si="195"/>
        <v>#NUM!</v>
      </c>
      <c r="G1358" s="39" t="e">
        <f ca="1">IF($C$1076&gt;0,VLOOKUP($C1358,COSTI!$U$4:$Z$1003,5,FALSE),IF($C$1075&gt;0,VLOOKUP($C1358,PATRIMONIALE!$U$4:$Z$1003,5,FALSE),IF($C$1074&gt;0,VLOOKUP($C1358,ENTI!$U$4:$Z$1003,5,FALSE),"")))</f>
        <v>#N/A</v>
      </c>
      <c r="H1358" s="42" t="e">
        <f ca="1">IF($C$1076&gt;0,VLOOKUP($C1358,COSTI!$U$4:$Z$1003,6,FALSE),IF($C$1075&gt;0,VLOOKUP($C1358,PATRIMONIALE!$U$4:$Z$1003,6,FALSE),IF($C$1074&gt;0,VLOOKUP($C1358,ENTI!$U$4:$Z$1003,6,FALSE),"")))</f>
        <v>#N/A</v>
      </c>
      <c r="I1358" s="496">
        <v>278</v>
      </c>
      <c r="J1358" s="43" t="e">
        <f ca="1">VLOOKUP(D1358,$F$1081:$I$4183,4,FALSE)+COUNTIF(E$1081:E1357,E1358)</f>
        <v>#N/A</v>
      </c>
      <c r="K1358" s="1"/>
      <c r="L1358" s="39" t="e">
        <f>IF($C$1074&gt;0,VLOOKUP($C1358,ENTI!$U$4:$AD$1003,10,FALSE),"")</f>
        <v>#N/A</v>
      </c>
      <c r="M1358" s="1"/>
      <c r="N1358" s="1"/>
      <c r="O1358" s="1"/>
    </row>
    <row r="1359" spans="1:15" hidden="1">
      <c r="A1359" s="1"/>
      <c r="B1359" s="40" t="e">
        <f t="shared" ca="1" si="194"/>
        <v>#N/A</v>
      </c>
      <c r="C1359" s="496">
        <v>279</v>
      </c>
      <c r="D1359" s="41" t="e">
        <f ca="1">IF($C$1076&gt;0,VLOOKUP($C1359,COSTI!$U$4:$Z$1003,3,FALSE),IF($C$1075&gt;0,VLOOKUP($C1359,PATRIMONIALE!$U$4:$Z$1003,3,FALSE),IF($C$1074&gt;0,VLOOKUP($C1359,ENTI!$U$4:$Z$1003,3,FALSE),"")))</f>
        <v>#N/A</v>
      </c>
      <c r="E1359" s="41" t="str">
        <f t="shared" ca="1" si="193"/>
        <v/>
      </c>
      <c r="F1359" s="41" t="e">
        <f t="shared" ca="1" si="195"/>
        <v>#NUM!</v>
      </c>
      <c r="G1359" s="39" t="e">
        <f ca="1">IF($C$1076&gt;0,VLOOKUP($C1359,COSTI!$U$4:$Z$1003,5,FALSE),IF($C$1075&gt;0,VLOOKUP($C1359,PATRIMONIALE!$U$4:$Z$1003,5,FALSE),IF($C$1074&gt;0,VLOOKUP($C1359,ENTI!$U$4:$Z$1003,5,FALSE),"")))</f>
        <v>#N/A</v>
      </c>
      <c r="H1359" s="42" t="e">
        <f ca="1">IF($C$1076&gt;0,VLOOKUP($C1359,COSTI!$U$4:$Z$1003,6,FALSE),IF($C$1075&gt;0,VLOOKUP($C1359,PATRIMONIALE!$U$4:$Z$1003,6,FALSE),IF($C$1074&gt;0,VLOOKUP($C1359,ENTI!$U$4:$Z$1003,6,FALSE),"")))</f>
        <v>#N/A</v>
      </c>
      <c r="I1359" s="496">
        <v>279</v>
      </c>
      <c r="J1359" s="43" t="e">
        <f ca="1">VLOOKUP(D1359,$F$1081:$I$4183,4,FALSE)+COUNTIF(E$1081:E1358,E1359)</f>
        <v>#N/A</v>
      </c>
      <c r="K1359" s="1"/>
      <c r="L1359" s="39" t="e">
        <f>IF($C$1074&gt;0,VLOOKUP($C1359,ENTI!$U$4:$AD$1003,10,FALSE),"")</f>
        <v>#N/A</v>
      </c>
      <c r="M1359" s="1"/>
      <c r="N1359" s="1"/>
      <c r="O1359" s="1"/>
    </row>
    <row r="1360" spans="1:15" hidden="1">
      <c r="A1360" s="1"/>
      <c r="B1360" s="40" t="e">
        <f t="shared" ca="1" si="194"/>
        <v>#N/A</v>
      </c>
      <c r="C1360" s="496">
        <v>280</v>
      </c>
      <c r="D1360" s="41" t="e">
        <f ca="1">IF($C$1076&gt;0,VLOOKUP($C1360,COSTI!$U$4:$Z$1003,3,FALSE),IF($C$1075&gt;0,VLOOKUP($C1360,PATRIMONIALE!$U$4:$Z$1003,3,FALSE),IF($C$1074&gt;0,VLOOKUP($C1360,ENTI!$U$4:$Z$1003,3,FALSE),"")))</f>
        <v>#N/A</v>
      </c>
      <c r="E1360" s="41" t="str">
        <f t="shared" ca="1" si="193"/>
        <v/>
      </c>
      <c r="F1360" s="41" t="e">
        <f t="shared" ca="1" si="195"/>
        <v>#NUM!</v>
      </c>
      <c r="G1360" s="39" t="e">
        <f ca="1">IF($C$1076&gt;0,VLOOKUP($C1360,COSTI!$U$4:$Z$1003,5,FALSE),IF($C$1075&gt;0,VLOOKUP($C1360,PATRIMONIALE!$U$4:$Z$1003,5,FALSE),IF($C$1074&gt;0,VLOOKUP($C1360,ENTI!$U$4:$Z$1003,5,FALSE),"")))</f>
        <v>#N/A</v>
      </c>
      <c r="H1360" s="42" t="e">
        <f ca="1">IF($C$1076&gt;0,VLOOKUP($C1360,COSTI!$U$4:$Z$1003,6,FALSE),IF($C$1075&gt;0,VLOOKUP($C1360,PATRIMONIALE!$U$4:$Z$1003,6,FALSE),IF($C$1074&gt;0,VLOOKUP($C1360,ENTI!$U$4:$Z$1003,6,FALSE),"")))</f>
        <v>#N/A</v>
      </c>
      <c r="I1360" s="496">
        <v>280</v>
      </c>
      <c r="J1360" s="43" t="e">
        <f ca="1">VLOOKUP(D1360,$F$1081:$I$4183,4,FALSE)+COUNTIF(E$1081:E1359,E1360)</f>
        <v>#N/A</v>
      </c>
      <c r="K1360" s="1"/>
      <c r="L1360" s="39" t="e">
        <f>IF($C$1074&gt;0,VLOOKUP($C1360,ENTI!$U$4:$AD$1003,10,FALSE),"")</f>
        <v>#N/A</v>
      </c>
      <c r="M1360" s="1"/>
      <c r="N1360" s="1"/>
      <c r="O1360" s="1"/>
    </row>
    <row r="1361" spans="1:15" hidden="1">
      <c r="A1361" s="1"/>
      <c r="B1361" s="40" t="e">
        <f t="shared" ca="1" si="194"/>
        <v>#N/A</v>
      </c>
      <c r="C1361" s="496">
        <v>281</v>
      </c>
      <c r="D1361" s="41" t="e">
        <f ca="1">IF($C$1076&gt;0,VLOOKUP($C1361,COSTI!$U$4:$Z$1003,3,FALSE),IF($C$1075&gt;0,VLOOKUP($C1361,PATRIMONIALE!$U$4:$Z$1003,3,FALSE),IF($C$1074&gt;0,VLOOKUP($C1361,ENTI!$U$4:$Z$1003,3,FALSE),"")))</f>
        <v>#N/A</v>
      </c>
      <c r="E1361" s="41" t="str">
        <f t="shared" ca="1" si="193"/>
        <v/>
      </c>
      <c r="F1361" s="41" t="e">
        <f t="shared" ca="1" si="195"/>
        <v>#NUM!</v>
      </c>
      <c r="G1361" s="39" t="e">
        <f ca="1">IF($C$1076&gt;0,VLOOKUP($C1361,COSTI!$U$4:$Z$1003,5,FALSE),IF($C$1075&gt;0,VLOOKUP($C1361,PATRIMONIALE!$U$4:$Z$1003,5,FALSE),IF($C$1074&gt;0,VLOOKUP($C1361,ENTI!$U$4:$Z$1003,5,FALSE),"")))</f>
        <v>#N/A</v>
      </c>
      <c r="H1361" s="42" t="e">
        <f ca="1">IF($C$1076&gt;0,VLOOKUP($C1361,COSTI!$U$4:$Z$1003,6,FALSE),IF($C$1075&gt;0,VLOOKUP($C1361,PATRIMONIALE!$U$4:$Z$1003,6,FALSE),IF($C$1074&gt;0,VLOOKUP($C1361,ENTI!$U$4:$Z$1003,6,FALSE),"")))</f>
        <v>#N/A</v>
      </c>
      <c r="I1361" s="496">
        <v>281</v>
      </c>
      <c r="J1361" s="43" t="e">
        <f ca="1">VLOOKUP(D1361,$F$1081:$I$4183,4,FALSE)+COUNTIF(E$1081:E1360,E1361)</f>
        <v>#N/A</v>
      </c>
      <c r="K1361" s="1"/>
      <c r="L1361" s="39" t="e">
        <f>IF($C$1074&gt;0,VLOOKUP($C1361,ENTI!$U$4:$AD$1003,10,FALSE),"")</f>
        <v>#N/A</v>
      </c>
      <c r="M1361" s="1"/>
      <c r="N1361" s="1"/>
      <c r="O1361" s="1"/>
    </row>
    <row r="1362" spans="1:15" hidden="1">
      <c r="A1362" s="1"/>
      <c r="B1362" s="40" t="e">
        <f t="shared" ca="1" si="194"/>
        <v>#N/A</v>
      </c>
      <c r="C1362" s="496">
        <v>282</v>
      </c>
      <c r="D1362" s="41" t="e">
        <f ca="1">IF($C$1076&gt;0,VLOOKUP($C1362,COSTI!$U$4:$Z$1003,3,FALSE),IF($C$1075&gt;0,VLOOKUP($C1362,PATRIMONIALE!$U$4:$Z$1003,3,FALSE),IF($C$1074&gt;0,VLOOKUP($C1362,ENTI!$U$4:$Z$1003,3,FALSE),"")))</f>
        <v>#N/A</v>
      </c>
      <c r="E1362" s="41" t="str">
        <f t="shared" ca="1" si="193"/>
        <v/>
      </c>
      <c r="F1362" s="41" t="e">
        <f t="shared" ca="1" si="195"/>
        <v>#NUM!</v>
      </c>
      <c r="G1362" s="39" t="e">
        <f ca="1">IF($C$1076&gt;0,VLOOKUP($C1362,COSTI!$U$4:$Z$1003,5,FALSE),IF($C$1075&gt;0,VLOOKUP($C1362,PATRIMONIALE!$U$4:$Z$1003,5,FALSE),IF($C$1074&gt;0,VLOOKUP($C1362,ENTI!$U$4:$Z$1003,5,FALSE),"")))</f>
        <v>#N/A</v>
      </c>
      <c r="H1362" s="42" t="e">
        <f ca="1">IF($C$1076&gt;0,VLOOKUP($C1362,COSTI!$U$4:$Z$1003,6,FALSE),IF($C$1075&gt;0,VLOOKUP($C1362,PATRIMONIALE!$U$4:$Z$1003,6,FALSE),IF($C$1074&gt;0,VLOOKUP($C1362,ENTI!$U$4:$Z$1003,6,FALSE),"")))</f>
        <v>#N/A</v>
      </c>
      <c r="I1362" s="496">
        <v>282</v>
      </c>
      <c r="J1362" s="43" t="e">
        <f ca="1">VLOOKUP(D1362,$F$1081:$I$4183,4,FALSE)+COUNTIF(E$1081:E1361,E1362)</f>
        <v>#N/A</v>
      </c>
      <c r="K1362" s="1"/>
      <c r="L1362" s="39" t="e">
        <f>IF($C$1074&gt;0,VLOOKUP($C1362,ENTI!$U$4:$AD$1003,10,FALSE),"")</f>
        <v>#N/A</v>
      </c>
      <c r="M1362" s="1"/>
      <c r="N1362" s="1"/>
      <c r="O1362" s="1"/>
    </row>
    <row r="1363" spans="1:15" hidden="1">
      <c r="A1363" s="1"/>
      <c r="B1363" s="40" t="e">
        <f t="shared" ca="1" si="194"/>
        <v>#N/A</v>
      </c>
      <c r="C1363" s="496">
        <v>283</v>
      </c>
      <c r="D1363" s="41" t="e">
        <f ca="1">IF($C$1076&gt;0,VLOOKUP($C1363,COSTI!$U$4:$Z$1003,3,FALSE),IF($C$1075&gt;0,VLOOKUP($C1363,PATRIMONIALE!$U$4:$Z$1003,3,FALSE),IF($C$1074&gt;0,VLOOKUP($C1363,ENTI!$U$4:$Z$1003,3,FALSE),"")))</f>
        <v>#N/A</v>
      </c>
      <c r="E1363" s="41" t="str">
        <f t="shared" ca="1" si="193"/>
        <v/>
      </c>
      <c r="F1363" s="41" t="e">
        <f t="shared" ca="1" si="195"/>
        <v>#NUM!</v>
      </c>
      <c r="G1363" s="39" t="e">
        <f ca="1">IF($C$1076&gt;0,VLOOKUP($C1363,COSTI!$U$4:$Z$1003,5,FALSE),IF($C$1075&gt;0,VLOOKUP($C1363,PATRIMONIALE!$U$4:$Z$1003,5,FALSE),IF($C$1074&gt;0,VLOOKUP($C1363,ENTI!$U$4:$Z$1003,5,FALSE),"")))</f>
        <v>#N/A</v>
      </c>
      <c r="H1363" s="42" t="e">
        <f ca="1">IF($C$1076&gt;0,VLOOKUP($C1363,COSTI!$U$4:$Z$1003,6,FALSE),IF($C$1075&gt;0,VLOOKUP($C1363,PATRIMONIALE!$U$4:$Z$1003,6,FALSE),IF($C$1074&gt;0,VLOOKUP($C1363,ENTI!$U$4:$Z$1003,6,FALSE),"")))</f>
        <v>#N/A</v>
      </c>
      <c r="I1363" s="496">
        <v>283</v>
      </c>
      <c r="J1363" s="43" t="e">
        <f ca="1">VLOOKUP(D1363,$F$1081:$I$4183,4,FALSE)+COUNTIF(E$1081:E1362,E1363)</f>
        <v>#N/A</v>
      </c>
      <c r="K1363" s="1"/>
      <c r="L1363" s="39" t="e">
        <f>IF($C$1074&gt;0,VLOOKUP($C1363,ENTI!$U$4:$AD$1003,10,FALSE),"")</f>
        <v>#N/A</v>
      </c>
      <c r="M1363" s="1"/>
      <c r="N1363" s="1"/>
      <c r="O1363" s="1"/>
    </row>
    <row r="1364" spans="1:15" hidden="1">
      <c r="A1364" s="1"/>
      <c r="B1364" s="40" t="e">
        <f t="shared" ca="1" si="194"/>
        <v>#N/A</v>
      </c>
      <c r="C1364" s="496">
        <v>284</v>
      </c>
      <c r="D1364" s="41" t="e">
        <f ca="1">IF($C$1076&gt;0,VLOOKUP($C1364,COSTI!$U$4:$Z$1003,3,FALSE),IF($C$1075&gt;0,VLOOKUP($C1364,PATRIMONIALE!$U$4:$Z$1003,3,FALSE),IF($C$1074&gt;0,VLOOKUP($C1364,ENTI!$U$4:$Z$1003,3,FALSE),"")))</f>
        <v>#N/A</v>
      </c>
      <c r="E1364" s="41" t="str">
        <f t="shared" ca="1" si="193"/>
        <v/>
      </c>
      <c r="F1364" s="41" t="e">
        <f t="shared" ca="1" si="195"/>
        <v>#NUM!</v>
      </c>
      <c r="G1364" s="39" t="e">
        <f ca="1">IF($C$1076&gt;0,VLOOKUP($C1364,COSTI!$U$4:$Z$1003,5,FALSE),IF($C$1075&gt;0,VLOOKUP($C1364,PATRIMONIALE!$U$4:$Z$1003,5,FALSE),IF($C$1074&gt;0,VLOOKUP($C1364,ENTI!$U$4:$Z$1003,5,FALSE),"")))</f>
        <v>#N/A</v>
      </c>
      <c r="H1364" s="42" t="e">
        <f ca="1">IF($C$1076&gt;0,VLOOKUP($C1364,COSTI!$U$4:$Z$1003,6,FALSE),IF($C$1075&gt;0,VLOOKUP($C1364,PATRIMONIALE!$U$4:$Z$1003,6,FALSE),IF($C$1074&gt;0,VLOOKUP($C1364,ENTI!$U$4:$Z$1003,6,FALSE),"")))</f>
        <v>#N/A</v>
      </c>
      <c r="I1364" s="496">
        <v>284</v>
      </c>
      <c r="J1364" s="43" t="e">
        <f ca="1">VLOOKUP(D1364,$F$1081:$I$4183,4,FALSE)+COUNTIF(E$1081:E1363,E1364)</f>
        <v>#N/A</v>
      </c>
      <c r="K1364" s="1"/>
      <c r="L1364" s="39" t="e">
        <f>IF($C$1074&gt;0,VLOOKUP($C1364,ENTI!$U$4:$AD$1003,10,FALSE),"")</f>
        <v>#N/A</v>
      </c>
      <c r="M1364" s="1"/>
      <c r="N1364" s="1"/>
      <c r="O1364" s="1"/>
    </row>
    <row r="1365" spans="1:15" hidden="1">
      <c r="A1365" s="1"/>
      <c r="B1365" s="40" t="e">
        <f t="shared" ca="1" si="194"/>
        <v>#N/A</v>
      </c>
      <c r="C1365" s="496">
        <v>285</v>
      </c>
      <c r="D1365" s="41" t="e">
        <f ca="1">IF($C$1076&gt;0,VLOOKUP($C1365,COSTI!$U$4:$Z$1003,3,FALSE),IF($C$1075&gt;0,VLOOKUP($C1365,PATRIMONIALE!$U$4:$Z$1003,3,FALSE),IF($C$1074&gt;0,VLOOKUP($C1365,ENTI!$U$4:$Z$1003,3,FALSE),"")))</f>
        <v>#N/A</v>
      </c>
      <c r="E1365" s="41" t="str">
        <f t="shared" ca="1" si="193"/>
        <v/>
      </c>
      <c r="F1365" s="41" t="e">
        <f t="shared" ca="1" si="195"/>
        <v>#NUM!</v>
      </c>
      <c r="G1365" s="39" t="e">
        <f ca="1">IF($C$1076&gt;0,VLOOKUP($C1365,COSTI!$U$4:$Z$1003,5,FALSE),IF($C$1075&gt;0,VLOOKUP($C1365,PATRIMONIALE!$U$4:$Z$1003,5,FALSE),IF($C$1074&gt;0,VLOOKUP($C1365,ENTI!$U$4:$Z$1003,5,FALSE),"")))</f>
        <v>#N/A</v>
      </c>
      <c r="H1365" s="42" t="e">
        <f ca="1">IF($C$1076&gt;0,VLOOKUP($C1365,COSTI!$U$4:$Z$1003,6,FALSE),IF($C$1075&gt;0,VLOOKUP($C1365,PATRIMONIALE!$U$4:$Z$1003,6,FALSE),IF($C$1074&gt;0,VLOOKUP($C1365,ENTI!$U$4:$Z$1003,6,FALSE),"")))</f>
        <v>#N/A</v>
      </c>
      <c r="I1365" s="496">
        <v>285</v>
      </c>
      <c r="J1365" s="43" t="e">
        <f ca="1">VLOOKUP(D1365,$F$1081:$I$4183,4,FALSE)+COUNTIF(E$1081:E1364,E1365)</f>
        <v>#N/A</v>
      </c>
      <c r="K1365" s="1"/>
      <c r="L1365" s="39" t="e">
        <f>IF($C$1074&gt;0,VLOOKUP($C1365,ENTI!$U$4:$AD$1003,10,FALSE),"")</f>
        <v>#N/A</v>
      </c>
      <c r="M1365" s="1"/>
      <c r="N1365" s="1"/>
      <c r="O1365" s="1"/>
    </row>
    <row r="1366" spans="1:15" hidden="1">
      <c r="A1366" s="1"/>
      <c r="B1366" s="40" t="e">
        <f t="shared" ca="1" si="194"/>
        <v>#N/A</v>
      </c>
      <c r="C1366" s="496">
        <v>286</v>
      </c>
      <c r="D1366" s="41" t="e">
        <f ca="1">IF($C$1076&gt;0,VLOOKUP($C1366,COSTI!$U$4:$Z$1003,3,FALSE),IF($C$1075&gt;0,VLOOKUP($C1366,PATRIMONIALE!$U$4:$Z$1003,3,FALSE),IF($C$1074&gt;0,VLOOKUP($C1366,ENTI!$U$4:$Z$1003,3,FALSE),"")))</f>
        <v>#N/A</v>
      </c>
      <c r="E1366" s="41" t="str">
        <f t="shared" ca="1" si="193"/>
        <v/>
      </c>
      <c r="F1366" s="41" t="e">
        <f t="shared" ca="1" si="195"/>
        <v>#NUM!</v>
      </c>
      <c r="G1366" s="39" t="e">
        <f ca="1">IF($C$1076&gt;0,VLOOKUP($C1366,COSTI!$U$4:$Z$1003,5,FALSE),IF($C$1075&gt;0,VLOOKUP($C1366,PATRIMONIALE!$U$4:$Z$1003,5,FALSE),IF($C$1074&gt;0,VLOOKUP($C1366,ENTI!$U$4:$Z$1003,5,FALSE),"")))</f>
        <v>#N/A</v>
      </c>
      <c r="H1366" s="42" t="e">
        <f ca="1">IF($C$1076&gt;0,VLOOKUP($C1366,COSTI!$U$4:$Z$1003,6,FALSE),IF($C$1075&gt;0,VLOOKUP($C1366,PATRIMONIALE!$U$4:$Z$1003,6,FALSE),IF($C$1074&gt;0,VLOOKUP($C1366,ENTI!$U$4:$Z$1003,6,FALSE),"")))</f>
        <v>#N/A</v>
      </c>
      <c r="I1366" s="496">
        <v>286</v>
      </c>
      <c r="J1366" s="43" t="e">
        <f ca="1">VLOOKUP(D1366,$F$1081:$I$4183,4,FALSE)+COUNTIF(E$1081:E1365,E1366)</f>
        <v>#N/A</v>
      </c>
      <c r="K1366" s="1"/>
      <c r="L1366" s="39" t="e">
        <f>IF($C$1074&gt;0,VLOOKUP($C1366,ENTI!$U$4:$AD$1003,10,FALSE),"")</f>
        <v>#N/A</v>
      </c>
      <c r="M1366" s="1"/>
      <c r="N1366" s="1"/>
      <c r="O1366" s="1"/>
    </row>
    <row r="1367" spans="1:15" hidden="1">
      <c r="A1367" s="1"/>
      <c r="B1367" s="40" t="e">
        <f t="shared" ca="1" si="194"/>
        <v>#N/A</v>
      </c>
      <c r="C1367" s="496">
        <v>287</v>
      </c>
      <c r="D1367" s="41" t="e">
        <f ca="1">IF($C$1076&gt;0,VLOOKUP($C1367,COSTI!$U$4:$Z$1003,3,FALSE),IF($C$1075&gt;0,VLOOKUP($C1367,PATRIMONIALE!$U$4:$Z$1003,3,FALSE),IF($C$1074&gt;0,VLOOKUP($C1367,ENTI!$U$4:$Z$1003,3,FALSE),"")))</f>
        <v>#N/A</v>
      </c>
      <c r="E1367" s="41" t="str">
        <f t="shared" ca="1" si="193"/>
        <v/>
      </c>
      <c r="F1367" s="41" t="e">
        <f t="shared" ca="1" si="195"/>
        <v>#NUM!</v>
      </c>
      <c r="G1367" s="39" t="e">
        <f ca="1">IF($C$1076&gt;0,VLOOKUP($C1367,COSTI!$U$4:$Z$1003,5,FALSE),IF($C$1075&gt;0,VLOOKUP($C1367,PATRIMONIALE!$U$4:$Z$1003,5,FALSE),IF($C$1074&gt;0,VLOOKUP($C1367,ENTI!$U$4:$Z$1003,5,FALSE),"")))</f>
        <v>#N/A</v>
      </c>
      <c r="H1367" s="42" t="e">
        <f ca="1">IF($C$1076&gt;0,VLOOKUP($C1367,COSTI!$U$4:$Z$1003,6,FALSE),IF($C$1075&gt;0,VLOOKUP($C1367,PATRIMONIALE!$U$4:$Z$1003,6,FALSE),IF($C$1074&gt;0,VLOOKUP($C1367,ENTI!$U$4:$Z$1003,6,FALSE),"")))</f>
        <v>#N/A</v>
      </c>
      <c r="I1367" s="496">
        <v>287</v>
      </c>
      <c r="J1367" s="43" t="e">
        <f ca="1">VLOOKUP(D1367,$F$1081:$I$4183,4,FALSE)+COUNTIF(E$1081:E1366,E1367)</f>
        <v>#N/A</v>
      </c>
      <c r="K1367" s="1"/>
      <c r="L1367" s="39" t="e">
        <f>IF($C$1074&gt;0,VLOOKUP($C1367,ENTI!$U$4:$AD$1003,10,FALSE),"")</f>
        <v>#N/A</v>
      </c>
      <c r="M1367" s="1"/>
      <c r="N1367" s="1"/>
      <c r="O1367" s="1"/>
    </row>
    <row r="1368" spans="1:15" hidden="1">
      <c r="A1368" s="1"/>
      <c r="B1368" s="40" t="e">
        <f t="shared" ca="1" si="194"/>
        <v>#N/A</v>
      </c>
      <c r="C1368" s="496">
        <v>288</v>
      </c>
      <c r="D1368" s="41" t="e">
        <f ca="1">IF($C$1076&gt;0,VLOOKUP($C1368,COSTI!$U$4:$Z$1003,3,FALSE),IF($C$1075&gt;0,VLOOKUP($C1368,PATRIMONIALE!$U$4:$Z$1003,3,FALSE),IF($C$1074&gt;0,VLOOKUP($C1368,ENTI!$U$4:$Z$1003,3,FALSE),"")))</f>
        <v>#N/A</v>
      </c>
      <c r="E1368" s="41" t="str">
        <f t="shared" ca="1" si="193"/>
        <v/>
      </c>
      <c r="F1368" s="41" t="e">
        <f t="shared" ca="1" si="195"/>
        <v>#NUM!</v>
      </c>
      <c r="G1368" s="39" t="e">
        <f ca="1">IF($C$1076&gt;0,VLOOKUP($C1368,COSTI!$U$4:$Z$1003,5,FALSE),IF($C$1075&gt;0,VLOOKUP($C1368,PATRIMONIALE!$U$4:$Z$1003,5,FALSE),IF($C$1074&gt;0,VLOOKUP($C1368,ENTI!$U$4:$Z$1003,5,FALSE),"")))</f>
        <v>#N/A</v>
      </c>
      <c r="H1368" s="42" t="e">
        <f ca="1">IF($C$1076&gt;0,VLOOKUP($C1368,COSTI!$U$4:$Z$1003,6,FALSE),IF($C$1075&gt;0,VLOOKUP($C1368,PATRIMONIALE!$U$4:$Z$1003,6,FALSE),IF($C$1074&gt;0,VLOOKUP($C1368,ENTI!$U$4:$Z$1003,6,FALSE),"")))</f>
        <v>#N/A</v>
      </c>
      <c r="I1368" s="496">
        <v>288</v>
      </c>
      <c r="J1368" s="43" t="e">
        <f ca="1">VLOOKUP(D1368,$F$1081:$I$4183,4,FALSE)+COUNTIF(E$1081:E1367,E1368)</f>
        <v>#N/A</v>
      </c>
      <c r="K1368" s="1"/>
      <c r="L1368" s="39" t="e">
        <f>IF($C$1074&gt;0,VLOOKUP($C1368,ENTI!$U$4:$AD$1003,10,FALSE),"")</f>
        <v>#N/A</v>
      </c>
      <c r="M1368" s="1"/>
      <c r="N1368" s="1"/>
      <c r="O1368" s="1"/>
    </row>
    <row r="1369" spans="1:15" hidden="1">
      <c r="A1369" s="1"/>
      <c r="B1369" s="40" t="e">
        <f t="shared" ca="1" si="194"/>
        <v>#N/A</v>
      </c>
      <c r="C1369" s="496">
        <v>289</v>
      </c>
      <c r="D1369" s="41" t="e">
        <f ca="1">IF($C$1076&gt;0,VLOOKUP($C1369,COSTI!$U$4:$Z$1003,3,FALSE),IF($C$1075&gt;0,VLOOKUP($C1369,PATRIMONIALE!$U$4:$Z$1003,3,FALSE),IF($C$1074&gt;0,VLOOKUP($C1369,ENTI!$U$4:$Z$1003,3,FALSE),"")))</f>
        <v>#N/A</v>
      </c>
      <c r="E1369" s="41" t="str">
        <f t="shared" ca="1" si="193"/>
        <v/>
      </c>
      <c r="F1369" s="41" t="e">
        <f t="shared" ca="1" si="195"/>
        <v>#NUM!</v>
      </c>
      <c r="G1369" s="39" t="e">
        <f ca="1">IF($C$1076&gt;0,VLOOKUP($C1369,COSTI!$U$4:$Z$1003,5,FALSE),IF($C$1075&gt;0,VLOOKUP($C1369,PATRIMONIALE!$U$4:$Z$1003,5,FALSE),IF($C$1074&gt;0,VLOOKUP($C1369,ENTI!$U$4:$Z$1003,5,FALSE),"")))</f>
        <v>#N/A</v>
      </c>
      <c r="H1369" s="42" t="e">
        <f ca="1">IF($C$1076&gt;0,VLOOKUP($C1369,COSTI!$U$4:$Z$1003,6,FALSE),IF($C$1075&gt;0,VLOOKUP($C1369,PATRIMONIALE!$U$4:$Z$1003,6,FALSE),IF($C$1074&gt;0,VLOOKUP($C1369,ENTI!$U$4:$Z$1003,6,FALSE),"")))</f>
        <v>#N/A</v>
      </c>
      <c r="I1369" s="496">
        <v>289</v>
      </c>
      <c r="J1369" s="43" t="e">
        <f ca="1">VLOOKUP(D1369,$F$1081:$I$4183,4,FALSE)+COUNTIF(E$1081:E1368,E1369)</f>
        <v>#N/A</v>
      </c>
      <c r="K1369" s="1"/>
      <c r="L1369" s="39" t="e">
        <f>IF($C$1074&gt;0,VLOOKUP($C1369,ENTI!$U$4:$AD$1003,10,FALSE),"")</f>
        <v>#N/A</v>
      </c>
      <c r="M1369" s="1"/>
      <c r="N1369" s="1"/>
      <c r="O1369" s="1"/>
    </row>
    <row r="1370" spans="1:15" hidden="1">
      <c r="A1370" s="1"/>
      <c r="B1370" s="40" t="e">
        <f t="shared" ca="1" si="194"/>
        <v>#N/A</v>
      </c>
      <c r="C1370" s="496">
        <v>290</v>
      </c>
      <c r="D1370" s="41" t="e">
        <f ca="1">IF($C$1076&gt;0,VLOOKUP($C1370,COSTI!$U$4:$Z$1003,3,FALSE),IF($C$1075&gt;0,VLOOKUP($C1370,PATRIMONIALE!$U$4:$Z$1003,3,FALSE),IF($C$1074&gt;0,VLOOKUP($C1370,ENTI!$U$4:$Z$1003,3,FALSE),"")))</f>
        <v>#N/A</v>
      </c>
      <c r="E1370" s="41" t="str">
        <f t="shared" ca="1" si="193"/>
        <v/>
      </c>
      <c r="F1370" s="41" t="e">
        <f t="shared" ca="1" si="195"/>
        <v>#NUM!</v>
      </c>
      <c r="G1370" s="39" t="e">
        <f ca="1">IF($C$1076&gt;0,VLOOKUP($C1370,COSTI!$U$4:$Z$1003,5,FALSE),IF($C$1075&gt;0,VLOOKUP($C1370,PATRIMONIALE!$U$4:$Z$1003,5,FALSE),IF($C$1074&gt;0,VLOOKUP($C1370,ENTI!$U$4:$Z$1003,5,FALSE),"")))</f>
        <v>#N/A</v>
      </c>
      <c r="H1370" s="42" t="e">
        <f ca="1">IF($C$1076&gt;0,VLOOKUP($C1370,COSTI!$U$4:$Z$1003,6,FALSE),IF($C$1075&gt;0,VLOOKUP($C1370,PATRIMONIALE!$U$4:$Z$1003,6,FALSE),IF($C$1074&gt;0,VLOOKUP($C1370,ENTI!$U$4:$Z$1003,6,FALSE),"")))</f>
        <v>#N/A</v>
      </c>
      <c r="I1370" s="496">
        <v>290</v>
      </c>
      <c r="J1370" s="43" t="e">
        <f ca="1">VLOOKUP(D1370,$F$1081:$I$4183,4,FALSE)+COUNTIF(E$1081:E1369,E1370)</f>
        <v>#N/A</v>
      </c>
      <c r="K1370" s="1"/>
      <c r="L1370" s="39" t="e">
        <f>IF($C$1074&gt;0,VLOOKUP($C1370,ENTI!$U$4:$AD$1003,10,FALSE),"")</f>
        <v>#N/A</v>
      </c>
      <c r="M1370" s="1"/>
      <c r="N1370" s="1"/>
      <c r="O1370" s="1"/>
    </row>
    <row r="1371" spans="1:15" hidden="1">
      <c r="A1371" s="1"/>
      <c r="B1371" s="40" t="e">
        <f t="shared" ca="1" si="194"/>
        <v>#N/A</v>
      </c>
      <c r="C1371" s="496">
        <v>291</v>
      </c>
      <c r="D1371" s="41" t="e">
        <f ca="1">IF($C$1076&gt;0,VLOOKUP($C1371,COSTI!$U$4:$Z$1003,3,FALSE),IF($C$1075&gt;0,VLOOKUP($C1371,PATRIMONIALE!$U$4:$Z$1003,3,FALSE),IF($C$1074&gt;0,VLOOKUP($C1371,ENTI!$U$4:$Z$1003,3,FALSE),"")))</f>
        <v>#N/A</v>
      </c>
      <c r="E1371" s="41" t="str">
        <f t="shared" ca="1" si="193"/>
        <v/>
      </c>
      <c r="F1371" s="41" t="e">
        <f t="shared" ca="1" si="195"/>
        <v>#NUM!</v>
      </c>
      <c r="G1371" s="39" t="e">
        <f ca="1">IF($C$1076&gt;0,VLOOKUP($C1371,COSTI!$U$4:$Z$1003,5,FALSE),IF($C$1075&gt;0,VLOOKUP($C1371,PATRIMONIALE!$U$4:$Z$1003,5,FALSE),IF($C$1074&gt;0,VLOOKUP($C1371,ENTI!$U$4:$Z$1003,5,FALSE),"")))</f>
        <v>#N/A</v>
      </c>
      <c r="H1371" s="42" t="e">
        <f ca="1">IF($C$1076&gt;0,VLOOKUP($C1371,COSTI!$U$4:$Z$1003,6,FALSE),IF($C$1075&gt;0,VLOOKUP($C1371,PATRIMONIALE!$U$4:$Z$1003,6,FALSE),IF($C$1074&gt;0,VLOOKUP($C1371,ENTI!$U$4:$Z$1003,6,FALSE),"")))</f>
        <v>#N/A</v>
      </c>
      <c r="I1371" s="496">
        <v>291</v>
      </c>
      <c r="J1371" s="43" t="e">
        <f ca="1">VLOOKUP(D1371,$F$1081:$I$4183,4,FALSE)+COUNTIF(E$1081:E1370,E1371)</f>
        <v>#N/A</v>
      </c>
      <c r="K1371" s="1"/>
      <c r="L1371" s="39" t="e">
        <f>IF($C$1074&gt;0,VLOOKUP($C1371,ENTI!$U$4:$AD$1003,10,FALSE),"")</f>
        <v>#N/A</v>
      </c>
      <c r="M1371" s="1"/>
      <c r="N1371" s="1"/>
      <c r="O1371" s="1"/>
    </row>
    <row r="1372" spans="1:15" hidden="1">
      <c r="A1372" s="1"/>
      <c r="B1372" s="40" t="e">
        <f t="shared" ca="1" si="194"/>
        <v>#N/A</v>
      </c>
      <c r="C1372" s="496">
        <v>292</v>
      </c>
      <c r="D1372" s="41" t="e">
        <f ca="1">IF($C$1076&gt;0,VLOOKUP($C1372,COSTI!$U$4:$Z$1003,3,FALSE),IF($C$1075&gt;0,VLOOKUP($C1372,PATRIMONIALE!$U$4:$Z$1003,3,FALSE),IF($C$1074&gt;0,VLOOKUP($C1372,ENTI!$U$4:$Z$1003,3,FALSE),"")))</f>
        <v>#N/A</v>
      </c>
      <c r="E1372" s="41" t="str">
        <f t="shared" ca="1" si="193"/>
        <v/>
      </c>
      <c r="F1372" s="41" t="e">
        <f t="shared" ca="1" si="195"/>
        <v>#NUM!</v>
      </c>
      <c r="G1372" s="39" t="e">
        <f ca="1">IF($C$1076&gt;0,VLOOKUP($C1372,COSTI!$U$4:$Z$1003,5,FALSE),IF($C$1075&gt;0,VLOOKUP($C1372,PATRIMONIALE!$U$4:$Z$1003,5,FALSE),IF($C$1074&gt;0,VLOOKUP($C1372,ENTI!$U$4:$Z$1003,5,FALSE),"")))</f>
        <v>#N/A</v>
      </c>
      <c r="H1372" s="42" t="e">
        <f ca="1">IF($C$1076&gt;0,VLOOKUP($C1372,COSTI!$U$4:$Z$1003,6,FALSE),IF($C$1075&gt;0,VLOOKUP($C1372,PATRIMONIALE!$U$4:$Z$1003,6,FALSE),IF($C$1074&gt;0,VLOOKUP($C1372,ENTI!$U$4:$Z$1003,6,FALSE),"")))</f>
        <v>#N/A</v>
      </c>
      <c r="I1372" s="496">
        <v>292</v>
      </c>
      <c r="J1372" s="43" t="e">
        <f ca="1">VLOOKUP(D1372,$F$1081:$I$4183,4,FALSE)+COUNTIF(E$1081:E1371,E1372)</f>
        <v>#N/A</v>
      </c>
      <c r="K1372" s="1"/>
      <c r="L1372" s="39" t="e">
        <f>IF($C$1074&gt;0,VLOOKUP($C1372,ENTI!$U$4:$AD$1003,10,FALSE),"")</f>
        <v>#N/A</v>
      </c>
      <c r="M1372" s="1"/>
      <c r="N1372" s="1"/>
      <c r="O1372" s="1"/>
    </row>
    <row r="1373" spans="1:15" hidden="1">
      <c r="A1373" s="1"/>
      <c r="B1373" s="40" t="e">
        <f t="shared" ca="1" si="194"/>
        <v>#N/A</v>
      </c>
      <c r="C1373" s="496">
        <v>293</v>
      </c>
      <c r="D1373" s="41" t="e">
        <f ca="1">IF($C$1076&gt;0,VLOOKUP($C1373,COSTI!$U$4:$Z$1003,3,FALSE),IF($C$1075&gt;0,VLOOKUP($C1373,PATRIMONIALE!$U$4:$Z$1003,3,FALSE),IF($C$1074&gt;0,VLOOKUP($C1373,ENTI!$U$4:$Z$1003,3,FALSE),"")))</f>
        <v>#N/A</v>
      </c>
      <c r="E1373" s="41" t="str">
        <f t="shared" ca="1" si="193"/>
        <v/>
      </c>
      <c r="F1373" s="41" t="e">
        <f t="shared" ca="1" si="195"/>
        <v>#NUM!</v>
      </c>
      <c r="G1373" s="39" t="e">
        <f ca="1">IF($C$1076&gt;0,VLOOKUP($C1373,COSTI!$U$4:$Z$1003,5,FALSE),IF($C$1075&gt;0,VLOOKUP($C1373,PATRIMONIALE!$U$4:$Z$1003,5,FALSE),IF($C$1074&gt;0,VLOOKUP($C1373,ENTI!$U$4:$Z$1003,5,FALSE),"")))</f>
        <v>#N/A</v>
      </c>
      <c r="H1373" s="42" t="e">
        <f ca="1">IF($C$1076&gt;0,VLOOKUP($C1373,COSTI!$U$4:$Z$1003,6,FALSE),IF($C$1075&gt;0,VLOOKUP($C1373,PATRIMONIALE!$U$4:$Z$1003,6,FALSE),IF($C$1074&gt;0,VLOOKUP($C1373,ENTI!$U$4:$Z$1003,6,FALSE),"")))</f>
        <v>#N/A</v>
      </c>
      <c r="I1373" s="496">
        <v>293</v>
      </c>
      <c r="J1373" s="43" t="e">
        <f ca="1">VLOOKUP(D1373,$F$1081:$I$4183,4,FALSE)+COUNTIF(E$1081:E1372,E1373)</f>
        <v>#N/A</v>
      </c>
      <c r="K1373" s="1"/>
      <c r="L1373" s="39" t="e">
        <f>IF($C$1074&gt;0,VLOOKUP($C1373,ENTI!$U$4:$AD$1003,10,FALSE),"")</f>
        <v>#N/A</v>
      </c>
      <c r="M1373" s="1"/>
      <c r="N1373" s="1"/>
      <c r="O1373" s="1"/>
    </row>
    <row r="1374" spans="1:15" hidden="1">
      <c r="A1374" s="1"/>
      <c r="B1374" s="40" t="e">
        <f t="shared" ca="1" si="194"/>
        <v>#N/A</v>
      </c>
      <c r="C1374" s="496">
        <v>294</v>
      </c>
      <c r="D1374" s="41" t="e">
        <f ca="1">IF($C$1076&gt;0,VLOOKUP($C1374,COSTI!$U$4:$Z$1003,3,FALSE),IF($C$1075&gt;0,VLOOKUP($C1374,PATRIMONIALE!$U$4:$Z$1003,3,FALSE),IF($C$1074&gt;0,VLOOKUP($C1374,ENTI!$U$4:$Z$1003,3,FALSE),"")))</f>
        <v>#N/A</v>
      </c>
      <c r="E1374" s="41" t="str">
        <f t="shared" ca="1" si="193"/>
        <v/>
      </c>
      <c r="F1374" s="41" t="e">
        <f t="shared" ca="1" si="195"/>
        <v>#NUM!</v>
      </c>
      <c r="G1374" s="39" t="e">
        <f ca="1">IF($C$1076&gt;0,VLOOKUP($C1374,COSTI!$U$4:$Z$1003,5,FALSE),IF($C$1075&gt;0,VLOOKUP($C1374,PATRIMONIALE!$U$4:$Z$1003,5,FALSE),IF($C$1074&gt;0,VLOOKUP($C1374,ENTI!$U$4:$Z$1003,5,FALSE),"")))</f>
        <v>#N/A</v>
      </c>
      <c r="H1374" s="42" t="e">
        <f ca="1">IF($C$1076&gt;0,VLOOKUP($C1374,COSTI!$U$4:$Z$1003,6,FALSE),IF($C$1075&gt;0,VLOOKUP($C1374,PATRIMONIALE!$U$4:$Z$1003,6,FALSE),IF($C$1074&gt;0,VLOOKUP($C1374,ENTI!$U$4:$Z$1003,6,FALSE),"")))</f>
        <v>#N/A</v>
      </c>
      <c r="I1374" s="496">
        <v>294</v>
      </c>
      <c r="J1374" s="43" t="e">
        <f ca="1">VLOOKUP(D1374,$F$1081:$I$4183,4,FALSE)+COUNTIF(E$1081:E1373,E1374)</f>
        <v>#N/A</v>
      </c>
      <c r="K1374" s="1"/>
      <c r="L1374" s="39" t="e">
        <f>IF($C$1074&gt;0,VLOOKUP($C1374,ENTI!$U$4:$AD$1003,10,FALSE),"")</f>
        <v>#N/A</v>
      </c>
      <c r="M1374" s="1"/>
      <c r="N1374" s="1"/>
      <c r="O1374" s="1"/>
    </row>
    <row r="1375" spans="1:15" hidden="1">
      <c r="A1375" s="1"/>
      <c r="B1375" s="40" t="e">
        <f t="shared" ca="1" si="194"/>
        <v>#N/A</v>
      </c>
      <c r="C1375" s="496">
        <v>295</v>
      </c>
      <c r="D1375" s="41" t="e">
        <f ca="1">IF($C$1076&gt;0,VLOOKUP($C1375,COSTI!$U$4:$Z$1003,3,FALSE),IF($C$1075&gt;0,VLOOKUP($C1375,PATRIMONIALE!$U$4:$Z$1003,3,FALSE),IF($C$1074&gt;0,VLOOKUP($C1375,ENTI!$U$4:$Z$1003,3,FALSE),"")))</f>
        <v>#N/A</v>
      </c>
      <c r="E1375" s="41" t="str">
        <f t="shared" ca="1" si="193"/>
        <v/>
      </c>
      <c r="F1375" s="41" t="e">
        <f t="shared" ca="1" si="195"/>
        <v>#NUM!</v>
      </c>
      <c r="G1375" s="39" t="e">
        <f ca="1">IF($C$1076&gt;0,VLOOKUP($C1375,COSTI!$U$4:$Z$1003,5,FALSE),IF($C$1075&gt;0,VLOOKUP($C1375,PATRIMONIALE!$U$4:$Z$1003,5,FALSE),IF($C$1074&gt;0,VLOOKUP($C1375,ENTI!$U$4:$Z$1003,5,FALSE),"")))</f>
        <v>#N/A</v>
      </c>
      <c r="H1375" s="42" t="e">
        <f ca="1">IF($C$1076&gt;0,VLOOKUP($C1375,COSTI!$U$4:$Z$1003,6,FALSE),IF($C$1075&gt;0,VLOOKUP($C1375,PATRIMONIALE!$U$4:$Z$1003,6,FALSE),IF($C$1074&gt;0,VLOOKUP($C1375,ENTI!$U$4:$Z$1003,6,FALSE),"")))</f>
        <v>#N/A</v>
      </c>
      <c r="I1375" s="496">
        <v>295</v>
      </c>
      <c r="J1375" s="43" t="e">
        <f ca="1">VLOOKUP(D1375,$F$1081:$I$4183,4,FALSE)+COUNTIF(E$1081:E1374,E1375)</f>
        <v>#N/A</v>
      </c>
      <c r="K1375" s="1"/>
      <c r="L1375" s="39" t="e">
        <f>IF($C$1074&gt;0,VLOOKUP($C1375,ENTI!$U$4:$AD$1003,10,FALSE),"")</f>
        <v>#N/A</v>
      </c>
      <c r="M1375" s="1"/>
      <c r="N1375" s="1"/>
      <c r="O1375" s="1"/>
    </row>
    <row r="1376" spans="1:15" hidden="1">
      <c r="A1376" s="1"/>
      <c r="B1376" s="40" t="e">
        <f t="shared" ca="1" si="194"/>
        <v>#N/A</v>
      </c>
      <c r="C1376" s="496">
        <v>296</v>
      </c>
      <c r="D1376" s="41" t="e">
        <f ca="1">IF($C$1076&gt;0,VLOOKUP($C1376,COSTI!$U$4:$Z$1003,3,FALSE),IF($C$1075&gt;0,VLOOKUP($C1376,PATRIMONIALE!$U$4:$Z$1003,3,FALSE),IF($C$1074&gt;0,VLOOKUP($C1376,ENTI!$U$4:$Z$1003,3,FALSE),"")))</f>
        <v>#N/A</v>
      </c>
      <c r="E1376" s="41" t="str">
        <f t="shared" ca="1" si="193"/>
        <v/>
      </c>
      <c r="F1376" s="41" t="e">
        <f t="shared" ca="1" si="195"/>
        <v>#NUM!</v>
      </c>
      <c r="G1376" s="39" t="e">
        <f ca="1">IF($C$1076&gt;0,VLOOKUP($C1376,COSTI!$U$4:$Z$1003,5,FALSE),IF($C$1075&gt;0,VLOOKUP($C1376,PATRIMONIALE!$U$4:$Z$1003,5,FALSE),IF($C$1074&gt;0,VLOOKUP($C1376,ENTI!$U$4:$Z$1003,5,FALSE),"")))</f>
        <v>#N/A</v>
      </c>
      <c r="H1376" s="42" t="e">
        <f ca="1">IF($C$1076&gt;0,VLOOKUP($C1376,COSTI!$U$4:$Z$1003,6,FALSE),IF($C$1075&gt;0,VLOOKUP($C1376,PATRIMONIALE!$U$4:$Z$1003,6,FALSE),IF($C$1074&gt;0,VLOOKUP($C1376,ENTI!$U$4:$Z$1003,6,FALSE),"")))</f>
        <v>#N/A</v>
      </c>
      <c r="I1376" s="496">
        <v>296</v>
      </c>
      <c r="J1376" s="43" t="e">
        <f ca="1">VLOOKUP(D1376,$F$1081:$I$4183,4,FALSE)+COUNTIF(E$1081:E1375,E1376)</f>
        <v>#N/A</v>
      </c>
      <c r="K1376" s="1"/>
      <c r="L1376" s="39" t="e">
        <f>IF($C$1074&gt;0,VLOOKUP($C1376,ENTI!$U$4:$AD$1003,10,FALSE),"")</f>
        <v>#N/A</v>
      </c>
      <c r="M1376" s="1"/>
      <c r="N1376" s="1"/>
      <c r="O1376" s="1"/>
    </row>
    <row r="1377" spans="1:15" hidden="1">
      <c r="A1377" s="1"/>
      <c r="B1377" s="40" t="e">
        <f t="shared" ca="1" si="194"/>
        <v>#N/A</v>
      </c>
      <c r="C1377" s="496">
        <v>297</v>
      </c>
      <c r="D1377" s="41" t="e">
        <f ca="1">IF($C$1076&gt;0,VLOOKUP($C1377,COSTI!$U$4:$Z$1003,3,FALSE),IF($C$1075&gt;0,VLOOKUP($C1377,PATRIMONIALE!$U$4:$Z$1003,3,FALSE),IF($C$1074&gt;0,VLOOKUP($C1377,ENTI!$U$4:$Z$1003,3,FALSE),"")))</f>
        <v>#N/A</v>
      </c>
      <c r="E1377" s="41" t="str">
        <f t="shared" ca="1" si="193"/>
        <v/>
      </c>
      <c r="F1377" s="41" t="e">
        <f t="shared" ca="1" si="195"/>
        <v>#NUM!</v>
      </c>
      <c r="G1377" s="39" t="e">
        <f ca="1">IF($C$1076&gt;0,VLOOKUP($C1377,COSTI!$U$4:$Z$1003,5,FALSE),IF($C$1075&gt;0,VLOOKUP($C1377,PATRIMONIALE!$U$4:$Z$1003,5,FALSE),IF($C$1074&gt;0,VLOOKUP($C1377,ENTI!$U$4:$Z$1003,5,FALSE),"")))</f>
        <v>#N/A</v>
      </c>
      <c r="H1377" s="42" t="e">
        <f ca="1">IF($C$1076&gt;0,VLOOKUP($C1377,COSTI!$U$4:$Z$1003,6,FALSE),IF($C$1075&gt;0,VLOOKUP($C1377,PATRIMONIALE!$U$4:$Z$1003,6,FALSE),IF($C$1074&gt;0,VLOOKUP($C1377,ENTI!$U$4:$Z$1003,6,FALSE),"")))</f>
        <v>#N/A</v>
      </c>
      <c r="I1377" s="496">
        <v>297</v>
      </c>
      <c r="J1377" s="43" t="e">
        <f ca="1">VLOOKUP(D1377,$F$1081:$I$4183,4,FALSE)+COUNTIF(E$1081:E1376,E1377)</f>
        <v>#N/A</v>
      </c>
      <c r="K1377" s="1"/>
      <c r="L1377" s="39" t="e">
        <f>IF($C$1074&gt;0,VLOOKUP($C1377,ENTI!$U$4:$AD$1003,10,FALSE),"")</f>
        <v>#N/A</v>
      </c>
      <c r="M1377" s="1"/>
      <c r="N1377" s="1"/>
      <c r="O1377" s="1"/>
    </row>
    <row r="1378" spans="1:15" hidden="1">
      <c r="A1378" s="1"/>
      <c r="B1378" s="40" t="e">
        <f t="shared" ca="1" si="194"/>
        <v>#N/A</v>
      </c>
      <c r="C1378" s="496">
        <v>298</v>
      </c>
      <c r="D1378" s="41" t="e">
        <f ca="1">IF($C$1076&gt;0,VLOOKUP($C1378,COSTI!$U$4:$Z$1003,3,FALSE),IF($C$1075&gt;0,VLOOKUP($C1378,PATRIMONIALE!$U$4:$Z$1003,3,FALSE),IF($C$1074&gt;0,VLOOKUP($C1378,ENTI!$U$4:$Z$1003,3,FALSE),"")))</f>
        <v>#N/A</v>
      </c>
      <c r="E1378" s="41" t="str">
        <f t="shared" ca="1" si="193"/>
        <v/>
      </c>
      <c r="F1378" s="41" t="e">
        <f t="shared" ca="1" si="195"/>
        <v>#NUM!</v>
      </c>
      <c r="G1378" s="39" t="e">
        <f ca="1">IF($C$1076&gt;0,VLOOKUP($C1378,COSTI!$U$4:$Z$1003,5,FALSE),IF($C$1075&gt;0,VLOOKUP($C1378,PATRIMONIALE!$U$4:$Z$1003,5,FALSE),IF($C$1074&gt;0,VLOOKUP($C1378,ENTI!$U$4:$Z$1003,5,FALSE),"")))</f>
        <v>#N/A</v>
      </c>
      <c r="H1378" s="42" t="e">
        <f ca="1">IF($C$1076&gt;0,VLOOKUP($C1378,COSTI!$U$4:$Z$1003,6,FALSE),IF($C$1075&gt;0,VLOOKUP($C1378,PATRIMONIALE!$U$4:$Z$1003,6,FALSE),IF($C$1074&gt;0,VLOOKUP($C1378,ENTI!$U$4:$Z$1003,6,FALSE),"")))</f>
        <v>#N/A</v>
      </c>
      <c r="I1378" s="496">
        <v>298</v>
      </c>
      <c r="J1378" s="43" t="e">
        <f ca="1">VLOOKUP(D1378,$F$1081:$I$4183,4,FALSE)+COUNTIF(E$1081:E1377,E1378)</f>
        <v>#N/A</v>
      </c>
      <c r="K1378" s="1"/>
      <c r="L1378" s="39" t="e">
        <f>IF($C$1074&gt;0,VLOOKUP($C1378,ENTI!$U$4:$AD$1003,10,FALSE),"")</f>
        <v>#N/A</v>
      </c>
      <c r="M1378" s="1"/>
      <c r="N1378" s="1"/>
      <c r="O1378" s="1"/>
    </row>
    <row r="1379" spans="1:15" hidden="1">
      <c r="A1379" s="1"/>
      <c r="B1379" s="40" t="e">
        <f t="shared" ca="1" si="194"/>
        <v>#N/A</v>
      </c>
      <c r="C1379" s="496">
        <v>299</v>
      </c>
      <c r="D1379" s="41" t="e">
        <f ca="1">IF($C$1076&gt;0,VLOOKUP($C1379,COSTI!$U$4:$Z$1003,3,FALSE),IF($C$1075&gt;0,VLOOKUP($C1379,PATRIMONIALE!$U$4:$Z$1003,3,FALSE),IF($C$1074&gt;0,VLOOKUP($C1379,ENTI!$U$4:$Z$1003,3,FALSE),"")))</f>
        <v>#N/A</v>
      </c>
      <c r="E1379" s="41" t="str">
        <f t="shared" ca="1" si="193"/>
        <v/>
      </c>
      <c r="F1379" s="41" t="e">
        <f t="shared" ca="1" si="195"/>
        <v>#NUM!</v>
      </c>
      <c r="G1379" s="39" t="e">
        <f ca="1">IF($C$1076&gt;0,VLOOKUP($C1379,COSTI!$U$4:$Z$1003,5,FALSE),IF($C$1075&gt;0,VLOOKUP($C1379,PATRIMONIALE!$U$4:$Z$1003,5,FALSE),IF($C$1074&gt;0,VLOOKUP($C1379,ENTI!$U$4:$Z$1003,5,FALSE),"")))</f>
        <v>#N/A</v>
      </c>
      <c r="H1379" s="42" t="e">
        <f ca="1">IF($C$1076&gt;0,VLOOKUP($C1379,COSTI!$U$4:$Z$1003,6,FALSE),IF($C$1075&gt;0,VLOOKUP($C1379,PATRIMONIALE!$U$4:$Z$1003,6,FALSE),IF($C$1074&gt;0,VLOOKUP($C1379,ENTI!$U$4:$Z$1003,6,FALSE),"")))</f>
        <v>#N/A</v>
      </c>
      <c r="I1379" s="496">
        <v>299</v>
      </c>
      <c r="J1379" s="43" t="e">
        <f ca="1">VLOOKUP(D1379,$F$1081:$I$4183,4,FALSE)+COUNTIF(E$1081:E1378,E1379)</f>
        <v>#N/A</v>
      </c>
      <c r="K1379" s="1"/>
      <c r="L1379" s="39" t="e">
        <f>IF($C$1074&gt;0,VLOOKUP($C1379,ENTI!$U$4:$AD$1003,10,FALSE),"")</f>
        <v>#N/A</v>
      </c>
      <c r="M1379" s="1"/>
      <c r="N1379" s="1"/>
      <c r="O1379" s="1"/>
    </row>
    <row r="1380" spans="1:15" hidden="1">
      <c r="A1380" s="1"/>
      <c r="B1380" s="40" t="e">
        <f t="shared" ca="1" si="194"/>
        <v>#N/A</v>
      </c>
      <c r="C1380" s="496">
        <v>300</v>
      </c>
      <c r="D1380" s="41" t="e">
        <f ca="1">IF($C$1076&gt;0,VLOOKUP($C1380,COSTI!$U$4:$Z$1003,3,FALSE),IF($C$1075&gt;0,VLOOKUP($C1380,PATRIMONIALE!$U$4:$Z$1003,3,FALSE),IF($C$1074&gt;0,VLOOKUP($C1380,ENTI!$U$4:$Z$1003,3,FALSE),"")))</f>
        <v>#N/A</v>
      </c>
      <c r="E1380" s="41" t="str">
        <f t="shared" ca="1" si="193"/>
        <v/>
      </c>
      <c r="F1380" s="41" t="e">
        <f t="shared" ca="1" si="195"/>
        <v>#NUM!</v>
      </c>
      <c r="G1380" s="39" t="e">
        <f ca="1">IF($C$1076&gt;0,VLOOKUP($C1380,COSTI!$U$4:$Z$1003,5,FALSE),IF($C$1075&gt;0,VLOOKUP($C1380,PATRIMONIALE!$U$4:$Z$1003,5,FALSE),IF($C$1074&gt;0,VLOOKUP($C1380,ENTI!$U$4:$Z$1003,5,FALSE),"")))</f>
        <v>#N/A</v>
      </c>
      <c r="H1380" s="42" t="e">
        <f ca="1">IF($C$1076&gt;0,VLOOKUP($C1380,COSTI!$U$4:$Z$1003,6,FALSE),IF($C$1075&gt;0,VLOOKUP($C1380,PATRIMONIALE!$U$4:$Z$1003,6,FALSE),IF($C$1074&gt;0,VLOOKUP($C1380,ENTI!$U$4:$Z$1003,6,FALSE),"")))</f>
        <v>#N/A</v>
      </c>
      <c r="I1380" s="496">
        <v>300</v>
      </c>
      <c r="J1380" s="43" t="e">
        <f ca="1">VLOOKUP(D1380,$F$1081:$I$4183,4,FALSE)+COUNTIF(E$1081:E1379,E1380)</f>
        <v>#N/A</v>
      </c>
      <c r="K1380" s="1"/>
      <c r="L1380" s="39" t="e">
        <f>IF($C$1074&gt;0,VLOOKUP($C1380,ENTI!$U$4:$AD$1003,10,FALSE),"")</f>
        <v>#N/A</v>
      </c>
      <c r="M1380" s="1"/>
      <c r="N1380" s="1"/>
      <c r="O1380" s="1"/>
    </row>
    <row r="1381" spans="1:15" hidden="1">
      <c r="A1381" s="1"/>
      <c r="B1381" s="40" t="e">
        <f t="shared" ca="1" si="194"/>
        <v>#N/A</v>
      </c>
      <c r="C1381" s="496">
        <v>301</v>
      </c>
      <c r="D1381" s="41" t="e">
        <f ca="1">IF($C$1076&gt;0,VLOOKUP($C1381,COSTI!$U$4:$Z$1003,3,FALSE),IF($C$1075&gt;0,VLOOKUP($C1381,PATRIMONIALE!$U$4:$Z$1003,3,FALSE),IF($C$1074&gt;0,VLOOKUP($C1381,ENTI!$U$4:$Z$1003,3,FALSE),"")))</f>
        <v>#N/A</v>
      </c>
      <c r="E1381" s="41" t="str">
        <f t="shared" ca="1" si="193"/>
        <v/>
      </c>
      <c r="F1381" s="41" t="e">
        <f t="shared" ca="1" si="195"/>
        <v>#NUM!</v>
      </c>
      <c r="G1381" s="39" t="e">
        <f ca="1">IF($C$1076&gt;0,VLOOKUP($C1381,COSTI!$U$4:$Z$1003,5,FALSE),IF($C$1075&gt;0,VLOOKUP($C1381,PATRIMONIALE!$U$4:$Z$1003,5,FALSE),IF($C$1074&gt;0,VLOOKUP($C1381,ENTI!$U$4:$Z$1003,5,FALSE),"")))</f>
        <v>#N/A</v>
      </c>
      <c r="H1381" s="42" t="e">
        <f ca="1">IF($C$1076&gt;0,VLOOKUP($C1381,COSTI!$U$4:$Z$1003,6,FALSE),IF($C$1075&gt;0,VLOOKUP($C1381,PATRIMONIALE!$U$4:$Z$1003,6,FALSE),IF($C$1074&gt;0,VLOOKUP($C1381,ENTI!$U$4:$Z$1003,6,FALSE),"")))</f>
        <v>#N/A</v>
      </c>
      <c r="I1381" s="496">
        <v>301</v>
      </c>
      <c r="J1381" s="43" t="e">
        <f ca="1">VLOOKUP(D1381,$F$1081:$I$4183,4,FALSE)+COUNTIF(E$1081:E1380,E1381)</f>
        <v>#N/A</v>
      </c>
      <c r="K1381" s="1"/>
      <c r="L1381" s="39" t="e">
        <f>IF($C$1074&gt;0,VLOOKUP($C1381,ENTI!$U$4:$AD$1003,10,FALSE),"")</f>
        <v>#N/A</v>
      </c>
      <c r="M1381" s="1"/>
      <c r="N1381" s="1"/>
      <c r="O1381" s="1"/>
    </row>
    <row r="1382" spans="1:15" hidden="1">
      <c r="A1382" s="1"/>
      <c r="B1382" s="40" t="e">
        <f t="shared" ca="1" si="194"/>
        <v>#N/A</v>
      </c>
      <c r="C1382" s="496">
        <v>302</v>
      </c>
      <c r="D1382" s="41" t="e">
        <f ca="1">IF($C$1076&gt;0,VLOOKUP($C1382,COSTI!$U$4:$Z$1003,3,FALSE),IF($C$1075&gt;0,VLOOKUP($C1382,PATRIMONIALE!$U$4:$Z$1003,3,FALSE),IF($C$1074&gt;0,VLOOKUP($C1382,ENTI!$U$4:$Z$1003,3,FALSE),"")))</f>
        <v>#N/A</v>
      </c>
      <c r="E1382" s="41" t="str">
        <f t="shared" ca="1" si="193"/>
        <v/>
      </c>
      <c r="F1382" s="41" t="e">
        <f t="shared" ca="1" si="195"/>
        <v>#NUM!</v>
      </c>
      <c r="G1382" s="39" t="e">
        <f ca="1">IF($C$1076&gt;0,VLOOKUP($C1382,COSTI!$U$4:$Z$1003,5,FALSE),IF($C$1075&gt;0,VLOOKUP($C1382,PATRIMONIALE!$U$4:$Z$1003,5,FALSE),IF($C$1074&gt;0,VLOOKUP($C1382,ENTI!$U$4:$Z$1003,5,FALSE),"")))</f>
        <v>#N/A</v>
      </c>
      <c r="H1382" s="42" t="e">
        <f ca="1">IF($C$1076&gt;0,VLOOKUP($C1382,COSTI!$U$4:$Z$1003,6,FALSE),IF($C$1075&gt;0,VLOOKUP($C1382,PATRIMONIALE!$U$4:$Z$1003,6,FALSE),IF($C$1074&gt;0,VLOOKUP($C1382,ENTI!$U$4:$Z$1003,6,FALSE),"")))</f>
        <v>#N/A</v>
      </c>
      <c r="I1382" s="496">
        <v>302</v>
      </c>
      <c r="J1382" s="43" t="e">
        <f ca="1">VLOOKUP(D1382,$F$1081:$I$4183,4,FALSE)+COUNTIF(E$1081:E1381,E1382)</f>
        <v>#N/A</v>
      </c>
      <c r="K1382" s="1"/>
      <c r="L1382" s="39" t="e">
        <f>IF($C$1074&gt;0,VLOOKUP($C1382,ENTI!$U$4:$AD$1003,10,FALSE),"")</f>
        <v>#N/A</v>
      </c>
      <c r="M1382" s="1"/>
      <c r="N1382" s="1"/>
      <c r="O1382" s="1"/>
    </row>
    <row r="1383" spans="1:15" hidden="1">
      <c r="A1383" s="1"/>
      <c r="B1383" s="40" t="e">
        <f t="shared" ca="1" si="194"/>
        <v>#N/A</v>
      </c>
      <c r="C1383" s="496">
        <v>303</v>
      </c>
      <c r="D1383" s="41" t="e">
        <f ca="1">IF($C$1076&gt;0,VLOOKUP($C1383,COSTI!$U$4:$Z$1003,3,FALSE),IF($C$1075&gt;0,VLOOKUP($C1383,PATRIMONIALE!$U$4:$Z$1003,3,FALSE),IF($C$1074&gt;0,VLOOKUP($C1383,ENTI!$U$4:$Z$1003,3,FALSE),"")))</f>
        <v>#N/A</v>
      </c>
      <c r="E1383" s="41" t="str">
        <f t="shared" ca="1" si="193"/>
        <v/>
      </c>
      <c r="F1383" s="41" t="e">
        <f t="shared" ca="1" si="195"/>
        <v>#NUM!</v>
      </c>
      <c r="G1383" s="39" t="e">
        <f ca="1">IF($C$1076&gt;0,VLOOKUP($C1383,COSTI!$U$4:$Z$1003,5,FALSE),IF($C$1075&gt;0,VLOOKUP($C1383,PATRIMONIALE!$U$4:$Z$1003,5,FALSE),IF($C$1074&gt;0,VLOOKUP($C1383,ENTI!$U$4:$Z$1003,5,FALSE),"")))</f>
        <v>#N/A</v>
      </c>
      <c r="H1383" s="42" t="e">
        <f ca="1">IF($C$1076&gt;0,VLOOKUP($C1383,COSTI!$U$4:$Z$1003,6,FALSE),IF($C$1075&gt;0,VLOOKUP($C1383,PATRIMONIALE!$U$4:$Z$1003,6,FALSE),IF($C$1074&gt;0,VLOOKUP($C1383,ENTI!$U$4:$Z$1003,6,FALSE),"")))</f>
        <v>#N/A</v>
      </c>
      <c r="I1383" s="496">
        <v>303</v>
      </c>
      <c r="J1383" s="43" t="e">
        <f ca="1">VLOOKUP(D1383,$F$1081:$I$4183,4,FALSE)+COUNTIF(E$1081:E1382,E1383)</f>
        <v>#N/A</v>
      </c>
      <c r="K1383" s="1"/>
      <c r="L1383" s="39" t="e">
        <f>IF($C$1074&gt;0,VLOOKUP($C1383,ENTI!$U$4:$AD$1003,10,FALSE),"")</f>
        <v>#N/A</v>
      </c>
      <c r="M1383" s="1"/>
      <c r="N1383" s="1"/>
      <c r="O1383" s="1"/>
    </row>
    <row r="1384" spans="1:15" hidden="1">
      <c r="A1384" s="1"/>
      <c r="B1384" s="40" t="e">
        <f t="shared" ca="1" si="194"/>
        <v>#N/A</v>
      </c>
      <c r="C1384" s="496">
        <v>304</v>
      </c>
      <c r="D1384" s="41" t="e">
        <f ca="1">IF($C$1076&gt;0,VLOOKUP($C1384,COSTI!$U$4:$Z$1003,3,FALSE),IF($C$1075&gt;0,VLOOKUP($C1384,PATRIMONIALE!$U$4:$Z$1003,3,FALSE),IF($C$1074&gt;0,VLOOKUP($C1384,ENTI!$U$4:$Z$1003,3,FALSE),"")))</f>
        <v>#N/A</v>
      </c>
      <c r="E1384" s="41" t="str">
        <f t="shared" ca="1" si="193"/>
        <v/>
      </c>
      <c r="F1384" s="41" t="e">
        <f t="shared" ca="1" si="195"/>
        <v>#NUM!</v>
      </c>
      <c r="G1384" s="39" t="e">
        <f ca="1">IF($C$1076&gt;0,VLOOKUP($C1384,COSTI!$U$4:$Z$1003,5,FALSE),IF($C$1075&gt;0,VLOOKUP($C1384,PATRIMONIALE!$U$4:$Z$1003,5,FALSE),IF($C$1074&gt;0,VLOOKUP($C1384,ENTI!$U$4:$Z$1003,5,FALSE),"")))</f>
        <v>#N/A</v>
      </c>
      <c r="H1384" s="42" t="e">
        <f ca="1">IF($C$1076&gt;0,VLOOKUP($C1384,COSTI!$U$4:$Z$1003,6,FALSE),IF($C$1075&gt;0,VLOOKUP($C1384,PATRIMONIALE!$U$4:$Z$1003,6,FALSE),IF($C$1074&gt;0,VLOOKUP($C1384,ENTI!$U$4:$Z$1003,6,FALSE),"")))</f>
        <v>#N/A</v>
      </c>
      <c r="I1384" s="496">
        <v>304</v>
      </c>
      <c r="J1384" s="43" t="e">
        <f ca="1">VLOOKUP(D1384,$F$1081:$I$4183,4,FALSE)+COUNTIF(E$1081:E1383,E1384)</f>
        <v>#N/A</v>
      </c>
      <c r="K1384" s="1"/>
      <c r="L1384" s="39" t="e">
        <f>IF($C$1074&gt;0,VLOOKUP($C1384,ENTI!$U$4:$AD$1003,10,FALSE),"")</f>
        <v>#N/A</v>
      </c>
      <c r="M1384" s="1"/>
      <c r="N1384" s="1"/>
      <c r="O1384" s="1"/>
    </row>
    <row r="1385" spans="1:15" hidden="1">
      <c r="A1385" s="1"/>
      <c r="B1385" s="40" t="e">
        <f t="shared" ca="1" si="194"/>
        <v>#N/A</v>
      </c>
      <c r="C1385" s="496">
        <v>305</v>
      </c>
      <c r="D1385" s="41" t="e">
        <f ca="1">IF($C$1076&gt;0,VLOOKUP($C1385,COSTI!$U$4:$Z$1003,3,FALSE),IF($C$1075&gt;0,VLOOKUP($C1385,PATRIMONIALE!$U$4:$Z$1003,3,FALSE),IF($C$1074&gt;0,VLOOKUP($C1385,ENTI!$U$4:$Z$1003,3,FALSE),"")))</f>
        <v>#N/A</v>
      </c>
      <c r="E1385" s="41" t="str">
        <f t="shared" ca="1" si="193"/>
        <v/>
      </c>
      <c r="F1385" s="41" t="e">
        <f t="shared" ca="1" si="195"/>
        <v>#NUM!</v>
      </c>
      <c r="G1385" s="39" t="e">
        <f ca="1">IF($C$1076&gt;0,VLOOKUP($C1385,COSTI!$U$4:$Z$1003,5,FALSE),IF($C$1075&gt;0,VLOOKUP($C1385,PATRIMONIALE!$U$4:$Z$1003,5,FALSE),IF($C$1074&gt;0,VLOOKUP($C1385,ENTI!$U$4:$Z$1003,5,FALSE),"")))</f>
        <v>#N/A</v>
      </c>
      <c r="H1385" s="42" t="e">
        <f ca="1">IF($C$1076&gt;0,VLOOKUP($C1385,COSTI!$U$4:$Z$1003,6,FALSE),IF($C$1075&gt;0,VLOOKUP($C1385,PATRIMONIALE!$U$4:$Z$1003,6,FALSE),IF($C$1074&gt;0,VLOOKUP($C1385,ENTI!$U$4:$Z$1003,6,FALSE),"")))</f>
        <v>#N/A</v>
      </c>
      <c r="I1385" s="496">
        <v>305</v>
      </c>
      <c r="J1385" s="43" t="e">
        <f ca="1">VLOOKUP(D1385,$F$1081:$I$4183,4,FALSE)+COUNTIF(E$1081:E1384,E1385)</f>
        <v>#N/A</v>
      </c>
      <c r="K1385" s="1"/>
      <c r="L1385" s="39" t="e">
        <f>IF($C$1074&gt;0,VLOOKUP($C1385,ENTI!$U$4:$AD$1003,10,FALSE),"")</f>
        <v>#N/A</v>
      </c>
      <c r="M1385" s="1"/>
      <c r="N1385" s="1"/>
      <c r="O1385" s="1"/>
    </row>
    <row r="1386" spans="1:15" hidden="1">
      <c r="A1386" s="1"/>
      <c r="B1386" s="40" t="e">
        <f t="shared" ca="1" si="194"/>
        <v>#N/A</v>
      </c>
      <c r="C1386" s="496">
        <v>306</v>
      </c>
      <c r="D1386" s="41" t="e">
        <f ca="1">IF($C$1076&gt;0,VLOOKUP($C1386,COSTI!$U$4:$Z$1003,3,FALSE),IF($C$1075&gt;0,VLOOKUP($C1386,PATRIMONIALE!$U$4:$Z$1003,3,FALSE),IF($C$1074&gt;0,VLOOKUP($C1386,ENTI!$U$4:$Z$1003,3,FALSE),"")))</f>
        <v>#N/A</v>
      </c>
      <c r="E1386" s="41" t="str">
        <f t="shared" ca="1" si="193"/>
        <v/>
      </c>
      <c r="F1386" s="41" t="e">
        <f t="shared" ca="1" si="195"/>
        <v>#NUM!</v>
      </c>
      <c r="G1386" s="39" t="e">
        <f ca="1">IF($C$1076&gt;0,VLOOKUP($C1386,COSTI!$U$4:$Z$1003,5,FALSE),IF($C$1075&gt;0,VLOOKUP($C1386,PATRIMONIALE!$U$4:$Z$1003,5,FALSE),IF($C$1074&gt;0,VLOOKUP($C1386,ENTI!$U$4:$Z$1003,5,FALSE),"")))</f>
        <v>#N/A</v>
      </c>
      <c r="H1386" s="42" t="e">
        <f ca="1">IF($C$1076&gt;0,VLOOKUP($C1386,COSTI!$U$4:$Z$1003,6,FALSE),IF($C$1075&gt;0,VLOOKUP($C1386,PATRIMONIALE!$U$4:$Z$1003,6,FALSE),IF($C$1074&gt;0,VLOOKUP($C1386,ENTI!$U$4:$Z$1003,6,FALSE),"")))</f>
        <v>#N/A</v>
      </c>
      <c r="I1386" s="496">
        <v>306</v>
      </c>
      <c r="J1386" s="43" t="e">
        <f ca="1">VLOOKUP(D1386,$F$1081:$I$4183,4,FALSE)+COUNTIF(E$1081:E1385,E1386)</f>
        <v>#N/A</v>
      </c>
      <c r="K1386" s="1"/>
      <c r="L1386" s="39" t="e">
        <f>IF($C$1074&gt;0,VLOOKUP($C1386,ENTI!$U$4:$AD$1003,10,FALSE),"")</f>
        <v>#N/A</v>
      </c>
      <c r="M1386" s="1"/>
      <c r="N1386" s="1"/>
      <c r="O1386" s="1"/>
    </row>
    <row r="1387" spans="1:15" hidden="1">
      <c r="A1387" s="1"/>
      <c r="B1387" s="40" t="e">
        <f t="shared" ca="1" si="194"/>
        <v>#N/A</v>
      </c>
      <c r="C1387" s="496">
        <v>307</v>
      </c>
      <c r="D1387" s="41" t="e">
        <f ca="1">IF($C$1076&gt;0,VLOOKUP($C1387,COSTI!$U$4:$Z$1003,3,FALSE),IF($C$1075&gt;0,VLOOKUP($C1387,PATRIMONIALE!$U$4:$Z$1003,3,FALSE),IF($C$1074&gt;0,VLOOKUP($C1387,ENTI!$U$4:$Z$1003,3,FALSE),"")))</f>
        <v>#N/A</v>
      </c>
      <c r="E1387" s="41" t="str">
        <f t="shared" ca="1" si="193"/>
        <v/>
      </c>
      <c r="F1387" s="41" t="e">
        <f t="shared" ca="1" si="195"/>
        <v>#NUM!</v>
      </c>
      <c r="G1387" s="39" t="e">
        <f ca="1">IF($C$1076&gt;0,VLOOKUP($C1387,COSTI!$U$4:$Z$1003,5,FALSE),IF($C$1075&gt;0,VLOOKUP($C1387,PATRIMONIALE!$U$4:$Z$1003,5,FALSE),IF($C$1074&gt;0,VLOOKUP($C1387,ENTI!$U$4:$Z$1003,5,FALSE),"")))</f>
        <v>#N/A</v>
      </c>
      <c r="H1387" s="42" t="e">
        <f ca="1">IF($C$1076&gt;0,VLOOKUP($C1387,COSTI!$U$4:$Z$1003,6,FALSE),IF($C$1075&gt;0,VLOOKUP($C1387,PATRIMONIALE!$U$4:$Z$1003,6,FALSE),IF($C$1074&gt;0,VLOOKUP($C1387,ENTI!$U$4:$Z$1003,6,FALSE),"")))</f>
        <v>#N/A</v>
      </c>
      <c r="I1387" s="496">
        <v>307</v>
      </c>
      <c r="J1387" s="43" t="e">
        <f ca="1">VLOOKUP(D1387,$F$1081:$I$4183,4,FALSE)+COUNTIF(E$1081:E1386,E1387)</f>
        <v>#N/A</v>
      </c>
      <c r="K1387" s="1"/>
      <c r="L1387" s="39" t="e">
        <f>IF($C$1074&gt;0,VLOOKUP($C1387,ENTI!$U$4:$AD$1003,10,FALSE),"")</f>
        <v>#N/A</v>
      </c>
      <c r="M1387" s="1"/>
      <c r="N1387" s="1"/>
      <c r="O1387" s="1"/>
    </row>
    <row r="1388" spans="1:15" hidden="1">
      <c r="A1388" s="1"/>
      <c r="B1388" s="40" t="e">
        <f t="shared" ca="1" si="194"/>
        <v>#N/A</v>
      </c>
      <c r="C1388" s="496">
        <v>308</v>
      </c>
      <c r="D1388" s="41" t="e">
        <f ca="1">IF($C$1076&gt;0,VLOOKUP($C1388,COSTI!$U$4:$Z$1003,3,FALSE),IF($C$1075&gt;0,VLOOKUP($C1388,PATRIMONIALE!$U$4:$Z$1003,3,FALSE),IF($C$1074&gt;0,VLOOKUP($C1388,ENTI!$U$4:$Z$1003,3,FALSE),"")))</f>
        <v>#N/A</v>
      </c>
      <c r="E1388" s="41" t="str">
        <f t="shared" ca="1" si="193"/>
        <v/>
      </c>
      <c r="F1388" s="41" t="e">
        <f t="shared" ca="1" si="195"/>
        <v>#NUM!</v>
      </c>
      <c r="G1388" s="39" t="e">
        <f ca="1">IF($C$1076&gt;0,VLOOKUP($C1388,COSTI!$U$4:$Z$1003,5,FALSE),IF($C$1075&gt;0,VLOOKUP($C1388,PATRIMONIALE!$U$4:$Z$1003,5,FALSE),IF($C$1074&gt;0,VLOOKUP($C1388,ENTI!$U$4:$Z$1003,5,FALSE),"")))</f>
        <v>#N/A</v>
      </c>
      <c r="H1388" s="42" t="e">
        <f ca="1">IF($C$1076&gt;0,VLOOKUP($C1388,COSTI!$U$4:$Z$1003,6,FALSE),IF($C$1075&gt;0,VLOOKUP($C1388,PATRIMONIALE!$U$4:$Z$1003,6,FALSE),IF($C$1074&gt;0,VLOOKUP($C1388,ENTI!$U$4:$Z$1003,6,FALSE),"")))</f>
        <v>#N/A</v>
      </c>
      <c r="I1388" s="496">
        <v>308</v>
      </c>
      <c r="J1388" s="43" t="e">
        <f ca="1">VLOOKUP(D1388,$F$1081:$I$4183,4,FALSE)+COUNTIF(E$1081:E1387,E1388)</f>
        <v>#N/A</v>
      </c>
      <c r="K1388" s="1"/>
      <c r="L1388" s="39" t="e">
        <f>IF($C$1074&gt;0,VLOOKUP($C1388,ENTI!$U$4:$AD$1003,10,FALSE),"")</f>
        <v>#N/A</v>
      </c>
      <c r="M1388" s="1"/>
      <c r="N1388" s="1"/>
      <c r="O1388" s="1"/>
    </row>
    <row r="1389" spans="1:15" hidden="1">
      <c r="A1389" s="1"/>
      <c r="B1389" s="40" t="e">
        <f t="shared" ca="1" si="194"/>
        <v>#N/A</v>
      </c>
      <c r="C1389" s="496">
        <v>309</v>
      </c>
      <c r="D1389" s="41" t="e">
        <f ca="1">IF($C$1076&gt;0,VLOOKUP($C1389,COSTI!$U$4:$Z$1003,3,FALSE),IF($C$1075&gt;0,VLOOKUP($C1389,PATRIMONIALE!$U$4:$Z$1003,3,FALSE),IF($C$1074&gt;0,VLOOKUP($C1389,ENTI!$U$4:$Z$1003,3,FALSE),"")))</f>
        <v>#N/A</v>
      </c>
      <c r="E1389" s="41" t="str">
        <f t="shared" ca="1" si="193"/>
        <v/>
      </c>
      <c r="F1389" s="41" t="e">
        <f t="shared" ca="1" si="195"/>
        <v>#NUM!</v>
      </c>
      <c r="G1389" s="39" t="e">
        <f ca="1">IF($C$1076&gt;0,VLOOKUP($C1389,COSTI!$U$4:$Z$1003,5,FALSE),IF($C$1075&gt;0,VLOOKUP($C1389,PATRIMONIALE!$U$4:$Z$1003,5,FALSE),IF($C$1074&gt;0,VLOOKUP($C1389,ENTI!$U$4:$Z$1003,5,FALSE),"")))</f>
        <v>#N/A</v>
      </c>
      <c r="H1389" s="42" t="e">
        <f ca="1">IF($C$1076&gt;0,VLOOKUP($C1389,COSTI!$U$4:$Z$1003,6,FALSE),IF($C$1075&gt;0,VLOOKUP($C1389,PATRIMONIALE!$U$4:$Z$1003,6,FALSE),IF($C$1074&gt;0,VLOOKUP($C1389,ENTI!$U$4:$Z$1003,6,FALSE),"")))</f>
        <v>#N/A</v>
      </c>
      <c r="I1389" s="496">
        <v>309</v>
      </c>
      <c r="J1389" s="43" t="e">
        <f ca="1">VLOOKUP(D1389,$F$1081:$I$4183,4,FALSE)+COUNTIF(E$1081:E1388,E1389)</f>
        <v>#N/A</v>
      </c>
      <c r="K1389" s="1"/>
      <c r="L1389" s="39" t="e">
        <f>IF($C$1074&gt;0,VLOOKUP($C1389,ENTI!$U$4:$AD$1003,10,FALSE),"")</f>
        <v>#N/A</v>
      </c>
      <c r="M1389" s="1"/>
      <c r="N1389" s="1"/>
      <c r="O1389" s="1"/>
    </row>
    <row r="1390" spans="1:15" hidden="1">
      <c r="A1390" s="1"/>
      <c r="B1390" s="40" t="e">
        <f t="shared" ca="1" si="194"/>
        <v>#N/A</v>
      </c>
      <c r="C1390" s="496">
        <v>310</v>
      </c>
      <c r="D1390" s="41" t="e">
        <f ca="1">IF($C$1076&gt;0,VLOOKUP($C1390,COSTI!$U$4:$Z$1003,3,FALSE),IF($C$1075&gt;0,VLOOKUP($C1390,PATRIMONIALE!$U$4:$Z$1003,3,FALSE),IF($C$1074&gt;0,VLOOKUP($C1390,ENTI!$U$4:$Z$1003,3,FALSE),"")))</f>
        <v>#N/A</v>
      </c>
      <c r="E1390" s="41" t="str">
        <f t="shared" ca="1" si="193"/>
        <v/>
      </c>
      <c r="F1390" s="41" t="e">
        <f t="shared" ca="1" si="195"/>
        <v>#NUM!</v>
      </c>
      <c r="G1390" s="39" t="e">
        <f ca="1">IF($C$1076&gt;0,VLOOKUP($C1390,COSTI!$U$4:$Z$1003,5,FALSE),IF($C$1075&gt;0,VLOOKUP($C1390,PATRIMONIALE!$U$4:$Z$1003,5,FALSE),IF($C$1074&gt;0,VLOOKUP($C1390,ENTI!$U$4:$Z$1003,5,FALSE),"")))</f>
        <v>#N/A</v>
      </c>
      <c r="H1390" s="42" t="e">
        <f ca="1">IF($C$1076&gt;0,VLOOKUP($C1390,COSTI!$U$4:$Z$1003,6,FALSE),IF($C$1075&gt;0,VLOOKUP($C1390,PATRIMONIALE!$U$4:$Z$1003,6,FALSE),IF($C$1074&gt;0,VLOOKUP($C1390,ENTI!$U$4:$Z$1003,6,FALSE),"")))</f>
        <v>#N/A</v>
      </c>
      <c r="I1390" s="496">
        <v>310</v>
      </c>
      <c r="J1390" s="43" t="e">
        <f ca="1">VLOOKUP(D1390,$F$1081:$I$4183,4,FALSE)+COUNTIF(E$1081:E1389,E1390)</f>
        <v>#N/A</v>
      </c>
      <c r="K1390" s="1"/>
      <c r="L1390" s="39" t="e">
        <f>IF($C$1074&gt;0,VLOOKUP($C1390,ENTI!$U$4:$AD$1003,10,FALSE),"")</f>
        <v>#N/A</v>
      </c>
      <c r="M1390" s="1"/>
      <c r="N1390" s="1"/>
      <c r="O1390" s="1"/>
    </row>
    <row r="1391" spans="1:15" hidden="1">
      <c r="A1391" s="1"/>
      <c r="B1391" s="40" t="e">
        <f t="shared" ca="1" si="194"/>
        <v>#N/A</v>
      </c>
      <c r="C1391" s="496">
        <v>311</v>
      </c>
      <c r="D1391" s="41" t="e">
        <f ca="1">IF($C$1076&gt;0,VLOOKUP($C1391,COSTI!$U$4:$Z$1003,3,FALSE),IF($C$1075&gt;0,VLOOKUP($C1391,PATRIMONIALE!$U$4:$Z$1003,3,FALSE),IF($C$1074&gt;0,VLOOKUP($C1391,ENTI!$U$4:$Z$1003,3,FALSE),"")))</f>
        <v>#N/A</v>
      </c>
      <c r="E1391" s="41" t="str">
        <f t="shared" ca="1" si="193"/>
        <v/>
      </c>
      <c r="F1391" s="41" t="e">
        <f t="shared" ca="1" si="195"/>
        <v>#NUM!</v>
      </c>
      <c r="G1391" s="39" t="e">
        <f ca="1">IF($C$1076&gt;0,VLOOKUP($C1391,COSTI!$U$4:$Z$1003,5,FALSE),IF($C$1075&gt;0,VLOOKUP($C1391,PATRIMONIALE!$U$4:$Z$1003,5,FALSE),IF($C$1074&gt;0,VLOOKUP($C1391,ENTI!$U$4:$Z$1003,5,FALSE),"")))</f>
        <v>#N/A</v>
      </c>
      <c r="H1391" s="42" t="e">
        <f ca="1">IF($C$1076&gt;0,VLOOKUP($C1391,COSTI!$U$4:$Z$1003,6,FALSE),IF($C$1075&gt;0,VLOOKUP($C1391,PATRIMONIALE!$U$4:$Z$1003,6,FALSE),IF($C$1074&gt;0,VLOOKUP($C1391,ENTI!$U$4:$Z$1003,6,FALSE),"")))</f>
        <v>#N/A</v>
      </c>
      <c r="I1391" s="496">
        <v>311</v>
      </c>
      <c r="J1391" s="43" t="e">
        <f ca="1">VLOOKUP(D1391,$F$1081:$I$4183,4,FALSE)+COUNTIF(E$1081:E1390,E1391)</f>
        <v>#N/A</v>
      </c>
      <c r="K1391" s="1"/>
      <c r="L1391" s="39" t="e">
        <f>IF($C$1074&gt;0,VLOOKUP($C1391,ENTI!$U$4:$AD$1003,10,FALSE),"")</f>
        <v>#N/A</v>
      </c>
      <c r="M1391" s="1"/>
      <c r="N1391" s="1"/>
      <c r="O1391" s="1"/>
    </row>
    <row r="1392" spans="1:15" hidden="1">
      <c r="A1392" s="1"/>
      <c r="B1392" s="40" t="e">
        <f t="shared" ca="1" si="194"/>
        <v>#N/A</v>
      </c>
      <c r="C1392" s="496">
        <v>312</v>
      </c>
      <c r="D1392" s="41" t="e">
        <f ca="1">IF($C$1076&gt;0,VLOOKUP($C1392,COSTI!$U$4:$Z$1003,3,FALSE),IF($C$1075&gt;0,VLOOKUP($C1392,PATRIMONIALE!$U$4:$Z$1003,3,FALSE),IF($C$1074&gt;0,VLOOKUP($C1392,ENTI!$U$4:$Z$1003,3,FALSE),"")))</f>
        <v>#N/A</v>
      </c>
      <c r="E1392" s="41" t="str">
        <f t="shared" ca="1" si="193"/>
        <v/>
      </c>
      <c r="F1392" s="41" t="e">
        <f t="shared" ca="1" si="195"/>
        <v>#NUM!</v>
      </c>
      <c r="G1392" s="39" t="e">
        <f ca="1">IF($C$1076&gt;0,VLOOKUP($C1392,COSTI!$U$4:$Z$1003,5,FALSE),IF($C$1075&gt;0,VLOOKUP($C1392,PATRIMONIALE!$U$4:$Z$1003,5,FALSE),IF($C$1074&gt;0,VLOOKUP($C1392,ENTI!$U$4:$Z$1003,5,FALSE),"")))</f>
        <v>#N/A</v>
      </c>
      <c r="H1392" s="42" t="e">
        <f ca="1">IF($C$1076&gt;0,VLOOKUP($C1392,COSTI!$U$4:$Z$1003,6,FALSE),IF($C$1075&gt;0,VLOOKUP($C1392,PATRIMONIALE!$U$4:$Z$1003,6,FALSE),IF($C$1074&gt;0,VLOOKUP($C1392,ENTI!$U$4:$Z$1003,6,FALSE),"")))</f>
        <v>#N/A</v>
      </c>
      <c r="I1392" s="496">
        <v>312</v>
      </c>
      <c r="J1392" s="43" t="e">
        <f ca="1">VLOOKUP(D1392,$F$1081:$I$4183,4,FALSE)+COUNTIF(E$1081:E1391,E1392)</f>
        <v>#N/A</v>
      </c>
      <c r="K1392" s="1"/>
      <c r="L1392" s="39" t="e">
        <f>IF($C$1074&gt;0,VLOOKUP($C1392,ENTI!$U$4:$AD$1003,10,FALSE),"")</f>
        <v>#N/A</v>
      </c>
      <c r="M1392" s="1"/>
      <c r="N1392" s="1"/>
      <c r="O1392" s="1"/>
    </row>
    <row r="1393" spans="1:15" hidden="1">
      <c r="A1393" s="1"/>
      <c r="B1393" s="40" t="e">
        <f t="shared" ca="1" si="194"/>
        <v>#N/A</v>
      </c>
      <c r="C1393" s="496">
        <v>313</v>
      </c>
      <c r="D1393" s="41" t="e">
        <f ca="1">IF($C$1076&gt;0,VLOOKUP($C1393,COSTI!$U$4:$Z$1003,3,FALSE),IF($C$1075&gt;0,VLOOKUP($C1393,PATRIMONIALE!$U$4:$Z$1003,3,FALSE),IF($C$1074&gt;0,VLOOKUP($C1393,ENTI!$U$4:$Z$1003,3,FALSE),"")))</f>
        <v>#N/A</v>
      </c>
      <c r="E1393" s="41" t="str">
        <f t="shared" ca="1" si="193"/>
        <v/>
      </c>
      <c r="F1393" s="41" t="e">
        <f t="shared" ca="1" si="195"/>
        <v>#NUM!</v>
      </c>
      <c r="G1393" s="39" t="e">
        <f ca="1">IF($C$1076&gt;0,VLOOKUP($C1393,COSTI!$U$4:$Z$1003,5,FALSE),IF($C$1075&gt;0,VLOOKUP($C1393,PATRIMONIALE!$U$4:$Z$1003,5,FALSE),IF($C$1074&gt;0,VLOOKUP($C1393,ENTI!$U$4:$Z$1003,5,FALSE),"")))</f>
        <v>#N/A</v>
      </c>
      <c r="H1393" s="42" t="e">
        <f ca="1">IF($C$1076&gt;0,VLOOKUP($C1393,COSTI!$U$4:$Z$1003,6,FALSE),IF($C$1075&gt;0,VLOOKUP($C1393,PATRIMONIALE!$U$4:$Z$1003,6,FALSE),IF($C$1074&gt;0,VLOOKUP($C1393,ENTI!$U$4:$Z$1003,6,FALSE),"")))</f>
        <v>#N/A</v>
      </c>
      <c r="I1393" s="496">
        <v>313</v>
      </c>
      <c r="J1393" s="43" t="e">
        <f ca="1">VLOOKUP(D1393,$F$1081:$I$4183,4,FALSE)+COUNTIF(E$1081:E1392,E1393)</f>
        <v>#N/A</v>
      </c>
      <c r="K1393" s="1"/>
      <c r="L1393" s="39" t="e">
        <f>IF($C$1074&gt;0,VLOOKUP($C1393,ENTI!$U$4:$AD$1003,10,FALSE),"")</f>
        <v>#N/A</v>
      </c>
      <c r="M1393" s="1"/>
      <c r="N1393" s="1"/>
      <c r="O1393" s="1"/>
    </row>
    <row r="1394" spans="1:15" hidden="1">
      <c r="A1394" s="1"/>
      <c r="B1394" s="40" t="e">
        <f t="shared" ca="1" si="194"/>
        <v>#N/A</v>
      </c>
      <c r="C1394" s="496">
        <v>314</v>
      </c>
      <c r="D1394" s="41" t="e">
        <f ca="1">IF($C$1076&gt;0,VLOOKUP($C1394,COSTI!$U$4:$Z$1003,3,FALSE),IF($C$1075&gt;0,VLOOKUP($C1394,PATRIMONIALE!$U$4:$Z$1003,3,FALSE),IF($C$1074&gt;0,VLOOKUP($C1394,ENTI!$U$4:$Z$1003,3,FALSE),"")))</f>
        <v>#N/A</v>
      </c>
      <c r="E1394" s="41" t="str">
        <f t="shared" ca="1" si="193"/>
        <v/>
      </c>
      <c r="F1394" s="41" t="e">
        <f t="shared" ca="1" si="195"/>
        <v>#NUM!</v>
      </c>
      <c r="G1394" s="39" t="e">
        <f ca="1">IF($C$1076&gt;0,VLOOKUP($C1394,COSTI!$U$4:$Z$1003,5,FALSE),IF($C$1075&gt;0,VLOOKUP($C1394,PATRIMONIALE!$U$4:$Z$1003,5,FALSE),IF($C$1074&gt;0,VLOOKUP($C1394,ENTI!$U$4:$Z$1003,5,FALSE),"")))</f>
        <v>#N/A</v>
      </c>
      <c r="H1394" s="42" t="e">
        <f ca="1">IF($C$1076&gt;0,VLOOKUP($C1394,COSTI!$U$4:$Z$1003,6,FALSE),IF($C$1075&gt;0,VLOOKUP($C1394,PATRIMONIALE!$U$4:$Z$1003,6,FALSE),IF($C$1074&gt;0,VLOOKUP($C1394,ENTI!$U$4:$Z$1003,6,FALSE),"")))</f>
        <v>#N/A</v>
      </c>
      <c r="I1394" s="496">
        <v>314</v>
      </c>
      <c r="J1394" s="43" t="e">
        <f ca="1">VLOOKUP(D1394,$F$1081:$I$4183,4,FALSE)+COUNTIF(E$1081:E1393,E1394)</f>
        <v>#N/A</v>
      </c>
      <c r="K1394" s="1"/>
      <c r="L1394" s="39" t="e">
        <f>IF($C$1074&gt;0,VLOOKUP($C1394,ENTI!$U$4:$AD$1003,10,FALSE),"")</f>
        <v>#N/A</v>
      </c>
      <c r="M1394" s="1"/>
      <c r="N1394" s="1"/>
      <c r="O1394" s="1"/>
    </row>
    <row r="1395" spans="1:15" hidden="1">
      <c r="A1395" s="1"/>
      <c r="B1395" s="40" t="e">
        <f t="shared" ca="1" si="194"/>
        <v>#N/A</v>
      </c>
      <c r="C1395" s="496">
        <v>315</v>
      </c>
      <c r="D1395" s="41" t="e">
        <f ca="1">IF($C$1076&gt;0,VLOOKUP($C1395,COSTI!$U$4:$Z$1003,3,FALSE),IF($C$1075&gt;0,VLOOKUP($C1395,PATRIMONIALE!$U$4:$Z$1003,3,FALSE),IF($C$1074&gt;0,VLOOKUP($C1395,ENTI!$U$4:$Z$1003,3,FALSE),"")))</f>
        <v>#N/A</v>
      </c>
      <c r="E1395" s="41" t="str">
        <f t="shared" ref="E1395:E1458" ca="1" si="196">IF(ISERROR(D1395),"",D1395)</f>
        <v/>
      </c>
      <c r="F1395" s="41" t="e">
        <f t="shared" ca="1" si="195"/>
        <v>#NUM!</v>
      </c>
      <c r="G1395" s="39" t="e">
        <f ca="1">IF($C$1076&gt;0,VLOOKUP($C1395,COSTI!$U$4:$Z$1003,5,FALSE),IF($C$1075&gt;0,VLOOKUP($C1395,PATRIMONIALE!$U$4:$Z$1003,5,FALSE),IF($C$1074&gt;0,VLOOKUP($C1395,ENTI!$U$4:$Z$1003,5,FALSE),"")))</f>
        <v>#N/A</v>
      </c>
      <c r="H1395" s="42" t="e">
        <f ca="1">IF($C$1076&gt;0,VLOOKUP($C1395,COSTI!$U$4:$Z$1003,6,FALSE),IF($C$1075&gt;0,VLOOKUP($C1395,PATRIMONIALE!$U$4:$Z$1003,6,FALSE),IF($C$1074&gt;0,VLOOKUP($C1395,ENTI!$U$4:$Z$1003,6,FALSE),"")))</f>
        <v>#N/A</v>
      </c>
      <c r="I1395" s="496">
        <v>315</v>
      </c>
      <c r="J1395" s="43" t="e">
        <f ca="1">VLOOKUP(D1395,$F$1081:$I$4183,4,FALSE)+COUNTIF(E$1081:E1394,E1395)</f>
        <v>#N/A</v>
      </c>
      <c r="K1395" s="1"/>
      <c r="L1395" s="39" t="e">
        <f>IF($C$1074&gt;0,VLOOKUP($C1395,ENTI!$U$4:$AD$1003,10,FALSE),"")</f>
        <v>#N/A</v>
      </c>
      <c r="M1395" s="1"/>
      <c r="N1395" s="1"/>
      <c r="O1395" s="1"/>
    </row>
    <row r="1396" spans="1:15" hidden="1">
      <c r="A1396" s="1"/>
      <c r="B1396" s="40" t="e">
        <f t="shared" ca="1" si="194"/>
        <v>#N/A</v>
      </c>
      <c r="C1396" s="496">
        <v>316</v>
      </c>
      <c r="D1396" s="41" t="e">
        <f ca="1">IF($C$1076&gt;0,VLOOKUP($C1396,COSTI!$U$4:$Z$1003,3,FALSE),IF($C$1075&gt;0,VLOOKUP($C1396,PATRIMONIALE!$U$4:$Z$1003,3,FALSE),IF($C$1074&gt;0,VLOOKUP($C1396,ENTI!$U$4:$Z$1003,3,FALSE),"")))</f>
        <v>#N/A</v>
      </c>
      <c r="E1396" s="41" t="str">
        <f t="shared" ca="1" si="196"/>
        <v/>
      </c>
      <c r="F1396" s="41" t="e">
        <f t="shared" ca="1" si="195"/>
        <v>#NUM!</v>
      </c>
      <c r="G1396" s="39" t="e">
        <f ca="1">IF($C$1076&gt;0,VLOOKUP($C1396,COSTI!$U$4:$Z$1003,5,FALSE),IF($C$1075&gt;0,VLOOKUP($C1396,PATRIMONIALE!$U$4:$Z$1003,5,FALSE),IF($C$1074&gt;0,VLOOKUP($C1396,ENTI!$U$4:$Z$1003,5,FALSE),"")))</f>
        <v>#N/A</v>
      </c>
      <c r="H1396" s="42" t="e">
        <f ca="1">IF($C$1076&gt;0,VLOOKUP($C1396,COSTI!$U$4:$Z$1003,6,FALSE),IF($C$1075&gt;0,VLOOKUP($C1396,PATRIMONIALE!$U$4:$Z$1003,6,FALSE),IF($C$1074&gt;0,VLOOKUP($C1396,ENTI!$U$4:$Z$1003,6,FALSE),"")))</f>
        <v>#N/A</v>
      </c>
      <c r="I1396" s="496">
        <v>316</v>
      </c>
      <c r="J1396" s="43" t="e">
        <f ca="1">VLOOKUP(D1396,$F$1081:$I$4183,4,FALSE)+COUNTIF(E$1081:E1395,E1396)</f>
        <v>#N/A</v>
      </c>
      <c r="K1396" s="1"/>
      <c r="L1396" s="39" t="e">
        <f>IF($C$1074&gt;0,VLOOKUP($C1396,ENTI!$U$4:$AD$1003,10,FALSE),"")</f>
        <v>#N/A</v>
      </c>
      <c r="M1396" s="1"/>
      <c r="N1396" s="1"/>
      <c r="O1396" s="1"/>
    </row>
    <row r="1397" spans="1:15" hidden="1">
      <c r="A1397" s="1"/>
      <c r="B1397" s="40" t="e">
        <f t="shared" ca="1" si="194"/>
        <v>#N/A</v>
      </c>
      <c r="C1397" s="496">
        <v>317</v>
      </c>
      <c r="D1397" s="41" t="e">
        <f ca="1">IF($C$1076&gt;0,VLOOKUP($C1397,COSTI!$U$4:$Z$1003,3,FALSE),IF($C$1075&gt;0,VLOOKUP($C1397,PATRIMONIALE!$U$4:$Z$1003,3,FALSE),IF($C$1074&gt;0,VLOOKUP($C1397,ENTI!$U$4:$Z$1003,3,FALSE),"")))</f>
        <v>#N/A</v>
      </c>
      <c r="E1397" s="41" t="str">
        <f t="shared" ca="1" si="196"/>
        <v/>
      </c>
      <c r="F1397" s="41" t="e">
        <f t="shared" ca="1" si="195"/>
        <v>#NUM!</v>
      </c>
      <c r="G1397" s="39" t="e">
        <f ca="1">IF($C$1076&gt;0,VLOOKUP($C1397,COSTI!$U$4:$Z$1003,5,FALSE),IF($C$1075&gt;0,VLOOKUP($C1397,PATRIMONIALE!$U$4:$Z$1003,5,FALSE),IF($C$1074&gt;0,VLOOKUP($C1397,ENTI!$U$4:$Z$1003,5,FALSE),"")))</f>
        <v>#N/A</v>
      </c>
      <c r="H1397" s="42" t="e">
        <f ca="1">IF($C$1076&gt;0,VLOOKUP($C1397,COSTI!$U$4:$Z$1003,6,FALSE),IF($C$1075&gt;0,VLOOKUP($C1397,PATRIMONIALE!$U$4:$Z$1003,6,FALSE),IF($C$1074&gt;0,VLOOKUP($C1397,ENTI!$U$4:$Z$1003,6,FALSE),"")))</f>
        <v>#N/A</v>
      </c>
      <c r="I1397" s="496">
        <v>317</v>
      </c>
      <c r="J1397" s="43" t="e">
        <f ca="1">VLOOKUP(D1397,$F$1081:$I$4183,4,FALSE)+COUNTIF(E$1081:E1396,E1397)</f>
        <v>#N/A</v>
      </c>
      <c r="K1397" s="1"/>
      <c r="L1397" s="39" t="e">
        <f>IF($C$1074&gt;0,VLOOKUP($C1397,ENTI!$U$4:$AD$1003,10,FALSE),"")</f>
        <v>#N/A</v>
      </c>
      <c r="M1397" s="1"/>
      <c r="N1397" s="1"/>
      <c r="O1397" s="1"/>
    </row>
    <row r="1398" spans="1:15" hidden="1">
      <c r="A1398" s="1"/>
      <c r="B1398" s="40" t="e">
        <f t="shared" ca="1" si="194"/>
        <v>#N/A</v>
      </c>
      <c r="C1398" s="496">
        <v>318</v>
      </c>
      <c r="D1398" s="41" t="e">
        <f ca="1">IF($C$1076&gt;0,VLOOKUP($C1398,COSTI!$U$4:$Z$1003,3,FALSE),IF($C$1075&gt;0,VLOOKUP($C1398,PATRIMONIALE!$U$4:$Z$1003,3,FALSE),IF($C$1074&gt;0,VLOOKUP($C1398,ENTI!$U$4:$Z$1003,3,FALSE),"")))</f>
        <v>#N/A</v>
      </c>
      <c r="E1398" s="41" t="str">
        <f t="shared" ca="1" si="196"/>
        <v/>
      </c>
      <c r="F1398" s="41" t="e">
        <f t="shared" ca="1" si="195"/>
        <v>#NUM!</v>
      </c>
      <c r="G1398" s="39" t="e">
        <f ca="1">IF($C$1076&gt;0,VLOOKUP($C1398,COSTI!$U$4:$Z$1003,5,FALSE),IF($C$1075&gt;0,VLOOKUP($C1398,PATRIMONIALE!$U$4:$Z$1003,5,FALSE),IF($C$1074&gt;0,VLOOKUP($C1398,ENTI!$U$4:$Z$1003,5,FALSE),"")))</f>
        <v>#N/A</v>
      </c>
      <c r="H1398" s="42" t="e">
        <f ca="1">IF($C$1076&gt;0,VLOOKUP($C1398,COSTI!$U$4:$Z$1003,6,FALSE),IF($C$1075&gt;0,VLOOKUP($C1398,PATRIMONIALE!$U$4:$Z$1003,6,FALSE),IF($C$1074&gt;0,VLOOKUP($C1398,ENTI!$U$4:$Z$1003,6,FALSE),"")))</f>
        <v>#N/A</v>
      </c>
      <c r="I1398" s="496">
        <v>318</v>
      </c>
      <c r="J1398" s="43" t="e">
        <f ca="1">VLOOKUP(D1398,$F$1081:$I$4183,4,FALSE)+COUNTIF(E$1081:E1397,E1398)</f>
        <v>#N/A</v>
      </c>
      <c r="K1398" s="1"/>
      <c r="L1398" s="39" t="e">
        <f>IF($C$1074&gt;0,VLOOKUP($C1398,ENTI!$U$4:$AD$1003,10,FALSE),"")</f>
        <v>#N/A</v>
      </c>
      <c r="M1398" s="1"/>
      <c r="N1398" s="1"/>
      <c r="O1398" s="1"/>
    </row>
    <row r="1399" spans="1:15" hidden="1">
      <c r="A1399" s="1"/>
      <c r="B1399" s="40" t="e">
        <f t="shared" ca="1" si="194"/>
        <v>#N/A</v>
      </c>
      <c r="C1399" s="496">
        <v>319</v>
      </c>
      <c r="D1399" s="41" t="e">
        <f ca="1">IF($C$1076&gt;0,VLOOKUP($C1399,COSTI!$U$4:$Z$1003,3,FALSE),IF($C$1075&gt;0,VLOOKUP($C1399,PATRIMONIALE!$U$4:$Z$1003,3,FALSE),IF($C$1074&gt;0,VLOOKUP($C1399,ENTI!$U$4:$Z$1003,3,FALSE),"")))</f>
        <v>#N/A</v>
      </c>
      <c r="E1399" s="41" t="str">
        <f t="shared" ca="1" si="196"/>
        <v/>
      </c>
      <c r="F1399" s="41" t="e">
        <f t="shared" ca="1" si="195"/>
        <v>#NUM!</v>
      </c>
      <c r="G1399" s="39" t="e">
        <f ca="1">IF($C$1076&gt;0,VLOOKUP($C1399,COSTI!$U$4:$Z$1003,5,FALSE),IF($C$1075&gt;0,VLOOKUP($C1399,PATRIMONIALE!$U$4:$Z$1003,5,FALSE),IF($C$1074&gt;0,VLOOKUP($C1399,ENTI!$U$4:$Z$1003,5,FALSE),"")))</f>
        <v>#N/A</v>
      </c>
      <c r="H1399" s="42" t="e">
        <f ca="1">IF($C$1076&gt;0,VLOOKUP($C1399,COSTI!$U$4:$Z$1003,6,FALSE),IF($C$1075&gt;0,VLOOKUP($C1399,PATRIMONIALE!$U$4:$Z$1003,6,FALSE),IF($C$1074&gt;0,VLOOKUP($C1399,ENTI!$U$4:$Z$1003,6,FALSE),"")))</f>
        <v>#N/A</v>
      </c>
      <c r="I1399" s="496">
        <v>319</v>
      </c>
      <c r="J1399" s="43" t="e">
        <f ca="1">VLOOKUP(D1399,$F$1081:$I$4183,4,FALSE)+COUNTIF(E$1081:E1398,E1399)</f>
        <v>#N/A</v>
      </c>
      <c r="K1399" s="1"/>
      <c r="L1399" s="39" t="e">
        <f>IF($C$1074&gt;0,VLOOKUP($C1399,ENTI!$U$4:$AD$1003,10,FALSE),"")</f>
        <v>#N/A</v>
      </c>
      <c r="M1399" s="1"/>
      <c r="N1399" s="1"/>
      <c r="O1399" s="1"/>
    </row>
    <row r="1400" spans="1:15" hidden="1">
      <c r="A1400" s="1"/>
      <c r="B1400" s="40" t="e">
        <f t="shared" ca="1" si="194"/>
        <v>#N/A</v>
      </c>
      <c r="C1400" s="496">
        <v>320</v>
      </c>
      <c r="D1400" s="41" t="e">
        <f ca="1">IF($C$1076&gt;0,VLOOKUP($C1400,COSTI!$U$4:$Z$1003,3,FALSE),IF($C$1075&gt;0,VLOOKUP($C1400,PATRIMONIALE!$U$4:$Z$1003,3,FALSE),IF($C$1074&gt;0,VLOOKUP($C1400,ENTI!$U$4:$Z$1003,3,FALSE),"")))</f>
        <v>#N/A</v>
      </c>
      <c r="E1400" s="41" t="str">
        <f t="shared" ca="1" si="196"/>
        <v/>
      </c>
      <c r="F1400" s="41" t="e">
        <f t="shared" ca="1" si="195"/>
        <v>#NUM!</v>
      </c>
      <c r="G1400" s="39" t="e">
        <f ca="1">IF($C$1076&gt;0,VLOOKUP($C1400,COSTI!$U$4:$Z$1003,5,FALSE),IF($C$1075&gt;0,VLOOKUP($C1400,PATRIMONIALE!$U$4:$Z$1003,5,FALSE),IF($C$1074&gt;0,VLOOKUP($C1400,ENTI!$U$4:$Z$1003,5,FALSE),"")))</f>
        <v>#N/A</v>
      </c>
      <c r="H1400" s="42" t="e">
        <f ca="1">IF($C$1076&gt;0,VLOOKUP($C1400,COSTI!$U$4:$Z$1003,6,FALSE),IF($C$1075&gt;0,VLOOKUP($C1400,PATRIMONIALE!$U$4:$Z$1003,6,FALSE),IF($C$1074&gt;0,VLOOKUP($C1400,ENTI!$U$4:$Z$1003,6,FALSE),"")))</f>
        <v>#N/A</v>
      </c>
      <c r="I1400" s="496">
        <v>320</v>
      </c>
      <c r="J1400" s="43" t="e">
        <f ca="1">VLOOKUP(D1400,$F$1081:$I$4183,4,FALSE)+COUNTIF(E$1081:E1399,E1400)</f>
        <v>#N/A</v>
      </c>
      <c r="K1400" s="1"/>
      <c r="L1400" s="39" t="e">
        <f>IF($C$1074&gt;0,VLOOKUP($C1400,ENTI!$U$4:$AD$1003,10,FALSE),"")</f>
        <v>#N/A</v>
      </c>
      <c r="M1400" s="1"/>
      <c r="N1400" s="1"/>
      <c r="O1400" s="1"/>
    </row>
    <row r="1401" spans="1:15" hidden="1">
      <c r="A1401" s="1"/>
      <c r="B1401" s="40" t="e">
        <f t="shared" ref="B1401:B1456" ca="1" si="197">IF(OR(C$1075&gt;0,C$1077&gt;0,C$1073&gt;0,C$1071&gt;0),J1401+1,J1401)</f>
        <v>#N/A</v>
      </c>
      <c r="C1401" s="496">
        <v>321</v>
      </c>
      <c r="D1401" s="41" t="e">
        <f ca="1">IF($C$1076&gt;0,VLOOKUP($C1401,COSTI!$U$4:$Z$1003,3,FALSE),IF($C$1075&gt;0,VLOOKUP($C1401,PATRIMONIALE!$U$4:$Z$1003,3,FALSE),IF($C$1074&gt;0,VLOOKUP($C1401,ENTI!$U$4:$Z$1003,3,FALSE),"")))</f>
        <v>#N/A</v>
      </c>
      <c r="E1401" s="41" t="str">
        <f t="shared" ca="1" si="196"/>
        <v/>
      </c>
      <c r="F1401" s="41" t="e">
        <f t="shared" ref="F1401:F1464" ca="1" si="198">SMALL(E$1081:E$4183,C1401)</f>
        <v>#NUM!</v>
      </c>
      <c r="G1401" s="39" t="e">
        <f ca="1">IF($C$1076&gt;0,VLOOKUP($C1401,COSTI!$U$4:$Z$1003,5,FALSE),IF($C$1075&gt;0,VLOOKUP($C1401,PATRIMONIALE!$U$4:$Z$1003,5,FALSE),IF($C$1074&gt;0,VLOOKUP($C1401,ENTI!$U$4:$Z$1003,5,FALSE),"")))</f>
        <v>#N/A</v>
      </c>
      <c r="H1401" s="42" t="e">
        <f ca="1">IF($C$1076&gt;0,VLOOKUP($C1401,COSTI!$U$4:$Z$1003,6,FALSE),IF($C$1075&gt;0,VLOOKUP($C1401,PATRIMONIALE!$U$4:$Z$1003,6,FALSE),IF($C$1074&gt;0,VLOOKUP($C1401,ENTI!$U$4:$Z$1003,6,FALSE),"")))</f>
        <v>#N/A</v>
      </c>
      <c r="I1401" s="496">
        <v>321</v>
      </c>
      <c r="J1401" s="43" t="e">
        <f ca="1">VLOOKUP(D1401,$F$1081:$I$4183,4,FALSE)+COUNTIF(E$1081:E1400,E1401)</f>
        <v>#N/A</v>
      </c>
      <c r="K1401" s="1"/>
      <c r="L1401" s="39" t="e">
        <f>IF($C$1074&gt;0,VLOOKUP($C1401,ENTI!$U$4:$AD$1003,10,FALSE),"")</f>
        <v>#N/A</v>
      </c>
      <c r="M1401" s="1"/>
      <c r="N1401" s="1"/>
      <c r="O1401" s="1"/>
    </row>
    <row r="1402" spans="1:15" hidden="1">
      <c r="A1402" s="1"/>
      <c r="B1402" s="40" t="e">
        <f t="shared" ca="1" si="197"/>
        <v>#N/A</v>
      </c>
      <c r="C1402" s="496">
        <v>322</v>
      </c>
      <c r="D1402" s="41" t="e">
        <f ca="1">IF($C$1076&gt;0,VLOOKUP($C1402,COSTI!$U$4:$Z$1003,3,FALSE),IF($C$1075&gt;0,VLOOKUP($C1402,PATRIMONIALE!$U$4:$Z$1003,3,FALSE),IF($C$1074&gt;0,VLOOKUP($C1402,ENTI!$U$4:$Z$1003,3,FALSE),"")))</f>
        <v>#N/A</v>
      </c>
      <c r="E1402" s="41" t="str">
        <f t="shared" ca="1" si="196"/>
        <v/>
      </c>
      <c r="F1402" s="41" t="e">
        <f t="shared" ca="1" si="198"/>
        <v>#NUM!</v>
      </c>
      <c r="G1402" s="39" t="e">
        <f ca="1">IF($C$1076&gt;0,VLOOKUP($C1402,COSTI!$U$4:$Z$1003,5,FALSE),IF($C$1075&gt;0,VLOOKUP($C1402,PATRIMONIALE!$U$4:$Z$1003,5,FALSE),IF($C$1074&gt;0,VLOOKUP($C1402,ENTI!$U$4:$Z$1003,5,FALSE),"")))</f>
        <v>#N/A</v>
      </c>
      <c r="H1402" s="42" t="e">
        <f ca="1">IF($C$1076&gt;0,VLOOKUP($C1402,COSTI!$U$4:$Z$1003,6,FALSE),IF($C$1075&gt;0,VLOOKUP($C1402,PATRIMONIALE!$U$4:$Z$1003,6,FALSE),IF($C$1074&gt;0,VLOOKUP($C1402,ENTI!$U$4:$Z$1003,6,FALSE),"")))</f>
        <v>#N/A</v>
      </c>
      <c r="I1402" s="496">
        <v>322</v>
      </c>
      <c r="J1402" s="43" t="e">
        <f ca="1">VLOOKUP(D1402,$F$1081:$I$4183,4,FALSE)+COUNTIF(E$1081:E1401,E1402)</f>
        <v>#N/A</v>
      </c>
      <c r="K1402" s="1"/>
      <c r="L1402" s="39" t="e">
        <f>IF($C$1074&gt;0,VLOOKUP($C1402,ENTI!$U$4:$AD$1003,10,FALSE),"")</f>
        <v>#N/A</v>
      </c>
      <c r="M1402" s="1"/>
      <c r="N1402" s="1"/>
      <c r="O1402" s="1"/>
    </row>
    <row r="1403" spans="1:15" hidden="1">
      <c r="A1403" s="1"/>
      <c r="B1403" s="40" t="e">
        <f t="shared" ca="1" si="197"/>
        <v>#N/A</v>
      </c>
      <c r="C1403" s="496">
        <v>323</v>
      </c>
      <c r="D1403" s="41" t="e">
        <f ca="1">IF($C$1076&gt;0,VLOOKUP($C1403,COSTI!$U$4:$Z$1003,3,FALSE),IF($C$1075&gt;0,VLOOKUP($C1403,PATRIMONIALE!$U$4:$Z$1003,3,FALSE),IF($C$1074&gt;0,VLOOKUP($C1403,ENTI!$U$4:$Z$1003,3,FALSE),"")))</f>
        <v>#N/A</v>
      </c>
      <c r="E1403" s="41" t="str">
        <f t="shared" ca="1" si="196"/>
        <v/>
      </c>
      <c r="F1403" s="41" t="e">
        <f t="shared" ca="1" si="198"/>
        <v>#NUM!</v>
      </c>
      <c r="G1403" s="39" t="e">
        <f ca="1">IF($C$1076&gt;0,VLOOKUP($C1403,COSTI!$U$4:$Z$1003,5,FALSE),IF($C$1075&gt;0,VLOOKUP($C1403,PATRIMONIALE!$U$4:$Z$1003,5,FALSE),IF($C$1074&gt;0,VLOOKUP($C1403,ENTI!$U$4:$Z$1003,5,FALSE),"")))</f>
        <v>#N/A</v>
      </c>
      <c r="H1403" s="42" t="e">
        <f ca="1">IF($C$1076&gt;0,VLOOKUP($C1403,COSTI!$U$4:$Z$1003,6,FALSE),IF($C$1075&gt;0,VLOOKUP($C1403,PATRIMONIALE!$U$4:$Z$1003,6,FALSE),IF($C$1074&gt;0,VLOOKUP($C1403,ENTI!$U$4:$Z$1003,6,FALSE),"")))</f>
        <v>#N/A</v>
      </c>
      <c r="I1403" s="496">
        <v>323</v>
      </c>
      <c r="J1403" s="43" t="e">
        <f ca="1">VLOOKUP(D1403,$F$1081:$I$4183,4,FALSE)+COUNTIF(E$1081:E1402,E1403)</f>
        <v>#N/A</v>
      </c>
      <c r="K1403" s="1"/>
      <c r="L1403" s="39" t="e">
        <f>IF($C$1074&gt;0,VLOOKUP($C1403,ENTI!$U$4:$AD$1003,10,FALSE),"")</f>
        <v>#N/A</v>
      </c>
      <c r="M1403" s="1"/>
      <c r="N1403" s="1"/>
      <c r="O1403" s="1"/>
    </row>
    <row r="1404" spans="1:15" hidden="1">
      <c r="A1404" s="1"/>
      <c r="B1404" s="40" t="e">
        <f t="shared" ca="1" si="197"/>
        <v>#N/A</v>
      </c>
      <c r="C1404" s="496">
        <v>324</v>
      </c>
      <c r="D1404" s="41" t="e">
        <f ca="1">IF($C$1076&gt;0,VLOOKUP($C1404,COSTI!$U$4:$Z$1003,3,FALSE),IF($C$1075&gt;0,VLOOKUP($C1404,PATRIMONIALE!$U$4:$Z$1003,3,FALSE),IF($C$1074&gt;0,VLOOKUP($C1404,ENTI!$U$4:$Z$1003,3,FALSE),"")))</f>
        <v>#N/A</v>
      </c>
      <c r="E1404" s="41" t="str">
        <f t="shared" ca="1" si="196"/>
        <v/>
      </c>
      <c r="F1404" s="41" t="e">
        <f t="shared" ca="1" si="198"/>
        <v>#NUM!</v>
      </c>
      <c r="G1404" s="39" t="e">
        <f ca="1">IF($C$1076&gt;0,VLOOKUP($C1404,COSTI!$U$4:$Z$1003,5,FALSE),IF($C$1075&gt;0,VLOOKUP($C1404,PATRIMONIALE!$U$4:$Z$1003,5,FALSE),IF($C$1074&gt;0,VLOOKUP($C1404,ENTI!$U$4:$Z$1003,5,FALSE),"")))</f>
        <v>#N/A</v>
      </c>
      <c r="H1404" s="42" t="e">
        <f ca="1">IF($C$1076&gt;0,VLOOKUP($C1404,COSTI!$U$4:$Z$1003,6,FALSE),IF($C$1075&gt;0,VLOOKUP($C1404,PATRIMONIALE!$U$4:$Z$1003,6,FALSE),IF($C$1074&gt;0,VLOOKUP($C1404,ENTI!$U$4:$Z$1003,6,FALSE),"")))</f>
        <v>#N/A</v>
      </c>
      <c r="I1404" s="496">
        <v>324</v>
      </c>
      <c r="J1404" s="43" t="e">
        <f ca="1">VLOOKUP(D1404,$F$1081:$I$4183,4,FALSE)+COUNTIF(E$1081:E1403,E1404)</f>
        <v>#N/A</v>
      </c>
      <c r="K1404" s="1"/>
      <c r="L1404" s="39" t="e">
        <f>IF($C$1074&gt;0,VLOOKUP($C1404,ENTI!$U$4:$AD$1003,10,FALSE),"")</f>
        <v>#N/A</v>
      </c>
      <c r="M1404" s="1"/>
      <c r="N1404" s="1"/>
      <c r="O1404" s="1"/>
    </row>
    <row r="1405" spans="1:15" hidden="1">
      <c r="A1405" s="1"/>
      <c r="B1405" s="40" t="e">
        <f t="shared" ca="1" si="197"/>
        <v>#N/A</v>
      </c>
      <c r="C1405" s="496">
        <v>325</v>
      </c>
      <c r="D1405" s="41" t="e">
        <f ca="1">IF($C$1076&gt;0,VLOOKUP($C1405,COSTI!$U$4:$Z$1003,3,FALSE),IF($C$1075&gt;0,VLOOKUP($C1405,PATRIMONIALE!$U$4:$Z$1003,3,FALSE),IF($C$1074&gt;0,VLOOKUP($C1405,ENTI!$U$4:$Z$1003,3,FALSE),"")))</f>
        <v>#N/A</v>
      </c>
      <c r="E1405" s="41" t="str">
        <f t="shared" ca="1" si="196"/>
        <v/>
      </c>
      <c r="F1405" s="41" t="e">
        <f t="shared" ca="1" si="198"/>
        <v>#NUM!</v>
      </c>
      <c r="G1405" s="39" t="e">
        <f ca="1">IF($C$1076&gt;0,VLOOKUP($C1405,COSTI!$U$4:$Z$1003,5,FALSE),IF($C$1075&gt;0,VLOOKUP($C1405,PATRIMONIALE!$U$4:$Z$1003,5,FALSE),IF($C$1074&gt;0,VLOOKUP($C1405,ENTI!$U$4:$Z$1003,5,FALSE),"")))</f>
        <v>#N/A</v>
      </c>
      <c r="H1405" s="42" t="e">
        <f ca="1">IF($C$1076&gt;0,VLOOKUP($C1405,COSTI!$U$4:$Z$1003,6,FALSE),IF($C$1075&gt;0,VLOOKUP($C1405,PATRIMONIALE!$U$4:$Z$1003,6,FALSE),IF($C$1074&gt;0,VLOOKUP($C1405,ENTI!$U$4:$Z$1003,6,FALSE),"")))</f>
        <v>#N/A</v>
      </c>
      <c r="I1405" s="496">
        <v>325</v>
      </c>
      <c r="J1405" s="43" t="e">
        <f ca="1">VLOOKUP(D1405,$F$1081:$I$4183,4,FALSE)+COUNTIF(E$1081:E1404,E1405)</f>
        <v>#N/A</v>
      </c>
      <c r="K1405" s="1"/>
      <c r="L1405" s="39" t="e">
        <f>IF($C$1074&gt;0,VLOOKUP($C1405,ENTI!$U$4:$AD$1003,10,FALSE),"")</f>
        <v>#N/A</v>
      </c>
      <c r="M1405" s="1"/>
      <c r="N1405" s="1"/>
      <c r="O1405" s="1"/>
    </row>
    <row r="1406" spans="1:15" hidden="1">
      <c r="A1406" s="1"/>
      <c r="B1406" s="40" t="e">
        <f t="shared" ca="1" si="197"/>
        <v>#N/A</v>
      </c>
      <c r="C1406" s="496">
        <v>326</v>
      </c>
      <c r="D1406" s="41" t="e">
        <f ca="1">IF($C$1076&gt;0,VLOOKUP($C1406,COSTI!$U$4:$Z$1003,3,FALSE),IF($C$1075&gt;0,VLOOKUP($C1406,PATRIMONIALE!$U$4:$Z$1003,3,FALSE),IF($C$1074&gt;0,VLOOKUP($C1406,ENTI!$U$4:$Z$1003,3,FALSE),"")))</f>
        <v>#N/A</v>
      </c>
      <c r="E1406" s="41" t="str">
        <f t="shared" ca="1" si="196"/>
        <v/>
      </c>
      <c r="F1406" s="41" t="e">
        <f t="shared" ca="1" si="198"/>
        <v>#NUM!</v>
      </c>
      <c r="G1406" s="39" t="e">
        <f ca="1">IF($C$1076&gt;0,VLOOKUP($C1406,COSTI!$U$4:$Z$1003,5,FALSE),IF($C$1075&gt;0,VLOOKUP($C1406,PATRIMONIALE!$U$4:$Z$1003,5,FALSE),IF($C$1074&gt;0,VLOOKUP($C1406,ENTI!$U$4:$Z$1003,5,FALSE),"")))</f>
        <v>#N/A</v>
      </c>
      <c r="H1406" s="42" t="e">
        <f ca="1">IF($C$1076&gt;0,VLOOKUP($C1406,COSTI!$U$4:$Z$1003,6,FALSE),IF($C$1075&gt;0,VLOOKUP($C1406,PATRIMONIALE!$U$4:$Z$1003,6,FALSE),IF($C$1074&gt;0,VLOOKUP($C1406,ENTI!$U$4:$Z$1003,6,FALSE),"")))</f>
        <v>#N/A</v>
      </c>
      <c r="I1406" s="496">
        <v>326</v>
      </c>
      <c r="J1406" s="43" t="e">
        <f ca="1">VLOOKUP(D1406,$F$1081:$I$4183,4,FALSE)+COUNTIF(E$1081:E1405,E1406)</f>
        <v>#N/A</v>
      </c>
      <c r="K1406" s="1"/>
      <c r="L1406" s="39" t="e">
        <f>IF($C$1074&gt;0,VLOOKUP($C1406,ENTI!$U$4:$AD$1003,10,FALSE),"")</f>
        <v>#N/A</v>
      </c>
      <c r="M1406" s="1"/>
      <c r="N1406" s="1"/>
      <c r="O1406" s="1"/>
    </row>
    <row r="1407" spans="1:15" hidden="1">
      <c r="A1407" s="1"/>
      <c r="B1407" s="40" t="e">
        <f t="shared" ca="1" si="197"/>
        <v>#N/A</v>
      </c>
      <c r="C1407" s="496">
        <v>327</v>
      </c>
      <c r="D1407" s="41" t="e">
        <f ca="1">IF($C$1076&gt;0,VLOOKUP($C1407,COSTI!$U$4:$Z$1003,3,FALSE),IF($C$1075&gt;0,VLOOKUP($C1407,PATRIMONIALE!$U$4:$Z$1003,3,FALSE),IF($C$1074&gt;0,VLOOKUP($C1407,ENTI!$U$4:$Z$1003,3,FALSE),"")))</f>
        <v>#N/A</v>
      </c>
      <c r="E1407" s="41" t="str">
        <f t="shared" ca="1" si="196"/>
        <v/>
      </c>
      <c r="F1407" s="41" t="e">
        <f t="shared" ca="1" si="198"/>
        <v>#NUM!</v>
      </c>
      <c r="G1407" s="39" t="e">
        <f ca="1">IF($C$1076&gt;0,VLOOKUP($C1407,COSTI!$U$4:$Z$1003,5,FALSE),IF($C$1075&gt;0,VLOOKUP($C1407,PATRIMONIALE!$U$4:$Z$1003,5,FALSE),IF($C$1074&gt;0,VLOOKUP($C1407,ENTI!$U$4:$Z$1003,5,FALSE),"")))</f>
        <v>#N/A</v>
      </c>
      <c r="H1407" s="42" t="e">
        <f ca="1">IF($C$1076&gt;0,VLOOKUP($C1407,COSTI!$U$4:$Z$1003,6,FALSE),IF($C$1075&gt;0,VLOOKUP($C1407,PATRIMONIALE!$U$4:$Z$1003,6,FALSE),IF($C$1074&gt;0,VLOOKUP($C1407,ENTI!$U$4:$Z$1003,6,FALSE),"")))</f>
        <v>#N/A</v>
      </c>
      <c r="I1407" s="496">
        <v>327</v>
      </c>
      <c r="J1407" s="43" t="e">
        <f ca="1">VLOOKUP(D1407,$F$1081:$I$4183,4,FALSE)+COUNTIF(E$1081:E1406,E1407)</f>
        <v>#N/A</v>
      </c>
      <c r="K1407" s="1"/>
      <c r="L1407" s="39" t="e">
        <f>IF($C$1074&gt;0,VLOOKUP($C1407,ENTI!$U$4:$AD$1003,10,FALSE),"")</f>
        <v>#N/A</v>
      </c>
      <c r="M1407" s="1"/>
      <c r="N1407" s="1"/>
      <c r="O1407" s="1"/>
    </row>
    <row r="1408" spans="1:15" hidden="1">
      <c r="A1408" s="1"/>
      <c r="B1408" s="40" t="e">
        <f t="shared" ca="1" si="197"/>
        <v>#N/A</v>
      </c>
      <c r="C1408" s="496">
        <v>328</v>
      </c>
      <c r="D1408" s="41" t="e">
        <f ca="1">IF($C$1076&gt;0,VLOOKUP($C1408,COSTI!$U$4:$Z$1003,3,FALSE),IF($C$1075&gt;0,VLOOKUP($C1408,PATRIMONIALE!$U$4:$Z$1003,3,FALSE),IF($C$1074&gt;0,VLOOKUP($C1408,ENTI!$U$4:$Z$1003,3,FALSE),"")))</f>
        <v>#N/A</v>
      </c>
      <c r="E1408" s="41" t="str">
        <f t="shared" ca="1" si="196"/>
        <v/>
      </c>
      <c r="F1408" s="41" t="e">
        <f t="shared" ca="1" si="198"/>
        <v>#NUM!</v>
      </c>
      <c r="G1408" s="39" t="e">
        <f ca="1">IF($C$1076&gt;0,VLOOKUP($C1408,COSTI!$U$4:$Z$1003,5,FALSE),IF($C$1075&gt;0,VLOOKUP($C1408,PATRIMONIALE!$U$4:$Z$1003,5,FALSE),IF($C$1074&gt;0,VLOOKUP($C1408,ENTI!$U$4:$Z$1003,5,FALSE),"")))</f>
        <v>#N/A</v>
      </c>
      <c r="H1408" s="42" t="e">
        <f ca="1">IF($C$1076&gt;0,VLOOKUP($C1408,COSTI!$U$4:$Z$1003,6,FALSE),IF($C$1075&gt;0,VLOOKUP($C1408,PATRIMONIALE!$U$4:$Z$1003,6,FALSE),IF($C$1074&gt;0,VLOOKUP($C1408,ENTI!$U$4:$Z$1003,6,FALSE),"")))</f>
        <v>#N/A</v>
      </c>
      <c r="I1408" s="496">
        <v>328</v>
      </c>
      <c r="J1408" s="43" t="e">
        <f ca="1">VLOOKUP(D1408,$F$1081:$I$4183,4,FALSE)+COUNTIF(E$1081:E1407,E1408)</f>
        <v>#N/A</v>
      </c>
      <c r="K1408" s="1"/>
      <c r="L1408" s="39" t="e">
        <f>IF($C$1074&gt;0,VLOOKUP($C1408,ENTI!$U$4:$AD$1003,10,FALSE),"")</f>
        <v>#N/A</v>
      </c>
      <c r="M1408" s="1"/>
      <c r="N1408" s="1"/>
      <c r="O1408" s="1"/>
    </row>
    <row r="1409" spans="1:15" hidden="1">
      <c r="A1409" s="1"/>
      <c r="B1409" s="40" t="e">
        <f t="shared" ca="1" si="197"/>
        <v>#N/A</v>
      </c>
      <c r="C1409" s="496">
        <v>329</v>
      </c>
      <c r="D1409" s="41" t="e">
        <f ca="1">IF($C$1076&gt;0,VLOOKUP($C1409,COSTI!$U$4:$Z$1003,3,FALSE),IF($C$1075&gt;0,VLOOKUP($C1409,PATRIMONIALE!$U$4:$Z$1003,3,FALSE),IF($C$1074&gt;0,VLOOKUP($C1409,ENTI!$U$4:$Z$1003,3,FALSE),"")))</f>
        <v>#N/A</v>
      </c>
      <c r="E1409" s="41" t="str">
        <f t="shared" ca="1" si="196"/>
        <v/>
      </c>
      <c r="F1409" s="41" t="e">
        <f t="shared" ca="1" si="198"/>
        <v>#NUM!</v>
      </c>
      <c r="G1409" s="39" t="e">
        <f ca="1">IF($C$1076&gt;0,VLOOKUP($C1409,COSTI!$U$4:$Z$1003,5,FALSE),IF($C$1075&gt;0,VLOOKUP($C1409,PATRIMONIALE!$U$4:$Z$1003,5,FALSE),IF($C$1074&gt;0,VLOOKUP($C1409,ENTI!$U$4:$Z$1003,5,FALSE),"")))</f>
        <v>#N/A</v>
      </c>
      <c r="H1409" s="42" t="e">
        <f ca="1">IF($C$1076&gt;0,VLOOKUP($C1409,COSTI!$U$4:$Z$1003,6,FALSE),IF($C$1075&gt;0,VLOOKUP($C1409,PATRIMONIALE!$U$4:$Z$1003,6,FALSE),IF($C$1074&gt;0,VLOOKUP($C1409,ENTI!$U$4:$Z$1003,6,FALSE),"")))</f>
        <v>#N/A</v>
      </c>
      <c r="I1409" s="496">
        <v>329</v>
      </c>
      <c r="J1409" s="43" t="e">
        <f ca="1">VLOOKUP(D1409,$F$1081:$I$4183,4,FALSE)+COUNTIF(E$1081:E1408,E1409)</f>
        <v>#N/A</v>
      </c>
      <c r="K1409" s="1"/>
      <c r="L1409" s="39" t="e">
        <f>IF($C$1074&gt;0,VLOOKUP($C1409,ENTI!$U$4:$AD$1003,10,FALSE),"")</f>
        <v>#N/A</v>
      </c>
      <c r="M1409" s="1"/>
      <c r="N1409" s="1"/>
      <c r="O1409" s="1"/>
    </row>
    <row r="1410" spans="1:15" hidden="1">
      <c r="A1410" s="1"/>
      <c r="B1410" s="40" t="e">
        <f t="shared" ca="1" si="197"/>
        <v>#N/A</v>
      </c>
      <c r="C1410" s="496">
        <v>330</v>
      </c>
      <c r="D1410" s="41" t="e">
        <f ca="1">IF($C$1076&gt;0,VLOOKUP($C1410,COSTI!$U$4:$Z$1003,3,FALSE),IF($C$1075&gt;0,VLOOKUP($C1410,PATRIMONIALE!$U$4:$Z$1003,3,FALSE),IF($C$1074&gt;0,VLOOKUP($C1410,ENTI!$U$4:$Z$1003,3,FALSE),"")))</f>
        <v>#N/A</v>
      </c>
      <c r="E1410" s="41" t="str">
        <f t="shared" ca="1" si="196"/>
        <v/>
      </c>
      <c r="F1410" s="41" t="e">
        <f t="shared" ca="1" si="198"/>
        <v>#NUM!</v>
      </c>
      <c r="G1410" s="39" t="e">
        <f ca="1">IF($C$1076&gt;0,VLOOKUP($C1410,COSTI!$U$4:$Z$1003,5,FALSE),IF($C$1075&gt;0,VLOOKUP($C1410,PATRIMONIALE!$U$4:$Z$1003,5,FALSE),IF($C$1074&gt;0,VLOOKUP($C1410,ENTI!$U$4:$Z$1003,5,FALSE),"")))</f>
        <v>#N/A</v>
      </c>
      <c r="H1410" s="42" t="e">
        <f ca="1">IF($C$1076&gt;0,VLOOKUP($C1410,COSTI!$U$4:$Z$1003,6,FALSE),IF($C$1075&gt;0,VLOOKUP($C1410,PATRIMONIALE!$U$4:$Z$1003,6,FALSE),IF($C$1074&gt;0,VLOOKUP($C1410,ENTI!$U$4:$Z$1003,6,FALSE),"")))</f>
        <v>#N/A</v>
      </c>
      <c r="I1410" s="496">
        <v>330</v>
      </c>
      <c r="J1410" s="43" t="e">
        <f ca="1">VLOOKUP(D1410,$F$1081:$I$4183,4,FALSE)+COUNTIF(E$1081:E1409,E1410)</f>
        <v>#N/A</v>
      </c>
      <c r="K1410" s="1"/>
      <c r="L1410" s="39" t="e">
        <f>IF($C$1074&gt;0,VLOOKUP($C1410,ENTI!$U$4:$AD$1003,10,FALSE),"")</f>
        <v>#N/A</v>
      </c>
      <c r="M1410" s="1"/>
      <c r="N1410" s="1"/>
      <c r="O1410" s="1"/>
    </row>
    <row r="1411" spans="1:15" hidden="1">
      <c r="A1411" s="1"/>
      <c r="B1411" s="40" t="e">
        <f t="shared" ca="1" si="197"/>
        <v>#N/A</v>
      </c>
      <c r="C1411" s="496">
        <v>331</v>
      </c>
      <c r="D1411" s="41" t="e">
        <f ca="1">IF($C$1076&gt;0,VLOOKUP($C1411,COSTI!$U$4:$Z$1003,3,FALSE),IF($C$1075&gt;0,VLOOKUP($C1411,PATRIMONIALE!$U$4:$Z$1003,3,FALSE),IF($C$1074&gt;0,VLOOKUP($C1411,ENTI!$U$4:$Z$1003,3,FALSE),"")))</f>
        <v>#N/A</v>
      </c>
      <c r="E1411" s="41" t="str">
        <f t="shared" ca="1" si="196"/>
        <v/>
      </c>
      <c r="F1411" s="41" t="e">
        <f t="shared" ca="1" si="198"/>
        <v>#NUM!</v>
      </c>
      <c r="G1411" s="39" t="e">
        <f ca="1">IF($C$1076&gt;0,VLOOKUP($C1411,COSTI!$U$4:$Z$1003,5,FALSE),IF($C$1075&gt;0,VLOOKUP($C1411,PATRIMONIALE!$U$4:$Z$1003,5,FALSE),IF($C$1074&gt;0,VLOOKUP($C1411,ENTI!$U$4:$Z$1003,5,FALSE),"")))</f>
        <v>#N/A</v>
      </c>
      <c r="H1411" s="42" t="e">
        <f ca="1">IF($C$1076&gt;0,VLOOKUP($C1411,COSTI!$U$4:$Z$1003,6,FALSE),IF($C$1075&gt;0,VLOOKUP($C1411,PATRIMONIALE!$U$4:$Z$1003,6,FALSE),IF($C$1074&gt;0,VLOOKUP($C1411,ENTI!$U$4:$Z$1003,6,FALSE),"")))</f>
        <v>#N/A</v>
      </c>
      <c r="I1411" s="496">
        <v>331</v>
      </c>
      <c r="J1411" s="43" t="e">
        <f ca="1">VLOOKUP(D1411,$F$1081:$I$4183,4,FALSE)+COUNTIF(E$1081:E1410,E1411)</f>
        <v>#N/A</v>
      </c>
      <c r="K1411" s="1"/>
      <c r="L1411" s="39" t="e">
        <f>IF($C$1074&gt;0,VLOOKUP($C1411,ENTI!$U$4:$AD$1003,10,FALSE),"")</f>
        <v>#N/A</v>
      </c>
      <c r="M1411" s="1"/>
      <c r="N1411" s="1"/>
      <c r="O1411" s="1"/>
    </row>
    <row r="1412" spans="1:15" hidden="1">
      <c r="A1412" s="1"/>
      <c r="B1412" s="40" t="e">
        <f t="shared" ca="1" si="197"/>
        <v>#N/A</v>
      </c>
      <c r="C1412" s="496">
        <v>332</v>
      </c>
      <c r="D1412" s="41" t="e">
        <f ca="1">IF($C$1076&gt;0,VLOOKUP($C1412,COSTI!$U$4:$Z$1003,3,FALSE),IF($C$1075&gt;0,VLOOKUP($C1412,PATRIMONIALE!$U$4:$Z$1003,3,FALSE),IF($C$1074&gt;0,VLOOKUP($C1412,ENTI!$U$4:$Z$1003,3,FALSE),"")))</f>
        <v>#N/A</v>
      </c>
      <c r="E1412" s="41" t="str">
        <f t="shared" ca="1" si="196"/>
        <v/>
      </c>
      <c r="F1412" s="41" t="e">
        <f t="shared" ca="1" si="198"/>
        <v>#NUM!</v>
      </c>
      <c r="G1412" s="39" t="e">
        <f ca="1">IF($C$1076&gt;0,VLOOKUP($C1412,COSTI!$U$4:$Z$1003,5,FALSE),IF($C$1075&gt;0,VLOOKUP($C1412,PATRIMONIALE!$U$4:$Z$1003,5,FALSE),IF($C$1074&gt;0,VLOOKUP($C1412,ENTI!$U$4:$Z$1003,5,FALSE),"")))</f>
        <v>#N/A</v>
      </c>
      <c r="H1412" s="42" t="e">
        <f ca="1">IF($C$1076&gt;0,VLOOKUP($C1412,COSTI!$U$4:$Z$1003,6,FALSE),IF($C$1075&gt;0,VLOOKUP($C1412,PATRIMONIALE!$U$4:$Z$1003,6,FALSE),IF($C$1074&gt;0,VLOOKUP($C1412,ENTI!$U$4:$Z$1003,6,FALSE),"")))</f>
        <v>#N/A</v>
      </c>
      <c r="I1412" s="496">
        <v>332</v>
      </c>
      <c r="J1412" s="43" t="e">
        <f ca="1">VLOOKUP(D1412,$F$1081:$I$4183,4,FALSE)+COUNTIF(E$1081:E1411,E1412)</f>
        <v>#N/A</v>
      </c>
      <c r="K1412" s="1"/>
      <c r="L1412" s="39" t="e">
        <f>IF($C$1074&gt;0,VLOOKUP($C1412,ENTI!$U$4:$AD$1003,10,FALSE),"")</f>
        <v>#N/A</v>
      </c>
      <c r="M1412" s="1"/>
      <c r="N1412" s="1"/>
      <c r="O1412" s="1"/>
    </row>
    <row r="1413" spans="1:15" hidden="1">
      <c r="A1413" s="1"/>
      <c r="B1413" s="40" t="e">
        <f t="shared" ca="1" si="197"/>
        <v>#N/A</v>
      </c>
      <c r="C1413" s="496">
        <v>333</v>
      </c>
      <c r="D1413" s="41" t="e">
        <f ca="1">IF($C$1076&gt;0,VLOOKUP($C1413,COSTI!$U$4:$Z$1003,3,FALSE),IF($C$1075&gt;0,VLOOKUP($C1413,PATRIMONIALE!$U$4:$Z$1003,3,FALSE),IF($C$1074&gt;0,VLOOKUP($C1413,ENTI!$U$4:$Z$1003,3,FALSE),"")))</f>
        <v>#N/A</v>
      </c>
      <c r="E1413" s="41" t="str">
        <f t="shared" ca="1" si="196"/>
        <v/>
      </c>
      <c r="F1413" s="41" t="e">
        <f t="shared" ca="1" si="198"/>
        <v>#NUM!</v>
      </c>
      <c r="G1413" s="39" t="e">
        <f ca="1">IF($C$1076&gt;0,VLOOKUP($C1413,COSTI!$U$4:$Z$1003,5,FALSE),IF($C$1075&gt;0,VLOOKUP($C1413,PATRIMONIALE!$U$4:$Z$1003,5,FALSE),IF($C$1074&gt;0,VLOOKUP($C1413,ENTI!$U$4:$Z$1003,5,FALSE),"")))</f>
        <v>#N/A</v>
      </c>
      <c r="H1413" s="42" t="e">
        <f ca="1">IF($C$1076&gt;0,VLOOKUP($C1413,COSTI!$U$4:$Z$1003,6,FALSE),IF($C$1075&gt;0,VLOOKUP($C1413,PATRIMONIALE!$U$4:$Z$1003,6,FALSE),IF($C$1074&gt;0,VLOOKUP($C1413,ENTI!$U$4:$Z$1003,6,FALSE),"")))</f>
        <v>#N/A</v>
      </c>
      <c r="I1413" s="496">
        <v>333</v>
      </c>
      <c r="J1413" s="43" t="e">
        <f ca="1">VLOOKUP(D1413,$F$1081:$I$4183,4,FALSE)+COUNTIF(E$1081:E1412,E1413)</f>
        <v>#N/A</v>
      </c>
      <c r="K1413" s="1"/>
      <c r="L1413" s="39" t="e">
        <f>IF($C$1074&gt;0,VLOOKUP($C1413,ENTI!$U$4:$AD$1003,10,FALSE),"")</f>
        <v>#N/A</v>
      </c>
      <c r="M1413" s="1"/>
      <c r="N1413" s="1"/>
      <c r="O1413" s="1"/>
    </row>
    <row r="1414" spans="1:15" hidden="1">
      <c r="A1414" s="1"/>
      <c r="B1414" s="40" t="e">
        <f t="shared" ca="1" si="197"/>
        <v>#N/A</v>
      </c>
      <c r="C1414" s="496">
        <v>334</v>
      </c>
      <c r="D1414" s="41" t="e">
        <f ca="1">IF($C$1076&gt;0,VLOOKUP($C1414,COSTI!$U$4:$Z$1003,3,FALSE),IF($C$1075&gt;0,VLOOKUP($C1414,PATRIMONIALE!$U$4:$Z$1003,3,FALSE),IF($C$1074&gt;0,VLOOKUP($C1414,ENTI!$U$4:$Z$1003,3,FALSE),"")))</f>
        <v>#N/A</v>
      </c>
      <c r="E1414" s="41" t="str">
        <f t="shared" ca="1" si="196"/>
        <v/>
      </c>
      <c r="F1414" s="41" t="e">
        <f t="shared" ca="1" si="198"/>
        <v>#NUM!</v>
      </c>
      <c r="G1414" s="39" t="e">
        <f ca="1">IF($C$1076&gt;0,VLOOKUP($C1414,COSTI!$U$4:$Z$1003,5,FALSE),IF($C$1075&gt;0,VLOOKUP($C1414,PATRIMONIALE!$U$4:$Z$1003,5,FALSE),IF($C$1074&gt;0,VLOOKUP($C1414,ENTI!$U$4:$Z$1003,5,FALSE),"")))</f>
        <v>#N/A</v>
      </c>
      <c r="H1414" s="42" t="e">
        <f ca="1">IF($C$1076&gt;0,VLOOKUP($C1414,COSTI!$U$4:$Z$1003,6,FALSE),IF($C$1075&gt;0,VLOOKUP($C1414,PATRIMONIALE!$U$4:$Z$1003,6,FALSE),IF($C$1074&gt;0,VLOOKUP($C1414,ENTI!$U$4:$Z$1003,6,FALSE),"")))</f>
        <v>#N/A</v>
      </c>
      <c r="I1414" s="496">
        <v>334</v>
      </c>
      <c r="J1414" s="43" t="e">
        <f ca="1">VLOOKUP(D1414,$F$1081:$I$4183,4,FALSE)+COUNTIF(E$1081:E1413,E1414)</f>
        <v>#N/A</v>
      </c>
      <c r="K1414" s="1"/>
      <c r="L1414" s="39" t="e">
        <f>IF($C$1074&gt;0,VLOOKUP($C1414,ENTI!$U$4:$AD$1003,10,FALSE),"")</f>
        <v>#N/A</v>
      </c>
      <c r="M1414" s="1"/>
      <c r="N1414" s="1"/>
      <c r="O1414" s="1"/>
    </row>
    <row r="1415" spans="1:15" hidden="1">
      <c r="A1415" s="1"/>
      <c r="B1415" s="40" t="e">
        <f t="shared" ca="1" si="197"/>
        <v>#N/A</v>
      </c>
      <c r="C1415" s="496">
        <v>335</v>
      </c>
      <c r="D1415" s="41" t="e">
        <f ca="1">IF($C$1076&gt;0,VLOOKUP($C1415,COSTI!$U$4:$Z$1003,3,FALSE),IF($C$1075&gt;0,VLOOKUP($C1415,PATRIMONIALE!$U$4:$Z$1003,3,FALSE),IF($C$1074&gt;0,VLOOKUP($C1415,ENTI!$U$4:$Z$1003,3,FALSE),"")))</f>
        <v>#N/A</v>
      </c>
      <c r="E1415" s="41" t="str">
        <f t="shared" ca="1" si="196"/>
        <v/>
      </c>
      <c r="F1415" s="41" t="e">
        <f t="shared" ca="1" si="198"/>
        <v>#NUM!</v>
      </c>
      <c r="G1415" s="39" t="e">
        <f ca="1">IF($C$1076&gt;0,VLOOKUP($C1415,COSTI!$U$4:$Z$1003,5,FALSE),IF($C$1075&gt;0,VLOOKUP($C1415,PATRIMONIALE!$U$4:$Z$1003,5,FALSE),IF($C$1074&gt;0,VLOOKUP($C1415,ENTI!$U$4:$Z$1003,5,FALSE),"")))</f>
        <v>#N/A</v>
      </c>
      <c r="H1415" s="42" t="e">
        <f ca="1">IF($C$1076&gt;0,VLOOKUP($C1415,COSTI!$U$4:$Z$1003,6,FALSE),IF($C$1075&gt;0,VLOOKUP($C1415,PATRIMONIALE!$U$4:$Z$1003,6,FALSE),IF($C$1074&gt;0,VLOOKUP($C1415,ENTI!$U$4:$Z$1003,6,FALSE),"")))</f>
        <v>#N/A</v>
      </c>
      <c r="I1415" s="496">
        <v>335</v>
      </c>
      <c r="J1415" s="43" t="e">
        <f ca="1">VLOOKUP(D1415,$F$1081:$I$4183,4,FALSE)+COUNTIF(E$1081:E1414,E1415)</f>
        <v>#N/A</v>
      </c>
      <c r="K1415" s="1"/>
      <c r="L1415" s="39" t="e">
        <f>IF($C$1074&gt;0,VLOOKUP($C1415,ENTI!$U$4:$AD$1003,10,FALSE),"")</f>
        <v>#N/A</v>
      </c>
      <c r="M1415" s="1"/>
      <c r="N1415" s="1"/>
      <c r="O1415" s="1"/>
    </row>
    <row r="1416" spans="1:15" hidden="1">
      <c r="A1416" s="1"/>
      <c r="B1416" s="40" t="e">
        <f t="shared" ca="1" si="197"/>
        <v>#N/A</v>
      </c>
      <c r="C1416" s="496">
        <v>336</v>
      </c>
      <c r="D1416" s="41" t="e">
        <f ca="1">IF($C$1076&gt;0,VLOOKUP($C1416,COSTI!$U$4:$Z$1003,3,FALSE),IF($C$1075&gt;0,VLOOKUP($C1416,PATRIMONIALE!$U$4:$Z$1003,3,FALSE),IF($C$1074&gt;0,VLOOKUP($C1416,ENTI!$U$4:$Z$1003,3,FALSE),"")))</f>
        <v>#N/A</v>
      </c>
      <c r="E1416" s="41" t="str">
        <f t="shared" ca="1" si="196"/>
        <v/>
      </c>
      <c r="F1416" s="41" t="e">
        <f t="shared" ca="1" si="198"/>
        <v>#NUM!</v>
      </c>
      <c r="G1416" s="39" t="e">
        <f ca="1">IF($C$1076&gt;0,VLOOKUP($C1416,COSTI!$U$4:$Z$1003,5,FALSE),IF($C$1075&gt;0,VLOOKUP($C1416,PATRIMONIALE!$U$4:$Z$1003,5,FALSE),IF($C$1074&gt;0,VLOOKUP($C1416,ENTI!$U$4:$Z$1003,5,FALSE),"")))</f>
        <v>#N/A</v>
      </c>
      <c r="H1416" s="42" t="e">
        <f ca="1">IF($C$1076&gt;0,VLOOKUP($C1416,COSTI!$U$4:$Z$1003,6,FALSE),IF($C$1075&gt;0,VLOOKUP($C1416,PATRIMONIALE!$U$4:$Z$1003,6,FALSE),IF($C$1074&gt;0,VLOOKUP($C1416,ENTI!$U$4:$Z$1003,6,FALSE),"")))</f>
        <v>#N/A</v>
      </c>
      <c r="I1416" s="496">
        <v>336</v>
      </c>
      <c r="J1416" s="43" t="e">
        <f ca="1">VLOOKUP(D1416,$F$1081:$I$4183,4,FALSE)+COUNTIF(E$1081:E1415,E1416)</f>
        <v>#N/A</v>
      </c>
      <c r="K1416" s="1"/>
      <c r="L1416" s="39" t="e">
        <f>IF($C$1074&gt;0,VLOOKUP($C1416,ENTI!$U$4:$AD$1003,10,FALSE),"")</f>
        <v>#N/A</v>
      </c>
      <c r="M1416" s="1"/>
      <c r="N1416" s="1"/>
      <c r="O1416" s="1"/>
    </row>
    <row r="1417" spans="1:15" hidden="1">
      <c r="A1417" s="1"/>
      <c r="B1417" s="40" t="e">
        <f t="shared" ca="1" si="197"/>
        <v>#N/A</v>
      </c>
      <c r="C1417" s="496">
        <v>337</v>
      </c>
      <c r="D1417" s="41" t="e">
        <f ca="1">IF($C$1076&gt;0,VLOOKUP($C1417,COSTI!$U$4:$Z$1003,3,FALSE),IF($C$1075&gt;0,VLOOKUP($C1417,PATRIMONIALE!$U$4:$Z$1003,3,FALSE),IF($C$1074&gt;0,VLOOKUP($C1417,ENTI!$U$4:$Z$1003,3,FALSE),"")))</f>
        <v>#N/A</v>
      </c>
      <c r="E1417" s="41" t="str">
        <f t="shared" ca="1" si="196"/>
        <v/>
      </c>
      <c r="F1417" s="41" t="e">
        <f t="shared" ca="1" si="198"/>
        <v>#NUM!</v>
      </c>
      <c r="G1417" s="39" t="e">
        <f ca="1">IF($C$1076&gt;0,VLOOKUP($C1417,COSTI!$U$4:$Z$1003,5,FALSE),IF($C$1075&gt;0,VLOOKUP($C1417,PATRIMONIALE!$U$4:$Z$1003,5,FALSE),IF($C$1074&gt;0,VLOOKUP($C1417,ENTI!$U$4:$Z$1003,5,FALSE),"")))</f>
        <v>#N/A</v>
      </c>
      <c r="H1417" s="42" t="e">
        <f ca="1">IF($C$1076&gt;0,VLOOKUP($C1417,COSTI!$U$4:$Z$1003,6,FALSE),IF($C$1075&gt;0,VLOOKUP($C1417,PATRIMONIALE!$U$4:$Z$1003,6,FALSE),IF($C$1074&gt;0,VLOOKUP($C1417,ENTI!$U$4:$Z$1003,6,FALSE),"")))</f>
        <v>#N/A</v>
      </c>
      <c r="I1417" s="496">
        <v>337</v>
      </c>
      <c r="J1417" s="43" t="e">
        <f ca="1">VLOOKUP(D1417,$F$1081:$I$4183,4,FALSE)+COUNTIF(E$1081:E1416,E1417)</f>
        <v>#N/A</v>
      </c>
      <c r="K1417" s="1"/>
      <c r="L1417" s="39" t="e">
        <f>IF($C$1074&gt;0,VLOOKUP($C1417,ENTI!$U$4:$AD$1003,10,FALSE),"")</f>
        <v>#N/A</v>
      </c>
      <c r="M1417" s="1"/>
      <c r="N1417" s="1"/>
      <c r="O1417" s="1"/>
    </row>
    <row r="1418" spans="1:15" hidden="1">
      <c r="A1418" s="1"/>
      <c r="B1418" s="40" t="e">
        <f t="shared" ca="1" si="197"/>
        <v>#N/A</v>
      </c>
      <c r="C1418" s="496">
        <v>338</v>
      </c>
      <c r="D1418" s="41" t="e">
        <f ca="1">IF($C$1076&gt;0,VLOOKUP($C1418,COSTI!$U$4:$Z$1003,3,FALSE),IF($C$1075&gt;0,VLOOKUP($C1418,PATRIMONIALE!$U$4:$Z$1003,3,FALSE),IF($C$1074&gt;0,VLOOKUP($C1418,ENTI!$U$4:$Z$1003,3,FALSE),"")))</f>
        <v>#N/A</v>
      </c>
      <c r="E1418" s="41" t="str">
        <f t="shared" ca="1" si="196"/>
        <v/>
      </c>
      <c r="F1418" s="41" t="e">
        <f t="shared" ca="1" si="198"/>
        <v>#NUM!</v>
      </c>
      <c r="G1418" s="39" t="e">
        <f ca="1">IF($C$1076&gt;0,VLOOKUP($C1418,COSTI!$U$4:$Z$1003,5,FALSE),IF($C$1075&gt;0,VLOOKUP($C1418,PATRIMONIALE!$U$4:$Z$1003,5,FALSE),IF($C$1074&gt;0,VLOOKUP($C1418,ENTI!$U$4:$Z$1003,5,FALSE),"")))</f>
        <v>#N/A</v>
      </c>
      <c r="H1418" s="42" t="e">
        <f ca="1">IF($C$1076&gt;0,VLOOKUP($C1418,COSTI!$U$4:$Z$1003,6,FALSE),IF($C$1075&gt;0,VLOOKUP($C1418,PATRIMONIALE!$U$4:$Z$1003,6,FALSE),IF($C$1074&gt;0,VLOOKUP($C1418,ENTI!$U$4:$Z$1003,6,FALSE),"")))</f>
        <v>#N/A</v>
      </c>
      <c r="I1418" s="496">
        <v>338</v>
      </c>
      <c r="J1418" s="43" t="e">
        <f ca="1">VLOOKUP(D1418,$F$1081:$I$4183,4,FALSE)+COUNTIF(E$1081:E1417,E1418)</f>
        <v>#N/A</v>
      </c>
      <c r="K1418" s="1"/>
      <c r="L1418" s="39" t="e">
        <f>IF($C$1074&gt;0,VLOOKUP($C1418,ENTI!$U$4:$AD$1003,10,FALSE),"")</f>
        <v>#N/A</v>
      </c>
      <c r="M1418" s="1"/>
      <c r="N1418" s="1"/>
      <c r="O1418" s="1"/>
    </row>
    <row r="1419" spans="1:15" hidden="1">
      <c r="A1419" s="1"/>
      <c r="B1419" s="40" t="e">
        <f t="shared" ca="1" si="197"/>
        <v>#N/A</v>
      </c>
      <c r="C1419" s="496">
        <v>339</v>
      </c>
      <c r="D1419" s="41" t="e">
        <f ca="1">IF($C$1076&gt;0,VLOOKUP($C1419,COSTI!$U$4:$Z$1003,3,FALSE),IF($C$1075&gt;0,VLOOKUP($C1419,PATRIMONIALE!$U$4:$Z$1003,3,FALSE),IF($C$1074&gt;0,VLOOKUP($C1419,ENTI!$U$4:$Z$1003,3,FALSE),"")))</f>
        <v>#N/A</v>
      </c>
      <c r="E1419" s="41" t="str">
        <f t="shared" ca="1" si="196"/>
        <v/>
      </c>
      <c r="F1419" s="41" t="e">
        <f t="shared" ca="1" si="198"/>
        <v>#NUM!</v>
      </c>
      <c r="G1419" s="39" t="e">
        <f ca="1">IF($C$1076&gt;0,VLOOKUP($C1419,COSTI!$U$4:$Z$1003,5,FALSE),IF($C$1075&gt;0,VLOOKUP($C1419,PATRIMONIALE!$U$4:$Z$1003,5,FALSE),IF($C$1074&gt;0,VLOOKUP($C1419,ENTI!$U$4:$Z$1003,5,FALSE),"")))</f>
        <v>#N/A</v>
      </c>
      <c r="H1419" s="42" t="e">
        <f ca="1">IF($C$1076&gt;0,VLOOKUP($C1419,COSTI!$U$4:$Z$1003,6,FALSE),IF($C$1075&gt;0,VLOOKUP($C1419,PATRIMONIALE!$U$4:$Z$1003,6,FALSE),IF($C$1074&gt;0,VLOOKUP($C1419,ENTI!$U$4:$Z$1003,6,FALSE),"")))</f>
        <v>#N/A</v>
      </c>
      <c r="I1419" s="496">
        <v>339</v>
      </c>
      <c r="J1419" s="43" t="e">
        <f ca="1">VLOOKUP(D1419,$F$1081:$I$4183,4,FALSE)+COUNTIF(E$1081:E1418,E1419)</f>
        <v>#N/A</v>
      </c>
      <c r="K1419" s="1"/>
      <c r="L1419" s="39" t="e">
        <f>IF($C$1074&gt;0,VLOOKUP($C1419,ENTI!$U$4:$AD$1003,10,FALSE),"")</f>
        <v>#N/A</v>
      </c>
      <c r="M1419" s="1"/>
      <c r="N1419" s="1"/>
      <c r="O1419" s="1"/>
    </row>
    <row r="1420" spans="1:15" hidden="1">
      <c r="A1420" s="1"/>
      <c r="B1420" s="40" t="e">
        <f t="shared" ca="1" si="197"/>
        <v>#N/A</v>
      </c>
      <c r="C1420" s="496">
        <v>340</v>
      </c>
      <c r="D1420" s="41" t="e">
        <f ca="1">IF($C$1076&gt;0,VLOOKUP($C1420,COSTI!$U$4:$Z$1003,3,FALSE),IF($C$1075&gt;0,VLOOKUP($C1420,PATRIMONIALE!$U$4:$Z$1003,3,FALSE),IF($C$1074&gt;0,VLOOKUP($C1420,ENTI!$U$4:$Z$1003,3,FALSE),"")))</f>
        <v>#N/A</v>
      </c>
      <c r="E1420" s="41" t="str">
        <f t="shared" ca="1" si="196"/>
        <v/>
      </c>
      <c r="F1420" s="41" t="e">
        <f t="shared" ca="1" si="198"/>
        <v>#NUM!</v>
      </c>
      <c r="G1420" s="39" t="e">
        <f ca="1">IF($C$1076&gt;0,VLOOKUP($C1420,COSTI!$U$4:$Z$1003,5,FALSE),IF($C$1075&gt;0,VLOOKUP($C1420,PATRIMONIALE!$U$4:$Z$1003,5,FALSE),IF($C$1074&gt;0,VLOOKUP($C1420,ENTI!$U$4:$Z$1003,5,FALSE),"")))</f>
        <v>#N/A</v>
      </c>
      <c r="H1420" s="42" t="e">
        <f ca="1">IF($C$1076&gt;0,VLOOKUP($C1420,COSTI!$U$4:$Z$1003,6,FALSE),IF($C$1075&gt;0,VLOOKUP($C1420,PATRIMONIALE!$U$4:$Z$1003,6,FALSE),IF($C$1074&gt;0,VLOOKUP($C1420,ENTI!$U$4:$Z$1003,6,FALSE),"")))</f>
        <v>#N/A</v>
      </c>
      <c r="I1420" s="496">
        <v>340</v>
      </c>
      <c r="J1420" s="43" t="e">
        <f ca="1">VLOOKUP(D1420,$F$1081:$I$4183,4,FALSE)+COUNTIF(E$1081:E1419,E1420)</f>
        <v>#N/A</v>
      </c>
      <c r="K1420" s="1"/>
      <c r="L1420" s="39" t="e">
        <f>IF($C$1074&gt;0,VLOOKUP($C1420,ENTI!$U$4:$AD$1003,10,FALSE),"")</f>
        <v>#N/A</v>
      </c>
      <c r="M1420" s="1"/>
      <c r="N1420" s="1"/>
      <c r="O1420" s="1"/>
    </row>
    <row r="1421" spans="1:15" hidden="1">
      <c r="A1421" s="1"/>
      <c r="B1421" s="40" t="e">
        <f t="shared" ca="1" si="197"/>
        <v>#N/A</v>
      </c>
      <c r="C1421" s="496">
        <v>341</v>
      </c>
      <c r="D1421" s="41" t="e">
        <f ca="1">IF($C$1076&gt;0,VLOOKUP($C1421,COSTI!$U$4:$Z$1003,3,FALSE),IF($C$1075&gt;0,VLOOKUP($C1421,PATRIMONIALE!$U$4:$Z$1003,3,FALSE),IF($C$1074&gt;0,VLOOKUP($C1421,ENTI!$U$4:$Z$1003,3,FALSE),"")))</f>
        <v>#N/A</v>
      </c>
      <c r="E1421" s="41" t="str">
        <f t="shared" ca="1" si="196"/>
        <v/>
      </c>
      <c r="F1421" s="41" t="e">
        <f t="shared" ca="1" si="198"/>
        <v>#NUM!</v>
      </c>
      <c r="G1421" s="39" t="e">
        <f ca="1">IF($C$1076&gt;0,VLOOKUP($C1421,COSTI!$U$4:$Z$1003,5,FALSE),IF($C$1075&gt;0,VLOOKUP($C1421,PATRIMONIALE!$U$4:$Z$1003,5,FALSE),IF($C$1074&gt;0,VLOOKUP($C1421,ENTI!$U$4:$Z$1003,5,FALSE),"")))</f>
        <v>#N/A</v>
      </c>
      <c r="H1421" s="42" t="e">
        <f ca="1">IF($C$1076&gt;0,VLOOKUP($C1421,COSTI!$U$4:$Z$1003,6,FALSE),IF($C$1075&gt;0,VLOOKUP($C1421,PATRIMONIALE!$U$4:$Z$1003,6,FALSE),IF($C$1074&gt;0,VLOOKUP($C1421,ENTI!$U$4:$Z$1003,6,FALSE),"")))</f>
        <v>#N/A</v>
      </c>
      <c r="I1421" s="496">
        <v>341</v>
      </c>
      <c r="J1421" s="43" t="e">
        <f ca="1">VLOOKUP(D1421,$F$1081:$I$4183,4,FALSE)+COUNTIF(E$1081:E1420,E1421)</f>
        <v>#N/A</v>
      </c>
      <c r="K1421" s="1"/>
      <c r="L1421" s="39" t="e">
        <f>IF($C$1074&gt;0,VLOOKUP($C1421,ENTI!$U$4:$AD$1003,10,FALSE),"")</f>
        <v>#N/A</v>
      </c>
      <c r="M1421" s="1"/>
      <c r="N1421" s="1"/>
      <c r="O1421" s="1"/>
    </row>
    <row r="1422" spans="1:15" hidden="1">
      <c r="A1422" s="1"/>
      <c r="B1422" s="40" t="e">
        <f t="shared" ca="1" si="197"/>
        <v>#N/A</v>
      </c>
      <c r="C1422" s="496">
        <v>342</v>
      </c>
      <c r="D1422" s="41" t="e">
        <f ca="1">IF($C$1076&gt;0,VLOOKUP($C1422,COSTI!$U$4:$Z$1003,3,FALSE),IF($C$1075&gt;0,VLOOKUP($C1422,PATRIMONIALE!$U$4:$Z$1003,3,FALSE),IF($C$1074&gt;0,VLOOKUP($C1422,ENTI!$U$4:$Z$1003,3,FALSE),"")))</f>
        <v>#N/A</v>
      </c>
      <c r="E1422" s="41" t="str">
        <f t="shared" ca="1" si="196"/>
        <v/>
      </c>
      <c r="F1422" s="41" t="e">
        <f t="shared" ca="1" si="198"/>
        <v>#NUM!</v>
      </c>
      <c r="G1422" s="39" t="e">
        <f ca="1">IF($C$1076&gt;0,VLOOKUP($C1422,COSTI!$U$4:$Z$1003,5,FALSE),IF($C$1075&gt;0,VLOOKUP($C1422,PATRIMONIALE!$U$4:$Z$1003,5,FALSE),IF($C$1074&gt;0,VLOOKUP($C1422,ENTI!$U$4:$Z$1003,5,FALSE),"")))</f>
        <v>#N/A</v>
      </c>
      <c r="H1422" s="42" t="e">
        <f ca="1">IF($C$1076&gt;0,VLOOKUP($C1422,COSTI!$U$4:$Z$1003,6,FALSE),IF($C$1075&gt;0,VLOOKUP($C1422,PATRIMONIALE!$U$4:$Z$1003,6,FALSE),IF($C$1074&gt;0,VLOOKUP($C1422,ENTI!$U$4:$Z$1003,6,FALSE),"")))</f>
        <v>#N/A</v>
      </c>
      <c r="I1422" s="496">
        <v>342</v>
      </c>
      <c r="J1422" s="43" t="e">
        <f ca="1">VLOOKUP(D1422,$F$1081:$I$4183,4,FALSE)+COUNTIF(E$1081:E1421,E1422)</f>
        <v>#N/A</v>
      </c>
      <c r="K1422" s="1"/>
      <c r="L1422" s="39" t="e">
        <f>IF($C$1074&gt;0,VLOOKUP($C1422,ENTI!$U$4:$AD$1003,10,FALSE),"")</f>
        <v>#N/A</v>
      </c>
      <c r="M1422" s="1"/>
      <c r="N1422" s="1"/>
      <c r="O1422" s="1"/>
    </row>
    <row r="1423" spans="1:15" hidden="1">
      <c r="A1423" s="1"/>
      <c r="B1423" s="40" t="e">
        <f t="shared" ca="1" si="197"/>
        <v>#N/A</v>
      </c>
      <c r="C1423" s="496">
        <v>343</v>
      </c>
      <c r="D1423" s="41" t="e">
        <f ca="1">IF($C$1076&gt;0,VLOOKUP($C1423,COSTI!$U$4:$Z$1003,3,FALSE),IF($C$1075&gt;0,VLOOKUP($C1423,PATRIMONIALE!$U$4:$Z$1003,3,FALSE),IF($C$1074&gt;0,VLOOKUP($C1423,ENTI!$U$4:$Z$1003,3,FALSE),"")))</f>
        <v>#N/A</v>
      </c>
      <c r="E1423" s="41" t="str">
        <f t="shared" ca="1" si="196"/>
        <v/>
      </c>
      <c r="F1423" s="41" t="e">
        <f t="shared" ca="1" si="198"/>
        <v>#NUM!</v>
      </c>
      <c r="G1423" s="39" t="e">
        <f ca="1">IF($C$1076&gt;0,VLOOKUP($C1423,COSTI!$U$4:$Z$1003,5,FALSE),IF($C$1075&gt;0,VLOOKUP($C1423,PATRIMONIALE!$U$4:$Z$1003,5,FALSE),IF($C$1074&gt;0,VLOOKUP($C1423,ENTI!$U$4:$Z$1003,5,FALSE),"")))</f>
        <v>#N/A</v>
      </c>
      <c r="H1423" s="42" t="e">
        <f ca="1">IF($C$1076&gt;0,VLOOKUP($C1423,COSTI!$U$4:$Z$1003,6,FALSE),IF($C$1075&gt;0,VLOOKUP($C1423,PATRIMONIALE!$U$4:$Z$1003,6,FALSE),IF($C$1074&gt;0,VLOOKUP($C1423,ENTI!$U$4:$Z$1003,6,FALSE),"")))</f>
        <v>#N/A</v>
      </c>
      <c r="I1423" s="496">
        <v>343</v>
      </c>
      <c r="J1423" s="43" t="e">
        <f ca="1">VLOOKUP(D1423,$F$1081:$I$4183,4,FALSE)+COUNTIF(E$1081:E1422,E1423)</f>
        <v>#N/A</v>
      </c>
      <c r="K1423" s="1"/>
      <c r="L1423" s="39" t="e">
        <f>IF($C$1074&gt;0,VLOOKUP($C1423,ENTI!$U$4:$AD$1003,10,FALSE),"")</f>
        <v>#N/A</v>
      </c>
      <c r="M1423" s="1"/>
      <c r="N1423" s="1"/>
      <c r="O1423" s="1"/>
    </row>
    <row r="1424" spans="1:15" hidden="1">
      <c r="A1424" s="1"/>
      <c r="B1424" s="40" t="e">
        <f t="shared" ca="1" si="197"/>
        <v>#N/A</v>
      </c>
      <c r="C1424" s="496">
        <v>344</v>
      </c>
      <c r="D1424" s="41" t="e">
        <f ca="1">IF($C$1076&gt;0,VLOOKUP($C1424,COSTI!$U$4:$Z$1003,3,FALSE),IF($C$1075&gt;0,VLOOKUP($C1424,PATRIMONIALE!$U$4:$Z$1003,3,FALSE),IF($C$1074&gt;0,VLOOKUP($C1424,ENTI!$U$4:$Z$1003,3,FALSE),"")))</f>
        <v>#N/A</v>
      </c>
      <c r="E1424" s="41" t="str">
        <f t="shared" ca="1" si="196"/>
        <v/>
      </c>
      <c r="F1424" s="41" t="e">
        <f t="shared" ca="1" si="198"/>
        <v>#NUM!</v>
      </c>
      <c r="G1424" s="39" t="e">
        <f ca="1">IF($C$1076&gt;0,VLOOKUP($C1424,COSTI!$U$4:$Z$1003,5,FALSE),IF($C$1075&gt;0,VLOOKUP($C1424,PATRIMONIALE!$U$4:$Z$1003,5,FALSE),IF($C$1074&gt;0,VLOOKUP($C1424,ENTI!$U$4:$Z$1003,5,FALSE),"")))</f>
        <v>#N/A</v>
      </c>
      <c r="H1424" s="42" t="e">
        <f ca="1">IF($C$1076&gt;0,VLOOKUP($C1424,COSTI!$U$4:$Z$1003,6,FALSE),IF($C$1075&gt;0,VLOOKUP($C1424,PATRIMONIALE!$U$4:$Z$1003,6,FALSE),IF($C$1074&gt;0,VLOOKUP($C1424,ENTI!$U$4:$Z$1003,6,FALSE),"")))</f>
        <v>#N/A</v>
      </c>
      <c r="I1424" s="496">
        <v>344</v>
      </c>
      <c r="J1424" s="43" t="e">
        <f ca="1">VLOOKUP(D1424,$F$1081:$I$4183,4,FALSE)+COUNTIF(E$1081:E1423,E1424)</f>
        <v>#N/A</v>
      </c>
      <c r="K1424" s="1"/>
      <c r="L1424" s="39" t="e">
        <f>IF($C$1074&gt;0,VLOOKUP($C1424,ENTI!$U$4:$AD$1003,10,FALSE),"")</f>
        <v>#N/A</v>
      </c>
      <c r="M1424" s="1"/>
      <c r="N1424" s="1"/>
      <c r="O1424" s="1"/>
    </row>
    <row r="1425" spans="1:15" hidden="1">
      <c r="A1425" s="1"/>
      <c r="B1425" s="40" t="e">
        <f t="shared" ca="1" si="197"/>
        <v>#N/A</v>
      </c>
      <c r="C1425" s="496">
        <v>345</v>
      </c>
      <c r="D1425" s="41" t="e">
        <f ca="1">IF($C$1076&gt;0,VLOOKUP($C1425,COSTI!$U$4:$Z$1003,3,FALSE),IF($C$1075&gt;0,VLOOKUP($C1425,PATRIMONIALE!$U$4:$Z$1003,3,FALSE),IF($C$1074&gt;0,VLOOKUP($C1425,ENTI!$U$4:$Z$1003,3,FALSE),"")))</f>
        <v>#N/A</v>
      </c>
      <c r="E1425" s="41" t="str">
        <f t="shared" ca="1" si="196"/>
        <v/>
      </c>
      <c r="F1425" s="41" t="e">
        <f t="shared" ca="1" si="198"/>
        <v>#NUM!</v>
      </c>
      <c r="G1425" s="39" t="e">
        <f ca="1">IF($C$1076&gt;0,VLOOKUP($C1425,COSTI!$U$4:$Z$1003,5,FALSE),IF($C$1075&gt;0,VLOOKUP($C1425,PATRIMONIALE!$U$4:$Z$1003,5,FALSE),IF($C$1074&gt;0,VLOOKUP($C1425,ENTI!$U$4:$Z$1003,5,FALSE),"")))</f>
        <v>#N/A</v>
      </c>
      <c r="H1425" s="42" t="e">
        <f ca="1">IF($C$1076&gt;0,VLOOKUP($C1425,COSTI!$U$4:$Z$1003,6,FALSE),IF($C$1075&gt;0,VLOOKUP($C1425,PATRIMONIALE!$U$4:$Z$1003,6,FALSE),IF($C$1074&gt;0,VLOOKUP($C1425,ENTI!$U$4:$Z$1003,6,FALSE),"")))</f>
        <v>#N/A</v>
      </c>
      <c r="I1425" s="496">
        <v>345</v>
      </c>
      <c r="J1425" s="43" t="e">
        <f ca="1">VLOOKUP(D1425,$F$1081:$I$4183,4,FALSE)+COUNTIF(E$1081:E1424,E1425)</f>
        <v>#N/A</v>
      </c>
      <c r="K1425" s="1"/>
      <c r="L1425" s="39" t="e">
        <f>IF($C$1074&gt;0,VLOOKUP($C1425,ENTI!$U$4:$AD$1003,10,FALSE),"")</f>
        <v>#N/A</v>
      </c>
      <c r="M1425" s="1"/>
      <c r="N1425" s="1"/>
      <c r="O1425" s="1"/>
    </row>
    <row r="1426" spans="1:15" hidden="1">
      <c r="A1426" s="1"/>
      <c r="B1426" s="40" t="e">
        <f t="shared" ca="1" si="197"/>
        <v>#N/A</v>
      </c>
      <c r="C1426" s="496">
        <v>346</v>
      </c>
      <c r="D1426" s="41" t="e">
        <f ca="1">IF($C$1076&gt;0,VLOOKUP($C1426,COSTI!$U$4:$Z$1003,3,FALSE),IF($C$1075&gt;0,VLOOKUP($C1426,PATRIMONIALE!$U$4:$Z$1003,3,FALSE),IF($C$1074&gt;0,VLOOKUP($C1426,ENTI!$U$4:$Z$1003,3,FALSE),"")))</f>
        <v>#N/A</v>
      </c>
      <c r="E1426" s="41" t="str">
        <f t="shared" ca="1" si="196"/>
        <v/>
      </c>
      <c r="F1426" s="41" t="e">
        <f t="shared" ca="1" si="198"/>
        <v>#NUM!</v>
      </c>
      <c r="G1426" s="39" t="e">
        <f ca="1">IF($C$1076&gt;0,VLOOKUP($C1426,COSTI!$U$4:$Z$1003,5,FALSE),IF($C$1075&gt;0,VLOOKUP($C1426,PATRIMONIALE!$U$4:$Z$1003,5,FALSE),IF($C$1074&gt;0,VLOOKUP($C1426,ENTI!$U$4:$Z$1003,5,FALSE),"")))</f>
        <v>#N/A</v>
      </c>
      <c r="H1426" s="42" t="e">
        <f ca="1">IF($C$1076&gt;0,VLOOKUP($C1426,COSTI!$U$4:$Z$1003,6,FALSE),IF($C$1075&gt;0,VLOOKUP($C1426,PATRIMONIALE!$U$4:$Z$1003,6,FALSE),IF($C$1074&gt;0,VLOOKUP($C1426,ENTI!$U$4:$Z$1003,6,FALSE),"")))</f>
        <v>#N/A</v>
      </c>
      <c r="I1426" s="496">
        <v>346</v>
      </c>
      <c r="J1426" s="43" t="e">
        <f ca="1">VLOOKUP(D1426,$F$1081:$I$4183,4,FALSE)+COUNTIF(E$1081:E1425,E1426)</f>
        <v>#N/A</v>
      </c>
      <c r="K1426" s="1"/>
      <c r="L1426" s="39" t="e">
        <f>IF($C$1074&gt;0,VLOOKUP($C1426,ENTI!$U$4:$AD$1003,10,FALSE),"")</f>
        <v>#N/A</v>
      </c>
      <c r="M1426" s="1"/>
      <c r="N1426" s="1"/>
      <c r="O1426" s="1"/>
    </row>
    <row r="1427" spans="1:15" hidden="1">
      <c r="A1427" s="1"/>
      <c r="B1427" s="40" t="e">
        <f t="shared" ca="1" si="197"/>
        <v>#N/A</v>
      </c>
      <c r="C1427" s="496">
        <v>347</v>
      </c>
      <c r="D1427" s="41" t="e">
        <f ca="1">IF($C$1076&gt;0,VLOOKUP($C1427,COSTI!$U$4:$Z$1003,3,FALSE),IF($C$1075&gt;0,VLOOKUP($C1427,PATRIMONIALE!$U$4:$Z$1003,3,FALSE),IF($C$1074&gt;0,VLOOKUP($C1427,ENTI!$U$4:$Z$1003,3,FALSE),"")))</f>
        <v>#N/A</v>
      </c>
      <c r="E1427" s="41" t="str">
        <f t="shared" ca="1" si="196"/>
        <v/>
      </c>
      <c r="F1427" s="41" t="e">
        <f t="shared" ca="1" si="198"/>
        <v>#NUM!</v>
      </c>
      <c r="G1427" s="39" t="e">
        <f ca="1">IF($C$1076&gt;0,VLOOKUP($C1427,COSTI!$U$4:$Z$1003,5,FALSE),IF($C$1075&gt;0,VLOOKUP($C1427,PATRIMONIALE!$U$4:$Z$1003,5,FALSE),IF($C$1074&gt;0,VLOOKUP($C1427,ENTI!$U$4:$Z$1003,5,FALSE),"")))</f>
        <v>#N/A</v>
      </c>
      <c r="H1427" s="42" t="e">
        <f ca="1">IF($C$1076&gt;0,VLOOKUP($C1427,COSTI!$U$4:$Z$1003,6,FALSE),IF($C$1075&gt;0,VLOOKUP($C1427,PATRIMONIALE!$U$4:$Z$1003,6,FALSE),IF($C$1074&gt;0,VLOOKUP($C1427,ENTI!$U$4:$Z$1003,6,FALSE),"")))</f>
        <v>#N/A</v>
      </c>
      <c r="I1427" s="496">
        <v>347</v>
      </c>
      <c r="J1427" s="43" t="e">
        <f ca="1">VLOOKUP(D1427,$F$1081:$I$4183,4,FALSE)+COUNTIF(E$1081:E1426,E1427)</f>
        <v>#N/A</v>
      </c>
      <c r="K1427" s="1"/>
      <c r="L1427" s="39" t="e">
        <f>IF($C$1074&gt;0,VLOOKUP($C1427,ENTI!$U$4:$AD$1003,10,FALSE),"")</f>
        <v>#N/A</v>
      </c>
      <c r="M1427" s="1"/>
      <c r="N1427" s="1"/>
      <c r="O1427" s="1"/>
    </row>
    <row r="1428" spans="1:15" hidden="1">
      <c r="A1428" s="1"/>
      <c r="B1428" s="40" t="e">
        <f t="shared" ca="1" si="197"/>
        <v>#N/A</v>
      </c>
      <c r="C1428" s="496">
        <v>348</v>
      </c>
      <c r="D1428" s="41" t="e">
        <f ca="1">IF($C$1076&gt;0,VLOOKUP($C1428,COSTI!$U$4:$Z$1003,3,FALSE),IF($C$1075&gt;0,VLOOKUP($C1428,PATRIMONIALE!$U$4:$Z$1003,3,FALSE),IF($C$1074&gt;0,VLOOKUP($C1428,ENTI!$U$4:$Z$1003,3,FALSE),"")))</f>
        <v>#N/A</v>
      </c>
      <c r="E1428" s="41" t="str">
        <f t="shared" ca="1" si="196"/>
        <v/>
      </c>
      <c r="F1428" s="41" t="e">
        <f t="shared" ca="1" si="198"/>
        <v>#NUM!</v>
      </c>
      <c r="G1428" s="39" t="e">
        <f ca="1">IF($C$1076&gt;0,VLOOKUP($C1428,COSTI!$U$4:$Z$1003,5,FALSE),IF($C$1075&gt;0,VLOOKUP($C1428,PATRIMONIALE!$U$4:$Z$1003,5,FALSE),IF($C$1074&gt;0,VLOOKUP($C1428,ENTI!$U$4:$Z$1003,5,FALSE),"")))</f>
        <v>#N/A</v>
      </c>
      <c r="H1428" s="42" t="e">
        <f ca="1">IF($C$1076&gt;0,VLOOKUP($C1428,COSTI!$U$4:$Z$1003,6,FALSE),IF($C$1075&gt;0,VLOOKUP($C1428,PATRIMONIALE!$U$4:$Z$1003,6,FALSE),IF($C$1074&gt;0,VLOOKUP($C1428,ENTI!$U$4:$Z$1003,6,FALSE),"")))</f>
        <v>#N/A</v>
      </c>
      <c r="I1428" s="496">
        <v>348</v>
      </c>
      <c r="J1428" s="43" t="e">
        <f ca="1">VLOOKUP(D1428,$F$1081:$I$4183,4,FALSE)+COUNTIF(E$1081:E1427,E1428)</f>
        <v>#N/A</v>
      </c>
      <c r="K1428" s="1"/>
      <c r="L1428" s="39" t="e">
        <f>IF($C$1074&gt;0,VLOOKUP($C1428,ENTI!$U$4:$AD$1003,10,FALSE),"")</f>
        <v>#N/A</v>
      </c>
      <c r="M1428" s="1"/>
      <c r="N1428" s="1"/>
      <c r="O1428" s="1"/>
    </row>
    <row r="1429" spans="1:15" hidden="1">
      <c r="A1429" s="1"/>
      <c r="B1429" s="40" t="e">
        <f t="shared" ca="1" si="197"/>
        <v>#N/A</v>
      </c>
      <c r="C1429" s="496">
        <v>349</v>
      </c>
      <c r="D1429" s="41" t="e">
        <f ca="1">IF($C$1076&gt;0,VLOOKUP($C1429,COSTI!$U$4:$Z$1003,3,FALSE),IF($C$1075&gt;0,VLOOKUP($C1429,PATRIMONIALE!$U$4:$Z$1003,3,FALSE),IF($C$1074&gt;0,VLOOKUP($C1429,ENTI!$U$4:$Z$1003,3,FALSE),"")))</f>
        <v>#N/A</v>
      </c>
      <c r="E1429" s="41" t="str">
        <f t="shared" ca="1" si="196"/>
        <v/>
      </c>
      <c r="F1429" s="41" t="e">
        <f t="shared" ca="1" si="198"/>
        <v>#NUM!</v>
      </c>
      <c r="G1429" s="39" t="e">
        <f ca="1">IF($C$1076&gt;0,VLOOKUP($C1429,COSTI!$U$4:$Z$1003,5,FALSE),IF($C$1075&gt;0,VLOOKUP($C1429,PATRIMONIALE!$U$4:$Z$1003,5,FALSE),IF($C$1074&gt;0,VLOOKUP($C1429,ENTI!$U$4:$Z$1003,5,FALSE),"")))</f>
        <v>#N/A</v>
      </c>
      <c r="H1429" s="42" t="e">
        <f ca="1">IF($C$1076&gt;0,VLOOKUP($C1429,COSTI!$U$4:$Z$1003,6,FALSE),IF($C$1075&gt;0,VLOOKUP($C1429,PATRIMONIALE!$U$4:$Z$1003,6,FALSE),IF($C$1074&gt;0,VLOOKUP($C1429,ENTI!$U$4:$Z$1003,6,FALSE),"")))</f>
        <v>#N/A</v>
      </c>
      <c r="I1429" s="496">
        <v>349</v>
      </c>
      <c r="J1429" s="43" t="e">
        <f ca="1">VLOOKUP(D1429,$F$1081:$I$4183,4,FALSE)+COUNTIF(E$1081:E1428,E1429)</f>
        <v>#N/A</v>
      </c>
      <c r="K1429" s="1"/>
      <c r="L1429" s="39" t="e">
        <f>IF($C$1074&gt;0,VLOOKUP($C1429,ENTI!$U$4:$AD$1003,10,FALSE),"")</f>
        <v>#N/A</v>
      </c>
      <c r="M1429" s="1"/>
      <c r="N1429" s="1"/>
      <c r="O1429" s="1"/>
    </row>
    <row r="1430" spans="1:15" hidden="1">
      <c r="A1430" s="1"/>
      <c r="B1430" s="40" t="e">
        <f t="shared" ca="1" si="197"/>
        <v>#N/A</v>
      </c>
      <c r="C1430" s="496">
        <v>350</v>
      </c>
      <c r="D1430" s="41" t="e">
        <f ca="1">IF($C$1076&gt;0,VLOOKUP($C1430,COSTI!$U$4:$Z$1003,3,FALSE),IF($C$1075&gt;0,VLOOKUP($C1430,PATRIMONIALE!$U$4:$Z$1003,3,FALSE),IF($C$1074&gt;0,VLOOKUP($C1430,ENTI!$U$4:$Z$1003,3,FALSE),"")))</f>
        <v>#N/A</v>
      </c>
      <c r="E1430" s="41" t="str">
        <f t="shared" ca="1" si="196"/>
        <v/>
      </c>
      <c r="F1430" s="41" t="e">
        <f t="shared" ca="1" si="198"/>
        <v>#NUM!</v>
      </c>
      <c r="G1430" s="39" t="e">
        <f ca="1">IF($C$1076&gt;0,VLOOKUP($C1430,COSTI!$U$4:$Z$1003,5,FALSE),IF($C$1075&gt;0,VLOOKUP($C1430,PATRIMONIALE!$U$4:$Z$1003,5,FALSE),IF($C$1074&gt;0,VLOOKUP($C1430,ENTI!$U$4:$Z$1003,5,FALSE),"")))</f>
        <v>#N/A</v>
      </c>
      <c r="H1430" s="42" t="e">
        <f ca="1">IF($C$1076&gt;0,VLOOKUP($C1430,COSTI!$U$4:$Z$1003,6,FALSE),IF($C$1075&gt;0,VLOOKUP($C1430,PATRIMONIALE!$U$4:$Z$1003,6,FALSE),IF($C$1074&gt;0,VLOOKUP($C1430,ENTI!$U$4:$Z$1003,6,FALSE),"")))</f>
        <v>#N/A</v>
      </c>
      <c r="I1430" s="496">
        <v>350</v>
      </c>
      <c r="J1430" s="43" t="e">
        <f ca="1">VLOOKUP(D1430,$F$1081:$I$4183,4,FALSE)+COUNTIF(E$1081:E1429,E1430)</f>
        <v>#N/A</v>
      </c>
      <c r="K1430" s="1"/>
      <c r="L1430" s="39" t="e">
        <f>IF($C$1074&gt;0,VLOOKUP($C1430,ENTI!$U$4:$AD$1003,10,FALSE),"")</f>
        <v>#N/A</v>
      </c>
      <c r="M1430" s="1"/>
      <c r="N1430" s="1"/>
      <c r="O1430" s="1"/>
    </row>
    <row r="1431" spans="1:15" hidden="1">
      <c r="A1431" s="1"/>
      <c r="B1431" s="40" t="e">
        <f t="shared" ca="1" si="197"/>
        <v>#N/A</v>
      </c>
      <c r="C1431" s="496">
        <v>351</v>
      </c>
      <c r="D1431" s="41" t="e">
        <f ca="1">IF($C$1076&gt;0,VLOOKUP($C1431,COSTI!$U$4:$Z$1003,3,FALSE),IF($C$1075&gt;0,VLOOKUP($C1431,PATRIMONIALE!$U$4:$Z$1003,3,FALSE),IF($C$1074&gt;0,VLOOKUP($C1431,ENTI!$U$4:$Z$1003,3,FALSE),"")))</f>
        <v>#N/A</v>
      </c>
      <c r="E1431" s="41" t="str">
        <f t="shared" ca="1" si="196"/>
        <v/>
      </c>
      <c r="F1431" s="41" t="e">
        <f t="shared" ca="1" si="198"/>
        <v>#NUM!</v>
      </c>
      <c r="G1431" s="39" t="e">
        <f ca="1">IF($C$1076&gt;0,VLOOKUP($C1431,COSTI!$U$4:$Z$1003,5,FALSE),IF($C$1075&gt;0,VLOOKUP($C1431,PATRIMONIALE!$U$4:$Z$1003,5,FALSE),IF($C$1074&gt;0,VLOOKUP($C1431,ENTI!$U$4:$Z$1003,5,FALSE),"")))</f>
        <v>#N/A</v>
      </c>
      <c r="H1431" s="42" t="e">
        <f ca="1">IF($C$1076&gt;0,VLOOKUP($C1431,COSTI!$U$4:$Z$1003,6,FALSE),IF($C$1075&gt;0,VLOOKUP($C1431,PATRIMONIALE!$U$4:$Z$1003,6,FALSE),IF($C$1074&gt;0,VLOOKUP($C1431,ENTI!$U$4:$Z$1003,6,FALSE),"")))</f>
        <v>#N/A</v>
      </c>
      <c r="I1431" s="496">
        <v>351</v>
      </c>
      <c r="J1431" s="43" t="e">
        <f ca="1">VLOOKUP(D1431,$F$1081:$I$4183,4,FALSE)+COUNTIF(E$1081:E1430,E1431)</f>
        <v>#N/A</v>
      </c>
      <c r="K1431" s="1"/>
      <c r="L1431" s="39" t="e">
        <f>IF($C$1074&gt;0,VLOOKUP($C1431,ENTI!$U$4:$AD$1003,10,FALSE),"")</f>
        <v>#N/A</v>
      </c>
      <c r="M1431" s="1"/>
      <c r="N1431" s="1"/>
      <c r="O1431" s="1"/>
    </row>
    <row r="1432" spans="1:15" hidden="1">
      <c r="A1432" s="1"/>
      <c r="B1432" s="40" t="e">
        <f t="shared" ca="1" si="197"/>
        <v>#N/A</v>
      </c>
      <c r="C1432" s="496">
        <v>352</v>
      </c>
      <c r="D1432" s="41" t="e">
        <f ca="1">IF($C$1076&gt;0,VLOOKUP($C1432,COSTI!$U$4:$Z$1003,3,FALSE),IF($C$1075&gt;0,VLOOKUP($C1432,PATRIMONIALE!$U$4:$Z$1003,3,FALSE),IF($C$1074&gt;0,VLOOKUP($C1432,ENTI!$U$4:$Z$1003,3,FALSE),"")))</f>
        <v>#N/A</v>
      </c>
      <c r="E1432" s="41" t="str">
        <f t="shared" ca="1" si="196"/>
        <v/>
      </c>
      <c r="F1432" s="41" t="e">
        <f t="shared" ca="1" si="198"/>
        <v>#NUM!</v>
      </c>
      <c r="G1432" s="39" t="e">
        <f ca="1">IF($C$1076&gt;0,VLOOKUP($C1432,COSTI!$U$4:$Z$1003,5,FALSE),IF($C$1075&gt;0,VLOOKUP($C1432,PATRIMONIALE!$U$4:$Z$1003,5,FALSE),IF($C$1074&gt;0,VLOOKUP($C1432,ENTI!$U$4:$Z$1003,5,FALSE),"")))</f>
        <v>#N/A</v>
      </c>
      <c r="H1432" s="42" t="e">
        <f ca="1">IF($C$1076&gt;0,VLOOKUP($C1432,COSTI!$U$4:$Z$1003,6,FALSE),IF($C$1075&gt;0,VLOOKUP($C1432,PATRIMONIALE!$U$4:$Z$1003,6,FALSE),IF($C$1074&gt;0,VLOOKUP($C1432,ENTI!$U$4:$Z$1003,6,FALSE),"")))</f>
        <v>#N/A</v>
      </c>
      <c r="I1432" s="496">
        <v>352</v>
      </c>
      <c r="J1432" s="43" t="e">
        <f ca="1">VLOOKUP(D1432,$F$1081:$I$4183,4,FALSE)+COUNTIF(E$1081:E1431,E1432)</f>
        <v>#N/A</v>
      </c>
      <c r="K1432" s="1"/>
      <c r="L1432" s="39" t="e">
        <f>IF($C$1074&gt;0,VLOOKUP($C1432,ENTI!$U$4:$AD$1003,10,FALSE),"")</f>
        <v>#N/A</v>
      </c>
      <c r="M1432" s="1"/>
      <c r="N1432" s="1"/>
      <c r="O1432" s="1"/>
    </row>
    <row r="1433" spans="1:15" hidden="1">
      <c r="A1433" s="1"/>
      <c r="B1433" s="40" t="e">
        <f t="shared" ca="1" si="197"/>
        <v>#N/A</v>
      </c>
      <c r="C1433" s="496">
        <v>353</v>
      </c>
      <c r="D1433" s="41" t="e">
        <f ca="1">IF($C$1076&gt;0,VLOOKUP($C1433,COSTI!$U$4:$Z$1003,3,FALSE),IF($C$1075&gt;0,VLOOKUP($C1433,PATRIMONIALE!$U$4:$Z$1003,3,FALSE),IF($C$1074&gt;0,VLOOKUP($C1433,ENTI!$U$4:$Z$1003,3,FALSE),"")))</f>
        <v>#N/A</v>
      </c>
      <c r="E1433" s="41" t="str">
        <f t="shared" ca="1" si="196"/>
        <v/>
      </c>
      <c r="F1433" s="41" t="e">
        <f t="shared" ca="1" si="198"/>
        <v>#NUM!</v>
      </c>
      <c r="G1433" s="39" t="e">
        <f ca="1">IF($C$1076&gt;0,VLOOKUP($C1433,COSTI!$U$4:$Z$1003,5,FALSE),IF($C$1075&gt;0,VLOOKUP($C1433,PATRIMONIALE!$U$4:$Z$1003,5,FALSE),IF($C$1074&gt;0,VLOOKUP($C1433,ENTI!$U$4:$Z$1003,5,FALSE),"")))</f>
        <v>#N/A</v>
      </c>
      <c r="H1433" s="42" t="e">
        <f ca="1">IF($C$1076&gt;0,VLOOKUP($C1433,COSTI!$U$4:$Z$1003,6,FALSE),IF($C$1075&gt;0,VLOOKUP($C1433,PATRIMONIALE!$U$4:$Z$1003,6,FALSE),IF($C$1074&gt;0,VLOOKUP($C1433,ENTI!$U$4:$Z$1003,6,FALSE),"")))</f>
        <v>#N/A</v>
      </c>
      <c r="I1433" s="496">
        <v>353</v>
      </c>
      <c r="J1433" s="43" t="e">
        <f ca="1">VLOOKUP(D1433,$F$1081:$I$4183,4,FALSE)+COUNTIF(E$1081:E1432,E1433)</f>
        <v>#N/A</v>
      </c>
      <c r="K1433" s="1"/>
      <c r="L1433" s="39" t="e">
        <f>IF($C$1074&gt;0,VLOOKUP($C1433,ENTI!$U$4:$AD$1003,10,FALSE),"")</f>
        <v>#N/A</v>
      </c>
      <c r="M1433" s="1"/>
      <c r="N1433" s="1"/>
      <c r="O1433" s="1"/>
    </row>
    <row r="1434" spans="1:15" hidden="1">
      <c r="A1434" s="1"/>
      <c r="B1434" s="40" t="e">
        <f t="shared" ca="1" si="197"/>
        <v>#N/A</v>
      </c>
      <c r="C1434" s="496">
        <v>354</v>
      </c>
      <c r="D1434" s="41" t="e">
        <f ca="1">IF($C$1076&gt;0,VLOOKUP($C1434,COSTI!$U$4:$Z$1003,3,FALSE),IF($C$1075&gt;0,VLOOKUP($C1434,PATRIMONIALE!$U$4:$Z$1003,3,FALSE),IF($C$1074&gt;0,VLOOKUP($C1434,ENTI!$U$4:$Z$1003,3,FALSE),"")))</f>
        <v>#N/A</v>
      </c>
      <c r="E1434" s="41" t="str">
        <f t="shared" ca="1" si="196"/>
        <v/>
      </c>
      <c r="F1434" s="41" t="e">
        <f t="shared" ca="1" si="198"/>
        <v>#NUM!</v>
      </c>
      <c r="G1434" s="39" t="e">
        <f ca="1">IF($C$1076&gt;0,VLOOKUP($C1434,COSTI!$U$4:$Z$1003,5,FALSE),IF($C$1075&gt;0,VLOOKUP($C1434,PATRIMONIALE!$U$4:$Z$1003,5,FALSE),IF($C$1074&gt;0,VLOOKUP($C1434,ENTI!$U$4:$Z$1003,5,FALSE),"")))</f>
        <v>#N/A</v>
      </c>
      <c r="H1434" s="42" t="e">
        <f ca="1">IF($C$1076&gt;0,VLOOKUP($C1434,COSTI!$U$4:$Z$1003,6,FALSE),IF($C$1075&gt;0,VLOOKUP($C1434,PATRIMONIALE!$U$4:$Z$1003,6,FALSE),IF($C$1074&gt;0,VLOOKUP($C1434,ENTI!$U$4:$Z$1003,6,FALSE),"")))</f>
        <v>#N/A</v>
      </c>
      <c r="I1434" s="496">
        <v>354</v>
      </c>
      <c r="J1434" s="43" t="e">
        <f ca="1">VLOOKUP(D1434,$F$1081:$I$4183,4,FALSE)+COUNTIF(E$1081:E1433,E1434)</f>
        <v>#N/A</v>
      </c>
      <c r="K1434" s="1"/>
      <c r="L1434" s="39" t="e">
        <f>IF($C$1074&gt;0,VLOOKUP($C1434,ENTI!$U$4:$AD$1003,10,FALSE),"")</f>
        <v>#N/A</v>
      </c>
      <c r="M1434" s="1"/>
      <c r="N1434" s="1"/>
      <c r="O1434" s="1"/>
    </row>
    <row r="1435" spans="1:15" hidden="1">
      <c r="A1435" s="1"/>
      <c r="B1435" s="40" t="e">
        <f t="shared" ca="1" si="197"/>
        <v>#N/A</v>
      </c>
      <c r="C1435" s="496">
        <v>355</v>
      </c>
      <c r="D1435" s="41" t="e">
        <f ca="1">IF($C$1076&gt;0,VLOOKUP($C1435,COSTI!$U$4:$Z$1003,3,FALSE),IF($C$1075&gt;0,VLOOKUP($C1435,PATRIMONIALE!$U$4:$Z$1003,3,FALSE),IF($C$1074&gt;0,VLOOKUP($C1435,ENTI!$U$4:$Z$1003,3,FALSE),"")))</f>
        <v>#N/A</v>
      </c>
      <c r="E1435" s="41" t="str">
        <f t="shared" ca="1" si="196"/>
        <v/>
      </c>
      <c r="F1435" s="41" t="e">
        <f t="shared" ca="1" si="198"/>
        <v>#NUM!</v>
      </c>
      <c r="G1435" s="39" t="e">
        <f ca="1">IF($C$1076&gt;0,VLOOKUP($C1435,COSTI!$U$4:$Z$1003,5,FALSE),IF($C$1075&gt;0,VLOOKUP($C1435,PATRIMONIALE!$U$4:$Z$1003,5,FALSE),IF($C$1074&gt;0,VLOOKUP($C1435,ENTI!$U$4:$Z$1003,5,FALSE),"")))</f>
        <v>#N/A</v>
      </c>
      <c r="H1435" s="42" t="e">
        <f ca="1">IF($C$1076&gt;0,VLOOKUP($C1435,COSTI!$U$4:$Z$1003,6,FALSE),IF($C$1075&gt;0,VLOOKUP($C1435,PATRIMONIALE!$U$4:$Z$1003,6,FALSE),IF($C$1074&gt;0,VLOOKUP($C1435,ENTI!$U$4:$Z$1003,6,FALSE),"")))</f>
        <v>#N/A</v>
      </c>
      <c r="I1435" s="496">
        <v>355</v>
      </c>
      <c r="J1435" s="43" t="e">
        <f ca="1">VLOOKUP(D1435,$F$1081:$I$4183,4,FALSE)+COUNTIF(E$1081:E1434,E1435)</f>
        <v>#N/A</v>
      </c>
      <c r="K1435" s="1"/>
      <c r="L1435" s="39" t="e">
        <f>IF($C$1074&gt;0,VLOOKUP($C1435,ENTI!$U$4:$AD$1003,10,FALSE),"")</f>
        <v>#N/A</v>
      </c>
      <c r="M1435" s="1"/>
      <c r="N1435" s="1"/>
      <c r="O1435" s="1"/>
    </row>
    <row r="1436" spans="1:15" hidden="1">
      <c r="A1436" s="1"/>
      <c r="B1436" s="40" t="e">
        <f t="shared" ca="1" si="197"/>
        <v>#N/A</v>
      </c>
      <c r="C1436" s="496">
        <v>356</v>
      </c>
      <c r="D1436" s="41" t="e">
        <f ca="1">IF($C$1076&gt;0,VLOOKUP($C1436,COSTI!$U$4:$Z$1003,3,FALSE),IF($C$1075&gt;0,VLOOKUP($C1436,PATRIMONIALE!$U$4:$Z$1003,3,FALSE),IF($C$1074&gt;0,VLOOKUP($C1436,ENTI!$U$4:$Z$1003,3,FALSE),"")))</f>
        <v>#N/A</v>
      </c>
      <c r="E1436" s="41" t="str">
        <f t="shared" ca="1" si="196"/>
        <v/>
      </c>
      <c r="F1436" s="41" t="e">
        <f t="shared" ca="1" si="198"/>
        <v>#NUM!</v>
      </c>
      <c r="G1436" s="39" t="e">
        <f ca="1">IF($C$1076&gt;0,VLOOKUP($C1436,COSTI!$U$4:$Z$1003,5,FALSE),IF($C$1075&gt;0,VLOOKUP($C1436,PATRIMONIALE!$U$4:$Z$1003,5,FALSE),IF($C$1074&gt;0,VLOOKUP($C1436,ENTI!$U$4:$Z$1003,5,FALSE),"")))</f>
        <v>#N/A</v>
      </c>
      <c r="H1436" s="42" t="e">
        <f ca="1">IF($C$1076&gt;0,VLOOKUP($C1436,COSTI!$U$4:$Z$1003,6,FALSE),IF($C$1075&gt;0,VLOOKUP($C1436,PATRIMONIALE!$U$4:$Z$1003,6,FALSE),IF($C$1074&gt;0,VLOOKUP($C1436,ENTI!$U$4:$Z$1003,6,FALSE),"")))</f>
        <v>#N/A</v>
      </c>
      <c r="I1436" s="496">
        <v>356</v>
      </c>
      <c r="J1436" s="43" t="e">
        <f ca="1">VLOOKUP(D1436,$F$1081:$I$4183,4,FALSE)+COUNTIF(E$1081:E1435,E1436)</f>
        <v>#N/A</v>
      </c>
      <c r="K1436" s="1"/>
      <c r="L1436" s="39" t="e">
        <f>IF($C$1074&gt;0,VLOOKUP($C1436,ENTI!$U$4:$AD$1003,10,FALSE),"")</f>
        <v>#N/A</v>
      </c>
      <c r="M1436" s="1"/>
      <c r="N1436" s="1"/>
      <c r="O1436" s="1"/>
    </row>
    <row r="1437" spans="1:15" hidden="1">
      <c r="A1437" s="1"/>
      <c r="B1437" s="40" t="e">
        <f t="shared" ca="1" si="197"/>
        <v>#N/A</v>
      </c>
      <c r="C1437" s="496">
        <v>357</v>
      </c>
      <c r="D1437" s="41" t="e">
        <f ca="1">IF($C$1076&gt;0,VLOOKUP($C1437,COSTI!$U$4:$Z$1003,3,FALSE),IF($C$1075&gt;0,VLOOKUP($C1437,PATRIMONIALE!$U$4:$Z$1003,3,FALSE),IF($C$1074&gt;0,VLOOKUP($C1437,ENTI!$U$4:$Z$1003,3,FALSE),"")))</f>
        <v>#N/A</v>
      </c>
      <c r="E1437" s="41" t="str">
        <f t="shared" ca="1" si="196"/>
        <v/>
      </c>
      <c r="F1437" s="41" t="e">
        <f t="shared" ca="1" si="198"/>
        <v>#NUM!</v>
      </c>
      <c r="G1437" s="39" t="e">
        <f ca="1">IF($C$1076&gt;0,VLOOKUP($C1437,COSTI!$U$4:$Z$1003,5,FALSE),IF($C$1075&gt;0,VLOOKUP($C1437,PATRIMONIALE!$U$4:$Z$1003,5,FALSE),IF($C$1074&gt;0,VLOOKUP($C1437,ENTI!$U$4:$Z$1003,5,FALSE),"")))</f>
        <v>#N/A</v>
      </c>
      <c r="H1437" s="42" t="e">
        <f ca="1">IF($C$1076&gt;0,VLOOKUP($C1437,COSTI!$U$4:$Z$1003,6,FALSE),IF($C$1075&gt;0,VLOOKUP($C1437,PATRIMONIALE!$U$4:$Z$1003,6,FALSE),IF($C$1074&gt;0,VLOOKUP($C1437,ENTI!$U$4:$Z$1003,6,FALSE),"")))</f>
        <v>#N/A</v>
      </c>
      <c r="I1437" s="496">
        <v>357</v>
      </c>
      <c r="J1437" s="43" t="e">
        <f ca="1">VLOOKUP(D1437,$F$1081:$I$4183,4,FALSE)+COUNTIF(E$1081:E1436,E1437)</f>
        <v>#N/A</v>
      </c>
      <c r="K1437" s="1"/>
      <c r="L1437" s="39" t="e">
        <f>IF($C$1074&gt;0,VLOOKUP($C1437,ENTI!$U$4:$AD$1003,10,FALSE),"")</f>
        <v>#N/A</v>
      </c>
      <c r="M1437" s="1"/>
      <c r="N1437" s="1"/>
      <c r="O1437" s="1"/>
    </row>
    <row r="1438" spans="1:15" hidden="1">
      <c r="A1438" s="1"/>
      <c r="B1438" s="40" t="e">
        <f t="shared" ca="1" si="197"/>
        <v>#N/A</v>
      </c>
      <c r="C1438" s="496">
        <v>358</v>
      </c>
      <c r="D1438" s="41" t="e">
        <f ca="1">IF($C$1076&gt;0,VLOOKUP($C1438,COSTI!$U$4:$Z$1003,3,FALSE),IF($C$1075&gt;0,VLOOKUP($C1438,PATRIMONIALE!$U$4:$Z$1003,3,FALSE),IF($C$1074&gt;0,VLOOKUP($C1438,ENTI!$U$4:$Z$1003,3,FALSE),"")))</f>
        <v>#N/A</v>
      </c>
      <c r="E1438" s="41" t="str">
        <f t="shared" ca="1" si="196"/>
        <v/>
      </c>
      <c r="F1438" s="41" t="e">
        <f t="shared" ca="1" si="198"/>
        <v>#NUM!</v>
      </c>
      <c r="G1438" s="39" t="e">
        <f ca="1">IF($C$1076&gt;0,VLOOKUP($C1438,COSTI!$U$4:$Z$1003,5,FALSE),IF($C$1075&gt;0,VLOOKUP($C1438,PATRIMONIALE!$U$4:$Z$1003,5,FALSE),IF($C$1074&gt;0,VLOOKUP($C1438,ENTI!$U$4:$Z$1003,5,FALSE),"")))</f>
        <v>#N/A</v>
      </c>
      <c r="H1438" s="42" t="e">
        <f ca="1">IF($C$1076&gt;0,VLOOKUP($C1438,COSTI!$U$4:$Z$1003,6,FALSE),IF($C$1075&gt;0,VLOOKUP($C1438,PATRIMONIALE!$U$4:$Z$1003,6,FALSE),IF($C$1074&gt;0,VLOOKUP($C1438,ENTI!$U$4:$Z$1003,6,FALSE),"")))</f>
        <v>#N/A</v>
      </c>
      <c r="I1438" s="496">
        <v>358</v>
      </c>
      <c r="J1438" s="43" t="e">
        <f ca="1">VLOOKUP(D1438,$F$1081:$I$4183,4,FALSE)+COUNTIF(E$1081:E1437,E1438)</f>
        <v>#N/A</v>
      </c>
      <c r="K1438" s="1"/>
      <c r="L1438" s="39" t="e">
        <f>IF($C$1074&gt;0,VLOOKUP($C1438,ENTI!$U$4:$AD$1003,10,FALSE),"")</f>
        <v>#N/A</v>
      </c>
      <c r="M1438" s="1"/>
      <c r="N1438" s="1"/>
      <c r="O1438" s="1"/>
    </row>
    <row r="1439" spans="1:15" hidden="1">
      <c r="A1439" s="1"/>
      <c r="B1439" s="40" t="e">
        <f t="shared" ca="1" si="197"/>
        <v>#N/A</v>
      </c>
      <c r="C1439" s="496">
        <v>359</v>
      </c>
      <c r="D1439" s="41" t="e">
        <f ca="1">IF($C$1076&gt;0,VLOOKUP($C1439,COSTI!$U$4:$Z$1003,3,FALSE),IF($C$1075&gt;0,VLOOKUP($C1439,PATRIMONIALE!$U$4:$Z$1003,3,FALSE),IF($C$1074&gt;0,VLOOKUP($C1439,ENTI!$U$4:$Z$1003,3,FALSE),"")))</f>
        <v>#N/A</v>
      </c>
      <c r="E1439" s="41" t="str">
        <f t="shared" ca="1" si="196"/>
        <v/>
      </c>
      <c r="F1439" s="41" t="e">
        <f t="shared" ca="1" si="198"/>
        <v>#NUM!</v>
      </c>
      <c r="G1439" s="39" t="e">
        <f ca="1">IF($C$1076&gt;0,VLOOKUP($C1439,COSTI!$U$4:$Z$1003,5,FALSE),IF($C$1075&gt;0,VLOOKUP($C1439,PATRIMONIALE!$U$4:$Z$1003,5,FALSE),IF($C$1074&gt;0,VLOOKUP($C1439,ENTI!$U$4:$Z$1003,5,FALSE),"")))</f>
        <v>#N/A</v>
      </c>
      <c r="H1439" s="42" t="e">
        <f ca="1">IF($C$1076&gt;0,VLOOKUP($C1439,COSTI!$U$4:$Z$1003,6,FALSE),IF($C$1075&gt;0,VLOOKUP($C1439,PATRIMONIALE!$U$4:$Z$1003,6,FALSE),IF($C$1074&gt;0,VLOOKUP($C1439,ENTI!$U$4:$Z$1003,6,FALSE),"")))</f>
        <v>#N/A</v>
      </c>
      <c r="I1439" s="496">
        <v>359</v>
      </c>
      <c r="J1439" s="43" t="e">
        <f ca="1">VLOOKUP(D1439,$F$1081:$I$4183,4,FALSE)+COUNTIF(E$1081:E1438,E1439)</f>
        <v>#N/A</v>
      </c>
      <c r="K1439" s="1"/>
      <c r="L1439" s="39" t="e">
        <f>IF($C$1074&gt;0,VLOOKUP($C1439,ENTI!$U$4:$AD$1003,10,FALSE),"")</f>
        <v>#N/A</v>
      </c>
      <c r="M1439" s="1"/>
      <c r="N1439" s="1"/>
      <c r="O1439" s="1"/>
    </row>
    <row r="1440" spans="1:15" hidden="1">
      <c r="A1440" s="1"/>
      <c r="B1440" s="40" t="e">
        <f t="shared" ca="1" si="197"/>
        <v>#N/A</v>
      </c>
      <c r="C1440" s="496">
        <v>360</v>
      </c>
      <c r="D1440" s="41" t="e">
        <f ca="1">IF($C$1076&gt;0,VLOOKUP($C1440,COSTI!$U$4:$Z$1003,3,FALSE),IF($C$1075&gt;0,VLOOKUP($C1440,PATRIMONIALE!$U$4:$Z$1003,3,FALSE),IF($C$1074&gt;0,VLOOKUP($C1440,ENTI!$U$4:$Z$1003,3,FALSE),"")))</f>
        <v>#N/A</v>
      </c>
      <c r="E1440" s="41" t="str">
        <f t="shared" ca="1" si="196"/>
        <v/>
      </c>
      <c r="F1440" s="41" t="e">
        <f t="shared" ca="1" si="198"/>
        <v>#NUM!</v>
      </c>
      <c r="G1440" s="39" t="e">
        <f ca="1">IF($C$1076&gt;0,VLOOKUP($C1440,COSTI!$U$4:$Z$1003,5,FALSE),IF($C$1075&gt;0,VLOOKUP($C1440,PATRIMONIALE!$U$4:$Z$1003,5,FALSE),IF($C$1074&gt;0,VLOOKUP($C1440,ENTI!$U$4:$Z$1003,5,FALSE),"")))</f>
        <v>#N/A</v>
      </c>
      <c r="H1440" s="42" t="e">
        <f ca="1">IF($C$1076&gt;0,VLOOKUP($C1440,COSTI!$U$4:$Z$1003,6,FALSE),IF($C$1075&gt;0,VLOOKUP($C1440,PATRIMONIALE!$U$4:$Z$1003,6,FALSE),IF($C$1074&gt;0,VLOOKUP($C1440,ENTI!$U$4:$Z$1003,6,FALSE),"")))</f>
        <v>#N/A</v>
      </c>
      <c r="I1440" s="496">
        <v>360</v>
      </c>
      <c r="J1440" s="43" t="e">
        <f ca="1">VLOOKUP(D1440,$F$1081:$I$4183,4,FALSE)+COUNTIF(E$1081:E1439,E1440)</f>
        <v>#N/A</v>
      </c>
      <c r="K1440" s="1"/>
      <c r="L1440" s="39" t="e">
        <f>IF($C$1074&gt;0,VLOOKUP($C1440,ENTI!$U$4:$AD$1003,10,FALSE),"")</f>
        <v>#N/A</v>
      </c>
      <c r="M1440" s="1"/>
      <c r="N1440" s="1"/>
      <c r="O1440" s="1"/>
    </row>
    <row r="1441" spans="1:15" hidden="1">
      <c r="A1441" s="1"/>
      <c r="B1441" s="40" t="e">
        <f t="shared" ca="1" si="197"/>
        <v>#N/A</v>
      </c>
      <c r="C1441" s="496">
        <v>361</v>
      </c>
      <c r="D1441" s="41" t="e">
        <f ca="1">IF($C$1076&gt;0,VLOOKUP($C1441,COSTI!$U$4:$Z$1003,3,FALSE),IF($C$1075&gt;0,VLOOKUP($C1441,PATRIMONIALE!$U$4:$Z$1003,3,FALSE),IF($C$1074&gt;0,VLOOKUP($C1441,ENTI!$U$4:$Z$1003,3,FALSE),"")))</f>
        <v>#N/A</v>
      </c>
      <c r="E1441" s="41" t="str">
        <f t="shared" ca="1" si="196"/>
        <v/>
      </c>
      <c r="F1441" s="41" t="e">
        <f t="shared" ca="1" si="198"/>
        <v>#NUM!</v>
      </c>
      <c r="G1441" s="39" t="e">
        <f ca="1">IF($C$1076&gt;0,VLOOKUP($C1441,COSTI!$U$4:$Z$1003,5,FALSE),IF($C$1075&gt;0,VLOOKUP($C1441,PATRIMONIALE!$U$4:$Z$1003,5,FALSE),IF($C$1074&gt;0,VLOOKUP($C1441,ENTI!$U$4:$Z$1003,5,FALSE),"")))</f>
        <v>#N/A</v>
      </c>
      <c r="H1441" s="42" t="e">
        <f ca="1">IF($C$1076&gt;0,VLOOKUP($C1441,COSTI!$U$4:$Z$1003,6,FALSE),IF($C$1075&gt;0,VLOOKUP($C1441,PATRIMONIALE!$U$4:$Z$1003,6,FALSE),IF($C$1074&gt;0,VLOOKUP($C1441,ENTI!$U$4:$Z$1003,6,FALSE),"")))</f>
        <v>#N/A</v>
      </c>
      <c r="I1441" s="496">
        <v>361</v>
      </c>
      <c r="J1441" s="43" t="e">
        <f ca="1">VLOOKUP(D1441,$F$1081:$I$4183,4,FALSE)+COUNTIF(E$1081:E1440,E1441)</f>
        <v>#N/A</v>
      </c>
      <c r="K1441" s="1"/>
      <c r="L1441" s="39" t="e">
        <f>IF($C$1074&gt;0,VLOOKUP($C1441,ENTI!$U$4:$AD$1003,10,FALSE),"")</f>
        <v>#N/A</v>
      </c>
      <c r="M1441" s="1"/>
      <c r="N1441" s="1"/>
      <c r="O1441" s="1"/>
    </row>
    <row r="1442" spans="1:15" hidden="1">
      <c r="A1442" s="1"/>
      <c r="B1442" s="40" t="e">
        <f t="shared" ca="1" si="197"/>
        <v>#N/A</v>
      </c>
      <c r="C1442" s="496">
        <v>362</v>
      </c>
      <c r="D1442" s="41" t="e">
        <f ca="1">IF($C$1076&gt;0,VLOOKUP($C1442,COSTI!$U$4:$Z$1003,3,FALSE),IF($C$1075&gt;0,VLOOKUP($C1442,PATRIMONIALE!$U$4:$Z$1003,3,FALSE),IF($C$1074&gt;0,VLOOKUP($C1442,ENTI!$U$4:$Z$1003,3,FALSE),"")))</f>
        <v>#N/A</v>
      </c>
      <c r="E1442" s="41" t="str">
        <f t="shared" ca="1" si="196"/>
        <v/>
      </c>
      <c r="F1442" s="41" t="e">
        <f t="shared" ca="1" si="198"/>
        <v>#NUM!</v>
      </c>
      <c r="G1442" s="39" t="e">
        <f ca="1">IF($C$1076&gt;0,VLOOKUP($C1442,COSTI!$U$4:$Z$1003,5,FALSE),IF($C$1075&gt;0,VLOOKUP($C1442,PATRIMONIALE!$U$4:$Z$1003,5,FALSE),IF($C$1074&gt;0,VLOOKUP($C1442,ENTI!$U$4:$Z$1003,5,FALSE),"")))</f>
        <v>#N/A</v>
      </c>
      <c r="H1442" s="42" t="e">
        <f ca="1">IF($C$1076&gt;0,VLOOKUP($C1442,COSTI!$U$4:$Z$1003,6,FALSE),IF($C$1075&gt;0,VLOOKUP($C1442,PATRIMONIALE!$U$4:$Z$1003,6,FALSE),IF($C$1074&gt;0,VLOOKUP($C1442,ENTI!$U$4:$Z$1003,6,FALSE),"")))</f>
        <v>#N/A</v>
      </c>
      <c r="I1442" s="496">
        <v>362</v>
      </c>
      <c r="J1442" s="43" t="e">
        <f ca="1">VLOOKUP(D1442,$F$1081:$I$4183,4,FALSE)+COUNTIF(E$1081:E1441,E1442)</f>
        <v>#N/A</v>
      </c>
      <c r="K1442" s="1"/>
      <c r="L1442" s="39" t="e">
        <f>IF($C$1074&gt;0,VLOOKUP($C1442,ENTI!$U$4:$AD$1003,10,FALSE),"")</f>
        <v>#N/A</v>
      </c>
      <c r="M1442" s="1"/>
      <c r="N1442" s="1"/>
      <c r="O1442" s="1"/>
    </row>
    <row r="1443" spans="1:15" hidden="1">
      <c r="A1443" s="1"/>
      <c r="B1443" s="40" t="e">
        <f t="shared" ca="1" si="197"/>
        <v>#N/A</v>
      </c>
      <c r="C1443" s="496">
        <v>363</v>
      </c>
      <c r="D1443" s="41" t="e">
        <f ca="1">IF($C$1076&gt;0,VLOOKUP($C1443,COSTI!$U$4:$Z$1003,3,FALSE),IF($C$1075&gt;0,VLOOKUP($C1443,PATRIMONIALE!$U$4:$Z$1003,3,FALSE),IF($C$1074&gt;0,VLOOKUP($C1443,ENTI!$U$4:$Z$1003,3,FALSE),"")))</f>
        <v>#N/A</v>
      </c>
      <c r="E1443" s="41" t="str">
        <f t="shared" ca="1" si="196"/>
        <v/>
      </c>
      <c r="F1443" s="41" t="e">
        <f t="shared" ca="1" si="198"/>
        <v>#NUM!</v>
      </c>
      <c r="G1443" s="39" t="e">
        <f ca="1">IF($C$1076&gt;0,VLOOKUP($C1443,COSTI!$U$4:$Z$1003,5,FALSE),IF($C$1075&gt;0,VLOOKUP($C1443,PATRIMONIALE!$U$4:$Z$1003,5,FALSE),IF($C$1074&gt;0,VLOOKUP($C1443,ENTI!$U$4:$Z$1003,5,FALSE),"")))</f>
        <v>#N/A</v>
      </c>
      <c r="H1443" s="42" t="e">
        <f ca="1">IF($C$1076&gt;0,VLOOKUP($C1443,COSTI!$U$4:$Z$1003,6,FALSE),IF($C$1075&gt;0,VLOOKUP($C1443,PATRIMONIALE!$U$4:$Z$1003,6,FALSE),IF($C$1074&gt;0,VLOOKUP($C1443,ENTI!$U$4:$Z$1003,6,FALSE),"")))</f>
        <v>#N/A</v>
      </c>
      <c r="I1443" s="496">
        <v>363</v>
      </c>
      <c r="J1443" s="43" t="e">
        <f ca="1">VLOOKUP(D1443,$F$1081:$I$4183,4,FALSE)+COUNTIF(E$1081:E1442,E1443)</f>
        <v>#N/A</v>
      </c>
      <c r="K1443" s="1"/>
      <c r="L1443" s="39" t="e">
        <f>IF($C$1074&gt;0,VLOOKUP($C1443,ENTI!$U$4:$AD$1003,10,FALSE),"")</f>
        <v>#N/A</v>
      </c>
      <c r="M1443" s="1"/>
      <c r="N1443" s="1"/>
      <c r="O1443" s="1"/>
    </row>
    <row r="1444" spans="1:15" hidden="1">
      <c r="A1444" s="1"/>
      <c r="B1444" s="40" t="e">
        <f t="shared" ca="1" si="197"/>
        <v>#N/A</v>
      </c>
      <c r="C1444" s="496">
        <v>364</v>
      </c>
      <c r="D1444" s="41" t="e">
        <f ca="1">IF($C$1076&gt;0,VLOOKUP($C1444,COSTI!$U$4:$Z$1003,3,FALSE),IF($C$1075&gt;0,VLOOKUP($C1444,PATRIMONIALE!$U$4:$Z$1003,3,FALSE),IF($C$1074&gt;0,VLOOKUP($C1444,ENTI!$U$4:$Z$1003,3,FALSE),"")))</f>
        <v>#N/A</v>
      </c>
      <c r="E1444" s="41" t="str">
        <f t="shared" ca="1" si="196"/>
        <v/>
      </c>
      <c r="F1444" s="41" t="e">
        <f t="shared" ca="1" si="198"/>
        <v>#NUM!</v>
      </c>
      <c r="G1444" s="39" t="e">
        <f ca="1">IF($C$1076&gt;0,VLOOKUP($C1444,COSTI!$U$4:$Z$1003,5,FALSE),IF($C$1075&gt;0,VLOOKUP($C1444,PATRIMONIALE!$U$4:$Z$1003,5,FALSE),IF($C$1074&gt;0,VLOOKUP($C1444,ENTI!$U$4:$Z$1003,5,FALSE),"")))</f>
        <v>#N/A</v>
      </c>
      <c r="H1444" s="42" t="e">
        <f ca="1">IF($C$1076&gt;0,VLOOKUP($C1444,COSTI!$U$4:$Z$1003,6,FALSE),IF($C$1075&gt;0,VLOOKUP($C1444,PATRIMONIALE!$U$4:$Z$1003,6,FALSE),IF($C$1074&gt;0,VLOOKUP($C1444,ENTI!$U$4:$Z$1003,6,FALSE),"")))</f>
        <v>#N/A</v>
      </c>
      <c r="I1444" s="496">
        <v>364</v>
      </c>
      <c r="J1444" s="43" t="e">
        <f ca="1">VLOOKUP(D1444,$F$1081:$I$4183,4,FALSE)+COUNTIF(E$1081:E1443,E1444)</f>
        <v>#N/A</v>
      </c>
      <c r="K1444" s="1"/>
      <c r="L1444" s="39" t="e">
        <f>IF($C$1074&gt;0,VLOOKUP($C1444,ENTI!$U$4:$AD$1003,10,FALSE),"")</f>
        <v>#N/A</v>
      </c>
      <c r="M1444" s="1"/>
      <c r="N1444" s="1"/>
      <c r="O1444" s="1"/>
    </row>
    <row r="1445" spans="1:15" hidden="1">
      <c r="A1445" s="1"/>
      <c r="B1445" s="40" t="e">
        <f t="shared" ca="1" si="197"/>
        <v>#N/A</v>
      </c>
      <c r="C1445" s="496">
        <v>365</v>
      </c>
      <c r="D1445" s="41" t="e">
        <f ca="1">IF($C$1076&gt;0,VLOOKUP($C1445,COSTI!$U$4:$Z$1003,3,FALSE),IF($C$1075&gt;0,VLOOKUP($C1445,PATRIMONIALE!$U$4:$Z$1003,3,FALSE),IF($C$1074&gt;0,VLOOKUP($C1445,ENTI!$U$4:$Z$1003,3,FALSE),"")))</f>
        <v>#N/A</v>
      </c>
      <c r="E1445" s="41" t="str">
        <f t="shared" ca="1" si="196"/>
        <v/>
      </c>
      <c r="F1445" s="41" t="e">
        <f t="shared" ca="1" si="198"/>
        <v>#NUM!</v>
      </c>
      <c r="G1445" s="39" t="e">
        <f ca="1">IF($C$1076&gt;0,VLOOKUP($C1445,COSTI!$U$4:$Z$1003,5,FALSE),IF($C$1075&gt;0,VLOOKUP($C1445,PATRIMONIALE!$U$4:$Z$1003,5,FALSE),IF($C$1074&gt;0,VLOOKUP($C1445,ENTI!$U$4:$Z$1003,5,FALSE),"")))</f>
        <v>#N/A</v>
      </c>
      <c r="H1445" s="42" t="e">
        <f ca="1">IF($C$1076&gt;0,VLOOKUP($C1445,COSTI!$U$4:$Z$1003,6,FALSE),IF($C$1075&gt;0,VLOOKUP($C1445,PATRIMONIALE!$U$4:$Z$1003,6,FALSE),IF($C$1074&gt;0,VLOOKUP($C1445,ENTI!$U$4:$Z$1003,6,FALSE),"")))</f>
        <v>#N/A</v>
      </c>
      <c r="I1445" s="496">
        <v>365</v>
      </c>
      <c r="J1445" s="43" t="e">
        <f ca="1">VLOOKUP(D1445,$F$1081:$I$4183,4,FALSE)+COUNTIF(E$1081:E1444,E1445)</f>
        <v>#N/A</v>
      </c>
      <c r="K1445" s="1"/>
      <c r="L1445" s="39" t="e">
        <f>IF($C$1074&gt;0,VLOOKUP($C1445,ENTI!$U$4:$AD$1003,10,FALSE),"")</f>
        <v>#N/A</v>
      </c>
      <c r="M1445" s="1"/>
      <c r="N1445" s="1"/>
      <c r="O1445" s="1"/>
    </row>
    <row r="1446" spans="1:15" hidden="1">
      <c r="A1446" s="1"/>
      <c r="B1446" s="40" t="e">
        <f t="shared" ca="1" si="197"/>
        <v>#N/A</v>
      </c>
      <c r="C1446" s="496">
        <v>366</v>
      </c>
      <c r="D1446" s="41" t="e">
        <f ca="1">IF($C$1076&gt;0,VLOOKUP($C1446,COSTI!$U$4:$Z$1003,3,FALSE),IF($C$1075&gt;0,VLOOKUP($C1446,PATRIMONIALE!$U$4:$Z$1003,3,FALSE),IF($C$1074&gt;0,VLOOKUP($C1446,ENTI!$U$4:$Z$1003,3,FALSE),"")))</f>
        <v>#N/A</v>
      </c>
      <c r="E1446" s="41" t="str">
        <f t="shared" ca="1" si="196"/>
        <v/>
      </c>
      <c r="F1446" s="41" t="e">
        <f t="shared" ca="1" si="198"/>
        <v>#NUM!</v>
      </c>
      <c r="G1446" s="39" t="e">
        <f ca="1">IF($C$1076&gt;0,VLOOKUP($C1446,COSTI!$U$4:$Z$1003,5,FALSE),IF($C$1075&gt;0,VLOOKUP($C1446,PATRIMONIALE!$U$4:$Z$1003,5,FALSE),IF($C$1074&gt;0,VLOOKUP($C1446,ENTI!$U$4:$Z$1003,5,FALSE),"")))</f>
        <v>#N/A</v>
      </c>
      <c r="H1446" s="42" t="e">
        <f ca="1">IF($C$1076&gt;0,VLOOKUP($C1446,COSTI!$U$4:$Z$1003,6,FALSE),IF($C$1075&gt;0,VLOOKUP($C1446,PATRIMONIALE!$U$4:$Z$1003,6,FALSE),IF($C$1074&gt;0,VLOOKUP($C1446,ENTI!$U$4:$Z$1003,6,FALSE),"")))</f>
        <v>#N/A</v>
      </c>
      <c r="I1446" s="496">
        <v>366</v>
      </c>
      <c r="J1446" s="43" t="e">
        <f ca="1">VLOOKUP(D1446,$F$1081:$I$4183,4,FALSE)+COUNTIF(E$1081:E1445,E1446)</f>
        <v>#N/A</v>
      </c>
      <c r="K1446" s="1"/>
      <c r="L1446" s="39" t="e">
        <f>IF($C$1074&gt;0,VLOOKUP($C1446,ENTI!$U$4:$AD$1003,10,FALSE),"")</f>
        <v>#N/A</v>
      </c>
      <c r="M1446" s="1"/>
      <c r="N1446" s="1"/>
      <c r="O1446" s="1"/>
    </row>
    <row r="1447" spans="1:15" hidden="1">
      <c r="A1447" s="1"/>
      <c r="B1447" s="40" t="e">
        <f t="shared" ca="1" si="197"/>
        <v>#N/A</v>
      </c>
      <c r="C1447" s="496">
        <v>367</v>
      </c>
      <c r="D1447" s="41" t="e">
        <f ca="1">IF($C$1076&gt;0,VLOOKUP($C1447,COSTI!$U$4:$Z$1003,3,FALSE),IF($C$1075&gt;0,VLOOKUP($C1447,PATRIMONIALE!$U$4:$Z$1003,3,FALSE),IF($C$1074&gt;0,VLOOKUP($C1447,ENTI!$U$4:$Z$1003,3,FALSE),"")))</f>
        <v>#N/A</v>
      </c>
      <c r="E1447" s="41" t="str">
        <f t="shared" ca="1" si="196"/>
        <v/>
      </c>
      <c r="F1447" s="41" t="e">
        <f t="shared" ca="1" si="198"/>
        <v>#NUM!</v>
      </c>
      <c r="G1447" s="39" t="e">
        <f ca="1">IF($C$1076&gt;0,VLOOKUP($C1447,COSTI!$U$4:$Z$1003,5,FALSE),IF($C$1075&gt;0,VLOOKUP($C1447,PATRIMONIALE!$U$4:$Z$1003,5,FALSE),IF($C$1074&gt;0,VLOOKUP($C1447,ENTI!$U$4:$Z$1003,5,FALSE),"")))</f>
        <v>#N/A</v>
      </c>
      <c r="H1447" s="42" t="e">
        <f ca="1">IF($C$1076&gt;0,VLOOKUP($C1447,COSTI!$U$4:$Z$1003,6,FALSE),IF($C$1075&gt;0,VLOOKUP($C1447,PATRIMONIALE!$U$4:$Z$1003,6,FALSE),IF($C$1074&gt;0,VLOOKUP($C1447,ENTI!$U$4:$Z$1003,6,FALSE),"")))</f>
        <v>#N/A</v>
      </c>
      <c r="I1447" s="496">
        <v>367</v>
      </c>
      <c r="J1447" s="43" t="e">
        <f ca="1">VLOOKUP(D1447,$F$1081:$I$4183,4,FALSE)+COUNTIF(E$1081:E1446,E1447)</f>
        <v>#N/A</v>
      </c>
      <c r="K1447" s="1"/>
      <c r="L1447" s="39" t="e">
        <f>IF($C$1074&gt;0,VLOOKUP($C1447,ENTI!$U$4:$AD$1003,10,FALSE),"")</f>
        <v>#N/A</v>
      </c>
      <c r="M1447" s="1"/>
      <c r="N1447" s="1"/>
      <c r="O1447" s="1"/>
    </row>
    <row r="1448" spans="1:15" hidden="1">
      <c r="A1448" s="1"/>
      <c r="B1448" s="40" t="e">
        <f t="shared" ca="1" si="197"/>
        <v>#N/A</v>
      </c>
      <c r="C1448" s="496">
        <v>368</v>
      </c>
      <c r="D1448" s="41" t="e">
        <f ca="1">IF($C$1076&gt;0,VLOOKUP($C1448,COSTI!$U$4:$Z$1003,3,FALSE),IF($C$1075&gt;0,VLOOKUP($C1448,PATRIMONIALE!$U$4:$Z$1003,3,FALSE),IF($C$1074&gt;0,VLOOKUP($C1448,ENTI!$U$4:$Z$1003,3,FALSE),"")))</f>
        <v>#N/A</v>
      </c>
      <c r="E1448" s="41" t="str">
        <f t="shared" ca="1" si="196"/>
        <v/>
      </c>
      <c r="F1448" s="41" t="e">
        <f t="shared" ca="1" si="198"/>
        <v>#NUM!</v>
      </c>
      <c r="G1448" s="39" t="e">
        <f ca="1">IF($C$1076&gt;0,VLOOKUP($C1448,COSTI!$U$4:$Z$1003,5,FALSE),IF($C$1075&gt;0,VLOOKUP($C1448,PATRIMONIALE!$U$4:$Z$1003,5,FALSE),IF($C$1074&gt;0,VLOOKUP($C1448,ENTI!$U$4:$Z$1003,5,FALSE),"")))</f>
        <v>#N/A</v>
      </c>
      <c r="H1448" s="42" t="e">
        <f ca="1">IF($C$1076&gt;0,VLOOKUP($C1448,COSTI!$U$4:$Z$1003,6,FALSE),IF($C$1075&gt;0,VLOOKUP($C1448,PATRIMONIALE!$U$4:$Z$1003,6,FALSE),IF($C$1074&gt;0,VLOOKUP($C1448,ENTI!$U$4:$Z$1003,6,FALSE),"")))</f>
        <v>#N/A</v>
      </c>
      <c r="I1448" s="496">
        <v>368</v>
      </c>
      <c r="J1448" s="43" t="e">
        <f ca="1">VLOOKUP(D1448,$F$1081:$I$4183,4,FALSE)+COUNTIF(E$1081:E1447,E1448)</f>
        <v>#N/A</v>
      </c>
      <c r="K1448" s="1"/>
      <c r="L1448" s="39" t="e">
        <f>IF($C$1074&gt;0,VLOOKUP($C1448,ENTI!$U$4:$AD$1003,10,FALSE),"")</f>
        <v>#N/A</v>
      </c>
      <c r="M1448" s="1"/>
      <c r="N1448" s="1"/>
      <c r="O1448" s="1"/>
    </row>
    <row r="1449" spans="1:15" hidden="1">
      <c r="A1449" s="1"/>
      <c r="B1449" s="40" t="e">
        <f t="shared" ca="1" si="197"/>
        <v>#N/A</v>
      </c>
      <c r="C1449" s="496">
        <v>369</v>
      </c>
      <c r="D1449" s="41" t="e">
        <f ca="1">IF($C$1076&gt;0,VLOOKUP($C1449,COSTI!$U$4:$Z$1003,3,FALSE),IF($C$1075&gt;0,VLOOKUP($C1449,PATRIMONIALE!$U$4:$Z$1003,3,FALSE),IF($C$1074&gt;0,VLOOKUP($C1449,ENTI!$U$4:$Z$1003,3,FALSE),"")))</f>
        <v>#N/A</v>
      </c>
      <c r="E1449" s="41" t="str">
        <f t="shared" ca="1" si="196"/>
        <v/>
      </c>
      <c r="F1449" s="41" t="e">
        <f t="shared" ca="1" si="198"/>
        <v>#NUM!</v>
      </c>
      <c r="G1449" s="39" t="e">
        <f ca="1">IF($C$1076&gt;0,VLOOKUP($C1449,COSTI!$U$4:$Z$1003,5,FALSE),IF($C$1075&gt;0,VLOOKUP($C1449,PATRIMONIALE!$U$4:$Z$1003,5,FALSE),IF($C$1074&gt;0,VLOOKUP($C1449,ENTI!$U$4:$Z$1003,5,FALSE),"")))</f>
        <v>#N/A</v>
      </c>
      <c r="H1449" s="42" t="e">
        <f ca="1">IF($C$1076&gt;0,VLOOKUP($C1449,COSTI!$U$4:$Z$1003,6,FALSE),IF($C$1075&gt;0,VLOOKUP($C1449,PATRIMONIALE!$U$4:$Z$1003,6,FALSE),IF($C$1074&gt;0,VLOOKUP($C1449,ENTI!$U$4:$Z$1003,6,FALSE),"")))</f>
        <v>#N/A</v>
      </c>
      <c r="I1449" s="496">
        <v>369</v>
      </c>
      <c r="J1449" s="43" t="e">
        <f ca="1">VLOOKUP(D1449,$F$1081:$I$4183,4,FALSE)+COUNTIF(E$1081:E1448,E1449)</f>
        <v>#N/A</v>
      </c>
      <c r="K1449" s="1"/>
      <c r="L1449" s="39" t="e">
        <f>IF($C$1074&gt;0,VLOOKUP($C1449,ENTI!$U$4:$AD$1003,10,FALSE),"")</f>
        <v>#N/A</v>
      </c>
      <c r="M1449" s="1"/>
      <c r="N1449" s="1"/>
      <c r="O1449" s="1"/>
    </row>
    <row r="1450" spans="1:15" hidden="1">
      <c r="A1450" s="1"/>
      <c r="B1450" s="40" t="e">
        <f t="shared" ca="1" si="197"/>
        <v>#N/A</v>
      </c>
      <c r="C1450" s="496">
        <v>370</v>
      </c>
      <c r="D1450" s="41" t="e">
        <f ca="1">IF($C$1076&gt;0,VLOOKUP($C1450,COSTI!$U$4:$Z$1003,3,FALSE),IF($C$1075&gt;0,VLOOKUP($C1450,PATRIMONIALE!$U$4:$Z$1003,3,FALSE),IF($C$1074&gt;0,VLOOKUP($C1450,ENTI!$U$4:$Z$1003,3,FALSE),"")))</f>
        <v>#N/A</v>
      </c>
      <c r="E1450" s="41" t="str">
        <f t="shared" ca="1" si="196"/>
        <v/>
      </c>
      <c r="F1450" s="41" t="e">
        <f t="shared" ca="1" si="198"/>
        <v>#NUM!</v>
      </c>
      <c r="G1450" s="39" t="e">
        <f ca="1">IF($C$1076&gt;0,VLOOKUP($C1450,COSTI!$U$4:$Z$1003,5,FALSE),IF($C$1075&gt;0,VLOOKUP($C1450,PATRIMONIALE!$U$4:$Z$1003,5,FALSE),IF($C$1074&gt;0,VLOOKUP($C1450,ENTI!$U$4:$Z$1003,5,FALSE),"")))</f>
        <v>#N/A</v>
      </c>
      <c r="H1450" s="42" t="e">
        <f ca="1">IF($C$1076&gt;0,VLOOKUP($C1450,COSTI!$U$4:$Z$1003,6,FALSE),IF($C$1075&gt;0,VLOOKUP($C1450,PATRIMONIALE!$U$4:$Z$1003,6,FALSE),IF($C$1074&gt;0,VLOOKUP($C1450,ENTI!$U$4:$Z$1003,6,FALSE),"")))</f>
        <v>#N/A</v>
      </c>
      <c r="I1450" s="496">
        <v>370</v>
      </c>
      <c r="J1450" s="43" t="e">
        <f ca="1">VLOOKUP(D1450,$F$1081:$I$4183,4,FALSE)+COUNTIF(E$1081:E1449,E1450)</f>
        <v>#N/A</v>
      </c>
      <c r="K1450" s="1"/>
      <c r="L1450" s="39" t="e">
        <f>IF($C$1074&gt;0,VLOOKUP($C1450,ENTI!$U$4:$AD$1003,10,FALSE),"")</f>
        <v>#N/A</v>
      </c>
      <c r="M1450" s="1"/>
      <c r="N1450" s="1"/>
      <c r="O1450" s="1"/>
    </row>
    <row r="1451" spans="1:15" hidden="1">
      <c r="A1451" s="1"/>
      <c r="B1451" s="40" t="e">
        <f t="shared" ca="1" si="197"/>
        <v>#N/A</v>
      </c>
      <c r="C1451" s="496">
        <v>371</v>
      </c>
      <c r="D1451" s="41" t="e">
        <f ca="1">IF($C$1076&gt;0,VLOOKUP($C1451,COSTI!$U$4:$Z$1003,3,FALSE),IF($C$1075&gt;0,VLOOKUP($C1451,PATRIMONIALE!$U$4:$Z$1003,3,FALSE),IF($C$1074&gt;0,VLOOKUP($C1451,ENTI!$U$4:$Z$1003,3,FALSE),"")))</f>
        <v>#N/A</v>
      </c>
      <c r="E1451" s="41" t="str">
        <f t="shared" ca="1" si="196"/>
        <v/>
      </c>
      <c r="F1451" s="41" t="e">
        <f t="shared" ca="1" si="198"/>
        <v>#NUM!</v>
      </c>
      <c r="G1451" s="39" t="e">
        <f ca="1">IF($C$1076&gt;0,VLOOKUP($C1451,COSTI!$U$4:$Z$1003,5,FALSE),IF($C$1075&gt;0,VLOOKUP($C1451,PATRIMONIALE!$U$4:$Z$1003,5,FALSE),IF($C$1074&gt;0,VLOOKUP($C1451,ENTI!$U$4:$Z$1003,5,FALSE),"")))</f>
        <v>#N/A</v>
      </c>
      <c r="H1451" s="42" t="e">
        <f ca="1">IF($C$1076&gt;0,VLOOKUP($C1451,COSTI!$U$4:$Z$1003,6,FALSE),IF($C$1075&gt;0,VLOOKUP($C1451,PATRIMONIALE!$U$4:$Z$1003,6,FALSE),IF($C$1074&gt;0,VLOOKUP($C1451,ENTI!$U$4:$Z$1003,6,FALSE),"")))</f>
        <v>#N/A</v>
      </c>
      <c r="I1451" s="496">
        <v>371</v>
      </c>
      <c r="J1451" s="43" t="e">
        <f ca="1">VLOOKUP(D1451,$F$1081:$I$4183,4,FALSE)+COUNTIF(E$1081:E1450,E1451)</f>
        <v>#N/A</v>
      </c>
      <c r="K1451" s="1"/>
      <c r="L1451" s="39" t="e">
        <f>IF($C$1074&gt;0,VLOOKUP($C1451,ENTI!$U$4:$AD$1003,10,FALSE),"")</f>
        <v>#N/A</v>
      </c>
      <c r="M1451" s="1"/>
      <c r="N1451" s="1"/>
      <c r="O1451" s="1"/>
    </row>
    <row r="1452" spans="1:15" hidden="1">
      <c r="A1452" s="1"/>
      <c r="B1452" s="40" t="e">
        <f t="shared" ca="1" si="197"/>
        <v>#N/A</v>
      </c>
      <c r="C1452" s="496">
        <v>372</v>
      </c>
      <c r="D1452" s="41" t="e">
        <f ca="1">IF($C$1076&gt;0,VLOOKUP($C1452,COSTI!$U$4:$Z$1003,3,FALSE),IF($C$1075&gt;0,VLOOKUP($C1452,PATRIMONIALE!$U$4:$Z$1003,3,FALSE),IF($C$1074&gt;0,VLOOKUP($C1452,ENTI!$U$4:$Z$1003,3,FALSE),"")))</f>
        <v>#N/A</v>
      </c>
      <c r="E1452" s="41" t="str">
        <f t="shared" ca="1" si="196"/>
        <v/>
      </c>
      <c r="F1452" s="41" t="e">
        <f t="shared" ca="1" si="198"/>
        <v>#NUM!</v>
      </c>
      <c r="G1452" s="39" t="e">
        <f ca="1">IF($C$1076&gt;0,VLOOKUP($C1452,COSTI!$U$4:$Z$1003,5,FALSE),IF($C$1075&gt;0,VLOOKUP($C1452,PATRIMONIALE!$U$4:$Z$1003,5,FALSE),IF($C$1074&gt;0,VLOOKUP($C1452,ENTI!$U$4:$Z$1003,5,FALSE),"")))</f>
        <v>#N/A</v>
      </c>
      <c r="H1452" s="42" t="e">
        <f ca="1">IF($C$1076&gt;0,VLOOKUP($C1452,COSTI!$U$4:$Z$1003,6,FALSE),IF($C$1075&gt;0,VLOOKUP($C1452,PATRIMONIALE!$U$4:$Z$1003,6,FALSE),IF($C$1074&gt;0,VLOOKUP($C1452,ENTI!$U$4:$Z$1003,6,FALSE),"")))</f>
        <v>#N/A</v>
      </c>
      <c r="I1452" s="496">
        <v>372</v>
      </c>
      <c r="J1452" s="43" t="e">
        <f ca="1">VLOOKUP(D1452,$F$1081:$I$4183,4,FALSE)+COUNTIF(E$1081:E1451,E1452)</f>
        <v>#N/A</v>
      </c>
      <c r="K1452" s="1"/>
      <c r="L1452" s="39" t="e">
        <f>IF($C$1074&gt;0,VLOOKUP($C1452,ENTI!$U$4:$AD$1003,10,FALSE),"")</f>
        <v>#N/A</v>
      </c>
      <c r="M1452" s="1"/>
      <c r="N1452" s="1"/>
      <c r="O1452" s="1"/>
    </row>
    <row r="1453" spans="1:15" hidden="1">
      <c r="A1453" s="1"/>
      <c r="B1453" s="40" t="e">
        <f t="shared" ca="1" si="197"/>
        <v>#N/A</v>
      </c>
      <c r="C1453" s="496">
        <v>373</v>
      </c>
      <c r="D1453" s="41" t="e">
        <f ca="1">IF($C$1076&gt;0,VLOOKUP($C1453,COSTI!$U$4:$Z$1003,3,FALSE),IF($C$1075&gt;0,VLOOKUP($C1453,PATRIMONIALE!$U$4:$Z$1003,3,FALSE),IF($C$1074&gt;0,VLOOKUP($C1453,ENTI!$U$4:$Z$1003,3,FALSE),"")))</f>
        <v>#N/A</v>
      </c>
      <c r="E1453" s="41" t="str">
        <f t="shared" ca="1" si="196"/>
        <v/>
      </c>
      <c r="F1453" s="41" t="e">
        <f t="shared" ca="1" si="198"/>
        <v>#NUM!</v>
      </c>
      <c r="G1453" s="39" t="e">
        <f ca="1">IF($C$1076&gt;0,VLOOKUP($C1453,COSTI!$U$4:$Z$1003,5,FALSE),IF($C$1075&gt;0,VLOOKUP($C1453,PATRIMONIALE!$U$4:$Z$1003,5,FALSE),IF($C$1074&gt;0,VLOOKUP($C1453,ENTI!$U$4:$Z$1003,5,FALSE),"")))</f>
        <v>#N/A</v>
      </c>
      <c r="H1453" s="42" t="e">
        <f ca="1">IF($C$1076&gt;0,VLOOKUP($C1453,COSTI!$U$4:$Z$1003,6,FALSE),IF($C$1075&gt;0,VLOOKUP($C1453,PATRIMONIALE!$U$4:$Z$1003,6,FALSE),IF($C$1074&gt;0,VLOOKUP($C1453,ENTI!$U$4:$Z$1003,6,FALSE),"")))</f>
        <v>#N/A</v>
      </c>
      <c r="I1453" s="496">
        <v>373</v>
      </c>
      <c r="J1453" s="43" t="e">
        <f ca="1">VLOOKUP(D1453,$F$1081:$I$4183,4,FALSE)+COUNTIF(E$1081:E1452,E1453)</f>
        <v>#N/A</v>
      </c>
      <c r="K1453" s="1"/>
      <c r="L1453" s="39" t="e">
        <f>IF($C$1074&gt;0,VLOOKUP($C1453,ENTI!$U$4:$AD$1003,10,FALSE),"")</f>
        <v>#N/A</v>
      </c>
      <c r="M1453" s="1"/>
      <c r="N1453" s="1"/>
      <c r="O1453" s="1"/>
    </row>
    <row r="1454" spans="1:15" hidden="1">
      <c r="A1454" s="1"/>
      <c r="B1454" s="40" t="e">
        <f t="shared" ca="1" si="197"/>
        <v>#N/A</v>
      </c>
      <c r="C1454" s="496">
        <v>374</v>
      </c>
      <c r="D1454" s="41" t="e">
        <f ca="1">IF($C$1076&gt;0,VLOOKUP($C1454,COSTI!$U$4:$Z$1003,3,FALSE),IF($C$1075&gt;0,VLOOKUP($C1454,PATRIMONIALE!$U$4:$Z$1003,3,FALSE),IF($C$1074&gt;0,VLOOKUP($C1454,ENTI!$U$4:$Z$1003,3,FALSE),"")))</f>
        <v>#N/A</v>
      </c>
      <c r="E1454" s="41" t="str">
        <f t="shared" ca="1" si="196"/>
        <v/>
      </c>
      <c r="F1454" s="41" t="e">
        <f t="shared" ca="1" si="198"/>
        <v>#NUM!</v>
      </c>
      <c r="G1454" s="39" t="e">
        <f ca="1">IF($C$1076&gt;0,VLOOKUP($C1454,COSTI!$U$4:$Z$1003,5,FALSE),IF($C$1075&gt;0,VLOOKUP($C1454,PATRIMONIALE!$U$4:$Z$1003,5,FALSE),IF($C$1074&gt;0,VLOOKUP($C1454,ENTI!$U$4:$Z$1003,5,FALSE),"")))</f>
        <v>#N/A</v>
      </c>
      <c r="H1454" s="42" t="e">
        <f ca="1">IF($C$1076&gt;0,VLOOKUP($C1454,COSTI!$U$4:$Z$1003,6,FALSE),IF($C$1075&gt;0,VLOOKUP($C1454,PATRIMONIALE!$U$4:$Z$1003,6,FALSE),IF($C$1074&gt;0,VLOOKUP($C1454,ENTI!$U$4:$Z$1003,6,FALSE),"")))</f>
        <v>#N/A</v>
      </c>
      <c r="I1454" s="496">
        <v>374</v>
      </c>
      <c r="J1454" s="43" t="e">
        <f ca="1">VLOOKUP(D1454,$F$1081:$I$4183,4,FALSE)+COUNTIF(E$1081:E1453,E1454)</f>
        <v>#N/A</v>
      </c>
      <c r="K1454" s="1"/>
      <c r="L1454" s="39" t="e">
        <f>IF($C$1074&gt;0,VLOOKUP($C1454,ENTI!$U$4:$AD$1003,10,FALSE),"")</f>
        <v>#N/A</v>
      </c>
      <c r="M1454" s="1"/>
      <c r="N1454" s="1"/>
      <c r="O1454" s="1"/>
    </row>
    <row r="1455" spans="1:15" hidden="1">
      <c r="A1455" s="1"/>
      <c r="B1455" s="40" t="e">
        <f t="shared" ca="1" si="197"/>
        <v>#N/A</v>
      </c>
      <c r="C1455" s="496">
        <v>375</v>
      </c>
      <c r="D1455" s="41" t="e">
        <f ca="1">IF($C$1076&gt;0,VLOOKUP($C1455,COSTI!$U$4:$Z$1003,3,FALSE),IF($C$1075&gt;0,VLOOKUP($C1455,PATRIMONIALE!$U$4:$Z$1003,3,FALSE),IF($C$1074&gt;0,VLOOKUP($C1455,ENTI!$U$4:$Z$1003,3,FALSE),"")))</f>
        <v>#N/A</v>
      </c>
      <c r="E1455" s="41" t="str">
        <f t="shared" ca="1" si="196"/>
        <v/>
      </c>
      <c r="F1455" s="41" t="e">
        <f t="shared" ca="1" si="198"/>
        <v>#NUM!</v>
      </c>
      <c r="G1455" s="39" t="e">
        <f ca="1">IF($C$1076&gt;0,VLOOKUP($C1455,COSTI!$U$4:$Z$1003,5,FALSE),IF($C$1075&gt;0,VLOOKUP($C1455,PATRIMONIALE!$U$4:$Z$1003,5,FALSE),IF($C$1074&gt;0,VLOOKUP($C1455,ENTI!$U$4:$Z$1003,5,FALSE),"")))</f>
        <v>#N/A</v>
      </c>
      <c r="H1455" s="42" t="e">
        <f ca="1">IF($C$1076&gt;0,VLOOKUP($C1455,COSTI!$U$4:$Z$1003,6,FALSE),IF($C$1075&gt;0,VLOOKUP($C1455,PATRIMONIALE!$U$4:$Z$1003,6,FALSE),IF($C$1074&gt;0,VLOOKUP($C1455,ENTI!$U$4:$Z$1003,6,FALSE),"")))</f>
        <v>#N/A</v>
      </c>
      <c r="I1455" s="496">
        <v>375</v>
      </c>
      <c r="J1455" s="43" t="e">
        <f ca="1">VLOOKUP(D1455,$F$1081:$I$4183,4,FALSE)+COUNTIF(E$1081:E1454,E1455)</f>
        <v>#N/A</v>
      </c>
      <c r="K1455" s="1"/>
      <c r="L1455" s="39" t="e">
        <f>IF($C$1074&gt;0,VLOOKUP($C1455,ENTI!$U$4:$AD$1003,10,FALSE),"")</f>
        <v>#N/A</v>
      </c>
      <c r="M1455" s="1"/>
      <c r="N1455" s="1"/>
      <c r="O1455" s="1"/>
    </row>
    <row r="1456" spans="1:15" hidden="1">
      <c r="A1456" s="1"/>
      <c r="B1456" s="40" t="e">
        <f t="shared" ca="1" si="197"/>
        <v>#N/A</v>
      </c>
      <c r="C1456" s="496">
        <v>376</v>
      </c>
      <c r="D1456" s="41" t="e">
        <f ca="1">IF($C$1076&gt;0,VLOOKUP($C1456,COSTI!$U$4:$Z$1003,3,FALSE),IF($C$1075&gt;0,VLOOKUP($C1456,PATRIMONIALE!$U$4:$Z$1003,3,FALSE),IF($C$1074&gt;0,VLOOKUP($C1456,ENTI!$U$4:$Z$1003,3,FALSE),"")))</f>
        <v>#N/A</v>
      </c>
      <c r="E1456" s="41" t="str">
        <f t="shared" ca="1" si="196"/>
        <v/>
      </c>
      <c r="F1456" s="41" t="e">
        <f t="shared" ca="1" si="198"/>
        <v>#NUM!</v>
      </c>
      <c r="G1456" s="39" t="e">
        <f ca="1">IF($C$1076&gt;0,VLOOKUP($C1456,COSTI!$U$4:$Z$1003,5,FALSE),IF($C$1075&gt;0,VLOOKUP($C1456,PATRIMONIALE!$U$4:$Z$1003,5,FALSE),IF($C$1074&gt;0,VLOOKUP($C1456,ENTI!$U$4:$Z$1003,5,FALSE),"")))</f>
        <v>#N/A</v>
      </c>
      <c r="H1456" s="42" t="e">
        <f ca="1">IF($C$1076&gt;0,VLOOKUP($C1456,COSTI!$U$4:$Z$1003,6,FALSE),IF($C$1075&gt;0,VLOOKUP($C1456,PATRIMONIALE!$U$4:$Z$1003,6,FALSE),IF($C$1074&gt;0,VLOOKUP($C1456,ENTI!$U$4:$Z$1003,6,FALSE),"")))</f>
        <v>#N/A</v>
      </c>
      <c r="I1456" s="496">
        <v>376</v>
      </c>
      <c r="J1456" s="43" t="e">
        <f ca="1">VLOOKUP(D1456,$F$1081:$I$4183,4,FALSE)+COUNTIF(E$1081:E1455,E1456)</f>
        <v>#N/A</v>
      </c>
      <c r="K1456" s="1"/>
      <c r="L1456" s="39" t="e">
        <f>IF($C$1074&gt;0,VLOOKUP($C1456,ENTI!$U$4:$AD$1003,10,FALSE),"")</f>
        <v>#N/A</v>
      </c>
      <c r="M1456" s="1"/>
      <c r="N1456" s="1"/>
      <c r="O1456" s="1"/>
    </row>
    <row r="1457" spans="1:15" hidden="1">
      <c r="A1457" s="1"/>
      <c r="B1457" s="40" t="e">
        <f t="shared" ref="B1457:B1520" ca="1" si="199">IF(OR(C$1075&gt;0,C$1077&gt;0,C$1073&gt;0,C$1071&gt;0),J1457+1,J1457)</f>
        <v>#N/A</v>
      </c>
      <c r="C1457" s="496">
        <v>377</v>
      </c>
      <c r="D1457" s="41" t="e">
        <f ca="1">IF($C$1076&gt;0,VLOOKUP($C1457,COSTI!$U$4:$Z$1003,3,FALSE),IF($C$1075&gt;0,VLOOKUP($C1457,PATRIMONIALE!$U$4:$Z$1003,3,FALSE),IF($C$1074&gt;0,VLOOKUP($C1457,ENTI!$U$4:$Z$1003,3,FALSE),"")))</f>
        <v>#N/A</v>
      </c>
      <c r="E1457" s="41" t="str">
        <f t="shared" ca="1" si="196"/>
        <v/>
      </c>
      <c r="F1457" s="41" t="e">
        <f t="shared" ca="1" si="198"/>
        <v>#NUM!</v>
      </c>
      <c r="G1457" s="39" t="e">
        <f ca="1">IF($C$1076&gt;0,VLOOKUP($C1457,COSTI!$U$4:$Z$1003,5,FALSE),IF($C$1075&gt;0,VLOOKUP($C1457,PATRIMONIALE!$U$4:$Z$1003,5,FALSE),IF($C$1074&gt;0,VLOOKUP($C1457,ENTI!$U$4:$Z$1003,5,FALSE),"")))</f>
        <v>#N/A</v>
      </c>
      <c r="H1457" s="42" t="e">
        <f ca="1">IF($C$1076&gt;0,VLOOKUP($C1457,COSTI!$U$4:$Z$1003,6,FALSE),IF($C$1075&gt;0,VLOOKUP($C1457,PATRIMONIALE!$U$4:$Z$1003,6,FALSE),IF($C$1074&gt;0,VLOOKUP($C1457,ENTI!$U$4:$Z$1003,6,FALSE),"")))</f>
        <v>#N/A</v>
      </c>
      <c r="I1457" s="496">
        <v>377</v>
      </c>
      <c r="J1457" s="43" t="e">
        <f ca="1">VLOOKUP(D1457,$F$1081:$I$4183,4,FALSE)+COUNTIF(E$1081:E1456,E1457)</f>
        <v>#N/A</v>
      </c>
      <c r="K1457" s="1"/>
      <c r="L1457" s="39" t="e">
        <f>IF($C$1074&gt;0,VLOOKUP($C1457,ENTI!$U$4:$AD$1003,10,FALSE),"")</f>
        <v>#N/A</v>
      </c>
      <c r="M1457" s="1"/>
      <c r="N1457" s="1"/>
      <c r="O1457" s="1"/>
    </row>
    <row r="1458" spans="1:15" hidden="1">
      <c r="A1458" s="1"/>
      <c r="B1458" s="40" t="e">
        <f t="shared" ca="1" si="199"/>
        <v>#N/A</v>
      </c>
      <c r="C1458" s="496">
        <v>378</v>
      </c>
      <c r="D1458" s="41" t="e">
        <f ca="1">IF($C$1076&gt;0,VLOOKUP($C1458,COSTI!$U$4:$Z$1003,3,FALSE),IF($C$1075&gt;0,VLOOKUP($C1458,PATRIMONIALE!$U$4:$Z$1003,3,FALSE),IF($C$1074&gt;0,VLOOKUP($C1458,ENTI!$U$4:$Z$1003,3,FALSE),"")))</f>
        <v>#N/A</v>
      </c>
      <c r="E1458" s="41" t="str">
        <f t="shared" ca="1" si="196"/>
        <v/>
      </c>
      <c r="F1458" s="41" t="e">
        <f t="shared" ca="1" si="198"/>
        <v>#NUM!</v>
      </c>
      <c r="G1458" s="39" t="e">
        <f ca="1">IF($C$1076&gt;0,VLOOKUP($C1458,COSTI!$U$4:$Z$1003,5,FALSE),IF($C$1075&gt;0,VLOOKUP($C1458,PATRIMONIALE!$U$4:$Z$1003,5,FALSE),IF($C$1074&gt;0,VLOOKUP($C1458,ENTI!$U$4:$Z$1003,5,FALSE),"")))</f>
        <v>#N/A</v>
      </c>
      <c r="H1458" s="42" t="e">
        <f ca="1">IF($C$1076&gt;0,VLOOKUP($C1458,COSTI!$U$4:$Z$1003,6,FALSE),IF($C$1075&gt;0,VLOOKUP($C1458,PATRIMONIALE!$U$4:$Z$1003,6,FALSE),IF($C$1074&gt;0,VLOOKUP($C1458,ENTI!$U$4:$Z$1003,6,FALSE),"")))</f>
        <v>#N/A</v>
      </c>
      <c r="I1458" s="496">
        <v>378</v>
      </c>
      <c r="J1458" s="43" t="e">
        <f ca="1">VLOOKUP(D1458,$F$1081:$I$4183,4,FALSE)+COUNTIF(E$1081:E1457,E1458)</f>
        <v>#N/A</v>
      </c>
      <c r="K1458" s="1"/>
      <c r="L1458" s="39" t="e">
        <f>IF($C$1074&gt;0,VLOOKUP($C1458,ENTI!$U$4:$AD$1003,10,FALSE),"")</f>
        <v>#N/A</v>
      </c>
      <c r="M1458" s="1"/>
      <c r="N1458" s="1"/>
      <c r="O1458" s="1"/>
    </row>
    <row r="1459" spans="1:15" hidden="1">
      <c r="A1459" s="1"/>
      <c r="B1459" s="40" t="e">
        <f t="shared" ca="1" si="199"/>
        <v>#N/A</v>
      </c>
      <c r="C1459" s="496">
        <v>379</v>
      </c>
      <c r="D1459" s="41" t="e">
        <f ca="1">IF($C$1076&gt;0,VLOOKUP($C1459,COSTI!$U$4:$Z$1003,3,FALSE),IF($C$1075&gt;0,VLOOKUP($C1459,PATRIMONIALE!$U$4:$Z$1003,3,FALSE),IF($C$1074&gt;0,VLOOKUP($C1459,ENTI!$U$4:$Z$1003,3,FALSE),"")))</f>
        <v>#N/A</v>
      </c>
      <c r="E1459" s="41" t="str">
        <f t="shared" ref="E1459:E1522" ca="1" si="200">IF(ISERROR(D1459),"",D1459)</f>
        <v/>
      </c>
      <c r="F1459" s="41" t="e">
        <f t="shared" ca="1" si="198"/>
        <v>#NUM!</v>
      </c>
      <c r="G1459" s="39" t="e">
        <f ca="1">IF($C$1076&gt;0,VLOOKUP($C1459,COSTI!$U$4:$Z$1003,5,FALSE),IF($C$1075&gt;0,VLOOKUP($C1459,PATRIMONIALE!$U$4:$Z$1003,5,FALSE),IF($C$1074&gt;0,VLOOKUP($C1459,ENTI!$U$4:$Z$1003,5,FALSE),"")))</f>
        <v>#N/A</v>
      </c>
      <c r="H1459" s="42" t="e">
        <f ca="1">IF($C$1076&gt;0,VLOOKUP($C1459,COSTI!$U$4:$Z$1003,6,FALSE),IF($C$1075&gt;0,VLOOKUP($C1459,PATRIMONIALE!$U$4:$Z$1003,6,FALSE),IF($C$1074&gt;0,VLOOKUP($C1459,ENTI!$U$4:$Z$1003,6,FALSE),"")))</f>
        <v>#N/A</v>
      </c>
      <c r="I1459" s="496">
        <v>379</v>
      </c>
      <c r="J1459" s="43" t="e">
        <f ca="1">VLOOKUP(D1459,$F$1081:$I$4183,4,FALSE)+COUNTIF(E$1081:E1458,E1459)</f>
        <v>#N/A</v>
      </c>
      <c r="K1459" s="1"/>
      <c r="L1459" s="39" t="e">
        <f>IF($C$1074&gt;0,VLOOKUP($C1459,ENTI!$U$4:$AD$1003,10,FALSE),"")</f>
        <v>#N/A</v>
      </c>
      <c r="M1459" s="1"/>
      <c r="N1459" s="1"/>
      <c r="O1459" s="1"/>
    </row>
    <row r="1460" spans="1:15" hidden="1">
      <c r="A1460" s="1"/>
      <c r="B1460" s="40" t="e">
        <f t="shared" ca="1" si="199"/>
        <v>#N/A</v>
      </c>
      <c r="C1460" s="496">
        <v>380</v>
      </c>
      <c r="D1460" s="41" t="e">
        <f ca="1">IF($C$1076&gt;0,VLOOKUP($C1460,COSTI!$U$4:$Z$1003,3,FALSE),IF($C$1075&gt;0,VLOOKUP($C1460,PATRIMONIALE!$U$4:$Z$1003,3,FALSE),IF($C$1074&gt;0,VLOOKUP($C1460,ENTI!$U$4:$Z$1003,3,FALSE),"")))</f>
        <v>#N/A</v>
      </c>
      <c r="E1460" s="41" t="str">
        <f t="shared" ca="1" si="200"/>
        <v/>
      </c>
      <c r="F1460" s="41" t="e">
        <f t="shared" ca="1" si="198"/>
        <v>#NUM!</v>
      </c>
      <c r="G1460" s="39" t="e">
        <f ca="1">IF($C$1076&gt;0,VLOOKUP($C1460,COSTI!$U$4:$Z$1003,5,FALSE),IF($C$1075&gt;0,VLOOKUP($C1460,PATRIMONIALE!$U$4:$Z$1003,5,FALSE),IF($C$1074&gt;0,VLOOKUP($C1460,ENTI!$U$4:$Z$1003,5,FALSE),"")))</f>
        <v>#N/A</v>
      </c>
      <c r="H1460" s="42" t="e">
        <f ca="1">IF($C$1076&gt;0,VLOOKUP($C1460,COSTI!$U$4:$Z$1003,6,FALSE),IF($C$1075&gt;0,VLOOKUP($C1460,PATRIMONIALE!$U$4:$Z$1003,6,FALSE),IF($C$1074&gt;0,VLOOKUP($C1460,ENTI!$U$4:$Z$1003,6,FALSE),"")))</f>
        <v>#N/A</v>
      </c>
      <c r="I1460" s="496">
        <v>380</v>
      </c>
      <c r="J1460" s="43" t="e">
        <f ca="1">VLOOKUP(D1460,$F$1081:$I$4183,4,FALSE)+COUNTIF(E$1081:E1459,E1460)</f>
        <v>#N/A</v>
      </c>
      <c r="K1460" s="1"/>
      <c r="L1460" s="39" t="e">
        <f>IF($C$1074&gt;0,VLOOKUP($C1460,ENTI!$U$4:$AD$1003,10,FALSE),"")</f>
        <v>#N/A</v>
      </c>
      <c r="M1460" s="1"/>
      <c r="N1460" s="1"/>
      <c r="O1460" s="1"/>
    </row>
    <row r="1461" spans="1:15" hidden="1">
      <c r="A1461" s="1"/>
      <c r="B1461" s="40" t="e">
        <f t="shared" ca="1" si="199"/>
        <v>#N/A</v>
      </c>
      <c r="C1461" s="496">
        <v>381</v>
      </c>
      <c r="D1461" s="41" t="e">
        <f ca="1">IF($C$1076&gt;0,VLOOKUP($C1461,COSTI!$U$4:$Z$1003,3,FALSE),IF($C$1075&gt;0,VLOOKUP($C1461,PATRIMONIALE!$U$4:$Z$1003,3,FALSE),IF($C$1074&gt;0,VLOOKUP($C1461,ENTI!$U$4:$Z$1003,3,FALSE),"")))</f>
        <v>#N/A</v>
      </c>
      <c r="E1461" s="41" t="str">
        <f t="shared" ca="1" si="200"/>
        <v/>
      </c>
      <c r="F1461" s="41" t="e">
        <f t="shared" ca="1" si="198"/>
        <v>#NUM!</v>
      </c>
      <c r="G1461" s="39" t="e">
        <f ca="1">IF($C$1076&gt;0,VLOOKUP($C1461,COSTI!$U$4:$Z$1003,5,FALSE),IF($C$1075&gt;0,VLOOKUP($C1461,PATRIMONIALE!$U$4:$Z$1003,5,FALSE),IF($C$1074&gt;0,VLOOKUP($C1461,ENTI!$U$4:$Z$1003,5,FALSE),"")))</f>
        <v>#N/A</v>
      </c>
      <c r="H1461" s="42" t="e">
        <f ca="1">IF($C$1076&gt;0,VLOOKUP($C1461,COSTI!$U$4:$Z$1003,6,FALSE),IF($C$1075&gt;0,VLOOKUP($C1461,PATRIMONIALE!$U$4:$Z$1003,6,FALSE),IF($C$1074&gt;0,VLOOKUP($C1461,ENTI!$U$4:$Z$1003,6,FALSE),"")))</f>
        <v>#N/A</v>
      </c>
      <c r="I1461" s="496">
        <v>381</v>
      </c>
      <c r="J1461" s="43" t="e">
        <f ca="1">VLOOKUP(D1461,$F$1081:$I$4183,4,FALSE)+COUNTIF(E$1081:E1460,E1461)</f>
        <v>#N/A</v>
      </c>
      <c r="K1461" s="1"/>
      <c r="L1461" s="39" t="e">
        <f>IF($C$1074&gt;0,VLOOKUP($C1461,ENTI!$U$4:$AD$1003,10,FALSE),"")</f>
        <v>#N/A</v>
      </c>
      <c r="M1461" s="1"/>
      <c r="N1461" s="1"/>
      <c r="O1461" s="1"/>
    </row>
    <row r="1462" spans="1:15" hidden="1">
      <c r="A1462" s="1"/>
      <c r="B1462" s="40" t="e">
        <f t="shared" ca="1" si="199"/>
        <v>#N/A</v>
      </c>
      <c r="C1462" s="496">
        <v>382</v>
      </c>
      <c r="D1462" s="41" t="e">
        <f ca="1">IF($C$1076&gt;0,VLOOKUP($C1462,COSTI!$U$4:$Z$1003,3,FALSE),IF($C$1075&gt;0,VLOOKUP($C1462,PATRIMONIALE!$U$4:$Z$1003,3,FALSE),IF($C$1074&gt;0,VLOOKUP($C1462,ENTI!$U$4:$Z$1003,3,FALSE),"")))</f>
        <v>#N/A</v>
      </c>
      <c r="E1462" s="41" t="str">
        <f t="shared" ca="1" si="200"/>
        <v/>
      </c>
      <c r="F1462" s="41" t="e">
        <f t="shared" ca="1" si="198"/>
        <v>#NUM!</v>
      </c>
      <c r="G1462" s="39" t="e">
        <f ca="1">IF($C$1076&gt;0,VLOOKUP($C1462,COSTI!$U$4:$Z$1003,5,FALSE),IF($C$1075&gt;0,VLOOKUP($C1462,PATRIMONIALE!$U$4:$Z$1003,5,FALSE),IF($C$1074&gt;0,VLOOKUP($C1462,ENTI!$U$4:$Z$1003,5,FALSE),"")))</f>
        <v>#N/A</v>
      </c>
      <c r="H1462" s="42" t="e">
        <f ca="1">IF($C$1076&gt;0,VLOOKUP($C1462,COSTI!$U$4:$Z$1003,6,FALSE),IF($C$1075&gt;0,VLOOKUP($C1462,PATRIMONIALE!$U$4:$Z$1003,6,FALSE),IF($C$1074&gt;0,VLOOKUP($C1462,ENTI!$U$4:$Z$1003,6,FALSE),"")))</f>
        <v>#N/A</v>
      </c>
      <c r="I1462" s="496">
        <v>382</v>
      </c>
      <c r="J1462" s="43" t="e">
        <f ca="1">VLOOKUP(D1462,$F$1081:$I$4183,4,FALSE)+COUNTIF(E$1081:E1461,E1462)</f>
        <v>#N/A</v>
      </c>
      <c r="K1462" s="1"/>
      <c r="L1462" s="39" t="e">
        <f>IF($C$1074&gt;0,VLOOKUP($C1462,ENTI!$U$4:$AD$1003,10,FALSE),"")</f>
        <v>#N/A</v>
      </c>
      <c r="M1462" s="1"/>
      <c r="N1462" s="1"/>
      <c r="O1462" s="1"/>
    </row>
    <row r="1463" spans="1:15" hidden="1">
      <c r="A1463" s="1"/>
      <c r="B1463" s="40" t="e">
        <f t="shared" ca="1" si="199"/>
        <v>#N/A</v>
      </c>
      <c r="C1463" s="496">
        <v>383</v>
      </c>
      <c r="D1463" s="41" t="e">
        <f ca="1">IF($C$1076&gt;0,VLOOKUP($C1463,COSTI!$U$4:$Z$1003,3,FALSE),IF($C$1075&gt;0,VLOOKUP($C1463,PATRIMONIALE!$U$4:$Z$1003,3,FALSE),IF($C$1074&gt;0,VLOOKUP($C1463,ENTI!$U$4:$Z$1003,3,FALSE),"")))</f>
        <v>#N/A</v>
      </c>
      <c r="E1463" s="41" t="str">
        <f t="shared" ca="1" si="200"/>
        <v/>
      </c>
      <c r="F1463" s="41" t="e">
        <f t="shared" ca="1" si="198"/>
        <v>#NUM!</v>
      </c>
      <c r="G1463" s="39" t="e">
        <f ca="1">IF($C$1076&gt;0,VLOOKUP($C1463,COSTI!$U$4:$Z$1003,5,FALSE),IF($C$1075&gt;0,VLOOKUP($C1463,PATRIMONIALE!$U$4:$Z$1003,5,FALSE),IF($C$1074&gt;0,VLOOKUP($C1463,ENTI!$U$4:$Z$1003,5,FALSE),"")))</f>
        <v>#N/A</v>
      </c>
      <c r="H1463" s="42" t="e">
        <f ca="1">IF($C$1076&gt;0,VLOOKUP($C1463,COSTI!$U$4:$Z$1003,6,FALSE),IF($C$1075&gt;0,VLOOKUP($C1463,PATRIMONIALE!$U$4:$Z$1003,6,FALSE),IF($C$1074&gt;0,VLOOKUP($C1463,ENTI!$U$4:$Z$1003,6,FALSE),"")))</f>
        <v>#N/A</v>
      </c>
      <c r="I1463" s="496">
        <v>383</v>
      </c>
      <c r="J1463" s="43" t="e">
        <f ca="1">VLOOKUP(D1463,$F$1081:$I$4183,4,FALSE)+COUNTIF(E$1081:E1462,E1463)</f>
        <v>#N/A</v>
      </c>
      <c r="K1463" s="1"/>
      <c r="L1463" s="39" t="e">
        <f>IF($C$1074&gt;0,VLOOKUP($C1463,ENTI!$U$4:$AD$1003,10,FALSE),"")</f>
        <v>#N/A</v>
      </c>
      <c r="M1463" s="1"/>
      <c r="N1463" s="1"/>
      <c r="O1463" s="1"/>
    </row>
    <row r="1464" spans="1:15" hidden="1">
      <c r="A1464" s="1"/>
      <c r="B1464" s="40" t="e">
        <f t="shared" ca="1" si="199"/>
        <v>#N/A</v>
      </c>
      <c r="C1464" s="496">
        <v>384</v>
      </c>
      <c r="D1464" s="41" t="e">
        <f ca="1">IF($C$1076&gt;0,VLOOKUP($C1464,COSTI!$U$4:$Z$1003,3,FALSE),IF($C$1075&gt;0,VLOOKUP($C1464,PATRIMONIALE!$U$4:$Z$1003,3,FALSE),IF($C$1074&gt;0,VLOOKUP($C1464,ENTI!$U$4:$Z$1003,3,FALSE),"")))</f>
        <v>#N/A</v>
      </c>
      <c r="E1464" s="41" t="str">
        <f t="shared" ca="1" si="200"/>
        <v/>
      </c>
      <c r="F1464" s="41" t="e">
        <f t="shared" ca="1" si="198"/>
        <v>#NUM!</v>
      </c>
      <c r="G1464" s="39" t="e">
        <f ca="1">IF($C$1076&gt;0,VLOOKUP($C1464,COSTI!$U$4:$Z$1003,5,FALSE),IF($C$1075&gt;0,VLOOKUP($C1464,PATRIMONIALE!$U$4:$Z$1003,5,FALSE),IF($C$1074&gt;0,VLOOKUP($C1464,ENTI!$U$4:$Z$1003,5,FALSE),"")))</f>
        <v>#N/A</v>
      </c>
      <c r="H1464" s="42" t="e">
        <f ca="1">IF($C$1076&gt;0,VLOOKUP($C1464,COSTI!$U$4:$Z$1003,6,FALSE),IF($C$1075&gt;0,VLOOKUP($C1464,PATRIMONIALE!$U$4:$Z$1003,6,FALSE),IF($C$1074&gt;0,VLOOKUP($C1464,ENTI!$U$4:$Z$1003,6,FALSE),"")))</f>
        <v>#N/A</v>
      </c>
      <c r="I1464" s="496">
        <v>384</v>
      </c>
      <c r="J1464" s="43" t="e">
        <f ca="1">VLOOKUP(D1464,$F$1081:$I$4183,4,FALSE)+COUNTIF(E$1081:E1463,E1464)</f>
        <v>#N/A</v>
      </c>
      <c r="K1464" s="1"/>
      <c r="L1464" s="39" t="e">
        <f>IF($C$1074&gt;0,VLOOKUP($C1464,ENTI!$U$4:$AD$1003,10,FALSE),"")</f>
        <v>#N/A</v>
      </c>
      <c r="M1464" s="1"/>
      <c r="N1464" s="1"/>
      <c r="O1464" s="1"/>
    </row>
    <row r="1465" spans="1:15" hidden="1">
      <c r="A1465" s="1"/>
      <c r="B1465" s="40" t="e">
        <f t="shared" ca="1" si="199"/>
        <v>#N/A</v>
      </c>
      <c r="C1465" s="496">
        <v>385</v>
      </c>
      <c r="D1465" s="41" t="e">
        <f ca="1">IF($C$1076&gt;0,VLOOKUP($C1465,COSTI!$U$4:$Z$1003,3,FALSE),IF($C$1075&gt;0,VLOOKUP($C1465,PATRIMONIALE!$U$4:$Z$1003,3,FALSE),IF($C$1074&gt;0,VLOOKUP($C1465,ENTI!$U$4:$Z$1003,3,FALSE),"")))</f>
        <v>#N/A</v>
      </c>
      <c r="E1465" s="41" t="str">
        <f t="shared" ca="1" si="200"/>
        <v/>
      </c>
      <c r="F1465" s="41" t="e">
        <f t="shared" ref="F1465:F1528" ca="1" si="201">SMALL(E$1081:E$4183,C1465)</f>
        <v>#NUM!</v>
      </c>
      <c r="G1465" s="39" t="e">
        <f ca="1">IF($C$1076&gt;0,VLOOKUP($C1465,COSTI!$U$4:$Z$1003,5,FALSE),IF($C$1075&gt;0,VLOOKUP($C1465,PATRIMONIALE!$U$4:$Z$1003,5,FALSE),IF($C$1074&gt;0,VLOOKUP($C1465,ENTI!$U$4:$Z$1003,5,FALSE),"")))</f>
        <v>#N/A</v>
      </c>
      <c r="H1465" s="42" t="e">
        <f ca="1">IF($C$1076&gt;0,VLOOKUP($C1465,COSTI!$U$4:$Z$1003,6,FALSE),IF($C$1075&gt;0,VLOOKUP($C1465,PATRIMONIALE!$U$4:$Z$1003,6,FALSE),IF($C$1074&gt;0,VLOOKUP($C1465,ENTI!$U$4:$Z$1003,6,FALSE),"")))</f>
        <v>#N/A</v>
      </c>
      <c r="I1465" s="496">
        <v>385</v>
      </c>
      <c r="J1465" s="43" t="e">
        <f ca="1">VLOOKUP(D1465,$F$1081:$I$4183,4,FALSE)+COUNTIF(E$1081:E1464,E1465)</f>
        <v>#N/A</v>
      </c>
      <c r="K1465" s="1"/>
      <c r="L1465" s="39" t="e">
        <f>IF($C$1074&gt;0,VLOOKUP($C1465,ENTI!$U$4:$AD$1003,10,FALSE),"")</f>
        <v>#N/A</v>
      </c>
      <c r="M1465" s="1"/>
      <c r="N1465" s="1"/>
      <c r="O1465" s="1"/>
    </row>
    <row r="1466" spans="1:15" hidden="1">
      <c r="A1466" s="1"/>
      <c r="B1466" s="40" t="e">
        <f t="shared" ca="1" si="199"/>
        <v>#N/A</v>
      </c>
      <c r="C1466" s="496">
        <v>386</v>
      </c>
      <c r="D1466" s="41" t="e">
        <f ca="1">IF($C$1076&gt;0,VLOOKUP($C1466,COSTI!$U$4:$Z$1003,3,FALSE),IF($C$1075&gt;0,VLOOKUP($C1466,PATRIMONIALE!$U$4:$Z$1003,3,FALSE),IF($C$1074&gt;0,VLOOKUP($C1466,ENTI!$U$4:$Z$1003,3,FALSE),"")))</f>
        <v>#N/A</v>
      </c>
      <c r="E1466" s="41" t="str">
        <f t="shared" ca="1" si="200"/>
        <v/>
      </c>
      <c r="F1466" s="41" t="e">
        <f t="shared" ca="1" si="201"/>
        <v>#NUM!</v>
      </c>
      <c r="G1466" s="39" t="e">
        <f ca="1">IF($C$1076&gt;0,VLOOKUP($C1466,COSTI!$U$4:$Z$1003,5,FALSE),IF($C$1075&gt;0,VLOOKUP($C1466,PATRIMONIALE!$U$4:$Z$1003,5,FALSE),IF($C$1074&gt;0,VLOOKUP($C1466,ENTI!$U$4:$Z$1003,5,FALSE),"")))</f>
        <v>#N/A</v>
      </c>
      <c r="H1466" s="42" t="e">
        <f ca="1">IF($C$1076&gt;0,VLOOKUP($C1466,COSTI!$U$4:$Z$1003,6,FALSE),IF($C$1075&gt;0,VLOOKUP($C1466,PATRIMONIALE!$U$4:$Z$1003,6,FALSE),IF($C$1074&gt;0,VLOOKUP($C1466,ENTI!$U$4:$Z$1003,6,FALSE),"")))</f>
        <v>#N/A</v>
      </c>
      <c r="I1466" s="496">
        <v>386</v>
      </c>
      <c r="J1466" s="43" t="e">
        <f ca="1">VLOOKUP(D1466,$F$1081:$I$4183,4,FALSE)+COUNTIF(E$1081:E1465,E1466)</f>
        <v>#N/A</v>
      </c>
      <c r="K1466" s="1"/>
      <c r="L1466" s="39" t="e">
        <f>IF($C$1074&gt;0,VLOOKUP($C1466,ENTI!$U$4:$AD$1003,10,FALSE),"")</f>
        <v>#N/A</v>
      </c>
      <c r="M1466" s="1"/>
      <c r="N1466" s="1"/>
      <c r="O1466" s="1"/>
    </row>
    <row r="1467" spans="1:15" hidden="1">
      <c r="A1467" s="1"/>
      <c r="B1467" s="40" t="e">
        <f t="shared" ca="1" si="199"/>
        <v>#N/A</v>
      </c>
      <c r="C1467" s="496">
        <v>387</v>
      </c>
      <c r="D1467" s="41" t="e">
        <f ca="1">IF($C$1076&gt;0,VLOOKUP($C1467,COSTI!$U$4:$Z$1003,3,FALSE),IF($C$1075&gt;0,VLOOKUP($C1467,PATRIMONIALE!$U$4:$Z$1003,3,FALSE),IF($C$1074&gt;0,VLOOKUP($C1467,ENTI!$U$4:$Z$1003,3,FALSE),"")))</f>
        <v>#N/A</v>
      </c>
      <c r="E1467" s="41" t="str">
        <f t="shared" ca="1" si="200"/>
        <v/>
      </c>
      <c r="F1467" s="41" t="e">
        <f t="shared" ca="1" si="201"/>
        <v>#NUM!</v>
      </c>
      <c r="G1467" s="39" t="e">
        <f ca="1">IF($C$1076&gt;0,VLOOKUP($C1467,COSTI!$U$4:$Z$1003,5,FALSE),IF($C$1075&gt;0,VLOOKUP($C1467,PATRIMONIALE!$U$4:$Z$1003,5,FALSE),IF($C$1074&gt;0,VLOOKUP($C1467,ENTI!$U$4:$Z$1003,5,FALSE),"")))</f>
        <v>#N/A</v>
      </c>
      <c r="H1467" s="42" t="e">
        <f ca="1">IF($C$1076&gt;0,VLOOKUP($C1467,COSTI!$U$4:$Z$1003,6,FALSE),IF($C$1075&gt;0,VLOOKUP($C1467,PATRIMONIALE!$U$4:$Z$1003,6,FALSE),IF($C$1074&gt;0,VLOOKUP($C1467,ENTI!$U$4:$Z$1003,6,FALSE),"")))</f>
        <v>#N/A</v>
      </c>
      <c r="I1467" s="496">
        <v>387</v>
      </c>
      <c r="J1467" s="43" t="e">
        <f ca="1">VLOOKUP(D1467,$F$1081:$I$4183,4,FALSE)+COUNTIF(E$1081:E1466,E1467)</f>
        <v>#N/A</v>
      </c>
      <c r="K1467" s="1"/>
      <c r="L1467" s="39" t="e">
        <f>IF($C$1074&gt;0,VLOOKUP($C1467,ENTI!$U$4:$AD$1003,10,FALSE),"")</f>
        <v>#N/A</v>
      </c>
      <c r="M1467" s="1"/>
      <c r="N1467" s="1"/>
      <c r="O1467" s="1"/>
    </row>
    <row r="1468" spans="1:15" hidden="1">
      <c r="A1468" s="1"/>
      <c r="B1468" s="40" t="e">
        <f t="shared" ca="1" si="199"/>
        <v>#N/A</v>
      </c>
      <c r="C1468" s="496">
        <v>388</v>
      </c>
      <c r="D1468" s="41" t="e">
        <f ca="1">IF($C$1076&gt;0,VLOOKUP($C1468,COSTI!$U$4:$Z$1003,3,FALSE),IF($C$1075&gt;0,VLOOKUP($C1468,PATRIMONIALE!$U$4:$Z$1003,3,FALSE),IF($C$1074&gt;0,VLOOKUP($C1468,ENTI!$U$4:$Z$1003,3,FALSE),"")))</f>
        <v>#N/A</v>
      </c>
      <c r="E1468" s="41" t="str">
        <f t="shared" ca="1" si="200"/>
        <v/>
      </c>
      <c r="F1468" s="41" t="e">
        <f t="shared" ca="1" si="201"/>
        <v>#NUM!</v>
      </c>
      <c r="G1468" s="39" t="e">
        <f ca="1">IF($C$1076&gt;0,VLOOKUP($C1468,COSTI!$U$4:$Z$1003,5,FALSE),IF($C$1075&gt;0,VLOOKUP($C1468,PATRIMONIALE!$U$4:$Z$1003,5,FALSE),IF($C$1074&gt;0,VLOOKUP($C1468,ENTI!$U$4:$Z$1003,5,FALSE),"")))</f>
        <v>#N/A</v>
      </c>
      <c r="H1468" s="42" t="e">
        <f ca="1">IF($C$1076&gt;0,VLOOKUP($C1468,COSTI!$U$4:$Z$1003,6,FALSE),IF($C$1075&gt;0,VLOOKUP($C1468,PATRIMONIALE!$U$4:$Z$1003,6,FALSE),IF($C$1074&gt;0,VLOOKUP($C1468,ENTI!$U$4:$Z$1003,6,FALSE),"")))</f>
        <v>#N/A</v>
      </c>
      <c r="I1468" s="496">
        <v>388</v>
      </c>
      <c r="J1468" s="43" t="e">
        <f ca="1">VLOOKUP(D1468,$F$1081:$I$4183,4,FALSE)+COUNTIF(E$1081:E1467,E1468)</f>
        <v>#N/A</v>
      </c>
      <c r="K1468" s="1"/>
      <c r="L1468" s="39" t="e">
        <f>IF($C$1074&gt;0,VLOOKUP($C1468,ENTI!$U$4:$AD$1003,10,FALSE),"")</f>
        <v>#N/A</v>
      </c>
      <c r="M1468" s="1"/>
      <c r="N1468" s="1"/>
      <c r="O1468" s="1"/>
    </row>
    <row r="1469" spans="1:15" hidden="1">
      <c r="A1469" s="1"/>
      <c r="B1469" s="40" t="e">
        <f t="shared" ca="1" si="199"/>
        <v>#N/A</v>
      </c>
      <c r="C1469" s="496">
        <v>389</v>
      </c>
      <c r="D1469" s="41" t="e">
        <f ca="1">IF($C$1076&gt;0,VLOOKUP($C1469,COSTI!$U$4:$Z$1003,3,FALSE),IF($C$1075&gt;0,VLOOKUP($C1469,PATRIMONIALE!$U$4:$Z$1003,3,FALSE),IF($C$1074&gt;0,VLOOKUP($C1469,ENTI!$U$4:$Z$1003,3,FALSE),"")))</f>
        <v>#N/A</v>
      </c>
      <c r="E1469" s="41" t="str">
        <f t="shared" ca="1" si="200"/>
        <v/>
      </c>
      <c r="F1469" s="41" t="e">
        <f t="shared" ca="1" si="201"/>
        <v>#NUM!</v>
      </c>
      <c r="G1469" s="39" t="e">
        <f ca="1">IF($C$1076&gt;0,VLOOKUP($C1469,COSTI!$U$4:$Z$1003,5,FALSE),IF($C$1075&gt;0,VLOOKUP($C1469,PATRIMONIALE!$U$4:$Z$1003,5,FALSE),IF($C$1074&gt;0,VLOOKUP($C1469,ENTI!$U$4:$Z$1003,5,FALSE),"")))</f>
        <v>#N/A</v>
      </c>
      <c r="H1469" s="42" t="e">
        <f ca="1">IF($C$1076&gt;0,VLOOKUP($C1469,COSTI!$U$4:$Z$1003,6,FALSE),IF($C$1075&gt;0,VLOOKUP($C1469,PATRIMONIALE!$U$4:$Z$1003,6,FALSE),IF($C$1074&gt;0,VLOOKUP($C1469,ENTI!$U$4:$Z$1003,6,FALSE),"")))</f>
        <v>#N/A</v>
      </c>
      <c r="I1469" s="496">
        <v>389</v>
      </c>
      <c r="J1469" s="43" t="e">
        <f ca="1">VLOOKUP(D1469,$F$1081:$I$4183,4,FALSE)+COUNTIF(E$1081:E1468,E1469)</f>
        <v>#N/A</v>
      </c>
      <c r="K1469" s="1"/>
      <c r="L1469" s="39" t="e">
        <f>IF($C$1074&gt;0,VLOOKUP($C1469,ENTI!$U$4:$AD$1003,10,FALSE),"")</f>
        <v>#N/A</v>
      </c>
      <c r="M1469" s="1"/>
      <c r="N1469" s="1"/>
      <c r="O1469" s="1"/>
    </row>
    <row r="1470" spans="1:15" hidden="1">
      <c r="A1470" s="1"/>
      <c r="B1470" s="40" t="e">
        <f t="shared" ca="1" si="199"/>
        <v>#N/A</v>
      </c>
      <c r="C1470" s="496">
        <v>390</v>
      </c>
      <c r="D1470" s="41" t="e">
        <f ca="1">IF($C$1076&gt;0,VLOOKUP($C1470,COSTI!$U$4:$Z$1003,3,FALSE),IF($C$1075&gt;0,VLOOKUP($C1470,PATRIMONIALE!$U$4:$Z$1003,3,FALSE),IF($C$1074&gt;0,VLOOKUP($C1470,ENTI!$U$4:$Z$1003,3,FALSE),"")))</f>
        <v>#N/A</v>
      </c>
      <c r="E1470" s="41" t="str">
        <f t="shared" ca="1" si="200"/>
        <v/>
      </c>
      <c r="F1470" s="41" t="e">
        <f t="shared" ca="1" si="201"/>
        <v>#NUM!</v>
      </c>
      <c r="G1470" s="39" t="e">
        <f ca="1">IF($C$1076&gt;0,VLOOKUP($C1470,COSTI!$U$4:$Z$1003,5,FALSE),IF($C$1075&gt;0,VLOOKUP($C1470,PATRIMONIALE!$U$4:$Z$1003,5,FALSE),IF($C$1074&gt;0,VLOOKUP($C1470,ENTI!$U$4:$Z$1003,5,FALSE),"")))</f>
        <v>#N/A</v>
      </c>
      <c r="H1470" s="42" t="e">
        <f ca="1">IF($C$1076&gt;0,VLOOKUP($C1470,COSTI!$U$4:$Z$1003,6,FALSE),IF($C$1075&gt;0,VLOOKUP($C1470,PATRIMONIALE!$U$4:$Z$1003,6,FALSE),IF($C$1074&gt;0,VLOOKUP($C1470,ENTI!$U$4:$Z$1003,6,FALSE),"")))</f>
        <v>#N/A</v>
      </c>
      <c r="I1470" s="496">
        <v>390</v>
      </c>
      <c r="J1470" s="43" t="e">
        <f ca="1">VLOOKUP(D1470,$F$1081:$I$4183,4,FALSE)+COUNTIF(E$1081:E1469,E1470)</f>
        <v>#N/A</v>
      </c>
      <c r="K1470" s="1"/>
      <c r="L1470" s="39" t="e">
        <f>IF($C$1074&gt;0,VLOOKUP($C1470,ENTI!$U$4:$AD$1003,10,FALSE),"")</f>
        <v>#N/A</v>
      </c>
      <c r="M1470" s="1"/>
      <c r="N1470" s="1"/>
      <c r="O1470" s="1"/>
    </row>
    <row r="1471" spans="1:15" hidden="1">
      <c r="A1471" s="1"/>
      <c r="B1471" s="40" t="e">
        <f t="shared" ca="1" si="199"/>
        <v>#N/A</v>
      </c>
      <c r="C1471" s="496">
        <v>391</v>
      </c>
      <c r="D1471" s="41" t="e">
        <f ca="1">IF($C$1076&gt;0,VLOOKUP($C1471,COSTI!$U$4:$Z$1003,3,FALSE),IF($C$1075&gt;0,VLOOKUP($C1471,PATRIMONIALE!$U$4:$Z$1003,3,FALSE),IF($C$1074&gt;0,VLOOKUP($C1471,ENTI!$U$4:$Z$1003,3,FALSE),"")))</f>
        <v>#N/A</v>
      </c>
      <c r="E1471" s="41" t="str">
        <f t="shared" ca="1" si="200"/>
        <v/>
      </c>
      <c r="F1471" s="41" t="e">
        <f t="shared" ca="1" si="201"/>
        <v>#NUM!</v>
      </c>
      <c r="G1471" s="39" t="e">
        <f ca="1">IF($C$1076&gt;0,VLOOKUP($C1471,COSTI!$U$4:$Z$1003,5,FALSE),IF($C$1075&gt;0,VLOOKUP($C1471,PATRIMONIALE!$U$4:$Z$1003,5,FALSE),IF($C$1074&gt;0,VLOOKUP($C1471,ENTI!$U$4:$Z$1003,5,FALSE),"")))</f>
        <v>#N/A</v>
      </c>
      <c r="H1471" s="42" t="e">
        <f ca="1">IF($C$1076&gt;0,VLOOKUP($C1471,COSTI!$U$4:$Z$1003,6,FALSE),IF($C$1075&gt;0,VLOOKUP($C1471,PATRIMONIALE!$U$4:$Z$1003,6,FALSE),IF($C$1074&gt;0,VLOOKUP($C1471,ENTI!$U$4:$Z$1003,6,FALSE),"")))</f>
        <v>#N/A</v>
      </c>
      <c r="I1471" s="496">
        <v>391</v>
      </c>
      <c r="J1471" s="43" t="e">
        <f ca="1">VLOOKUP(D1471,$F$1081:$I$4183,4,FALSE)+COUNTIF(E$1081:E1470,E1471)</f>
        <v>#N/A</v>
      </c>
      <c r="K1471" s="1"/>
      <c r="L1471" s="39" t="e">
        <f>IF($C$1074&gt;0,VLOOKUP($C1471,ENTI!$U$4:$AD$1003,10,FALSE),"")</f>
        <v>#N/A</v>
      </c>
      <c r="M1471" s="1"/>
      <c r="N1471" s="1"/>
      <c r="O1471" s="1"/>
    </row>
    <row r="1472" spans="1:15" hidden="1">
      <c r="A1472" s="1"/>
      <c r="B1472" s="40" t="e">
        <f t="shared" ca="1" si="199"/>
        <v>#N/A</v>
      </c>
      <c r="C1472" s="496">
        <v>392</v>
      </c>
      <c r="D1472" s="41" t="e">
        <f ca="1">IF($C$1076&gt;0,VLOOKUP($C1472,COSTI!$U$4:$Z$1003,3,FALSE),IF($C$1075&gt;0,VLOOKUP($C1472,PATRIMONIALE!$U$4:$Z$1003,3,FALSE),IF($C$1074&gt;0,VLOOKUP($C1472,ENTI!$U$4:$Z$1003,3,FALSE),"")))</f>
        <v>#N/A</v>
      </c>
      <c r="E1472" s="41" t="str">
        <f t="shared" ca="1" si="200"/>
        <v/>
      </c>
      <c r="F1472" s="41" t="e">
        <f t="shared" ca="1" si="201"/>
        <v>#NUM!</v>
      </c>
      <c r="G1472" s="39" t="e">
        <f ca="1">IF($C$1076&gt;0,VLOOKUP($C1472,COSTI!$U$4:$Z$1003,5,FALSE),IF($C$1075&gt;0,VLOOKUP($C1472,PATRIMONIALE!$U$4:$Z$1003,5,FALSE),IF($C$1074&gt;0,VLOOKUP($C1472,ENTI!$U$4:$Z$1003,5,FALSE),"")))</f>
        <v>#N/A</v>
      </c>
      <c r="H1472" s="42" t="e">
        <f ca="1">IF($C$1076&gt;0,VLOOKUP($C1472,COSTI!$U$4:$Z$1003,6,FALSE),IF($C$1075&gt;0,VLOOKUP($C1472,PATRIMONIALE!$U$4:$Z$1003,6,FALSE),IF($C$1074&gt;0,VLOOKUP($C1472,ENTI!$U$4:$Z$1003,6,FALSE),"")))</f>
        <v>#N/A</v>
      </c>
      <c r="I1472" s="496">
        <v>392</v>
      </c>
      <c r="J1472" s="43" t="e">
        <f ca="1">VLOOKUP(D1472,$F$1081:$I$4183,4,FALSE)+COUNTIF(E$1081:E1471,E1472)</f>
        <v>#N/A</v>
      </c>
      <c r="K1472" s="1"/>
      <c r="L1472" s="39" t="e">
        <f>IF($C$1074&gt;0,VLOOKUP($C1472,ENTI!$U$4:$AD$1003,10,FALSE),"")</f>
        <v>#N/A</v>
      </c>
      <c r="M1472" s="1"/>
      <c r="N1472" s="1"/>
      <c r="O1472" s="1"/>
    </row>
    <row r="1473" spans="1:15" hidden="1">
      <c r="A1473" s="1"/>
      <c r="B1473" s="40" t="e">
        <f t="shared" ca="1" si="199"/>
        <v>#N/A</v>
      </c>
      <c r="C1473" s="496">
        <v>393</v>
      </c>
      <c r="D1473" s="41" t="e">
        <f ca="1">IF($C$1076&gt;0,VLOOKUP($C1473,COSTI!$U$4:$Z$1003,3,FALSE),IF($C$1075&gt;0,VLOOKUP($C1473,PATRIMONIALE!$U$4:$Z$1003,3,FALSE),IF($C$1074&gt;0,VLOOKUP($C1473,ENTI!$U$4:$Z$1003,3,FALSE),"")))</f>
        <v>#N/A</v>
      </c>
      <c r="E1473" s="41" t="str">
        <f t="shared" ca="1" si="200"/>
        <v/>
      </c>
      <c r="F1473" s="41" t="e">
        <f t="shared" ca="1" si="201"/>
        <v>#NUM!</v>
      </c>
      <c r="G1473" s="39" t="e">
        <f ca="1">IF($C$1076&gt;0,VLOOKUP($C1473,COSTI!$U$4:$Z$1003,5,FALSE),IF($C$1075&gt;0,VLOOKUP($C1473,PATRIMONIALE!$U$4:$Z$1003,5,FALSE),IF($C$1074&gt;0,VLOOKUP($C1473,ENTI!$U$4:$Z$1003,5,FALSE),"")))</f>
        <v>#N/A</v>
      </c>
      <c r="H1473" s="42" t="e">
        <f ca="1">IF($C$1076&gt;0,VLOOKUP($C1473,COSTI!$U$4:$Z$1003,6,FALSE),IF($C$1075&gt;0,VLOOKUP($C1473,PATRIMONIALE!$U$4:$Z$1003,6,FALSE),IF($C$1074&gt;0,VLOOKUP($C1473,ENTI!$U$4:$Z$1003,6,FALSE),"")))</f>
        <v>#N/A</v>
      </c>
      <c r="I1473" s="496">
        <v>393</v>
      </c>
      <c r="J1473" s="43" t="e">
        <f ca="1">VLOOKUP(D1473,$F$1081:$I$4183,4,FALSE)+COUNTIF(E$1081:E1472,E1473)</f>
        <v>#N/A</v>
      </c>
      <c r="K1473" s="1"/>
      <c r="L1473" s="39" t="e">
        <f>IF($C$1074&gt;0,VLOOKUP($C1473,ENTI!$U$4:$AD$1003,10,FALSE),"")</f>
        <v>#N/A</v>
      </c>
      <c r="M1473" s="1"/>
      <c r="N1473" s="1"/>
      <c r="O1473" s="1"/>
    </row>
    <row r="1474" spans="1:15" hidden="1">
      <c r="A1474" s="1"/>
      <c r="B1474" s="40" t="e">
        <f t="shared" ca="1" si="199"/>
        <v>#N/A</v>
      </c>
      <c r="C1474" s="496">
        <v>394</v>
      </c>
      <c r="D1474" s="41" t="e">
        <f ca="1">IF($C$1076&gt;0,VLOOKUP($C1474,COSTI!$U$4:$Z$1003,3,FALSE),IF($C$1075&gt;0,VLOOKUP($C1474,PATRIMONIALE!$U$4:$Z$1003,3,FALSE),IF($C$1074&gt;0,VLOOKUP($C1474,ENTI!$U$4:$Z$1003,3,FALSE),"")))</f>
        <v>#N/A</v>
      </c>
      <c r="E1474" s="41" t="str">
        <f t="shared" ca="1" si="200"/>
        <v/>
      </c>
      <c r="F1474" s="41" t="e">
        <f t="shared" ca="1" si="201"/>
        <v>#NUM!</v>
      </c>
      <c r="G1474" s="39" t="e">
        <f ca="1">IF($C$1076&gt;0,VLOOKUP($C1474,COSTI!$U$4:$Z$1003,5,FALSE),IF($C$1075&gt;0,VLOOKUP($C1474,PATRIMONIALE!$U$4:$Z$1003,5,FALSE),IF($C$1074&gt;0,VLOOKUP($C1474,ENTI!$U$4:$Z$1003,5,FALSE),"")))</f>
        <v>#N/A</v>
      </c>
      <c r="H1474" s="42" t="e">
        <f ca="1">IF($C$1076&gt;0,VLOOKUP($C1474,COSTI!$U$4:$Z$1003,6,FALSE),IF($C$1075&gt;0,VLOOKUP($C1474,PATRIMONIALE!$U$4:$Z$1003,6,FALSE),IF($C$1074&gt;0,VLOOKUP($C1474,ENTI!$U$4:$Z$1003,6,FALSE),"")))</f>
        <v>#N/A</v>
      </c>
      <c r="I1474" s="496">
        <v>394</v>
      </c>
      <c r="J1474" s="43" t="e">
        <f ca="1">VLOOKUP(D1474,$F$1081:$I$4183,4,FALSE)+COUNTIF(E$1081:E1473,E1474)</f>
        <v>#N/A</v>
      </c>
      <c r="K1474" s="1"/>
      <c r="L1474" s="39" t="e">
        <f>IF($C$1074&gt;0,VLOOKUP($C1474,ENTI!$U$4:$AD$1003,10,FALSE),"")</f>
        <v>#N/A</v>
      </c>
      <c r="M1474" s="1"/>
      <c r="N1474" s="1"/>
      <c r="O1474" s="1"/>
    </row>
    <row r="1475" spans="1:15" hidden="1">
      <c r="A1475" s="1"/>
      <c r="B1475" s="40" t="e">
        <f t="shared" ca="1" si="199"/>
        <v>#N/A</v>
      </c>
      <c r="C1475" s="496">
        <v>395</v>
      </c>
      <c r="D1475" s="41" t="e">
        <f ca="1">IF($C$1076&gt;0,VLOOKUP($C1475,COSTI!$U$4:$Z$1003,3,FALSE),IF($C$1075&gt;0,VLOOKUP($C1475,PATRIMONIALE!$U$4:$Z$1003,3,FALSE),IF($C$1074&gt;0,VLOOKUP($C1475,ENTI!$U$4:$Z$1003,3,FALSE),"")))</f>
        <v>#N/A</v>
      </c>
      <c r="E1475" s="41" t="str">
        <f t="shared" ca="1" si="200"/>
        <v/>
      </c>
      <c r="F1475" s="41" t="e">
        <f t="shared" ca="1" si="201"/>
        <v>#NUM!</v>
      </c>
      <c r="G1475" s="39" t="e">
        <f ca="1">IF($C$1076&gt;0,VLOOKUP($C1475,COSTI!$U$4:$Z$1003,5,FALSE),IF($C$1075&gt;0,VLOOKUP($C1475,PATRIMONIALE!$U$4:$Z$1003,5,FALSE),IF($C$1074&gt;0,VLOOKUP($C1475,ENTI!$U$4:$Z$1003,5,FALSE),"")))</f>
        <v>#N/A</v>
      </c>
      <c r="H1475" s="42" t="e">
        <f ca="1">IF($C$1076&gt;0,VLOOKUP($C1475,COSTI!$U$4:$Z$1003,6,FALSE),IF($C$1075&gt;0,VLOOKUP($C1475,PATRIMONIALE!$U$4:$Z$1003,6,FALSE),IF($C$1074&gt;0,VLOOKUP($C1475,ENTI!$U$4:$Z$1003,6,FALSE),"")))</f>
        <v>#N/A</v>
      </c>
      <c r="I1475" s="496">
        <v>395</v>
      </c>
      <c r="J1475" s="43" t="e">
        <f ca="1">VLOOKUP(D1475,$F$1081:$I$4183,4,FALSE)+COUNTIF(E$1081:E1474,E1475)</f>
        <v>#N/A</v>
      </c>
      <c r="K1475" s="1"/>
      <c r="L1475" s="39" t="e">
        <f>IF($C$1074&gt;0,VLOOKUP($C1475,ENTI!$U$4:$AD$1003,10,FALSE),"")</f>
        <v>#N/A</v>
      </c>
      <c r="M1475" s="1"/>
      <c r="N1475" s="1"/>
      <c r="O1475" s="1"/>
    </row>
    <row r="1476" spans="1:15" hidden="1">
      <c r="A1476" s="1"/>
      <c r="B1476" s="40" t="e">
        <f t="shared" ca="1" si="199"/>
        <v>#N/A</v>
      </c>
      <c r="C1476" s="496">
        <v>396</v>
      </c>
      <c r="D1476" s="41" t="e">
        <f ca="1">IF($C$1076&gt;0,VLOOKUP($C1476,COSTI!$U$4:$Z$1003,3,FALSE),IF($C$1075&gt;0,VLOOKUP($C1476,PATRIMONIALE!$U$4:$Z$1003,3,FALSE),IF($C$1074&gt;0,VLOOKUP($C1476,ENTI!$U$4:$Z$1003,3,FALSE),"")))</f>
        <v>#N/A</v>
      </c>
      <c r="E1476" s="41" t="str">
        <f t="shared" ca="1" si="200"/>
        <v/>
      </c>
      <c r="F1476" s="41" t="e">
        <f t="shared" ca="1" si="201"/>
        <v>#NUM!</v>
      </c>
      <c r="G1476" s="39" t="e">
        <f ca="1">IF($C$1076&gt;0,VLOOKUP($C1476,COSTI!$U$4:$Z$1003,5,FALSE),IF($C$1075&gt;0,VLOOKUP($C1476,PATRIMONIALE!$U$4:$Z$1003,5,FALSE),IF($C$1074&gt;0,VLOOKUP($C1476,ENTI!$U$4:$Z$1003,5,FALSE),"")))</f>
        <v>#N/A</v>
      </c>
      <c r="H1476" s="42" t="e">
        <f ca="1">IF($C$1076&gt;0,VLOOKUP($C1476,COSTI!$U$4:$Z$1003,6,FALSE),IF($C$1075&gt;0,VLOOKUP($C1476,PATRIMONIALE!$U$4:$Z$1003,6,FALSE),IF($C$1074&gt;0,VLOOKUP($C1476,ENTI!$U$4:$Z$1003,6,FALSE),"")))</f>
        <v>#N/A</v>
      </c>
      <c r="I1476" s="496">
        <v>396</v>
      </c>
      <c r="J1476" s="43" t="e">
        <f ca="1">VLOOKUP(D1476,$F$1081:$I$4183,4,FALSE)+COUNTIF(E$1081:E1475,E1476)</f>
        <v>#N/A</v>
      </c>
      <c r="K1476" s="1"/>
      <c r="L1476" s="39" t="e">
        <f>IF($C$1074&gt;0,VLOOKUP($C1476,ENTI!$U$4:$AD$1003,10,FALSE),"")</f>
        <v>#N/A</v>
      </c>
      <c r="M1476" s="1"/>
      <c r="N1476" s="1"/>
      <c r="O1476" s="1"/>
    </row>
    <row r="1477" spans="1:15" hidden="1">
      <c r="A1477" s="1"/>
      <c r="B1477" s="40" t="e">
        <f t="shared" ca="1" si="199"/>
        <v>#N/A</v>
      </c>
      <c r="C1477" s="496">
        <v>397</v>
      </c>
      <c r="D1477" s="41" t="e">
        <f ca="1">IF($C$1076&gt;0,VLOOKUP($C1477,COSTI!$U$4:$Z$1003,3,FALSE),IF($C$1075&gt;0,VLOOKUP($C1477,PATRIMONIALE!$U$4:$Z$1003,3,FALSE),IF($C$1074&gt;0,VLOOKUP($C1477,ENTI!$U$4:$Z$1003,3,FALSE),"")))</f>
        <v>#N/A</v>
      </c>
      <c r="E1477" s="41" t="str">
        <f t="shared" ca="1" si="200"/>
        <v/>
      </c>
      <c r="F1477" s="41" t="e">
        <f t="shared" ca="1" si="201"/>
        <v>#NUM!</v>
      </c>
      <c r="G1477" s="39" t="e">
        <f ca="1">IF($C$1076&gt;0,VLOOKUP($C1477,COSTI!$U$4:$Z$1003,5,FALSE),IF($C$1075&gt;0,VLOOKUP($C1477,PATRIMONIALE!$U$4:$Z$1003,5,FALSE),IF($C$1074&gt;0,VLOOKUP($C1477,ENTI!$U$4:$Z$1003,5,FALSE),"")))</f>
        <v>#N/A</v>
      </c>
      <c r="H1477" s="42" t="e">
        <f ca="1">IF($C$1076&gt;0,VLOOKUP($C1477,COSTI!$U$4:$Z$1003,6,FALSE),IF($C$1075&gt;0,VLOOKUP($C1477,PATRIMONIALE!$U$4:$Z$1003,6,FALSE),IF($C$1074&gt;0,VLOOKUP($C1477,ENTI!$U$4:$Z$1003,6,FALSE),"")))</f>
        <v>#N/A</v>
      </c>
      <c r="I1477" s="496">
        <v>397</v>
      </c>
      <c r="J1477" s="43" t="e">
        <f ca="1">VLOOKUP(D1477,$F$1081:$I$4183,4,FALSE)+COUNTIF(E$1081:E1476,E1477)</f>
        <v>#N/A</v>
      </c>
      <c r="K1477" s="1"/>
      <c r="L1477" s="39" t="e">
        <f>IF($C$1074&gt;0,VLOOKUP($C1477,ENTI!$U$4:$AD$1003,10,FALSE),"")</f>
        <v>#N/A</v>
      </c>
      <c r="M1477" s="1"/>
      <c r="N1477" s="1"/>
      <c r="O1477" s="1"/>
    </row>
    <row r="1478" spans="1:15" hidden="1">
      <c r="A1478" s="1"/>
      <c r="B1478" s="40" t="e">
        <f t="shared" ca="1" si="199"/>
        <v>#N/A</v>
      </c>
      <c r="C1478" s="496">
        <v>398</v>
      </c>
      <c r="D1478" s="41" t="e">
        <f ca="1">IF($C$1076&gt;0,VLOOKUP($C1478,COSTI!$U$4:$Z$1003,3,FALSE),IF($C$1075&gt;0,VLOOKUP($C1478,PATRIMONIALE!$U$4:$Z$1003,3,FALSE),IF($C$1074&gt;0,VLOOKUP($C1478,ENTI!$U$4:$Z$1003,3,FALSE),"")))</f>
        <v>#N/A</v>
      </c>
      <c r="E1478" s="41" t="str">
        <f t="shared" ca="1" si="200"/>
        <v/>
      </c>
      <c r="F1478" s="41" t="e">
        <f t="shared" ca="1" si="201"/>
        <v>#NUM!</v>
      </c>
      <c r="G1478" s="39" t="e">
        <f ca="1">IF($C$1076&gt;0,VLOOKUP($C1478,COSTI!$U$4:$Z$1003,5,FALSE),IF($C$1075&gt;0,VLOOKUP($C1478,PATRIMONIALE!$U$4:$Z$1003,5,FALSE),IF($C$1074&gt;0,VLOOKUP($C1478,ENTI!$U$4:$Z$1003,5,FALSE),"")))</f>
        <v>#N/A</v>
      </c>
      <c r="H1478" s="42" t="e">
        <f ca="1">IF($C$1076&gt;0,VLOOKUP($C1478,COSTI!$U$4:$Z$1003,6,FALSE),IF($C$1075&gt;0,VLOOKUP($C1478,PATRIMONIALE!$U$4:$Z$1003,6,FALSE),IF($C$1074&gt;0,VLOOKUP($C1478,ENTI!$U$4:$Z$1003,6,FALSE),"")))</f>
        <v>#N/A</v>
      </c>
      <c r="I1478" s="496">
        <v>398</v>
      </c>
      <c r="J1478" s="43" t="e">
        <f ca="1">VLOOKUP(D1478,$F$1081:$I$4183,4,FALSE)+COUNTIF(E$1081:E1477,E1478)</f>
        <v>#N/A</v>
      </c>
      <c r="K1478" s="1"/>
      <c r="L1478" s="39" t="e">
        <f>IF($C$1074&gt;0,VLOOKUP($C1478,ENTI!$U$4:$AD$1003,10,FALSE),"")</f>
        <v>#N/A</v>
      </c>
      <c r="M1478" s="1"/>
      <c r="N1478" s="1"/>
      <c r="O1478" s="1"/>
    </row>
    <row r="1479" spans="1:15" hidden="1">
      <c r="A1479" s="1"/>
      <c r="B1479" s="40" t="e">
        <f t="shared" ca="1" si="199"/>
        <v>#N/A</v>
      </c>
      <c r="C1479" s="496">
        <v>399</v>
      </c>
      <c r="D1479" s="41" t="e">
        <f ca="1">IF($C$1076&gt;0,VLOOKUP($C1479,COSTI!$U$4:$Z$1003,3,FALSE),IF($C$1075&gt;0,VLOOKUP($C1479,PATRIMONIALE!$U$4:$Z$1003,3,FALSE),IF($C$1074&gt;0,VLOOKUP($C1479,ENTI!$U$4:$Z$1003,3,FALSE),"")))</f>
        <v>#N/A</v>
      </c>
      <c r="E1479" s="41" t="str">
        <f t="shared" ca="1" si="200"/>
        <v/>
      </c>
      <c r="F1479" s="41" t="e">
        <f t="shared" ca="1" si="201"/>
        <v>#NUM!</v>
      </c>
      <c r="G1479" s="39" t="e">
        <f ca="1">IF($C$1076&gt;0,VLOOKUP($C1479,COSTI!$U$4:$Z$1003,5,FALSE),IF($C$1075&gt;0,VLOOKUP($C1479,PATRIMONIALE!$U$4:$Z$1003,5,FALSE),IF($C$1074&gt;0,VLOOKUP($C1479,ENTI!$U$4:$Z$1003,5,FALSE),"")))</f>
        <v>#N/A</v>
      </c>
      <c r="H1479" s="42" t="e">
        <f ca="1">IF($C$1076&gt;0,VLOOKUP($C1479,COSTI!$U$4:$Z$1003,6,FALSE),IF($C$1075&gt;0,VLOOKUP($C1479,PATRIMONIALE!$U$4:$Z$1003,6,FALSE),IF($C$1074&gt;0,VLOOKUP($C1479,ENTI!$U$4:$Z$1003,6,FALSE),"")))</f>
        <v>#N/A</v>
      </c>
      <c r="I1479" s="496">
        <v>399</v>
      </c>
      <c r="J1479" s="43" t="e">
        <f ca="1">VLOOKUP(D1479,$F$1081:$I$4183,4,FALSE)+COUNTIF(E$1081:E1478,E1479)</f>
        <v>#N/A</v>
      </c>
      <c r="K1479" s="1"/>
      <c r="L1479" s="39" t="e">
        <f>IF($C$1074&gt;0,VLOOKUP($C1479,ENTI!$U$4:$AD$1003,10,FALSE),"")</f>
        <v>#N/A</v>
      </c>
      <c r="M1479" s="1"/>
      <c r="N1479" s="1"/>
      <c r="O1479" s="1"/>
    </row>
    <row r="1480" spans="1:15" hidden="1">
      <c r="A1480" s="1"/>
      <c r="B1480" s="40" t="e">
        <f t="shared" ca="1" si="199"/>
        <v>#N/A</v>
      </c>
      <c r="C1480" s="496">
        <v>400</v>
      </c>
      <c r="D1480" s="41" t="e">
        <f ca="1">IF($C$1076&gt;0,VLOOKUP($C1480,COSTI!$U$4:$Z$1003,3,FALSE),IF($C$1075&gt;0,VLOOKUP($C1480,PATRIMONIALE!$U$4:$Z$1003,3,FALSE),IF($C$1074&gt;0,VLOOKUP($C1480,ENTI!$U$4:$Z$1003,3,FALSE),"")))</f>
        <v>#N/A</v>
      </c>
      <c r="E1480" s="41" t="str">
        <f t="shared" ca="1" si="200"/>
        <v/>
      </c>
      <c r="F1480" s="41" t="e">
        <f t="shared" ca="1" si="201"/>
        <v>#NUM!</v>
      </c>
      <c r="G1480" s="39" t="e">
        <f ca="1">IF($C$1076&gt;0,VLOOKUP($C1480,COSTI!$U$4:$Z$1003,5,FALSE),IF($C$1075&gt;0,VLOOKUP($C1480,PATRIMONIALE!$U$4:$Z$1003,5,FALSE),IF($C$1074&gt;0,VLOOKUP($C1480,ENTI!$U$4:$Z$1003,5,FALSE),"")))</f>
        <v>#N/A</v>
      </c>
      <c r="H1480" s="42" t="e">
        <f ca="1">IF($C$1076&gt;0,VLOOKUP($C1480,COSTI!$U$4:$Z$1003,6,FALSE),IF($C$1075&gt;0,VLOOKUP($C1480,PATRIMONIALE!$U$4:$Z$1003,6,FALSE),IF($C$1074&gt;0,VLOOKUP($C1480,ENTI!$U$4:$Z$1003,6,FALSE),"")))</f>
        <v>#N/A</v>
      </c>
      <c r="I1480" s="496">
        <v>400</v>
      </c>
      <c r="J1480" s="43" t="e">
        <f ca="1">VLOOKUP(D1480,$F$1081:$I$4183,4,FALSE)+COUNTIF(E$1081:E1479,E1480)</f>
        <v>#N/A</v>
      </c>
      <c r="K1480" s="1"/>
      <c r="L1480" s="39" t="e">
        <f>IF($C$1074&gt;0,VLOOKUP($C1480,ENTI!$U$4:$AD$1003,10,FALSE),"")</f>
        <v>#N/A</v>
      </c>
      <c r="M1480" s="1"/>
      <c r="N1480" s="1"/>
      <c r="O1480" s="1"/>
    </row>
    <row r="1481" spans="1:15" hidden="1">
      <c r="A1481" s="1"/>
      <c r="B1481" s="40" t="e">
        <f t="shared" ca="1" si="199"/>
        <v>#N/A</v>
      </c>
      <c r="C1481" s="496">
        <v>401</v>
      </c>
      <c r="D1481" s="41" t="e">
        <f ca="1">IF($C$1076&gt;0,VLOOKUP($C1481,COSTI!$U$4:$Z$1003,3,FALSE),IF($C$1075&gt;0,VLOOKUP($C1481,PATRIMONIALE!$U$4:$Z$1003,3,FALSE),IF($C$1074&gt;0,VLOOKUP($C1481,ENTI!$U$4:$Z$1003,3,FALSE),"")))</f>
        <v>#N/A</v>
      </c>
      <c r="E1481" s="41" t="str">
        <f t="shared" ca="1" si="200"/>
        <v/>
      </c>
      <c r="F1481" s="41" t="e">
        <f t="shared" ca="1" si="201"/>
        <v>#NUM!</v>
      </c>
      <c r="G1481" s="39" t="e">
        <f ca="1">IF($C$1076&gt;0,VLOOKUP($C1481,COSTI!$U$4:$Z$1003,5,FALSE),IF($C$1075&gt;0,VLOOKUP($C1481,PATRIMONIALE!$U$4:$Z$1003,5,FALSE),IF($C$1074&gt;0,VLOOKUP($C1481,ENTI!$U$4:$Z$1003,5,FALSE),"")))</f>
        <v>#N/A</v>
      </c>
      <c r="H1481" s="42" t="e">
        <f ca="1">IF($C$1076&gt;0,VLOOKUP($C1481,COSTI!$U$4:$Z$1003,6,FALSE),IF($C$1075&gt;0,VLOOKUP($C1481,PATRIMONIALE!$U$4:$Z$1003,6,FALSE),IF($C$1074&gt;0,VLOOKUP($C1481,ENTI!$U$4:$Z$1003,6,FALSE),"")))</f>
        <v>#N/A</v>
      </c>
      <c r="I1481" s="496">
        <v>401</v>
      </c>
      <c r="J1481" s="43" t="e">
        <f ca="1">VLOOKUP(D1481,$F$1081:$I$4183,4,FALSE)+COUNTIF(E$1081:E1480,E1481)</f>
        <v>#N/A</v>
      </c>
      <c r="K1481" s="1"/>
      <c r="L1481" s="39" t="e">
        <f>IF($C$1074&gt;0,VLOOKUP($C1481,ENTI!$U$4:$AD$1003,10,FALSE),"")</f>
        <v>#N/A</v>
      </c>
      <c r="M1481" s="1"/>
      <c r="N1481" s="1"/>
      <c r="O1481" s="1"/>
    </row>
    <row r="1482" spans="1:15" hidden="1">
      <c r="A1482" s="1"/>
      <c r="B1482" s="40" t="e">
        <f t="shared" ca="1" si="199"/>
        <v>#N/A</v>
      </c>
      <c r="C1482" s="496">
        <v>402</v>
      </c>
      <c r="D1482" s="41" t="e">
        <f ca="1">IF($C$1076&gt;0,VLOOKUP($C1482,COSTI!$U$4:$Z$1003,3,FALSE),IF($C$1075&gt;0,VLOOKUP($C1482,PATRIMONIALE!$U$4:$Z$1003,3,FALSE),IF($C$1074&gt;0,VLOOKUP($C1482,ENTI!$U$4:$Z$1003,3,FALSE),"")))</f>
        <v>#N/A</v>
      </c>
      <c r="E1482" s="41" t="str">
        <f t="shared" ca="1" si="200"/>
        <v/>
      </c>
      <c r="F1482" s="41" t="e">
        <f t="shared" ca="1" si="201"/>
        <v>#NUM!</v>
      </c>
      <c r="G1482" s="39" t="e">
        <f ca="1">IF($C$1076&gt;0,VLOOKUP($C1482,COSTI!$U$4:$Z$1003,5,FALSE),IF($C$1075&gt;0,VLOOKUP($C1482,PATRIMONIALE!$U$4:$Z$1003,5,FALSE),IF($C$1074&gt;0,VLOOKUP($C1482,ENTI!$U$4:$Z$1003,5,FALSE),"")))</f>
        <v>#N/A</v>
      </c>
      <c r="H1482" s="42" t="e">
        <f ca="1">IF($C$1076&gt;0,VLOOKUP($C1482,COSTI!$U$4:$Z$1003,6,FALSE),IF($C$1075&gt;0,VLOOKUP($C1482,PATRIMONIALE!$U$4:$Z$1003,6,FALSE),IF($C$1074&gt;0,VLOOKUP($C1482,ENTI!$U$4:$Z$1003,6,FALSE),"")))</f>
        <v>#N/A</v>
      </c>
      <c r="I1482" s="496">
        <v>402</v>
      </c>
      <c r="J1482" s="43" t="e">
        <f ca="1">VLOOKUP(D1482,$F$1081:$I$4183,4,FALSE)+COUNTIF(E$1081:E1481,E1482)</f>
        <v>#N/A</v>
      </c>
      <c r="K1482" s="1"/>
      <c r="L1482" s="39" t="e">
        <f>IF($C$1074&gt;0,VLOOKUP($C1482,ENTI!$U$4:$AD$1003,10,FALSE),"")</f>
        <v>#N/A</v>
      </c>
      <c r="M1482" s="1"/>
      <c r="N1482" s="1"/>
      <c r="O1482" s="1"/>
    </row>
    <row r="1483" spans="1:15" hidden="1">
      <c r="A1483" s="1"/>
      <c r="B1483" s="40" t="e">
        <f t="shared" ca="1" si="199"/>
        <v>#N/A</v>
      </c>
      <c r="C1483" s="496">
        <v>403</v>
      </c>
      <c r="D1483" s="41" t="e">
        <f ca="1">IF($C$1076&gt;0,VLOOKUP($C1483,COSTI!$U$4:$Z$1003,3,FALSE),IF($C$1075&gt;0,VLOOKUP($C1483,PATRIMONIALE!$U$4:$Z$1003,3,FALSE),IF($C$1074&gt;0,VLOOKUP($C1483,ENTI!$U$4:$Z$1003,3,FALSE),"")))</f>
        <v>#N/A</v>
      </c>
      <c r="E1483" s="41" t="str">
        <f t="shared" ca="1" si="200"/>
        <v/>
      </c>
      <c r="F1483" s="41" t="e">
        <f t="shared" ca="1" si="201"/>
        <v>#NUM!</v>
      </c>
      <c r="G1483" s="39" t="e">
        <f ca="1">IF($C$1076&gt;0,VLOOKUP($C1483,COSTI!$U$4:$Z$1003,5,FALSE),IF($C$1075&gt;0,VLOOKUP($C1483,PATRIMONIALE!$U$4:$Z$1003,5,FALSE),IF($C$1074&gt;0,VLOOKUP($C1483,ENTI!$U$4:$Z$1003,5,FALSE),"")))</f>
        <v>#N/A</v>
      </c>
      <c r="H1483" s="42" t="e">
        <f ca="1">IF($C$1076&gt;0,VLOOKUP($C1483,COSTI!$U$4:$Z$1003,6,FALSE),IF($C$1075&gt;0,VLOOKUP($C1483,PATRIMONIALE!$U$4:$Z$1003,6,FALSE),IF($C$1074&gt;0,VLOOKUP($C1483,ENTI!$U$4:$Z$1003,6,FALSE),"")))</f>
        <v>#N/A</v>
      </c>
      <c r="I1483" s="496">
        <v>403</v>
      </c>
      <c r="J1483" s="43" t="e">
        <f ca="1">VLOOKUP(D1483,$F$1081:$I$4183,4,FALSE)+COUNTIF(E$1081:E1482,E1483)</f>
        <v>#N/A</v>
      </c>
      <c r="K1483" s="1"/>
      <c r="L1483" s="39" t="e">
        <f>IF($C$1074&gt;0,VLOOKUP($C1483,ENTI!$U$4:$AD$1003,10,FALSE),"")</f>
        <v>#N/A</v>
      </c>
      <c r="M1483" s="1"/>
      <c r="N1483" s="1"/>
      <c r="O1483" s="1"/>
    </row>
    <row r="1484" spans="1:15" hidden="1">
      <c r="A1484" s="1"/>
      <c r="B1484" s="40" t="e">
        <f t="shared" ca="1" si="199"/>
        <v>#N/A</v>
      </c>
      <c r="C1484" s="496">
        <v>404</v>
      </c>
      <c r="D1484" s="41" t="e">
        <f ca="1">IF($C$1076&gt;0,VLOOKUP($C1484,COSTI!$U$4:$Z$1003,3,FALSE),IF($C$1075&gt;0,VLOOKUP($C1484,PATRIMONIALE!$U$4:$Z$1003,3,FALSE),IF($C$1074&gt;0,VLOOKUP($C1484,ENTI!$U$4:$Z$1003,3,FALSE),"")))</f>
        <v>#N/A</v>
      </c>
      <c r="E1484" s="41" t="str">
        <f t="shared" ca="1" si="200"/>
        <v/>
      </c>
      <c r="F1484" s="41" t="e">
        <f t="shared" ca="1" si="201"/>
        <v>#NUM!</v>
      </c>
      <c r="G1484" s="39" t="e">
        <f ca="1">IF($C$1076&gt;0,VLOOKUP($C1484,COSTI!$U$4:$Z$1003,5,FALSE),IF($C$1075&gt;0,VLOOKUP($C1484,PATRIMONIALE!$U$4:$Z$1003,5,FALSE),IF($C$1074&gt;0,VLOOKUP($C1484,ENTI!$U$4:$Z$1003,5,FALSE),"")))</f>
        <v>#N/A</v>
      </c>
      <c r="H1484" s="42" t="e">
        <f ca="1">IF($C$1076&gt;0,VLOOKUP($C1484,COSTI!$U$4:$Z$1003,6,FALSE),IF($C$1075&gt;0,VLOOKUP($C1484,PATRIMONIALE!$U$4:$Z$1003,6,FALSE),IF($C$1074&gt;0,VLOOKUP($C1484,ENTI!$U$4:$Z$1003,6,FALSE),"")))</f>
        <v>#N/A</v>
      </c>
      <c r="I1484" s="496">
        <v>404</v>
      </c>
      <c r="J1484" s="43" t="e">
        <f ca="1">VLOOKUP(D1484,$F$1081:$I$4183,4,FALSE)+COUNTIF(E$1081:E1483,E1484)</f>
        <v>#N/A</v>
      </c>
      <c r="K1484" s="1"/>
      <c r="L1484" s="39" t="e">
        <f>IF($C$1074&gt;0,VLOOKUP($C1484,ENTI!$U$4:$AD$1003,10,FALSE),"")</f>
        <v>#N/A</v>
      </c>
      <c r="M1484" s="1"/>
      <c r="N1484" s="1"/>
      <c r="O1484" s="1"/>
    </row>
    <row r="1485" spans="1:15" hidden="1">
      <c r="A1485" s="1"/>
      <c r="B1485" s="40" t="e">
        <f t="shared" ca="1" si="199"/>
        <v>#N/A</v>
      </c>
      <c r="C1485" s="496">
        <v>405</v>
      </c>
      <c r="D1485" s="41" t="e">
        <f ca="1">IF($C$1076&gt;0,VLOOKUP($C1485,COSTI!$U$4:$Z$1003,3,FALSE),IF($C$1075&gt;0,VLOOKUP($C1485,PATRIMONIALE!$U$4:$Z$1003,3,FALSE),IF($C$1074&gt;0,VLOOKUP($C1485,ENTI!$U$4:$Z$1003,3,FALSE),"")))</f>
        <v>#N/A</v>
      </c>
      <c r="E1485" s="41" t="str">
        <f t="shared" ca="1" si="200"/>
        <v/>
      </c>
      <c r="F1485" s="41" t="e">
        <f t="shared" ca="1" si="201"/>
        <v>#NUM!</v>
      </c>
      <c r="G1485" s="39" t="e">
        <f ca="1">IF($C$1076&gt;0,VLOOKUP($C1485,COSTI!$U$4:$Z$1003,5,FALSE),IF($C$1075&gt;0,VLOOKUP($C1485,PATRIMONIALE!$U$4:$Z$1003,5,FALSE),IF($C$1074&gt;0,VLOOKUP($C1485,ENTI!$U$4:$Z$1003,5,FALSE),"")))</f>
        <v>#N/A</v>
      </c>
      <c r="H1485" s="42" t="e">
        <f ca="1">IF($C$1076&gt;0,VLOOKUP($C1485,COSTI!$U$4:$Z$1003,6,FALSE),IF($C$1075&gt;0,VLOOKUP($C1485,PATRIMONIALE!$U$4:$Z$1003,6,FALSE),IF($C$1074&gt;0,VLOOKUP($C1485,ENTI!$U$4:$Z$1003,6,FALSE),"")))</f>
        <v>#N/A</v>
      </c>
      <c r="I1485" s="496">
        <v>405</v>
      </c>
      <c r="J1485" s="43" t="e">
        <f ca="1">VLOOKUP(D1485,$F$1081:$I$4183,4,FALSE)+COUNTIF(E$1081:E1484,E1485)</f>
        <v>#N/A</v>
      </c>
      <c r="K1485" s="1"/>
      <c r="L1485" s="39" t="e">
        <f>IF($C$1074&gt;0,VLOOKUP($C1485,ENTI!$U$4:$AD$1003,10,FALSE),"")</f>
        <v>#N/A</v>
      </c>
      <c r="M1485" s="1"/>
      <c r="N1485" s="1"/>
      <c r="O1485" s="1"/>
    </row>
    <row r="1486" spans="1:15" hidden="1">
      <c r="A1486" s="1"/>
      <c r="B1486" s="40" t="e">
        <f t="shared" ca="1" si="199"/>
        <v>#N/A</v>
      </c>
      <c r="C1486" s="496">
        <v>406</v>
      </c>
      <c r="D1486" s="41" t="e">
        <f ca="1">IF($C$1076&gt;0,VLOOKUP($C1486,COSTI!$U$4:$Z$1003,3,FALSE),IF($C$1075&gt;0,VLOOKUP($C1486,PATRIMONIALE!$U$4:$Z$1003,3,FALSE),IF($C$1074&gt;0,VLOOKUP($C1486,ENTI!$U$4:$Z$1003,3,FALSE),"")))</f>
        <v>#N/A</v>
      </c>
      <c r="E1486" s="41" t="str">
        <f t="shared" ca="1" si="200"/>
        <v/>
      </c>
      <c r="F1486" s="41" t="e">
        <f t="shared" ca="1" si="201"/>
        <v>#NUM!</v>
      </c>
      <c r="G1486" s="39" t="e">
        <f ca="1">IF($C$1076&gt;0,VLOOKUP($C1486,COSTI!$U$4:$Z$1003,5,FALSE),IF($C$1075&gt;0,VLOOKUP($C1486,PATRIMONIALE!$U$4:$Z$1003,5,FALSE),IF($C$1074&gt;0,VLOOKUP($C1486,ENTI!$U$4:$Z$1003,5,FALSE),"")))</f>
        <v>#N/A</v>
      </c>
      <c r="H1486" s="42" t="e">
        <f ca="1">IF($C$1076&gt;0,VLOOKUP($C1486,COSTI!$U$4:$Z$1003,6,FALSE),IF($C$1075&gt;0,VLOOKUP($C1486,PATRIMONIALE!$U$4:$Z$1003,6,FALSE),IF($C$1074&gt;0,VLOOKUP($C1486,ENTI!$U$4:$Z$1003,6,FALSE),"")))</f>
        <v>#N/A</v>
      </c>
      <c r="I1486" s="496">
        <v>406</v>
      </c>
      <c r="J1486" s="43" t="e">
        <f ca="1">VLOOKUP(D1486,$F$1081:$I$4183,4,FALSE)+COUNTIF(E$1081:E1485,E1486)</f>
        <v>#N/A</v>
      </c>
      <c r="K1486" s="1"/>
      <c r="L1486" s="39" t="e">
        <f>IF($C$1074&gt;0,VLOOKUP($C1486,ENTI!$U$4:$AD$1003,10,FALSE),"")</f>
        <v>#N/A</v>
      </c>
      <c r="M1486" s="1"/>
      <c r="N1486" s="1"/>
      <c r="O1486" s="1"/>
    </row>
    <row r="1487" spans="1:15" hidden="1">
      <c r="A1487" s="1"/>
      <c r="B1487" s="40" t="e">
        <f t="shared" ca="1" si="199"/>
        <v>#N/A</v>
      </c>
      <c r="C1487" s="496">
        <v>407</v>
      </c>
      <c r="D1487" s="41" t="e">
        <f ca="1">IF($C$1076&gt;0,VLOOKUP($C1487,COSTI!$U$4:$Z$1003,3,FALSE),IF($C$1075&gt;0,VLOOKUP($C1487,PATRIMONIALE!$U$4:$Z$1003,3,FALSE),IF($C$1074&gt;0,VLOOKUP($C1487,ENTI!$U$4:$Z$1003,3,FALSE),"")))</f>
        <v>#N/A</v>
      </c>
      <c r="E1487" s="41" t="str">
        <f t="shared" ca="1" si="200"/>
        <v/>
      </c>
      <c r="F1487" s="41" t="e">
        <f t="shared" ca="1" si="201"/>
        <v>#NUM!</v>
      </c>
      <c r="G1487" s="39" t="e">
        <f ca="1">IF($C$1076&gt;0,VLOOKUP($C1487,COSTI!$U$4:$Z$1003,5,FALSE),IF($C$1075&gt;0,VLOOKUP($C1487,PATRIMONIALE!$U$4:$Z$1003,5,FALSE),IF($C$1074&gt;0,VLOOKUP($C1487,ENTI!$U$4:$Z$1003,5,FALSE),"")))</f>
        <v>#N/A</v>
      </c>
      <c r="H1487" s="42" t="e">
        <f ca="1">IF($C$1076&gt;0,VLOOKUP($C1487,COSTI!$U$4:$Z$1003,6,FALSE),IF($C$1075&gt;0,VLOOKUP($C1487,PATRIMONIALE!$U$4:$Z$1003,6,FALSE),IF($C$1074&gt;0,VLOOKUP($C1487,ENTI!$U$4:$Z$1003,6,FALSE),"")))</f>
        <v>#N/A</v>
      </c>
      <c r="I1487" s="496">
        <v>407</v>
      </c>
      <c r="J1487" s="43" t="e">
        <f ca="1">VLOOKUP(D1487,$F$1081:$I$4183,4,FALSE)+COUNTIF(E$1081:E1486,E1487)</f>
        <v>#N/A</v>
      </c>
      <c r="K1487" s="1"/>
      <c r="L1487" s="39" t="e">
        <f>IF($C$1074&gt;0,VLOOKUP($C1487,ENTI!$U$4:$AD$1003,10,FALSE),"")</f>
        <v>#N/A</v>
      </c>
      <c r="M1487" s="1"/>
      <c r="N1487" s="1"/>
      <c r="O1487" s="1"/>
    </row>
    <row r="1488" spans="1:15" hidden="1">
      <c r="A1488" s="1"/>
      <c r="B1488" s="40" t="e">
        <f t="shared" ca="1" si="199"/>
        <v>#N/A</v>
      </c>
      <c r="C1488" s="496">
        <v>408</v>
      </c>
      <c r="D1488" s="41" t="e">
        <f ca="1">IF($C$1076&gt;0,VLOOKUP($C1488,COSTI!$U$4:$Z$1003,3,FALSE),IF($C$1075&gt;0,VLOOKUP($C1488,PATRIMONIALE!$U$4:$Z$1003,3,FALSE),IF($C$1074&gt;0,VLOOKUP($C1488,ENTI!$U$4:$Z$1003,3,FALSE),"")))</f>
        <v>#N/A</v>
      </c>
      <c r="E1488" s="41" t="str">
        <f t="shared" ca="1" si="200"/>
        <v/>
      </c>
      <c r="F1488" s="41" t="e">
        <f t="shared" ca="1" si="201"/>
        <v>#NUM!</v>
      </c>
      <c r="G1488" s="39" t="e">
        <f ca="1">IF($C$1076&gt;0,VLOOKUP($C1488,COSTI!$U$4:$Z$1003,5,FALSE),IF($C$1075&gt;0,VLOOKUP($C1488,PATRIMONIALE!$U$4:$Z$1003,5,FALSE),IF($C$1074&gt;0,VLOOKUP($C1488,ENTI!$U$4:$Z$1003,5,FALSE),"")))</f>
        <v>#N/A</v>
      </c>
      <c r="H1488" s="42" t="e">
        <f ca="1">IF($C$1076&gt;0,VLOOKUP($C1488,COSTI!$U$4:$Z$1003,6,FALSE),IF($C$1075&gt;0,VLOOKUP($C1488,PATRIMONIALE!$U$4:$Z$1003,6,FALSE),IF($C$1074&gt;0,VLOOKUP($C1488,ENTI!$U$4:$Z$1003,6,FALSE),"")))</f>
        <v>#N/A</v>
      </c>
      <c r="I1488" s="496">
        <v>408</v>
      </c>
      <c r="J1488" s="43" t="e">
        <f ca="1">VLOOKUP(D1488,$F$1081:$I$4183,4,FALSE)+COUNTIF(E$1081:E1487,E1488)</f>
        <v>#N/A</v>
      </c>
      <c r="K1488" s="1"/>
      <c r="L1488" s="39" t="e">
        <f>IF($C$1074&gt;0,VLOOKUP($C1488,ENTI!$U$4:$AD$1003,10,FALSE),"")</f>
        <v>#N/A</v>
      </c>
      <c r="M1488" s="1"/>
      <c r="N1488" s="1"/>
      <c r="O1488" s="1"/>
    </row>
    <row r="1489" spans="1:15" hidden="1">
      <c r="A1489" s="1"/>
      <c r="B1489" s="40" t="e">
        <f t="shared" ca="1" si="199"/>
        <v>#N/A</v>
      </c>
      <c r="C1489" s="496">
        <v>409</v>
      </c>
      <c r="D1489" s="41" t="e">
        <f ca="1">IF($C$1076&gt;0,VLOOKUP($C1489,COSTI!$U$4:$Z$1003,3,FALSE),IF($C$1075&gt;0,VLOOKUP($C1489,PATRIMONIALE!$U$4:$Z$1003,3,FALSE),IF($C$1074&gt;0,VLOOKUP($C1489,ENTI!$U$4:$Z$1003,3,FALSE),"")))</f>
        <v>#N/A</v>
      </c>
      <c r="E1489" s="41" t="str">
        <f t="shared" ca="1" si="200"/>
        <v/>
      </c>
      <c r="F1489" s="41" t="e">
        <f t="shared" ca="1" si="201"/>
        <v>#NUM!</v>
      </c>
      <c r="G1489" s="39" t="e">
        <f ca="1">IF($C$1076&gt;0,VLOOKUP($C1489,COSTI!$U$4:$Z$1003,5,FALSE),IF($C$1075&gt;0,VLOOKUP($C1489,PATRIMONIALE!$U$4:$Z$1003,5,FALSE),IF($C$1074&gt;0,VLOOKUP($C1489,ENTI!$U$4:$Z$1003,5,FALSE),"")))</f>
        <v>#N/A</v>
      </c>
      <c r="H1489" s="42" t="e">
        <f ca="1">IF($C$1076&gt;0,VLOOKUP($C1489,COSTI!$U$4:$Z$1003,6,FALSE),IF($C$1075&gt;0,VLOOKUP($C1489,PATRIMONIALE!$U$4:$Z$1003,6,FALSE),IF($C$1074&gt;0,VLOOKUP($C1489,ENTI!$U$4:$Z$1003,6,FALSE),"")))</f>
        <v>#N/A</v>
      </c>
      <c r="I1489" s="496">
        <v>409</v>
      </c>
      <c r="J1489" s="43" t="e">
        <f ca="1">VLOOKUP(D1489,$F$1081:$I$4183,4,FALSE)+COUNTIF(E$1081:E1488,E1489)</f>
        <v>#N/A</v>
      </c>
      <c r="K1489" s="1"/>
      <c r="L1489" s="39" t="e">
        <f>IF($C$1074&gt;0,VLOOKUP($C1489,ENTI!$U$4:$AD$1003,10,FALSE),"")</f>
        <v>#N/A</v>
      </c>
      <c r="M1489" s="1"/>
      <c r="N1489" s="1"/>
      <c r="O1489" s="1"/>
    </row>
    <row r="1490" spans="1:15" hidden="1">
      <c r="A1490" s="1"/>
      <c r="B1490" s="40" t="e">
        <f t="shared" ca="1" si="199"/>
        <v>#N/A</v>
      </c>
      <c r="C1490" s="496">
        <v>410</v>
      </c>
      <c r="D1490" s="41" t="e">
        <f ca="1">IF($C$1076&gt;0,VLOOKUP($C1490,COSTI!$U$4:$Z$1003,3,FALSE),IF($C$1075&gt;0,VLOOKUP($C1490,PATRIMONIALE!$U$4:$Z$1003,3,FALSE),IF($C$1074&gt;0,VLOOKUP($C1490,ENTI!$U$4:$Z$1003,3,FALSE),"")))</f>
        <v>#N/A</v>
      </c>
      <c r="E1490" s="41" t="str">
        <f t="shared" ca="1" si="200"/>
        <v/>
      </c>
      <c r="F1490" s="41" t="e">
        <f t="shared" ca="1" si="201"/>
        <v>#NUM!</v>
      </c>
      <c r="G1490" s="39" t="e">
        <f ca="1">IF($C$1076&gt;0,VLOOKUP($C1490,COSTI!$U$4:$Z$1003,5,FALSE),IF($C$1075&gt;0,VLOOKUP($C1490,PATRIMONIALE!$U$4:$Z$1003,5,FALSE),IF($C$1074&gt;0,VLOOKUP($C1490,ENTI!$U$4:$Z$1003,5,FALSE),"")))</f>
        <v>#N/A</v>
      </c>
      <c r="H1490" s="42" t="e">
        <f ca="1">IF($C$1076&gt;0,VLOOKUP($C1490,COSTI!$U$4:$Z$1003,6,FALSE),IF($C$1075&gt;0,VLOOKUP($C1490,PATRIMONIALE!$U$4:$Z$1003,6,FALSE),IF($C$1074&gt;0,VLOOKUP($C1490,ENTI!$U$4:$Z$1003,6,FALSE),"")))</f>
        <v>#N/A</v>
      </c>
      <c r="I1490" s="496">
        <v>410</v>
      </c>
      <c r="J1490" s="43" t="e">
        <f ca="1">VLOOKUP(D1490,$F$1081:$I$4183,4,FALSE)+COUNTIF(E$1081:E1489,E1490)</f>
        <v>#N/A</v>
      </c>
      <c r="K1490" s="1"/>
      <c r="L1490" s="39" t="e">
        <f>IF($C$1074&gt;0,VLOOKUP($C1490,ENTI!$U$4:$AD$1003,10,FALSE),"")</f>
        <v>#N/A</v>
      </c>
      <c r="M1490" s="1"/>
      <c r="N1490" s="1"/>
      <c r="O1490" s="1"/>
    </row>
    <row r="1491" spans="1:15" hidden="1">
      <c r="A1491" s="1"/>
      <c r="B1491" s="40" t="e">
        <f t="shared" ca="1" si="199"/>
        <v>#N/A</v>
      </c>
      <c r="C1491" s="496">
        <v>411</v>
      </c>
      <c r="D1491" s="41" t="e">
        <f ca="1">IF($C$1076&gt;0,VLOOKUP($C1491,COSTI!$U$4:$Z$1003,3,FALSE),IF($C$1075&gt;0,VLOOKUP($C1491,PATRIMONIALE!$U$4:$Z$1003,3,FALSE),IF($C$1074&gt;0,VLOOKUP($C1491,ENTI!$U$4:$Z$1003,3,FALSE),"")))</f>
        <v>#N/A</v>
      </c>
      <c r="E1491" s="41" t="str">
        <f t="shared" ca="1" si="200"/>
        <v/>
      </c>
      <c r="F1491" s="41" t="e">
        <f t="shared" ca="1" si="201"/>
        <v>#NUM!</v>
      </c>
      <c r="G1491" s="39" t="e">
        <f ca="1">IF($C$1076&gt;0,VLOOKUP($C1491,COSTI!$U$4:$Z$1003,5,FALSE),IF($C$1075&gt;0,VLOOKUP($C1491,PATRIMONIALE!$U$4:$Z$1003,5,FALSE),IF($C$1074&gt;0,VLOOKUP($C1491,ENTI!$U$4:$Z$1003,5,FALSE),"")))</f>
        <v>#N/A</v>
      </c>
      <c r="H1491" s="42" t="e">
        <f ca="1">IF($C$1076&gt;0,VLOOKUP($C1491,COSTI!$U$4:$Z$1003,6,FALSE),IF($C$1075&gt;0,VLOOKUP($C1491,PATRIMONIALE!$U$4:$Z$1003,6,FALSE),IF($C$1074&gt;0,VLOOKUP($C1491,ENTI!$U$4:$Z$1003,6,FALSE),"")))</f>
        <v>#N/A</v>
      </c>
      <c r="I1491" s="496">
        <v>411</v>
      </c>
      <c r="J1491" s="43" t="e">
        <f ca="1">VLOOKUP(D1491,$F$1081:$I$4183,4,FALSE)+COUNTIF(E$1081:E1490,E1491)</f>
        <v>#N/A</v>
      </c>
      <c r="K1491" s="1"/>
      <c r="L1491" s="39" t="e">
        <f>IF($C$1074&gt;0,VLOOKUP($C1491,ENTI!$U$4:$AD$1003,10,FALSE),"")</f>
        <v>#N/A</v>
      </c>
      <c r="M1491" s="1"/>
      <c r="N1491" s="1"/>
      <c r="O1491" s="1"/>
    </row>
    <row r="1492" spans="1:15" hidden="1">
      <c r="A1492" s="1"/>
      <c r="B1492" s="40" t="e">
        <f t="shared" ca="1" si="199"/>
        <v>#N/A</v>
      </c>
      <c r="C1492" s="496">
        <v>412</v>
      </c>
      <c r="D1492" s="41" t="e">
        <f ca="1">IF($C$1076&gt;0,VLOOKUP($C1492,COSTI!$U$4:$Z$1003,3,FALSE),IF($C$1075&gt;0,VLOOKUP($C1492,PATRIMONIALE!$U$4:$Z$1003,3,FALSE),IF($C$1074&gt;0,VLOOKUP($C1492,ENTI!$U$4:$Z$1003,3,FALSE),"")))</f>
        <v>#N/A</v>
      </c>
      <c r="E1492" s="41" t="str">
        <f t="shared" ca="1" si="200"/>
        <v/>
      </c>
      <c r="F1492" s="41" t="e">
        <f t="shared" ca="1" si="201"/>
        <v>#NUM!</v>
      </c>
      <c r="G1492" s="39" t="e">
        <f ca="1">IF($C$1076&gt;0,VLOOKUP($C1492,COSTI!$U$4:$Z$1003,5,FALSE),IF($C$1075&gt;0,VLOOKUP($C1492,PATRIMONIALE!$U$4:$Z$1003,5,FALSE),IF($C$1074&gt;0,VLOOKUP($C1492,ENTI!$U$4:$Z$1003,5,FALSE),"")))</f>
        <v>#N/A</v>
      </c>
      <c r="H1492" s="42" t="e">
        <f ca="1">IF($C$1076&gt;0,VLOOKUP($C1492,COSTI!$U$4:$Z$1003,6,FALSE),IF($C$1075&gt;0,VLOOKUP($C1492,PATRIMONIALE!$U$4:$Z$1003,6,FALSE),IF($C$1074&gt;0,VLOOKUP($C1492,ENTI!$U$4:$Z$1003,6,FALSE),"")))</f>
        <v>#N/A</v>
      </c>
      <c r="I1492" s="496">
        <v>412</v>
      </c>
      <c r="J1492" s="43" t="e">
        <f ca="1">VLOOKUP(D1492,$F$1081:$I$4183,4,FALSE)+COUNTIF(E$1081:E1491,E1492)</f>
        <v>#N/A</v>
      </c>
      <c r="K1492" s="1"/>
      <c r="L1492" s="39" t="e">
        <f>IF($C$1074&gt;0,VLOOKUP($C1492,ENTI!$U$4:$AD$1003,10,FALSE),"")</f>
        <v>#N/A</v>
      </c>
      <c r="M1492" s="1"/>
      <c r="N1492" s="1"/>
      <c r="O1492" s="1"/>
    </row>
    <row r="1493" spans="1:15" hidden="1">
      <c r="A1493" s="1"/>
      <c r="B1493" s="40" t="e">
        <f t="shared" ca="1" si="199"/>
        <v>#N/A</v>
      </c>
      <c r="C1493" s="496">
        <v>413</v>
      </c>
      <c r="D1493" s="41" t="e">
        <f ca="1">IF($C$1076&gt;0,VLOOKUP($C1493,COSTI!$U$4:$Z$1003,3,FALSE),IF($C$1075&gt;0,VLOOKUP($C1493,PATRIMONIALE!$U$4:$Z$1003,3,FALSE),IF($C$1074&gt;0,VLOOKUP($C1493,ENTI!$U$4:$Z$1003,3,FALSE),"")))</f>
        <v>#N/A</v>
      </c>
      <c r="E1493" s="41" t="str">
        <f t="shared" ca="1" si="200"/>
        <v/>
      </c>
      <c r="F1493" s="41" t="e">
        <f t="shared" ca="1" si="201"/>
        <v>#NUM!</v>
      </c>
      <c r="G1493" s="39" t="e">
        <f ca="1">IF($C$1076&gt;0,VLOOKUP($C1493,COSTI!$U$4:$Z$1003,5,FALSE),IF($C$1075&gt;0,VLOOKUP($C1493,PATRIMONIALE!$U$4:$Z$1003,5,FALSE),IF($C$1074&gt;0,VLOOKUP($C1493,ENTI!$U$4:$Z$1003,5,FALSE),"")))</f>
        <v>#N/A</v>
      </c>
      <c r="H1493" s="42" t="e">
        <f ca="1">IF($C$1076&gt;0,VLOOKUP($C1493,COSTI!$U$4:$Z$1003,6,FALSE),IF($C$1075&gt;0,VLOOKUP($C1493,PATRIMONIALE!$U$4:$Z$1003,6,FALSE),IF($C$1074&gt;0,VLOOKUP($C1493,ENTI!$U$4:$Z$1003,6,FALSE),"")))</f>
        <v>#N/A</v>
      </c>
      <c r="I1493" s="496">
        <v>413</v>
      </c>
      <c r="J1493" s="43" t="e">
        <f ca="1">VLOOKUP(D1493,$F$1081:$I$4183,4,FALSE)+COUNTIF(E$1081:E1492,E1493)</f>
        <v>#N/A</v>
      </c>
      <c r="K1493" s="1"/>
      <c r="L1493" s="39" t="e">
        <f>IF($C$1074&gt;0,VLOOKUP($C1493,ENTI!$U$4:$AD$1003,10,FALSE),"")</f>
        <v>#N/A</v>
      </c>
      <c r="M1493" s="1"/>
      <c r="N1493" s="1"/>
      <c r="O1493" s="1"/>
    </row>
    <row r="1494" spans="1:15" hidden="1">
      <c r="A1494" s="1"/>
      <c r="B1494" s="40" t="e">
        <f t="shared" ca="1" si="199"/>
        <v>#N/A</v>
      </c>
      <c r="C1494" s="496">
        <v>414</v>
      </c>
      <c r="D1494" s="41" t="e">
        <f ca="1">IF($C$1076&gt;0,VLOOKUP($C1494,COSTI!$U$4:$Z$1003,3,FALSE),IF($C$1075&gt;0,VLOOKUP($C1494,PATRIMONIALE!$U$4:$Z$1003,3,FALSE),IF($C$1074&gt;0,VLOOKUP($C1494,ENTI!$U$4:$Z$1003,3,FALSE),"")))</f>
        <v>#N/A</v>
      </c>
      <c r="E1494" s="41" t="str">
        <f t="shared" ca="1" si="200"/>
        <v/>
      </c>
      <c r="F1494" s="41" t="e">
        <f t="shared" ca="1" si="201"/>
        <v>#NUM!</v>
      </c>
      <c r="G1494" s="39" t="e">
        <f ca="1">IF($C$1076&gt;0,VLOOKUP($C1494,COSTI!$U$4:$Z$1003,5,FALSE),IF($C$1075&gt;0,VLOOKUP($C1494,PATRIMONIALE!$U$4:$Z$1003,5,FALSE),IF($C$1074&gt;0,VLOOKUP($C1494,ENTI!$U$4:$Z$1003,5,FALSE),"")))</f>
        <v>#N/A</v>
      </c>
      <c r="H1494" s="42" t="e">
        <f ca="1">IF($C$1076&gt;0,VLOOKUP($C1494,COSTI!$U$4:$Z$1003,6,FALSE),IF($C$1075&gt;0,VLOOKUP($C1494,PATRIMONIALE!$U$4:$Z$1003,6,FALSE),IF($C$1074&gt;0,VLOOKUP($C1494,ENTI!$U$4:$Z$1003,6,FALSE),"")))</f>
        <v>#N/A</v>
      </c>
      <c r="I1494" s="496">
        <v>414</v>
      </c>
      <c r="J1494" s="43" t="e">
        <f ca="1">VLOOKUP(D1494,$F$1081:$I$4183,4,FALSE)+COUNTIF(E$1081:E1493,E1494)</f>
        <v>#N/A</v>
      </c>
      <c r="K1494" s="1"/>
      <c r="L1494" s="39" t="e">
        <f>IF($C$1074&gt;0,VLOOKUP($C1494,ENTI!$U$4:$AD$1003,10,FALSE),"")</f>
        <v>#N/A</v>
      </c>
      <c r="M1494" s="1"/>
      <c r="N1494" s="1"/>
      <c r="O1494" s="1"/>
    </row>
    <row r="1495" spans="1:15" hidden="1">
      <c r="A1495" s="1"/>
      <c r="B1495" s="40" t="e">
        <f t="shared" ca="1" si="199"/>
        <v>#N/A</v>
      </c>
      <c r="C1495" s="496">
        <v>415</v>
      </c>
      <c r="D1495" s="41" t="e">
        <f ca="1">IF($C$1076&gt;0,VLOOKUP($C1495,COSTI!$U$4:$Z$1003,3,FALSE),IF($C$1075&gt;0,VLOOKUP($C1495,PATRIMONIALE!$U$4:$Z$1003,3,FALSE),IF($C$1074&gt;0,VLOOKUP($C1495,ENTI!$U$4:$Z$1003,3,FALSE),"")))</f>
        <v>#N/A</v>
      </c>
      <c r="E1495" s="41" t="str">
        <f t="shared" ca="1" si="200"/>
        <v/>
      </c>
      <c r="F1495" s="41" t="e">
        <f t="shared" ca="1" si="201"/>
        <v>#NUM!</v>
      </c>
      <c r="G1495" s="39" t="e">
        <f ca="1">IF($C$1076&gt;0,VLOOKUP($C1495,COSTI!$U$4:$Z$1003,5,FALSE),IF($C$1075&gt;0,VLOOKUP($C1495,PATRIMONIALE!$U$4:$Z$1003,5,FALSE),IF($C$1074&gt;0,VLOOKUP($C1495,ENTI!$U$4:$Z$1003,5,FALSE),"")))</f>
        <v>#N/A</v>
      </c>
      <c r="H1495" s="42" t="e">
        <f ca="1">IF($C$1076&gt;0,VLOOKUP($C1495,COSTI!$U$4:$Z$1003,6,FALSE),IF($C$1075&gt;0,VLOOKUP($C1495,PATRIMONIALE!$U$4:$Z$1003,6,FALSE),IF($C$1074&gt;0,VLOOKUP($C1495,ENTI!$U$4:$Z$1003,6,FALSE),"")))</f>
        <v>#N/A</v>
      </c>
      <c r="I1495" s="496">
        <v>415</v>
      </c>
      <c r="J1495" s="43" t="e">
        <f ca="1">VLOOKUP(D1495,$F$1081:$I$4183,4,FALSE)+COUNTIF(E$1081:E1494,E1495)</f>
        <v>#N/A</v>
      </c>
      <c r="K1495" s="1"/>
      <c r="L1495" s="39" t="e">
        <f>IF($C$1074&gt;0,VLOOKUP($C1495,ENTI!$U$4:$AD$1003,10,FALSE),"")</f>
        <v>#N/A</v>
      </c>
      <c r="M1495" s="1"/>
      <c r="N1495" s="1"/>
      <c r="O1495" s="1"/>
    </row>
    <row r="1496" spans="1:15" hidden="1">
      <c r="A1496" s="1"/>
      <c r="B1496" s="40" t="e">
        <f t="shared" ca="1" si="199"/>
        <v>#N/A</v>
      </c>
      <c r="C1496" s="496">
        <v>416</v>
      </c>
      <c r="D1496" s="41" t="e">
        <f ca="1">IF($C$1076&gt;0,VLOOKUP($C1496,COSTI!$U$4:$Z$1003,3,FALSE),IF($C$1075&gt;0,VLOOKUP($C1496,PATRIMONIALE!$U$4:$Z$1003,3,FALSE),IF($C$1074&gt;0,VLOOKUP($C1496,ENTI!$U$4:$Z$1003,3,FALSE),"")))</f>
        <v>#N/A</v>
      </c>
      <c r="E1496" s="41" t="str">
        <f t="shared" ca="1" si="200"/>
        <v/>
      </c>
      <c r="F1496" s="41" t="e">
        <f t="shared" ca="1" si="201"/>
        <v>#NUM!</v>
      </c>
      <c r="G1496" s="39" t="e">
        <f ca="1">IF($C$1076&gt;0,VLOOKUP($C1496,COSTI!$U$4:$Z$1003,5,FALSE),IF($C$1075&gt;0,VLOOKUP($C1496,PATRIMONIALE!$U$4:$Z$1003,5,FALSE),IF($C$1074&gt;0,VLOOKUP($C1496,ENTI!$U$4:$Z$1003,5,FALSE),"")))</f>
        <v>#N/A</v>
      </c>
      <c r="H1496" s="42" t="e">
        <f ca="1">IF($C$1076&gt;0,VLOOKUP($C1496,COSTI!$U$4:$Z$1003,6,FALSE),IF($C$1075&gt;0,VLOOKUP($C1496,PATRIMONIALE!$U$4:$Z$1003,6,FALSE),IF($C$1074&gt;0,VLOOKUP($C1496,ENTI!$U$4:$Z$1003,6,FALSE),"")))</f>
        <v>#N/A</v>
      </c>
      <c r="I1496" s="496">
        <v>416</v>
      </c>
      <c r="J1496" s="43" t="e">
        <f ca="1">VLOOKUP(D1496,$F$1081:$I$4183,4,FALSE)+COUNTIF(E$1081:E1495,E1496)</f>
        <v>#N/A</v>
      </c>
      <c r="K1496" s="1"/>
      <c r="L1496" s="39" t="e">
        <f>IF($C$1074&gt;0,VLOOKUP($C1496,ENTI!$U$4:$AD$1003,10,FALSE),"")</f>
        <v>#N/A</v>
      </c>
      <c r="M1496" s="1"/>
      <c r="N1496" s="1"/>
      <c r="O1496" s="1"/>
    </row>
    <row r="1497" spans="1:15" hidden="1">
      <c r="A1497" s="1"/>
      <c r="B1497" s="40" t="e">
        <f t="shared" ca="1" si="199"/>
        <v>#N/A</v>
      </c>
      <c r="C1497" s="496">
        <v>417</v>
      </c>
      <c r="D1497" s="41" t="e">
        <f ca="1">IF($C$1076&gt;0,VLOOKUP($C1497,COSTI!$U$4:$Z$1003,3,FALSE),IF($C$1075&gt;0,VLOOKUP($C1497,PATRIMONIALE!$U$4:$Z$1003,3,FALSE),IF($C$1074&gt;0,VLOOKUP($C1497,ENTI!$U$4:$Z$1003,3,FALSE),"")))</f>
        <v>#N/A</v>
      </c>
      <c r="E1497" s="41" t="str">
        <f t="shared" ca="1" si="200"/>
        <v/>
      </c>
      <c r="F1497" s="41" t="e">
        <f t="shared" ca="1" si="201"/>
        <v>#NUM!</v>
      </c>
      <c r="G1497" s="39" t="e">
        <f ca="1">IF($C$1076&gt;0,VLOOKUP($C1497,COSTI!$U$4:$Z$1003,5,FALSE),IF($C$1075&gt;0,VLOOKUP($C1497,PATRIMONIALE!$U$4:$Z$1003,5,FALSE),IF($C$1074&gt;0,VLOOKUP($C1497,ENTI!$U$4:$Z$1003,5,FALSE),"")))</f>
        <v>#N/A</v>
      </c>
      <c r="H1497" s="42" t="e">
        <f ca="1">IF($C$1076&gt;0,VLOOKUP($C1497,COSTI!$U$4:$Z$1003,6,FALSE),IF($C$1075&gt;0,VLOOKUP($C1497,PATRIMONIALE!$U$4:$Z$1003,6,FALSE),IF($C$1074&gt;0,VLOOKUP($C1497,ENTI!$U$4:$Z$1003,6,FALSE),"")))</f>
        <v>#N/A</v>
      </c>
      <c r="I1497" s="496">
        <v>417</v>
      </c>
      <c r="J1497" s="43" t="e">
        <f ca="1">VLOOKUP(D1497,$F$1081:$I$4183,4,FALSE)+COUNTIF(E$1081:E1496,E1497)</f>
        <v>#N/A</v>
      </c>
      <c r="K1497" s="1"/>
      <c r="L1497" s="39" t="e">
        <f>IF($C$1074&gt;0,VLOOKUP($C1497,ENTI!$U$4:$AD$1003,10,FALSE),"")</f>
        <v>#N/A</v>
      </c>
      <c r="M1497" s="1"/>
      <c r="N1497" s="1"/>
      <c r="O1497" s="1"/>
    </row>
    <row r="1498" spans="1:15" hidden="1">
      <c r="A1498" s="1"/>
      <c r="B1498" s="40" t="e">
        <f t="shared" ca="1" si="199"/>
        <v>#N/A</v>
      </c>
      <c r="C1498" s="496">
        <v>418</v>
      </c>
      <c r="D1498" s="41" t="e">
        <f ca="1">IF($C$1076&gt;0,VLOOKUP($C1498,COSTI!$U$4:$Z$1003,3,FALSE),IF($C$1075&gt;0,VLOOKUP($C1498,PATRIMONIALE!$U$4:$Z$1003,3,FALSE),IF($C$1074&gt;0,VLOOKUP($C1498,ENTI!$U$4:$Z$1003,3,FALSE),"")))</f>
        <v>#N/A</v>
      </c>
      <c r="E1498" s="41" t="str">
        <f t="shared" ca="1" si="200"/>
        <v/>
      </c>
      <c r="F1498" s="41" t="e">
        <f t="shared" ca="1" si="201"/>
        <v>#NUM!</v>
      </c>
      <c r="G1498" s="39" t="e">
        <f ca="1">IF($C$1076&gt;0,VLOOKUP($C1498,COSTI!$U$4:$Z$1003,5,FALSE),IF($C$1075&gt;0,VLOOKUP($C1498,PATRIMONIALE!$U$4:$Z$1003,5,FALSE),IF($C$1074&gt;0,VLOOKUP($C1498,ENTI!$U$4:$Z$1003,5,FALSE),"")))</f>
        <v>#N/A</v>
      </c>
      <c r="H1498" s="42" t="e">
        <f ca="1">IF($C$1076&gt;0,VLOOKUP($C1498,COSTI!$U$4:$Z$1003,6,FALSE),IF($C$1075&gt;0,VLOOKUP($C1498,PATRIMONIALE!$U$4:$Z$1003,6,FALSE),IF($C$1074&gt;0,VLOOKUP($C1498,ENTI!$U$4:$Z$1003,6,FALSE),"")))</f>
        <v>#N/A</v>
      </c>
      <c r="I1498" s="496">
        <v>418</v>
      </c>
      <c r="J1498" s="43" t="e">
        <f ca="1">VLOOKUP(D1498,$F$1081:$I$4183,4,FALSE)+COUNTIF(E$1081:E1497,E1498)</f>
        <v>#N/A</v>
      </c>
      <c r="K1498" s="1"/>
      <c r="L1498" s="39" t="e">
        <f>IF($C$1074&gt;0,VLOOKUP($C1498,ENTI!$U$4:$AD$1003,10,FALSE),"")</f>
        <v>#N/A</v>
      </c>
      <c r="M1498" s="1"/>
      <c r="N1498" s="1"/>
      <c r="O1498" s="1"/>
    </row>
    <row r="1499" spans="1:15" hidden="1">
      <c r="A1499" s="1"/>
      <c r="B1499" s="40" t="e">
        <f t="shared" ca="1" si="199"/>
        <v>#N/A</v>
      </c>
      <c r="C1499" s="496">
        <v>419</v>
      </c>
      <c r="D1499" s="41" t="e">
        <f ca="1">IF($C$1076&gt;0,VLOOKUP($C1499,COSTI!$U$4:$Z$1003,3,FALSE),IF($C$1075&gt;0,VLOOKUP($C1499,PATRIMONIALE!$U$4:$Z$1003,3,FALSE),IF($C$1074&gt;0,VLOOKUP($C1499,ENTI!$U$4:$Z$1003,3,FALSE),"")))</f>
        <v>#N/A</v>
      </c>
      <c r="E1499" s="41" t="str">
        <f t="shared" ca="1" si="200"/>
        <v/>
      </c>
      <c r="F1499" s="41" t="e">
        <f t="shared" ca="1" si="201"/>
        <v>#NUM!</v>
      </c>
      <c r="G1499" s="39" t="e">
        <f ca="1">IF($C$1076&gt;0,VLOOKUP($C1499,COSTI!$U$4:$Z$1003,5,FALSE),IF($C$1075&gt;0,VLOOKUP($C1499,PATRIMONIALE!$U$4:$Z$1003,5,FALSE),IF($C$1074&gt;0,VLOOKUP($C1499,ENTI!$U$4:$Z$1003,5,FALSE),"")))</f>
        <v>#N/A</v>
      </c>
      <c r="H1499" s="42" t="e">
        <f ca="1">IF($C$1076&gt;0,VLOOKUP($C1499,COSTI!$U$4:$Z$1003,6,FALSE),IF($C$1075&gt;0,VLOOKUP($C1499,PATRIMONIALE!$U$4:$Z$1003,6,FALSE),IF($C$1074&gt;0,VLOOKUP($C1499,ENTI!$U$4:$Z$1003,6,FALSE),"")))</f>
        <v>#N/A</v>
      </c>
      <c r="I1499" s="496">
        <v>419</v>
      </c>
      <c r="J1499" s="43" t="e">
        <f ca="1">VLOOKUP(D1499,$F$1081:$I$4183,4,FALSE)+COUNTIF(E$1081:E1498,E1499)</f>
        <v>#N/A</v>
      </c>
      <c r="K1499" s="1"/>
      <c r="L1499" s="39" t="e">
        <f>IF($C$1074&gt;0,VLOOKUP($C1499,ENTI!$U$4:$AD$1003,10,FALSE),"")</f>
        <v>#N/A</v>
      </c>
      <c r="M1499" s="1"/>
      <c r="N1499" s="1"/>
      <c r="O1499" s="1"/>
    </row>
    <row r="1500" spans="1:15" hidden="1">
      <c r="A1500" s="1"/>
      <c r="B1500" s="40" t="e">
        <f t="shared" ca="1" si="199"/>
        <v>#N/A</v>
      </c>
      <c r="C1500" s="496">
        <v>420</v>
      </c>
      <c r="D1500" s="41" t="e">
        <f ca="1">IF($C$1076&gt;0,VLOOKUP($C1500,COSTI!$U$4:$Z$1003,3,FALSE),IF($C$1075&gt;0,VLOOKUP($C1500,PATRIMONIALE!$U$4:$Z$1003,3,FALSE),IF($C$1074&gt;0,VLOOKUP($C1500,ENTI!$U$4:$Z$1003,3,FALSE),"")))</f>
        <v>#N/A</v>
      </c>
      <c r="E1500" s="41" t="str">
        <f t="shared" ca="1" si="200"/>
        <v/>
      </c>
      <c r="F1500" s="41" t="e">
        <f t="shared" ca="1" si="201"/>
        <v>#NUM!</v>
      </c>
      <c r="G1500" s="39" t="e">
        <f ca="1">IF($C$1076&gt;0,VLOOKUP($C1500,COSTI!$U$4:$Z$1003,5,FALSE),IF($C$1075&gt;0,VLOOKUP($C1500,PATRIMONIALE!$U$4:$Z$1003,5,FALSE),IF($C$1074&gt;0,VLOOKUP($C1500,ENTI!$U$4:$Z$1003,5,FALSE),"")))</f>
        <v>#N/A</v>
      </c>
      <c r="H1500" s="42" t="e">
        <f ca="1">IF($C$1076&gt;0,VLOOKUP($C1500,COSTI!$U$4:$Z$1003,6,FALSE),IF($C$1075&gt;0,VLOOKUP($C1500,PATRIMONIALE!$U$4:$Z$1003,6,FALSE),IF($C$1074&gt;0,VLOOKUP($C1500,ENTI!$U$4:$Z$1003,6,FALSE),"")))</f>
        <v>#N/A</v>
      </c>
      <c r="I1500" s="496">
        <v>420</v>
      </c>
      <c r="J1500" s="43" t="e">
        <f ca="1">VLOOKUP(D1500,$F$1081:$I$4183,4,FALSE)+COUNTIF(E$1081:E1499,E1500)</f>
        <v>#N/A</v>
      </c>
      <c r="K1500" s="1"/>
      <c r="L1500" s="39" t="e">
        <f>IF($C$1074&gt;0,VLOOKUP($C1500,ENTI!$U$4:$AD$1003,10,FALSE),"")</f>
        <v>#N/A</v>
      </c>
      <c r="M1500" s="1"/>
      <c r="N1500" s="1"/>
      <c r="O1500" s="1"/>
    </row>
    <row r="1501" spans="1:15" hidden="1">
      <c r="A1501" s="1"/>
      <c r="B1501" s="40" t="e">
        <f t="shared" ca="1" si="199"/>
        <v>#N/A</v>
      </c>
      <c r="C1501" s="496">
        <v>421</v>
      </c>
      <c r="D1501" s="41" t="e">
        <f ca="1">IF($C$1076&gt;0,VLOOKUP($C1501,COSTI!$U$4:$Z$1003,3,FALSE),IF($C$1075&gt;0,VLOOKUP($C1501,PATRIMONIALE!$U$4:$Z$1003,3,FALSE),IF($C$1074&gt;0,VLOOKUP($C1501,ENTI!$U$4:$Z$1003,3,FALSE),"")))</f>
        <v>#N/A</v>
      </c>
      <c r="E1501" s="41" t="str">
        <f t="shared" ca="1" si="200"/>
        <v/>
      </c>
      <c r="F1501" s="41" t="e">
        <f t="shared" ca="1" si="201"/>
        <v>#NUM!</v>
      </c>
      <c r="G1501" s="39" t="e">
        <f ca="1">IF($C$1076&gt;0,VLOOKUP($C1501,COSTI!$U$4:$Z$1003,5,FALSE),IF($C$1075&gt;0,VLOOKUP($C1501,PATRIMONIALE!$U$4:$Z$1003,5,FALSE),IF($C$1074&gt;0,VLOOKUP($C1501,ENTI!$U$4:$Z$1003,5,FALSE),"")))</f>
        <v>#N/A</v>
      </c>
      <c r="H1501" s="42" t="e">
        <f ca="1">IF($C$1076&gt;0,VLOOKUP($C1501,COSTI!$U$4:$Z$1003,6,FALSE),IF($C$1075&gt;0,VLOOKUP($C1501,PATRIMONIALE!$U$4:$Z$1003,6,FALSE),IF($C$1074&gt;0,VLOOKUP($C1501,ENTI!$U$4:$Z$1003,6,FALSE),"")))</f>
        <v>#N/A</v>
      </c>
      <c r="I1501" s="496">
        <v>421</v>
      </c>
      <c r="J1501" s="43" t="e">
        <f ca="1">VLOOKUP(D1501,$F$1081:$I$4183,4,FALSE)+COUNTIF(E$1081:E1500,E1501)</f>
        <v>#N/A</v>
      </c>
      <c r="K1501" s="1"/>
      <c r="L1501" s="39" t="e">
        <f>IF($C$1074&gt;0,VLOOKUP($C1501,ENTI!$U$4:$AD$1003,10,FALSE),"")</f>
        <v>#N/A</v>
      </c>
      <c r="M1501" s="1"/>
      <c r="N1501" s="1"/>
      <c r="O1501" s="1"/>
    </row>
    <row r="1502" spans="1:15" hidden="1">
      <c r="A1502" s="1"/>
      <c r="B1502" s="40" t="e">
        <f t="shared" ca="1" si="199"/>
        <v>#N/A</v>
      </c>
      <c r="C1502" s="496">
        <v>422</v>
      </c>
      <c r="D1502" s="41" t="e">
        <f ca="1">IF($C$1076&gt;0,VLOOKUP($C1502,COSTI!$U$4:$Z$1003,3,FALSE),IF($C$1075&gt;0,VLOOKUP($C1502,PATRIMONIALE!$U$4:$Z$1003,3,FALSE),IF($C$1074&gt;0,VLOOKUP($C1502,ENTI!$U$4:$Z$1003,3,FALSE),"")))</f>
        <v>#N/A</v>
      </c>
      <c r="E1502" s="41" t="str">
        <f t="shared" ca="1" si="200"/>
        <v/>
      </c>
      <c r="F1502" s="41" t="e">
        <f t="shared" ca="1" si="201"/>
        <v>#NUM!</v>
      </c>
      <c r="G1502" s="39" t="e">
        <f ca="1">IF($C$1076&gt;0,VLOOKUP($C1502,COSTI!$U$4:$Z$1003,5,FALSE),IF($C$1075&gt;0,VLOOKUP($C1502,PATRIMONIALE!$U$4:$Z$1003,5,FALSE),IF($C$1074&gt;0,VLOOKUP($C1502,ENTI!$U$4:$Z$1003,5,FALSE),"")))</f>
        <v>#N/A</v>
      </c>
      <c r="H1502" s="42" t="e">
        <f ca="1">IF($C$1076&gt;0,VLOOKUP($C1502,COSTI!$U$4:$Z$1003,6,FALSE),IF($C$1075&gt;0,VLOOKUP($C1502,PATRIMONIALE!$U$4:$Z$1003,6,FALSE),IF($C$1074&gt;0,VLOOKUP($C1502,ENTI!$U$4:$Z$1003,6,FALSE),"")))</f>
        <v>#N/A</v>
      </c>
      <c r="I1502" s="496">
        <v>422</v>
      </c>
      <c r="J1502" s="43" t="e">
        <f ca="1">VLOOKUP(D1502,$F$1081:$I$4183,4,FALSE)+COUNTIF(E$1081:E1501,E1502)</f>
        <v>#N/A</v>
      </c>
      <c r="K1502" s="1"/>
      <c r="L1502" s="39" t="e">
        <f>IF($C$1074&gt;0,VLOOKUP($C1502,ENTI!$U$4:$AD$1003,10,FALSE),"")</f>
        <v>#N/A</v>
      </c>
      <c r="M1502" s="1"/>
      <c r="N1502" s="1"/>
      <c r="O1502" s="1"/>
    </row>
    <row r="1503" spans="1:15" hidden="1">
      <c r="A1503" s="1"/>
      <c r="B1503" s="40" t="e">
        <f t="shared" ca="1" si="199"/>
        <v>#N/A</v>
      </c>
      <c r="C1503" s="496">
        <v>423</v>
      </c>
      <c r="D1503" s="41" t="e">
        <f ca="1">IF($C$1076&gt;0,VLOOKUP($C1503,COSTI!$U$4:$Z$1003,3,FALSE),IF($C$1075&gt;0,VLOOKUP($C1503,PATRIMONIALE!$U$4:$Z$1003,3,FALSE),IF($C$1074&gt;0,VLOOKUP($C1503,ENTI!$U$4:$Z$1003,3,FALSE),"")))</f>
        <v>#N/A</v>
      </c>
      <c r="E1503" s="41" t="str">
        <f t="shared" ca="1" si="200"/>
        <v/>
      </c>
      <c r="F1503" s="41" t="e">
        <f t="shared" ca="1" si="201"/>
        <v>#NUM!</v>
      </c>
      <c r="G1503" s="39" t="e">
        <f ca="1">IF($C$1076&gt;0,VLOOKUP($C1503,COSTI!$U$4:$Z$1003,5,FALSE),IF($C$1075&gt;0,VLOOKUP($C1503,PATRIMONIALE!$U$4:$Z$1003,5,FALSE),IF($C$1074&gt;0,VLOOKUP($C1503,ENTI!$U$4:$Z$1003,5,FALSE),"")))</f>
        <v>#N/A</v>
      </c>
      <c r="H1503" s="42" t="e">
        <f ca="1">IF($C$1076&gt;0,VLOOKUP($C1503,COSTI!$U$4:$Z$1003,6,FALSE),IF($C$1075&gt;0,VLOOKUP($C1503,PATRIMONIALE!$U$4:$Z$1003,6,FALSE),IF($C$1074&gt;0,VLOOKUP($C1503,ENTI!$U$4:$Z$1003,6,FALSE),"")))</f>
        <v>#N/A</v>
      </c>
      <c r="I1503" s="496">
        <v>423</v>
      </c>
      <c r="J1503" s="43" t="e">
        <f ca="1">VLOOKUP(D1503,$F$1081:$I$4183,4,FALSE)+COUNTIF(E$1081:E1502,E1503)</f>
        <v>#N/A</v>
      </c>
      <c r="K1503" s="1"/>
      <c r="L1503" s="39" t="e">
        <f>IF($C$1074&gt;0,VLOOKUP($C1503,ENTI!$U$4:$AD$1003,10,FALSE),"")</f>
        <v>#N/A</v>
      </c>
      <c r="M1503" s="1"/>
      <c r="N1503" s="1"/>
      <c r="O1503" s="1"/>
    </row>
    <row r="1504" spans="1:15" hidden="1">
      <c r="A1504" s="1"/>
      <c r="B1504" s="40" t="e">
        <f t="shared" ca="1" si="199"/>
        <v>#N/A</v>
      </c>
      <c r="C1504" s="496">
        <v>424</v>
      </c>
      <c r="D1504" s="41" t="e">
        <f ca="1">IF($C$1076&gt;0,VLOOKUP($C1504,COSTI!$U$4:$Z$1003,3,FALSE),IF($C$1075&gt;0,VLOOKUP($C1504,PATRIMONIALE!$U$4:$Z$1003,3,FALSE),IF($C$1074&gt;0,VLOOKUP($C1504,ENTI!$U$4:$Z$1003,3,FALSE),"")))</f>
        <v>#N/A</v>
      </c>
      <c r="E1504" s="41" t="str">
        <f t="shared" ca="1" si="200"/>
        <v/>
      </c>
      <c r="F1504" s="41" t="e">
        <f t="shared" ca="1" si="201"/>
        <v>#NUM!</v>
      </c>
      <c r="G1504" s="39" t="e">
        <f ca="1">IF($C$1076&gt;0,VLOOKUP($C1504,COSTI!$U$4:$Z$1003,5,FALSE),IF($C$1075&gt;0,VLOOKUP($C1504,PATRIMONIALE!$U$4:$Z$1003,5,FALSE),IF($C$1074&gt;0,VLOOKUP($C1504,ENTI!$U$4:$Z$1003,5,FALSE),"")))</f>
        <v>#N/A</v>
      </c>
      <c r="H1504" s="42" t="e">
        <f ca="1">IF($C$1076&gt;0,VLOOKUP($C1504,COSTI!$U$4:$Z$1003,6,FALSE),IF($C$1075&gt;0,VLOOKUP($C1504,PATRIMONIALE!$U$4:$Z$1003,6,FALSE),IF($C$1074&gt;0,VLOOKUP($C1504,ENTI!$U$4:$Z$1003,6,FALSE),"")))</f>
        <v>#N/A</v>
      </c>
      <c r="I1504" s="496">
        <v>424</v>
      </c>
      <c r="J1504" s="43" t="e">
        <f ca="1">VLOOKUP(D1504,$F$1081:$I$4183,4,FALSE)+COUNTIF(E$1081:E1503,E1504)</f>
        <v>#N/A</v>
      </c>
      <c r="K1504" s="1"/>
      <c r="L1504" s="39" t="e">
        <f>IF($C$1074&gt;0,VLOOKUP($C1504,ENTI!$U$4:$AD$1003,10,FALSE),"")</f>
        <v>#N/A</v>
      </c>
      <c r="M1504" s="1"/>
      <c r="N1504" s="1"/>
      <c r="O1504" s="1"/>
    </row>
    <row r="1505" spans="1:15" hidden="1">
      <c r="A1505" s="1"/>
      <c r="B1505" s="40" t="e">
        <f t="shared" ca="1" si="199"/>
        <v>#N/A</v>
      </c>
      <c r="C1505" s="496">
        <v>425</v>
      </c>
      <c r="D1505" s="41" t="e">
        <f ca="1">IF($C$1076&gt;0,VLOOKUP($C1505,COSTI!$U$4:$Z$1003,3,FALSE),IF($C$1075&gt;0,VLOOKUP($C1505,PATRIMONIALE!$U$4:$Z$1003,3,FALSE),IF($C$1074&gt;0,VLOOKUP($C1505,ENTI!$U$4:$Z$1003,3,FALSE),"")))</f>
        <v>#N/A</v>
      </c>
      <c r="E1505" s="41" t="str">
        <f t="shared" ca="1" si="200"/>
        <v/>
      </c>
      <c r="F1505" s="41" t="e">
        <f t="shared" ca="1" si="201"/>
        <v>#NUM!</v>
      </c>
      <c r="G1505" s="39" t="e">
        <f ca="1">IF($C$1076&gt;0,VLOOKUP($C1505,COSTI!$U$4:$Z$1003,5,FALSE),IF($C$1075&gt;0,VLOOKUP($C1505,PATRIMONIALE!$U$4:$Z$1003,5,FALSE),IF($C$1074&gt;0,VLOOKUP($C1505,ENTI!$U$4:$Z$1003,5,FALSE),"")))</f>
        <v>#N/A</v>
      </c>
      <c r="H1505" s="42" t="e">
        <f ca="1">IF($C$1076&gt;0,VLOOKUP($C1505,COSTI!$U$4:$Z$1003,6,FALSE),IF($C$1075&gt;0,VLOOKUP($C1505,PATRIMONIALE!$U$4:$Z$1003,6,FALSE),IF($C$1074&gt;0,VLOOKUP($C1505,ENTI!$U$4:$Z$1003,6,FALSE),"")))</f>
        <v>#N/A</v>
      </c>
      <c r="I1505" s="496">
        <v>425</v>
      </c>
      <c r="J1505" s="43" t="e">
        <f ca="1">VLOOKUP(D1505,$F$1081:$I$4183,4,FALSE)+COUNTIF(E$1081:E1504,E1505)</f>
        <v>#N/A</v>
      </c>
      <c r="K1505" s="1"/>
      <c r="L1505" s="39" t="e">
        <f>IF($C$1074&gt;0,VLOOKUP($C1505,ENTI!$U$4:$AD$1003,10,FALSE),"")</f>
        <v>#N/A</v>
      </c>
      <c r="M1505" s="1"/>
      <c r="N1505" s="1"/>
      <c r="O1505" s="1"/>
    </row>
    <row r="1506" spans="1:15" hidden="1">
      <c r="A1506" s="1"/>
      <c r="B1506" s="40" t="e">
        <f t="shared" ca="1" si="199"/>
        <v>#N/A</v>
      </c>
      <c r="C1506" s="496">
        <v>426</v>
      </c>
      <c r="D1506" s="41" t="e">
        <f ca="1">IF($C$1076&gt;0,VLOOKUP($C1506,COSTI!$U$4:$Z$1003,3,FALSE),IF($C$1075&gt;0,VLOOKUP($C1506,PATRIMONIALE!$U$4:$Z$1003,3,FALSE),IF($C$1074&gt;0,VLOOKUP($C1506,ENTI!$U$4:$Z$1003,3,FALSE),"")))</f>
        <v>#N/A</v>
      </c>
      <c r="E1506" s="41" t="str">
        <f t="shared" ca="1" si="200"/>
        <v/>
      </c>
      <c r="F1506" s="41" t="e">
        <f t="shared" ca="1" si="201"/>
        <v>#NUM!</v>
      </c>
      <c r="G1506" s="39" t="e">
        <f ca="1">IF($C$1076&gt;0,VLOOKUP($C1506,COSTI!$U$4:$Z$1003,5,FALSE),IF($C$1075&gt;0,VLOOKUP($C1506,PATRIMONIALE!$U$4:$Z$1003,5,FALSE),IF($C$1074&gt;0,VLOOKUP($C1506,ENTI!$U$4:$Z$1003,5,FALSE),"")))</f>
        <v>#N/A</v>
      </c>
      <c r="H1506" s="42" t="e">
        <f ca="1">IF($C$1076&gt;0,VLOOKUP($C1506,COSTI!$U$4:$Z$1003,6,FALSE),IF($C$1075&gt;0,VLOOKUP($C1506,PATRIMONIALE!$U$4:$Z$1003,6,FALSE),IF($C$1074&gt;0,VLOOKUP($C1506,ENTI!$U$4:$Z$1003,6,FALSE),"")))</f>
        <v>#N/A</v>
      </c>
      <c r="I1506" s="496">
        <v>426</v>
      </c>
      <c r="J1506" s="43" t="e">
        <f ca="1">VLOOKUP(D1506,$F$1081:$I$4183,4,FALSE)+COUNTIF(E$1081:E1505,E1506)</f>
        <v>#N/A</v>
      </c>
      <c r="K1506" s="1"/>
      <c r="L1506" s="39" t="e">
        <f>IF($C$1074&gt;0,VLOOKUP($C1506,ENTI!$U$4:$AD$1003,10,FALSE),"")</f>
        <v>#N/A</v>
      </c>
      <c r="M1506" s="1"/>
      <c r="N1506" s="1"/>
      <c r="O1506" s="1"/>
    </row>
    <row r="1507" spans="1:15" hidden="1">
      <c r="A1507" s="1"/>
      <c r="B1507" s="40" t="e">
        <f t="shared" ca="1" si="199"/>
        <v>#N/A</v>
      </c>
      <c r="C1507" s="496">
        <v>427</v>
      </c>
      <c r="D1507" s="41" t="e">
        <f ca="1">IF($C$1076&gt;0,VLOOKUP($C1507,COSTI!$U$4:$Z$1003,3,FALSE),IF($C$1075&gt;0,VLOOKUP($C1507,PATRIMONIALE!$U$4:$Z$1003,3,FALSE),IF($C$1074&gt;0,VLOOKUP($C1507,ENTI!$U$4:$Z$1003,3,FALSE),"")))</f>
        <v>#N/A</v>
      </c>
      <c r="E1507" s="41" t="str">
        <f t="shared" ca="1" si="200"/>
        <v/>
      </c>
      <c r="F1507" s="41" t="e">
        <f t="shared" ca="1" si="201"/>
        <v>#NUM!</v>
      </c>
      <c r="G1507" s="39" t="e">
        <f ca="1">IF($C$1076&gt;0,VLOOKUP($C1507,COSTI!$U$4:$Z$1003,5,FALSE),IF($C$1075&gt;0,VLOOKUP($C1507,PATRIMONIALE!$U$4:$Z$1003,5,FALSE),IF($C$1074&gt;0,VLOOKUP($C1507,ENTI!$U$4:$Z$1003,5,FALSE),"")))</f>
        <v>#N/A</v>
      </c>
      <c r="H1507" s="42" t="e">
        <f ca="1">IF($C$1076&gt;0,VLOOKUP($C1507,COSTI!$U$4:$Z$1003,6,FALSE),IF($C$1075&gt;0,VLOOKUP($C1507,PATRIMONIALE!$U$4:$Z$1003,6,FALSE),IF($C$1074&gt;0,VLOOKUP($C1507,ENTI!$U$4:$Z$1003,6,FALSE),"")))</f>
        <v>#N/A</v>
      </c>
      <c r="I1507" s="496">
        <v>427</v>
      </c>
      <c r="J1507" s="43" t="e">
        <f ca="1">VLOOKUP(D1507,$F$1081:$I$4183,4,FALSE)+COUNTIF(E$1081:E1506,E1507)</f>
        <v>#N/A</v>
      </c>
      <c r="K1507" s="1"/>
      <c r="L1507" s="39" t="e">
        <f>IF($C$1074&gt;0,VLOOKUP($C1507,ENTI!$U$4:$AD$1003,10,FALSE),"")</f>
        <v>#N/A</v>
      </c>
      <c r="M1507" s="1"/>
      <c r="N1507" s="1"/>
      <c r="O1507" s="1"/>
    </row>
    <row r="1508" spans="1:15" hidden="1">
      <c r="A1508" s="1"/>
      <c r="B1508" s="40" t="e">
        <f t="shared" ca="1" si="199"/>
        <v>#N/A</v>
      </c>
      <c r="C1508" s="496">
        <v>428</v>
      </c>
      <c r="D1508" s="41" t="e">
        <f ca="1">IF($C$1076&gt;0,VLOOKUP($C1508,COSTI!$U$4:$Z$1003,3,FALSE),IF($C$1075&gt;0,VLOOKUP($C1508,PATRIMONIALE!$U$4:$Z$1003,3,FALSE),IF($C$1074&gt;0,VLOOKUP($C1508,ENTI!$U$4:$Z$1003,3,FALSE),"")))</f>
        <v>#N/A</v>
      </c>
      <c r="E1508" s="41" t="str">
        <f t="shared" ca="1" si="200"/>
        <v/>
      </c>
      <c r="F1508" s="41" t="e">
        <f t="shared" ca="1" si="201"/>
        <v>#NUM!</v>
      </c>
      <c r="G1508" s="39" t="e">
        <f ca="1">IF($C$1076&gt;0,VLOOKUP($C1508,COSTI!$U$4:$Z$1003,5,FALSE),IF($C$1075&gt;0,VLOOKUP($C1508,PATRIMONIALE!$U$4:$Z$1003,5,FALSE),IF($C$1074&gt;0,VLOOKUP($C1508,ENTI!$U$4:$Z$1003,5,FALSE),"")))</f>
        <v>#N/A</v>
      </c>
      <c r="H1508" s="42" t="e">
        <f ca="1">IF($C$1076&gt;0,VLOOKUP($C1508,COSTI!$U$4:$Z$1003,6,FALSE),IF($C$1075&gt;0,VLOOKUP($C1508,PATRIMONIALE!$U$4:$Z$1003,6,FALSE),IF($C$1074&gt;0,VLOOKUP($C1508,ENTI!$U$4:$Z$1003,6,FALSE),"")))</f>
        <v>#N/A</v>
      </c>
      <c r="I1508" s="496">
        <v>428</v>
      </c>
      <c r="J1508" s="43" t="e">
        <f ca="1">VLOOKUP(D1508,$F$1081:$I$4183,4,FALSE)+COUNTIF(E$1081:E1507,E1508)</f>
        <v>#N/A</v>
      </c>
      <c r="K1508" s="1"/>
      <c r="L1508" s="39" t="e">
        <f>IF($C$1074&gt;0,VLOOKUP($C1508,ENTI!$U$4:$AD$1003,10,FALSE),"")</f>
        <v>#N/A</v>
      </c>
      <c r="M1508" s="1"/>
      <c r="N1508" s="1"/>
      <c r="O1508" s="1"/>
    </row>
    <row r="1509" spans="1:15" hidden="1">
      <c r="A1509" s="1"/>
      <c r="B1509" s="40" t="e">
        <f t="shared" ca="1" si="199"/>
        <v>#N/A</v>
      </c>
      <c r="C1509" s="496">
        <v>429</v>
      </c>
      <c r="D1509" s="41" t="e">
        <f ca="1">IF($C$1076&gt;0,VLOOKUP($C1509,COSTI!$U$4:$Z$1003,3,FALSE),IF($C$1075&gt;0,VLOOKUP($C1509,PATRIMONIALE!$U$4:$Z$1003,3,FALSE),IF($C$1074&gt;0,VLOOKUP($C1509,ENTI!$U$4:$Z$1003,3,FALSE),"")))</f>
        <v>#N/A</v>
      </c>
      <c r="E1509" s="41" t="str">
        <f t="shared" ca="1" si="200"/>
        <v/>
      </c>
      <c r="F1509" s="41" t="e">
        <f t="shared" ca="1" si="201"/>
        <v>#NUM!</v>
      </c>
      <c r="G1509" s="39" t="e">
        <f ca="1">IF($C$1076&gt;0,VLOOKUP($C1509,COSTI!$U$4:$Z$1003,5,FALSE),IF($C$1075&gt;0,VLOOKUP($C1509,PATRIMONIALE!$U$4:$Z$1003,5,FALSE),IF($C$1074&gt;0,VLOOKUP($C1509,ENTI!$U$4:$Z$1003,5,FALSE),"")))</f>
        <v>#N/A</v>
      </c>
      <c r="H1509" s="42" t="e">
        <f ca="1">IF($C$1076&gt;0,VLOOKUP($C1509,COSTI!$U$4:$Z$1003,6,FALSE),IF($C$1075&gt;0,VLOOKUP($C1509,PATRIMONIALE!$U$4:$Z$1003,6,FALSE),IF($C$1074&gt;0,VLOOKUP($C1509,ENTI!$U$4:$Z$1003,6,FALSE),"")))</f>
        <v>#N/A</v>
      </c>
      <c r="I1509" s="496">
        <v>429</v>
      </c>
      <c r="J1509" s="43" t="e">
        <f ca="1">VLOOKUP(D1509,$F$1081:$I$4183,4,FALSE)+COUNTIF(E$1081:E1508,E1509)</f>
        <v>#N/A</v>
      </c>
      <c r="K1509" s="1"/>
      <c r="L1509" s="39" t="e">
        <f>IF($C$1074&gt;0,VLOOKUP($C1509,ENTI!$U$4:$AD$1003,10,FALSE),"")</f>
        <v>#N/A</v>
      </c>
      <c r="M1509" s="1"/>
      <c r="N1509" s="1"/>
      <c r="O1509" s="1"/>
    </row>
    <row r="1510" spans="1:15" hidden="1">
      <c r="A1510" s="1"/>
      <c r="B1510" s="40" t="e">
        <f t="shared" ca="1" si="199"/>
        <v>#N/A</v>
      </c>
      <c r="C1510" s="496">
        <v>430</v>
      </c>
      <c r="D1510" s="41" t="e">
        <f ca="1">IF($C$1076&gt;0,VLOOKUP($C1510,COSTI!$U$4:$Z$1003,3,FALSE),IF($C$1075&gt;0,VLOOKUP($C1510,PATRIMONIALE!$U$4:$Z$1003,3,FALSE),IF($C$1074&gt;0,VLOOKUP($C1510,ENTI!$U$4:$Z$1003,3,FALSE),"")))</f>
        <v>#N/A</v>
      </c>
      <c r="E1510" s="41" t="str">
        <f t="shared" ca="1" si="200"/>
        <v/>
      </c>
      <c r="F1510" s="41" t="e">
        <f t="shared" ca="1" si="201"/>
        <v>#NUM!</v>
      </c>
      <c r="G1510" s="39" t="e">
        <f ca="1">IF($C$1076&gt;0,VLOOKUP($C1510,COSTI!$U$4:$Z$1003,5,FALSE),IF($C$1075&gt;0,VLOOKUP($C1510,PATRIMONIALE!$U$4:$Z$1003,5,FALSE),IF($C$1074&gt;0,VLOOKUP($C1510,ENTI!$U$4:$Z$1003,5,FALSE),"")))</f>
        <v>#N/A</v>
      </c>
      <c r="H1510" s="42" t="e">
        <f ca="1">IF($C$1076&gt;0,VLOOKUP($C1510,COSTI!$U$4:$Z$1003,6,FALSE),IF($C$1075&gt;0,VLOOKUP($C1510,PATRIMONIALE!$U$4:$Z$1003,6,FALSE),IF($C$1074&gt;0,VLOOKUP($C1510,ENTI!$U$4:$Z$1003,6,FALSE),"")))</f>
        <v>#N/A</v>
      </c>
      <c r="I1510" s="496">
        <v>430</v>
      </c>
      <c r="J1510" s="43" t="e">
        <f ca="1">VLOOKUP(D1510,$F$1081:$I$4183,4,FALSE)+COUNTIF(E$1081:E1509,E1510)</f>
        <v>#N/A</v>
      </c>
      <c r="K1510" s="1"/>
      <c r="L1510" s="39" t="e">
        <f>IF($C$1074&gt;0,VLOOKUP($C1510,ENTI!$U$4:$AD$1003,10,FALSE),"")</f>
        <v>#N/A</v>
      </c>
      <c r="M1510" s="1"/>
      <c r="N1510" s="1"/>
      <c r="O1510" s="1"/>
    </row>
    <row r="1511" spans="1:15" hidden="1">
      <c r="A1511" s="1"/>
      <c r="B1511" s="40" t="e">
        <f t="shared" ca="1" si="199"/>
        <v>#N/A</v>
      </c>
      <c r="C1511" s="496">
        <v>431</v>
      </c>
      <c r="D1511" s="41" t="e">
        <f ca="1">IF($C$1076&gt;0,VLOOKUP($C1511,COSTI!$U$4:$Z$1003,3,FALSE),IF($C$1075&gt;0,VLOOKUP($C1511,PATRIMONIALE!$U$4:$Z$1003,3,FALSE),IF($C$1074&gt;0,VLOOKUP($C1511,ENTI!$U$4:$Z$1003,3,FALSE),"")))</f>
        <v>#N/A</v>
      </c>
      <c r="E1511" s="41" t="str">
        <f t="shared" ca="1" si="200"/>
        <v/>
      </c>
      <c r="F1511" s="41" t="e">
        <f t="shared" ca="1" si="201"/>
        <v>#NUM!</v>
      </c>
      <c r="G1511" s="39" t="e">
        <f ca="1">IF($C$1076&gt;0,VLOOKUP($C1511,COSTI!$U$4:$Z$1003,5,FALSE),IF($C$1075&gt;0,VLOOKUP($C1511,PATRIMONIALE!$U$4:$Z$1003,5,FALSE),IF($C$1074&gt;0,VLOOKUP($C1511,ENTI!$U$4:$Z$1003,5,FALSE),"")))</f>
        <v>#N/A</v>
      </c>
      <c r="H1511" s="42" t="e">
        <f ca="1">IF($C$1076&gt;0,VLOOKUP($C1511,COSTI!$U$4:$Z$1003,6,FALSE),IF($C$1075&gt;0,VLOOKUP($C1511,PATRIMONIALE!$U$4:$Z$1003,6,FALSE),IF($C$1074&gt;0,VLOOKUP($C1511,ENTI!$U$4:$Z$1003,6,FALSE),"")))</f>
        <v>#N/A</v>
      </c>
      <c r="I1511" s="496">
        <v>431</v>
      </c>
      <c r="J1511" s="43" t="e">
        <f ca="1">VLOOKUP(D1511,$F$1081:$I$4183,4,FALSE)+COUNTIF(E$1081:E1510,E1511)</f>
        <v>#N/A</v>
      </c>
      <c r="K1511" s="1"/>
      <c r="L1511" s="39" t="e">
        <f>IF($C$1074&gt;0,VLOOKUP($C1511,ENTI!$U$4:$AD$1003,10,FALSE),"")</f>
        <v>#N/A</v>
      </c>
      <c r="M1511" s="1"/>
      <c r="N1511" s="1"/>
      <c r="O1511" s="1"/>
    </row>
    <row r="1512" spans="1:15" hidden="1">
      <c r="A1512" s="1"/>
      <c r="B1512" s="40" t="e">
        <f t="shared" ca="1" si="199"/>
        <v>#N/A</v>
      </c>
      <c r="C1512" s="496">
        <v>432</v>
      </c>
      <c r="D1512" s="41" t="e">
        <f ca="1">IF($C$1076&gt;0,VLOOKUP($C1512,COSTI!$U$4:$Z$1003,3,FALSE),IF($C$1075&gt;0,VLOOKUP($C1512,PATRIMONIALE!$U$4:$Z$1003,3,FALSE),IF($C$1074&gt;0,VLOOKUP($C1512,ENTI!$U$4:$Z$1003,3,FALSE),"")))</f>
        <v>#N/A</v>
      </c>
      <c r="E1512" s="41" t="str">
        <f t="shared" ca="1" si="200"/>
        <v/>
      </c>
      <c r="F1512" s="41" t="e">
        <f t="shared" ca="1" si="201"/>
        <v>#NUM!</v>
      </c>
      <c r="G1512" s="39" t="e">
        <f ca="1">IF($C$1076&gt;0,VLOOKUP($C1512,COSTI!$U$4:$Z$1003,5,FALSE),IF($C$1075&gt;0,VLOOKUP($C1512,PATRIMONIALE!$U$4:$Z$1003,5,FALSE),IF($C$1074&gt;0,VLOOKUP($C1512,ENTI!$U$4:$Z$1003,5,FALSE),"")))</f>
        <v>#N/A</v>
      </c>
      <c r="H1512" s="42" t="e">
        <f ca="1">IF($C$1076&gt;0,VLOOKUP($C1512,COSTI!$U$4:$Z$1003,6,FALSE),IF($C$1075&gt;0,VLOOKUP($C1512,PATRIMONIALE!$U$4:$Z$1003,6,FALSE),IF($C$1074&gt;0,VLOOKUP($C1512,ENTI!$U$4:$Z$1003,6,FALSE),"")))</f>
        <v>#N/A</v>
      </c>
      <c r="I1512" s="496">
        <v>432</v>
      </c>
      <c r="J1512" s="43" t="e">
        <f ca="1">VLOOKUP(D1512,$F$1081:$I$4183,4,FALSE)+COUNTIF(E$1081:E1511,E1512)</f>
        <v>#N/A</v>
      </c>
      <c r="K1512" s="1"/>
      <c r="L1512" s="39" t="e">
        <f>IF($C$1074&gt;0,VLOOKUP($C1512,ENTI!$U$4:$AD$1003,10,FALSE),"")</f>
        <v>#N/A</v>
      </c>
      <c r="M1512" s="1"/>
      <c r="N1512" s="1"/>
      <c r="O1512" s="1"/>
    </row>
    <row r="1513" spans="1:15" hidden="1">
      <c r="A1513" s="1"/>
      <c r="B1513" s="40" t="e">
        <f t="shared" ca="1" si="199"/>
        <v>#N/A</v>
      </c>
      <c r="C1513" s="496">
        <v>433</v>
      </c>
      <c r="D1513" s="41" t="e">
        <f ca="1">IF($C$1076&gt;0,VLOOKUP($C1513,COSTI!$U$4:$Z$1003,3,FALSE),IF($C$1075&gt;0,VLOOKUP($C1513,PATRIMONIALE!$U$4:$Z$1003,3,FALSE),IF($C$1074&gt;0,VLOOKUP($C1513,ENTI!$U$4:$Z$1003,3,FALSE),"")))</f>
        <v>#N/A</v>
      </c>
      <c r="E1513" s="41" t="str">
        <f t="shared" ca="1" si="200"/>
        <v/>
      </c>
      <c r="F1513" s="41" t="e">
        <f t="shared" ca="1" si="201"/>
        <v>#NUM!</v>
      </c>
      <c r="G1513" s="39" t="e">
        <f ca="1">IF($C$1076&gt;0,VLOOKUP($C1513,COSTI!$U$4:$Z$1003,5,FALSE),IF($C$1075&gt;0,VLOOKUP($C1513,PATRIMONIALE!$U$4:$Z$1003,5,FALSE),IF($C$1074&gt;0,VLOOKUP($C1513,ENTI!$U$4:$Z$1003,5,FALSE),"")))</f>
        <v>#N/A</v>
      </c>
      <c r="H1513" s="42" t="e">
        <f ca="1">IF($C$1076&gt;0,VLOOKUP($C1513,COSTI!$U$4:$Z$1003,6,FALSE),IF($C$1075&gt;0,VLOOKUP($C1513,PATRIMONIALE!$U$4:$Z$1003,6,FALSE),IF($C$1074&gt;0,VLOOKUP($C1513,ENTI!$U$4:$Z$1003,6,FALSE),"")))</f>
        <v>#N/A</v>
      </c>
      <c r="I1513" s="496">
        <v>433</v>
      </c>
      <c r="J1513" s="43" t="e">
        <f ca="1">VLOOKUP(D1513,$F$1081:$I$4183,4,FALSE)+COUNTIF(E$1081:E1512,E1513)</f>
        <v>#N/A</v>
      </c>
      <c r="K1513" s="1"/>
      <c r="L1513" s="39" t="e">
        <f>IF($C$1074&gt;0,VLOOKUP($C1513,ENTI!$U$4:$AD$1003,10,FALSE),"")</f>
        <v>#N/A</v>
      </c>
      <c r="M1513" s="1"/>
      <c r="N1513" s="1"/>
      <c r="O1513" s="1"/>
    </row>
    <row r="1514" spans="1:15" hidden="1">
      <c r="A1514" s="1"/>
      <c r="B1514" s="40" t="e">
        <f t="shared" ca="1" si="199"/>
        <v>#N/A</v>
      </c>
      <c r="C1514" s="496">
        <v>434</v>
      </c>
      <c r="D1514" s="41" t="e">
        <f ca="1">IF($C$1076&gt;0,VLOOKUP($C1514,COSTI!$U$4:$Z$1003,3,FALSE),IF($C$1075&gt;0,VLOOKUP($C1514,PATRIMONIALE!$U$4:$Z$1003,3,FALSE),IF($C$1074&gt;0,VLOOKUP($C1514,ENTI!$U$4:$Z$1003,3,FALSE),"")))</f>
        <v>#N/A</v>
      </c>
      <c r="E1514" s="41" t="str">
        <f t="shared" ca="1" si="200"/>
        <v/>
      </c>
      <c r="F1514" s="41" t="e">
        <f t="shared" ca="1" si="201"/>
        <v>#NUM!</v>
      </c>
      <c r="G1514" s="39" t="e">
        <f ca="1">IF($C$1076&gt;0,VLOOKUP($C1514,COSTI!$U$4:$Z$1003,5,FALSE),IF($C$1075&gt;0,VLOOKUP($C1514,PATRIMONIALE!$U$4:$Z$1003,5,FALSE),IF($C$1074&gt;0,VLOOKUP($C1514,ENTI!$U$4:$Z$1003,5,FALSE),"")))</f>
        <v>#N/A</v>
      </c>
      <c r="H1514" s="42" t="e">
        <f ca="1">IF($C$1076&gt;0,VLOOKUP($C1514,COSTI!$U$4:$Z$1003,6,FALSE),IF($C$1075&gt;0,VLOOKUP($C1514,PATRIMONIALE!$U$4:$Z$1003,6,FALSE),IF($C$1074&gt;0,VLOOKUP($C1514,ENTI!$U$4:$Z$1003,6,FALSE),"")))</f>
        <v>#N/A</v>
      </c>
      <c r="I1514" s="496">
        <v>434</v>
      </c>
      <c r="J1514" s="43" t="e">
        <f ca="1">VLOOKUP(D1514,$F$1081:$I$4183,4,FALSE)+COUNTIF(E$1081:E1513,E1514)</f>
        <v>#N/A</v>
      </c>
      <c r="K1514" s="1"/>
      <c r="L1514" s="39" t="e">
        <f>IF($C$1074&gt;0,VLOOKUP($C1514,ENTI!$U$4:$AD$1003,10,FALSE),"")</f>
        <v>#N/A</v>
      </c>
      <c r="M1514" s="1"/>
      <c r="N1514" s="1"/>
      <c r="O1514" s="1"/>
    </row>
    <row r="1515" spans="1:15" hidden="1">
      <c r="A1515" s="1"/>
      <c r="B1515" s="40" t="e">
        <f t="shared" ca="1" si="199"/>
        <v>#N/A</v>
      </c>
      <c r="C1515" s="496">
        <v>435</v>
      </c>
      <c r="D1515" s="41" t="e">
        <f ca="1">IF($C$1076&gt;0,VLOOKUP($C1515,COSTI!$U$4:$Z$1003,3,FALSE),IF($C$1075&gt;0,VLOOKUP($C1515,PATRIMONIALE!$U$4:$Z$1003,3,FALSE),IF($C$1074&gt;0,VLOOKUP($C1515,ENTI!$U$4:$Z$1003,3,FALSE),"")))</f>
        <v>#N/A</v>
      </c>
      <c r="E1515" s="41" t="str">
        <f t="shared" ca="1" si="200"/>
        <v/>
      </c>
      <c r="F1515" s="41" t="e">
        <f t="shared" ca="1" si="201"/>
        <v>#NUM!</v>
      </c>
      <c r="G1515" s="39" t="e">
        <f ca="1">IF($C$1076&gt;0,VLOOKUP($C1515,COSTI!$U$4:$Z$1003,5,FALSE),IF($C$1075&gt;0,VLOOKUP($C1515,PATRIMONIALE!$U$4:$Z$1003,5,FALSE),IF($C$1074&gt;0,VLOOKUP($C1515,ENTI!$U$4:$Z$1003,5,FALSE),"")))</f>
        <v>#N/A</v>
      </c>
      <c r="H1515" s="42" t="e">
        <f ca="1">IF($C$1076&gt;0,VLOOKUP($C1515,COSTI!$U$4:$Z$1003,6,FALSE),IF($C$1075&gt;0,VLOOKUP($C1515,PATRIMONIALE!$U$4:$Z$1003,6,FALSE),IF($C$1074&gt;0,VLOOKUP($C1515,ENTI!$U$4:$Z$1003,6,FALSE),"")))</f>
        <v>#N/A</v>
      </c>
      <c r="I1515" s="496">
        <v>435</v>
      </c>
      <c r="J1515" s="43" t="e">
        <f ca="1">VLOOKUP(D1515,$F$1081:$I$4183,4,FALSE)+COUNTIF(E$1081:E1514,E1515)</f>
        <v>#N/A</v>
      </c>
      <c r="K1515" s="1"/>
      <c r="L1515" s="39" t="e">
        <f>IF($C$1074&gt;0,VLOOKUP($C1515,ENTI!$U$4:$AD$1003,10,FALSE),"")</f>
        <v>#N/A</v>
      </c>
      <c r="M1515" s="1"/>
      <c r="N1515" s="1"/>
      <c r="O1515" s="1"/>
    </row>
    <row r="1516" spans="1:15" hidden="1">
      <c r="A1516" s="1"/>
      <c r="B1516" s="40" t="e">
        <f t="shared" ca="1" si="199"/>
        <v>#N/A</v>
      </c>
      <c r="C1516" s="496">
        <v>436</v>
      </c>
      <c r="D1516" s="41" t="e">
        <f ca="1">IF($C$1076&gt;0,VLOOKUP($C1516,COSTI!$U$4:$Z$1003,3,FALSE),IF($C$1075&gt;0,VLOOKUP($C1516,PATRIMONIALE!$U$4:$Z$1003,3,FALSE),IF($C$1074&gt;0,VLOOKUP($C1516,ENTI!$U$4:$Z$1003,3,FALSE),"")))</f>
        <v>#N/A</v>
      </c>
      <c r="E1516" s="41" t="str">
        <f t="shared" ca="1" si="200"/>
        <v/>
      </c>
      <c r="F1516" s="41" t="e">
        <f t="shared" ca="1" si="201"/>
        <v>#NUM!</v>
      </c>
      <c r="G1516" s="39" t="e">
        <f ca="1">IF($C$1076&gt;0,VLOOKUP($C1516,COSTI!$U$4:$Z$1003,5,FALSE),IF($C$1075&gt;0,VLOOKUP($C1516,PATRIMONIALE!$U$4:$Z$1003,5,FALSE),IF($C$1074&gt;0,VLOOKUP($C1516,ENTI!$U$4:$Z$1003,5,FALSE),"")))</f>
        <v>#N/A</v>
      </c>
      <c r="H1516" s="42" t="e">
        <f ca="1">IF($C$1076&gt;0,VLOOKUP($C1516,COSTI!$U$4:$Z$1003,6,FALSE),IF($C$1075&gt;0,VLOOKUP($C1516,PATRIMONIALE!$U$4:$Z$1003,6,FALSE),IF($C$1074&gt;0,VLOOKUP($C1516,ENTI!$U$4:$Z$1003,6,FALSE),"")))</f>
        <v>#N/A</v>
      </c>
      <c r="I1516" s="496">
        <v>436</v>
      </c>
      <c r="J1516" s="43" t="e">
        <f ca="1">VLOOKUP(D1516,$F$1081:$I$4183,4,FALSE)+COUNTIF(E$1081:E1515,E1516)</f>
        <v>#N/A</v>
      </c>
      <c r="K1516" s="1"/>
      <c r="L1516" s="39" t="e">
        <f>IF($C$1074&gt;0,VLOOKUP($C1516,ENTI!$U$4:$AD$1003,10,FALSE),"")</f>
        <v>#N/A</v>
      </c>
      <c r="M1516" s="1"/>
      <c r="N1516" s="1"/>
      <c r="O1516" s="1"/>
    </row>
    <row r="1517" spans="1:15" hidden="1">
      <c r="A1517" s="1"/>
      <c r="B1517" s="40" t="e">
        <f t="shared" ca="1" si="199"/>
        <v>#N/A</v>
      </c>
      <c r="C1517" s="496">
        <v>437</v>
      </c>
      <c r="D1517" s="41" t="e">
        <f ca="1">IF($C$1076&gt;0,VLOOKUP($C1517,COSTI!$U$4:$Z$1003,3,FALSE),IF($C$1075&gt;0,VLOOKUP($C1517,PATRIMONIALE!$U$4:$Z$1003,3,FALSE),IF($C$1074&gt;0,VLOOKUP($C1517,ENTI!$U$4:$Z$1003,3,FALSE),"")))</f>
        <v>#N/A</v>
      </c>
      <c r="E1517" s="41" t="str">
        <f t="shared" ca="1" si="200"/>
        <v/>
      </c>
      <c r="F1517" s="41" t="e">
        <f t="shared" ca="1" si="201"/>
        <v>#NUM!</v>
      </c>
      <c r="G1517" s="39" t="e">
        <f ca="1">IF($C$1076&gt;0,VLOOKUP($C1517,COSTI!$U$4:$Z$1003,5,FALSE),IF($C$1075&gt;0,VLOOKUP($C1517,PATRIMONIALE!$U$4:$Z$1003,5,FALSE),IF($C$1074&gt;0,VLOOKUP($C1517,ENTI!$U$4:$Z$1003,5,FALSE),"")))</f>
        <v>#N/A</v>
      </c>
      <c r="H1517" s="42" t="e">
        <f ca="1">IF($C$1076&gt;0,VLOOKUP($C1517,COSTI!$U$4:$Z$1003,6,FALSE),IF($C$1075&gt;0,VLOOKUP($C1517,PATRIMONIALE!$U$4:$Z$1003,6,FALSE),IF($C$1074&gt;0,VLOOKUP($C1517,ENTI!$U$4:$Z$1003,6,FALSE),"")))</f>
        <v>#N/A</v>
      </c>
      <c r="I1517" s="496">
        <v>437</v>
      </c>
      <c r="J1517" s="43" t="e">
        <f ca="1">VLOOKUP(D1517,$F$1081:$I$4183,4,FALSE)+COUNTIF(E$1081:E1516,E1517)</f>
        <v>#N/A</v>
      </c>
      <c r="K1517" s="1"/>
      <c r="L1517" s="39" t="e">
        <f>IF($C$1074&gt;0,VLOOKUP($C1517,ENTI!$U$4:$AD$1003,10,FALSE),"")</f>
        <v>#N/A</v>
      </c>
      <c r="M1517" s="1"/>
      <c r="N1517" s="1"/>
      <c r="O1517" s="1"/>
    </row>
    <row r="1518" spans="1:15" hidden="1">
      <c r="A1518" s="1"/>
      <c r="B1518" s="40" t="e">
        <f t="shared" ca="1" si="199"/>
        <v>#N/A</v>
      </c>
      <c r="C1518" s="496">
        <v>438</v>
      </c>
      <c r="D1518" s="41" t="e">
        <f ca="1">IF($C$1076&gt;0,VLOOKUP($C1518,COSTI!$U$4:$Z$1003,3,FALSE),IF($C$1075&gt;0,VLOOKUP($C1518,PATRIMONIALE!$U$4:$Z$1003,3,FALSE),IF($C$1074&gt;0,VLOOKUP($C1518,ENTI!$U$4:$Z$1003,3,FALSE),"")))</f>
        <v>#N/A</v>
      </c>
      <c r="E1518" s="41" t="str">
        <f t="shared" ca="1" si="200"/>
        <v/>
      </c>
      <c r="F1518" s="41" t="e">
        <f t="shared" ca="1" si="201"/>
        <v>#NUM!</v>
      </c>
      <c r="G1518" s="39" t="e">
        <f ca="1">IF($C$1076&gt;0,VLOOKUP($C1518,COSTI!$U$4:$Z$1003,5,FALSE),IF($C$1075&gt;0,VLOOKUP($C1518,PATRIMONIALE!$U$4:$Z$1003,5,FALSE),IF($C$1074&gt;0,VLOOKUP($C1518,ENTI!$U$4:$Z$1003,5,FALSE),"")))</f>
        <v>#N/A</v>
      </c>
      <c r="H1518" s="42" t="e">
        <f ca="1">IF($C$1076&gt;0,VLOOKUP($C1518,COSTI!$U$4:$Z$1003,6,FALSE),IF($C$1075&gt;0,VLOOKUP($C1518,PATRIMONIALE!$U$4:$Z$1003,6,FALSE),IF($C$1074&gt;0,VLOOKUP($C1518,ENTI!$U$4:$Z$1003,6,FALSE),"")))</f>
        <v>#N/A</v>
      </c>
      <c r="I1518" s="496">
        <v>438</v>
      </c>
      <c r="J1518" s="43" t="e">
        <f ca="1">VLOOKUP(D1518,$F$1081:$I$4183,4,FALSE)+COUNTIF(E$1081:E1517,E1518)</f>
        <v>#N/A</v>
      </c>
      <c r="K1518" s="1"/>
      <c r="L1518" s="39" t="e">
        <f>IF($C$1074&gt;0,VLOOKUP($C1518,ENTI!$U$4:$AD$1003,10,FALSE),"")</f>
        <v>#N/A</v>
      </c>
      <c r="M1518" s="1"/>
      <c r="N1518" s="1"/>
      <c r="O1518" s="1"/>
    </row>
    <row r="1519" spans="1:15" hidden="1">
      <c r="A1519" s="1"/>
      <c r="B1519" s="40" t="e">
        <f t="shared" ca="1" si="199"/>
        <v>#N/A</v>
      </c>
      <c r="C1519" s="496">
        <v>439</v>
      </c>
      <c r="D1519" s="41" t="e">
        <f ca="1">IF($C$1076&gt;0,VLOOKUP($C1519,COSTI!$U$4:$Z$1003,3,FALSE),IF($C$1075&gt;0,VLOOKUP($C1519,PATRIMONIALE!$U$4:$Z$1003,3,FALSE),IF($C$1074&gt;0,VLOOKUP($C1519,ENTI!$U$4:$Z$1003,3,FALSE),"")))</f>
        <v>#N/A</v>
      </c>
      <c r="E1519" s="41" t="str">
        <f t="shared" ca="1" si="200"/>
        <v/>
      </c>
      <c r="F1519" s="41" t="e">
        <f t="shared" ca="1" si="201"/>
        <v>#NUM!</v>
      </c>
      <c r="G1519" s="39" t="e">
        <f ca="1">IF($C$1076&gt;0,VLOOKUP($C1519,COSTI!$U$4:$Z$1003,5,FALSE),IF($C$1075&gt;0,VLOOKUP($C1519,PATRIMONIALE!$U$4:$Z$1003,5,FALSE),IF($C$1074&gt;0,VLOOKUP($C1519,ENTI!$U$4:$Z$1003,5,FALSE),"")))</f>
        <v>#N/A</v>
      </c>
      <c r="H1519" s="42" t="e">
        <f ca="1">IF($C$1076&gt;0,VLOOKUP($C1519,COSTI!$U$4:$Z$1003,6,FALSE),IF($C$1075&gt;0,VLOOKUP($C1519,PATRIMONIALE!$U$4:$Z$1003,6,FALSE),IF($C$1074&gt;0,VLOOKUP($C1519,ENTI!$U$4:$Z$1003,6,FALSE),"")))</f>
        <v>#N/A</v>
      </c>
      <c r="I1519" s="496">
        <v>439</v>
      </c>
      <c r="J1519" s="43" t="e">
        <f ca="1">VLOOKUP(D1519,$F$1081:$I$4183,4,FALSE)+COUNTIF(E$1081:E1518,E1519)</f>
        <v>#N/A</v>
      </c>
      <c r="K1519" s="1"/>
      <c r="L1519" s="39" t="e">
        <f>IF($C$1074&gt;0,VLOOKUP($C1519,ENTI!$U$4:$AD$1003,10,FALSE),"")</f>
        <v>#N/A</v>
      </c>
      <c r="M1519" s="1"/>
      <c r="N1519" s="1"/>
      <c r="O1519" s="1"/>
    </row>
    <row r="1520" spans="1:15" hidden="1">
      <c r="A1520" s="1"/>
      <c r="B1520" s="40" t="e">
        <f t="shared" ca="1" si="199"/>
        <v>#N/A</v>
      </c>
      <c r="C1520" s="496">
        <v>440</v>
      </c>
      <c r="D1520" s="41" t="e">
        <f ca="1">IF($C$1076&gt;0,VLOOKUP($C1520,COSTI!$U$4:$Z$1003,3,FALSE),IF($C$1075&gt;0,VLOOKUP($C1520,PATRIMONIALE!$U$4:$Z$1003,3,FALSE),IF($C$1074&gt;0,VLOOKUP($C1520,ENTI!$U$4:$Z$1003,3,FALSE),"")))</f>
        <v>#N/A</v>
      </c>
      <c r="E1520" s="41" t="str">
        <f t="shared" ca="1" si="200"/>
        <v/>
      </c>
      <c r="F1520" s="41" t="e">
        <f t="shared" ca="1" si="201"/>
        <v>#NUM!</v>
      </c>
      <c r="G1520" s="39" t="e">
        <f ca="1">IF($C$1076&gt;0,VLOOKUP($C1520,COSTI!$U$4:$Z$1003,5,FALSE),IF($C$1075&gt;0,VLOOKUP($C1520,PATRIMONIALE!$U$4:$Z$1003,5,FALSE),IF($C$1074&gt;0,VLOOKUP($C1520,ENTI!$U$4:$Z$1003,5,FALSE),"")))</f>
        <v>#N/A</v>
      </c>
      <c r="H1520" s="42" t="e">
        <f ca="1">IF($C$1076&gt;0,VLOOKUP($C1520,COSTI!$U$4:$Z$1003,6,FALSE),IF($C$1075&gt;0,VLOOKUP($C1520,PATRIMONIALE!$U$4:$Z$1003,6,FALSE),IF($C$1074&gt;0,VLOOKUP($C1520,ENTI!$U$4:$Z$1003,6,FALSE),"")))</f>
        <v>#N/A</v>
      </c>
      <c r="I1520" s="496">
        <v>440</v>
      </c>
      <c r="J1520" s="43" t="e">
        <f ca="1">VLOOKUP(D1520,$F$1081:$I$4183,4,FALSE)+COUNTIF(E$1081:E1519,E1520)</f>
        <v>#N/A</v>
      </c>
      <c r="K1520" s="1"/>
      <c r="L1520" s="39" t="e">
        <f>IF($C$1074&gt;0,VLOOKUP($C1520,ENTI!$U$4:$AD$1003,10,FALSE),"")</f>
        <v>#N/A</v>
      </c>
      <c r="M1520" s="1"/>
      <c r="N1520" s="1"/>
      <c r="O1520" s="1"/>
    </row>
    <row r="1521" spans="1:15" hidden="1">
      <c r="A1521" s="1"/>
      <c r="B1521" s="40" t="e">
        <f t="shared" ref="B1521:B1584" ca="1" si="202">IF(OR(C$1075&gt;0,C$1077&gt;0,C$1073&gt;0,C$1071&gt;0),J1521+1,J1521)</f>
        <v>#N/A</v>
      </c>
      <c r="C1521" s="496">
        <v>441</v>
      </c>
      <c r="D1521" s="41" t="e">
        <f ca="1">IF($C$1076&gt;0,VLOOKUP($C1521,COSTI!$U$4:$Z$1003,3,FALSE),IF($C$1075&gt;0,VLOOKUP($C1521,PATRIMONIALE!$U$4:$Z$1003,3,FALSE),IF($C$1074&gt;0,VLOOKUP($C1521,ENTI!$U$4:$Z$1003,3,FALSE),"")))</f>
        <v>#N/A</v>
      </c>
      <c r="E1521" s="41" t="str">
        <f t="shared" ca="1" si="200"/>
        <v/>
      </c>
      <c r="F1521" s="41" t="e">
        <f t="shared" ca="1" si="201"/>
        <v>#NUM!</v>
      </c>
      <c r="G1521" s="39" t="e">
        <f ca="1">IF($C$1076&gt;0,VLOOKUP($C1521,COSTI!$U$4:$Z$1003,5,FALSE),IF($C$1075&gt;0,VLOOKUP($C1521,PATRIMONIALE!$U$4:$Z$1003,5,FALSE),IF($C$1074&gt;0,VLOOKUP($C1521,ENTI!$U$4:$Z$1003,5,FALSE),"")))</f>
        <v>#N/A</v>
      </c>
      <c r="H1521" s="42" t="e">
        <f ca="1">IF($C$1076&gt;0,VLOOKUP($C1521,COSTI!$U$4:$Z$1003,6,FALSE),IF($C$1075&gt;0,VLOOKUP($C1521,PATRIMONIALE!$U$4:$Z$1003,6,FALSE),IF($C$1074&gt;0,VLOOKUP($C1521,ENTI!$U$4:$Z$1003,6,FALSE),"")))</f>
        <v>#N/A</v>
      </c>
      <c r="I1521" s="496">
        <v>441</v>
      </c>
      <c r="J1521" s="43" t="e">
        <f ca="1">VLOOKUP(D1521,$F$1081:$I$4183,4,FALSE)+COUNTIF(E$1081:E1520,E1521)</f>
        <v>#N/A</v>
      </c>
      <c r="K1521" s="1"/>
      <c r="L1521" s="39" t="e">
        <f>IF($C$1074&gt;0,VLOOKUP($C1521,ENTI!$U$4:$AD$1003,10,FALSE),"")</f>
        <v>#N/A</v>
      </c>
      <c r="M1521" s="1"/>
      <c r="N1521" s="1"/>
      <c r="O1521" s="1"/>
    </row>
    <row r="1522" spans="1:15" hidden="1">
      <c r="A1522" s="1"/>
      <c r="B1522" s="40" t="e">
        <f t="shared" ca="1" si="202"/>
        <v>#N/A</v>
      </c>
      <c r="C1522" s="496">
        <v>442</v>
      </c>
      <c r="D1522" s="41" t="e">
        <f ca="1">IF($C$1076&gt;0,VLOOKUP($C1522,COSTI!$U$4:$Z$1003,3,FALSE),IF($C$1075&gt;0,VLOOKUP($C1522,PATRIMONIALE!$U$4:$Z$1003,3,FALSE),IF($C$1074&gt;0,VLOOKUP($C1522,ENTI!$U$4:$Z$1003,3,FALSE),"")))</f>
        <v>#N/A</v>
      </c>
      <c r="E1522" s="41" t="str">
        <f t="shared" ca="1" si="200"/>
        <v/>
      </c>
      <c r="F1522" s="41" t="e">
        <f t="shared" ca="1" si="201"/>
        <v>#NUM!</v>
      </c>
      <c r="G1522" s="39" t="e">
        <f ca="1">IF($C$1076&gt;0,VLOOKUP($C1522,COSTI!$U$4:$Z$1003,5,FALSE),IF($C$1075&gt;0,VLOOKUP($C1522,PATRIMONIALE!$U$4:$Z$1003,5,FALSE),IF($C$1074&gt;0,VLOOKUP($C1522,ENTI!$U$4:$Z$1003,5,FALSE),"")))</f>
        <v>#N/A</v>
      </c>
      <c r="H1522" s="42" t="e">
        <f ca="1">IF($C$1076&gt;0,VLOOKUP($C1522,COSTI!$U$4:$Z$1003,6,FALSE),IF($C$1075&gt;0,VLOOKUP($C1522,PATRIMONIALE!$U$4:$Z$1003,6,FALSE),IF($C$1074&gt;0,VLOOKUP($C1522,ENTI!$U$4:$Z$1003,6,FALSE),"")))</f>
        <v>#N/A</v>
      </c>
      <c r="I1522" s="496">
        <v>442</v>
      </c>
      <c r="J1522" s="43" t="e">
        <f ca="1">VLOOKUP(D1522,$F$1081:$I$4183,4,FALSE)+COUNTIF(E$1081:E1521,E1522)</f>
        <v>#N/A</v>
      </c>
      <c r="K1522" s="1"/>
      <c r="L1522" s="39" t="e">
        <f>IF($C$1074&gt;0,VLOOKUP($C1522,ENTI!$U$4:$AD$1003,10,FALSE),"")</f>
        <v>#N/A</v>
      </c>
      <c r="M1522" s="1"/>
      <c r="N1522" s="1"/>
      <c r="O1522" s="1"/>
    </row>
    <row r="1523" spans="1:15" hidden="1">
      <c r="A1523" s="1"/>
      <c r="B1523" s="40" t="e">
        <f t="shared" ca="1" si="202"/>
        <v>#N/A</v>
      </c>
      <c r="C1523" s="496">
        <v>443</v>
      </c>
      <c r="D1523" s="41" t="e">
        <f ca="1">IF($C$1076&gt;0,VLOOKUP($C1523,COSTI!$U$4:$Z$1003,3,FALSE),IF($C$1075&gt;0,VLOOKUP($C1523,PATRIMONIALE!$U$4:$Z$1003,3,FALSE),IF($C$1074&gt;0,VLOOKUP($C1523,ENTI!$U$4:$Z$1003,3,FALSE),"")))</f>
        <v>#N/A</v>
      </c>
      <c r="E1523" s="41" t="str">
        <f t="shared" ref="E1523:E1586" ca="1" si="203">IF(ISERROR(D1523),"",D1523)</f>
        <v/>
      </c>
      <c r="F1523" s="41" t="e">
        <f t="shared" ca="1" si="201"/>
        <v>#NUM!</v>
      </c>
      <c r="G1523" s="39" t="e">
        <f ca="1">IF($C$1076&gt;0,VLOOKUP($C1523,COSTI!$U$4:$Z$1003,5,FALSE),IF($C$1075&gt;0,VLOOKUP($C1523,PATRIMONIALE!$U$4:$Z$1003,5,FALSE),IF($C$1074&gt;0,VLOOKUP($C1523,ENTI!$U$4:$Z$1003,5,FALSE),"")))</f>
        <v>#N/A</v>
      </c>
      <c r="H1523" s="42" t="e">
        <f ca="1">IF($C$1076&gt;0,VLOOKUP($C1523,COSTI!$U$4:$Z$1003,6,FALSE),IF($C$1075&gt;0,VLOOKUP($C1523,PATRIMONIALE!$U$4:$Z$1003,6,FALSE),IF($C$1074&gt;0,VLOOKUP($C1523,ENTI!$U$4:$Z$1003,6,FALSE),"")))</f>
        <v>#N/A</v>
      </c>
      <c r="I1523" s="496">
        <v>443</v>
      </c>
      <c r="J1523" s="43" t="e">
        <f ca="1">VLOOKUP(D1523,$F$1081:$I$4183,4,FALSE)+COUNTIF(E$1081:E1522,E1523)</f>
        <v>#N/A</v>
      </c>
      <c r="K1523" s="1"/>
      <c r="L1523" s="39" t="e">
        <f>IF($C$1074&gt;0,VLOOKUP($C1523,ENTI!$U$4:$AD$1003,10,FALSE),"")</f>
        <v>#N/A</v>
      </c>
      <c r="M1523" s="1"/>
      <c r="N1523" s="1"/>
      <c r="O1523" s="1"/>
    </row>
    <row r="1524" spans="1:15" hidden="1">
      <c r="A1524" s="1"/>
      <c r="B1524" s="40" t="e">
        <f t="shared" ca="1" si="202"/>
        <v>#N/A</v>
      </c>
      <c r="C1524" s="496">
        <v>444</v>
      </c>
      <c r="D1524" s="41" t="e">
        <f ca="1">IF($C$1076&gt;0,VLOOKUP($C1524,COSTI!$U$4:$Z$1003,3,FALSE),IF($C$1075&gt;0,VLOOKUP($C1524,PATRIMONIALE!$U$4:$Z$1003,3,FALSE),IF($C$1074&gt;0,VLOOKUP($C1524,ENTI!$U$4:$Z$1003,3,FALSE),"")))</f>
        <v>#N/A</v>
      </c>
      <c r="E1524" s="41" t="str">
        <f t="shared" ca="1" si="203"/>
        <v/>
      </c>
      <c r="F1524" s="41" t="e">
        <f t="shared" ca="1" si="201"/>
        <v>#NUM!</v>
      </c>
      <c r="G1524" s="39" t="e">
        <f ca="1">IF($C$1076&gt;0,VLOOKUP($C1524,COSTI!$U$4:$Z$1003,5,FALSE),IF($C$1075&gt;0,VLOOKUP($C1524,PATRIMONIALE!$U$4:$Z$1003,5,FALSE),IF($C$1074&gt;0,VLOOKUP($C1524,ENTI!$U$4:$Z$1003,5,FALSE),"")))</f>
        <v>#N/A</v>
      </c>
      <c r="H1524" s="42" t="e">
        <f ca="1">IF($C$1076&gt;0,VLOOKUP($C1524,COSTI!$U$4:$Z$1003,6,FALSE),IF($C$1075&gt;0,VLOOKUP($C1524,PATRIMONIALE!$U$4:$Z$1003,6,FALSE),IF($C$1074&gt;0,VLOOKUP($C1524,ENTI!$U$4:$Z$1003,6,FALSE),"")))</f>
        <v>#N/A</v>
      </c>
      <c r="I1524" s="496">
        <v>444</v>
      </c>
      <c r="J1524" s="43" t="e">
        <f ca="1">VLOOKUP(D1524,$F$1081:$I$4183,4,FALSE)+COUNTIF(E$1081:E1523,E1524)</f>
        <v>#N/A</v>
      </c>
      <c r="K1524" s="1"/>
      <c r="L1524" s="39" t="e">
        <f>IF($C$1074&gt;0,VLOOKUP($C1524,ENTI!$U$4:$AD$1003,10,FALSE),"")</f>
        <v>#N/A</v>
      </c>
      <c r="M1524" s="1"/>
      <c r="N1524" s="1"/>
      <c r="O1524" s="1"/>
    </row>
    <row r="1525" spans="1:15" hidden="1">
      <c r="A1525" s="1"/>
      <c r="B1525" s="40" t="e">
        <f t="shared" ca="1" si="202"/>
        <v>#N/A</v>
      </c>
      <c r="C1525" s="496">
        <v>445</v>
      </c>
      <c r="D1525" s="41" t="e">
        <f ca="1">IF($C$1076&gt;0,VLOOKUP($C1525,COSTI!$U$4:$Z$1003,3,FALSE),IF($C$1075&gt;0,VLOOKUP($C1525,PATRIMONIALE!$U$4:$Z$1003,3,FALSE),IF($C$1074&gt;0,VLOOKUP($C1525,ENTI!$U$4:$Z$1003,3,FALSE),"")))</f>
        <v>#N/A</v>
      </c>
      <c r="E1525" s="41" t="str">
        <f t="shared" ca="1" si="203"/>
        <v/>
      </c>
      <c r="F1525" s="41" t="e">
        <f t="shared" ca="1" si="201"/>
        <v>#NUM!</v>
      </c>
      <c r="G1525" s="39" t="e">
        <f ca="1">IF($C$1076&gt;0,VLOOKUP($C1525,COSTI!$U$4:$Z$1003,5,FALSE),IF($C$1075&gt;0,VLOOKUP($C1525,PATRIMONIALE!$U$4:$Z$1003,5,FALSE),IF($C$1074&gt;0,VLOOKUP($C1525,ENTI!$U$4:$Z$1003,5,FALSE),"")))</f>
        <v>#N/A</v>
      </c>
      <c r="H1525" s="42" t="e">
        <f ca="1">IF($C$1076&gt;0,VLOOKUP($C1525,COSTI!$U$4:$Z$1003,6,FALSE),IF($C$1075&gt;0,VLOOKUP($C1525,PATRIMONIALE!$U$4:$Z$1003,6,FALSE),IF($C$1074&gt;0,VLOOKUP($C1525,ENTI!$U$4:$Z$1003,6,FALSE),"")))</f>
        <v>#N/A</v>
      </c>
      <c r="I1525" s="496">
        <v>445</v>
      </c>
      <c r="J1525" s="43" t="e">
        <f ca="1">VLOOKUP(D1525,$F$1081:$I$4183,4,FALSE)+COUNTIF(E$1081:E1524,E1525)</f>
        <v>#N/A</v>
      </c>
      <c r="K1525" s="1"/>
      <c r="L1525" s="39" t="e">
        <f>IF($C$1074&gt;0,VLOOKUP($C1525,ENTI!$U$4:$AD$1003,10,FALSE),"")</f>
        <v>#N/A</v>
      </c>
      <c r="M1525" s="1"/>
      <c r="N1525" s="1"/>
      <c r="O1525" s="1"/>
    </row>
    <row r="1526" spans="1:15" hidden="1">
      <c r="A1526" s="1"/>
      <c r="B1526" s="40" t="e">
        <f t="shared" ca="1" si="202"/>
        <v>#N/A</v>
      </c>
      <c r="C1526" s="496">
        <v>446</v>
      </c>
      <c r="D1526" s="41" t="e">
        <f ca="1">IF($C$1076&gt;0,VLOOKUP($C1526,COSTI!$U$4:$Z$1003,3,FALSE),IF($C$1075&gt;0,VLOOKUP($C1526,PATRIMONIALE!$U$4:$Z$1003,3,FALSE),IF($C$1074&gt;0,VLOOKUP($C1526,ENTI!$U$4:$Z$1003,3,FALSE),"")))</f>
        <v>#N/A</v>
      </c>
      <c r="E1526" s="41" t="str">
        <f t="shared" ca="1" si="203"/>
        <v/>
      </c>
      <c r="F1526" s="41" t="e">
        <f t="shared" ca="1" si="201"/>
        <v>#NUM!</v>
      </c>
      <c r="G1526" s="39" t="e">
        <f ca="1">IF($C$1076&gt;0,VLOOKUP($C1526,COSTI!$U$4:$Z$1003,5,FALSE),IF($C$1075&gt;0,VLOOKUP($C1526,PATRIMONIALE!$U$4:$Z$1003,5,FALSE),IF($C$1074&gt;0,VLOOKUP($C1526,ENTI!$U$4:$Z$1003,5,FALSE),"")))</f>
        <v>#N/A</v>
      </c>
      <c r="H1526" s="42" t="e">
        <f ca="1">IF($C$1076&gt;0,VLOOKUP($C1526,COSTI!$U$4:$Z$1003,6,FALSE),IF($C$1075&gt;0,VLOOKUP($C1526,PATRIMONIALE!$U$4:$Z$1003,6,FALSE),IF($C$1074&gt;0,VLOOKUP($C1526,ENTI!$U$4:$Z$1003,6,FALSE),"")))</f>
        <v>#N/A</v>
      </c>
      <c r="I1526" s="496">
        <v>446</v>
      </c>
      <c r="J1526" s="43" t="e">
        <f ca="1">VLOOKUP(D1526,$F$1081:$I$4183,4,FALSE)+COUNTIF(E$1081:E1525,E1526)</f>
        <v>#N/A</v>
      </c>
      <c r="K1526" s="1"/>
      <c r="L1526" s="39" t="e">
        <f>IF($C$1074&gt;0,VLOOKUP($C1526,ENTI!$U$4:$AD$1003,10,FALSE),"")</f>
        <v>#N/A</v>
      </c>
      <c r="M1526" s="1"/>
      <c r="N1526" s="1"/>
      <c r="O1526" s="1"/>
    </row>
    <row r="1527" spans="1:15" hidden="1">
      <c r="A1527" s="1"/>
      <c r="B1527" s="40" t="e">
        <f t="shared" ca="1" si="202"/>
        <v>#N/A</v>
      </c>
      <c r="C1527" s="496">
        <v>447</v>
      </c>
      <c r="D1527" s="41" t="e">
        <f ca="1">IF($C$1076&gt;0,VLOOKUP($C1527,COSTI!$U$4:$Z$1003,3,FALSE),IF($C$1075&gt;0,VLOOKUP($C1527,PATRIMONIALE!$U$4:$Z$1003,3,FALSE),IF($C$1074&gt;0,VLOOKUP($C1527,ENTI!$U$4:$Z$1003,3,FALSE),"")))</f>
        <v>#N/A</v>
      </c>
      <c r="E1527" s="41" t="str">
        <f t="shared" ca="1" si="203"/>
        <v/>
      </c>
      <c r="F1527" s="41" t="e">
        <f t="shared" ca="1" si="201"/>
        <v>#NUM!</v>
      </c>
      <c r="G1527" s="39" t="e">
        <f ca="1">IF($C$1076&gt;0,VLOOKUP($C1527,COSTI!$U$4:$Z$1003,5,FALSE),IF($C$1075&gt;0,VLOOKUP($C1527,PATRIMONIALE!$U$4:$Z$1003,5,FALSE),IF($C$1074&gt;0,VLOOKUP($C1527,ENTI!$U$4:$Z$1003,5,FALSE),"")))</f>
        <v>#N/A</v>
      </c>
      <c r="H1527" s="42" t="e">
        <f ca="1">IF($C$1076&gt;0,VLOOKUP($C1527,COSTI!$U$4:$Z$1003,6,FALSE),IF($C$1075&gt;0,VLOOKUP($C1527,PATRIMONIALE!$U$4:$Z$1003,6,FALSE),IF($C$1074&gt;0,VLOOKUP($C1527,ENTI!$U$4:$Z$1003,6,FALSE),"")))</f>
        <v>#N/A</v>
      </c>
      <c r="I1527" s="496">
        <v>447</v>
      </c>
      <c r="J1527" s="43" t="e">
        <f ca="1">VLOOKUP(D1527,$F$1081:$I$4183,4,FALSE)+COUNTIF(E$1081:E1526,E1527)</f>
        <v>#N/A</v>
      </c>
      <c r="K1527" s="1"/>
      <c r="L1527" s="39" t="e">
        <f>IF($C$1074&gt;0,VLOOKUP($C1527,ENTI!$U$4:$AD$1003,10,FALSE),"")</f>
        <v>#N/A</v>
      </c>
      <c r="M1527" s="1"/>
      <c r="N1527" s="1"/>
      <c r="O1527" s="1"/>
    </row>
    <row r="1528" spans="1:15" hidden="1">
      <c r="A1528" s="1"/>
      <c r="B1528" s="40" t="e">
        <f t="shared" ca="1" si="202"/>
        <v>#N/A</v>
      </c>
      <c r="C1528" s="496">
        <v>448</v>
      </c>
      <c r="D1528" s="41" t="e">
        <f ca="1">IF($C$1076&gt;0,VLOOKUP($C1528,COSTI!$U$4:$Z$1003,3,FALSE),IF($C$1075&gt;0,VLOOKUP($C1528,PATRIMONIALE!$U$4:$Z$1003,3,FALSE),IF($C$1074&gt;0,VLOOKUP($C1528,ENTI!$U$4:$Z$1003,3,FALSE),"")))</f>
        <v>#N/A</v>
      </c>
      <c r="E1528" s="41" t="str">
        <f t="shared" ca="1" si="203"/>
        <v/>
      </c>
      <c r="F1528" s="41" t="e">
        <f t="shared" ca="1" si="201"/>
        <v>#NUM!</v>
      </c>
      <c r="G1528" s="39" t="e">
        <f ca="1">IF($C$1076&gt;0,VLOOKUP($C1528,COSTI!$U$4:$Z$1003,5,FALSE),IF($C$1075&gt;0,VLOOKUP($C1528,PATRIMONIALE!$U$4:$Z$1003,5,FALSE),IF($C$1074&gt;0,VLOOKUP($C1528,ENTI!$U$4:$Z$1003,5,FALSE),"")))</f>
        <v>#N/A</v>
      </c>
      <c r="H1528" s="42" t="e">
        <f ca="1">IF($C$1076&gt;0,VLOOKUP($C1528,COSTI!$U$4:$Z$1003,6,FALSE),IF($C$1075&gt;0,VLOOKUP($C1528,PATRIMONIALE!$U$4:$Z$1003,6,FALSE),IF($C$1074&gt;0,VLOOKUP($C1528,ENTI!$U$4:$Z$1003,6,FALSE),"")))</f>
        <v>#N/A</v>
      </c>
      <c r="I1528" s="496">
        <v>448</v>
      </c>
      <c r="J1528" s="43" t="e">
        <f ca="1">VLOOKUP(D1528,$F$1081:$I$4183,4,FALSE)+COUNTIF(E$1081:E1527,E1528)</f>
        <v>#N/A</v>
      </c>
      <c r="K1528" s="1"/>
      <c r="L1528" s="39" t="e">
        <f>IF($C$1074&gt;0,VLOOKUP($C1528,ENTI!$U$4:$AD$1003,10,FALSE),"")</f>
        <v>#N/A</v>
      </c>
      <c r="M1528" s="1"/>
      <c r="N1528" s="1"/>
      <c r="O1528" s="1"/>
    </row>
    <row r="1529" spans="1:15" hidden="1">
      <c r="A1529" s="1"/>
      <c r="B1529" s="40" t="e">
        <f t="shared" ca="1" si="202"/>
        <v>#N/A</v>
      </c>
      <c r="C1529" s="496">
        <v>449</v>
      </c>
      <c r="D1529" s="41" t="e">
        <f ca="1">IF($C$1076&gt;0,VLOOKUP($C1529,COSTI!$U$4:$Z$1003,3,FALSE),IF($C$1075&gt;0,VLOOKUP($C1529,PATRIMONIALE!$U$4:$Z$1003,3,FALSE),IF($C$1074&gt;0,VLOOKUP($C1529,ENTI!$U$4:$Z$1003,3,FALSE),"")))</f>
        <v>#N/A</v>
      </c>
      <c r="E1529" s="41" t="str">
        <f t="shared" ca="1" si="203"/>
        <v/>
      </c>
      <c r="F1529" s="41" t="e">
        <f t="shared" ref="F1529:F1592" ca="1" si="204">SMALL(E$1081:E$4183,C1529)</f>
        <v>#NUM!</v>
      </c>
      <c r="G1529" s="39" t="e">
        <f ca="1">IF($C$1076&gt;0,VLOOKUP($C1529,COSTI!$U$4:$Z$1003,5,FALSE),IF($C$1075&gt;0,VLOOKUP($C1529,PATRIMONIALE!$U$4:$Z$1003,5,FALSE),IF($C$1074&gt;0,VLOOKUP($C1529,ENTI!$U$4:$Z$1003,5,FALSE),"")))</f>
        <v>#N/A</v>
      </c>
      <c r="H1529" s="42" t="e">
        <f ca="1">IF($C$1076&gt;0,VLOOKUP($C1529,COSTI!$U$4:$Z$1003,6,FALSE),IF($C$1075&gt;0,VLOOKUP($C1529,PATRIMONIALE!$U$4:$Z$1003,6,FALSE),IF($C$1074&gt;0,VLOOKUP($C1529,ENTI!$U$4:$Z$1003,6,FALSE),"")))</f>
        <v>#N/A</v>
      </c>
      <c r="I1529" s="496">
        <v>449</v>
      </c>
      <c r="J1529" s="43" t="e">
        <f ca="1">VLOOKUP(D1529,$F$1081:$I$4183,4,FALSE)+COUNTIF(E$1081:E1528,E1529)</f>
        <v>#N/A</v>
      </c>
      <c r="K1529" s="1"/>
      <c r="L1529" s="39" t="e">
        <f>IF($C$1074&gt;0,VLOOKUP($C1529,ENTI!$U$4:$AD$1003,10,FALSE),"")</f>
        <v>#N/A</v>
      </c>
      <c r="M1529" s="1"/>
      <c r="N1529" s="1"/>
      <c r="O1529" s="1"/>
    </row>
    <row r="1530" spans="1:15" hidden="1">
      <c r="A1530" s="1"/>
      <c r="B1530" s="40" t="e">
        <f t="shared" ca="1" si="202"/>
        <v>#N/A</v>
      </c>
      <c r="C1530" s="496">
        <v>450</v>
      </c>
      <c r="D1530" s="41" t="e">
        <f ca="1">IF($C$1076&gt;0,VLOOKUP($C1530,COSTI!$U$4:$Z$1003,3,FALSE),IF($C$1075&gt;0,VLOOKUP($C1530,PATRIMONIALE!$U$4:$Z$1003,3,FALSE),IF($C$1074&gt;0,VLOOKUP($C1530,ENTI!$U$4:$Z$1003,3,FALSE),"")))</f>
        <v>#N/A</v>
      </c>
      <c r="E1530" s="41" t="str">
        <f t="shared" ca="1" si="203"/>
        <v/>
      </c>
      <c r="F1530" s="41" t="e">
        <f t="shared" ca="1" si="204"/>
        <v>#NUM!</v>
      </c>
      <c r="G1530" s="39" t="e">
        <f ca="1">IF($C$1076&gt;0,VLOOKUP($C1530,COSTI!$U$4:$Z$1003,5,FALSE),IF($C$1075&gt;0,VLOOKUP($C1530,PATRIMONIALE!$U$4:$Z$1003,5,FALSE),IF($C$1074&gt;0,VLOOKUP($C1530,ENTI!$U$4:$Z$1003,5,FALSE),"")))</f>
        <v>#N/A</v>
      </c>
      <c r="H1530" s="42" t="e">
        <f ca="1">IF($C$1076&gt;0,VLOOKUP($C1530,COSTI!$U$4:$Z$1003,6,FALSE),IF($C$1075&gt;0,VLOOKUP($C1530,PATRIMONIALE!$U$4:$Z$1003,6,FALSE),IF($C$1074&gt;0,VLOOKUP($C1530,ENTI!$U$4:$Z$1003,6,FALSE),"")))</f>
        <v>#N/A</v>
      </c>
      <c r="I1530" s="496">
        <v>450</v>
      </c>
      <c r="J1530" s="43" t="e">
        <f ca="1">VLOOKUP(D1530,$F$1081:$I$4183,4,FALSE)+COUNTIF(E$1081:E1529,E1530)</f>
        <v>#N/A</v>
      </c>
      <c r="K1530" s="1"/>
      <c r="L1530" s="39" t="e">
        <f>IF($C$1074&gt;0,VLOOKUP($C1530,ENTI!$U$4:$AD$1003,10,FALSE),"")</f>
        <v>#N/A</v>
      </c>
      <c r="M1530" s="1"/>
      <c r="N1530" s="1"/>
      <c r="O1530" s="1"/>
    </row>
    <row r="1531" spans="1:15" hidden="1">
      <c r="A1531" s="1"/>
      <c r="B1531" s="40" t="e">
        <f t="shared" ca="1" si="202"/>
        <v>#N/A</v>
      </c>
      <c r="C1531" s="496">
        <v>451</v>
      </c>
      <c r="D1531" s="41" t="e">
        <f ca="1">IF($C$1076&gt;0,VLOOKUP($C1531,COSTI!$U$4:$Z$1003,3,FALSE),IF($C$1075&gt;0,VLOOKUP($C1531,PATRIMONIALE!$U$4:$Z$1003,3,FALSE),IF($C$1074&gt;0,VLOOKUP($C1531,ENTI!$U$4:$Z$1003,3,FALSE),"")))</f>
        <v>#N/A</v>
      </c>
      <c r="E1531" s="41" t="str">
        <f t="shared" ca="1" si="203"/>
        <v/>
      </c>
      <c r="F1531" s="41" t="e">
        <f t="shared" ca="1" si="204"/>
        <v>#NUM!</v>
      </c>
      <c r="G1531" s="39" t="e">
        <f ca="1">IF($C$1076&gt;0,VLOOKUP($C1531,COSTI!$U$4:$Z$1003,5,FALSE),IF($C$1075&gt;0,VLOOKUP($C1531,PATRIMONIALE!$U$4:$Z$1003,5,FALSE),IF($C$1074&gt;0,VLOOKUP($C1531,ENTI!$U$4:$Z$1003,5,FALSE),"")))</f>
        <v>#N/A</v>
      </c>
      <c r="H1531" s="42" t="e">
        <f ca="1">IF($C$1076&gt;0,VLOOKUP($C1531,COSTI!$U$4:$Z$1003,6,FALSE),IF($C$1075&gt;0,VLOOKUP($C1531,PATRIMONIALE!$U$4:$Z$1003,6,FALSE),IF($C$1074&gt;0,VLOOKUP($C1531,ENTI!$U$4:$Z$1003,6,FALSE),"")))</f>
        <v>#N/A</v>
      </c>
      <c r="I1531" s="496">
        <v>451</v>
      </c>
      <c r="J1531" s="43" t="e">
        <f ca="1">VLOOKUP(D1531,$F$1081:$I$4183,4,FALSE)+COUNTIF(E$1081:E1530,E1531)</f>
        <v>#N/A</v>
      </c>
      <c r="K1531" s="1"/>
      <c r="L1531" s="39" t="e">
        <f>IF($C$1074&gt;0,VLOOKUP($C1531,ENTI!$U$4:$AD$1003,10,FALSE),"")</f>
        <v>#N/A</v>
      </c>
      <c r="M1531" s="1"/>
      <c r="N1531" s="1"/>
      <c r="O1531" s="1"/>
    </row>
    <row r="1532" spans="1:15" hidden="1">
      <c r="A1532" s="1"/>
      <c r="B1532" s="40" t="e">
        <f t="shared" ca="1" si="202"/>
        <v>#N/A</v>
      </c>
      <c r="C1532" s="496">
        <v>452</v>
      </c>
      <c r="D1532" s="41" t="e">
        <f ca="1">IF($C$1076&gt;0,VLOOKUP($C1532,COSTI!$U$4:$Z$1003,3,FALSE),IF($C$1075&gt;0,VLOOKUP($C1532,PATRIMONIALE!$U$4:$Z$1003,3,FALSE),IF($C$1074&gt;0,VLOOKUP($C1532,ENTI!$U$4:$Z$1003,3,FALSE),"")))</f>
        <v>#N/A</v>
      </c>
      <c r="E1532" s="41" t="str">
        <f t="shared" ca="1" si="203"/>
        <v/>
      </c>
      <c r="F1532" s="41" t="e">
        <f t="shared" ca="1" si="204"/>
        <v>#NUM!</v>
      </c>
      <c r="G1532" s="39" t="e">
        <f ca="1">IF($C$1076&gt;0,VLOOKUP($C1532,COSTI!$U$4:$Z$1003,5,FALSE),IF($C$1075&gt;0,VLOOKUP($C1532,PATRIMONIALE!$U$4:$Z$1003,5,FALSE),IF($C$1074&gt;0,VLOOKUP($C1532,ENTI!$U$4:$Z$1003,5,FALSE),"")))</f>
        <v>#N/A</v>
      </c>
      <c r="H1532" s="42" t="e">
        <f ca="1">IF($C$1076&gt;0,VLOOKUP($C1532,COSTI!$U$4:$Z$1003,6,FALSE),IF($C$1075&gt;0,VLOOKUP($C1532,PATRIMONIALE!$U$4:$Z$1003,6,FALSE),IF($C$1074&gt;0,VLOOKUP($C1532,ENTI!$U$4:$Z$1003,6,FALSE),"")))</f>
        <v>#N/A</v>
      </c>
      <c r="I1532" s="496">
        <v>452</v>
      </c>
      <c r="J1532" s="43" t="e">
        <f ca="1">VLOOKUP(D1532,$F$1081:$I$4183,4,FALSE)+COUNTIF(E$1081:E1531,E1532)</f>
        <v>#N/A</v>
      </c>
      <c r="K1532" s="1"/>
      <c r="L1532" s="39" t="e">
        <f>IF($C$1074&gt;0,VLOOKUP($C1532,ENTI!$U$4:$AD$1003,10,FALSE),"")</f>
        <v>#N/A</v>
      </c>
      <c r="M1532" s="1"/>
      <c r="N1532" s="1"/>
      <c r="O1532" s="1"/>
    </row>
    <row r="1533" spans="1:15" hidden="1">
      <c r="A1533" s="1"/>
      <c r="B1533" s="40" t="e">
        <f t="shared" ca="1" si="202"/>
        <v>#N/A</v>
      </c>
      <c r="C1533" s="496">
        <v>453</v>
      </c>
      <c r="D1533" s="41" t="e">
        <f ca="1">IF($C$1076&gt;0,VLOOKUP($C1533,COSTI!$U$4:$Z$1003,3,FALSE),IF($C$1075&gt;0,VLOOKUP($C1533,PATRIMONIALE!$U$4:$Z$1003,3,FALSE),IF($C$1074&gt;0,VLOOKUP($C1533,ENTI!$U$4:$Z$1003,3,FALSE),"")))</f>
        <v>#N/A</v>
      </c>
      <c r="E1533" s="41" t="str">
        <f t="shared" ca="1" si="203"/>
        <v/>
      </c>
      <c r="F1533" s="41" t="e">
        <f t="shared" ca="1" si="204"/>
        <v>#NUM!</v>
      </c>
      <c r="G1533" s="39" t="e">
        <f ca="1">IF($C$1076&gt;0,VLOOKUP($C1533,COSTI!$U$4:$Z$1003,5,FALSE),IF($C$1075&gt;0,VLOOKUP($C1533,PATRIMONIALE!$U$4:$Z$1003,5,FALSE),IF($C$1074&gt;0,VLOOKUP($C1533,ENTI!$U$4:$Z$1003,5,FALSE),"")))</f>
        <v>#N/A</v>
      </c>
      <c r="H1533" s="42" t="e">
        <f ca="1">IF($C$1076&gt;0,VLOOKUP($C1533,COSTI!$U$4:$Z$1003,6,FALSE),IF($C$1075&gt;0,VLOOKUP($C1533,PATRIMONIALE!$U$4:$Z$1003,6,FALSE),IF($C$1074&gt;0,VLOOKUP($C1533,ENTI!$U$4:$Z$1003,6,FALSE),"")))</f>
        <v>#N/A</v>
      </c>
      <c r="I1533" s="496">
        <v>453</v>
      </c>
      <c r="J1533" s="43" t="e">
        <f ca="1">VLOOKUP(D1533,$F$1081:$I$4183,4,FALSE)+COUNTIF(E$1081:E1532,E1533)</f>
        <v>#N/A</v>
      </c>
      <c r="K1533" s="1"/>
      <c r="L1533" s="39" t="e">
        <f>IF($C$1074&gt;0,VLOOKUP($C1533,ENTI!$U$4:$AD$1003,10,FALSE),"")</f>
        <v>#N/A</v>
      </c>
      <c r="M1533" s="1"/>
      <c r="N1533" s="1"/>
      <c r="O1533" s="1"/>
    </row>
    <row r="1534" spans="1:15" hidden="1">
      <c r="A1534" s="1"/>
      <c r="B1534" s="40" t="e">
        <f t="shared" ca="1" si="202"/>
        <v>#N/A</v>
      </c>
      <c r="C1534" s="496">
        <v>454</v>
      </c>
      <c r="D1534" s="41" t="e">
        <f ca="1">IF($C$1076&gt;0,VLOOKUP($C1534,COSTI!$U$4:$Z$1003,3,FALSE),IF($C$1075&gt;0,VLOOKUP($C1534,PATRIMONIALE!$U$4:$Z$1003,3,FALSE),IF($C$1074&gt;0,VLOOKUP($C1534,ENTI!$U$4:$Z$1003,3,FALSE),"")))</f>
        <v>#N/A</v>
      </c>
      <c r="E1534" s="41" t="str">
        <f t="shared" ca="1" si="203"/>
        <v/>
      </c>
      <c r="F1534" s="41" t="e">
        <f t="shared" ca="1" si="204"/>
        <v>#NUM!</v>
      </c>
      <c r="G1534" s="39" t="e">
        <f ca="1">IF($C$1076&gt;0,VLOOKUP($C1534,COSTI!$U$4:$Z$1003,5,FALSE),IF($C$1075&gt;0,VLOOKUP($C1534,PATRIMONIALE!$U$4:$Z$1003,5,FALSE),IF($C$1074&gt;0,VLOOKUP($C1534,ENTI!$U$4:$Z$1003,5,FALSE),"")))</f>
        <v>#N/A</v>
      </c>
      <c r="H1534" s="42" t="e">
        <f ca="1">IF($C$1076&gt;0,VLOOKUP($C1534,COSTI!$U$4:$Z$1003,6,FALSE),IF($C$1075&gt;0,VLOOKUP($C1534,PATRIMONIALE!$U$4:$Z$1003,6,FALSE),IF($C$1074&gt;0,VLOOKUP($C1534,ENTI!$U$4:$Z$1003,6,FALSE),"")))</f>
        <v>#N/A</v>
      </c>
      <c r="I1534" s="496">
        <v>454</v>
      </c>
      <c r="J1534" s="43" t="e">
        <f ca="1">VLOOKUP(D1534,$F$1081:$I$4183,4,FALSE)+COUNTIF(E$1081:E1533,E1534)</f>
        <v>#N/A</v>
      </c>
      <c r="K1534" s="1"/>
      <c r="L1534" s="39" t="e">
        <f>IF($C$1074&gt;0,VLOOKUP($C1534,ENTI!$U$4:$AD$1003,10,FALSE),"")</f>
        <v>#N/A</v>
      </c>
      <c r="M1534" s="1"/>
      <c r="N1534" s="1"/>
      <c r="O1534" s="1"/>
    </row>
    <row r="1535" spans="1:15" hidden="1">
      <c r="A1535" s="1"/>
      <c r="B1535" s="40" t="e">
        <f t="shared" ca="1" si="202"/>
        <v>#N/A</v>
      </c>
      <c r="C1535" s="496">
        <v>455</v>
      </c>
      <c r="D1535" s="41" t="e">
        <f ca="1">IF($C$1076&gt;0,VLOOKUP($C1535,COSTI!$U$4:$Z$1003,3,FALSE),IF($C$1075&gt;0,VLOOKUP($C1535,PATRIMONIALE!$U$4:$Z$1003,3,FALSE),IF($C$1074&gt;0,VLOOKUP($C1535,ENTI!$U$4:$Z$1003,3,FALSE),"")))</f>
        <v>#N/A</v>
      </c>
      <c r="E1535" s="41" t="str">
        <f t="shared" ca="1" si="203"/>
        <v/>
      </c>
      <c r="F1535" s="41" t="e">
        <f t="shared" ca="1" si="204"/>
        <v>#NUM!</v>
      </c>
      <c r="G1535" s="39" t="e">
        <f ca="1">IF($C$1076&gt;0,VLOOKUP($C1535,COSTI!$U$4:$Z$1003,5,FALSE),IF($C$1075&gt;0,VLOOKUP($C1535,PATRIMONIALE!$U$4:$Z$1003,5,FALSE),IF($C$1074&gt;0,VLOOKUP($C1535,ENTI!$U$4:$Z$1003,5,FALSE),"")))</f>
        <v>#N/A</v>
      </c>
      <c r="H1535" s="42" t="e">
        <f ca="1">IF($C$1076&gt;0,VLOOKUP($C1535,COSTI!$U$4:$Z$1003,6,FALSE),IF($C$1075&gt;0,VLOOKUP($C1535,PATRIMONIALE!$U$4:$Z$1003,6,FALSE),IF($C$1074&gt;0,VLOOKUP($C1535,ENTI!$U$4:$Z$1003,6,FALSE),"")))</f>
        <v>#N/A</v>
      </c>
      <c r="I1535" s="496">
        <v>455</v>
      </c>
      <c r="J1535" s="43" t="e">
        <f ca="1">VLOOKUP(D1535,$F$1081:$I$4183,4,FALSE)+COUNTIF(E$1081:E1534,E1535)</f>
        <v>#N/A</v>
      </c>
      <c r="K1535" s="1"/>
      <c r="L1535" s="39" t="e">
        <f>IF($C$1074&gt;0,VLOOKUP($C1535,ENTI!$U$4:$AD$1003,10,FALSE),"")</f>
        <v>#N/A</v>
      </c>
      <c r="M1535" s="1"/>
      <c r="N1535" s="1"/>
      <c r="O1535" s="1"/>
    </row>
    <row r="1536" spans="1:15" hidden="1">
      <c r="A1536" s="1"/>
      <c r="B1536" s="40" t="e">
        <f t="shared" ca="1" si="202"/>
        <v>#N/A</v>
      </c>
      <c r="C1536" s="496">
        <v>456</v>
      </c>
      <c r="D1536" s="41" t="e">
        <f ca="1">IF($C$1076&gt;0,VLOOKUP($C1536,COSTI!$U$4:$Z$1003,3,FALSE),IF($C$1075&gt;0,VLOOKUP($C1536,PATRIMONIALE!$U$4:$Z$1003,3,FALSE),IF($C$1074&gt;0,VLOOKUP($C1536,ENTI!$U$4:$Z$1003,3,FALSE),"")))</f>
        <v>#N/A</v>
      </c>
      <c r="E1536" s="41" t="str">
        <f t="shared" ca="1" si="203"/>
        <v/>
      </c>
      <c r="F1536" s="41" t="e">
        <f t="shared" ca="1" si="204"/>
        <v>#NUM!</v>
      </c>
      <c r="G1536" s="39" t="e">
        <f ca="1">IF($C$1076&gt;0,VLOOKUP($C1536,COSTI!$U$4:$Z$1003,5,FALSE),IF($C$1075&gt;0,VLOOKUP($C1536,PATRIMONIALE!$U$4:$Z$1003,5,FALSE),IF($C$1074&gt;0,VLOOKUP($C1536,ENTI!$U$4:$Z$1003,5,FALSE),"")))</f>
        <v>#N/A</v>
      </c>
      <c r="H1536" s="42" t="e">
        <f ca="1">IF($C$1076&gt;0,VLOOKUP($C1536,COSTI!$U$4:$Z$1003,6,FALSE),IF($C$1075&gt;0,VLOOKUP($C1536,PATRIMONIALE!$U$4:$Z$1003,6,FALSE),IF($C$1074&gt;0,VLOOKUP($C1536,ENTI!$U$4:$Z$1003,6,FALSE),"")))</f>
        <v>#N/A</v>
      </c>
      <c r="I1536" s="496">
        <v>456</v>
      </c>
      <c r="J1536" s="43" t="e">
        <f ca="1">VLOOKUP(D1536,$F$1081:$I$4183,4,FALSE)+COUNTIF(E$1081:E1535,E1536)</f>
        <v>#N/A</v>
      </c>
      <c r="K1536" s="1"/>
      <c r="L1536" s="39" t="e">
        <f>IF($C$1074&gt;0,VLOOKUP($C1536,ENTI!$U$4:$AD$1003,10,FALSE),"")</f>
        <v>#N/A</v>
      </c>
      <c r="M1536" s="1"/>
      <c r="N1536" s="1"/>
      <c r="O1536" s="1"/>
    </row>
    <row r="1537" spans="1:15" hidden="1">
      <c r="A1537" s="1"/>
      <c r="B1537" s="40" t="e">
        <f t="shared" ca="1" si="202"/>
        <v>#N/A</v>
      </c>
      <c r="C1537" s="496">
        <v>457</v>
      </c>
      <c r="D1537" s="41" t="e">
        <f ca="1">IF($C$1076&gt;0,VLOOKUP($C1537,COSTI!$U$4:$Z$1003,3,FALSE),IF($C$1075&gt;0,VLOOKUP($C1537,PATRIMONIALE!$U$4:$Z$1003,3,FALSE),IF($C$1074&gt;0,VLOOKUP($C1537,ENTI!$U$4:$Z$1003,3,FALSE),"")))</f>
        <v>#N/A</v>
      </c>
      <c r="E1537" s="41" t="str">
        <f t="shared" ca="1" si="203"/>
        <v/>
      </c>
      <c r="F1537" s="41" t="e">
        <f t="shared" ca="1" si="204"/>
        <v>#NUM!</v>
      </c>
      <c r="G1537" s="39" t="e">
        <f ca="1">IF($C$1076&gt;0,VLOOKUP($C1537,COSTI!$U$4:$Z$1003,5,FALSE),IF($C$1075&gt;0,VLOOKUP($C1537,PATRIMONIALE!$U$4:$Z$1003,5,FALSE),IF($C$1074&gt;0,VLOOKUP($C1537,ENTI!$U$4:$Z$1003,5,FALSE),"")))</f>
        <v>#N/A</v>
      </c>
      <c r="H1537" s="42" t="e">
        <f ca="1">IF($C$1076&gt;0,VLOOKUP($C1537,COSTI!$U$4:$Z$1003,6,FALSE),IF($C$1075&gt;0,VLOOKUP($C1537,PATRIMONIALE!$U$4:$Z$1003,6,FALSE),IF($C$1074&gt;0,VLOOKUP($C1537,ENTI!$U$4:$Z$1003,6,FALSE),"")))</f>
        <v>#N/A</v>
      </c>
      <c r="I1537" s="496">
        <v>457</v>
      </c>
      <c r="J1537" s="43" t="e">
        <f ca="1">VLOOKUP(D1537,$F$1081:$I$4183,4,FALSE)+COUNTIF(E$1081:E1536,E1537)</f>
        <v>#N/A</v>
      </c>
      <c r="K1537" s="1"/>
      <c r="L1537" s="39" t="e">
        <f>IF($C$1074&gt;0,VLOOKUP($C1537,ENTI!$U$4:$AD$1003,10,FALSE),"")</f>
        <v>#N/A</v>
      </c>
      <c r="M1537" s="1"/>
      <c r="N1537" s="1"/>
      <c r="O1537" s="1"/>
    </row>
    <row r="1538" spans="1:15" hidden="1">
      <c r="A1538" s="1"/>
      <c r="B1538" s="40" t="e">
        <f t="shared" ca="1" si="202"/>
        <v>#N/A</v>
      </c>
      <c r="C1538" s="496">
        <v>458</v>
      </c>
      <c r="D1538" s="41" t="e">
        <f ca="1">IF($C$1076&gt;0,VLOOKUP($C1538,COSTI!$U$4:$Z$1003,3,FALSE),IF($C$1075&gt;0,VLOOKUP($C1538,PATRIMONIALE!$U$4:$Z$1003,3,FALSE),IF($C$1074&gt;0,VLOOKUP($C1538,ENTI!$U$4:$Z$1003,3,FALSE),"")))</f>
        <v>#N/A</v>
      </c>
      <c r="E1538" s="41" t="str">
        <f t="shared" ca="1" si="203"/>
        <v/>
      </c>
      <c r="F1538" s="41" t="e">
        <f t="shared" ca="1" si="204"/>
        <v>#NUM!</v>
      </c>
      <c r="G1538" s="39" t="e">
        <f ca="1">IF($C$1076&gt;0,VLOOKUP($C1538,COSTI!$U$4:$Z$1003,5,FALSE),IF($C$1075&gt;0,VLOOKUP($C1538,PATRIMONIALE!$U$4:$Z$1003,5,FALSE),IF($C$1074&gt;0,VLOOKUP($C1538,ENTI!$U$4:$Z$1003,5,FALSE),"")))</f>
        <v>#N/A</v>
      </c>
      <c r="H1538" s="42" t="e">
        <f ca="1">IF($C$1076&gt;0,VLOOKUP($C1538,COSTI!$U$4:$Z$1003,6,FALSE),IF($C$1075&gt;0,VLOOKUP($C1538,PATRIMONIALE!$U$4:$Z$1003,6,FALSE),IF($C$1074&gt;0,VLOOKUP($C1538,ENTI!$U$4:$Z$1003,6,FALSE),"")))</f>
        <v>#N/A</v>
      </c>
      <c r="I1538" s="496">
        <v>458</v>
      </c>
      <c r="J1538" s="43" t="e">
        <f ca="1">VLOOKUP(D1538,$F$1081:$I$4183,4,FALSE)+COUNTIF(E$1081:E1537,E1538)</f>
        <v>#N/A</v>
      </c>
      <c r="K1538" s="1"/>
      <c r="L1538" s="39" t="e">
        <f>IF($C$1074&gt;0,VLOOKUP($C1538,ENTI!$U$4:$AD$1003,10,FALSE),"")</f>
        <v>#N/A</v>
      </c>
      <c r="M1538" s="1"/>
      <c r="N1538" s="1"/>
      <c r="O1538" s="1"/>
    </row>
    <row r="1539" spans="1:15" hidden="1">
      <c r="A1539" s="1"/>
      <c r="B1539" s="40" t="e">
        <f t="shared" ca="1" si="202"/>
        <v>#N/A</v>
      </c>
      <c r="C1539" s="496">
        <v>459</v>
      </c>
      <c r="D1539" s="41" t="e">
        <f ca="1">IF($C$1076&gt;0,VLOOKUP($C1539,COSTI!$U$4:$Z$1003,3,FALSE),IF($C$1075&gt;0,VLOOKUP($C1539,PATRIMONIALE!$U$4:$Z$1003,3,FALSE),IF($C$1074&gt;0,VLOOKUP($C1539,ENTI!$U$4:$Z$1003,3,FALSE),"")))</f>
        <v>#N/A</v>
      </c>
      <c r="E1539" s="41" t="str">
        <f t="shared" ca="1" si="203"/>
        <v/>
      </c>
      <c r="F1539" s="41" t="e">
        <f t="shared" ca="1" si="204"/>
        <v>#NUM!</v>
      </c>
      <c r="G1539" s="39" t="e">
        <f ca="1">IF($C$1076&gt;0,VLOOKUP($C1539,COSTI!$U$4:$Z$1003,5,FALSE),IF($C$1075&gt;0,VLOOKUP($C1539,PATRIMONIALE!$U$4:$Z$1003,5,FALSE),IF($C$1074&gt;0,VLOOKUP($C1539,ENTI!$U$4:$Z$1003,5,FALSE),"")))</f>
        <v>#N/A</v>
      </c>
      <c r="H1539" s="42" t="e">
        <f ca="1">IF($C$1076&gt;0,VLOOKUP($C1539,COSTI!$U$4:$Z$1003,6,FALSE),IF($C$1075&gt;0,VLOOKUP($C1539,PATRIMONIALE!$U$4:$Z$1003,6,FALSE),IF($C$1074&gt;0,VLOOKUP($C1539,ENTI!$U$4:$Z$1003,6,FALSE),"")))</f>
        <v>#N/A</v>
      </c>
      <c r="I1539" s="496">
        <v>459</v>
      </c>
      <c r="J1539" s="43" t="e">
        <f ca="1">VLOOKUP(D1539,$F$1081:$I$4183,4,FALSE)+COUNTIF(E$1081:E1538,E1539)</f>
        <v>#N/A</v>
      </c>
      <c r="K1539" s="1"/>
      <c r="L1539" s="39" t="e">
        <f>IF($C$1074&gt;0,VLOOKUP($C1539,ENTI!$U$4:$AD$1003,10,FALSE),"")</f>
        <v>#N/A</v>
      </c>
      <c r="M1539" s="1"/>
      <c r="N1539" s="1"/>
      <c r="O1539" s="1"/>
    </row>
    <row r="1540" spans="1:15" hidden="1">
      <c r="A1540" s="1"/>
      <c r="B1540" s="40" t="e">
        <f t="shared" ca="1" si="202"/>
        <v>#N/A</v>
      </c>
      <c r="C1540" s="496">
        <v>460</v>
      </c>
      <c r="D1540" s="41" t="e">
        <f ca="1">IF($C$1076&gt;0,VLOOKUP($C1540,COSTI!$U$4:$Z$1003,3,FALSE),IF($C$1075&gt;0,VLOOKUP($C1540,PATRIMONIALE!$U$4:$Z$1003,3,FALSE),IF($C$1074&gt;0,VLOOKUP($C1540,ENTI!$U$4:$Z$1003,3,FALSE),"")))</f>
        <v>#N/A</v>
      </c>
      <c r="E1540" s="41" t="str">
        <f t="shared" ca="1" si="203"/>
        <v/>
      </c>
      <c r="F1540" s="41" t="e">
        <f t="shared" ca="1" si="204"/>
        <v>#NUM!</v>
      </c>
      <c r="G1540" s="39" t="e">
        <f ca="1">IF($C$1076&gt;0,VLOOKUP($C1540,COSTI!$U$4:$Z$1003,5,FALSE),IF($C$1075&gt;0,VLOOKUP($C1540,PATRIMONIALE!$U$4:$Z$1003,5,FALSE),IF($C$1074&gt;0,VLOOKUP($C1540,ENTI!$U$4:$Z$1003,5,FALSE),"")))</f>
        <v>#N/A</v>
      </c>
      <c r="H1540" s="42" t="e">
        <f ca="1">IF($C$1076&gt;0,VLOOKUP($C1540,COSTI!$U$4:$Z$1003,6,FALSE),IF($C$1075&gt;0,VLOOKUP($C1540,PATRIMONIALE!$U$4:$Z$1003,6,FALSE),IF($C$1074&gt;0,VLOOKUP($C1540,ENTI!$U$4:$Z$1003,6,FALSE),"")))</f>
        <v>#N/A</v>
      </c>
      <c r="I1540" s="496">
        <v>460</v>
      </c>
      <c r="J1540" s="43" t="e">
        <f ca="1">VLOOKUP(D1540,$F$1081:$I$4183,4,FALSE)+COUNTIF(E$1081:E1539,E1540)</f>
        <v>#N/A</v>
      </c>
      <c r="K1540" s="1"/>
      <c r="L1540" s="39" t="e">
        <f>IF($C$1074&gt;0,VLOOKUP($C1540,ENTI!$U$4:$AD$1003,10,FALSE),"")</f>
        <v>#N/A</v>
      </c>
      <c r="M1540" s="1"/>
      <c r="N1540" s="1"/>
      <c r="O1540" s="1"/>
    </row>
    <row r="1541" spans="1:15" hidden="1">
      <c r="A1541" s="1"/>
      <c r="B1541" s="40" t="e">
        <f t="shared" ca="1" si="202"/>
        <v>#N/A</v>
      </c>
      <c r="C1541" s="496">
        <v>461</v>
      </c>
      <c r="D1541" s="41" t="e">
        <f ca="1">IF($C$1076&gt;0,VLOOKUP($C1541,COSTI!$U$4:$Z$1003,3,FALSE),IF($C$1075&gt;0,VLOOKUP($C1541,PATRIMONIALE!$U$4:$Z$1003,3,FALSE),IF($C$1074&gt;0,VLOOKUP($C1541,ENTI!$U$4:$Z$1003,3,FALSE),"")))</f>
        <v>#N/A</v>
      </c>
      <c r="E1541" s="41" t="str">
        <f t="shared" ca="1" si="203"/>
        <v/>
      </c>
      <c r="F1541" s="41" t="e">
        <f t="shared" ca="1" si="204"/>
        <v>#NUM!</v>
      </c>
      <c r="G1541" s="39" t="e">
        <f ca="1">IF($C$1076&gt;0,VLOOKUP($C1541,COSTI!$U$4:$Z$1003,5,FALSE),IF($C$1075&gt;0,VLOOKUP($C1541,PATRIMONIALE!$U$4:$Z$1003,5,FALSE),IF($C$1074&gt;0,VLOOKUP($C1541,ENTI!$U$4:$Z$1003,5,FALSE),"")))</f>
        <v>#N/A</v>
      </c>
      <c r="H1541" s="42" t="e">
        <f ca="1">IF($C$1076&gt;0,VLOOKUP($C1541,COSTI!$U$4:$Z$1003,6,FALSE),IF($C$1075&gt;0,VLOOKUP($C1541,PATRIMONIALE!$U$4:$Z$1003,6,FALSE),IF($C$1074&gt;0,VLOOKUP($C1541,ENTI!$U$4:$Z$1003,6,FALSE),"")))</f>
        <v>#N/A</v>
      </c>
      <c r="I1541" s="496">
        <v>461</v>
      </c>
      <c r="J1541" s="43" t="e">
        <f ca="1">VLOOKUP(D1541,$F$1081:$I$4183,4,FALSE)+COUNTIF(E$1081:E1540,E1541)</f>
        <v>#N/A</v>
      </c>
      <c r="K1541" s="1"/>
      <c r="L1541" s="39" t="e">
        <f>IF($C$1074&gt;0,VLOOKUP($C1541,ENTI!$U$4:$AD$1003,10,FALSE),"")</f>
        <v>#N/A</v>
      </c>
      <c r="M1541" s="1"/>
      <c r="N1541" s="1"/>
      <c r="O1541" s="1"/>
    </row>
    <row r="1542" spans="1:15" hidden="1">
      <c r="A1542" s="1"/>
      <c r="B1542" s="40" t="e">
        <f t="shared" ca="1" si="202"/>
        <v>#N/A</v>
      </c>
      <c r="C1542" s="496">
        <v>462</v>
      </c>
      <c r="D1542" s="41" t="e">
        <f ca="1">IF($C$1076&gt;0,VLOOKUP($C1542,COSTI!$U$4:$Z$1003,3,FALSE),IF($C$1075&gt;0,VLOOKUP($C1542,PATRIMONIALE!$U$4:$Z$1003,3,FALSE),IF($C$1074&gt;0,VLOOKUP($C1542,ENTI!$U$4:$Z$1003,3,FALSE),"")))</f>
        <v>#N/A</v>
      </c>
      <c r="E1542" s="41" t="str">
        <f t="shared" ca="1" si="203"/>
        <v/>
      </c>
      <c r="F1542" s="41" t="e">
        <f t="shared" ca="1" si="204"/>
        <v>#NUM!</v>
      </c>
      <c r="G1542" s="39" t="e">
        <f ca="1">IF($C$1076&gt;0,VLOOKUP($C1542,COSTI!$U$4:$Z$1003,5,FALSE),IF($C$1075&gt;0,VLOOKUP($C1542,PATRIMONIALE!$U$4:$Z$1003,5,FALSE),IF($C$1074&gt;0,VLOOKUP($C1542,ENTI!$U$4:$Z$1003,5,FALSE),"")))</f>
        <v>#N/A</v>
      </c>
      <c r="H1542" s="42" t="e">
        <f ca="1">IF($C$1076&gt;0,VLOOKUP($C1542,COSTI!$U$4:$Z$1003,6,FALSE),IF($C$1075&gt;0,VLOOKUP($C1542,PATRIMONIALE!$U$4:$Z$1003,6,FALSE),IF($C$1074&gt;0,VLOOKUP($C1542,ENTI!$U$4:$Z$1003,6,FALSE),"")))</f>
        <v>#N/A</v>
      </c>
      <c r="I1542" s="496">
        <v>462</v>
      </c>
      <c r="J1542" s="43" t="e">
        <f ca="1">VLOOKUP(D1542,$F$1081:$I$4183,4,FALSE)+COUNTIF(E$1081:E1541,E1542)</f>
        <v>#N/A</v>
      </c>
      <c r="K1542" s="1"/>
      <c r="L1542" s="39" t="e">
        <f>IF($C$1074&gt;0,VLOOKUP($C1542,ENTI!$U$4:$AD$1003,10,FALSE),"")</f>
        <v>#N/A</v>
      </c>
      <c r="M1542" s="1"/>
      <c r="N1542" s="1"/>
      <c r="O1542" s="1"/>
    </row>
    <row r="1543" spans="1:15" hidden="1">
      <c r="A1543" s="1"/>
      <c r="B1543" s="40" t="e">
        <f t="shared" ca="1" si="202"/>
        <v>#N/A</v>
      </c>
      <c r="C1543" s="496">
        <v>463</v>
      </c>
      <c r="D1543" s="41" t="e">
        <f ca="1">IF($C$1076&gt;0,VLOOKUP($C1543,COSTI!$U$4:$Z$1003,3,FALSE),IF($C$1075&gt;0,VLOOKUP($C1543,PATRIMONIALE!$U$4:$Z$1003,3,FALSE),IF($C$1074&gt;0,VLOOKUP($C1543,ENTI!$U$4:$Z$1003,3,FALSE),"")))</f>
        <v>#N/A</v>
      </c>
      <c r="E1543" s="41" t="str">
        <f t="shared" ca="1" si="203"/>
        <v/>
      </c>
      <c r="F1543" s="41" t="e">
        <f t="shared" ca="1" si="204"/>
        <v>#NUM!</v>
      </c>
      <c r="G1543" s="39" t="e">
        <f ca="1">IF($C$1076&gt;0,VLOOKUP($C1543,COSTI!$U$4:$Z$1003,5,FALSE),IF($C$1075&gt;0,VLOOKUP($C1543,PATRIMONIALE!$U$4:$Z$1003,5,FALSE),IF($C$1074&gt;0,VLOOKUP($C1543,ENTI!$U$4:$Z$1003,5,FALSE),"")))</f>
        <v>#N/A</v>
      </c>
      <c r="H1543" s="42" t="e">
        <f ca="1">IF($C$1076&gt;0,VLOOKUP($C1543,COSTI!$U$4:$Z$1003,6,FALSE),IF($C$1075&gt;0,VLOOKUP($C1543,PATRIMONIALE!$U$4:$Z$1003,6,FALSE),IF($C$1074&gt;0,VLOOKUP($C1543,ENTI!$U$4:$Z$1003,6,FALSE),"")))</f>
        <v>#N/A</v>
      </c>
      <c r="I1543" s="496">
        <v>463</v>
      </c>
      <c r="J1543" s="43" t="e">
        <f ca="1">VLOOKUP(D1543,$F$1081:$I$4183,4,FALSE)+COUNTIF(E$1081:E1542,E1543)</f>
        <v>#N/A</v>
      </c>
      <c r="K1543" s="1"/>
      <c r="L1543" s="39" t="e">
        <f>IF($C$1074&gt;0,VLOOKUP($C1543,ENTI!$U$4:$AD$1003,10,FALSE),"")</f>
        <v>#N/A</v>
      </c>
      <c r="M1543" s="1"/>
      <c r="N1543" s="1"/>
      <c r="O1543" s="1"/>
    </row>
    <row r="1544" spans="1:15" hidden="1">
      <c r="A1544" s="1"/>
      <c r="B1544" s="40" t="e">
        <f t="shared" ca="1" si="202"/>
        <v>#N/A</v>
      </c>
      <c r="C1544" s="496">
        <v>464</v>
      </c>
      <c r="D1544" s="41" t="e">
        <f ca="1">IF($C$1076&gt;0,VLOOKUP($C1544,COSTI!$U$4:$Z$1003,3,FALSE),IF($C$1075&gt;0,VLOOKUP($C1544,PATRIMONIALE!$U$4:$Z$1003,3,FALSE),IF($C$1074&gt;0,VLOOKUP($C1544,ENTI!$U$4:$Z$1003,3,FALSE),"")))</f>
        <v>#N/A</v>
      </c>
      <c r="E1544" s="41" t="str">
        <f t="shared" ca="1" si="203"/>
        <v/>
      </c>
      <c r="F1544" s="41" t="e">
        <f t="shared" ca="1" si="204"/>
        <v>#NUM!</v>
      </c>
      <c r="G1544" s="39" t="e">
        <f ca="1">IF($C$1076&gt;0,VLOOKUP($C1544,COSTI!$U$4:$Z$1003,5,FALSE),IF($C$1075&gt;0,VLOOKUP($C1544,PATRIMONIALE!$U$4:$Z$1003,5,FALSE),IF($C$1074&gt;0,VLOOKUP($C1544,ENTI!$U$4:$Z$1003,5,FALSE),"")))</f>
        <v>#N/A</v>
      </c>
      <c r="H1544" s="42" t="e">
        <f ca="1">IF($C$1076&gt;0,VLOOKUP($C1544,COSTI!$U$4:$Z$1003,6,FALSE),IF($C$1075&gt;0,VLOOKUP($C1544,PATRIMONIALE!$U$4:$Z$1003,6,FALSE),IF($C$1074&gt;0,VLOOKUP($C1544,ENTI!$U$4:$Z$1003,6,FALSE),"")))</f>
        <v>#N/A</v>
      </c>
      <c r="I1544" s="496">
        <v>464</v>
      </c>
      <c r="J1544" s="43" t="e">
        <f ca="1">VLOOKUP(D1544,$F$1081:$I$4183,4,FALSE)+COUNTIF(E$1081:E1543,E1544)</f>
        <v>#N/A</v>
      </c>
      <c r="K1544" s="1"/>
      <c r="L1544" s="39" t="e">
        <f>IF($C$1074&gt;0,VLOOKUP($C1544,ENTI!$U$4:$AD$1003,10,FALSE),"")</f>
        <v>#N/A</v>
      </c>
      <c r="M1544" s="1"/>
      <c r="N1544" s="1"/>
      <c r="O1544" s="1"/>
    </row>
    <row r="1545" spans="1:15" hidden="1">
      <c r="A1545" s="1"/>
      <c r="B1545" s="40" t="e">
        <f t="shared" ca="1" si="202"/>
        <v>#N/A</v>
      </c>
      <c r="C1545" s="496">
        <v>465</v>
      </c>
      <c r="D1545" s="41" t="e">
        <f ca="1">IF($C$1076&gt;0,VLOOKUP($C1545,COSTI!$U$4:$Z$1003,3,FALSE),IF($C$1075&gt;0,VLOOKUP($C1545,PATRIMONIALE!$U$4:$Z$1003,3,FALSE),IF($C$1074&gt;0,VLOOKUP($C1545,ENTI!$U$4:$Z$1003,3,FALSE),"")))</f>
        <v>#N/A</v>
      </c>
      <c r="E1545" s="41" t="str">
        <f t="shared" ca="1" si="203"/>
        <v/>
      </c>
      <c r="F1545" s="41" t="e">
        <f t="shared" ca="1" si="204"/>
        <v>#NUM!</v>
      </c>
      <c r="G1545" s="39" t="e">
        <f ca="1">IF($C$1076&gt;0,VLOOKUP($C1545,COSTI!$U$4:$Z$1003,5,FALSE),IF($C$1075&gt;0,VLOOKUP($C1545,PATRIMONIALE!$U$4:$Z$1003,5,FALSE),IF($C$1074&gt;0,VLOOKUP($C1545,ENTI!$U$4:$Z$1003,5,FALSE),"")))</f>
        <v>#N/A</v>
      </c>
      <c r="H1545" s="42" t="e">
        <f ca="1">IF($C$1076&gt;0,VLOOKUP($C1545,COSTI!$U$4:$Z$1003,6,FALSE),IF($C$1075&gt;0,VLOOKUP($C1545,PATRIMONIALE!$U$4:$Z$1003,6,FALSE),IF($C$1074&gt;0,VLOOKUP($C1545,ENTI!$U$4:$Z$1003,6,FALSE),"")))</f>
        <v>#N/A</v>
      </c>
      <c r="I1545" s="496">
        <v>465</v>
      </c>
      <c r="J1545" s="43" t="e">
        <f ca="1">VLOOKUP(D1545,$F$1081:$I$4183,4,FALSE)+COUNTIF(E$1081:E1544,E1545)</f>
        <v>#N/A</v>
      </c>
      <c r="K1545" s="1"/>
      <c r="L1545" s="39" t="e">
        <f>IF($C$1074&gt;0,VLOOKUP($C1545,ENTI!$U$4:$AD$1003,10,FALSE),"")</f>
        <v>#N/A</v>
      </c>
      <c r="M1545" s="1"/>
      <c r="N1545" s="1"/>
      <c r="O1545" s="1"/>
    </row>
    <row r="1546" spans="1:15" hidden="1">
      <c r="A1546" s="1"/>
      <c r="B1546" s="40" t="e">
        <f t="shared" ca="1" si="202"/>
        <v>#N/A</v>
      </c>
      <c r="C1546" s="496">
        <v>466</v>
      </c>
      <c r="D1546" s="41" t="e">
        <f ca="1">IF($C$1076&gt;0,VLOOKUP($C1546,COSTI!$U$4:$Z$1003,3,FALSE),IF($C$1075&gt;0,VLOOKUP($C1546,PATRIMONIALE!$U$4:$Z$1003,3,FALSE),IF($C$1074&gt;0,VLOOKUP($C1546,ENTI!$U$4:$Z$1003,3,FALSE),"")))</f>
        <v>#N/A</v>
      </c>
      <c r="E1546" s="41" t="str">
        <f t="shared" ca="1" si="203"/>
        <v/>
      </c>
      <c r="F1546" s="41" t="e">
        <f t="shared" ca="1" si="204"/>
        <v>#NUM!</v>
      </c>
      <c r="G1546" s="39" t="e">
        <f ca="1">IF($C$1076&gt;0,VLOOKUP($C1546,COSTI!$U$4:$Z$1003,5,FALSE),IF($C$1075&gt;0,VLOOKUP($C1546,PATRIMONIALE!$U$4:$Z$1003,5,FALSE),IF($C$1074&gt;0,VLOOKUP($C1546,ENTI!$U$4:$Z$1003,5,FALSE),"")))</f>
        <v>#N/A</v>
      </c>
      <c r="H1546" s="42" t="e">
        <f ca="1">IF($C$1076&gt;0,VLOOKUP($C1546,COSTI!$U$4:$Z$1003,6,FALSE),IF($C$1075&gt;0,VLOOKUP($C1546,PATRIMONIALE!$U$4:$Z$1003,6,FALSE),IF($C$1074&gt;0,VLOOKUP($C1546,ENTI!$U$4:$Z$1003,6,FALSE),"")))</f>
        <v>#N/A</v>
      </c>
      <c r="I1546" s="496">
        <v>466</v>
      </c>
      <c r="J1546" s="43" t="e">
        <f ca="1">VLOOKUP(D1546,$F$1081:$I$4183,4,FALSE)+COUNTIF(E$1081:E1545,E1546)</f>
        <v>#N/A</v>
      </c>
      <c r="K1546" s="1"/>
      <c r="L1546" s="39" t="e">
        <f>IF($C$1074&gt;0,VLOOKUP($C1546,ENTI!$U$4:$AD$1003,10,FALSE),"")</f>
        <v>#N/A</v>
      </c>
      <c r="M1546" s="1"/>
      <c r="N1546" s="1"/>
      <c r="O1546" s="1"/>
    </row>
    <row r="1547" spans="1:15" hidden="1">
      <c r="A1547" s="1"/>
      <c r="B1547" s="40" t="e">
        <f t="shared" ca="1" si="202"/>
        <v>#N/A</v>
      </c>
      <c r="C1547" s="496">
        <v>467</v>
      </c>
      <c r="D1547" s="41" t="e">
        <f ca="1">IF($C$1076&gt;0,VLOOKUP($C1547,COSTI!$U$4:$Z$1003,3,FALSE),IF($C$1075&gt;0,VLOOKUP($C1547,PATRIMONIALE!$U$4:$Z$1003,3,FALSE),IF($C$1074&gt;0,VLOOKUP($C1547,ENTI!$U$4:$Z$1003,3,FALSE),"")))</f>
        <v>#N/A</v>
      </c>
      <c r="E1547" s="41" t="str">
        <f t="shared" ca="1" si="203"/>
        <v/>
      </c>
      <c r="F1547" s="41" t="e">
        <f t="shared" ca="1" si="204"/>
        <v>#NUM!</v>
      </c>
      <c r="G1547" s="39" t="e">
        <f ca="1">IF($C$1076&gt;0,VLOOKUP($C1547,COSTI!$U$4:$Z$1003,5,FALSE),IF($C$1075&gt;0,VLOOKUP($C1547,PATRIMONIALE!$U$4:$Z$1003,5,FALSE),IF($C$1074&gt;0,VLOOKUP($C1547,ENTI!$U$4:$Z$1003,5,FALSE),"")))</f>
        <v>#N/A</v>
      </c>
      <c r="H1547" s="42" t="e">
        <f ca="1">IF($C$1076&gt;0,VLOOKUP($C1547,COSTI!$U$4:$Z$1003,6,FALSE),IF($C$1075&gt;0,VLOOKUP($C1547,PATRIMONIALE!$U$4:$Z$1003,6,FALSE),IF($C$1074&gt;0,VLOOKUP($C1547,ENTI!$U$4:$Z$1003,6,FALSE),"")))</f>
        <v>#N/A</v>
      </c>
      <c r="I1547" s="496">
        <v>467</v>
      </c>
      <c r="J1547" s="43" t="e">
        <f ca="1">VLOOKUP(D1547,$F$1081:$I$4183,4,FALSE)+COUNTIF(E$1081:E1546,E1547)</f>
        <v>#N/A</v>
      </c>
      <c r="K1547" s="1"/>
      <c r="L1547" s="39" t="e">
        <f>IF($C$1074&gt;0,VLOOKUP($C1547,ENTI!$U$4:$AD$1003,10,FALSE),"")</f>
        <v>#N/A</v>
      </c>
      <c r="M1547" s="1"/>
      <c r="N1547" s="1"/>
      <c r="O1547" s="1"/>
    </row>
    <row r="1548" spans="1:15" hidden="1">
      <c r="A1548" s="1"/>
      <c r="B1548" s="40" t="e">
        <f t="shared" ca="1" si="202"/>
        <v>#N/A</v>
      </c>
      <c r="C1548" s="496">
        <v>468</v>
      </c>
      <c r="D1548" s="41" t="e">
        <f ca="1">IF($C$1076&gt;0,VLOOKUP($C1548,COSTI!$U$4:$Z$1003,3,FALSE),IF($C$1075&gt;0,VLOOKUP($C1548,PATRIMONIALE!$U$4:$Z$1003,3,FALSE),IF($C$1074&gt;0,VLOOKUP($C1548,ENTI!$U$4:$Z$1003,3,FALSE),"")))</f>
        <v>#N/A</v>
      </c>
      <c r="E1548" s="41" t="str">
        <f t="shared" ca="1" si="203"/>
        <v/>
      </c>
      <c r="F1548" s="41" t="e">
        <f t="shared" ca="1" si="204"/>
        <v>#NUM!</v>
      </c>
      <c r="G1548" s="39" t="e">
        <f ca="1">IF($C$1076&gt;0,VLOOKUP($C1548,COSTI!$U$4:$Z$1003,5,FALSE),IF($C$1075&gt;0,VLOOKUP($C1548,PATRIMONIALE!$U$4:$Z$1003,5,FALSE),IF($C$1074&gt;0,VLOOKUP($C1548,ENTI!$U$4:$Z$1003,5,FALSE),"")))</f>
        <v>#N/A</v>
      </c>
      <c r="H1548" s="42" t="e">
        <f ca="1">IF($C$1076&gt;0,VLOOKUP($C1548,COSTI!$U$4:$Z$1003,6,FALSE),IF($C$1075&gt;0,VLOOKUP($C1548,PATRIMONIALE!$U$4:$Z$1003,6,FALSE),IF($C$1074&gt;0,VLOOKUP($C1548,ENTI!$U$4:$Z$1003,6,FALSE),"")))</f>
        <v>#N/A</v>
      </c>
      <c r="I1548" s="496">
        <v>468</v>
      </c>
      <c r="J1548" s="43" t="e">
        <f ca="1">VLOOKUP(D1548,$F$1081:$I$4183,4,FALSE)+COUNTIF(E$1081:E1547,E1548)</f>
        <v>#N/A</v>
      </c>
      <c r="K1548" s="1"/>
      <c r="L1548" s="39" t="e">
        <f>IF($C$1074&gt;0,VLOOKUP($C1548,ENTI!$U$4:$AD$1003,10,FALSE),"")</f>
        <v>#N/A</v>
      </c>
      <c r="M1548" s="1"/>
      <c r="N1548" s="1"/>
      <c r="O1548" s="1"/>
    </row>
    <row r="1549" spans="1:15" hidden="1">
      <c r="A1549" s="1"/>
      <c r="B1549" s="40" t="e">
        <f t="shared" ca="1" si="202"/>
        <v>#N/A</v>
      </c>
      <c r="C1549" s="496">
        <v>469</v>
      </c>
      <c r="D1549" s="41" t="e">
        <f ca="1">IF($C$1076&gt;0,VLOOKUP($C1549,COSTI!$U$4:$Z$1003,3,FALSE),IF($C$1075&gt;0,VLOOKUP($C1549,PATRIMONIALE!$U$4:$Z$1003,3,FALSE),IF($C$1074&gt;0,VLOOKUP($C1549,ENTI!$U$4:$Z$1003,3,FALSE),"")))</f>
        <v>#N/A</v>
      </c>
      <c r="E1549" s="41" t="str">
        <f t="shared" ca="1" si="203"/>
        <v/>
      </c>
      <c r="F1549" s="41" t="e">
        <f t="shared" ca="1" si="204"/>
        <v>#NUM!</v>
      </c>
      <c r="G1549" s="39" t="e">
        <f ca="1">IF($C$1076&gt;0,VLOOKUP($C1549,COSTI!$U$4:$Z$1003,5,FALSE),IF($C$1075&gt;0,VLOOKUP($C1549,PATRIMONIALE!$U$4:$Z$1003,5,FALSE),IF($C$1074&gt;0,VLOOKUP($C1549,ENTI!$U$4:$Z$1003,5,FALSE),"")))</f>
        <v>#N/A</v>
      </c>
      <c r="H1549" s="42" t="e">
        <f ca="1">IF($C$1076&gt;0,VLOOKUP($C1549,COSTI!$U$4:$Z$1003,6,FALSE),IF($C$1075&gt;0,VLOOKUP($C1549,PATRIMONIALE!$U$4:$Z$1003,6,FALSE),IF($C$1074&gt;0,VLOOKUP($C1549,ENTI!$U$4:$Z$1003,6,FALSE),"")))</f>
        <v>#N/A</v>
      </c>
      <c r="I1549" s="496">
        <v>469</v>
      </c>
      <c r="J1549" s="43" t="e">
        <f ca="1">VLOOKUP(D1549,$F$1081:$I$4183,4,FALSE)+COUNTIF(E$1081:E1548,E1549)</f>
        <v>#N/A</v>
      </c>
      <c r="K1549" s="1"/>
      <c r="L1549" s="39" t="e">
        <f>IF($C$1074&gt;0,VLOOKUP($C1549,ENTI!$U$4:$AD$1003,10,FALSE),"")</f>
        <v>#N/A</v>
      </c>
      <c r="M1549" s="1"/>
      <c r="N1549" s="1"/>
      <c r="O1549" s="1"/>
    </row>
    <row r="1550" spans="1:15" hidden="1">
      <c r="A1550" s="1"/>
      <c r="B1550" s="40" t="e">
        <f t="shared" ca="1" si="202"/>
        <v>#N/A</v>
      </c>
      <c r="C1550" s="496">
        <v>470</v>
      </c>
      <c r="D1550" s="41" t="e">
        <f ca="1">IF($C$1076&gt;0,VLOOKUP($C1550,COSTI!$U$4:$Z$1003,3,FALSE),IF($C$1075&gt;0,VLOOKUP($C1550,PATRIMONIALE!$U$4:$Z$1003,3,FALSE),IF($C$1074&gt;0,VLOOKUP($C1550,ENTI!$U$4:$Z$1003,3,FALSE),"")))</f>
        <v>#N/A</v>
      </c>
      <c r="E1550" s="41" t="str">
        <f t="shared" ca="1" si="203"/>
        <v/>
      </c>
      <c r="F1550" s="41" t="e">
        <f t="shared" ca="1" si="204"/>
        <v>#NUM!</v>
      </c>
      <c r="G1550" s="39" t="e">
        <f ca="1">IF($C$1076&gt;0,VLOOKUP($C1550,COSTI!$U$4:$Z$1003,5,FALSE),IF($C$1075&gt;0,VLOOKUP($C1550,PATRIMONIALE!$U$4:$Z$1003,5,FALSE),IF($C$1074&gt;0,VLOOKUP($C1550,ENTI!$U$4:$Z$1003,5,FALSE),"")))</f>
        <v>#N/A</v>
      </c>
      <c r="H1550" s="42" t="e">
        <f ca="1">IF($C$1076&gt;0,VLOOKUP($C1550,COSTI!$U$4:$Z$1003,6,FALSE),IF($C$1075&gt;0,VLOOKUP($C1550,PATRIMONIALE!$U$4:$Z$1003,6,FALSE),IF($C$1074&gt;0,VLOOKUP($C1550,ENTI!$U$4:$Z$1003,6,FALSE),"")))</f>
        <v>#N/A</v>
      </c>
      <c r="I1550" s="496">
        <v>470</v>
      </c>
      <c r="J1550" s="43" t="e">
        <f ca="1">VLOOKUP(D1550,$F$1081:$I$4183,4,FALSE)+COUNTIF(E$1081:E1549,E1550)</f>
        <v>#N/A</v>
      </c>
      <c r="K1550" s="1"/>
      <c r="L1550" s="39" t="e">
        <f>IF($C$1074&gt;0,VLOOKUP($C1550,ENTI!$U$4:$AD$1003,10,FALSE),"")</f>
        <v>#N/A</v>
      </c>
      <c r="M1550" s="1"/>
      <c r="N1550" s="1"/>
      <c r="O1550" s="1"/>
    </row>
    <row r="1551" spans="1:15" hidden="1">
      <c r="A1551" s="1"/>
      <c r="B1551" s="40" t="e">
        <f t="shared" ca="1" si="202"/>
        <v>#N/A</v>
      </c>
      <c r="C1551" s="496">
        <v>471</v>
      </c>
      <c r="D1551" s="41" t="e">
        <f ca="1">IF($C$1076&gt;0,VLOOKUP($C1551,COSTI!$U$4:$Z$1003,3,FALSE),IF($C$1075&gt;0,VLOOKUP($C1551,PATRIMONIALE!$U$4:$Z$1003,3,FALSE),IF($C$1074&gt;0,VLOOKUP($C1551,ENTI!$U$4:$Z$1003,3,FALSE),"")))</f>
        <v>#N/A</v>
      </c>
      <c r="E1551" s="41" t="str">
        <f t="shared" ca="1" si="203"/>
        <v/>
      </c>
      <c r="F1551" s="41" t="e">
        <f t="shared" ca="1" si="204"/>
        <v>#NUM!</v>
      </c>
      <c r="G1551" s="39" t="e">
        <f ca="1">IF($C$1076&gt;0,VLOOKUP($C1551,COSTI!$U$4:$Z$1003,5,FALSE),IF($C$1075&gt;0,VLOOKUP($C1551,PATRIMONIALE!$U$4:$Z$1003,5,FALSE),IF($C$1074&gt;0,VLOOKUP($C1551,ENTI!$U$4:$Z$1003,5,FALSE),"")))</f>
        <v>#N/A</v>
      </c>
      <c r="H1551" s="42" t="e">
        <f ca="1">IF($C$1076&gt;0,VLOOKUP($C1551,COSTI!$U$4:$Z$1003,6,FALSE),IF($C$1075&gt;0,VLOOKUP($C1551,PATRIMONIALE!$U$4:$Z$1003,6,FALSE),IF($C$1074&gt;0,VLOOKUP($C1551,ENTI!$U$4:$Z$1003,6,FALSE),"")))</f>
        <v>#N/A</v>
      </c>
      <c r="I1551" s="496">
        <v>471</v>
      </c>
      <c r="J1551" s="43" t="e">
        <f ca="1">VLOOKUP(D1551,$F$1081:$I$4183,4,FALSE)+COUNTIF(E$1081:E1550,E1551)</f>
        <v>#N/A</v>
      </c>
      <c r="K1551" s="1"/>
      <c r="L1551" s="39" t="e">
        <f>IF($C$1074&gt;0,VLOOKUP($C1551,ENTI!$U$4:$AD$1003,10,FALSE),"")</f>
        <v>#N/A</v>
      </c>
      <c r="M1551" s="1"/>
      <c r="N1551" s="1"/>
      <c r="O1551" s="1"/>
    </row>
    <row r="1552" spans="1:15" hidden="1">
      <c r="A1552" s="1"/>
      <c r="B1552" s="40" t="e">
        <f t="shared" ca="1" si="202"/>
        <v>#N/A</v>
      </c>
      <c r="C1552" s="496">
        <v>472</v>
      </c>
      <c r="D1552" s="41" t="e">
        <f ca="1">IF($C$1076&gt;0,VLOOKUP($C1552,COSTI!$U$4:$Z$1003,3,FALSE),IF($C$1075&gt;0,VLOOKUP($C1552,PATRIMONIALE!$U$4:$Z$1003,3,FALSE),IF($C$1074&gt;0,VLOOKUP($C1552,ENTI!$U$4:$Z$1003,3,FALSE),"")))</f>
        <v>#N/A</v>
      </c>
      <c r="E1552" s="41" t="str">
        <f t="shared" ca="1" si="203"/>
        <v/>
      </c>
      <c r="F1552" s="41" t="e">
        <f t="shared" ca="1" si="204"/>
        <v>#NUM!</v>
      </c>
      <c r="G1552" s="39" t="e">
        <f ca="1">IF($C$1076&gt;0,VLOOKUP($C1552,COSTI!$U$4:$Z$1003,5,FALSE),IF($C$1075&gt;0,VLOOKUP($C1552,PATRIMONIALE!$U$4:$Z$1003,5,FALSE),IF($C$1074&gt;0,VLOOKUP($C1552,ENTI!$U$4:$Z$1003,5,FALSE),"")))</f>
        <v>#N/A</v>
      </c>
      <c r="H1552" s="42" t="e">
        <f ca="1">IF($C$1076&gt;0,VLOOKUP($C1552,COSTI!$U$4:$Z$1003,6,FALSE),IF($C$1075&gt;0,VLOOKUP($C1552,PATRIMONIALE!$U$4:$Z$1003,6,FALSE),IF($C$1074&gt;0,VLOOKUP($C1552,ENTI!$U$4:$Z$1003,6,FALSE),"")))</f>
        <v>#N/A</v>
      </c>
      <c r="I1552" s="496">
        <v>472</v>
      </c>
      <c r="J1552" s="43" t="e">
        <f ca="1">VLOOKUP(D1552,$F$1081:$I$4183,4,FALSE)+COUNTIF(E$1081:E1551,E1552)</f>
        <v>#N/A</v>
      </c>
      <c r="K1552" s="1"/>
      <c r="L1552" s="39" t="e">
        <f>IF($C$1074&gt;0,VLOOKUP($C1552,ENTI!$U$4:$AD$1003,10,FALSE),"")</f>
        <v>#N/A</v>
      </c>
      <c r="M1552" s="1"/>
      <c r="N1552" s="1"/>
      <c r="O1552" s="1"/>
    </row>
    <row r="1553" spans="1:15" hidden="1">
      <c r="A1553" s="1"/>
      <c r="B1553" s="40" t="e">
        <f t="shared" ca="1" si="202"/>
        <v>#N/A</v>
      </c>
      <c r="C1553" s="496">
        <v>473</v>
      </c>
      <c r="D1553" s="41" t="e">
        <f ca="1">IF($C$1076&gt;0,VLOOKUP($C1553,COSTI!$U$4:$Z$1003,3,FALSE),IF($C$1075&gt;0,VLOOKUP($C1553,PATRIMONIALE!$U$4:$Z$1003,3,FALSE),IF($C$1074&gt;0,VLOOKUP($C1553,ENTI!$U$4:$Z$1003,3,FALSE),"")))</f>
        <v>#N/A</v>
      </c>
      <c r="E1553" s="41" t="str">
        <f t="shared" ca="1" si="203"/>
        <v/>
      </c>
      <c r="F1553" s="41" t="e">
        <f t="shared" ca="1" si="204"/>
        <v>#NUM!</v>
      </c>
      <c r="G1553" s="39" t="e">
        <f ca="1">IF($C$1076&gt;0,VLOOKUP($C1553,COSTI!$U$4:$Z$1003,5,FALSE),IF($C$1075&gt;0,VLOOKUP($C1553,PATRIMONIALE!$U$4:$Z$1003,5,FALSE),IF($C$1074&gt;0,VLOOKUP($C1553,ENTI!$U$4:$Z$1003,5,FALSE),"")))</f>
        <v>#N/A</v>
      </c>
      <c r="H1553" s="42" t="e">
        <f ca="1">IF($C$1076&gt;0,VLOOKUP($C1553,COSTI!$U$4:$Z$1003,6,FALSE),IF($C$1075&gt;0,VLOOKUP($C1553,PATRIMONIALE!$U$4:$Z$1003,6,FALSE),IF($C$1074&gt;0,VLOOKUP($C1553,ENTI!$U$4:$Z$1003,6,FALSE),"")))</f>
        <v>#N/A</v>
      </c>
      <c r="I1553" s="496">
        <v>473</v>
      </c>
      <c r="J1553" s="43" t="e">
        <f ca="1">VLOOKUP(D1553,$F$1081:$I$4183,4,FALSE)+COUNTIF(E$1081:E1552,E1553)</f>
        <v>#N/A</v>
      </c>
      <c r="K1553" s="1"/>
      <c r="L1553" s="39" t="e">
        <f>IF($C$1074&gt;0,VLOOKUP($C1553,ENTI!$U$4:$AD$1003,10,FALSE),"")</f>
        <v>#N/A</v>
      </c>
      <c r="M1553" s="1"/>
      <c r="N1553" s="1"/>
      <c r="O1553" s="1"/>
    </row>
    <row r="1554" spans="1:15" hidden="1">
      <c r="A1554" s="1"/>
      <c r="B1554" s="40" t="e">
        <f t="shared" ca="1" si="202"/>
        <v>#N/A</v>
      </c>
      <c r="C1554" s="496">
        <v>474</v>
      </c>
      <c r="D1554" s="41" t="e">
        <f ca="1">IF($C$1076&gt;0,VLOOKUP($C1554,COSTI!$U$4:$Z$1003,3,FALSE),IF($C$1075&gt;0,VLOOKUP($C1554,PATRIMONIALE!$U$4:$Z$1003,3,FALSE),IF($C$1074&gt;0,VLOOKUP($C1554,ENTI!$U$4:$Z$1003,3,FALSE),"")))</f>
        <v>#N/A</v>
      </c>
      <c r="E1554" s="41" t="str">
        <f t="shared" ca="1" si="203"/>
        <v/>
      </c>
      <c r="F1554" s="41" t="e">
        <f t="shared" ca="1" si="204"/>
        <v>#NUM!</v>
      </c>
      <c r="G1554" s="39" t="e">
        <f ca="1">IF($C$1076&gt;0,VLOOKUP($C1554,COSTI!$U$4:$Z$1003,5,FALSE),IF($C$1075&gt;0,VLOOKUP($C1554,PATRIMONIALE!$U$4:$Z$1003,5,FALSE),IF($C$1074&gt;0,VLOOKUP($C1554,ENTI!$U$4:$Z$1003,5,FALSE),"")))</f>
        <v>#N/A</v>
      </c>
      <c r="H1554" s="42" t="e">
        <f ca="1">IF($C$1076&gt;0,VLOOKUP($C1554,COSTI!$U$4:$Z$1003,6,FALSE),IF($C$1075&gt;0,VLOOKUP($C1554,PATRIMONIALE!$U$4:$Z$1003,6,FALSE),IF($C$1074&gt;0,VLOOKUP($C1554,ENTI!$U$4:$Z$1003,6,FALSE),"")))</f>
        <v>#N/A</v>
      </c>
      <c r="I1554" s="496">
        <v>474</v>
      </c>
      <c r="J1554" s="43" t="e">
        <f ca="1">VLOOKUP(D1554,$F$1081:$I$4183,4,FALSE)+COUNTIF(E$1081:E1553,E1554)</f>
        <v>#N/A</v>
      </c>
      <c r="K1554" s="1"/>
      <c r="L1554" s="39" t="e">
        <f>IF($C$1074&gt;0,VLOOKUP($C1554,ENTI!$U$4:$AD$1003,10,FALSE),"")</f>
        <v>#N/A</v>
      </c>
      <c r="M1554" s="1"/>
      <c r="N1554" s="1"/>
      <c r="O1554" s="1"/>
    </row>
    <row r="1555" spans="1:15" hidden="1">
      <c r="A1555" s="1"/>
      <c r="B1555" s="40" t="e">
        <f t="shared" ca="1" si="202"/>
        <v>#N/A</v>
      </c>
      <c r="C1555" s="496">
        <v>475</v>
      </c>
      <c r="D1555" s="41" t="e">
        <f ca="1">IF($C$1076&gt;0,VLOOKUP($C1555,COSTI!$U$4:$Z$1003,3,FALSE),IF($C$1075&gt;0,VLOOKUP($C1555,PATRIMONIALE!$U$4:$Z$1003,3,FALSE),IF($C$1074&gt;0,VLOOKUP($C1555,ENTI!$U$4:$Z$1003,3,FALSE),"")))</f>
        <v>#N/A</v>
      </c>
      <c r="E1555" s="41" t="str">
        <f t="shared" ca="1" si="203"/>
        <v/>
      </c>
      <c r="F1555" s="41" t="e">
        <f t="shared" ca="1" si="204"/>
        <v>#NUM!</v>
      </c>
      <c r="G1555" s="39" t="e">
        <f ca="1">IF($C$1076&gt;0,VLOOKUP($C1555,COSTI!$U$4:$Z$1003,5,FALSE),IF($C$1075&gt;0,VLOOKUP($C1555,PATRIMONIALE!$U$4:$Z$1003,5,FALSE),IF($C$1074&gt;0,VLOOKUP($C1555,ENTI!$U$4:$Z$1003,5,FALSE),"")))</f>
        <v>#N/A</v>
      </c>
      <c r="H1555" s="42" t="e">
        <f ca="1">IF($C$1076&gt;0,VLOOKUP($C1555,COSTI!$U$4:$Z$1003,6,FALSE),IF($C$1075&gt;0,VLOOKUP($C1555,PATRIMONIALE!$U$4:$Z$1003,6,FALSE),IF($C$1074&gt;0,VLOOKUP($C1555,ENTI!$U$4:$Z$1003,6,FALSE),"")))</f>
        <v>#N/A</v>
      </c>
      <c r="I1555" s="496">
        <v>475</v>
      </c>
      <c r="J1555" s="43" t="e">
        <f ca="1">VLOOKUP(D1555,$F$1081:$I$4183,4,FALSE)+COUNTIF(E$1081:E1554,E1555)</f>
        <v>#N/A</v>
      </c>
      <c r="K1555" s="1"/>
      <c r="L1555" s="39" t="e">
        <f>IF($C$1074&gt;0,VLOOKUP($C1555,ENTI!$U$4:$AD$1003,10,FALSE),"")</f>
        <v>#N/A</v>
      </c>
      <c r="M1555" s="1"/>
      <c r="N1555" s="1"/>
      <c r="O1555" s="1"/>
    </row>
    <row r="1556" spans="1:15" hidden="1">
      <c r="A1556" s="1"/>
      <c r="B1556" s="40" t="e">
        <f t="shared" ca="1" si="202"/>
        <v>#N/A</v>
      </c>
      <c r="C1556" s="496">
        <v>476</v>
      </c>
      <c r="D1556" s="41" t="e">
        <f ca="1">IF($C$1076&gt;0,VLOOKUP($C1556,COSTI!$U$4:$Z$1003,3,FALSE),IF($C$1075&gt;0,VLOOKUP($C1556,PATRIMONIALE!$U$4:$Z$1003,3,FALSE),IF($C$1074&gt;0,VLOOKUP($C1556,ENTI!$U$4:$Z$1003,3,FALSE),"")))</f>
        <v>#N/A</v>
      </c>
      <c r="E1556" s="41" t="str">
        <f t="shared" ca="1" si="203"/>
        <v/>
      </c>
      <c r="F1556" s="41" t="e">
        <f t="shared" ca="1" si="204"/>
        <v>#NUM!</v>
      </c>
      <c r="G1556" s="39" t="e">
        <f ca="1">IF($C$1076&gt;0,VLOOKUP($C1556,COSTI!$U$4:$Z$1003,5,FALSE),IF($C$1075&gt;0,VLOOKUP($C1556,PATRIMONIALE!$U$4:$Z$1003,5,FALSE),IF($C$1074&gt;0,VLOOKUP($C1556,ENTI!$U$4:$Z$1003,5,FALSE),"")))</f>
        <v>#N/A</v>
      </c>
      <c r="H1556" s="42" t="e">
        <f ca="1">IF($C$1076&gt;0,VLOOKUP($C1556,COSTI!$U$4:$Z$1003,6,FALSE),IF($C$1075&gt;0,VLOOKUP($C1556,PATRIMONIALE!$U$4:$Z$1003,6,FALSE),IF($C$1074&gt;0,VLOOKUP($C1556,ENTI!$U$4:$Z$1003,6,FALSE),"")))</f>
        <v>#N/A</v>
      </c>
      <c r="I1556" s="496">
        <v>476</v>
      </c>
      <c r="J1556" s="43" t="e">
        <f ca="1">VLOOKUP(D1556,$F$1081:$I$4183,4,FALSE)+COUNTIF(E$1081:E1555,E1556)</f>
        <v>#N/A</v>
      </c>
      <c r="K1556" s="1"/>
      <c r="L1556" s="39" t="e">
        <f>IF($C$1074&gt;0,VLOOKUP($C1556,ENTI!$U$4:$AD$1003,10,FALSE),"")</f>
        <v>#N/A</v>
      </c>
      <c r="M1556" s="1"/>
      <c r="N1556" s="1"/>
      <c r="O1556" s="1"/>
    </row>
    <row r="1557" spans="1:15" hidden="1">
      <c r="A1557" s="1"/>
      <c r="B1557" s="40" t="e">
        <f t="shared" ca="1" si="202"/>
        <v>#N/A</v>
      </c>
      <c r="C1557" s="496">
        <v>477</v>
      </c>
      <c r="D1557" s="41" t="e">
        <f ca="1">IF($C$1076&gt;0,VLOOKUP($C1557,COSTI!$U$4:$Z$1003,3,FALSE),IF($C$1075&gt;0,VLOOKUP($C1557,PATRIMONIALE!$U$4:$Z$1003,3,FALSE),IF($C$1074&gt;0,VLOOKUP($C1557,ENTI!$U$4:$Z$1003,3,FALSE),"")))</f>
        <v>#N/A</v>
      </c>
      <c r="E1557" s="41" t="str">
        <f t="shared" ca="1" si="203"/>
        <v/>
      </c>
      <c r="F1557" s="41" t="e">
        <f t="shared" ca="1" si="204"/>
        <v>#NUM!</v>
      </c>
      <c r="G1557" s="39" t="e">
        <f ca="1">IF($C$1076&gt;0,VLOOKUP($C1557,COSTI!$U$4:$Z$1003,5,FALSE),IF($C$1075&gt;0,VLOOKUP($C1557,PATRIMONIALE!$U$4:$Z$1003,5,FALSE),IF($C$1074&gt;0,VLOOKUP($C1557,ENTI!$U$4:$Z$1003,5,FALSE),"")))</f>
        <v>#N/A</v>
      </c>
      <c r="H1557" s="42" t="e">
        <f ca="1">IF($C$1076&gt;0,VLOOKUP($C1557,COSTI!$U$4:$Z$1003,6,FALSE),IF($C$1075&gt;0,VLOOKUP($C1557,PATRIMONIALE!$U$4:$Z$1003,6,FALSE),IF($C$1074&gt;0,VLOOKUP($C1557,ENTI!$U$4:$Z$1003,6,FALSE),"")))</f>
        <v>#N/A</v>
      </c>
      <c r="I1557" s="496">
        <v>477</v>
      </c>
      <c r="J1557" s="43" t="e">
        <f ca="1">VLOOKUP(D1557,$F$1081:$I$4183,4,FALSE)+COUNTIF(E$1081:E1556,E1557)</f>
        <v>#N/A</v>
      </c>
      <c r="K1557" s="1"/>
      <c r="L1557" s="39" t="e">
        <f>IF($C$1074&gt;0,VLOOKUP($C1557,ENTI!$U$4:$AD$1003,10,FALSE),"")</f>
        <v>#N/A</v>
      </c>
      <c r="M1557" s="1"/>
      <c r="N1557" s="1"/>
      <c r="O1557" s="1"/>
    </row>
    <row r="1558" spans="1:15" hidden="1">
      <c r="A1558" s="1"/>
      <c r="B1558" s="40" t="e">
        <f t="shared" ca="1" si="202"/>
        <v>#N/A</v>
      </c>
      <c r="C1558" s="496">
        <v>478</v>
      </c>
      <c r="D1558" s="41" t="e">
        <f ca="1">IF($C$1076&gt;0,VLOOKUP($C1558,COSTI!$U$4:$Z$1003,3,FALSE),IF($C$1075&gt;0,VLOOKUP($C1558,PATRIMONIALE!$U$4:$Z$1003,3,FALSE),IF($C$1074&gt;0,VLOOKUP($C1558,ENTI!$U$4:$Z$1003,3,FALSE),"")))</f>
        <v>#N/A</v>
      </c>
      <c r="E1558" s="41" t="str">
        <f t="shared" ca="1" si="203"/>
        <v/>
      </c>
      <c r="F1558" s="41" t="e">
        <f t="shared" ca="1" si="204"/>
        <v>#NUM!</v>
      </c>
      <c r="G1558" s="39" t="e">
        <f ca="1">IF($C$1076&gt;0,VLOOKUP($C1558,COSTI!$U$4:$Z$1003,5,FALSE),IF($C$1075&gt;0,VLOOKUP($C1558,PATRIMONIALE!$U$4:$Z$1003,5,FALSE),IF($C$1074&gt;0,VLOOKUP($C1558,ENTI!$U$4:$Z$1003,5,FALSE),"")))</f>
        <v>#N/A</v>
      </c>
      <c r="H1558" s="42" t="e">
        <f ca="1">IF($C$1076&gt;0,VLOOKUP($C1558,COSTI!$U$4:$Z$1003,6,FALSE),IF($C$1075&gt;0,VLOOKUP($C1558,PATRIMONIALE!$U$4:$Z$1003,6,FALSE),IF($C$1074&gt;0,VLOOKUP($C1558,ENTI!$U$4:$Z$1003,6,FALSE),"")))</f>
        <v>#N/A</v>
      </c>
      <c r="I1558" s="496">
        <v>478</v>
      </c>
      <c r="J1558" s="43" t="e">
        <f ca="1">VLOOKUP(D1558,$F$1081:$I$4183,4,FALSE)+COUNTIF(E$1081:E1557,E1558)</f>
        <v>#N/A</v>
      </c>
      <c r="K1558" s="1"/>
      <c r="L1558" s="39" t="e">
        <f>IF($C$1074&gt;0,VLOOKUP($C1558,ENTI!$U$4:$AD$1003,10,FALSE),"")</f>
        <v>#N/A</v>
      </c>
      <c r="M1558" s="1"/>
      <c r="N1558" s="1"/>
      <c r="O1558" s="1"/>
    </row>
    <row r="1559" spans="1:15" hidden="1">
      <c r="A1559" s="1"/>
      <c r="B1559" s="40" t="e">
        <f t="shared" ca="1" si="202"/>
        <v>#N/A</v>
      </c>
      <c r="C1559" s="496">
        <v>479</v>
      </c>
      <c r="D1559" s="41" t="e">
        <f ca="1">IF($C$1076&gt;0,VLOOKUP($C1559,COSTI!$U$4:$Z$1003,3,FALSE),IF($C$1075&gt;0,VLOOKUP($C1559,PATRIMONIALE!$U$4:$Z$1003,3,FALSE),IF($C$1074&gt;0,VLOOKUP($C1559,ENTI!$U$4:$Z$1003,3,FALSE),"")))</f>
        <v>#N/A</v>
      </c>
      <c r="E1559" s="41" t="str">
        <f t="shared" ca="1" si="203"/>
        <v/>
      </c>
      <c r="F1559" s="41" t="e">
        <f t="shared" ca="1" si="204"/>
        <v>#NUM!</v>
      </c>
      <c r="G1559" s="39" t="e">
        <f ca="1">IF($C$1076&gt;0,VLOOKUP($C1559,COSTI!$U$4:$Z$1003,5,FALSE),IF($C$1075&gt;0,VLOOKUP($C1559,PATRIMONIALE!$U$4:$Z$1003,5,FALSE),IF($C$1074&gt;0,VLOOKUP($C1559,ENTI!$U$4:$Z$1003,5,FALSE),"")))</f>
        <v>#N/A</v>
      </c>
      <c r="H1559" s="42" t="e">
        <f ca="1">IF($C$1076&gt;0,VLOOKUP($C1559,COSTI!$U$4:$Z$1003,6,FALSE),IF($C$1075&gt;0,VLOOKUP($C1559,PATRIMONIALE!$U$4:$Z$1003,6,FALSE),IF($C$1074&gt;0,VLOOKUP($C1559,ENTI!$U$4:$Z$1003,6,FALSE),"")))</f>
        <v>#N/A</v>
      </c>
      <c r="I1559" s="496">
        <v>479</v>
      </c>
      <c r="J1559" s="43" t="e">
        <f ca="1">VLOOKUP(D1559,$F$1081:$I$4183,4,FALSE)+COUNTIF(E$1081:E1558,E1559)</f>
        <v>#N/A</v>
      </c>
      <c r="K1559" s="1"/>
      <c r="L1559" s="39" t="e">
        <f>IF($C$1074&gt;0,VLOOKUP($C1559,ENTI!$U$4:$AD$1003,10,FALSE),"")</f>
        <v>#N/A</v>
      </c>
      <c r="M1559" s="1"/>
      <c r="N1559" s="1"/>
      <c r="O1559" s="1"/>
    </row>
    <row r="1560" spans="1:15" hidden="1">
      <c r="A1560" s="1"/>
      <c r="B1560" s="40" t="e">
        <f t="shared" ca="1" si="202"/>
        <v>#N/A</v>
      </c>
      <c r="C1560" s="496">
        <v>480</v>
      </c>
      <c r="D1560" s="41" t="e">
        <f ca="1">IF($C$1076&gt;0,VLOOKUP($C1560,COSTI!$U$4:$Z$1003,3,FALSE),IF($C$1075&gt;0,VLOOKUP($C1560,PATRIMONIALE!$U$4:$Z$1003,3,FALSE),IF($C$1074&gt;0,VLOOKUP($C1560,ENTI!$U$4:$Z$1003,3,FALSE),"")))</f>
        <v>#N/A</v>
      </c>
      <c r="E1560" s="41" t="str">
        <f t="shared" ca="1" si="203"/>
        <v/>
      </c>
      <c r="F1560" s="41" t="e">
        <f t="shared" ca="1" si="204"/>
        <v>#NUM!</v>
      </c>
      <c r="G1560" s="39" t="e">
        <f ca="1">IF($C$1076&gt;0,VLOOKUP($C1560,COSTI!$U$4:$Z$1003,5,FALSE),IF($C$1075&gt;0,VLOOKUP($C1560,PATRIMONIALE!$U$4:$Z$1003,5,FALSE),IF($C$1074&gt;0,VLOOKUP($C1560,ENTI!$U$4:$Z$1003,5,FALSE),"")))</f>
        <v>#N/A</v>
      </c>
      <c r="H1560" s="42" t="e">
        <f ca="1">IF($C$1076&gt;0,VLOOKUP($C1560,COSTI!$U$4:$Z$1003,6,FALSE),IF($C$1075&gt;0,VLOOKUP($C1560,PATRIMONIALE!$U$4:$Z$1003,6,FALSE),IF($C$1074&gt;0,VLOOKUP($C1560,ENTI!$U$4:$Z$1003,6,FALSE),"")))</f>
        <v>#N/A</v>
      </c>
      <c r="I1560" s="496">
        <v>480</v>
      </c>
      <c r="J1560" s="43" t="e">
        <f ca="1">VLOOKUP(D1560,$F$1081:$I$4183,4,FALSE)+COUNTIF(E$1081:E1559,E1560)</f>
        <v>#N/A</v>
      </c>
      <c r="K1560" s="1"/>
      <c r="L1560" s="39" t="e">
        <f>IF($C$1074&gt;0,VLOOKUP($C1560,ENTI!$U$4:$AD$1003,10,FALSE),"")</f>
        <v>#N/A</v>
      </c>
      <c r="M1560" s="1"/>
      <c r="N1560" s="1"/>
      <c r="O1560" s="1"/>
    </row>
    <row r="1561" spans="1:15" hidden="1">
      <c r="A1561" s="1"/>
      <c r="B1561" s="40" t="e">
        <f t="shared" ca="1" si="202"/>
        <v>#N/A</v>
      </c>
      <c r="C1561" s="496">
        <v>481</v>
      </c>
      <c r="D1561" s="41" t="e">
        <f ca="1">IF($C$1076&gt;0,VLOOKUP($C1561,COSTI!$U$4:$Z$1003,3,FALSE),IF($C$1075&gt;0,VLOOKUP($C1561,PATRIMONIALE!$U$4:$Z$1003,3,FALSE),IF($C$1074&gt;0,VLOOKUP($C1561,ENTI!$U$4:$Z$1003,3,FALSE),"")))</f>
        <v>#N/A</v>
      </c>
      <c r="E1561" s="41" t="str">
        <f t="shared" ca="1" si="203"/>
        <v/>
      </c>
      <c r="F1561" s="41" t="e">
        <f t="shared" ca="1" si="204"/>
        <v>#NUM!</v>
      </c>
      <c r="G1561" s="39" t="e">
        <f ca="1">IF($C$1076&gt;0,VLOOKUP($C1561,COSTI!$U$4:$Z$1003,5,FALSE),IF($C$1075&gt;0,VLOOKUP($C1561,PATRIMONIALE!$U$4:$Z$1003,5,FALSE),IF($C$1074&gt;0,VLOOKUP($C1561,ENTI!$U$4:$Z$1003,5,FALSE),"")))</f>
        <v>#N/A</v>
      </c>
      <c r="H1561" s="42" t="e">
        <f ca="1">IF($C$1076&gt;0,VLOOKUP($C1561,COSTI!$U$4:$Z$1003,6,FALSE),IF($C$1075&gt;0,VLOOKUP($C1561,PATRIMONIALE!$U$4:$Z$1003,6,FALSE),IF($C$1074&gt;0,VLOOKUP($C1561,ENTI!$U$4:$Z$1003,6,FALSE),"")))</f>
        <v>#N/A</v>
      </c>
      <c r="I1561" s="496">
        <v>481</v>
      </c>
      <c r="J1561" s="43" t="e">
        <f ca="1">VLOOKUP(D1561,$F$1081:$I$4183,4,FALSE)+COUNTIF(E$1081:E1560,E1561)</f>
        <v>#N/A</v>
      </c>
      <c r="K1561" s="1"/>
      <c r="L1561" s="39" t="e">
        <f>IF($C$1074&gt;0,VLOOKUP($C1561,ENTI!$U$4:$AD$1003,10,FALSE),"")</f>
        <v>#N/A</v>
      </c>
      <c r="M1561" s="1"/>
      <c r="N1561" s="1"/>
      <c r="O1561" s="1"/>
    </row>
    <row r="1562" spans="1:15" hidden="1">
      <c r="A1562" s="1"/>
      <c r="B1562" s="40" t="e">
        <f t="shared" ca="1" si="202"/>
        <v>#N/A</v>
      </c>
      <c r="C1562" s="496">
        <v>482</v>
      </c>
      <c r="D1562" s="41" t="e">
        <f ca="1">IF($C$1076&gt;0,VLOOKUP($C1562,COSTI!$U$4:$Z$1003,3,FALSE),IF($C$1075&gt;0,VLOOKUP($C1562,PATRIMONIALE!$U$4:$Z$1003,3,FALSE),IF($C$1074&gt;0,VLOOKUP($C1562,ENTI!$U$4:$Z$1003,3,FALSE),"")))</f>
        <v>#N/A</v>
      </c>
      <c r="E1562" s="41" t="str">
        <f t="shared" ca="1" si="203"/>
        <v/>
      </c>
      <c r="F1562" s="41" t="e">
        <f t="shared" ca="1" si="204"/>
        <v>#NUM!</v>
      </c>
      <c r="G1562" s="39" t="e">
        <f ca="1">IF($C$1076&gt;0,VLOOKUP($C1562,COSTI!$U$4:$Z$1003,5,FALSE),IF($C$1075&gt;0,VLOOKUP($C1562,PATRIMONIALE!$U$4:$Z$1003,5,FALSE),IF($C$1074&gt;0,VLOOKUP($C1562,ENTI!$U$4:$Z$1003,5,FALSE),"")))</f>
        <v>#N/A</v>
      </c>
      <c r="H1562" s="42" t="e">
        <f ca="1">IF($C$1076&gt;0,VLOOKUP($C1562,COSTI!$U$4:$Z$1003,6,FALSE),IF($C$1075&gt;0,VLOOKUP($C1562,PATRIMONIALE!$U$4:$Z$1003,6,FALSE),IF($C$1074&gt;0,VLOOKUP($C1562,ENTI!$U$4:$Z$1003,6,FALSE),"")))</f>
        <v>#N/A</v>
      </c>
      <c r="I1562" s="496">
        <v>482</v>
      </c>
      <c r="J1562" s="43" t="e">
        <f ca="1">VLOOKUP(D1562,$F$1081:$I$4183,4,FALSE)+COUNTIF(E$1081:E1561,E1562)</f>
        <v>#N/A</v>
      </c>
      <c r="K1562" s="1"/>
      <c r="L1562" s="39" t="e">
        <f>IF($C$1074&gt;0,VLOOKUP($C1562,ENTI!$U$4:$AD$1003,10,FALSE),"")</f>
        <v>#N/A</v>
      </c>
      <c r="M1562" s="1"/>
      <c r="N1562" s="1"/>
      <c r="O1562" s="1"/>
    </row>
    <row r="1563" spans="1:15" hidden="1">
      <c r="A1563" s="1"/>
      <c r="B1563" s="40" t="e">
        <f t="shared" ca="1" si="202"/>
        <v>#N/A</v>
      </c>
      <c r="C1563" s="496">
        <v>483</v>
      </c>
      <c r="D1563" s="41" t="e">
        <f ca="1">IF($C$1076&gt;0,VLOOKUP($C1563,COSTI!$U$4:$Z$1003,3,FALSE),IF($C$1075&gt;0,VLOOKUP($C1563,PATRIMONIALE!$U$4:$Z$1003,3,FALSE),IF($C$1074&gt;0,VLOOKUP($C1563,ENTI!$U$4:$Z$1003,3,FALSE),"")))</f>
        <v>#N/A</v>
      </c>
      <c r="E1563" s="41" t="str">
        <f t="shared" ca="1" si="203"/>
        <v/>
      </c>
      <c r="F1563" s="41" t="e">
        <f t="shared" ca="1" si="204"/>
        <v>#NUM!</v>
      </c>
      <c r="G1563" s="39" t="e">
        <f ca="1">IF($C$1076&gt;0,VLOOKUP($C1563,COSTI!$U$4:$Z$1003,5,FALSE),IF($C$1075&gt;0,VLOOKUP($C1563,PATRIMONIALE!$U$4:$Z$1003,5,FALSE),IF($C$1074&gt;0,VLOOKUP($C1563,ENTI!$U$4:$Z$1003,5,FALSE),"")))</f>
        <v>#N/A</v>
      </c>
      <c r="H1563" s="42" t="e">
        <f ca="1">IF($C$1076&gt;0,VLOOKUP($C1563,COSTI!$U$4:$Z$1003,6,FALSE),IF($C$1075&gt;0,VLOOKUP($C1563,PATRIMONIALE!$U$4:$Z$1003,6,FALSE),IF($C$1074&gt;0,VLOOKUP($C1563,ENTI!$U$4:$Z$1003,6,FALSE),"")))</f>
        <v>#N/A</v>
      </c>
      <c r="I1563" s="496">
        <v>483</v>
      </c>
      <c r="J1563" s="43" t="e">
        <f ca="1">VLOOKUP(D1563,$F$1081:$I$4183,4,FALSE)+COUNTIF(E$1081:E1562,E1563)</f>
        <v>#N/A</v>
      </c>
      <c r="K1563" s="1"/>
      <c r="L1563" s="39" t="e">
        <f>IF($C$1074&gt;0,VLOOKUP($C1563,ENTI!$U$4:$AD$1003,10,FALSE),"")</f>
        <v>#N/A</v>
      </c>
      <c r="M1563" s="1"/>
      <c r="N1563" s="1"/>
      <c r="O1563" s="1"/>
    </row>
    <row r="1564" spans="1:15" hidden="1">
      <c r="A1564" s="1"/>
      <c r="B1564" s="40" t="e">
        <f t="shared" ca="1" si="202"/>
        <v>#N/A</v>
      </c>
      <c r="C1564" s="496">
        <v>484</v>
      </c>
      <c r="D1564" s="41" t="e">
        <f ca="1">IF($C$1076&gt;0,VLOOKUP($C1564,COSTI!$U$4:$Z$1003,3,FALSE),IF($C$1075&gt;0,VLOOKUP($C1564,PATRIMONIALE!$U$4:$Z$1003,3,FALSE),IF($C$1074&gt;0,VLOOKUP($C1564,ENTI!$U$4:$Z$1003,3,FALSE),"")))</f>
        <v>#N/A</v>
      </c>
      <c r="E1564" s="41" t="str">
        <f t="shared" ca="1" si="203"/>
        <v/>
      </c>
      <c r="F1564" s="41" t="e">
        <f t="shared" ca="1" si="204"/>
        <v>#NUM!</v>
      </c>
      <c r="G1564" s="39" t="e">
        <f ca="1">IF($C$1076&gt;0,VLOOKUP($C1564,COSTI!$U$4:$Z$1003,5,FALSE),IF($C$1075&gt;0,VLOOKUP($C1564,PATRIMONIALE!$U$4:$Z$1003,5,FALSE),IF($C$1074&gt;0,VLOOKUP($C1564,ENTI!$U$4:$Z$1003,5,FALSE),"")))</f>
        <v>#N/A</v>
      </c>
      <c r="H1564" s="42" t="e">
        <f ca="1">IF($C$1076&gt;0,VLOOKUP($C1564,COSTI!$U$4:$Z$1003,6,FALSE),IF($C$1075&gt;0,VLOOKUP($C1564,PATRIMONIALE!$U$4:$Z$1003,6,FALSE),IF($C$1074&gt;0,VLOOKUP($C1564,ENTI!$U$4:$Z$1003,6,FALSE),"")))</f>
        <v>#N/A</v>
      </c>
      <c r="I1564" s="496">
        <v>484</v>
      </c>
      <c r="J1564" s="43" t="e">
        <f ca="1">VLOOKUP(D1564,$F$1081:$I$4183,4,FALSE)+COUNTIF(E$1081:E1563,E1564)</f>
        <v>#N/A</v>
      </c>
      <c r="K1564" s="1"/>
      <c r="L1564" s="39" t="e">
        <f>IF($C$1074&gt;0,VLOOKUP($C1564,ENTI!$U$4:$AD$1003,10,FALSE),"")</f>
        <v>#N/A</v>
      </c>
      <c r="M1564" s="1"/>
      <c r="N1564" s="1"/>
      <c r="O1564" s="1"/>
    </row>
    <row r="1565" spans="1:15" hidden="1">
      <c r="A1565" s="1"/>
      <c r="B1565" s="40" t="e">
        <f t="shared" ca="1" si="202"/>
        <v>#N/A</v>
      </c>
      <c r="C1565" s="496">
        <v>485</v>
      </c>
      <c r="D1565" s="41" t="e">
        <f ca="1">IF($C$1076&gt;0,VLOOKUP($C1565,COSTI!$U$4:$Z$1003,3,FALSE),IF($C$1075&gt;0,VLOOKUP($C1565,PATRIMONIALE!$U$4:$Z$1003,3,FALSE),IF($C$1074&gt;0,VLOOKUP($C1565,ENTI!$U$4:$Z$1003,3,FALSE),"")))</f>
        <v>#N/A</v>
      </c>
      <c r="E1565" s="41" t="str">
        <f t="shared" ca="1" si="203"/>
        <v/>
      </c>
      <c r="F1565" s="41" t="e">
        <f t="shared" ca="1" si="204"/>
        <v>#NUM!</v>
      </c>
      <c r="G1565" s="39" t="e">
        <f ca="1">IF($C$1076&gt;0,VLOOKUP($C1565,COSTI!$U$4:$Z$1003,5,FALSE),IF($C$1075&gt;0,VLOOKUP($C1565,PATRIMONIALE!$U$4:$Z$1003,5,FALSE),IF($C$1074&gt;0,VLOOKUP($C1565,ENTI!$U$4:$Z$1003,5,FALSE),"")))</f>
        <v>#N/A</v>
      </c>
      <c r="H1565" s="42" t="e">
        <f ca="1">IF($C$1076&gt;0,VLOOKUP($C1565,COSTI!$U$4:$Z$1003,6,FALSE),IF($C$1075&gt;0,VLOOKUP($C1565,PATRIMONIALE!$U$4:$Z$1003,6,FALSE),IF($C$1074&gt;0,VLOOKUP($C1565,ENTI!$U$4:$Z$1003,6,FALSE),"")))</f>
        <v>#N/A</v>
      </c>
      <c r="I1565" s="496">
        <v>485</v>
      </c>
      <c r="J1565" s="43" t="e">
        <f ca="1">VLOOKUP(D1565,$F$1081:$I$4183,4,FALSE)+COUNTIF(E$1081:E1564,E1565)</f>
        <v>#N/A</v>
      </c>
      <c r="K1565" s="1"/>
      <c r="L1565" s="39" t="e">
        <f>IF($C$1074&gt;0,VLOOKUP($C1565,ENTI!$U$4:$AD$1003,10,FALSE),"")</f>
        <v>#N/A</v>
      </c>
      <c r="M1565" s="1"/>
      <c r="N1565" s="1"/>
      <c r="O1565" s="1"/>
    </row>
    <row r="1566" spans="1:15" hidden="1">
      <c r="A1566" s="1"/>
      <c r="B1566" s="40" t="e">
        <f t="shared" ca="1" si="202"/>
        <v>#N/A</v>
      </c>
      <c r="C1566" s="496">
        <v>486</v>
      </c>
      <c r="D1566" s="41" t="e">
        <f ca="1">IF($C$1076&gt;0,VLOOKUP($C1566,COSTI!$U$4:$Z$1003,3,FALSE),IF($C$1075&gt;0,VLOOKUP($C1566,PATRIMONIALE!$U$4:$Z$1003,3,FALSE),IF($C$1074&gt;0,VLOOKUP($C1566,ENTI!$U$4:$Z$1003,3,FALSE),"")))</f>
        <v>#N/A</v>
      </c>
      <c r="E1566" s="41" t="str">
        <f t="shared" ca="1" si="203"/>
        <v/>
      </c>
      <c r="F1566" s="41" t="e">
        <f t="shared" ca="1" si="204"/>
        <v>#NUM!</v>
      </c>
      <c r="G1566" s="39" t="e">
        <f ca="1">IF($C$1076&gt;0,VLOOKUP($C1566,COSTI!$U$4:$Z$1003,5,FALSE),IF($C$1075&gt;0,VLOOKUP($C1566,PATRIMONIALE!$U$4:$Z$1003,5,FALSE),IF($C$1074&gt;0,VLOOKUP($C1566,ENTI!$U$4:$Z$1003,5,FALSE),"")))</f>
        <v>#N/A</v>
      </c>
      <c r="H1566" s="42" t="e">
        <f ca="1">IF($C$1076&gt;0,VLOOKUP($C1566,COSTI!$U$4:$Z$1003,6,FALSE),IF($C$1075&gt;0,VLOOKUP($C1566,PATRIMONIALE!$U$4:$Z$1003,6,FALSE),IF($C$1074&gt;0,VLOOKUP($C1566,ENTI!$U$4:$Z$1003,6,FALSE),"")))</f>
        <v>#N/A</v>
      </c>
      <c r="I1566" s="496">
        <v>486</v>
      </c>
      <c r="J1566" s="43" t="e">
        <f ca="1">VLOOKUP(D1566,$F$1081:$I$4183,4,FALSE)+COUNTIF(E$1081:E1565,E1566)</f>
        <v>#N/A</v>
      </c>
      <c r="K1566" s="1"/>
      <c r="L1566" s="39" t="e">
        <f>IF($C$1074&gt;0,VLOOKUP($C1566,ENTI!$U$4:$AD$1003,10,FALSE),"")</f>
        <v>#N/A</v>
      </c>
      <c r="M1566" s="1"/>
      <c r="N1566" s="1"/>
      <c r="O1566" s="1"/>
    </row>
    <row r="1567" spans="1:15" hidden="1">
      <c r="A1567" s="1"/>
      <c r="B1567" s="40" t="e">
        <f t="shared" ca="1" si="202"/>
        <v>#N/A</v>
      </c>
      <c r="C1567" s="496">
        <v>487</v>
      </c>
      <c r="D1567" s="41" t="e">
        <f ca="1">IF($C$1076&gt;0,VLOOKUP($C1567,COSTI!$U$4:$Z$1003,3,FALSE),IF($C$1075&gt;0,VLOOKUP($C1567,PATRIMONIALE!$U$4:$Z$1003,3,FALSE),IF($C$1074&gt;0,VLOOKUP($C1567,ENTI!$U$4:$Z$1003,3,FALSE),"")))</f>
        <v>#N/A</v>
      </c>
      <c r="E1567" s="41" t="str">
        <f t="shared" ca="1" si="203"/>
        <v/>
      </c>
      <c r="F1567" s="41" t="e">
        <f t="shared" ca="1" si="204"/>
        <v>#NUM!</v>
      </c>
      <c r="G1567" s="39" t="e">
        <f ca="1">IF($C$1076&gt;0,VLOOKUP($C1567,COSTI!$U$4:$Z$1003,5,FALSE),IF($C$1075&gt;0,VLOOKUP($C1567,PATRIMONIALE!$U$4:$Z$1003,5,FALSE),IF($C$1074&gt;0,VLOOKUP($C1567,ENTI!$U$4:$Z$1003,5,FALSE),"")))</f>
        <v>#N/A</v>
      </c>
      <c r="H1567" s="42" t="e">
        <f ca="1">IF($C$1076&gt;0,VLOOKUP($C1567,COSTI!$U$4:$Z$1003,6,FALSE),IF($C$1075&gt;0,VLOOKUP($C1567,PATRIMONIALE!$U$4:$Z$1003,6,FALSE),IF($C$1074&gt;0,VLOOKUP($C1567,ENTI!$U$4:$Z$1003,6,FALSE),"")))</f>
        <v>#N/A</v>
      </c>
      <c r="I1567" s="496">
        <v>487</v>
      </c>
      <c r="J1567" s="43" t="e">
        <f ca="1">VLOOKUP(D1567,$F$1081:$I$4183,4,FALSE)+COUNTIF(E$1081:E1566,E1567)</f>
        <v>#N/A</v>
      </c>
      <c r="K1567" s="1"/>
      <c r="L1567" s="39" t="e">
        <f>IF($C$1074&gt;0,VLOOKUP($C1567,ENTI!$U$4:$AD$1003,10,FALSE),"")</f>
        <v>#N/A</v>
      </c>
      <c r="M1567" s="1"/>
      <c r="N1567" s="1"/>
      <c r="O1567" s="1"/>
    </row>
    <row r="1568" spans="1:15" hidden="1">
      <c r="A1568" s="1"/>
      <c r="B1568" s="40" t="e">
        <f t="shared" ca="1" si="202"/>
        <v>#N/A</v>
      </c>
      <c r="C1568" s="496">
        <v>488</v>
      </c>
      <c r="D1568" s="41" t="e">
        <f ca="1">IF($C$1076&gt;0,VLOOKUP($C1568,COSTI!$U$4:$Z$1003,3,FALSE),IF($C$1075&gt;0,VLOOKUP($C1568,PATRIMONIALE!$U$4:$Z$1003,3,FALSE),IF($C$1074&gt;0,VLOOKUP($C1568,ENTI!$U$4:$Z$1003,3,FALSE),"")))</f>
        <v>#N/A</v>
      </c>
      <c r="E1568" s="41" t="str">
        <f t="shared" ca="1" si="203"/>
        <v/>
      </c>
      <c r="F1568" s="41" t="e">
        <f t="shared" ca="1" si="204"/>
        <v>#NUM!</v>
      </c>
      <c r="G1568" s="39" t="e">
        <f ca="1">IF($C$1076&gt;0,VLOOKUP($C1568,COSTI!$U$4:$Z$1003,5,FALSE),IF($C$1075&gt;0,VLOOKUP($C1568,PATRIMONIALE!$U$4:$Z$1003,5,FALSE),IF($C$1074&gt;0,VLOOKUP($C1568,ENTI!$U$4:$Z$1003,5,FALSE),"")))</f>
        <v>#N/A</v>
      </c>
      <c r="H1568" s="42" t="e">
        <f ca="1">IF($C$1076&gt;0,VLOOKUP($C1568,COSTI!$U$4:$Z$1003,6,FALSE),IF($C$1075&gt;0,VLOOKUP($C1568,PATRIMONIALE!$U$4:$Z$1003,6,FALSE),IF($C$1074&gt;0,VLOOKUP($C1568,ENTI!$U$4:$Z$1003,6,FALSE),"")))</f>
        <v>#N/A</v>
      </c>
      <c r="I1568" s="496">
        <v>488</v>
      </c>
      <c r="J1568" s="43" t="e">
        <f ca="1">VLOOKUP(D1568,$F$1081:$I$4183,4,FALSE)+COUNTIF(E$1081:E1567,E1568)</f>
        <v>#N/A</v>
      </c>
      <c r="K1568" s="1"/>
      <c r="L1568" s="39" t="e">
        <f>IF($C$1074&gt;0,VLOOKUP($C1568,ENTI!$U$4:$AD$1003,10,FALSE),"")</f>
        <v>#N/A</v>
      </c>
      <c r="M1568" s="1"/>
      <c r="N1568" s="1"/>
      <c r="O1568" s="1"/>
    </row>
    <row r="1569" spans="1:15" hidden="1">
      <c r="A1569" s="1"/>
      <c r="B1569" s="40" t="e">
        <f t="shared" ca="1" si="202"/>
        <v>#N/A</v>
      </c>
      <c r="C1569" s="496">
        <v>489</v>
      </c>
      <c r="D1569" s="41" t="e">
        <f ca="1">IF($C$1076&gt;0,VLOOKUP($C1569,COSTI!$U$4:$Z$1003,3,FALSE),IF($C$1075&gt;0,VLOOKUP($C1569,PATRIMONIALE!$U$4:$Z$1003,3,FALSE),IF($C$1074&gt;0,VLOOKUP($C1569,ENTI!$U$4:$Z$1003,3,FALSE),"")))</f>
        <v>#N/A</v>
      </c>
      <c r="E1569" s="41" t="str">
        <f t="shared" ca="1" si="203"/>
        <v/>
      </c>
      <c r="F1569" s="41" t="e">
        <f t="shared" ca="1" si="204"/>
        <v>#NUM!</v>
      </c>
      <c r="G1569" s="39" t="e">
        <f ca="1">IF($C$1076&gt;0,VLOOKUP($C1569,COSTI!$U$4:$Z$1003,5,FALSE),IF($C$1075&gt;0,VLOOKUP($C1569,PATRIMONIALE!$U$4:$Z$1003,5,FALSE),IF($C$1074&gt;0,VLOOKUP($C1569,ENTI!$U$4:$Z$1003,5,FALSE),"")))</f>
        <v>#N/A</v>
      </c>
      <c r="H1569" s="42" t="e">
        <f ca="1">IF($C$1076&gt;0,VLOOKUP($C1569,COSTI!$U$4:$Z$1003,6,FALSE),IF($C$1075&gt;0,VLOOKUP($C1569,PATRIMONIALE!$U$4:$Z$1003,6,FALSE),IF($C$1074&gt;0,VLOOKUP($C1569,ENTI!$U$4:$Z$1003,6,FALSE),"")))</f>
        <v>#N/A</v>
      </c>
      <c r="I1569" s="496">
        <v>489</v>
      </c>
      <c r="J1569" s="43" t="e">
        <f ca="1">VLOOKUP(D1569,$F$1081:$I$4183,4,FALSE)+COUNTIF(E$1081:E1568,E1569)</f>
        <v>#N/A</v>
      </c>
      <c r="K1569" s="1"/>
      <c r="L1569" s="39" t="e">
        <f>IF($C$1074&gt;0,VLOOKUP($C1569,ENTI!$U$4:$AD$1003,10,FALSE),"")</f>
        <v>#N/A</v>
      </c>
      <c r="M1569" s="1"/>
      <c r="N1569" s="1"/>
      <c r="O1569" s="1"/>
    </row>
    <row r="1570" spans="1:15" hidden="1">
      <c r="A1570" s="1"/>
      <c r="B1570" s="40" t="e">
        <f t="shared" ca="1" si="202"/>
        <v>#N/A</v>
      </c>
      <c r="C1570" s="496">
        <v>490</v>
      </c>
      <c r="D1570" s="41" t="e">
        <f ca="1">IF($C$1076&gt;0,VLOOKUP($C1570,COSTI!$U$4:$Z$1003,3,FALSE),IF($C$1075&gt;0,VLOOKUP($C1570,PATRIMONIALE!$U$4:$Z$1003,3,FALSE),IF($C$1074&gt;0,VLOOKUP($C1570,ENTI!$U$4:$Z$1003,3,FALSE),"")))</f>
        <v>#N/A</v>
      </c>
      <c r="E1570" s="41" t="str">
        <f t="shared" ca="1" si="203"/>
        <v/>
      </c>
      <c r="F1570" s="41" t="e">
        <f t="shared" ca="1" si="204"/>
        <v>#NUM!</v>
      </c>
      <c r="G1570" s="39" t="e">
        <f ca="1">IF($C$1076&gt;0,VLOOKUP($C1570,COSTI!$U$4:$Z$1003,5,FALSE),IF($C$1075&gt;0,VLOOKUP($C1570,PATRIMONIALE!$U$4:$Z$1003,5,FALSE),IF($C$1074&gt;0,VLOOKUP($C1570,ENTI!$U$4:$Z$1003,5,FALSE),"")))</f>
        <v>#N/A</v>
      </c>
      <c r="H1570" s="42" t="e">
        <f ca="1">IF($C$1076&gt;0,VLOOKUP($C1570,COSTI!$U$4:$Z$1003,6,FALSE),IF($C$1075&gt;0,VLOOKUP($C1570,PATRIMONIALE!$U$4:$Z$1003,6,FALSE),IF($C$1074&gt;0,VLOOKUP($C1570,ENTI!$U$4:$Z$1003,6,FALSE),"")))</f>
        <v>#N/A</v>
      </c>
      <c r="I1570" s="496">
        <v>490</v>
      </c>
      <c r="J1570" s="43" t="e">
        <f ca="1">VLOOKUP(D1570,$F$1081:$I$4183,4,FALSE)+COUNTIF(E$1081:E1569,E1570)</f>
        <v>#N/A</v>
      </c>
      <c r="K1570" s="1"/>
      <c r="L1570" s="39" t="e">
        <f>IF($C$1074&gt;0,VLOOKUP($C1570,ENTI!$U$4:$AD$1003,10,FALSE),"")</f>
        <v>#N/A</v>
      </c>
      <c r="M1570" s="1"/>
      <c r="N1570" s="1"/>
      <c r="O1570" s="1"/>
    </row>
    <row r="1571" spans="1:15" hidden="1">
      <c r="A1571" s="1"/>
      <c r="B1571" s="40" t="e">
        <f t="shared" ca="1" si="202"/>
        <v>#N/A</v>
      </c>
      <c r="C1571" s="496">
        <v>491</v>
      </c>
      <c r="D1571" s="41" t="e">
        <f ca="1">IF($C$1076&gt;0,VLOOKUP($C1571,COSTI!$U$4:$Z$1003,3,FALSE),IF($C$1075&gt;0,VLOOKUP($C1571,PATRIMONIALE!$U$4:$Z$1003,3,FALSE),IF($C$1074&gt;0,VLOOKUP($C1571,ENTI!$U$4:$Z$1003,3,FALSE),"")))</f>
        <v>#N/A</v>
      </c>
      <c r="E1571" s="41" t="str">
        <f t="shared" ca="1" si="203"/>
        <v/>
      </c>
      <c r="F1571" s="41" t="e">
        <f t="shared" ca="1" si="204"/>
        <v>#NUM!</v>
      </c>
      <c r="G1571" s="39" t="e">
        <f ca="1">IF($C$1076&gt;0,VLOOKUP($C1571,COSTI!$U$4:$Z$1003,5,FALSE),IF($C$1075&gt;0,VLOOKUP($C1571,PATRIMONIALE!$U$4:$Z$1003,5,FALSE),IF($C$1074&gt;0,VLOOKUP($C1571,ENTI!$U$4:$Z$1003,5,FALSE),"")))</f>
        <v>#N/A</v>
      </c>
      <c r="H1571" s="42" t="e">
        <f ca="1">IF($C$1076&gt;0,VLOOKUP($C1571,COSTI!$U$4:$Z$1003,6,FALSE),IF($C$1075&gt;0,VLOOKUP($C1571,PATRIMONIALE!$U$4:$Z$1003,6,FALSE),IF($C$1074&gt;0,VLOOKUP($C1571,ENTI!$U$4:$Z$1003,6,FALSE),"")))</f>
        <v>#N/A</v>
      </c>
      <c r="I1571" s="496">
        <v>491</v>
      </c>
      <c r="J1571" s="43" t="e">
        <f ca="1">VLOOKUP(D1571,$F$1081:$I$4183,4,FALSE)+COUNTIF(E$1081:E1570,E1571)</f>
        <v>#N/A</v>
      </c>
      <c r="K1571" s="1"/>
      <c r="L1571" s="39" t="e">
        <f>IF($C$1074&gt;0,VLOOKUP($C1571,ENTI!$U$4:$AD$1003,10,FALSE),"")</f>
        <v>#N/A</v>
      </c>
      <c r="M1571" s="1"/>
      <c r="N1571" s="1"/>
      <c r="O1571" s="1"/>
    </row>
    <row r="1572" spans="1:15" hidden="1">
      <c r="A1572" s="1"/>
      <c r="B1572" s="40" t="e">
        <f t="shared" ca="1" si="202"/>
        <v>#N/A</v>
      </c>
      <c r="C1572" s="496">
        <v>492</v>
      </c>
      <c r="D1572" s="41" t="e">
        <f ca="1">IF($C$1076&gt;0,VLOOKUP($C1572,COSTI!$U$4:$Z$1003,3,FALSE),IF($C$1075&gt;0,VLOOKUP($C1572,PATRIMONIALE!$U$4:$Z$1003,3,FALSE),IF($C$1074&gt;0,VLOOKUP($C1572,ENTI!$U$4:$Z$1003,3,FALSE),"")))</f>
        <v>#N/A</v>
      </c>
      <c r="E1572" s="41" t="str">
        <f t="shared" ca="1" si="203"/>
        <v/>
      </c>
      <c r="F1572" s="41" t="e">
        <f t="shared" ca="1" si="204"/>
        <v>#NUM!</v>
      </c>
      <c r="G1572" s="39" t="e">
        <f ca="1">IF($C$1076&gt;0,VLOOKUP($C1572,COSTI!$U$4:$Z$1003,5,FALSE),IF($C$1075&gt;0,VLOOKUP($C1572,PATRIMONIALE!$U$4:$Z$1003,5,FALSE),IF($C$1074&gt;0,VLOOKUP($C1572,ENTI!$U$4:$Z$1003,5,FALSE),"")))</f>
        <v>#N/A</v>
      </c>
      <c r="H1572" s="42" t="e">
        <f ca="1">IF($C$1076&gt;0,VLOOKUP($C1572,COSTI!$U$4:$Z$1003,6,FALSE),IF($C$1075&gt;0,VLOOKUP($C1572,PATRIMONIALE!$U$4:$Z$1003,6,FALSE),IF($C$1074&gt;0,VLOOKUP($C1572,ENTI!$U$4:$Z$1003,6,FALSE),"")))</f>
        <v>#N/A</v>
      </c>
      <c r="I1572" s="496">
        <v>492</v>
      </c>
      <c r="J1572" s="43" t="e">
        <f ca="1">VLOOKUP(D1572,$F$1081:$I$4183,4,FALSE)+COUNTIF(E$1081:E1571,E1572)</f>
        <v>#N/A</v>
      </c>
      <c r="K1572" s="1"/>
      <c r="L1572" s="39" t="e">
        <f>IF($C$1074&gt;0,VLOOKUP($C1572,ENTI!$U$4:$AD$1003,10,FALSE),"")</f>
        <v>#N/A</v>
      </c>
      <c r="M1572" s="1"/>
      <c r="N1572" s="1"/>
      <c r="O1572" s="1"/>
    </row>
    <row r="1573" spans="1:15" hidden="1">
      <c r="A1573" s="1"/>
      <c r="B1573" s="40" t="e">
        <f t="shared" ca="1" si="202"/>
        <v>#N/A</v>
      </c>
      <c r="C1573" s="496">
        <v>493</v>
      </c>
      <c r="D1573" s="41" t="e">
        <f ca="1">IF($C$1076&gt;0,VLOOKUP($C1573,COSTI!$U$4:$Z$1003,3,FALSE),IF($C$1075&gt;0,VLOOKUP($C1573,PATRIMONIALE!$U$4:$Z$1003,3,FALSE),IF($C$1074&gt;0,VLOOKUP($C1573,ENTI!$U$4:$Z$1003,3,FALSE),"")))</f>
        <v>#N/A</v>
      </c>
      <c r="E1573" s="41" t="str">
        <f t="shared" ca="1" si="203"/>
        <v/>
      </c>
      <c r="F1573" s="41" t="e">
        <f t="shared" ca="1" si="204"/>
        <v>#NUM!</v>
      </c>
      <c r="G1573" s="39" t="e">
        <f ca="1">IF($C$1076&gt;0,VLOOKUP($C1573,COSTI!$U$4:$Z$1003,5,FALSE),IF($C$1075&gt;0,VLOOKUP($C1573,PATRIMONIALE!$U$4:$Z$1003,5,FALSE),IF($C$1074&gt;0,VLOOKUP($C1573,ENTI!$U$4:$Z$1003,5,FALSE),"")))</f>
        <v>#N/A</v>
      </c>
      <c r="H1573" s="42" t="e">
        <f ca="1">IF($C$1076&gt;0,VLOOKUP($C1573,COSTI!$U$4:$Z$1003,6,FALSE),IF($C$1075&gt;0,VLOOKUP($C1573,PATRIMONIALE!$U$4:$Z$1003,6,FALSE),IF($C$1074&gt;0,VLOOKUP($C1573,ENTI!$U$4:$Z$1003,6,FALSE),"")))</f>
        <v>#N/A</v>
      </c>
      <c r="I1573" s="496">
        <v>493</v>
      </c>
      <c r="J1573" s="43" t="e">
        <f ca="1">VLOOKUP(D1573,$F$1081:$I$4183,4,FALSE)+COUNTIF(E$1081:E1572,E1573)</f>
        <v>#N/A</v>
      </c>
      <c r="K1573" s="1"/>
      <c r="L1573" s="39" t="e">
        <f>IF($C$1074&gt;0,VLOOKUP($C1573,ENTI!$U$4:$AD$1003,10,FALSE),"")</f>
        <v>#N/A</v>
      </c>
      <c r="M1573" s="1"/>
      <c r="N1573" s="1"/>
      <c r="O1573" s="1"/>
    </row>
    <row r="1574" spans="1:15" hidden="1">
      <c r="A1574" s="1"/>
      <c r="B1574" s="40" t="e">
        <f t="shared" ca="1" si="202"/>
        <v>#N/A</v>
      </c>
      <c r="C1574" s="496">
        <v>494</v>
      </c>
      <c r="D1574" s="41" t="e">
        <f ca="1">IF($C$1076&gt;0,VLOOKUP($C1574,COSTI!$U$4:$Z$1003,3,FALSE),IF($C$1075&gt;0,VLOOKUP($C1574,PATRIMONIALE!$U$4:$Z$1003,3,FALSE),IF($C$1074&gt;0,VLOOKUP($C1574,ENTI!$U$4:$Z$1003,3,FALSE),"")))</f>
        <v>#N/A</v>
      </c>
      <c r="E1574" s="41" t="str">
        <f t="shared" ca="1" si="203"/>
        <v/>
      </c>
      <c r="F1574" s="41" t="e">
        <f t="shared" ca="1" si="204"/>
        <v>#NUM!</v>
      </c>
      <c r="G1574" s="39" t="e">
        <f ca="1">IF($C$1076&gt;0,VLOOKUP($C1574,COSTI!$U$4:$Z$1003,5,FALSE),IF($C$1075&gt;0,VLOOKUP($C1574,PATRIMONIALE!$U$4:$Z$1003,5,FALSE),IF($C$1074&gt;0,VLOOKUP($C1574,ENTI!$U$4:$Z$1003,5,FALSE),"")))</f>
        <v>#N/A</v>
      </c>
      <c r="H1574" s="42" t="e">
        <f ca="1">IF($C$1076&gt;0,VLOOKUP($C1574,COSTI!$U$4:$Z$1003,6,FALSE),IF($C$1075&gt;0,VLOOKUP($C1574,PATRIMONIALE!$U$4:$Z$1003,6,FALSE),IF($C$1074&gt;0,VLOOKUP($C1574,ENTI!$U$4:$Z$1003,6,FALSE),"")))</f>
        <v>#N/A</v>
      </c>
      <c r="I1574" s="496">
        <v>494</v>
      </c>
      <c r="J1574" s="43" t="e">
        <f ca="1">VLOOKUP(D1574,$F$1081:$I$4183,4,FALSE)+COUNTIF(E$1081:E1573,E1574)</f>
        <v>#N/A</v>
      </c>
      <c r="K1574" s="1"/>
      <c r="L1574" s="39" t="e">
        <f>IF($C$1074&gt;0,VLOOKUP($C1574,ENTI!$U$4:$AD$1003,10,FALSE),"")</f>
        <v>#N/A</v>
      </c>
      <c r="M1574" s="1"/>
      <c r="N1574" s="1"/>
      <c r="O1574" s="1"/>
    </row>
    <row r="1575" spans="1:15" hidden="1">
      <c r="A1575" s="1"/>
      <c r="B1575" s="40" t="e">
        <f t="shared" ca="1" si="202"/>
        <v>#N/A</v>
      </c>
      <c r="C1575" s="496">
        <v>495</v>
      </c>
      <c r="D1575" s="41" t="e">
        <f ca="1">IF($C$1076&gt;0,VLOOKUP($C1575,COSTI!$U$4:$Z$1003,3,FALSE),IF($C$1075&gt;0,VLOOKUP($C1575,PATRIMONIALE!$U$4:$Z$1003,3,FALSE),IF($C$1074&gt;0,VLOOKUP($C1575,ENTI!$U$4:$Z$1003,3,FALSE),"")))</f>
        <v>#N/A</v>
      </c>
      <c r="E1575" s="41" t="str">
        <f t="shared" ca="1" si="203"/>
        <v/>
      </c>
      <c r="F1575" s="41" t="e">
        <f t="shared" ca="1" si="204"/>
        <v>#NUM!</v>
      </c>
      <c r="G1575" s="39" t="e">
        <f ca="1">IF($C$1076&gt;0,VLOOKUP($C1575,COSTI!$U$4:$Z$1003,5,FALSE),IF($C$1075&gt;0,VLOOKUP($C1575,PATRIMONIALE!$U$4:$Z$1003,5,FALSE),IF($C$1074&gt;0,VLOOKUP($C1575,ENTI!$U$4:$Z$1003,5,FALSE),"")))</f>
        <v>#N/A</v>
      </c>
      <c r="H1575" s="42" t="e">
        <f ca="1">IF($C$1076&gt;0,VLOOKUP($C1575,COSTI!$U$4:$Z$1003,6,FALSE),IF($C$1075&gt;0,VLOOKUP($C1575,PATRIMONIALE!$U$4:$Z$1003,6,FALSE),IF($C$1074&gt;0,VLOOKUP($C1575,ENTI!$U$4:$Z$1003,6,FALSE),"")))</f>
        <v>#N/A</v>
      </c>
      <c r="I1575" s="496">
        <v>495</v>
      </c>
      <c r="J1575" s="43" t="e">
        <f ca="1">VLOOKUP(D1575,$F$1081:$I$4183,4,FALSE)+COUNTIF(E$1081:E1574,E1575)</f>
        <v>#N/A</v>
      </c>
      <c r="K1575" s="1"/>
      <c r="L1575" s="39" t="e">
        <f>IF($C$1074&gt;0,VLOOKUP($C1575,ENTI!$U$4:$AD$1003,10,FALSE),"")</f>
        <v>#N/A</v>
      </c>
      <c r="M1575" s="1"/>
      <c r="N1575" s="1"/>
      <c r="O1575" s="1"/>
    </row>
    <row r="1576" spans="1:15" hidden="1">
      <c r="A1576" s="1"/>
      <c r="B1576" s="40" t="e">
        <f t="shared" ca="1" si="202"/>
        <v>#N/A</v>
      </c>
      <c r="C1576" s="496">
        <v>496</v>
      </c>
      <c r="D1576" s="41" t="e">
        <f ca="1">IF($C$1076&gt;0,VLOOKUP($C1576,COSTI!$U$4:$Z$1003,3,FALSE),IF($C$1075&gt;0,VLOOKUP($C1576,PATRIMONIALE!$U$4:$Z$1003,3,FALSE),IF($C$1074&gt;0,VLOOKUP($C1576,ENTI!$U$4:$Z$1003,3,FALSE),"")))</f>
        <v>#N/A</v>
      </c>
      <c r="E1576" s="41" t="str">
        <f t="shared" ca="1" si="203"/>
        <v/>
      </c>
      <c r="F1576" s="41" t="e">
        <f t="shared" ca="1" si="204"/>
        <v>#NUM!</v>
      </c>
      <c r="G1576" s="39" t="e">
        <f ca="1">IF($C$1076&gt;0,VLOOKUP($C1576,COSTI!$U$4:$Z$1003,5,FALSE),IF($C$1075&gt;0,VLOOKUP($C1576,PATRIMONIALE!$U$4:$Z$1003,5,FALSE),IF($C$1074&gt;0,VLOOKUP($C1576,ENTI!$U$4:$Z$1003,5,FALSE),"")))</f>
        <v>#N/A</v>
      </c>
      <c r="H1576" s="42" t="e">
        <f ca="1">IF($C$1076&gt;0,VLOOKUP($C1576,COSTI!$U$4:$Z$1003,6,FALSE),IF($C$1075&gt;0,VLOOKUP($C1576,PATRIMONIALE!$U$4:$Z$1003,6,FALSE),IF($C$1074&gt;0,VLOOKUP($C1576,ENTI!$U$4:$Z$1003,6,FALSE),"")))</f>
        <v>#N/A</v>
      </c>
      <c r="I1576" s="496">
        <v>496</v>
      </c>
      <c r="J1576" s="43" t="e">
        <f ca="1">VLOOKUP(D1576,$F$1081:$I$4183,4,FALSE)+COUNTIF(E$1081:E1575,E1576)</f>
        <v>#N/A</v>
      </c>
      <c r="K1576" s="1"/>
      <c r="L1576" s="39" t="e">
        <f>IF($C$1074&gt;0,VLOOKUP($C1576,ENTI!$U$4:$AD$1003,10,FALSE),"")</f>
        <v>#N/A</v>
      </c>
      <c r="M1576" s="1"/>
      <c r="N1576" s="1"/>
      <c r="O1576" s="1"/>
    </row>
    <row r="1577" spans="1:15" hidden="1">
      <c r="A1577" s="1"/>
      <c r="B1577" s="40" t="e">
        <f t="shared" ca="1" si="202"/>
        <v>#N/A</v>
      </c>
      <c r="C1577" s="496">
        <v>497</v>
      </c>
      <c r="D1577" s="41" t="e">
        <f ca="1">IF($C$1076&gt;0,VLOOKUP($C1577,COSTI!$U$4:$Z$1003,3,FALSE),IF($C$1075&gt;0,VLOOKUP($C1577,PATRIMONIALE!$U$4:$Z$1003,3,FALSE),IF($C$1074&gt;0,VLOOKUP($C1577,ENTI!$U$4:$Z$1003,3,FALSE),"")))</f>
        <v>#N/A</v>
      </c>
      <c r="E1577" s="41" t="str">
        <f t="shared" ca="1" si="203"/>
        <v/>
      </c>
      <c r="F1577" s="41" t="e">
        <f t="shared" ca="1" si="204"/>
        <v>#NUM!</v>
      </c>
      <c r="G1577" s="39" t="e">
        <f ca="1">IF($C$1076&gt;0,VLOOKUP($C1577,COSTI!$U$4:$Z$1003,5,FALSE),IF($C$1075&gt;0,VLOOKUP($C1577,PATRIMONIALE!$U$4:$Z$1003,5,FALSE),IF($C$1074&gt;0,VLOOKUP($C1577,ENTI!$U$4:$Z$1003,5,FALSE),"")))</f>
        <v>#N/A</v>
      </c>
      <c r="H1577" s="42" t="e">
        <f ca="1">IF($C$1076&gt;0,VLOOKUP($C1577,COSTI!$U$4:$Z$1003,6,FALSE),IF($C$1075&gt;0,VLOOKUP($C1577,PATRIMONIALE!$U$4:$Z$1003,6,FALSE),IF($C$1074&gt;0,VLOOKUP($C1577,ENTI!$U$4:$Z$1003,6,FALSE),"")))</f>
        <v>#N/A</v>
      </c>
      <c r="I1577" s="496">
        <v>497</v>
      </c>
      <c r="J1577" s="43" t="e">
        <f ca="1">VLOOKUP(D1577,$F$1081:$I$4183,4,FALSE)+COUNTIF(E$1081:E1576,E1577)</f>
        <v>#N/A</v>
      </c>
      <c r="K1577" s="1"/>
      <c r="L1577" s="39" t="e">
        <f>IF($C$1074&gt;0,VLOOKUP($C1577,ENTI!$U$4:$AD$1003,10,FALSE),"")</f>
        <v>#N/A</v>
      </c>
      <c r="M1577" s="1"/>
      <c r="N1577" s="1"/>
      <c r="O1577" s="1"/>
    </row>
    <row r="1578" spans="1:15" hidden="1">
      <c r="A1578" s="1"/>
      <c r="B1578" s="40" t="e">
        <f t="shared" ca="1" si="202"/>
        <v>#N/A</v>
      </c>
      <c r="C1578" s="496">
        <v>498</v>
      </c>
      <c r="D1578" s="41" t="e">
        <f ca="1">IF($C$1076&gt;0,VLOOKUP($C1578,COSTI!$U$4:$Z$1003,3,FALSE),IF($C$1075&gt;0,VLOOKUP($C1578,PATRIMONIALE!$U$4:$Z$1003,3,FALSE),IF($C$1074&gt;0,VLOOKUP($C1578,ENTI!$U$4:$Z$1003,3,FALSE),"")))</f>
        <v>#N/A</v>
      </c>
      <c r="E1578" s="41" t="str">
        <f t="shared" ca="1" si="203"/>
        <v/>
      </c>
      <c r="F1578" s="41" t="e">
        <f t="shared" ca="1" si="204"/>
        <v>#NUM!</v>
      </c>
      <c r="G1578" s="39" t="e">
        <f ca="1">IF($C$1076&gt;0,VLOOKUP($C1578,COSTI!$U$4:$Z$1003,5,FALSE),IF($C$1075&gt;0,VLOOKUP($C1578,PATRIMONIALE!$U$4:$Z$1003,5,FALSE),IF($C$1074&gt;0,VLOOKUP($C1578,ENTI!$U$4:$Z$1003,5,FALSE),"")))</f>
        <v>#N/A</v>
      </c>
      <c r="H1578" s="42" t="e">
        <f ca="1">IF($C$1076&gt;0,VLOOKUP($C1578,COSTI!$U$4:$Z$1003,6,FALSE),IF($C$1075&gt;0,VLOOKUP($C1578,PATRIMONIALE!$U$4:$Z$1003,6,FALSE),IF($C$1074&gt;0,VLOOKUP($C1578,ENTI!$U$4:$Z$1003,6,FALSE),"")))</f>
        <v>#N/A</v>
      </c>
      <c r="I1578" s="496">
        <v>498</v>
      </c>
      <c r="J1578" s="43" t="e">
        <f ca="1">VLOOKUP(D1578,$F$1081:$I$4183,4,FALSE)+COUNTIF(E$1081:E1577,E1578)</f>
        <v>#N/A</v>
      </c>
      <c r="K1578" s="1"/>
      <c r="L1578" s="39" t="e">
        <f>IF($C$1074&gt;0,VLOOKUP($C1578,ENTI!$U$4:$AD$1003,10,FALSE),"")</f>
        <v>#N/A</v>
      </c>
      <c r="M1578" s="1"/>
      <c r="N1578" s="1"/>
      <c r="O1578" s="1"/>
    </row>
    <row r="1579" spans="1:15" hidden="1">
      <c r="A1579" s="1"/>
      <c r="B1579" s="40" t="e">
        <f t="shared" ca="1" si="202"/>
        <v>#N/A</v>
      </c>
      <c r="C1579" s="496">
        <v>499</v>
      </c>
      <c r="D1579" s="41" t="e">
        <f ca="1">IF($C$1076&gt;0,VLOOKUP($C1579,COSTI!$U$4:$Z$1003,3,FALSE),IF($C$1075&gt;0,VLOOKUP($C1579,PATRIMONIALE!$U$4:$Z$1003,3,FALSE),IF($C$1074&gt;0,VLOOKUP($C1579,ENTI!$U$4:$Z$1003,3,FALSE),"")))</f>
        <v>#N/A</v>
      </c>
      <c r="E1579" s="41" t="str">
        <f t="shared" ca="1" si="203"/>
        <v/>
      </c>
      <c r="F1579" s="41" t="e">
        <f t="shared" ca="1" si="204"/>
        <v>#NUM!</v>
      </c>
      <c r="G1579" s="39" t="e">
        <f ca="1">IF($C$1076&gt;0,VLOOKUP($C1579,COSTI!$U$4:$Z$1003,5,FALSE),IF($C$1075&gt;0,VLOOKUP($C1579,PATRIMONIALE!$U$4:$Z$1003,5,FALSE),IF($C$1074&gt;0,VLOOKUP($C1579,ENTI!$U$4:$Z$1003,5,FALSE),"")))</f>
        <v>#N/A</v>
      </c>
      <c r="H1579" s="42" t="e">
        <f ca="1">IF($C$1076&gt;0,VLOOKUP($C1579,COSTI!$U$4:$Z$1003,6,FALSE),IF($C$1075&gt;0,VLOOKUP($C1579,PATRIMONIALE!$U$4:$Z$1003,6,FALSE),IF($C$1074&gt;0,VLOOKUP($C1579,ENTI!$U$4:$Z$1003,6,FALSE),"")))</f>
        <v>#N/A</v>
      </c>
      <c r="I1579" s="496">
        <v>499</v>
      </c>
      <c r="J1579" s="43" t="e">
        <f ca="1">VLOOKUP(D1579,$F$1081:$I$4183,4,FALSE)+COUNTIF(E$1081:E1578,E1579)</f>
        <v>#N/A</v>
      </c>
      <c r="K1579" s="1"/>
      <c r="L1579" s="39" t="e">
        <f>IF($C$1074&gt;0,VLOOKUP($C1579,ENTI!$U$4:$AD$1003,10,FALSE),"")</f>
        <v>#N/A</v>
      </c>
      <c r="M1579" s="1"/>
      <c r="N1579" s="1"/>
      <c r="O1579" s="1"/>
    </row>
    <row r="1580" spans="1:15" hidden="1">
      <c r="A1580" s="1"/>
      <c r="B1580" s="40" t="e">
        <f t="shared" ca="1" si="202"/>
        <v>#N/A</v>
      </c>
      <c r="C1580" s="496">
        <v>500</v>
      </c>
      <c r="D1580" s="41" t="e">
        <f ca="1">IF($C$1076&gt;0,VLOOKUP($C1580,COSTI!$U$4:$Z$1003,3,FALSE),IF($C$1075&gt;0,VLOOKUP($C1580,PATRIMONIALE!$U$4:$Z$1003,3,FALSE),IF($C$1074&gt;0,VLOOKUP($C1580,ENTI!$U$4:$Z$1003,3,FALSE),"")))</f>
        <v>#N/A</v>
      </c>
      <c r="E1580" s="41" t="str">
        <f t="shared" ca="1" si="203"/>
        <v/>
      </c>
      <c r="F1580" s="41" t="e">
        <f t="shared" ca="1" si="204"/>
        <v>#NUM!</v>
      </c>
      <c r="G1580" s="39" t="e">
        <f ca="1">IF($C$1076&gt;0,VLOOKUP($C1580,COSTI!$U$4:$Z$1003,5,FALSE),IF($C$1075&gt;0,VLOOKUP($C1580,PATRIMONIALE!$U$4:$Z$1003,5,FALSE),IF($C$1074&gt;0,VLOOKUP($C1580,ENTI!$U$4:$Z$1003,5,FALSE),"")))</f>
        <v>#N/A</v>
      </c>
      <c r="H1580" s="42" t="e">
        <f ca="1">IF($C$1076&gt;0,VLOOKUP($C1580,COSTI!$U$4:$Z$1003,6,FALSE),IF($C$1075&gt;0,VLOOKUP($C1580,PATRIMONIALE!$U$4:$Z$1003,6,FALSE),IF($C$1074&gt;0,VLOOKUP($C1580,ENTI!$U$4:$Z$1003,6,FALSE),"")))</f>
        <v>#N/A</v>
      </c>
      <c r="I1580" s="496">
        <v>500</v>
      </c>
      <c r="J1580" s="43" t="e">
        <f ca="1">VLOOKUP(D1580,$F$1081:$I$4183,4,FALSE)+COUNTIF(E$1081:E1579,E1580)</f>
        <v>#N/A</v>
      </c>
      <c r="K1580" s="1"/>
      <c r="L1580" s="39" t="e">
        <f>IF($C$1074&gt;0,VLOOKUP($C1580,ENTI!$U$4:$AD$1003,10,FALSE),"")</f>
        <v>#N/A</v>
      </c>
      <c r="M1580" s="1"/>
      <c r="N1580" s="1"/>
      <c r="O1580" s="1"/>
    </row>
    <row r="1581" spans="1:15" hidden="1">
      <c r="A1581" s="1"/>
      <c r="B1581" s="40" t="e">
        <f t="shared" ca="1" si="202"/>
        <v>#N/A</v>
      </c>
      <c r="C1581" s="496">
        <v>501</v>
      </c>
      <c r="D1581" s="41" t="e">
        <f ca="1">IF($C$1076&gt;0,VLOOKUP($C1581,COSTI!$U$4:$Z$1003,3,FALSE),IF($C$1075&gt;0,VLOOKUP($C1581,PATRIMONIALE!$U$4:$Z$1003,3,FALSE),IF($C$1074&gt;0,VLOOKUP($C1581,ENTI!$U$4:$Z$1003,3,FALSE),"")))</f>
        <v>#N/A</v>
      </c>
      <c r="E1581" s="41" t="str">
        <f t="shared" ca="1" si="203"/>
        <v/>
      </c>
      <c r="F1581" s="41" t="e">
        <f t="shared" ca="1" si="204"/>
        <v>#NUM!</v>
      </c>
      <c r="G1581" s="39" t="e">
        <f ca="1">IF($C$1076&gt;0,VLOOKUP($C1581,COSTI!$U$4:$Z$1003,5,FALSE),IF($C$1075&gt;0,VLOOKUP($C1581,PATRIMONIALE!$U$4:$Z$1003,5,FALSE),IF($C$1074&gt;0,VLOOKUP($C1581,ENTI!$U$4:$Z$1003,5,FALSE),"")))</f>
        <v>#N/A</v>
      </c>
      <c r="H1581" s="42" t="e">
        <f ca="1">IF($C$1076&gt;0,VLOOKUP($C1581,COSTI!$U$4:$Z$1003,6,FALSE),IF($C$1075&gt;0,VLOOKUP($C1581,PATRIMONIALE!$U$4:$Z$1003,6,FALSE),IF($C$1074&gt;0,VLOOKUP($C1581,ENTI!$U$4:$Z$1003,6,FALSE),"")))</f>
        <v>#N/A</v>
      </c>
      <c r="I1581" s="496">
        <v>501</v>
      </c>
      <c r="J1581" s="43" t="e">
        <f ca="1">VLOOKUP(D1581,$F$1081:$I$4183,4,FALSE)+COUNTIF(E$1081:E1580,E1581)</f>
        <v>#N/A</v>
      </c>
      <c r="K1581" s="1"/>
      <c r="L1581" s="39" t="e">
        <f>IF($C$1074&gt;0,VLOOKUP($C1581,ENTI!$U$4:$AD$1003,10,FALSE),"")</f>
        <v>#N/A</v>
      </c>
      <c r="M1581" s="1"/>
      <c r="N1581" s="1"/>
      <c r="O1581" s="1"/>
    </row>
    <row r="1582" spans="1:15" hidden="1">
      <c r="A1582" s="1"/>
      <c r="B1582" s="40" t="e">
        <f t="shared" ca="1" si="202"/>
        <v>#N/A</v>
      </c>
      <c r="C1582" s="496">
        <v>502</v>
      </c>
      <c r="D1582" s="41" t="e">
        <f ca="1">IF($C$1076&gt;0,VLOOKUP($C1582,COSTI!$U$4:$Z$1003,3,FALSE),IF($C$1075&gt;0,VLOOKUP($C1582,PATRIMONIALE!$U$4:$Z$1003,3,FALSE),IF($C$1074&gt;0,VLOOKUP($C1582,ENTI!$U$4:$Z$1003,3,FALSE),"")))</f>
        <v>#N/A</v>
      </c>
      <c r="E1582" s="41" t="str">
        <f t="shared" ca="1" si="203"/>
        <v/>
      </c>
      <c r="F1582" s="41" t="e">
        <f t="shared" ca="1" si="204"/>
        <v>#NUM!</v>
      </c>
      <c r="G1582" s="39" t="e">
        <f ca="1">IF($C$1076&gt;0,VLOOKUP($C1582,COSTI!$U$4:$Z$1003,5,FALSE),IF($C$1075&gt;0,VLOOKUP($C1582,PATRIMONIALE!$U$4:$Z$1003,5,FALSE),IF($C$1074&gt;0,VLOOKUP($C1582,ENTI!$U$4:$Z$1003,5,FALSE),"")))</f>
        <v>#N/A</v>
      </c>
      <c r="H1582" s="42" t="e">
        <f ca="1">IF($C$1076&gt;0,VLOOKUP($C1582,COSTI!$U$4:$Z$1003,6,FALSE),IF($C$1075&gt;0,VLOOKUP($C1582,PATRIMONIALE!$U$4:$Z$1003,6,FALSE),IF($C$1074&gt;0,VLOOKUP($C1582,ENTI!$U$4:$Z$1003,6,FALSE),"")))</f>
        <v>#N/A</v>
      </c>
      <c r="I1582" s="496">
        <v>502</v>
      </c>
      <c r="J1582" s="43" t="e">
        <f ca="1">VLOOKUP(D1582,$F$1081:$I$4183,4,FALSE)+COUNTIF(E$1081:E1581,E1582)</f>
        <v>#N/A</v>
      </c>
      <c r="K1582" s="1"/>
      <c r="L1582" s="39" t="e">
        <f>IF($C$1074&gt;0,VLOOKUP($C1582,ENTI!$U$4:$AD$1003,10,FALSE),"")</f>
        <v>#N/A</v>
      </c>
      <c r="M1582" s="1"/>
      <c r="N1582" s="1"/>
      <c r="O1582" s="1"/>
    </row>
    <row r="1583" spans="1:15" hidden="1">
      <c r="A1583" s="1"/>
      <c r="B1583" s="40" t="e">
        <f t="shared" ca="1" si="202"/>
        <v>#N/A</v>
      </c>
      <c r="C1583" s="496">
        <v>503</v>
      </c>
      <c r="D1583" s="41" t="e">
        <f ca="1">IF($C$1076&gt;0,VLOOKUP($C1583,COSTI!$U$4:$Z$1003,3,FALSE),IF($C$1075&gt;0,VLOOKUP($C1583,PATRIMONIALE!$U$4:$Z$1003,3,FALSE),IF($C$1074&gt;0,VLOOKUP($C1583,ENTI!$U$4:$Z$1003,3,FALSE),"")))</f>
        <v>#N/A</v>
      </c>
      <c r="E1583" s="41" t="str">
        <f t="shared" ca="1" si="203"/>
        <v/>
      </c>
      <c r="F1583" s="41" t="e">
        <f t="shared" ca="1" si="204"/>
        <v>#NUM!</v>
      </c>
      <c r="G1583" s="39" t="e">
        <f ca="1">IF($C$1076&gt;0,VLOOKUP($C1583,COSTI!$U$4:$Z$1003,5,FALSE),IF($C$1075&gt;0,VLOOKUP($C1583,PATRIMONIALE!$U$4:$Z$1003,5,FALSE),IF($C$1074&gt;0,VLOOKUP($C1583,ENTI!$U$4:$Z$1003,5,FALSE),"")))</f>
        <v>#N/A</v>
      </c>
      <c r="H1583" s="42" t="e">
        <f ca="1">IF($C$1076&gt;0,VLOOKUP($C1583,COSTI!$U$4:$Z$1003,6,FALSE),IF($C$1075&gt;0,VLOOKUP($C1583,PATRIMONIALE!$U$4:$Z$1003,6,FALSE),IF($C$1074&gt;0,VLOOKUP($C1583,ENTI!$U$4:$Z$1003,6,FALSE),"")))</f>
        <v>#N/A</v>
      </c>
      <c r="I1583" s="496">
        <v>503</v>
      </c>
      <c r="J1583" s="43" t="e">
        <f ca="1">VLOOKUP(D1583,$F$1081:$I$4183,4,FALSE)+COUNTIF(E$1081:E1582,E1583)</f>
        <v>#N/A</v>
      </c>
      <c r="K1583" s="1"/>
      <c r="L1583" s="39" t="e">
        <f>IF($C$1074&gt;0,VLOOKUP($C1583,ENTI!$U$4:$AD$1003,10,FALSE),"")</f>
        <v>#N/A</v>
      </c>
      <c r="M1583" s="1"/>
      <c r="N1583" s="1"/>
      <c r="O1583" s="1"/>
    </row>
    <row r="1584" spans="1:15" hidden="1">
      <c r="A1584" s="1"/>
      <c r="B1584" s="40" t="e">
        <f t="shared" ca="1" si="202"/>
        <v>#N/A</v>
      </c>
      <c r="C1584" s="496">
        <v>504</v>
      </c>
      <c r="D1584" s="41" t="e">
        <f ca="1">IF($C$1076&gt;0,VLOOKUP($C1584,COSTI!$U$4:$Z$1003,3,FALSE),IF($C$1075&gt;0,VLOOKUP($C1584,PATRIMONIALE!$U$4:$Z$1003,3,FALSE),IF($C$1074&gt;0,VLOOKUP($C1584,ENTI!$U$4:$Z$1003,3,FALSE),"")))</f>
        <v>#N/A</v>
      </c>
      <c r="E1584" s="41" t="str">
        <f t="shared" ca="1" si="203"/>
        <v/>
      </c>
      <c r="F1584" s="41" t="e">
        <f t="shared" ca="1" si="204"/>
        <v>#NUM!</v>
      </c>
      <c r="G1584" s="39" t="e">
        <f ca="1">IF($C$1076&gt;0,VLOOKUP($C1584,COSTI!$U$4:$Z$1003,5,FALSE),IF($C$1075&gt;0,VLOOKUP($C1584,PATRIMONIALE!$U$4:$Z$1003,5,FALSE),IF($C$1074&gt;0,VLOOKUP($C1584,ENTI!$U$4:$Z$1003,5,FALSE),"")))</f>
        <v>#N/A</v>
      </c>
      <c r="H1584" s="42" t="e">
        <f ca="1">IF($C$1076&gt;0,VLOOKUP($C1584,COSTI!$U$4:$Z$1003,6,FALSE),IF($C$1075&gt;0,VLOOKUP($C1584,PATRIMONIALE!$U$4:$Z$1003,6,FALSE),IF($C$1074&gt;0,VLOOKUP($C1584,ENTI!$U$4:$Z$1003,6,FALSE),"")))</f>
        <v>#N/A</v>
      </c>
      <c r="I1584" s="496">
        <v>504</v>
      </c>
      <c r="J1584" s="43" t="e">
        <f ca="1">VLOOKUP(D1584,$F$1081:$I$4183,4,FALSE)+COUNTIF(E$1081:E1583,E1584)</f>
        <v>#N/A</v>
      </c>
      <c r="K1584" s="1"/>
      <c r="L1584" s="39" t="e">
        <f>IF($C$1074&gt;0,VLOOKUP($C1584,ENTI!$U$4:$AD$1003,10,FALSE),"")</f>
        <v>#N/A</v>
      </c>
      <c r="M1584" s="1"/>
      <c r="N1584" s="1"/>
      <c r="O1584" s="1"/>
    </row>
    <row r="1585" spans="1:15" hidden="1">
      <c r="A1585" s="1"/>
      <c r="B1585" s="40" t="e">
        <f t="shared" ref="B1585:B1648" ca="1" si="205">IF(OR(C$1075&gt;0,C$1077&gt;0,C$1073&gt;0,C$1071&gt;0),J1585+1,J1585)</f>
        <v>#N/A</v>
      </c>
      <c r="C1585" s="496">
        <v>505</v>
      </c>
      <c r="D1585" s="41" t="e">
        <f ca="1">IF($C$1076&gt;0,VLOOKUP($C1585,COSTI!$U$4:$Z$1003,3,FALSE),IF($C$1075&gt;0,VLOOKUP($C1585,PATRIMONIALE!$U$4:$Z$1003,3,FALSE),IF($C$1074&gt;0,VLOOKUP($C1585,ENTI!$U$4:$Z$1003,3,FALSE),"")))</f>
        <v>#N/A</v>
      </c>
      <c r="E1585" s="41" t="str">
        <f t="shared" ca="1" si="203"/>
        <v/>
      </c>
      <c r="F1585" s="41" t="e">
        <f t="shared" ca="1" si="204"/>
        <v>#NUM!</v>
      </c>
      <c r="G1585" s="39" t="e">
        <f ca="1">IF($C$1076&gt;0,VLOOKUP($C1585,COSTI!$U$4:$Z$1003,5,FALSE),IF($C$1075&gt;0,VLOOKUP($C1585,PATRIMONIALE!$U$4:$Z$1003,5,FALSE),IF($C$1074&gt;0,VLOOKUP($C1585,ENTI!$U$4:$Z$1003,5,FALSE),"")))</f>
        <v>#N/A</v>
      </c>
      <c r="H1585" s="42" t="e">
        <f ca="1">IF($C$1076&gt;0,VLOOKUP($C1585,COSTI!$U$4:$Z$1003,6,FALSE),IF($C$1075&gt;0,VLOOKUP($C1585,PATRIMONIALE!$U$4:$Z$1003,6,FALSE),IF($C$1074&gt;0,VLOOKUP($C1585,ENTI!$U$4:$Z$1003,6,FALSE),"")))</f>
        <v>#N/A</v>
      </c>
      <c r="I1585" s="496">
        <v>505</v>
      </c>
      <c r="J1585" s="43" t="e">
        <f ca="1">VLOOKUP(D1585,$F$1081:$I$4183,4,FALSE)+COUNTIF(E$1081:E1584,E1585)</f>
        <v>#N/A</v>
      </c>
      <c r="K1585" s="1"/>
      <c r="L1585" s="39" t="e">
        <f>IF($C$1074&gt;0,VLOOKUP($C1585,ENTI!$U$4:$AD$1003,10,FALSE),"")</f>
        <v>#N/A</v>
      </c>
      <c r="M1585" s="1"/>
      <c r="N1585" s="1"/>
      <c r="O1585" s="1"/>
    </row>
    <row r="1586" spans="1:15" hidden="1">
      <c r="A1586" s="1"/>
      <c r="B1586" s="40" t="e">
        <f t="shared" ca="1" si="205"/>
        <v>#N/A</v>
      </c>
      <c r="C1586" s="496">
        <v>506</v>
      </c>
      <c r="D1586" s="41" t="e">
        <f ca="1">IF($C$1076&gt;0,VLOOKUP($C1586,COSTI!$U$4:$Z$1003,3,FALSE),IF($C$1075&gt;0,VLOOKUP($C1586,PATRIMONIALE!$U$4:$Z$1003,3,FALSE),IF($C$1074&gt;0,VLOOKUP($C1586,ENTI!$U$4:$Z$1003,3,FALSE),"")))</f>
        <v>#N/A</v>
      </c>
      <c r="E1586" s="41" t="str">
        <f t="shared" ca="1" si="203"/>
        <v/>
      </c>
      <c r="F1586" s="41" t="e">
        <f t="shared" ca="1" si="204"/>
        <v>#NUM!</v>
      </c>
      <c r="G1586" s="39" t="e">
        <f ca="1">IF($C$1076&gt;0,VLOOKUP($C1586,COSTI!$U$4:$Z$1003,5,FALSE),IF($C$1075&gt;0,VLOOKUP($C1586,PATRIMONIALE!$U$4:$Z$1003,5,FALSE),IF($C$1074&gt;0,VLOOKUP($C1586,ENTI!$U$4:$Z$1003,5,FALSE),"")))</f>
        <v>#N/A</v>
      </c>
      <c r="H1586" s="42" t="e">
        <f ca="1">IF($C$1076&gt;0,VLOOKUP($C1586,COSTI!$U$4:$Z$1003,6,FALSE),IF($C$1075&gt;0,VLOOKUP($C1586,PATRIMONIALE!$U$4:$Z$1003,6,FALSE),IF($C$1074&gt;0,VLOOKUP($C1586,ENTI!$U$4:$Z$1003,6,FALSE),"")))</f>
        <v>#N/A</v>
      </c>
      <c r="I1586" s="496">
        <v>506</v>
      </c>
      <c r="J1586" s="43" t="e">
        <f ca="1">VLOOKUP(D1586,$F$1081:$I$4183,4,FALSE)+COUNTIF(E$1081:E1585,E1586)</f>
        <v>#N/A</v>
      </c>
      <c r="K1586" s="1"/>
      <c r="L1586" s="39" t="e">
        <f>IF($C$1074&gt;0,VLOOKUP($C1586,ENTI!$U$4:$AD$1003,10,FALSE),"")</f>
        <v>#N/A</v>
      </c>
      <c r="M1586" s="1"/>
      <c r="N1586" s="1"/>
      <c r="O1586" s="1"/>
    </row>
    <row r="1587" spans="1:15" hidden="1">
      <c r="A1587" s="1"/>
      <c r="B1587" s="40" t="e">
        <f t="shared" ca="1" si="205"/>
        <v>#N/A</v>
      </c>
      <c r="C1587" s="496">
        <v>507</v>
      </c>
      <c r="D1587" s="41" t="e">
        <f ca="1">IF($C$1076&gt;0,VLOOKUP($C1587,COSTI!$U$4:$Z$1003,3,FALSE),IF($C$1075&gt;0,VLOOKUP($C1587,PATRIMONIALE!$U$4:$Z$1003,3,FALSE),IF($C$1074&gt;0,VLOOKUP($C1587,ENTI!$U$4:$Z$1003,3,FALSE),"")))</f>
        <v>#N/A</v>
      </c>
      <c r="E1587" s="41" t="str">
        <f t="shared" ref="E1587:E1650" ca="1" si="206">IF(ISERROR(D1587),"",D1587)</f>
        <v/>
      </c>
      <c r="F1587" s="41" t="e">
        <f t="shared" ca="1" si="204"/>
        <v>#NUM!</v>
      </c>
      <c r="G1587" s="39" t="e">
        <f ca="1">IF($C$1076&gt;0,VLOOKUP($C1587,COSTI!$U$4:$Z$1003,5,FALSE),IF($C$1075&gt;0,VLOOKUP($C1587,PATRIMONIALE!$U$4:$Z$1003,5,FALSE),IF($C$1074&gt;0,VLOOKUP($C1587,ENTI!$U$4:$Z$1003,5,FALSE),"")))</f>
        <v>#N/A</v>
      </c>
      <c r="H1587" s="42" t="e">
        <f ca="1">IF($C$1076&gt;0,VLOOKUP($C1587,COSTI!$U$4:$Z$1003,6,FALSE),IF($C$1075&gt;0,VLOOKUP($C1587,PATRIMONIALE!$U$4:$Z$1003,6,FALSE),IF($C$1074&gt;0,VLOOKUP($C1587,ENTI!$U$4:$Z$1003,6,FALSE),"")))</f>
        <v>#N/A</v>
      </c>
      <c r="I1587" s="496">
        <v>507</v>
      </c>
      <c r="J1587" s="43" t="e">
        <f ca="1">VLOOKUP(D1587,$F$1081:$I$4183,4,FALSE)+COUNTIF(E$1081:E1586,E1587)</f>
        <v>#N/A</v>
      </c>
      <c r="K1587" s="1"/>
      <c r="L1587" s="39" t="e">
        <f>IF($C$1074&gt;0,VLOOKUP($C1587,ENTI!$U$4:$AD$1003,10,FALSE),"")</f>
        <v>#N/A</v>
      </c>
      <c r="M1587" s="1"/>
      <c r="N1587" s="1"/>
      <c r="O1587" s="1"/>
    </row>
    <row r="1588" spans="1:15" hidden="1">
      <c r="A1588" s="1"/>
      <c r="B1588" s="40" t="e">
        <f t="shared" ca="1" si="205"/>
        <v>#N/A</v>
      </c>
      <c r="C1588" s="496">
        <v>508</v>
      </c>
      <c r="D1588" s="41" t="e">
        <f ca="1">IF($C$1076&gt;0,VLOOKUP($C1588,COSTI!$U$4:$Z$1003,3,FALSE),IF($C$1075&gt;0,VLOOKUP($C1588,PATRIMONIALE!$U$4:$Z$1003,3,FALSE),IF($C$1074&gt;0,VLOOKUP($C1588,ENTI!$U$4:$Z$1003,3,FALSE),"")))</f>
        <v>#N/A</v>
      </c>
      <c r="E1588" s="41" t="str">
        <f t="shared" ca="1" si="206"/>
        <v/>
      </c>
      <c r="F1588" s="41" t="e">
        <f t="shared" ca="1" si="204"/>
        <v>#NUM!</v>
      </c>
      <c r="G1588" s="39" t="e">
        <f ca="1">IF($C$1076&gt;0,VLOOKUP($C1588,COSTI!$U$4:$Z$1003,5,FALSE),IF($C$1075&gt;0,VLOOKUP($C1588,PATRIMONIALE!$U$4:$Z$1003,5,FALSE),IF($C$1074&gt;0,VLOOKUP($C1588,ENTI!$U$4:$Z$1003,5,FALSE),"")))</f>
        <v>#N/A</v>
      </c>
      <c r="H1588" s="42" t="e">
        <f ca="1">IF($C$1076&gt;0,VLOOKUP($C1588,COSTI!$U$4:$Z$1003,6,FALSE),IF($C$1075&gt;0,VLOOKUP($C1588,PATRIMONIALE!$U$4:$Z$1003,6,FALSE),IF($C$1074&gt;0,VLOOKUP($C1588,ENTI!$U$4:$Z$1003,6,FALSE),"")))</f>
        <v>#N/A</v>
      </c>
      <c r="I1588" s="496">
        <v>508</v>
      </c>
      <c r="J1588" s="43" t="e">
        <f ca="1">VLOOKUP(D1588,$F$1081:$I$4183,4,FALSE)+COUNTIF(E$1081:E1587,E1588)</f>
        <v>#N/A</v>
      </c>
      <c r="K1588" s="1"/>
      <c r="L1588" s="39" t="e">
        <f>IF($C$1074&gt;0,VLOOKUP($C1588,ENTI!$U$4:$AD$1003,10,FALSE),"")</f>
        <v>#N/A</v>
      </c>
      <c r="M1588" s="1"/>
      <c r="N1588" s="1"/>
      <c r="O1588" s="1"/>
    </row>
    <row r="1589" spans="1:15" hidden="1">
      <c r="A1589" s="1"/>
      <c r="B1589" s="40" t="e">
        <f t="shared" ca="1" si="205"/>
        <v>#N/A</v>
      </c>
      <c r="C1589" s="496">
        <v>509</v>
      </c>
      <c r="D1589" s="41" t="e">
        <f ca="1">IF($C$1076&gt;0,VLOOKUP($C1589,COSTI!$U$4:$Z$1003,3,FALSE),IF($C$1075&gt;0,VLOOKUP($C1589,PATRIMONIALE!$U$4:$Z$1003,3,FALSE),IF($C$1074&gt;0,VLOOKUP($C1589,ENTI!$U$4:$Z$1003,3,FALSE),"")))</f>
        <v>#N/A</v>
      </c>
      <c r="E1589" s="41" t="str">
        <f t="shared" ca="1" si="206"/>
        <v/>
      </c>
      <c r="F1589" s="41" t="e">
        <f t="shared" ca="1" si="204"/>
        <v>#NUM!</v>
      </c>
      <c r="G1589" s="39" t="e">
        <f ca="1">IF($C$1076&gt;0,VLOOKUP($C1589,COSTI!$U$4:$Z$1003,5,FALSE),IF($C$1075&gt;0,VLOOKUP($C1589,PATRIMONIALE!$U$4:$Z$1003,5,FALSE),IF($C$1074&gt;0,VLOOKUP($C1589,ENTI!$U$4:$Z$1003,5,FALSE),"")))</f>
        <v>#N/A</v>
      </c>
      <c r="H1589" s="42" t="e">
        <f ca="1">IF($C$1076&gt;0,VLOOKUP($C1589,COSTI!$U$4:$Z$1003,6,FALSE),IF($C$1075&gt;0,VLOOKUP($C1589,PATRIMONIALE!$U$4:$Z$1003,6,FALSE),IF($C$1074&gt;0,VLOOKUP($C1589,ENTI!$U$4:$Z$1003,6,FALSE),"")))</f>
        <v>#N/A</v>
      </c>
      <c r="I1589" s="496">
        <v>509</v>
      </c>
      <c r="J1589" s="43" t="e">
        <f ca="1">VLOOKUP(D1589,$F$1081:$I$4183,4,FALSE)+COUNTIF(E$1081:E1588,E1589)</f>
        <v>#N/A</v>
      </c>
      <c r="K1589" s="1"/>
      <c r="L1589" s="39" t="e">
        <f>IF($C$1074&gt;0,VLOOKUP($C1589,ENTI!$U$4:$AD$1003,10,FALSE),"")</f>
        <v>#N/A</v>
      </c>
      <c r="M1589" s="1"/>
      <c r="N1589" s="1"/>
      <c r="O1589" s="1"/>
    </row>
    <row r="1590" spans="1:15" hidden="1">
      <c r="A1590" s="1"/>
      <c r="B1590" s="40" t="e">
        <f t="shared" ca="1" si="205"/>
        <v>#N/A</v>
      </c>
      <c r="C1590" s="496">
        <v>510</v>
      </c>
      <c r="D1590" s="41" t="e">
        <f ca="1">IF($C$1076&gt;0,VLOOKUP($C1590,COSTI!$U$4:$Z$1003,3,FALSE),IF($C$1075&gt;0,VLOOKUP($C1590,PATRIMONIALE!$U$4:$Z$1003,3,FALSE),IF($C$1074&gt;0,VLOOKUP($C1590,ENTI!$U$4:$Z$1003,3,FALSE),"")))</f>
        <v>#N/A</v>
      </c>
      <c r="E1590" s="41" t="str">
        <f t="shared" ca="1" si="206"/>
        <v/>
      </c>
      <c r="F1590" s="41" t="e">
        <f t="shared" ca="1" si="204"/>
        <v>#NUM!</v>
      </c>
      <c r="G1590" s="39" t="e">
        <f ca="1">IF($C$1076&gt;0,VLOOKUP($C1590,COSTI!$U$4:$Z$1003,5,FALSE),IF($C$1075&gt;0,VLOOKUP($C1590,PATRIMONIALE!$U$4:$Z$1003,5,FALSE),IF($C$1074&gt;0,VLOOKUP($C1590,ENTI!$U$4:$Z$1003,5,FALSE),"")))</f>
        <v>#N/A</v>
      </c>
      <c r="H1590" s="42" t="e">
        <f ca="1">IF($C$1076&gt;0,VLOOKUP($C1590,COSTI!$U$4:$Z$1003,6,FALSE),IF($C$1075&gt;0,VLOOKUP($C1590,PATRIMONIALE!$U$4:$Z$1003,6,FALSE),IF($C$1074&gt;0,VLOOKUP($C1590,ENTI!$U$4:$Z$1003,6,FALSE),"")))</f>
        <v>#N/A</v>
      </c>
      <c r="I1590" s="496">
        <v>510</v>
      </c>
      <c r="J1590" s="43" t="e">
        <f ca="1">VLOOKUP(D1590,$F$1081:$I$4183,4,FALSE)+COUNTIF(E$1081:E1589,E1590)</f>
        <v>#N/A</v>
      </c>
      <c r="K1590" s="1"/>
      <c r="L1590" s="39" t="e">
        <f>IF($C$1074&gt;0,VLOOKUP($C1590,ENTI!$U$4:$AD$1003,10,FALSE),"")</f>
        <v>#N/A</v>
      </c>
      <c r="M1590" s="1"/>
      <c r="N1590" s="1"/>
      <c r="O1590" s="1"/>
    </row>
    <row r="1591" spans="1:15" hidden="1">
      <c r="A1591" s="1"/>
      <c r="B1591" s="40" t="e">
        <f t="shared" ca="1" si="205"/>
        <v>#N/A</v>
      </c>
      <c r="C1591" s="496">
        <v>511</v>
      </c>
      <c r="D1591" s="41" t="e">
        <f ca="1">IF($C$1076&gt;0,VLOOKUP($C1591,COSTI!$U$4:$Z$1003,3,FALSE),IF($C$1075&gt;0,VLOOKUP($C1591,PATRIMONIALE!$U$4:$Z$1003,3,FALSE),IF($C$1074&gt;0,VLOOKUP($C1591,ENTI!$U$4:$Z$1003,3,FALSE),"")))</f>
        <v>#N/A</v>
      </c>
      <c r="E1591" s="41" t="str">
        <f t="shared" ca="1" si="206"/>
        <v/>
      </c>
      <c r="F1591" s="41" t="e">
        <f t="shared" ca="1" si="204"/>
        <v>#NUM!</v>
      </c>
      <c r="G1591" s="39" t="e">
        <f ca="1">IF($C$1076&gt;0,VLOOKUP($C1591,COSTI!$U$4:$Z$1003,5,FALSE),IF($C$1075&gt;0,VLOOKUP($C1591,PATRIMONIALE!$U$4:$Z$1003,5,FALSE),IF($C$1074&gt;0,VLOOKUP($C1591,ENTI!$U$4:$Z$1003,5,FALSE),"")))</f>
        <v>#N/A</v>
      </c>
      <c r="H1591" s="42" t="e">
        <f ca="1">IF($C$1076&gt;0,VLOOKUP($C1591,COSTI!$U$4:$Z$1003,6,FALSE),IF($C$1075&gt;0,VLOOKUP($C1591,PATRIMONIALE!$U$4:$Z$1003,6,FALSE),IF($C$1074&gt;0,VLOOKUP($C1591,ENTI!$U$4:$Z$1003,6,FALSE),"")))</f>
        <v>#N/A</v>
      </c>
      <c r="I1591" s="496">
        <v>511</v>
      </c>
      <c r="J1591" s="43" t="e">
        <f ca="1">VLOOKUP(D1591,$F$1081:$I$4183,4,FALSE)+COUNTIF(E$1081:E1590,E1591)</f>
        <v>#N/A</v>
      </c>
      <c r="K1591" s="1"/>
      <c r="L1591" s="39" t="e">
        <f>IF($C$1074&gt;0,VLOOKUP($C1591,ENTI!$U$4:$AD$1003,10,FALSE),"")</f>
        <v>#N/A</v>
      </c>
      <c r="M1591" s="1"/>
      <c r="N1591" s="1"/>
      <c r="O1591" s="1"/>
    </row>
    <row r="1592" spans="1:15" hidden="1">
      <c r="A1592" s="1"/>
      <c r="B1592" s="40" t="e">
        <f t="shared" ca="1" si="205"/>
        <v>#N/A</v>
      </c>
      <c r="C1592" s="496">
        <v>512</v>
      </c>
      <c r="D1592" s="41" t="e">
        <f ca="1">IF($C$1076&gt;0,VLOOKUP($C1592,COSTI!$U$4:$Z$1003,3,FALSE),IF($C$1075&gt;0,VLOOKUP($C1592,PATRIMONIALE!$U$4:$Z$1003,3,FALSE),IF($C$1074&gt;0,VLOOKUP($C1592,ENTI!$U$4:$Z$1003,3,FALSE),"")))</f>
        <v>#N/A</v>
      </c>
      <c r="E1592" s="41" t="str">
        <f t="shared" ca="1" si="206"/>
        <v/>
      </c>
      <c r="F1592" s="41" t="e">
        <f t="shared" ca="1" si="204"/>
        <v>#NUM!</v>
      </c>
      <c r="G1592" s="39" t="e">
        <f ca="1">IF($C$1076&gt;0,VLOOKUP($C1592,COSTI!$U$4:$Z$1003,5,FALSE),IF($C$1075&gt;0,VLOOKUP($C1592,PATRIMONIALE!$U$4:$Z$1003,5,FALSE),IF($C$1074&gt;0,VLOOKUP($C1592,ENTI!$U$4:$Z$1003,5,FALSE),"")))</f>
        <v>#N/A</v>
      </c>
      <c r="H1592" s="42" t="e">
        <f ca="1">IF($C$1076&gt;0,VLOOKUP($C1592,COSTI!$U$4:$Z$1003,6,FALSE),IF($C$1075&gt;0,VLOOKUP($C1592,PATRIMONIALE!$U$4:$Z$1003,6,FALSE),IF($C$1074&gt;0,VLOOKUP($C1592,ENTI!$U$4:$Z$1003,6,FALSE),"")))</f>
        <v>#N/A</v>
      </c>
      <c r="I1592" s="496">
        <v>512</v>
      </c>
      <c r="J1592" s="43" t="e">
        <f ca="1">VLOOKUP(D1592,$F$1081:$I$4183,4,FALSE)+COUNTIF(E$1081:E1591,E1592)</f>
        <v>#N/A</v>
      </c>
      <c r="K1592" s="1"/>
      <c r="L1592" s="39" t="e">
        <f>IF($C$1074&gt;0,VLOOKUP($C1592,ENTI!$U$4:$AD$1003,10,FALSE),"")</f>
        <v>#N/A</v>
      </c>
      <c r="M1592" s="1"/>
      <c r="N1592" s="1"/>
      <c r="O1592" s="1"/>
    </row>
    <row r="1593" spans="1:15" hidden="1">
      <c r="A1593" s="1"/>
      <c r="B1593" s="40" t="e">
        <f t="shared" ca="1" si="205"/>
        <v>#N/A</v>
      </c>
      <c r="C1593" s="496">
        <v>513</v>
      </c>
      <c r="D1593" s="41" t="e">
        <f ca="1">IF($C$1076&gt;0,VLOOKUP($C1593,COSTI!$U$4:$Z$1003,3,FALSE),IF($C$1075&gt;0,VLOOKUP($C1593,PATRIMONIALE!$U$4:$Z$1003,3,FALSE),IF($C$1074&gt;0,VLOOKUP($C1593,ENTI!$U$4:$Z$1003,3,FALSE),"")))</f>
        <v>#N/A</v>
      </c>
      <c r="E1593" s="41" t="str">
        <f t="shared" ca="1" si="206"/>
        <v/>
      </c>
      <c r="F1593" s="41" t="e">
        <f t="shared" ref="F1593:F1656" ca="1" si="207">SMALL(E$1081:E$4183,C1593)</f>
        <v>#NUM!</v>
      </c>
      <c r="G1593" s="39" t="e">
        <f ca="1">IF($C$1076&gt;0,VLOOKUP($C1593,COSTI!$U$4:$Z$1003,5,FALSE),IF($C$1075&gt;0,VLOOKUP($C1593,PATRIMONIALE!$U$4:$Z$1003,5,FALSE),IF($C$1074&gt;0,VLOOKUP($C1593,ENTI!$U$4:$Z$1003,5,FALSE),"")))</f>
        <v>#N/A</v>
      </c>
      <c r="H1593" s="42" t="e">
        <f ca="1">IF($C$1076&gt;0,VLOOKUP($C1593,COSTI!$U$4:$Z$1003,6,FALSE),IF($C$1075&gt;0,VLOOKUP($C1593,PATRIMONIALE!$U$4:$Z$1003,6,FALSE),IF($C$1074&gt;0,VLOOKUP($C1593,ENTI!$U$4:$Z$1003,6,FALSE),"")))</f>
        <v>#N/A</v>
      </c>
      <c r="I1593" s="496">
        <v>513</v>
      </c>
      <c r="J1593" s="43" t="e">
        <f ca="1">VLOOKUP(D1593,$F$1081:$I$4183,4,FALSE)+COUNTIF(E$1081:E1592,E1593)</f>
        <v>#N/A</v>
      </c>
      <c r="K1593" s="1"/>
      <c r="L1593" s="39" t="e">
        <f>IF($C$1074&gt;0,VLOOKUP($C1593,ENTI!$U$4:$AD$1003,10,FALSE),"")</f>
        <v>#N/A</v>
      </c>
      <c r="M1593" s="1"/>
      <c r="N1593" s="1"/>
      <c r="O1593" s="1"/>
    </row>
    <row r="1594" spans="1:15" hidden="1">
      <c r="A1594" s="1"/>
      <c r="B1594" s="40" t="e">
        <f t="shared" ca="1" si="205"/>
        <v>#N/A</v>
      </c>
      <c r="C1594" s="496">
        <v>514</v>
      </c>
      <c r="D1594" s="41" t="e">
        <f ca="1">IF($C$1076&gt;0,VLOOKUP($C1594,COSTI!$U$4:$Z$1003,3,FALSE),IF($C$1075&gt;0,VLOOKUP($C1594,PATRIMONIALE!$U$4:$Z$1003,3,FALSE),IF($C$1074&gt;0,VLOOKUP($C1594,ENTI!$U$4:$Z$1003,3,FALSE),"")))</f>
        <v>#N/A</v>
      </c>
      <c r="E1594" s="41" t="str">
        <f t="shared" ca="1" si="206"/>
        <v/>
      </c>
      <c r="F1594" s="41" t="e">
        <f t="shared" ca="1" si="207"/>
        <v>#NUM!</v>
      </c>
      <c r="G1594" s="39" t="e">
        <f ca="1">IF($C$1076&gt;0,VLOOKUP($C1594,COSTI!$U$4:$Z$1003,5,FALSE),IF($C$1075&gt;0,VLOOKUP($C1594,PATRIMONIALE!$U$4:$Z$1003,5,FALSE),IF($C$1074&gt;0,VLOOKUP($C1594,ENTI!$U$4:$Z$1003,5,FALSE),"")))</f>
        <v>#N/A</v>
      </c>
      <c r="H1594" s="42" t="e">
        <f ca="1">IF($C$1076&gt;0,VLOOKUP($C1594,COSTI!$U$4:$Z$1003,6,FALSE),IF($C$1075&gt;0,VLOOKUP($C1594,PATRIMONIALE!$U$4:$Z$1003,6,FALSE),IF($C$1074&gt;0,VLOOKUP($C1594,ENTI!$U$4:$Z$1003,6,FALSE),"")))</f>
        <v>#N/A</v>
      </c>
      <c r="I1594" s="496">
        <v>514</v>
      </c>
      <c r="J1594" s="43" t="e">
        <f ca="1">VLOOKUP(D1594,$F$1081:$I$4183,4,FALSE)+COUNTIF(E$1081:E1593,E1594)</f>
        <v>#N/A</v>
      </c>
      <c r="K1594" s="1"/>
      <c r="L1594" s="39" t="e">
        <f>IF($C$1074&gt;0,VLOOKUP($C1594,ENTI!$U$4:$AD$1003,10,FALSE),"")</f>
        <v>#N/A</v>
      </c>
      <c r="M1594" s="1"/>
      <c r="N1594" s="1"/>
      <c r="O1594" s="1"/>
    </row>
    <row r="1595" spans="1:15" hidden="1">
      <c r="A1595" s="1"/>
      <c r="B1595" s="40" t="e">
        <f t="shared" ca="1" si="205"/>
        <v>#N/A</v>
      </c>
      <c r="C1595" s="496">
        <v>515</v>
      </c>
      <c r="D1595" s="41" t="e">
        <f ca="1">IF($C$1076&gt;0,VLOOKUP($C1595,COSTI!$U$4:$Z$1003,3,FALSE),IF($C$1075&gt;0,VLOOKUP($C1595,PATRIMONIALE!$U$4:$Z$1003,3,FALSE),IF($C$1074&gt;0,VLOOKUP($C1595,ENTI!$U$4:$Z$1003,3,FALSE),"")))</f>
        <v>#N/A</v>
      </c>
      <c r="E1595" s="41" t="str">
        <f t="shared" ca="1" si="206"/>
        <v/>
      </c>
      <c r="F1595" s="41" t="e">
        <f t="shared" ca="1" si="207"/>
        <v>#NUM!</v>
      </c>
      <c r="G1595" s="39" t="e">
        <f ca="1">IF($C$1076&gt;0,VLOOKUP($C1595,COSTI!$U$4:$Z$1003,5,FALSE),IF($C$1075&gt;0,VLOOKUP($C1595,PATRIMONIALE!$U$4:$Z$1003,5,FALSE),IF($C$1074&gt;0,VLOOKUP($C1595,ENTI!$U$4:$Z$1003,5,FALSE),"")))</f>
        <v>#N/A</v>
      </c>
      <c r="H1595" s="42" t="e">
        <f ca="1">IF($C$1076&gt;0,VLOOKUP($C1595,COSTI!$U$4:$Z$1003,6,FALSE),IF($C$1075&gt;0,VLOOKUP($C1595,PATRIMONIALE!$U$4:$Z$1003,6,FALSE),IF($C$1074&gt;0,VLOOKUP($C1595,ENTI!$U$4:$Z$1003,6,FALSE),"")))</f>
        <v>#N/A</v>
      </c>
      <c r="I1595" s="496">
        <v>515</v>
      </c>
      <c r="J1595" s="43" t="e">
        <f ca="1">VLOOKUP(D1595,$F$1081:$I$4183,4,FALSE)+COUNTIF(E$1081:E1594,E1595)</f>
        <v>#N/A</v>
      </c>
      <c r="K1595" s="1"/>
      <c r="L1595" s="39" t="e">
        <f>IF($C$1074&gt;0,VLOOKUP($C1595,ENTI!$U$4:$AD$1003,10,FALSE),"")</f>
        <v>#N/A</v>
      </c>
      <c r="M1595" s="1"/>
      <c r="N1595" s="1"/>
      <c r="O1595" s="1"/>
    </row>
    <row r="1596" spans="1:15" hidden="1">
      <c r="A1596" s="1"/>
      <c r="B1596" s="40" t="e">
        <f t="shared" ca="1" si="205"/>
        <v>#N/A</v>
      </c>
      <c r="C1596" s="496">
        <v>516</v>
      </c>
      <c r="D1596" s="41" t="e">
        <f ca="1">IF($C$1076&gt;0,VLOOKUP($C1596,COSTI!$U$4:$Z$1003,3,FALSE),IF($C$1075&gt;0,VLOOKUP($C1596,PATRIMONIALE!$U$4:$Z$1003,3,FALSE),IF($C$1074&gt;0,VLOOKUP($C1596,ENTI!$U$4:$Z$1003,3,FALSE),"")))</f>
        <v>#N/A</v>
      </c>
      <c r="E1596" s="41" t="str">
        <f t="shared" ca="1" si="206"/>
        <v/>
      </c>
      <c r="F1596" s="41" t="e">
        <f t="shared" ca="1" si="207"/>
        <v>#NUM!</v>
      </c>
      <c r="G1596" s="39" t="e">
        <f ca="1">IF($C$1076&gt;0,VLOOKUP($C1596,COSTI!$U$4:$Z$1003,5,FALSE),IF($C$1075&gt;0,VLOOKUP($C1596,PATRIMONIALE!$U$4:$Z$1003,5,FALSE),IF($C$1074&gt;0,VLOOKUP($C1596,ENTI!$U$4:$Z$1003,5,FALSE),"")))</f>
        <v>#N/A</v>
      </c>
      <c r="H1596" s="42" t="e">
        <f ca="1">IF($C$1076&gt;0,VLOOKUP($C1596,COSTI!$U$4:$Z$1003,6,FALSE),IF($C$1075&gt;0,VLOOKUP($C1596,PATRIMONIALE!$U$4:$Z$1003,6,FALSE),IF($C$1074&gt;0,VLOOKUP($C1596,ENTI!$U$4:$Z$1003,6,FALSE),"")))</f>
        <v>#N/A</v>
      </c>
      <c r="I1596" s="496">
        <v>516</v>
      </c>
      <c r="J1596" s="43" t="e">
        <f ca="1">VLOOKUP(D1596,$F$1081:$I$4183,4,FALSE)+COUNTIF(E$1081:E1595,E1596)</f>
        <v>#N/A</v>
      </c>
      <c r="K1596" s="1"/>
      <c r="L1596" s="39" t="e">
        <f>IF($C$1074&gt;0,VLOOKUP($C1596,ENTI!$U$4:$AD$1003,10,FALSE),"")</f>
        <v>#N/A</v>
      </c>
      <c r="M1596" s="1"/>
      <c r="N1596" s="1"/>
      <c r="O1596" s="1"/>
    </row>
    <row r="1597" spans="1:15" hidden="1">
      <c r="A1597" s="1"/>
      <c r="B1597" s="40" t="e">
        <f t="shared" ca="1" si="205"/>
        <v>#N/A</v>
      </c>
      <c r="C1597" s="496">
        <v>517</v>
      </c>
      <c r="D1597" s="41" t="e">
        <f ca="1">IF($C$1076&gt;0,VLOOKUP($C1597,COSTI!$U$4:$Z$1003,3,FALSE),IF($C$1075&gt;0,VLOOKUP($C1597,PATRIMONIALE!$U$4:$Z$1003,3,FALSE),IF($C$1074&gt;0,VLOOKUP($C1597,ENTI!$U$4:$Z$1003,3,FALSE),"")))</f>
        <v>#N/A</v>
      </c>
      <c r="E1597" s="41" t="str">
        <f t="shared" ca="1" si="206"/>
        <v/>
      </c>
      <c r="F1597" s="41" t="e">
        <f t="shared" ca="1" si="207"/>
        <v>#NUM!</v>
      </c>
      <c r="G1597" s="39" t="e">
        <f ca="1">IF($C$1076&gt;0,VLOOKUP($C1597,COSTI!$U$4:$Z$1003,5,FALSE),IF($C$1075&gt;0,VLOOKUP($C1597,PATRIMONIALE!$U$4:$Z$1003,5,FALSE),IF($C$1074&gt;0,VLOOKUP($C1597,ENTI!$U$4:$Z$1003,5,FALSE),"")))</f>
        <v>#N/A</v>
      </c>
      <c r="H1597" s="42" t="e">
        <f ca="1">IF($C$1076&gt;0,VLOOKUP($C1597,COSTI!$U$4:$Z$1003,6,FALSE),IF($C$1075&gt;0,VLOOKUP($C1597,PATRIMONIALE!$U$4:$Z$1003,6,FALSE),IF($C$1074&gt;0,VLOOKUP($C1597,ENTI!$U$4:$Z$1003,6,FALSE),"")))</f>
        <v>#N/A</v>
      </c>
      <c r="I1597" s="496">
        <v>517</v>
      </c>
      <c r="J1597" s="43" t="e">
        <f ca="1">VLOOKUP(D1597,$F$1081:$I$4183,4,FALSE)+COUNTIF(E$1081:E1596,E1597)</f>
        <v>#N/A</v>
      </c>
      <c r="K1597" s="1"/>
      <c r="L1597" s="39" t="e">
        <f>IF($C$1074&gt;0,VLOOKUP($C1597,ENTI!$U$4:$AD$1003,10,FALSE),"")</f>
        <v>#N/A</v>
      </c>
      <c r="M1597" s="1"/>
      <c r="N1597" s="1"/>
      <c r="O1597" s="1"/>
    </row>
    <row r="1598" spans="1:15" hidden="1">
      <c r="A1598" s="1"/>
      <c r="B1598" s="40" t="e">
        <f t="shared" ca="1" si="205"/>
        <v>#N/A</v>
      </c>
      <c r="C1598" s="496">
        <v>518</v>
      </c>
      <c r="D1598" s="41" t="e">
        <f ca="1">IF($C$1076&gt;0,VLOOKUP($C1598,COSTI!$U$4:$Z$1003,3,FALSE),IF($C$1075&gt;0,VLOOKUP($C1598,PATRIMONIALE!$U$4:$Z$1003,3,FALSE),IF($C$1074&gt;0,VLOOKUP($C1598,ENTI!$U$4:$Z$1003,3,FALSE),"")))</f>
        <v>#N/A</v>
      </c>
      <c r="E1598" s="41" t="str">
        <f t="shared" ca="1" si="206"/>
        <v/>
      </c>
      <c r="F1598" s="41" t="e">
        <f t="shared" ca="1" si="207"/>
        <v>#NUM!</v>
      </c>
      <c r="G1598" s="39" t="e">
        <f ca="1">IF($C$1076&gt;0,VLOOKUP($C1598,COSTI!$U$4:$Z$1003,5,FALSE),IF($C$1075&gt;0,VLOOKUP($C1598,PATRIMONIALE!$U$4:$Z$1003,5,FALSE),IF($C$1074&gt;0,VLOOKUP($C1598,ENTI!$U$4:$Z$1003,5,FALSE),"")))</f>
        <v>#N/A</v>
      </c>
      <c r="H1598" s="42" t="e">
        <f ca="1">IF($C$1076&gt;0,VLOOKUP($C1598,COSTI!$U$4:$Z$1003,6,FALSE),IF($C$1075&gt;0,VLOOKUP($C1598,PATRIMONIALE!$U$4:$Z$1003,6,FALSE),IF($C$1074&gt;0,VLOOKUP($C1598,ENTI!$U$4:$Z$1003,6,FALSE),"")))</f>
        <v>#N/A</v>
      </c>
      <c r="I1598" s="496">
        <v>518</v>
      </c>
      <c r="J1598" s="43" t="e">
        <f ca="1">VLOOKUP(D1598,$F$1081:$I$4183,4,FALSE)+COUNTIF(E$1081:E1597,E1598)</f>
        <v>#N/A</v>
      </c>
      <c r="K1598" s="1"/>
      <c r="L1598" s="39" t="e">
        <f>IF($C$1074&gt;0,VLOOKUP($C1598,ENTI!$U$4:$AD$1003,10,FALSE),"")</f>
        <v>#N/A</v>
      </c>
      <c r="M1598" s="1"/>
      <c r="N1598" s="1"/>
      <c r="O1598" s="1"/>
    </row>
    <row r="1599" spans="1:15" hidden="1">
      <c r="A1599" s="1"/>
      <c r="B1599" s="40" t="e">
        <f t="shared" ca="1" si="205"/>
        <v>#N/A</v>
      </c>
      <c r="C1599" s="496">
        <v>519</v>
      </c>
      <c r="D1599" s="41" t="e">
        <f ca="1">IF($C$1076&gt;0,VLOOKUP($C1599,COSTI!$U$4:$Z$1003,3,FALSE),IF($C$1075&gt;0,VLOOKUP($C1599,PATRIMONIALE!$U$4:$Z$1003,3,FALSE),IF($C$1074&gt;0,VLOOKUP($C1599,ENTI!$U$4:$Z$1003,3,FALSE),"")))</f>
        <v>#N/A</v>
      </c>
      <c r="E1599" s="41" t="str">
        <f t="shared" ca="1" si="206"/>
        <v/>
      </c>
      <c r="F1599" s="41" t="e">
        <f t="shared" ca="1" si="207"/>
        <v>#NUM!</v>
      </c>
      <c r="G1599" s="39" t="e">
        <f ca="1">IF($C$1076&gt;0,VLOOKUP($C1599,COSTI!$U$4:$Z$1003,5,FALSE),IF($C$1075&gt;0,VLOOKUP($C1599,PATRIMONIALE!$U$4:$Z$1003,5,FALSE),IF($C$1074&gt;0,VLOOKUP($C1599,ENTI!$U$4:$Z$1003,5,FALSE),"")))</f>
        <v>#N/A</v>
      </c>
      <c r="H1599" s="42" t="e">
        <f ca="1">IF($C$1076&gt;0,VLOOKUP($C1599,COSTI!$U$4:$Z$1003,6,FALSE),IF($C$1075&gt;0,VLOOKUP($C1599,PATRIMONIALE!$U$4:$Z$1003,6,FALSE),IF($C$1074&gt;0,VLOOKUP($C1599,ENTI!$U$4:$Z$1003,6,FALSE),"")))</f>
        <v>#N/A</v>
      </c>
      <c r="I1599" s="496">
        <v>519</v>
      </c>
      <c r="J1599" s="43" t="e">
        <f ca="1">VLOOKUP(D1599,$F$1081:$I$4183,4,FALSE)+COUNTIF(E$1081:E1598,E1599)</f>
        <v>#N/A</v>
      </c>
      <c r="K1599" s="1"/>
      <c r="L1599" s="39" t="e">
        <f>IF($C$1074&gt;0,VLOOKUP($C1599,ENTI!$U$4:$AD$1003,10,FALSE),"")</f>
        <v>#N/A</v>
      </c>
      <c r="M1599" s="1"/>
      <c r="N1599" s="1"/>
      <c r="O1599" s="1"/>
    </row>
    <row r="1600" spans="1:15" hidden="1">
      <c r="A1600" s="1"/>
      <c r="B1600" s="40" t="e">
        <f t="shared" ca="1" si="205"/>
        <v>#N/A</v>
      </c>
      <c r="C1600" s="496">
        <v>520</v>
      </c>
      <c r="D1600" s="41" t="e">
        <f ca="1">IF($C$1076&gt;0,VLOOKUP($C1600,COSTI!$U$4:$Z$1003,3,FALSE),IF($C$1075&gt;0,VLOOKUP($C1600,PATRIMONIALE!$U$4:$Z$1003,3,FALSE),IF($C$1074&gt;0,VLOOKUP($C1600,ENTI!$U$4:$Z$1003,3,FALSE),"")))</f>
        <v>#N/A</v>
      </c>
      <c r="E1600" s="41" t="str">
        <f t="shared" ca="1" si="206"/>
        <v/>
      </c>
      <c r="F1600" s="41" t="e">
        <f t="shared" ca="1" si="207"/>
        <v>#NUM!</v>
      </c>
      <c r="G1600" s="39" t="e">
        <f ca="1">IF($C$1076&gt;0,VLOOKUP($C1600,COSTI!$U$4:$Z$1003,5,FALSE),IF($C$1075&gt;0,VLOOKUP($C1600,PATRIMONIALE!$U$4:$Z$1003,5,FALSE),IF($C$1074&gt;0,VLOOKUP($C1600,ENTI!$U$4:$Z$1003,5,FALSE),"")))</f>
        <v>#N/A</v>
      </c>
      <c r="H1600" s="42" t="e">
        <f ca="1">IF($C$1076&gt;0,VLOOKUP($C1600,COSTI!$U$4:$Z$1003,6,FALSE),IF($C$1075&gt;0,VLOOKUP($C1600,PATRIMONIALE!$U$4:$Z$1003,6,FALSE),IF($C$1074&gt;0,VLOOKUP($C1600,ENTI!$U$4:$Z$1003,6,FALSE),"")))</f>
        <v>#N/A</v>
      </c>
      <c r="I1600" s="496">
        <v>520</v>
      </c>
      <c r="J1600" s="43" t="e">
        <f ca="1">VLOOKUP(D1600,$F$1081:$I$4183,4,FALSE)+COUNTIF(E$1081:E1599,E1600)</f>
        <v>#N/A</v>
      </c>
      <c r="K1600" s="1"/>
      <c r="L1600" s="39" t="e">
        <f>IF($C$1074&gt;0,VLOOKUP($C1600,ENTI!$U$4:$AD$1003,10,FALSE),"")</f>
        <v>#N/A</v>
      </c>
      <c r="M1600" s="1"/>
      <c r="N1600" s="1"/>
      <c r="O1600" s="1"/>
    </row>
    <row r="1601" spans="1:15" hidden="1">
      <c r="A1601" s="1"/>
      <c r="B1601" s="40" t="e">
        <f t="shared" ca="1" si="205"/>
        <v>#N/A</v>
      </c>
      <c r="C1601" s="496">
        <v>521</v>
      </c>
      <c r="D1601" s="41" t="e">
        <f ca="1">IF($C$1076&gt;0,VLOOKUP($C1601,COSTI!$U$4:$Z$1003,3,FALSE),IF($C$1075&gt;0,VLOOKUP($C1601,PATRIMONIALE!$U$4:$Z$1003,3,FALSE),IF($C$1074&gt;0,VLOOKUP($C1601,ENTI!$U$4:$Z$1003,3,FALSE),"")))</f>
        <v>#N/A</v>
      </c>
      <c r="E1601" s="41" t="str">
        <f t="shared" ca="1" si="206"/>
        <v/>
      </c>
      <c r="F1601" s="41" t="e">
        <f t="shared" ca="1" si="207"/>
        <v>#NUM!</v>
      </c>
      <c r="G1601" s="39" t="e">
        <f ca="1">IF($C$1076&gt;0,VLOOKUP($C1601,COSTI!$U$4:$Z$1003,5,FALSE),IF($C$1075&gt;0,VLOOKUP($C1601,PATRIMONIALE!$U$4:$Z$1003,5,FALSE),IF($C$1074&gt;0,VLOOKUP($C1601,ENTI!$U$4:$Z$1003,5,FALSE),"")))</f>
        <v>#N/A</v>
      </c>
      <c r="H1601" s="42" t="e">
        <f ca="1">IF($C$1076&gt;0,VLOOKUP($C1601,COSTI!$U$4:$Z$1003,6,FALSE),IF($C$1075&gt;0,VLOOKUP($C1601,PATRIMONIALE!$U$4:$Z$1003,6,FALSE),IF($C$1074&gt;0,VLOOKUP($C1601,ENTI!$U$4:$Z$1003,6,FALSE),"")))</f>
        <v>#N/A</v>
      </c>
      <c r="I1601" s="496">
        <v>521</v>
      </c>
      <c r="J1601" s="43" t="e">
        <f ca="1">VLOOKUP(D1601,$F$1081:$I$4183,4,FALSE)+COUNTIF(E$1081:E1600,E1601)</f>
        <v>#N/A</v>
      </c>
      <c r="K1601" s="1"/>
      <c r="L1601" s="39" t="e">
        <f>IF($C$1074&gt;0,VLOOKUP($C1601,ENTI!$U$4:$AD$1003,10,FALSE),"")</f>
        <v>#N/A</v>
      </c>
      <c r="M1601" s="1"/>
      <c r="N1601" s="1"/>
      <c r="O1601" s="1"/>
    </row>
    <row r="1602" spans="1:15" hidden="1">
      <c r="A1602" s="1"/>
      <c r="B1602" s="40" t="e">
        <f t="shared" ca="1" si="205"/>
        <v>#N/A</v>
      </c>
      <c r="C1602" s="496">
        <v>522</v>
      </c>
      <c r="D1602" s="41" t="e">
        <f ca="1">IF($C$1076&gt;0,VLOOKUP($C1602,COSTI!$U$4:$Z$1003,3,FALSE),IF($C$1075&gt;0,VLOOKUP($C1602,PATRIMONIALE!$U$4:$Z$1003,3,FALSE),IF($C$1074&gt;0,VLOOKUP($C1602,ENTI!$U$4:$Z$1003,3,FALSE),"")))</f>
        <v>#N/A</v>
      </c>
      <c r="E1602" s="41" t="str">
        <f t="shared" ca="1" si="206"/>
        <v/>
      </c>
      <c r="F1602" s="41" t="e">
        <f t="shared" ca="1" si="207"/>
        <v>#NUM!</v>
      </c>
      <c r="G1602" s="39" t="e">
        <f ca="1">IF($C$1076&gt;0,VLOOKUP($C1602,COSTI!$U$4:$Z$1003,5,FALSE),IF($C$1075&gt;0,VLOOKUP($C1602,PATRIMONIALE!$U$4:$Z$1003,5,FALSE),IF($C$1074&gt;0,VLOOKUP($C1602,ENTI!$U$4:$Z$1003,5,FALSE),"")))</f>
        <v>#N/A</v>
      </c>
      <c r="H1602" s="42" t="e">
        <f ca="1">IF($C$1076&gt;0,VLOOKUP($C1602,COSTI!$U$4:$Z$1003,6,FALSE),IF($C$1075&gt;0,VLOOKUP($C1602,PATRIMONIALE!$U$4:$Z$1003,6,FALSE),IF($C$1074&gt;0,VLOOKUP($C1602,ENTI!$U$4:$Z$1003,6,FALSE),"")))</f>
        <v>#N/A</v>
      </c>
      <c r="I1602" s="496">
        <v>522</v>
      </c>
      <c r="J1602" s="43" t="e">
        <f ca="1">VLOOKUP(D1602,$F$1081:$I$4183,4,FALSE)+COUNTIF(E$1081:E1601,E1602)</f>
        <v>#N/A</v>
      </c>
      <c r="K1602" s="1"/>
      <c r="L1602" s="39" t="e">
        <f>IF($C$1074&gt;0,VLOOKUP($C1602,ENTI!$U$4:$AD$1003,10,FALSE),"")</f>
        <v>#N/A</v>
      </c>
      <c r="M1602" s="1"/>
      <c r="N1602" s="1"/>
      <c r="O1602" s="1"/>
    </row>
    <row r="1603" spans="1:15" hidden="1">
      <c r="A1603" s="1"/>
      <c r="B1603" s="40" t="e">
        <f t="shared" ca="1" si="205"/>
        <v>#N/A</v>
      </c>
      <c r="C1603" s="496">
        <v>523</v>
      </c>
      <c r="D1603" s="41" t="e">
        <f ca="1">IF($C$1076&gt;0,VLOOKUP($C1603,COSTI!$U$4:$Z$1003,3,FALSE),IF($C$1075&gt;0,VLOOKUP($C1603,PATRIMONIALE!$U$4:$Z$1003,3,FALSE),IF($C$1074&gt;0,VLOOKUP($C1603,ENTI!$U$4:$Z$1003,3,FALSE),"")))</f>
        <v>#N/A</v>
      </c>
      <c r="E1603" s="41" t="str">
        <f t="shared" ca="1" si="206"/>
        <v/>
      </c>
      <c r="F1603" s="41" t="e">
        <f t="shared" ca="1" si="207"/>
        <v>#NUM!</v>
      </c>
      <c r="G1603" s="39" t="e">
        <f ca="1">IF($C$1076&gt;0,VLOOKUP($C1603,COSTI!$U$4:$Z$1003,5,FALSE),IF($C$1075&gt;0,VLOOKUP($C1603,PATRIMONIALE!$U$4:$Z$1003,5,FALSE),IF($C$1074&gt;0,VLOOKUP($C1603,ENTI!$U$4:$Z$1003,5,FALSE),"")))</f>
        <v>#N/A</v>
      </c>
      <c r="H1603" s="42" t="e">
        <f ca="1">IF($C$1076&gt;0,VLOOKUP($C1603,COSTI!$U$4:$Z$1003,6,FALSE),IF($C$1075&gt;0,VLOOKUP($C1603,PATRIMONIALE!$U$4:$Z$1003,6,FALSE),IF($C$1074&gt;0,VLOOKUP($C1603,ENTI!$U$4:$Z$1003,6,FALSE),"")))</f>
        <v>#N/A</v>
      </c>
      <c r="I1603" s="496">
        <v>523</v>
      </c>
      <c r="J1603" s="43" t="e">
        <f ca="1">VLOOKUP(D1603,$F$1081:$I$4183,4,FALSE)+COUNTIF(E$1081:E1602,E1603)</f>
        <v>#N/A</v>
      </c>
      <c r="K1603" s="1"/>
      <c r="L1603" s="39" t="e">
        <f>IF($C$1074&gt;0,VLOOKUP($C1603,ENTI!$U$4:$AD$1003,10,FALSE),"")</f>
        <v>#N/A</v>
      </c>
      <c r="M1603" s="1"/>
      <c r="N1603" s="1"/>
      <c r="O1603" s="1"/>
    </row>
    <row r="1604" spans="1:15" hidden="1">
      <c r="A1604" s="1"/>
      <c r="B1604" s="40" t="e">
        <f t="shared" ca="1" si="205"/>
        <v>#N/A</v>
      </c>
      <c r="C1604" s="496">
        <v>524</v>
      </c>
      <c r="D1604" s="41" t="e">
        <f ca="1">IF($C$1076&gt;0,VLOOKUP($C1604,COSTI!$U$4:$Z$1003,3,FALSE),IF($C$1075&gt;0,VLOOKUP($C1604,PATRIMONIALE!$U$4:$Z$1003,3,FALSE),IF($C$1074&gt;0,VLOOKUP($C1604,ENTI!$U$4:$Z$1003,3,FALSE),"")))</f>
        <v>#N/A</v>
      </c>
      <c r="E1604" s="41" t="str">
        <f t="shared" ca="1" si="206"/>
        <v/>
      </c>
      <c r="F1604" s="41" t="e">
        <f t="shared" ca="1" si="207"/>
        <v>#NUM!</v>
      </c>
      <c r="G1604" s="39" t="e">
        <f ca="1">IF($C$1076&gt;0,VLOOKUP($C1604,COSTI!$U$4:$Z$1003,5,FALSE),IF($C$1075&gt;0,VLOOKUP($C1604,PATRIMONIALE!$U$4:$Z$1003,5,FALSE),IF($C$1074&gt;0,VLOOKUP($C1604,ENTI!$U$4:$Z$1003,5,FALSE),"")))</f>
        <v>#N/A</v>
      </c>
      <c r="H1604" s="42" t="e">
        <f ca="1">IF($C$1076&gt;0,VLOOKUP($C1604,COSTI!$U$4:$Z$1003,6,FALSE),IF($C$1075&gt;0,VLOOKUP($C1604,PATRIMONIALE!$U$4:$Z$1003,6,FALSE),IF($C$1074&gt;0,VLOOKUP($C1604,ENTI!$U$4:$Z$1003,6,FALSE),"")))</f>
        <v>#N/A</v>
      </c>
      <c r="I1604" s="496">
        <v>524</v>
      </c>
      <c r="J1604" s="43" t="e">
        <f ca="1">VLOOKUP(D1604,$F$1081:$I$4183,4,FALSE)+COUNTIF(E$1081:E1603,E1604)</f>
        <v>#N/A</v>
      </c>
      <c r="K1604" s="1"/>
      <c r="L1604" s="39" t="e">
        <f>IF($C$1074&gt;0,VLOOKUP($C1604,ENTI!$U$4:$AD$1003,10,FALSE),"")</f>
        <v>#N/A</v>
      </c>
      <c r="M1604" s="1"/>
      <c r="N1604" s="1"/>
      <c r="O1604" s="1"/>
    </row>
    <row r="1605" spans="1:15" hidden="1">
      <c r="A1605" s="1"/>
      <c r="B1605" s="40" t="e">
        <f t="shared" ca="1" si="205"/>
        <v>#N/A</v>
      </c>
      <c r="C1605" s="496">
        <v>525</v>
      </c>
      <c r="D1605" s="41" t="e">
        <f ca="1">IF($C$1076&gt;0,VLOOKUP($C1605,COSTI!$U$4:$Z$1003,3,FALSE),IF($C$1075&gt;0,VLOOKUP($C1605,PATRIMONIALE!$U$4:$Z$1003,3,FALSE),IF($C$1074&gt;0,VLOOKUP($C1605,ENTI!$U$4:$Z$1003,3,FALSE),"")))</f>
        <v>#N/A</v>
      </c>
      <c r="E1605" s="41" t="str">
        <f t="shared" ca="1" si="206"/>
        <v/>
      </c>
      <c r="F1605" s="41" t="e">
        <f t="shared" ca="1" si="207"/>
        <v>#NUM!</v>
      </c>
      <c r="G1605" s="39" t="e">
        <f ca="1">IF($C$1076&gt;0,VLOOKUP($C1605,COSTI!$U$4:$Z$1003,5,FALSE),IF($C$1075&gt;0,VLOOKUP($C1605,PATRIMONIALE!$U$4:$Z$1003,5,FALSE),IF($C$1074&gt;0,VLOOKUP($C1605,ENTI!$U$4:$Z$1003,5,FALSE),"")))</f>
        <v>#N/A</v>
      </c>
      <c r="H1605" s="42" t="e">
        <f ca="1">IF($C$1076&gt;0,VLOOKUP($C1605,COSTI!$U$4:$Z$1003,6,FALSE),IF($C$1075&gt;0,VLOOKUP($C1605,PATRIMONIALE!$U$4:$Z$1003,6,FALSE),IF($C$1074&gt;0,VLOOKUP($C1605,ENTI!$U$4:$Z$1003,6,FALSE),"")))</f>
        <v>#N/A</v>
      </c>
      <c r="I1605" s="496">
        <v>525</v>
      </c>
      <c r="J1605" s="43" t="e">
        <f ca="1">VLOOKUP(D1605,$F$1081:$I$4183,4,FALSE)+COUNTIF(E$1081:E1604,E1605)</f>
        <v>#N/A</v>
      </c>
      <c r="K1605" s="1"/>
      <c r="L1605" s="39" t="e">
        <f>IF($C$1074&gt;0,VLOOKUP($C1605,ENTI!$U$4:$AD$1003,10,FALSE),"")</f>
        <v>#N/A</v>
      </c>
      <c r="M1605" s="1"/>
      <c r="N1605" s="1"/>
      <c r="O1605" s="1"/>
    </row>
    <row r="1606" spans="1:15" hidden="1">
      <c r="A1606" s="1"/>
      <c r="B1606" s="40" t="e">
        <f t="shared" ca="1" si="205"/>
        <v>#N/A</v>
      </c>
      <c r="C1606" s="496">
        <v>526</v>
      </c>
      <c r="D1606" s="41" t="e">
        <f ca="1">IF($C$1076&gt;0,VLOOKUP($C1606,COSTI!$U$4:$Z$1003,3,FALSE),IF($C$1075&gt;0,VLOOKUP($C1606,PATRIMONIALE!$U$4:$Z$1003,3,FALSE),IF($C$1074&gt;0,VLOOKUP($C1606,ENTI!$U$4:$Z$1003,3,FALSE),"")))</f>
        <v>#N/A</v>
      </c>
      <c r="E1606" s="41" t="str">
        <f t="shared" ca="1" si="206"/>
        <v/>
      </c>
      <c r="F1606" s="41" t="e">
        <f t="shared" ca="1" si="207"/>
        <v>#NUM!</v>
      </c>
      <c r="G1606" s="39" t="e">
        <f ca="1">IF($C$1076&gt;0,VLOOKUP($C1606,COSTI!$U$4:$Z$1003,5,FALSE),IF($C$1075&gt;0,VLOOKUP($C1606,PATRIMONIALE!$U$4:$Z$1003,5,FALSE),IF($C$1074&gt;0,VLOOKUP($C1606,ENTI!$U$4:$Z$1003,5,FALSE),"")))</f>
        <v>#N/A</v>
      </c>
      <c r="H1606" s="42" t="e">
        <f ca="1">IF($C$1076&gt;0,VLOOKUP($C1606,COSTI!$U$4:$Z$1003,6,FALSE),IF($C$1075&gt;0,VLOOKUP($C1606,PATRIMONIALE!$U$4:$Z$1003,6,FALSE),IF($C$1074&gt;0,VLOOKUP($C1606,ENTI!$U$4:$Z$1003,6,FALSE),"")))</f>
        <v>#N/A</v>
      </c>
      <c r="I1606" s="496">
        <v>526</v>
      </c>
      <c r="J1606" s="43" t="e">
        <f ca="1">VLOOKUP(D1606,$F$1081:$I$4183,4,FALSE)+COUNTIF(E$1081:E1605,E1606)</f>
        <v>#N/A</v>
      </c>
      <c r="K1606" s="1"/>
      <c r="L1606" s="39" t="e">
        <f>IF($C$1074&gt;0,VLOOKUP($C1606,ENTI!$U$4:$AD$1003,10,FALSE),"")</f>
        <v>#N/A</v>
      </c>
      <c r="M1606" s="1"/>
      <c r="N1606" s="1"/>
      <c r="O1606" s="1"/>
    </row>
    <row r="1607" spans="1:15" hidden="1">
      <c r="A1607" s="1"/>
      <c r="B1607" s="40" t="e">
        <f t="shared" ca="1" si="205"/>
        <v>#N/A</v>
      </c>
      <c r="C1607" s="496">
        <v>527</v>
      </c>
      <c r="D1607" s="41" t="e">
        <f ca="1">IF($C$1076&gt;0,VLOOKUP($C1607,COSTI!$U$4:$Z$1003,3,FALSE),IF($C$1075&gt;0,VLOOKUP($C1607,PATRIMONIALE!$U$4:$Z$1003,3,FALSE),IF($C$1074&gt;0,VLOOKUP($C1607,ENTI!$U$4:$Z$1003,3,FALSE),"")))</f>
        <v>#N/A</v>
      </c>
      <c r="E1607" s="41" t="str">
        <f t="shared" ca="1" si="206"/>
        <v/>
      </c>
      <c r="F1607" s="41" t="e">
        <f t="shared" ca="1" si="207"/>
        <v>#NUM!</v>
      </c>
      <c r="G1607" s="39" t="e">
        <f ca="1">IF($C$1076&gt;0,VLOOKUP($C1607,COSTI!$U$4:$Z$1003,5,FALSE),IF($C$1075&gt;0,VLOOKUP($C1607,PATRIMONIALE!$U$4:$Z$1003,5,FALSE),IF($C$1074&gt;0,VLOOKUP($C1607,ENTI!$U$4:$Z$1003,5,FALSE),"")))</f>
        <v>#N/A</v>
      </c>
      <c r="H1607" s="42" t="e">
        <f ca="1">IF($C$1076&gt;0,VLOOKUP($C1607,COSTI!$U$4:$Z$1003,6,FALSE),IF($C$1075&gt;0,VLOOKUP($C1607,PATRIMONIALE!$U$4:$Z$1003,6,FALSE),IF($C$1074&gt;0,VLOOKUP($C1607,ENTI!$U$4:$Z$1003,6,FALSE),"")))</f>
        <v>#N/A</v>
      </c>
      <c r="I1607" s="496">
        <v>527</v>
      </c>
      <c r="J1607" s="43" t="e">
        <f ca="1">VLOOKUP(D1607,$F$1081:$I$4183,4,FALSE)+COUNTIF(E$1081:E1606,E1607)</f>
        <v>#N/A</v>
      </c>
      <c r="K1607" s="1"/>
      <c r="L1607" s="39" t="e">
        <f>IF($C$1074&gt;0,VLOOKUP($C1607,ENTI!$U$4:$AD$1003,10,FALSE),"")</f>
        <v>#N/A</v>
      </c>
      <c r="M1607" s="1"/>
      <c r="N1607" s="1"/>
      <c r="O1607" s="1"/>
    </row>
    <row r="1608" spans="1:15" hidden="1">
      <c r="A1608" s="1"/>
      <c r="B1608" s="40" t="e">
        <f t="shared" ca="1" si="205"/>
        <v>#N/A</v>
      </c>
      <c r="C1608" s="496">
        <v>528</v>
      </c>
      <c r="D1608" s="41" t="e">
        <f ca="1">IF($C$1076&gt;0,VLOOKUP($C1608,COSTI!$U$4:$Z$1003,3,FALSE),IF($C$1075&gt;0,VLOOKUP($C1608,PATRIMONIALE!$U$4:$Z$1003,3,FALSE),IF($C$1074&gt;0,VLOOKUP($C1608,ENTI!$U$4:$Z$1003,3,FALSE),"")))</f>
        <v>#N/A</v>
      </c>
      <c r="E1608" s="41" t="str">
        <f t="shared" ca="1" si="206"/>
        <v/>
      </c>
      <c r="F1608" s="41" t="e">
        <f t="shared" ca="1" si="207"/>
        <v>#NUM!</v>
      </c>
      <c r="G1608" s="39" t="e">
        <f ca="1">IF($C$1076&gt;0,VLOOKUP($C1608,COSTI!$U$4:$Z$1003,5,FALSE),IF($C$1075&gt;0,VLOOKUP($C1608,PATRIMONIALE!$U$4:$Z$1003,5,FALSE),IF($C$1074&gt;0,VLOOKUP($C1608,ENTI!$U$4:$Z$1003,5,FALSE),"")))</f>
        <v>#N/A</v>
      </c>
      <c r="H1608" s="42" t="e">
        <f ca="1">IF($C$1076&gt;0,VLOOKUP($C1608,COSTI!$U$4:$Z$1003,6,FALSE),IF($C$1075&gt;0,VLOOKUP($C1608,PATRIMONIALE!$U$4:$Z$1003,6,FALSE),IF($C$1074&gt;0,VLOOKUP($C1608,ENTI!$U$4:$Z$1003,6,FALSE),"")))</f>
        <v>#N/A</v>
      </c>
      <c r="I1608" s="496">
        <v>528</v>
      </c>
      <c r="J1608" s="43" t="e">
        <f ca="1">VLOOKUP(D1608,$F$1081:$I$4183,4,FALSE)+COUNTIF(E$1081:E1607,E1608)</f>
        <v>#N/A</v>
      </c>
      <c r="K1608" s="1"/>
      <c r="L1608" s="39" t="e">
        <f>IF($C$1074&gt;0,VLOOKUP($C1608,ENTI!$U$4:$AD$1003,10,FALSE),"")</f>
        <v>#N/A</v>
      </c>
      <c r="M1608" s="1"/>
      <c r="N1608" s="1"/>
      <c r="O1608" s="1"/>
    </row>
    <row r="1609" spans="1:15" hidden="1">
      <c r="A1609" s="1"/>
      <c r="B1609" s="40" t="e">
        <f t="shared" ca="1" si="205"/>
        <v>#N/A</v>
      </c>
      <c r="C1609" s="496">
        <v>529</v>
      </c>
      <c r="D1609" s="41" t="e">
        <f ca="1">IF($C$1076&gt;0,VLOOKUP($C1609,COSTI!$U$4:$Z$1003,3,FALSE),IF($C$1075&gt;0,VLOOKUP($C1609,PATRIMONIALE!$U$4:$Z$1003,3,FALSE),IF($C$1074&gt;0,VLOOKUP($C1609,ENTI!$U$4:$Z$1003,3,FALSE),"")))</f>
        <v>#N/A</v>
      </c>
      <c r="E1609" s="41" t="str">
        <f t="shared" ca="1" si="206"/>
        <v/>
      </c>
      <c r="F1609" s="41" t="e">
        <f t="shared" ca="1" si="207"/>
        <v>#NUM!</v>
      </c>
      <c r="G1609" s="39" t="e">
        <f ca="1">IF($C$1076&gt;0,VLOOKUP($C1609,COSTI!$U$4:$Z$1003,5,FALSE),IF($C$1075&gt;0,VLOOKUP($C1609,PATRIMONIALE!$U$4:$Z$1003,5,FALSE),IF($C$1074&gt;0,VLOOKUP($C1609,ENTI!$U$4:$Z$1003,5,FALSE),"")))</f>
        <v>#N/A</v>
      </c>
      <c r="H1609" s="42" t="e">
        <f ca="1">IF($C$1076&gt;0,VLOOKUP($C1609,COSTI!$U$4:$Z$1003,6,FALSE),IF($C$1075&gt;0,VLOOKUP($C1609,PATRIMONIALE!$U$4:$Z$1003,6,FALSE),IF($C$1074&gt;0,VLOOKUP($C1609,ENTI!$U$4:$Z$1003,6,FALSE),"")))</f>
        <v>#N/A</v>
      </c>
      <c r="I1609" s="496">
        <v>529</v>
      </c>
      <c r="J1609" s="43" t="e">
        <f ca="1">VLOOKUP(D1609,$F$1081:$I$4183,4,FALSE)+COUNTIF(E$1081:E1608,E1609)</f>
        <v>#N/A</v>
      </c>
      <c r="K1609" s="1"/>
      <c r="L1609" s="39" t="e">
        <f>IF($C$1074&gt;0,VLOOKUP($C1609,ENTI!$U$4:$AD$1003,10,FALSE),"")</f>
        <v>#N/A</v>
      </c>
      <c r="M1609" s="1"/>
      <c r="N1609" s="1"/>
      <c r="O1609" s="1"/>
    </row>
    <row r="1610" spans="1:15" hidden="1">
      <c r="A1610" s="1"/>
      <c r="B1610" s="40" t="e">
        <f t="shared" ca="1" si="205"/>
        <v>#N/A</v>
      </c>
      <c r="C1610" s="496">
        <v>530</v>
      </c>
      <c r="D1610" s="41" t="e">
        <f ca="1">IF($C$1076&gt;0,VLOOKUP($C1610,COSTI!$U$4:$Z$1003,3,FALSE),IF($C$1075&gt;0,VLOOKUP($C1610,PATRIMONIALE!$U$4:$Z$1003,3,FALSE),IF($C$1074&gt;0,VLOOKUP($C1610,ENTI!$U$4:$Z$1003,3,FALSE),"")))</f>
        <v>#N/A</v>
      </c>
      <c r="E1610" s="41" t="str">
        <f t="shared" ca="1" si="206"/>
        <v/>
      </c>
      <c r="F1610" s="41" t="e">
        <f t="shared" ca="1" si="207"/>
        <v>#NUM!</v>
      </c>
      <c r="G1610" s="39" t="e">
        <f ca="1">IF($C$1076&gt;0,VLOOKUP($C1610,COSTI!$U$4:$Z$1003,5,FALSE),IF($C$1075&gt;0,VLOOKUP($C1610,PATRIMONIALE!$U$4:$Z$1003,5,FALSE),IF($C$1074&gt;0,VLOOKUP($C1610,ENTI!$U$4:$Z$1003,5,FALSE),"")))</f>
        <v>#N/A</v>
      </c>
      <c r="H1610" s="42" t="e">
        <f ca="1">IF($C$1076&gt;0,VLOOKUP($C1610,COSTI!$U$4:$Z$1003,6,FALSE),IF($C$1075&gt;0,VLOOKUP($C1610,PATRIMONIALE!$U$4:$Z$1003,6,FALSE),IF($C$1074&gt;0,VLOOKUP($C1610,ENTI!$U$4:$Z$1003,6,FALSE),"")))</f>
        <v>#N/A</v>
      </c>
      <c r="I1610" s="496">
        <v>530</v>
      </c>
      <c r="J1610" s="43" t="e">
        <f ca="1">VLOOKUP(D1610,$F$1081:$I$4183,4,FALSE)+COUNTIF(E$1081:E1609,E1610)</f>
        <v>#N/A</v>
      </c>
      <c r="K1610" s="1"/>
      <c r="L1610" s="39" t="e">
        <f>IF($C$1074&gt;0,VLOOKUP($C1610,ENTI!$U$4:$AD$1003,10,FALSE),"")</f>
        <v>#N/A</v>
      </c>
      <c r="M1610" s="1"/>
      <c r="N1610" s="1"/>
      <c r="O1610" s="1"/>
    </row>
    <row r="1611" spans="1:15" hidden="1">
      <c r="A1611" s="1"/>
      <c r="B1611" s="40" t="e">
        <f t="shared" ca="1" si="205"/>
        <v>#N/A</v>
      </c>
      <c r="C1611" s="496">
        <v>531</v>
      </c>
      <c r="D1611" s="41" t="e">
        <f ca="1">IF($C$1076&gt;0,VLOOKUP($C1611,COSTI!$U$4:$Z$1003,3,FALSE),IF($C$1075&gt;0,VLOOKUP($C1611,PATRIMONIALE!$U$4:$Z$1003,3,FALSE),IF($C$1074&gt;0,VLOOKUP($C1611,ENTI!$U$4:$Z$1003,3,FALSE),"")))</f>
        <v>#N/A</v>
      </c>
      <c r="E1611" s="41" t="str">
        <f t="shared" ca="1" si="206"/>
        <v/>
      </c>
      <c r="F1611" s="41" t="e">
        <f t="shared" ca="1" si="207"/>
        <v>#NUM!</v>
      </c>
      <c r="G1611" s="39" t="e">
        <f ca="1">IF($C$1076&gt;0,VLOOKUP($C1611,COSTI!$U$4:$Z$1003,5,FALSE),IF($C$1075&gt;0,VLOOKUP($C1611,PATRIMONIALE!$U$4:$Z$1003,5,FALSE),IF($C$1074&gt;0,VLOOKUP($C1611,ENTI!$U$4:$Z$1003,5,FALSE),"")))</f>
        <v>#N/A</v>
      </c>
      <c r="H1611" s="42" t="e">
        <f ca="1">IF($C$1076&gt;0,VLOOKUP($C1611,COSTI!$U$4:$Z$1003,6,FALSE),IF($C$1075&gt;0,VLOOKUP($C1611,PATRIMONIALE!$U$4:$Z$1003,6,FALSE),IF($C$1074&gt;0,VLOOKUP($C1611,ENTI!$U$4:$Z$1003,6,FALSE),"")))</f>
        <v>#N/A</v>
      </c>
      <c r="I1611" s="496">
        <v>531</v>
      </c>
      <c r="J1611" s="43" t="e">
        <f ca="1">VLOOKUP(D1611,$F$1081:$I$4183,4,FALSE)+COUNTIF(E$1081:E1610,E1611)</f>
        <v>#N/A</v>
      </c>
      <c r="K1611" s="1"/>
      <c r="L1611" s="39" t="e">
        <f>IF($C$1074&gt;0,VLOOKUP($C1611,ENTI!$U$4:$AD$1003,10,FALSE),"")</f>
        <v>#N/A</v>
      </c>
      <c r="M1611" s="1"/>
      <c r="N1611" s="1"/>
      <c r="O1611" s="1"/>
    </row>
    <row r="1612" spans="1:15" hidden="1">
      <c r="A1612" s="1"/>
      <c r="B1612" s="40" t="e">
        <f t="shared" ca="1" si="205"/>
        <v>#N/A</v>
      </c>
      <c r="C1612" s="496">
        <v>532</v>
      </c>
      <c r="D1612" s="41" t="e">
        <f ca="1">IF($C$1076&gt;0,VLOOKUP($C1612,COSTI!$U$4:$Z$1003,3,FALSE),IF($C$1075&gt;0,VLOOKUP($C1612,PATRIMONIALE!$U$4:$Z$1003,3,FALSE),IF($C$1074&gt;0,VLOOKUP($C1612,ENTI!$U$4:$Z$1003,3,FALSE),"")))</f>
        <v>#N/A</v>
      </c>
      <c r="E1612" s="41" t="str">
        <f t="shared" ca="1" si="206"/>
        <v/>
      </c>
      <c r="F1612" s="41" t="e">
        <f t="shared" ca="1" si="207"/>
        <v>#NUM!</v>
      </c>
      <c r="G1612" s="39" t="e">
        <f ca="1">IF($C$1076&gt;0,VLOOKUP($C1612,COSTI!$U$4:$Z$1003,5,FALSE),IF($C$1075&gt;0,VLOOKUP($C1612,PATRIMONIALE!$U$4:$Z$1003,5,FALSE),IF($C$1074&gt;0,VLOOKUP($C1612,ENTI!$U$4:$Z$1003,5,FALSE),"")))</f>
        <v>#N/A</v>
      </c>
      <c r="H1612" s="42" t="e">
        <f ca="1">IF($C$1076&gt;0,VLOOKUP($C1612,COSTI!$U$4:$Z$1003,6,FALSE),IF($C$1075&gt;0,VLOOKUP($C1612,PATRIMONIALE!$U$4:$Z$1003,6,FALSE),IF($C$1074&gt;0,VLOOKUP($C1612,ENTI!$U$4:$Z$1003,6,FALSE),"")))</f>
        <v>#N/A</v>
      </c>
      <c r="I1612" s="496">
        <v>532</v>
      </c>
      <c r="J1612" s="43" t="e">
        <f ca="1">VLOOKUP(D1612,$F$1081:$I$4183,4,FALSE)+COUNTIF(E$1081:E1611,E1612)</f>
        <v>#N/A</v>
      </c>
      <c r="K1612" s="1"/>
      <c r="L1612" s="39" t="e">
        <f>IF($C$1074&gt;0,VLOOKUP($C1612,ENTI!$U$4:$AD$1003,10,FALSE),"")</f>
        <v>#N/A</v>
      </c>
      <c r="M1612" s="1"/>
      <c r="N1612" s="1"/>
      <c r="O1612" s="1"/>
    </row>
    <row r="1613" spans="1:15" hidden="1">
      <c r="A1613" s="1"/>
      <c r="B1613" s="40" t="e">
        <f t="shared" ca="1" si="205"/>
        <v>#N/A</v>
      </c>
      <c r="C1613" s="496">
        <v>533</v>
      </c>
      <c r="D1613" s="41" t="e">
        <f ca="1">IF($C$1076&gt;0,VLOOKUP($C1613,COSTI!$U$4:$Z$1003,3,FALSE),IF($C$1075&gt;0,VLOOKUP($C1613,PATRIMONIALE!$U$4:$Z$1003,3,FALSE),IF($C$1074&gt;0,VLOOKUP($C1613,ENTI!$U$4:$Z$1003,3,FALSE),"")))</f>
        <v>#N/A</v>
      </c>
      <c r="E1613" s="41" t="str">
        <f t="shared" ca="1" si="206"/>
        <v/>
      </c>
      <c r="F1613" s="41" t="e">
        <f t="shared" ca="1" si="207"/>
        <v>#NUM!</v>
      </c>
      <c r="G1613" s="39" t="e">
        <f ca="1">IF($C$1076&gt;0,VLOOKUP($C1613,COSTI!$U$4:$Z$1003,5,FALSE),IF($C$1075&gt;0,VLOOKUP($C1613,PATRIMONIALE!$U$4:$Z$1003,5,FALSE),IF($C$1074&gt;0,VLOOKUP($C1613,ENTI!$U$4:$Z$1003,5,FALSE),"")))</f>
        <v>#N/A</v>
      </c>
      <c r="H1613" s="42" t="e">
        <f ca="1">IF($C$1076&gt;0,VLOOKUP($C1613,COSTI!$U$4:$Z$1003,6,FALSE),IF($C$1075&gt;0,VLOOKUP($C1613,PATRIMONIALE!$U$4:$Z$1003,6,FALSE),IF($C$1074&gt;0,VLOOKUP($C1613,ENTI!$U$4:$Z$1003,6,FALSE),"")))</f>
        <v>#N/A</v>
      </c>
      <c r="I1613" s="496">
        <v>533</v>
      </c>
      <c r="J1613" s="43" t="e">
        <f ca="1">VLOOKUP(D1613,$F$1081:$I$4183,4,FALSE)+COUNTIF(E$1081:E1612,E1613)</f>
        <v>#N/A</v>
      </c>
      <c r="K1613" s="1"/>
      <c r="L1613" s="39" t="e">
        <f>IF($C$1074&gt;0,VLOOKUP($C1613,ENTI!$U$4:$AD$1003,10,FALSE),"")</f>
        <v>#N/A</v>
      </c>
      <c r="M1613" s="1"/>
      <c r="N1613" s="1"/>
      <c r="O1613" s="1"/>
    </row>
    <row r="1614" spans="1:15" hidden="1">
      <c r="A1614" s="1"/>
      <c r="B1614" s="40" t="e">
        <f t="shared" ca="1" si="205"/>
        <v>#N/A</v>
      </c>
      <c r="C1614" s="496">
        <v>534</v>
      </c>
      <c r="D1614" s="41" t="e">
        <f ca="1">IF($C$1076&gt;0,VLOOKUP($C1614,COSTI!$U$4:$Z$1003,3,FALSE),IF($C$1075&gt;0,VLOOKUP($C1614,PATRIMONIALE!$U$4:$Z$1003,3,FALSE),IF($C$1074&gt;0,VLOOKUP($C1614,ENTI!$U$4:$Z$1003,3,FALSE),"")))</f>
        <v>#N/A</v>
      </c>
      <c r="E1614" s="41" t="str">
        <f t="shared" ca="1" si="206"/>
        <v/>
      </c>
      <c r="F1614" s="41" t="e">
        <f t="shared" ca="1" si="207"/>
        <v>#NUM!</v>
      </c>
      <c r="G1614" s="39" t="e">
        <f ca="1">IF($C$1076&gt;0,VLOOKUP($C1614,COSTI!$U$4:$Z$1003,5,FALSE),IF($C$1075&gt;0,VLOOKUP($C1614,PATRIMONIALE!$U$4:$Z$1003,5,FALSE),IF($C$1074&gt;0,VLOOKUP($C1614,ENTI!$U$4:$Z$1003,5,FALSE),"")))</f>
        <v>#N/A</v>
      </c>
      <c r="H1614" s="42" t="e">
        <f ca="1">IF($C$1076&gt;0,VLOOKUP($C1614,COSTI!$U$4:$Z$1003,6,FALSE),IF($C$1075&gt;0,VLOOKUP($C1614,PATRIMONIALE!$U$4:$Z$1003,6,FALSE),IF($C$1074&gt;0,VLOOKUP($C1614,ENTI!$U$4:$Z$1003,6,FALSE),"")))</f>
        <v>#N/A</v>
      </c>
      <c r="I1614" s="496">
        <v>534</v>
      </c>
      <c r="J1614" s="43" t="e">
        <f ca="1">VLOOKUP(D1614,$F$1081:$I$4183,4,FALSE)+COUNTIF(E$1081:E1613,E1614)</f>
        <v>#N/A</v>
      </c>
      <c r="K1614" s="1"/>
      <c r="L1614" s="39" t="e">
        <f>IF($C$1074&gt;0,VLOOKUP($C1614,ENTI!$U$4:$AD$1003,10,FALSE),"")</f>
        <v>#N/A</v>
      </c>
      <c r="M1614" s="1"/>
      <c r="N1614" s="1"/>
      <c r="O1614" s="1"/>
    </row>
    <row r="1615" spans="1:15" hidden="1">
      <c r="A1615" s="1"/>
      <c r="B1615" s="40" t="e">
        <f t="shared" ca="1" si="205"/>
        <v>#N/A</v>
      </c>
      <c r="C1615" s="496">
        <v>535</v>
      </c>
      <c r="D1615" s="41" t="e">
        <f ca="1">IF($C$1076&gt;0,VLOOKUP($C1615,COSTI!$U$4:$Z$1003,3,FALSE),IF($C$1075&gt;0,VLOOKUP($C1615,PATRIMONIALE!$U$4:$Z$1003,3,FALSE),IF($C$1074&gt;0,VLOOKUP($C1615,ENTI!$U$4:$Z$1003,3,FALSE),"")))</f>
        <v>#N/A</v>
      </c>
      <c r="E1615" s="41" t="str">
        <f t="shared" ca="1" si="206"/>
        <v/>
      </c>
      <c r="F1615" s="41" t="e">
        <f t="shared" ca="1" si="207"/>
        <v>#NUM!</v>
      </c>
      <c r="G1615" s="39" t="e">
        <f ca="1">IF($C$1076&gt;0,VLOOKUP($C1615,COSTI!$U$4:$Z$1003,5,FALSE),IF($C$1075&gt;0,VLOOKUP($C1615,PATRIMONIALE!$U$4:$Z$1003,5,FALSE),IF($C$1074&gt;0,VLOOKUP($C1615,ENTI!$U$4:$Z$1003,5,FALSE),"")))</f>
        <v>#N/A</v>
      </c>
      <c r="H1615" s="42" t="e">
        <f ca="1">IF($C$1076&gt;0,VLOOKUP($C1615,COSTI!$U$4:$Z$1003,6,FALSE),IF($C$1075&gt;0,VLOOKUP($C1615,PATRIMONIALE!$U$4:$Z$1003,6,FALSE),IF($C$1074&gt;0,VLOOKUP($C1615,ENTI!$U$4:$Z$1003,6,FALSE),"")))</f>
        <v>#N/A</v>
      </c>
      <c r="I1615" s="496">
        <v>535</v>
      </c>
      <c r="J1615" s="43" t="e">
        <f ca="1">VLOOKUP(D1615,$F$1081:$I$4183,4,FALSE)+COUNTIF(E$1081:E1614,E1615)</f>
        <v>#N/A</v>
      </c>
      <c r="K1615" s="1"/>
      <c r="L1615" s="39" t="e">
        <f>IF($C$1074&gt;0,VLOOKUP($C1615,ENTI!$U$4:$AD$1003,10,FALSE),"")</f>
        <v>#N/A</v>
      </c>
      <c r="M1615" s="1"/>
      <c r="N1615" s="1"/>
      <c r="O1615" s="1"/>
    </row>
    <row r="1616" spans="1:15" hidden="1">
      <c r="A1616" s="1"/>
      <c r="B1616" s="40" t="e">
        <f t="shared" ca="1" si="205"/>
        <v>#N/A</v>
      </c>
      <c r="C1616" s="496">
        <v>536</v>
      </c>
      <c r="D1616" s="41" t="e">
        <f ca="1">IF($C$1076&gt;0,VLOOKUP($C1616,COSTI!$U$4:$Z$1003,3,FALSE),IF($C$1075&gt;0,VLOOKUP($C1616,PATRIMONIALE!$U$4:$Z$1003,3,FALSE),IF($C$1074&gt;0,VLOOKUP($C1616,ENTI!$U$4:$Z$1003,3,FALSE),"")))</f>
        <v>#N/A</v>
      </c>
      <c r="E1616" s="41" t="str">
        <f t="shared" ca="1" si="206"/>
        <v/>
      </c>
      <c r="F1616" s="41" t="e">
        <f t="shared" ca="1" si="207"/>
        <v>#NUM!</v>
      </c>
      <c r="G1616" s="39" t="e">
        <f ca="1">IF($C$1076&gt;0,VLOOKUP($C1616,COSTI!$U$4:$Z$1003,5,FALSE),IF($C$1075&gt;0,VLOOKUP($C1616,PATRIMONIALE!$U$4:$Z$1003,5,FALSE),IF($C$1074&gt;0,VLOOKUP($C1616,ENTI!$U$4:$Z$1003,5,FALSE),"")))</f>
        <v>#N/A</v>
      </c>
      <c r="H1616" s="42" t="e">
        <f ca="1">IF($C$1076&gt;0,VLOOKUP($C1616,COSTI!$U$4:$Z$1003,6,FALSE),IF($C$1075&gt;0,VLOOKUP($C1616,PATRIMONIALE!$U$4:$Z$1003,6,FALSE),IF($C$1074&gt;0,VLOOKUP($C1616,ENTI!$U$4:$Z$1003,6,FALSE),"")))</f>
        <v>#N/A</v>
      </c>
      <c r="I1616" s="496">
        <v>536</v>
      </c>
      <c r="J1616" s="43" t="e">
        <f ca="1">VLOOKUP(D1616,$F$1081:$I$4183,4,FALSE)+COUNTIF(E$1081:E1615,E1616)</f>
        <v>#N/A</v>
      </c>
      <c r="K1616" s="1"/>
      <c r="L1616" s="39" t="e">
        <f>IF($C$1074&gt;0,VLOOKUP($C1616,ENTI!$U$4:$AD$1003,10,FALSE),"")</f>
        <v>#N/A</v>
      </c>
      <c r="M1616" s="1"/>
      <c r="N1616" s="1"/>
      <c r="O1616" s="1"/>
    </row>
    <row r="1617" spans="1:15" hidden="1">
      <c r="A1617" s="1"/>
      <c r="B1617" s="40" t="e">
        <f t="shared" ca="1" si="205"/>
        <v>#N/A</v>
      </c>
      <c r="C1617" s="496">
        <v>537</v>
      </c>
      <c r="D1617" s="41" t="e">
        <f ca="1">IF($C$1076&gt;0,VLOOKUP($C1617,COSTI!$U$4:$Z$1003,3,FALSE),IF($C$1075&gt;0,VLOOKUP($C1617,PATRIMONIALE!$U$4:$Z$1003,3,FALSE),IF($C$1074&gt;0,VLOOKUP($C1617,ENTI!$U$4:$Z$1003,3,FALSE),"")))</f>
        <v>#N/A</v>
      </c>
      <c r="E1617" s="41" t="str">
        <f t="shared" ca="1" si="206"/>
        <v/>
      </c>
      <c r="F1617" s="41" t="e">
        <f t="shared" ca="1" si="207"/>
        <v>#NUM!</v>
      </c>
      <c r="G1617" s="39" t="e">
        <f ca="1">IF($C$1076&gt;0,VLOOKUP($C1617,COSTI!$U$4:$Z$1003,5,FALSE),IF($C$1075&gt;0,VLOOKUP($C1617,PATRIMONIALE!$U$4:$Z$1003,5,FALSE),IF($C$1074&gt;0,VLOOKUP($C1617,ENTI!$U$4:$Z$1003,5,FALSE),"")))</f>
        <v>#N/A</v>
      </c>
      <c r="H1617" s="42" t="e">
        <f ca="1">IF($C$1076&gt;0,VLOOKUP($C1617,COSTI!$U$4:$Z$1003,6,FALSE),IF($C$1075&gt;0,VLOOKUP($C1617,PATRIMONIALE!$U$4:$Z$1003,6,FALSE),IF($C$1074&gt;0,VLOOKUP($C1617,ENTI!$U$4:$Z$1003,6,FALSE),"")))</f>
        <v>#N/A</v>
      </c>
      <c r="I1617" s="496">
        <v>537</v>
      </c>
      <c r="J1617" s="43" t="e">
        <f ca="1">VLOOKUP(D1617,$F$1081:$I$4183,4,FALSE)+COUNTIF(E$1081:E1616,E1617)</f>
        <v>#N/A</v>
      </c>
      <c r="K1617" s="1"/>
      <c r="L1617" s="39" t="e">
        <f>IF($C$1074&gt;0,VLOOKUP($C1617,ENTI!$U$4:$AD$1003,10,FALSE),"")</f>
        <v>#N/A</v>
      </c>
      <c r="M1617" s="1"/>
      <c r="N1617" s="1"/>
      <c r="O1617" s="1"/>
    </row>
    <row r="1618" spans="1:15" hidden="1">
      <c r="A1618" s="1"/>
      <c r="B1618" s="40" t="e">
        <f t="shared" ca="1" si="205"/>
        <v>#N/A</v>
      </c>
      <c r="C1618" s="496">
        <v>538</v>
      </c>
      <c r="D1618" s="41" t="e">
        <f ca="1">IF($C$1076&gt;0,VLOOKUP($C1618,COSTI!$U$4:$Z$1003,3,FALSE),IF($C$1075&gt;0,VLOOKUP($C1618,PATRIMONIALE!$U$4:$Z$1003,3,FALSE),IF($C$1074&gt;0,VLOOKUP($C1618,ENTI!$U$4:$Z$1003,3,FALSE),"")))</f>
        <v>#N/A</v>
      </c>
      <c r="E1618" s="41" t="str">
        <f t="shared" ca="1" si="206"/>
        <v/>
      </c>
      <c r="F1618" s="41" t="e">
        <f t="shared" ca="1" si="207"/>
        <v>#NUM!</v>
      </c>
      <c r="G1618" s="39" t="e">
        <f ca="1">IF($C$1076&gt;0,VLOOKUP($C1618,COSTI!$U$4:$Z$1003,5,FALSE),IF($C$1075&gt;0,VLOOKUP($C1618,PATRIMONIALE!$U$4:$Z$1003,5,FALSE),IF($C$1074&gt;0,VLOOKUP($C1618,ENTI!$U$4:$Z$1003,5,FALSE),"")))</f>
        <v>#N/A</v>
      </c>
      <c r="H1618" s="42" t="e">
        <f ca="1">IF($C$1076&gt;0,VLOOKUP($C1618,COSTI!$U$4:$Z$1003,6,FALSE),IF($C$1075&gt;0,VLOOKUP($C1618,PATRIMONIALE!$U$4:$Z$1003,6,FALSE),IF($C$1074&gt;0,VLOOKUP($C1618,ENTI!$U$4:$Z$1003,6,FALSE),"")))</f>
        <v>#N/A</v>
      </c>
      <c r="I1618" s="496">
        <v>538</v>
      </c>
      <c r="J1618" s="43" t="e">
        <f ca="1">VLOOKUP(D1618,$F$1081:$I$4183,4,FALSE)+COUNTIF(E$1081:E1617,E1618)</f>
        <v>#N/A</v>
      </c>
      <c r="K1618" s="1"/>
      <c r="L1618" s="39" t="e">
        <f>IF($C$1074&gt;0,VLOOKUP($C1618,ENTI!$U$4:$AD$1003,10,FALSE),"")</f>
        <v>#N/A</v>
      </c>
      <c r="M1618" s="1"/>
      <c r="N1618" s="1"/>
      <c r="O1618" s="1"/>
    </row>
    <row r="1619" spans="1:15" hidden="1">
      <c r="A1619" s="1"/>
      <c r="B1619" s="40" t="e">
        <f t="shared" ca="1" si="205"/>
        <v>#N/A</v>
      </c>
      <c r="C1619" s="496">
        <v>539</v>
      </c>
      <c r="D1619" s="41" t="e">
        <f ca="1">IF($C$1076&gt;0,VLOOKUP($C1619,COSTI!$U$4:$Z$1003,3,FALSE),IF($C$1075&gt;0,VLOOKUP($C1619,PATRIMONIALE!$U$4:$Z$1003,3,FALSE),IF($C$1074&gt;0,VLOOKUP($C1619,ENTI!$U$4:$Z$1003,3,FALSE),"")))</f>
        <v>#N/A</v>
      </c>
      <c r="E1619" s="41" t="str">
        <f t="shared" ca="1" si="206"/>
        <v/>
      </c>
      <c r="F1619" s="41" t="e">
        <f t="shared" ca="1" si="207"/>
        <v>#NUM!</v>
      </c>
      <c r="G1619" s="39" t="e">
        <f ca="1">IF($C$1076&gt;0,VLOOKUP($C1619,COSTI!$U$4:$Z$1003,5,FALSE),IF($C$1075&gt;0,VLOOKUP($C1619,PATRIMONIALE!$U$4:$Z$1003,5,FALSE),IF($C$1074&gt;0,VLOOKUP($C1619,ENTI!$U$4:$Z$1003,5,FALSE),"")))</f>
        <v>#N/A</v>
      </c>
      <c r="H1619" s="42" t="e">
        <f ca="1">IF($C$1076&gt;0,VLOOKUP($C1619,COSTI!$U$4:$Z$1003,6,FALSE),IF($C$1075&gt;0,VLOOKUP($C1619,PATRIMONIALE!$U$4:$Z$1003,6,FALSE),IF($C$1074&gt;0,VLOOKUP($C1619,ENTI!$U$4:$Z$1003,6,FALSE),"")))</f>
        <v>#N/A</v>
      </c>
      <c r="I1619" s="496">
        <v>539</v>
      </c>
      <c r="J1619" s="43" t="e">
        <f ca="1">VLOOKUP(D1619,$F$1081:$I$4183,4,FALSE)+COUNTIF(E$1081:E1618,E1619)</f>
        <v>#N/A</v>
      </c>
      <c r="K1619" s="1"/>
      <c r="L1619" s="39" t="e">
        <f>IF($C$1074&gt;0,VLOOKUP($C1619,ENTI!$U$4:$AD$1003,10,FALSE),"")</f>
        <v>#N/A</v>
      </c>
      <c r="M1619" s="1"/>
      <c r="N1619" s="1"/>
      <c r="O1619" s="1"/>
    </row>
    <row r="1620" spans="1:15" hidden="1">
      <c r="A1620" s="1"/>
      <c r="B1620" s="40" t="e">
        <f t="shared" ca="1" si="205"/>
        <v>#N/A</v>
      </c>
      <c r="C1620" s="496">
        <v>540</v>
      </c>
      <c r="D1620" s="41" t="e">
        <f ca="1">IF($C$1076&gt;0,VLOOKUP($C1620,COSTI!$U$4:$Z$1003,3,FALSE),IF($C$1075&gt;0,VLOOKUP($C1620,PATRIMONIALE!$U$4:$Z$1003,3,FALSE),IF($C$1074&gt;0,VLOOKUP($C1620,ENTI!$U$4:$Z$1003,3,FALSE),"")))</f>
        <v>#N/A</v>
      </c>
      <c r="E1620" s="41" t="str">
        <f t="shared" ca="1" si="206"/>
        <v/>
      </c>
      <c r="F1620" s="41" t="e">
        <f t="shared" ca="1" si="207"/>
        <v>#NUM!</v>
      </c>
      <c r="G1620" s="39" t="e">
        <f ca="1">IF($C$1076&gt;0,VLOOKUP($C1620,COSTI!$U$4:$Z$1003,5,FALSE),IF($C$1075&gt;0,VLOOKUP($C1620,PATRIMONIALE!$U$4:$Z$1003,5,FALSE),IF($C$1074&gt;0,VLOOKUP($C1620,ENTI!$U$4:$Z$1003,5,FALSE),"")))</f>
        <v>#N/A</v>
      </c>
      <c r="H1620" s="42" t="e">
        <f ca="1">IF($C$1076&gt;0,VLOOKUP($C1620,COSTI!$U$4:$Z$1003,6,FALSE),IF($C$1075&gt;0,VLOOKUP($C1620,PATRIMONIALE!$U$4:$Z$1003,6,FALSE),IF($C$1074&gt;0,VLOOKUP($C1620,ENTI!$U$4:$Z$1003,6,FALSE),"")))</f>
        <v>#N/A</v>
      </c>
      <c r="I1620" s="496">
        <v>540</v>
      </c>
      <c r="J1620" s="43" t="e">
        <f ca="1">VLOOKUP(D1620,$F$1081:$I$4183,4,FALSE)+COUNTIF(E$1081:E1619,E1620)</f>
        <v>#N/A</v>
      </c>
      <c r="K1620" s="1"/>
      <c r="L1620" s="39" t="e">
        <f>IF($C$1074&gt;0,VLOOKUP($C1620,ENTI!$U$4:$AD$1003,10,FALSE),"")</f>
        <v>#N/A</v>
      </c>
      <c r="M1620" s="1"/>
      <c r="N1620" s="1"/>
      <c r="O1620" s="1"/>
    </row>
    <row r="1621" spans="1:15" hidden="1">
      <c r="A1621" s="1"/>
      <c r="B1621" s="40" t="e">
        <f t="shared" ca="1" si="205"/>
        <v>#N/A</v>
      </c>
      <c r="C1621" s="496">
        <v>541</v>
      </c>
      <c r="D1621" s="41" t="e">
        <f ca="1">IF($C$1076&gt;0,VLOOKUP($C1621,COSTI!$U$4:$Z$1003,3,FALSE),IF($C$1075&gt;0,VLOOKUP($C1621,PATRIMONIALE!$U$4:$Z$1003,3,FALSE),IF($C$1074&gt;0,VLOOKUP($C1621,ENTI!$U$4:$Z$1003,3,FALSE),"")))</f>
        <v>#N/A</v>
      </c>
      <c r="E1621" s="41" t="str">
        <f t="shared" ca="1" si="206"/>
        <v/>
      </c>
      <c r="F1621" s="41" t="e">
        <f t="shared" ca="1" si="207"/>
        <v>#NUM!</v>
      </c>
      <c r="G1621" s="39" t="e">
        <f ca="1">IF($C$1076&gt;0,VLOOKUP($C1621,COSTI!$U$4:$Z$1003,5,FALSE),IF($C$1075&gt;0,VLOOKUP($C1621,PATRIMONIALE!$U$4:$Z$1003,5,FALSE),IF($C$1074&gt;0,VLOOKUP($C1621,ENTI!$U$4:$Z$1003,5,FALSE),"")))</f>
        <v>#N/A</v>
      </c>
      <c r="H1621" s="42" t="e">
        <f ca="1">IF($C$1076&gt;0,VLOOKUP($C1621,COSTI!$U$4:$Z$1003,6,FALSE),IF($C$1075&gt;0,VLOOKUP($C1621,PATRIMONIALE!$U$4:$Z$1003,6,FALSE),IF($C$1074&gt;0,VLOOKUP($C1621,ENTI!$U$4:$Z$1003,6,FALSE),"")))</f>
        <v>#N/A</v>
      </c>
      <c r="I1621" s="496">
        <v>541</v>
      </c>
      <c r="J1621" s="43" t="e">
        <f ca="1">VLOOKUP(D1621,$F$1081:$I$4183,4,FALSE)+COUNTIF(E$1081:E1620,E1621)</f>
        <v>#N/A</v>
      </c>
      <c r="K1621" s="1"/>
      <c r="L1621" s="39" t="e">
        <f>IF($C$1074&gt;0,VLOOKUP($C1621,ENTI!$U$4:$AD$1003,10,FALSE),"")</f>
        <v>#N/A</v>
      </c>
      <c r="M1621" s="1"/>
      <c r="N1621" s="1"/>
      <c r="O1621" s="1"/>
    </row>
    <row r="1622" spans="1:15" hidden="1">
      <c r="A1622" s="1"/>
      <c r="B1622" s="40" t="e">
        <f t="shared" ca="1" si="205"/>
        <v>#N/A</v>
      </c>
      <c r="C1622" s="496">
        <v>542</v>
      </c>
      <c r="D1622" s="41" t="e">
        <f ca="1">IF($C$1076&gt;0,VLOOKUP($C1622,COSTI!$U$4:$Z$1003,3,FALSE),IF($C$1075&gt;0,VLOOKUP($C1622,PATRIMONIALE!$U$4:$Z$1003,3,FALSE),IF($C$1074&gt;0,VLOOKUP($C1622,ENTI!$U$4:$Z$1003,3,FALSE),"")))</f>
        <v>#N/A</v>
      </c>
      <c r="E1622" s="41" t="str">
        <f t="shared" ca="1" si="206"/>
        <v/>
      </c>
      <c r="F1622" s="41" t="e">
        <f t="shared" ca="1" si="207"/>
        <v>#NUM!</v>
      </c>
      <c r="G1622" s="39" t="e">
        <f ca="1">IF($C$1076&gt;0,VLOOKUP($C1622,COSTI!$U$4:$Z$1003,5,FALSE),IF($C$1075&gt;0,VLOOKUP($C1622,PATRIMONIALE!$U$4:$Z$1003,5,FALSE),IF($C$1074&gt;0,VLOOKUP($C1622,ENTI!$U$4:$Z$1003,5,FALSE),"")))</f>
        <v>#N/A</v>
      </c>
      <c r="H1622" s="42" t="e">
        <f ca="1">IF($C$1076&gt;0,VLOOKUP($C1622,COSTI!$U$4:$Z$1003,6,FALSE),IF($C$1075&gt;0,VLOOKUP($C1622,PATRIMONIALE!$U$4:$Z$1003,6,FALSE),IF($C$1074&gt;0,VLOOKUP($C1622,ENTI!$U$4:$Z$1003,6,FALSE),"")))</f>
        <v>#N/A</v>
      </c>
      <c r="I1622" s="496">
        <v>542</v>
      </c>
      <c r="J1622" s="43" t="e">
        <f ca="1">VLOOKUP(D1622,$F$1081:$I$4183,4,FALSE)+COUNTIF(E$1081:E1621,E1622)</f>
        <v>#N/A</v>
      </c>
      <c r="K1622" s="1"/>
      <c r="L1622" s="39" t="e">
        <f>IF($C$1074&gt;0,VLOOKUP($C1622,ENTI!$U$4:$AD$1003,10,FALSE),"")</f>
        <v>#N/A</v>
      </c>
      <c r="M1622" s="1"/>
      <c r="N1622" s="1"/>
      <c r="O1622" s="1"/>
    </row>
    <row r="1623" spans="1:15" hidden="1">
      <c r="A1623" s="1"/>
      <c r="B1623" s="40" t="e">
        <f t="shared" ca="1" si="205"/>
        <v>#N/A</v>
      </c>
      <c r="C1623" s="496">
        <v>543</v>
      </c>
      <c r="D1623" s="41" t="e">
        <f ca="1">IF($C$1076&gt;0,VLOOKUP($C1623,COSTI!$U$4:$Z$1003,3,FALSE),IF($C$1075&gt;0,VLOOKUP($C1623,PATRIMONIALE!$U$4:$Z$1003,3,FALSE),IF($C$1074&gt;0,VLOOKUP($C1623,ENTI!$U$4:$Z$1003,3,FALSE),"")))</f>
        <v>#N/A</v>
      </c>
      <c r="E1623" s="41" t="str">
        <f t="shared" ca="1" si="206"/>
        <v/>
      </c>
      <c r="F1623" s="41" t="e">
        <f t="shared" ca="1" si="207"/>
        <v>#NUM!</v>
      </c>
      <c r="G1623" s="39" t="e">
        <f ca="1">IF($C$1076&gt;0,VLOOKUP($C1623,COSTI!$U$4:$Z$1003,5,FALSE),IF($C$1075&gt;0,VLOOKUP($C1623,PATRIMONIALE!$U$4:$Z$1003,5,FALSE),IF($C$1074&gt;0,VLOOKUP($C1623,ENTI!$U$4:$Z$1003,5,FALSE),"")))</f>
        <v>#N/A</v>
      </c>
      <c r="H1623" s="42" t="e">
        <f ca="1">IF($C$1076&gt;0,VLOOKUP($C1623,COSTI!$U$4:$Z$1003,6,FALSE),IF($C$1075&gt;0,VLOOKUP($C1623,PATRIMONIALE!$U$4:$Z$1003,6,FALSE),IF($C$1074&gt;0,VLOOKUP($C1623,ENTI!$U$4:$Z$1003,6,FALSE),"")))</f>
        <v>#N/A</v>
      </c>
      <c r="I1623" s="496">
        <v>543</v>
      </c>
      <c r="J1623" s="43" t="e">
        <f ca="1">VLOOKUP(D1623,$F$1081:$I$4183,4,FALSE)+COUNTIF(E$1081:E1622,E1623)</f>
        <v>#N/A</v>
      </c>
      <c r="K1623" s="1"/>
      <c r="L1623" s="39" t="e">
        <f>IF($C$1074&gt;0,VLOOKUP($C1623,ENTI!$U$4:$AD$1003,10,FALSE),"")</f>
        <v>#N/A</v>
      </c>
      <c r="M1623" s="1"/>
      <c r="N1623" s="1"/>
      <c r="O1623" s="1"/>
    </row>
    <row r="1624" spans="1:15" hidden="1">
      <c r="A1624" s="1"/>
      <c r="B1624" s="40" t="e">
        <f t="shared" ca="1" si="205"/>
        <v>#N/A</v>
      </c>
      <c r="C1624" s="496">
        <v>544</v>
      </c>
      <c r="D1624" s="41" t="e">
        <f ca="1">IF($C$1076&gt;0,VLOOKUP($C1624,COSTI!$U$4:$Z$1003,3,FALSE),IF($C$1075&gt;0,VLOOKUP($C1624,PATRIMONIALE!$U$4:$Z$1003,3,FALSE),IF($C$1074&gt;0,VLOOKUP($C1624,ENTI!$U$4:$Z$1003,3,FALSE),"")))</f>
        <v>#N/A</v>
      </c>
      <c r="E1624" s="41" t="str">
        <f t="shared" ca="1" si="206"/>
        <v/>
      </c>
      <c r="F1624" s="41" t="e">
        <f t="shared" ca="1" si="207"/>
        <v>#NUM!</v>
      </c>
      <c r="G1624" s="39" t="e">
        <f ca="1">IF($C$1076&gt;0,VLOOKUP($C1624,COSTI!$U$4:$Z$1003,5,FALSE),IF($C$1075&gt;0,VLOOKUP($C1624,PATRIMONIALE!$U$4:$Z$1003,5,FALSE),IF($C$1074&gt;0,VLOOKUP($C1624,ENTI!$U$4:$Z$1003,5,FALSE),"")))</f>
        <v>#N/A</v>
      </c>
      <c r="H1624" s="42" t="e">
        <f ca="1">IF($C$1076&gt;0,VLOOKUP($C1624,COSTI!$U$4:$Z$1003,6,FALSE),IF($C$1075&gt;0,VLOOKUP($C1624,PATRIMONIALE!$U$4:$Z$1003,6,FALSE),IF($C$1074&gt;0,VLOOKUP($C1624,ENTI!$U$4:$Z$1003,6,FALSE),"")))</f>
        <v>#N/A</v>
      </c>
      <c r="I1624" s="496">
        <v>544</v>
      </c>
      <c r="J1624" s="43" t="e">
        <f ca="1">VLOOKUP(D1624,$F$1081:$I$4183,4,FALSE)+COUNTIF(E$1081:E1623,E1624)</f>
        <v>#N/A</v>
      </c>
      <c r="K1624" s="1"/>
      <c r="L1624" s="39" t="e">
        <f>IF($C$1074&gt;0,VLOOKUP($C1624,ENTI!$U$4:$AD$1003,10,FALSE),"")</f>
        <v>#N/A</v>
      </c>
      <c r="M1624" s="1"/>
      <c r="N1624" s="1"/>
      <c r="O1624" s="1"/>
    </row>
    <row r="1625" spans="1:15" hidden="1">
      <c r="A1625" s="1"/>
      <c r="B1625" s="40" t="e">
        <f t="shared" ca="1" si="205"/>
        <v>#N/A</v>
      </c>
      <c r="C1625" s="496">
        <v>545</v>
      </c>
      <c r="D1625" s="41" t="e">
        <f ca="1">IF($C$1076&gt;0,VLOOKUP($C1625,COSTI!$U$4:$Z$1003,3,FALSE),IF($C$1075&gt;0,VLOOKUP($C1625,PATRIMONIALE!$U$4:$Z$1003,3,FALSE),IF($C$1074&gt;0,VLOOKUP($C1625,ENTI!$U$4:$Z$1003,3,FALSE),"")))</f>
        <v>#N/A</v>
      </c>
      <c r="E1625" s="41" t="str">
        <f t="shared" ca="1" si="206"/>
        <v/>
      </c>
      <c r="F1625" s="41" t="e">
        <f t="shared" ca="1" si="207"/>
        <v>#NUM!</v>
      </c>
      <c r="G1625" s="39" t="e">
        <f ca="1">IF($C$1076&gt;0,VLOOKUP($C1625,COSTI!$U$4:$Z$1003,5,FALSE),IF($C$1075&gt;0,VLOOKUP($C1625,PATRIMONIALE!$U$4:$Z$1003,5,FALSE),IF($C$1074&gt;0,VLOOKUP($C1625,ENTI!$U$4:$Z$1003,5,FALSE),"")))</f>
        <v>#N/A</v>
      </c>
      <c r="H1625" s="42" t="e">
        <f ca="1">IF($C$1076&gt;0,VLOOKUP($C1625,COSTI!$U$4:$Z$1003,6,FALSE),IF($C$1075&gt;0,VLOOKUP($C1625,PATRIMONIALE!$U$4:$Z$1003,6,FALSE),IF($C$1074&gt;0,VLOOKUP($C1625,ENTI!$U$4:$Z$1003,6,FALSE),"")))</f>
        <v>#N/A</v>
      </c>
      <c r="I1625" s="496">
        <v>545</v>
      </c>
      <c r="J1625" s="43" t="e">
        <f ca="1">VLOOKUP(D1625,$F$1081:$I$4183,4,FALSE)+COUNTIF(E$1081:E1624,E1625)</f>
        <v>#N/A</v>
      </c>
      <c r="K1625" s="1"/>
      <c r="L1625" s="39" t="e">
        <f>IF($C$1074&gt;0,VLOOKUP($C1625,ENTI!$U$4:$AD$1003,10,FALSE),"")</f>
        <v>#N/A</v>
      </c>
      <c r="M1625" s="1"/>
      <c r="N1625" s="1"/>
      <c r="O1625" s="1"/>
    </row>
    <row r="1626" spans="1:15" hidden="1">
      <c r="A1626" s="1"/>
      <c r="B1626" s="40" t="e">
        <f t="shared" ca="1" si="205"/>
        <v>#N/A</v>
      </c>
      <c r="C1626" s="496">
        <v>546</v>
      </c>
      <c r="D1626" s="41" t="e">
        <f ca="1">IF($C$1076&gt;0,VLOOKUP($C1626,COSTI!$U$4:$Z$1003,3,FALSE),IF($C$1075&gt;0,VLOOKUP($C1626,PATRIMONIALE!$U$4:$Z$1003,3,FALSE),IF($C$1074&gt;0,VLOOKUP($C1626,ENTI!$U$4:$Z$1003,3,FALSE),"")))</f>
        <v>#N/A</v>
      </c>
      <c r="E1626" s="41" t="str">
        <f t="shared" ca="1" si="206"/>
        <v/>
      </c>
      <c r="F1626" s="41" t="e">
        <f t="shared" ca="1" si="207"/>
        <v>#NUM!</v>
      </c>
      <c r="G1626" s="39" t="e">
        <f ca="1">IF($C$1076&gt;0,VLOOKUP($C1626,COSTI!$U$4:$Z$1003,5,FALSE),IF($C$1075&gt;0,VLOOKUP($C1626,PATRIMONIALE!$U$4:$Z$1003,5,FALSE),IF($C$1074&gt;0,VLOOKUP($C1626,ENTI!$U$4:$Z$1003,5,FALSE),"")))</f>
        <v>#N/A</v>
      </c>
      <c r="H1626" s="42" t="e">
        <f ca="1">IF($C$1076&gt;0,VLOOKUP($C1626,COSTI!$U$4:$Z$1003,6,FALSE),IF($C$1075&gt;0,VLOOKUP($C1626,PATRIMONIALE!$U$4:$Z$1003,6,FALSE),IF($C$1074&gt;0,VLOOKUP($C1626,ENTI!$U$4:$Z$1003,6,FALSE),"")))</f>
        <v>#N/A</v>
      </c>
      <c r="I1626" s="496">
        <v>546</v>
      </c>
      <c r="J1626" s="43" t="e">
        <f ca="1">VLOOKUP(D1626,$F$1081:$I$4183,4,FALSE)+COUNTIF(E$1081:E1625,E1626)</f>
        <v>#N/A</v>
      </c>
      <c r="K1626" s="1"/>
      <c r="L1626" s="39" t="e">
        <f>IF($C$1074&gt;0,VLOOKUP($C1626,ENTI!$U$4:$AD$1003,10,FALSE),"")</f>
        <v>#N/A</v>
      </c>
      <c r="M1626" s="1"/>
      <c r="N1626" s="1"/>
      <c r="O1626" s="1"/>
    </row>
    <row r="1627" spans="1:15" hidden="1">
      <c r="A1627" s="1"/>
      <c r="B1627" s="40" t="e">
        <f t="shared" ca="1" si="205"/>
        <v>#N/A</v>
      </c>
      <c r="C1627" s="496">
        <v>547</v>
      </c>
      <c r="D1627" s="41" t="e">
        <f ca="1">IF($C$1076&gt;0,VLOOKUP($C1627,COSTI!$U$4:$Z$1003,3,FALSE),IF($C$1075&gt;0,VLOOKUP($C1627,PATRIMONIALE!$U$4:$Z$1003,3,FALSE),IF($C$1074&gt;0,VLOOKUP($C1627,ENTI!$U$4:$Z$1003,3,FALSE),"")))</f>
        <v>#N/A</v>
      </c>
      <c r="E1627" s="41" t="str">
        <f t="shared" ca="1" si="206"/>
        <v/>
      </c>
      <c r="F1627" s="41" t="e">
        <f t="shared" ca="1" si="207"/>
        <v>#NUM!</v>
      </c>
      <c r="G1627" s="39" t="e">
        <f ca="1">IF($C$1076&gt;0,VLOOKUP($C1627,COSTI!$U$4:$Z$1003,5,FALSE),IF($C$1075&gt;0,VLOOKUP($C1627,PATRIMONIALE!$U$4:$Z$1003,5,FALSE),IF($C$1074&gt;0,VLOOKUP($C1627,ENTI!$U$4:$Z$1003,5,FALSE),"")))</f>
        <v>#N/A</v>
      </c>
      <c r="H1627" s="42" t="e">
        <f ca="1">IF($C$1076&gt;0,VLOOKUP($C1627,COSTI!$U$4:$Z$1003,6,FALSE),IF($C$1075&gt;0,VLOOKUP($C1627,PATRIMONIALE!$U$4:$Z$1003,6,FALSE),IF($C$1074&gt;0,VLOOKUP($C1627,ENTI!$U$4:$Z$1003,6,FALSE),"")))</f>
        <v>#N/A</v>
      </c>
      <c r="I1627" s="496">
        <v>547</v>
      </c>
      <c r="J1627" s="43" t="e">
        <f ca="1">VLOOKUP(D1627,$F$1081:$I$4183,4,FALSE)+COUNTIF(E$1081:E1626,E1627)</f>
        <v>#N/A</v>
      </c>
      <c r="K1627" s="1"/>
      <c r="L1627" s="39" t="e">
        <f>IF($C$1074&gt;0,VLOOKUP($C1627,ENTI!$U$4:$AD$1003,10,FALSE),"")</f>
        <v>#N/A</v>
      </c>
      <c r="M1627" s="1"/>
      <c r="N1627" s="1"/>
      <c r="O1627" s="1"/>
    </row>
    <row r="1628" spans="1:15" hidden="1">
      <c r="A1628" s="1"/>
      <c r="B1628" s="40" t="e">
        <f t="shared" ca="1" si="205"/>
        <v>#N/A</v>
      </c>
      <c r="C1628" s="496">
        <v>548</v>
      </c>
      <c r="D1628" s="41" t="e">
        <f ca="1">IF($C$1076&gt;0,VLOOKUP($C1628,COSTI!$U$4:$Z$1003,3,FALSE),IF($C$1075&gt;0,VLOOKUP($C1628,PATRIMONIALE!$U$4:$Z$1003,3,FALSE),IF($C$1074&gt;0,VLOOKUP($C1628,ENTI!$U$4:$Z$1003,3,FALSE),"")))</f>
        <v>#N/A</v>
      </c>
      <c r="E1628" s="41" t="str">
        <f t="shared" ca="1" si="206"/>
        <v/>
      </c>
      <c r="F1628" s="41" t="e">
        <f t="shared" ca="1" si="207"/>
        <v>#NUM!</v>
      </c>
      <c r="G1628" s="39" t="e">
        <f ca="1">IF($C$1076&gt;0,VLOOKUP($C1628,COSTI!$U$4:$Z$1003,5,FALSE),IF($C$1075&gt;0,VLOOKUP($C1628,PATRIMONIALE!$U$4:$Z$1003,5,FALSE),IF($C$1074&gt;0,VLOOKUP($C1628,ENTI!$U$4:$Z$1003,5,FALSE),"")))</f>
        <v>#N/A</v>
      </c>
      <c r="H1628" s="42" t="e">
        <f ca="1">IF($C$1076&gt;0,VLOOKUP($C1628,COSTI!$U$4:$Z$1003,6,FALSE),IF($C$1075&gt;0,VLOOKUP($C1628,PATRIMONIALE!$U$4:$Z$1003,6,FALSE),IF($C$1074&gt;0,VLOOKUP($C1628,ENTI!$U$4:$Z$1003,6,FALSE),"")))</f>
        <v>#N/A</v>
      </c>
      <c r="I1628" s="496">
        <v>548</v>
      </c>
      <c r="J1628" s="43" t="e">
        <f ca="1">VLOOKUP(D1628,$F$1081:$I$4183,4,FALSE)+COUNTIF(E$1081:E1627,E1628)</f>
        <v>#N/A</v>
      </c>
      <c r="K1628" s="1"/>
      <c r="L1628" s="39" t="e">
        <f>IF($C$1074&gt;0,VLOOKUP($C1628,ENTI!$U$4:$AD$1003,10,FALSE),"")</f>
        <v>#N/A</v>
      </c>
      <c r="M1628" s="1"/>
      <c r="N1628" s="1"/>
      <c r="O1628" s="1"/>
    </row>
    <row r="1629" spans="1:15" hidden="1">
      <c r="A1629" s="1"/>
      <c r="B1629" s="40" t="e">
        <f t="shared" ca="1" si="205"/>
        <v>#N/A</v>
      </c>
      <c r="C1629" s="496">
        <v>549</v>
      </c>
      <c r="D1629" s="41" t="e">
        <f ca="1">IF($C$1076&gt;0,VLOOKUP($C1629,COSTI!$U$4:$Z$1003,3,FALSE),IF($C$1075&gt;0,VLOOKUP($C1629,PATRIMONIALE!$U$4:$Z$1003,3,FALSE),IF($C$1074&gt;0,VLOOKUP($C1629,ENTI!$U$4:$Z$1003,3,FALSE),"")))</f>
        <v>#N/A</v>
      </c>
      <c r="E1629" s="41" t="str">
        <f t="shared" ca="1" si="206"/>
        <v/>
      </c>
      <c r="F1629" s="41" t="e">
        <f t="shared" ca="1" si="207"/>
        <v>#NUM!</v>
      </c>
      <c r="G1629" s="39" t="e">
        <f ca="1">IF($C$1076&gt;0,VLOOKUP($C1629,COSTI!$U$4:$Z$1003,5,FALSE),IF($C$1075&gt;0,VLOOKUP($C1629,PATRIMONIALE!$U$4:$Z$1003,5,FALSE),IF($C$1074&gt;0,VLOOKUP($C1629,ENTI!$U$4:$Z$1003,5,FALSE),"")))</f>
        <v>#N/A</v>
      </c>
      <c r="H1629" s="42" t="e">
        <f ca="1">IF($C$1076&gt;0,VLOOKUP($C1629,COSTI!$U$4:$Z$1003,6,FALSE),IF($C$1075&gt;0,VLOOKUP($C1629,PATRIMONIALE!$U$4:$Z$1003,6,FALSE),IF($C$1074&gt;0,VLOOKUP($C1629,ENTI!$U$4:$Z$1003,6,FALSE),"")))</f>
        <v>#N/A</v>
      </c>
      <c r="I1629" s="496">
        <v>549</v>
      </c>
      <c r="J1629" s="43" t="e">
        <f ca="1">VLOOKUP(D1629,$F$1081:$I$4183,4,FALSE)+COUNTIF(E$1081:E1628,E1629)</f>
        <v>#N/A</v>
      </c>
      <c r="K1629" s="1"/>
      <c r="L1629" s="39" t="e">
        <f>IF($C$1074&gt;0,VLOOKUP($C1629,ENTI!$U$4:$AD$1003,10,FALSE),"")</f>
        <v>#N/A</v>
      </c>
      <c r="M1629" s="1"/>
      <c r="N1629" s="1"/>
      <c r="O1629" s="1"/>
    </row>
    <row r="1630" spans="1:15" hidden="1">
      <c r="A1630" s="1"/>
      <c r="B1630" s="40" t="e">
        <f t="shared" ca="1" si="205"/>
        <v>#N/A</v>
      </c>
      <c r="C1630" s="496">
        <v>550</v>
      </c>
      <c r="D1630" s="41" t="e">
        <f ca="1">IF($C$1076&gt;0,VLOOKUP($C1630,COSTI!$U$4:$Z$1003,3,FALSE),IF($C$1075&gt;0,VLOOKUP($C1630,PATRIMONIALE!$U$4:$Z$1003,3,FALSE),IF($C$1074&gt;0,VLOOKUP($C1630,ENTI!$U$4:$Z$1003,3,FALSE),"")))</f>
        <v>#N/A</v>
      </c>
      <c r="E1630" s="41" t="str">
        <f t="shared" ca="1" si="206"/>
        <v/>
      </c>
      <c r="F1630" s="41" t="e">
        <f t="shared" ca="1" si="207"/>
        <v>#NUM!</v>
      </c>
      <c r="G1630" s="39" t="e">
        <f ca="1">IF($C$1076&gt;0,VLOOKUP($C1630,COSTI!$U$4:$Z$1003,5,FALSE),IF($C$1075&gt;0,VLOOKUP($C1630,PATRIMONIALE!$U$4:$Z$1003,5,FALSE),IF($C$1074&gt;0,VLOOKUP($C1630,ENTI!$U$4:$Z$1003,5,FALSE),"")))</f>
        <v>#N/A</v>
      </c>
      <c r="H1630" s="42" t="e">
        <f ca="1">IF($C$1076&gt;0,VLOOKUP($C1630,COSTI!$U$4:$Z$1003,6,FALSE),IF($C$1075&gt;0,VLOOKUP($C1630,PATRIMONIALE!$U$4:$Z$1003,6,FALSE),IF($C$1074&gt;0,VLOOKUP($C1630,ENTI!$U$4:$Z$1003,6,FALSE),"")))</f>
        <v>#N/A</v>
      </c>
      <c r="I1630" s="496">
        <v>550</v>
      </c>
      <c r="J1630" s="43" t="e">
        <f ca="1">VLOOKUP(D1630,$F$1081:$I$4183,4,FALSE)+COUNTIF(E$1081:E1629,E1630)</f>
        <v>#N/A</v>
      </c>
      <c r="K1630" s="1"/>
      <c r="L1630" s="39" t="e">
        <f>IF($C$1074&gt;0,VLOOKUP($C1630,ENTI!$U$4:$AD$1003,10,FALSE),"")</f>
        <v>#N/A</v>
      </c>
      <c r="M1630" s="1"/>
      <c r="N1630" s="1"/>
      <c r="O1630" s="1"/>
    </row>
    <row r="1631" spans="1:15" hidden="1">
      <c r="A1631" s="1"/>
      <c r="B1631" s="40" t="e">
        <f t="shared" ca="1" si="205"/>
        <v>#N/A</v>
      </c>
      <c r="C1631" s="496">
        <v>551</v>
      </c>
      <c r="D1631" s="41" t="e">
        <f ca="1">IF($C$1076&gt;0,VLOOKUP($C1631,COSTI!$U$4:$Z$1003,3,FALSE),IF($C$1075&gt;0,VLOOKUP($C1631,PATRIMONIALE!$U$4:$Z$1003,3,FALSE),IF($C$1074&gt;0,VLOOKUP($C1631,ENTI!$U$4:$Z$1003,3,FALSE),"")))</f>
        <v>#N/A</v>
      </c>
      <c r="E1631" s="41" t="str">
        <f t="shared" ca="1" si="206"/>
        <v/>
      </c>
      <c r="F1631" s="41" t="e">
        <f t="shared" ca="1" si="207"/>
        <v>#NUM!</v>
      </c>
      <c r="G1631" s="39" t="e">
        <f ca="1">IF($C$1076&gt;0,VLOOKUP($C1631,COSTI!$U$4:$Z$1003,5,FALSE),IF($C$1075&gt;0,VLOOKUP($C1631,PATRIMONIALE!$U$4:$Z$1003,5,FALSE),IF($C$1074&gt;0,VLOOKUP($C1631,ENTI!$U$4:$Z$1003,5,FALSE),"")))</f>
        <v>#N/A</v>
      </c>
      <c r="H1631" s="42" t="e">
        <f ca="1">IF($C$1076&gt;0,VLOOKUP($C1631,COSTI!$U$4:$Z$1003,6,FALSE),IF($C$1075&gt;0,VLOOKUP($C1631,PATRIMONIALE!$U$4:$Z$1003,6,FALSE),IF($C$1074&gt;0,VLOOKUP($C1631,ENTI!$U$4:$Z$1003,6,FALSE),"")))</f>
        <v>#N/A</v>
      </c>
      <c r="I1631" s="496">
        <v>551</v>
      </c>
      <c r="J1631" s="43" t="e">
        <f ca="1">VLOOKUP(D1631,$F$1081:$I$4183,4,FALSE)+COUNTIF(E$1081:E1630,E1631)</f>
        <v>#N/A</v>
      </c>
      <c r="K1631" s="1"/>
      <c r="L1631" s="39" t="e">
        <f>IF($C$1074&gt;0,VLOOKUP($C1631,ENTI!$U$4:$AD$1003,10,FALSE),"")</f>
        <v>#N/A</v>
      </c>
      <c r="M1631" s="1"/>
      <c r="N1631" s="1"/>
      <c r="O1631" s="1"/>
    </row>
    <row r="1632" spans="1:15" hidden="1">
      <c r="A1632" s="1"/>
      <c r="B1632" s="40" t="e">
        <f t="shared" ca="1" si="205"/>
        <v>#N/A</v>
      </c>
      <c r="C1632" s="496">
        <v>552</v>
      </c>
      <c r="D1632" s="41" t="e">
        <f ca="1">IF($C$1076&gt;0,VLOOKUP($C1632,COSTI!$U$4:$Z$1003,3,FALSE),IF($C$1075&gt;0,VLOOKUP($C1632,PATRIMONIALE!$U$4:$Z$1003,3,FALSE),IF($C$1074&gt;0,VLOOKUP($C1632,ENTI!$U$4:$Z$1003,3,FALSE),"")))</f>
        <v>#N/A</v>
      </c>
      <c r="E1632" s="41" t="str">
        <f t="shared" ca="1" si="206"/>
        <v/>
      </c>
      <c r="F1632" s="41" t="e">
        <f t="shared" ca="1" si="207"/>
        <v>#NUM!</v>
      </c>
      <c r="G1632" s="39" t="e">
        <f ca="1">IF($C$1076&gt;0,VLOOKUP($C1632,COSTI!$U$4:$Z$1003,5,FALSE),IF($C$1075&gt;0,VLOOKUP($C1632,PATRIMONIALE!$U$4:$Z$1003,5,FALSE),IF($C$1074&gt;0,VLOOKUP($C1632,ENTI!$U$4:$Z$1003,5,FALSE),"")))</f>
        <v>#N/A</v>
      </c>
      <c r="H1632" s="42" t="e">
        <f ca="1">IF($C$1076&gt;0,VLOOKUP($C1632,COSTI!$U$4:$Z$1003,6,FALSE),IF($C$1075&gt;0,VLOOKUP($C1632,PATRIMONIALE!$U$4:$Z$1003,6,FALSE),IF($C$1074&gt;0,VLOOKUP($C1632,ENTI!$U$4:$Z$1003,6,FALSE),"")))</f>
        <v>#N/A</v>
      </c>
      <c r="I1632" s="496">
        <v>552</v>
      </c>
      <c r="J1632" s="43" t="e">
        <f ca="1">VLOOKUP(D1632,$F$1081:$I$4183,4,FALSE)+COUNTIF(E$1081:E1631,E1632)</f>
        <v>#N/A</v>
      </c>
      <c r="K1632" s="1"/>
      <c r="L1632" s="39" t="e">
        <f>IF($C$1074&gt;0,VLOOKUP($C1632,ENTI!$U$4:$AD$1003,10,FALSE),"")</f>
        <v>#N/A</v>
      </c>
      <c r="M1632" s="1"/>
      <c r="N1632" s="1"/>
      <c r="O1632" s="1"/>
    </row>
    <row r="1633" spans="1:15" hidden="1">
      <c r="A1633" s="1"/>
      <c r="B1633" s="40" t="e">
        <f t="shared" ca="1" si="205"/>
        <v>#N/A</v>
      </c>
      <c r="C1633" s="496">
        <v>553</v>
      </c>
      <c r="D1633" s="41" t="e">
        <f ca="1">IF($C$1076&gt;0,VLOOKUP($C1633,COSTI!$U$4:$Z$1003,3,FALSE),IF($C$1075&gt;0,VLOOKUP($C1633,PATRIMONIALE!$U$4:$Z$1003,3,FALSE),IF($C$1074&gt;0,VLOOKUP($C1633,ENTI!$U$4:$Z$1003,3,FALSE),"")))</f>
        <v>#N/A</v>
      </c>
      <c r="E1633" s="41" t="str">
        <f t="shared" ca="1" si="206"/>
        <v/>
      </c>
      <c r="F1633" s="41" t="e">
        <f t="shared" ca="1" si="207"/>
        <v>#NUM!</v>
      </c>
      <c r="G1633" s="39" t="e">
        <f ca="1">IF($C$1076&gt;0,VLOOKUP($C1633,COSTI!$U$4:$Z$1003,5,FALSE),IF($C$1075&gt;0,VLOOKUP($C1633,PATRIMONIALE!$U$4:$Z$1003,5,FALSE),IF($C$1074&gt;0,VLOOKUP($C1633,ENTI!$U$4:$Z$1003,5,FALSE),"")))</f>
        <v>#N/A</v>
      </c>
      <c r="H1633" s="42" t="e">
        <f ca="1">IF($C$1076&gt;0,VLOOKUP($C1633,COSTI!$U$4:$Z$1003,6,FALSE),IF($C$1075&gt;0,VLOOKUP($C1633,PATRIMONIALE!$U$4:$Z$1003,6,FALSE),IF($C$1074&gt;0,VLOOKUP($C1633,ENTI!$U$4:$Z$1003,6,FALSE),"")))</f>
        <v>#N/A</v>
      </c>
      <c r="I1633" s="496">
        <v>553</v>
      </c>
      <c r="J1633" s="43" t="e">
        <f ca="1">VLOOKUP(D1633,$F$1081:$I$4183,4,FALSE)+COUNTIF(E$1081:E1632,E1633)</f>
        <v>#N/A</v>
      </c>
      <c r="K1633" s="1"/>
      <c r="L1633" s="39" t="e">
        <f>IF($C$1074&gt;0,VLOOKUP($C1633,ENTI!$U$4:$AD$1003,10,FALSE),"")</f>
        <v>#N/A</v>
      </c>
      <c r="M1633" s="1"/>
      <c r="N1633" s="1"/>
      <c r="O1633" s="1"/>
    </row>
    <row r="1634" spans="1:15" hidden="1">
      <c r="A1634" s="1"/>
      <c r="B1634" s="40" t="e">
        <f t="shared" ca="1" si="205"/>
        <v>#N/A</v>
      </c>
      <c r="C1634" s="496">
        <v>554</v>
      </c>
      <c r="D1634" s="41" t="e">
        <f ca="1">IF($C$1076&gt;0,VLOOKUP($C1634,COSTI!$U$4:$Z$1003,3,FALSE),IF($C$1075&gt;0,VLOOKUP($C1634,PATRIMONIALE!$U$4:$Z$1003,3,FALSE),IF($C$1074&gt;0,VLOOKUP($C1634,ENTI!$U$4:$Z$1003,3,FALSE),"")))</f>
        <v>#N/A</v>
      </c>
      <c r="E1634" s="41" t="str">
        <f t="shared" ca="1" si="206"/>
        <v/>
      </c>
      <c r="F1634" s="41" t="e">
        <f t="shared" ca="1" si="207"/>
        <v>#NUM!</v>
      </c>
      <c r="G1634" s="39" t="e">
        <f ca="1">IF($C$1076&gt;0,VLOOKUP($C1634,COSTI!$U$4:$Z$1003,5,FALSE),IF($C$1075&gt;0,VLOOKUP($C1634,PATRIMONIALE!$U$4:$Z$1003,5,FALSE),IF($C$1074&gt;0,VLOOKUP($C1634,ENTI!$U$4:$Z$1003,5,FALSE),"")))</f>
        <v>#N/A</v>
      </c>
      <c r="H1634" s="42" t="e">
        <f ca="1">IF($C$1076&gt;0,VLOOKUP($C1634,COSTI!$U$4:$Z$1003,6,FALSE),IF($C$1075&gt;0,VLOOKUP($C1634,PATRIMONIALE!$U$4:$Z$1003,6,FALSE),IF($C$1074&gt;0,VLOOKUP($C1634,ENTI!$U$4:$Z$1003,6,FALSE),"")))</f>
        <v>#N/A</v>
      </c>
      <c r="I1634" s="496">
        <v>554</v>
      </c>
      <c r="J1634" s="43" t="e">
        <f ca="1">VLOOKUP(D1634,$F$1081:$I$4183,4,FALSE)+COUNTIF(E$1081:E1633,E1634)</f>
        <v>#N/A</v>
      </c>
      <c r="K1634" s="1"/>
      <c r="L1634" s="39" t="e">
        <f>IF($C$1074&gt;0,VLOOKUP($C1634,ENTI!$U$4:$AD$1003,10,FALSE),"")</f>
        <v>#N/A</v>
      </c>
      <c r="M1634" s="1"/>
      <c r="N1634" s="1"/>
      <c r="O1634" s="1"/>
    </row>
    <row r="1635" spans="1:15" hidden="1">
      <c r="A1635" s="1"/>
      <c r="B1635" s="40" t="e">
        <f t="shared" ca="1" si="205"/>
        <v>#N/A</v>
      </c>
      <c r="C1635" s="496">
        <v>555</v>
      </c>
      <c r="D1635" s="41" t="e">
        <f ca="1">IF($C$1076&gt;0,VLOOKUP($C1635,COSTI!$U$4:$Z$1003,3,FALSE),IF($C$1075&gt;0,VLOOKUP($C1635,PATRIMONIALE!$U$4:$Z$1003,3,FALSE),IF($C$1074&gt;0,VLOOKUP($C1635,ENTI!$U$4:$Z$1003,3,FALSE),"")))</f>
        <v>#N/A</v>
      </c>
      <c r="E1635" s="41" t="str">
        <f t="shared" ca="1" si="206"/>
        <v/>
      </c>
      <c r="F1635" s="41" t="e">
        <f t="shared" ca="1" si="207"/>
        <v>#NUM!</v>
      </c>
      <c r="G1635" s="39" t="e">
        <f ca="1">IF($C$1076&gt;0,VLOOKUP($C1635,COSTI!$U$4:$Z$1003,5,FALSE),IF($C$1075&gt;0,VLOOKUP($C1635,PATRIMONIALE!$U$4:$Z$1003,5,FALSE),IF($C$1074&gt;0,VLOOKUP($C1635,ENTI!$U$4:$Z$1003,5,FALSE),"")))</f>
        <v>#N/A</v>
      </c>
      <c r="H1635" s="42" t="e">
        <f ca="1">IF($C$1076&gt;0,VLOOKUP($C1635,COSTI!$U$4:$Z$1003,6,FALSE),IF($C$1075&gt;0,VLOOKUP($C1635,PATRIMONIALE!$U$4:$Z$1003,6,FALSE),IF($C$1074&gt;0,VLOOKUP($C1635,ENTI!$U$4:$Z$1003,6,FALSE),"")))</f>
        <v>#N/A</v>
      </c>
      <c r="I1635" s="496">
        <v>555</v>
      </c>
      <c r="J1635" s="43" t="e">
        <f ca="1">VLOOKUP(D1635,$F$1081:$I$4183,4,FALSE)+COUNTIF(E$1081:E1634,E1635)</f>
        <v>#N/A</v>
      </c>
      <c r="K1635" s="1"/>
      <c r="L1635" s="39" t="e">
        <f>IF($C$1074&gt;0,VLOOKUP($C1635,ENTI!$U$4:$AD$1003,10,FALSE),"")</f>
        <v>#N/A</v>
      </c>
      <c r="M1635" s="1"/>
      <c r="N1635" s="1"/>
      <c r="O1635" s="1"/>
    </row>
    <row r="1636" spans="1:15" hidden="1">
      <c r="A1636" s="1"/>
      <c r="B1636" s="40" t="e">
        <f t="shared" ca="1" si="205"/>
        <v>#N/A</v>
      </c>
      <c r="C1636" s="496">
        <v>556</v>
      </c>
      <c r="D1636" s="41" t="e">
        <f ca="1">IF($C$1076&gt;0,VLOOKUP($C1636,COSTI!$U$4:$Z$1003,3,FALSE),IF($C$1075&gt;0,VLOOKUP($C1636,PATRIMONIALE!$U$4:$Z$1003,3,FALSE),IF($C$1074&gt;0,VLOOKUP($C1636,ENTI!$U$4:$Z$1003,3,FALSE),"")))</f>
        <v>#N/A</v>
      </c>
      <c r="E1636" s="41" t="str">
        <f t="shared" ca="1" si="206"/>
        <v/>
      </c>
      <c r="F1636" s="41" t="e">
        <f t="shared" ca="1" si="207"/>
        <v>#NUM!</v>
      </c>
      <c r="G1636" s="39" t="e">
        <f ca="1">IF($C$1076&gt;0,VLOOKUP($C1636,COSTI!$U$4:$Z$1003,5,FALSE),IF($C$1075&gt;0,VLOOKUP($C1636,PATRIMONIALE!$U$4:$Z$1003,5,FALSE),IF($C$1074&gt;0,VLOOKUP($C1636,ENTI!$U$4:$Z$1003,5,FALSE),"")))</f>
        <v>#N/A</v>
      </c>
      <c r="H1636" s="42" t="e">
        <f ca="1">IF($C$1076&gt;0,VLOOKUP($C1636,COSTI!$U$4:$Z$1003,6,FALSE),IF($C$1075&gt;0,VLOOKUP($C1636,PATRIMONIALE!$U$4:$Z$1003,6,FALSE),IF($C$1074&gt;0,VLOOKUP($C1636,ENTI!$U$4:$Z$1003,6,FALSE),"")))</f>
        <v>#N/A</v>
      </c>
      <c r="I1636" s="496">
        <v>556</v>
      </c>
      <c r="J1636" s="43" t="e">
        <f ca="1">VLOOKUP(D1636,$F$1081:$I$4183,4,FALSE)+COUNTIF(E$1081:E1635,E1636)</f>
        <v>#N/A</v>
      </c>
      <c r="K1636" s="1"/>
      <c r="L1636" s="39" t="e">
        <f>IF($C$1074&gt;0,VLOOKUP($C1636,ENTI!$U$4:$AD$1003,10,FALSE),"")</f>
        <v>#N/A</v>
      </c>
      <c r="M1636" s="1"/>
      <c r="N1636" s="1"/>
      <c r="O1636" s="1"/>
    </row>
    <row r="1637" spans="1:15" hidden="1">
      <c r="A1637" s="1"/>
      <c r="B1637" s="40" t="e">
        <f t="shared" ca="1" si="205"/>
        <v>#N/A</v>
      </c>
      <c r="C1637" s="496">
        <v>557</v>
      </c>
      <c r="D1637" s="41" t="e">
        <f ca="1">IF($C$1076&gt;0,VLOOKUP($C1637,COSTI!$U$4:$Z$1003,3,FALSE),IF($C$1075&gt;0,VLOOKUP($C1637,PATRIMONIALE!$U$4:$Z$1003,3,FALSE),IF($C$1074&gt;0,VLOOKUP($C1637,ENTI!$U$4:$Z$1003,3,FALSE),"")))</f>
        <v>#N/A</v>
      </c>
      <c r="E1637" s="41" t="str">
        <f t="shared" ca="1" si="206"/>
        <v/>
      </c>
      <c r="F1637" s="41" t="e">
        <f t="shared" ca="1" si="207"/>
        <v>#NUM!</v>
      </c>
      <c r="G1637" s="39" t="e">
        <f ca="1">IF($C$1076&gt;0,VLOOKUP($C1637,COSTI!$U$4:$Z$1003,5,FALSE),IF($C$1075&gt;0,VLOOKUP($C1637,PATRIMONIALE!$U$4:$Z$1003,5,FALSE),IF($C$1074&gt;0,VLOOKUP($C1637,ENTI!$U$4:$Z$1003,5,FALSE),"")))</f>
        <v>#N/A</v>
      </c>
      <c r="H1637" s="42" t="e">
        <f ca="1">IF($C$1076&gt;0,VLOOKUP($C1637,COSTI!$U$4:$Z$1003,6,FALSE),IF($C$1075&gt;0,VLOOKUP($C1637,PATRIMONIALE!$U$4:$Z$1003,6,FALSE),IF($C$1074&gt;0,VLOOKUP($C1637,ENTI!$U$4:$Z$1003,6,FALSE),"")))</f>
        <v>#N/A</v>
      </c>
      <c r="I1637" s="496">
        <v>557</v>
      </c>
      <c r="J1637" s="43" t="e">
        <f ca="1">VLOOKUP(D1637,$F$1081:$I$4183,4,FALSE)+COUNTIF(E$1081:E1636,E1637)</f>
        <v>#N/A</v>
      </c>
      <c r="K1637" s="1"/>
      <c r="L1637" s="39" t="e">
        <f>IF($C$1074&gt;0,VLOOKUP($C1637,ENTI!$U$4:$AD$1003,10,FALSE),"")</f>
        <v>#N/A</v>
      </c>
      <c r="M1637" s="1"/>
      <c r="N1637" s="1"/>
      <c r="O1637" s="1"/>
    </row>
    <row r="1638" spans="1:15" hidden="1">
      <c r="A1638" s="1"/>
      <c r="B1638" s="40" t="e">
        <f t="shared" ca="1" si="205"/>
        <v>#N/A</v>
      </c>
      <c r="C1638" s="496">
        <v>558</v>
      </c>
      <c r="D1638" s="41" t="e">
        <f ca="1">IF($C$1076&gt;0,VLOOKUP($C1638,COSTI!$U$4:$Z$1003,3,FALSE),IF($C$1075&gt;0,VLOOKUP($C1638,PATRIMONIALE!$U$4:$Z$1003,3,FALSE),IF($C$1074&gt;0,VLOOKUP($C1638,ENTI!$U$4:$Z$1003,3,FALSE),"")))</f>
        <v>#N/A</v>
      </c>
      <c r="E1638" s="41" t="str">
        <f t="shared" ca="1" si="206"/>
        <v/>
      </c>
      <c r="F1638" s="41" t="e">
        <f t="shared" ca="1" si="207"/>
        <v>#NUM!</v>
      </c>
      <c r="G1638" s="39" t="e">
        <f ca="1">IF($C$1076&gt;0,VLOOKUP($C1638,COSTI!$U$4:$Z$1003,5,FALSE),IF($C$1075&gt;0,VLOOKUP($C1638,PATRIMONIALE!$U$4:$Z$1003,5,FALSE),IF($C$1074&gt;0,VLOOKUP($C1638,ENTI!$U$4:$Z$1003,5,FALSE),"")))</f>
        <v>#N/A</v>
      </c>
      <c r="H1638" s="42" t="e">
        <f ca="1">IF($C$1076&gt;0,VLOOKUP($C1638,COSTI!$U$4:$Z$1003,6,FALSE),IF($C$1075&gt;0,VLOOKUP($C1638,PATRIMONIALE!$U$4:$Z$1003,6,FALSE),IF($C$1074&gt;0,VLOOKUP($C1638,ENTI!$U$4:$Z$1003,6,FALSE),"")))</f>
        <v>#N/A</v>
      </c>
      <c r="I1638" s="496">
        <v>558</v>
      </c>
      <c r="J1638" s="43" t="e">
        <f ca="1">VLOOKUP(D1638,$F$1081:$I$4183,4,FALSE)+COUNTIF(E$1081:E1637,E1638)</f>
        <v>#N/A</v>
      </c>
      <c r="K1638" s="1"/>
      <c r="L1638" s="39" t="e">
        <f>IF($C$1074&gt;0,VLOOKUP($C1638,ENTI!$U$4:$AD$1003,10,FALSE),"")</f>
        <v>#N/A</v>
      </c>
      <c r="M1638" s="1"/>
      <c r="N1638" s="1"/>
      <c r="O1638" s="1"/>
    </row>
    <row r="1639" spans="1:15" hidden="1">
      <c r="A1639" s="1"/>
      <c r="B1639" s="40" t="e">
        <f t="shared" ca="1" si="205"/>
        <v>#N/A</v>
      </c>
      <c r="C1639" s="496">
        <v>559</v>
      </c>
      <c r="D1639" s="41" t="e">
        <f ca="1">IF($C$1076&gt;0,VLOOKUP($C1639,COSTI!$U$4:$Z$1003,3,FALSE),IF($C$1075&gt;0,VLOOKUP($C1639,PATRIMONIALE!$U$4:$Z$1003,3,FALSE),IF($C$1074&gt;0,VLOOKUP($C1639,ENTI!$U$4:$Z$1003,3,FALSE),"")))</f>
        <v>#N/A</v>
      </c>
      <c r="E1639" s="41" t="str">
        <f t="shared" ca="1" si="206"/>
        <v/>
      </c>
      <c r="F1639" s="41" t="e">
        <f t="shared" ca="1" si="207"/>
        <v>#NUM!</v>
      </c>
      <c r="G1639" s="39" t="e">
        <f ca="1">IF($C$1076&gt;0,VLOOKUP($C1639,COSTI!$U$4:$Z$1003,5,FALSE),IF($C$1075&gt;0,VLOOKUP($C1639,PATRIMONIALE!$U$4:$Z$1003,5,FALSE),IF($C$1074&gt;0,VLOOKUP($C1639,ENTI!$U$4:$Z$1003,5,FALSE),"")))</f>
        <v>#N/A</v>
      </c>
      <c r="H1639" s="42" t="e">
        <f ca="1">IF($C$1076&gt;0,VLOOKUP($C1639,COSTI!$U$4:$Z$1003,6,FALSE),IF($C$1075&gt;0,VLOOKUP($C1639,PATRIMONIALE!$U$4:$Z$1003,6,FALSE),IF($C$1074&gt;0,VLOOKUP($C1639,ENTI!$U$4:$Z$1003,6,FALSE),"")))</f>
        <v>#N/A</v>
      </c>
      <c r="I1639" s="496">
        <v>559</v>
      </c>
      <c r="J1639" s="43" t="e">
        <f ca="1">VLOOKUP(D1639,$F$1081:$I$4183,4,FALSE)+COUNTIF(E$1081:E1638,E1639)</f>
        <v>#N/A</v>
      </c>
      <c r="K1639" s="1"/>
      <c r="L1639" s="39" t="e">
        <f>IF($C$1074&gt;0,VLOOKUP($C1639,ENTI!$U$4:$AD$1003,10,FALSE),"")</f>
        <v>#N/A</v>
      </c>
      <c r="M1639" s="1"/>
      <c r="N1639" s="1"/>
      <c r="O1639" s="1"/>
    </row>
    <row r="1640" spans="1:15" hidden="1">
      <c r="A1640" s="1"/>
      <c r="B1640" s="40" t="e">
        <f t="shared" ca="1" si="205"/>
        <v>#N/A</v>
      </c>
      <c r="C1640" s="496">
        <v>560</v>
      </c>
      <c r="D1640" s="41" t="e">
        <f ca="1">IF($C$1076&gt;0,VLOOKUP($C1640,COSTI!$U$4:$Z$1003,3,FALSE),IF($C$1075&gt;0,VLOOKUP($C1640,PATRIMONIALE!$U$4:$Z$1003,3,FALSE),IF($C$1074&gt;0,VLOOKUP($C1640,ENTI!$U$4:$Z$1003,3,FALSE),"")))</f>
        <v>#N/A</v>
      </c>
      <c r="E1640" s="41" t="str">
        <f t="shared" ca="1" si="206"/>
        <v/>
      </c>
      <c r="F1640" s="41" t="e">
        <f t="shared" ca="1" si="207"/>
        <v>#NUM!</v>
      </c>
      <c r="G1640" s="39" t="e">
        <f ca="1">IF($C$1076&gt;0,VLOOKUP($C1640,COSTI!$U$4:$Z$1003,5,FALSE),IF($C$1075&gt;0,VLOOKUP($C1640,PATRIMONIALE!$U$4:$Z$1003,5,FALSE),IF($C$1074&gt;0,VLOOKUP($C1640,ENTI!$U$4:$Z$1003,5,FALSE),"")))</f>
        <v>#N/A</v>
      </c>
      <c r="H1640" s="42" t="e">
        <f ca="1">IF($C$1076&gt;0,VLOOKUP($C1640,COSTI!$U$4:$Z$1003,6,FALSE),IF($C$1075&gt;0,VLOOKUP($C1640,PATRIMONIALE!$U$4:$Z$1003,6,FALSE),IF($C$1074&gt;0,VLOOKUP($C1640,ENTI!$U$4:$Z$1003,6,FALSE),"")))</f>
        <v>#N/A</v>
      </c>
      <c r="I1640" s="496">
        <v>560</v>
      </c>
      <c r="J1640" s="43" t="e">
        <f ca="1">VLOOKUP(D1640,$F$1081:$I$4183,4,FALSE)+COUNTIF(E$1081:E1639,E1640)</f>
        <v>#N/A</v>
      </c>
      <c r="K1640" s="1"/>
      <c r="L1640" s="39" t="e">
        <f>IF($C$1074&gt;0,VLOOKUP($C1640,ENTI!$U$4:$AD$1003,10,FALSE),"")</f>
        <v>#N/A</v>
      </c>
      <c r="M1640" s="1"/>
      <c r="N1640" s="1"/>
      <c r="O1640" s="1"/>
    </row>
    <row r="1641" spans="1:15" hidden="1">
      <c r="A1641" s="1"/>
      <c r="B1641" s="40" t="e">
        <f t="shared" ca="1" si="205"/>
        <v>#N/A</v>
      </c>
      <c r="C1641" s="496">
        <v>561</v>
      </c>
      <c r="D1641" s="41" t="e">
        <f ca="1">IF($C$1076&gt;0,VLOOKUP($C1641,COSTI!$U$4:$Z$1003,3,FALSE),IF($C$1075&gt;0,VLOOKUP($C1641,PATRIMONIALE!$U$4:$Z$1003,3,FALSE),IF($C$1074&gt;0,VLOOKUP($C1641,ENTI!$U$4:$Z$1003,3,FALSE),"")))</f>
        <v>#N/A</v>
      </c>
      <c r="E1641" s="41" t="str">
        <f t="shared" ca="1" si="206"/>
        <v/>
      </c>
      <c r="F1641" s="41" t="e">
        <f t="shared" ca="1" si="207"/>
        <v>#NUM!</v>
      </c>
      <c r="G1641" s="39" t="e">
        <f ca="1">IF($C$1076&gt;0,VLOOKUP($C1641,COSTI!$U$4:$Z$1003,5,FALSE),IF($C$1075&gt;0,VLOOKUP($C1641,PATRIMONIALE!$U$4:$Z$1003,5,FALSE),IF($C$1074&gt;0,VLOOKUP($C1641,ENTI!$U$4:$Z$1003,5,FALSE),"")))</f>
        <v>#N/A</v>
      </c>
      <c r="H1641" s="42" t="e">
        <f ca="1">IF($C$1076&gt;0,VLOOKUP($C1641,COSTI!$U$4:$Z$1003,6,FALSE),IF($C$1075&gt;0,VLOOKUP($C1641,PATRIMONIALE!$U$4:$Z$1003,6,FALSE),IF($C$1074&gt;0,VLOOKUP($C1641,ENTI!$U$4:$Z$1003,6,FALSE),"")))</f>
        <v>#N/A</v>
      </c>
      <c r="I1641" s="496">
        <v>561</v>
      </c>
      <c r="J1641" s="43" t="e">
        <f ca="1">VLOOKUP(D1641,$F$1081:$I$4183,4,FALSE)+COUNTIF(E$1081:E1640,E1641)</f>
        <v>#N/A</v>
      </c>
      <c r="K1641" s="1"/>
      <c r="L1641" s="39" t="e">
        <f>IF($C$1074&gt;0,VLOOKUP($C1641,ENTI!$U$4:$AD$1003,10,FALSE),"")</f>
        <v>#N/A</v>
      </c>
      <c r="M1641" s="1"/>
      <c r="N1641" s="1"/>
      <c r="O1641" s="1"/>
    </row>
    <row r="1642" spans="1:15" hidden="1">
      <c r="A1642" s="1"/>
      <c r="B1642" s="40" t="e">
        <f t="shared" ca="1" si="205"/>
        <v>#N/A</v>
      </c>
      <c r="C1642" s="496">
        <v>562</v>
      </c>
      <c r="D1642" s="41" t="e">
        <f ca="1">IF($C$1076&gt;0,VLOOKUP($C1642,COSTI!$U$4:$Z$1003,3,FALSE),IF($C$1075&gt;0,VLOOKUP($C1642,PATRIMONIALE!$U$4:$Z$1003,3,FALSE),IF($C$1074&gt;0,VLOOKUP($C1642,ENTI!$U$4:$Z$1003,3,FALSE),"")))</f>
        <v>#N/A</v>
      </c>
      <c r="E1642" s="41" t="str">
        <f t="shared" ca="1" si="206"/>
        <v/>
      </c>
      <c r="F1642" s="41" t="e">
        <f t="shared" ca="1" si="207"/>
        <v>#NUM!</v>
      </c>
      <c r="G1642" s="39" t="e">
        <f ca="1">IF($C$1076&gt;0,VLOOKUP($C1642,COSTI!$U$4:$Z$1003,5,FALSE),IF($C$1075&gt;0,VLOOKUP($C1642,PATRIMONIALE!$U$4:$Z$1003,5,FALSE),IF($C$1074&gt;0,VLOOKUP($C1642,ENTI!$U$4:$Z$1003,5,FALSE),"")))</f>
        <v>#N/A</v>
      </c>
      <c r="H1642" s="42" t="e">
        <f ca="1">IF($C$1076&gt;0,VLOOKUP($C1642,COSTI!$U$4:$Z$1003,6,FALSE),IF($C$1075&gt;0,VLOOKUP($C1642,PATRIMONIALE!$U$4:$Z$1003,6,FALSE),IF($C$1074&gt;0,VLOOKUP($C1642,ENTI!$U$4:$Z$1003,6,FALSE),"")))</f>
        <v>#N/A</v>
      </c>
      <c r="I1642" s="496">
        <v>562</v>
      </c>
      <c r="J1642" s="43" t="e">
        <f ca="1">VLOOKUP(D1642,$F$1081:$I$4183,4,FALSE)+COUNTIF(E$1081:E1641,E1642)</f>
        <v>#N/A</v>
      </c>
      <c r="K1642" s="1"/>
      <c r="L1642" s="39" t="e">
        <f>IF($C$1074&gt;0,VLOOKUP($C1642,ENTI!$U$4:$AD$1003,10,FALSE),"")</f>
        <v>#N/A</v>
      </c>
      <c r="M1642" s="1"/>
      <c r="N1642" s="1"/>
      <c r="O1642" s="1"/>
    </row>
    <row r="1643" spans="1:15" hidden="1">
      <c r="A1643" s="1"/>
      <c r="B1643" s="40" t="e">
        <f t="shared" ca="1" si="205"/>
        <v>#N/A</v>
      </c>
      <c r="C1643" s="496">
        <v>563</v>
      </c>
      <c r="D1643" s="41" t="e">
        <f ca="1">IF($C$1076&gt;0,VLOOKUP($C1643,COSTI!$U$4:$Z$1003,3,FALSE),IF($C$1075&gt;0,VLOOKUP($C1643,PATRIMONIALE!$U$4:$Z$1003,3,FALSE),IF($C$1074&gt;0,VLOOKUP($C1643,ENTI!$U$4:$Z$1003,3,FALSE),"")))</f>
        <v>#N/A</v>
      </c>
      <c r="E1643" s="41" t="str">
        <f t="shared" ca="1" si="206"/>
        <v/>
      </c>
      <c r="F1643" s="41" t="e">
        <f t="shared" ca="1" si="207"/>
        <v>#NUM!</v>
      </c>
      <c r="G1643" s="39" t="e">
        <f ca="1">IF($C$1076&gt;0,VLOOKUP($C1643,COSTI!$U$4:$Z$1003,5,FALSE),IF($C$1075&gt;0,VLOOKUP($C1643,PATRIMONIALE!$U$4:$Z$1003,5,FALSE),IF($C$1074&gt;0,VLOOKUP($C1643,ENTI!$U$4:$Z$1003,5,FALSE),"")))</f>
        <v>#N/A</v>
      </c>
      <c r="H1643" s="42" t="e">
        <f ca="1">IF($C$1076&gt;0,VLOOKUP($C1643,COSTI!$U$4:$Z$1003,6,FALSE),IF($C$1075&gt;0,VLOOKUP($C1643,PATRIMONIALE!$U$4:$Z$1003,6,FALSE),IF($C$1074&gt;0,VLOOKUP($C1643,ENTI!$U$4:$Z$1003,6,FALSE),"")))</f>
        <v>#N/A</v>
      </c>
      <c r="I1643" s="496">
        <v>563</v>
      </c>
      <c r="J1643" s="43" t="e">
        <f ca="1">VLOOKUP(D1643,$F$1081:$I$4183,4,FALSE)+COUNTIF(E$1081:E1642,E1643)</f>
        <v>#N/A</v>
      </c>
      <c r="K1643" s="1"/>
      <c r="L1643" s="39" t="e">
        <f>IF($C$1074&gt;0,VLOOKUP($C1643,ENTI!$U$4:$AD$1003,10,FALSE),"")</f>
        <v>#N/A</v>
      </c>
      <c r="M1643" s="1"/>
      <c r="N1643" s="1"/>
      <c r="O1643" s="1"/>
    </row>
    <row r="1644" spans="1:15" hidden="1">
      <c r="A1644" s="1"/>
      <c r="B1644" s="40" t="e">
        <f t="shared" ca="1" si="205"/>
        <v>#N/A</v>
      </c>
      <c r="C1644" s="496">
        <v>564</v>
      </c>
      <c r="D1644" s="41" t="e">
        <f ca="1">IF($C$1076&gt;0,VLOOKUP($C1644,COSTI!$U$4:$Z$1003,3,FALSE),IF($C$1075&gt;0,VLOOKUP($C1644,PATRIMONIALE!$U$4:$Z$1003,3,FALSE),IF($C$1074&gt;0,VLOOKUP($C1644,ENTI!$U$4:$Z$1003,3,FALSE),"")))</f>
        <v>#N/A</v>
      </c>
      <c r="E1644" s="41" t="str">
        <f t="shared" ca="1" si="206"/>
        <v/>
      </c>
      <c r="F1644" s="41" t="e">
        <f t="shared" ca="1" si="207"/>
        <v>#NUM!</v>
      </c>
      <c r="G1644" s="39" t="e">
        <f ca="1">IF($C$1076&gt;0,VLOOKUP($C1644,COSTI!$U$4:$Z$1003,5,FALSE),IF($C$1075&gt;0,VLOOKUP($C1644,PATRIMONIALE!$U$4:$Z$1003,5,FALSE),IF($C$1074&gt;0,VLOOKUP($C1644,ENTI!$U$4:$Z$1003,5,FALSE),"")))</f>
        <v>#N/A</v>
      </c>
      <c r="H1644" s="42" t="e">
        <f ca="1">IF($C$1076&gt;0,VLOOKUP($C1644,COSTI!$U$4:$Z$1003,6,FALSE),IF($C$1075&gt;0,VLOOKUP($C1644,PATRIMONIALE!$U$4:$Z$1003,6,FALSE),IF($C$1074&gt;0,VLOOKUP($C1644,ENTI!$U$4:$Z$1003,6,FALSE),"")))</f>
        <v>#N/A</v>
      </c>
      <c r="I1644" s="496">
        <v>564</v>
      </c>
      <c r="J1644" s="43" t="e">
        <f ca="1">VLOOKUP(D1644,$F$1081:$I$4183,4,FALSE)+COUNTIF(E$1081:E1643,E1644)</f>
        <v>#N/A</v>
      </c>
      <c r="K1644" s="1"/>
      <c r="L1644" s="39" t="e">
        <f>IF($C$1074&gt;0,VLOOKUP($C1644,ENTI!$U$4:$AD$1003,10,FALSE),"")</f>
        <v>#N/A</v>
      </c>
      <c r="M1644" s="1"/>
      <c r="N1644" s="1"/>
      <c r="O1644" s="1"/>
    </row>
    <row r="1645" spans="1:15" hidden="1">
      <c r="A1645" s="1"/>
      <c r="B1645" s="40" t="e">
        <f t="shared" ca="1" si="205"/>
        <v>#N/A</v>
      </c>
      <c r="C1645" s="496">
        <v>565</v>
      </c>
      <c r="D1645" s="41" t="e">
        <f ca="1">IF($C$1076&gt;0,VLOOKUP($C1645,COSTI!$U$4:$Z$1003,3,FALSE),IF($C$1075&gt;0,VLOOKUP($C1645,PATRIMONIALE!$U$4:$Z$1003,3,FALSE),IF($C$1074&gt;0,VLOOKUP($C1645,ENTI!$U$4:$Z$1003,3,FALSE),"")))</f>
        <v>#N/A</v>
      </c>
      <c r="E1645" s="41" t="str">
        <f t="shared" ca="1" si="206"/>
        <v/>
      </c>
      <c r="F1645" s="41" t="e">
        <f t="shared" ca="1" si="207"/>
        <v>#NUM!</v>
      </c>
      <c r="G1645" s="39" t="e">
        <f ca="1">IF($C$1076&gt;0,VLOOKUP($C1645,COSTI!$U$4:$Z$1003,5,FALSE),IF($C$1075&gt;0,VLOOKUP($C1645,PATRIMONIALE!$U$4:$Z$1003,5,FALSE),IF($C$1074&gt;0,VLOOKUP($C1645,ENTI!$U$4:$Z$1003,5,FALSE),"")))</f>
        <v>#N/A</v>
      </c>
      <c r="H1645" s="42" t="e">
        <f ca="1">IF($C$1076&gt;0,VLOOKUP($C1645,COSTI!$U$4:$Z$1003,6,FALSE),IF($C$1075&gt;0,VLOOKUP($C1645,PATRIMONIALE!$U$4:$Z$1003,6,FALSE),IF($C$1074&gt;0,VLOOKUP($C1645,ENTI!$U$4:$Z$1003,6,FALSE),"")))</f>
        <v>#N/A</v>
      </c>
      <c r="I1645" s="496">
        <v>565</v>
      </c>
      <c r="J1645" s="43" t="e">
        <f ca="1">VLOOKUP(D1645,$F$1081:$I$4183,4,FALSE)+COUNTIF(E$1081:E1644,E1645)</f>
        <v>#N/A</v>
      </c>
      <c r="K1645" s="1"/>
      <c r="L1645" s="39" t="e">
        <f>IF($C$1074&gt;0,VLOOKUP($C1645,ENTI!$U$4:$AD$1003,10,FALSE),"")</f>
        <v>#N/A</v>
      </c>
      <c r="M1645" s="1"/>
      <c r="N1645" s="1"/>
      <c r="O1645" s="1"/>
    </row>
    <row r="1646" spans="1:15" hidden="1">
      <c r="A1646" s="1"/>
      <c r="B1646" s="40" t="e">
        <f t="shared" ca="1" si="205"/>
        <v>#N/A</v>
      </c>
      <c r="C1646" s="496">
        <v>566</v>
      </c>
      <c r="D1646" s="41" t="e">
        <f ca="1">IF($C$1076&gt;0,VLOOKUP($C1646,COSTI!$U$4:$Z$1003,3,FALSE),IF($C$1075&gt;0,VLOOKUP($C1646,PATRIMONIALE!$U$4:$Z$1003,3,FALSE),IF($C$1074&gt;0,VLOOKUP($C1646,ENTI!$U$4:$Z$1003,3,FALSE),"")))</f>
        <v>#N/A</v>
      </c>
      <c r="E1646" s="41" t="str">
        <f t="shared" ca="1" si="206"/>
        <v/>
      </c>
      <c r="F1646" s="41" t="e">
        <f t="shared" ca="1" si="207"/>
        <v>#NUM!</v>
      </c>
      <c r="G1646" s="39" t="e">
        <f ca="1">IF($C$1076&gt;0,VLOOKUP($C1646,COSTI!$U$4:$Z$1003,5,FALSE),IF($C$1075&gt;0,VLOOKUP($C1646,PATRIMONIALE!$U$4:$Z$1003,5,FALSE),IF($C$1074&gt;0,VLOOKUP($C1646,ENTI!$U$4:$Z$1003,5,FALSE),"")))</f>
        <v>#N/A</v>
      </c>
      <c r="H1646" s="42" t="e">
        <f ca="1">IF($C$1076&gt;0,VLOOKUP($C1646,COSTI!$U$4:$Z$1003,6,FALSE),IF($C$1075&gt;0,VLOOKUP($C1646,PATRIMONIALE!$U$4:$Z$1003,6,FALSE),IF($C$1074&gt;0,VLOOKUP($C1646,ENTI!$U$4:$Z$1003,6,FALSE),"")))</f>
        <v>#N/A</v>
      </c>
      <c r="I1646" s="496">
        <v>566</v>
      </c>
      <c r="J1646" s="43" t="e">
        <f ca="1">VLOOKUP(D1646,$F$1081:$I$4183,4,FALSE)+COUNTIF(E$1081:E1645,E1646)</f>
        <v>#N/A</v>
      </c>
      <c r="K1646" s="1"/>
      <c r="L1646" s="39" t="e">
        <f>IF($C$1074&gt;0,VLOOKUP($C1646,ENTI!$U$4:$AD$1003,10,FALSE),"")</f>
        <v>#N/A</v>
      </c>
      <c r="M1646" s="1"/>
      <c r="N1646" s="1"/>
      <c r="O1646" s="1"/>
    </row>
    <row r="1647" spans="1:15" hidden="1">
      <c r="A1647" s="1"/>
      <c r="B1647" s="40" t="e">
        <f t="shared" ca="1" si="205"/>
        <v>#N/A</v>
      </c>
      <c r="C1647" s="496">
        <v>567</v>
      </c>
      <c r="D1647" s="41" t="e">
        <f ca="1">IF($C$1076&gt;0,VLOOKUP($C1647,COSTI!$U$4:$Z$1003,3,FALSE),IF($C$1075&gt;0,VLOOKUP($C1647,PATRIMONIALE!$U$4:$Z$1003,3,FALSE),IF($C$1074&gt;0,VLOOKUP($C1647,ENTI!$U$4:$Z$1003,3,FALSE),"")))</f>
        <v>#N/A</v>
      </c>
      <c r="E1647" s="41" t="str">
        <f t="shared" ca="1" si="206"/>
        <v/>
      </c>
      <c r="F1647" s="41" t="e">
        <f t="shared" ca="1" si="207"/>
        <v>#NUM!</v>
      </c>
      <c r="G1647" s="39" t="e">
        <f ca="1">IF($C$1076&gt;0,VLOOKUP($C1647,COSTI!$U$4:$Z$1003,5,FALSE),IF($C$1075&gt;0,VLOOKUP($C1647,PATRIMONIALE!$U$4:$Z$1003,5,FALSE),IF($C$1074&gt;0,VLOOKUP($C1647,ENTI!$U$4:$Z$1003,5,FALSE),"")))</f>
        <v>#N/A</v>
      </c>
      <c r="H1647" s="42" t="e">
        <f ca="1">IF($C$1076&gt;0,VLOOKUP($C1647,COSTI!$U$4:$Z$1003,6,FALSE),IF($C$1075&gt;0,VLOOKUP($C1647,PATRIMONIALE!$U$4:$Z$1003,6,FALSE),IF($C$1074&gt;0,VLOOKUP($C1647,ENTI!$U$4:$Z$1003,6,FALSE),"")))</f>
        <v>#N/A</v>
      </c>
      <c r="I1647" s="496">
        <v>567</v>
      </c>
      <c r="J1647" s="43" t="e">
        <f ca="1">VLOOKUP(D1647,$F$1081:$I$4183,4,FALSE)+COUNTIF(E$1081:E1646,E1647)</f>
        <v>#N/A</v>
      </c>
      <c r="K1647" s="1"/>
      <c r="L1647" s="39" t="e">
        <f>IF($C$1074&gt;0,VLOOKUP($C1647,ENTI!$U$4:$AD$1003,10,FALSE),"")</f>
        <v>#N/A</v>
      </c>
      <c r="M1647" s="1"/>
      <c r="N1647" s="1"/>
      <c r="O1647" s="1"/>
    </row>
    <row r="1648" spans="1:15" hidden="1">
      <c r="A1648" s="1"/>
      <c r="B1648" s="40" t="e">
        <f t="shared" ca="1" si="205"/>
        <v>#N/A</v>
      </c>
      <c r="C1648" s="496">
        <v>568</v>
      </c>
      <c r="D1648" s="41" t="e">
        <f ca="1">IF($C$1076&gt;0,VLOOKUP($C1648,COSTI!$U$4:$Z$1003,3,FALSE),IF($C$1075&gt;0,VLOOKUP($C1648,PATRIMONIALE!$U$4:$Z$1003,3,FALSE),IF($C$1074&gt;0,VLOOKUP($C1648,ENTI!$U$4:$Z$1003,3,FALSE),"")))</f>
        <v>#N/A</v>
      </c>
      <c r="E1648" s="41" t="str">
        <f t="shared" ca="1" si="206"/>
        <v/>
      </c>
      <c r="F1648" s="41" t="e">
        <f t="shared" ca="1" si="207"/>
        <v>#NUM!</v>
      </c>
      <c r="G1648" s="39" t="e">
        <f ca="1">IF($C$1076&gt;0,VLOOKUP($C1648,COSTI!$U$4:$Z$1003,5,FALSE),IF($C$1075&gt;0,VLOOKUP($C1648,PATRIMONIALE!$U$4:$Z$1003,5,FALSE),IF($C$1074&gt;0,VLOOKUP($C1648,ENTI!$U$4:$Z$1003,5,FALSE),"")))</f>
        <v>#N/A</v>
      </c>
      <c r="H1648" s="42" t="e">
        <f ca="1">IF($C$1076&gt;0,VLOOKUP($C1648,COSTI!$U$4:$Z$1003,6,FALSE),IF($C$1075&gt;0,VLOOKUP($C1648,PATRIMONIALE!$U$4:$Z$1003,6,FALSE),IF($C$1074&gt;0,VLOOKUP($C1648,ENTI!$U$4:$Z$1003,6,FALSE),"")))</f>
        <v>#N/A</v>
      </c>
      <c r="I1648" s="496">
        <v>568</v>
      </c>
      <c r="J1648" s="43" t="e">
        <f ca="1">VLOOKUP(D1648,$F$1081:$I$4183,4,FALSE)+COUNTIF(E$1081:E1647,E1648)</f>
        <v>#N/A</v>
      </c>
      <c r="K1648" s="1"/>
      <c r="L1648" s="39" t="e">
        <f>IF($C$1074&gt;0,VLOOKUP($C1648,ENTI!$U$4:$AD$1003,10,FALSE),"")</f>
        <v>#N/A</v>
      </c>
      <c r="M1648" s="1"/>
      <c r="N1648" s="1"/>
      <c r="O1648" s="1"/>
    </row>
    <row r="1649" spans="1:15" hidden="1">
      <c r="A1649" s="1"/>
      <c r="B1649" s="40" t="e">
        <f t="shared" ref="B1649:B1712" ca="1" si="208">IF(OR(C$1075&gt;0,C$1077&gt;0,C$1073&gt;0,C$1071&gt;0),J1649+1,J1649)</f>
        <v>#N/A</v>
      </c>
      <c r="C1649" s="496">
        <v>569</v>
      </c>
      <c r="D1649" s="41" t="e">
        <f ca="1">IF($C$1076&gt;0,VLOOKUP($C1649,COSTI!$U$4:$Z$1003,3,FALSE),IF($C$1075&gt;0,VLOOKUP($C1649,PATRIMONIALE!$U$4:$Z$1003,3,FALSE),IF($C$1074&gt;0,VLOOKUP($C1649,ENTI!$U$4:$Z$1003,3,FALSE),"")))</f>
        <v>#N/A</v>
      </c>
      <c r="E1649" s="41" t="str">
        <f t="shared" ca="1" si="206"/>
        <v/>
      </c>
      <c r="F1649" s="41" t="e">
        <f t="shared" ca="1" si="207"/>
        <v>#NUM!</v>
      </c>
      <c r="G1649" s="39" t="e">
        <f ca="1">IF($C$1076&gt;0,VLOOKUP($C1649,COSTI!$U$4:$Z$1003,5,FALSE),IF($C$1075&gt;0,VLOOKUP($C1649,PATRIMONIALE!$U$4:$Z$1003,5,FALSE),IF($C$1074&gt;0,VLOOKUP($C1649,ENTI!$U$4:$Z$1003,5,FALSE),"")))</f>
        <v>#N/A</v>
      </c>
      <c r="H1649" s="42" t="e">
        <f ca="1">IF($C$1076&gt;0,VLOOKUP($C1649,COSTI!$U$4:$Z$1003,6,FALSE),IF($C$1075&gt;0,VLOOKUP($C1649,PATRIMONIALE!$U$4:$Z$1003,6,FALSE),IF($C$1074&gt;0,VLOOKUP($C1649,ENTI!$U$4:$Z$1003,6,FALSE),"")))</f>
        <v>#N/A</v>
      </c>
      <c r="I1649" s="496">
        <v>569</v>
      </c>
      <c r="J1649" s="43" t="e">
        <f ca="1">VLOOKUP(D1649,$F$1081:$I$4183,4,FALSE)+COUNTIF(E$1081:E1648,E1649)</f>
        <v>#N/A</v>
      </c>
      <c r="K1649" s="1"/>
      <c r="L1649" s="39" t="e">
        <f>IF($C$1074&gt;0,VLOOKUP($C1649,ENTI!$U$4:$AD$1003,10,FALSE),"")</f>
        <v>#N/A</v>
      </c>
      <c r="M1649" s="1"/>
      <c r="N1649" s="1"/>
      <c r="O1649" s="1"/>
    </row>
    <row r="1650" spans="1:15" hidden="1">
      <c r="A1650" s="1"/>
      <c r="B1650" s="40" t="e">
        <f t="shared" ca="1" si="208"/>
        <v>#N/A</v>
      </c>
      <c r="C1650" s="496">
        <v>570</v>
      </c>
      <c r="D1650" s="41" t="e">
        <f ca="1">IF($C$1076&gt;0,VLOOKUP($C1650,COSTI!$U$4:$Z$1003,3,FALSE),IF($C$1075&gt;0,VLOOKUP($C1650,PATRIMONIALE!$U$4:$Z$1003,3,FALSE),IF($C$1074&gt;0,VLOOKUP($C1650,ENTI!$U$4:$Z$1003,3,FALSE),"")))</f>
        <v>#N/A</v>
      </c>
      <c r="E1650" s="41" t="str">
        <f t="shared" ca="1" si="206"/>
        <v/>
      </c>
      <c r="F1650" s="41" t="e">
        <f t="shared" ca="1" si="207"/>
        <v>#NUM!</v>
      </c>
      <c r="G1650" s="39" t="e">
        <f ca="1">IF($C$1076&gt;0,VLOOKUP($C1650,COSTI!$U$4:$Z$1003,5,FALSE),IF($C$1075&gt;0,VLOOKUP($C1650,PATRIMONIALE!$U$4:$Z$1003,5,FALSE),IF($C$1074&gt;0,VLOOKUP($C1650,ENTI!$U$4:$Z$1003,5,FALSE),"")))</f>
        <v>#N/A</v>
      </c>
      <c r="H1650" s="42" t="e">
        <f ca="1">IF($C$1076&gt;0,VLOOKUP($C1650,COSTI!$U$4:$Z$1003,6,FALSE),IF($C$1075&gt;0,VLOOKUP($C1650,PATRIMONIALE!$U$4:$Z$1003,6,FALSE),IF($C$1074&gt;0,VLOOKUP($C1650,ENTI!$U$4:$Z$1003,6,FALSE),"")))</f>
        <v>#N/A</v>
      </c>
      <c r="I1650" s="496">
        <v>570</v>
      </c>
      <c r="J1650" s="43" t="e">
        <f ca="1">VLOOKUP(D1650,$F$1081:$I$4183,4,FALSE)+COUNTIF(E$1081:E1649,E1650)</f>
        <v>#N/A</v>
      </c>
      <c r="K1650" s="1"/>
      <c r="L1650" s="39" t="e">
        <f>IF($C$1074&gt;0,VLOOKUP($C1650,ENTI!$U$4:$AD$1003,10,FALSE),"")</f>
        <v>#N/A</v>
      </c>
      <c r="M1650" s="1"/>
      <c r="N1650" s="1"/>
      <c r="O1650" s="1"/>
    </row>
    <row r="1651" spans="1:15" hidden="1">
      <c r="A1651" s="1"/>
      <c r="B1651" s="40" t="e">
        <f t="shared" ca="1" si="208"/>
        <v>#N/A</v>
      </c>
      <c r="C1651" s="496">
        <v>571</v>
      </c>
      <c r="D1651" s="41" t="e">
        <f ca="1">IF($C$1076&gt;0,VLOOKUP($C1651,COSTI!$U$4:$Z$1003,3,FALSE),IF($C$1075&gt;0,VLOOKUP($C1651,PATRIMONIALE!$U$4:$Z$1003,3,FALSE),IF($C$1074&gt;0,VLOOKUP($C1651,ENTI!$U$4:$Z$1003,3,FALSE),"")))</f>
        <v>#N/A</v>
      </c>
      <c r="E1651" s="41" t="str">
        <f t="shared" ref="E1651:E1714" ca="1" si="209">IF(ISERROR(D1651),"",D1651)</f>
        <v/>
      </c>
      <c r="F1651" s="41" t="e">
        <f t="shared" ca="1" si="207"/>
        <v>#NUM!</v>
      </c>
      <c r="G1651" s="39" t="e">
        <f ca="1">IF($C$1076&gt;0,VLOOKUP($C1651,COSTI!$U$4:$Z$1003,5,FALSE),IF($C$1075&gt;0,VLOOKUP($C1651,PATRIMONIALE!$U$4:$Z$1003,5,FALSE),IF($C$1074&gt;0,VLOOKUP($C1651,ENTI!$U$4:$Z$1003,5,FALSE),"")))</f>
        <v>#N/A</v>
      </c>
      <c r="H1651" s="42" t="e">
        <f ca="1">IF($C$1076&gt;0,VLOOKUP($C1651,COSTI!$U$4:$Z$1003,6,FALSE),IF($C$1075&gt;0,VLOOKUP($C1651,PATRIMONIALE!$U$4:$Z$1003,6,FALSE),IF($C$1074&gt;0,VLOOKUP($C1651,ENTI!$U$4:$Z$1003,6,FALSE),"")))</f>
        <v>#N/A</v>
      </c>
      <c r="I1651" s="496">
        <v>571</v>
      </c>
      <c r="J1651" s="43" t="e">
        <f ca="1">VLOOKUP(D1651,$F$1081:$I$4183,4,FALSE)+COUNTIF(E$1081:E1650,E1651)</f>
        <v>#N/A</v>
      </c>
      <c r="K1651" s="1"/>
      <c r="L1651" s="39" t="e">
        <f>IF($C$1074&gt;0,VLOOKUP($C1651,ENTI!$U$4:$AD$1003,10,FALSE),"")</f>
        <v>#N/A</v>
      </c>
      <c r="M1651" s="1"/>
      <c r="N1651" s="1"/>
      <c r="O1651" s="1"/>
    </row>
    <row r="1652" spans="1:15" hidden="1">
      <c r="A1652" s="1"/>
      <c r="B1652" s="40" t="e">
        <f t="shared" ca="1" si="208"/>
        <v>#N/A</v>
      </c>
      <c r="C1652" s="496">
        <v>572</v>
      </c>
      <c r="D1652" s="41" t="e">
        <f ca="1">IF($C$1076&gt;0,VLOOKUP($C1652,COSTI!$U$4:$Z$1003,3,FALSE),IF($C$1075&gt;0,VLOOKUP($C1652,PATRIMONIALE!$U$4:$Z$1003,3,FALSE),IF($C$1074&gt;0,VLOOKUP($C1652,ENTI!$U$4:$Z$1003,3,FALSE),"")))</f>
        <v>#N/A</v>
      </c>
      <c r="E1652" s="41" t="str">
        <f t="shared" ca="1" si="209"/>
        <v/>
      </c>
      <c r="F1652" s="41" t="e">
        <f t="shared" ca="1" si="207"/>
        <v>#NUM!</v>
      </c>
      <c r="G1652" s="39" t="e">
        <f ca="1">IF($C$1076&gt;0,VLOOKUP($C1652,COSTI!$U$4:$Z$1003,5,FALSE),IF($C$1075&gt;0,VLOOKUP($C1652,PATRIMONIALE!$U$4:$Z$1003,5,FALSE),IF($C$1074&gt;0,VLOOKUP($C1652,ENTI!$U$4:$Z$1003,5,FALSE),"")))</f>
        <v>#N/A</v>
      </c>
      <c r="H1652" s="42" t="e">
        <f ca="1">IF($C$1076&gt;0,VLOOKUP($C1652,COSTI!$U$4:$Z$1003,6,FALSE),IF($C$1075&gt;0,VLOOKUP($C1652,PATRIMONIALE!$U$4:$Z$1003,6,FALSE),IF($C$1074&gt;0,VLOOKUP($C1652,ENTI!$U$4:$Z$1003,6,FALSE),"")))</f>
        <v>#N/A</v>
      </c>
      <c r="I1652" s="496">
        <v>572</v>
      </c>
      <c r="J1652" s="43" t="e">
        <f ca="1">VLOOKUP(D1652,$F$1081:$I$4183,4,FALSE)+COUNTIF(E$1081:E1651,E1652)</f>
        <v>#N/A</v>
      </c>
      <c r="K1652" s="1"/>
      <c r="L1652" s="39" t="e">
        <f>IF($C$1074&gt;0,VLOOKUP($C1652,ENTI!$U$4:$AD$1003,10,FALSE),"")</f>
        <v>#N/A</v>
      </c>
      <c r="M1652" s="1"/>
      <c r="N1652" s="1"/>
      <c r="O1652" s="1"/>
    </row>
    <row r="1653" spans="1:15" hidden="1">
      <c r="A1653" s="1"/>
      <c r="B1653" s="40" t="e">
        <f t="shared" ca="1" si="208"/>
        <v>#N/A</v>
      </c>
      <c r="C1653" s="496">
        <v>573</v>
      </c>
      <c r="D1653" s="41" t="e">
        <f ca="1">IF($C$1076&gt;0,VLOOKUP($C1653,COSTI!$U$4:$Z$1003,3,FALSE),IF($C$1075&gt;0,VLOOKUP($C1653,PATRIMONIALE!$U$4:$Z$1003,3,FALSE),IF($C$1074&gt;0,VLOOKUP($C1653,ENTI!$U$4:$Z$1003,3,FALSE),"")))</f>
        <v>#N/A</v>
      </c>
      <c r="E1653" s="41" t="str">
        <f t="shared" ca="1" si="209"/>
        <v/>
      </c>
      <c r="F1653" s="41" t="e">
        <f t="shared" ca="1" si="207"/>
        <v>#NUM!</v>
      </c>
      <c r="G1653" s="39" t="e">
        <f ca="1">IF($C$1076&gt;0,VLOOKUP($C1653,COSTI!$U$4:$Z$1003,5,FALSE),IF($C$1075&gt;0,VLOOKUP($C1653,PATRIMONIALE!$U$4:$Z$1003,5,FALSE),IF($C$1074&gt;0,VLOOKUP($C1653,ENTI!$U$4:$Z$1003,5,FALSE),"")))</f>
        <v>#N/A</v>
      </c>
      <c r="H1653" s="42" t="e">
        <f ca="1">IF($C$1076&gt;0,VLOOKUP($C1653,COSTI!$U$4:$Z$1003,6,FALSE),IF($C$1075&gt;0,VLOOKUP($C1653,PATRIMONIALE!$U$4:$Z$1003,6,FALSE),IF($C$1074&gt;0,VLOOKUP($C1653,ENTI!$U$4:$Z$1003,6,FALSE),"")))</f>
        <v>#N/A</v>
      </c>
      <c r="I1653" s="496">
        <v>573</v>
      </c>
      <c r="J1653" s="43" t="e">
        <f ca="1">VLOOKUP(D1653,$F$1081:$I$4183,4,FALSE)+COUNTIF(E$1081:E1652,E1653)</f>
        <v>#N/A</v>
      </c>
      <c r="K1653" s="1"/>
      <c r="L1653" s="39" t="e">
        <f>IF($C$1074&gt;0,VLOOKUP($C1653,ENTI!$U$4:$AD$1003,10,FALSE),"")</f>
        <v>#N/A</v>
      </c>
      <c r="M1653" s="1"/>
      <c r="N1653" s="1"/>
      <c r="O1653" s="1"/>
    </row>
    <row r="1654" spans="1:15" hidden="1">
      <c r="A1654" s="1"/>
      <c r="B1654" s="40" t="e">
        <f t="shared" ca="1" si="208"/>
        <v>#N/A</v>
      </c>
      <c r="C1654" s="496">
        <v>574</v>
      </c>
      <c r="D1654" s="41" t="e">
        <f ca="1">IF($C$1076&gt;0,VLOOKUP($C1654,COSTI!$U$4:$Z$1003,3,FALSE),IF($C$1075&gt;0,VLOOKUP($C1654,PATRIMONIALE!$U$4:$Z$1003,3,FALSE),IF($C$1074&gt;0,VLOOKUP($C1654,ENTI!$U$4:$Z$1003,3,FALSE),"")))</f>
        <v>#N/A</v>
      </c>
      <c r="E1654" s="41" t="str">
        <f t="shared" ca="1" si="209"/>
        <v/>
      </c>
      <c r="F1654" s="41" t="e">
        <f t="shared" ca="1" si="207"/>
        <v>#NUM!</v>
      </c>
      <c r="G1654" s="39" t="e">
        <f ca="1">IF($C$1076&gt;0,VLOOKUP($C1654,COSTI!$U$4:$Z$1003,5,FALSE),IF($C$1075&gt;0,VLOOKUP($C1654,PATRIMONIALE!$U$4:$Z$1003,5,FALSE),IF($C$1074&gt;0,VLOOKUP($C1654,ENTI!$U$4:$Z$1003,5,FALSE),"")))</f>
        <v>#N/A</v>
      </c>
      <c r="H1654" s="42" t="e">
        <f ca="1">IF($C$1076&gt;0,VLOOKUP($C1654,COSTI!$U$4:$Z$1003,6,FALSE),IF($C$1075&gt;0,VLOOKUP($C1654,PATRIMONIALE!$U$4:$Z$1003,6,FALSE),IF($C$1074&gt;0,VLOOKUP($C1654,ENTI!$U$4:$Z$1003,6,FALSE),"")))</f>
        <v>#N/A</v>
      </c>
      <c r="I1654" s="496">
        <v>574</v>
      </c>
      <c r="J1654" s="43" t="e">
        <f ca="1">VLOOKUP(D1654,$F$1081:$I$4183,4,FALSE)+COUNTIF(E$1081:E1653,E1654)</f>
        <v>#N/A</v>
      </c>
      <c r="K1654" s="1"/>
      <c r="L1654" s="39" t="e">
        <f>IF($C$1074&gt;0,VLOOKUP($C1654,ENTI!$U$4:$AD$1003,10,FALSE),"")</f>
        <v>#N/A</v>
      </c>
      <c r="M1654" s="1"/>
      <c r="N1654" s="1"/>
      <c r="O1654" s="1"/>
    </row>
    <row r="1655" spans="1:15" hidden="1">
      <c r="A1655" s="1"/>
      <c r="B1655" s="40" t="e">
        <f t="shared" ca="1" si="208"/>
        <v>#N/A</v>
      </c>
      <c r="C1655" s="496">
        <v>575</v>
      </c>
      <c r="D1655" s="41" t="e">
        <f ca="1">IF($C$1076&gt;0,VLOOKUP($C1655,COSTI!$U$4:$Z$1003,3,FALSE),IF($C$1075&gt;0,VLOOKUP($C1655,PATRIMONIALE!$U$4:$Z$1003,3,FALSE),IF($C$1074&gt;0,VLOOKUP($C1655,ENTI!$U$4:$Z$1003,3,FALSE),"")))</f>
        <v>#N/A</v>
      </c>
      <c r="E1655" s="41" t="str">
        <f t="shared" ca="1" si="209"/>
        <v/>
      </c>
      <c r="F1655" s="41" t="e">
        <f t="shared" ca="1" si="207"/>
        <v>#NUM!</v>
      </c>
      <c r="G1655" s="39" t="e">
        <f ca="1">IF($C$1076&gt;0,VLOOKUP($C1655,COSTI!$U$4:$Z$1003,5,FALSE),IF($C$1075&gt;0,VLOOKUP($C1655,PATRIMONIALE!$U$4:$Z$1003,5,FALSE),IF($C$1074&gt;0,VLOOKUP($C1655,ENTI!$U$4:$Z$1003,5,FALSE),"")))</f>
        <v>#N/A</v>
      </c>
      <c r="H1655" s="42" t="e">
        <f ca="1">IF($C$1076&gt;0,VLOOKUP($C1655,COSTI!$U$4:$Z$1003,6,FALSE),IF($C$1075&gt;0,VLOOKUP($C1655,PATRIMONIALE!$U$4:$Z$1003,6,FALSE),IF($C$1074&gt;0,VLOOKUP($C1655,ENTI!$U$4:$Z$1003,6,FALSE),"")))</f>
        <v>#N/A</v>
      </c>
      <c r="I1655" s="496">
        <v>575</v>
      </c>
      <c r="J1655" s="43" t="e">
        <f ca="1">VLOOKUP(D1655,$F$1081:$I$4183,4,FALSE)+COUNTIF(E$1081:E1654,E1655)</f>
        <v>#N/A</v>
      </c>
      <c r="K1655" s="1"/>
      <c r="L1655" s="39" t="e">
        <f>IF($C$1074&gt;0,VLOOKUP($C1655,ENTI!$U$4:$AD$1003,10,FALSE),"")</f>
        <v>#N/A</v>
      </c>
      <c r="M1655" s="1"/>
      <c r="N1655" s="1"/>
      <c r="O1655" s="1"/>
    </row>
    <row r="1656" spans="1:15" hidden="1">
      <c r="A1656" s="1"/>
      <c r="B1656" s="40" t="e">
        <f t="shared" ca="1" si="208"/>
        <v>#N/A</v>
      </c>
      <c r="C1656" s="496">
        <v>576</v>
      </c>
      <c r="D1656" s="41" t="e">
        <f ca="1">IF($C$1076&gt;0,VLOOKUP($C1656,COSTI!$U$4:$Z$1003,3,FALSE),IF($C$1075&gt;0,VLOOKUP($C1656,PATRIMONIALE!$U$4:$Z$1003,3,FALSE),IF($C$1074&gt;0,VLOOKUP($C1656,ENTI!$U$4:$Z$1003,3,FALSE),"")))</f>
        <v>#N/A</v>
      </c>
      <c r="E1656" s="41" t="str">
        <f t="shared" ca="1" si="209"/>
        <v/>
      </c>
      <c r="F1656" s="41" t="e">
        <f t="shared" ca="1" si="207"/>
        <v>#NUM!</v>
      </c>
      <c r="G1656" s="39" t="e">
        <f ca="1">IF($C$1076&gt;0,VLOOKUP($C1656,COSTI!$U$4:$Z$1003,5,FALSE),IF($C$1075&gt;0,VLOOKUP($C1656,PATRIMONIALE!$U$4:$Z$1003,5,FALSE),IF($C$1074&gt;0,VLOOKUP($C1656,ENTI!$U$4:$Z$1003,5,FALSE),"")))</f>
        <v>#N/A</v>
      </c>
      <c r="H1656" s="42" t="e">
        <f ca="1">IF($C$1076&gt;0,VLOOKUP($C1656,COSTI!$U$4:$Z$1003,6,FALSE),IF($C$1075&gt;0,VLOOKUP($C1656,PATRIMONIALE!$U$4:$Z$1003,6,FALSE),IF($C$1074&gt;0,VLOOKUP($C1656,ENTI!$U$4:$Z$1003,6,FALSE),"")))</f>
        <v>#N/A</v>
      </c>
      <c r="I1656" s="496">
        <v>576</v>
      </c>
      <c r="J1656" s="43" t="e">
        <f ca="1">VLOOKUP(D1656,$F$1081:$I$4183,4,FALSE)+COUNTIF(E$1081:E1655,E1656)</f>
        <v>#N/A</v>
      </c>
      <c r="K1656" s="1"/>
      <c r="L1656" s="39" t="e">
        <f>IF($C$1074&gt;0,VLOOKUP($C1656,ENTI!$U$4:$AD$1003,10,FALSE),"")</f>
        <v>#N/A</v>
      </c>
      <c r="M1656" s="1"/>
      <c r="N1656" s="1"/>
      <c r="O1656" s="1"/>
    </row>
    <row r="1657" spans="1:15" hidden="1">
      <c r="A1657" s="1"/>
      <c r="B1657" s="40" t="e">
        <f t="shared" ca="1" si="208"/>
        <v>#N/A</v>
      </c>
      <c r="C1657" s="496">
        <v>577</v>
      </c>
      <c r="D1657" s="41" t="e">
        <f ca="1">IF($C$1076&gt;0,VLOOKUP($C1657,COSTI!$U$4:$Z$1003,3,FALSE),IF($C$1075&gt;0,VLOOKUP($C1657,PATRIMONIALE!$U$4:$Z$1003,3,FALSE),IF($C$1074&gt;0,VLOOKUP($C1657,ENTI!$U$4:$Z$1003,3,FALSE),"")))</f>
        <v>#N/A</v>
      </c>
      <c r="E1657" s="41" t="str">
        <f t="shared" ca="1" si="209"/>
        <v/>
      </c>
      <c r="F1657" s="41" t="e">
        <f t="shared" ref="F1657:F1720" ca="1" si="210">SMALL(E$1081:E$4183,C1657)</f>
        <v>#NUM!</v>
      </c>
      <c r="G1657" s="39" t="e">
        <f ca="1">IF($C$1076&gt;0,VLOOKUP($C1657,COSTI!$U$4:$Z$1003,5,FALSE),IF($C$1075&gt;0,VLOOKUP($C1657,PATRIMONIALE!$U$4:$Z$1003,5,FALSE),IF($C$1074&gt;0,VLOOKUP($C1657,ENTI!$U$4:$Z$1003,5,FALSE),"")))</f>
        <v>#N/A</v>
      </c>
      <c r="H1657" s="42" t="e">
        <f ca="1">IF($C$1076&gt;0,VLOOKUP($C1657,COSTI!$U$4:$Z$1003,6,FALSE),IF($C$1075&gt;0,VLOOKUP($C1657,PATRIMONIALE!$U$4:$Z$1003,6,FALSE),IF($C$1074&gt;0,VLOOKUP($C1657,ENTI!$U$4:$Z$1003,6,FALSE),"")))</f>
        <v>#N/A</v>
      </c>
      <c r="I1657" s="496">
        <v>577</v>
      </c>
      <c r="J1657" s="43" t="e">
        <f ca="1">VLOOKUP(D1657,$F$1081:$I$4183,4,FALSE)+COUNTIF(E$1081:E1656,E1657)</f>
        <v>#N/A</v>
      </c>
      <c r="K1657" s="1"/>
      <c r="L1657" s="39" t="e">
        <f>IF($C$1074&gt;0,VLOOKUP($C1657,ENTI!$U$4:$AD$1003,10,FALSE),"")</f>
        <v>#N/A</v>
      </c>
      <c r="M1657" s="1"/>
      <c r="N1657" s="1"/>
      <c r="O1657" s="1"/>
    </row>
    <row r="1658" spans="1:15" hidden="1">
      <c r="A1658" s="1"/>
      <c r="B1658" s="40" t="e">
        <f t="shared" ca="1" si="208"/>
        <v>#N/A</v>
      </c>
      <c r="C1658" s="496">
        <v>578</v>
      </c>
      <c r="D1658" s="41" t="e">
        <f ca="1">IF($C$1076&gt;0,VLOOKUP($C1658,COSTI!$U$4:$Z$1003,3,FALSE),IF($C$1075&gt;0,VLOOKUP($C1658,PATRIMONIALE!$U$4:$Z$1003,3,FALSE),IF($C$1074&gt;0,VLOOKUP($C1658,ENTI!$U$4:$Z$1003,3,FALSE),"")))</f>
        <v>#N/A</v>
      </c>
      <c r="E1658" s="41" t="str">
        <f t="shared" ca="1" si="209"/>
        <v/>
      </c>
      <c r="F1658" s="41" t="e">
        <f t="shared" ca="1" si="210"/>
        <v>#NUM!</v>
      </c>
      <c r="G1658" s="39" t="e">
        <f ca="1">IF($C$1076&gt;0,VLOOKUP($C1658,COSTI!$U$4:$Z$1003,5,FALSE),IF($C$1075&gt;0,VLOOKUP($C1658,PATRIMONIALE!$U$4:$Z$1003,5,FALSE),IF($C$1074&gt;0,VLOOKUP($C1658,ENTI!$U$4:$Z$1003,5,FALSE),"")))</f>
        <v>#N/A</v>
      </c>
      <c r="H1658" s="42" t="e">
        <f ca="1">IF($C$1076&gt;0,VLOOKUP($C1658,COSTI!$U$4:$Z$1003,6,FALSE),IF($C$1075&gt;0,VLOOKUP($C1658,PATRIMONIALE!$U$4:$Z$1003,6,FALSE),IF($C$1074&gt;0,VLOOKUP($C1658,ENTI!$U$4:$Z$1003,6,FALSE),"")))</f>
        <v>#N/A</v>
      </c>
      <c r="I1658" s="496">
        <v>578</v>
      </c>
      <c r="J1658" s="43" t="e">
        <f ca="1">VLOOKUP(D1658,$F$1081:$I$4183,4,FALSE)+COUNTIF(E$1081:E1657,E1658)</f>
        <v>#N/A</v>
      </c>
      <c r="K1658" s="1"/>
      <c r="L1658" s="39" t="e">
        <f>IF($C$1074&gt;0,VLOOKUP($C1658,ENTI!$U$4:$AD$1003,10,FALSE),"")</f>
        <v>#N/A</v>
      </c>
      <c r="M1658" s="1"/>
      <c r="N1658" s="1"/>
      <c r="O1658" s="1"/>
    </row>
    <row r="1659" spans="1:15" hidden="1">
      <c r="A1659" s="1"/>
      <c r="B1659" s="40" t="e">
        <f t="shared" ca="1" si="208"/>
        <v>#N/A</v>
      </c>
      <c r="C1659" s="496">
        <v>579</v>
      </c>
      <c r="D1659" s="41" t="e">
        <f ca="1">IF($C$1076&gt;0,VLOOKUP($C1659,COSTI!$U$4:$Z$1003,3,FALSE),IF($C$1075&gt;0,VLOOKUP($C1659,PATRIMONIALE!$U$4:$Z$1003,3,FALSE),IF($C$1074&gt;0,VLOOKUP($C1659,ENTI!$U$4:$Z$1003,3,FALSE),"")))</f>
        <v>#N/A</v>
      </c>
      <c r="E1659" s="41" t="str">
        <f t="shared" ca="1" si="209"/>
        <v/>
      </c>
      <c r="F1659" s="41" t="e">
        <f t="shared" ca="1" si="210"/>
        <v>#NUM!</v>
      </c>
      <c r="G1659" s="39" t="e">
        <f ca="1">IF($C$1076&gt;0,VLOOKUP($C1659,COSTI!$U$4:$Z$1003,5,FALSE),IF($C$1075&gt;0,VLOOKUP($C1659,PATRIMONIALE!$U$4:$Z$1003,5,FALSE),IF($C$1074&gt;0,VLOOKUP($C1659,ENTI!$U$4:$Z$1003,5,FALSE),"")))</f>
        <v>#N/A</v>
      </c>
      <c r="H1659" s="42" t="e">
        <f ca="1">IF($C$1076&gt;0,VLOOKUP($C1659,COSTI!$U$4:$Z$1003,6,FALSE),IF($C$1075&gt;0,VLOOKUP($C1659,PATRIMONIALE!$U$4:$Z$1003,6,FALSE),IF($C$1074&gt;0,VLOOKUP($C1659,ENTI!$U$4:$Z$1003,6,FALSE),"")))</f>
        <v>#N/A</v>
      </c>
      <c r="I1659" s="496">
        <v>579</v>
      </c>
      <c r="J1659" s="43" t="e">
        <f ca="1">VLOOKUP(D1659,$F$1081:$I$4183,4,FALSE)+COUNTIF(E$1081:E1658,E1659)</f>
        <v>#N/A</v>
      </c>
      <c r="K1659" s="1"/>
      <c r="L1659" s="39" t="e">
        <f>IF($C$1074&gt;0,VLOOKUP($C1659,ENTI!$U$4:$AD$1003,10,FALSE),"")</f>
        <v>#N/A</v>
      </c>
      <c r="M1659" s="1"/>
      <c r="N1659" s="1"/>
      <c r="O1659" s="1"/>
    </row>
    <row r="1660" spans="1:15" hidden="1">
      <c r="A1660" s="1"/>
      <c r="B1660" s="40" t="e">
        <f t="shared" ca="1" si="208"/>
        <v>#N/A</v>
      </c>
      <c r="C1660" s="496">
        <v>580</v>
      </c>
      <c r="D1660" s="41" t="e">
        <f ca="1">IF($C$1076&gt;0,VLOOKUP($C1660,COSTI!$U$4:$Z$1003,3,FALSE),IF($C$1075&gt;0,VLOOKUP($C1660,PATRIMONIALE!$U$4:$Z$1003,3,FALSE),IF($C$1074&gt;0,VLOOKUP($C1660,ENTI!$U$4:$Z$1003,3,FALSE),"")))</f>
        <v>#N/A</v>
      </c>
      <c r="E1660" s="41" t="str">
        <f t="shared" ca="1" si="209"/>
        <v/>
      </c>
      <c r="F1660" s="41" t="e">
        <f t="shared" ca="1" si="210"/>
        <v>#NUM!</v>
      </c>
      <c r="G1660" s="39" t="e">
        <f ca="1">IF($C$1076&gt;0,VLOOKUP($C1660,COSTI!$U$4:$Z$1003,5,FALSE),IF($C$1075&gt;0,VLOOKUP($C1660,PATRIMONIALE!$U$4:$Z$1003,5,FALSE),IF($C$1074&gt;0,VLOOKUP($C1660,ENTI!$U$4:$Z$1003,5,FALSE),"")))</f>
        <v>#N/A</v>
      </c>
      <c r="H1660" s="42" t="e">
        <f ca="1">IF($C$1076&gt;0,VLOOKUP($C1660,COSTI!$U$4:$Z$1003,6,FALSE),IF($C$1075&gt;0,VLOOKUP($C1660,PATRIMONIALE!$U$4:$Z$1003,6,FALSE),IF($C$1074&gt;0,VLOOKUP($C1660,ENTI!$U$4:$Z$1003,6,FALSE),"")))</f>
        <v>#N/A</v>
      </c>
      <c r="I1660" s="496">
        <v>580</v>
      </c>
      <c r="J1660" s="43" t="e">
        <f ca="1">VLOOKUP(D1660,$F$1081:$I$4183,4,FALSE)+COUNTIF(E$1081:E1659,E1660)</f>
        <v>#N/A</v>
      </c>
      <c r="K1660" s="1"/>
      <c r="L1660" s="39" t="e">
        <f>IF($C$1074&gt;0,VLOOKUP($C1660,ENTI!$U$4:$AD$1003,10,FALSE),"")</f>
        <v>#N/A</v>
      </c>
      <c r="M1660" s="1"/>
      <c r="N1660" s="1"/>
      <c r="O1660" s="1"/>
    </row>
    <row r="1661" spans="1:15" hidden="1">
      <c r="A1661" s="1"/>
      <c r="B1661" s="40" t="e">
        <f t="shared" ca="1" si="208"/>
        <v>#N/A</v>
      </c>
      <c r="C1661" s="496">
        <v>581</v>
      </c>
      <c r="D1661" s="41" t="e">
        <f ca="1">IF($C$1076&gt;0,VLOOKUP($C1661,COSTI!$U$4:$Z$1003,3,FALSE),IF($C$1075&gt;0,VLOOKUP($C1661,PATRIMONIALE!$U$4:$Z$1003,3,FALSE),IF($C$1074&gt;0,VLOOKUP($C1661,ENTI!$U$4:$Z$1003,3,FALSE),"")))</f>
        <v>#N/A</v>
      </c>
      <c r="E1661" s="41" t="str">
        <f t="shared" ca="1" si="209"/>
        <v/>
      </c>
      <c r="F1661" s="41" t="e">
        <f t="shared" ca="1" si="210"/>
        <v>#NUM!</v>
      </c>
      <c r="G1661" s="39" t="e">
        <f ca="1">IF($C$1076&gt;0,VLOOKUP($C1661,COSTI!$U$4:$Z$1003,5,FALSE),IF($C$1075&gt;0,VLOOKUP($C1661,PATRIMONIALE!$U$4:$Z$1003,5,FALSE),IF($C$1074&gt;0,VLOOKUP($C1661,ENTI!$U$4:$Z$1003,5,FALSE),"")))</f>
        <v>#N/A</v>
      </c>
      <c r="H1661" s="42" t="e">
        <f ca="1">IF($C$1076&gt;0,VLOOKUP($C1661,COSTI!$U$4:$Z$1003,6,FALSE),IF($C$1075&gt;0,VLOOKUP($C1661,PATRIMONIALE!$U$4:$Z$1003,6,FALSE),IF($C$1074&gt;0,VLOOKUP($C1661,ENTI!$U$4:$Z$1003,6,FALSE),"")))</f>
        <v>#N/A</v>
      </c>
      <c r="I1661" s="496">
        <v>581</v>
      </c>
      <c r="J1661" s="43" t="e">
        <f ca="1">VLOOKUP(D1661,$F$1081:$I$4183,4,FALSE)+COUNTIF(E$1081:E1660,E1661)</f>
        <v>#N/A</v>
      </c>
      <c r="K1661" s="1"/>
      <c r="L1661" s="39" t="e">
        <f>IF($C$1074&gt;0,VLOOKUP($C1661,ENTI!$U$4:$AD$1003,10,FALSE),"")</f>
        <v>#N/A</v>
      </c>
      <c r="M1661" s="1"/>
      <c r="N1661" s="1"/>
      <c r="O1661" s="1"/>
    </row>
    <row r="1662" spans="1:15" hidden="1">
      <c r="A1662" s="1"/>
      <c r="B1662" s="40" t="e">
        <f t="shared" ca="1" si="208"/>
        <v>#N/A</v>
      </c>
      <c r="C1662" s="496">
        <v>582</v>
      </c>
      <c r="D1662" s="41" t="e">
        <f ca="1">IF($C$1076&gt;0,VLOOKUP($C1662,COSTI!$U$4:$Z$1003,3,FALSE),IF($C$1075&gt;0,VLOOKUP($C1662,PATRIMONIALE!$U$4:$Z$1003,3,FALSE),IF($C$1074&gt;0,VLOOKUP($C1662,ENTI!$U$4:$Z$1003,3,FALSE),"")))</f>
        <v>#N/A</v>
      </c>
      <c r="E1662" s="41" t="str">
        <f t="shared" ca="1" si="209"/>
        <v/>
      </c>
      <c r="F1662" s="41" t="e">
        <f t="shared" ca="1" si="210"/>
        <v>#NUM!</v>
      </c>
      <c r="G1662" s="39" t="e">
        <f ca="1">IF($C$1076&gt;0,VLOOKUP($C1662,COSTI!$U$4:$Z$1003,5,FALSE),IF($C$1075&gt;0,VLOOKUP($C1662,PATRIMONIALE!$U$4:$Z$1003,5,FALSE),IF($C$1074&gt;0,VLOOKUP($C1662,ENTI!$U$4:$Z$1003,5,FALSE),"")))</f>
        <v>#N/A</v>
      </c>
      <c r="H1662" s="42" t="e">
        <f ca="1">IF($C$1076&gt;0,VLOOKUP($C1662,COSTI!$U$4:$Z$1003,6,FALSE),IF($C$1075&gt;0,VLOOKUP($C1662,PATRIMONIALE!$U$4:$Z$1003,6,FALSE),IF($C$1074&gt;0,VLOOKUP($C1662,ENTI!$U$4:$Z$1003,6,FALSE),"")))</f>
        <v>#N/A</v>
      </c>
      <c r="I1662" s="496">
        <v>582</v>
      </c>
      <c r="J1662" s="43" t="e">
        <f ca="1">VLOOKUP(D1662,$F$1081:$I$4183,4,FALSE)+COUNTIF(E$1081:E1661,E1662)</f>
        <v>#N/A</v>
      </c>
      <c r="K1662" s="1"/>
      <c r="L1662" s="39" t="e">
        <f>IF($C$1074&gt;0,VLOOKUP($C1662,ENTI!$U$4:$AD$1003,10,FALSE),"")</f>
        <v>#N/A</v>
      </c>
      <c r="M1662" s="1"/>
      <c r="N1662" s="1"/>
      <c r="O1662" s="1"/>
    </row>
    <row r="1663" spans="1:15" hidden="1">
      <c r="A1663" s="1"/>
      <c r="B1663" s="40" t="e">
        <f t="shared" ca="1" si="208"/>
        <v>#N/A</v>
      </c>
      <c r="C1663" s="496">
        <v>583</v>
      </c>
      <c r="D1663" s="41" t="e">
        <f ca="1">IF($C$1076&gt;0,VLOOKUP($C1663,COSTI!$U$4:$Z$1003,3,FALSE),IF($C$1075&gt;0,VLOOKUP($C1663,PATRIMONIALE!$U$4:$Z$1003,3,FALSE),IF($C$1074&gt;0,VLOOKUP($C1663,ENTI!$U$4:$Z$1003,3,FALSE),"")))</f>
        <v>#N/A</v>
      </c>
      <c r="E1663" s="41" t="str">
        <f t="shared" ca="1" si="209"/>
        <v/>
      </c>
      <c r="F1663" s="41" t="e">
        <f t="shared" ca="1" si="210"/>
        <v>#NUM!</v>
      </c>
      <c r="G1663" s="39" t="e">
        <f ca="1">IF($C$1076&gt;0,VLOOKUP($C1663,COSTI!$U$4:$Z$1003,5,FALSE),IF($C$1075&gt;0,VLOOKUP($C1663,PATRIMONIALE!$U$4:$Z$1003,5,FALSE),IF($C$1074&gt;0,VLOOKUP($C1663,ENTI!$U$4:$Z$1003,5,FALSE),"")))</f>
        <v>#N/A</v>
      </c>
      <c r="H1663" s="42" t="e">
        <f ca="1">IF($C$1076&gt;0,VLOOKUP($C1663,COSTI!$U$4:$Z$1003,6,FALSE),IF($C$1075&gt;0,VLOOKUP($C1663,PATRIMONIALE!$U$4:$Z$1003,6,FALSE),IF($C$1074&gt;0,VLOOKUP($C1663,ENTI!$U$4:$Z$1003,6,FALSE),"")))</f>
        <v>#N/A</v>
      </c>
      <c r="I1663" s="496">
        <v>583</v>
      </c>
      <c r="J1663" s="43" t="e">
        <f ca="1">VLOOKUP(D1663,$F$1081:$I$4183,4,FALSE)+COUNTIF(E$1081:E1662,E1663)</f>
        <v>#N/A</v>
      </c>
      <c r="K1663" s="1"/>
      <c r="L1663" s="39" t="e">
        <f>IF($C$1074&gt;0,VLOOKUP($C1663,ENTI!$U$4:$AD$1003,10,FALSE),"")</f>
        <v>#N/A</v>
      </c>
      <c r="M1663" s="1"/>
      <c r="N1663" s="1"/>
      <c r="O1663" s="1"/>
    </row>
    <row r="1664" spans="1:15" hidden="1">
      <c r="A1664" s="1"/>
      <c r="B1664" s="40" t="e">
        <f t="shared" ca="1" si="208"/>
        <v>#N/A</v>
      </c>
      <c r="C1664" s="496">
        <v>584</v>
      </c>
      <c r="D1664" s="41" t="e">
        <f ca="1">IF($C$1076&gt;0,VLOOKUP($C1664,COSTI!$U$4:$Z$1003,3,FALSE),IF($C$1075&gt;0,VLOOKUP($C1664,PATRIMONIALE!$U$4:$Z$1003,3,FALSE),IF($C$1074&gt;0,VLOOKUP($C1664,ENTI!$U$4:$Z$1003,3,FALSE),"")))</f>
        <v>#N/A</v>
      </c>
      <c r="E1664" s="41" t="str">
        <f t="shared" ca="1" si="209"/>
        <v/>
      </c>
      <c r="F1664" s="41" t="e">
        <f t="shared" ca="1" si="210"/>
        <v>#NUM!</v>
      </c>
      <c r="G1664" s="39" t="e">
        <f ca="1">IF($C$1076&gt;0,VLOOKUP($C1664,COSTI!$U$4:$Z$1003,5,FALSE),IF($C$1075&gt;0,VLOOKUP($C1664,PATRIMONIALE!$U$4:$Z$1003,5,FALSE),IF($C$1074&gt;0,VLOOKUP($C1664,ENTI!$U$4:$Z$1003,5,FALSE),"")))</f>
        <v>#N/A</v>
      </c>
      <c r="H1664" s="42" t="e">
        <f ca="1">IF($C$1076&gt;0,VLOOKUP($C1664,COSTI!$U$4:$Z$1003,6,FALSE),IF($C$1075&gt;0,VLOOKUP($C1664,PATRIMONIALE!$U$4:$Z$1003,6,FALSE),IF($C$1074&gt;0,VLOOKUP($C1664,ENTI!$U$4:$Z$1003,6,FALSE),"")))</f>
        <v>#N/A</v>
      </c>
      <c r="I1664" s="496">
        <v>584</v>
      </c>
      <c r="J1664" s="43" t="e">
        <f ca="1">VLOOKUP(D1664,$F$1081:$I$4183,4,FALSE)+COUNTIF(E$1081:E1663,E1664)</f>
        <v>#N/A</v>
      </c>
      <c r="K1664" s="1"/>
      <c r="L1664" s="39" t="e">
        <f>IF($C$1074&gt;0,VLOOKUP($C1664,ENTI!$U$4:$AD$1003,10,FALSE),"")</f>
        <v>#N/A</v>
      </c>
      <c r="M1664" s="1"/>
      <c r="N1664" s="1"/>
      <c r="O1664" s="1"/>
    </row>
    <row r="1665" spans="1:15" hidden="1">
      <c r="A1665" s="1"/>
      <c r="B1665" s="40" t="e">
        <f t="shared" ca="1" si="208"/>
        <v>#N/A</v>
      </c>
      <c r="C1665" s="496">
        <v>585</v>
      </c>
      <c r="D1665" s="41" t="e">
        <f ca="1">IF($C$1076&gt;0,VLOOKUP($C1665,COSTI!$U$4:$Z$1003,3,FALSE),IF($C$1075&gt;0,VLOOKUP($C1665,PATRIMONIALE!$U$4:$Z$1003,3,FALSE),IF($C$1074&gt;0,VLOOKUP($C1665,ENTI!$U$4:$Z$1003,3,FALSE),"")))</f>
        <v>#N/A</v>
      </c>
      <c r="E1665" s="41" t="str">
        <f t="shared" ca="1" si="209"/>
        <v/>
      </c>
      <c r="F1665" s="41" t="e">
        <f t="shared" ca="1" si="210"/>
        <v>#NUM!</v>
      </c>
      <c r="G1665" s="39" t="e">
        <f ca="1">IF($C$1076&gt;0,VLOOKUP($C1665,COSTI!$U$4:$Z$1003,5,FALSE),IF($C$1075&gt;0,VLOOKUP($C1665,PATRIMONIALE!$U$4:$Z$1003,5,FALSE),IF($C$1074&gt;0,VLOOKUP($C1665,ENTI!$U$4:$Z$1003,5,FALSE),"")))</f>
        <v>#N/A</v>
      </c>
      <c r="H1665" s="42" t="e">
        <f ca="1">IF($C$1076&gt;0,VLOOKUP($C1665,COSTI!$U$4:$Z$1003,6,FALSE),IF($C$1075&gt;0,VLOOKUP($C1665,PATRIMONIALE!$U$4:$Z$1003,6,FALSE),IF($C$1074&gt;0,VLOOKUP($C1665,ENTI!$U$4:$Z$1003,6,FALSE),"")))</f>
        <v>#N/A</v>
      </c>
      <c r="I1665" s="496">
        <v>585</v>
      </c>
      <c r="J1665" s="43" t="e">
        <f ca="1">VLOOKUP(D1665,$F$1081:$I$4183,4,FALSE)+COUNTIF(E$1081:E1664,E1665)</f>
        <v>#N/A</v>
      </c>
      <c r="K1665" s="1"/>
      <c r="L1665" s="39" t="e">
        <f>IF($C$1074&gt;0,VLOOKUP($C1665,ENTI!$U$4:$AD$1003,10,FALSE),"")</f>
        <v>#N/A</v>
      </c>
      <c r="M1665" s="1"/>
      <c r="N1665" s="1"/>
      <c r="O1665" s="1"/>
    </row>
    <row r="1666" spans="1:15" hidden="1">
      <c r="A1666" s="1"/>
      <c r="B1666" s="40" t="e">
        <f t="shared" ca="1" si="208"/>
        <v>#N/A</v>
      </c>
      <c r="C1666" s="496">
        <v>586</v>
      </c>
      <c r="D1666" s="41" t="e">
        <f ca="1">IF($C$1076&gt;0,VLOOKUP($C1666,COSTI!$U$4:$Z$1003,3,FALSE),IF($C$1075&gt;0,VLOOKUP($C1666,PATRIMONIALE!$U$4:$Z$1003,3,FALSE),IF($C$1074&gt;0,VLOOKUP($C1666,ENTI!$U$4:$Z$1003,3,FALSE),"")))</f>
        <v>#N/A</v>
      </c>
      <c r="E1666" s="41" t="str">
        <f t="shared" ca="1" si="209"/>
        <v/>
      </c>
      <c r="F1666" s="41" t="e">
        <f t="shared" ca="1" si="210"/>
        <v>#NUM!</v>
      </c>
      <c r="G1666" s="39" t="e">
        <f ca="1">IF($C$1076&gt;0,VLOOKUP($C1666,COSTI!$U$4:$Z$1003,5,FALSE),IF($C$1075&gt;0,VLOOKUP($C1666,PATRIMONIALE!$U$4:$Z$1003,5,FALSE),IF($C$1074&gt;0,VLOOKUP($C1666,ENTI!$U$4:$Z$1003,5,FALSE),"")))</f>
        <v>#N/A</v>
      </c>
      <c r="H1666" s="42" t="e">
        <f ca="1">IF($C$1076&gt;0,VLOOKUP($C1666,COSTI!$U$4:$Z$1003,6,FALSE),IF($C$1075&gt;0,VLOOKUP($C1666,PATRIMONIALE!$U$4:$Z$1003,6,FALSE),IF($C$1074&gt;0,VLOOKUP($C1666,ENTI!$U$4:$Z$1003,6,FALSE),"")))</f>
        <v>#N/A</v>
      </c>
      <c r="I1666" s="496">
        <v>586</v>
      </c>
      <c r="J1666" s="43" t="e">
        <f ca="1">VLOOKUP(D1666,$F$1081:$I$4183,4,FALSE)+COUNTIF(E$1081:E1665,E1666)</f>
        <v>#N/A</v>
      </c>
      <c r="K1666" s="1"/>
      <c r="L1666" s="39" t="e">
        <f>IF($C$1074&gt;0,VLOOKUP($C1666,ENTI!$U$4:$AD$1003,10,FALSE),"")</f>
        <v>#N/A</v>
      </c>
      <c r="M1666" s="1"/>
      <c r="N1666" s="1"/>
      <c r="O1666" s="1"/>
    </row>
    <row r="1667" spans="1:15" hidden="1">
      <c r="A1667" s="1"/>
      <c r="B1667" s="40" t="e">
        <f t="shared" ca="1" si="208"/>
        <v>#N/A</v>
      </c>
      <c r="C1667" s="496">
        <v>587</v>
      </c>
      <c r="D1667" s="41" t="e">
        <f ca="1">IF($C$1076&gt;0,VLOOKUP($C1667,COSTI!$U$4:$Z$1003,3,FALSE),IF($C$1075&gt;0,VLOOKUP($C1667,PATRIMONIALE!$U$4:$Z$1003,3,FALSE),IF($C$1074&gt;0,VLOOKUP($C1667,ENTI!$U$4:$Z$1003,3,FALSE),"")))</f>
        <v>#N/A</v>
      </c>
      <c r="E1667" s="41" t="str">
        <f t="shared" ca="1" si="209"/>
        <v/>
      </c>
      <c r="F1667" s="41" t="e">
        <f t="shared" ca="1" si="210"/>
        <v>#NUM!</v>
      </c>
      <c r="G1667" s="39" t="e">
        <f ca="1">IF($C$1076&gt;0,VLOOKUP($C1667,COSTI!$U$4:$Z$1003,5,FALSE),IF($C$1075&gt;0,VLOOKUP($C1667,PATRIMONIALE!$U$4:$Z$1003,5,FALSE),IF($C$1074&gt;0,VLOOKUP($C1667,ENTI!$U$4:$Z$1003,5,FALSE),"")))</f>
        <v>#N/A</v>
      </c>
      <c r="H1667" s="42" t="e">
        <f ca="1">IF($C$1076&gt;0,VLOOKUP($C1667,COSTI!$U$4:$Z$1003,6,FALSE),IF($C$1075&gt;0,VLOOKUP($C1667,PATRIMONIALE!$U$4:$Z$1003,6,FALSE),IF($C$1074&gt;0,VLOOKUP($C1667,ENTI!$U$4:$Z$1003,6,FALSE),"")))</f>
        <v>#N/A</v>
      </c>
      <c r="I1667" s="496">
        <v>587</v>
      </c>
      <c r="J1667" s="43" t="e">
        <f ca="1">VLOOKUP(D1667,$F$1081:$I$4183,4,FALSE)+COUNTIF(E$1081:E1666,E1667)</f>
        <v>#N/A</v>
      </c>
      <c r="K1667" s="1"/>
      <c r="L1667" s="39" t="e">
        <f>IF($C$1074&gt;0,VLOOKUP($C1667,ENTI!$U$4:$AD$1003,10,FALSE),"")</f>
        <v>#N/A</v>
      </c>
      <c r="M1667" s="1"/>
      <c r="N1667" s="1"/>
      <c r="O1667" s="1"/>
    </row>
    <row r="1668" spans="1:15" hidden="1">
      <c r="A1668" s="1"/>
      <c r="B1668" s="40" t="e">
        <f t="shared" ca="1" si="208"/>
        <v>#N/A</v>
      </c>
      <c r="C1668" s="496">
        <v>588</v>
      </c>
      <c r="D1668" s="41" t="e">
        <f ca="1">IF($C$1076&gt;0,VLOOKUP($C1668,COSTI!$U$4:$Z$1003,3,FALSE),IF($C$1075&gt;0,VLOOKUP($C1668,PATRIMONIALE!$U$4:$Z$1003,3,FALSE),IF($C$1074&gt;0,VLOOKUP($C1668,ENTI!$U$4:$Z$1003,3,FALSE),"")))</f>
        <v>#N/A</v>
      </c>
      <c r="E1668" s="41" t="str">
        <f t="shared" ca="1" si="209"/>
        <v/>
      </c>
      <c r="F1668" s="41" t="e">
        <f t="shared" ca="1" si="210"/>
        <v>#NUM!</v>
      </c>
      <c r="G1668" s="39" t="e">
        <f ca="1">IF($C$1076&gt;0,VLOOKUP($C1668,COSTI!$U$4:$Z$1003,5,FALSE),IF($C$1075&gt;0,VLOOKUP($C1668,PATRIMONIALE!$U$4:$Z$1003,5,FALSE),IF($C$1074&gt;0,VLOOKUP($C1668,ENTI!$U$4:$Z$1003,5,FALSE),"")))</f>
        <v>#N/A</v>
      </c>
      <c r="H1668" s="42" t="e">
        <f ca="1">IF($C$1076&gt;0,VLOOKUP($C1668,COSTI!$U$4:$Z$1003,6,FALSE),IF($C$1075&gt;0,VLOOKUP($C1668,PATRIMONIALE!$U$4:$Z$1003,6,FALSE),IF($C$1074&gt;0,VLOOKUP($C1668,ENTI!$U$4:$Z$1003,6,FALSE),"")))</f>
        <v>#N/A</v>
      </c>
      <c r="I1668" s="496">
        <v>588</v>
      </c>
      <c r="J1668" s="43" t="e">
        <f ca="1">VLOOKUP(D1668,$F$1081:$I$4183,4,FALSE)+COUNTIF(E$1081:E1667,E1668)</f>
        <v>#N/A</v>
      </c>
      <c r="K1668" s="1"/>
      <c r="L1668" s="39" t="e">
        <f>IF($C$1074&gt;0,VLOOKUP($C1668,ENTI!$U$4:$AD$1003,10,FALSE),"")</f>
        <v>#N/A</v>
      </c>
      <c r="M1668" s="1"/>
      <c r="N1668" s="1"/>
      <c r="O1668" s="1"/>
    </row>
    <row r="1669" spans="1:15" hidden="1">
      <c r="A1669" s="1"/>
      <c r="B1669" s="40" t="e">
        <f t="shared" ca="1" si="208"/>
        <v>#N/A</v>
      </c>
      <c r="C1669" s="496">
        <v>589</v>
      </c>
      <c r="D1669" s="41" t="e">
        <f ca="1">IF($C$1076&gt;0,VLOOKUP($C1669,COSTI!$U$4:$Z$1003,3,FALSE),IF($C$1075&gt;0,VLOOKUP($C1669,PATRIMONIALE!$U$4:$Z$1003,3,FALSE),IF($C$1074&gt;0,VLOOKUP($C1669,ENTI!$U$4:$Z$1003,3,FALSE),"")))</f>
        <v>#N/A</v>
      </c>
      <c r="E1669" s="41" t="str">
        <f t="shared" ca="1" si="209"/>
        <v/>
      </c>
      <c r="F1669" s="41" t="e">
        <f t="shared" ca="1" si="210"/>
        <v>#NUM!</v>
      </c>
      <c r="G1669" s="39" t="e">
        <f ca="1">IF($C$1076&gt;0,VLOOKUP($C1669,COSTI!$U$4:$Z$1003,5,FALSE),IF($C$1075&gt;0,VLOOKUP($C1669,PATRIMONIALE!$U$4:$Z$1003,5,FALSE),IF($C$1074&gt;0,VLOOKUP($C1669,ENTI!$U$4:$Z$1003,5,FALSE),"")))</f>
        <v>#N/A</v>
      </c>
      <c r="H1669" s="42" t="e">
        <f ca="1">IF($C$1076&gt;0,VLOOKUP($C1669,COSTI!$U$4:$Z$1003,6,FALSE),IF($C$1075&gt;0,VLOOKUP($C1669,PATRIMONIALE!$U$4:$Z$1003,6,FALSE),IF($C$1074&gt;0,VLOOKUP($C1669,ENTI!$U$4:$Z$1003,6,FALSE),"")))</f>
        <v>#N/A</v>
      </c>
      <c r="I1669" s="496">
        <v>589</v>
      </c>
      <c r="J1669" s="43" t="e">
        <f ca="1">VLOOKUP(D1669,$F$1081:$I$4183,4,FALSE)+COUNTIF(E$1081:E1668,E1669)</f>
        <v>#N/A</v>
      </c>
      <c r="K1669" s="1"/>
      <c r="L1669" s="39" t="e">
        <f>IF($C$1074&gt;0,VLOOKUP($C1669,ENTI!$U$4:$AD$1003,10,FALSE),"")</f>
        <v>#N/A</v>
      </c>
      <c r="M1669" s="1"/>
      <c r="N1669" s="1"/>
      <c r="O1669" s="1"/>
    </row>
    <row r="1670" spans="1:15" hidden="1">
      <c r="A1670" s="1"/>
      <c r="B1670" s="40" t="e">
        <f t="shared" ca="1" si="208"/>
        <v>#N/A</v>
      </c>
      <c r="C1670" s="496">
        <v>590</v>
      </c>
      <c r="D1670" s="41" t="e">
        <f ca="1">IF($C$1076&gt;0,VLOOKUP($C1670,COSTI!$U$4:$Z$1003,3,FALSE),IF($C$1075&gt;0,VLOOKUP($C1670,PATRIMONIALE!$U$4:$Z$1003,3,FALSE),IF($C$1074&gt;0,VLOOKUP($C1670,ENTI!$U$4:$Z$1003,3,FALSE),"")))</f>
        <v>#N/A</v>
      </c>
      <c r="E1670" s="41" t="str">
        <f t="shared" ca="1" si="209"/>
        <v/>
      </c>
      <c r="F1670" s="41" t="e">
        <f t="shared" ca="1" si="210"/>
        <v>#NUM!</v>
      </c>
      <c r="G1670" s="39" t="e">
        <f ca="1">IF($C$1076&gt;0,VLOOKUP($C1670,COSTI!$U$4:$Z$1003,5,FALSE),IF($C$1075&gt;0,VLOOKUP($C1670,PATRIMONIALE!$U$4:$Z$1003,5,FALSE),IF($C$1074&gt;0,VLOOKUP($C1670,ENTI!$U$4:$Z$1003,5,FALSE),"")))</f>
        <v>#N/A</v>
      </c>
      <c r="H1670" s="42" t="e">
        <f ca="1">IF($C$1076&gt;0,VLOOKUP($C1670,COSTI!$U$4:$Z$1003,6,FALSE),IF($C$1075&gt;0,VLOOKUP($C1670,PATRIMONIALE!$U$4:$Z$1003,6,FALSE),IF($C$1074&gt;0,VLOOKUP($C1670,ENTI!$U$4:$Z$1003,6,FALSE),"")))</f>
        <v>#N/A</v>
      </c>
      <c r="I1670" s="496">
        <v>590</v>
      </c>
      <c r="J1670" s="43" t="e">
        <f ca="1">VLOOKUP(D1670,$F$1081:$I$4183,4,FALSE)+COUNTIF(E$1081:E1669,E1670)</f>
        <v>#N/A</v>
      </c>
      <c r="K1670" s="1"/>
      <c r="L1670" s="39" t="e">
        <f>IF($C$1074&gt;0,VLOOKUP($C1670,ENTI!$U$4:$AD$1003,10,FALSE),"")</f>
        <v>#N/A</v>
      </c>
      <c r="M1670" s="1"/>
      <c r="N1670" s="1"/>
      <c r="O1670" s="1"/>
    </row>
    <row r="1671" spans="1:15" hidden="1">
      <c r="A1671" s="1"/>
      <c r="B1671" s="40" t="e">
        <f t="shared" ca="1" si="208"/>
        <v>#N/A</v>
      </c>
      <c r="C1671" s="496">
        <v>591</v>
      </c>
      <c r="D1671" s="41" t="e">
        <f ca="1">IF($C$1076&gt;0,VLOOKUP($C1671,COSTI!$U$4:$Z$1003,3,FALSE),IF($C$1075&gt;0,VLOOKUP($C1671,PATRIMONIALE!$U$4:$Z$1003,3,FALSE),IF($C$1074&gt;0,VLOOKUP($C1671,ENTI!$U$4:$Z$1003,3,FALSE),"")))</f>
        <v>#N/A</v>
      </c>
      <c r="E1671" s="41" t="str">
        <f t="shared" ca="1" si="209"/>
        <v/>
      </c>
      <c r="F1671" s="41" t="e">
        <f t="shared" ca="1" si="210"/>
        <v>#NUM!</v>
      </c>
      <c r="G1671" s="39" t="e">
        <f ca="1">IF($C$1076&gt;0,VLOOKUP($C1671,COSTI!$U$4:$Z$1003,5,FALSE),IF($C$1075&gt;0,VLOOKUP($C1671,PATRIMONIALE!$U$4:$Z$1003,5,FALSE),IF($C$1074&gt;0,VLOOKUP($C1671,ENTI!$U$4:$Z$1003,5,FALSE),"")))</f>
        <v>#N/A</v>
      </c>
      <c r="H1671" s="42" t="e">
        <f ca="1">IF($C$1076&gt;0,VLOOKUP($C1671,COSTI!$U$4:$Z$1003,6,FALSE),IF($C$1075&gt;0,VLOOKUP($C1671,PATRIMONIALE!$U$4:$Z$1003,6,FALSE),IF($C$1074&gt;0,VLOOKUP($C1671,ENTI!$U$4:$Z$1003,6,FALSE),"")))</f>
        <v>#N/A</v>
      </c>
      <c r="I1671" s="496">
        <v>591</v>
      </c>
      <c r="J1671" s="43" t="e">
        <f ca="1">VLOOKUP(D1671,$F$1081:$I$4183,4,FALSE)+COUNTIF(E$1081:E1670,E1671)</f>
        <v>#N/A</v>
      </c>
      <c r="K1671" s="1"/>
      <c r="L1671" s="39" t="e">
        <f>IF($C$1074&gt;0,VLOOKUP($C1671,ENTI!$U$4:$AD$1003,10,FALSE),"")</f>
        <v>#N/A</v>
      </c>
      <c r="M1671" s="1"/>
      <c r="N1671" s="1"/>
      <c r="O1671" s="1"/>
    </row>
    <row r="1672" spans="1:15" hidden="1">
      <c r="A1672" s="1"/>
      <c r="B1672" s="40" t="e">
        <f t="shared" ca="1" si="208"/>
        <v>#N/A</v>
      </c>
      <c r="C1672" s="496">
        <v>592</v>
      </c>
      <c r="D1672" s="41" t="e">
        <f ca="1">IF($C$1076&gt;0,VLOOKUP($C1672,COSTI!$U$4:$Z$1003,3,FALSE),IF($C$1075&gt;0,VLOOKUP($C1672,PATRIMONIALE!$U$4:$Z$1003,3,FALSE),IF($C$1074&gt;0,VLOOKUP($C1672,ENTI!$U$4:$Z$1003,3,FALSE),"")))</f>
        <v>#N/A</v>
      </c>
      <c r="E1672" s="41" t="str">
        <f t="shared" ca="1" si="209"/>
        <v/>
      </c>
      <c r="F1672" s="41" t="e">
        <f t="shared" ca="1" si="210"/>
        <v>#NUM!</v>
      </c>
      <c r="G1672" s="39" t="e">
        <f ca="1">IF($C$1076&gt;0,VLOOKUP($C1672,COSTI!$U$4:$Z$1003,5,FALSE),IF($C$1075&gt;0,VLOOKUP($C1672,PATRIMONIALE!$U$4:$Z$1003,5,FALSE),IF($C$1074&gt;0,VLOOKUP($C1672,ENTI!$U$4:$Z$1003,5,FALSE),"")))</f>
        <v>#N/A</v>
      </c>
      <c r="H1672" s="42" t="e">
        <f ca="1">IF($C$1076&gt;0,VLOOKUP($C1672,COSTI!$U$4:$Z$1003,6,FALSE),IF($C$1075&gt;0,VLOOKUP($C1672,PATRIMONIALE!$U$4:$Z$1003,6,FALSE),IF($C$1074&gt;0,VLOOKUP($C1672,ENTI!$U$4:$Z$1003,6,FALSE),"")))</f>
        <v>#N/A</v>
      </c>
      <c r="I1672" s="496">
        <v>592</v>
      </c>
      <c r="J1672" s="43" t="e">
        <f ca="1">VLOOKUP(D1672,$F$1081:$I$4183,4,FALSE)+COUNTIF(E$1081:E1671,E1672)</f>
        <v>#N/A</v>
      </c>
      <c r="K1672" s="1"/>
      <c r="L1672" s="39" t="e">
        <f>IF($C$1074&gt;0,VLOOKUP($C1672,ENTI!$U$4:$AD$1003,10,FALSE),"")</f>
        <v>#N/A</v>
      </c>
      <c r="M1672" s="1"/>
      <c r="N1672" s="1"/>
      <c r="O1672" s="1"/>
    </row>
    <row r="1673" spans="1:15" hidden="1">
      <c r="A1673" s="1"/>
      <c r="B1673" s="40" t="e">
        <f t="shared" ca="1" si="208"/>
        <v>#N/A</v>
      </c>
      <c r="C1673" s="496">
        <v>593</v>
      </c>
      <c r="D1673" s="41" t="e">
        <f ca="1">IF($C$1076&gt;0,VLOOKUP($C1673,COSTI!$U$4:$Z$1003,3,FALSE),IF($C$1075&gt;0,VLOOKUP($C1673,PATRIMONIALE!$U$4:$Z$1003,3,FALSE),IF($C$1074&gt;0,VLOOKUP($C1673,ENTI!$U$4:$Z$1003,3,FALSE),"")))</f>
        <v>#N/A</v>
      </c>
      <c r="E1673" s="41" t="str">
        <f t="shared" ca="1" si="209"/>
        <v/>
      </c>
      <c r="F1673" s="41" t="e">
        <f t="shared" ca="1" si="210"/>
        <v>#NUM!</v>
      </c>
      <c r="G1673" s="39" t="e">
        <f ca="1">IF($C$1076&gt;0,VLOOKUP($C1673,COSTI!$U$4:$Z$1003,5,FALSE),IF($C$1075&gt;0,VLOOKUP($C1673,PATRIMONIALE!$U$4:$Z$1003,5,FALSE),IF($C$1074&gt;0,VLOOKUP($C1673,ENTI!$U$4:$Z$1003,5,FALSE),"")))</f>
        <v>#N/A</v>
      </c>
      <c r="H1673" s="42" t="e">
        <f ca="1">IF($C$1076&gt;0,VLOOKUP($C1673,COSTI!$U$4:$Z$1003,6,FALSE),IF($C$1075&gt;0,VLOOKUP($C1673,PATRIMONIALE!$U$4:$Z$1003,6,FALSE),IF($C$1074&gt;0,VLOOKUP($C1673,ENTI!$U$4:$Z$1003,6,FALSE),"")))</f>
        <v>#N/A</v>
      </c>
      <c r="I1673" s="496">
        <v>593</v>
      </c>
      <c r="J1673" s="43" t="e">
        <f ca="1">VLOOKUP(D1673,$F$1081:$I$4183,4,FALSE)+COUNTIF(E$1081:E1672,E1673)</f>
        <v>#N/A</v>
      </c>
      <c r="K1673" s="1"/>
      <c r="L1673" s="39" t="e">
        <f>IF($C$1074&gt;0,VLOOKUP($C1673,ENTI!$U$4:$AD$1003,10,FALSE),"")</f>
        <v>#N/A</v>
      </c>
      <c r="M1673" s="1"/>
      <c r="N1673" s="1"/>
      <c r="O1673" s="1"/>
    </row>
    <row r="1674" spans="1:15" hidden="1">
      <c r="A1674" s="1"/>
      <c r="B1674" s="40" t="e">
        <f t="shared" ca="1" si="208"/>
        <v>#N/A</v>
      </c>
      <c r="C1674" s="496">
        <v>594</v>
      </c>
      <c r="D1674" s="41" t="e">
        <f ca="1">IF($C$1076&gt;0,VLOOKUP($C1674,COSTI!$U$4:$Z$1003,3,FALSE),IF($C$1075&gt;0,VLOOKUP($C1674,PATRIMONIALE!$U$4:$Z$1003,3,FALSE),IF($C$1074&gt;0,VLOOKUP($C1674,ENTI!$U$4:$Z$1003,3,FALSE),"")))</f>
        <v>#N/A</v>
      </c>
      <c r="E1674" s="41" t="str">
        <f t="shared" ca="1" si="209"/>
        <v/>
      </c>
      <c r="F1674" s="41" t="e">
        <f t="shared" ca="1" si="210"/>
        <v>#NUM!</v>
      </c>
      <c r="G1674" s="39" t="e">
        <f ca="1">IF($C$1076&gt;0,VLOOKUP($C1674,COSTI!$U$4:$Z$1003,5,FALSE),IF($C$1075&gt;0,VLOOKUP($C1674,PATRIMONIALE!$U$4:$Z$1003,5,FALSE),IF($C$1074&gt;0,VLOOKUP($C1674,ENTI!$U$4:$Z$1003,5,FALSE),"")))</f>
        <v>#N/A</v>
      </c>
      <c r="H1674" s="42" t="e">
        <f ca="1">IF($C$1076&gt;0,VLOOKUP($C1674,COSTI!$U$4:$Z$1003,6,FALSE),IF($C$1075&gt;0,VLOOKUP($C1674,PATRIMONIALE!$U$4:$Z$1003,6,FALSE),IF($C$1074&gt;0,VLOOKUP($C1674,ENTI!$U$4:$Z$1003,6,FALSE),"")))</f>
        <v>#N/A</v>
      </c>
      <c r="I1674" s="496">
        <v>594</v>
      </c>
      <c r="J1674" s="43" t="e">
        <f ca="1">VLOOKUP(D1674,$F$1081:$I$4183,4,FALSE)+COUNTIF(E$1081:E1673,E1674)</f>
        <v>#N/A</v>
      </c>
      <c r="K1674" s="1"/>
      <c r="L1674" s="39" t="e">
        <f>IF($C$1074&gt;0,VLOOKUP($C1674,ENTI!$U$4:$AD$1003,10,FALSE),"")</f>
        <v>#N/A</v>
      </c>
      <c r="M1674" s="1"/>
      <c r="N1674" s="1"/>
      <c r="O1674" s="1"/>
    </row>
    <row r="1675" spans="1:15" hidden="1">
      <c r="A1675" s="1"/>
      <c r="B1675" s="40" t="e">
        <f t="shared" ca="1" si="208"/>
        <v>#N/A</v>
      </c>
      <c r="C1675" s="496">
        <v>595</v>
      </c>
      <c r="D1675" s="41" t="e">
        <f ca="1">IF($C$1076&gt;0,VLOOKUP($C1675,COSTI!$U$4:$Z$1003,3,FALSE),IF($C$1075&gt;0,VLOOKUP($C1675,PATRIMONIALE!$U$4:$Z$1003,3,FALSE),IF($C$1074&gt;0,VLOOKUP($C1675,ENTI!$U$4:$Z$1003,3,FALSE),"")))</f>
        <v>#N/A</v>
      </c>
      <c r="E1675" s="41" t="str">
        <f t="shared" ca="1" si="209"/>
        <v/>
      </c>
      <c r="F1675" s="41" t="e">
        <f t="shared" ca="1" si="210"/>
        <v>#NUM!</v>
      </c>
      <c r="G1675" s="39" t="e">
        <f ca="1">IF($C$1076&gt;0,VLOOKUP($C1675,COSTI!$U$4:$Z$1003,5,FALSE),IF($C$1075&gt;0,VLOOKUP($C1675,PATRIMONIALE!$U$4:$Z$1003,5,FALSE),IF($C$1074&gt;0,VLOOKUP($C1675,ENTI!$U$4:$Z$1003,5,FALSE),"")))</f>
        <v>#N/A</v>
      </c>
      <c r="H1675" s="42" t="e">
        <f ca="1">IF($C$1076&gt;0,VLOOKUP($C1675,COSTI!$U$4:$Z$1003,6,FALSE),IF($C$1075&gt;0,VLOOKUP($C1675,PATRIMONIALE!$U$4:$Z$1003,6,FALSE),IF($C$1074&gt;0,VLOOKUP($C1675,ENTI!$U$4:$Z$1003,6,FALSE),"")))</f>
        <v>#N/A</v>
      </c>
      <c r="I1675" s="496">
        <v>595</v>
      </c>
      <c r="J1675" s="43" t="e">
        <f ca="1">VLOOKUP(D1675,$F$1081:$I$4183,4,FALSE)+COUNTIF(E$1081:E1674,E1675)</f>
        <v>#N/A</v>
      </c>
      <c r="K1675" s="1"/>
      <c r="L1675" s="39" t="e">
        <f>IF($C$1074&gt;0,VLOOKUP($C1675,ENTI!$U$4:$AD$1003,10,FALSE),"")</f>
        <v>#N/A</v>
      </c>
      <c r="M1675" s="1"/>
      <c r="N1675" s="1"/>
      <c r="O1675" s="1"/>
    </row>
    <row r="1676" spans="1:15" hidden="1">
      <c r="A1676" s="1"/>
      <c r="B1676" s="40" t="e">
        <f t="shared" ca="1" si="208"/>
        <v>#N/A</v>
      </c>
      <c r="C1676" s="496">
        <v>596</v>
      </c>
      <c r="D1676" s="41" t="e">
        <f ca="1">IF($C$1076&gt;0,VLOOKUP($C1676,COSTI!$U$4:$Z$1003,3,FALSE),IF($C$1075&gt;0,VLOOKUP($C1676,PATRIMONIALE!$U$4:$Z$1003,3,FALSE),IF($C$1074&gt;0,VLOOKUP($C1676,ENTI!$U$4:$Z$1003,3,FALSE),"")))</f>
        <v>#N/A</v>
      </c>
      <c r="E1676" s="41" t="str">
        <f t="shared" ca="1" si="209"/>
        <v/>
      </c>
      <c r="F1676" s="41" t="e">
        <f t="shared" ca="1" si="210"/>
        <v>#NUM!</v>
      </c>
      <c r="G1676" s="39" t="e">
        <f ca="1">IF($C$1076&gt;0,VLOOKUP($C1676,COSTI!$U$4:$Z$1003,5,FALSE),IF($C$1075&gt;0,VLOOKUP($C1676,PATRIMONIALE!$U$4:$Z$1003,5,FALSE),IF($C$1074&gt;0,VLOOKUP($C1676,ENTI!$U$4:$Z$1003,5,FALSE),"")))</f>
        <v>#N/A</v>
      </c>
      <c r="H1676" s="42" t="e">
        <f ca="1">IF($C$1076&gt;0,VLOOKUP($C1676,COSTI!$U$4:$Z$1003,6,FALSE),IF($C$1075&gt;0,VLOOKUP($C1676,PATRIMONIALE!$U$4:$Z$1003,6,FALSE),IF($C$1074&gt;0,VLOOKUP($C1676,ENTI!$U$4:$Z$1003,6,FALSE),"")))</f>
        <v>#N/A</v>
      </c>
      <c r="I1676" s="496">
        <v>596</v>
      </c>
      <c r="J1676" s="43" t="e">
        <f ca="1">VLOOKUP(D1676,$F$1081:$I$4183,4,FALSE)+COUNTIF(E$1081:E1675,E1676)</f>
        <v>#N/A</v>
      </c>
      <c r="K1676" s="1"/>
      <c r="L1676" s="39" t="e">
        <f>IF($C$1074&gt;0,VLOOKUP($C1676,ENTI!$U$4:$AD$1003,10,FALSE),"")</f>
        <v>#N/A</v>
      </c>
      <c r="M1676" s="1"/>
      <c r="N1676" s="1"/>
      <c r="O1676" s="1"/>
    </row>
    <row r="1677" spans="1:15" hidden="1">
      <c r="A1677" s="1"/>
      <c r="B1677" s="40" t="e">
        <f t="shared" ca="1" si="208"/>
        <v>#N/A</v>
      </c>
      <c r="C1677" s="496">
        <v>597</v>
      </c>
      <c r="D1677" s="41" t="e">
        <f ca="1">IF($C$1076&gt;0,VLOOKUP($C1677,COSTI!$U$4:$Z$1003,3,FALSE),IF($C$1075&gt;0,VLOOKUP($C1677,PATRIMONIALE!$U$4:$Z$1003,3,FALSE),IF($C$1074&gt;0,VLOOKUP($C1677,ENTI!$U$4:$Z$1003,3,FALSE),"")))</f>
        <v>#N/A</v>
      </c>
      <c r="E1677" s="41" t="str">
        <f t="shared" ca="1" si="209"/>
        <v/>
      </c>
      <c r="F1677" s="41" t="e">
        <f t="shared" ca="1" si="210"/>
        <v>#NUM!</v>
      </c>
      <c r="G1677" s="39" t="e">
        <f ca="1">IF($C$1076&gt;0,VLOOKUP($C1677,COSTI!$U$4:$Z$1003,5,FALSE),IF($C$1075&gt;0,VLOOKUP($C1677,PATRIMONIALE!$U$4:$Z$1003,5,FALSE),IF($C$1074&gt;0,VLOOKUP($C1677,ENTI!$U$4:$Z$1003,5,FALSE),"")))</f>
        <v>#N/A</v>
      </c>
      <c r="H1677" s="42" t="e">
        <f ca="1">IF($C$1076&gt;0,VLOOKUP($C1677,COSTI!$U$4:$Z$1003,6,FALSE),IF($C$1075&gt;0,VLOOKUP($C1677,PATRIMONIALE!$U$4:$Z$1003,6,FALSE),IF($C$1074&gt;0,VLOOKUP($C1677,ENTI!$U$4:$Z$1003,6,FALSE),"")))</f>
        <v>#N/A</v>
      </c>
      <c r="I1677" s="496">
        <v>597</v>
      </c>
      <c r="J1677" s="43" t="e">
        <f ca="1">VLOOKUP(D1677,$F$1081:$I$4183,4,FALSE)+COUNTIF(E$1081:E1676,E1677)</f>
        <v>#N/A</v>
      </c>
      <c r="K1677" s="1"/>
      <c r="L1677" s="39" t="e">
        <f>IF($C$1074&gt;0,VLOOKUP($C1677,ENTI!$U$4:$AD$1003,10,FALSE),"")</f>
        <v>#N/A</v>
      </c>
      <c r="M1677" s="1"/>
      <c r="N1677" s="1"/>
      <c r="O1677" s="1"/>
    </row>
    <row r="1678" spans="1:15" hidden="1">
      <c r="A1678" s="1"/>
      <c r="B1678" s="40" t="e">
        <f t="shared" ca="1" si="208"/>
        <v>#N/A</v>
      </c>
      <c r="C1678" s="496">
        <v>598</v>
      </c>
      <c r="D1678" s="41" t="e">
        <f ca="1">IF($C$1076&gt;0,VLOOKUP($C1678,COSTI!$U$4:$Z$1003,3,FALSE),IF($C$1075&gt;0,VLOOKUP($C1678,PATRIMONIALE!$U$4:$Z$1003,3,FALSE),IF($C$1074&gt;0,VLOOKUP($C1678,ENTI!$U$4:$Z$1003,3,FALSE),"")))</f>
        <v>#N/A</v>
      </c>
      <c r="E1678" s="41" t="str">
        <f t="shared" ca="1" si="209"/>
        <v/>
      </c>
      <c r="F1678" s="41" t="e">
        <f t="shared" ca="1" si="210"/>
        <v>#NUM!</v>
      </c>
      <c r="G1678" s="39" t="e">
        <f ca="1">IF($C$1076&gt;0,VLOOKUP($C1678,COSTI!$U$4:$Z$1003,5,FALSE),IF($C$1075&gt;0,VLOOKUP($C1678,PATRIMONIALE!$U$4:$Z$1003,5,FALSE),IF($C$1074&gt;0,VLOOKUP($C1678,ENTI!$U$4:$Z$1003,5,FALSE),"")))</f>
        <v>#N/A</v>
      </c>
      <c r="H1678" s="42" t="e">
        <f ca="1">IF($C$1076&gt;0,VLOOKUP($C1678,COSTI!$U$4:$Z$1003,6,FALSE),IF($C$1075&gt;0,VLOOKUP($C1678,PATRIMONIALE!$U$4:$Z$1003,6,FALSE),IF($C$1074&gt;0,VLOOKUP($C1678,ENTI!$U$4:$Z$1003,6,FALSE),"")))</f>
        <v>#N/A</v>
      </c>
      <c r="I1678" s="496">
        <v>598</v>
      </c>
      <c r="J1678" s="43" t="e">
        <f ca="1">VLOOKUP(D1678,$F$1081:$I$4183,4,FALSE)+COUNTIF(E$1081:E1677,E1678)</f>
        <v>#N/A</v>
      </c>
      <c r="K1678" s="1"/>
      <c r="L1678" s="39" t="e">
        <f>IF($C$1074&gt;0,VLOOKUP($C1678,ENTI!$U$4:$AD$1003,10,FALSE),"")</f>
        <v>#N/A</v>
      </c>
      <c r="M1678" s="1"/>
      <c r="N1678" s="1"/>
      <c r="O1678" s="1"/>
    </row>
    <row r="1679" spans="1:15" hidden="1">
      <c r="A1679" s="1"/>
      <c r="B1679" s="40" t="e">
        <f t="shared" ca="1" si="208"/>
        <v>#N/A</v>
      </c>
      <c r="C1679" s="496">
        <v>599</v>
      </c>
      <c r="D1679" s="41" t="e">
        <f ca="1">IF($C$1076&gt;0,VLOOKUP($C1679,COSTI!$U$4:$Z$1003,3,FALSE),IF($C$1075&gt;0,VLOOKUP($C1679,PATRIMONIALE!$U$4:$Z$1003,3,FALSE),IF($C$1074&gt;0,VLOOKUP($C1679,ENTI!$U$4:$Z$1003,3,FALSE),"")))</f>
        <v>#N/A</v>
      </c>
      <c r="E1679" s="41" t="str">
        <f t="shared" ca="1" si="209"/>
        <v/>
      </c>
      <c r="F1679" s="41" t="e">
        <f t="shared" ca="1" si="210"/>
        <v>#NUM!</v>
      </c>
      <c r="G1679" s="39" t="e">
        <f ca="1">IF($C$1076&gt;0,VLOOKUP($C1679,COSTI!$U$4:$Z$1003,5,FALSE),IF($C$1075&gt;0,VLOOKUP($C1679,PATRIMONIALE!$U$4:$Z$1003,5,FALSE),IF($C$1074&gt;0,VLOOKUP($C1679,ENTI!$U$4:$Z$1003,5,FALSE),"")))</f>
        <v>#N/A</v>
      </c>
      <c r="H1679" s="42" t="e">
        <f ca="1">IF($C$1076&gt;0,VLOOKUP($C1679,COSTI!$U$4:$Z$1003,6,FALSE),IF($C$1075&gt;0,VLOOKUP($C1679,PATRIMONIALE!$U$4:$Z$1003,6,FALSE),IF($C$1074&gt;0,VLOOKUP($C1679,ENTI!$U$4:$Z$1003,6,FALSE),"")))</f>
        <v>#N/A</v>
      </c>
      <c r="I1679" s="496">
        <v>599</v>
      </c>
      <c r="J1679" s="43" t="e">
        <f ca="1">VLOOKUP(D1679,$F$1081:$I$4183,4,FALSE)+COUNTIF(E$1081:E1678,E1679)</f>
        <v>#N/A</v>
      </c>
      <c r="K1679" s="1"/>
      <c r="L1679" s="39" t="e">
        <f>IF($C$1074&gt;0,VLOOKUP($C1679,ENTI!$U$4:$AD$1003,10,FALSE),"")</f>
        <v>#N/A</v>
      </c>
      <c r="M1679" s="1"/>
      <c r="N1679" s="1"/>
      <c r="O1679" s="1"/>
    </row>
    <row r="1680" spans="1:15" hidden="1">
      <c r="A1680" s="1"/>
      <c r="B1680" s="40" t="e">
        <f t="shared" ca="1" si="208"/>
        <v>#N/A</v>
      </c>
      <c r="C1680" s="496">
        <v>600</v>
      </c>
      <c r="D1680" s="41" t="e">
        <f ca="1">IF($C$1076&gt;0,VLOOKUP($C1680,COSTI!$U$4:$Z$1003,3,FALSE),IF($C$1075&gt;0,VLOOKUP($C1680,PATRIMONIALE!$U$4:$Z$1003,3,FALSE),IF($C$1074&gt;0,VLOOKUP($C1680,ENTI!$U$4:$Z$1003,3,FALSE),"")))</f>
        <v>#N/A</v>
      </c>
      <c r="E1680" s="41" t="str">
        <f t="shared" ca="1" si="209"/>
        <v/>
      </c>
      <c r="F1680" s="41" t="e">
        <f t="shared" ca="1" si="210"/>
        <v>#NUM!</v>
      </c>
      <c r="G1680" s="39" t="e">
        <f ca="1">IF($C$1076&gt;0,VLOOKUP($C1680,COSTI!$U$4:$Z$1003,5,FALSE),IF($C$1075&gt;0,VLOOKUP($C1680,PATRIMONIALE!$U$4:$Z$1003,5,FALSE),IF($C$1074&gt;0,VLOOKUP($C1680,ENTI!$U$4:$Z$1003,5,FALSE),"")))</f>
        <v>#N/A</v>
      </c>
      <c r="H1680" s="42" t="e">
        <f ca="1">IF($C$1076&gt;0,VLOOKUP($C1680,COSTI!$U$4:$Z$1003,6,FALSE),IF($C$1075&gt;0,VLOOKUP($C1680,PATRIMONIALE!$U$4:$Z$1003,6,FALSE),IF($C$1074&gt;0,VLOOKUP($C1680,ENTI!$U$4:$Z$1003,6,FALSE),"")))</f>
        <v>#N/A</v>
      </c>
      <c r="I1680" s="496">
        <v>600</v>
      </c>
      <c r="J1680" s="43" t="e">
        <f ca="1">VLOOKUP(D1680,$F$1081:$I$4183,4,FALSE)+COUNTIF(E$1081:E1679,E1680)</f>
        <v>#N/A</v>
      </c>
      <c r="K1680" s="1"/>
      <c r="L1680" s="39" t="e">
        <f>IF($C$1074&gt;0,VLOOKUP($C1680,ENTI!$U$4:$AD$1003,10,FALSE),"")</f>
        <v>#N/A</v>
      </c>
      <c r="M1680" s="1"/>
      <c r="N1680" s="1"/>
      <c r="O1680" s="1"/>
    </row>
    <row r="1681" spans="1:15" hidden="1">
      <c r="A1681" s="1"/>
      <c r="B1681" s="40" t="e">
        <f t="shared" ca="1" si="208"/>
        <v>#N/A</v>
      </c>
      <c r="C1681" s="496">
        <v>601</v>
      </c>
      <c r="D1681" s="41" t="e">
        <f ca="1">IF($C$1076&gt;0,VLOOKUP($C1681,COSTI!$U$4:$Z$1003,3,FALSE),IF($C$1075&gt;0,VLOOKUP($C1681,PATRIMONIALE!$U$4:$Z$1003,3,FALSE),IF($C$1074&gt;0,VLOOKUP($C1681,ENTI!$U$4:$Z$1003,3,FALSE),"")))</f>
        <v>#N/A</v>
      </c>
      <c r="E1681" s="41" t="str">
        <f t="shared" ca="1" si="209"/>
        <v/>
      </c>
      <c r="F1681" s="41" t="e">
        <f t="shared" ca="1" si="210"/>
        <v>#NUM!</v>
      </c>
      <c r="G1681" s="39" t="e">
        <f ca="1">IF($C$1076&gt;0,VLOOKUP($C1681,COSTI!$U$4:$Z$1003,5,FALSE),IF($C$1075&gt;0,VLOOKUP($C1681,PATRIMONIALE!$U$4:$Z$1003,5,FALSE),IF($C$1074&gt;0,VLOOKUP($C1681,ENTI!$U$4:$Z$1003,5,FALSE),"")))</f>
        <v>#N/A</v>
      </c>
      <c r="H1681" s="42" t="e">
        <f ca="1">IF($C$1076&gt;0,VLOOKUP($C1681,COSTI!$U$4:$Z$1003,6,FALSE),IF($C$1075&gt;0,VLOOKUP($C1681,PATRIMONIALE!$U$4:$Z$1003,6,FALSE),IF($C$1074&gt;0,VLOOKUP($C1681,ENTI!$U$4:$Z$1003,6,FALSE),"")))</f>
        <v>#N/A</v>
      </c>
      <c r="I1681" s="496">
        <v>601</v>
      </c>
      <c r="J1681" s="43" t="e">
        <f ca="1">VLOOKUP(D1681,$F$1081:$I$4183,4,FALSE)+COUNTIF(E$1081:E1680,E1681)</f>
        <v>#N/A</v>
      </c>
      <c r="K1681" s="1"/>
      <c r="L1681" s="39" t="e">
        <f>IF($C$1074&gt;0,VLOOKUP($C1681,ENTI!$U$4:$AD$1003,10,FALSE),"")</f>
        <v>#N/A</v>
      </c>
      <c r="M1681" s="1"/>
      <c r="N1681" s="1"/>
      <c r="O1681" s="1"/>
    </row>
    <row r="1682" spans="1:15" hidden="1">
      <c r="A1682" s="1"/>
      <c r="B1682" s="40" t="e">
        <f t="shared" ca="1" si="208"/>
        <v>#N/A</v>
      </c>
      <c r="C1682" s="496">
        <v>602</v>
      </c>
      <c r="D1682" s="41" t="e">
        <f ca="1">IF($C$1076&gt;0,VLOOKUP($C1682,COSTI!$U$4:$Z$1003,3,FALSE),IF($C$1075&gt;0,VLOOKUP($C1682,PATRIMONIALE!$U$4:$Z$1003,3,FALSE),IF($C$1074&gt;0,VLOOKUP($C1682,ENTI!$U$4:$Z$1003,3,FALSE),"")))</f>
        <v>#N/A</v>
      </c>
      <c r="E1682" s="41" t="str">
        <f t="shared" ca="1" si="209"/>
        <v/>
      </c>
      <c r="F1682" s="41" t="e">
        <f t="shared" ca="1" si="210"/>
        <v>#NUM!</v>
      </c>
      <c r="G1682" s="39" t="e">
        <f ca="1">IF($C$1076&gt;0,VLOOKUP($C1682,COSTI!$U$4:$Z$1003,5,FALSE),IF($C$1075&gt;0,VLOOKUP($C1682,PATRIMONIALE!$U$4:$Z$1003,5,FALSE),IF($C$1074&gt;0,VLOOKUP($C1682,ENTI!$U$4:$Z$1003,5,FALSE),"")))</f>
        <v>#N/A</v>
      </c>
      <c r="H1682" s="42" t="e">
        <f ca="1">IF($C$1076&gt;0,VLOOKUP($C1682,COSTI!$U$4:$Z$1003,6,FALSE),IF($C$1075&gt;0,VLOOKUP($C1682,PATRIMONIALE!$U$4:$Z$1003,6,FALSE),IF($C$1074&gt;0,VLOOKUP($C1682,ENTI!$U$4:$Z$1003,6,FALSE),"")))</f>
        <v>#N/A</v>
      </c>
      <c r="I1682" s="496">
        <v>602</v>
      </c>
      <c r="J1682" s="43" t="e">
        <f ca="1">VLOOKUP(D1682,$F$1081:$I$4183,4,FALSE)+COUNTIF(E$1081:E1681,E1682)</f>
        <v>#N/A</v>
      </c>
      <c r="K1682" s="1"/>
      <c r="L1682" s="39" t="e">
        <f>IF($C$1074&gt;0,VLOOKUP($C1682,ENTI!$U$4:$AD$1003,10,FALSE),"")</f>
        <v>#N/A</v>
      </c>
      <c r="M1682" s="1"/>
      <c r="N1682" s="1"/>
      <c r="O1682" s="1"/>
    </row>
    <row r="1683" spans="1:15" hidden="1">
      <c r="A1683" s="1"/>
      <c r="B1683" s="40" t="e">
        <f t="shared" ca="1" si="208"/>
        <v>#N/A</v>
      </c>
      <c r="C1683" s="496">
        <v>603</v>
      </c>
      <c r="D1683" s="41" t="e">
        <f ca="1">IF($C$1076&gt;0,VLOOKUP($C1683,COSTI!$U$4:$Z$1003,3,FALSE),IF($C$1075&gt;0,VLOOKUP($C1683,PATRIMONIALE!$U$4:$Z$1003,3,FALSE),IF($C$1074&gt;0,VLOOKUP($C1683,ENTI!$U$4:$Z$1003,3,FALSE),"")))</f>
        <v>#N/A</v>
      </c>
      <c r="E1683" s="41" t="str">
        <f t="shared" ca="1" si="209"/>
        <v/>
      </c>
      <c r="F1683" s="41" t="e">
        <f t="shared" ca="1" si="210"/>
        <v>#NUM!</v>
      </c>
      <c r="G1683" s="39" t="e">
        <f ca="1">IF($C$1076&gt;0,VLOOKUP($C1683,COSTI!$U$4:$Z$1003,5,FALSE),IF($C$1075&gt;0,VLOOKUP($C1683,PATRIMONIALE!$U$4:$Z$1003,5,FALSE),IF($C$1074&gt;0,VLOOKUP($C1683,ENTI!$U$4:$Z$1003,5,FALSE),"")))</f>
        <v>#N/A</v>
      </c>
      <c r="H1683" s="42" t="e">
        <f ca="1">IF($C$1076&gt;0,VLOOKUP($C1683,COSTI!$U$4:$Z$1003,6,FALSE),IF($C$1075&gt;0,VLOOKUP($C1683,PATRIMONIALE!$U$4:$Z$1003,6,FALSE),IF($C$1074&gt;0,VLOOKUP($C1683,ENTI!$U$4:$Z$1003,6,FALSE),"")))</f>
        <v>#N/A</v>
      </c>
      <c r="I1683" s="496">
        <v>603</v>
      </c>
      <c r="J1683" s="43" t="e">
        <f ca="1">VLOOKUP(D1683,$F$1081:$I$4183,4,FALSE)+COUNTIF(E$1081:E1682,E1683)</f>
        <v>#N/A</v>
      </c>
      <c r="K1683" s="1"/>
      <c r="L1683" s="39" t="e">
        <f>IF($C$1074&gt;0,VLOOKUP($C1683,ENTI!$U$4:$AD$1003,10,FALSE),"")</f>
        <v>#N/A</v>
      </c>
      <c r="M1683" s="1"/>
      <c r="N1683" s="1"/>
      <c r="O1683" s="1"/>
    </row>
    <row r="1684" spans="1:15" hidden="1">
      <c r="A1684" s="1"/>
      <c r="B1684" s="40" t="e">
        <f t="shared" ca="1" si="208"/>
        <v>#N/A</v>
      </c>
      <c r="C1684" s="496">
        <v>604</v>
      </c>
      <c r="D1684" s="41" t="e">
        <f ca="1">IF($C$1076&gt;0,VLOOKUP($C1684,COSTI!$U$4:$Z$1003,3,FALSE),IF($C$1075&gt;0,VLOOKUP($C1684,PATRIMONIALE!$U$4:$Z$1003,3,FALSE),IF($C$1074&gt;0,VLOOKUP($C1684,ENTI!$U$4:$Z$1003,3,FALSE),"")))</f>
        <v>#N/A</v>
      </c>
      <c r="E1684" s="41" t="str">
        <f t="shared" ca="1" si="209"/>
        <v/>
      </c>
      <c r="F1684" s="41" t="e">
        <f t="shared" ca="1" si="210"/>
        <v>#NUM!</v>
      </c>
      <c r="G1684" s="39" t="e">
        <f ca="1">IF($C$1076&gt;0,VLOOKUP($C1684,COSTI!$U$4:$Z$1003,5,FALSE),IF($C$1075&gt;0,VLOOKUP($C1684,PATRIMONIALE!$U$4:$Z$1003,5,FALSE),IF($C$1074&gt;0,VLOOKUP($C1684,ENTI!$U$4:$Z$1003,5,FALSE),"")))</f>
        <v>#N/A</v>
      </c>
      <c r="H1684" s="42" t="e">
        <f ca="1">IF($C$1076&gt;0,VLOOKUP($C1684,COSTI!$U$4:$Z$1003,6,FALSE),IF($C$1075&gt;0,VLOOKUP($C1684,PATRIMONIALE!$U$4:$Z$1003,6,FALSE),IF($C$1074&gt;0,VLOOKUP($C1684,ENTI!$U$4:$Z$1003,6,FALSE),"")))</f>
        <v>#N/A</v>
      </c>
      <c r="I1684" s="496">
        <v>604</v>
      </c>
      <c r="J1684" s="43" t="e">
        <f ca="1">VLOOKUP(D1684,$F$1081:$I$4183,4,FALSE)+COUNTIF(E$1081:E1683,E1684)</f>
        <v>#N/A</v>
      </c>
      <c r="K1684" s="1"/>
      <c r="L1684" s="39" t="e">
        <f>IF($C$1074&gt;0,VLOOKUP($C1684,ENTI!$U$4:$AD$1003,10,FALSE),"")</f>
        <v>#N/A</v>
      </c>
      <c r="M1684" s="1"/>
      <c r="N1684" s="1"/>
      <c r="O1684" s="1"/>
    </row>
    <row r="1685" spans="1:15" hidden="1">
      <c r="A1685" s="1"/>
      <c r="B1685" s="40" t="e">
        <f t="shared" ca="1" si="208"/>
        <v>#N/A</v>
      </c>
      <c r="C1685" s="496">
        <v>605</v>
      </c>
      <c r="D1685" s="41" t="e">
        <f ca="1">IF($C$1076&gt;0,VLOOKUP($C1685,COSTI!$U$4:$Z$1003,3,FALSE),IF($C$1075&gt;0,VLOOKUP($C1685,PATRIMONIALE!$U$4:$Z$1003,3,FALSE),IF($C$1074&gt;0,VLOOKUP($C1685,ENTI!$U$4:$Z$1003,3,FALSE),"")))</f>
        <v>#N/A</v>
      </c>
      <c r="E1685" s="41" t="str">
        <f t="shared" ca="1" si="209"/>
        <v/>
      </c>
      <c r="F1685" s="41" t="e">
        <f t="shared" ca="1" si="210"/>
        <v>#NUM!</v>
      </c>
      <c r="G1685" s="39" t="e">
        <f ca="1">IF($C$1076&gt;0,VLOOKUP($C1685,COSTI!$U$4:$Z$1003,5,FALSE),IF($C$1075&gt;0,VLOOKUP($C1685,PATRIMONIALE!$U$4:$Z$1003,5,FALSE),IF($C$1074&gt;0,VLOOKUP($C1685,ENTI!$U$4:$Z$1003,5,FALSE),"")))</f>
        <v>#N/A</v>
      </c>
      <c r="H1685" s="42" t="e">
        <f ca="1">IF($C$1076&gt;0,VLOOKUP($C1685,COSTI!$U$4:$Z$1003,6,FALSE),IF($C$1075&gt;0,VLOOKUP($C1685,PATRIMONIALE!$U$4:$Z$1003,6,FALSE),IF($C$1074&gt;0,VLOOKUP($C1685,ENTI!$U$4:$Z$1003,6,FALSE),"")))</f>
        <v>#N/A</v>
      </c>
      <c r="I1685" s="496">
        <v>605</v>
      </c>
      <c r="J1685" s="43" t="e">
        <f ca="1">VLOOKUP(D1685,$F$1081:$I$4183,4,FALSE)+COUNTIF(E$1081:E1684,E1685)</f>
        <v>#N/A</v>
      </c>
      <c r="K1685" s="1"/>
      <c r="L1685" s="39" t="e">
        <f>IF($C$1074&gt;0,VLOOKUP($C1685,ENTI!$U$4:$AD$1003,10,FALSE),"")</f>
        <v>#N/A</v>
      </c>
      <c r="M1685" s="1"/>
      <c r="N1685" s="1"/>
      <c r="O1685" s="1"/>
    </row>
    <row r="1686" spans="1:15" hidden="1">
      <c r="A1686" s="1"/>
      <c r="B1686" s="40" t="e">
        <f t="shared" ca="1" si="208"/>
        <v>#N/A</v>
      </c>
      <c r="C1686" s="496">
        <v>606</v>
      </c>
      <c r="D1686" s="41" t="e">
        <f ca="1">IF($C$1076&gt;0,VLOOKUP($C1686,COSTI!$U$4:$Z$1003,3,FALSE),IF($C$1075&gt;0,VLOOKUP($C1686,PATRIMONIALE!$U$4:$Z$1003,3,FALSE),IF($C$1074&gt;0,VLOOKUP($C1686,ENTI!$U$4:$Z$1003,3,FALSE),"")))</f>
        <v>#N/A</v>
      </c>
      <c r="E1686" s="41" t="str">
        <f t="shared" ca="1" si="209"/>
        <v/>
      </c>
      <c r="F1686" s="41" t="e">
        <f t="shared" ca="1" si="210"/>
        <v>#NUM!</v>
      </c>
      <c r="G1686" s="39" t="e">
        <f ca="1">IF($C$1076&gt;0,VLOOKUP($C1686,COSTI!$U$4:$Z$1003,5,FALSE),IF($C$1075&gt;0,VLOOKUP($C1686,PATRIMONIALE!$U$4:$Z$1003,5,FALSE),IF($C$1074&gt;0,VLOOKUP($C1686,ENTI!$U$4:$Z$1003,5,FALSE),"")))</f>
        <v>#N/A</v>
      </c>
      <c r="H1686" s="42" t="e">
        <f ca="1">IF($C$1076&gt;0,VLOOKUP($C1686,COSTI!$U$4:$Z$1003,6,FALSE),IF($C$1075&gt;0,VLOOKUP($C1686,PATRIMONIALE!$U$4:$Z$1003,6,FALSE),IF($C$1074&gt;0,VLOOKUP($C1686,ENTI!$U$4:$Z$1003,6,FALSE),"")))</f>
        <v>#N/A</v>
      </c>
      <c r="I1686" s="496">
        <v>606</v>
      </c>
      <c r="J1686" s="43" t="e">
        <f ca="1">VLOOKUP(D1686,$F$1081:$I$4183,4,FALSE)+COUNTIF(E$1081:E1685,E1686)</f>
        <v>#N/A</v>
      </c>
      <c r="K1686" s="1"/>
      <c r="L1686" s="39" t="e">
        <f>IF($C$1074&gt;0,VLOOKUP($C1686,ENTI!$U$4:$AD$1003,10,FALSE),"")</f>
        <v>#N/A</v>
      </c>
      <c r="M1686" s="1"/>
      <c r="N1686" s="1"/>
      <c r="O1686" s="1"/>
    </row>
    <row r="1687" spans="1:15" hidden="1">
      <c r="A1687" s="1"/>
      <c r="B1687" s="40" t="e">
        <f t="shared" ca="1" si="208"/>
        <v>#N/A</v>
      </c>
      <c r="C1687" s="496">
        <v>607</v>
      </c>
      <c r="D1687" s="41" t="e">
        <f ca="1">IF($C$1076&gt;0,VLOOKUP($C1687,COSTI!$U$4:$Z$1003,3,FALSE),IF($C$1075&gt;0,VLOOKUP($C1687,PATRIMONIALE!$U$4:$Z$1003,3,FALSE),IF($C$1074&gt;0,VLOOKUP($C1687,ENTI!$U$4:$Z$1003,3,FALSE),"")))</f>
        <v>#N/A</v>
      </c>
      <c r="E1687" s="41" t="str">
        <f t="shared" ca="1" si="209"/>
        <v/>
      </c>
      <c r="F1687" s="41" t="e">
        <f t="shared" ca="1" si="210"/>
        <v>#NUM!</v>
      </c>
      <c r="G1687" s="39" t="e">
        <f ca="1">IF($C$1076&gt;0,VLOOKUP($C1687,COSTI!$U$4:$Z$1003,5,FALSE),IF($C$1075&gt;0,VLOOKUP($C1687,PATRIMONIALE!$U$4:$Z$1003,5,FALSE),IF($C$1074&gt;0,VLOOKUP($C1687,ENTI!$U$4:$Z$1003,5,FALSE),"")))</f>
        <v>#N/A</v>
      </c>
      <c r="H1687" s="42" t="e">
        <f ca="1">IF($C$1076&gt;0,VLOOKUP($C1687,COSTI!$U$4:$Z$1003,6,FALSE),IF($C$1075&gt;0,VLOOKUP($C1687,PATRIMONIALE!$U$4:$Z$1003,6,FALSE),IF($C$1074&gt;0,VLOOKUP($C1687,ENTI!$U$4:$Z$1003,6,FALSE),"")))</f>
        <v>#N/A</v>
      </c>
      <c r="I1687" s="496">
        <v>607</v>
      </c>
      <c r="J1687" s="43" t="e">
        <f ca="1">VLOOKUP(D1687,$F$1081:$I$4183,4,FALSE)+COUNTIF(E$1081:E1686,E1687)</f>
        <v>#N/A</v>
      </c>
      <c r="K1687" s="1"/>
      <c r="L1687" s="39" t="e">
        <f>IF($C$1074&gt;0,VLOOKUP($C1687,ENTI!$U$4:$AD$1003,10,FALSE),"")</f>
        <v>#N/A</v>
      </c>
      <c r="M1687" s="1"/>
      <c r="N1687" s="1"/>
      <c r="O1687" s="1"/>
    </row>
    <row r="1688" spans="1:15" hidden="1">
      <c r="A1688" s="1"/>
      <c r="B1688" s="40" t="e">
        <f t="shared" ca="1" si="208"/>
        <v>#N/A</v>
      </c>
      <c r="C1688" s="496">
        <v>608</v>
      </c>
      <c r="D1688" s="41" t="e">
        <f ca="1">IF($C$1076&gt;0,VLOOKUP($C1688,COSTI!$U$4:$Z$1003,3,FALSE),IF($C$1075&gt;0,VLOOKUP($C1688,PATRIMONIALE!$U$4:$Z$1003,3,FALSE),IF($C$1074&gt;0,VLOOKUP($C1688,ENTI!$U$4:$Z$1003,3,FALSE),"")))</f>
        <v>#N/A</v>
      </c>
      <c r="E1688" s="41" t="str">
        <f t="shared" ca="1" si="209"/>
        <v/>
      </c>
      <c r="F1688" s="41" t="e">
        <f t="shared" ca="1" si="210"/>
        <v>#NUM!</v>
      </c>
      <c r="G1688" s="39" t="e">
        <f ca="1">IF($C$1076&gt;0,VLOOKUP($C1688,COSTI!$U$4:$Z$1003,5,FALSE),IF($C$1075&gt;0,VLOOKUP($C1688,PATRIMONIALE!$U$4:$Z$1003,5,FALSE),IF($C$1074&gt;0,VLOOKUP($C1688,ENTI!$U$4:$Z$1003,5,FALSE),"")))</f>
        <v>#N/A</v>
      </c>
      <c r="H1688" s="42" t="e">
        <f ca="1">IF($C$1076&gt;0,VLOOKUP($C1688,COSTI!$U$4:$Z$1003,6,FALSE),IF($C$1075&gt;0,VLOOKUP($C1688,PATRIMONIALE!$U$4:$Z$1003,6,FALSE),IF($C$1074&gt;0,VLOOKUP($C1688,ENTI!$U$4:$Z$1003,6,FALSE),"")))</f>
        <v>#N/A</v>
      </c>
      <c r="I1688" s="496">
        <v>608</v>
      </c>
      <c r="J1688" s="43" t="e">
        <f ca="1">VLOOKUP(D1688,$F$1081:$I$4183,4,FALSE)+COUNTIF(E$1081:E1687,E1688)</f>
        <v>#N/A</v>
      </c>
      <c r="K1688" s="1"/>
      <c r="L1688" s="39" t="e">
        <f>IF($C$1074&gt;0,VLOOKUP($C1688,ENTI!$U$4:$AD$1003,10,FALSE),"")</f>
        <v>#N/A</v>
      </c>
      <c r="M1688" s="1"/>
      <c r="N1688" s="1"/>
      <c r="O1688" s="1"/>
    </row>
    <row r="1689" spans="1:15" hidden="1">
      <c r="A1689" s="1"/>
      <c r="B1689" s="40" t="e">
        <f t="shared" ca="1" si="208"/>
        <v>#N/A</v>
      </c>
      <c r="C1689" s="496">
        <v>609</v>
      </c>
      <c r="D1689" s="41" t="e">
        <f ca="1">IF($C$1076&gt;0,VLOOKUP($C1689,COSTI!$U$4:$Z$1003,3,FALSE),IF($C$1075&gt;0,VLOOKUP($C1689,PATRIMONIALE!$U$4:$Z$1003,3,FALSE),IF($C$1074&gt;0,VLOOKUP($C1689,ENTI!$U$4:$Z$1003,3,FALSE),"")))</f>
        <v>#N/A</v>
      </c>
      <c r="E1689" s="41" t="str">
        <f t="shared" ca="1" si="209"/>
        <v/>
      </c>
      <c r="F1689" s="41" t="e">
        <f t="shared" ca="1" si="210"/>
        <v>#NUM!</v>
      </c>
      <c r="G1689" s="39" t="e">
        <f ca="1">IF($C$1076&gt;0,VLOOKUP($C1689,COSTI!$U$4:$Z$1003,5,FALSE),IF($C$1075&gt;0,VLOOKUP($C1689,PATRIMONIALE!$U$4:$Z$1003,5,FALSE),IF($C$1074&gt;0,VLOOKUP($C1689,ENTI!$U$4:$Z$1003,5,FALSE),"")))</f>
        <v>#N/A</v>
      </c>
      <c r="H1689" s="42" t="e">
        <f ca="1">IF($C$1076&gt;0,VLOOKUP($C1689,COSTI!$U$4:$Z$1003,6,FALSE),IF($C$1075&gt;0,VLOOKUP($C1689,PATRIMONIALE!$U$4:$Z$1003,6,FALSE),IF($C$1074&gt;0,VLOOKUP($C1689,ENTI!$U$4:$Z$1003,6,FALSE),"")))</f>
        <v>#N/A</v>
      </c>
      <c r="I1689" s="496">
        <v>609</v>
      </c>
      <c r="J1689" s="43" t="e">
        <f ca="1">VLOOKUP(D1689,$F$1081:$I$4183,4,FALSE)+COUNTIF(E$1081:E1688,E1689)</f>
        <v>#N/A</v>
      </c>
      <c r="K1689" s="1"/>
      <c r="L1689" s="39" t="e">
        <f>IF($C$1074&gt;0,VLOOKUP($C1689,ENTI!$U$4:$AD$1003,10,FALSE),"")</f>
        <v>#N/A</v>
      </c>
      <c r="M1689" s="1"/>
      <c r="N1689" s="1"/>
      <c r="O1689" s="1"/>
    </row>
    <row r="1690" spans="1:15" hidden="1">
      <c r="A1690" s="1"/>
      <c r="B1690" s="40" t="e">
        <f t="shared" ca="1" si="208"/>
        <v>#N/A</v>
      </c>
      <c r="C1690" s="496">
        <v>610</v>
      </c>
      <c r="D1690" s="41" t="e">
        <f ca="1">IF($C$1076&gt;0,VLOOKUP($C1690,COSTI!$U$4:$Z$1003,3,FALSE),IF($C$1075&gt;0,VLOOKUP($C1690,PATRIMONIALE!$U$4:$Z$1003,3,FALSE),IF($C$1074&gt;0,VLOOKUP($C1690,ENTI!$U$4:$Z$1003,3,FALSE),"")))</f>
        <v>#N/A</v>
      </c>
      <c r="E1690" s="41" t="str">
        <f t="shared" ca="1" si="209"/>
        <v/>
      </c>
      <c r="F1690" s="41" t="e">
        <f t="shared" ca="1" si="210"/>
        <v>#NUM!</v>
      </c>
      <c r="G1690" s="39" t="e">
        <f ca="1">IF($C$1076&gt;0,VLOOKUP($C1690,COSTI!$U$4:$Z$1003,5,FALSE),IF($C$1075&gt;0,VLOOKUP($C1690,PATRIMONIALE!$U$4:$Z$1003,5,FALSE),IF($C$1074&gt;0,VLOOKUP($C1690,ENTI!$U$4:$Z$1003,5,FALSE),"")))</f>
        <v>#N/A</v>
      </c>
      <c r="H1690" s="42" t="e">
        <f ca="1">IF($C$1076&gt;0,VLOOKUP($C1690,COSTI!$U$4:$Z$1003,6,FALSE),IF($C$1075&gt;0,VLOOKUP($C1690,PATRIMONIALE!$U$4:$Z$1003,6,FALSE),IF($C$1074&gt;0,VLOOKUP($C1690,ENTI!$U$4:$Z$1003,6,FALSE),"")))</f>
        <v>#N/A</v>
      </c>
      <c r="I1690" s="496">
        <v>610</v>
      </c>
      <c r="J1690" s="43" t="e">
        <f ca="1">VLOOKUP(D1690,$F$1081:$I$4183,4,FALSE)+COUNTIF(E$1081:E1689,E1690)</f>
        <v>#N/A</v>
      </c>
      <c r="K1690" s="1"/>
      <c r="L1690" s="39" t="e">
        <f>IF($C$1074&gt;0,VLOOKUP($C1690,ENTI!$U$4:$AD$1003,10,FALSE),"")</f>
        <v>#N/A</v>
      </c>
      <c r="M1690" s="1"/>
      <c r="N1690" s="1"/>
      <c r="O1690" s="1"/>
    </row>
    <row r="1691" spans="1:15" hidden="1">
      <c r="A1691" s="1"/>
      <c r="B1691" s="40" t="e">
        <f t="shared" ca="1" si="208"/>
        <v>#N/A</v>
      </c>
      <c r="C1691" s="496">
        <v>611</v>
      </c>
      <c r="D1691" s="41" t="e">
        <f ca="1">IF($C$1076&gt;0,VLOOKUP($C1691,COSTI!$U$4:$Z$1003,3,FALSE),IF($C$1075&gt;0,VLOOKUP($C1691,PATRIMONIALE!$U$4:$Z$1003,3,FALSE),IF($C$1074&gt;0,VLOOKUP($C1691,ENTI!$U$4:$Z$1003,3,FALSE),"")))</f>
        <v>#N/A</v>
      </c>
      <c r="E1691" s="41" t="str">
        <f t="shared" ca="1" si="209"/>
        <v/>
      </c>
      <c r="F1691" s="41" t="e">
        <f t="shared" ca="1" si="210"/>
        <v>#NUM!</v>
      </c>
      <c r="G1691" s="39" t="e">
        <f ca="1">IF($C$1076&gt;0,VLOOKUP($C1691,COSTI!$U$4:$Z$1003,5,FALSE),IF($C$1075&gt;0,VLOOKUP($C1691,PATRIMONIALE!$U$4:$Z$1003,5,FALSE),IF($C$1074&gt;0,VLOOKUP($C1691,ENTI!$U$4:$Z$1003,5,FALSE),"")))</f>
        <v>#N/A</v>
      </c>
      <c r="H1691" s="42" t="e">
        <f ca="1">IF($C$1076&gt;0,VLOOKUP($C1691,COSTI!$U$4:$Z$1003,6,FALSE),IF($C$1075&gt;0,VLOOKUP($C1691,PATRIMONIALE!$U$4:$Z$1003,6,FALSE),IF($C$1074&gt;0,VLOOKUP($C1691,ENTI!$U$4:$Z$1003,6,FALSE),"")))</f>
        <v>#N/A</v>
      </c>
      <c r="I1691" s="496">
        <v>611</v>
      </c>
      <c r="J1691" s="43" t="e">
        <f ca="1">VLOOKUP(D1691,$F$1081:$I$4183,4,FALSE)+COUNTIF(E$1081:E1690,E1691)</f>
        <v>#N/A</v>
      </c>
      <c r="K1691" s="1"/>
      <c r="L1691" s="39" t="e">
        <f>IF($C$1074&gt;0,VLOOKUP($C1691,ENTI!$U$4:$AD$1003,10,FALSE),"")</f>
        <v>#N/A</v>
      </c>
      <c r="M1691" s="1"/>
      <c r="N1691" s="1"/>
      <c r="O1691" s="1"/>
    </row>
    <row r="1692" spans="1:15" hidden="1">
      <c r="A1692" s="1"/>
      <c r="B1692" s="40" t="e">
        <f t="shared" ca="1" si="208"/>
        <v>#N/A</v>
      </c>
      <c r="C1692" s="496">
        <v>612</v>
      </c>
      <c r="D1692" s="41" t="e">
        <f ca="1">IF($C$1076&gt;0,VLOOKUP($C1692,COSTI!$U$4:$Z$1003,3,FALSE),IF($C$1075&gt;0,VLOOKUP($C1692,PATRIMONIALE!$U$4:$Z$1003,3,FALSE),IF($C$1074&gt;0,VLOOKUP($C1692,ENTI!$U$4:$Z$1003,3,FALSE),"")))</f>
        <v>#N/A</v>
      </c>
      <c r="E1692" s="41" t="str">
        <f t="shared" ca="1" si="209"/>
        <v/>
      </c>
      <c r="F1692" s="41" t="e">
        <f t="shared" ca="1" si="210"/>
        <v>#NUM!</v>
      </c>
      <c r="G1692" s="39" t="e">
        <f ca="1">IF($C$1076&gt;0,VLOOKUP($C1692,COSTI!$U$4:$Z$1003,5,FALSE),IF($C$1075&gt;0,VLOOKUP($C1692,PATRIMONIALE!$U$4:$Z$1003,5,FALSE),IF($C$1074&gt;0,VLOOKUP($C1692,ENTI!$U$4:$Z$1003,5,FALSE),"")))</f>
        <v>#N/A</v>
      </c>
      <c r="H1692" s="42" t="e">
        <f ca="1">IF($C$1076&gt;0,VLOOKUP($C1692,COSTI!$U$4:$Z$1003,6,FALSE),IF($C$1075&gt;0,VLOOKUP($C1692,PATRIMONIALE!$U$4:$Z$1003,6,FALSE),IF($C$1074&gt;0,VLOOKUP($C1692,ENTI!$U$4:$Z$1003,6,FALSE),"")))</f>
        <v>#N/A</v>
      </c>
      <c r="I1692" s="496">
        <v>612</v>
      </c>
      <c r="J1692" s="43" t="e">
        <f ca="1">VLOOKUP(D1692,$F$1081:$I$4183,4,FALSE)+COUNTIF(E$1081:E1691,E1692)</f>
        <v>#N/A</v>
      </c>
      <c r="K1692" s="1"/>
      <c r="L1692" s="39" t="e">
        <f>IF($C$1074&gt;0,VLOOKUP($C1692,ENTI!$U$4:$AD$1003,10,FALSE),"")</f>
        <v>#N/A</v>
      </c>
      <c r="M1692" s="1"/>
      <c r="N1692" s="1"/>
      <c r="O1692" s="1"/>
    </row>
    <row r="1693" spans="1:15" hidden="1">
      <c r="A1693" s="1"/>
      <c r="B1693" s="40" t="e">
        <f t="shared" ca="1" si="208"/>
        <v>#N/A</v>
      </c>
      <c r="C1693" s="496">
        <v>613</v>
      </c>
      <c r="D1693" s="41" t="e">
        <f ca="1">IF($C$1076&gt;0,VLOOKUP($C1693,COSTI!$U$4:$Z$1003,3,FALSE),IF($C$1075&gt;0,VLOOKUP($C1693,PATRIMONIALE!$U$4:$Z$1003,3,FALSE),IF($C$1074&gt;0,VLOOKUP($C1693,ENTI!$U$4:$Z$1003,3,FALSE),"")))</f>
        <v>#N/A</v>
      </c>
      <c r="E1693" s="41" t="str">
        <f t="shared" ca="1" si="209"/>
        <v/>
      </c>
      <c r="F1693" s="41" t="e">
        <f t="shared" ca="1" si="210"/>
        <v>#NUM!</v>
      </c>
      <c r="G1693" s="39" t="e">
        <f ca="1">IF($C$1076&gt;0,VLOOKUP($C1693,COSTI!$U$4:$Z$1003,5,FALSE),IF($C$1075&gt;0,VLOOKUP($C1693,PATRIMONIALE!$U$4:$Z$1003,5,FALSE),IF($C$1074&gt;0,VLOOKUP($C1693,ENTI!$U$4:$Z$1003,5,FALSE),"")))</f>
        <v>#N/A</v>
      </c>
      <c r="H1693" s="42" t="e">
        <f ca="1">IF($C$1076&gt;0,VLOOKUP($C1693,COSTI!$U$4:$Z$1003,6,FALSE),IF($C$1075&gt;0,VLOOKUP($C1693,PATRIMONIALE!$U$4:$Z$1003,6,FALSE),IF($C$1074&gt;0,VLOOKUP($C1693,ENTI!$U$4:$Z$1003,6,FALSE),"")))</f>
        <v>#N/A</v>
      </c>
      <c r="I1693" s="496">
        <v>613</v>
      </c>
      <c r="J1693" s="43" t="e">
        <f ca="1">VLOOKUP(D1693,$F$1081:$I$4183,4,FALSE)+COUNTIF(E$1081:E1692,E1693)</f>
        <v>#N/A</v>
      </c>
      <c r="K1693" s="1"/>
      <c r="L1693" s="39" t="e">
        <f>IF($C$1074&gt;0,VLOOKUP($C1693,ENTI!$U$4:$AD$1003,10,FALSE),"")</f>
        <v>#N/A</v>
      </c>
      <c r="M1693" s="1"/>
      <c r="N1693" s="1"/>
      <c r="O1693" s="1"/>
    </row>
    <row r="1694" spans="1:15" hidden="1">
      <c r="A1694" s="1"/>
      <c r="B1694" s="40" t="e">
        <f t="shared" ca="1" si="208"/>
        <v>#N/A</v>
      </c>
      <c r="C1694" s="496">
        <v>614</v>
      </c>
      <c r="D1694" s="41" t="e">
        <f ca="1">IF($C$1076&gt;0,VLOOKUP($C1694,COSTI!$U$4:$Z$1003,3,FALSE),IF($C$1075&gt;0,VLOOKUP($C1694,PATRIMONIALE!$U$4:$Z$1003,3,FALSE),IF($C$1074&gt;0,VLOOKUP($C1694,ENTI!$U$4:$Z$1003,3,FALSE),"")))</f>
        <v>#N/A</v>
      </c>
      <c r="E1694" s="41" t="str">
        <f t="shared" ca="1" si="209"/>
        <v/>
      </c>
      <c r="F1694" s="41" t="e">
        <f t="shared" ca="1" si="210"/>
        <v>#NUM!</v>
      </c>
      <c r="G1694" s="39" t="e">
        <f ca="1">IF($C$1076&gt;0,VLOOKUP($C1694,COSTI!$U$4:$Z$1003,5,FALSE),IF($C$1075&gt;0,VLOOKUP($C1694,PATRIMONIALE!$U$4:$Z$1003,5,FALSE),IF($C$1074&gt;0,VLOOKUP($C1694,ENTI!$U$4:$Z$1003,5,FALSE),"")))</f>
        <v>#N/A</v>
      </c>
      <c r="H1694" s="42" t="e">
        <f ca="1">IF($C$1076&gt;0,VLOOKUP($C1694,COSTI!$U$4:$Z$1003,6,FALSE),IF($C$1075&gt;0,VLOOKUP($C1694,PATRIMONIALE!$U$4:$Z$1003,6,FALSE),IF($C$1074&gt;0,VLOOKUP($C1694,ENTI!$U$4:$Z$1003,6,FALSE),"")))</f>
        <v>#N/A</v>
      </c>
      <c r="I1694" s="496">
        <v>614</v>
      </c>
      <c r="J1694" s="43" t="e">
        <f ca="1">VLOOKUP(D1694,$F$1081:$I$4183,4,FALSE)+COUNTIF(E$1081:E1693,E1694)</f>
        <v>#N/A</v>
      </c>
      <c r="K1694" s="1"/>
      <c r="L1694" s="39" t="e">
        <f>IF($C$1074&gt;0,VLOOKUP($C1694,ENTI!$U$4:$AD$1003,10,FALSE),"")</f>
        <v>#N/A</v>
      </c>
      <c r="M1694" s="1"/>
      <c r="N1694" s="1"/>
      <c r="O1694" s="1"/>
    </row>
    <row r="1695" spans="1:15" hidden="1">
      <c r="A1695" s="1"/>
      <c r="B1695" s="40" t="e">
        <f t="shared" ca="1" si="208"/>
        <v>#N/A</v>
      </c>
      <c r="C1695" s="496">
        <v>615</v>
      </c>
      <c r="D1695" s="41" t="e">
        <f ca="1">IF($C$1076&gt;0,VLOOKUP($C1695,COSTI!$U$4:$Z$1003,3,FALSE),IF($C$1075&gt;0,VLOOKUP($C1695,PATRIMONIALE!$U$4:$Z$1003,3,FALSE),IF($C$1074&gt;0,VLOOKUP($C1695,ENTI!$U$4:$Z$1003,3,FALSE),"")))</f>
        <v>#N/A</v>
      </c>
      <c r="E1695" s="41" t="str">
        <f t="shared" ca="1" si="209"/>
        <v/>
      </c>
      <c r="F1695" s="41" t="e">
        <f t="shared" ca="1" si="210"/>
        <v>#NUM!</v>
      </c>
      <c r="G1695" s="39" t="e">
        <f ca="1">IF($C$1076&gt;0,VLOOKUP($C1695,COSTI!$U$4:$Z$1003,5,FALSE),IF($C$1075&gt;0,VLOOKUP($C1695,PATRIMONIALE!$U$4:$Z$1003,5,FALSE),IF($C$1074&gt;0,VLOOKUP($C1695,ENTI!$U$4:$Z$1003,5,FALSE),"")))</f>
        <v>#N/A</v>
      </c>
      <c r="H1695" s="42" t="e">
        <f ca="1">IF($C$1076&gt;0,VLOOKUP($C1695,COSTI!$U$4:$Z$1003,6,FALSE),IF($C$1075&gt;0,VLOOKUP($C1695,PATRIMONIALE!$U$4:$Z$1003,6,FALSE),IF($C$1074&gt;0,VLOOKUP($C1695,ENTI!$U$4:$Z$1003,6,FALSE),"")))</f>
        <v>#N/A</v>
      </c>
      <c r="I1695" s="496">
        <v>615</v>
      </c>
      <c r="J1695" s="43" t="e">
        <f ca="1">VLOOKUP(D1695,$F$1081:$I$4183,4,FALSE)+COUNTIF(E$1081:E1694,E1695)</f>
        <v>#N/A</v>
      </c>
      <c r="K1695" s="1"/>
      <c r="L1695" s="39" t="e">
        <f>IF($C$1074&gt;0,VLOOKUP($C1695,ENTI!$U$4:$AD$1003,10,FALSE),"")</f>
        <v>#N/A</v>
      </c>
      <c r="M1695" s="1"/>
      <c r="N1695" s="1"/>
      <c r="O1695" s="1"/>
    </row>
    <row r="1696" spans="1:15" hidden="1">
      <c r="A1696" s="1"/>
      <c r="B1696" s="40" t="e">
        <f t="shared" ca="1" si="208"/>
        <v>#N/A</v>
      </c>
      <c r="C1696" s="496">
        <v>616</v>
      </c>
      <c r="D1696" s="41" t="e">
        <f ca="1">IF($C$1076&gt;0,VLOOKUP($C1696,COSTI!$U$4:$Z$1003,3,FALSE),IF($C$1075&gt;0,VLOOKUP($C1696,PATRIMONIALE!$U$4:$Z$1003,3,FALSE),IF($C$1074&gt;0,VLOOKUP($C1696,ENTI!$U$4:$Z$1003,3,FALSE),"")))</f>
        <v>#N/A</v>
      </c>
      <c r="E1696" s="41" t="str">
        <f t="shared" ca="1" si="209"/>
        <v/>
      </c>
      <c r="F1696" s="41" t="e">
        <f t="shared" ca="1" si="210"/>
        <v>#NUM!</v>
      </c>
      <c r="G1696" s="39" t="e">
        <f ca="1">IF($C$1076&gt;0,VLOOKUP($C1696,COSTI!$U$4:$Z$1003,5,FALSE),IF($C$1075&gt;0,VLOOKUP($C1696,PATRIMONIALE!$U$4:$Z$1003,5,FALSE),IF($C$1074&gt;0,VLOOKUP($C1696,ENTI!$U$4:$Z$1003,5,FALSE),"")))</f>
        <v>#N/A</v>
      </c>
      <c r="H1696" s="42" t="e">
        <f ca="1">IF($C$1076&gt;0,VLOOKUP($C1696,COSTI!$U$4:$Z$1003,6,FALSE),IF($C$1075&gt;0,VLOOKUP($C1696,PATRIMONIALE!$U$4:$Z$1003,6,FALSE),IF($C$1074&gt;0,VLOOKUP($C1696,ENTI!$U$4:$Z$1003,6,FALSE),"")))</f>
        <v>#N/A</v>
      </c>
      <c r="I1696" s="496">
        <v>616</v>
      </c>
      <c r="J1696" s="43" t="e">
        <f ca="1">VLOOKUP(D1696,$F$1081:$I$4183,4,FALSE)+COUNTIF(E$1081:E1695,E1696)</f>
        <v>#N/A</v>
      </c>
      <c r="K1696" s="1"/>
      <c r="L1696" s="39" t="e">
        <f>IF($C$1074&gt;0,VLOOKUP($C1696,ENTI!$U$4:$AD$1003,10,FALSE),"")</f>
        <v>#N/A</v>
      </c>
      <c r="M1696" s="1"/>
      <c r="N1696" s="1"/>
      <c r="O1696" s="1"/>
    </row>
    <row r="1697" spans="1:15" hidden="1">
      <c r="A1697" s="1"/>
      <c r="B1697" s="40" t="e">
        <f t="shared" ca="1" si="208"/>
        <v>#N/A</v>
      </c>
      <c r="C1697" s="496">
        <v>617</v>
      </c>
      <c r="D1697" s="41" t="e">
        <f ca="1">IF($C$1076&gt;0,VLOOKUP($C1697,COSTI!$U$4:$Z$1003,3,FALSE),IF($C$1075&gt;0,VLOOKUP($C1697,PATRIMONIALE!$U$4:$Z$1003,3,FALSE),IF($C$1074&gt;0,VLOOKUP($C1697,ENTI!$U$4:$Z$1003,3,FALSE),"")))</f>
        <v>#N/A</v>
      </c>
      <c r="E1697" s="41" t="str">
        <f t="shared" ca="1" si="209"/>
        <v/>
      </c>
      <c r="F1697" s="41" t="e">
        <f t="shared" ca="1" si="210"/>
        <v>#NUM!</v>
      </c>
      <c r="G1697" s="39" t="e">
        <f ca="1">IF($C$1076&gt;0,VLOOKUP($C1697,COSTI!$U$4:$Z$1003,5,FALSE),IF($C$1075&gt;0,VLOOKUP($C1697,PATRIMONIALE!$U$4:$Z$1003,5,FALSE),IF($C$1074&gt;0,VLOOKUP($C1697,ENTI!$U$4:$Z$1003,5,FALSE),"")))</f>
        <v>#N/A</v>
      </c>
      <c r="H1697" s="42" t="e">
        <f ca="1">IF($C$1076&gt;0,VLOOKUP($C1697,COSTI!$U$4:$Z$1003,6,FALSE),IF($C$1075&gt;0,VLOOKUP($C1697,PATRIMONIALE!$U$4:$Z$1003,6,FALSE),IF($C$1074&gt;0,VLOOKUP($C1697,ENTI!$U$4:$Z$1003,6,FALSE),"")))</f>
        <v>#N/A</v>
      </c>
      <c r="I1697" s="496">
        <v>617</v>
      </c>
      <c r="J1697" s="43" t="e">
        <f ca="1">VLOOKUP(D1697,$F$1081:$I$4183,4,FALSE)+COUNTIF(E$1081:E1696,E1697)</f>
        <v>#N/A</v>
      </c>
      <c r="K1697" s="1"/>
      <c r="L1697" s="39" t="e">
        <f>IF($C$1074&gt;0,VLOOKUP($C1697,ENTI!$U$4:$AD$1003,10,FALSE),"")</f>
        <v>#N/A</v>
      </c>
      <c r="M1697" s="1"/>
      <c r="N1697" s="1"/>
      <c r="O1697" s="1"/>
    </row>
    <row r="1698" spans="1:15" hidden="1">
      <c r="A1698" s="1"/>
      <c r="B1698" s="40" t="e">
        <f t="shared" ca="1" si="208"/>
        <v>#N/A</v>
      </c>
      <c r="C1698" s="496">
        <v>618</v>
      </c>
      <c r="D1698" s="41" t="e">
        <f ca="1">IF($C$1076&gt;0,VLOOKUP($C1698,COSTI!$U$4:$Z$1003,3,FALSE),IF($C$1075&gt;0,VLOOKUP($C1698,PATRIMONIALE!$U$4:$Z$1003,3,FALSE),IF($C$1074&gt;0,VLOOKUP($C1698,ENTI!$U$4:$Z$1003,3,FALSE),"")))</f>
        <v>#N/A</v>
      </c>
      <c r="E1698" s="41" t="str">
        <f t="shared" ca="1" si="209"/>
        <v/>
      </c>
      <c r="F1698" s="41" t="e">
        <f t="shared" ca="1" si="210"/>
        <v>#NUM!</v>
      </c>
      <c r="G1698" s="39" t="e">
        <f ca="1">IF($C$1076&gt;0,VLOOKUP($C1698,COSTI!$U$4:$Z$1003,5,FALSE),IF($C$1075&gt;0,VLOOKUP($C1698,PATRIMONIALE!$U$4:$Z$1003,5,FALSE),IF($C$1074&gt;0,VLOOKUP($C1698,ENTI!$U$4:$Z$1003,5,FALSE),"")))</f>
        <v>#N/A</v>
      </c>
      <c r="H1698" s="42" t="e">
        <f ca="1">IF($C$1076&gt;0,VLOOKUP($C1698,COSTI!$U$4:$Z$1003,6,FALSE),IF($C$1075&gt;0,VLOOKUP($C1698,PATRIMONIALE!$U$4:$Z$1003,6,FALSE),IF($C$1074&gt;0,VLOOKUP($C1698,ENTI!$U$4:$Z$1003,6,FALSE),"")))</f>
        <v>#N/A</v>
      </c>
      <c r="I1698" s="496">
        <v>618</v>
      </c>
      <c r="J1698" s="43" t="e">
        <f ca="1">VLOOKUP(D1698,$F$1081:$I$4183,4,FALSE)+COUNTIF(E$1081:E1697,E1698)</f>
        <v>#N/A</v>
      </c>
      <c r="K1698" s="1"/>
      <c r="L1698" s="39" t="e">
        <f>IF($C$1074&gt;0,VLOOKUP($C1698,ENTI!$U$4:$AD$1003,10,FALSE),"")</f>
        <v>#N/A</v>
      </c>
      <c r="M1698" s="1"/>
      <c r="N1698" s="1"/>
      <c r="O1698" s="1"/>
    </row>
    <row r="1699" spans="1:15" hidden="1">
      <c r="A1699" s="1"/>
      <c r="B1699" s="40" t="e">
        <f t="shared" ca="1" si="208"/>
        <v>#N/A</v>
      </c>
      <c r="C1699" s="496">
        <v>619</v>
      </c>
      <c r="D1699" s="41" t="e">
        <f ca="1">IF($C$1076&gt;0,VLOOKUP($C1699,COSTI!$U$4:$Z$1003,3,FALSE),IF($C$1075&gt;0,VLOOKUP($C1699,PATRIMONIALE!$U$4:$Z$1003,3,FALSE),IF($C$1074&gt;0,VLOOKUP($C1699,ENTI!$U$4:$Z$1003,3,FALSE),"")))</f>
        <v>#N/A</v>
      </c>
      <c r="E1699" s="41" t="str">
        <f t="shared" ca="1" si="209"/>
        <v/>
      </c>
      <c r="F1699" s="41" t="e">
        <f t="shared" ca="1" si="210"/>
        <v>#NUM!</v>
      </c>
      <c r="G1699" s="39" t="e">
        <f ca="1">IF($C$1076&gt;0,VLOOKUP($C1699,COSTI!$U$4:$Z$1003,5,FALSE),IF($C$1075&gt;0,VLOOKUP($C1699,PATRIMONIALE!$U$4:$Z$1003,5,FALSE),IF($C$1074&gt;0,VLOOKUP($C1699,ENTI!$U$4:$Z$1003,5,FALSE),"")))</f>
        <v>#N/A</v>
      </c>
      <c r="H1699" s="42" t="e">
        <f ca="1">IF($C$1076&gt;0,VLOOKUP($C1699,COSTI!$U$4:$Z$1003,6,FALSE),IF($C$1075&gt;0,VLOOKUP($C1699,PATRIMONIALE!$U$4:$Z$1003,6,FALSE),IF($C$1074&gt;0,VLOOKUP($C1699,ENTI!$U$4:$Z$1003,6,FALSE),"")))</f>
        <v>#N/A</v>
      </c>
      <c r="I1699" s="496">
        <v>619</v>
      </c>
      <c r="J1699" s="43" t="e">
        <f ca="1">VLOOKUP(D1699,$F$1081:$I$4183,4,FALSE)+COUNTIF(E$1081:E1698,E1699)</f>
        <v>#N/A</v>
      </c>
      <c r="K1699" s="1"/>
      <c r="L1699" s="39" t="e">
        <f>IF($C$1074&gt;0,VLOOKUP($C1699,ENTI!$U$4:$AD$1003,10,FALSE),"")</f>
        <v>#N/A</v>
      </c>
      <c r="M1699" s="1"/>
      <c r="N1699" s="1"/>
      <c r="O1699" s="1"/>
    </row>
    <row r="1700" spans="1:15" hidden="1">
      <c r="A1700" s="1"/>
      <c r="B1700" s="40" t="e">
        <f t="shared" ca="1" si="208"/>
        <v>#N/A</v>
      </c>
      <c r="C1700" s="496">
        <v>620</v>
      </c>
      <c r="D1700" s="41" t="e">
        <f ca="1">IF($C$1076&gt;0,VLOOKUP($C1700,COSTI!$U$4:$Z$1003,3,FALSE),IF($C$1075&gt;0,VLOOKUP($C1700,PATRIMONIALE!$U$4:$Z$1003,3,FALSE),IF($C$1074&gt;0,VLOOKUP($C1700,ENTI!$U$4:$Z$1003,3,FALSE),"")))</f>
        <v>#N/A</v>
      </c>
      <c r="E1700" s="41" t="str">
        <f t="shared" ca="1" si="209"/>
        <v/>
      </c>
      <c r="F1700" s="41" t="e">
        <f t="shared" ca="1" si="210"/>
        <v>#NUM!</v>
      </c>
      <c r="G1700" s="39" t="e">
        <f ca="1">IF($C$1076&gt;0,VLOOKUP($C1700,COSTI!$U$4:$Z$1003,5,FALSE),IF($C$1075&gt;0,VLOOKUP($C1700,PATRIMONIALE!$U$4:$Z$1003,5,FALSE),IF($C$1074&gt;0,VLOOKUP($C1700,ENTI!$U$4:$Z$1003,5,FALSE),"")))</f>
        <v>#N/A</v>
      </c>
      <c r="H1700" s="42" t="e">
        <f ca="1">IF($C$1076&gt;0,VLOOKUP($C1700,COSTI!$U$4:$Z$1003,6,FALSE),IF($C$1075&gt;0,VLOOKUP($C1700,PATRIMONIALE!$U$4:$Z$1003,6,FALSE),IF($C$1074&gt;0,VLOOKUP($C1700,ENTI!$U$4:$Z$1003,6,FALSE),"")))</f>
        <v>#N/A</v>
      </c>
      <c r="I1700" s="496">
        <v>620</v>
      </c>
      <c r="J1700" s="43" t="e">
        <f ca="1">VLOOKUP(D1700,$F$1081:$I$4183,4,FALSE)+COUNTIF(E$1081:E1699,E1700)</f>
        <v>#N/A</v>
      </c>
      <c r="K1700" s="1"/>
      <c r="L1700" s="39" t="e">
        <f>IF($C$1074&gt;0,VLOOKUP($C1700,ENTI!$U$4:$AD$1003,10,FALSE),"")</f>
        <v>#N/A</v>
      </c>
      <c r="M1700" s="1"/>
      <c r="N1700" s="1"/>
      <c r="O1700" s="1"/>
    </row>
    <row r="1701" spans="1:15" hidden="1">
      <c r="A1701" s="1"/>
      <c r="B1701" s="40" t="e">
        <f t="shared" ca="1" si="208"/>
        <v>#N/A</v>
      </c>
      <c r="C1701" s="496">
        <v>621</v>
      </c>
      <c r="D1701" s="41" t="e">
        <f ca="1">IF($C$1076&gt;0,VLOOKUP($C1701,COSTI!$U$4:$Z$1003,3,FALSE),IF($C$1075&gt;0,VLOOKUP($C1701,PATRIMONIALE!$U$4:$Z$1003,3,FALSE),IF($C$1074&gt;0,VLOOKUP($C1701,ENTI!$U$4:$Z$1003,3,FALSE),"")))</f>
        <v>#N/A</v>
      </c>
      <c r="E1701" s="41" t="str">
        <f t="shared" ca="1" si="209"/>
        <v/>
      </c>
      <c r="F1701" s="41" t="e">
        <f t="shared" ca="1" si="210"/>
        <v>#NUM!</v>
      </c>
      <c r="G1701" s="39" t="e">
        <f ca="1">IF($C$1076&gt;0,VLOOKUP($C1701,COSTI!$U$4:$Z$1003,5,FALSE),IF($C$1075&gt;0,VLOOKUP($C1701,PATRIMONIALE!$U$4:$Z$1003,5,FALSE),IF($C$1074&gt;0,VLOOKUP($C1701,ENTI!$U$4:$Z$1003,5,FALSE),"")))</f>
        <v>#N/A</v>
      </c>
      <c r="H1701" s="42" t="e">
        <f ca="1">IF($C$1076&gt;0,VLOOKUP($C1701,COSTI!$U$4:$Z$1003,6,FALSE),IF($C$1075&gt;0,VLOOKUP($C1701,PATRIMONIALE!$U$4:$Z$1003,6,FALSE),IF($C$1074&gt;0,VLOOKUP($C1701,ENTI!$U$4:$Z$1003,6,FALSE),"")))</f>
        <v>#N/A</v>
      </c>
      <c r="I1701" s="496">
        <v>621</v>
      </c>
      <c r="J1701" s="43" t="e">
        <f ca="1">VLOOKUP(D1701,$F$1081:$I$4183,4,FALSE)+COUNTIF(E$1081:E1700,E1701)</f>
        <v>#N/A</v>
      </c>
      <c r="K1701" s="1"/>
      <c r="L1701" s="39" t="e">
        <f>IF($C$1074&gt;0,VLOOKUP($C1701,ENTI!$U$4:$AD$1003,10,FALSE),"")</f>
        <v>#N/A</v>
      </c>
      <c r="M1701" s="1"/>
      <c r="N1701" s="1"/>
      <c r="O1701" s="1"/>
    </row>
    <row r="1702" spans="1:15" hidden="1">
      <c r="A1702" s="1"/>
      <c r="B1702" s="40" t="e">
        <f t="shared" ca="1" si="208"/>
        <v>#N/A</v>
      </c>
      <c r="C1702" s="496">
        <v>622</v>
      </c>
      <c r="D1702" s="41" t="e">
        <f ca="1">IF($C$1076&gt;0,VLOOKUP($C1702,COSTI!$U$4:$Z$1003,3,FALSE),IF($C$1075&gt;0,VLOOKUP($C1702,PATRIMONIALE!$U$4:$Z$1003,3,FALSE),IF($C$1074&gt;0,VLOOKUP($C1702,ENTI!$U$4:$Z$1003,3,FALSE),"")))</f>
        <v>#N/A</v>
      </c>
      <c r="E1702" s="41" t="str">
        <f t="shared" ca="1" si="209"/>
        <v/>
      </c>
      <c r="F1702" s="41" t="e">
        <f t="shared" ca="1" si="210"/>
        <v>#NUM!</v>
      </c>
      <c r="G1702" s="39" t="e">
        <f ca="1">IF($C$1076&gt;0,VLOOKUP($C1702,COSTI!$U$4:$Z$1003,5,FALSE),IF($C$1075&gt;0,VLOOKUP($C1702,PATRIMONIALE!$U$4:$Z$1003,5,FALSE),IF($C$1074&gt;0,VLOOKUP($C1702,ENTI!$U$4:$Z$1003,5,FALSE),"")))</f>
        <v>#N/A</v>
      </c>
      <c r="H1702" s="42" t="e">
        <f ca="1">IF($C$1076&gt;0,VLOOKUP($C1702,COSTI!$U$4:$Z$1003,6,FALSE),IF($C$1075&gt;0,VLOOKUP($C1702,PATRIMONIALE!$U$4:$Z$1003,6,FALSE),IF($C$1074&gt;0,VLOOKUP($C1702,ENTI!$U$4:$Z$1003,6,FALSE),"")))</f>
        <v>#N/A</v>
      </c>
      <c r="I1702" s="496">
        <v>622</v>
      </c>
      <c r="J1702" s="43" t="e">
        <f ca="1">VLOOKUP(D1702,$F$1081:$I$4183,4,FALSE)+COUNTIF(E$1081:E1701,E1702)</f>
        <v>#N/A</v>
      </c>
      <c r="K1702" s="1"/>
      <c r="L1702" s="39" t="e">
        <f>IF($C$1074&gt;0,VLOOKUP($C1702,ENTI!$U$4:$AD$1003,10,FALSE),"")</f>
        <v>#N/A</v>
      </c>
      <c r="M1702" s="1"/>
      <c r="N1702" s="1"/>
      <c r="O1702" s="1"/>
    </row>
    <row r="1703" spans="1:15" hidden="1">
      <c r="A1703" s="1"/>
      <c r="B1703" s="40" t="e">
        <f t="shared" ca="1" si="208"/>
        <v>#N/A</v>
      </c>
      <c r="C1703" s="496">
        <v>623</v>
      </c>
      <c r="D1703" s="41" t="e">
        <f ca="1">IF($C$1076&gt;0,VLOOKUP($C1703,COSTI!$U$4:$Z$1003,3,FALSE),IF($C$1075&gt;0,VLOOKUP($C1703,PATRIMONIALE!$U$4:$Z$1003,3,FALSE),IF($C$1074&gt;0,VLOOKUP($C1703,ENTI!$U$4:$Z$1003,3,FALSE),"")))</f>
        <v>#N/A</v>
      </c>
      <c r="E1703" s="41" t="str">
        <f t="shared" ca="1" si="209"/>
        <v/>
      </c>
      <c r="F1703" s="41" t="e">
        <f t="shared" ca="1" si="210"/>
        <v>#NUM!</v>
      </c>
      <c r="G1703" s="39" t="e">
        <f ca="1">IF($C$1076&gt;0,VLOOKUP($C1703,COSTI!$U$4:$Z$1003,5,FALSE),IF($C$1075&gt;0,VLOOKUP($C1703,PATRIMONIALE!$U$4:$Z$1003,5,FALSE),IF($C$1074&gt;0,VLOOKUP($C1703,ENTI!$U$4:$Z$1003,5,FALSE),"")))</f>
        <v>#N/A</v>
      </c>
      <c r="H1703" s="42" t="e">
        <f ca="1">IF($C$1076&gt;0,VLOOKUP($C1703,COSTI!$U$4:$Z$1003,6,FALSE),IF($C$1075&gt;0,VLOOKUP($C1703,PATRIMONIALE!$U$4:$Z$1003,6,FALSE),IF($C$1074&gt;0,VLOOKUP($C1703,ENTI!$U$4:$Z$1003,6,FALSE),"")))</f>
        <v>#N/A</v>
      </c>
      <c r="I1703" s="496">
        <v>623</v>
      </c>
      <c r="J1703" s="43" t="e">
        <f ca="1">VLOOKUP(D1703,$F$1081:$I$4183,4,FALSE)+COUNTIF(E$1081:E1702,E1703)</f>
        <v>#N/A</v>
      </c>
      <c r="K1703" s="1"/>
      <c r="L1703" s="39" t="e">
        <f>IF($C$1074&gt;0,VLOOKUP($C1703,ENTI!$U$4:$AD$1003,10,FALSE),"")</f>
        <v>#N/A</v>
      </c>
      <c r="M1703" s="1"/>
      <c r="N1703" s="1"/>
      <c r="O1703" s="1"/>
    </row>
    <row r="1704" spans="1:15" hidden="1">
      <c r="A1704" s="1"/>
      <c r="B1704" s="40" t="e">
        <f t="shared" ca="1" si="208"/>
        <v>#N/A</v>
      </c>
      <c r="C1704" s="496">
        <v>624</v>
      </c>
      <c r="D1704" s="41" t="e">
        <f ca="1">IF($C$1076&gt;0,VLOOKUP($C1704,COSTI!$U$4:$Z$1003,3,FALSE),IF($C$1075&gt;0,VLOOKUP($C1704,PATRIMONIALE!$U$4:$Z$1003,3,FALSE),IF($C$1074&gt;0,VLOOKUP($C1704,ENTI!$U$4:$Z$1003,3,FALSE),"")))</f>
        <v>#N/A</v>
      </c>
      <c r="E1704" s="41" t="str">
        <f t="shared" ca="1" si="209"/>
        <v/>
      </c>
      <c r="F1704" s="41" t="e">
        <f t="shared" ca="1" si="210"/>
        <v>#NUM!</v>
      </c>
      <c r="G1704" s="39" t="e">
        <f ca="1">IF($C$1076&gt;0,VLOOKUP($C1704,COSTI!$U$4:$Z$1003,5,FALSE),IF($C$1075&gt;0,VLOOKUP($C1704,PATRIMONIALE!$U$4:$Z$1003,5,FALSE),IF($C$1074&gt;0,VLOOKUP($C1704,ENTI!$U$4:$Z$1003,5,FALSE),"")))</f>
        <v>#N/A</v>
      </c>
      <c r="H1704" s="42" t="e">
        <f ca="1">IF($C$1076&gt;0,VLOOKUP($C1704,COSTI!$U$4:$Z$1003,6,FALSE),IF($C$1075&gt;0,VLOOKUP($C1704,PATRIMONIALE!$U$4:$Z$1003,6,FALSE),IF($C$1074&gt;0,VLOOKUP($C1704,ENTI!$U$4:$Z$1003,6,FALSE),"")))</f>
        <v>#N/A</v>
      </c>
      <c r="I1704" s="496">
        <v>624</v>
      </c>
      <c r="J1704" s="43" t="e">
        <f ca="1">VLOOKUP(D1704,$F$1081:$I$4183,4,FALSE)+COUNTIF(E$1081:E1703,E1704)</f>
        <v>#N/A</v>
      </c>
      <c r="K1704" s="1"/>
      <c r="L1704" s="39" t="e">
        <f>IF($C$1074&gt;0,VLOOKUP($C1704,ENTI!$U$4:$AD$1003,10,FALSE),"")</f>
        <v>#N/A</v>
      </c>
      <c r="M1704" s="1"/>
      <c r="N1704" s="1"/>
      <c r="O1704" s="1"/>
    </row>
    <row r="1705" spans="1:15" hidden="1">
      <c r="A1705" s="1"/>
      <c r="B1705" s="40" t="e">
        <f t="shared" ca="1" si="208"/>
        <v>#N/A</v>
      </c>
      <c r="C1705" s="496">
        <v>625</v>
      </c>
      <c r="D1705" s="41" t="e">
        <f ca="1">IF($C$1076&gt;0,VLOOKUP($C1705,COSTI!$U$4:$Z$1003,3,FALSE),IF($C$1075&gt;0,VLOOKUP($C1705,PATRIMONIALE!$U$4:$Z$1003,3,FALSE),IF($C$1074&gt;0,VLOOKUP($C1705,ENTI!$U$4:$Z$1003,3,FALSE),"")))</f>
        <v>#N/A</v>
      </c>
      <c r="E1705" s="41" t="str">
        <f t="shared" ca="1" si="209"/>
        <v/>
      </c>
      <c r="F1705" s="41" t="e">
        <f t="shared" ca="1" si="210"/>
        <v>#NUM!</v>
      </c>
      <c r="G1705" s="39" t="e">
        <f ca="1">IF($C$1076&gt;0,VLOOKUP($C1705,COSTI!$U$4:$Z$1003,5,FALSE),IF($C$1075&gt;0,VLOOKUP($C1705,PATRIMONIALE!$U$4:$Z$1003,5,FALSE),IF($C$1074&gt;0,VLOOKUP($C1705,ENTI!$U$4:$Z$1003,5,FALSE),"")))</f>
        <v>#N/A</v>
      </c>
      <c r="H1705" s="42" t="e">
        <f ca="1">IF($C$1076&gt;0,VLOOKUP($C1705,COSTI!$U$4:$Z$1003,6,FALSE),IF($C$1075&gt;0,VLOOKUP($C1705,PATRIMONIALE!$U$4:$Z$1003,6,FALSE),IF($C$1074&gt;0,VLOOKUP($C1705,ENTI!$U$4:$Z$1003,6,FALSE),"")))</f>
        <v>#N/A</v>
      </c>
      <c r="I1705" s="496">
        <v>625</v>
      </c>
      <c r="J1705" s="43" t="e">
        <f ca="1">VLOOKUP(D1705,$F$1081:$I$4183,4,FALSE)+COUNTIF(E$1081:E1704,E1705)</f>
        <v>#N/A</v>
      </c>
      <c r="K1705" s="1"/>
      <c r="L1705" s="39" t="e">
        <f>IF($C$1074&gt;0,VLOOKUP($C1705,ENTI!$U$4:$AD$1003,10,FALSE),"")</f>
        <v>#N/A</v>
      </c>
      <c r="M1705" s="1"/>
      <c r="N1705" s="1"/>
      <c r="O1705" s="1"/>
    </row>
    <row r="1706" spans="1:15" hidden="1">
      <c r="A1706" s="1"/>
      <c r="B1706" s="40" t="e">
        <f t="shared" ca="1" si="208"/>
        <v>#N/A</v>
      </c>
      <c r="C1706" s="496">
        <v>626</v>
      </c>
      <c r="D1706" s="41" t="e">
        <f ca="1">IF($C$1076&gt;0,VLOOKUP($C1706,COSTI!$U$4:$Z$1003,3,FALSE),IF($C$1075&gt;0,VLOOKUP($C1706,PATRIMONIALE!$U$4:$Z$1003,3,FALSE),IF($C$1074&gt;0,VLOOKUP($C1706,ENTI!$U$4:$Z$1003,3,FALSE),"")))</f>
        <v>#N/A</v>
      </c>
      <c r="E1706" s="41" t="str">
        <f t="shared" ca="1" si="209"/>
        <v/>
      </c>
      <c r="F1706" s="41" t="e">
        <f t="shared" ca="1" si="210"/>
        <v>#NUM!</v>
      </c>
      <c r="G1706" s="39" t="e">
        <f ca="1">IF($C$1076&gt;0,VLOOKUP($C1706,COSTI!$U$4:$Z$1003,5,FALSE),IF($C$1075&gt;0,VLOOKUP($C1706,PATRIMONIALE!$U$4:$Z$1003,5,FALSE),IF($C$1074&gt;0,VLOOKUP($C1706,ENTI!$U$4:$Z$1003,5,FALSE),"")))</f>
        <v>#N/A</v>
      </c>
      <c r="H1706" s="42" t="e">
        <f ca="1">IF($C$1076&gt;0,VLOOKUP($C1706,COSTI!$U$4:$Z$1003,6,FALSE),IF($C$1075&gt;0,VLOOKUP($C1706,PATRIMONIALE!$U$4:$Z$1003,6,FALSE),IF($C$1074&gt;0,VLOOKUP($C1706,ENTI!$U$4:$Z$1003,6,FALSE),"")))</f>
        <v>#N/A</v>
      </c>
      <c r="I1706" s="496">
        <v>626</v>
      </c>
      <c r="J1706" s="43" t="e">
        <f ca="1">VLOOKUP(D1706,$F$1081:$I$4183,4,FALSE)+COUNTIF(E$1081:E1705,E1706)</f>
        <v>#N/A</v>
      </c>
      <c r="K1706" s="1"/>
      <c r="L1706" s="39" t="e">
        <f>IF($C$1074&gt;0,VLOOKUP($C1706,ENTI!$U$4:$AD$1003,10,FALSE),"")</f>
        <v>#N/A</v>
      </c>
      <c r="M1706" s="1"/>
      <c r="N1706" s="1"/>
      <c r="O1706" s="1"/>
    </row>
    <row r="1707" spans="1:15" hidden="1">
      <c r="A1707" s="1"/>
      <c r="B1707" s="40" t="e">
        <f t="shared" ca="1" si="208"/>
        <v>#N/A</v>
      </c>
      <c r="C1707" s="496">
        <v>627</v>
      </c>
      <c r="D1707" s="41" t="e">
        <f ca="1">IF($C$1076&gt;0,VLOOKUP($C1707,COSTI!$U$4:$Z$1003,3,FALSE),IF($C$1075&gt;0,VLOOKUP($C1707,PATRIMONIALE!$U$4:$Z$1003,3,FALSE),IF($C$1074&gt;0,VLOOKUP($C1707,ENTI!$U$4:$Z$1003,3,FALSE),"")))</f>
        <v>#N/A</v>
      </c>
      <c r="E1707" s="41" t="str">
        <f t="shared" ca="1" si="209"/>
        <v/>
      </c>
      <c r="F1707" s="41" t="e">
        <f t="shared" ca="1" si="210"/>
        <v>#NUM!</v>
      </c>
      <c r="G1707" s="39" t="e">
        <f ca="1">IF($C$1076&gt;0,VLOOKUP($C1707,COSTI!$U$4:$Z$1003,5,FALSE),IF($C$1075&gt;0,VLOOKUP($C1707,PATRIMONIALE!$U$4:$Z$1003,5,FALSE),IF($C$1074&gt;0,VLOOKUP($C1707,ENTI!$U$4:$Z$1003,5,FALSE),"")))</f>
        <v>#N/A</v>
      </c>
      <c r="H1707" s="42" t="e">
        <f ca="1">IF($C$1076&gt;0,VLOOKUP($C1707,COSTI!$U$4:$Z$1003,6,FALSE),IF($C$1075&gt;0,VLOOKUP($C1707,PATRIMONIALE!$U$4:$Z$1003,6,FALSE),IF($C$1074&gt;0,VLOOKUP($C1707,ENTI!$U$4:$Z$1003,6,FALSE),"")))</f>
        <v>#N/A</v>
      </c>
      <c r="I1707" s="496">
        <v>627</v>
      </c>
      <c r="J1707" s="43" t="e">
        <f ca="1">VLOOKUP(D1707,$F$1081:$I$4183,4,FALSE)+COUNTIF(E$1081:E1706,E1707)</f>
        <v>#N/A</v>
      </c>
      <c r="K1707" s="1"/>
      <c r="L1707" s="39" t="e">
        <f>IF($C$1074&gt;0,VLOOKUP($C1707,ENTI!$U$4:$AD$1003,10,FALSE),"")</f>
        <v>#N/A</v>
      </c>
      <c r="M1707" s="1"/>
      <c r="N1707" s="1"/>
      <c r="O1707" s="1"/>
    </row>
    <row r="1708" spans="1:15" hidden="1">
      <c r="A1708" s="1"/>
      <c r="B1708" s="40" t="e">
        <f t="shared" ca="1" si="208"/>
        <v>#N/A</v>
      </c>
      <c r="C1708" s="496">
        <v>628</v>
      </c>
      <c r="D1708" s="41" t="e">
        <f ca="1">IF($C$1076&gt;0,VLOOKUP($C1708,COSTI!$U$4:$Z$1003,3,FALSE),IF($C$1075&gt;0,VLOOKUP($C1708,PATRIMONIALE!$U$4:$Z$1003,3,FALSE),IF($C$1074&gt;0,VLOOKUP($C1708,ENTI!$U$4:$Z$1003,3,FALSE),"")))</f>
        <v>#N/A</v>
      </c>
      <c r="E1708" s="41" t="str">
        <f t="shared" ca="1" si="209"/>
        <v/>
      </c>
      <c r="F1708" s="41" t="e">
        <f t="shared" ca="1" si="210"/>
        <v>#NUM!</v>
      </c>
      <c r="G1708" s="39" t="e">
        <f ca="1">IF($C$1076&gt;0,VLOOKUP($C1708,COSTI!$U$4:$Z$1003,5,FALSE),IF($C$1075&gt;0,VLOOKUP($C1708,PATRIMONIALE!$U$4:$Z$1003,5,FALSE),IF($C$1074&gt;0,VLOOKUP($C1708,ENTI!$U$4:$Z$1003,5,FALSE),"")))</f>
        <v>#N/A</v>
      </c>
      <c r="H1708" s="42" t="e">
        <f ca="1">IF($C$1076&gt;0,VLOOKUP($C1708,COSTI!$U$4:$Z$1003,6,FALSE),IF($C$1075&gt;0,VLOOKUP($C1708,PATRIMONIALE!$U$4:$Z$1003,6,FALSE),IF($C$1074&gt;0,VLOOKUP($C1708,ENTI!$U$4:$Z$1003,6,FALSE),"")))</f>
        <v>#N/A</v>
      </c>
      <c r="I1708" s="496">
        <v>628</v>
      </c>
      <c r="J1708" s="43" t="e">
        <f ca="1">VLOOKUP(D1708,$F$1081:$I$4183,4,FALSE)+COUNTIF(E$1081:E1707,E1708)</f>
        <v>#N/A</v>
      </c>
      <c r="K1708" s="1"/>
      <c r="L1708" s="39" t="e">
        <f>IF($C$1074&gt;0,VLOOKUP($C1708,ENTI!$U$4:$AD$1003,10,FALSE),"")</f>
        <v>#N/A</v>
      </c>
      <c r="M1708" s="1"/>
      <c r="N1708" s="1"/>
      <c r="O1708" s="1"/>
    </row>
    <row r="1709" spans="1:15" hidden="1">
      <c r="A1709" s="1"/>
      <c r="B1709" s="40" t="e">
        <f t="shared" ca="1" si="208"/>
        <v>#N/A</v>
      </c>
      <c r="C1709" s="496">
        <v>629</v>
      </c>
      <c r="D1709" s="41" t="e">
        <f ca="1">IF($C$1076&gt;0,VLOOKUP($C1709,COSTI!$U$4:$Z$1003,3,FALSE),IF($C$1075&gt;0,VLOOKUP($C1709,PATRIMONIALE!$U$4:$Z$1003,3,FALSE),IF($C$1074&gt;0,VLOOKUP($C1709,ENTI!$U$4:$Z$1003,3,FALSE),"")))</f>
        <v>#N/A</v>
      </c>
      <c r="E1709" s="41" t="str">
        <f t="shared" ca="1" si="209"/>
        <v/>
      </c>
      <c r="F1709" s="41" t="e">
        <f t="shared" ca="1" si="210"/>
        <v>#NUM!</v>
      </c>
      <c r="G1709" s="39" t="e">
        <f ca="1">IF($C$1076&gt;0,VLOOKUP($C1709,COSTI!$U$4:$Z$1003,5,FALSE),IF($C$1075&gt;0,VLOOKUP($C1709,PATRIMONIALE!$U$4:$Z$1003,5,FALSE),IF($C$1074&gt;0,VLOOKUP($C1709,ENTI!$U$4:$Z$1003,5,FALSE),"")))</f>
        <v>#N/A</v>
      </c>
      <c r="H1709" s="42" t="e">
        <f ca="1">IF($C$1076&gt;0,VLOOKUP($C1709,COSTI!$U$4:$Z$1003,6,FALSE),IF($C$1075&gt;0,VLOOKUP($C1709,PATRIMONIALE!$U$4:$Z$1003,6,FALSE),IF($C$1074&gt;0,VLOOKUP($C1709,ENTI!$U$4:$Z$1003,6,FALSE),"")))</f>
        <v>#N/A</v>
      </c>
      <c r="I1709" s="496">
        <v>629</v>
      </c>
      <c r="J1709" s="43" t="e">
        <f ca="1">VLOOKUP(D1709,$F$1081:$I$4183,4,FALSE)+COUNTIF(E$1081:E1708,E1709)</f>
        <v>#N/A</v>
      </c>
      <c r="K1709" s="1"/>
      <c r="L1709" s="39" t="e">
        <f>IF($C$1074&gt;0,VLOOKUP($C1709,ENTI!$U$4:$AD$1003,10,FALSE),"")</f>
        <v>#N/A</v>
      </c>
      <c r="M1709" s="1"/>
      <c r="N1709" s="1"/>
      <c r="O1709" s="1"/>
    </row>
    <row r="1710" spans="1:15" hidden="1">
      <c r="A1710" s="1"/>
      <c r="B1710" s="40" t="e">
        <f t="shared" ca="1" si="208"/>
        <v>#N/A</v>
      </c>
      <c r="C1710" s="496">
        <v>630</v>
      </c>
      <c r="D1710" s="41" t="e">
        <f ca="1">IF($C$1076&gt;0,VLOOKUP($C1710,COSTI!$U$4:$Z$1003,3,FALSE),IF($C$1075&gt;0,VLOOKUP($C1710,PATRIMONIALE!$U$4:$Z$1003,3,FALSE),IF($C$1074&gt;0,VLOOKUP($C1710,ENTI!$U$4:$Z$1003,3,FALSE),"")))</f>
        <v>#N/A</v>
      </c>
      <c r="E1710" s="41" t="str">
        <f t="shared" ca="1" si="209"/>
        <v/>
      </c>
      <c r="F1710" s="41" t="e">
        <f t="shared" ca="1" si="210"/>
        <v>#NUM!</v>
      </c>
      <c r="G1710" s="39" t="e">
        <f ca="1">IF($C$1076&gt;0,VLOOKUP($C1710,COSTI!$U$4:$Z$1003,5,FALSE),IF($C$1075&gt;0,VLOOKUP($C1710,PATRIMONIALE!$U$4:$Z$1003,5,FALSE),IF($C$1074&gt;0,VLOOKUP($C1710,ENTI!$U$4:$Z$1003,5,FALSE),"")))</f>
        <v>#N/A</v>
      </c>
      <c r="H1710" s="42" t="e">
        <f ca="1">IF($C$1076&gt;0,VLOOKUP($C1710,COSTI!$U$4:$Z$1003,6,FALSE),IF($C$1075&gt;0,VLOOKUP($C1710,PATRIMONIALE!$U$4:$Z$1003,6,FALSE),IF($C$1074&gt;0,VLOOKUP($C1710,ENTI!$U$4:$Z$1003,6,FALSE),"")))</f>
        <v>#N/A</v>
      </c>
      <c r="I1710" s="496">
        <v>630</v>
      </c>
      <c r="J1710" s="43" t="e">
        <f ca="1">VLOOKUP(D1710,$F$1081:$I$4183,4,FALSE)+COUNTIF(E$1081:E1709,E1710)</f>
        <v>#N/A</v>
      </c>
      <c r="K1710" s="1"/>
      <c r="L1710" s="39" t="e">
        <f>IF($C$1074&gt;0,VLOOKUP($C1710,ENTI!$U$4:$AD$1003,10,FALSE),"")</f>
        <v>#N/A</v>
      </c>
      <c r="M1710" s="1"/>
      <c r="N1710" s="1"/>
      <c r="O1710" s="1"/>
    </row>
    <row r="1711" spans="1:15" hidden="1">
      <c r="A1711" s="1"/>
      <c r="B1711" s="40" t="e">
        <f t="shared" ca="1" si="208"/>
        <v>#N/A</v>
      </c>
      <c r="C1711" s="496">
        <v>631</v>
      </c>
      <c r="D1711" s="41" t="e">
        <f ca="1">IF($C$1076&gt;0,VLOOKUP($C1711,COSTI!$U$4:$Z$1003,3,FALSE),IF($C$1075&gt;0,VLOOKUP($C1711,PATRIMONIALE!$U$4:$Z$1003,3,FALSE),IF($C$1074&gt;0,VLOOKUP($C1711,ENTI!$U$4:$Z$1003,3,FALSE),"")))</f>
        <v>#N/A</v>
      </c>
      <c r="E1711" s="41" t="str">
        <f t="shared" ca="1" si="209"/>
        <v/>
      </c>
      <c r="F1711" s="41" t="e">
        <f t="shared" ca="1" si="210"/>
        <v>#NUM!</v>
      </c>
      <c r="G1711" s="39" t="e">
        <f ca="1">IF($C$1076&gt;0,VLOOKUP($C1711,COSTI!$U$4:$Z$1003,5,FALSE),IF($C$1075&gt;0,VLOOKUP($C1711,PATRIMONIALE!$U$4:$Z$1003,5,FALSE),IF($C$1074&gt;0,VLOOKUP($C1711,ENTI!$U$4:$Z$1003,5,FALSE),"")))</f>
        <v>#N/A</v>
      </c>
      <c r="H1711" s="42" t="e">
        <f ca="1">IF($C$1076&gt;0,VLOOKUP($C1711,COSTI!$U$4:$Z$1003,6,FALSE),IF($C$1075&gt;0,VLOOKUP($C1711,PATRIMONIALE!$U$4:$Z$1003,6,FALSE),IF($C$1074&gt;0,VLOOKUP($C1711,ENTI!$U$4:$Z$1003,6,FALSE),"")))</f>
        <v>#N/A</v>
      </c>
      <c r="I1711" s="496">
        <v>631</v>
      </c>
      <c r="J1711" s="43" t="e">
        <f ca="1">VLOOKUP(D1711,$F$1081:$I$4183,4,FALSE)+COUNTIF(E$1081:E1710,E1711)</f>
        <v>#N/A</v>
      </c>
      <c r="K1711" s="1"/>
      <c r="L1711" s="39" t="e">
        <f>IF($C$1074&gt;0,VLOOKUP($C1711,ENTI!$U$4:$AD$1003,10,FALSE),"")</f>
        <v>#N/A</v>
      </c>
      <c r="M1711" s="1"/>
      <c r="N1711" s="1"/>
      <c r="O1711" s="1"/>
    </row>
    <row r="1712" spans="1:15" hidden="1">
      <c r="A1712" s="1"/>
      <c r="B1712" s="40" t="e">
        <f t="shared" ca="1" si="208"/>
        <v>#N/A</v>
      </c>
      <c r="C1712" s="496">
        <v>632</v>
      </c>
      <c r="D1712" s="41" t="e">
        <f ca="1">IF($C$1076&gt;0,VLOOKUP($C1712,COSTI!$U$4:$Z$1003,3,FALSE),IF($C$1075&gt;0,VLOOKUP($C1712,PATRIMONIALE!$U$4:$Z$1003,3,FALSE),IF($C$1074&gt;0,VLOOKUP($C1712,ENTI!$U$4:$Z$1003,3,FALSE),"")))</f>
        <v>#N/A</v>
      </c>
      <c r="E1712" s="41" t="str">
        <f t="shared" ca="1" si="209"/>
        <v/>
      </c>
      <c r="F1712" s="41" t="e">
        <f t="shared" ca="1" si="210"/>
        <v>#NUM!</v>
      </c>
      <c r="G1712" s="39" t="e">
        <f ca="1">IF($C$1076&gt;0,VLOOKUP($C1712,COSTI!$U$4:$Z$1003,5,FALSE),IF($C$1075&gt;0,VLOOKUP($C1712,PATRIMONIALE!$U$4:$Z$1003,5,FALSE),IF($C$1074&gt;0,VLOOKUP($C1712,ENTI!$U$4:$Z$1003,5,FALSE),"")))</f>
        <v>#N/A</v>
      </c>
      <c r="H1712" s="42" t="e">
        <f ca="1">IF($C$1076&gt;0,VLOOKUP($C1712,COSTI!$U$4:$Z$1003,6,FALSE),IF($C$1075&gt;0,VLOOKUP($C1712,PATRIMONIALE!$U$4:$Z$1003,6,FALSE),IF($C$1074&gt;0,VLOOKUP($C1712,ENTI!$U$4:$Z$1003,6,FALSE),"")))</f>
        <v>#N/A</v>
      </c>
      <c r="I1712" s="496">
        <v>632</v>
      </c>
      <c r="J1712" s="43" t="e">
        <f ca="1">VLOOKUP(D1712,$F$1081:$I$4183,4,FALSE)+COUNTIF(E$1081:E1711,E1712)</f>
        <v>#N/A</v>
      </c>
      <c r="K1712" s="1"/>
      <c r="L1712" s="39" t="e">
        <f>IF($C$1074&gt;0,VLOOKUP($C1712,ENTI!$U$4:$AD$1003,10,FALSE),"")</f>
        <v>#N/A</v>
      </c>
      <c r="M1712" s="1"/>
      <c r="N1712" s="1"/>
      <c r="O1712" s="1"/>
    </row>
    <row r="1713" spans="1:15" hidden="1">
      <c r="A1713" s="1"/>
      <c r="B1713" s="40" t="e">
        <f t="shared" ref="B1713:B1776" ca="1" si="211">IF(OR(C$1075&gt;0,C$1077&gt;0,C$1073&gt;0,C$1071&gt;0),J1713+1,J1713)</f>
        <v>#N/A</v>
      </c>
      <c r="C1713" s="496">
        <v>633</v>
      </c>
      <c r="D1713" s="41" t="e">
        <f ca="1">IF($C$1076&gt;0,VLOOKUP($C1713,COSTI!$U$4:$Z$1003,3,FALSE),IF($C$1075&gt;0,VLOOKUP($C1713,PATRIMONIALE!$U$4:$Z$1003,3,FALSE),IF($C$1074&gt;0,VLOOKUP($C1713,ENTI!$U$4:$Z$1003,3,FALSE),"")))</f>
        <v>#N/A</v>
      </c>
      <c r="E1713" s="41" t="str">
        <f t="shared" ca="1" si="209"/>
        <v/>
      </c>
      <c r="F1713" s="41" t="e">
        <f t="shared" ca="1" si="210"/>
        <v>#NUM!</v>
      </c>
      <c r="G1713" s="39" t="e">
        <f ca="1">IF($C$1076&gt;0,VLOOKUP($C1713,COSTI!$U$4:$Z$1003,5,FALSE),IF($C$1075&gt;0,VLOOKUP($C1713,PATRIMONIALE!$U$4:$Z$1003,5,FALSE),IF($C$1074&gt;0,VLOOKUP($C1713,ENTI!$U$4:$Z$1003,5,FALSE),"")))</f>
        <v>#N/A</v>
      </c>
      <c r="H1713" s="42" t="e">
        <f ca="1">IF($C$1076&gt;0,VLOOKUP($C1713,COSTI!$U$4:$Z$1003,6,FALSE),IF($C$1075&gt;0,VLOOKUP($C1713,PATRIMONIALE!$U$4:$Z$1003,6,FALSE),IF($C$1074&gt;0,VLOOKUP($C1713,ENTI!$U$4:$Z$1003,6,FALSE),"")))</f>
        <v>#N/A</v>
      </c>
      <c r="I1713" s="496">
        <v>633</v>
      </c>
      <c r="J1713" s="43" t="e">
        <f ca="1">VLOOKUP(D1713,$F$1081:$I$4183,4,FALSE)+COUNTIF(E$1081:E1712,E1713)</f>
        <v>#N/A</v>
      </c>
      <c r="K1713" s="1"/>
      <c r="L1713" s="39" t="e">
        <f>IF($C$1074&gt;0,VLOOKUP($C1713,ENTI!$U$4:$AD$1003,10,FALSE),"")</f>
        <v>#N/A</v>
      </c>
      <c r="M1713" s="1"/>
      <c r="N1713" s="1"/>
      <c r="O1713" s="1"/>
    </row>
    <row r="1714" spans="1:15" hidden="1">
      <c r="A1714" s="1"/>
      <c r="B1714" s="40" t="e">
        <f t="shared" ca="1" si="211"/>
        <v>#N/A</v>
      </c>
      <c r="C1714" s="496">
        <v>634</v>
      </c>
      <c r="D1714" s="41" t="e">
        <f ca="1">IF($C$1076&gt;0,VLOOKUP($C1714,COSTI!$U$4:$Z$1003,3,FALSE),IF($C$1075&gt;0,VLOOKUP($C1714,PATRIMONIALE!$U$4:$Z$1003,3,FALSE),IF($C$1074&gt;0,VLOOKUP($C1714,ENTI!$U$4:$Z$1003,3,FALSE),"")))</f>
        <v>#N/A</v>
      </c>
      <c r="E1714" s="41" t="str">
        <f t="shared" ca="1" si="209"/>
        <v/>
      </c>
      <c r="F1714" s="41" t="e">
        <f t="shared" ca="1" si="210"/>
        <v>#NUM!</v>
      </c>
      <c r="G1714" s="39" t="e">
        <f ca="1">IF($C$1076&gt;0,VLOOKUP($C1714,COSTI!$U$4:$Z$1003,5,FALSE),IF($C$1075&gt;0,VLOOKUP($C1714,PATRIMONIALE!$U$4:$Z$1003,5,FALSE),IF($C$1074&gt;0,VLOOKUP($C1714,ENTI!$U$4:$Z$1003,5,FALSE),"")))</f>
        <v>#N/A</v>
      </c>
      <c r="H1714" s="42" t="e">
        <f ca="1">IF($C$1076&gt;0,VLOOKUP($C1714,COSTI!$U$4:$Z$1003,6,FALSE),IF($C$1075&gt;0,VLOOKUP($C1714,PATRIMONIALE!$U$4:$Z$1003,6,FALSE),IF($C$1074&gt;0,VLOOKUP($C1714,ENTI!$U$4:$Z$1003,6,FALSE),"")))</f>
        <v>#N/A</v>
      </c>
      <c r="I1714" s="496">
        <v>634</v>
      </c>
      <c r="J1714" s="43" t="e">
        <f ca="1">VLOOKUP(D1714,$F$1081:$I$4183,4,FALSE)+COUNTIF(E$1081:E1713,E1714)</f>
        <v>#N/A</v>
      </c>
      <c r="K1714" s="1"/>
      <c r="L1714" s="39" t="e">
        <f>IF($C$1074&gt;0,VLOOKUP($C1714,ENTI!$U$4:$AD$1003,10,FALSE),"")</f>
        <v>#N/A</v>
      </c>
      <c r="M1714" s="1"/>
      <c r="N1714" s="1"/>
      <c r="O1714" s="1"/>
    </row>
    <row r="1715" spans="1:15" hidden="1">
      <c r="A1715" s="1"/>
      <c r="B1715" s="40" t="e">
        <f t="shared" ca="1" si="211"/>
        <v>#N/A</v>
      </c>
      <c r="C1715" s="496">
        <v>635</v>
      </c>
      <c r="D1715" s="41" t="e">
        <f ca="1">IF($C$1076&gt;0,VLOOKUP($C1715,COSTI!$U$4:$Z$1003,3,FALSE),IF($C$1075&gt;0,VLOOKUP($C1715,PATRIMONIALE!$U$4:$Z$1003,3,FALSE),IF($C$1074&gt;0,VLOOKUP($C1715,ENTI!$U$4:$Z$1003,3,FALSE),"")))</f>
        <v>#N/A</v>
      </c>
      <c r="E1715" s="41" t="str">
        <f t="shared" ref="E1715:E1778" ca="1" si="212">IF(ISERROR(D1715),"",D1715)</f>
        <v/>
      </c>
      <c r="F1715" s="41" t="e">
        <f t="shared" ca="1" si="210"/>
        <v>#NUM!</v>
      </c>
      <c r="G1715" s="39" t="e">
        <f ca="1">IF($C$1076&gt;0,VLOOKUP($C1715,COSTI!$U$4:$Z$1003,5,FALSE),IF($C$1075&gt;0,VLOOKUP($C1715,PATRIMONIALE!$U$4:$Z$1003,5,FALSE),IF($C$1074&gt;0,VLOOKUP($C1715,ENTI!$U$4:$Z$1003,5,FALSE),"")))</f>
        <v>#N/A</v>
      </c>
      <c r="H1715" s="42" t="e">
        <f ca="1">IF($C$1076&gt;0,VLOOKUP($C1715,COSTI!$U$4:$Z$1003,6,FALSE),IF($C$1075&gt;0,VLOOKUP($C1715,PATRIMONIALE!$U$4:$Z$1003,6,FALSE),IF($C$1074&gt;0,VLOOKUP($C1715,ENTI!$U$4:$Z$1003,6,FALSE),"")))</f>
        <v>#N/A</v>
      </c>
      <c r="I1715" s="496">
        <v>635</v>
      </c>
      <c r="J1715" s="43" t="e">
        <f ca="1">VLOOKUP(D1715,$F$1081:$I$4183,4,FALSE)+COUNTIF(E$1081:E1714,E1715)</f>
        <v>#N/A</v>
      </c>
      <c r="K1715" s="1"/>
      <c r="L1715" s="39" t="e">
        <f>IF($C$1074&gt;0,VLOOKUP($C1715,ENTI!$U$4:$AD$1003,10,FALSE),"")</f>
        <v>#N/A</v>
      </c>
      <c r="M1715" s="1"/>
      <c r="N1715" s="1"/>
      <c r="O1715" s="1"/>
    </row>
    <row r="1716" spans="1:15" hidden="1">
      <c r="A1716" s="1"/>
      <c r="B1716" s="40" t="e">
        <f t="shared" ca="1" si="211"/>
        <v>#N/A</v>
      </c>
      <c r="C1716" s="496">
        <v>636</v>
      </c>
      <c r="D1716" s="41" t="e">
        <f ca="1">IF($C$1076&gt;0,VLOOKUP($C1716,COSTI!$U$4:$Z$1003,3,FALSE),IF($C$1075&gt;0,VLOOKUP($C1716,PATRIMONIALE!$U$4:$Z$1003,3,FALSE),IF($C$1074&gt;0,VLOOKUP($C1716,ENTI!$U$4:$Z$1003,3,FALSE),"")))</f>
        <v>#N/A</v>
      </c>
      <c r="E1716" s="41" t="str">
        <f t="shared" ca="1" si="212"/>
        <v/>
      </c>
      <c r="F1716" s="41" t="e">
        <f t="shared" ca="1" si="210"/>
        <v>#NUM!</v>
      </c>
      <c r="G1716" s="39" t="e">
        <f ca="1">IF($C$1076&gt;0,VLOOKUP($C1716,COSTI!$U$4:$Z$1003,5,FALSE),IF($C$1075&gt;0,VLOOKUP($C1716,PATRIMONIALE!$U$4:$Z$1003,5,FALSE),IF($C$1074&gt;0,VLOOKUP($C1716,ENTI!$U$4:$Z$1003,5,FALSE),"")))</f>
        <v>#N/A</v>
      </c>
      <c r="H1716" s="42" t="e">
        <f ca="1">IF($C$1076&gt;0,VLOOKUP($C1716,COSTI!$U$4:$Z$1003,6,FALSE),IF($C$1075&gt;0,VLOOKUP($C1716,PATRIMONIALE!$U$4:$Z$1003,6,FALSE),IF($C$1074&gt;0,VLOOKUP($C1716,ENTI!$U$4:$Z$1003,6,FALSE),"")))</f>
        <v>#N/A</v>
      </c>
      <c r="I1716" s="496">
        <v>636</v>
      </c>
      <c r="J1716" s="43" t="e">
        <f ca="1">VLOOKUP(D1716,$F$1081:$I$4183,4,FALSE)+COUNTIF(E$1081:E1715,E1716)</f>
        <v>#N/A</v>
      </c>
      <c r="K1716" s="1"/>
      <c r="L1716" s="39" t="e">
        <f>IF($C$1074&gt;0,VLOOKUP($C1716,ENTI!$U$4:$AD$1003,10,FALSE),"")</f>
        <v>#N/A</v>
      </c>
      <c r="M1716" s="1"/>
      <c r="N1716" s="1"/>
      <c r="O1716" s="1"/>
    </row>
    <row r="1717" spans="1:15" hidden="1">
      <c r="A1717" s="1"/>
      <c r="B1717" s="40" t="e">
        <f t="shared" ca="1" si="211"/>
        <v>#N/A</v>
      </c>
      <c r="C1717" s="496">
        <v>637</v>
      </c>
      <c r="D1717" s="41" t="e">
        <f ca="1">IF($C$1076&gt;0,VLOOKUP($C1717,COSTI!$U$4:$Z$1003,3,FALSE),IF($C$1075&gt;0,VLOOKUP($C1717,PATRIMONIALE!$U$4:$Z$1003,3,FALSE),IF($C$1074&gt;0,VLOOKUP($C1717,ENTI!$U$4:$Z$1003,3,FALSE),"")))</f>
        <v>#N/A</v>
      </c>
      <c r="E1717" s="41" t="str">
        <f t="shared" ca="1" si="212"/>
        <v/>
      </c>
      <c r="F1717" s="41" t="e">
        <f t="shared" ca="1" si="210"/>
        <v>#NUM!</v>
      </c>
      <c r="G1717" s="39" t="e">
        <f ca="1">IF($C$1076&gt;0,VLOOKUP($C1717,COSTI!$U$4:$Z$1003,5,FALSE),IF($C$1075&gt;0,VLOOKUP($C1717,PATRIMONIALE!$U$4:$Z$1003,5,FALSE),IF($C$1074&gt;0,VLOOKUP($C1717,ENTI!$U$4:$Z$1003,5,FALSE),"")))</f>
        <v>#N/A</v>
      </c>
      <c r="H1717" s="42" t="e">
        <f ca="1">IF($C$1076&gt;0,VLOOKUP($C1717,COSTI!$U$4:$Z$1003,6,FALSE),IF($C$1075&gt;0,VLOOKUP($C1717,PATRIMONIALE!$U$4:$Z$1003,6,FALSE),IF($C$1074&gt;0,VLOOKUP($C1717,ENTI!$U$4:$Z$1003,6,FALSE),"")))</f>
        <v>#N/A</v>
      </c>
      <c r="I1717" s="496">
        <v>637</v>
      </c>
      <c r="J1717" s="43" t="e">
        <f ca="1">VLOOKUP(D1717,$F$1081:$I$4183,4,FALSE)+COUNTIF(E$1081:E1716,E1717)</f>
        <v>#N/A</v>
      </c>
      <c r="K1717" s="1"/>
      <c r="L1717" s="39" t="e">
        <f>IF($C$1074&gt;0,VLOOKUP($C1717,ENTI!$U$4:$AD$1003,10,FALSE),"")</f>
        <v>#N/A</v>
      </c>
      <c r="M1717" s="1"/>
      <c r="N1717" s="1"/>
      <c r="O1717" s="1"/>
    </row>
    <row r="1718" spans="1:15" hidden="1">
      <c r="A1718" s="1"/>
      <c r="B1718" s="40" t="e">
        <f t="shared" ca="1" si="211"/>
        <v>#N/A</v>
      </c>
      <c r="C1718" s="496">
        <v>638</v>
      </c>
      <c r="D1718" s="41" t="e">
        <f ca="1">IF($C$1076&gt;0,VLOOKUP($C1718,COSTI!$U$4:$Z$1003,3,FALSE),IF($C$1075&gt;0,VLOOKUP($C1718,PATRIMONIALE!$U$4:$Z$1003,3,FALSE),IF($C$1074&gt;0,VLOOKUP($C1718,ENTI!$U$4:$Z$1003,3,FALSE),"")))</f>
        <v>#N/A</v>
      </c>
      <c r="E1718" s="41" t="str">
        <f t="shared" ca="1" si="212"/>
        <v/>
      </c>
      <c r="F1718" s="41" t="e">
        <f t="shared" ca="1" si="210"/>
        <v>#NUM!</v>
      </c>
      <c r="G1718" s="39" t="e">
        <f ca="1">IF($C$1076&gt;0,VLOOKUP($C1718,COSTI!$U$4:$Z$1003,5,FALSE),IF($C$1075&gt;0,VLOOKUP($C1718,PATRIMONIALE!$U$4:$Z$1003,5,FALSE),IF($C$1074&gt;0,VLOOKUP($C1718,ENTI!$U$4:$Z$1003,5,FALSE),"")))</f>
        <v>#N/A</v>
      </c>
      <c r="H1718" s="42" t="e">
        <f ca="1">IF($C$1076&gt;0,VLOOKUP($C1718,COSTI!$U$4:$Z$1003,6,FALSE),IF($C$1075&gt;0,VLOOKUP($C1718,PATRIMONIALE!$U$4:$Z$1003,6,FALSE),IF($C$1074&gt;0,VLOOKUP($C1718,ENTI!$U$4:$Z$1003,6,FALSE),"")))</f>
        <v>#N/A</v>
      </c>
      <c r="I1718" s="496">
        <v>638</v>
      </c>
      <c r="J1718" s="43" t="e">
        <f ca="1">VLOOKUP(D1718,$F$1081:$I$4183,4,FALSE)+COUNTIF(E$1081:E1717,E1718)</f>
        <v>#N/A</v>
      </c>
      <c r="K1718" s="1"/>
      <c r="L1718" s="39" t="e">
        <f>IF($C$1074&gt;0,VLOOKUP($C1718,ENTI!$U$4:$AD$1003,10,FALSE),"")</f>
        <v>#N/A</v>
      </c>
      <c r="M1718" s="1"/>
      <c r="N1718" s="1"/>
      <c r="O1718" s="1"/>
    </row>
    <row r="1719" spans="1:15" hidden="1">
      <c r="A1719" s="1"/>
      <c r="B1719" s="40" t="e">
        <f t="shared" ca="1" si="211"/>
        <v>#N/A</v>
      </c>
      <c r="C1719" s="496">
        <v>639</v>
      </c>
      <c r="D1719" s="41" t="e">
        <f ca="1">IF($C$1076&gt;0,VLOOKUP($C1719,COSTI!$U$4:$Z$1003,3,FALSE),IF($C$1075&gt;0,VLOOKUP($C1719,PATRIMONIALE!$U$4:$Z$1003,3,FALSE),IF($C$1074&gt;0,VLOOKUP($C1719,ENTI!$U$4:$Z$1003,3,FALSE),"")))</f>
        <v>#N/A</v>
      </c>
      <c r="E1719" s="41" t="str">
        <f t="shared" ca="1" si="212"/>
        <v/>
      </c>
      <c r="F1719" s="41" t="e">
        <f t="shared" ca="1" si="210"/>
        <v>#NUM!</v>
      </c>
      <c r="G1719" s="39" t="e">
        <f ca="1">IF($C$1076&gt;0,VLOOKUP($C1719,COSTI!$U$4:$Z$1003,5,FALSE),IF($C$1075&gt;0,VLOOKUP($C1719,PATRIMONIALE!$U$4:$Z$1003,5,FALSE),IF($C$1074&gt;0,VLOOKUP($C1719,ENTI!$U$4:$Z$1003,5,FALSE),"")))</f>
        <v>#N/A</v>
      </c>
      <c r="H1719" s="42" t="e">
        <f ca="1">IF($C$1076&gt;0,VLOOKUP($C1719,COSTI!$U$4:$Z$1003,6,FALSE),IF($C$1075&gt;0,VLOOKUP($C1719,PATRIMONIALE!$U$4:$Z$1003,6,FALSE),IF($C$1074&gt;0,VLOOKUP($C1719,ENTI!$U$4:$Z$1003,6,FALSE),"")))</f>
        <v>#N/A</v>
      </c>
      <c r="I1719" s="496">
        <v>639</v>
      </c>
      <c r="J1719" s="43" t="e">
        <f ca="1">VLOOKUP(D1719,$F$1081:$I$4183,4,FALSE)+COUNTIF(E$1081:E1718,E1719)</f>
        <v>#N/A</v>
      </c>
      <c r="K1719" s="1"/>
      <c r="L1719" s="39" t="e">
        <f>IF($C$1074&gt;0,VLOOKUP($C1719,ENTI!$U$4:$AD$1003,10,FALSE),"")</f>
        <v>#N/A</v>
      </c>
      <c r="M1719" s="1"/>
      <c r="N1719" s="1"/>
      <c r="O1719" s="1"/>
    </row>
    <row r="1720" spans="1:15" hidden="1">
      <c r="A1720" s="1"/>
      <c r="B1720" s="40" t="e">
        <f t="shared" ca="1" si="211"/>
        <v>#N/A</v>
      </c>
      <c r="C1720" s="496">
        <v>640</v>
      </c>
      <c r="D1720" s="41" t="e">
        <f ca="1">IF($C$1076&gt;0,VLOOKUP($C1720,COSTI!$U$4:$Z$1003,3,FALSE),IF($C$1075&gt;0,VLOOKUP($C1720,PATRIMONIALE!$U$4:$Z$1003,3,FALSE),IF($C$1074&gt;0,VLOOKUP($C1720,ENTI!$U$4:$Z$1003,3,FALSE),"")))</f>
        <v>#N/A</v>
      </c>
      <c r="E1720" s="41" t="str">
        <f t="shared" ca="1" si="212"/>
        <v/>
      </c>
      <c r="F1720" s="41" t="e">
        <f t="shared" ca="1" si="210"/>
        <v>#NUM!</v>
      </c>
      <c r="G1720" s="39" t="e">
        <f ca="1">IF($C$1076&gt;0,VLOOKUP($C1720,COSTI!$U$4:$Z$1003,5,FALSE),IF($C$1075&gt;0,VLOOKUP($C1720,PATRIMONIALE!$U$4:$Z$1003,5,FALSE),IF($C$1074&gt;0,VLOOKUP($C1720,ENTI!$U$4:$Z$1003,5,FALSE),"")))</f>
        <v>#N/A</v>
      </c>
      <c r="H1720" s="42" t="e">
        <f ca="1">IF($C$1076&gt;0,VLOOKUP($C1720,COSTI!$U$4:$Z$1003,6,FALSE),IF($C$1075&gt;0,VLOOKUP($C1720,PATRIMONIALE!$U$4:$Z$1003,6,FALSE),IF($C$1074&gt;0,VLOOKUP($C1720,ENTI!$U$4:$Z$1003,6,FALSE),"")))</f>
        <v>#N/A</v>
      </c>
      <c r="I1720" s="496">
        <v>640</v>
      </c>
      <c r="J1720" s="43" t="e">
        <f ca="1">VLOOKUP(D1720,$F$1081:$I$4183,4,FALSE)+COUNTIF(E$1081:E1719,E1720)</f>
        <v>#N/A</v>
      </c>
      <c r="K1720" s="1"/>
      <c r="L1720" s="39" t="e">
        <f>IF($C$1074&gt;0,VLOOKUP($C1720,ENTI!$U$4:$AD$1003,10,FALSE),"")</f>
        <v>#N/A</v>
      </c>
      <c r="M1720" s="1"/>
      <c r="N1720" s="1"/>
      <c r="O1720" s="1"/>
    </row>
    <row r="1721" spans="1:15" hidden="1">
      <c r="A1721" s="1"/>
      <c r="B1721" s="40" t="e">
        <f t="shared" ca="1" si="211"/>
        <v>#N/A</v>
      </c>
      <c r="C1721" s="496">
        <v>641</v>
      </c>
      <c r="D1721" s="41" t="e">
        <f ca="1">IF($C$1076&gt;0,VLOOKUP($C1721,COSTI!$U$4:$Z$1003,3,FALSE),IF($C$1075&gt;0,VLOOKUP($C1721,PATRIMONIALE!$U$4:$Z$1003,3,FALSE),IF($C$1074&gt;0,VLOOKUP($C1721,ENTI!$U$4:$Z$1003,3,FALSE),"")))</f>
        <v>#N/A</v>
      </c>
      <c r="E1721" s="41" t="str">
        <f t="shared" ca="1" si="212"/>
        <v/>
      </c>
      <c r="F1721" s="41" t="e">
        <f t="shared" ref="F1721:F1784" ca="1" si="213">SMALL(E$1081:E$4183,C1721)</f>
        <v>#NUM!</v>
      </c>
      <c r="G1721" s="39" t="e">
        <f ca="1">IF($C$1076&gt;0,VLOOKUP($C1721,COSTI!$U$4:$Z$1003,5,FALSE),IF($C$1075&gt;0,VLOOKUP($C1721,PATRIMONIALE!$U$4:$Z$1003,5,FALSE),IF($C$1074&gt;0,VLOOKUP($C1721,ENTI!$U$4:$Z$1003,5,FALSE),"")))</f>
        <v>#N/A</v>
      </c>
      <c r="H1721" s="42" t="e">
        <f ca="1">IF($C$1076&gt;0,VLOOKUP($C1721,COSTI!$U$4:$Z$1003,6,FALSE),IF($C$1075&gt;0,VLOOKUP($C1721,PATRIMONIALE!$U$4:$Z$1003,6,FALSE),IF($C$1074&gt;0,VLOOKUP($C1721,ENTI!$U$4:$Z$1003,6,FALSE),"")))</f>
        <v>#N/A</v>
      </c>
      <c r="I1721" s="496">
        <v>641</v>
      </c>
      <c r="J1721" s="43" t="e">
        <f ca="1">VLOOKUP(D1721,$F$1081:$I$4183,4,FALSE)+COUNTIF(E$1081:E1720,E1721)</f>
        <v>#N/A</v>
      </c>
      <c r="K1721" s="1"/>
      <c r="L1721" s="39" t="e">
        <f>IF($C$1074&gt;0,VLOOKUP($C1721,ENTI!$U$4:$AD$1003,10,FALSE),"")</f>
        <v>#N/A</v>
      </c>
      <c r="M1721" s="1"/>
      <c r="N1721" s="1"/>
      <c r="O1721" s="1"/>
    </row>
    <row r="1722" spans="1:15" hidden="1">
      <c r="A1722" s="1"/>
      <c r="B1722" s="40" t="e">
        <f t="shared" ca="1" si="211"/>
        <v>#N/A</v>
      </c>
      <c r="C1722" s="496">
        <v>642</v>
      </c>
      <c r="D1722" s="41" t="e">
        <f ca="1">IF($C$1076&gt;0,VLOOKUP($C1722,COSTI!$U$4:$Z$1003,3,FALSE),IF($C$1075&gt;0,VLOOKUP($C1722,PATRIMONIALE!$U$4:$Z$1003,3,FALSE),IF($C$1074&gt;0,VLOOKUP($C1722,ENTI!$U$4:$Z$1003,3,FALSE),"")))</f>
        <v>#N/A</v>
      </c>
      <c r="E1722" s="41" t="str">
        <f t="shared" ca="1" si="212"/>
        <v/>
      </c>
      <c r="F1722" s="41" t="e">
        <f t="shared" ca="1" si="213"/>
        <v>#NUM!</v>
      </c>
      <c r="G1722" s="39" t="e">
        <f ca="1">IF($C$1076&gt;0,VLOOKUP($C1722,COSTI!$U$4:$Z$1003,5,FALSE),IF($C$1075&gt;0,VLOOKUP($C1722,PATRIMONIALE!$U$4:$Z$1003,5,FALSE),IF($C$1074&gt;0,VLOOKUP($C1722,ENTI!$U$4:$Z$1003,5,FALSE),"")))</f>
        <v>#N/A</v>
      </c>
      <c r="H1722" s="42" t="e">
        <f ca="1">IF($C$1076&gt;0,VLOOKUP($C1722,COSTI!$U$4:$Z$1003,6,FALSE),IF($C$1075&gt;0,VLOOKUP($C1722,PATRIMONIALE!$U$4:$Z$1003,6,FALSE),IF($C$1074&gt;0,VLOOKUP($C1722,ENTI!$U$4:$Z$1003,6,FALSE),"")))</f>
        <v>#N/A</v>
      </c>
      <c r="I1722" s="496">
        <v>642</v>
      </c>
      <c r="J1722" s="43" t="e">
        <f ca="1">VLOOKUP(D1722,$F$1081:$I$4183,4,FALSE)+COUNTIF(E$1081:E1721,E1722)</f>
        <v>#N/A</v>
      </c>
      <c r="K1722" s="1"/>
      <c r="L1722" s="39" t="e">
        <f>IF($C$1074&gt;0,VLOOKUP($C1722,ENTI!$U$4:$AD$1003,10,FALSE),"")</f>
        <v>#N/A</v>
      </c>
      <c r="M1722" s="1"/>
      <c r="N1722" s="1"/>
      <c r="O1722" s="1"/>
    </row>
    <row r="1723" spans="1:15" hidden="1">
      <c r="A1723" s="1"/>
      <c r="B1723" s="40" t="e">
        <f t="shared" ca="1" si="211"/>
        <v>#N/A</v>
      </c>
      <c r="C1723" s="496">
        <v>643</v>
      </c>
      <c r="D1723" s="41" t="e">
        <f ca="1">IF($C$1076&gt;0,VLOOKUP($C1723,COSTI!$U$4:$Z$1003,3,FALSE),IF($C$1075&gt;0,VLOOKUP($C1723,PATRIMONIALE!$U$4:$Z$1003,3,FALSE),IF($C$1074&gt;0,VLOOKUP($C1723,ENTI!$U$4:$Z$1003,3,FALSE),"")))</f>
        <v>#N/A</v>
      </c>
      <c r="E1723" s="41" t="str">
        <f t="shared" ca="1" si="212"/>
        <v/>
      </c>
      <c r="F1723" s="41" t="e">
        <f t="shared" ca="1" si="213"/>
        <v>#NUM!</v>
      </c>
      <c r="G1723" s="39" t="e">
        <f ca="1">IF($C$1076&gt;0,VLOOKUP($C1723,COSTI!$U$4:$Z$1003,5,FALSE),IF($C$1075&gt;0,VLOOKUP($C1723,PATRIMONIALE!$U$4:$Z$1003,5,FALSE),IF($C$1074&gt;0,VLOOKUP($C1723,ENTI!$U$4:$Z$1003,5,FALSE),"")))</f>
        <v>#N/A</v>
      </c>
      <c r="H1723" s="42" t="e">
        <f ca="1">IF($C$1076&gt;0,VLOOKUP($C1723,COSTI!$U$4:$Z$1003,6,FALSE),IF($C$1075&gt;0,VLOOKUP($C1723,PATRIMONIALE!$U$4:$Z$1003,6,FALSE),IF($C$1074&gt;0,VLOOKUP($C1723,ENTI!$U$4:$Z$1003,6,FALSE),"")))</f>
        <v>#N/A</v>
      </c>
      <c r="I1723" s="496">
        <v>643</v>
      </c>
      <c r="J1723" s="43" t="e">
        <f ca="1">VLOOKUP(D1723,$F$1081:$I$4183,4,FALSE)+COUNTIF(E$1081:E1722,E1723)</f>
        <v>#N/A</v>
      </c>
      <c r="K1723" s="1"/>
      <c r="L1723" s="39" t="e">
        <f>IF($C$1074&gt;0,VLOOKUP($C1723,ENTI!$U$4:$AD$1003,10,FALSE),"")</f>
        <v>#N/A</v>
      </c>
      <c r="M1723" s="1"/>
      <c r="N1723" s="1"/>
      <c r="O1723" s="1"/>
    </row>
    <row r="1724" spans="1:15" hidden="1">
      <c r="A1724" s="1"/>
      <c r="B1724" s="40" t="e">
        <f t="shared" ca="1" si="211"/>
        <v>#N/A</v>
      </c>
      <c r="C1724" s="496">
        <v>644</v>
      </c>
      <c r="D1724" s="41" t="e">
        <f ca="1">IF($C$1076&gt;0,VLOOKUP($C1724,COSTI!$U$4:$Z$1003,3,FALSE),IF($C$1075&gt;0,VLOOKUP($C1724,PATRIMONIALE!$U$4:$Z$1003,3,FALSE),IF($C$1074&gt;0,VLOOKUP($C1724,ENTI!$U$4:$Z$1003,3,FALSE),"")))</f>
        <v>#N/A</v>
      </c>
      <c r="E1724" s="41" t="str">
        <f t="shared" ca="1" si="212"/>
        <v/>
      </c>
      <c r="F1724" s="41" t="e">
        <f t="shared" ca="1" si="213"/>
        <v>#NUM!</v>
      </c>
      <c r="G1724" s="39" t="e">
        <f ca="1">IF($C$1076&gt;0,VLOOKUP($C1724,COSTI!$U$4:$Z$1003,5,FALSE),IF($C$1075&gt;0,VLOOKUP($C1724,PATRIMONIALE!$U$4:$Z$1003,5,FALSE),IF($C$1074&gt;0,VLOOKUP($C1724,ENTI!$U$4:$Z$1003,5,FALSE),"")))</f>
        <v>#N/A</v>
      </c>
      <c r="H1724" s="42" t="e">
        <f ca="1">IF($C$1076&gt;0,VLOOKUP($C1724,COSTI!$U$4:$Z$1003,6,FALSE),IF($C$1075&gt;0,VLOOKUP($C1724,PATRIMONIALE!$U$4:$Z$1003,6,FALSE),IF($C$1074&gt;0,VLOOKUP($C1724,ENTI!$U$4:$Z$1003,6,FALSE),"")))</f>
        <v>#N/A</v>
      </c>
      <c r="I1724" s="496">
        <v>644</v>
      </c>
      <c r="J1724" s="43" t="e">
        <f ca="1">VLOOKUP(D1724,$F$1081:$I$4183,4,FALSE)+COUNTIF(E$1081:E1723,E1724)</f>
        <v>#N/A</v>
      </c>
      <c r="K1724" s="1"/>
      <c r="L1724" s="39" t="e">
        <f>IF($C$1074&gt;0,VLOOKUP($C1724,ENTI!$U$4:$AD$1003,10,FALSE),"")</f>
        <v>#N/A</v>
      </c>
      <c r="M1724" s="1"/>
      <c r="N1724" s="1"/>
      <c r="O1724" s="1"/>
    </row>
    <row r="1725" spans="1:15" hidden="1">
      <c r="A1725" s="1"/>
      <c r="B1725" s="40" t="e">
        <f t="shared" ca="1" si="211"/>
        <v>#N/A</v>
      </c>
      <c r="C1725" s="496">
        <v>645</v>
      </c>
      <c r="D1725" s="41" t="e">
        <f ca="1">IF($C$1076&gt;0,VLOOKUP($C1725,COSTI!$U$4:$Z$1003,3,FALSE),IF($C$1075&gt;0,VLOOKUP($C1725,PATRIMONIALE!$U$4:$Z$1003,3,FALSE),IF($C$1074&gt;0,VLOOKUP($C1725,ENTI!$U$4:$Z$1003,3,FALSE),"")))</f>
        <v>#N/A</v>
      </c>
      <c r="E1725" s="41" t="str">
        <f t="shared" ca="1" si="212"/>
        <v/>
      </c>
      <c r="F1725" s="41" t="e">
        <f t="shared" ca="1" si="213"/>
        <v>#NUM!</v>
      </c>
      <c r="G1725" s="39" t="e">
        <f ca="1">IF($C$1076&gt;0,VLOOKUP($C1725,COSTI!$U$4:$Z$1003,5,FALSE),IF($C$1075&gt;0,VLOOKUP($C1725,PATRIMONIALE!$U$4:$Z$1003,5,FALSE),IF($C$1074&gt;0,VLOOKUP($C1725,ENTI!$U$4:$Z$1003,5,FALSE),"")))</f>
        <v>#N/A</v>
      </c>
      <c r="H1725" s="42" t="e">
        <f ca="1">IF($C$1076&gt;0,VLOOKUP($C1725,COSTI!$U$4:$Z$1003,6,FALSE),IF($C$1075&gt;0,VLOOKUP($C1725,PATRIMONIALE!$U$4:$Z$1003,6,FALSE),IF($C$1074&gt;0,VLOOKUP($C1725,ENTI!$U$4:$Z$1003,6,FALSE),"")))</f>
        <v>#N/A</v>
      </c>
      <c r="I1725" s="496">
        <v>645</v>
      </c>
      <c r="J1725" s="43" t="e">
        <f ca="1">VLOOKUP(D1725,$F$1081:$I$4183,4,FALSE)+COUNTIF(E$1081:E1724,E1725)</f>
        <v>#N/A</v>
      </c>
      <c r="K1725" s="1"/>
      <c r="L1725" s="39" t="e">
        <f>IF($C$1074&gt;0,VLOOKUP($C1725,ENTI!$U$4:$AD$1003,10,FALSE),"")</f>
        <v>#N/A</v>
      </c>
      <c r="M1725" s="1"/>
      <c r="N1725" s="1"/>
      <c r="O1725" s="1"/>
    </row>
    <row r="1726" spans="1:15" hidden="1">
      <c r="A1726" s="1"/>
      <c r="B1726" s="40" t="e">
        <f t="shared" ca="1" si="211"/>
        <v>#N/A</v>
      </c>
      <c r="C1726" s="496">
        <v>646</v>
      </c>
      <c r="D1726" s="41" t="e">
        <f ca="1">IF($C$1076&gt;0,VLOOKUP($C1726,COSTI!$U$4:$Z$1003,3,FALSE),IF($C$1075&gt;0,VLOOKUP($C1726,PATRIMONIALE!$U$4:$Z$1003,3,FALSE),IF($C$1074&gt;0,VLOOKUP($C1726,ENTI!$U$4:$Z$1003,3,FALSE),"")))</f>
        <v>#N/A</v>
      </c>
      <c r="E1726" s="41" t="str">
        <f t="shared" ca="1" si="212"/>
        <v/>
      </c>
      <c r="F1726" s="41" t="e">
        <f t="shared" ca="1" si="213"/>
        <v>#NUM!</v>
      </c>
      <c r="G1726" s="39" t="e">
        <f ca="1">IF($C$1076&gt;0,VLOOKUP($C1726,COSTI!$U$4:$Z$1003,5,FALSE),IF($C$1075&gt;0,VLOOKUP($C1726,PATRIMONIALE!$U$4:$Z$1003,5,FALSE),IF($C$1074&gt;0,VLOOKUP($C1726,ENTI!$U$4:$Z$1003,5,FALSE),"")))</f>
        <v>#N/A</v>
      </c>
      <c r="H1726" s="42" t="e">
        <f ca="1">IF($C$1076&gt;0,VLOOKUP($C1726,COSTI!$U$4:$Z$1003,6,FALSE),IF($C$1075&gt;0,VLOOKUP($C1726,PATRIMONIALE!$U$4:$Z$1003,6,FALSE),IF($C$1074&gt;0,VLOOKUP($C1726,ENTI!$U$4:$Z$1003,6,FALSE),"")))</f>
        <v>#N/A</v>
      </c>
      <c r="I1726" s="496">
        <v>646</v>
      </c>
      <c r="J1726" s="43" t="e">
        <f ca="1">VLOOKUP(D1726,$F$1081:$I$4183,4,FALSE)+COUNTIF(E$1081:E1725,E1726)</f>
        <v>#N/A</v>
      </c>
      <c r="K1726" s="1"/>
      <c r="L1726" s="39" t="e">
        <f>IF($C$1074&gt;0,VLOOKUP($C1726,ENTI!$U$4:$AD$1003,10,FALSE),"")</f>
        <v>#N/A</v>
      </c>
      <c r="M1726" s="1"/>
      <c r="N1726" s="1"/>
      <c r="O1726" s="1"/>
    </row>
    <row r="1727" spans="1:15" hidden="1">
      <c r="A1727" s="1"/>
      <c r="B1727" s="40" t="e">
        <f t="shared" ca="1" si="211"/>
        <v>#N/A</v>
      </c>
      <c r="C1727" s="496">
        <v>647</v>
      </c>
      <c r="D1727" s="41" t="e">
        <f ca="1">IF($C$1076&gt;0,VLOOKUP($C1727,COSTI!$U$4:$Z$1003,3,FALSE),IF($C$1075&gt;0,VLOOKUP($C1727,PATRIMONIALE!$U$4:$Z$1003,3,FALSE),IF($C$1074&gt;0,VLOOKUP($C1727,ENTI!$U$4:$Z$1003,3,FALSE),"")))</f>
        <v>#N/A</v>
      </c>
      <c r="E1727" s="41" t="str">
        <f t="shared" ca="1" si="212"/>
        <v/>
      </c>
      <c r="F1727" s="41" t="e">
        <f t="shared" ca="1" si="213"/>
        <v>#NUM!</v>
      </c>
      <c r="G1727" s="39" t="e">
        <f ca="1">IF($C$1076&gt;0,VLOOKUP($C1727,COSTI!$U$4:$Z$1003,5,FALSE),IF($C$1075&gt;0,VLOOKUP($C1727,PATRIMONIALE!$U$4:$Z$1003,5,FALSE),IF($C$1074&gt;0,VLOOKUP($C1727,ENTI!$U$4:$Z$1003,5,FALSE),"")))</f>
        <v>#N/A</v>
      </c>
      <c r="H1727" s="42" t="e">
        <f ca="1">IF($C$1076&gt;0,VLOOKUP($C1727,COSTI!$U$4:$Z$1003,6,FALSE),IF($C$1075&gt;0,VLOOKUP($C1727,PATRIMONIALE!$U$4:$Z$1003,6,FALSE),IF($C$1074&gt;0,VLOOKUP($C1727,ENTI!$U$4:$Z$1003,6,FALSE),"")))</f>
        <v>#N/A</v>
      </c>
      <c r="I1727" s="496">
        <v>647</v>
      </c>
      <c r="J1727" s="43" t="e">
        <f ca="1">VLOOKUP(D1727,$F$1081:$I$4183,4,FALSE)+COUNTIF(E$1081:E1726,E1727)</f>
        <v>#N/A</v>
      </c>
      <c r="K1727" s="1"/>
      <c r="L1727" s="39" t="e">
        <f>IF($C$1074&gt;0,VLOOKUP($C1727,ENTI!$U$4:$AD$1003,10,FALSE),"")</f>
        <v>#N/A</v>
      </c>
      <c r="M1727" s="1"/>
      <c r="N1727" s="1"/>
      <c r="O1727" s="1"/>
    </row>
    <row r="1728" spans="1:15" hidden="1">
      <c r="A1728" s="1"/>
      <c r="B1728" s="40" t="e">
        <f t="shared" ca="1" si="211"/>
        <v>#N/A</v>
      </c>
      <c r="C1728" s="496">
        <v>648</v>
      </c>
      <c r="D1728" s="41" t="e">
        <f ca="1">IF($C$1076&gt;0,VLOOKUP($C1728,COSTI!$U$4:$Z$1003,3,FALSE),IF($C$1075&gt;0,VLOOKUP($C1728,PATRIMONIALE!$U$4:$Z$1003,3,FALSE),IF($C$1074&gt;0,VLOOKUP($C1728,ENTI!$U$4:$Z$1003,3,FALSE),"")))</f>
        <v>#N/A</v>
      </c>
      <c r="E1728" s="41" t="str">
        <f t="shared" ca="1" si="212"/>
        <v/>
      </c>
      <c r="F1728" s="41" t="e">
        <f t="shared" ca="1" si="213"/>
        <v>#NUM!</v>
      </c>
      <c r="G1728" s="39" t="e">
        <f ca="1">IF($C$1076&gt;0,VLOOKUP($C1728,COSTI!$U$4:$Z$1003,5,FALSE),IF($C$1075&gt;0,VLOOKUP($C1728,PATRIMONIALE!$U$4:$Z$1003,5,FALSE),IF($C$1074&gt;0,VLOOKUP($C1728,ENTI!$U$4:$Z$1003,5,FALSE),"")))</f>
        <v>#N/A</v>
      </c>
      <c r="H1728" s="42" t="e">
        <f ca="1">IF($C$1076&gt;0,VLOOKUP($C1728,COSTI!$U$4:$Z$1003,6,FALSE),IF($C$1075&gt;0,VLOOKUP($C1728,PATRIMONIALE!$U$4:$Z$1003,6,FALSE),IF($C$1074&gt;0,VLOOKUP($C1728,ENTI!$U$4:$Z$1003,6,FALSE),"")))</f>
        <v>#N/A</v>
      </c>
      <c r="I1728" s="496">
        <v>648</v>
      </c>
      <c r="J1728" s="43" t="e">
        <f ca="1">VLOOKUP(D1728,$F$1081:$I$4183,4,FALSE)+COUNTIF(E$1081:E1727,E1728)</f>
        <v>#N/A</v>
      </c>
      <c r="K1728" s="1"/>
      <c r="L1728" s="39" t="e">
        <f>IF($C$1074&gt;0,VLOOKUP($C1728,ENTI!$U$4:$AD$1003,10,FALSE),"")</f>
        <v>#N/A</v>
      </c>
      <c r="M1728" s="1"/>
      <c r="N1728" s="1"/>
      <c r="O1728" s="1"/>
    </row>
    <row r="1729" spans="1:15" hidden="1">
      <c r="A1729" s="1"/>
      <c r="B1729" s="40" t="e">
        <f t="shared" ca="1" si="211"/>
        <v>#N/A</v>
      </c>
      <c r="C1729" s="496">
        <v>649</v>
      </c>
      <c r="D1729" s="41" t="e">
        <f ca="1">IF($C$1076&gt;0,VLOOKUP($C1729,COSTI!$U$4:$Z$1003,3,FALSE),IF($C$1075&gt;0,VLOOKUP($C1729,PATRIMONIALE!$U$4:$Z$1003,3,FALSE),IF($C$1074&gt;0,VLOOKUP($C1729,ENTI!$U$4:$Z$1003,3,FALSE),"")))</f>
        <v>#N/A</v>
      </c>
      <c r="E1729" s="41" t="str">
        <f t="shared" ca="1" si="212"/>
        <v/>
      </c>
      <c r="F1729" s="41" t="e">
        <f t="shared" ca="1" si="213"/>
        <v>#NUM!</v>
      </c>
      <c r="G1729" s="39" t="e">
        <f ca="1">IF($C$1076&gt;0,VLOOKUP($C1729,COSTI!$U$4:$Z$1003,5,FALSE),IF($C$1075&gt;0,VLOOKUP($C1729,PATRIMONIALE!$U$4:$Z$1003,5,FALSE),IF($C$1074&gt;0,VLOOKUP($C1729,ENTI!$U$4:$Z$1003,5,FALSE),"")))</f>
        <v>#N/A</v>
      </c>
      <c r="H1729" s="42" t="e">
        <f ca="1">IF($C$1076&gt;0,VLOOKUP($C1729,COSTI!$U$4:$Z$1003,6,FALSE),IF($C$1075&gt;0,VLOOKUP($C1729,PATRIMONIALE!$U$4:$Z$1003,6,FALSE),IF($C$1074&gt;0,VLOOKUP($C1729,ENTI!$U$4:$Z$1003,6,FALSE),"")))</f>
        <v>#N/A</v>
      </c>
      <c r="I1729" s="496">
        <v>649</v>
      </c>
      <c r="J1729" s="43" t="e">
        <f ca="1">VLOOKUP(D1729,$F$1081:$I$4183,4,FALSE)+COUNTIF(E$1081:E1728,E1729)</f>
        <v>#N/A</v>
      </c>
      <c r="K1729" s="1"/>
      <c r="L1729" s="39" t="e">
        <f>IF($C$1074&gt;0,VLOOKUP($C1729,ENTI!$U$4:$AD$1003,10,FALSE),"")</f>
        <v>#N/A</v>
      </c>
      <c r="M1729" s="1"/>
      <c r="N1729" s="1"/>
      <c r="O1729" s="1"/>
    </row>
    <row r="1730" spans="1:15" hidden="1">
      <c r="A1730" s="1"/>
      <c r="B1730" s="40" t="e">
        <f t="shared" ca="1" si="211"/>
        <v>#N/A</v>
      </c>
      <c r="C1730" s="496">
        <v>650</v>
      </c>
      <c r="D1730" s="41" t="e">
        <f ca="1">IF($C$1076&gt;0,VLOOKUP($C1730,COSTI!$U$4:$Z$1003,3,FALSE),IF($C$1075&gt;0,VLOOKUP($C1730,PATRIMONIALE!$U$4:$Z$1003,3,FALSE),IF($C$1074&gt;0,VLOOKUP($C1730,ENTI!$U$4:$Z$1003,3,FALSE),"")))</f>
        <v>#N/A</v>
      </c>
      <c r="E1730" s="41" t="str">
        <f t="shared" ca="1" si="212"/>
        <v/>
      </c>
      <c r="F1730" s="41" t="e">
        <f t="shared" ca="1" si="213"/>
        <v>#NUM!</v>
      </c>
      <c r="G1730" s="39" t="e">
        <f ca="1">IF($C$1076&gt;0,VLOOKUP($C1730,COSTI!$U$4:$Z$1003,5,FALSE),IF($C$1075&gt;0,VLOOKUP($C1730,PATRIMONIALE!$U$4:$Z$1003,5,FALSE),IF($C$1074&gt;0,VLOOKUP($C1730,ENTI!$U$4:$Z$1003,5,FALSE),"")))</f>
        <v>#N/A</v>
      </c>
      <c r="H1730" s="42" t="e">
        <f ca="1">IF($C$1076&gt;0,VLOOKUP($C1730,COSTI!$U$4:$Z$1003,6,FALSE),IF($C$1075&gt;0,VLOOKUP($C1730,PATRIMONIALE!$U$4:$Z$1003,6,FALSE),IF($C$1074&gt;0,VLOOKUP($C1730,ENTI!$U$4:$Z$1003,6,FALSE),"")))</f>
        <v>#N/A</v>
      </c>
      <c r="I1730" s="496">
        <v>650</v>
      </c>
      <c r="J1730" s="43" t="e">
        <f ca="1">VLOOKUP(D1730,$F$1081:$I$4183,4,FALSE)+COUNTIF(E$1081:E1729,E1730)</f>
        <v>#N/A</v>
      </c>
      <c r="K1730" s="1"/>
      <c r="L1730" s="39" t="e">
        <f>IF($C$1074&gt;0,VLOOKUP($C1730,ENTI!$U$4:$AD$1003,10,FALSE),"")</f>
        <v>#N/A</v>
      </c>
      <c r="M1730" s="1"/>
      <c r="N1730" s="1"/>
      <c r="O1730" s="1"/>
    </row>
    <row r="1731" spans="1:15" hidden="1">
      <c r="A1731" s="1"/>
      <c r="B1731" s="40" t="e">
        <f t="shared" ca="1" si="211"/>
        <v>#N/A</v>
      </c>
      <c r="C1731" s="496">
        <v>651</v>
      </c>
      <c r="D1731" s="41" t="e">
        <f ca="1">IF($C$1076&gt;0,VLOOKUP($C1731,COSTI!$U$4:$Z$1003,3,FALSE),IF($C$1075&gt;0,VLOOKUP($C1731,PATRIMONIALE!$U$4:$Z$1003,3,FALSE),IF($C$1074&gt;0,VLOOKUP($C1731,ENTI!$U$4:$Z$1003,3,FALSE),"")))</f>
        <v>#N/A</v>
      </c>
      <c r="E1731" s="41" t="str">
        <f t="shared" ca="1" si="212"/>
        <v/>
      </c>
      <c r="F1731" s="41" t="e">
        <f t="shared" ca="1" si="213"/>
        <v>#NUM!</v>
      </c>
      <c r="G1731" s="39" t="e">
        <f ca="1">IF($C$1076&gt;0,VLOOKUP($C1731,COSTI!$U$4:$Z$1003,5,FALSE),IF($C$1075&gt;0,VLOOKUP($C1731,PATRIMONIALE!$U$4:$Z$1003,5,FALSE),IF($C$1074&gt;0,VLOOKUP($C1731,ENTI!$U$4:$Z$1003,5,FALSE),"")))</f>
        <v>#N/A</v>
      </c>
      <c r="H1731" s="42" t="e">
        <f ca="1">IF($C$1076&gt;0,VLOOKUP($C1731,COSTI!$U$4:$Z$1003,6,FALSE),IF($C$1075&gt;0,VLOOKUP($C1731,PATRIMONIALE!$U$4:$Z$1003,6,FALSE),IF($C$1074&gt;0,VLOOKUP($C1731,ENTI!$U$4:$Z$1003,6,FALSE),"")))</f>
        <v>#N/A</v>
      </c>
      <c r="I1731" s="496">
        <v>651</v>
      </c>
      <c r="J1731" s="43" t="e">
        <f ca="1">VLOOKUP(D1731,$F$1081:$I$4183,4,FALSE)+COUNTIF(E$1081:E1730,E1731)</f>
        <v>#N/A</v>
      </c>
      <c r="K1731" s="1"/>
      <c r="L1731" s="39" t="e">
        <f>IF($C$1074&gt;0,VLOOKUP($C1731,ENTI!$U$4:$AD$1003,10,FALSE),"")</f>
        <v>#N/A</v>
      </c>
      <c r="M1731" s="1"/>
      <c r="N1731" s="1"/>
      <c r="O1731" s="1"/>
    </row>
    <row r="1732" spans="1:15" hidden="1">
      <c r="A1732" s="1"/>
      <c r="B1732" s="40" t="e">
        <f t="shared" ca="1" si="211"/>
        <v>#N/A</v>
      </c>
      <c r="C1732" s="496">
        <v>652</v>
      </c>
      <c r="D1732" s="41" t="e">
        <f ca="1">IF($C$1076&gt;0,VLOOKUP($C1732,COSTI!$U$4:$Z$1003,3,FALSE),IF($C$1075&gt;0,VLOOKUP($C1732,PATRIMONIALE!$U$4:$Z$1003,3,FALSE),IF($C$1074&gt;0,VLOOKUP($C1732,ENTI!$U$4:$Z$1003,3,FALSE),"")))</f>
        <v>#N/A</v>
      </c>
      <c r="E1732" s="41" t="str">
        <f t="shared" ca="1" si="212"/>
        <v/>
      </c>
      <c r="F1732" s="41" t="e">
        <f t="shared" ca="1" si="213"/>
        <v>#NUM!</v>
      </c>
      <c r="G1732" s="39" t="e">
        <f ca="1">IF($C$1076&gt;0,VLOOKUP($C1732,COSTI!$U$4:$Z$1003,5,FALSE),IF($C$1075&gt;0,VLOOKUP($C1732,PATRIMONIALE!$U$4:$Z$1003,5,FALSE),IF($C$1074&gt;0,VLOOKUP($C1732,ENTI!$U$4:$Z$1003,5,FALSE),"")))</f>
        <v>#N/A</v>
      </c>
      <c r="H1732" s="42" t="e">
        <f ca="1">IF($C$1076&gt;0,VLOOKUP($C1732,COSTI!$U$4:$Z$1003,6,FALSE),IF($C$1075&gt;0,VLOOKUP($C1732,PATRIMONIALE!$U$4:$Z$1003,6,FALSE),IF($C$1074&gt;0,VLOOKUP($C1732,ENTI!$U$4:$Z$1003,6,FALSE),"")))</f>
        <v>#N/A</v>
      </c>
      <c r="I1732" s="496">
        <v>652</v>
      </c>
      <c r="J1732" s="43" t="e">
        <f ca="1">VLOOKUP(D1732,$F$1081:$I$4183,4,FALSE)+COUNTIF(E$1081:E1731,E1732)</f>
        <v>#N/A</v>
      </c>
      <c r="K1732" s="1"/>
      <c r="L1732" s="39" t="e">
        <f>IF($C$1074&gt;0,VLOOKUP($C1732,ENTI!$U$4:$AD$1003,10,FALSE),"")</f>
        <v>#N/A</v>
      </c>
      <c r="M1732" s="1"/>
      <c r="N1732" s="1"/>
      <c r="O1732" s="1"/>
    </row>
    <row r="1733" spans="1:15" hidden="1">
      <c r="A1733" s="1"/>
      <c r="B1733" s="40" t="e">
        <f t="shared" ca="1" si="211"/>
        <v>#N/A</v>
      </c>
      <c r="C1733" s="496">
        <v>653</v>
      </c>
      <c r="D1733" s="41" t="e">
        <f ca="1">IF($C$1076&gt;0,VLOOKUP($C1733,COSTI!$U$4:$Z$1003,3,FALSE),IF($C$1075&gt;0,VLOOKUP($C1733,PATRIMONIALE!$U$4:$Z$1003,3,FALSE),IF($C$1074&gt;0,VLOOKUP($C1733,ENTI!$U$4:$Z$1003,3,FALSE),"")))</f>
        <v>#N/A</v>
      </c>
      <c r="E1733" s="41" t="str">
        <f t="shared" ca="1" si="212"/>
        <v/>
      </c>
      <c r="F1733" s="41" t="e">
        <f t="shared" ca="1" si="213"/>
        <v>#NUM!</v>
      </c>
      <c r="G1733" s="39" t="e">
        <f ca="1">IF($C$1076&gt;0,VLOOKUP($C1733,COSTI!$U$4:$Z$1003,5,FALSE),IF($C$1075&gt;0,VLOOKUP($C1733,PATRIMONIALE!$U$4:$Z$1003,5,FALSE),IF($C$1074&gt;0,VLOOKUP($C1733,ENTI!$U$4:$Z$1003,5,FALSE),"")))</f>
        <v>#N/A</v>
      </c>
      <c r="H1733" s="42" t="e">
        <f ca="1">IF($C$1076&gt;0,VLOOKUP($C1733,COSTI!$U$4:$Z$1003,6,FALSE),IF($C$1075&gt;0,VLOOKUP($C1733,PATRIMONIALE!$U$4:$Z$1003,6,FALSE),IF($C$1074&gt;0,VLOOKUP($C1733,ENTI!$U$4:$Z$1003,6,FALSE),"")))</f>
        <v>#N/A</v>
      </c>
      <c r="I1733" s="496">
        <v>653</v>
      </c>
      <c r="J1733" s="43" t="e">
        <f ca="1">VLOOKUP(D1733,$F$1081:$I$4183,4,FALSE)+COUNTIF(E$1081:E1732,E1733)</f>
        <v>#N/A</v>
      </c>
      <c r="K1733" s="1"/>
      <c r="L1733" s="39" t="e">
        <f>IF($C$1074&gt;0,VLOOKUP($C1733,ENTI!$U$4:$AD$1003,10,FALSE),"")</f>
        <v>#N/A</v>
      </c>
      <c r="M1733" s="1"/>
      <c r="N1733" s="1"/>
      <c r="O1733" s="1"/>
    </row>
    <row r="1734" spans="1:15" hidden="1">
      <c r="A1734" s="1"/>
      <c r="B1734" s="40" t="e">
        <f t="shared" ca="1" si="211"/>
        <v>#N/A</v>
      </c>
      <c r="C1734" s="496">
        <v>654</v>
      </c>
      <c r="D1734" s="41" t="e">
        <f ca="1">IF($C$1076&gt;0,VLOOKUP($C1734,COSTI!$U$4:$Z$1003,3,FALSE),IF($C$1075&gt;0,VLOOKUP($C1734,PATRIMONIALE!$U$4:$Z$1003,3,FALSE),IF($C$1074&gt;0,VLOOKUP($C1734,ENTI!$U$4:$Z$1003,3,FALSE),"")))</f>
        <v>#N/A</v>
      </c>
      <c r="E1734" s="41" t="str">
        <f t="shared" ca="1" si="212"/>
        <v/>
      </c>
      <c r="F1734" s="41" t="e">
        <f t="shared" ca="1" si="213"/>
        <v>#NUM!</v>
      </c>
      <c r="G1734" s="39" t="e">
        <f ca="1">IF($C$1076&gt;0,VLOOKUP($C1734,COSTI!$U$4:$Z$1003,5,FALSE),IF($C$1075&gt;0,VLOOKUP($C1734,PATRIMONIALE!$U$4:$Z$1003,5,FALSE),IF($C$1074&gt;0,VLOOKUP($C1734,ENTI!$U$4:$Z$1003,5,FALSE),"")))</f>
        <v>#N/A</v>
      </c>
      <c r="H1734" s="42" t="e">
        <f ca="1">IF($C$1076&gt;0,VLOOKUP($C1734,COSTI!$U$4:$Z$1003,6,FALSE),IF($C$1075&gt;0,VLOOKUP($C1734,PATRIMONIALE!$U$4:$Z$1003,6,FALSE),IF($C$1074&gt;0,VLOOKUP($C1734,ENTI!$U$4:$Z$1003,6,FALSE),"")))</f>
        <v>#N/A</v>
      </c>
      <c r="I1734" s="496">
        <v>654</v>
      </c>
      <c r="J1734" s="43" t="e">
        <f ca="1">VLOOKUP(D1734,$F$1081:$I$4183,4,FALSE)+COUNTIF(E$1081:E1733,E1734)</f>
        <v>#N/A</v>
      </c>
      <c r="K1734" s="1"/>
      <c r="L1734" s="39" t="e">
        <f>IF($C$1074&gt;0,VLOOKUP($C1734,ENTI!$U$4:$AD$1003,10,FALSE),"")</f>
        <v>#N/A</v>
      </c>
      <c r="M1734" s="1"/>
      <c r="N1734" s="1"/>
      <c r="O1734" s="1"/>
    </row>
    <row r="1735" spans="1:15" hidden="1">
      <c r="A1735" s="1"/>
      <c r="B1735" s="40" t="e">
        <f t="shared" ca="1" si="211"/>
        <v>#N/A</v>
      </c>
      <c r="C1735" s="496">
        <v>655</v>
      </c>
      <c r="D1735" s="41" t="e">
        <f ca="1">IF($C$1076&gt;0,VLOOKUP($C1735,COSTI!$U$4:$Z$1003,3,FALSE),IF($C$1075&gt;0,VLOOKUP($C1735,PATRIMONIALE!$U$4:$Z$1003,3,FALSE),IF($C$1074&gt;0,VLOOKUP($C1735,ENTI!$U$4:$Z$1003,3,FALSE),"")))</f>
        <v>#N/A</v>
      </c>
      <c r="E1735" s="41" t="str">
        <f t="shared" ca="1" si="212"/>
        <v/>
      </c>
      <c r="F1735" s="41" t="e">
        <f t="shared" ca="1" si="213"/>
        <v>#NUM!</v>
      </c>
      <c r="G1735" s="39" t="e">
        <f ca="1">IF($C$1076&gt;0,VLOOKUP($C1735,COSTI!$U$4:$Z$1003,5,FALSE),IF($C$1075&gt;0,VLOOKUP($C1735,PATRIMONIALE!$U$4:$Z$1003,5,FALSE),IF($C$1074&gt;0,VLOOKUP($C1735,ENTI!$U$4:$Z$1003,5,FALSE),"")))</f>
        <v>#N/A</v>
      </c>
      <c r="H1735" s="42" t="e">
        <f ca="1">IF($C$1076&gt;0,VLOOKUP($C1735,COSTI!$U$4:$Z$1003,6,FALSE),IF($C$1075&gt;0,VLOOKUP($C1735,PATRIMONIALE!$U$4:$Z$1003,6,FALSE),IF($C$1074&gt;0,VLOOKUP($C1735,ENTI!$U$4:$Z$1003,6,FALSE),"")))</f>
        <v>#N/A</v>
      </c>
      <c r="I1735" s="496">
        <v>655</v>
      </c>
      <c r="J1735" s="43" t="e">
        <f ca="1">VLOOKUP(D1735,$F$1081:$I$4183,4,FALSE)+COUNTIF(E$1081:E1734,E1735)</f>
        <v>#N/A</v>
      </c>
      <c r="K1735" s="1"/>
      <c r="L1735" s="39" t="e">
        <f>IF($C$1074&gt;0,VLOOKUP($C1735,ENTI!$U$4:$AD$1003,10,FALSE),"")</f>
        <v>#N/A</v>
      </c>
      <c r="M1735" s="1"/>
      <c r="N1735" s="1"/>
      <c r="O1735" s="1"/>
    </row>
    <row r="1736" spans="1:15" hidden="1">
      <c r="A1736" s="1"/>
      <c r="B1736" s="40" t="e">
        <f t="shared" ca="1" si="211"/>
        <v>#N/A</v>
      </c>
      <c r="C1736" s="496">
        <v>656</v>
      </c>
      <c r="D1736" s="41" t="e">
        <f ca="1">IF($C$1076&gt;0,VLOOKUP($C1736,COSTI!$U$4:$Z$1003,3,FALSE),IF($C$1075&gt;0,VLOOKUP($C1736,PATRIMONIALE!$U$4:$Z$1003,3,FALSE),IF($C$1074&gt;0,VLOOKUP($C1736,ENTI!$U$4:$Z$1003,3,FALSE),"")))</f>
        <v>#N/A</v>
      </c>
      <c r="E1736" s="41" t="str">
        <f t="shared" ca="1" si="212"/>
        <v/>
      </c>
      <c r="F1736" s="41" t="e">
        <f t="shared" ca="1" si="213"/>
        <v>#NUM!</v>
      </c>
      <c r="G1736" s="39" t="e">
        <f ca="1">IF($C$1076&gt;0,VLOOKUP($C1736,COSTI!$U$4:$Z$1003,5,FALSE),IF($C$1075&gt;0,VLOOKUP($C1736,PATRIMONIALE!$U$4:$Z$1003,5,FALSE),IF($C$1074&gt;0,VLOOKUP($C1736,ENTI!$U$4:$Z$1003,5,FALSE),"")))</f>
        <v>#N/A</v>
      </c>
      <c r="H1736" s="42" t="e">
        <f ca="1">IF($C$1076&gt;0,VLOOKUP($C1736,COSTI!$U$4:$Z$1003,6,FALSE),IF($C$1075&gt;0,VLOOKUP($C1736,PATRIMONIALE!$U$4:$Z$1003,6,FALSE),IF($C$1074&gt;0,VLOOKUP($C1736,ENTI!$U$4:$Z$1003,6,FALSE),"")))</f>
        <v>#N/A</v>
      </c>
      <c r="I1736" s="496">
        <v>656</v>
      </c>
      <c r="J1736" s="43" t="e">
        <f ca="1">VLOOKUP(D1736,$F$1081:$I$4183,4,FALSE)+COUNTIF(E$1081:E1735,E1736)</f>
        <v>#N/A</v>
      </c>
      <c r="K1736" s="1"/>
      <c r="L1736" s="39" t="e">
        <f>IF($C$1074&gt;0,VLOOKUP($C1736,ENTI!$U$4:$AD$1003,10,FALSE),"")</f>
        <v>#N/A</v>
      </c>
      <c r="M1736" s="1"/>
      <c r="N1736" s="1"/>
      <c r="O1736" s="1"/>
    </row>
    <row r="1737" spans="1:15" hidden="1">
      <c r="A1737" s="1"/>
      <c r="B1737" s="40" t="e">
        <f t="shared" ca="1" si="211"/>
        <v>#N/A</v>
      </c>
      <c r="C1737" s="496">
        <v>657</v>
      </c>
      <c r="D1737" s="41" t="e">
        <f ca="1">IF($C$1076&gt;0,VLOOKUP($C1737,COSTI!$U$4:$Z$1003,3,FALSE),IF($C$1075&gt;0,VLOOKUP($C1737,PATRIMONIALE!$U$4:$Z$1003,3,FALSE),IF($C$1074&gt;0,VLOOKUP($C1737,ENTI!$U$4:$Z$1003,3,FALSE),"")))</f>
        <v>#N/A</v>
      </c>
      <c r="E1737" s="41" t="str">
        <f t="shared" ca="1" si="212"/>
        <v/>
      </c>
      <c r="F1737" s="41" t="e">
        <f t="shared" ca="1" si="213"/>
        <v>#NUM!</v>
      </c>
      <c r="G1737" s="39" t="e">
        <f ca="1">IF($C$1076&gt;0,VLOOKUP($C1737,COSTI!$U$4:$Z$1003,5,FALSE),IF($C$1075&gt;0,VLOOKUP($C1737,PATRIMONIALE!$U$4:$Z$1003,5,FALSE),IF($C$1074&gt;0,VLOOKUP($C1737,ENTI!$U$4:$Z$1003,5,FALSE),"")))</f>
        <v>#N/A</v>
      </c>
      <c r="H1737" s="42" t="e">
        <f ca="1">IF($C$1076&gt;0,VLOOKUP($C1737,COSTI!$U$4:$Z$1003,6,FALSE),IF($C$1075&gt;0,VLOOKUP($C1737,PATRIMONIALE!$U$4:$Z$1003,6,FALSE),IF($C$1074&gt;0,VLOOKUP($C1737,ENTI!$U$4:$Z$1003,6,FALSE),"")))</f>
        <v>#N/A</v>
      </c>
      <c r="I1737" s="496">
        <v>657</v>
      </c>
      <c r="J1737" s="43" t="e">
        <f ca="1">VLOOKUP(D1737,$F$1081:$I$4183,4,FALSE)+COUNTIF(E$1081:E1736,E1737)</f>
        <v>#N/A</v>
      </c>
      <c r="K1737" s="1"/>
      <c r="L1737" s="39" t="e">
        <f>IF($C$1074&gt;0,VLOOKUP($C1737,ENTI!$U$4:$AD$1003,10,FALSE),"")</f>
        <v>#N/A</v>
      </c>
      <c r="M1737" s="1"/>
      <c r="N1737" s="1"/>
      <c r="O1737" s="1"/>
    </row>
    <row r="1738" spans="1:15" hidden="1">
      <c r="A1738" s="1"/>
      <c r="B1738" s="40" t="e">
        <f t="shared" ca="1" si="211"/>
        <v>#N/A</v>
      </c>
      <c r="C1738" s="496">
        <v>658</v>
      </c>
      <c r="D1738" s="41" t="e">
        <f ca="1">IF($C$1076&gt;0,VLOOKUP($C1738,COSTI!$U$4:$Z$1003,3,FALSE),IF($C$1075&gt;0,VLOOKUP($C1738,PATRIMONIALE!$U$4:$Z$1003,3,FALSE),IF($C$1074&gt;0,VLOOKUP($C1738,ENTI!$U$4:$Z$1003,3,FALSE),"")))</f>
        <v>#N/A</v>
      </c>
      <c r="E1738" s="41" t="str">
        <f t="shared" ca="1" si="212"/>
        <v/>
      </c>
      <c r="F1738" s="41" t="e">
        <f t="shared" ca="1" si="213"/>
        <v>#NUM!</v>
      </c>
      <c r="G1738" s="39" t="e">
        <f ca="1">IF($C$1076&gt;0,VLOOKUP($C1738,COSTI!$U$4:$Z$1003,5,FALSE),IF($C$1075&gt;0,VLOOKUP($C1738,PATRIMONIALE!$U$4:$Z$1003,5,FALSE),IF($C$1074&gt;0,VLOOKUP($C1738,ENTI!$U$4:$Z$1003,5,FALSE),"")))</f>
        <v>#N/A</v>
      </c>
      <c r="H1738" s="42" t="e">
        <f ca="1">IF($C$1076&gt;0,VLOOKUP($C1738,COSTI!$U$4:$Z$1003,6,FALSE),IF($C$1075&gt;0,VLOOKUP($C1738,PATRIMONIALE!$U$4:$Z$1003,6,FALSE),IF($C$1074&gt;0,VLOOKUP($C1738,ENTI!$U$4:$Z$1003,6,FALSE),"")))</f>
        <v>#N/A</v>
      </c>
      <c r="I1738" s="496">
        <v>658</v>
      </c>
      <c r="J1738" s="43" t="e">
        <f ca="1">VLOOKUP(D1738,$F$1081:$I$4183,4,FALSE)+COUNTIF(E$1081:E1737,E1738)</f>
        <v>#N/A</v>
      </c>
      <c r="K1738" s="1"/>
      <c r="L1738" s="39" t="e">
        <f>IF($C$1074&gt;0,VLOOKUP($C1738,ENTI!$U$4:$AD$1003,10,FALSE),"")</f>
        <v>#N/A</v>
      </c>
      <c r="M1738" s="1"/>
      <c r="N1738" s="1"/>
      <c r="O1738" s="1"/>
    </row>
    <row r="1739" spans="1:15" hidden="1">
      <c r="A1739" s="1"/>
      <c r="B1739" s="40" t="e">
        <f t="shared" ca="1" si="211"/>
        <v>#N/A</v>
      </c>
      <c r="C1739" s="496">
        <v>659</v>
      </c>
      <c r="D1739" s="41" t="e">
        <f ca="1">IF($C$1076&gt;0,VLOOKUP($C1739,COSTI!$U$4:$Z$1003,3,FALSE),IF($C$1075&gt;0,VLOOKUP($C1739,PATRIMONIALE!$U$4:$Z$1003,3,FALSE),IF($C$1074&gt;0,VLOOKUP($C1739,ENTI!$U$4:$Z$1003,3,FALSE),"")))</f>
        <v>#N/A</v>
      </c>
      <c r="E1739" s="41" t="str">
        <f t="shared" ca="1" si="212"/>
        <v/>
      </c>
      <c r="F1739" s="41" t="e">
        <f t="shared" ca="1" si="213"/>
        <v>#NUM!</v>
      </c>
      <c r="G1739" s="39" t="e">
        <f ca="1">IF($C$1076&gt;0,VLOOKUP($C1739,COSTI!$U$4:$Z$1003,5,FALSE),IF($C$1075&gt;0,VLOOKUP($C1739,PATRIMONIALE!$U$4:$Z$1003,5,FALSE),IF($C$1074&gt;0,VLOOKUP($C1739,ENTI!$U$4:$Z$1003,5,FALSE),"")))</f>
        <v>#N/A</v>
      </c>
      <c r="H1739" s="42" t="e">
        <f ca="1">IF($C$1076&gt;0,VLOOKUP($C1739,COSTI!$U$4:$Z$1003,6,FALSE),IF($C$1075&gt;0,VLOOKUP($C1739,PATRIMONIALE!$U$4:$Z$1003,6,FALSE),IF($C$1074&gt;0,VLOOKUP($C1739,ENTI!$U$4:$Z$1003,6,FALSE),"")))</f>
        <v>#N/A</v>
      </c>
      <c r="I1739" s="496">
        <v>659</v>
      </c>
      <c r="J1739" s="43" t="e">
        <f ca="1">VLOOKUP(D1739,$F$1081:$I$4183,4,FALSE)+COUNTIF(E$1081:E1738,E1739)</f>
        <v>#N/A</v>
      </c>
      <c r="K1739" s="1"/>
      <c r="L1739" s="39" t="e">
        <f>IF($C$1074&gt;0,VLOOKUP($C1739,ENTI!$U$4:$AD$1003,10,FALSE),"")</f>
        <v>#N/A</v>
      </c>
      <c r="M1739" s="1"/>
      <c r="N1739" s="1"/>
      <c r="O1739" s="1"/>
    </row>
    <row r="1740" spans="1:15" hidden="1">
      <c r="A1740" s="1"/>
      <c r="B1740" s="40" t="e">
        <f t="shared" ca="1" si="211"/>
        <v>#N/A</v>
      </c>
      <c r="C1740" s="496">
        <v>660</v>
      </c>
      <c r="D1740" s="41" t="e">
        <f ca="1">IF($C$1076&gt;0,VLOOKUP($C1740,COSTI!$U$4:$Z$1003,3,FALSE),IF($C$1075&gt;0,VLOOKUP($C1740,PATRIMONIALE!$U$4:$Z$1003,3,FALSE),IF($C$1074&gt;0,VLOOKUP($C1740,ENTI!$U$4:$Z$1003,3,FALSE),"")))</f>
        <v>#N/A</v>
      </c>
      <c r="E1740" s="41" t="str">
        <f t="shared" ca="1" si="212"/>
        <v/>
      </c>
      <c r="F1740" s="41" t="e">
        <f t="shared" ca="1" si="213"/>
        <v>#NUM!</v>
      </c>
      <c r="G1740" s="39" t="e">
        <f ca="1">IF($C$1076&gt;0,VLOOKUP($C1740,COSTI!$U$4:$Z$1003,5,FALSE),IF($C$1075&gt;0,VLOOKUP($C1740,PATRIMONIALE!$U$4:$Z$1003,5,FALSE),IF($C$1074&gt;0,VLOOKUP($C1740,ENTI!$U$4:$Z$1003,5,FALSE),"")))</f>
        <v>#N/A</v>
      </c>
      <c r="H1740" s="42" t="e">
        <f ca="1">IF($C$1076&gt;0,VLOOKUP($C1740,COSTI!$U$4:$Z$1003,6,FALSE),IF($C$1075&gt;0,VLOOKUP($C1740,PATRIMONIALE!$U$4:$Z$1003,6,FALSE),IF($C$1074&gt;0,VLOOKUP($C1740,ENTI!$U$4:$Z$1003,6,FALSE),"")))</f>
        <v>#N/A</v>
      </c>
      <c r="I1740" s="496">
        <v>660</v>
      </c>
      <c r="J1740" s="43" t="e">
        <f ca="1">VLOOKUP(D1740,$F$1081:$I$4183,4,FALSE)+COUNTIF(E$1081:E1739,E1740)</f>
        <v>#N/A</v>
      </c>
      <c r="K1740" s="1"/>
      <c r="L1740" s="39" t="e">
        <f>IF($C$1074&gt;0,VLOOKUP($C1740,ENTI!$U$4:$AD$1003,10,FALSE),"")</f>
        <v>#N/A</v>
      </c>
      <c r="M1740" s="1"/>
      <c r="N1740" s="1"/>
      <c r="O1740" s="1"/>
    </row>
    <row r="1741" spans="1:15" hidden="1">
      <c r="A1741" s="1"/>
      <c r="B1741" s="40" t="e">
        <f t="shared" ca="1" si="211"/>
        <v>#N/A</v>
      </c>
      <c r="C1741" s="496">
        <v>661</v>
      </c>
      <c r="D1741" s="41" t="e">
        <f ca="1">IF($C$1076&gt;0,VLOOKUP($C1741,COSTI!$U$4:$Z$1003,3,FALSE),IF($C$1075&gt;0,VLOOKUP($C1741,PATRIMONIALE!$U$4:$Z$1003,3,FALSE),IF($C$1074&gt;0,VLOOKUP($C1741,ENTI!$U$4:$Z$1003,3,FALSE),"")))</f>
        <v>#N/A</v>
      </c>
      <c r="E1741" s="41" t="str">
        <f t="shared" ca="1" si="212"/>
        <v/>
      </c>
      <c r="F1741" s="41" t="e">
        <f t="shared" ca="1" si="213"/>
        <v>#NUM!</v>
      </c>
      <c r="G1741" s="39" t="e">
        <f ca="1">IF($C$1076&gt;0,VLOOKUP($C1741,COSTI!$U$4:$Z$1003,5,FALSE),IF($C$1075&gt;0,VLOOKUP($C1741,PATRIMONIALE!$U$4:$Z$1003,5,FALSE),IF($C$1074&gt;0,VLOOKUP($C1741,ENTI!$U$4:$Z$1003,5,FALSE),"")))</f>
        <v>#N/A</v>
      </c>
      <c r="H1741" s="42" t="e">
        <f ca="1">IF($C$1076&gt;0,VLOOKUP($C1741,COSTI!$U$4:$Z$1003,6,FALSE),IF($C$1075&gt;0,VLOOKUP($C1741,PATRIMONIALE!$U$4:$Z$1003,6,FALSE),IF($C$1074&gt;0,VLOOKUP($C1741,ENTI!$U$4:$Z$1003,6,FALSE),"")))</f>
        <v>#N/A</v>
      </c>
      <c r="I1741" s="496">
        <v>661</v>
      </c>
      <c r="J1741" s="43" t="e">
        <f ca="1">VLOOKUP(D1741,$F$1081:$I$4183,4,FALSE)+COUNTIF(E$1081:E1740,E1741)</f>
        <v>#N/A</v>
      </c>
      <c r="K1741" s="1"/>
      <c r="L1741" s="39" t="e">
        <f>IF($C$1074&gt;0,VLOOKUP($C1741,ENTI!$U$4:$AD$1003,10,FALSE),"")</f>
        <v>#N/A</v>
      </c>
      <c r="M1741" s="1"/>
      <c r="N1741" s="1"/>
      <c r="O1741" s="1"/>
    </row>
    <row r="1742" spans="1:15" hidden="1">
      <c r="A1742" s="1"/>
      <c r="B1742" s="40" t="e">
        <f t="shared" ca="1" si="211"/>
        <v>#N/A</v>
      </c>
      <c r="C1742" s="496">
        <v>662</v>
      </c>
      <c r="D1742" s="41" t="e">
        <f ca="1">IF($C$1076&gt;0,VLOOKUP($C1742,COSTI!$U$4:$Z$1003,3,FALSE),IF($C$1075&gt;0,VLOOKUP($C1742,PATRIMONIALE!$U$4:$Z$1003,3,FALSE),IF($C$1074&gt;0,VLOOKUP($C1742,ENTI!$U$4:$Z$1003,3,FALSE),"")))</f>
        <v>#N/A</v>
      </c>
      <c r="E1742" s="41" t="str">
        <f t="shared" ca="1" si="212"/>
        <v/>
      </c>
      <c r="F1742" s="41" t="e">
        <f t="shared" ca="1" si="213"/>
        <v>#NUM!</v>
      </c>
      <c r="G1742" s="39" t="e">
        <f ca="1">IF($C$1076&gt;0,VLOOKUP($C1742,COSTI!$U$4:$Z$1003,5,FALSE),IF($C$1075&gt;0,VLOOKUP($C1742,PATRIMONIALE!$U$4:$Z$1003,5,FALSE),IF($C$1074&gt;0,VLOOKUP($C1742,ENTI!$U$4:$Z$1003,5,FALSE),"")))</f>
        <v>#N/A</v>
      </c>
      <c r="H1742" s="42" t="e">
        <f ca="1">IF($C$1076&gt;0,VLOOKUP($C1742,COSTI!$U$4:$Z$1003,6,FALSE),IF($C$1075&gt;0,VLOOKUP($C1742,PATRIMONIALE!$U$4:$Z$1003,6,FALSE),IF($C$1074&gt;0,VLOOKUP($C1742,ENTI!$U$4:$Z$1003,6,FALSE),"")))</f>
        <v>#N/A</v>
      </c>
      <c r="I1742" s="496">
        <v>662</v>
      </c>
      <c r="J1742" s="43" t="e">
        <f ca="1">VLOOKUP(D1742,$F$1081:$I$4183,4,FALSE)+COUNTIF(E$1081:E1741,E1742)</f>
        <v>#N/A</v>
      </c>
      <c r="K1742" s="1"/>
      <c r="L1742" s="39" t="e">
        <f>IF($C$1074&gt;0,VLOOKUP($C1742,ENTI!$U$4:$AD$1003,10,FALSE),"")</f>
        <v>#N/A</v>
      </c>
      <c r="M1742" s="1"/>
      <c r="N1742" s="1"/>
      <c r="O1742" s="1"/>
    </row>
    <row r="1743" spans="1:15" hidden="1">
      <c r="A1743" s="1"/>
      <c r="B1743" s="40" t="e">
        <f t="shared" ca="1" si="211"/>
        <v>#N/A</v>
      </c>
      <c r="C1743" s="496">
        <v>663</v>
      </c>
      <c r="D1743" s="41" t="e">
        <f ca="1">IF($C$1076&gt;0,VLOOKUP($C1743,COSTI!$U$4:$Z$1003,3,FALSE),IF($C$1075&gt;0,VLOOKUP($C1743,PATRIMONIALE!$U$4:$Z$1003,3,FALSE),IF($C$1074&gt;0,VLOOKUP($C1743,ENTI!$U$4:$Z$1003,3,FALSE),"")))</f>
        <v>#N/A</v>
      </c>
      <c r="E1743" s="41" t="str">
        <f t="shared" ca="1" si="212"/>
        <v/>
      </c>
      <c r="F1743" s="41" t="e">
        <f t="shared" ca="1" si="213"/>
        <v>#NUM!</v>
      </c>
      <c r="G1743" s="39" t="e">
        <f ca="1">IF($C$1076&gt;0,VLOOKUP($C1743,COSTI!$U$4:$Z$1003,5,FALSE),IF($C$1075&gt;0,VLOOKUP($C1743,PATRIMONIALE!$U$4:$Z$1003,5,FALSE),IF($C$1074&gt;0,VLOOKUP($C1743,ENTI!$U$4:$Z$1003,5,FALSE),"")))</f>
        <v>#N/A</v>
      </c>
      <c r="H1743" s="42" t="e">
        <f ca="1">IF($C$1076&gt;0,VLOOKUP($C1743,COSTI!$U$4:$Z$1003,6,FALSE),IF($C$1075&gt;0,VLOOKUP($C1743,PATRIMONIALE!$U$4:$Z$1003,6,FALSE),IF($C$1074&gt;0,VLOOKUP($C1743,ENTI!$U$4:$Z$1003,6,FALSE),"")))</f>
        <v>#N/A</v>
      </c>
      <c r="I1743" s="496">
        <v>663</v>
      </c>
      <c r="J1743" s="43" t="e">
        <f ca="1">VLOOKUP(D1743,$F$1081:$I$4183,4,FALSE)+COUNTIF(E$1081:E1742,E1743)</f>
        <v>#N/A</v>
      </c>
      <c r="K1743" s="1"/>
      <c r="L1743" s="39" t="e">
        <f>IF($C$1074&gt;0,VLOOKUP($C1743,ENTI!$U$4:$AD$1003,10,FALSE),"")</f>
        <v>#N/A</v>
      </c>
      <c r="M1743" s="1"/>
      <c r="N1743" s="1"/>
      <c r="O1743" s="1"/>
    </row>
    <row r="1744" spans="1:15" hidden="1">
      <c r="A1744" s="1"/>
      <c r="B1744" s="40" t="e">
        <f t="shared" ca="1" si="211"/>
        <v>#N/A</v>
      </c>
      <c r="C1744" s="496">
        <v>664</v>
      </c>
      <c r="D1744" s="41" t="e">
        <f ca="1">IF($C$1076&gt;0,VLOOKUP($C1744,COSTI!$U$4:$Z$1003,3,FALSE),IF($C$1075&gt;0,VLOOKUP($C1744,PATRIMONIALE!$U$4:$Z$1003,3,FALSE),IF($C$1074&gt;0,VLOOKUP($C1744,ENTI!$U$4:$Z$1003,3,FALSE),"")))</f>
        <v>#N/A</v>
      </c>
      <c r="E1744" s="41" t="str">
        <f t="shared" ca="1" si="212"/>
        <v/>
      </c>
      <c r="F1744" s="41" t="e">
        <f t="shared" ca="1" si="213"/>
        <v>#NUM!</v>
      </c>
      <c r="G1744" s="39" t="e">
        <f ca="1">IF($C$1076&gt;0,VLOOKUP($C1744,COSTI!$U$4:$Z$1003,5,FALSE),IF($C$1075&gt;0,VLOOKUP($C1744,PATRIMONIALE!$U$4:$Z$1003,5,FALSE),IF($C$1074&gt;0,VLOOKUP($C1744,ENTI!$U$4:$Z$1003,5,FALSE),"")))</f>
        <v>#N/A</v>
      </c>
      <c r="H1744" s="42" t="e">
        <f ca="1">IF($C$1076&gt;0,VLOOKUP($C1744,COSTI!$U$4:$Z$1003,6,FALSE),IF($C$1075&gt;0,VLOOKUP($C1744,PATRIMONIALE!$U$4:$Z$1003,6,FALSE),IF($C$1074&gt;0,VLOOKUP($C1744,ENTI!$U$4:$Z$1003,6,FALSE),"")))</f>
        <v>#N/A</v>
      </c>
      <c r="I1744" s="496">
        <v>664</v>
      </c>
      <c r="J1744" s="43" t="e">
        <f ca="1">VLOOKUP(D1744,$F$1081:$I$4183,4,FALSE)+COUNTIF(E$1081:E1743,E1744)</f>
        <v>#N/A</v>
      </c>
      <c r="K1744" s="1"/>
      <c r="L1744" s="39" t="e">
        <f>IF($C$1074&gt;0,VLOOKUP($C1744,ENTI!$U$4:$AD$1003,10,FALSE),"")</f>
        <v>#N/A</v>
      </c>
      <c r="M1744" s="1"/>
      <c r="N1744" s="1"/>
      <c r="O1744" s="1"/>
    </row>
    <row r="1745" spans="1:15" hidden="1">
      <c r="A1745" s="1"/>
      <c r="B1745" s="40" t="e">
        <f t="shared" ca="1" si="211"/>
        <v>#N/A</v>
      </c>
      <c r="C1745" s="496">
        <v>665</v>
      </c>
      <c r="D1745" s="41" t="e">
        <f ca="1">IF($C$1076&gt;0,VLOOKUP($C1745,COSTI!$U$4:$Z$1003,3,FALSE),IF($C$1075&gt;0,VLOOKUP($C1745,PATRIMONIALE!$U$4:$Z$1003,3,FALSE),IF($C$1074&gt;0,VLOOKUP($C1745,ENTI!$U$4:$Z$1003,3,FALSE),"")))</f>
        <v>#N/A</v>
      </c>
      <c r="E1745" s="41" t="str">
        <f t="shared" ca="1" si="212"/>
        <v/>
      </c>
      <c r="F1745" s="41" t="e">
        <f t="shared" ca="1" si="213"/>
        <v>#NUM!</v>
      </c>
      <c r="G1745" s="39" t="e">
        <f ca="1">IF($C$1076&gt;0,VLOOKUP($C1745,COSTI!$U$4:$Z$1003,5,FALSE),IF($C$1075&gt;0,VLOOKUP($C1745,PATRIMONIALE!$U$4:$Z$1003,5,FALSE),IF($C$1074&gt;0,VLOOKUP($C1745,ENTI!$U$4:$Z$1003,5,FALSE),"")))</f>
        <v>#N/A</v>
      </c>
      <c r="H1745" s="42" t="e">
        <f ca="1">IF($C$1076&gt;0,VLOOKUP($C1745,COSTI!$U$4:$Z$1003,6,FALSE),IF($C$1075&gt;0,VLOOKUP($C1745,PATRIMONIALE!$U$4:$Z$1003,6,FALSE),IF($C$1074&gt;0,VLOOKUP($C1745,ENTI!$U$4:$Z$1003,6,FALSE),"")))</f>
        <v>#N/A</v>
      </c>
      <c r="I1745" s="496">
        <v>665</v>
      </c>
      <c r="J1745" s="43" t="e">
        <f ca="1">VLOOKUP(D1745,$F$1081:$I$4183,4,FALSE)+COUNTIF(E$1081:E1744,E1745)</f>
        <v>#N/A</v>
      </c>
      <c r="K1745" s="1"/>
      <c r="L1745" s="39" t="e">
        <f>IF($C$1074&gt;0,VLOOKUP($C1745,ENTI!$U$4:$AD$1003,10,FALSE),"")</f>
        <v>#N/A</v>
      </c>
      <c r="M1745" s="1"/>
      <c r="N1745" s="1"/>
      <c r="O1745" s="1"/>
    </row>
    <row r="1746" spans="1:15" hidden="1">
      <c r="A1746" s="1"/>
      <c r="B1746" s="40" t="e">
        <f t="shared" ca="1" si="211"/>
        <v>#N/A</v>
      </c>
      <c r="C1746" s="496">
        <v>666</v>
      </c>
      <c r="D1746" s="41" t="e">
        <f ca="1">IF($C$1076&gt;0,VLOOKUP($C1746,COSTI!$U$4:$Z$1003,3,FALSE),IF($C$1075&gt;0,VLOOKUP($C1746,PATRIMONIALE!$U$4:$Z$1003,3,FALSE),IF($C$1074&gt;0,VLOOKUP($C1746,ENTI!$U$4:$Z$1003,3,FALSE),"")))</f>
        <v>#N/A</v>
      </c>
      <c r="E1746" s="41" t="str">
        <f t="shared" ca="1" si="212"/>
        <v/>
      </c>
      <c r="F1746" s="41" t="e">
        <f t="shared" ca="1" si="213"/>
        <v>#NUM!</v>
      </c>
      <c r="G1746" s="39" t="e">
        <f ca="1">IF($C$1076&gt;0,VLOOKUP($C1746,COSTI!$U$4:$Z$1003,5,FALSE),IF($C$1075&gt;0,VLOOKUP($C1746,PATRIMONIALE!$U$4:$Z$1003,5,FALSE),IF($C$1074&gt;0,VLOOKUP($C1746,ENTI!$U$4:$Z$1003,5,FALSE),"")))</f>
        <v>#N/A</v>
      </c>
      <c r="H1746" s="42" t="e">
        <f ca="1">IF($C$1076&gt;0,VLOOKUP($C1746,COSTI!$U$4:$Z$1003,6,FALSE),IF($C$1075&gt;0,VLOOKUP($C1746,PATRIMONIALE!$U$4:$Z$1003,6,FALSE),IF($C$1074&gt;0,VLOOKUP($C1746,ENTI!$U$4:$Z$1003,6,FALSE),"")))</f>
        <v>#N/A</v>
      </c>
      <c r="I1746" s="496">
        <v>666</v>
      </c>
      <c r="J1746" s="43" t="e">
        <f ca="1">VLOOKUP(D1746,$F$1081:$I$4183,4,FALSE)+COUNTIF(E$1081:E1745,E1746)</f>
        <v>#N/A</v>
      </c>
      <c r="K1746" s="1"/>
      <c r="L1746" s="39" t="e">
        <f>IF($C$1074&gt;0,VLOOKUP($C1746,ENTI!$U$4:$AD$1003,10,FALSE),"")</f>
        <v>#N/A</v>
      </c>
      <c r="M1746" s="1"/>
      <c r="N1746" s="1"/>
      <c r="O1746" s="1"/>
    </row>
    <row r="1747" spans="1:15" hidden="1">
      <c r="A1747" s="1"/>
      <c r="B1747" s="40" t="e">
        <f t="shared" ca="1" si="211"/>
        <v>#N/A</v>
      </c>
      <c r="C1747" s="496">
        <v>667</v>
      </c>
      <c r="D1747" s="41" t="e">
        <f ca="1">IF($C$1076&gt;0,VLOOKUP($C1747,COSTI!$U$4:$Z$1003,3,FALSE),IF($C$1075&gt;0,VLOOKUP($C1747,PATRIMONIALE!$U$4:$Z$1003,3,FALSE),IF($C$1074&gt;0,VLOOKUP($C1747,ENTI!$U$4:$Z$1003,3,FALSE),"")))</f>
        <v>#N/A</v>
      </c>
      <c r="E1747" s="41" t="str">
        <f t="shared" ca="1" si="212"/>
        <v/>
      </c>
      <c r="F1747" s="41" t="e">
        <f t="shared" ca="1" si="213"/>
        <v>#NUM!</v>
      </c>
      <c r="G1747" s="39" t="e">
        <f ca="1">IF($C$1076&gt;0,VLOOKUP($C1747,COSTI!$U$4:$Z$1003,5,FALSE),IF($C$1075&gt;0,VLOOKUP($C1747,PATRIMONIALE!$U$4:$Z$1003,5,FALSE),IF($C$1074&gt;0,VLOOKUP($C1747,ENTI!$U$4:$Z$1003,5,FALSE),"")))</f>
        <v>#N/A</v>
      </c>
      <c r="H1747" s="42" t="e">
        <f ca="1">IF($C$1076&gt;0,VLOOKUP($C1747,COSTI!$U$4:$Z$1003,6,FALSE),IF($C$1075&gt;0,VLOOKUP($C1747,PATRIMONIALE!$U$4:$Z$1003,6,FALSE),IF($C$1074&gt;0,VLOOKUP($C1747,ENTI!$U$4:$Z$1003,6,FALSE),"")))</f>
        <v>#N/A</v>
      </c>
      <c r="I1747" s="496">
        <v>667</v>
      </c>
      <c r="J1747" s="43" t="e">
        <f ca="1">VLOOKUP(D1747,$F$1081:$I$4183,4,FALSE)+COUNTIF(E$1081:E1746,E1747)</f>
        <v>#N/A</v>
      </c>
      <c r="K1747" s="1"/>
      <c r="L1747" s="39" t="e">
        <f>IF($C$1074&gt;0,VLOOKUP($C1747,ENTI!$U$4:$AD$1003,10,FALSE),"")</f>
        <v>#N/A</v>
      </c>
      <c r="M1747" s="1"/>
      <c r="N1747" s="1"/>
      <c r="O1747" s="1"/>
    </row>
    <row r="1748" spans="1:15" hidden="1">
      <c r="A1748" s="1"/>
      <c r="B1748" s="40" t="e">
        <f t="shared" ca="1" si="211"/>
        <v>#N/A</v>
      </c>
      <c r="C1748" s="496">
        <v>668</v>
      </c>
      <c r="D1748" s="41" t="e">
        <f ca="1">IF($C$1076&gt;0,VLOOKUP($C1748,COSTI!$U$4:$Z$1003,3,FALSE),IF($C$1075&gt;0,VLOOKUP($C1748,PATRIMONIALE!$U$4:$Z$1003,3,FALSE),IF($C$1074&gt;0,VLOOKUP($C1748,ENTI!$U$4:$Z$1003,3,FALSE),"")))</f>
        <v>#N/A</v>
      </c>
      <c r="E1748" s="41" t="str">
        <f t="shared" ca="1" si="212"/>
        <v/>
      </c>
      <c r="F1748" s="41" t="e">
        <f t="shared" ca="1" si="213"/>
        <v>#NUM!</v>
      </c>
      <c r="G1748" s="39" t="e">
        <f ca="1">IF($C$1076&gt;0,VLOOKUP($C1748,COSTI!$U$4:$Z$1003,5,FALSE),IF($C$1075&gt;0,VLOOKUP($C1748,PATRIMONIALE!$U$4:$Z$1003,5,FALSE),IF($C$1074&gt;0,VLOOKUP($C1748,ENTI!$U$4:$Z$1003,5,FALSE),"")))</f>
        <v>#N/A</v>
      </c>
      <c r="H1748" s="42" t="e">
        <f ca="1">IF($C$1076&gt;0,VLOOKUP($C1748,COSTI!$U$4:$Z$1003,6,FALSE),IF($C$1075&gt;0,VLOOKUP($C1748,PATRIMONIALE!$U$4:$Z$1003,6,FALSE),IF($C$1074&gt;0,VLOOKUP($C1748,ENTI!$U$4:$Z$1003,6,FALSE),"")))</f>
        <v>#N/A</v>
      </c>
      <c r="I1748" s="496">
        <v>668</v>
      </c>
      <c r="J1748" s="43" t="e">
        <f ca="1">VLOOKUP(D1748,$F$1081:$I$4183,4,FALSE)+COUNTIF(E$1081:E1747,E1748)</f>
        <v>#N/A</v>
      </c>
      <c r="K1748" s="1"/>
      <c r="L1748" s="39" t="e">
        <f>IF($C$1074&gt;0,VLOOKUP($C1748,ENTI!$U$4:$AD$1003,10,FALSE),"")</f>
        <v>#N/A</v>
      </c>
      <c r="M1748" s="1"/>
      <c r="N1748" s="1"/>
      <c r="O1748" s="1"/>
    </row>
    <row r="1749" spans="1:15" hidden="1">
      <c r="A1749" s="1"/>
      <c r="B1749" s="40" t="e">
        <f t="shared" ca="1" si="211"/>
        <v>#N/A</v>
      </c>
      <c r="C1749" s="496">
        <v>669</v>
      </c>
      <c r="D1749" s="41" t="e">
        <f ca="1">IF($C$1076&gt;0,VLOOKUP($C1749,COSTI!$U$4:$Z$1003,3,FALSE),IF($C$1075&gt;0,VLOOKUP($C1749,PATRIMONIALE!$U$4:$Z$1003,3,FALSE),IF($C$1074&gt;0,VLOOKUP($C1749,ENTI!$U$4:$Z$1003,3,FALSE),"")))</f>
        <v>#N/A</v>
      </c>
      <c r="E1749" s="41" t="str">
        <f t="shared" ca="1" si="212"/>
        <v/>
      </c>
      <c r="F1749" s="41" t="e">
        <f t="shared" ca="1" si="213"/>
        <v>#NUM!</v>
      </c>
      <c r="G1749" s="39" t="e">
        <f ca="1">IF($C$1076&gt;0,VLOOKUP($C1749,COSTI!$U$4:$Z$1003,5,FALSE),IF($C$1075&gt;0,VLOOKUP($C1749,PATRIMONIALE!$U$4:$Z$1003,5,FALSE),IF($C$1074&gt;0,VLOOKUP($C1749,ENTI!$U$4:$Z$1003,5,FALSE),"")))</f>
        <v>#N/A</v>
      </c>
      <c r="H1749" s="42" t="e">
        <f ca="1">IF($C$1076&gt;0,VLOOKUP($C1749,COSTI!$U$4:$Z$1003,6,FALSE),IF($C$1075&gt;0,VLOOKUP($C1749,PATRIMONIALE!$U$4:$Z$1003,6,FALSE),IF($C$1074&gt;0,VLOOKUP($C1749,ENTI!$U$4:$Z$1003,6,FALSE),"")))</f>
        <v>#N/A</v>
      </c>
      <c r="I1749" s="496">
        <v>669</v>
      </c>
      <c r="J1749" s="43" t="e">
        <f ca="1">VLOOKUP(D1749,$F$1081:$I$4183,4,FALSE)+COUNTIF(E$1081:E1748,E1749)</f>
        <v>#N/A</v>
      </c>
      <c r="K1749" s="1"/>
      <c r="L1749" s="39" t="e">
        <f>IF($C$1074&gt;0,VLOOKUP($C1749,ENTI!$U$4:$AD$1003,10,FALSE),"")</f>
        <v>#N/A</v>
      </c>
      <c r="M1749" s="1"/>
      <c r="N1749" s="1"/>
      <c r="O1749" s="1"/>
    </row>
    <row r="1750" spans="1:15" hidden="1">
      <c r="A1750" s="1"/>
      <c r="B1750" s="40" t="e">
        <f t="shared" ca="1" si="211"/>
        <v>#N/A</v>
      </c>
      <c r="C1750" s="496">
        <v>670</v>
      </c>
      <c r="D1750" s="41" t="e">
        <f ca="1">IF($C$1076&gt;0,VLOOKUP($C1750,COSTI!$U$4:$Z$1003,3,FALSE),IF($C$1075&gt;0,VLOOKUP($C1750,PATRIMONIALE!$U$4:$Z$1003,3,FALSE),IF($C$1074&gt;0,VLOOKUP($C1750,ENTI!$U$4:$Z$1003,3,FALSE),"")))</f>
        <v>#N/A</v>
      </c>
      <c r="E1750" s="41" t="str">
        <f t="shared" ca="1" si="212"/>
        <v/>
      </c>
      <c r="F1750" s="41" t="e">
        <f t="shared" ca="1" si="213"/>
        <v>#NUM!</v>
      </c>
      <c r="G1750" s="39" t="e">
        <f ca="1">IF($C$1076&gt;0,VLOOKUP($C1750,COSTI!$U$4:$Z$1003,5,FALSE),IF($C$1075&gt;0,VLOOKUP($C1750,PATRIMONIALE!$U$4:$Z$1003,5,FALSE),IF($C$1074&gt;0,VLOOKUP($C1750,ENTI!$U$4:$Z$1003,5,FALSE),"")))</f>
        <v>#N/A</v>
      </c>
      <c r="H1750" s="42" t="e">
        <f ca="1">IF($C$1076&gt;0,VLOOKUP($C1750,COSTI!$U$4:$Z$1003,6,FALSE),IF($C$1075&gt;0,VLOOKUP($C1750,PATRIMONIALE!$U$4:$Z$1003,6,FALSE),IF($C$1074&gt;0,VLOOKUP($C1750,ENTI!$U$4:$Z$1003,6,FALSE),"")))</f>
        <v>#N/A</v>
      </c>
      <c r="I1750" s="496">
        <v>670</v>
      </c>
      <c r="J1750" s="43" t="e">
        <f ca="1">VLOOKUP(D1750,$F$1081:$I$4183,4,FALSE)+COUNTIF(E$1081:E1749,E1750)</f>
        <v>#N/A</v>
      </c>
      <c r="K1750" s="1"/>
      <c r="L1750" s="39" t="e">
        <f>IF($C$1074&gt;0,VLOOKUP($C1750,ENTI!$U$4:$AD$1003,10,FALSE),"")</f>
        <v>#N/A</v>
      </c>
      <c r="M1750" s="1"/>
      <c r="N1750" s="1"/>
      <c r="O1750" s="1"/>
    </row>
    <row r="1751" spans="1:15" hidden="1">
      <c r="A1751" s="1"/>
      <c r="B1751" s="40" t="e">
        <f t="shared" ca="1" si="211"/>
        <v>#N/A</v>
      </c>
      <c r="C1751" s="496">
        <v>671</v>
      </c>
      <c r="D1751" s="41" t="e">
        <f ca="1">IF($C$1076&gt;0,VLOOKUP($C1751,COSTI!$U$4:$Z$1003,3,FALSE),IF($C$1075&gt;0,VLOOKUP($C1751,PATRIMONIALE!$U$4:$Z$1003,3,FALSE),IF($C$1074&gt;0,VLOOKUP($C1751,ENTI!$U$4:$Z$1003,3,FALSE),"")))</f>
        <v>#N/A</v>
      </c>
      <c r="E1751" s="41" t="str">
        <f t="shared" ca="1" si="212"/>
        <v/>
      </c>
      <c r="F1751" s="41" t="e">
        <f t="shared" ca="1" si="213"/>
        <v>#NUM!</v>
      </c>
      <c r="G1751" s="39" t="e">
        <f ca="1">IF($C$1076&gt;0,VLOOKUP($C1751,COSTI!$U$4:$Z$1003,5,FALSE),IF($C$1075&gt;0,VLOOKUP($C1751,PATRIMONIALE!$U$4:$Z$1003,5,FALSE),IF($C$1074&gt;0,VLOOKUP($C1751,ENTI!$U$4:$Z$1003,5,FALSE),"")))</f>
        <v>#N/A</v>
      </c>
      <c r="H1751" s="42" t="e">
        <f ca="1">IF($C$1076&gt;0,VLOOKUP($C1751,COSTI!$U$4:$Z$1003,6,FALSE),IF($C$1075&gt;0,VLOOKUP($C1751,PATRIMONIALE!$U$4:$Z$1003,6,FALSE),IF($C$1074&gt;0,VLOOKUP($C1751,ENTI!$U$4:$Z$1003,6,FALSE),"")))</f>
        <v>#N/A</v>
      </c>
      <c r="I1751" s="496">
        <v>671</v>
      </c>
      <c r="J1751" s="43" t="e">
        <f ca="1">VLOOKUP(D1751,$F$1081:$I$4183,4,FALSE)+COUNTIF(E$1081:E1750,E1751)</f>
        <v>#N/A</v>
      </c>
      <c r="K1751" s="1"/>
      <c r="L1751" s="39" t="e">
        <f>IF($C$1074&gt;0,VLOOKUP($C1751,ENTI!$U$4:$AD$1003,10,FALSE),"")</f>
        <v>#N/A</v>
      </c>
      <c r="M1751" s="1"/>
      <c r="N1751" s="1"/>
      <c r="O1751" s="1"/>
    </row>
    <row r="1752" spans="1:15" hidden="1">
      <c r="A1752" s="1"/>
      <c r="B1752" s="40" t="e">
        <f t="shared" ca="1" si="211"/>
        <v>#N/A</v>
      </c>
      <c r="C1752" s="496">
        <v>672</v>
      </c>
      <c r="D1752" s="41" t="e">
        <f ca="1">IF($C$1076&gt;0,VLOOKUP($C1752,COSTI!$U$4:$Z$1003,3,FALSE),IF($C$1075&gt;0,VLOOKUP($C1752,PATRIMONIALE!$U$4:$Z$1003,3,FALSE),IF($C$1074&gt;0,VLOOKUP($C1752,ENTI!$U$4:$Z$1003,3,FALSE),"")))</f>
        <v>#N/A</v>
      </c>
      <c r="E1752" s="41" t="str">
        <f t="shared" ca="1" si="212"/>
        <v/>
      </c>
      <c r="F1752" s="41" t="e">
        <f t="shared" ca="1" si="213"/>
        <v>#NUM!</v>
      </c>
      <c r="G1752" s="39" t="e">
        <f ca="1">IF($C$1076&gt;0,VLOOKUP($C1752,COSTI!$U$4:$Z$1003,5,FALSE),IF($C$1075&gt;0,VLOOKUP($C1752,PATRIMONIALE!$U$4:$Z$1003,5,FALSE),IF($C$1074&gt;0,VLOOKUP($C1752,ENTI!$U$4:$Z$1003,5,FALSE),"")))</f>
        <v>#N/A</v>
      </c>
      <c r="H1752" s="42" t="e">
        <f ca="1">IF($C$1076&gt;0,VLOOKUP($C1752,COSTI!$U$4:$Z$1003,6,FALSE),IF($C$1075&gt;0,VLOOKUP($C1752,PATRIMONIALE!$U$4:$Z$1003,6,FALSE),IF($C$1074&gt;0,VLOOKUP($C1752,ENTI!$U$4:$Z$1003,6,FALSE),"")))</f>
        <v>#N/A</v>
      </c>
      <c r="I1752" s="496">
        <v>672</v>
      </c>
      <c r="J1752" s="43" t="e">
        <f ca="1">VLOOKUP(D1752,$F$1081:$I$4183,4,FALSE)+COUNTIF(E$1081:E1751,E1752)</f>
        <v>#N/A</v>
      </c>
      <c r="K1752" s="1"/>
      <c r="L1752" s="39" t="e">
        <f>IF($C$1074&gt;0,VLOOKUP($C1752,ENTI!$U$4:$AD$1003,10,FALSE),"")</f>
        <v>#N/A</v>
      </c>
      <c r="M1752" s="1"/>
      <c r="N1752" s="1"/>
      <c r="O1752" s="1"/>
    </row>
    <row r="1753" spans="1:15" hidden="1">
      <c r="A1753" s="1"/>
      <c r="B1753" s="40" t="e">
        <f t="shared" ca="1" si="211"/>
        <v>#N/A</v>
      </c>
      <c r="C1753" s="496">
        <v>673</v>
      </c>
      <c r="D1753" s="41" t="e">
        <f ca="1">IF($C$1076&gt;0,VLOOKUP($C1753,COSTI!$U$4:$Z$1003,3,FALSE),IF($C$1075&gt;0,VLOOKUP($C1753,PATRIMONIALE!$U$4:$Z$1003,3,FALSE),IF($C$1074&gt;0,VLOOKUP($C1753,ENTI!$U$4:$Z$1003,3,FALSE),"")))</f>
        <v>#N/A</v>
      </c>
      <c r="E1753" s="41" t="str">
        <f t="shared" ca="1" si="212"/>
        <v/>
      </c>
      <c r="F1753" s="41" t="e">
        <f t="shared" ca="1" si="213"/>
        <v>#NUM!</v>
      </c>
      <c r="G1753" s="39" t="e">
        <f ca="1">IF($C$1076&gt;0,VLOOKUP($C1753,COSTI!$U$4:$Z$1003,5,FALSE),IF($C$1075&gt;0,VLOOKUP($C1753,PATRIMONIALE!$U$4:$Z$1003,5,FALSE),IF($C$1074&gt;0,VLOOKUP($C1753,ENTI!$U$4:$Z$1003,5,FALSE),"")))</f>
        <v>#N/A</v>
      </c>
      <c r="H1753" s="42" t="e">
        <f ca="1">IF($C$1076&gt;0,VLOOKUP($C1753,COSTI!$U$4:$Z$1003,6,FALSE),IF($C$1075&gt;0,VLOOKUP($C1753,PATRIMONIALE!$U$4:$Z$1003,6,FALSE),IF($C$1074&gt;0,VLOOKUP($C1753,ENTI!$U$4:$Z$1003,6,FALSE),"")))</f>
        <v>#N/A</v>
      </c>
      <c r="I1753" s="496">
        <v>673</v>
      </c>
      <c r="J1753" s="43" t="e">
        <f ca="1">VLOOKUP(D1753,$F$1081:$I$4183,4,FALSE)+COUNTIF(E$1081:E1752,E1753)</f>
        <v>#N/A</v>
      </c>
      <c r="K1753" s="1"/>
      <c r="L1753" s="39" t="e">
        <f>IF($C$1074&gt;0,VLOOKUP($C1753,ENTI!$U$4:$AD$1003,10,FALSE),"")</f>
        <v>#N/A</v>
      </c>
      <c r="M1753" s="1"/>
      <c r="N1753" s="1"/>
      <c r="O1753" s="1"/>
    </row>
    <row r="1754" spans="1:15" hidden="1">
      <c r="A1754" s="1"/>
      <c r="B1754" s="40" t="e">
        <f t="shared" ca="1" si="211"/>
        <v>#N/A</v>
      </c>
      <c r="C1754" s="496">
        <v>674</v>
      </c>
      <c r="D1754" s="41" t="e">
        <f ca="1">IF($C$1076&gt;0,VLOOKUP($C1754,COSTI!$U$4:$Z$1003,3,FALSE),IF($C$1075&gt;0,VLOOKUP($C1754,PATRIMONIALE!$U$4:$Z$1003,3,FALSE),IF($C$1074&gt;0,VLOOKUP($C1754,ENTI!$U$4:$Z$1003,3,FALSE),"")))</f>
        <v>#N/A</v>
      </c>
      <c r="E1754" s="41" t="str">
        <f t="shared" ca="1" si="212"/>
        <v/>
      </c>
      <c r="F1754" s="41" t="e">
        <f t="shared" ca="1" si="213"/>
        <v>#NUM!</v>
      </c>
      <c r="G1754" s="39" t="e">
        <f ca="1">IF($C$1076&gt;0,VLOOKUP($C1754,COSTI!$U$4:$Z$1003,5,FALSE),IF($C$1075&gt;0,VLOOKUP($C1754,PATRIMONIALE!$U$4:$Z$1003,5,FALSE),IF($C$1074&gt;0,VLOOKUP($C1754,ENTI!$U$4:$Z$1003,5,FALSE),"")))</f>
        <v>#N/A</v>
      </c>
      <c r="H1754" s="42" t="e">
        <f ca="1">IF($C$1076&gt;0,VLOOKUP($C1754,COSTI!$U$4:$Z$1003,6,FALSE),IF($C$1075&gt;0,VLOOKUP($C1754,PATRIMONIALE!$U$4:$Z$1003,6,FALSE),IF($C$1074&gt;0,VLOOKUP($C1754,ENTI!$U$4:$Z$1003,6,FALSE),"")))</f>
        <v>#N/A</v>
      </c>
      <c r="I1754" s="496">
        <v>674</v>
      </c>
      <c r="J1754" s="43" t="e">
        <f ca="1">VLOOKUP(D1754,$F$1081:$I$4183,4,FALSE)+COUNTIF(E$1081:E1753,E1754)</f>
        <v>#N/A</v>
      </c>
      <c r="K1754" s="1"/>
      <c r="L1754" s="39" t="e">
        <f>IF($C$1074&gt;0,VLOOKUP($C1754,ENTI!$U$4:$AD$1003,10,FALSE),"")</f>
        <v>#N/A</v>
      </c>
      <c r="M1754" s="1"/>
      <c r="N1754" s="1"/>
      <c r="O1754" s="1"/>
    </row>
    <row r="1755" spans="1:15" hidden="1">
      <c r="A1755" s="1"/>
      <c r="B1755" s="40" t="e">
        <f t="shared" ca="1" si="211"/>
        <v>#N/A</v>
      </c>
      <c r="C1755" s="496">
        <v>675</v>
      </c>
      <c r="D1755" s="41" t="e">
        <f ca="1">IF($C$1076&gt;0,VLOOKUP($C1755,COSTI!$U$4:$Z$1003,3,FALSE),IF($C$1075&gt;0,VLOOKUP($C1755,PATRIMONIALE!$U$4:$Z$1003,3,FALSE),IF($C$1074&gt;0,VLOOKUP($C1755,ENTI!$U$4:$Z$1003,3,FALSE),"")))</f>
        <v>#N/A</v>
      </c>
      <c r="E1755" s="41" t="str">
        <f t="shared" ca="1" si="212"/>
        <v/>
      </c>
      <c r="F1755" s="41" t="e">
        <f t="shared" ca="1" si="213"/>
        <v>#NUM!</v>
      </c>
      <c r="G1755" s="39" t="e">
        <f ca="1">IF($C$1076&gt;0,VLOOKUP($C1755,COSTI!$U$4:$Z$1003,5,FALSE),IF($C$1075&gt;0,VLOOKUP($C1755,PATRIMONIALE!$U$4:$Z$1003,5,FALSE),IF($C$1074&gt;0,VLOOKUP($C1755,ENTI!$U$4:$Z$1003,5,FALSE),"")))</f>
        <v>#N/A</v>
      </c>
      <c r="H1755" s="42" t="e">
        <f ca="1">IF($C$1076&gt;0,VLOOKUP($C1755,COSTI!$U$4:$Z$1003,6,FALSE),IF($C$1075&gt;0,VLOOKUP($C1755,PATRIMONIALE!$U$4:$Z$1003,6,FALSE),IF($C$1074&gt;0,VLOOKUP($C1755,ENTI!$U$4:$Z$1003,6,FALSE),"")))</f>
        <v>#N/A</v>
      </c>
      <c r="I1755" s="496">
        <v>675</v>
      </c>
      <c r="J1755" s="43" t="e">
        <f ca="1">VLOOKUP(D1755,$F$1081:$I$4183,4,FALSE)+COUNTIF(E$1081:E1754,E1755)</f>
        <v>#N/A</v>
      </c>
      <c r="K1755" s="1"/>
      <c r="L1755" s="39" t="e">
        <f>IF($C$1074&gt;0,VLOOKUP($C1755,ENTI!$U$4:$AD$1003,10,FALSE),"")</f>
        <v>#N/A</v>
      </c>
      <c r="M1755" s="1"/>
      <c r="N1755" s="1"/>
      <c r="O1755" s="1"/>
    </row>
    <row r="1756" spans="1:15" hidden="1">
      <c r="A1756" s="1"/>
      <c r="B1756" s="40" t="e">
        <f t="shared" ca="1" si="211"/>
        <v>#N/A</v>
      </c>
      <c r="C1756" s="496">
        <v>676</v>
      </c>
      <c r="D1756" s="41" t="e">
        <f ca="1">IF($C$1076&gt;0,VLOOKUP($C1756,COSTI!$U$4:$Z$1003,3,FALSE),IF($C$1075&gt;0,VLOOKUP($C1756,PATRIMONIALE!$U$4:$Z$1003,3,FALSE),IF($C$1074&gt;0,VLOOKUP($C1756,ENTI!$U$4:$Z$1003,3,FALSE),"")))</f>
        <v>#N/A</v>
      </c>
      <c r="E1756" s="41" t="str">
        <f t="shared" ca="1" si="212"/>
        <v/>
      </c>
      <c r="F1756" s="41" t="e">
        <f t="shared" ca="1" si="213"/>
        <v>#NUM!</v>
      </c>
      <c r="G1756" s="39" t="e">
        <f ca="1">IF($C$1076&gt;0,VLOOKUP($C1756,COSTI!$U$4:$Z$1003,5,FALSE),IF($C$1075&gt;0,VLOOKUP($C1756,PATRIMONIALE!$U$4:$Z$1003,5,FALSE),IF($C$1074&gt;0,VLOOKUP($C1756,ENTI!$U$4:$Z$1003,5,FALSE),"")))</f>
        <v>#N/A</v>
      </c>
      <c r="H1756" s="42" t="e">
        <f ca="1">IF($C$1076&gt;0,VLOOKUP($C1756,COSTI!$U$4:$Z$1003,6,FALSE),IF($C$1075&gt;0,VLOOKUP($C1756,PATRIMONIALE!$U$4:$Z$1003,6,FALSE),IF($C$1074&gt;0,VLOOKUP($C1756,ENTI!$U$4:$Z$1003,6,FALSE),"")))</f>
        <v>#N/A</v>
      </c>
      <c r="I1756" s="496">
        <v>676</v>
      </c>
      <c r="J1756" s="43" t="e">
        <f ca="1">VLOOKUP(D1756,$F$1081:$I$4183,4,FALSE)+COUNTIF(E$1081:E1755,E1756)</f>
        <v>#N/A</v>
      </c>
      <c r="K1756" s="1"/>
      <c r="L1756" s="39" t="e">
        <f>IF($C$1074&gt;0,VLOOKUP($C1756,ENTI!$U$4:$AD$1003,10,FALSE),"")</f>
        <v>#N/A</v>
      </c>
      <c r="M1756" s="1"/>
      <c r="N1756" s="1"/>
      <c r="O1756" s="1"/>
    </row>
    <row r="1757" spans="1:15" hidden="1">
      <c r="A1757" s="1"/>
      <c r="B1757" s="40" t="e">
        <f t="shared" ca="1" si="211"/>
        <v>#N/A</v>
      </c>
      <c r="C1757" s="496">
        <v>677</v>
      </c>
      <c r="D1757" s="41" t="e">
        <f ca="1">IF($C$1076&gt;0,VLOOKUP($C1757,COSTI!$U$4:$Z$1003,3,FALSE),IF($C$1075&gt;0,VLOOKUP($C1757,PATRIMONIALE!$U$4:$Z$1003,3,FALSE),IF($C$1074&gt;0,VLOOKUP($C1757,ENTI!$U$4:$Z$1003,3,FALSE),"")))</f>
        <v>#N/A</v>
      </c>
      <c r="E1757" s="41" t="str">
        <f t="shared" ca="1" si="212"/>
        <v/>
      </c>
      <c r="F1757" s="41" t="e">
        <f t="shared" ca="1" si="213"/>
        <v>#NUM!</v>
      </c>
      <c r="G1757" s="39" t="e">
        <f ca="1">IF($C$1076&gt;0,VLOOKUP($C1757,COSTI!$U$4:$Z$1003,5,FALSE),IF($C$1075&gt;0,VLOOKUP($C1757,PATRIMONIALE!$U$4:$Z$1003,5,FALSE),IF($C$1074&gt;0,VLOOKUP($C1757,ENTI!$U$4:$Z$1003,5,FALSE),"")))</f>
        <v>#N/A</v>
      </c>
      <c r="H1757" s="42" t="e">
        <f ca="1">IF($C$1076&gt;0,VLOOKUP($C1757,COSTI!$U$4:$Z$1003,6,FALSE),IF($C$1075&gt;0,VLOOKUP($C1757,PATRIMONIALE!$U$4:$Z$1003,6,FALSE),IF($C$1074&gt;0,VLOOKUP($C1757,ENTI!$U$4:$Z$1003,6,FALSE),"")))</f>
        <v>#N/A</v>
      </c>
      <c r="I1757" s="496">
        <v>677</v>
      </c>
      <c r="J1757" s="43" t="e">
        <f ca="1">VLOOKUP(D1757,$F$1081:$I$4183,4,FALSE)+COUNTIF(E$1081:E1756,E1757)</f>
        <v>#N/A</v>
      </c>
      <c r="K1757" s="1"/>
      <c r="L1757" s="39" t="e">
        <f>IF($C$1074&gt;0,VLOOKUP($C1757,ENTI!$U$4:$AD$1003,10,FALSE),"")</f>
        <v>#N/A</v>
      </c>
      <c r="M1757" s="1"/>
      <c r="N1757" s="1"/>
      <c r="O1757" s="1"/>
    </row>
    <row r="1758" spans="1:15" hidden="1">
      <c r="A1758" s="1"/>
      <c r="B1758" s="40" t="e">
        <f t="shared" ca="1" si="211"/>
        <v>#N/A</v>
      </c>
      <c r="C1758" s="496">
        <v>678</v>
      </c>
      <c r="D1758" s="41" t="e">
        <f ca="1">IF($C$1076&gt;0,VLOOKUP($C1758,COSTI!$U$4:$Z$1003,3,FALSE),IF($C$1075&gt;0,VLOOKUP($C1758,PATRIMONIALE!$U$4:$Z$1003,3,FALSE),IF($C$1074&gt;0,VLOOKUP($C1758,ENTI!$U$4:$Z$1003,3,FALSE),"")))</f>
        <v>#N/A</v>
      </c>
      <c r="E1758" s="41" t="str">
        <f t="shared" ca="1" si="212"/>
        <v/>
      </c>
      <c r="F1758" s="41" t="e">
        <f t="shared" ca="1" si="213"/>
        <v>#NUM!</v>
      </c>
      <c r="G1758" s="39" t="e">
        <f ca="1">IF($C$1076&gt;0,VLOOKUP($C1758,COSTI!$U$4:$Z$1003,5,FALSE),IF($C$1075&gt;0,VLOOKUP($C1758,PATRIMONIALE!$U$4:$Z$1003,5,FALSE),IF($C$1074&gt;0,VLOOKUP($C1758,ENTI!$U$4:$Z$1003,5,FALSE),"")))</f>
        <v>#N/A</v>
      </c>
      <c r="H1758" s="42" t="e">
        <f ca="1">IF($C$1076&gt;0,VLOOKUP($C1758,COSTI!$U$4:$Z$1003,6,FALSE),IF($C$1075&gt;0,VLOOKUP($C1758,PATRIMONIALE!$U$4:$Z$1003,6,FALSE),IF($C$1074&gt;0,VLOOKUP($C1758,ENTI!$U$4:$Z$1003,6,FALSE),"")))</f>
        <v>#N/A</v>
      </c>
      <c r="I1758" s="496">
        <v>678</v>
      </c>
      <c r="J1758" s="43" t="e">
        <f ca="1">VLOOKUP(D1758,$F$1081:$I$4183,4,FALSE)+COUNTIF(E$1081:E1757,E1758)</f>
        <v>#N/A</v>
      </c>
      <c r="K1758" s="1"/>
      <c r="L1758" s="39" t="e">
        <f>IF($C$1074&gt;0,VLOOKUP($C1758,ENTI!$U$4:$AD$1003,10,FALSE),"")</f>
        <v>#N/A</v>
      </c>
      <c r="M1758" s="1"/>
      <c r="N1758" s="1"/>
      <c r="O1758" s="1"/>
    </row>
    <row r="1759" spans="1:15" hidden="1">
      <c r="A1759" s="1"/>
      <c r="B1759" s="40" t="e">
        <f t="shared" ca="1" si="211"/>
        <v>#N/A</v>
      </c>
      <c r="C1759" s="496">
        <v>679</v>
      </c>
      <c r="D1759" s="41" t="e">
        <f ca="1">IF($C$1076&gt;0,VLOOKUP($C1759,COSTI!$U$4:$Z$1003,3,FALSE),IF($C$1075&gt;0,VLOOKUP($C1759,PATRIMONIALE!$U$4:$Z$1003,3,FALSE),IF($C$1074&gt;0,VLOOKUP($C1759,ENTI!$U$4:$Z$1003,3,FALSE),"")))</f>
        <v>#N/A</v>
      </c>
      <c r="E1759" s="41" t="str">
        <f t="shared" ca="1" si="212"/>
        <v/>
      </c>
      <c r="F1759" s="41" t="e">
        <f t="shared" ca="1" si="213"/>
        <v>#NUM!</v>
      </c>
      <c r="G1759" s="39" t="e">
        <f ca="1">IF($C$1076&gt;0,VLOOKUP($C1759,COSTI!$U$4:$Z$1003,5,FALSE),IF($C$1075&gt;0,VLOOKUP($C1759,PATRIMONIALE!$U$4:$Z$1003,5,FALSE),IF($C$1074&gt;0,VLOOKUP($C1759,ENTI!$U$4:$Z$1003,5,FALSE),"")))</f>
        <v>#N/A</v>
      </c>
      <c r="H1759" s="42" t="e">
        <f ca="1">IF($C$1076&gt;0,VLOOKUP($C1759,COSTI!$U$4:$Z$1003,6,FALSE),IF($C$1075&gt;0,VLOOKUP($C1759,PATRIMONIALE!$U$4:$Z$1003,6,FALSE),IF($C$1074&gt;0,VLOOKUP($C1759,ENTI!$U$4:$Z$1003,6,FALSE),"")))</f>
        <v>#N/A</v>
      </c>
      <c r="I1759" s="496">
        <v>679</v>
      </c>
      <c r="J1759" s="43" t="e">
        <f ca="1">VLOOKUP(D1759,$F$1081:$I$4183,4,FALSE)+COUNTIF(E$1081:E1758,E1759)</f>
        <v>#N/A</v>
      </c>
      <c r="K1759" s="1"/>
      <c r="L1759" s="39" t="e">
        <f>IF($C$1074&gt;0,VLOOKUP($C1759,ENTI!$U$4:$AD$1003,10,FALSE),"")</f>
        <v>#N/A</v>
      </c>
      <c r="M1759" s="1"/>
      <c r="N1759" s="1"/>
      <c r="O1759" s="1"/>
    </row>
    <row r="1760" spans="1:15" hidden="1">
      <c r="A1760" s="1"/>
      <c r="B1760" s="40" t="e">
        <f t="shared" ca="1" si="211"/>
        <v>#N/A</v>
      </c>
      <c r="C1760" s="496">
        <v>680</v>
      </c>
      <c r="D1760" s="41" t="e">
        <f ca="1">IF($C$1076&gt;0,VLOOKUP($C1760,COSTI!$U$4:$Z$1003,3,FALSE),IF($C$1075&gt;0,VLOOKUP($C1760,PATRIMONIALE!$U$4:$Z$1003,3,FALSE),IF($C$1074&gt;0,VLOOKUP($C1760,ENTI!$U$4:$Z$1003,3,FALSE),"")))</f>
        <v>#N/A</v>
      </c>
      <c r="E1760" s="41" t="str">
        <f t="shared" ca="1" si="212"/>
        <v/>
      </c>
      <c r="F1760" s="41" t="e">
        <f t="shared" ca="1" si="213"/>
        <v>#NUM!</v>
      </c>
      <c r="G1760" s="39" t="e">
        <f ca="1">IF($C$1076&gt;0,VLOOKUP($C1760,COSTI!$U$4:$Z$1003,5,FALSE),IF($C$1075&gt;0,VLOOKUP($C1760,PATRIMONIALE!$U$4:$Z$1003,5,FALSE),IF($C$1074&gt;0,VLOOKUP($C1760,ENTI!$U$4:$Z$1003,5,FALSE),"")))</f>
        <v>#N/A</v>
      </c>
      <c r="H1760" s="42" t="e">
        <f ca="1">IF($C$1076&gt;0,VLOOKUP($C1760,COSTI!$U$4:$Z$1003,6,FALSE),IF($C$1075&gt;0,VLOOKUP($C1760,PATRIMONIALE!$U$4:$Z$1003,6,FALSE),IF($C$1074&gt;0,VLOOKUP($C1760,ENTI!$U$4:$Z$1003,6,FALSE),"")))</f>
        <v>#N/A</v>
      </c>
      <c r="I1760" s="496">
        <v>680</v>
      </c>
      <c r="J1760" s="43" t="e">
        <f ca="1">VLOOKUP(D1760,$F$1081:$I$4183,4,FALSE)+COUNTIF(E$1081:E1759,E1760)</f>
        <v>#N/A</v>
      </c>
      <c r="K1760" s="1"/>
      <c r="L1760" s="39" t="e">
        <f>IF($C$1074&gt;0,VLOOKUP($C1760,ENTI!$U$4:$AD$1003,10,FALSE),"")</f>
        <v>#N/A</v>
      </c>
      <c r="M1760" s="1"/>
      <c r="N1760" s="1"/>
      <c r="O1760" s="1"/>
    </row>
    <row r="1761" spans="1:15" hidden="1">
      <c r="A1761" s="1"/>
      <c r="B1761" s="40" t="e">
        <f t="shared" ca="1" si="211"/>
        <v>#N/A</v>
      </c>
      <c r="C1761" s="496">
        <v>681</v>
      </c>
      <c r="D1761" s="41" t="e">
        <f ca="1">IF($C$1076&gt;0,VLOOKUP($C1761,COSTI!$U$4:$Z$1003,3,FALSE),IF($C$1075&gt;0,VLOOKUP($C1761,PATRIMONIALE!$U$4:$Z$1003,3,FALSE),IF($C$1074&gt;0,VLOOKUP($C1761,ENTI!$U$4:$Z$1003,3,FALSE),"")))</f>
        <v>#N/A</v>
      </c>
      <c r="E1761" s="41" t="str">
        <f t="shared" ca="1" si="212"/>
        <v/>
      </c>
      <c r="F1761" s="41" t="e">
        <f t="shared" ca="1" si="213"/>
        <v>#NUM!</v>
      </c>
      <c r="G1761" s="39" t="e">
        <f ca="1">IF($C$1076&gt;0,VLOOKUP($C1761,COSTI!$U$4:$Z$1003,5,FALSE),IF($C$1075&gt;0,VLOOKUP($C1761,PATRIMONIALE!$U$4:$Z$1003,5,FALSE),IF($C$1074&gt;0,VLOOKUP($C1761,ENTI!$U$4:$Z$1003,5,FALSE),"")))</f>
        <v>#N/A</v>
      </c>
      <c r="H1761" s="42" t="e">
        <f ca="1">IF($C$1076&gt;0,VLOOKUP($C1761,COSTI!$U$4:$Z$1003,6,FALSE),IF($C$1075&gt;0,VLOOKUP($C1761,PATRIMONIALE!$U$4:$Z$1003,6,FALSE),IF($C$1074&gt;0,VLOOKUP($C1761,ENTI!$U$4:$Z$1003,6,FALSE),"")))</f>
        <v>#N/A</v>
      </c>
      <c r="I1761" s="496">
        <v>681</v>
      </c>
      <c r="J1761" s="43" t="e">
        <f ca="1">VLOOKUP(D1761,$F$1081:$I$4183,4,FALSE)+COUNTIF(E$1081:E1760,E1761)</f>
        <v>#N/A</v>
      </c>
      <c r="K1761" s="1"/>
      <c r="L1761" s="39" t="e">
        <f>IF($C$1074&gt;0,VLOOKUP($C1761,ENTI!$U$4:$AD$1003,10,FALSE),"")</f>
        <v>#N/A</v>
      </c>
      <c r="M1761" s="1"/>
      <c r="N1761" s="1"/>
      <c r="O1761" s="1"/>
    </row>
    <row r="1762" spans="1:15" hidden="1">
      <c r="A1762" s="1"/>
      <c r="B1762" s="40" t="e">
        <f t="shared" ca="1" si="211"/>
        <v>#N/A</v>
      </c>
      <c r="C1762" s="496">
        <v>682</v>
      </c>
      <c r="D1762" s="41" t="e">
        <f ca="1">IF($C$1076&gt;0,VLOOKUP($C1762,COSTI!$U$4:$Z$1003,3,FALSE),IF($C$1075&gt;0,VLOOKUP($C1762,PATRIMONIALE!$U$4:$Z$1003,3,FALSE),IF($C$1074&gt;0,VLOOKUP($C1762,ENTI!$U$4:$Z$1003,3,FALSE),"")))</f>
        <v>#N/A</v>
      </c>
      <c r="E1762" s="41" t="str">
        <f t="shared" ca="1" si="212"/>
        <v/>
      </c>
      <c r="F1762" s="41" t="e">
        <f t="shared" ca="1" si="213"/>
        <v>#NUM!</v>
      </c>
      <c r="G1762" s="39" t="e">
        <f ca="1">IF($C$1076&gt;0,VLOOKUP($C1762,COSTI!$U$4:$Z$1003,5,FALSE),IF($C$1075&gt;0,VLOOKUP($C1762,PATRIMONIALE!$U$4:$Z$1003,5,FALSE),IF($C$1074&gt;0,VLOOKUP($C1762,ENTI!$U$4:$Z$1003,5,FALSE),"")))</f>
        <v>#N/A</v>
      </c>
      <c r="H1762" s="42" t="e">
        <f ca="1">IF($C$1076&gt;0,VLOOKUP($C1762,COSTI!$U$4:$Z$1003,6,FALSE),IF($C$1075&gt;0,VLOOKUP($C1762,PATRIMONIALE!$U$4:$Z$1003,6,FALSE),IF($C$1074&gt;0,VLOOKUP($C1762,ENTI!$U$4:$Z$1003,6,FALSE),"")))</f>
        <v>#N/A</v>
      </c>
      <c r="I1762" s="496">
        <v>682</v>
      </c>
      <c r="J1762" s="43" t="e">
        <f ca="1">VLOOKUP(D1762,$F$1081:$I$4183,4,FALSE)+COUNTIF(E$1081:E1761,E1762)</f>
        <v>#N/A</v>
      </c>
      <c r="K1762" s="1"/>
      <c r="L1762" s="39" t="e">
        <f>IF($C$1074&gt;0,VLOOKUP($C1762,ENTI!$U$4:$AD$1003,10,FALSE),"")</f>
        <v>#N/A</v>
      </c>
      <c r="M1762" s="1"/>
      <c r="N1762" s="1"/>
      <c r="O1762" s="1"/>
    </row>
    <row r="1763" spans="1:15" hidden="1">
      <c r="A1763" s="1"/>
      <c r="B1763" s="40" t="e">
        <f t="shared" ca="1" si="211"/>
        <v>#N/A</v>
      </c>
      <c r="C1763" s="496">
        <v>683</v>
      </c>
      <c r="D1763" s="41" t="e">
        <f ca="1">IF($C$1076&gt;0,VLOOKUP($C1763,COSTI!$U$4:$Z$1003,3,FALSE),IF($C$1075&gt;0,VLOOKUP($C1763,PATRIMONIALE!$U$4:$Z$1003,3,FALSE),IF($C$1074&gt;0,VLOOKUP($C1763,ENTI!$U$4:$Z$1003,3,FALSE),"")))</f>
        <v>#N/A</v>
      </c>
      <c r="E1763" s="41" t="str">
        <f t="shared" ca="1" si="212"/>
        <v/>
      </c>
      <c r="F1763" s="41" t="e">
        <f t="shared" ca="1" si="213"/>
        <v>#NUM!</v>
      </c>
      <c r="G1763" s="39" t="e">
        <f ca="1">IF($C$1076&gt;0,VLOOKUP($C1763,COSTI!$U$4:$Z$1003,5,FALSE),IF($C$1075&gt;0,VLOOKUP($C1763,PATRIMONIALE!$U$4:$Z$1003,5,FALSE),IF($C$1074&gt;0,VLOOKUP($C1763,ENTI!$U$4:$Z$1003,5,FALSE),"")))</f>
        <v>#N/A</v>
      </c>
      <c r="H1763" s="42" t="e">
        <f ca="1">IF($C$1076&gt;0,VLOOKUP($C1763,COSTI!$U$4:$Z$1003,6,FALSE),IF($C$1075&gt;0,VLOOKUP($C1763,PATRIMONIALE!$U$4:$Z$1003,6,FALSE),IF($C$1074&gt;0,VLOOKUP($C1763,ENTI!$U$4:$Z$1003,6,FALSE),"")))</f>
        <v>#N/A</v>
      </c>
      <c r="I1763" s="496">
        <v>683</v>
      </c>
      <c r="J1763" s="43" t="e">
        <f ca="1">VLOOKUP(D1763,$F$1081:$I$4183,4,FALSE)+COUNTIF(E$1081:E1762,E1763)</f>
        <v>#N/A</v>
      </c>
      <c r="K1763" s="1"/>
      <c r="L1763" s="39" t="e">
        <f>IF($C$1074&gt;0,VLOOKUP($C1763,ENTI!$U$4:$AD$1003,10,FALSE),"")</f>
        <v>#N/A</v>
      </c>
      <c r="M1763" s="1"/>
      <c r="N1763" s="1"/>
      <c r="O1763" s="1"/>
    </row>
    <row r="1764" spans="1:15" hidden="1">
      <c r="A1764" s="1"/>
      <c r="B1764" s="40" t="e">
        <f t="shared" ca="1" si="211"/>
        <v>#N/A</v>
      </c>
      <c r="C1764" s="496">
        <v>684</v>
      </c>
      <c r="D1764" s="41" t="e">
        <f ca="1">IF($C$1076&gt;0,VLOOKUP($C1764,COSTI!$U$4:$Z$1003,3,FALSE),IF($C$1075&gt;0,VLOOKUP($C1764,PATRIMONIALE!$U$4:$Z$1003,3,FALSE),IF($C$1074&gt;0,VLOOKUP($C1764,ENTI!$U$4:$Z$1003,3,FALSE),"")))</f>
        <v>#N/A</v>
      </c>
      <c r="E1764" s="41" t="str">
        <f t="shared" ca="1" si="212"/>
        <v/>
      </c>
      <c r="F1764" s="41" t="e">
        <f t="shared" ca="1" si="213"/>
        <v>#NUM!</v>
      </c>
      <c r="G1764" s="39" t="e">
        <f ca="1">IF($C$1076&gt;0,VLOOKUP($C1764,COSTI!$U$4:$Z$1003,5,FALSE),IF($C$1075&gt;0,VLOOKUP($C1764,PATRIMONIALE!$U$4:$Z$1003,5,FALSE),IF($C$1074&gt;0,VLOOKUP($C1764,ENTI!$U$4:$Z$1003,5,FALSE),"")))</f>
        <v>#N/A</v>
      </c>
      <c r="H1764" s="42" t="e">
        <f ca="1">IF($C$1076&gt;0,VLOOKUP($C1764,COSTI!$U$4:$Z$1003,6,FALSE),IF($C$1075&gt;0,VLOOKUP($C1764,PATRIMONIALE!$U$4:$Z$1003,6,FALSE),IF($C$1074&gt;0,VLOOKUP($C1764,ENTI!$U$4:$Z$1003,6,FALSE),"")))</f>
        <v>#N/A</v>
      </c>
      <c r="I1764" s="496">
        <v>684</v>
      </c>
      <c r="J1764" s="43" t="e">
        <f ca="1">VLOOKUP(D1764,$F$1081:$I$4183,4,FALSE)+COUNTIF(E$1081:E1763,E1764)</f>
        <v>#N/A</v>
      </c>
      <c r="K1764" s="1"/>
      <c r="L1764" s="39" t="e">
        <f>IF($C$1074&gt;0,VLOOKUP($C1764,ENTI!$U$4:$AD$1003,10,FALSE),"")</f>
        <v>#N/A</v>
      </c>
      <c r="M1764" s="1"/>
      <c r="N1764" s="1"/>
      <c r="O1764" s="1"/>
    </row>
    <row r="1765" spans="1:15" hidden="1">
      <c r="A1765" s="1"/>
      <c r="B1765" s="40" t="e">
        <f t="shared" ca="1" si="211"/>
        <v>#N/A</v>
      </c>
      <c r="C1765" s="496">
        <v>685</v>
      </c>
      <c r="D1765" s="41" t="e">
        <f ca="1">IF($C$1076&gt;0,VLOOKUP($C1765,COSTI!$U$4:$Z$1003,3,FALSE),IF($C$1075&gt;0,VLOOKUP($C1765,PATRIMONIALE!$U$4:$Z$1003,3,FALSE),IF($C$1074&gt;0,VLOOKUP($C1765,ENTI!$U$4:$Z$1003,3,FALSE),"")))</f>
        <v>#N/A</v>
      </c>
      <c r="E1765" s="41" t="str">
        <f t="shared" ca="1" si="212"/>
        <v/>
      </c>
      <c r="F1765" s="41" t="e">
        <f t="shared" ca="1" si="213"/>
        <v>#NUM!</v>
      </c>
      <c r="G1765" s="39" t="e">
        <f ca="1">IF($C$1076&gt;0,VLOOKUP($C1765,COSTI!$U$4:$Z$1003,5,FALSE),IF($C$1075&gt;0,VLOOKUP($C1765,PATRIMONIALE!$U$4:$Z$1003,5,FALSE),IF($C$1074&gt;0,VLOOKUP($C1765,ENTI!$U$4:$Z$1003,5,FALSE),"")))</f>
        <v>#N/A</v>
      </c>
      <c r="H1765" s="42" t="e">
        <f ca="1">IF($C$1076&gt;0,VLOOKUP($C1765,COSTI!$U$4:$Z$1003,6,FALSE),IF($C$1075&gt;0,VLOOKUP($C1765,PATRIMONIALE!$U$4:$Z$1003,6,FALSE),IF($C$1074&gt;0,VLOOKUP($C1765,ENTI!$U$4:$Z$1003,6,FALSE),"")))</f>
        <v>#N/A</v>
      </c>
      <c r="I1765" s="496">
        <v>685</v>
      </c>
      <c r="J1765" s="43" t="e">
        <f ca="1">VLOOKUP(D1765,$F$1081:$I$4183,4,FALSE)+COUNTIF(E$1081:E1764,E1765)</f>
        <v>#N/A</v>
      </c>
      <c r="K1765" s="1"/>
      <c r="L1765" s="39" t="e">
        <f>IF($C$1074&gt;0,VLOOKUP($C1765,ENTI!$U$4:$AD$1003,10,FALSE),"")</f>
        <v>#N/A</v>
      </c>
      <c r="M1765" s="1"/>
      <c r="N1765" s="1"/>
      <c r="O1765" s="1"/>
    </row>
    <row r="1766" spans="1:15" hidden="1">
      <c r="A1766" s="1"/>
      <c r="B1766" s="40" t="e">
        <f t="shared" ca="1" si="211"/>
        <v>#N/A</v>
      </c>
      <c r="C1766" s="496">
        <v>686</v>
      </c>
      <c r="D1766" s="41" t="e">
        <f ca="1">IF($C$1076&gt;0,VLOOKUP($C1766,COSTI!$U$4:$Z$1003,3,FALSE),IF($C$1075&gt;0,VLOOKUP($C1766,PATRIMONIALE!$U$4:$Z$1003,3,FALSE),IF($C$1074&gt;0,VLOOKUP($C1766,ENTI!$U$4:$Z$1003,3,FALSE),"")))</f>
        <v>#N/A</v>
      </c>
      <c r="E1766" s="41" t="str">
        <f t="shared" ca="1" si="212"/>
        <v/>
      </c>
      <c r="F1766" s="41" t="e">
        <f t="shared" ca="1" si="213"/>
        <v>#NUM!</v>
      </c>
      <c r="G1766" s="39" t="e">
        <f ca="1">IF($C$1076&gt;0,VLOOKUP($C1766,COSTI!$U$4:$Z$1003,5,FALSE),IF($C$1075&gt;0,VLOOKUP($C1766,PATRIMONIALE!$U$4:$Z$1003,5,FALSE),IF($C$1074&gt;0,VLOOKUP($C1766,ENTI!$U$4:$Z$1003,5,FALSE),"")))</f>
        <v>#N/A</v>
      </c>
      <c r="H1766" s="42" t="e">
        <f ca="1">IF($C$1076&gt;0,VLOOKUP($C1766,COSTI!$U$4:$Z$1003,6,FALSE),IF($C$1075&gt;0,VLOOKUP($C1766,PATRIMONIALE!$U$4:$Z$1003,6,FALSE),IF($C$1074&gt;0,VLOOKUP($C1766,ENTI!$U$4:$Z$1003,6,FALSE),"")))</f>
        <v>#N/A</v>
      </c>
      <c r="I1766" s="496">
        <v>686</v>
      </c>
      <c r="J1766" s="43" t="e">
        <f ca="1">VLOOKUP(D1766,$F$1081:$I$4183,4,FALSE)+COUNTIF(E$1081:E1765,E1766)</f>
        <v>#N/A</v>
      </c>
      <c r="K1766" s="1"/>
      <c r="L1766" s="39" t="e">
        <f>IF($C$1074&gt;0,VLOOKUP($C1766,ENTI!$U$4:$AD$1003,10,FALSE),"")</f>
        <v>#N/A</v>
      </c>
      <c r="M1766" s="1"/>
      <c r="N1766" s="1"/>
      <c r="O1766" s="1"/>
    </row>
    <row r="1767" spans="1:15" hidden="1">
      <c r="A1767" s="1"/>
      <c r="B1767" s="40" t="e">
        <f t="shared" ca="1" si="211"/>
        <v>#N/A</v>
      </c>
      <c r="C1767" s="496">
        <v>687</v>
      </c>
      <c r="D1767" s="41" t="e">
        <f ca="1">IF($C$1076&gt;0,VLOOKUP($C1767,COSTI!$U$4:$Z$1003,3,FALSE),IF($C$1075&gt;0,VLOOKUP($C1767,PATRIMONIALE!$U$4:$Z$1003,3,FALSE),IF($C$1074&gt;0,VLOOKUP($C1767,ENTI!$U$4:$Z$1003,3,FALSE),"")))</f>
        <v>#N/A</v>
      </c>
      <c r="E1767" s="41" t="str">
        <f t="shared" ca="1" si="212"/>
        <v/>
      </c>
      <c r="F1767" s="41" t="e">
        <f t="shared" ca="1" si="213"/>
        <v>#NUM!</v>
      </c>
      <c r="G1767" s="39" t="e">
        <f ca="1">IF($C$1076&gt;0,VLOOKUP($C1767,COSTI!$U$4:$Z$1003,5,FALSE),IF($C$1075&gt;0,VLOOKUP($C1767,PATRIMONIALE!$U$4:$Z$1003,5,FALSE),IF($C$1074&gt;0,VLOOKUP($C1767,ENTI!$U$4:$Z$1003,5,FALSE),"")))</f>
        <v>#N/A</v>
      </c>
      <c r="H1767" s="42" t="e">
        <f ca="1">IF($C$1076&gt;0,VLOOKUP($C1767,COSTI!$U$4:$Z$1003,6,FALSE),IF($C$1075&gt;0,VLOOKUP($C1767,PATRIMONIALE!$U$4:$Z$1003,6,FALSE),IF($C$1074&gt;0,VLOOKUP($C1767,ENTI!$U$4:$Z$1003,6,FALSE),"")))</f>
        <v>#N/A</v>
      </c>
      <c r="I1767" s="496">
        <v>687</v>
      </c>
      <c r="J1767" s="43" t="e">
        <f ca="1">VLOOKUP(D1767,$F$1081:$I$4183,4,FALSE)+COUNTIF(E$1081:E1766,E1767)</f>
        <v>#N/A</v>
      </c>
      <c r="K1767" s="1"/>
      <c r="L1767" s="39" t="e">
        <f>IF($C$1074&gt;0,VLOOKUP($C1767,ENTI!$U$4:$AD$1003,10,FALSE),"")</f>
        <v>#N/A</v>
      </c>
      <c r="M1767" s="1"/>
      <c r="N1767" s="1"/>
      <c r="O1767" s="1"/>
    </row>
    <row r="1768" spans="1:15" hidden="1">
      <c r="A1768" s="1"/>
      <c r="B1768" s="40" t="e">
        <f t="shared" ca="1" si="211"/>
        <v>#N/A</v>
      </c>
      <c r="C1768" s="496">
        <v>688</v>
      </c>
      <c r="D1768" s="41" t="e">
        <f ca="1">IF($C$1076&gt;0,VLOOKUP($C1768,COSTI!$U$4:$Z$1003,3,FALSE),IF($C$1075&gt;0,VLOOKUP($C1768,PATRIMONIALE!$U$4:$Z$1003,3,FALSE),IF($C$1074&gt;0,VLOOKUP($C1768,ENTI!$U$4:$Z$1003,3,FALSE),"")))</f>
        <v>#N/A</v>
      </c>
      <c r="E1768" s="41" t="str">
        <f t="shared" ca="1" si="212"/>
        <v/>
      </c>
      <c r="F1768" s="41" t="e">
        <f t="shared" ca="1" si="213"/>
        <v>#NUM!</v>
      </c>
      <c r="G1768" s="39" t="e">
        <f ca="1">IF($C$1076&gt;0,VLOOKUP($C1768,COSTI!$U$4:$Z$1003,5,FALSE),IF($C$1075&gt;0,VLOOKUP($C1768,PATRIMONIALE!$U$4:$Z$1003,5,FALSE),IF($C$1074&gt;0,VLOOKUP($C1768,ENTI!$U$4:$Z$1003,5,FALSE),"")))</f>
        <v>#N/A</v>
      </c>
      <c r="H1768" s="42" t="e">
        <f ca="1">IF($C$1076&gt;0,VLOOKUP($C1768,COSTI!$U$4:$Z$1003,6,FALSE),IF($C$1075&gt;0,VLOOKUP($C1768,PATRIMONIALE!$U$4:$Z$1003,6,FALSE),IF($C$1074&gt;0,VLOOKUP($C1768,ENTI!$U$4:$Z$1003,6,FALSE),"")))</f>
        <v>#N/A</v>
      </c>
      <c r="I1768" s="496">
        <v>688</v>
      </c>
      <c r="J1768" s="43" t="e">
        <f ca="1">VLOOKUP(D1768,$F$1081:$I$4183,4,FALSE)+COUNTIF(E$1081:E1767,E1768)</f>
        <v>#N/A</v>
      </c>
      <c r="K1768" s="1"/>
      <c r="L1768" s="39" t="e">
        <f>IF($C$1074&gt;0,VLOOKUP($C1768,ENTI!$U$4:$AD$1003,10,FALSE),"")</f>
        <v>#N/A</v>
      </c>
      <c r="M1768" s="1"/>
      <c r="N1768" s="1"/>
      <c r="O1768" s="1"/>
    </row>
    <row r="1769" spans="1:15" hidden="1">
      <c r="A1769" s="1"/>
      <c r="B1769" s="40" t="e">
        <f t="shared" ca="1" si="211"/>
        <v>#N/A</v>
      </c>
      <c r="C1769" s="496">
        <v>689</v>
      </c>
      <c r="D1769" s="41" t="e">
        <f ca="1">IF($C$1076&gt;0,VLOOKUP($C1769,COSTI!$U$4:$Z$1003,3,FALSE),IF($C$1075&gt;0,VLOOKUP($C1769,PATRIMONIALE!$U$4:$Z$1003,3,FALSE),IF($C$1074&gt;0,VLOOKUP($C1769,ENTI!$U$4:$Z$1003,3,FALSE),"")))</f>
        <v>#N/A</v>
      </c>
      <c r="E1769" s="41" t="str">
        <f t="shared" ca="1" si="212"/>
        <v/>
      </c>
      <c r="F1769" s="41" t="e">
        <f t="shared" ca="1" si="213"/>
        <v>#NUM!</v>
      </c>
      <c r="G1769" s="39" t="e">
        <f ca="1">IF($C$1076&gt;0,VLOOKUP($C1769,COSTI!$U$4:$Z$1003,5,FALSE),IF($C$1075&gt;0,VLOOKUP($C1769,PATRIMONIALE!$U$4:$Z$1003,5,FALSE),IF($C$1074&gt;0,VLOOKUP($C1769,ENTI!$U$4:$Z$1003,5,FALSE),"")))</f>
        <v>#N/A</v>
      </c>
      <c r="H1769" s="42" t="e">
        <f ca="1">IF($C$1076&gt;0,VLOOKUP($C1769,COSTI!$U$4:$Z$1003,6,FALSE),IF($C$1075&gt;0,VLOOKUP($C1769,PATRIMONIALE!$U$4:$Z$1003,6,FALSE),IF($C$1074&gt;0,VLOOKUP($C1769,ENTI!$U$4:$Z$1003,6,FALSE),"")))</f>
        <v>#N/A</v>
      </c>
      <c r="I1769" s="496">
        <v>689</v>
      </c>
      <c r="J1769" s="43" t="e">
        <f ca="1">VLOOKUP(D1769,$F$1081:$I$4183,4,FALSE)+COUNTIF(E$1081:E1768,E1769)</f>
        <v>#N/A</v>
      </c>
      <c r="K1769" s="1"/>
      <c r="L1769" s="39" t="e">
        <f>IF($C$1074&gt;0,VLOOKUP($C1769,ENTI!$U$4:$AD$1003,10,FALSE),"")</f>
        <v>#N/A</v>
      </c>
      <c r="M1769" s="1"/>
      <c r="N1769" s="1"/>
      <c r="O1769" s="1"/>
    </row>
    <row r="1770" spans="1:15" hidden="1">
      <c r="A1770" s="1"/>
      <c r="B1770" s="40" t="e">
        <f t="shared" ca="1" si="211"/>
        <v>#N/A</v>
      </c>
      <c r="C1770" s="496">
        <v>690</v>
      </c>
      <c r="D1770" s="41" t="e">
        <f ca="1">IF($C$1076&gt;0,VLOOKUP($C1770,COSTI!$U$4:$Z$1003,3,FALSE),IF($C$1075&gt;0,VLOOKUP($C1770,PATRIMONIALE!$U$4:$Z$1003,3,FALSE),IF($C$1074&gt;0,VLOOKUP($C1770,ENTI!$U$4:$Z$1003,3,FALSE),"")))</f>
        <v>#N/A</v>
      </c>
      <c r="E1770" s="41" t="str">
        <f t="shared" ca="1" si="212"/>
        <v/>
      </c>
      <c r="F1770" s="41" t="e">
        <f t="shared" ca="1" si="213"/>
        <v>#NUM!</v>
      </c>
      <c r="G1770" s="39" t="e">
        <f ca="1">IF($C$1076&gt;0,VLOOKUP($C1770,COSTI!$U$4:$Z$1003,5,FALSE),IF($C$1075&gt;0,VLOOKUP($C1770,PATRIMONIALE!$U$4:$Z$1003,5,FALSE),IF($C$1074&gt;0,VLOOKUP($C1770,ENTI!$U$4:$Z$1003,5,FALSE),"")))</f>
        <v>#N/A</v>
      </c>
      <c r="H1770" s="42" t="e">
        <f ca="1">IF($C$1076&gt;0,VLOOKUP($C1770,COSTI!$U$4:$Z$1003,6,FALSE),IF($C$1075&gt;0,VLOOKUP($C1770,PATRIMONIALE!$U$4:$Z$1003,6,FALSE),IF($C$1074&gt;0,VLOOKUP($C1770,ENTI!$U$4:$Z$1003,6,FALSE),"")))</f>
        <v>#N/A</v>
      </c>
      <c r="I1770" s="496">
        <v>690</v>
      </c>
      <c r="J1770" s="43" t="e">
        <f ca="1">VLOOKUP(D1770,$F$1081:$I$4183,4,FALSE)+COUNTIF(E$1081:E1769,E1770)</f>
        <v>#N/A</v>
      </c>
      <c r="K1770" s="1"/>
      <c r="L1770" s="39" t="e">
        <f>IF($C$1074&gt;0,VLOOKUP($C1770,ENTI!$U$4:$AD$1003,10,FALSE),"")</f>
        <v>#N/A</v>
      </c>
      <c r="M1770" s="1"/>
      <c r="N1770" s="1"/>
      <c r="O1770" s="1"/>
    </row>
    <row r="1771" spans="1:15" hidden="1">
      <c r="A1771" s="1"/>
      <c r="B1771" s="40" t="e">
        <f t="shared" ca="1" si="211"/>
        <v>#N/A</v>
      </c>
      <c r="C1771" s="496">
        <v>691</v>
      </c>
      <c r="D1771" s="41" t="e">
        <f ca="1">IF($C$1076&gt;0,VLOOKUP($C1771,COSTI!$U$4:$Z$1003,3,FALSE),IF($C$1075&gt;0,VLOOKUP($C1771,PATRIMONIALE!$U$4:$Z$1003,3,FALSE),IF($C$1074&gt;0,VLOOKUP($C1771,ENTI!$U$4:$Z$1003,3,FALSE),"")))</f>
        <v>#N/A</v>
      </c>
      <c r="E1771" s="41" t="str">
        <f t="shared" ca="1" si="212"/>
        <v/>
      </c>
      <c r="F1771" s="41" t="e">
        <f t="shared" ca="1" si="213"/>
        <v>#NUM!</v>
      </c>
      <c r="G1771" s="39" t="e">
        <f ca="1">IF($C$1076&gt;0,VLOOKUP($C1771,COSTI!$U$4:$Z$1003,5,FALSE),IF($C$1075&gt;0,VLOOKUP($C1771,PATRIMONIALE!$U$4:$Z$1003,5,FALSE),IF($C$1074&gt;0,VLOOKUP($C1771,ENTI!$U$4:$Z$1003,5,FALSE),"")))</f>
        <v>#N/A</v>
      </c>
      <c r="H1771" s="42" t="e">
        <f ca="1">IF($C$1076&gt;0,VLOOKUP($C1771,COSTI!$U$4:$Z$1003,6,FALSE),IF($C$1075&gt;0,VLOOKUP($C1771,PATRIMONIALE!$U$4:$Z$1003,6,FALSE),IF($C$1074&gt;0,VLOOKUP($C1771,ENTI!$U$4:$Z$1003,6,FALSE),"")))</f>
        <v>#N/A</v>
      </c>
      <c r="I1771" s="496">
        <v>691</v>
      </c>
      <c r="J1771" s="43" t="e">
        <f ca="1">VLOOKUP(D1771,$F$1081:$I$4183,4,FALSE)+COUNTIF(E$1081:E1770,E1771)</f>
        <v>#N/A</v>
      </c>
      <c r="K1771" s="1"/>
      <c r="L1771" s="39" t="e">
        <f>IF($C$1074&gt;0,VLOOKUP($C1771,ENTI!$U$4:$AD$1003,10,FALSE),"")</f>
        <v>#N/A</v>
      </c>
      <c r="M1771" s="1"/>
      <c r="N1771" s="1"/>
      <c r="O1771" s="1"/>
    </row>
    <row r="1772" spans="1:15" hidden="1">
      <c r="A1772" s="1"/>
      <c r="B1772" s="40" t="e">
        <f t="shared" ca="1" si="211"/>
        <v>#N/A</v>
      </c>
      <c r="C1772" s="496">
        <v>692</v>
      </c>
      <c r="D1772" s="41" t="e">
        <f ca="1">IF($C$1076&gt;0,VLOOKUP($C1772,COSTI!$U$4:$Z$1003,3,FALSE),IF($C$1075&gt;0,VLOOKUP($C1772,PATRIMONIALE!$U$4:$Z$1003,3,FALSE),IF($C$1074&gt;0,VLOOKUP($C1772,ENTI!$U$4:$Z$1003,3,FALSE),"")))</f>
        <v>#N/A</v>
      </c>
      <c r="E1772" s="41" t="str">
        <f t="shared" ca="1" si="212"/>
        <v/>
      </c>
      <c r="F1772" s="41" t="e">
        <f t="shared" ca="1" si="213"/>
        <v>#NUM!</v>
      </c>
      <c r="G1772" s="39" t="e">
        <f ca="1">IF($C$1076&gt;0,VLOOKUP($C1772,COSTI!$U$4:$Z$1003,5,FALSE),IF($C$1075&gt;0,VLOOKUP($C1772,PATRIMONIALE!$U$4:$Z$1003,5,FALSE),IF($C$1074&gt;0,VLOOKUP($C1772,ENTI!$U$4:$Z$1003,5,FALSE),"")))</f>
        <v>#N/A</v>
      </c>
      <c r="H1772" s="42" t="e">
        <f ca="1">IF($C$1076&gt;0,VLOOKUP($C1772,COSTI!$U$4:$Z$1003,6,FALSE),IF($C$1075&gt;0,VLOOKUP($C1772,PATRIMONIALE!$U$4:$Z$1003,6,FALSE),IF($C$1074&gt;0,VLOOKUP($C1772,ENTI!$U$4:$Z$1003,6,FALSE),"")))</f>
        <v>#N/A</v>
      </c>
      <c r="I1772" s="496">
        <v>692</v>
      </c>
      <c r="J1772" s="43" t="e">
        <f ca="1">VLOOKUP(D1772,$F$1081:$I$4183,4,FALSE)+COUNTIF(E$1081:E1771,E1772)</f>
        <v>#N/A</v>
      </c>
      <c r="K1772" s="1"/>
      <c r="L1772" s="39" t="e">
        <f>IF($C$1074&gt;0,VLOOKUP($C1772,ENTI!$U$4:$AD$1003,10,FALSE),"")</f>
        <v>#N/A</v>
      </c>
      <c r="M1772" s="1"/>
      <c r="N1772" s="1"/>
      <c r="O1772" s="1"/>
    </row>
    <row r="1773" spans="1:15" hidden="1">
      <c r="A1773" s="1"/>
      <c r="B1773" s="40" t="e">
        <f t="shared" ca="1" si="211"/>
        <v>#N/A</v>
      </c>
      <c r="C1773" s="496">
        <v>693</v>
      </c>
      <c r="D1773" s="41" t="e">
        <f ca="1">IF($C$1076&gt;0,VLOOKUP($C1773,COSTI!$U$4:$Z$1003,3,FALSE),IF($C$1075&gt;0,VLOOKUP($C1773,PATRIMONIALE!$U$4:$Z$1003,3,FALSE),IF($C$1074&gt;0,VLOOKUP($C1773,ENTI!$U$4:$Z$1003,3,FALSE),"")))</f>
        <v>#N/A</v>
      </c>
      <c r="E1773" s="41" t="str">
        <f t="shared" ca="1" si="212"/>
        <v/>
      </c>
      <c r="F1773" s="41" t="e">
        <f t="shared" ca="1" si="213"/>
        <v>#NUM!</v>
      </c>
      <c r="G1773" s="39" t="e">
        <f ca="1">IF($C$1076&gt;0,VLOOKUP($C1773,COSTI!$U$4:$Z$1003,5,FALSE),IF($C$1075&gt;0,VLOOKUP($C1773,PATRIMONIALE!$U$4:$Z$1003,5,FALSE),IF($C$1074&gt;0,VLOOKUP($C1773,ENTI!$U$4:$Z$1003,5,FALSE),"")))</f>
        <v>#N/A</v>
      </c>
      <c r="H1773" s="42" t="e">
        <f ca="1">IF($C$1076&gt;0,VLOOKUP($C1773,COSTI!$U$4:$Z$1003,6,FALSE),IF($C$1075&gt;0,VLOOKUP($C1773,PATRIMONIALE!$U$4:$Z$1003,6,FALSE),IF($C$1074&gt;0,VLOOKUP($C1773,ENTI!$U$4:$Z$1003,6,FALSE),"")))</f>
        <v>#N/A</v>
      </c>
      <c r="I1773" s="496">
        <v>693</v>
      </c>
      <c r="J1773" s="43" t="e">
        <f ca="1">VLOOKUP(D1773,$F$1081:$I$4183,4,FALSE)+COUNTIF(E$1081:E1772,E1773)</f>
        <v>#N/A</v>
      </c>
      <c r="K1773" s="1"/>
      <c r="L1773" s="39" t="e">
        <f>IF($C$1074&gt;0,VLOOKUP($C1773,ENTI!$U$4:$AD$1003,10,FALSE),"")</f>
        <v>#N/A</v>
      </c>
      <c r="M1773" s="1"/>
      <c r="N1773" s="1"/>
      <c r="O1773" s="1"/>
    </row>
    <row r="1774" spans="1:15" hidden="1">
      <c r="A1774" s="1"/>
      <c r="B1774" s="40" t="e">
        <f t="shared" ca="1" si="211"/>
        <v>#N/A</v>
      </c>
      <c r="C1774" s="496">
        <v>694</v>
      </c>
      <c r="D1774" s="41" t="e">
        <f ca="1">IF($C$1076&gt;0,VLOOKUP($C1774,COSTI!$U$4:$Z$1003,3,FALSE),IF($C$1075&gt;0,VLOOKUP($C1774,PATRIMONIALE!$U$4:$Z$1003,3,FALSE),IF($C$1074&gt;0,VLOOKUP($C1774,ENTI!$U$4:$Z$1003,3,FALSE),"")))</f>
        <v>#N/A</v>
      </c>
      <c r="E1774" s="41" t="str">
        <f t="shared" ca="1" si="212"/>
        <v/>
      </c>
      <c r="F1774" s="41" t="e">
        <f t="shared" ca="1" si="213"/>
        <v>#NUM!</v>
      </c>
      <c r="G1774" s="39" t="e">
        <f ca="1">IF($C$1076&gt;0,VLOOKUP($C1774,COSTI!$U$4:$Z$1003,5,FALSE),IF($C$1075&gt;0,VLOOKUP($C1774,PATRIMONIALE!$U$4:$Z$1003,5,FALSE),IF($C$1074&gt;0,VLOOKUP($C1774,ENTI!$U$4:$Z$1003,5,FALSE),"")))</f>
        <v>#N/A</v>
      </c>
      <c r="H1774" s="42" t="e">
        <f ca="1">IF($C$1076&gt;0,VLOOKUP($C1774,COSTI!$U$4:$Z$1003,6,FALSE),IF($C$1075&gt;0,VLOOKUP($C1774,PATRIMONIALE!$U$4:$Z$1003,6,FALSE),IF($C$1074&gt;0,VLOOKUP($C1774,ENTI!$U$4:$Z$1003,6,FALSE),"")))</f>
        <v>#N/A</v>
      </c>
      <c r="I1774" s="496">
        <v>694</v>
      </c>
      <c r="J1774" s="43" t="e">
        <f ca="1">VLOOKUP(D1774,$F$1081:$I$4183,4,FALSE)+COUNTIF(E$1081:E1773,E1774)</f>
        <v>#N/A</v>
      </c>
      <c r="K1774" s="1"/>
      <c r="L1774" s="39" t="e">
        <f>IF($C$1074&gt;0,VLOOKUP($C1774,ENTI!$U$4:$AD$1003,10,FALSE),"")</f>
        <v>#N/A</v>
      </c>
      <c r="M1774" s="1"/>
      <c r="N1774" s="1"/>
      <c r="O1774" s="1"/>
    </row>
    <row r="1775" spans="1:15" hidden="1">
      <c r="A1775" s="1"/>
      <c r="B1775" s="40" t="e">
        <f t="shared" ca="1" si="211"/>
        <v>#N/A</v>
      </c>
      <c r="C1775" s="496">
        <v>695</v>
      </c>
      <c r="D1775" s="41" t="e">
        <f ca="1">IF($C$1076&gt;0,VLOOKUP($C1775,COSTI!$U$4:$Z$1003,3,FALSE),IF($C$1075&gt;0,VLOOKUP($C1775,PATRIMONIALE!$U$4:$Z$1003,3,FALSE),IF($C$1074&gt;0,VLOOKUP($C1775,ENTI!$U$4:$Z$1003,3,FALSE),"")))</f>
        <v>#N/A</v>
      </c>
      <c r="E1775" s="41" t="str">
        <f t="shared" ca="1" si="212"/>
        <v/>
      </c>
      <c r="F1775" s="41" t="e">
        <f t="shared" ca="1" si="213"/>
        <v>#NUM!</v>
      </c>
      <c r="G1775" s="39" t="e">
        <f ca="1">IF($C$1076&gt;0,VLOOKUP($C1775,COSTI!$U$4:$Z$1003,5,FALSE),IF($C$1075&gt;0,VLOOKUP($C1775,PATRIMONIALE!$U$4:$Z$1003,5,FALSE),IF($C$1074&gt;0,VLOOKUP($C1775,ENTI!$U$4:$Z$1003,5,FALSE),"")))</f>
        <v>#N/A</v>
      </c>
      <c r="H1775" s="42" t="e">
        <f ca="1">IF($C$1076&gt;0,VLOOKUP($C1775,COSTI!$U$4:$Z$1003,6,FALSE),IF($C$1075&gt;0,VLOOKUP($C1775,PATRIMONIALE!$U$4:$Z$1003,6,FALSE),IF($C$1074&gt;0,VLOOKUP($C1775,ENTI!$U$4:$Z$1003,6,FALSE),"")))</f>
        <v>#N/A</v>
      </c>
      <c r="I1775" s="496">
        <v>695</v>
      </c>
      <c r="J1775" s="43" t="e">
        <f ca="1">VLOOKUP(D1775,$F$1081:$I$4183,4,FALSE)+COUNTIF(E$1081:E1774,E1775)</f>
        <v>#N/A</v>
      </c>
      <c r="K1775" s="1"/>
      <c r="L1775" s="39" t="e">
        <f>IF($C$1074&gt;0,VLOOKUP($C1775,ENTI!$U$4:$AD$1003,10,FALSE),"")</f>
        <v>#N/A</v>
      </c>
      <c r="M1775" s="1"/>
      <c r="N1775" s="1"/>
      <c r="O1775" s="1"/>
    </row>
    <row r="1776" spans="1:15" hidden="1">
      <c r="A1776" s="1"/>
      <c r="B1776" s="40" t="e">
        <f t="shared" ca="1" si="211"/>
        <v>#N/A</v>
      </c>
      <c r="C1776" s="496">
        <v>696</v>
      </c>
      <c r="D1776" s="41" t="e">
        <f ca="1">IF($C$1076&gt;0,VLOOKUP($C1776,COSTI!$U$4:$Z$1003,3,FALSE),IF($C$1075&gt;0,VLOOKUP($C1776,PATRIMONIALE!$U$4:$Z$1003,3,FALSE),IF($C$1074&gt;0,VLOOKUP($C1776,ENTI!$U$4:$Z$1003,3,FALSE),"")))</f>
        <v>#N/A</v>
      </c>
      <c r="E1776" s="41" t="str">
        <f t="shared" ca="1" si="212"/>
        <v/>
      </c>
      <c r="F1776" s="41" t="e">
        <f t="shared" ca="1" si="213"/>
        <v>#NUM!</v>
      </c>
      <c r="G1776" s="39" t="e">
        <f ca="1">IF($C$1076&gt;0,VLOOKUP($C1776,COSTI!$U$4:$Z$1003,5,FALSE),IF($C$1075&gt;0,VLOOKUP($C1776,PATRIMONIALE!$U$4:$Z$1003,5,FALSE),IF($C$1074&gt;0,VLOOKUP($C1776,ENTI!$U$4:$Z$1003,5,FALSE),"")))</f>
        <v>#N/A</v>
      </c>
      <c r="H1776" s="42" t="e">
        <f ca="1">IF($C$1076&gt;0,VLOOKUP($C1776,COSTI!$U$4:$Z$1003,6,FALSE),IF($C$1075&gt;0,VLOOKUP($C1776,PATRIMONIALE!$U$4:$Z$1003,6,FALSE),IF($C$1074&gt;0,VLOOKUP($C1776,ENTI!$U$4:$Z$1003,6,FALSE),"")))</f>
        <v>#N/A</v>
      </c>
      <c r="I1776" s="496">
        <v>696</v>
      </c>
      <c r="J1776" s="43" t="e">
        <f ca="1">VLOOKUP(D1776,$F$1081:$I$4183,4,FALSE)+COUNTIF(E$1081:E1775,E1776)</f>
        <v>#N/A</v>
      </c>
      <c r="K1776" s="1"/>
      <c r="L1776" s="39" t="e">
        <f>IF($C$1074&gt;0,VLOOKUP($C1776,ENTI!$U$4:$AD$1003,10,FALSE),"")</f>
        <v>#N/A</v>
      </c>
      <c r="M1776" s="1"/>
      <c r="N1776" s="1"/>
      <c r="O1776" s="1"/>
    </row>
    <row r="1777" spans="1:15" hidden="1">
      <c r="A1777" s="1"/>
      <c r="B1777" s="40" t="e">
        <f t="shared" ref="B1777:B1840" ca="1" si="214">IF(OR(C$1075&gt;0,C$1077&gt;0,C$1073&gt;0,C$1071&gt;0),J1777+1,J1777)</f>
        <v>#N/A</v>
      </c>
      <c r="C1777" s="496">
        <v>697</v>
      </c>
      <c r="D1777" s="41" t="e">
        <f ca="1">IF($C$1076&gt;0,VLOOKUP($C1777,COSTI!$U$4:$Z$1003,3,FALSE),IF($C$1075&gt;0,VLOOKUP($C1777,PATRIMONIALE!$U$4:$Z$1003,3,FALSE),IF($C$1074&gt;0,VLOOKUP($C1777,ENTI!$U$4:$Z$1003,3,FALSE),"")))</f>
        <v>#N/A</v>
      </c>
      <c r="E1777" s="41" t="str">
        <f t="shared" ca="1" si="212"/>
        <v/>
      </c>
      <c r="F1777" s="41" t="e">
        <f t="shared" ca="1" si="213"/>
        <v>#NUM!</v>
      </c>
      <c r="G1777" s="39" t="e">
        <f ca="1">IF($C$1076&gt;0,VLOOKUP($C1777,COSTI!$U$4:$Z$1003,5,FALSE),IF($C$1075&gt;0,VLOOKUP($C1777,PATRIMONIALE!$U$4:$Z$1003,5,FALSE),IF($C$1074&gt;0,VLOOKUP($C1777,ENTI!$U$4:$Z$1003,5,FALSE),"")))</f>
        <v>#N/A</v>
      </c>
      <c r="H1777" s="42" t="e">
        <f ca="1">IF($C$1076&gt;0,VLOOKUP($C1777,COSTI!$U$4:$Z$1003,6,FALSE),IF($C$1075&gt;0,VLOOKUP($C1777,PATRIMONIALE!$U$4:$Z$1003,6,FALSE),IF($C$1074&gt;0,VLOOKUP($C1777,ENTI!$U$4:$Z$1003,6,FALSE),"")))</f>
        <v>#N/A</v>
      </c>
      <c r="I1777" s="496">
        <v>697</v>
      </c>
      <c r="J1777" s="43" t="e">
        <f ca="1">VLOOKUP(D1777,$F$1081:$I$4183,4,FALSE)+COUNTIF(E$1081:E1776,E1777)</f>
        <v>#N/A</v>
      </c>
      <c r="K1777" s="1"/>
      <c r="L1777" s="39" t="e">
        <f>IF($C$1074&gt;0,VLOOKUP($C1777,ENTI!$U$4:$AD$1003,10,FALSE),"")</f>
        <v>#N/A</v>
      </c>
      <c r="M1777" s="1"/>
      <c r="N1777" s="1"/>
      <c r="O1777" s="1"/>
    </row>
    <row r="1778" spans="1:15" hidden="1">
      <c r="A1778" s="1"/>
      <c r="B1778" s="40" t="e">
        <f t="shared" ca="1" si="214"/>
        <v>#N/A</v>
      </c>
      <c r="C1778" s="496">
        <v>698</v>
      </c>
      <c r="D1778" s="41" t="e">
        <f ca="1">IF($C$1076&gt;0,VLOOKUP($C1778,COSTI!$U$4:$Z$1003,3,FALSE),IF($C$1075&gt;0,VLOOKUP($C1778,PATRIMONIALE!$U$4:$Z$1003,3,FALSE),IF($C$1074&gt;0,VLOOKUP($C1778,ENTI!$U$4:$Z$1003,3,FALSE),"")))</f>
        <v>#N/A</v>
      </c>
      <c r="E1778" s="41" t="str">
        <f t="shared" ca="1" si="212"/>
        <v/>
      </c>
      <c r="F1778" s="41" t="e">
        <f t="shared" ca="1" si="213"/>
        <v>#NUM!</v>
      </c>
      <c r="G1778" s="39" t="e">
        <f ca="1">IF($C$1076&gt;0,VLOOKUP($C1778,COSTI!$U$4:$Z$1003,5,FALSE),IF($C$1075&gt;0,VLOOKUP($C1778,PATRIMONIALE!$U$4:$Z$1003,5,FALSE),IF($C$1074&gt;0,VLOOKUP($C1778,ENTI!$U$4:$Z$1003,5,FALSE),"")))</f>
        <v>#N/A</v>
      </c>
      <c r="H1778" s="42" t="e">
        <f ca="1">IF($C$1076&gt;0,VLOOKUP($C1778,COSTI!$U$4:$Z$1003,6,FALSE),IF($C$1075&gt;0,VLOOKUP($C1778,PATRIMONIALE!$U$4:$Z$1003,6,FALSE),IF($C$1074&gt;0,VLOOKUP($C1778,ENTI!$U$4:$Z$1003,6,FALSE),"")))</f>
        <v>#N/A</v>
      </c>
      <c r="I1778" s="496">
        <v>698</v>
      </c>
      <c r="J1778" s="43" t="e">
        <f ca="1">VLOOKUP(D1778,$F$1081:$I$4183,4,FALSE)+COUNTIF(E$1081:E1777,E1778)</f>
        <v>#N/A</v>
      </c>
      <c r="K1778" s="1"/>
      <c r="L1778" s="39" t="e">
        <f>IF($C$1074&gt;0,VLOOKUP($C1778,ENTI!$U$4:$AD$1003,10,FALSE),"")</f>
        <v>#N/A</v>
      </c>
      <c r="M1778" s="1"/>
      <c r="N1778" s="1"/>
      <c r="O1778" s="1"/>
    </row>
    <row r="1779" spans="1:15" hidden="1">
      <c r="A1779" s="1"/>
      <c r="B1779" s="40" t="e">
        <f t="shared" ca="1" si="214"/>
        <v>#N/A</v>
      </c>
      <c r="C1779" s="496">
        <v>699</v>
      </c>
      <c r="D1779" s="41" t="e">
        <f ca="1">IF($C$1076&gt;0,VLOOKUP($C1779,COSTI!$U$4:$Z$1003,3,FALSE),IF($C$1075&gt;0,VLOOKUP($C1779,PATRIMONIALE!$U$4:$Z$1003,3,FALSE),IF($C$1074&gt;0,VLOOKUP($C1779,ENTI!$U$4:$Z$1003,3,FALSE),"")))</f>
        <v>#N/A</v>
      </c>
      <c r="E1779" s="41" t="str">
        <f t="shared" ref="E1779:E1842" ca="1" si="215">IF(ISERROR(D1779),"",D1779)</f>
        <v/>
      </c>
      <c r="F1779" s="41" t="e">
        <f t="shared" ca="1" si="213"/>
        <v>#NUM!</v>
      </c>
      <c r="G1779" s="39" t="e">
        <f ca="1">IF($C$1076&gt;0,VLOOKUP($C1779,COSTI!$U$4:$Z$1003,5,FALSE),IF($C$1075&gt;0,VLOOKUP($C1779,PATRIMONIALE!$U$4:$Z$1003,5,FALSE),IF($C$1074&gt;0,VLOOKUP($C1779,ENTI!$U$4:$Z$1003,5,FALSE),"")))</f>
        <v>#N/A</v>
      </c>
      <c r="H1779" s="42" t="e">
        <f ca="1">IF($C$1076&gt;0,VLOOKUP($C1779,COSTI!$U$4:$Z$1003,6,FALSE),IF($C$1075&gt;0,VLOOKUP($C1779,PATRIMONIALE!$U$4:$Z$1003,6,FALSE),IF($C$1074&gt;0,VLOOKUP($C1779,ENTI!$U$4:$Z$1003,6,FALSE),"")))</f>
        <v>#N/A</v>
      </c>
      <c r="I1779" s="496">
        <v>699</v>
      </c>
      <c r="J1779" s="43" t="e">
        <f ca="1">VLOOKUP(D1779,$F$1081:$I$4183,4,FALSE)+COUNTIF(E$1081:E1778,E1779)</f>
        <v>#N/A</v>
      </c>
      <c r="K1779" s="1"/>
      <c r="L1779" s="39" t="e">
        <f>IF($C$1074&gt;0,VLOOKUP($C1779,ENTI!$U$4:$AD$1003,10,FALSE),"")</f>
        <v>#N/A</v>
      </c>
      <c r="M1779" s="1"/>
      <c r="N1779" s="1"/>
      <c r="O1779" s="1"/>
    </row>
    <row r="1780" spans="1:15" hidden="1">
      <c r="A1780" s="1"/>
      <c r="B1780" s="40" t="e">
        <f t="shared" ca="1" si="214"/>
        <v>#N/A</v>
      </c>
      <c r="C1780" s="496">
        <v>700</v>
      </c>
      <c r="D1780" s="41" t="e">
        <f ca="1">IF($C$1076&gt;0,VLOOKUP($C1780,COSTI!$U$4:$Z$1003,3,FALSE),IF($C$1075&gt;0,VLOOKUP($C1780,PATRIMONIALE!$U$4:$Z$1003,3,FALSE),IF($C$1074&gt;0,VLOOKUP($C1780,ENTI!$U$4:$Z$1003,3,FALSE),"")))</f>
        <v>#N/A</v>
      </c>
      <c r="E1780" s="41" t="str">
        <f t="shared" ca="1" si="215"/>
        <v/>
      </c>
      <c r="F1780" s="41" t="e">
        <f t="shared" ca="1" si="213"/>
        <v>#NUM!</v>
      </c>
      <c r="G1780" s="39" t="e">
        <f ca="1">IF($C$1076&gt;0,VLOOKUP($C1780,COSTI!$U$4:$Z$1003,5,FALSE),IF($C$1075&gt;0,VLOOKUP($C1780,PATRIMONIALE!$U$4:$Z$1003,5,FALSE),IF($C$1074&gt;0,VLOOKUP($C1780,ENTI!$U$4:$Z$1003,5,FALSE),"")))</f>
        <v>#N/A</v>
      </c>
      <c r="H1780" s="42" t="e">
        <f ca="1">IF($C$1076&gt;0,VLOOKUP($C1780,COSTI!$U$4:$Z$1003,6,FALSE),IF($C$1075&gt;0,VLOOKUP($C1780,PATRIMONIALE!$U$4:$Z$1003,6,FALSE),IF($C$1074&gt;0,VLOOKUP($C1780,ENTI!$U$4:$Z$1003,6,FALSE),"")))</f>
        <v>#N/A</v>
      </c>
      <c r="I1780" s="496">
        <v>700</v>
      </c>
      <c r="J1780" s="43" t="e">
        <f ca="1">VLOOKUP(D1780,$F$1081:$I$4183,4,FALSE)+COUNTIF(E$1081:E1779,E1780)</f>
        <v>#N/A</v>
      </c>
      <c r="K1780" s="1"/>
      <c r="L1780" s="39" t="e">
        <f>IF($C$1074&gt;0,VLOOKUP($C1780,ENTI!$U$4:$AD$1003,10,FALSE),"")</f>
        <v>#N/A</v>
      </c>
      <c r="M1780" s="1"/>
      <c r="N1780" s="1"/>
      <c r="O1780" s="1"/>
    </row>
    <row r="1781" spans="1:15" hidden="1">
      <c r="A1781" s="1"/>
      <c r="B1781" s="40" t="e">
        <f t="shared" ca="1" si="214"/>
        <v>#N/A</v>
      </c>
      <c r="C1781" s="496">
        <v>701</v>
      </c>
      <c r="D1781" s="41" t="e">
        <f ca="1">IF($C$1076&gt;0,VLOOKUP($C1781,COSTI!$U$4:$Z$1003,3,FALSE),IF($C$1075&gt;0,VLOOKUP($C1781,PATRIMONIALE!$U$4:$Z$1003,3,FALSE),IF($C$1074&gt;0,VLOOKUP($C1781,ENTI!$U$4:$Z$1003,3,FALSE),"")))</f>
        <v>#N/A</v>
      </c>
      <c r="E1781" s="41" t="str">
        <f t="shared" ca="1" si="215"/>
        <v/>
      </c>
      <c r="F1781" s="41" t="e">
        <f t="shared" ca="1" si="213"/>
        <v>#NUM!</v>
      </c>
      <c r="G1781" s="39" t="e">
        <f ca="1">IF($C$1076&gt;0,VLOOKUP($C1781,COSTI!$U$4:$Z$1003,5,FALSE),IF($C$1075&gt;0,VLOOKUP($C1781,PATRIMONIALE!$U$4:$Z$1003,5,FALSE),IF($C$1074&gt;0,VLOOKUP($C1781,ENTI!$U$4:$Z$1003,5,FALSE),"")))</f>
        <v>#N/A</v>
      </c>
      <c r="H1781" s="42" t="e">
        <f ca="1">IF($C$1076&gt;0,VLOOKUP($C1781,COSTI!$U$4:$Z$1003,6,FALSE),IF($C$1075&gt;0,VLOOKUP($C1781,PATRIMONIALE!$U$4:$Z$1003,6,FALSE),IF($C$1074&gt;0,VLOOKUP($C1781,ENTI!$U$4:$Z$1003,6,FALSE),"")))</f>
        <v>#N/A</v>
      </c>
      <c r="I1781" s="496">
        <v>701</v>
      </c>
      <c r="J1781" s="43" t="e">
        <f ca="1">VLOOKUP(D1781,$F$1081:$I$4183,4,FALSE)+COUNTIF(E$1081:E1780,E1781)</f>
        <v>#N/A</v>
      </c>
      <c r="K1781" s="1"/>
      <c r="L1781" s="39" t="e">
        <f>IF($C$1074&gt;0,VLOOKUP($C1781,ENTI!$U$4:$AD$1003,10,FALSE),"")</f>
        <v>#N/A</v>
      </c>
      <c r="M1781" s="1"/>
      <c r="N1781" s="1"/>
      <c r="O1781" s="1"/>
    </row>
    <row r="1782" spans="1:15" hidden="1">
      <c r="A1782" s="1"/>
      <c r="B1782" s="40" t="e">
        <f t="shared" ca="1" si="214"/>
        <v>#N/A</v>
      </c>
      <c r="C1782" s="496">
        <v>702</v>
      </c>
      <c r="D1782" s="41" t="e">
        <f ca="1">IF($C$1076&gt;0,VLOOKUP($C1782,COSTI!$U$4:$Z$1003,3,FALSE),IF($C$1075&gt;0,VLOOKUP($C1782,PATRIMONIALE!$U$4:$Z$1003,3,FALSE),IF($C$1074&gt;0,VLOOKUP($C1782,ENTI!$U$4:$Z$1003,3,FALSE),"")))</f>
        <v>#N/A</v>
      </c>
      <c r="E1782" s="41" t="str">
        <f t="shared" ca="1" si="215"/>
        <v/>
      </c>
      <c r="F1782" s="41" t="e">
        <f t="shared" ca="1" si="213"/>
        <v>#NUM!</v>
      </c>
      <c r="G1782" s="39" t="e">
        <f ca="1">IF($C$1076&gt;0,VLOOKUP($C1782,COSTI!$U$4:$Z$1003,5,FALSE),IF($C$1075&gt;0,VLOOKUP($C1782,PATRIMONIALE!$U$4:$Z$1003,5,FALSE),IF($C$1074&gt;0,VLOOKUP($C1782,ENTI!$U$4:$Z$1003,5,FALSE),"")))</f>
        <v>#N/A</v>
      </c>
      <c r="H1782" s="42" t="e">
        <f ca="1">IF($C$1076&gt;0,VLOOKUP($C1782,COSTI!$U$4:$Z$1003,6,FALSE),IF($C$1075&gt;0,VLOOKUP($C1782,PATRIMONIALE!$U$4:$Z$1003,6,FALSE),IF($C$1074&gt;0,VLOOKUP($C1782,ENTI!$U$4:$Z$1003,6,FALSE),"")))</f>
        <v>#N/A</v>
      </c>
      <c r="I1782" s="496">
        <v>702</v>
      </c>
      <c r="J1782" s="43" t="e">
        <f ca="1">VLOOKUP(D1782,$F$1081:$I$4183,4,FALSE)+COUNTIF(E$1081:E1781,E1782)</f>
        <v>#N/A</v>
      </c>
      <c r="K1782" s="1"/>
      <c r="L1782" s="39" t="e">
        <f>IF($C$1074&gt;0,VLOOKUP($C1782,ENTI!$U$4:$AD$1003,10,FALSE),"")</f>
        <v>#N/A</v>
      </c>
      <c r="M1782" s="1"/>
      <c r="N1782" s="1"/>
      <c r="O1782" s="1"/>
    </row>
    <row r="1783" spans="1:15" hidden="1">
      <c r="A1783" s="1"/>
      <c r="B1783" s="40" t="e">
        <f t="shared" ca="1" si="214"/>
        <v>#N/A</v>
      </c>
      <c r="C1783" s="496">
        <v>703</v>
      </c>
      <c r="D1783" s="41" t="e">
        <f ca="1">IF($C$1076&gt;0,VLOOKUP($C1783,COSTI!$U$4:$Z$1003,3,FALSE),IF($C$1075&gt;0,VLOOKUP($C1783,PATRIMONIALE!$U$4:$Z$1003,3,FALSE),IF($C$1074&gt;0,VLOOKUP($C1783,ENTI!$U$4:$Z$1003,3,FALSE),"")))</f>
        <v>#N/A</v>
      </c>
      <c r="E1783" s="41" t="str">
        <f t="shared" ca="1" si="215"/>
        <v/>
      </c>
      <c r="F1783" s="41" t="e">
        <f t="shared" ca="1" si="213"/>
        <v>#NUM!</v>
      </c>
      <c r="G1783" s="39" t="e">
        <f ca="1">IF($C$1076&gt;0,VLOOKUP($C1783,COSTI!$U$4:$Z$1003,5,FALSE),IF($C$1075&gt;0,VLOOKUP($C1783,PATRIMONIALE!$U$4:$Z$1003,5,FALSE),IF($C$1074&gt;0,VLOOKUP($C1783,ENTI!$U$4:$Z$1003,5,FALSE),"")))</f>
        <v>#N/A</v>
      </c>
      <c r="H1783" s="42" t="e">
        <f ca="1">IF($C$1076&gt;0,VLOOKUP($C1783,COSTI!$U$4:$Z$1003,6,FALSE),IF($C$1075&gt;0,VLOOKUP($C1783,PATRIMONIALE!$U$4:$Z$1003,6,FALSE),IF($C$1074&gt;0,VLOOKUP($C1783,ENTI!$U$4:$Z$1003,6,FALSE),"")))</f>
        <v>#N/A</v>
      </c>
      <c r="I1783" s="496">
        <v>703</v>
      </c>
      <c r="J1783" s="43" t="e">
        <f ca="1">VLOOKUP(D1783,$F$1081:$I$4183,4,FALSE)+COUNTIF(E$1081:E1782,E1783)</f>
        <v>#N/A</v>
      </c>
      <c r="K1783" s="1"/>
      <c r="L1783" s="39" t="e">
        <f>IF($C$1074&gt;0,VLOOKUP($C1783,ENTI!$U$4:$AD$1003,10,FALSE),"")</f>
        <v>#N/A</v>
      </c>
      <c r="M1783" s="1"/>
      <c r="N1783" s="1"/>
      <c r="O1783" s="1"/>
    </row>
    <row r="1784" spans="1:15" hidden="1">
      <c r="A1784" s="1"/>
      <c r="B1784" s="40" t="e">
        <f t="shared" ca="1" si="214"/>
        <v>#N/A</v>
      </c>
      <c r="C1784" s="496">
        <v>704</v>
      </c>
      <c r="D1784" s="41" t="e">
        <f ca="1">IF($C$1076&gt;0,VLOOKUP($C1784,COSTI!$U$4:$Z$1003,3,FALSE),IF($C$1075&gt;0,VLOOKUP($C1784,PATRIMONIALE!$U$4:$Z$1003,3,FALSE),IF($C$1074&gt;0,VLOOKUP($C1784,ENTI!$U$4:$Z$1003,3,FALSE),"")))</f>
        <v>#N/A</v>
      </c>
      <c r="E1784" s="41" t="str">
        <f t="shared" ca="1" si="215"/>
        <v/>
      </c>
      <c r="F1784" s="41" t="e">
        <f t="shared" ca="1" si="213"/>
        <v>#NUM!</v>
      </c>
      <c r="G1784" s="39" t="e">
        <f ca="1">IF($C$1076&gt;0,VLOOKUP($C1784,COSTI!$U$4:$Z$1003,5,FALSE),IF($C$1075&gt;0,VLOOKUP($C1784,PATRIMONIALE!$U$4:$Z$1003,5,FALSE),IF($C$1074&gt;0,VLOOKUP($C1784,ENTI!$U$4:$Z$1003,5,FALSE),"")))</f>
        <v>#N/A</v>
      </c>
      <c r="H1784" s="42" t="e">
        <f ca="1">IF($C$1076&gt;0,VLOOKUP($C1784,COSTI!$U$4:$Z$1003,6,FALSE),IF($C$1075&gt;0,VLOOKUP($C1784,PATRIMONIALE!$U$4:$Z$1003,6,FALSE),IF($C$1074&gt;0,VLOOKUP($C1784,ENTI!$U$4:$Z$1003,6,FALSE),"")))</f>
        <v>#N/A</v>
      </c>
      <c r="I1784" s="496">
        <v>704</v>
      </c>
      <c r="J1784" s="43" t="e">
        <f ca="1">VLOOKUP(D1784,$F$1081:$I$4183,4,FALSE)+COUNTIF(E$1081:E1783,E1784)</f>
        <v>#N/A</v>
      </c>
      <c r="K1784" s="1"/>
      <c r="L1784" s="39" t="e">
        <f>IF($C$1074&gt;0,VLOOKUP($C1784,ENTI!$U$4:$AD$1003,10,FALSE),"")</f>
        <v>#N/A</v>
      </c>
      <c r="M1784" s="1"/>
      <c r="N1784" s="1"/>
      <c r="O1784" s="1"/>
    </row>
    <row r="1785" spans="1:15" hidden="1">
      <c r="A1785" s="1"/>
      <c r="B1785" s="40" t="e">
        <f t="shared" ca="1" si="214"/>
        <v>#N/A</v>
      </c>
      <c r="C1785" s="496">
        <v>705</v>
      </c>
      <c r="D1785" s="41" t="e">
        <f ca="1">IF($C$1076&gt;0,VLOOKUP($C1785,COSTI!$U$4:$Z$1003,3,FALSE),IF($C$1075&gt;0,VLOOKUP($C1785,PATRIMONIALE!$U$4:$Z$1003,3,FALSE),IF($C$1074&gt;0,VLOOKUP($C1785,ENTI!$U$4:$Z$1003,3,FALSE),"")))</f>
        <v>#N/A</v>
      </c>
      <c r="E1785" s="41" t="str">
        <f t="shared" ca="1" si="215"/>
        <v/>
      </c>
      <c r="F1785" s="41" t="e">
        <f t="shared" ref="F1785:F1848" ca="1" si="216">SMALL(E$1081:E$4183,C1785)</f>
        <v>#NUM!</v>
      </c>
      <c r="G1785" s="39" t="e">
        <f ca="1">IF($C$1076&gt;0,VLOOKUP($C1785,COSTI!$U$4:$Z$1003,5,FALSE),IF($C$1075&gt;0,VLOOKUP($C1785,PATRIMONIALE!$U$4:$Z$1003,5,FALSE),IF($C$1074&gt;0,VLOOKUP($C1785,ENTI!$U$4:$Z$1003,5,FALSE),"")))</f>
        <v>#N/A</v>
      </c>
      <c r="H1785" s="42" t="e">
        <f ca="1">IF($C$1076&gt;0,VLOOKUP($C1785,COSTI!$U$4:$Z$1003,6,FALSE),IF($C$1075&gt;0,VLOOKUP($C1785,PATRIMONIALE!$U$4:$Z$1003,6,FALSE),IF($C$1074&gt;0,VLOOKUP($C1785,ENTI!$U$4:$Z$1003,6,FALSE),"")))</f>
        <v>#N/A</v>
      </c>
      <c r="I1785" s="496">
        <v>705</v>
      </c>
      <c r="J1785" s="43" t="e">
        <f ca="1">VLOOKUP(D1785,$F$1081:$I$4183,4,FALSE)+COUNTIF(E$1081:E1784,E1785)</f>
        <v>#N/A</v>
      </c>
      <c r="K1785" s="1"/>
      <c r="L1785" s="39" t="e">
        <f>IF($C$1074&gt;0,VLOOKUP($C1785,ENTI!$U$4:$AD$1003,10,FALSE),"")</f>
        <v>#N/A</v>
      </c>
      <c r="M1785" s="1"/>
      <c r="N1785" s="1"/>
      <c r="O1785" s="1"/>
    </row>
    <row r="1786" spans="1:15" hidden="1">
      <c r="A1786" s="1"/>
      <c r="B1786" s="40" t="e">
        <f t="shared" ca="1" si="214"/>
        <v>#N/A</v>
      </c>
      <c r="C1786" s="496">
        <v>706</v>
      </c>
      <c r="D1786" s="41" t="e">
        <f ca="1">IF($C$1076&gt;0,VLOOKUP($C1786,COSTI!$U$4:$Z$1003,3,FALSE),IF($C$1075&gt;0,VLOOKUP($C1786,PATRIMONIALE!$U$4:$Z$1003,3,FALSE),IF($C$1074&gt;0,VLOOKUP($C1786,ENTI!$U$4:$Z$1003,3,FALSE),"")))</f>
        <v>#N/A</v>
      </c>
      <c r="E1786" s="41" t="str">
        <f t="shared" ca="1" si="215"/>
        <v/>
      </c>
      <c r="F1786" s="41" t="e">
        <f t="shared" ca="1" si="216"/>
        <v>#NUM!</v>
      </c>
      <c r="G1786" s="39" t="e">
        <f ca="1">IF($C$1076&gt;0,VLOOKUP($C1786,COSTI!$U$4:$Z$1003,5,FALSE),IF($C$1075&gt;0,VLOOKUP($C1786,PATRIMONIALE!$U$4:$Z$1003,5,FALSE),IF($C$1074&gt;0,VLOOKUP($C1786,ENTI!$U$4:$Z$1003,5,FALSE),"")))</f>
        <v>#N/A</v>
      </c>
      <c r="H1786" s="42" t="e">
        <f ca="1">IF($C$1076&gt;0,VLOOKUP($C1786,COSTI!$U$4:$Z$1003,6,FALSE),IF($C$1075&gt;0,VLOOKUP($C1786,PATRIMONIALE!$U$4:$Z$1003,6,FALSE),IF($C$1074&gt;0,VLOOKUP($C1786,ENTI!$U$4:$Z$1003,6,FALSE),"")))</f>
        <v>#N/A</v>
      </c>
      <c r="I1786" s="496">
        <v>706</v>
      </c>
      <c r="J1786" s="43" t="e">
        <f ca="1">VLOOKUP(D1786,$F$1081:$I$4183,4,FALSE)+COUNTIF(E$1081:E1785,E1786)</f>
        <v>#N/A</v>
      </c>
      <c r="K1786" s="1"/>
      <c r="L1786" s="39" t="e">
        <f>IF($C$1074&gt;0,VLOOKUP($C1786,ENTI!$U$4:$AD$1003,10,FALSE),"")</f>
        <v>#N/A</v>
      </c>
      <c r="M1786" s="1"/>
      <c r="N1786" s="1"/>
      <c r="O1786" s="1"/>
    </row>
    <row r="1787" spans="1:15" hidden="1">
      <c r="A1787" s="1"/>
      <c r="B1787" s="40" t="e">
        <f t="shared" ca="1" si="214"/>
        <v>#N/A</v>
      </c>
      <c r="C1787" s="496">
        <v>707</v>
      </c>
      <c r="D1787" s="41" t="e">
        <f ca="1">IF($C$1076&gt;0,VLOOKUP($C1787,COSTI!$U$4:$Z$1003,3,FALSE),IF($C$1075&gt;0,VLOOKUP($C1787,PATRIMONIALE!$U$4:$Z$1003,3,FALSE),IF($C$1074&gt;0,VLOOKUP($C1787,ENTI!$U$4:$Z$1003,3,FALSE),"")))</f>
        <v>#N/A</v>
      </c>
      <c r="E1787" s="41" t="str">
        <f t="shared" ca="1" si="215"/>
        <v/>
      </c>
      <c r="F1787" s="41" t="e">
        <f t="shared" ca="1" si="216"/>
        <v>#NUM!</v>
      </c>
      <c r="G1787" s="39" t="e">
        <f ca="1">IF($C$1076&gt;0,VLOOKUP($C1787,COSTI!$U$4:$Z$1003,5,FALSE),IF($C$1075&gt;0,VLOOKUP($C1787,PATRIMONIALE!$U$4:$Z$1003,5,FALSE),IF($C$1074&gt;0,VLOOKUP($C1787,ENTI!$U$4:$Z$1003,5,FALSE),"")))</f>
        <v>#N/A</v>
      </c>
      <c r="H1787" s="42" t="e">
        <f ca="1">IF($C$1076&gt;0,VLOOKUP($C1787,COSTI!$U$4:$Z$1003,6,FALSE),IF($C$1075&gt;0,VLOOKUP($C1787,PATRIMONIALE!$U$4:$Z$1003,6,FALSE),IF($C$1074&gt;0,VLOOKUP($C1787,ENTI!$U$4:$Z$1003,6,FALSE),"")))</f>
        <v>#N/A</v>
      </c>
      <c r="I1787" s="496">
        <v>707</v>
      </c>
      <c r="J1787" s="43" t="e">
        <f ca="1">VLOOKUP(D1787,$F$1081:$I$4183,4,FALSE)+COUNTIF(E$1081:E1786,E1787)</f>
        <v>#N/A</v>
      </c>
      <c r="K1787" s="1"/>
      <c r="L1787" s="39" t="e">
        <f>IF($C$1074&gt;0,VLOOKUP($C1787,ENTI!$U$4:$AD$1003,10,FALSE),"")</f>
        <v>#N/A</v>
      </c>
      <c r="M1787" s="1"/>
      <c r="N1787" s="1"/>
      <c r="O1787" s="1"/>
    </row>
    <row r="1788" spans="1:15" hidden="1">
      <c r="A1788" s="1"/>
      <c r="B1788" s="40" t="e">
        <f t="shared" ca="1" si="214"/>
        <v>#N/A</v>
      </c>
      <c r="C1788" s="496">
        <v>708</v>
      </c>
      <c r="D1788" s="41" t="e">
        <f ca="1">IF($C$1076&gt;0,VLOOKUP($C1788,COSTI!$U$4:$Z$1003,3,FALSE),IF($C$1075&gt;0,VLOOKUP($C1788,PATRIMONIALE!$U$4:$Z$1003,3,FALSE),IF($C$1074&gt;0,VLOOKUP($C1788,ENTI!$U$4:$Z$1003,3,FALSE),"")))</f>
        <v>#N/A</v>
      </c>
      <c r="E1788" s="41" t="str">
        <f t="shared" ca="1" si="215"/>
        <v/>
      </c>
      <c r="F1788" s="41" t="e">
        <f t="shared" ca="1" si="216"/>
        <v>#NUM!</v>
      </c>
      <c r="G1788" s="39" t="e">
        <f ca="1">IF($C$1076&gt;0,VLOOKUP($C1788,COSTI!$U$4:$Z$1003,5,FALSE),IF($C$1075&gt;0,VLOOKUP($C1788,PATRIMONIALE!$U$4:$Z$1003,5,FALSE),IF($C$1074&gt;0,VLOOKUP($C1788,ENTI!$U$4:$Z$1003,5,FALSE),"")))</f>
        <v>#N/A</v>
      </c>
      <c r="H1788" s="42" t="e">
        <f ca="1">IF($C$1076&gt;0,VLOOKUP($C1788,COSTI!$U$4:$Z$1003,6,FALSE),IF($C$1075&gt;0,VLOOKUP($C1788,PATRIMONIALE!$U$4:$Z$1003,6,FALSE),IF($C$1074&gt;0,VLOOKUP($C1788,ENTI!$U$4:$Z$1003,6,FALSE),"")))</f>
        <v>#N/A</v>
      </c>
      <c r="I1788" s="496">
        <v>708</v>
      </c>
      <c r="J1788" s="43" t="e">
        <f ca="1">VLOOKUP(D1788,$F$1081:$I$4183,4,FALSE)+COUNTIF(E$1081:E1787,E1788)</f>
        <v>#N/A</v>
      </c>
      <c r="K1788" s="1"/>
      <c r="L1788" s="39" t="e">
        <f>IF($C$1074&gt;0,VLOOKUP($C1788,ENTI!$U$4:$AD$1003,10,FALSE),"")</f>
        <v>#N/A</v>
      </c>
      <c r="M1788" s="1"/>
      <c r="N1788" s="1"/>
      <c r="O1788" s="1"/>
    </row>
    <row r="1789" spans="1:15" hidden="1">
      <c r="A1789" s="1"/>
      <c r="B1789" s="40" t="e">
        <f t="shared" ca="1" si="214"/>
        <v>#N/A</v>
      </c>
      <c r="C1789" s="496">
        <v>709</v>
      </c>
      <c r="D1789" s="41" t="e">
        <f ca="1">IF($C$1076&gt;0,VLOOKUP($C1789,COSTI!$U$4:$Z$1003,3,FALSE),IF($C$1075&gt;0,VLOOKUP($C1789,PATRIMONIALE!$U$4:$Z$1003,3,FALSE),IF($C$1074&gt;0,VLOOKUP($C1789,ENTI!$U$4:$Z$1003,3,FALSE),"")))</f>
        <v>#N/A</v>
      </c>
      <c r="E1789" s="41" t="str">
        <f t="shared" ca="1" si="215"/>
        <v/>
      </c>
      <c r="F1789" s="41" t="e">
        <f t="shared" ca="1" si="216"/>
        <v>#NUM!</v>
      </c>
      <c r="G1789" s="39" t="e">
        <f ca="1">IF($C$1076&gt;0,VLOOKUP($C1789,COSTI!$U$4:$Z$1003,5,FALSE),IF($C$1075&gt;0,VLOOKUP($C1789,PATRIMONIALE!$U$4:$Z$1003,5,FALSE),IF($C$1074&gt;0,VLOOKUP($C1789,ENTI!$U$4:$Z$1003,5,FALSE),"")))</f>
        <v>#N/A</v>
      </c>
      <c r="H1789" s="42" t="e">
        <f ca="1">IF($C$1076&gt;0,VLOOKUP($C1789,COSTI!$U$4:$Z$1003,6,FALSE),IF($C$1075&gt;0,VLOOKUP($C1789,PATRIMONIALE!$U$4:$Z$1003,6,FALSE),IF($C$1074&gt;0,VLOOKUP($C1789,ENTI!$U$4:$Z$1003,6,FALSE),"")))</f>
        <v>#N/A</v>
      </c>
      <c r="I1789" s="496">
        <v>709</v>
      </c>
      <c r="J1789" s="43" t="e">
        <f ca="1">VLOOKUP(D1789,$F$1081:$I$4183,4,FALSE)+COUNTIF(E$1081:E1788,E1789)</f>
        <v>#N/A</v>
      </c>
      <c r="K1789" s="1"/>
      <c r="L1789" s="39" t="e">
        <f>IF($C$1074&gt;0,VLOOKUP($C1789,ENTI!$U$4:$AD$1003,10,FALSE),"")</f>
        <v>#N/A</v>
      </c>
      <c r="M1789" s="1"/>
      <c r="N1789" s="1"/>
      <c r="O1789" s="1"/>
    </row>
    <row r="1790" spans="1:15" hidden="1">
      <c r="A1790" s="1"/>
      <c r="B1790" s="40" t="e">
        <f t="shared" ca="1" si="214"/>
        <v>#N/A</v>
      </c>
      <c r="C1790" s="496">
        <v>710</v>
      </c>
      <c r="D1790" s="41" t="e">
        <f ca="1">IF($C$1076&gt;0,VLOOKUP($C1790,COSTI!$U$4:$Z$1003,3,FALSE),IF($C$1075&gt;0,VLOOKUP($C1790,PATRIMONIALE!$U$4:$Z$1003,3,FALSE),IF($C$1074&gt;0,VLOOKUP($C1790,ENTI!$U$4:$Z$1003,3,FALSE),"")))</f>
        <v>#N/A</v>
      </c>
      <c r="E1790" s="41" t="str">
        <f t="shared" ca="1" si="215"/>
        <v/>
      </c>
      <c r="F1790" s="41" t="e">
        <f t="shared" ca="1" si="216"/>
        <v>#NUM!</v>
      </c>
      <c r="G1790" s="39" t="e">
        <f ca="1">IF($C$1076&gt;0,VLOOKUP($C1790,COSTI!$U$4:$Z$1003,5,FALSE),IF($C$1075&gt;0,VLOOKUP($C1790,PATRIMONIALE!$U$4:$Z$1003,5,FALSE),IF($C$1074&gt;0,VLOOKUP($C1790,ENTI!$U$4:$Z$1003,5,FALSE),"")))</f>
        <v>#N/A</v>
      </c>
      <c r="H1790" s="42" t="e">
        <f ca="1">IF($C$1076&gt;0,VLOOKUP($C1790,COSTI!$U$4:$Z$1003,6,FALSE),IF($C$1075&gt;0,VLOOKUP($C1790,PATRIMONIALE!$U$4:$Z$1003,6,FALSE),IF($C$1074&gt;0,VLOOKUP($C1790,ENTI!$U$4:$Z$1003,6,FALSE),"")))</f>
        <v>#N/A</v>
      </c>
      <c r="I1790" s="496">
        <v>710</v>
      </c>
      <c r="J1790" s="43" t="e">
        <f ca="1">VLOOKUP(D1790,$F$1081:$I$4183,4,FALSE)+COUNTIF(E$1081:E1789,E1790)</f>
        <v>#N/A</v>
      </c>
      <c r="K1790" s="1"/>
      <c r="L1790" s="39" t="e">
        <f>IF($C$1074&gt;0,VLOOKUP($C1790,ENTI!$U$4:$AD$1003,10,FALSE),"")</f>
        <v>#N/A</v>
      </c>
      <c r="M1790" s="1"/>
      <c r="N1790" s="1"/>
      <c r="O1790" s="1"/>
    </row>
    <row r="1791" spans="1:15" hidden="1">
      <c r="A1791" s="1"/>
      <c r="B1791" s="40" t="e">
        <f t="shared" ca="1" si="214"/>
        <v>#N/A</v>
      </c>
      <c r="C1791" s="496">
        <v>711</v>
      </c>
      <c r="D1791" s="41" t="e">
        <f ca="1">IF($C$1076&gt;0,VLOOKUP($C1791,COSTI!$U$4:$Z$1003,3,FALSE),IF($C$1075&gt;0,VLOOKUP($C1791,PATRIMONIALE!$U$4:$Z$1003,3,FALSE),IF($C$1074&gt;0,VLOOKUP($C1791,ENTI!$U$4:$Z$1003,3,FALSE),"")))</f>
        <v>#N/A</v>
      </c>
      <c r="E1791" s="41" t="str">
        <f t="shared" ca="1" si="215"/>
        <v/>
      </c>
      <c r="F1791" s="41" t="e">
        <f t="shared" ca="1" si="216"/>
        <v>#NUM!</v>
      </c>
      <c r="G1791" s="39" t="e">
        <f ca="1">IF($C$1076&gt;0,VLOOKUP($C1791,COSTI!$U$4:$Z$1003,5,FALSE),IF($C$1075&gt;0,VLOOKUP($C1791,PATRIMONIALE!$U$4:$Z$1003,5,FALSE),IF($C$1074&gt;0,VLOOKUP($C1791,ENTI!$U$4:$Z$1003,5,FALSE),"")))</f>
        <v>#N/A</v>
      </c>
      <c r="H1791" s="42" t="e">
        <f ca="1">IF($C$1076&gt;0,VLOOKUP($C1791,COSTI!$U$4:$Z$1003,6,FALSE),IF($C$1075&gt;0,VLOOKUP($C1791,PATRIMONIALE!$U$4:$Z$1003,6,FALSE),IF($C$1074&gt;0,VLOOKUP($C1791,ENTI!$U$4:$Z$1003,6,FALSE),"")))</f>
        <v>#N/A</v>
      </c>
      <c r="I1791" s="496">
        <v>711</v>
      </c>
      <c r="J1791" s="43" t="e">
        <f ca="1">VLOOKUP(D1791,$F$1081:$I$4183,4,FALSE)+COUNTIF(E$1081:E1790,E1791)</f>
        <v>#N/A</v>
      </c>
      <c r="K1791" s="1"/>
      <c r="L1791" s="39" t="e">
        <f>IF($C$1074&gt;0,VLOOKUP($C1791,ENTI!$U$4:$AD$1003,10,FALSE),"")</f>
        <v>#N/A</v>
      </c>
      <c r="M1791" s="1"/>
      <c r="N1791" s="1"/>
      <c r="O1791" s="1"/>
    </row>
    <row r="1792" spans="1:15" hidden="1">
      <c r="A1792" s="1"/>
      <c r="B1792" s="40" t="e">
        <f t="shared" ca="1" si="214"/>
        <v>#N/A</v>
      </c>
      <c r="C1792" s="496">
        <v>712</v>
      </c>
      <c r="D1792" s="41" t="e">
        <f ca="1">IF($C$1076&gt;0,VLOOKUP($C1792,COSTI!$U$4:$Z$1003,3,FALSE),IF($C$1075&gt;0,VLOOKUP($C1792,PATRIMONIALE!$U$4:$Z$1003,3,FALSE),IF($C$1074&gt;0,VLOOKUP($C1792,ENTI!$U$4:$Z$1003,3,FALSE),"")))</f>
        <v>#N/A</v>
      </c>
      <c r="E1792" s="41" t="str">
        <f t="shared" ca="1" si="215"/>
        <v/>
      </c>
      <c r="F1792" s="41" t="e">
        <f t="shared" ca="1" si="216"/>
        <v>#NUM!</v>
      </c>
      <c r="G1792" s="39" t="e">
        <f ca="1">IF($C$1076&gt;0,VLOOKUP($C1792,COSTI!$U$4:$Z$1003,5,FALSE),IF($C$1075&gt;0,VLOOKUP($C1792,PATRIMONIALE!$U$4:$Z$1003,5,FALSE),IF($C$1074&gt;0,VLOOKUP($C1792,ENTI!$U$4:$Z$1003,5,FALSE),"")))</f>
        <v>#N/A</v>
      </c>
      <c r="H1792" s="42" t="e">
        <f ca="1">IF($C$1076&gt;0,VLOOKUP($C1792,COSTI!$U$4:$Z$1003,6,FALSE),IF($C$1075&gt;0,VLOOKUP($C1792,PATRIMONIALE!$U$4:$Z$1003,6,FALSE),IF($C$1074&gt;0,VLOOKUP($C1792,ENTI!$U$4:$Z$1003,6,FALSE),"")))</f>
        <v>#N/A</v>
      </c>
      <c r="I1792" s="496">
        <v>712</v>
      </c>
      <c r="J1792" s="43" t="e">
        <f ca="1">VLOOKUP(D1792,$F$1081:$I$4183,4,FALSE)+COUNTIF(E$1081:E1791,E1792)</f>
        <v>#N/A</v>
      </c>
      <c r="K1792" s="1"/>
      <c r="L1792" s="39" t="e">
        <f>IF($C$1074&gt;0,VLOOKUP($C1792,ENTI!$U$4:$AD$1003,10,FALSE),"")</f>
        <v>#N/A</v>
      </c>
      <c r="M1792" s="1"/>
      <c r="N1792" s="1"/>
      <c r="O1792" s="1"/>
    </row>
    <row r="1793" spans="1:15" hidden="1">
      <c r="A1793" s="1"/>
      <c r="B1793" s="40" t="e">
        <f t="shared" ca="1" si="214"/>
        <v>#N/A</v>
      </c>
      <c r="C1793" s="496">
        <v>713</v>
      </c>
      <c r="D1793" s="41" t="e">
        <f ca="1">IF($C$1076&gt;0,VLOOKUP($C1793,COSTI!$U$4:$Z$1003,3,FALSE),IF($C$1075&gt;0,VLOOKUP($C1793,PATRIMONIALE!$U$4:$Z$1003,3,FALSE),IF($C$1074&gt;0,VLOOKUP($C1793,ENTI!$U$4:$Z$1003,3,FALSE),"")))</f>
        <v>#N/A</v>
      </c>
      <c r="E1793" s="41" t="str">
        <f t="shared" ca="1" si="215"/>
        <v/>
      </c>
      <c r="F1793" s="41" t="e">
        <f t="shared" ca="1" si="216"/>
        <v>#NUM!</v>
      </c>
      <c r="G1793" s="39" t="e">
        <f ca="1">IF($C$1076&gt;0,VLOOKUP($C1793,COSTI!$U$4:$Z$1003,5,FALSE),IF($C$1075&gt;0,VLOOKUP($C1793,PATRIMONIALE!$U$4:$Z$1003,5,FALSE),IF($C$1074&gt;0,VLOOKUP($C1793,ENTI!$U$4:$Z$1003,5,FALSE),"")))</f>
        <v>#N/A</v>
      </c>
      <c r="H1793" s="42" t="e">
        <f ca="1">IF($C$1076&gt;0,VLOOKUP($C1793,COSTI!$U$4:$Z$1003,6,FALSE),IF($C$1075&gt;0,VLOOKUP($C1793,PATRIMONIALE!$U$4:$Z$1003,6,FALSE),IF($C$1074&gt;0,VLOOKUP($C1793,ENTI!$U$4:$Z$1003,6,FALSE),"")))</f>
        <v>#N/A</v>
      </c>
      <c r="I1793" s="496">
        <v>713</v>
      </c>
      <c r="J1793" s="43" t="e">
        <f ca="1">VLOOKUP(D1793,$F$1081:$I$4183,4,FALSE)+COUNTIF(E$1081:E1792,E1793)</f>
        <v>#N/A</v>
      </c>
      <c r="K1793" s="1"/>
      <c r="L1793" s="39" t="e">
        <f>IF($C$1074&gt;0,VLOOKUP($C1793,ENTI!$U$4:$AD$1003,10,FALSE),"")</f>
        <v>#N/A</v>
      </c>
      <c r="M1793" s="1"/>
      <c r="N1793" s="1"/>
      <c r="O1793" s="1"/>
    </row>
    <row r="1794" spans="1:15" hidden="1">
      <c r="A1794" s="1"/>
      <c r="B1794" s="40" t="e">
        <f t="shared" ca="1" si="214"/>
        <v>#N/A</v>
      </c>
      <c r="C1794" s="496">
        <v>714</v>
      </c>
      <c r="D1794" s="41" t="e">
        <f ca="1">IF($C$1076&gt;0,VLOOKUP($C1794,COSTI!$U$4:$Z$1003,3,FALSE),IF($C$1075&gt;0,VLOOKUP($C1794,PATRIMONIALE!$U$4:$Z$1003,3,FALSE),IF($C$1074&gt;0,VLOOKUP($C1794,ENTI!$U$4:$Z$1003,3,FALSE),"")))</f>
        <v>#N/A</v>
      </c>
      <c r="E1794" s="41" t="str">
        <f t="shared" ca="1" si="215"/>
        <v/>
      </c>
      <c r="F1794" s="41" t="e">
        <f t="shared" ca="1" si="216"/>
        <v>#NUM!</v>
      </c>
      <c r="G1794" s="39" t="e">
        <f ca="1">IF($C$1076&gt;0,VLOOKUP($C1794,COSTI!$U$4:$Z$1003,5,FALSE),IF($C$1075&gt;0,VLOOKUP($C1794,PATRIMONIALE!$U$4:$Z$1003,5,FALSE),IF($C$1074&gt;0,VLOOKUP($C1794,ENTI!$U$4:$Z$1003,5,FALSE),"")))</f>
        <v>#N/A</v>
      </c>
      <c r="H1794" s="42" t="e">
        <f ca="1">IF($C$1076&gt;0,VLOOKUP($C1794,COSTI!$U$4:$Z$1003,6,FALSE),IF($C$1075&gt;0,VLOOKUP($C1794,PATRIMONIALE!$U$4:$Z$1003,6,FALSE),IF($C$1074&gt;0,VLOOKUP($C1794,ENTI!$U$4:$Z$1003,6,FALSE),"")))</f>
        <v>#N/A</v>
      </c>
      <c r="I1794" s="496">
        <v>714</v>
      </c>
      <c r="J1794" s="43" t="e">
        <f ca="1">VLOOKUP(D1794,$F$1081:$I$4183,4,FALSE)+COUNTIF(E$1081:E1793,E1794)</f>
        <v>#N/A</v>
      </c>
      <c r="K1794" s="1"/>
      <c r="L1794" s="39" t="e">
        <f>IF($C$1074&gt;0,VLOOKUP($C1794,ENTI!$U$4:$AD$1003,10,FALSE),"")</f>
        <v>#N/A</v>
      </c>
      <c r="M1794" s="1"/>
      <c r="N1794" s="1"/>
      <c r="O1794" s="1"/>
    </row>
    <row r="1795" spans="1:15" hidden="1">
      <c r="A1795" s="1"/>
      <c r="B1795" s="40" t="e">
        <f t="shared" ca="1" si="214"/>
        <v>#N/A</v>
      </c>
      <c r="C1795" s="496">
        <v>715</v>
      </c>
      <c r="D1795" s="41" t="e">
        <f ca="1">IF($C$1076&gt;0,VLOOKUP($C1795,COSTI!$U$4:$Z$1003,3,FALSE),IF($C$1075&gt;0,VLOOKUP($C1795,PATRIMONIALE!$U$4:$Z$1003,3,FALSE),IF($C$1074&gt;0,VLOOKUP($C1795,ENTI!$U$4:$Z$1003,3,FALSE),"")))</f>
        <v>#N/A</v>
      </c>
      <c r="E1795" s="41" t="str">
        <f t="shared" ca="1" si="215"/>
        <v/>
      </c>
      <c r="F1795" s="41" t="e">
        <f t="shared" ca="1" si="216"/>
        <v>#NUM!</v>
      </c>
      <c r="G1795" s="39" t="e">
        <f ca="1">IF($C$1076&gt;0,VLOOKUP($C1795,COSTI!$U$4:$Z$1003,5,FALSE),IF($C$1075&gt;0,VLOOKUP($C1795,PATRIMONIALE!$U$4:$Z$1003,5,FALSE),IF($C$1074&gt;0,VLOOKUP($C1795,ENTI!$U$4:$Z$1003,5,FALSE),"")))</f>
        <v>#N/A</v>
      </c>
      <c r="H1795" s="42" t="e">
        <f ca="1">IF($C$1076&gt;0,VLOOKUP($C1795,COSTI!$U$4:$Z$1003,6,FALSE),IF($C$1075&gt;0,VLOOKUP($C1795,PATRIMONIALE!$U$4:$Z$1003,6,FALSE),IF($C$1074&gt;0,VLOOKUP($C1795,ENTI!$U$4:$Z$1003,6,FALSE),"")))</f>
        <v>#N/A</v>
      </c>
      <c r="I1795" s="496">
        <v>715</v>
      </c>
      <c r="J1795" s="43" t="e">
        <f ca="1">VLOOKUP(D1795,$F$1081:$I$4183,4,FALSE)+COUNTIF(E$1081:E1794,E1795)</f>
        <v>#N/A</v>
      </c>
      <c r="K1795" s="1"/>
      <c r="L1795" s="39" t="e">
        <f>IF($C$1074&gt;0,VLOOKUP($C1795,ENTI!$U$4:$AD$1003,10,FALSE),"")</f>
        <v>#N/A</v>
      </c>
      <c r="M1795" s="1"/>
      <c r="N1795" s="1"/>
      <c r="O1795" s="1"/>
    </row>
    <row r="1796" spans="1:15" hidden="1">
      <c r="A1796" s="1"/>
      <c r="B1796" s="40" t="e">
        <f t="shared" ca="1" si="214"/>
        <v>#N/A</v>
      </c>
      <c r="C1796" s="496">
        <v>716</v>
      </c>
      <c r="D1796" s="41" t="e">
        <f ca="1">IF($C$1076&gt;0,VLOOKUP($C1796,COSTI!$U$4:$Z$1003,3,FALSE),IF($C$1075&gt;0,VLOOKUP($C1796,PATRIMONIALE!$U$4:$Z$1003,3,FALSE),IF($C$1074&gt;0,VLOOKUP($C1796,ENTI!$U$4:$Z$1003,3,FALSE),"")))</f>
        <v>#N/A</v>
      </c>
      <c r="E1796" s="41" t="str">
        <f t="shared" ca="1" si="215"/>
        <v/>
      </c>
      <c r="F1796" s="41" t="e">
        <f t="shared" ca="1" si="216"/>
        <v>#NUM!</v>
      </c>
      <c r="G1796" s="39" t="e">
        <f ca="1">IF($C$1076&gt;0,VLOOKUP($C1796,COSTI!$U$4:$Z$1003,5,FALSE),IF($C$1075&gt;0,VLOOKUP($C1796,PATRIMONIALE!$U$4:$Z$1003,5,FALSE),IF($C$1074&gt;0,VLOOKUP($C1796,ENTI!$U$4:$Z$1003,5,FALSE),"")))</f>
        <v>#N/A</v>
      </c>
      <c r="H1796" s="42" t="e">
        <f ca="1">IF($C$1076&gt;0,VLOOKUP($C1796,COSTI!$U$4:$Z$1003,6,FALSE),IF($C$1075&gt;0,VLOOKUP($C1796,PATRIMONIALE!$U$4:$Z$1003,6,FALSE),IF($C$1074&gt;0,VLOOKUP($C1796,ENTI!$U$4:$Z$1003,6,FALSE),"")))</f>
        <v>#N/A</v>
      </c>
      <c r="I1796" s="496">
        <v>716</v>
      </c>
      <c r="J1796" s="43" t="e">
        <f ca="1">VLOOKUP(D1796,$F$1081:$I$4183,4,FALSE)+COUNTIF(E$1081:E1795,E1796)</f>
        <v>#N/A</v>
      </c>
      <c r="K1796" s="1"/>
      <c r="L1796" s="39" t="e">
        <f>IF($C$1074&gt;0,VLOOKUP($C1796,ENTI!$U$4:$AD$1003,10,FALSE),"")</f>
        <v>#N/A</v>
      </c>
      <c r="M1796" s="1"/>
      <c r="N1796" s="1"/>
      <c r="O1796" s="1"/>
    </row>
    <row r="1797" spans="1:15" hidden="1">
      <c r="A1797" s="1"/>
      <c r="B1797" s="40" t="e">
        <f t="shared" ca="1" si="214"/>
        <v>#N/A</v>
      </c>
      <c r="C1797" s="496">
        <v>717</v>
      </c>
      <c r="D1797" s="41" t="e">
        <f ca="1">IF($C$1076&gt;0,VLOOKUP($C1797,COSTI!$U$4:$Z$1003,3,FALSE),IF($C$1075&gt;0,VLOOKUP($C1797,PATRIMONIALE!$U$4:$Z$1003,3,FALSE),IF($C$1074&gt;0,VLOOKUP($C1797,ENTI!$U$4:$Z$1003,3,FALSE),"")))</f>
        <v>#N/A</v>
      </c>
      <c r="E1797" s="41" t="str">
        <f t="shared" ca="1" si="215"/>
        <v/>
      </c>
      <c r="F1797" s="41" t="e">
        <f t="shared" ca="1" si="216"/>
        <v>#NUM!</v>
      </c>
      <c r="G1797" s="39" t="e">
        <f ca="1">IF($C$1076&gt;0,VLOOKUP($C1797,COSTI!$U$4:$Z$1003,5,FALSE),IF($C$1075&gt;0,VLOOKUP($C1797,PATRIMONIALE!$U$4:$Z$1003,5,FALSE),IF($C$1074&gt;0,VLOOKUP($C1797,ENTI!$U$4:$Z$1003,5,FALSE),"")))</f>
        <v>#N/A</v>
      </c>
      <c r="H1797" s="42" t="e">
        <f ca="1">IF($C$1076&gt;0,VLOOKUP($C1797,COSTI!$U$4:$Z$1003,6,FALSE),IF($C$1075&gt;0,VLOOKUP($C1797,PATRIMONIALE!$U$4:$Z$1003,6,FALSE),IF($C$1074&gt;0,VLOOKUP($C1797,ENTI!$U$4:$Z$1003,6,FALSE),"")))</f>
        <v>#N/A</v>
      </c>
      <c r="I1797" s="496">
        <v>717</v>
      </c>
      <c r="J1797" s="43" t="e">
        <f ca="1">VLOOKUP(D1797,$F$1081:$I$4183,4,FALSE)+COUNTIF(E$1081:E1796,E1797)</f>
        <v>#N/A</v>
      </c>
      <c r="K1797" s="1"/>
      <c r="L1797" s="39" t="e">
        <f>IF($C$1074&gt;0,VLOOKUP($C1797,ENTI!$U$4:$AD$1003,10,FALSE),"")</f>
        <v>#N/A</v>
      </c>
      <c r="M1797" s="1"/>
      <c r="N1797" s="1"/>
      <c r="O1797" s="1"/>
    </row>
    <row r="1798" spans="1:15" hidden="1">
      <c r="A1798" s="1"/>
      <c r="B1798" s="40" t="e">
        <f t="shared" ca="1" si="214"/>
        <v>#N/A</v>
      </c>
      <c r="C1798" s="496">
        <v>718</v>
      </c>
      <c r="D1798" s="41" t="e">
        <f ca="1">IF($C$1076&gt;0,VLOOKUP($C1798,COSTI!$U$4:$Z$1003,3,FALSE),IF($C$1075&gt;0,VLOOKUP($C1798,PATRIMONIALE!$U$4:$Z$1003,3,FALSE),IF($C$1074&gt;0,VLOOKUP($C1798,ENTI!$U$4:$Z$1003,3,FALSE),"")))</f>
        <v>#N/A</v>
      </c>
      <c r="E1798" s="41" t="str">
        <f t="shared" ca="1" si="215"/>
        <v/>
      </c>
      <c r="F1798" s="41" t="e">
        <f t="shared" ca="1" si="216"/>
        <v>#NUM!</v>
      </c>
      <c r="G1798" s="39" t="e">
        <f ca="1">IF($C$1076&gt;0,VLOOKUP($C1798,COSTI!$U$4:$Z$1003,5,FALSE),IF($C$1075&gt;0,VLOOKUP($C1798,PATRIMONIALE!$U$4:$Z$1003,5,FALSE),IF($C$1074&gt;0,VLOOKUP($C1798,ENTI!$U$4:$Z$1003,5,FALSE),"")))</f>
        <v>#N/A</v>
      </c>
      <c r="H1798" s="42" t="e">
        <f ca="1">IF($C$1076&gt;0,VLOOKUP($C1798,COSTI!$U$4:$Z$1003,6,FALSE),IF($C$1075&gt;0,VLOOKUP($C1798,PATRIMONIALE!$U$4:$Z$1003,6,FALSE),IF($C$1074&gt;0,VLOOKUP($C1798,ENTI!$U$4:$Z$1003,6,FALSE),"")))</f>
        <v>#N/A</v>
      </c>
      <c r="I1798" s="496">
        <v>718</v>
      </c>
      <c r="J1798" s="43" t="e">
        <f ca="1">VLOOKUP(D1798,$F$1081:$I$4183,4,FALSE)+COUNTIF(E$1081:E1797,E1798)</f>
        <v>#N/A</v>
      </c>
      <c r="K1798" s="1"/>
      <c r="L1798" s="39" t="e">
        <f>IF($C$1074&gt;0,VLOOKUP($C1798,ENTI!$U$4:$AD$1003,10,FALSE),"")</f>
        <v>#N/A</v>
      </c>
      <c r="M1798" s="1"/>
      <c r="N1798" s="1"/>
      <c r="O1798" s="1"/>
    </row>
    <row r="1799" spans="1:15" hidden="1">
      <c r="A1799" s="1"/>
      <c r="B1799" s="40" t="e">
        <f t="shared" ca="1" si="214"/>
        <v>#N/A</v>
      </c>
      <c r="C1799" s="496">
        <v>719</v>
      </c>
      <c r="D1799" s="41" t="e">
        <f ca="1">IF($C$1076&gt;0,VLOOKUP($C1799,COSTI!$U$4:$Z$1003,3,FALSE),IF($C$1075&gt;0,VLOOKUP($C1799,PATRIMONIALE!$U$4:$Z$1003,3,FALSE),IF($C$1074&gt;0,VLOOKUP($C1799,ENTI!$U$4:$Z$1003,3,FALSE),"")))</f>
        <v>#N/A</v>
      </c>
      <c r="E1799" s="41" t="str">
        <f t="shared" ca="1" si="215"/>
        <v/>
      </c>
      <c r="F1799" s="41" t="e">
        <f t="shared" ca="1" si="216"/>
        <v>#NUM!</v>
      </c>
      <c r="G1799" s="39" t="e">
        <f ca="1">IF($C$1076&gt;0,VLOOKUP($C1799,COSTI!$U$4:$Z$1003,5,FALSE),IF($C$1075&gt;0,VLOOKUP($C1799,PATRIMONIALE!$U$4:$Z$1003,5,FALSE),IF($C$1074&gt;0,VLOOKUP($C1799,ENTI!$U$4:$Z$1003,5,FALSE),"")))</f>
        <v>#N/A</v>
      </c>
      <c r="H1799" s="42" t="e">
        <f ca="1">IF($C$1076&gt;0,VLOOKUP($C1799,COSTI!$U$4:$Z$1003,6,FALSE),IF($C$1075&gt;0,VLOOKUP($C1799,PATRIMONIALE!$U$4:$Z$1003,6,FALSE),IF($C$1074&gt;0,VLOOKUP($C1799,ENTI!$U$4:$Z$1003,6,FALSE),"")))</f>
        <v>#N/A</v>
      </c>
      <c r="I1799" s="496">
        <v>719</v>
      </c>
      <c r="J1799" s="43" t="e">
        <f ca="1">VLOOKUP(D1799,$F$1081:$I$4183,4,FALSE)+COUNTIF(E$1081:E1798,E1799)</f>
        <v>#N/A</v>
      </c>
      <c r="K1799" s="1"/>
      <c r="L1799" s="39" t="e">
        <f>IF($C$1074&gt;0,VLOOKUP($C1799,ENTI!$U$4:$AD$1003,10,FALSE),"")</f>
        <v>#N/A</v>
      </c>
      <c r="M1799" s="1"/>
      <c r="N1799" s="1"/>
      <c r="O1799" s="1"/>
    </row>
    <row r="1800" spans="1:15" hidden="1">
      <c r="A1800" s="1"/>
      <c r="B1800" s="40" t="e">
        <f t="shared" ca="1" si="214"/>
        <v>#N/A</v>
      </c>
      <c r="C1800" s="496">
        <v>720</v>
      </c>
      <c r="D1800" s="41" t="e">
        <f ca="1">IF($C$1076&gt;0,VLOOKUP($C1800,COSTI!$U$4:$Z$1003,3,FALSE),IF($C$1075&gt;0,VLOOKUP($C1800,PATRIMONIALE!$U$4:$Z$1003,3,FALSE),IF($C$1074&gt;0,VLOOKUP($C1800,ENTI!$U$4:$Z$1003,3,FALSE),"")))</f>
        <v>#N/A</v>
      </c>
      <c r="E1800" s="41" t="str">
        <f t="shared" ca="1" si="215"/>
        <v/>
      </c>
      <c r="F1800" s="41" t="e">
        <f t="shared" ca="1" si="216"/>
        <v>#NUM!</v>
      </c>
      <c r="G1800" s="39" t="e">
        <f ca="1">IF($C$1076&gt;0,VLOOKUP($C1800,COSTI!$U$4:$Z$1003,5,FALSE),IF($C$1075&gt;0,VLOOKUP($C1800,PATRIMONIALE!$U$4:$Z$1003,5,FALSE),IF($C$1074&gt;0,VLOOKUP($C1800,ENTI!$U$4:$Z$1003,5,FALSE),"")))</f>
        <v>#N/A</v>
      </c>
      <c r="H1800" s="42" t="e">
        <f ca="1">IF($C$1076&gt;0,VLOOKUP($C1800,COSTI!$U$4:$Z$1003,6,FALSE),IF($C$1075&gt;0,VLOOKUP($C1800,PATRIMONIALE!$U$4:$Z$1003,6,FALSE),IF($C$1074&gt;0,VLOOKUP($C1800,ENTI!$U$4:$Z$1003,6,FALSE),"")))</f>
        <v>#N/A</v>
      </c>
      <c r="I1800" s="496">
        <v>720</v>
      </c>
      <c r="J1800" s="43" t="e">
        <f ca="1">VLOOKUP(D1800,$F$1081:$I$4183,4,FALSE)+COUNTIF(E$1081:E1799,E1800)</f>
        <v>#N/A</v>
      </c>
      <c r="K1800" s="1"/>
      <c r="L1800" s="39" t="e">
        <f>IF($C$1074&gt;0,VLOOKUP($C1800,ENTI!$U$4:$AD$1003,10,FALSE),"")</f>
        <v>#N/A</v>
      </c>
      <c r="M1800" s="1"/>
      <c r="N1800" s="1"/>
      <c r="O1800" s="1"/>
    </row>
    <row r="1801" spans="1:15" hidden="1">
      <c r="A1801" s="1"/>
      <c r="B1801" s="40" t="e">
        <f t="shared" ca="1" si="214"/>
        <v>#N/A</v>
      </c>
      <c r="C1801" s="496">
        <v>721</v>
      </c>
      <c r="D1801" s="41" t="e">
        <f ca="1">IF($C$1076&gt;0,VLOOKUP($C1801,COSTI!$U$4:$Z$1003,3,FALSE),IF($C$1075&gt;0,VLOOKUP($C1801,PATRIMONIALE!$U$4:$Z$1003,3,FALSE),IF($C$1074&gt;0,VLOOKUP($C1801,ENTI!$U$4:$Z$1003,3,FALSE),"")))</f>
        <v>#N/A</v>
      </c>
      <c r="E1801" s="41" t="str">
        <f t="shared" ca="1" si="215"/>
        <v/>
      </c>
      <c r="F1801" s="41" t="e">
        <f t="shared" ca="1" si="216"/>
        <v>#NUM!</v>
      </c>
      <c r="G1801" s="39" t="e">
        <f ca="1">IF($C$1076&gt;0,VLOOKUP($C1801,COSTI!$U$4:$Z$1003,5,FALSE),IF($C$1075&gt;0,VLOOKUP($C1801,PATRIMONIALE!$U$4:$Z$1003,5,FALSE),IF($C$1074&gt;0,VLOOKUP($C1801,ENTI!$U$4:$Z$1003,5,FALSE),"")))</f>
        <v>#N/A</v>
      </c>
      <c r="H1801" s="42" t="e">
        <f ca="1">IF($C$1076&gt;0,VLOOKUP($C1801,COSTI!$U$4:$Z$1003,6,FALSE),IF($C$1075&gt;0,VLOOKUP($C1801,PATRIMONIALE!$U$4:$Z$1003,6,FALSE),IF($C$1074&gt;0,VLOOKUP($C1801,ENTI!$U$4:$Z$1003,6,FALSE),"")))</f>
        <v>#N/A</v>
      </c>
      <c r="I1801" s="496">
        <v>721</v>
      </c>
      <c r="J1801" s="43" t="e">
        <f ca="1">VLOOKUP(D1801,$F$1081:$I$4183,4,FALSE)+COUNTIF(E$1081:E1800,E1801)</f>
        <v>#N/A</v>
      </c>
      <c r="K1801" s="1"/>
      <c r="L1801" s="39" t="e">
        <f>IF($C$1074&gt;0,VLOOKUP($C1801,ENTI!$U$4:$AD$1003,10,FALSE),"")</f>
        <v>#N/A</v>
      </c>
      <c r="M1801" s="1"/>
      <c r="N1801" s="1"/>
      <c r="O1801" s="1"/>
    </row>
    <row r="1802" spans="1:15" hidden="1">
      <c r="A1802" s="1"/>
      <c r="B1802" s="40" t="e">
        <f t="shared" ca="1" si="214"/>
        <v>#N/A</v>
      </c>
      <c r="C1802" s="496">
        <v>722</v>
      </c>
      <c r="D1802" s="41" t="e">
        <f ca="1">IF($C$1076&gt;0,VLOOKUP($C1802,COSTI!$U$4:$Z$1003,3,FALSE),IF($C$1075&gt;0,VLOOKUP($C1802,PATRIMONIALE!$U$4:$Z$1003,3,FALSE),IF($C$1074&gt;0,VLOOKUP($C1802,ENTI!$U$4:$Z$1003,3,FALSE),"")))</f>
        <v>#N/A</v>
      </c>
      <c r="E1802" s="41" t="str">
        <f t="shared" ca="1" si="215"/>
        <v/>
      </c>
      <c r="F1802" s="41" t="e">
        <f t="shared" ca="1" si="216"/>
        <v>#NUM!</v>
      </c>
      <c r="G1802" s="39" t="e">
        <f ca="1">IF($C$1076&gt;0,VLOOKUP($C1802,COSTI!$U$4:$Z$1003,5,FALSE),IF($C$1075&gt;0,VLOOKUP($C1802,PATRIMONIALE!$U$4:$Z$1003,5,FALSE),IF($C$1074&gt;0,VLOOKUP($C1802,ENTI!$U$4:$Z$1003,5,FALSE),"")))</f>
        <v>#N/A</v>
      </c>
      <c r="H1802" s="42" t="e">
        <f ca="1">IF($C$1076&gt;0,VLOOKUP($C1802,COSTI!$U$4:$Z$1003,6,FALSE),IF($C$1075&gt;0,VLOOKUP($C1802,PATRIMONIALE!$U$4:$Z$1003,6,FALSE),IF($C$1074&gt;0,VLOOKUP($C1802,ENTI!$U$4:$Z$1003,6,FALSE),"")))</f>
        <v>#N/A</v>
      </c>
      <c r="I1802" s="496">
        <v>722</v>
      </c>
      <c r="J1802" s="43" t="e">
        <f ca="1">VLOOKUP(D1802,$F$1081:$I$4183,4,FALSE)+COUNTIF(E$1081:E1801,E1802)</f>
        <v>#N/A</v>
      </c>
      <c r="K1802" s="1"/>
      <c r="L1802" s="39" t="e">
        <f>IF($C$1074&gt;0,VLOOKUP($C1802,ENTI!$U$4:$AD$1003,10,FALSE),"")</f>
        <v>#N/A</v>
      </c>
      <c r="M1802" s="1"/>
      <c r="N1802" s="1"/>
      <c r="O1802" s="1"/>
    </row>
    <row r="1803" spans="1:15" hidden="1">
      <c r="A1803" s="1"/>
      <c r="B1803" s="40" t="e">
        <f t="shared" ca="1" si="214"/>
        <v>#N/A</v>
      </c>
      <c r="C1803" s="496">
        <v>723</v>
      </c>
      <c r="D1803" s="41" t="e">
        <f ca="1">IF($C$1076&gt;0,VLOOKUP($C1803,COSTI!$U$4:$Z$1003,3,FALSE),IF($C$1075&gt;0,VLOOKUP($C1803,PATRIMONIALE!$U$4:$Z$1003,3,FALSE),IF($C$1074&gt;0,VLOOKUP($C1803,ENTI!$U$4:$Z$1003,3,FALSE),"")))</f>
        <v>#N/A</v>
      </c>
      <c r="E1803" s="41" t="str">
        <f t="shared" ca="1" si="215"/>
        <v/>
      </c>
      <c r="F1803" s="41" t="e">
        <f t="shared" ca="1" si="216"/>
        <v>#NUM!</v>
      </c>
      <c r="G1803" s="39" t="e">
        <f ca="1">IF($C$1076&gt;0,VLOOKUP($C1803,COSTI!$U$4:$Z$1003,5,FALSE),IF($C$1075&gt;0,VLOOKUP($C1803,PATRIMONIALE!$U$4:$Z$1003,5,FALSE),IF($C$1074&gt;0,VLOOKUP($C1803,ENTI!$U$4:$Z$1003,5,FALSE),"")))</f>
        <v>#N/A</v>
      </c>
      <c r="H1803" s="42" t="e">
        <f ca="1">IF($C$1076&gt;0,VLOOKUP($C1803,COSTI!$U$4:$Z$1003,6,FALSE),IF($C$1075&gt;0,VLOOKUP($C1803,PATRIMONIALE!$U$4:$Z$1003,6,FALSE),IF($C$1074&gt;0,VLOOKUP($C1803,ENTI!$U$4:$Z$1003,6,FALSE),"")))</f>
        <v>#N/A</v>
      </c>
      <c r="I1803" s="496">
        <v>723</v>
      </c>
      <c r="J1803" s="43" t="e">
        <f ca="1">VLOOKUP(D1803,$F$1081:$I$4183,4,FALSE)+COUNTIF(E$1081:E1802,E1803)</f>
        <v>#N/A</v>
      </c>
      <c r="K1803" s="1"/>
      <c r="L1803" s="39" t="e">
        <f>IF($C$1074&gt;0,VLOOKUP($C1803,ENTI!$U$4:$AD$1003,10,FALSE),"")</f>
        <v>#N/A</v>
      </c>
      <c r="M1803" s="1"/>
      <c r="N1803" s="1"/>
      <c r="O1803" s="1"/>
    </row>
    <row r="1804" spans="1:15" hidden="1">
      <c r="A1804" s="1"/>
      <c r="B1804" s="40" t="e">
        <f t="shared" ca="1" si="214"/>
        <v>#N/A</v>
      </c>
      <c r="C1804" s="496">
        <v>724</v>
      </c>
      <c r="D1804" s="41" t="e">
        <f ca="1">IF($C$1076&gt;0,VLOOKUP($C1804,COSTI!$U$4:$Z$1003,3,FALSE),IF($C$1075&gt;0,VLOOKUP($C1804,PATRIMONIALE!$U$4:$Z$1003,3,FALSE),IF($C$1074&gt;0,VLOOKUP($C1804,ENTI!$U$4:$Z$1003,3,FALSE),"")))</f>
        <v>#N/A</v>
      </c>
      <c r="E1804" s="41" t="str">
        <f t="shared" ca="1" si="215"/>
        <v/>
      </c>
      <c r="F1804" s="41" t="e">
        <f t="shared" ca="1" si="216"/>
        <v>#NUM!</v>
      </c>
      <c r="G1804" s="39" t="e">
        <f ca="1">IF($C$1076&gt;0,VLOOKUP($C1804,COSTI!$U$4:$Z$1003,5,FALSE),IF($C$1075&gt;0,VLOOKUP($C1804,PATRIMONIALE!$U$4:$Z$1003,5,FALSE),IF($C$1074&gt;0,VLOOKUP($C1804,ENTI!$U$4:$Z$1003,5,FALSE),"")))</f>
        <v>#N/A</v>
      </c>
      <c r="H1804" s="42" t="e">
        <f ca="1">IF($C$1076&gt;0,VLOOKUP($C1804,COSTI!$U$4:$Z$1003,6,FALSE),IF($C$1075&gt;0,VLOOKUP($C1804,PATRIMONIALE!$U$4:$Z$1003,6,FALSE),IF($C$1074&gt;0,VLOOKUP($C1804,ENTI!$U$4:$Z$1003,6,FALSE),"")))</f>
        <v>#N/A</v>
      </c>
      <c r="I1804" s="496">
        <v>724</v>
      </c>
      <c r="J1804" s="43" t="e">
        <f ca="1">VLOOKUP(D1804,$F$1081:$I$4183,4,FALSE)+COUNTIF(E$1081:E1803,E1804)</f>
        <v>#N/A</v>
      </c>
      <c r="K1804" s="1"/>
      <c r="L1804" s="39" t="e">
        <f>IF($C$1074&gt;0,VLOOKUP($C1804,ENTI!$U$4:$AD$1003,10,FALSE),"")</f>
        <v>#N/A</v>
      </c>
      <c r="M1804" s="1"/>
      <c r="N1804" s="1"/>
      <c r="O1804" s="1"/>
    </row>
    <row r="1805" spans="1:15" hidden="1">
      <c r="A1805" s="1"/>
      <c r="B1805" s="40" t="e">
        <f t="shared" ca="1" si="214"/>
        <v>#N/A</v>
      </c>
      <c r="C1805" s="496">
        <v>725</v>
      </c>
      <c r="D1805" s="41" t="e">
        <f ca="1">IF($C$1076&gt;0,VLOOKUP($C1805,COSTI!$U$4:$Z$1003,3,FALSE),IF($C$1075&gt;0,VLOOKUP($C1805,PATRIMONIALE!$U$4:$Z$1003,3,FALSE),IF($C$1074&gt;0,VLOOKUP($C1805,ENTI!$U$4:$Z$1003,3,FALSE),"")))</f>
        <v>#N/A</v>
      </c>
      <c r="E1805" s="41" t="str">
        <f t="shared" ca="1" si="215"/>
        <v/>
      </c>
      <c r="F1805" s="41" t="e">
        <f t="shared" ca="1" si="216"/>
        <v>#NUM!</v>
      </c>
      <c r="G1805" s="39" t="e">
        <f ca="1">IF($C$1076&gt;0,VLOOKUP($C1805,COSTI!$U$4:$Z$1003,5,FALSE),IF($C$1075&gt;0,VLOOKUP($C1805,PATRIMONIALE!$U$4:$Z$1003,5,FALSE),IF($C$1074&gt;0,VLOOKUP($C1805,ENTI!$U$4:$Z$1003,5,FALSE),"")))</f>
        <v>#N/A</v>
      </c>
      <c r="H1805" s="42" t="e">
        <f ca="1">IF($C$1076&gt;0,VLOOKUP($C1805,COSTI!$U$4:$Z$1003,6,FALSE),IF($C$1075&gt;0,VLOOKUP($C1805,PATRIMONIALE!$U$4:$Z$1003,6,FALSE),IF($C$1074&gt;0,VLOOKUP($C1805,ENTI!$U$4:$Z$1003,6,FALSE),"")))</f>
        <v>#N/A</v>
      </c>
      <c r="I1805" s="496">
        <v>725</v>
      </c>
      <c r="J1805" s="43" t="e">
        <f ca="1">VLOOKUP(D1805,$F$1081:$I$4183,4,FALSE)+COUNTIF(E$1081:E1804,E1805)</f>
        <v>#N/A</v>
      </c>
      <c r="K1805" s="1"/>
      <c r="L1805" s="39" t="e">
        <f>IF($C$1074&gt;0,VLOOKUP($C1805,ENTI!$U$4:$AD$1003,10,FALSE),"")</f>
        <v>#N/A</v>
      </c>
      <c r="M1805" s="1"/>
      <c r="N1805" s="1"/>
      <c r="O1805" s="1"/>
    </row>
    <row r="1806" spans="1:15" hidden="1">
      <c r="A1806" s="1"/>
      <c r="B1806" s="40" t="e">
        <f t="shared" ca="1" si="214"/>
        <v>#N/A</v>
      </c>
      <c r="C1806" s="496">
        <v>726</v>
      </c>
      <c r="D1806" s="41" t="e">
        <f ca="1">IF($C$1076&gt;0,VLOOKUP($C1806,COSTI!$U$4:$Z$1003,3,FALSE),IF($C$1075&gt;0,VLOOKUP($C1806,PATRIMONIALE!$U$4:$Z$1003,3,FALSE),IF($C$1074&gt;0,VLOOKUP($C1806,ENTI!$U$4:$Z$1003,3,FALSE),"")))</f>
        <v>#N/A</v>
      </c>
      <c r="E1806" s="41" t="str">
        <f t="shared" ca="1" si="215"/>
        <v/>
      </c>
      <c r="F1806" s="41" t="e">
        <f t="shared" ca="1" si="216"/>
        <v>#NUM!</v>
      </c>
      <c r="G1806" s="39" t="e">
        <f ca="1">IF($C$1076&gt;0,VLOOKUP($C1806,COSTI!$U$4:$Z$1003,5,FALSE),IF($C$1075&gt;0,VLOOKUP($C1806,PATRIMONIALE!$U$4:$Z$1003,5,FALSE),IF($C$1074&gt;0,VLOOKUP($C1806,ENTI!$U$4:$Z$1003,5,FALSE),"")))</f>
        <v>#N/A</v>
      </c>
      <c r="H1806" s="42" t="e">
        <f ca="1">IF($C$1076&gt;0,VLOOKUP($C1806,COSTI!$U$4:$Z$1003,6,FALSE),IF($C$1075&gt;0,VLOOKUP($C1806,PATRIMONIALE!$U$4:$Z$1003,6,FALSE),IF($C$1074&gt;0,VLOOKUP($C1806,ENTI!$U$4:$Z$1003,6,FALSE),"")))</f>
        <v>#N/A</v>
      </c>
      <c r="I1806" s="496">
        <v>726</v>
      </c>
      <c r="J1806" s="43" t="e">
        <f ca="1">VLOOKUP(D1806,$F$1081:$I$4183,4,FALSE)+COUNTIF(E$1081:E1805,E1806)</f>
        <v>#N/A</v>
      </c>
      <c r="K1806" s="1"/>
      <c r="L1806" s="39" t="e">
        <f>IF($C$1074&gt;0,VLOOKUP($C1806,ENTI!$U$4:$AD$1003,10,FALSE),"")</f>
        <v>#N/A</v>
      </c>
      <c r="M1806" s="1"/>
      <c r="N1806" s="1"/>
      <c r="O1806" s="1"/>
    </row>
    <row r="1807" spans="1:15" hidden="1">
      <c r="A1807" s="1"/>
      <c r="B1807" s="40" t="e">
        <f t="shared" ca="1" si="214"/>
        <v>#N/A</v>
      </c>
      <c r="C1807" s="496">
        <v>727</v>
      </c>
      <c r="D1807" s="41" t="e">
        <f ca="1">IF($C$1076&gt;0,VLOOKUP($C1807,COSTI!$U$4:$Z$1003,3,FALSE),IF($C$1075&gt;0,VLOOKUP($C1807,PATRIMONIALE!$U$4:$Z$1003,3,FALSE),IF($C$1074&gt;0,VLOOKUP($C1807,ENTI!$U$4:$Z$1003,3,FALSE),"")))</f>
        <v>#N/A</v>
      </c>
      <c r="E1807" s="41" t="str">
        <f t="shared" ca="1" si="215"/>
        <v/>
      </c>
      <c r="F1807" s="41" t="e">
        <f t="shared" ca="1" si="216"/>
        <v>#NUM!</v>
      </c>
      <c r="G1807" s="39" t="e">
        <f ca="1">IF($C$1076&gt;0,VLOOKUP($C1807,COSTI!$U$4:$Z$1003,5,FALSE),IF($C$1075&gt;0,VLOOKUP($C1807,PATRIMONIALE!$U$4:$Z$1003,5,FALSE),IF($C$1074&gt;0,VLOOKUP($C1807,ENTI!$U$4:$Z$1003,5,FALSE),"")))</f>
        <v>#N/A</v>
      </c>
      <c r="H1807" s="42" t="e">
        <f ca="1">IF($C$1076&gt;0,VLOOKUP($C1807,COSTI!$U$4:$Z$1003,6,FALSE),IF($C$1075&gt;0,VLOOKUP($C1807,PATRIMONIALE!$U$4:$Z$1003,6,FALSE),IF($C$1074&gt;0,VLOOKUP($C1807,ENTI!$U$4:$Z$1003,6,FALSE),"")))</f>
        <v>#N/A</v>
      </c>
      <c r="I1807" s="496">
        <v>727</v>
      </c>
      <c r="J1807" s="43" t="e">
        <f ca="1">VLOOKUP(D1807,$F$1081:$I$4183,4,FALSE)+COUNTIF(E$1081:E1806,E1807)</f>
        <v>#N/A</v>
      </c>
      <c r="K1807" s="1"/>
      <c r="L1807" s="39" t="e">
        <f>IF($C$1074&gt;0,VLOOKUP($C1807,ENTI!$U$4:$AD$1003,10,FALSE),"")</f>
        <v>#N/A</v>
      </c>
      <c r="M1807" s="1"/>
      <c r="N1807" s="1"/>
      <c r="O1807" s="1"/>
    </row>
    <row r="1808" spans="1:15" hidden="1">
      <c r="A1808" s="1"/>
      <c r="B1808" s="40" t="e">
        <f t="shared" ca="1" si="214"/>
        <v>#N/A</v>
      </c>
      <c r="C1808" s="496">
        <v>728</v>
      </c>
      <c r="D1808" s="41" t="e">
        <f ca="1">IF($C$1076&gt;0,VLOOKUP($C1808,COSTI!$U$4:$Z$1003,3,FALSE),IF($C$1075&gt;0,VLOOKUP($C1808,PATRIMONIALE!$U$4:$Z$1003,3,FALSE),IF($C$1074&gt;0,VLOOKUP($C1808,ENTI!$U$4:$Z$1003,3,FALSE),"")))</f>
        <v>#N/A</v>
      </c>
      <c r="E1808" s="41" t="str">
        <f t="shared" ca="1" si="215"/>
        <v/>
      </c>
      <c r="F1808" s="41" t="e">
        <f t="shared" ca="1" si="216"/>
        <v>#NUM!</v>
      </c>
      <c r="G1808" s="39" t="e">
        <f ca="1">IF($C$1076&gt;0,VLOOKUP($C1808,COSTI!$U$4:$Z$1003,5,FALSE),IF($C$1075&gt;0,VLOOKUP($C1808,PATRIMONIALE!$U$4:$Z$1003,5,FALSE),IF($C$1074&gt;0,VLOOKUP($C1808,ENTI!$U$4:$Z$1003,5,FALSE),"")))</f>
        <v>#N/A</v>
      </c>
      <c r="H1808" s="42" t="e">
        <f ca="1">IF($C$1076&gt;0,VLOOKUP($C1808,COSTI!$U$4:$Z$1003,6,FALSE),IF($C$1075&gt;0,VLOOKUP($C1808,PATRIMONIALE!$U$4:$Z$1003,6,FALSE),IF($C$1074&gt;0,VLOOKUP($C1808,ENTI!$U$4:$Z$1003,6,FALSE),"")))</f>
        <v>#N/A</v>
      </c>
      <c r="I1808" s="496">
        <v>728</v>
      </c>
      <c r="J1808" s="43" t="e">
        <f ca="1">VLOOKUP(D1808,$F$1081:$I$4183,4,FALSE)+COUNTIF(E$1081:E1807,E1808)</f>
        <v>#N/A</v>
      </c>
      <c r="K1808" s="1"/>
      <c r="L1808" s="39" t="e">
        <f>IF($C$1074&gt;0,VLOOKUP($C1808,ENTI!$U$4:$AD$1003,10,FALSE),"")</f>
        <v>#N/A</v>
      </c>
      <c r="M1808" s="1"/>
      <c r="N1808" s="1"/>
      <c r="O1808" s="1"/>
    </row>
    <row r="1809" spans="1:15" hidden="1">
      <c r="A1809" s="1"/>
      <c r="B1809" s="40" t="e">
        <f t="shared" ca="1" si="214"/>
        <v>#N/A</v>
      </c>
      <c r="C1809" s="496">
        <v>729</v>
      </c>
      <c r="D1809" s="41" t="e">
        <f ca="1">IF($C$1076&gt;0,VLOOKUP($C1809,COSTI!$U$4:$Z$1003,3,FALSE),IF($C$1075&gt;0,VLOOKUP($C1809,PATRIMONIALE!$U$4:$Z$1003,3,FALSE),IF($C$1074&gt;0,VLOOKUP($C1809,ENTI!$U$4:$Z$1003,3,FALSE),"")))</f>
        <v>#N/A</v>
      </c>
      <c r="E1809" s="41" t="str">
        <f t="shared" ca="1" si="215"/>
        <v/>
      </c>
      <c r="F1809" s="41" t="e">
        <f t="shared" ca="1" si="216"/>
        <v>#NUM!</v>
      </c>
      <c r="G1809" s="39" t="e">
        <f ca="1">IF($C$1076&gt;0,VLOOKUP($C1809,COSTI!$U$4:$Z$1003,5,FALSE),IF($C$1075&gt;0,VLOOKUP($C1809,PATRIMONIALE!$U$4:$Z$1003,5,FALSE),IF($C$1074&gt;0,VLOOKUP($C1809,ENTI!$U$4:$Z$1003,5,FALSE),"")))</f>
        <v>#N/A</v>
      </c>
      <c r="H1809" s="42" t="e">
        <f ca="1">IF($C$1076&gt;0,VLOOKUP($C1809,COSTI!$U$4:$Z$1003,6,FALSE),IF($C$1075&gt;0,VLOOKUP($C1809,PATRIMONIALE!$U$4:$Z$1003,6,FALSE),IF($C$1074&gt;0,VLOOKUP($C1809,ENTI!$U$4:$Z$1003,6,FALSE),"")))</f>
        <v>#N/A</v>
      </c>
      <c r="I1809" s="496">
        <v>729</v>
      </c>
      <c r="J1809" s="43" t="e">
        <f ca="1">VLOOKUP(D1809,$F$1081:$I$4183,4,FALSE)+COUNTIF(E$1081:E1808,E1809)</f>
        <v>#N/A</v>
      </c>
      <c r="K1809" s="1"/>
      <c r="L1809" s="39" t="e">
        <f>IF($C$1074&gt;0,VLOOKUP($C1809,ENTI!$U$4:$AD$1003,10,FALSE),"")</f>
        <v>#N/A</v>
      </c>
      <c r="M1809" s="1"/>
      <c r="N1809" s="1"/>
      <c r="O1809" s="1"/>
    </row>
    <row r="1810" spans="1:15" hidden="1">
      <c r="A1810" s="1"/>
      <c r="B1810" s="40" t="e">
        <f t="shared" ca="1" si="214"/>
        <v>#N/A</v>
      </c>
      <c r="C1810" s="496">
        <v>730</v>
      </c>
      <c r="D1810" s="41" t="e">
        <f ca="1">IF($C$1076&gt;0,VLOOKUP($C1810,COSTI!$U$4:$Z$1003,3,FALSE),IF($C$1075&gt;0,VLOOKUP($C1810,PATRIMONIALE!$U$4:$Z$1003,3,FALSE),IF($C$1074&gt;0,VLOOKUP($C1810,ENTI!$U$4:$Z$1003,3,FALSE),"")))</f>
        <v>#N/A</v>
      </c>
      <c r="E1810" s="41" t="str">
        <f t="shared" ca="1" si="215"/>
        <v/>
      </c>
      <c r="F1810" s="41" t="e">
        <f t="shared" ca="1" si="216"/>
        <v>#NUM!</v>
      </c>
      <c r="G1810" s="39" t="e">
        <f ca="1">IF($C$1076&gt;0,VLOOKUP($C1810,COSTI!$U$4:$Z$1003,5,FALSE),IF($C$1075&gt;0,VLOOKUP($C1810,PATRIMONIALE!$U$4:$Z$1003,5,FALSE),IF($C$1074&gt;0,VLOOKUP($C1810,ENTI!$U$4:$Z$1003,5,FALSE),"")))</f>
        <v>#N/A</v>
      </c>
      <c r="H1810" s="42" t="e">
        <f ca="1">IF($C$1076&gt;0,VLOOKUP($C1810,COSTI!$U$4:$Z$1003,6,FALSE),IF($C$1075&gt;0,VLOOKUP($C1810,PATRIMONIALE!$U$4:$Z$1003,6,FALSE),IF($C$1074&gt;0,VLOOKUP($C1810,ENTI!$U$4:$Z$1003,6,FALSE),"")))</f>
        <v>#N/A</v>
      </c>
      <c r="I1810" s="496">
        <v>730</v>
      </c>
      <c r="J1810" s="43" t="e">
        <f ca="1">VLOOKUP(D1810,$F$1081:$I$4183,4,FALSE)+COUNTIF(E$1081:E1809,E1810)</f>
        <v>#N/A</v>
      </c>
      <c r="K1810" s="1"/>
      <c r="L1810" s="39" t="e">
        <f>IF($C$1074&gt;0,VLOOKUP($C1810,ENTI!$U$4:$AD$1003,10,FALSE),"")</f>
        <v>#N/A</v>
      </c>
      <c r="M1810" s="1"/>
      <c r="N1810" s="1"/>
      <c r="O1810" s="1"/>
    </row>
    <row r="1811" spans="1:15" hidden="1">
      <c r="A1811" s="1"/>
      <c r="B1811" s="40" t="e">
        <f t="shared" ca="1" si="214"/>
        <v>#N/A</v>
      </c>
      <c r="C1811" s="496">
        <v>731</v>
      </c>
      <c r="D1811" s="41" t="e">
        <f ca="1">IF($C$1076&gt;0,VLOOKUP($C1811,COSTI!$U$4:$Z$1003,3,FALSE),IF($C$1075&gt;0,VLOOKUP($C1811,PATRIMONIALE!$U$4:$Z$1003,3,FALSE),IF($C$1074&gt;0,VLOOKUP($C1811,ENTI!$U$4:$Z$1003,3,FALSE),"")))</f>
        <v>#N/A</v>
      </c>
      <c r="E1811" s="41" t="str">
        <f t="shared" ca="1" si="215"/>
        <v/>
      </c>
      <c r="F1811" s="41" t="e">
        <f t="shared" ca="1" si="216"/>
        <v>#NUM!</v>
      </c>
      <c r="G1811" s="39" t="e">
        <f ca="1">IF($C$1076&gt;0,VLOOKUP($C1811,COSTI!$U$4:$Z$1003,5,FALSE),IF($C$1075&gt;0,VLOOKUP($C1811,PATRIMONIALE!$U$4:$Z$1003,5,FALSE),IF($C$1074&gt;0,VLOOKUP($C1811,ENTI!$U$4:$Z$1003,5,FALSE),"")))</f>
        <v>#N/A</v>
      </c>
      <c r="H1811" s="42" t="e">
        <f ca="1">IF($C$1076&gt;0,VLOOKUP($C1811,COSTI!$U$4:$Z$1003,6,FALSE),IF($C$1075&gt;0,VLOOKUP($C1811,PATRIMONIALE!$U$4:$Z$1003,6,FALSE),IF($C$1074&gt;0,VLOOKUP($C1811,ENTI!$U$4:$Z$1003,6,FALSE),"")))</f>
        <v>#N/A</v>
      </c>
      <c r="I1811" s="496">
        <v>731</v>
      </c>
      <c r="J1811" s="43" t="e">
        <f ca="1">VLOOKUP(D1811,$F$1081:$I$4183,4,FALSE)+COUNTIF(E$1081:E1810,E1811)</f>
        <v>#N/A</v>
      </c>
      <c r="K1811" s="1"/>
      <c r="L1811" s="39" t="e">
        <f>IF($C$1074&gt;0,VLOOKUP($C1811,ENTI!$U$4:$AD$1003,10,FALSE),"")</f>
        <v>#N/A</v>
      </c>
      <c r="M1811" s="1"/>
      <c r="N1811" s="1"/>
      <c r="O1811" s="1"/>
    </row>
    <row r="1812" spans="1:15" hidden="1">
      <c r="A1812" s="1"/>
      <c r="B1812" s="40" t="e">
        <f t="shared" ca="1" si="214"/>
        <v>#N/A</v>
      </c>
      <c r="C1812" s="496">
        <v>732</v>
      </c>
      <c r="D1812" s="41" t="e">
        <f ca="1">IF($C$1076&gt;0,VLOOKUP($C1812,COSTI!$U$4:$Z$1003,3,FALSE),IF($C$1075&gt;0,VLOOKUP($C1812,PATRIMONIALE!$U$4:$Z$1003,3,FALSE),IF($C$1074&gt;0,VLOOKUP($C1812,ENTI!$U$4:$Z$1003,3,FALSE),"")))</f>
        <v>#N/A</v>
      </c>
      <c r="E1812" s="41" t="str">
        <f t="shared" ca="1" si="215"/>
        <v/>
      </c>
      <c r="F1812" s="41" t="e">
        <f t="shared" ca="1" si="216"/>
        <v>#NUM!</v>
      </c>
      <c r="G1812" s="39" t="e">
        <f ca="1">IF($C$1076&gt;0,VLOOKUP($C1812,COSTI!$U$4:$Z$1003,5,FALSE),IF($C$1075&gt;0,VLOOKUP($C1812,PATRIMONIALE!$U$4:$Z$1003,5,FALSE),IF($C$1074&gt;0,VLOOKUP($C1812,ENTI!$U$4:$Z$1003,5,FALSE),"")))</f>
        <v>#N/A</v>
      </c>
      <c r="H1812" s="42" t="e">
        <f ca="1">IF($C$1076&gt;0,VLOOKUP($C1812,COSTI!$U$4:$Z$1003,6,FALSE),IF($C$1075&gt;0,VLOOKUP($C1812,PATRIMONIALE!$U$4:$Z$1003,6,FALSE),IF($C$1074&gt;0,VLOOKUP($C1812,ENTI!$U$4:$Z$1003,6,FALSE),"")))</f>
        <v>#N/A</v>
      </c>
      <c r="I1812" s="496">
        <v>732</v>
      </c>
      <c r="J1812" s="43" t="e">
        <f ca="1">VLOOKUP(D1812,$F$1081:$I$4183,4,FALSE)+COUNTIF(E$1081:E1811,E1812)</f>
        <v>#N/A</v>
      </c>
      <c r="K1812" s="1"/>
      <c r="L1812" s="39" t="e">
        <f>IF($C$1074&gt;0,VLOOKUP($C1812,ENTI!$U$4:$AD$1003,10,FALSE),"")</f>
        <v>#N/A</v>
      </c>
      <c r="M1812" s="1"/>
      <c r="N1812" s="1"/>
      <c r="O1812" s="1"/>
    </row>
    <row r="1813" spans="1:15" hidden="1">
      <c r="A1813" s="1"/>
      <c r="B1813" s="40" t="e">
        <f t="shared" ca="1" si="214"/>
        <v>#N/A</v>
      </c>
      <c r="C1813" s="496">
        <v>733</v>
      </c>
      <c r="D1813" s="41" t="e">
        <f ca="1">IF($C$1076&gt;0,VLOOKUP($C1813,COSTI!$U$4:$Z$1003,3,FALSE),IF($C$1075&gt;0,VLOOKUP($C1813,PATRIMONIALE!$U$4:$Z$1003,3,FALSE),IF($C$1074&gt;0,VLOOKUP($C1813,ENTI!$U$4:$Z$1003,3,FALSE),"")))</f>
        <v>#N/A</v>
      </c>
      <c r="E1813" s="41" t="str">
        <f t="shared" ca="1" si="215"/>
        <v/>
      </c>
      <c r="F1813" s="41" t="e">
        <f t="shared" ca="1" si="216"/>
        <v>#NUM!</v>
      </c>
      <c r="G1813" s="39" t="e">
        <f ca="1">IF($C$1076&gt;0,VLOOKUP($C1813,COSTI!$U$4:$Z$1003,5,FALSE),IF($C$1075&gt;0,VLOOKUP($C1813,PATRIMONIALE!$U$4:$Z$1003,5,FALSE),IF($C$1074&gt;0,VLOOKUP($C1813,ENTI!$U$4:$Z$1003,5,FALSE),"")))</f>
        <v>#N/A</v>
      </c>
      <c r="H1813" s="42" t="e">
        <f ca="1">IF($C$1076&gt;0,VLOOKUP($C1813,COSTI!$U$4:$Z$1003,6,FALSE),IF($C$1075&gt;0,VLOOKUP($C1813,PATRIMONIALE!$U$4:$Z$1003,6,FALSE),IF($C$1074&gt;0,VLOOKUP($C1813,ENTI!$U$4:$Z$1003,6,FALSE),"")))</f>
        <v>#N/A</v>
      </c>
      <c r="I1813" s="496">
        <v>733</v>
      </c>
      <c r="J1813" s="43" t="e">
        <f ca="1">VLOOKUP(D1813,$F$1081:$I$4183,4,FALSE)+COUNTIF(E$1081:E1812,E1813)</f>
        <v>#N/A</v>
      </c>
      <c r="K1813" s="1"/>
      <c r="L1813" s="39" t="e">
        <f>IF($C$1074&gt;0,VLOOKUP($C1813,ENTI!$U$4:$AD$1003,10,FALSE),"")</f>
        <v>#N/A</v>
      </c>
      <c r="M1813" s="1"/>
      <c r="N1813" s="1"/>
      <c r="O1813" s="1"/>
    </row>
    <row r="1814" spans="1:15" hidden="1">
      <c r="A1814" s="1"/>
      <c r="B1814" s="40" t="e">
        <f t="shared" ca="1" si="214"/>
        <v>#N/A</v>
      </c>
      <c r="C1814" s="496">
        <v>734</v>
      </c>
      <c r="D1814" s="41" t="e">
        <f ca="1">IF($C$1076&gt;0,VLOOKUP($C1814,COSTI!$U$4:$Z$1003,3,FALSE),IF($C$1075&gt;0,VLOOKUP($C1814,PATRIMONIALE!$U$4:$Z$1003,3,FALSE),IF($C$1074&gt;0,VLOOKUP($C1814,ENTI!$U$4:$Z$1003,3,FALSE),"")))</f>
        <v>#N/A</v>
      </c>
      <c r="E1814" s="41" t="str">
        <f t="shared" ca="1" si="215"/>
        <v/>
      </c>
      <c r="F1814" s="41" t="e">
        <f t="shared" ca="1" si="216"/>
        <v>#NUM!</v>
      </c>
      <c r="G1814" s="39" t="e">
        <f ca="1">IF($C$1076&gt;0,VLOOKUP($C1814,COSTI!$U$4:$Z$1003,5,FALSE),IF($C$1075&gt;0,VLOOKUP($C1814,PATRIMONIALE!$U$4:$Z$1003,5,FALSE),IF($C$1074&gt;0,VLOOKUP($C1814,ENTI!$U$4:$Z$1003,5,FALSE),"")))</f>
        <v>#N/A</v>
      </c>
      <c r="H1814" s="42" t="e">
        <f ca="1">IF($C$1076&gt;0,VLOOKUP($C1814,COSTI!$U$4:$Z$1003,6,FALSE),IF($C$1075&gt;0,VLOOKUP($C1814,PATRIMONIALE!$U$4:$Z$1003,6,FALSE),IF($C$1074&gt;0,VLOOKUP($C1814,ENTI!$U$4:$Z$1003,6,FALSE),"")))</f>
        <v>#N/A</v>
      </c>
      <c r="I1814" s="496">
        <v>734</v>
      </c>
      <c r="J1814" s="43" t="e">
        <f ca="1">VLOOKUP(D1814,$F$1081:$I$4183,4,FALSE)+COUNTIF(E$1081:E1813,E1814)</f>
        <v>#N/A</v>
      </c>
      <c r="K1814" s="1"/>
      <c r="L1814" s="39" t="e">
        <f>IF($C$1074&gt;0,VLOOKUP($C1814,ENTI!$U$4:$AD$1003,10,FALSE),"")</f>
        <v>#N/A</v>
      </c>
      <c r="M1814" s="1"/>
      <c r="N1814" s="1"/>
      <c r="O1814" s="1"/>
    </row>
    <row r="1815" spans="1:15" hidden="1">
      <c r="A1815" s="1"/>
      <c r="B1815" s="40" t="e">
        <f t="shared" ca="1" si="214"/>
        <v>#N/A</v>
      </c>
      <c r="C1815" s="496">
        <v>735</v>
      </c>
      <c r="D1815" s="41" t="e">
        <f ca="1">IF($C$1076&gt;0,VLOOKUP($C1815,COSTI!$U$4:$Z$1003,3,FALSE),IF($C$1075&gt;0,VLOOKUP($C1815,PATRIMONIALE!$U$4:$Z$1003,3,FALSE),IF($C$1074&gt;0,VLOOKUP($C1815,ENTI!$U$4:$Z$1003,3,FALSE),"")))</f>
        <v>#N/A</v>
      </c>
      <c r="E1815" s="41" t="str">
        <f t="shared" ca="1" si="215"/>
        <v/>
      </c>
      <c r="F1815" s="41" t="e">
        <f t="shared" ca="1" si="216"/>
        <v>#NUM!</v>
      </c>
      <c r="G1815" s="39" t="e">
        <f ca="1">IF($C$1076&gt;0,VLOOKUP($C1815,COSTI!$U$4:$Z$1003,5,FALSE),IF($C$1075&gt;0,VLOOKUP($C1815,PATRIMONIALE!$U$4:$Z$1003,5,FALSE),IF($C$1074&gt;0,VLOOKUP($C1815,ENTI!$U$4:$Z$1003,5,FALSE),"")))</f>
        <v>#N/A</v>
      </c>
      <c r="H1815" s="42" t="e">
        <f ca="1">IF($C$1076&gt;0,VLOOKUP($C1815,COSTI!$U$4:$Z$1003,6,FALSE),IF($C$1075&gt;0,VLOOKUP($C1815,PATRIMONIALE!$U$4:$Z$1003,6,FALSE),IF($C$1074&gt;0,VLOOKUP($C1815,ENTI!$U$4:$Z$1003,6,FALSE),"")))</f>
        <v>#N/A</v>
      </c>
      <c r="I1815" s="496">
        <v>735</v>
      </c>
      <c r="J1815" s="43" t="e">
        <f ca="1">VLOOKUP(D1815,$F$1081:$I$4183,4,FALSE)+COUNTIF(E$1081:E1814,E1815)</f>
        <v>#N/A</v>
      </c>
      <c r="K1815" s="1"/>
      <c r="L1815" s="39" t="e">
        <f>IF($C$1074&gt;0,VLOOKUP($C1815,ENTI!$U$4:$AD$1003,10,FALSE),"")</f>
        <v>#N/A</v>
      </c>
      <c r="M1815" s="1"/>
      <c r="N1815" s="1"/>
      <c r="O1815" s="1"/>
    </row>
    <row r="1816" spans="1:15" hidden="1">
      <c r="A1816" s="1"/>
      <c r="B1816" s="40" t="e">
        <f t="shared" ca="1" si="214"/>
        <v>#N/A</v>
      </c>
      <c r="C1816" s="496">
        <v>736</v>
      </c>
      <c r="D1816" s="41" t="e">
        <f ca="1">IF($C$1076&gt;0,VLOOKUP($C1816,COSTI!$U$4:$Z$1003,3,FALSE),IF($C$1075&gt;0,VLOOKUP($C1816,PATRIMONIALE!$U$4:$Z$1003,3,FALSE),IF($C$1074&gt;0,VLOOKUP($C1816,ENTI!$U$4:$Z$1003,3,FALSE),"")))</f>
        <v>#N/A</v>
      </c>
      <c r="E1816" s="41" t="str">
        <f t="shared" ca="1" si="215"/>
        <v/>
      </c>
      <c r="F1816" s="41" t="e">
        <f t="shared" ca="1" si="216"/>
        <v>#NUM!</v>
      </c>
      <c r="G1816" s="39" t="e">
        <f ca="1">IF($C$1076&gt;0,VLOOKUP($C1816,COSTI!$U$4:$Z$1003,5,FALSE),IF($C$1075&gt;0,VLOOKUP($C1816,PATRIMONIALE!$U$4:$Z$1003,5,FALSE),IF($C$1074&gt;0,VLOOKUP($C1816,ENTI!$U$4:$Z$1003,5,FALSE),"")))</f>
        <v>#N/A</v>
      </c>
      <c r="H1816" s="42" t="e">
        <f ca="1">IF($C$1076&gt;0,VLOOKUP($C1816,COSTI!$U$4:$Z$1003,6,FALSE),IF($C$1075&gt;0,VLOOKUP($C1816,PATRIMONIALE!$U$4:$Z$1003,6,FALSE),IF($C$1074&gt;0,VLOOKUP($C1816,ENTI!$U$4:$Z$1003,6,FALSE),"")))</f>
        <v>#N/A</v>
      </c>
      <c r="I1816" s="496">
        <v>736</v>
      </c>
      <c r="J1816" s="43" t="e">
        <f ca="1">VLOOKUP(D1816,$F$1081:$I$4183,4,FALSE)+COUNTIF(E$1081:E1815,E1816)</f>
        <v>#N/A</v>
      </c>
      <c r="K1816" s="1"/>
      <c r="L1816" s="39" t="e">
        <f>IF($C$1074&gt;0,VLOOKUP($C1816,ENTI!$U$4:$AD$1003,10,FALSE),"")</f>
        <v>#N/A</v>
      </c>
      <c r="M1816" s="1"/>
      <c r="N1816" s="1"/>
      <c r="O1816" s="1"/>
    </row>
    <row r="1817" spans="1:15" hidden="1">
      <c r="A1817" s="1"/>
      <c r="B1817" s="40" t="e">
        <f t="shared" ca="1" si="214"/>
        <v>#N/A</v>
      </c>
      <c r="C1817" s="496">
        <v>737</v>
      </c>
      <c r="D1817" s="41" t="e">
        <f ca="1">IF($C$1076&gt;0,VLOOKUP($C1817,COSTI!$U$4:$Z$1003,3,FALSE),IF($C$1075&gt;0,VLOOKUP($C1817,PATRIMONIALE!$U$4:$Z$1003,3,FALSE),IF($C$1074&gt;0,VLOOKUP($C1817,ENTI!$U$4:$Z$1003,3,FALSE),"")))</f>
        <v>#N/A</v>
      </c>
      <c r="E1817" s="41" t="str">
        <f t="shared" ca="1" si="215"/>
        <v/>
      </c>
      <c r="F1817" s="41" t="e">
        <f t="shared" ca="1" si="216"/>
        <v>#NUM!</v>
      </c>
      <c r="G1817" s="39" t="e">
        <f ca="1">IF($C$1076&gt;0,VLOOKUP($C1817,COSTI!$U$4:$Z$1003,5,FALSE),IF($C$1075&gt;0,VLOOKUP($C1817,PATRIMONIALE!$U$4:$Z$1003,5,FALSE),IF($C$1074&gt;0,VLOOKUP($C1817,ENTI!$U$4:$Z$1003,5,FALSE),"")))</f>
        <v>#N/A</v>
      </c>
      <c r="H1817" s="42" t="e">
        <f ca="1">IF($C$1076&gt;0,VLOOKUP($C1817,COSTI!$U$4:$Z$1003,6,FALSE),IF($C$1075&gt;0,VLOOKUP($C1817,PATRIMONIALE!$U$4:$Z$1003,6,FALSE),IF($C$1074&gt;0,VLOOKUP($C1817,ENTI!$U$4:$Z$1003,6,FALSE),"")))</f>
        <v>#N/A</v>
      </c>
      <c r="I1817" s="496">
        <v>737</v>
      </c>
      <c r="J1817" s="43" t="e">
        <f ca="1">VLOOKUP(D1817,$F$1081:$I$4183,4,FALSE)+COUNTIF(E$1081:E1816,E1817)</f>
        <v>#N/A</v>
      </c>
      <c r="K1817" s="1"/>
      <c r="L1817" s="39" t="e">
        <f>IF($C$1074&gt;0,VLOOKUP($C1817,ENTI!$U$4:$AD$1003,10,FALSE),"")</f>
        <v>#N/A</v>
      </c>
      <c r="M1817" s="1"/>
      <c r="N1817" s="1"/>
      <c r="O1817" s="1"/>
    </row>
    <row r="1818" spans="1:15" hidden="1">
      <c r="A1818" s="1"/>
      <c r="B1818" s="40" t="e">
        <f t="shared" ca="1" si="214"/>
        <v>#N/A</v>
      </c>
      <c r="C1818" s="496">
        <v>738</v>
      </c>
      <c r="D1818" s="41" t="e">
        <f ca="1">IF($C$1076&gt;0,VLOOKUP($C1818,COSTI!$U$4:$Z$1003,3,FALSE),IF($C$1075&gt;0,VLOOKUP($C1818,PATRIMONIALE!$U$4:$Z$1003,3,FALSE),IF($C$1074&gt;0,VLOOKUP($C1818,ENTI!$U$4:$Z$1003,3,FALSE),"")))</f>
        <v>#N/A</v>
      </c>
      <c r="E1818" s="41" t="str">
        <f t="shared" ca="1" si="215"/>
        <v/>
      </c>
      <c r="F1818" s="41" t="e">
        <f t="shared" ca="1" si="216"/>
        <v>#NUM!</v>
      </c>
      <c r="G1818" s="39" t="e">
        <f ca="1">IF($C$1076&gt;0,VLOOKUP($C1818,COSTI!$U$4:$Z$1003,5,FALSE),IF($C$1075&gt;0,VLOOKUP($C1818,PATRIMONIALE!$U$4:$Z$1003,5,FALSE),IF($C$1074&gt;0,VLOOKUP($C1818,ENTI!$U$4:$Z$1003,5,FALSE),"")))</f>
        <v>#N/A</v>
      </c>
      <c r="H1818" s="42" t="e">
        <f ca="1">IF($C$1076&gt;0,VLOOKUP($C1818,COSTI!$U$4:$Z$1003,6,FALSE),IF($C$1075&gt;0,VLOOKUP($C1818,PATRIMONIALE!$U$4:$Z$1003,6,FALSE),IF($C$1074&gt;0,VLOOKUP($C1818,ENTI!$U$4:$Z$1003,6,FALSE),"")))</f>
        <v>#N/A</v>
      </c>
      <c r="I1818" s="496">
        <v>738</v>
      </c>
      <c r="J1818" s="43" t="e">
        <f ca="1">VLOOKUP(D1818,$F$1081:$I$4183,4,FALSE)+COUNTIF(E$1081:E1817,E1818)</f>
        <v>#N/A</v>
      </c>
      <c r="K1818" s="1"/>
      <c r="L1818" s="39" t="e">
        <f>IF($C$1074&gt;0,VLOOKUP($C1818,ENTI!$U$4:$AD$1003,10,FALSE),"")</f>
        <v>#N/A</v>
      </c>
      <c r="M1818" s="1"/>
      <c r="N1818" s="1"/>
      <c r="O1818" s="1"/>
    </row>
    <row r="1819" spans="1:15" hidden="1">
      <c r="A1819" s="1"/>
      <c r="B1819" s="40" t="e">
        <f t="shared" ca="1" si="214"/>
        <v>#N/A</v>
      </c>
      <c r="C1819" s="496">
        <v>739</v>
      </c>
      <c r="D1819" s="41" t="e">
        <f ca="1">IF($C$1076&gt;0,VLOOKUP($C1819,COSTI!$U$4:$Z$1003,3,FALSE),IF($C$1075&gt;0,VLOOKUP($C1819,PATRIMONIALE!$U$4:$Z$1003,3,FALSE),IF($C$1074&gt;0,VLOOKUP($C1819,ENTI!$U$4:$Z$1003,3,FALSE),"")))</f>
        <v>#N/A</v>
      </c>
      <c r="E1819" s="41" t="str">
        <f t="shared" ca="1" si="215"/>
        <v/>
      </c>
      <c r="F1819" s="41" t="e">
        <f t="shared" ca="1" si="216"/>
        <v>#NUM!</v>
      </c>
      <c r="G1819" s="39" t="e">
        <f ca="1">IF($C$1076&gt;0,VLOOKUP($C1819,COSTI!$U$4:$Z$1003,5,FALSE),IF($C$1075&gt;0,VLOOKUP($C1819,PATRIMONIALE!$U$4:$Z$1003,5,FALSE),IF($C$1074&gt;0,VLOOKUP($C1819,ENTI!$U$4:$Z$1003,5,FALSE),"")))</f>
        <v>#N/A</v>
      </c>
      <c r="H1819" s="42" t="e">
        <f ca="1">IF($C$1076&gt;0,VLOOKUP($C1819,COSTI!$U$4:$Z$1003,6,FALSE),IF($C$1075&gt;0,VLOOKUP($C1819,PATRIMONIALE!$U$4:$Z$1003,6,FALSE),IF($C$1074&gt;0,VLOOKUP($C1819,ENTI!$U$4:$Z$1003,6,FALSE),"")))</f>
        <v>#N/A</v>
      </c>
      <c r="I1819" s="496">
        <v>739</v>
      </c>
      <c r="J1819" s="43" t="e">
        <f ca="1">VLOOKUP(D1819,$F$1081:$I$4183,4,FALSE)+COUNTIF(E$1081:E1818,E1819)</f>
        <v>#N/A</v>
      </c>
      <c r="K1819" s="1"/>
      <c r="L1819" s="39" t="e">
        <f>IF($C$1074&gt;0,VLOOKUP($C1819,ENTI!$U$4:$AD$1003,10,FALSE),"")</f>
        <v>#N/A</v>
      </c>
      <c r="M1819" s="1"/>
      <c r="N1819" s="1"/>
      <c r="O1819" s="1"/>
    </row>
    <row r="1820" spans="1:15" hidden="1">
      <c r="A1820" s="1"/>
      <c r="B1820" s="40" t="e">
        <f t="shared" ca="1" si="214"/>
        <v>#N/A</v>
      </c>
      <c r="C1820" s="496">
        <v>740</v>
      </c>
      <c r="D1820" s="41" t="e">
        <f ca="1">IF($C$1076&gt;0,VLOOKUP($C1820,COSTI!$U$4:$Z$1003,3,FALSE),IF($C$1075&gt;0,VLOOKUP($C1820,PATRIMONIALE!$U$4:$Z$1003,3,FALSE),IF($C$1074&gt;0,VLOOKUP($C1820,ENTI!$U$4:$Z$1003,3,FALSE),"")))</f>
        <v>#N/A</v>
      </c>
      <c r="E1820" s="41" t="str">
        <f t="shared" ca="1" si="215"/>
        <v/>
      </c>
      <c r="F1820" s="41" t="e">
        <f t="shared" ca="1" si="216"/>
        <v>#NUM!</v>
      </c>
      <c r="G1820" s="39" t="e">
        <f ca="1">IF($C$1076&gt;0,VLOOKUP($C1820,COSTI!$U$4:$Z$1003,5,FALSE),IF($C$1075&gt;0,VLOOKUP($C1820,PATRIMONIALE!$U$4:$Z$1003,5,FALSE),IF($C$1074&gt;0,VLOOKUP($C1820,ENTI!$U$4:$Z$1003,5,FALSE),"")))</f>
        <v>#N/A</v>
      </c>
      <c r="H1820" s="42" t="e">
        <f ca="1">IF($C$1076&gt;0,VLOOKUP($C1820,COSTI!$U$4:$Z$1003,6,FALSE),IF($C$1075&gt;0,VLOOKUP($C1820,PATRIMONIALE!$U$4:$Z$1003,6,FALSE),IF($C$1074&gt;0,VLOOKUP($C1820,ENTI!$U$4:$Z$1003,6,FALSE),"")))</f>
        <v>#N/A</v>
      </c>
      <c r="I1820" s="496">
        <v>740</v>
      </c>
      <c r="J1820" s="43" t="e">
        <f ca="1">VLOOKUP(D1820,$F$1081:$I$4183,4,FALSE)+COUNTIF(E$1081:E1819,E1820)</f>
        <v>#N/A</v>
      </c>
      <c r="K1820" s="1"/>
      <c r="L1820" s="39" t="e">
        <f>IF($C$1074&gt;0,VLOOKUP($C1820,ENTI!$U$4:$AD$1003,10,FALSE),"")</f>
        <v>#N/A</v>
      </c>
      <c r="M1820" s="1"/>
      <c r="N1820" s="1"/>
      <c r="O1820" s="1"/>
    </row>
    <row r="1821" spans="1:15" hidden="1">
      <c r="A1821" s="1"/>
      <c r="B1821" s="40" t="e">
        <f t="shared" ca="1" si="214"/>
        <v>#N/A</v>
      </c>
      <c r="C1821" s="496">
        <v>741</v>
      </c>
      <c r="D1821" s="41" t="e">
        <f ca="1">IF($C$1076&gt;0,VLOOKUP($C1821,COSTI!$U$4:$Z$1003,3,FALSE),IF($C$1075&gt;0,VLOOKUP($C1821,PATRIMONIALE!$U$4:$Z$1003,3,FALSE),IF($C$1074&gt;0,VLOOKUP($C1821,ENTI!$U$4:$Z$1003,3,FALSE),"")))</f>
        <v>#N/A</v>
      </c>
      <c r="E1821" s="41" t="str">
        <f t="shared" ca="1" si="215"/>
        <v/>
      </c>
      <c r="F1821" s="41" t="e">
        <f t="shared" ca="1" si="216"/>
        <v>#NUM!</v>
      </c>
      <c r="G1821" s="39" t="e">
        <f ca="1">IF($C$1076&gt;0,VLOOKUP($C1821,COSTI!$U$4:$Z$1003,5,FALSE),IF($C$1075&gt;0,VLOOKUP($C1821,PATRIMONIALE!$U$4:$Z$1003,5,FALSE),IF($C$1074&gt;0,VLOOKUP($C1821,ENTI!$U$4:$Z$1003,5,FALSE),"")))</f>
        <v>#N/A</v>
      </c>
      <c r="H1821" s="42" t="e">
        <f ca="1">IF($C$1076&gt;0,VLOOKUP($C1821,COSTI!$U$4:$Z$1003,6,FALSE),IF($C$1075&gt;0,VLOOKUP($C1821,PATRIMONIALE!$U$4:$Z$1003,6,FALSE),IF($C$1074&gt;0,VLOOKUP($C1821,ENTI!$U$4:$Z$1003,6,FALSE),"")))</f>
        <v>#N/A</v>
      </c>
      <c r="I1821" s="496">
        <v>741</v>
      </c>
      <c r="J1821" s="43" t="e">
        <f ca="1">VLOOKUP(D1821,$F$1081:$I$4183,4,FALSE)+COUNTIF(E$1081:E1820,E1821)</f>
        <v>#N/A</v>
      </c>
      <c r="K1821" s="1"/>
      <c r="L1821" s="39" t="e">
        <f>IF($C$1074&gt;0,VLOOKUP($C1821,ENTI!$U$4:$AD$1003,10,FALSE),"")</f>
        <v>#N/A</v>
      </c>
      <c r="M1821" s="1"/>
      <c r="N1821" s="1"/>
      <c r="O1821" s="1"/>
    </row>
    <row r="1822" spans="1:15" hidden="1">
      <c r="A1822" s="1"/>
      <c r="B1822" s="40" t="e">
        <f t="shared" ca="1" si="214"/>
        <v>#N/A</v>
      </c>
      <c r="C1822" s="496">
        <v>742</v>
      </c>
      <c r="D1822" s="41" t="e">
        <f ca="1">IF($C$1076&gt;0,VLOOKUP($C1822,COSTI!$U$4:$Z$1003,3,FALSE),IF($C$1075&gt;0,VLOOKUP($C1822,PATRIMONIALE!$U$4:$Z$1003,3,FALSE),IF($C$1074&gt;0,VLOOKUP($C1822,ENTI!$U$4:$Z$1003,3,FALSE),"")))</f>
        <v>#N/A</v>
      </c>
      <c r="E1822" s="41" t="str">
        <f t="shared" ca="1" si="215"/>
        <v/>
      </c>
      <c r="F1822" s="41" t="e">
        <f t="shared" ca="1" si="216"/>
        <v>#NUM!</v>
      </c>
      <c r="G1822" s="39" t="e">
        <f ca="1">IF($C$1076&gt;0,VLOOKUP($C1822,COSTI!$U$4:$Z$1003,5,FALSE),IF($C$1075&gt;0,VLOOKUP($C1822,PATRIMONIALE!$U$4:$Z$1003,5,FALSE),IF($C$1074&gt;0,VLOOKUP($C1822,ENTI!$U$4:$Z$1003,5,FALSE),"")))</f>
        <v>#N/A</v>
      </c>
      <c r="H1822" s="42" t="e">
        <f ca="1">IF($C$1076&gt;0,VLOOKUP($C1822,COSTI!$U$4:$Z$1003,6,FALSE),IF($C$1075&gt;0,VLOOKUP($C1822,PATRIMONIALE!$U$4:$Z$1003,6,FALSE),IF($C$1074&gt;0,VLOOKUP($C1822,ENTI!$U$4:$Z$1003,6,FALSE),"")))</f>
        <v>#N/A</v>
      </c>
      <c r="I1822" s="496">
        <v>742</v>
      </c>
      <c r="J1822" s="43" t="e">
        <f ca="1">VLOOKUP(D1822,$F$1081:$I$4183,4,FALSE)+COUNTIF(E$1081:E1821,E1822)</f>
        <v>#N/A</v>
      </c>
      <c r="K1822" s="1"/>
      <c r="L1822" s="39" t="e">
        <f>IF($C$1074&gt;0,VLOOKUP($C1822,ENTI!$U$4:$AD$1003,10,FALSE),"")</f>
        <v>#N/A</v>
      </c>
      <c r="M1822" s="1"/>
      <c r="N1822" s="1"/>
      <c r="O1822" s="1"/>
    </row>
    <row r="1823" spans="1:15" hidden="1">
      <c r="A1823" s="1"/>
      <c r="B1823" s="40" t="e">
        <f t="shared" ca="1" si="214"/>
        <v>#N/A</v>
      </c>
      <c r="C1823" s="496">
        <v>743</v>
      </c>
      <c r="D1823" s="41" t="e">
        <f ca="1">IF($C$1076&gt;0,VLOOKUP($C1823,COSTI!$U$4:$Z$1003,3,FALSE),IF($C$1075&gt;0,VLOOKUP($C1823,PATRIMONIALE!$U$4:$Z$1003,3,FALSE),IF($C$1074&gt;0,VLOOKUP($C1823,ENTI!$U$4:$Z$1003,3,FALSE),"")))</f>
        <v>#N/A</v>
      </c>
      <c r="E1823" s="41" t="str">
        <f t="shared" ca="1" si="215"/>
        <v/>
      </c>
      <c r="F1823" s="41" t="e">
        <f t="shared" ca="1" si="216"/>
        <v>#NUM!</v>
      </c>
      <c r="G1823" s="39" t="e">
        <f ca="1">IF($C$1076&gt;0,VLOOKUP($C1823,COSTI!$U$4:$Z$1003,5,FALSE),IF($C$1075&gt;0,VLOOKUP($C1823,PATRIMONIALE!$U$4:$Z$1003,5,FALSE),IF($C$1074&gt;0,VLOOKUP($C1823,ENTI!$U$4:$Z$1003,5,FALSE),"")))</f>
        <v>#N/A</v>
      </c>
      <c r="H1823" s="42" t="e">
        <f ca="1">IF($C$1076&gt;0,VLOOKUP($C1823,COSTI!$U$4:$Z$1003,6,FALSE),IF($C$1075&gt;0,VLOOKUP($C1823,PATRIMONIALE!$U$4:$Z$1003,6,FALSE),IF($C$1074&gt;0,VLOOKUP($C1823,ENTI!$U$4:$Z$1003,6,FALSE),"")))</f>
        <v>#N/A</v>
      </c>
      <c r="I1823" s="496">
        <v>743</v>
      </c>
      <c r="J1823" s="43" t="e">
        <f ca="1">VLOOKUP(D1823,$F$1081:$I$4183,4,FALSE)+COUNTIF(E$1081:E1822,E1823)</f>
        <v>#N/A</v>
      </c>
      <c r="K1823" s="1"/>
      <c r="L1823" s="39" t="e">
        <f>IF($C$1074&gt;0,VLOOKUP($C1823,ENTI!$U$4:$AD$1003,10,FALSE),"")</f>
        <v>#N/A</v>
      </c>
      <c r="M1823" s="1"/>
      <c r="N1823" s="1"/>
      <c r="O1823" s="1"/>
    </row>
    <row r="1824" spans="1:15" hidden="1">
      <c r="A1824" s="1"/>
      <c r="B1824" s="40" t="e">
        <f t="shared" ca="1" si="214"/>
        <v>#N/A</v>
      </c>
      <c r="C1824" s="496">
        <v>744</v>
      </c>
      <c r="D1824" s="41" t="e">
        <f ca="1">IF($C$1076&gt;0,VLOOKUP($C1824,COSTI!$U$4:$Z$1003,3,FALSE),IF($C$1075&gt;0,VLOOKUP($C1824,PATRIMONIALE!$U$4:$Z$1003,3,FALSE),IF($C$1074&gt;0,VLOOKUP($C1824,ENTI!$U$4:$Z$1003,3,FALSE),"")))</f>
        <v>#N/A</v>
      </c>
      <c r="E1824" s="41" t="str">
        <f t="shared" ca="1" si="215"/>
        <v/>
      </c>
      <c r="F1824" s="41" t="e">
        <f t="shared" ca="1" si="216"/>
        <v>#NUM!</v>
      </c>
      <c r="G1824" s="39" t="e">
        <f ca="1">IF($C$1076&gt;0,VLOOKUP($C1824,COSTI!$U$4:$Z$1003,5,FALSE),IF($C$1075&gt;0,VLOOKUP($C1824,PATRIMONIALE!$U$4:$Z$1003,5,FALSE),IF($C$1074&gt;0,VLOOKUP($C1824,ENTI!$U$4:$Z$1003,5,FALSE),"")))</f>
        <v>#N/A</v>
      </c>
      <c r="H1824" s="42" t="e">
        <f ca="1">IF($C$1076&gt;0,VLOOKUP($C1824,COSTI!$U$4:$Z$1003,6,FALSE),IF($C$1075&gt;0,VLOOKUP($C1824,PATRIMONIALE!$U$4:$Z$1003,6,FALSE),IF($C$1074&gt;0,VLOOKUP($C1824,ENTI!$U$4:$Z$1003,6,FALSE),"")))</f>
        <v>#N/A</v>
      </c>
      <c r="I1824" s="496">
        <v>744</v>
      </c>
      <c r="J1824" s="43" t="e">
        <f ca="1">VLOOKUP(D1824,$F$1081:$I$4183,4,FALSE)+COUNTIF(E$1081:E1823,E1824)</f>
        <v>#N/A</v>
      </c>
      <c r="K1824" s="1"/>
      <c r="L1824" s="39" t="e">
        <f>IF($C$1074&gt;0,VLOOKUP($C1824,ENTI!$U$4:$AD$1003,10,FALSE),"")</f>
        <v>#N/A</v>
      </c>
      <c r="M1824" s="1"/>
      <c r="N1824" s="1"/>
      <c r="O1824" s="1"/>
    </row>
    <row r="1825" spans="1:15" hidden="1">
      <c r="A1825" s="1"/>
      <c r="B1825" s="40" t="e">
        <f t="shared" ca="1" si="214"/>
        <v>#N/A</v>
      </c>
      <c r="C1825" s="496">
        <v>745</v>
      </c>
      <c r="D1825" s="41" t="e">
        <f ca="1">IF($C$1076&gt;0,VLOOKUP($C1825,COSTI!$U$4:$Z$1003,3,FALSE),IF($C$1075&gt;0,VLOOKUP($C1825,PATRIMONIALE!$U$4:$Z$1003,3,FALSE),IF($C$1074&gt;0,VLOOKUP($C1825,ENTI!$U$4:$Z$1003,3,FALSE),"")))</f>
        <v>#N/A</v>
      </c>
      <c r="E1825" s="41" t="str">
        <f t="shared" ca="1" si="215"/>
        <v/>
      </c>
      <c r="F1825" s="41" t="e">
        <f t="shared" ca="1" si="216"/>
        <v>#NUM!</v>
      </c>
      <c r="G1825" s="39" t="e">
        <f ca="1">IF($C$1076&gt;0,VLOOKUP($C1825,COSTI!$U$4:$Z$1003,5,FALSE),IF($C$1075&gt;0,VLOOKUP($C1825,PATRIMONIALE!$U$4:$Z$1003,5,FALSE),IF($C$1074&gt;0,VLOOKUP($C1825,ENTI!$U$4:$Z$1003,5,FALSE),"")))</f>
        <v>#N/A</v>
      </c>
      <c r="H1825" s="42" t="e">
        <f ca="1">IF($C$1076&gt;0,VLOOKUP($C1825,COSTI!$U$4:$Z$1003,6,FALSE),IF($C$1075&gt;0,VLOOKUP($C1825,PATRIMONIALE!$U$4:$Z$1003,6,FALSE),IF($C$1074&gt;0,VLOOKUP($C1825,ENTI!$U$4:$Z$1003,6,FALSE),"")))</f>
        <v>#N/A</v>
      </c>
      <c r="I1825" s="496">
        <v>745</v>
      </c>
      <c r="J1825" s="43" t="e">
        <f ca="1">VLOOKUP(D1825,$F$1081:$I$4183,4,FALSE)+COUNTIF(E$1081:E1824,E1825)</f>
        <v>#N/A</v>
      </c>
      <c r="K1825" s="1"/>
      <c r="L1825" s="39" t="e">
        <f>IF($C$1074&gt;0,VLOOKUP($C1825,ENTI!$U$4:$AD$1003,10,FALSE),"")</f>
        <v>#N/A</v>
      </c>
      <c r="M1825" s="1"/>
      <c r="N1825" s="1"/>
      <c r="O1825" s="1"/>
    </row>
    <row r="1826" spans="1:15" hidden="1">
      <c r="A1826" s="1"/>
      <c r="B1826" s="40" t="e">
        <f t="shared" ca="1" si="214"/>
        <v>#N/A</v>
      </c>
      <c r="C1826" s="496">
        <v>746</v>
      </c>
      <c r="D1826" s="41" t="e">
        <f ca="1">IF($C$1076&gt;0,VLOOKUP($C1826,COSTI!$U$4:$Z$1003,3,FALSE),IF($C$1075&gt;0,VLOOKUP($C1826,PATRIMONIALE!$U$4:$Z$1003,3,FALSE),IF($C$1074&gt;0,VLOOKUP($C1826,ENTI!$U$4:$Z$1003,3,FALSE),"")))</f>
        <v>#N/A</v>
      </c>
      <c r="E1826" s="41" t="str">
        <f t="shared" ca="1" si="215"/>
        <v/>
      </c>
      <c r="F1826" s="41" t="e">
        <f t="shared" ca="1" si="216"/>
        <v>#NUM!</v>
      </c>
      <c r="G1826" s="39" t="e">
        <f ca="1">IF($C$1076&gt;0,VLOOKUP($C1826,COSTI!$U$4:$Z$1003,5,FALSE),IF($C$1075&gt;0,VLOOKUP($C1826,PATRIMONIALE!$U$4:$Z$1003,5,FALSE),IF($C$1074&gt;0,VLOOKUP($C1826,ENTI!$U$4:$Z$1003,5,FALSE),"")))</f>
        <v>#N/A</v>
      </c>
      <c r="H1826" s="42" t="e">
        <f ca="1">IF($C$1076&gt;0,VLOOKUP($C1826,COSTI!$U$4:$Z$1003,6,FALSE),IF($C$1075&gt;0,VLOOKUP($C1826,PATRIMONIALE!$U$4:$Z$1003,6,FALSE),IF($C$1074&gt;0,VLOOKUP($C1826,ENTI!$U$4:$Z$1003,6,FALSE),"")))</f>
        <v>#N/A</v>
      </c>
      <c r="I1826" s="496">
        <v>746</v>
      </c>
      <c r="J1826" s="43" t="e">
        <f ca="1">VLOOKUP(D1826,$F$1081:$I$4183,4,FALSE)+COUNTIF(E$1081:E1825,E1826)</f>
        <v>#N/A</v>
      </c>
      <c r="K1826" s="1"/>
      <c r="L1826" s="39" t="e">
        <f>IF($C$1074&gt;0,VLOOKUP($C1826,ENTI!$U$4:$AD$1003,10,FALSE),"")</f>
        <v>#N/A</v>
      </c>
      <c r="M1826" s="1"/>
      <c r="N1826" s="1"/>
      <c r="O1826" s="1"/>
    </row>
    <row r="1827" spans="1:15" hidden="1">
      <c r="A1827" s="1"/>
      <c r="B1827" s="40" t="e">
        <f t="shared" ca="1" si="214"/>
        <v>#N/A</v>
      </c>
      <c r="C1827" s="496">
        <v>747</v>
      </c>
      <c r="D1827" s="41" t="e">
        <f ca="1">IF($C$1076&gt;0,VLOOKUP($C1827,COSTI!$U$4:$Z$1003,3,FALSE),IF($C$1075&gt;0,VLOOKUP($C1827,PATRIMONIALE!$U$4:$Z$1003,3,FALSE),IF($C$1074&gt;0,VLOOKUP($C1827,ENTI!$U$4:$Z$1003,3,FALSE),"")))</f>
        <v>#N/A</v>
      </c>
      <c r="E1827" s="41" t="str">
        <f t="shared" ca="1" si="215"/>
        <v/>
      </c>
      <c r="F1827" s="41" t="e">
        <f t="shared" ca="1" si="216"/>
        <v>#NUM!</v>
      </c>
      <c r="G1827" s="39" t="e">
        <f ca="1">IF($C$1076&gt;0,VLOOKUP($C1827,COSTI!$U$4:$Z$1003,5,FALSE),IF($C$1075&gt;0,VLOOKUP($C1827,PATRIMONIALE!$U$4:$Z$1003,5,FALSE),IF($C$1074&gt;0,VLOOKUP($C1827,ENTI!$U$4:$Z$1003,5,FALSE),"")))</f>
        <v>#N/A</v>
      </c>
      <c r="H1827" s="42" t="e">
        <f ca="1">IF($C$1076&gt;0,VLOOKUP($C1827,COSTI!$U$4:$Z$1003,6,FALSE),IF($C$1075&gt;0,VLOOKUP($C1827,PATRIMONIALE!$U$4:$Z$1003,6,FALSE),IF($C$1074&gt;0,VLOOKUP($C1827,ENTI!$U$4:$Z$1003,6,FALSE),"")))</f>
        <v>#N/A</v>
      </c>
      <c r="I1827" s="496">
        <v>747</v>
      </c>
      <c r="J1827" s="43" t="e">
        <f ca="1">VLOOKUP(D1827,$F$1081:$I$4183,4,FALSE)+COUNTIF(E$1081:E1826,E1827)</f>
        <v>#N/A</v>
      </c>
      <c r="K1827" s="1"/>
      <c r="L1827" s="39" t="e">
        <f>IF($C$1074&gt;0,VLOOKUP($C1827,ENTI!$U$4:$AD$1003,10,FALSE),"")</f>
        <v>#N/A</v>
      </c>
      <c r="M1827" s="1"/>
      <c r="N1827" s="1"/>
      <c r="O1827" s="1"/>
    </row>
    <row r="1828" spans="1:15" hidden="1">
      <c r="A1828" s="1"/>
      <c r="B1828" s="40" t="e">
        <f t="shared" ca="1" si="214"/>
        <v>#N/A</v>
      </c>
      <c r="C1828" s="496">
        <v>748</v>
      </c>
      <c r="D1828" s="41" t="e">
        <f ca="1">IF($C$1076&gt;0,VLOOKUP($C1828,COSTI!$U$4:$Z$1003,3,FALSE),IF($C$1075&gt;0,VLOOKUP($C1828,PATRIMONIALE!$U$4:$Z$1003,3,FALSE),IF($C$1074&gt;0,VLOOKUP($C1828,ENTI!$U$4:$Z$1003,3,FALSE),"")))</f>
        <v>#N/A</v>
      </c>
      <c r="E1828" s="41" t="str">
        <f t="shared" ca="1" si="215"/>
        <v/>
      </c>
      <c r="F1828" s="41" t="e">
        <f t="shared" ca="1" si="216"/>
        <v>#NUM!</v>
      </c>
      <c r="G1828" s="39" t="e">
        <f ca="1">IF($C$1076&gt;0,VLOOKUP($C1828,COSTI!$U$4:$Z$1003,5,FALSE),IF($C$1075&gt;0,VLOOKUP($C1828,PATRIMONIALE!$U$4:$Z$1003,5,FALSE),IF($C$1074&gt;0,VLOOKUP($C1828,ENTI!$U$4:$Z$1003,5,FALSE),"")))</f>
        <v>#N/A</v>
      </c>
      <c r="H1828" s="42" t="e">
        <f ca="1">IF($C$1076&gt;0,VLOOKUP($C1828,COSTI!$U$4:$Z$1003,6,FALSE),IF($C$1075&gt;0,VLOOKUP($C1828,PATRIMONIALE!$U$4:$Z$1003,6,FALSE),IF($C$1074&gt;0,VLOOKUP($C1828,ENTI!$U$4:$Z$1003,6,FALSE),"")))</f>
        <v>#N/A</v>
      </c>
      <c r="I1828" s="496">
        <v>748</v>
      </c>
      <c r="J1828" s="43" t="e">
        <f ca="1">VLOOKUP(D1828,$F$1081:$I$4183,4,FALSE)+COUNTIF(E$1081:E1827,E1828)</f>
        <v>#N/A</v>
      </c>
      <c r="K1828" s="1"/>
      <c r="L1828" s="39" t="e">
        <f>IF($C$1074&gt;0,VLOOKUP($C1828,ENTI!$U$4:$AD$1003,10,FALSE),"")</f>
        <v>#N/A</v>
      </c>
      <c r="M1828" s="1"/>
      <c r="N1828" s="1"/>
      <c r="O1828" s="1"/>
    </row>
    <row r="1829" spans="1:15" hidden="1">
      <c r="A1829" s="1"/>
      <c r="B1829" s="40" t="e">
        <f t="shared" ca="1" si="214"/>
        <v>#N/A</v>
      </c>
      <c r="C1829" s="496">
        <v>749</v>
      </c>
      <c r="D1829" s="41" t="e">
        <f ca="1">IF($C$1076&gt;0,VLOOKUP($C1829,COSTI!$U$4:$Z$1003,3,FALSE),IF($C$1075&gt;0,VLOOKUP($C1829,PATRIMONIALE!$U$4:$Z$1003,3,FALSE),IF($C$1074&gt;0,VLOOKUP($C1829,ENTI!$U$4:$Z$1003,3,FALSE),"")))</f>
        <v>#N/A</v>
      </c>
      <c r="E1829" s="41" t="str">
        <f t="shared" ca="1" si="215"/>
        <v/>
      </c>
      <c r="F1829" s="41" t="e">
        <f t="shared" ca="1" si="216"/>
        <v>#NUM!</v>
      </c>
      <c r="G1829" s="39" t="e">
        <f ca="1">IF($C$1076&gt;0,VLOOKUP($C1829,COSTI!$U$4:$Z$1003,5,FALSE),IF($C$1075&gt;0,VLOOKUP($C1829,PATRIMONIALE!$U$4:$Z$1003,5,FALSE),IF($C$1074&gt;0,VLOOKUP($C1829,ENTI!$U$4:$Z$1003,5,FALSE),"")))</f>
        <v>#N/A</v>
      </c>
      <c r="H1829" s="42" t="e">
        <f ca="1">IF($C$1076&gt;0,VLOOKUP($C1829,COSTI!$U$4:$Z$1003,6,FALSE),IF($C$1075&gt;0,VLOOKUP($C1829,PATRIMONIALE!$U$4:$Z$1003,6,FALSE),IF($C$1074&gt;0,VLOOKUP($C1829,ENTI!$U$4:$Z$1003,6,FALSE),"")))</f>
        <v>#N/A</v>
      </c>
      <c r="I1829" s="496">
        <v>749</v>
      </c>
      <c r="J1829" s="43" t="e">
        <f ca="1">VLOOKUP(D1829,$F$1081:$I$4183,4,FALSE)+COUNTIF(E$1081:E1828,E1829)</f>
        <v>#N/A</v>
      </c>
      <c r="K1829" s="1"/>
      <c r="L1829" s="39" t="e">
        <f>IF($C$1074&gt;0,VLOOKUP($C1829,ENTI!$U$4:$AD$1003,10,FALSE),"")</f>
        <v>#N/A</v>
      </c>
      <c r="M1829" s="1"/>
      <c r="N1829" s="1"/>
      <c r="O1829" s="1"/>
    </row>
    <row r="1830" spans="1:15" hidden="1">
      <c r="A1830" s="1"/>
      <c r="B1830" s="40" t="e">
        <f t="shared" ca="1" si="214"/>
        <v>#N/A</v>
      </c>
      <c r="C1830" s="496">
        <v>750</v>
      </c>
      <c r="D1830" s="41" t="e">
        <f ca="1">IF($C$1076&gt;0,VLOOKUP($C1830,COSTI!$U$4:$Z$1003,3,FALSE),IF($C$1075&gt;0,VLOOKUP($C1830,PATRIMONIALE!$U$4:$Z$1003,3,FALSE),IF($C$1074&gt;0,VLOOKUP($C1830,ENTI!$U$4:$Z$1003,3,FALSE),"")))</f>
        <v>#N/A</v>
      </c>
      <c r="E1830" s="41" t="str">
        <f t="shared" ca="1" si="215"/>
        <v/>
      </c>
      <c r="F1830" s="41" t="e">
        <f t="shared" ca="1" si="216"/>
        <v>#NUM!</v>
      </c>
      <c r="G1830" s="39" t="e">
        <f ca="1">IF($C$1076&gt;0,VLOOKUP($C1830,COSTI!$U$4:$Z$1003,5,FALSE),IF($C$1075&gt;0,VLOOKUP($C1830,PATRIMONIALE!$U$4:$Z$1003,5,FALSE),IF($C$1074&gt;0,VLOOKUP($C1830,ENTI!$U$4:$Z$1003,5,FALSE),"")))</f>
        <v>#N/A</v>
      </c>
      <c r="H1830" s="42" t="e">
        <f ca="1">IF($C$1076&gt;0,VLOOKUP($C1830,COSTI!$U$4:$Z$1003,6,FALSE),IF($C$1075&gt;0,VLOOKUP($C1830,PATRIMONIALE!$U$4:$Z$1003,6,FALSE),IF($C$1074&gt;0,VLOOKUP($C1830,ENTI!$U$4:$Z$1003,6,FALSE),"")))</f>
        <v>#N/A</v>
      </c>
      <c r="I1830" s="496">
        <v>750</v>
      </c>
      <c r="J1830" s="43" t="e">
        <f ca="1">VLOOKUP(D1830,$F$1081:$I$4183,4,FALSE)+COUNTIF(E$1081:E1829,E1830)</f>
        <v>#N/A</v>
      </c>
      <c r="K1830" s="1"/>
      <c r="L1830" s="39" t="e">
        <f>IF($C$1074&gt;0,VLOOKUP($C1830,ENTI!$U$4:$AD$1003,10,FALSE),"")</f>
        <v>#N/A</v>
      </c>
      <c r="M1830" s="1"/>
      <c r="N1830" s="1"/>
      <c r="O1830" s="1"/>
    </row>
    <row r="1831" spans="1:15" hidden="1">
      <c r="A1831" s="1"/>
      <c r="B1831" s="40" t="e">
        <f t="shared" ca="1" si="214"/>
        <v>#N/A</v>
      </c>
      <c r="C1831" s="496">
        <v>751</v>
      </c>
      <c r="D1831" s="41" t="e">
        <f ca="1">IF($C$1076&gt;0,VLOOKUP($C1831,COSTI!$U$4:$Z$1003,3,FALSE),IF($C$1075&gt;0,VLOOKUP($C1831,PATRIMONIALE!$U$4:$Z$1003,3,FALSE),IF($C$1074&gt;0,VLOOKUP($C1831,ENTI!$U$4:$Z$1003,3,FALSE),"")))</f>
        <v>#N/A</v>
      </c>
      <c r="E1831" s="41" t="str">
        <f t="shared" ca="1" si="215"/>
        <v/>
      </c>
      <c r="F1831" s="41" t="e">
        <f t="shared" ca="1" si="216"/>
        <v>#NUM!</v>
      </c>
      <c r="G1831" s="39" t="e">
        <f ca="1">IF($C$1076&gt;0,VLOOKUP($C1831,COSTI!$U$4:$Z$1003,5,FALSE),IF($C$1075&gt;0,VLOOKUP($C1831,PATRIMONIALE!$U$4:$Z$1003,5,FALSE),IF($C$1074&gt;0,VLOOKUP($C1831,ENTI!$U$4:$Z$1003,5,FALSE),"")))</f>
        <v>#N/A</v>
      </c>
      <c r="H1831" s="42" t="e">
        <f ca="1">IF($C$1076&gt;0,VLOOKUP($C1831,COSTI!$U$4:$Z$1003,6,FALSE),IF($C$1075&gt;0,VLOOKUP($C1831,PATRIMONIALE!$U$4:$Z$1003,6,FALSE),IF($C$1074&gt;0,VLOOKUP($C1831,ENTI!$U$4:$Z$1003,6,FALSE),"")))</f>
        <v>#N/A</v>
      </c>
      <c r="I1831" s="496">
        <v>751</v>
      </c>
      <c r="J1831" s="43" t="e">
        <f ca="1">VLOOKUP(D1831,$F$1081:$I$4183,4,FALSE)+COUNTIF(E$1081:E1830,E1831)</f>
        <v>#N/A</v>
      </c>
      <c r="K1831" s="1"/>
      <c r="L1831" s="39" t="e">
        <f>IF($C$1074&gt;0,VLOOKUP($C1831,ENTI!$U$4:$AD$1003,10,FALSE),"")</f>
        <v>#N/A</v>
      </c>
      <c r="M1831" s="1"/>
      <c r="N1831" s="1"/>
      <c r="O1831" s="1"/>
    </row>
    <row r="1832" spans="1:15" hidden="1">
      <c r="A1832" s="1"/>
      <c r="B1832" s="40" t="e">
        <f t="shared" ca="1" si="214"/>
        <v>#N/A</v>
      </c>
      <c r="C1832" s="496">
        <v>752</v>
      </c>
      <c r="D1832" s="41" t="e">
        <f ca="1">IF($C$1076&gt;0,VLOOKUP($C1832,COSTI!$U$4:$Z$1003,3,FALSE),IF($C$1075&gt;0,VLOOKUP($C1832,PATRIMONIALE!$U$4:$Z$1003,3,FALSE),IF($C$1074&gt;0,VLOOKUP($C1832,ENTI!$U$4:$Z$1003,3,FALSE),"")))</f>
        <v>#N/A</v>
      </c>
      <c r="E1832" s="41" t="str">
        <f t="shared" ca="1" si="215"/>
        <v/>
      </c>
      <c r="F1832" s="41" t="e">
        <f t="shared" ca="1" si="216"/>
        <v>#NUM!</v>
      </c>
      <c r="G1832" s="39" t="e">
        <f ca="1">IF($C$1076&gt;0,VLOOKUP($C1832,COSTI!$U$4:$Z$1003,5,FALSE),IF($C$1075&gt;0,VLOOKUP($C1832,PATRIMONIALE!$U$4:$Z$1003,5,FALSE),IF($C$1074&gt;0,VLOOKUP($C1832,ENTI!$U$4:$Z$1003,5,FALSE),"")))</f>
        <v>#N/A</v>
      </c>
      <c r="H1832" s="42" t="e">
        <f ca="1">IF($C$1076&gt;0,VLOOKUP($C1832,COSTI!$U$4:$Z$1003,6,FALSE),IF($C$1075&gt;0,VLOOKUP($C1832,PATRIMONIALE!$U$4:$Z$1003,6,FALSE),IF($C$1074&gt;0,VLOOKUP($C1832,ENTI!$U$4:$Z$1003,6,FALSE),"")))</f>
        <v>#N/A</v>
      </c>
      <c r="I1832" s="496">
        <v>752</v>
      </c>
      <c r="J1832" s="43" t="e">
        <f ca="1">VLOOKUP(D1832,$F$1081:$I$4183,4,FALSE)+COUNTIF(E$1081:E1831,E1832)</f>
        <v>#N/A</v>
      </c>
      <c r="K1832" s="1"/>
      <c r="L1832" s="39" t="e">
        <f>IF($C$1074&gt;0,VLOOKUP($C1832,ENTI!$U$4:$AD$1003,10,FALSE),"")</f>
        <v>#N/A</v>
      </c>
      <c r="M1832" s="1"/>
      <c r="N1832" s="1"/>
      <c r="O1832" s="1"/>
    </row>
    <row r="1833" spans="1:15" hidden="1">
      <c r="A1833" s="1"/>
      <c r="B1833" s="40" t="e">
        <f t="shared" ca="1" si="214"/>
        <v>#N/A</v>
      </c>
      <c r="C1833" s="496">
        <v>753</v>
      </c>
      <c r="D1833" s="41" t="e">
        <f ca="1">IF($C$1076&gt;0,VLOOKUP($C1833,COSTI!$U$4:$Z$1003,3,FALSE),IF($C$1075&gt;0,VLOOKUP($C1833,PATRIMONIALE!$U$4:$Z$1003,3,FALSE),IF($C$1074&gt;0,VLOOKUP($C1833,ENTI!$U$4:$Z$1003,3,FALSE),"")))</f>
        <v>#N/A</v>
      </c>
      <c r="E1833" s="41" t="str">
        <f t="shared" ca="1" si="215"/>
        <v/>
      </c>
      <c r="F1833" s="41" t="e">
        <f t="shared" ca="1" si="216"/>
        <v>#NUM!</v>
      </c>
      <c r="G1833" s="39" t="e">
        <f ca="1">IF($C$1076&gt;0,VLOOKUP($C1833,COSTI!$U$4:$Z$1003,5,FALSE),IF($C$1075&gt;0,VLOOKUP($C1833,PATRIMONIALE!$U$4:$Z$1003,5,FALSE),IF($C$1074&gt;0,VLOOKUP($C1833,ENTI!$U$4:$Z$1003,5,FALSE),"")))</f>
        <v>#N/A</v>
      </c>
      <c r="H1833" s="42" t="e">
        <f ca="1">IF($C$1076&gt;0,VLOOKUP($C1833,COSTI!$U$4:$Z$1003,6,FALSE),IF($C$1075&gt;0,VLOOKUP($C1833,PATRIMONIALE!$U$4:$Z$1003,6,FALSE),IF($C$1074&gt;0,VLOOKUP($C1833,ENTI!$U$4:$Z$1003,6,FALSE),"")))</f>
        <v>#N/A</v>
      </c>
      <c r="I1833" s="496">
        <v>753</v>
      </c>
      <c r="J1833" s="43" t="e">
        <f ca="1">VLOOKUP(D1833,$F$1081:$I$4183,4,FALSE)+COUNTIF(E$1081:E1832,E1833)</f>
        <v>#N/A</v>
      </c>
      <c r="K1833" s="1"/>
      <c r="L1833" s="39" t="e">
        <f>IF($C$1074&gt;0,VLOOKUP($C1833,ENTI!$U$4:$AD$1003,10,FALSE),"")</f>
        <v>#N/A</v>
      </c>
      <c r="M1833" s="1"/>
      <c r="N1833" s="1"/>
      <c r="O1833" s="1"/>
    </row>
    <row r="1834" spans="1:15" hidden="1">
      <c r="A1834" s="1"/>
      <c r="B1834" s="40" t="e">
        <f t="shared" ca="1" si="214"/>
        <v>#N/A</v>
      </c>
      <c r="C1834" s="496">
        <v>754</v>
      </c>
      <c r="D1834" s="41" t="e">
        <f ca="1">IF($C$1076&gt;0,VLOOKUP($C1834,COSTI!$U$4:$Z$1003,3,FALSE),IF($C$1075&gt;0,VLOOKUP($C1834,PATRIMONIALE!$U$4:$Z$1003,3,FALSE),IF($C$1074&gt;0,VLOOKUP($C1834,ENTI!$U$4:$Z$1003,3,FALSE),"")))</f>
        <v>#N/A</v>
      </c>
      <c r="E1834" s="41" t="str">
        <f t="shared" ca="1" si="215"/>
        <v/>
      </c>
      <c r="F1834" s="41" t="e">
        <f t="shared" ca="1" si="216"/>
        <v>#NUM!</v>
      </c>
      <c r="G1834" s="39" t="e">
        <f ca="1">IF($C$1076&gt;0,VLOOKUP($C1834,COSTI!$U$4:$Z$1003,5,FALSE),IF($C$1075&gt;0,VLOOKUP($C1834,PATRIMONIALE!$U$4:$Z$1003,5,FALSE),IF($C$1074&gt;0,VLOOKUP($C1834,ENTI!$U$4:$Z$1003,5,FALSE),"")))</f>
        <v>#N/A</v>
      </c>
      <c r="H1834" s="42" t="e">
        <f ca="1">IF($C$1076&gt;0,VLOOKUP($C1834,COSTI!$U$4:$Z$1003,6,FALSE),IF($C$1075&gt;0,VLOOKUP($C1834,PATRIMONIALE!$U$4:$Z$1003,6,FALSE),IF($C$1074&gt;0,VLOOKUP($C1834,ENTI!$U$4:$Z$1003,6,FALSE),"")))</f>
        <v>#N/A</v>
      </c>
      <c r="I1834" s="496">
        <v>754</v>
      </c>
      <c r="J1834" s="43" t="e">
        <f ca="1">VLOOKUP(D1834,$F$1081:$I$4183,4,FALSE)+COUNTIF(E$1081:E1833,E1834)</f>
        <v>#N/A</v>
      </c>
      <c r="K1834" s="1"/>
      <c r="L1834" s="39" t="e">
        <f>IF($C$1074&gt;0,VLOOKUP($C1834,ENTI!$U$4:$AD$1003,10,FALSE),"")</f>
        <v>#N/A</v>
      </c>
      <c r="M1834" s="1"/>
      <c r="N1834" s="1"/>
      <c r="O1834" s="1"/>
    </row>
    <row r="1835" spans="1:15" hidden="1">
      <c r="A1835" s="1"/>
      <c r="B1835" s="40" t="e">
        <f t="shared" ca="1" si="214"/>
        <v>#N/A</v>
      </c>
      <c r="C1835" s="496">
        <v>755</v>
      </c>
      <c r="D1835" s="41" t="e">
        <f ca="1">IF($C$1076&gt;0,VLOOKUP($C1835,COSTI!$U$4:$Z$1003,3,FALSE),IF($C$1075&gt;0,VLOOKUP($C1835,PATRIMONIALE!$U$4:$Z$1003,3,FALSE),IF($C$1074&gt;0,VLOOKUP($C1835,ENTI!$U$4:$Z$1003,3,FALSE),"")))</f>
        <v>#N/A</v>
      </c>
      <c r="E1835" s="41" t="str">
        <f t="shared" ca="1" si="215"/>
        <v/>
      </c>
      <c r="F1835" s="41" t="e">
        <f t="shared" ca="1" si="216"/>
        <v>#NUM!</v>
      </c>
      <c r="G1835" s="39" t="e">
        <f ca="1">IF($C$1076&gt;0,VLOOKUP($C1835,COSTI!$U$4:$Z$1003,5,FALSE),IF($C$1075&gt;0,VLOOKUP($C1835,PATRIMONIALE!$U$4:$Z$1003,5,FALSE),IF($C$1074&gt;0,VLOOKUP($C1835,ENTI!$U$4:$Z$1003,5,FALSE),"")))</f>
        <v>#N/A</v>
      </c>
      <c r="H1835" s="42" t="e">
        <f ca="1">IF($C$1076&gt;0,VLOOKUP($C1835,COSTI!$U$4:$Z$1003,6,FALSE),IF($C$1075&gt;0,VLOOKUP($C1835,PATRIMONIALE!$U$4:$Z$1003,6,FALSE),IF($C$1074&gt;0,VLOOKUP($C1835,ENTI!$U$4:$Z$1003,6,FALSE),"")))</f>
        <v>#N/A</v>
      </c>
      <c r="I1835" s="496">
        <v>755</v>
      </c>
      <c r="J1835" s="43" t="e">
        <f ca="1">VLOOKUP(D1835,$F$1081:$I$4183,4,FALSE)+COUNTIF(E$1081:E1834,E1835)</f>
        <v>#N/A</v>
      </c>
      <c r="K1835" s="1"/>
      <c r="L1835" s="39" t="e">
        <f>IF($C$1074&gt;0,VLOOKUP($C1835,ENTI!$U$4:$AD$1003,10,FALSE),"")</f>
        <v>#N/A</v>
      </c>
      <c r="M1835" s="1"/>
      <c r="N1835" s="1"/>
      <c r="O1835" s="1"/>
    </row>
    <row r="1836" spans="1:15" hidden="1">
      <c r="A1836" s="1"/>
      <c r="B1836" s="40" t="e">
        <f t="shared" ca="1" si="214"/>
        <v>#N/A</v>
      </c>
      <c r="C1836" s="496">
        <v>756</v>
      </c>
      <c r="D1836" s="41" t="e">
        <f ca="1">IF($C$1076&gt;0,VLOOKUP($C1836,COSTI!$U$4:$Z$1003,3,FALSE),IF($C$1075&gt;0,VLOOKUP($C1836,PATRIMONIALE!$U$4:$Z$1003,3,FALSE),IF($C$1074&gt;0,VLOOKUP($C1836,ENTI!$U$4:$Z$1003,3,FALSE),"")))</f>
        <v>#N/A</v>
      </c>
      <c r="E1836" s="41" t="str">
        <f t="shared" ca="1" si="215"/>
        <v/>
      </c>
      <c r="F1836" s="41" t="e">
        <f t="shared" ca="1" si="216"/>
        <v>#NUM!</v>
      </c>
      <c r="G1836" s="39" t="e">
        <f ca="1">IF($C$1076&gt;0,VLOOKUP($C1836,COSTI!$U$4:$Z$1003,5,FALSE),IF($C$1075&gt;0,VLOOKUP($C1836,PATRIMONIALE!$U$4:$Z$1003,5,FALSE),IF($C$1074&gt;0,VLOOKUP($C1836,ENTI!$U$4:$Z$1003,5,FALSE),"")))</f>
        <v>#N/A</v>
      </c>
      <c r="H1836" s="42" t="e">
        <f ca="1">IF($C$1076&gt;0,VLOOKUP($C1836,COSTI!$U$4:$Z$1003,6,FALSE),IF($C$1075&gt;0,VLOOKUP($C1836,PATRIMONIALE!$U$4:$Z$1003,6,FALSE),IF($C$1074&gt;0,VLOOKUP($C1836,ENTI!$U$4:$Z$1003,6,FALSE),"")))</f>
        <v>#N/A</v>
      </c>
      <c r="I1836" s="496">
        <v>756</v>
      </c>
      <c r="J1836" s="43" t="e">
        <f ca="1">VLOOKUP(D1836,$F$1081:$I$4183,4,FALSE)+COUNTIF(E$1081:E1835,E1836)</f>
        <v>#N/A</v>
      </c>
      <c r="K1836" s="1"/>
      <c r="L1836" s="39" t="e">
        <f>IF($C$1074&gt;0,VLOOKUP($C1836,ENTI!$U$4:$AD$1003,10,FALSE),"")</f>
        <v>#N/A</v>
      </c>
      <c r="M1836" s="1"/>
      <c r="N1836" s="1"/>
      <c r="O1836" s="1"/>
    </row>
    <row r="1837" spans="1:15" hidden="1">
      <c r="A1837" s="1"/>
      <c r="B1837" s="40" t="e">
        <f t="shared" ca="1" si="214"/>
        <v>#N/A</v>
      </c>
      <c r="C1837" s="496">
        <v>757</v>
      </c>
      <c r="D1837" s="41" t="e">
        <f ca="1">IF($C$1076&gt;0,VLOOKUP($C1837,COSTI!$U$4:$Z$1003,3,FALSE),IF($C$1075&gt;0,VLOOKUP($C1837,PATRIMONIALE!$U$4:$Z$1003,3,FALSE),IF($C$1074&gt;0,VLOOKUP($C1837,ENTI!$U$4:$Z$1003,3,FALSE),"")))</f>
        <v>#N/A</v>
      </c>
      <c r="E1837" s="41" t="str">
        <f t="shared" ca="1" si="215"/>
        <v/>
      </c>
      <c r="F1837" s="41" t="e">
        <f t="shared" ca="1" si="216"/>
        <v>#NUM!</v>
      </c>
      <c r="G1837" s="39" t="e">
        <f ca="1">IF($C$1076&gt;0,VLOOKUP($C1837,COSTI!$U$4:$Z$1003,5,FALSE),IF($C$1075&gt;0,VLOOKUP($C1837,PATRIMONIALE!$U$4:$Z$1003,5,FALSE),IF($C$1074&gt;0,VLOOKUP($C1837,ENTI!$U$4:$Z$1003,5,FALSE),"")))</f>
        <v>#N/A</v>
      </c>
      <c r="H1837" s="42" t="e">
        <f ca="1">IF($C$1076&gt;0,VLOOKUP($C1837,COSTI!$U$4:$Z$1003,6,FALSE),IF($C$1075&gt;0,VLOOKUP($C1837,PATRIMONIALE!$U$4:$Z$1003,6,FALSE),IF($C$1074&gt;0,VLOOKUP($C1837,ENTI!$U$4:$Z$1003,6,FALSE),"")))</f>
        <v>#N/A</v>
      </c>
      <c r="I1837" s="496">
        <v>757</v>
      </c>
      <c r="J1837" s="43" t="e">
        <f ca="1">VLOOKUP(D1837,$F$1081:$I$4183,4,FALSE)+COUNTIF(E$1081:E1836,E1837)</f>
        <v>#N/A</v>
      </c>
      <c r="K1837" s="1"/>
      <c r="L1837" s="39" t="e">
        <f>IF($C$1074&gt;0,VLOOKUP($C1837,ENTI!$U$4:$AD$1003,10,FALSE),"")</f>
        <v>#N/A</v>
      </c>
      <c r="M1837" s="1"/>
      <c r="N1837" s="1"/>
      <c r="O1837" s="1"/>
    </row>
    <row r="1838" spans="1:15" hidden="1">
      <c r="A1838" s="1"/>
      <c r="B1838" s="40" t="e">
        <f t="shared" ca="1" si="214"/>
        <v>#N/A</v>
      </c>
      <c r="C1838" s="496">
        <v>758</v>
      </c>
      <c r="D1838" s="41" t="e">
        <f ca="1">IF($C$1076&gt;0,VLOOKUP($C1838,COSTI!$U$4:$Z$1003,3,FALSE),IF($C$1075&gt;0,VLOOKUP($C1838,PATRIMONIALE!$U$4:$Z$1003,3,FALSE),IF($C$1074&gt;0,VLOOKUP($C1838,ENTI!$U$4:$Z$1003,3,FALSE),"")))</f>
        <v>#N/A</v>
      </c>
      <c r="E1838" s="41" t="str">
        <f t="shared" ca="1" si="215"/>
        <v/>
      </c>
      <c r="F1838" s="41" t="e">
        <f t="shared" ca="1" si="216"/>
        <v>#NUM!</v>
      </c>
      <c r="G1838" s="39" t="e">
        <f ca="1">IF($C$1076&gt;0,VLOOKUP($C1838,COSTI!$U$4:$Z$1003,5,FALSE),IF($C$1075&gt;0,VLOOKUP($C1838,PATRIMONIALE!$U$4:$Z$1003,5,FALSE),IF($C$1074&gt;0,VLOOKUP($C1838,ENTI!$U$4:$Z$1003,5,FALSE),"")))</f>
        <v>#N/A</v>
      </c>
      <c r="H1838" s="42" t="e">
        <f ca="1">IF($C$1076&gt;0,VLOOKUP($C1838,COSTI!$U$4:$Z$1003,6,FALSE),IF($C$1075&gt;0,VLOOKUP($C1838,PATRIMONIALE!$U$4:$Z$1003,6,FALSE),IF($C$1074&gt;0,VLOOKUP($C1838,ENTI!$U$4:$Z$1003,6,FALSE),"")))</f>
        <v>#N/A</v>
      </c>
      <c r="I1838" s="496">
        <v>758</v>
      </c>
      <c r="J1838" s="43" t="e">
        <f ca="1">VLOOKUP(D1838,$F$1081:$I$4183,4,FALSE)+COUNTIF(E$1081:E1837,E1838)</f>
        <v>#N/A</v>
      </c>
      <c r="K1838" s="1"/>
      <c r="L1838" s="39" t="e">
        <f>IF($C$1074&gt;0,VLOOKUP($C1838,ENTI!$U$4:$AD$1003,10,FALSE),"")</f>
        <v>#N/A</v>
      </c>
      <c r="M1838" s="1"/>
      <c r="N1838" s="1"/>
      <c r="O1838" s="1"/>
    </row>
    <row r="1839" spans="1:15" hidden="1">
      <c r="A1839" s="1"/>
      <c r="B1839" s="40" t="e">
        <f t="shared" ca="1" si="214"/>
        <v>#N/A</v>
      </c>
      <c r="C1839" s="496">
        <v>759</v>
      </c>
      <c r="D1839" s="41" t="e">
        <f ca="1">IF($C$1076&gt;0,VLOOKUP($C1839,COSTI!$U$4:$Z$1003,3,FALSE),IF($C$1075&gt;0,VLOOKUP($C1839,PATRIMONIALE!$U$4:$Z$1003,3,FALSE),IF($C$1074&gt;0,VLOOKUP($C1839,ENTI!$U$4:$Z$1003,3,FALSE),"")))</f>
        <v>#N/A</v>
      </c>
      <c r="E1839" s="41" t="str">
        <f t="shared" ca="1" si="215"/>
        <v/>
      </c>
      <c r="F1839" s="41" t="e">
        <f t="shared" ca="1" si="216"/>
        <v>#NUM!</v>
      </c>
      <c r="G1839" s="39" t="e">
        <f ca="1">IF($C$1076&gt;0,VLOOKUP($C1839,COSTI!$U$4:$Z$1003,5,FALSE),IF($C$1075&gt;0,VLOOKUP($C1839,PATRIMONIALE!$U$4:$Z$1003,5,FALSE),IF($C$1074&gt;0,VLOOKUP($C1839,ENTI!$U$4:$Z$1003,5,FALSE),"")))</f>
        <v>#N/A</v>
      </c>
      <c r="H1839" s="42" t="e">
        <f ca="1">IF($C$1076&gt;0,VLOOKUP($C1839,COSTI!$U$4:$Z$1003,6,FALSE),IF($C$1075&gt;0,VLOOKUP($C1839,PATRIMONIALE!$U$4:$Z$1003,6,FALSE),IF($C$1074&gt;0,VLOOKUP($C1839,ENTI!$U$4:$Z$1003,6,FALSE),"")))</f>
        <v>#N/A</v>
      </c>
      <c r="I1839" s="496">
        <v>759</v>
      </c>
      <c r="J1839" s="43" t="e">
        <f ca="1">VLOOKUP(D1839,$F$1081:$I$4183,4,FALSE)+COUNTIF(E$1081:E1838,E1839)</f>
        <v>#N/A</v>
      </c>
      <c r="K1839" s="1"/>
      <c r="L1839" s="39" t="e">
        <f>IF($C$1074&gt;0,VLOOKUP($C1839,ENTI!$U$4:$AD$1003,10,FALSE),"")</f>
        <v>#N/A</v>
      </c>
      <c r="M1839" s="1"/>
      <c r="N1839" s="1"/>
      <c r="O1839" s="1"/>
    </row>
    <row r="1840" spans="1:15" hidden="1">
      <c r="A1840" s="1"/>
      <c r="B1840" s="40" t="e">
        <f t="shared" ca="1" si="214"/>
        <v>#N/A</v>
      </c>
      <c r="C1840" s="496">
        <v>760</v>
      </c>
      <c r="D1840" s="41" t="e">
        <f ca="1">IF($C$1076&gt;0,VLOOKUP($C1840,COSTI!$U$4:$Z$1003,3,FALSE),IF($C$1075&gt;0,VLOOKUP($C1840,PATRIMONIALE!$U$4:$Z$1003,3,FALSE),IF($C$1074&gt;0,VLOOKUP($C1840,ENTI!$U$4:$Z$1003,3,FALSE),"")))</f>
        <v>#N/A</v>
      </c>
      <c r="E1840" s="41" t="str">
        <f t="shared" ca="1" si="215"/>
        <v/>
      </c>
      <c r="F1840" s="41" t="e">
        <f t="shared" ca="1" si="216"/>
        <v>#NUM!</v>
      </c>
      <c r="G1840" s="39" t="e">
        <f ca="1">IF($C$1076&gt;0,VLOOKUP($C1840,COSTI!$U$4:$Z$1003,5,FALSE),IF($C$1075&gt;0,VLOOKUP($C1840,PATRIMONIALE!$U$4:$Z$1003,5,FALSE),IF($C$1074&gt;0,VLOOKUP($C1840,ENTI!$U$4:$Z$1003,5,FALSE),"")))</f>
        <v>#N/A</v>
      </c>
      <c r="H1840" s="42" t="e">
        <f ca="1">IF($C$1076&gt;0,VLOOKUP($C1840,COSTI!$U$4:$Z$1003,6,FALSE),IF($C$1075&gt;0,VLOOKUP($C1840,PATRIMONIALE!$U$4:$Z$1003,6,FALSE),IF($C$1074&gt;0,VLOOKUP($C1840,ENTI!$U$4:$Z$1003,6,FALSE),"")))</f>
        <v>#N/A</v>
      </c>
      <c r="I1840" s="496">
        <v>760</v>
      </c>
      <c r="J1840" s="43" t="e">
        <f ca="1">VLOOKUP(D1840,$F$1081:$I$4183,4,FALSE)+COUNTIF(E$1081:E1839,E1840)</f>
        <v>#N/A</v>
      </c>
      <c r="K1840" s="1"/>
      <c r="L1840" s="39" t="e">
        <f>IF($C$1074&gt;0,VLOOKUP($C1840,ENTI!$U$4:$AD$1003,10,FALSE),"")</f>
        <v>#N/A</v>
      </c>
      <c r="M1840" s="1"/>
      <c r="N1840" s="1"/>
      <c r="O1840" s="1"/>
    </row>
    <row r="1841" spans="1:15" hidden="1">
      <c r="A1841" s="1"/>
      <c r="B1841" s="40" t="e">
        <f t="shared" ref="B1841:B1904" ca="1" si="217">IF(OR(C$1075&gt;0,C$1077&gt;0,C$1073&gt;0,C$1071&gt;0),J1841+1,J1841)</f>
        <v>#N/A</v>
      </c>
      <c r="C1841" s="496">
        <v>761</v>
      </c>
      <c r="D1841" s="41" t="e">
        <f ca="1">IF($C$1076&gt;0,VLOOKUP($C1841,COSTI!$U$4:$Z$1003,3,FALSE),IF($C$1075&gt;0,VLOOKUP($C1841,PATRIMONIALE!$U$4:$Z$1003,3,FALSE),IF($C$1074&gt;0,VLOOKUP($C1841,ENTI!$U$4:$Z$1003,3,FALSE),"")))</f>
        <v>#N/A</v>
      </c>
      <c r="E1841" s="41" t="str">
        <f t="shared" ca="1" si="215"/>
        <v/>
      </c>
      <c r="F1841" s="41" t="e">
        <f t="shared" ca="1" si="216"/>
        <v>#NUM!</v>
      </c>
      <c r="G1841" s="39" t="e">
        <f ca="1">IF($C$1076&gt;0,VLOOKUP($C1841,COSTI!$U$4:$Z$1003,5,FALSE),IF($C$1075&gt;0,VLOOKUP($C1841,PATRIMONIALE!$U$4:$Z$1003,5,FALSE),IF($C$1074&gt;0,VLOOKUP($C1841,ENTI!$U$4:$Z$1003,5,FALSE),"")))</f>
        <v>#N/A</v>
      </c>
      <c r="H1841" s="42" t="e">
        <f ca="1">IF($C$1076&gt;0,VLOOKUP($C1841,COSTI!$U$4:$Z$1003,6,FALSE),IF($C$1075&gt;0,VLOOKUP($C1841,PATRIMONIALE!$U$4:$Z$1003,6,FALSE),IF($C$1074&gt;0,VLOOKUP($C1841,ENTI!$U$4:$Z$1003,6,FALSE),"")))</f>
        <v>#N/A</v>
      </c>
      <c r="I1841" s="496">
        <v>761</v>
      </c>
      <c r="J1841" s="43" t="e">
        <f ca="1">VLOOKUP(D1841,$F$1081:$I$4183,4,FALSE)+COUNTIF(E$1081:E1840,E1841)</f>
        <v>#N/A</v>
      </c>
      <c r="K1841" s="1"/>
      <c r="L1841" s="39" t="e">
        <f>IF($C$1074&gt;0,VLOOKUP($C1841,ENTI!$U$4:$AD$1003,10,FALSE),"")</f>
        <v>#N/A</v>
      </c>
      <c r="M1841" s="1"/>
      <c r="N1841" s="1"/>
      <c r="O1841" s="1"/>
    </row>
    <row r="1842" spans="1:15" hidden="1">
      <c r="A1842" s="1"/>
      <c r="B1842" s="40" t="e">
        <f t="shared" ca="1" si="217"/>
        <v>#N/A</v>
      </c>
      <c r="C1842" s="496">
        <v>762</v>
      </c>
      <c r="D1842" s="41" t="e">
        <f ca="1">IF($C$1076&gt;0,VLOOKUP($C1842,COSTI!$U$4:$Z$1003,3,FALSE),IF($C$1075&gt;0,VLOOKUP($C1842,PATRIMONIALE!$U$4:$Z$1003,3,FALSE),IF($C$1074&gt;0,VLOOKUP($C1842,ENTI!$U$4:$Z$1003,3,FALSE),"")))</f>
        <v>#N/A</v>
      </c>
      <c r="E1842" s="41" t="str">
        <f t="shared" ca="1" si="215"/>
        <v/>
      </c>
      <c r="F1842" s="41" t="e">
        <f t="shared" ca="1" si="216"/>
        <v>#NUM!</v>
      </c>
      <c r="G1842" s="39" t="e">
        <f ca="1">IF($C$1076&gt;0,VLOOKUP($C1842,COSTI!$U$4:$Z$1003,5,FALSE),IF($C$1075&gt;0,VLOOKUP($C1842,PATRIMONIALE!$U$4:$Z$1003,5,FALSE),IF($C$1074&gt;0,VLOOKUP($C1842,ENTI!$U$4:$Z$1003,5,FALSE),"")))</f>
        <v>#N/A</v>
      </c>
      <c r="H1842" s="42" t="e">
        <f ca="1">IF($C$1076&gt;0,VLOOKUP($C1842,COSTI!$U$4:$Z$1003,6,FALSE),IF($C$1075&gt;0,VLOOKUP($C1842,PATRIMONIALE!$U$4:$Z$1003,6,FALSE),IF($C$1074&gt;0,VLOOKUP($C1842,ENTI!$U$4:$Z$1003,6,FALSE),"")))</f>
        <v>#N/A</v>
      </c>
      <c r="I1842" s="496">
        <v>762</v>
      </c>
      <c r="J1842" s="43" t="e">
        <f ca="1">VLOOKUP(D1842,$F$1081:$I$4183,4,FALSE)+COUNTIF(E$1081:E1841,E1842)</f>
        <v>#N/A</v>
      </c>
      <c r="K1842" s="1"/>
      <c r="L1842" s="39" t="e">
        <f>IF($C$1074&gt;0,VLOOKUP($C1842,ENTI!$U$4:$AD$1003,10,FALSE),"")</f>
        <v>#N/A</v>
      </c>
      <c r="M1842" s="1"/>
      <c r="N1842" s="1"/>
      <c r="O1842" s="1"/>
    </row>
    <row r="1843" spans="1:15" hidden="1">
      <c r="A1843" s="1"/>
      <c r="B1843" s="40" t="e">
        <f t="shared" ca="1" si="217"/>
        <v>#N/A</v>
      </c>
      <c r="C1843" s="496">
        <v>763</v>
      </c>
      <c r="D1843" s="41" t="e">
        <f ca="1">IF($C$1076&gt;0,VLOOKUP($C1843,COSTI!$U$4:$Z$1003,3,FALSE),IF($C$1075&gt;0,VLOOKUP($C1843,PATRIMONIALE!$U$4:$Z$1003,3,FALSE),IF($C$1074&gt;0,VLOOKUP($C1843,ENTI!$U$4:$Z$1003,3,FALSE),"")))</f>
        <v>#N/A</v>
      </c>
      <c r="E1843" s="41" t="str">
        <f t="shared" ref="E1843:E1906" ca="1" si="218">IF(ISERROR(D1843),"",D1843)</f>
        <v/>
      </c>
      <c r="F1843" s="41" t="e">
        <f t="shared" ca="1" si="216"/>
        <v>#NUM!</v>
      </c>
      <c r="G1843" s="39" t="e">
        <f ca="1">IF($C$1076&gt;0,VLOOKUP($C1843,COSTI!$U$4:$Z$1003,5,FALSE),IF($C$1075&gt;0,VLOOKUP($C1843,PATRIMONIALE!$U$4:$Z$1003,5,FALSE),IF($C$1074&gt;0,VLOOKUP($C1843,ENTI!$U$4:$Z$1003,5,FALSE),"")))</f>
        <v>#N/A</v>
      </c>
      <c r="H1843" s="42" t="e">
        <f ca="1">IF($C$1076&gt;0,VLOOKUP($C1843,COSTI!$U$4:$Z$1003,6,FALSE),IF($C$1075&gt;0,VLOOKUP($C1843,PATRIMONIALE!$U$4:$Z$1003,6,FALSE),IF($C$1074&gt;0,VLOOKUP($C1843,ENTI!$U$4:$Z$1003,6,FALSE),"")))</f>
        <v>#N/A</v>
      </c>
      <c r="I1843" s="496">
        <v>763</v>
      </c>
      <c r="J1843" s="43" t="e">
        <f ca="1">VLOOKUP(D1843,$F$1081:$I$4183,4,FALSE)+COUNTIF(E$1081:E1842,E1843)</f>
        <v>#N/A</v>
      </c>
      <c r="K1843" s="1"/>
      <c r="L1843" s="39" t="e">
        <f>IF($C$1074&gt;0,VLOOKUP($C1843,ENTI!$U$4:$AD$1003,10,FALSE),"")</f>
        <v>#N/A</v>
      </c>
      <c r="M1843" s="1"/>
      <c r="N1843" s="1"/>
      <c r="O1843" s="1"/>
    </row>
    <row r="1844" spans="1:15" hidden="1">
      <c r="A1844" s="1"/>
      <c r="B1844" s="40" t="e">
        <f t="shared" ca="1" si="217"/>
        <v>#N/A</v>
      </c>
      <c r="C1844" s="496">
        <v>764</v>
      </c>
      <c r="D1844" s="41" t="e">
        <f ca="1">IF($C$1076&gt;0,VLOOKUP($C1844,COSTI!$U$4:$Z$1003,3,FALSE),IF($C$1075&gt;0,VLOOKUP($C1844,PATRIMONIALE!$U$4:$Z$1003,3,FALSE),IF($C$1074&gt;0,VLOOKUP($C1844,ENTI!$U$4:$Z$1003,3,FALSE),"")))</f>
        <v>#N/A</v>
      </c>
      <c r="E1844" s="41" t="str">
        <f t="shared" ca="1" si="218"/>
        <v/>
      </c>
      <c r="F1844" s="41" t="e">
        <f t="shared" ca="1" si="216"/>
        <v>#NUM!</v>
      </c>
      <c r="G1844" s="39" t="e">
        <f ca="1">IF($C$1076&gt;0,VLOOKUP($C1844,COSTI!$U$4:$Z$1003,5,FALSE),IF($C$1075&gt;0,VLOOKUP($C1844,PATRIMONIALE!$U$4:$Z$1003,5,FALSE),IF($C$1074&gt;0,VLOOKUP($C1844,ENTI!$U$4:$Z$1003,5,FALSE),"")))</f>
        <v>#N/A</v>
      </c>
      <c r="H1844" s="42" t="e">
        <f ca="1">IF($C$1076&gt;0,VLOOKUP($C1844,COSTI!$U$4:$Z$1003,6,FALSE),IF($C$1075&gt;0,VLOOKUP($C1844,PATRIMONIALE!$U$4:$Z$1003,6,FALSE),IF($C$1074&gt;0,VLOOKUP($C1844,ENTI!$U$4:$Z$1003,6,FALSE),"")))</f>
        <v>#N/A</v>
      </c>
      <c r="I1844" s="496">
        <v>764</v>
      </c>
      <c r="J1844" s="43" t="e">
        <f ca="1">VLOOKUP(D1844,$F$1081:$I$4183,4,FALSE)+COUNTIF(E$1081:E1843,E1844)</f>
        <v>#N/A</v>
      </c>
      <c r="K1844" s="1"/>
      <c r="L1844" s="39" t="e">
        <f>IF($C$1074&gt;0,VLOOKUP($C1844,ENTI!$U$4:$AD$1003,10,FALSE),"")</f>
        <v>#N/A</v>
      </c>
      <c r="M1844" s="1"/>
      <c r="N1844" s="1"/>
      <c r="O1844" s="1"/>
    </row>
    <row r="1845" spans="1:15" hidden="1">
      <c r="A1845" s="1"/>
      <c r="B1845" s="40" t="e">
        <f t="shared" ca="1" si="217"/>
        <v>#N/A</v>
      </c>
      <c r="C1845" s="496">
        <v>765</v>
      </c>
      <c r="D1845" s="41" t="e">
        <f ca="1">IF($C$1076&gt;0,VLOOKUP($C1845,COSTI!$U$4:$Z$1003,3,FALSE),IF($C$1075&gt;0,VLOOKUP($C1845,PATRIMONIALE!$U$4:$Z$1003,3,FALSE),IF($C$1074&gt;0,VLOOKUP($C1845,ENTI!$U$4:$Z$1003,3,FALSE),"")))</f>
        <v>#N/A</v>
      </c>
      <c r="E1845" s="41" t="str">
        <f t="shared" ca="1" si="218"/>
        <v/>
      </c>
      <c r="F1845" s="41" t="e">
        <f t="shared" ca="1" si="216"/>
        <v>#NUM!</v>
      </c>
      <c r="G1845" s="39" t="e">
        <f ca="1">IF($C$1076&gt;0,VLOOKUP($C1845,COSTI!$U$4:$Z$1003,5,FALSE),IF($C$1075&gt;0,VLOOKUP($C1845,PATRIMONIALE!$U$4:$Z$1003,5,FALSE),IF($C$1074&gt;0,VLOOKUP($C1845,ENTI!$U$4:$Z$1003,5,FALSE),"")))</f>
        <v>#N/A</v>
      </c>
      <c r="H1845" s="42" t="e">
        <f ca="1">IF($C$1076&gt;0,VLOOKUP($C1845,COSTI!$U$4:$Z$1003,6,FALSE),IF($C$1075&gt;0,VLOOKUP($C1845,PATRIMONIALE!$U$4:$Z$1003,6,FALSE),IF($C$1074&gt;0,VLOOKUP($C1845,ENTI!$U$4:$Z$1003,6,FALSE),"")))</f>
        <v>#N/A</v>
      </c>
      <c r="I1845" s="496">
        <v>765</v>
      </c>
      <c r="J1845" s="43" t="e">
        <f ca="1">VLOOKUP(D1845,$F$1081:$I$4183,4,FALSE)+COUNTIF(E$1081:E1844,E1845)</f>
        <v>#N/A</v>
      </c>
      <c r="K1845" s="1"/>
      <c r="L1845" s="39" t="e">
        <f>IF($C$1074&gt;0,VLOOKUP($C1845,ENTI!$U$4:$AD$1003,10,FALSE),"")</f>
        <v>#N/A</v>
      </c>
      <c r="M1845" s="1"/>
      <c r="N1845" s="1"/>
      <c r="O1845" s="1"/>
    </row>
    <row r="1846" spans="1:15" hidden="1">
      <c r="A1846" s="1"/>
      <c r="B1846" s="40" t="e">
        <f t="shared" ca="1" si="217"/>
        <v>#N/A</v>
      </c>
      <c r="C1846" s="496">
        <v>766</v>
      </c>
      <c r="D1846" s="41" t="e">
        <f ca="1">IF($C$1076&gt;0,VLOOKUP($C1846,COSTI!$U$4:$Z$1003,3,FALSE),IF($C$1075&gt;0,VLOOKUP($C1846,PATRIMONIALE!$U$4:$Z$1003,3,FALSE),IF($C$1074&gt;0,VLOOKUP($C1846,ENTI!$U$4:$Z$1003,3,FALSE),"")))</f>
        <v>#N/A</v>
      </c>
      <c r="E1846" s="41" t="str">
        <f t="shared" ca="1" si="218"/>
        <v/>
      </c>
      <c r="F1846" s="41" t="e">
        <f t="shared" ca="1" si="216"/>
        <v>#NUM!</v>
      </c>
      <c r="G1846" s="39" t="e">
        <f ca="1">IF($C$1076&gt;0,VLOOKUP($C1846,COSTI!$U$4:$Z$1003,5,FALSE),IF($C$1075&gt;0,VLOOKUP($C1846,PATRIMONIALE!$U$4:$Z$1003,5,FALSE),IF($C$1074&gt;0,VLOOKUP($C1846,ENTI!$U$4:$Z$1003,5,FALSE),"")))</f>
        <v>#N/A</v>
      </c>
      <c r="H1846" s="42" t="e">
        <f ca="1">IF($C$1076&gt;0,VLOOKUP($C1846,COSTI!$U$4:$Z$1003,6,FALSE),IF($C$1075&gt;0,VLOOKUP($C1846,PATRIMONIALE!$U$4:$Z$1003,6,FALSE),IF($C$1074&gt;0,VLOOKUP($C1846,ENTI!$U$4:$Z$1003,6,FALSE),"")))</f>
        <v>#N/A</v>
      </c>
      <c r="I1846" s="496">
        <v>766</v>
      </c>
      <c r="J1846" s="43" t="e">
        <f ca="1">VLOOKUP(D1846,$F$1081:$I$4183,4,FALSE)+COUNTIF(E$1081:E1845,E1846)</f>
        <v>#N/A</v>
      </c>
      <c r="K1846" s="1"/>
      <c r="L1846" s="39" t="e">
        <f>IF($C$1074&gt;0,VLOOKUP($C1846,ENTI!$U$4:$AD$1003,10,FALSE),"")</f>
        <v>#N/A</v>
      </c>
      <c r="M1846" s="1"/>
      <c r="N1846" s="1"/>
      <c r="O1846" s="1"/>
    </row>
    <row r="1847" spans="1:15" hidden="1">
      <c r="A1847" s="1"/>
      <c r="B1847" s="40" t="e">
        <f t="shared" ca="1" si="217"/>
        <v>#N/A</v>
      </c>
      <c r="C1847" s="496">
        <v>767</v>
      </c>
      <c r="D1847" s="41" t="e">
        <f ca="1">IF($C$1076&gt;0,VLOOKUP($C1847,COSTI!$U$4:$Z$1003,3,FALSE),IF($C$1075&gt;0,VLOOKUP($C1847,PATRIMONIALE!$U$4:$Z$1003,3,FALSE),IF($C$1074&gt;0,VLOOKUP($C1847,ENTI!$U$4:$Z$1003,3,FALSE),"")))</f>
        <v>#N/A</v>
      </c>
      <c r="E1847" s="41" t="str">
        <f t="shared" ca="1" si="218"/>
        <v/>
      </c>
      <c r="F1847" s="41" t="e">
        <f t="shared" ca="1" si="216"/>
        <v>#NUM!</v>
      </c>
      <c r="G1847" s="39" t="e">
        <f ca="1">IF($C$1076&gt;0,VLOOKUP($C1847,COSTI!$U$4:$Z$1003,5,FALSE),IF($C$1075&gt;0,VLOOKUP($C1847,PATRIMONIALE!$U$4:$Z$1003,5,FALSE),IF($C$1074&gt;0,VLOOKUP($C1847,ENTI!$U$4:$Z$1003,5,FALSE),"")))</f>
        <v>#N/A</v>
      </c>
      <c r="H1847" s="42" t="e">
        <f ca="1">IF($C$1076&gt;0,VLOOKUP($C1847,COSTI!$U$4:$Z$1003,6,FALSE),IF($C$1075&gt;0,VLOOKUP($C1847,PATRIMONIALE!$U$4:$Z$1003,6,FALSE),IF($C$1074&gt;0,VLOOKUP($C1847,ENTI!$U$4:$Z$1003,6,FALSE),"")))</f>
        <v>#N/A</v>
      </c>
      <c r="I1847" s="496">
        <v>767</v>
      </c>
      <c r="J1847" s="43" t="e">
        <f ca="1">VLOOKUP(D1847,$F$1081:$I$4183,4,FALSE)+COUNTIF(E$1081:E1846,E1847)</f>
        <v>#N/A</v>
      </c>
      <c r="K1847" s="1"/>
      <c r="L1847" s="39" t="e">
        <f>IF($C$1074&gt;0,VLOOKUP($C1847,ENTI!$U$4:$AD$1003,10,FALSE),"")</f>
        <v>#N/A</v>
      </c>
      <c r="M1847" s="1"/>
      <c r="N1847" s="1"/>
      <c r="O1847" s="1"/>
    </row>
    <row r="1848" spans="1:15" hidden="1">
      <c r="A1848" s="1"/>
      <c r="B1848" s="40" t="e">
        <f t="shared" ca="1" si="217"/>
        <v>#N/A</v>
      </c>
      <c r="C1848" s="496">
        <v>768</v>
      </c>
      <c r="D1848" s="41" t="e">
        <f ca="1">IF($C$1076&gt;0,VLOOKUP($C1848,COSTI!$U$4:$Z$1003,3,FALSE),IF($C$1075&gt;0,VLOOKUP($C1848,PATRIMONIALE!$U$4:$Z$1003,3,FALSE),IF($C$1074&gt;0,VLOOKUP($C1848,ENTI!$U$4:$Z$1003,3,FALSE),"")))</f>
        <v>#N/A</v>
      </c>
      <c r="E1848" s="41" t="str">
        <f t="shared" ca="1" si="218"/>
        <v/>
      </c>
      <c r="F1848" s="41" t="e">
        <f t="shared" ca="1" si="216"/>
        <v>#NUM!</v>
      </c>
      <c r="G1848" s="39" t="e">
        <f ca="1">IF($C$1076&gt;0,VLOOKUP($C1848,COSTI!$U$4:$Z$1003,5,FALSE),IF($C$1075&gt;0,VLOOKUP($C1848,PATRIMONIALE!$U$4:$Z$1003,5,FALSE),IF($C$1074&gt;0,VLOOKUP($C1848,ENTI!$U$4:$Z$1003,5,FALSE),"")))</f>
        <v>#N/A</v>
      </c>
      <c r="H1848" s="42" t="e">
        <f ca="1">IF($C$1076&gt;0,VLOOKUP($C1848,COSTI!$U$4:$Z$1003,6,FALSE),IF($C$1075&gt;0,VLOOKUP($C1848,PATRIMONIALE!$U$4:$Z$1003,6,FALSE),IF($C$1074&gt;0,VLOOKUP($C1848,ENTI!$U$4:$Z$1003,6,FALSE),"")))</f>
        <v>#N/A</v>
      </c>
      <c r="I1848" s="496">
        <v>768</v>
      </c>
      <c r="J1848" s="43" t="e">
        <f ca="1">VLOOKUP(D1848,$F$1081:$I$4183,4,FALSE)+COUNTIF(E$1081:E1847,E1848)</f>
        <v>#N/A</v>
      </c>
      <c r="K1848" s="1"/>
      <c r="L1848" s="39" t="e">
        <f>IF($C$1074&gt;0,VLOOKUP($C1848,ENTI!$U$4:$AD$1003,10,FALSE),"")</f>
        <v>#N/A</v>
      </c>
      <c r="M1848" s="1"/>
      <c r="N1848" s="1"/>
      <c r="O1848" s="1"/>
    </row>
    <row r="1849" spans="1:15" hidden="1">
      <c r="A1849" s="1"/>
      <c r="B1849" s="40" t="e">
        <f t="shared" ca="1" si="217"/>
        <v>#N/A</v>
      </c>
      <c r="C1849" s="496">
        <v>769</v>
      </c>
      <c r="D1849" s="41" t="e">
        <f ca="1">IF($C$1076&gt;0,VLOOKUP($C1849,COSTI!$U$4:$Z$1003,3,FALSE),IF($C$1075&gt;0,VLOOKUP($C1849,PATRIMONIALE!$U$4:$Z$1003,3,FALSE),IF($C$1074&gt;0,VLOOKUP($C1849,ENTI!$U$4:$Z$1003,3,FALSE),"")))</f>
        <v>#N/A</v>
      </c>
      <c r="E1849" s="41" t="str">
        <f t="shared" ca="1" si="218"/>
        <v/>
      </c>
      <c r="F1849" s="41" t="e">
        <f t="shared" ref="F1849:F1912" ca="1" si="219">SMALL(E$1081:E$4183,C1849)</f>
        <v>#NUM!</v>
      </c>
      <c r="G1849" s="39" t="e">
        <f ca="1">IF($C$1076&gt;0,VLOOKUP($C1849,COSTI!$U$4:$Z$1003,5,FALSE),IF($C$1075&gt;0,VLOOKUP($C1849,PATRIMONIALE!$U$4:$Z$1003,5,FALSE),IF($C$1074&gt;0,VLOOKUP($C1849,ENTI!$U$4:$Z$1003,5,FALSE),"")))</f>
        <v>#N/A</v>
      </c>
      <c r="H1849" s="42" t="e">
        <f ca="1">IF($C$1076&gt;0,VLOOKUP($C1849,COSTI!$U$4:$Z$1003,6,FALSE),IF($C$1075&gt;0,VLOOKUP($C1849,PATRIMONIALE!$U$4:$Z$1003,6,FALSE),IF($C$1074&gt;0,VLOOKUP($C1849,ENTI!$U$4:$Z$1003,6,FALSE),"")))</f>
        <v>#N/A</v>
      </c>
      <c r="I1849" s="496">
        <v>769</v>
      </c>
      <c r="J1849" s="43" t="e">
        <f ca="1">VLOOKUP(D1849,$F$1081:$I$4183,4,FALSE)+COUNTIF(E$1081:E1848,E1849)</f>
        <v>#N/A</v>
      </c>
      <c r="K1849" s="1"/>
      <c r="L1849" s="39" t="e">
        <f>IF($C$1074&gt;0,VLOOKUP($C1849,ENTI!$U$4:$AD$1003,10,FALSE),"")</f>
        <v>#N/A</v>
      </c>
      <c r="M1849" s="1"/>
      <c r="N1849" s="1"/>
      <c r="O1849" s="1"/>
    </row>
    <row r="1850" spans="1:15" hidden="1">
      <c r="A1850" s="1"/>
      <c r="B1850" s="40" t="e">
        <f t="shared" ca="1" si="217"/>
        <v>#N/A</v>
      </c>
      <c r="C1850" s="496">
        <v>770</v>
      </c>
      <c r="D1850" s="41" t="e">
        <f ca="1">IF($C$1076&gt;0,VLOOKUP($C1850,COSTI!$U$4:$Z$1003,3,FALSE),IF($C$1075&gt;0,VLOOKUP($C1850,PATRIMONIALE!$U$4:$Z$1003,3,FALSE),IF($C$1074&gt;0,VLOOKUP($C1850,ENTI!$U$4:$Z$1003,3,FALSE),"")))</f>
        <v>#N/A</v>
      </c>
      <c r="E1850" s="41" t="str">
        <f t="shared" ca="1" si="218"/>
        <v/>
      </c>
      <c r="F1850" s="41" t="e">
        <f t="shared" ca="1" si="219"/>
        <v>#NUM!</v>
      </c>
      <c r="G1850" s="39" t="e">
        <f ca="1">IF($C$1076&gt;0,VLOOKUP($C1850,COSTI!$U$4:$Z$1003,5,FALSE),IF($C$1075&gt;0,VLOOKUP($C1850,PATRIMONIALE!$U$4:$Z$1003,5,FALSE),IF($C$1074&gt;0,VLOOKUP($C1850,ENTI!$U$4:$Z$1003,5,FALSE),"")))</f>
        <v>#N/A</v>
      </c>
      <c r="H1850" s="42" t="e">
        <f ca="1">IF($C$1076&gt;0,VLOOKUP($C1850,COSTI!$U$4:$Z$1003,6,FALSE),IF($C$1075&gt;0,VLOOKUP($C1850,PATRIMONIALE!$U$4:$Z$1003,6,FALSE),IF($C$1074&gt;0,VLOOKUP($C1850,ENTI!$U$4:$Z$1003,6,FALSE),"")))</f>
        <v>#N/A</v>
      </c>
      <c r="I1850" s="496">
        <v>770</v>
      </c>
      <c r="J1850" s="43" t="e">
        <f ca="1">VLOOKUP(D1850,$F$1081:$I$4183,4,FALSE)+COUNTIF(E$1081:E1849,E1850)</f>
        <v>#N/A</v>
      </c>
      <c r="K1850" s="1"/>
      <c r="L1850" s="39" t="e">
        <f>IF($C$1074&gt;0,VLOOKUP($C1850,ENTI!$U$4:$AD$1003,10,FALSE),"")</f>
        <v>#N/A</v>
      </c>
      <c r="M1850" s="1"/>
      <c r="N1850" s="1"/>
      <c r="O1850" s="1"/>
    </row>
    <row r="1851" spans="1:15" hidden="1">
      <c r="A1851" s="1"/>
      <c r="B1851" s="40" t="e">
        <f t="shared" ca="1" si="217"/>
        <v>#N/A</v>
      </c>
      <c r="C1851" s="496">
        <v>771</v>
      </c>
      <c r="D1851" s="41" t="e">
        <f ca="1">IF($C$1076&gt;0,VLOOKUP($C1851,COSTI!$U$4:$Z$1003,3,FALSE),IF($C$1075&gt;0,VLOOKUP($C1851,PATRIMONIALE!$U$4:$Z$1003,3,FALSE),IF($C$1074&gt;0,VLOOKUP($C1851,ENTI!$U$4:$Z$1003,3,FALSE),"")))</f>
        <v>#N/A</v>
      </c>
      <c r="E1851" s="41" t="str">
        <f t="shared" ca="1" si="218"/>
        <v/>
      </c>
      <c r="F1851" s="41" t="e">
        <f t="shared" ca="1" si="219"/>
        <v>#NUM!</v>
      </c>
      <c r="G1851" s="39" t="e">
        <f ca="1">IF($C$1076&gt;0,VLOOKUP($C1851,COSTI!$U$4:$Z$1003,5,FALSE),IF($C$1075&gt;0,VLOOKUP($C1851,PATRIMONIALE!$U$4:$Z$1003,5,FALSE),IF($C$1074&gt;0,VLOOKUP($C1851,ENTI!$U$4:$Z$1003,5,FALSE),"")))</f>
        <v>#N/A</v>
      </c>
      <c r="H1851" s="42" t="e">
        <f ca="1">IF($C$1076&gt;0,VLOOKUP($C1851,COSTI!$U$4:$Z$1003,6,FALSE),IF($C$1075&gt;0,VLOOKUP($C1851,PATRIMONIALE!$U$4:$Z$1003,6,FALSE),IF($C$1074&gt;0,VLOOKUP($C1851,ENTI!$U$4:$Z$1003,6,FALSE),"")))</f>
        <v>#N/A</v>
      </c>
      <c r="I1851" s="496">
        <v>771</v>
      </c>
      <c r="J1851" s="43" t="e">
        <f ca="1">VLOOKUP(D1851,$F$1081:$I$4183,4,FALSE)+COUNTIF(E$1081:E1850,E1851)</f>
        <v>#N/A</v>
      </c>
      <c r="K1851" s="1"/>
      <c r="L1851" s="39" t="e">
        <f>IF($C$1074&gt;0,VLOOKUP($C1851,ENTI!$U$4:$AD$1003,10,FALSE),"")</f>
        <v>#N/A</v>
      </c>
      <c r="M1851" s="1"/>
      <c r="N1851" s="1"/>
      <c r="O1851" s="1"/>
    </row>
    <row r="1852" spans="1:15" hidden="1">
      <c r="A1852" s="1"/>
      <c r="B1852" s="40" t="e">
        <f t="shared" ca="1" si="217"/>
        <v>#N/A</v>
      </c>
      <c r="C1852" s="496">
        <v>772</v>
      </c>
      <c r="D1852" s="41" t="e">
        <f ca="1">IF($C$1076&gt;0,VLOOKUP($C1852,COSTI!$U$4:$Z$1003,3,FALSE),IF($C$1075&gt;0,VLOOKUP($C1852,PATRIMONIALE!$U$4:$Z$1003,3,FALSE),IF($C$1074&gt;0,VLOOKUP($C1852,ENTI!$U$4:$Z$1003,3,FALSE),"")))</f>
        <v>#N/A</v>
      </c>
      <c r="E1852" s="41" t="str">
        <f t="shared" ca="1" si="218"/>
        <v/>
      </c>
      <c r="F1852" s="41" t="e">
        <f t="shared" ca="1" si="219"/>
        <v>#NUM!</v>
      </c>
      <c r="G1852" s="39" t="e">
        <f ca="1">IF($C$1076&gt;0,VLOOKUP($C1852,COSTI!$U$4:$Z$1003,5,FALSE),IF($C$1075&gt;0,VLOOKUP($C1852,PATRIMONIALE!$U$4:$Z$1003,5,FALSE),IF($C$1074&gt;0,VLOOKUP($C1852,ENTI!$U$4:$Z$1003,5,FALSE),"")))</f>
        <v>#N/A</v>
      </c>
      <c r="H1852" s="42" t="e">
        <f ca="1">IF($C$1076&gt;0,VLOOKUP($C1852,COSTI!$U$4:$Z$1003,6,FALSE),IF($C$1075&gt;0,VLOOKUP($C1852,PATRIMONIALE!$U$4:$Z$1003,6,FALSE),IF($C$1074&gt;0,VLOOKUP($C1852,ENTI!$U$4:$Z$1003,6,FALSE),"")))</f>
        <v>#N/A</v>
      </c>
      <c r="I1852" s="496">
        <v>772</v>
      </c>
      <c r="J1852" s="43" t="e">
        <f ca="1">VLOOKUP(D1852,$F$1081:$I$4183,4,FALSE)+COUNTIF(E$1081:E1851,E1852)</f>
        <v>#N/A</v>
      </c>
      <c r="K1852" s="1"/>
      <c r="L1852" s="39" t="e">
        <f>IF($C$1074&gt;0,VLOOKUP($C1852,ENTI!$U$4:$AD$1003,10,FALSE),"")</f>
        <v>#N/A</v>
      </c>
      <c r="M1852" s="1"/>
      <c r="N1852" s="1"/>
      <c r="O1852" s="1"/>
    </row>
    <row r="1853" spans="1:15" hidden="1">
      <c r="A1853" s="1"/>
      <c r="B1853" s="40" t="e">
        <f t="shared" ca="1" si="217"/>
        <v>#N/A</v>
      </c>
      <c r="C1853" s="496">
        <v>773</v>
      </c>
      <c r="D1853" s="41" t="e">
        <f ca="1">IF($C$1076&gt;0,VLOOKUP($C1853,COSTI!$U$4:$Z$1003,3,FALSE),IF($C$1075&gt;0,VLOOKUP($C1853,PATRIMONIALE!$U$4:$Z$1003,3,FALSE),IF($C$1074&gt;0,VLOOKUP($C1853,ENTI!$U$4:$Z$1003,3,FALSE),"")))</f>
        <v>#N/A</v>
      </c>
      <c r="E1853" s="41" t="str">
        <f t="shared" ca="1" si="218"/>
        <v/>
      </c>
      <c r="F1853" s="41" t="e">
        <f t="shared" ca="1" si="219"/>
        <v>#NUM!</v>
      </c>
      <c r="G1853" s="39" t="e">
        <f ca="1">IF($C$1076&gt;0,VLOOKUP($C1853,COSTI!$U$4:$Z$1003,5,FALSE),IF($C$1075&gt;0,VLOOKUP($C1853,PATRIMONIALE!$U$4:$Z$1003,5,FALSE),IF($C$1074&gt;0,VLOOKUP($C1853,ENTI!$U$4:$Z$1003,5,FALSE),"")))</f>
        <v>#N/A</v>
      </c>
      <c r="H1853" s="42" t="e">
        <f ca="1">IF($C$1076&gt;0,VLOOKUP($C1853,COSTI!$U$4:$Z$1003,6,FALSE),IF($C$1075&gt;0,VLOOKUP($C1853,PATRIMONIALE!$U$4:$Z$1003,6,FALSE),IF($C$1074&gt;0,VLOOKUP($C1853,ENTI!$U$4:$Z$1003,6,FALSE),"")))</f>
        <v>#N/A</v>
      </c>
      <c r="I1853" s="496">
        <v>773</v>
      </c>
      <c r="J1853" s="43" t="e">
        <f ca="1">VLOOKUP(D1853,$F$1081:$I$4183,4,FALSE)+COUNTIF(E$1081:E1852,E1853)</f>
        <v>#N/A</v>
      </c>
      <c r="K1853" s="1"/>
      <c r="L1853" s="39" t="e">
        <f>IF($C$1074&gt;0,VLOOKUP($C1853,ENTI!$U$4:$AD$1003,10,FALSE),"")</f>
        <v>#N/A</v>
      </c>
      <c r="M1853" s="1"/>
      <c r="N1853" s="1"/>
      <c r="O1853" s="1"/>
    </row>
    <row r="1854" spans="1:15" hidden="1">
      <c r="A1854" s="1"/>
      <c r="B1854" s="40" t="e">
        <f t="shared" ca="1" si="217"/>
        <v>#N/A</v>
      </c>
      <c r="C1854" s="496">
        <v>774</v>
      </c>
      <c r="D1854" s="41" t="e">
        <f ca="1">IF($C$1076&gt;0,VLOOKUP($C1854,COSTI!$U$4:$Z$1003,3,FALSE),IF($C$1075&gt;0,VLOOKUP($C1854,PATRIMONIALE!$U$4:$Z$1003,3,FALSE),IF($C$1074&gt;0,VLOOKUP($C1854,ENTI!$U$4:$Z$1003,3,FALSE),"")))</f>
        <v>#N/A</v>
      </c>
      <c r="E1854" s="41" t="str">
        <f t="shared" ca="1" si="218"/>
        <v/>
      </c>
      <c r="F1854" s="41" t="e">
        <f t="shared" ca="1" si="219"/>
        <v>#NUM!</v>
      </c>
      <c r="G1854" s="39" t="e">
        <f ca="1">IF($C$1076&gt;0,VLOOKUP($C1854,COSTI!$U$4:$Z$1003,5,FALSE),IF($C$1075&gt;0,VLOOKUP($C1854,PATRIMONIALE!$U$4:$Z$1003,5,FALSE),IF($C$1074&gt;0,VLOOKUP($C1854,ENTI!$U$4:$Z$1003,5,FALSE),"")))</f>
        <v>#N/A</v>
      </c>
      <c r="H1854" s="42" t="e">
        <f ca="1">IF($C$1076&gt;0,VLOOKUP($C1854,COSTI!$U$4:$Z$1003,6,FALSE),IF($C$1075&gt;0,VLOOKUP($C1854,PATRIMONIALE!$U$4:$Z$1003,6,FALSE),IF($C$1074&gt;0,VLOOKUP($C1854,ENTI!$U$4:$Z$1003,6,FALSE),"")))</f>
        <v>#N/A</v>
      </c>
      <c r="I1854" s="496">
        <v>774</v>
      </c>
      <c r="J1854" s="43" t="e">
        <f ca="1">VLOOKUP(D1854,$F$1081:$I$4183,4,FALSE)+COUNTIF(E$1081:E1853,E1854)</f>
        <v>#N/A</v>
      </c>
      <c r="K1854" s="1"/>
      <c r="L1854" s="39" t="e">
        <f>IF($C$1074&gt;0,VLOOKUP($C1854,ENTI!$U$4:$AD$1003,10,FALSE),"")</f>
        <v>#N/A</v>
      </c>
      <c r="M1854" s="1"/>
      <c r="N1854" s="1"/>
      <c r="O1854" s="1"/>
    </row>
    <row r="1855" spans="1:15" hidden="1">
      <c r="A1855" s="1"/>
      <c r="B1855" s="40" t="e">
        <f t="shared" ca="1" si="217"/>
        <v>#N/A</v>
      </c>
      <c r="C1855" s="496">
        <v>775</v>
      </c>
      <c r="D1855" s="41" t="e">
        <f ca="1">IF($C$1076&gt;0,VLOOKUP($C1855,COSTI!$U$4:$Z$1003,3,FALSE),IF($C$1075&gt;0,VLOOKUP($C1855,PATRIMONIALE!$U$4:$Z$1003,3,FALSE),IF($C$1074&gt;0,VLOOKUP($C1855,ENTI!$U$4:$Z$1003,3,FALSE),"")))</f>
        <v>#N/A</v>
      </c>
      <c r="E1855" s="41" t="str">
        <f t="shared" ca="1" si="218"/>
        <v/>
      </c>
      <c r="F1855" s="41" t="e">
        <f t="shared" ca="1" si="219"/>
        <v>#NUM!</v>
      </c>
      <c r="G1855" s="39" t="e">
        <f ca="1">IF($C$1076&gt;0,VLOOKUP($C1855,COSTI!$U$4:$Z$1003,5,FALSE),IF($C$1075&gt;0,VLOOKUP($C1855,PATRIMONIALE!$U$4:$Z$1003,5,FALSE),IF($C$1074&gt;0,VLOOKUP($C1855,ENTI!$U$4:$Z$1003,5,FALSE),"")))</f>
        <v>#N/A</v>
      </c>
      <c r="H1855" s="42" t="e">
        <f ca="1">IF($C$1076&gt;0,VLOOKUP($C1855,COSTI!$U$4:$Z$1003,6,FALSE),IF($C$1075&gt;0,VLOOKUP($C1855,PATRIMONIALE!$U$4:$Z$1003,6,FALSE),IF($C$1074&gt;0,VLOOKUP($C1855,ENTI!$U$4:$Z$1003,6,FALSE),"")))</f>
        <v>#N/A</v>
      </c>
      <c r="I1855" s="496">
        <v>775</v>
      </c>
      <c r="J1855" s="43" t="e">
        <f ca="1">VLOOKUP(D1855,$F$1081:$I$4183,4,FALSE)+COUNTIF(E$1081:E1854,E1855)</f>
        <v>#N/A</v>
      </c>
      <c r="K1855" s="1"/>
      <c r="L1855" s="39" t="e">
        <f>IF($C$1074&gt;0,VLOOKUP($C1855,ENTI!$U$4:$AD$1003,10,FALSE),"")</f>
        <v>#N/A</v>
      </c>
      <c r="M1855" s="1"/>
      <c r="N1855" s="1"/>
      <c r="O1855" s="1"/>
    </row>
    <row r="1856" spans="1:15" hidden="1">
      <c r="A1856" s="1"/>
      <c r="B1856" s="40" t="e">
        <f t="shared" ca="1" si="217"/>
        <v>#N/A</v>
      </c>
      <c r="C1856" s="496">
        <v>776</v>
      </c>
      <c r="D1856" s="41" t="e">
        <f ca="1">IF($C$1076&gt;0,VLOOKUP($C1856,COSTI!$U$4:$Z$1003,3,FALSE),IF($C$1075&gt;0,VLOOKUP($C1856,PATRIMONIALE!$U$4:$Z$1003,3,FALSE),IF($C$1074&gt;0,VLOOKUP($C1856,ENTI!$U$4:$Z$1003,3,FALSE),"")))</f>
        <v>#N/A</v>
      </c>
      <c r="E1856" s="41" t="str">
        <f t="shared" ca="1" si="218"/>
        <v/>
      </c>
      <c r="F1856" s="41" t="e">
        <f t="shared" ca="1" si="219"/>
        <v>#NUM!</v>
      </c>
      <c r="G1856" s="39" t="e">
        <f ca="1">IF($C$1076&gt;0,VLOOKUP($C1856,COSTI!$U$4:$Z$1003,5,FALSE),IF($C$1075&gt;0,VLOOKUP($C1856,PATRIMONIALE!$U$4:$Z$1003,5,FALSE),IF($C$1074&gt;0,VLOOKUP($C1856,ENTI!$U$4:$Z$1003,5,FALSE),"")))</f>
        <v>#N/A</v>
      </c>
      <c r="H1856" s="42" t="e">
        <f ca="1">IF($C$1076&gt;0,VLOOKUP($C1856,COSTI!$U$4:$Z$1003,6,FALSE),IF($C$1075&gt;0,VLOOKUP($C1856,PATRIMONIALE!$U$4:$Z$1003,6,FALSE),IF($C$1074&gt;0,VLOOKUP($C1856,ENTI!$U$4:$Z$1003,6,FALSE),"")))</f>
        <v>#N/A</v>
      </c>
      <c r="I1856" s="496">
        <v>776</v>
      </c>
      <c r="J1856" s="43" t="e">
        <f ca="1">VLOOKUP(D1856,$F$1081:$I$4183,4,FALSE)+COUNTIF(E$1081:E1855,E1856)</f>
        <v>#N/A</v>
      </c>
      <c r="K1856" s="1"/>
      <c r="L1856" s="39" t="e">
        <f>IF($C$1074&gt;0,VLOOKUP($C1856,ENTI!$U$4:$AD$1003,10,FALSE),"")</f>
        <v>#N/A</v>
      </c>
      <c r="M1856" s="1"/>
      <c r="N1856" s="1"/>
      <c r="O1856" s="1"/>
    </row>
    <row r="1857" spans="1:15" hidden="1">
      <c r="A1857" s="1"/>
      <c r="B1857" s="40" t="e">
        <f t="shared" ca="1" si="217"/>
        <v>#N/A</v>
      </c>
      <c r="C1857" s="496">
        <v>777</v>
      </c>
      <c r="D1857" s="41" t="e">
        <f ca="1">IF($C$1076&gt;0,VLOOKUP($C1857,COSTI!$U$4:$Z$1003,3,FALSE),IF($C$1075&gt;0,VLOOKUP($C1857,PATRIMONIALE!$U$4:$Z$1003,3,FALSE),IF($C$1074&gt;0,VLOOKUP($C1857,ENTI!$U$4:$Z$1003,3,FALSE),"")))</f>
        <v>#N/A</v>
      </c>
      <c r="E1857" s="41" t="str">
        <f t="shared" ca="1" si="218"/>
        <v/>
      </c>
      <c r="F1857" s="41" t="e">
        <f t="shared" ca="1" si="219"/>
        <v>#NUM!</v>
      </c>
      <c r="G1857" s="39" t="e">
        <f ca="1">IF($C$1076&gt;0,VLOOKUP($C1857,COSTI!$U$4:$Z$1003,5,FALSE),IF($C$1075&gt;0,VLOOKUP($C1857,PATRIMONIALE!$U$4:$Z$1003,5,FALSE),IF($C$1074&gt;0,VLOOKUP($C1857,ENTI!$U$4:$Z$1003,5,FALSE),"")))</f>
        <v>#N/A</v>
      </c>
      <c r="H1857" s="42" t="e">
        <f ca="1">IF($C$1076&gt;0,VLOOKUP($C1857,COSTI!$U$4:$Z$1003,6,FALSE),IF($C$1075&gt;0,VLOOKUP($C1857,PATRIMONIALE!$U$4:$Z$1003,6,FALSE),IF($C$1074&gt;0,VLOOKUP($C1857,ENTI!$U$4:$Z$1003,6,FALSE),"")))</f>
        <v>#N/A</v>
      </c>
      <c r="I1857" s="496">
        <v>777</v>
      </c>
      <c r="J1857" s="43" t="e">
        <f ca="1">VLOOKUP(D1857,$F$1081:$I$4183,4,FALSE)+COUNTIF(E$1081:E1856,E1857)</f>
        <v>#N/A</v>
      </c>
      <c r="K1857" s="1"/>
      <c r="L1857" s="39" t="e">
        <f>IF($C$1074&gt;0,VLOOKUP($C1857,ENTI!$U$4:$AD$1003,10,FALSE),"")</f>
        <v>#N/A</v>
      </c>
      <c r="M1857" s="1"/>
      <c r="N1857" s="1"/>
      <c r="O1857" s="1"/>
    </row>
    <row r="1858" spans="1:15" hidden="1">
      <c r="A1858" s="1"/>
      <c r="B1858" s="40" t="e">
        <f t="shared" ca="1" si="217"/>
        <v>#N/A</v>
      </c>
      <c r="C1858" s="496">
        <v>778</v>
      </c>
      <c r="D1858" s="41" t="e">
        <f ca="1">IF($C$1076&gt;0,VLOOKUP($C1858,COSTI!$U$4:$Z$1003,3,FALSE),IF($C$1075&gt;0,VLOOKUP($C1858,PATRIMONIALE!$U$4:$Z$1003,3,FALSE),IF($C$1074&gt;0,VLOOKUP($C1858,ENTI!$U$4:$Z$1003,3,FALSE),"")))</f>
        <v>#N/A</v>
      </c>
      <c r="E1858" s="41" t="str">
        <f t="shared" ca="1" si="218"/>
        <v/>
      </c>
      <c r="F1858" s="41" t="e">
        <f t="shared" ca="1" si="219"/>
        <v>#NUM!</v>
      </c>
      <c r="G1858" s="39" t="e">
        <f ca="1">IF($C$1076&gt;0,VLOOKUP($C1858,COSTI!$U$4:$Z$1003,5,FALSE),IF($C$1075&gt;0,VLOOKUP($C1858,PATRIMONIALE!$U$4:$Z$1003,5,FALSE),IF($C$1074&gt;0,VLOOKUP($C1858,ENTI!$U$4:$Z$1003,5,FALSE),"")))</f>
        <v>#N/A</v>
      </c>
      <c r="H1858" s="42" t="e">
        <f ca="1">IF($C$1076&gt;0,VLOOKUP($C1858,COSTI!$U$4:$Z$1003,6,FALSE),IF($C$1075&gt;0,VLOOKUP($C1858,PATRIMONIALE!$U$4:$Z$1003,6,FALSE),IF($C$1074&gt;0,VLOOKUP($C1858,ENTI!$U$4:$Z$1003,6,FALSE),"")))</f>
        <v>#N/A</v>
      </c>
      <c r="I1858" s="496">
        <v>778</v>
      </c>
      <c r="J1858" s="43" t="e">
        <f ca="1">VLOOKUP(D1858,$F$1081:$I$4183,4,FALSE)+COUNTIF(E$1081:E1857,E1858)</f>
        <v>#N/A</v>
      </c>
      <c r="K1858" s="1"/>
      <c r="L1858" s="39" t="e">
        <f>IF($C$1074&gt;0,VLOOKUP($C1858,ENTI!$U$4:$AD$1003,10,FALSE),"")</f>
        <v>#N/A</v>
      </c>
      <c r="M1858" s="1"/>
      <c r="N1858" s="1"/>
      <c r="O1858" s="1"/>
    </row>
    <row r="1859" spans="1:15" hidden="1">
      <c r="A1859" s="1"/>
      <c r="B1859" s="40" t="e">
        <f t="shared" ca="1" si="217"/>
        <v>#N/A</v>
      </c>
      <c r="C1859" s="496">
        <v>779</v>
      </c>
      <c r="D1859" s="41" t="e">
        <f ca="1">IF($C$1076&gt;0,VLOOKUP($C1859,COSTI!$U$4:$Z$1003,3,FALSE),IF($C$1075&gt;0,VLOOKUP($C1859,PATRIMONIALE!$U$4:$Z$1003,3,FALSE),IF($C$1074&gt;0,VLOOKUP($C1859,ENTI!$U$4:$Z$1003,3,FALSE),"")))</f>
        <v>#N/A</v>
      </c>
      <c r="E1859" s="41" t="str">
        <f t="shared" ca="1" si="218"/>
        <v/>
      </c>
      <c r="F1859" s="41" t="e">
        <f t="shared" ca="1" si="219"/>
        <v>#NUM!</v>
      </c>
      <c r="G1859" s="39" t="e">
        <f ca="1">IF($C$1076&gt;0,VLOOKUP($C1859,COSTI!$U$4:$Z$1003,5,FALSE),IF($C$1075&gt;0,VLOOKUP($C1859,PATRIMONIALE!$U$4:$Z$1003,5,FALSE),IF($C$1074&gt;0,VLOOKUP($C1859,ENTI!$U$4:$Z$1003,5,FALSE),"")))</f>
        <v>#N/A</v>
      </c>
      <c r="H1859" s="42" t="e">
        <f ca="1">IF($C$1076&gt;0,VLOOKUP($C1859,COSTI!$U$4:$Z$1003,6,FALSE),IF($C$1075&gt;0,VLOOKUP($C1859,PATRIMONIALE!$U$4:$Z$1003,6,FALSE),IF($C$1074&gt;0,VLOOKUP($C1859,ENTI!$U$4:$Z$1003,6,FALSE),"")))</f>
        <v>#N/A</v>
      </c>
      <c r="I1859" s="496">
        <v>779</v>
      </c>
      <c r="J1859" s="43" t="e">
        <f ca="1">VLOOKUP(D1859,$F$1081:$I$4183,4,FALSE)+COUNTIF(E$1081:E1858,E1859)</f>
        <v>#N/A</v>
      </c>
      <c r="K1859" s="1"/>
      <c r="L1859" s="39" t="e">
        <f>IF($C$1074&gt;0,VLOOKUP($C1859,ENTI!$U$4:$AD$1003,10,FALSE),"")</f>
        <v>#N/A</v>
      </c>
      <c r="M1859" s="1"/>
      <c r="N1859" s="1"/>
      <c r="O1859" s="1"/>
    </row>
    <row r="1860" spans="1:15" hidden="1">
      <c r="A1860" s="1"/>
      <c r="B1860" s="40" t="e">
        <f t="shared" ca="1" si="217"/>
        <v>#N/A</v>
      </c>
      <c r="C1860" s="496">
        <v>780</v>
      </c>
      <c r="D1860" s="41" t="e">
        <f ca="1">IF($C$1076&gt;0,VLOOKUP($C1860,COSTI!$U$4:$Z$1003,3,FALSE),IF($C$1075&gt;0,VLOOKUP($C1860,PATRIMONIALE!$U$4:$Z$1003,3,FALSE),IF($C$1074&gt;0,VLOOKUP($C1860,ENTI!$U$4:$Z$1003,3,FALSE),"")))</f>
        <v>#N/A</v>
      </c>
      <c r="E1860" s="41" t="str">
        <f t="shared" ca="1" si="218"/>
        <v/>
      </c>
      <c r="F1860" s="41" t="e">
        <f t="shared" ca="1" si="219"/>
        <v>#NUM!</v>
      </c>
      <c r="G1860" s="39" t="e">
        <f ca="1">IF($C$1076&gt;0,VLOOKUP($C1860,COSTI!$U$4:$Z$1003,5,FALSE),IF($C$1075&gt;0,VLOOKUP($C1860,PATRIMONIALE!$U$4:$Z$1003,5,FALSE),IF($C$1074&gt;0,VLOOKUP($C1860,ENTI!$U$4:$Z$1003,5,FALSE),"")))</f>
        <v>#N/A</v>
      </c>
      <c r="H1860" s="42" t="e">
        <f ca="1">IF($C$1076&gt;0,VLOOKUP($C1860,COSTI!$U$4:$Z$1003,6,FALSE),IF($C$1075&gt;0,VLOOKUP($C1860,PATRIMONIALE!$U$4:$Z$1003,6,FALSE),IF($C$1074&gt;0,VLOOKUP($C1860,ENTI!$U$4:$Z$1003,6,FALSE),"")))</f>
        <v>#N/A</v>
      </c>
      <c r="I1860" s="496">
        <v>780</v>
      </c>
      <c r="J1860" s="43" t="e">
        <f ca="1">VLOOKUP(D1860,$F$1081:$I$4183,4,FALSE)+COUNTIF(E$1081:E1859,E1860)</f>
        <v>#N/A</v>
      </c>
      <c r="K1860" s="1"/>
      <c r="L1860" s="39" t="e">
        <f>IF($C$1074&gt;0,VLOOKUP($C1860,ENTI!$U$4:$AD$1003,10,FALSE),"")</f>
        <v>#N/A</v>
      </c>
      <c r="M1860" s="1"/>
      <c r="N1860" s="1"/>
      <c r="O1860" s="1"/>
    </row>
    <row r="1861" spans="1:15" hidden="1">
      <c r="A1861" s="1"/>
      <c r="B1861" s="40" t="e">
        <f t="shared" ca="1" si="217"/>
        <v>#N/A</v>
      </c>
      <c r="C1861" s="496">
        <v>781</v>
      </c>
      <c r="D1861" s="41" t="e">
        <f ca="1">IF($C$1076&gt;0,VLOOKUP($C1861,COSTI!$U$4:$Z$1003,3,FALSE),IF($C$1075&gt;0,VLOOKUP($C1861,PATRIMONIALE!$U$4:$Z$1003,3,FALSE),IF($C$1074&gt;0,VLOOKUP($C1861,ENTI!$U$4:$Z$1003,3,FALSE),"")))</f>
        <v>#N/A</v>
      </c>
      <c r="E1861" s="41" t="str">
        <f t="shared" ca="1" si="218"/>
        <v/>
      </c>
      <c r="F1861" s="41" t="e">
        <f t="shared" ca="1" si="219"/>
        <v>#NUM!</v>
      </c>
      <c r="G1861" s="39" t="e">
        <f ca="1">IF($C$1076&gt;0,VLOOKUP($C1861,COSTI!$U$4:$Z$1003,5,FALSE),IF($C$1075&gt;0,VLOOKUP($C1861,PATRIMONIALE!$U$4:$Z$1003,5,FALSE),IF($C$1074&gt;0,VLOOKUP($C1861,ENTI!$U$4:$Z$1003,5,FALSE),"")))</f>
        <v>#N/A</v>
      </c>
      <c r="H1861" s="42" t="e">
        <f ca="1">IF($C$1076&gt;0,VLOOKUP($C1861,COSTI!$U$4:$Z$1003,6,FALSE),IF($C$1075&gt;0,VLOOKUP($C1861,PATRIMONIALE!$U$4:$Z$1003,6,FALSE),IF($C$1074&gt;0,VLOOKUP($C1861,ENTI!$U$4:$Z$1003,6,FALSE),"")))</f>
        <v>#N/A</v>
      </c>
      <c r="I1861" s="496">
        <v>781</v>
      </c>
      <c r="J1861" s="43" t="e">
        <f ca="1">VLOOKUP(D1861,$F$1081:$I$4183,4,FALSE)+COUNTIF(E$1081:E1860,E1861)</f>
        <v>#N/A</v>
      </c>
      <c r="K1861" s="1"/>
      <c r="L1861" s="39" t="e">
        <f>IF($C$1074&gt;0,VLOOKUP($C1861,ENTI!$U$4:$AD$1003,10,FALSE),"")</f>
        <v>#N/A</v>
      </c>
      <c r="M1861" s="1"/>
      <c r="N1861" s="1"/>
      <c r="O1861" s="1"/>
    </row>
    <row r="1862" spans="1:15" hidden="1">
      <c r="A1862" s="1"/>
      <c r="B1862" s="40" t="e">
        <f t="shared" ca="1" si="217"/>
        <v>#N/A</v>
      </c>
      <c r="C1862" s="496">
        <v>782</v>
      </c>
      <c r="D1862" s="41" t="e">
        <f ca="1">IF($C$1076&gt;0,VLOOKUP($C1862,COSTI!$U$4:$Z$1003,3,FALSE),IF($C$1075&gt;0,VLOOKUP($C1862,PATRIMONIALE!$U$4:$Z$1003,3,FALSE),IF($C$1074&gt;0,VLOOKUP($C1862,ENTI!$U$4:$Z$1003,3,FALSE),"")))</f>
        <v>#N/A</v>
      </c>
      <c r="E1862" s="41" t="str">
        <f t="shared" ca="1" si="218"/>
        <v/>
      </c>
      <c r="F1862" s="41" t="e">
        <f t="shared" ca="1" si="219"/>
        <v>#NUM!</v>
      </c>
      <c r="G1862" s="39" t="e">
        <f ca="1">IF($C$1076&gt;0,VLOOKUP($C1862,COSTI!$U$4:$Z$1003,5,FALSE),IF($C$1075&gt;0,VLOOKUP($C1862,PATRIMONIALE!$U$4:$Z$1003,5,FALSE),IF($C$1074&gt;0,VLOOKUP($C1862,ENTI!$U$4:$Z$1003,5,FALSE),"")))</f>
        <v>#N/A</v>
      </c>
      <c r="H1862" s="42" t="e">
        <f ca="1">IF($C$1076&gt;0,VLOOKUP($C1862,COSTI!$U$4:$Z$1003,6,FALSE),IF($C$1075&gt;0,VLOOKUP($C1862,PATRIMONIALE!$U$4:$Z$1003,6,FALSE),IF($C$1074&gt;0,VLOOKUP($C1862,ENTI!$U$4:$Z$1003,6,FALSE),"")))</f>
        <v>#N/A</v>
      </c>
      <c r="I1862" s="496">
        <v>782</v>
      </c>
      <c r="J1862" s="43" t="e">
        <f ca="1">VLOOKUP(D1862,$F$1081:$I$4183,4,FALSE)+COUNTIF(E$1081:E1861,E1862)</f>
        <v>#N/A</v>
      </c>
      <c r="K1862" s="1"/>
      <c r="L1862" s="39" t="e">
        <f>IF($C$1074&gt;0,VLOOKUP($C1862,ENTI!$U$4:$AD$1003,10,FALSE),"")</f>
        <v>#N/A</v>
      </c>
      <c r="M1862" s="1"/>
      <c r="N1862" s="1"/>
      <c r="O1862" s="1"/>
    </row>
    <row r="1863" spans="1:15" hidden="1">
      <c r="A1863" s="1"/>
      <c r="B1863" s="40" t="e">
        <f t="shared" ca="1" si="217"/>
        <v>#N/A</v>
      </c>
      <c r="C1863" s="496">
        <v>783</v>
      </c>
      <c r="D1863" s="41" t="e">
        <f ca="1">IF($C$1076&gt;0,VLOOKUP($C1863,COSTI!$U$4:$Z$1003,3,FALSE),IF($C$1075&gt;0,VLOOKUP($C1863,PATRIMONIALE!$U$4:$Z$1003,3,FALSE),IF($C$1074&gt;0,VLOOKUP($C1863,ENTI!$U$4:$Z$1003,3,FALSE),"")))</f>
        <v>#N/A</v>
      </c>
      <c r="E1863" s="41" t="str">
        <f t="shared" ca="1" si="218"/>
        <v/>
      </c>
      <c r="F1863" s="41" t="e">
        <f t="shared" ca="1" si="219"/>
        <v>#NUM!</v>
      </c>
      <c r="G1863" s="39" t="e">
        <f ca="1">IF($C$1076&gt;0,VLOOKUP($C1863,COSTI!$U$4:$Z$1003,5,FALSE),IF($C$1075&gt;0,VLOOKUP($C1863,PATRIMONIALE!$U$4:$Z$1003,5,FALSE),IF($C$1074&gt;0,VLOOKUP($C1863,ENTI!$U$4:$Z$1003,5,FALSE),"")))</f>
        <v>#N/A</v>
      </c>
      <c r="H1863" s="42" t="e">
        <f ca="1">IF($C$1076&gt;0,VLOOKUP($C1863,COSTI!$U$4:$Z$1003,6,FALSE),IF($C$1075&gt;0,VLOOKUP($C1863,PATRIMONIALE!$U$4:$Z$1003,6,FALSE),IF($C$1074&gt;0,VLOOKUP($C1863,ENTI!$U$4:$Z$1003,6,FALSE),"")))</f>
        <v>#N/A</v>
      </c>
      <c r="I1863" s="496">
        <v>783</v>
      </c>
      <c r="J1863" s="43" t="e">
        <f ca="1">VLOOKUP(D1863,$F$1081:$I$4183,4,FALSE)+COUNTIF(E$1081:E1862,E1863)</f>
        <v>#N/A</v>
      </c>
      <c r="K1863" s="1"/>
      <c r="L1863" s="39" t="e">
        <f>IF($C$1074&gt;0,VLOOKUP($C1863,ENTI!$U$4:$AD$1003,10,FALSE),"")</f>
        <v>#N/A</v>
      </c>
      <c r="M1863" s="1"/>
      <c r="N1863" s="1"/>
      <c r="O1863" s="1"/>
    </row>
    <row r="1864" spans="1:15" hidden="1">
      <c r="A1864" s="1"/>
      <c r="B1864" s="40" t="e">
        <f t="shared" ca="1" si="217"/>
        <v>#N/A</v>
      </c>
      <c r="C1864" s="496">
        <v>784</v>
      </c>
      <c r="D1864" s="41" t="e">
        <f ca="1">IF($C$1076&gt;0,VLOOKUP($C1864,COSTI!$U$4:$Z$1003,3,FALSE),IF($C$1075&gt;0,VLOOKUP($C1864,PATRIMONIALE!$U$4:$Z$1003,3,FALSE),IF($C$1074&gt;0,VLOOKUP($C1864,ENTI!$U$4:$Z$1003,3,FALSE),"")))</f>
        <v>#N/A</v>
      </c>
      <c r="E1864" s="41" t="str">
        <f t="shared" ca="1" si="218"/>
        <v/>
      </c>
      <c r="F1864" s="41" t="e">
        <f t="shared" ca="1" si="219"/>
        <v>#NUM!</v>
      </c>
      <c r="G1864" s="39" t="e">
        <f ca="1">IF($C$1076&gt;0,VLOOKUP($C1864,COSTI!$U$4:$Z$1003,5,FALSE),IF($C$1075&gt;0,VLOOKUP($C1864,PATRIMONIALE!$U$4:$Z$1003,5,FALSE),IF($C$1074&gt;0,VLOOKUP($C1864,ENTI!$U$4:$Z$1003,5,FALSE),"")))</f>
        <v>#N/A</v>
      </c>
      <c r="H1864" s="42" t="e">
        <f ca="1">IF($C$1076&gt;0,VLOOKUP($C1864,COSTI!$U$4:$Z$1003,6,FALSE),IF($C$1075&gt;0,VLOOKUP($C1864,PATRIMONIALE!$U$4:$Z$1003,6,FALSE),IF($C$1074&gt;0,VLOOKUP($C1864,ENTI!$U$4:$Z$1003,6,FALSE),"")))</f>
        <v>#N/A</v>
      </c>
      <c r="I1864" s="496">
        <v>784</v>
      </c>
      <c r="J1864" s="43" t="e">
        <f ca="1">VLOOKUP(D1864,$F$1081:$I$4183,4,FALSE)+COUNTIF(E$1081:E1863,E1864)</f>
        <v>#N/A</v>
      </c>
      <c r="K1864" s="1"/>
      <c r="L1864" s="39" t="e">
        <f>IF($C$1074&gt;0,VLOOKUP($C1864,ENTI!$U$4:$AD$1003,10,FALSE),"")</f>
        <v>#N/A</v>
      </c>
      <c r="M1864" s="1"/>
      <c r="N1864" s="1"/>
      <c r="O1864" s="1"/>
    </row>
    <row r="1865" spans="1:15" hidden="1">
      <c r="A1865" s="1"/>
      <c r="B1865" s="40" t="e">
        <f t="shared" ca="1" si="217"/>
        <v>#N/A</v>
      </c>
      <c r="C1865" s="496">
        <v>785</v>
      </c>
      <c r="D1865" s="41" t="e">
        <f ca="1">IF($C$1076&gt;0,VLOOKUP($C1865,COSTI!$U$4:$Z$1003,3,FALSE),IF($C$1075&gt;0,VLOOKUP($C1865,PATRIMONIALE!$U$4:$Z$1003,3,FALSE),IF($C$1074&gt;0,VLOOKUP($C1865,ENTI!$U$4:$Z$1003,3,FALSE),"")))</f>
        <v>#N/A</v>
      </c>
      <c r="E1865" s="41" t="str">
        <f t="shared" ca="1" si="218"/>
        <v/>
      </c>
      <c r="F1865" s="41" t="e">
        <f t="shared" ca="1" si="219"/>
        <v>#NUM!</v>
      </c>
      <c r="G1865" s="39" t="e">
        <f ca="1">IF($C$1076&gt;0,VLOOKUP($C1865,COSTI!$U$4:$Z$1003,5,FALSE),IF($C$1075&gt;0,VLOOKUP($C1865,PATRIMONIALE!$U$4:$Z$1003,5,FALSE),IF($C$1074&gt;0,VLOOKUP($C1865,ENTI!$U$4:$Z$1003,5,FALSE),"")))</f>
        <v>#N/A</v>
      </c>
      <c r="H1865" s="42" t="e">
        <f ca="1">IF($C$1076&gt;0,VLOOKUP($C1865,COSTI!$U$4:$Z$1003,6,FALSE),IF($C$1075&gt;0,VLOOKUP($C1865,PATRIMONIALE!$U$4:$Z$1003,6,FALSE),IF($C$1074&gt;0,VLOOKUP($C1865,ENTI!$U$4:$Z$1003,6,FALSE),"")))</f>
        <v>#N/A</v>
      </c>
      <c r="I1865" s="496">
        <v>785</v>
      </c>
      <c r="J1865" s="43" t="e">
        <f ca="1">VLOOKUP(D1865,$F$1081:$I$4183,4,FALSE)+COUNTIF(E$1081:E1864,E1865)</f>
        <v>#N/A</v>
      </c>
      <c r="K1865" s="1"/>
      <c r="L1865" s="39" t="e">
        <f>IF($C$1074&gt;0,VLOOKUP($C1865,ENTI!$U$4:$AD$1003,10,FALSE),"")</f>
        <v>#N/A</v>
      </c>
      <c r="M1865" s="1"/>
      <c r="N1865" s="1"/>
      <c r="O1865" s="1"/>
    </row>
    <row r="1866" spans="1:15" hidden="1">
      <c r="A1866" s="1"/>
      <c r="B1866" s="40" t="e">
        <f t="shared" ca="1" si="217"/>
        <v>#N/A</v>
      </c>
      <c r="C1866" s="496">
        <v>786</v>
      </c>
      <c r="D1866" s="41" t="e">
        <f ca="1">IF($C$1076&gt;0,VLOOKUP($C1866,COSTI!$U$4:$Z$1003,3,FALSE),IF($C$1075&gt;0,VLOOKUP($C1866,PATRIMONIALE!$U$4:$Z$1003,3,FALSE),IF($C$1074&gt;0,VLOOKUP($C1866,ENTI!$U$4:$Z$1003,3,FALSE),"")))</f>
        <v>#N/A</v>
      </c>
      <c r="E1866" s="41" t="str">
        <f t="shared" ca="1" si="218"/>
        <v/>
      </c>
      <c r="F1866" s="41" t="e">
        <f t="shared" ca="1" si="219"/>
        <v>#NUM!</v>
      </c>
      <c r="G1866" s="39" t="e">
        <f ca="1">IF($C$1076&gt;0,VLOOKUP($C1866,COSTI!$U$4:$Z$1003,5,FALSE),IF($C$1075&gt;0,VLOOKUP($C1866,PATRIMONIALE!$U$4:$Z$1003,5,FALSE),IF($C$1074&gt;0,VLOOKUP($C1866,ENTI!$U$4:$Z$1003,5,FALSE),"")))</f>
        <v>#N/A</v>
      </c>
      <c r="H1866" s="42" t="e">
        <f ca="1">IF($C$1076&gt;0,VLOOKUP($C1866,COSTI!$U$4:$Z$1003,6,FALSE),IF($C$1075&gt;0,VLOOKUP($C1866,PATRIMONIALE!$U$4:$Z$1003,6,FALSE),IF($C$1074&gt;0,VLOOKUP($C1866,ENTI!$U$4:$Z$1003,6,FALSE),"")))</f>
        <v>#N/A</v>
      </c>
      <c r="I1866" s="496">
        <v>786</v>
      </c>
      <c r="J1866" s="43" t="e">
        <f ca="1">VLOOKUP(D1866,$F$1081:$I$4183,4,FALSE)+COUNTIF(E$1081:E1865,E1866)</f>
        <v>#N/A</v>
      </c>
      <c r="K1866" s="1"/>
      <c r="L1866" s="39" t="e">
        <f>IF($C$1074&gt;0,VLOOKUP($C1866,ENTI!$U$4:$AD$1003,10,FALSE),"")</f>
        <v>#N/A</v>
      </c>
      <c r="M1866" s="1"/>
      <c r="N1866" s="1"/>
      <c r="O1866" s="1"/>
    </row>
    <row r="1867" spans="1:15" hidden="1">
      <c r="A1867" s="1"/>
      <c r="B1867" s="40" t="e">
        <f t="shared" ca="1" si="217"/>
        <v>#N/A</v>
      </c>
      <c r="C1867" s="496">
        <v>787</v>
      </c>
      <c r="D1867" s="41" t="e">
        <f ca="1">IF($C$1076&gt;0,VLOOKUP($C1867,COSTI!$U$4:$Z$1003,3,FALSE),IF($C$1075&gt;0,VLOOKUP($C1867,PATRIMONIALE!$U$4:$Z$1003,3,FALSE),IF($C$1074&gt;0,VLOOKUP($C1867,ENTI!$U$4:$Z$1003,3,FALSE),"")))</f>
        <v>#N/A</v>
      </c>
      <c r="E1867" s="41" t="str">
        <f t="shared" ca="1" si="218"/>
        <v/>
      </c>
      <c r="F1867" s="41" t="e">
        <f t="shared" ca="1" si="219"/>
        <v>#NUM!</v>
      </c>
      <c r="G1867" s="39" t="e">
        <f ca="1">IF($C$1076&gt;0,VLOOKUP($C1867,COSTI!$U$4:$Z$1003,5,FALSE),IF($C$1075&gt;0,VLOOKUP($C1867,PATRIMONIALE!$U$4:$Z$1003,5,FALSE),IF($C$1074&gt;0,VLOOKUP($C1867,ENTI!$U$4:$Z$1003,5,FALSE),"")))</f>
        <v>#N/A</v>
      </c>
      <c r="H1867" s="42" t="e">
        <f ca="1">IF($C$1076&gt;0,VLOOKUP($C1867,COSTI!$U$4:$Z$1003,6,FALSE),IF($C$1075&gt;0,VLOOKUP($C1867,PATRIMONIALE!$U$4:$Z$1003,6,FALSE),IF($C$1074&gt;0,VLOOKUP($C1867,ENTI!$U$4:$Z$1003,6,FALSE),"")))</f>
        <v>#N/A</v>
      </c>
      <c r="I1867" s="496">
        <v>787</v>
      </c>
      <c r="J1867" s="43" t="e">
        <f ca="1">VLOOKUP(D1867,$F$1081:$I$4183,4,FALSE)+COUNTIF(E$1081:E1866,E1867)</f>
        <v>#N/A</v>
      </c>
      <c r="K1867" s="1"/>
      <c r="L1867" s="39" t="e">
        <f>IF($C$1074&gt;0,VLOOKUP($C1867,ENTI!$U$4:$AD$1003,10,FALSE),"")</f>
        <v>#N/A</v>
      </c>
      <c r="M1867" s="1"/>
      <c r="N1867" s="1"/>
      <c r="O1867" s="1"/>
    </row>
    <row r="1868" spans="1:15" hidden="1">
      <c r="A1868" s="1"/>
      <c r="B1868" s="40" t="e">
        <f t="shared" ca="1" si="217"/>
        <v>#N/A</v>
      </c>
      <c r="C1868" s="496">
        <v>788</v>
      </c>
      <c r="D1868" s="41" t="e">
        <f ca="1">IF($C$1076&gt;0,VLOOKUP($C1868,COSTI!$U$4:$Z$1003,3,FALSE),IF($C$1075&gt;0,VLOOKUP($C1868,PATRIMONIALE!$U$4:$Z$1003,3,FALSE),IF($C$1074&gt;0,VLOOKUP($C1868,ENTI!$U$4:$Z$1003,3,FALSE),"")))</f>
        <v>#N/A</v>
      </c>
      <c r="E1868" s="41" t="str">
        <f t="shared" ca="1" si="218"/>
        <v/>
      </c>
      <c r="F1868" s="41" t="e">
        <f t="shared" ca="1" si="219"/>
        <v>#NUM!</v>
      </c>
      <c r="G1868" s="39" t="e">
        <f ca="1">IF($C$1076&gt;0,VLOOKUP($C1868,COSTI!$U$4:$Z$1003,5,FALSE),IF($C$1075&gt;0,VLOOKUP($C1868,PATRIMONIALE!$U$4:$Z$1003,5,FALSE),IF($C$1074&gt;0,VLOOKUP($C1868,ENTI!$U$4:$Z$1003,5,FALSE),"")))</f>
        <v>#N/A</v>
      </c>
      <c r="H1868" s="42" t="e">
        <f ca="1">IF($C$1076&gt;0,VLOOKUP($C1868,COSTI!$U$4:$Z$1003,6,FALSE),IF($C$1075&gt;0,VLOOKUP($C1868,PATRIMONIALE!$U$4:$Z$1003,6,FALSE),IF($C$1074&gt;0,VLOOKUP($C1868,ENTI!$U$4:$Z$1003,6,FALSE),"")))</f>
        <v>#N/A</v>
      </c>
      <c r="I1868" s="496">
        <v>788</v>
      </c>
      <c r="J1868" s="43" t="e">
        <f ca="1">VLOOKUP(D1868,$F$1081:$I$4183,4,FALSE)+COUNTIF(E$1081:E1867,E1868)</f>
        <v>#N/A</v>
      </c>
      <c r="K1868" s="1"/>
      <c r="L1868" s="39" t="e">
        <f>IF($C$1074&gt;0,VLOOKUP($C1868,ENTI!$U$4:$AD$1003,10,FALSE),"")</f>
        <v>#N/A</v>
      </c>
      <c r="M1868" s="1"/>
      <c r="N1868" s="1"/>
      <c r="O1868" s="1"/>
    </row>
    <row r="1869" spans="1:15" hidden="1">
      <c r="A1869" s="1"/>
      <c r="B1869" s="40" t="e">
        <f t="shared" ca="1" si="217"/>
        <v>#N/A</v>
      </c>
      <c r="C1869" s="496">
        <v>789</v>
      </c>
      <c r="D1869" s="41" t="e">
        <f ca="1">IF($C$1076&gt;0,VLOOKUP($C1869,COSTI!$U$4:$Z$1003,3,FALSE),IF($C$1075&gt;0,VLOOKUP($C1869,PATRIMONIALE!$U$4:$Z$1003,3,FALSE),IF($C$1074&gt;0,VLOOKUP($C1869,ENTI!$U$4:$Z$1003,3,FALSE),"")))</f>
        <v>#N/A</v>
      </c>
      <c r="E1869" s="41" t="str">
        <f t="shared" ca="1" si="218"/>
        <v/>
      </c>
      <c r="F1869" s="41" t="e">
        <f t="shared" ca="1" si="219"/>
        <v>#NUM!</v>
      </c>
      <c r="G1869" s="39" t="e">
        <f ca="1">IF($C$1076&gt;0,VLOOKUP($C1869,COSTI!$U$4:$Z$1003,5,FALSE),IF($C$1075&gt;0,VLOOKUP($C1869,PATRIMONIALE!$U$4:$Z$1003,5,FALSE),IF($C$1074&gt;0,VLOOKUP($C1869,ENTI!$U$4:$Z$1003,5,FALSE),"")))</f>
        <v>#N/A</v>
      </c>
      <c r="H1869" s="42" t="e">
        <f ca="1">IF($C$1076&gt;0,VLOOKUP($C1869,COSTI!$U$4:$Z$1003,6,FALSE),IF($C$1075&gt;0,VLOOKUP($C1869,PATRIMONIALE!$U$4:$Z$1003,6,FALSE),IF($C$1074&gt;0,VLOOKUP($C1869,ENTI!$U$4:$Z$1003,6,FALSE),"")))</f>
        <v>#N/A</v>
      </c>
      <c r="I1869" s="496">
        <v>789</v>
      </c>
      <c r="J1869" s="43" t="e">
        <f ca="1">VLOOKUP(D1869,$F$1081:$I$4183,4,FALSE)+COUNTIF(E$1081:E1868,E1869)</f>
        <v>#N/A</v>
      </c>
      <c r="K1869" s="1"/>
      <c r="L1869" s="39" t="e">
        <f>IF($C$1074&gt;0,VLOOKUP($C1869,ENTI!$U$4:$AD$1003,10,FALSE),"")</f>
        <v>#N/A</v>
      </c>
      <c r="M1869" s="1"/>
      <c r="N1869" s="1"/>
      <c r="O1869" s="1"/>
    </row>
    <row r="1870" spans="1:15" hidden="1">
      <c r="A1870" s="1"/>
      <c r="B1870" s="40" t="e">
        <f t="shared" ca="1" si="217"/>
        <v>#N/A</v>
      </c>
      <c r="C1870" s="496">
        <v>790</v>
      </c>
      <c r="D1870" s="41" t="e">
        <f ca="1">IF($C$1076&gt;0,VLOOKUP($C1870,COSTI!$U$4:$Z$1003,3,FALSE),IF($C$1075&gt;0,VLOOKUP($C1870,PATRIMONIALE!$U$4:$Z$1003,3,FALSE),IF($C$1074&gt;0,VLOOKUP($C1870,ENTI!$U$4:$Z$1003,3,FALSE),"")))</f>
        <v>#N/A</v>
      </c>
      <c r="E1870" s="41" t="str">
        <f t="shared" ca="1" si="218"/>
        <v/>
      </c>
      <c r="F1870" s="41" t="e">
        <f t="shared" ca="1" si="219"/>
        <v>#NUM!</v>
      </c>
      <c r="G1870" s="39" t="e">
        <f ca="1">IF($C$1076&gt;0,VLOOKUP($C1870,COSTI!$U$4:$Z$1003,5,FALSE),IF($C$1075&gt;0,VLOOKUP($C1870,PATRIMONIALE!$U$4:$Z$1003,5,FALSE),IF($C$1074&gt;0,VLOOKUP($C1870,ENTI!$U$4:$Z$1003,5,FALSE),"")))</f>
        <v>#N/A</v>
      </c>
      <c r="H1870" s="42" t="e">
        <f ca="1">IF($C$1076&gt;0,VLOOKUP($C1870,COSTI!$U$4:$Z$1003,6,FALSE),IF($C$1075&gt;0,VLOOKUP($C1870,PATRIMONIALE!$U$4:$Z$1003,6,FALSE),IF($C$1074&gt;0,VLOOKUP($C1870,ENTI!$U$4:$Z$1003,6,FALSE),"")))</f>
        <v>#N/A</v>
      </c>
      <c r="I1870" s="496">
        <v>790</v>
      </c>
      <c r="J1870" s="43" t="e">
        <f ca="1">VLOOKUP(D1870,$F$1081:$I$4183,4,FALSE)+COUNTIF(E$1081:E1869,E1870)</f>
        <v>#N/A</v>
      </c>
      <c r="K1870" s="1"/>
      <c r="L1870" s="39" t="e">
        <f>IF($C$1074&gt;0,VLOOKUP($C1870,ENTI!$U$4:$AD$1003,10,FALSE),"")</f>
        <v>#N/A</v>
      </c>
      <c r="M1870" s="1"/>
      <c r="N1870" s="1"/>
      <c r="O1870" s="1"/>
    </row>
    <row r="1871" spans="1:15" hidden="1">
      <c r="A1871" s="1"/>
      <c r="B1871" s="40" t="e">
        <f t="shared" ca="1" si="217"/>
        <v>#N/A</v>
      </c>
      <c r="C1871" s="496">
        <v>791</v>
      </c>
      <c r="D1871" s="41" t="e">
        <f ca="1">IF($C$1076&gt;0,VLOOKUP($C1871,COSTI!$U$4:$Z$1003,3,FALSE),IF($C$1075&gt;0,VLOOKUP($C1871,PATRIMONIALE!$U$4:$Z$1003,3,FALSE),IF($C$1074&gt;0,VLOOKUP($C1871,ENTI!$U$4:$Z$1003,3,FALSE),"")))</f>
        <v>#N/A</v>
      </c>
      <c r="E1871" s="41" t="str">
        <f t="shared" ca="1" si="218"/>
        <v/>
      </c>
      <c r="F1871" s="41" t="e">
        <f t="shared" ca="1" si="219"/>
        <v>#NUM!</v>
      </c>
      <c r="G1871" s="39" t="e">
        <f ca="1">IF($C$1076&gt;0,VLOOKUP($C1871,COSTI!$U$4:$Z$1003,5,FALSE),IF($C$1075&gt;0,VLOOKUP($C1871,PATRIMONIALE!$U$4:$Z$1003,5,FALSE),IF($C$1074&gt;0,VLOOKUP($C1871,ENTI!$U$4:$Z$1003,5,FALSE),"")))</f>
        <v>#N/A</v>
      </c>
      <c r="H1871" s="42" t="e">
        <f ca="1">IF($C$1076&gt;0,VLOOKUP($C1871,COSTI!$U$4:$Z$1003,6,FALSE),IF($C$1075&gt;0,VLOOKUP($C1871,PATRIMONIALE!$U$4:$Z$1003,6,FALSE),IF($C$1074&gt;0,VLOOKUP($C1871,ENTI!$U$4:$Z$1003,6,FALSE),"")))</f>
        <v>#N/A</v>
      </c>
      <c r="I1871" s="496">
        <v>791</v>
      </c>
      <c r="J1871" s="43" t="e">
        <f ca="1">VLOOKUP(D1871,$F$1081:$I$4183,4,FALSE)+COUNTIF(E$1081:E1870,E1871)</f>
        <v>#N/A</v>
      </c>
      <c r="K1871" s="1"/>
      <c r="L1871" s="39" t="e">
        <f>IF($C$1074&gt;0,VLOOKUP($C1871,ENTI!$U$4:$AD$1003,10,FALSE),"")</f>
        <v>#N/A</v>
      </c>
      <c r="M1871" s="1"/>
      <c r="N1871" s="1"/>
      <c r="O1871" s="1"/>
    </row>
    <row r="1872" spans="1:15" hidden="1">
      <c r="A1872" s="1"/>
      <c r="B1872" s="40" t="e">
        <f t="shared" ca="1" si="217"/>
        <v>#N/A</v>
      </c>
      <c r="C1872" s="496">
        <v>792</v>
      </c>
      <c r="D1872" s="41" t="e">
        <f ca="1">IF($C$1076&gt;0,VLOOKUP($C1872,COSTI!$U$4:$Z$1003,3,FALSE),IF($C$1075&gt;0,VLOOKUP($C1872,PATRIMONIALE!$U$4:$Z$1003,3,FALSE),IF($C$1074&gt;0,VLOOKUP($C1872,ENTI!$U$4:$Z$1003,3,FALSE),"")))</f>
        <v>#N/A</v>
      </c>
      <c r="E1872" s="41" t="str">
        <f t="shared" ca="1" si="218"/>
        <v/>
      </c>
      <c r="F1872" s="41" t="e">
        <f t="shared" ca="1" si="219"/>
        <v>#NUM!</v>
      </c>
      <c r="G1872" s="39" t="e">
        <f ca="1">IF($C$1076&gt;0,VLOOKUP($C1872,COSTI!$U$4:$Z$1003,5,FALSE),IF($C$1075&gt;0,VLOOKUP($C1872,PATRIMONIALE!$U$4:$Z$1003,5,FALSE),IF($C$1074&gt;0,VLOOKUP($C1872,ENTI!$U$4:$Z$1003,5,FALSE),"")))</f>
        <v>#N/A</v>
      </c>
      <c r="H1872" s="42" t="e">
        <f ca="1">IF($C$1076&gt;0,VLOOKUP($C1872,COSTI!$U$4:$Z$1003,6,FALSE),IF($C$1075&gt;0,VLOOKUP($C1872,PATRIMONIALE!$U$4:$Z$1003,6,FALSE),IF($C$1074&gt;0,VLOOKUP($C1872,ENTI!$U$4:$Z$1003,6,FALSE),"")))</f>
        <v>#N/A</v>
      </c>
      <c r="I1872" s="496">
        <v>792</v>
      </c>
      <c r="J1872" s="43" t="e">
        <f ca="1">VLOOKUP(D1872,$F$1081:$I$4183,4,FALSE)+COUNTIF(E$1081:E1871,E1872)</f>
        <v>#N/A</v>
      </c>
      <c r="K1872" s="1"/>
      <c r="L1872" s="39" t="e">
        <f>IF($C$1074&gt;0,VLOOKUP($C1872,ENTI!$U$4:$AD$1003,10,FALSE),"")</f>
        <v>#N/A</v>
      </c>
      <c r="M1872" s="1"/>
      <c r="N1872" s="1"/>
      <c r="O1872" s="1"/>
    </row>
    <row r="1873" spans="1:15" hidden="1">
      <c r="A1873" s="1"/>
      <c r="B1873" s="40" t="e">
        <f t="shared" ca="1" si="217"/>
        <v>#N/A</v>
      </c>
      <c r="C1873" s="496">
        <v>793</v>
      </c>
      <c r="D1873" s="41" t="e">
        <f ca="1">IF($C$1076&gt;0,VLOOKUP($C1873,COSTI!$U$4:$Z$1003,3,FALSE),IF($C$1075&gt;0,VLOOKUP($C1873,PATRIMONIALE!$U$4:$Z$1003,3,FALSE),IF($C$1074&gt;0,VLOOKUP($C1873,ENTI!$U$4:$Z$1003,3,FALSE),"")))</f>
        <v>#N/A</v>
      </c>
      <c r="E1873" s="41" t="str">
        <f t="shared" ca="1" si="218"/>
        <v/>
      </c>
      <c r="F1873" s="41" t="e">
        <f t="shared" ca="1" si="219"/>
        <v>#NUM!</v>
      </c>
      <c r="G1873" s="39" t="e">
        <f ca="1">IF($C$1076&gt;0,VLOOKUP($C1873,COSTI!$U$4:$Z$1003,5,FALSE),IF($C$1075&gt;0,VLOOKUP($C1873,PATRIMONIALE!$U$4:$Z$1003,5,FALSE),IF($C$1074&gt;0,VLOOKUP($C1873,ENTI!$U$4:$Z$1003,5,FALSE),"")))</f>
        <v>#N/A</v>
      </c>
      <c r="H1873" s="42" t="e">
        <f ca="1">IF($C$1076&gt;0,VLOOKUP($C1873,COSTI!$U$4:$Z$1003,6,FALSE),IF($C$1075&gt;0,VLOOKUP($C1873,PATRIMONIALE!$U$4:$Z$1003,6,FALSE),IF($C$1074&gt;0,VLOOKUP($C1873,ENTI!$U$4:$Z$1003,6,FALSE),"")))</f>
        <v>#N/A</v>
      </c>
      <c r="I1873" s="496">
        <v>793</v>
      </c>
      <c r="J1873" s="43" t="e">
        <f ca="1">VLOOKUP(D1873,$F$1081:$I$4183,4,FALSE)+COUNTIF(E$1081:E1872,E1873)</f>
        <v>#N/A</v>
      </c>
      <c r="K1873" s="1"/>
      <c r="L1873" s="39" t="e">
        <f>IF($C$1074&gt;0,VLOOKUP($C1873,ENTI!$U$4:$AD$1003,10,FALSE),"")</f>
        <v>#N/A</v>
      </c>
      <c r="M1873" s="1"/>
      <c r="N1873" s="1"/>
      <c r="O1873" s="1"/>
    </row>
    <row r="1874" spans="1:15" hidden="1">
      <c r="A1874" s="1"/>
      <c r="B1874" s="40" t="e">
        <f t="shared" ca="1" si="217"/>
        <v>#N/A</v>
      </c>
      <c r="C1874" s="496">
        <v>794</v>
      </c>
      <c r="D1874" s="41" t="e">
        <f ca="1">IF($C$1076&gt;0,VLOOKUP($C1874,COSTI!$U$4:$Z$1003,3,FALSE),IF($C$1075&gt;0,VLOOKUP($C1874,PATRIMONIALE!$U$4:$Z$1003,3,FALSE),IF($C$1074&gt;0,VLOOKUP($C1874,ENTI!$U$4:$Z$1003,3,FALSE),"")))</f>
        <v>#N/A</v>
      </c>
      <c r="E1874" s="41" t="str">
        <f t="shared" ca="1" si="218"/>
        <v/>
      </c>
      <c r="F1874" s="41" t="e">
        <f t="shared" ca="1" si="219"/>
        <v>#NUM!</v>
      </c>
      <c r="G1874" s="39" t="e">
        <f ca="1">IF($C$1076&gt;0,VLOOKUP($C1874,COSTI!$U$4:$Z$1003,5,FALSE),IF($C$1075&gt;0,VLOOKUP($C1874,PATRIMONIALE!$U$4:$Z$1003,5,FALSE),IF($C$1074&gt;0,VLOOKUP($C1874,ENTI!$U$4:$Z$1003,5,FALSE),"")))</f>
        <v>#N/A</v>
      </c>
      <c r="H1874" s="42" t="e">
        <f ca="1">IF($C$1076&gt;0,VLOOKUP($C1874,COSTI!$U$4:$Z$1003,6,FALSE),IF($C$1075&gt;0,VLOOKUP($C1874,PATRIMONIALE!$U$4:$Z$1003,6,FALSE),IF($C$1074&gt;0,VLOOKUP($C1874,ENTI!$U$4:$Z$1003,6,FALSE),"")))</f>
        <v>#N/A</v>
      </c>
      <c r="I1874" s="496">
        <v>794</v>
      </c>
      <c r="J1874" s="43" t="e">
        <f ca="1">VLOOKUP(D1874,$F$1081:$I$4183,4,FALSE)+COUNTIF(E$1081:E1873,E1874)</f>
        <v>#N/A</v>
      </c>
      <c r="K1874" s="1"/>
      <c r="L1874" s="39" t="e">
        <f>IF($C$1074&gt;0,VLOOKUP($C1874,ENTI!$U$4:$AD$1003,10,FALSE),"")</f>
        <v>#N/A</v>
      </c>
      <c r="M1874" s="1"/>
      <c r="N1874" s="1"/>
      <c r="O1874" s="1"/>
    </row>
    <row r="1875" spans="1:15" hidden="1">
      <c r="A1875" s="1"/>
      <c r="B1875" s="40" t="e">
        <f t="shared" ca="1" si="217"/>
        <v>#N/A</v>
      </c>
      <c r="C1875" s="496">
        <v>795</v>
      </c>
      <c r="D1875" s="41" t="e">
        <f ca="1">IF($C$1076&gt;0,VLOOKUP($C1875,COSTI!$U$4:$Z$1003,3,FALSE),IF($C$1075&gt;0,VLOOKUP($C1875,PATRIMONIALE!$U$4:$Z$1003,3,FALSE),IF($C$1074&gt;0,VLOOKUP($C1875,ENTI!$U$4:$Z$1003,3,FALSE),"")))</f>
        <v>#N/A</v>
      </c>
      <c r="E1875" s="41" t="str">
        <f t="shared" ca="1" si="218"/>
        <v/>
      </c>
      <c r="F1875" s="41" t="e">
        <f t="shared" ca="1" si="219"/>
        <v>#NUM!</v>
      </c>
      <c r="G1875" s="39" t="e">
        <f ca="1">IF($C$1076&gt;0,VLOOKUP($C1875,COSTI!$U$4:$Z$1003,5,FALSE),IF($C$1075&gt;0,VLOOKUP($C1875,PATRIMONIALE!$U$4:$Z$1003,5,FALSE),IF($C$1074&gt;0,VLOOKUP($C1875,ENTI!$U$4:$Z$1003,5,FALSE),"")))</f>
        <v>#N/A</v>
      </c>
      <c r="H1875" s="42" t="e">
        <f ca="1">IF($C$1076&gt;0,VLOOKUP($C1875,COSTI!$U$4:$Z$1003,6,FALSE),IF($C$1075&gt;0,VLOOKUP($C1875,PATRIMONIALE!$U$4:$Z$1003,6,FALSE),IF($C$1074&gt;0,VLOOKUP($C1875,ENTI!$U$4:$Z$1003,6,FALSE),"")))</f>
        <v>#N/A</v>
      </c>
      <c r="I1875" s="496">
        <v>795</v>
      </c>
      <c r="J1875" s="43" t="e">
        <f ca="1">VLOOKUP(D1875,$F$1081:$I$4183,4,FALSE)+COUNTIF(E$1081:E1874,E1875)</f>
        <v>#N/A</v>
      </c>
      <c r="K1875" s="1"/>
      <c r="L1875" s="39" t="e">
        <f>IF($C$1074&gt;0,VLOOKUP($C1875,ENTI!$U$4:$AD$1003,10,FALSE),"")</f>
        <v>#N/A</v>
      </c>
      <c r="M1875" s="1"/>
      <c r="N1875" s="1"/>
      <c r="O1875" s="1"/>
    </row>
    <row r="1876" spans="1:15" hidden="1">
      <c r="A1876" s="1"/>
      <c r="B1876" s="40" t="e">
        <f t="shared" ca="1" si="217"/>
        <v>#N/A</v>
      </c>
      <c r="C1876" s="496">
        <v>796</v>
      </c>
      <c r="D1876" s="41" t="e">
        <f ca="1">IF($C$1076&gt;0,VLOOKUP($C1876,COSTI!$U$4:$Z$1003,3,FALSE),IF($C$1075&gt;0,VLOOKUP($C1876,PATRIMONIALE!$U$4:$Z$1003,3,FALSE),IF($C$1074&gt;0,VLOOKUP($C1876,ENTI!$U$4:$Z$1003,3,FALSE),"")))</f>
        <v>#N/A</v>
      </c>
      <c r="E1876" s="41" t="str">
        <f t="shared" ca="1" si="218"/>
        <v/>
      </c>
      <c r="F1876" s="41" t="e">
        <f t="shared" ca="1" si="219"/>
        <v>#NUM!</v>
      </c>
      <c r="G1876" s="39" t="e">
        <f ca="1">IF($C$1076&gt;0,VLOOKUP($C1876,COSTI!$U$4:$Z$1003,5,FALSE),IF($C$1075&gt;0,VLOOKUP($C1876,PATRIMONIALE!$U$4:$Z$1003,5,FALSE),IF($C$1074&gt;0,VLOOKUP($C1876,ENTI!$U$4:$Z$1003,5,FALSE),"")))</f>
        <v>#N/A</v>
      </c>
      <c r="H1876" s="42" t="e">
        <f ca="1">IF($C$1076&gt;0,VLOOKUP($C1876,COSTI!$U$4:$Z$1003,6,FALSE),IF($C$1075&gt;0,VLOOKUP($C1876,PATRIMONIALE!$U$4:$Z$1003,6,FALSE),IF($C$1074&gt;0,VLOOKUP($C1876,ENTI!$U$4:$Z$1003,6,FALSE),"")))</f>
        <v>#N/A</v>
      </c>
      <c r="I1876" s="496">
        <v>796</v>
      </c>
      <c r="J1876" s="43" t="e">
        <f ca="1">VLOOKUP(D1876,$F$1081:$I$4183,4,FALSE)+COUNTIF(E$1081:E1875,E1876)</f>
        <v>#N/A</v>
      </c>
      <c r="K1876" s="1"/>
      <c r="L1876" s="39" t="e">
        <f>IF($C$1074&gt;0,VLOOKUP($C1876,ENTI!$U$4:$AD$1003,10,FALSE),"")</f>
        <v>#N/A</v>
      </c>
      <c r="M1876" s="1"/>
      <c r="N1876" s="1"/>
      <c r="O1876" s="1"/>
    </row>
    <row r="1877" spans="1:15" hidden="1">
      <c r="A1877" s="1"/>
      <c r="B1877" s="40" t="e">
        <f t="shared" ca="1" si="217"/>
        <v>#N/A</v>
      </c>
      <c r="C1877" s="496">
        <v>797</v>
      </c>
      <c r="D1877" s="41" t="e">
        <f ca="1">IF($C$1076&gt;0,VLOOKUP($C1877,COSTI!$U$4:$Z$1003,3,FALSE),IF($C$1075&gt;0,VLOOKUP($C1877,PATRIMONIALE!$U$4:$Z$1003,3,FALSE),IF($C$1074&gt;0,VLOOKUP($C1877,ENTI!$U$4:$Z$1003,3,FALSE),"")))</f>
        <v>#N/A</v>
      </c>
      <c r="E1877" s="41" t="str">
        <f t="shared" ca="1" si="218"/>
        <v/>
      </c>
      <c r="F1877" s="41" t="e">
        <f t="shared" ca="1" si="219"/>
        <v>#NUM!</v>
      </c>
      <c r="G1877" s="39" t="e">
        <f ca="1">IF($C$1076&gt;0,VLOOKUP($C1877,COSTI!$U$4:$Z$1003,5,FALSE),IF($C$1075&gt;0,VLOOKUP($C1877,PATRIMONIALE!$U$4:$Z$1003,5,FALSE),IF($C$1074&gt;0,VLOOKUP($C1877,ENTI!$U$4:$Z$1003,5,FALSE),"")))</f>
        <v>#N/A</v>
      </c>
      <c r="H1877" s="42" t="e">
        <f ca="1">IF($C$1076&gt;0,VLOOKUP($C1877,COSTI!$U$4:$Z$1003,6,FALSE),IF($C$1075&gt;0,VLOOKUP($C1877,PATRIMONIALE!$U$4:$Z$1003,6,FALSE),IF($C$1074&gt;0,VLOOKUP($C1877,ENTI!$U$4:$Z$1003,6,FALSE),"")))</f>
        <v>#N/A</v>
      </c>
      <c r="I1877" s="496">
        <v>797</v>
      </c>
      <c r="J1877" s="43" t="e">
        <f ca="1">VLOOKUP(D1877,$F$1081:$I$4183,4,FALSE)+COUNTIF(E$1081:E1876,E1877)</f>
        <v>#N/A</v>
      </c>
      <c r="K1877" s="1"/>
      <c r="L1877" s="39" t="e">
        <f>IF($C$1074&gt;0,VLOOKUP($C1877,ENTI!$U$4:$AD$1003,10,FALSE),"")</f>
        <v>#N/A</v>
      </c>
      <c r="M1877" s="1"/>
      <c r="N1877" s="1"/>
      <c r="O1877" s="1"/>
    </row>
    <row r="1878" spans="1:15" hidden="1">
      <c r="A1878" s="1"/>
      <c r="B1878" s="40" t="e">
        <f t="shared" ca="1" si="217"/>
        <v>#N/A</v>
      </c>
      <c r="C1878" s="496">
        <v>798</v>
      </c>
      <c r="D1878" s="41" t="e">
        <f ca="1">IF($C$1076&gt;0,VLOOKUP($C1878,COSTI!$U$4:$Z$1003,3,FALSE),IF($C$1075&gt;0,VLOOKUP($C1878,PATRIMONIALE!$U$4:$Z$1003,3,FALSE),IF($C$1074&gt;0,VLOOKUP($C1878,ENTI!$U$4:$Z$1003,3,FALSE),"")))</f>
        <v>#N/A</v>
      </c>
      <c r="E1878" s="41" t="str">
        <f t="shared" ca="1" si="218"/>
        <v/>
      </c>
      <c r="F1878" s="41" t="e">
        <f t="shared" ca="1" si="219"/>
        <v>#NUM!</v>
      </c>
      <c r="G1878" s="39" t="e">
        <f ca="1">IF($C$1076&gt;0,VLOOKUP($C1878,COSTI!$U$4:$Z$1003,5,FALSE),IF($C$1075&gt;0,VLOOKUP($C1878,PATRIMONIALE!$U$4:$Z$1003,5,FALSE),IF($C$1074&gt;0,VLOOKUP($C1878,ENTI!$U$4:$Z$1003,5,FALSE),"")))</f>
        <v>#N/A</v>
      </c>
      <c r="H1878" s="42" t="e">
        <f ca="1">IF($C$1076&gt;0,VLOOKUP($C1878,COSTI!$U$4:$Z$1003,6,FALSE),IF($C$1075&gt;0,VLOOKUP($C1878,PATRIMONIALE!$U$4:$Z$1003,6,FALSE),IF($C$1074&gt;0,VLOOKUP($C1878,ENTI!$U$4:$Z$1003,6,FALSE),"")))</f>
        <v>#N/A</v>
      </c>
      <c r="I1878" s="496">
        <v>798</v>
      </c>
      <c r="J1878" s="43" t="e">
        <f ca="1">VLOOKUP(D1878,$F$1081:$I$4183,4,FALSE)+COUNTIF(E$1081:E1877,E1878)</f>
        <v>#N/A</v>
      </c>
      <c r="K1878" s="1"/>
      <c r="L1878" s="39" t="e">
        <f>IF($C$1074&gt;0,VLOOKUP($C1878,ENTI!$U$4:$AD$1003,10,FALSE),"")</f>
        <v>#N/A</v>
      </c>
      <c r="M1878" s="1"/>
      <c r="N1878" s="1"/>
      <c r="O1878" s="1"/>
    </row>
    <row r="1879" spans="1:15" hidden="1">
      <c r="A1879" s="1"/>
      <c r="B1879" s="40" t="e">
        <f t="shared" ca="1" si="217"/>
        <v>#N/A</v>
      </c>
      <c r="C1879" s="496">
        <v>799</v>
      </c>
      <c r="D1879" s="41" t="e">
        <f ca="1">IF($C$1076&gt;0,VLOOKUP($C1879,COSTI!$U$4:$Z$1003,3,FALSE),IF($C$1075&gt;0,VLOOKUP($C1879,PATRIMONIALE!$U$4:$Z$1003,3,FALSE),IF($C$1074&gt;0,VLOOKUP($C1879,ENTI!$U$4:$Z$1003,3,FALSE),"")))</f>
        <v>#N/A</v>
      </c>
      <c r="E1879" s="41" t="str">
        <f t="shared" ca="1" si="218"/>
        <v/>
      </c>
      <c r="F1879" s="41" t="e">
        <f t="shared" ca="1" si="219"/>
        <v>#NUM!</v>
      </c>
      <c r="G1879" s="39" t="e">
        <f ca="1">IF($C$1076&gt;0,VLOOKUP($C1879,COSTI!$U$4:$Z$1003,5,FALSE),IF($C$1075&gt;0,VLOOKUP($C1879,PATRIMONIALE!$U$4:$Z$1003,5,FALSE),IF($C$1074&gt;0,VLOOKUP($C1879,ENTI!$U$4:$Z$1003,5,FALSE),"")))</f>
        <v>#N/A</v>
      </c>
      <c r="H1879" s="42" t="e">
        <f ca="1">IF($C$1076&gt;0,VLOOKUP($C1879,COSTI!$U$4:$Z$1003,6,FALSE),IF($C$1075&gt;0,VLOOKUP($C1879,PATRIMONIALE!$U$4:$Z$1003,6,FALSE),IF($C$1074&gt;0,VLOOKUP($C1879,ENTI!$U$4:$Z$1003,6,FALSE),"")))</f>
        <v>#N/A</v>
      </c>
      <c r="I1879" s="496">
        <v>799</v>
      </c>
      <c r="J1879" s="43" t="e">
        <f ca="1">VLOOKUP(D1879,$F$1081:$I$4183,4,FALSE)+COUNTIF(E$1081:E1878,E1879)</f>
        <v>#N/A</v>
      </c>
      <c r="K1879" s="1"/>
      <c r="L1879" s="39" t="e">
        <f>IF($C$1074&gt;0,VLOOKUP($C1879,ENTI!$U$4:$AD$1003,10,FALSE),"")</f>
        <v>#N/A</v>
      </c>
      <c r="M1879" s="1"/>
      <c r="N1879" s="1"/>
      <c r="O1879" s="1"/>
    </row>
    <row r="1880" spans="1:15" hidden="1">
      <c r="A1880" s="1"/>
      <c r="B1880" s="40" t="e">
        <f t="shared" ca="1" si="217"/>
        <v>#N/A</v>
      </c>
      <c r="C1880" s="496">
        <v>800</v>
      </c>
      <c r="D1880" s="41" t="e">
        <f ca="1">IF($C$1076&gt;0,VLOOKUP($C1880,COSTI!$U$4:$Z$1003,3,FALSE),IF($C$1075&gt;0,VLOOKUP($C1880,PATRIMONIALE!$U$4:$Z$1003,3,FALSE),IF($C$1074&gt;0,VLOOKUP($C1880,ENTI!$U$4:$Z$1003,3,FALSE),"")))</f>
        <v>#N/A</v>
      </c>
      <c r="E1880" s="41" t="str">
        <f t="shared" ca="1" si="218"/>
        <v/>
      </c>
      <c r="F1880" s="41" t="e">
        <f t="shared" ca="1" si="219"/>
        <v>#NUM!</v>
      </c>
      <c r="G1880" s="39" t="e">
        <f ca="1">IF($C$1076&gt;0,VLOOKUP($C1880,COSTI!$U$4:$Z$1003,5,FALSE),IF($C$1075&gt;0,VLOOKUP($C1880,PATRIMONIALE!$U$4:$Z$1003,5,FALSE),IF($C$1074&gt;0,VLOOKUP($C1880,ENTI!$U$4:$Z$1003,5,FALSE),"")))</f>
        <v>#N/A</v>
      </c>
      <c r="H1880" s="42" t="e">
        <f ca="1">IF($C$1076&gt;0,VLOOKUP($C1880,COSTI!$U$4:$Z$1003,6,FALSE),IF($C$1075&gt;0,VLOOKUP($C1880,PATRIMONIALE!$U$4:$Z$1003,6,FALSE),IF($C$1074&gt;0,VLOOKUP($C1880,ENTI!$U$4:$Z$1003,6,FALSE),"")))</f>
        <v>#N/A</v>
      </c>
      <c r="I1880" s="496">
        <v>800</v>
      </c>
      <c r="J1880" s="43" t="e">
        <f ca="1">VLOOKUP(D1880,$F$1081:$I$4183,4,FALSE)+COUNTIF(E$1081:E1879,E1880)</f>
        <v>#N/A</v>
      </c>
      <c r="K1880" s="1"/>
      <c r="L1880" s="39" t="e">
        <f>IF($C$1074&gt;0,VLOOKUP($C1880,ENTI!$U$4:$AD$1003,10,FALSE),"")</f>
        <v>#N/A</v>
      </c>
      <c r="M1880" s="1"/>
      <c r="N1880" s="1"/>
      <c r="O1880" s="1"/>
    </row>
    <row r="1881" spans="1:15" hidden="1">
      <c r="A1881" s="1"/>
      <c r="B1881" s="40" t="e">
        <f t="shared" ca="1" si="217"/>
        <v>#N/A</v>
      </c>
      <c r="C1881" s="496">
        <v>801</v>
      </c>
      <c r="D1881" s="41" t="e">
        <f ca="1">IF($C$1076&gt;0,VLOOKUP($C1881,COSTI!$U$4:$Z$1003,3,FALSE),IF($C$1075&gt;0,VLOOKUP($C1881,PATRIMONIALE!$U$4:$Z$1003,3,FALSE),IF($C$1074&gt;0,VLOOKUP($C1881,ENTI!$U$4:$Z$1003,3,FALSE),"")))</f>
        <v>#N/A</v>
      </c>
      <c r="E1881" s="41" t="str">
        <f t="shared" ca="1" si="218"/>
        <v/>
      </c>
      <c r="F1881" s="41" t="e">
        <f t="shared" ca="1" si="219"/>
        <v>#NUM!</v>
      </c>
      <c r="G1881" s="39" t="e">
        <f ca="1">IF($C$1076&gt;0,VLOOKUP($C1881,COSTI!$U$4:$Z$1003,5,FALSE),IF($C$1075&gt;0,VLOOKUP($C1881,PATRIMONIALE!$U$4:$Z$1003,5,FALSE),IF($C$1074&gt;0,VLOOKUP($C1881,ENTI!$U$4:$Z$1003,5,FALSE),"")))</f>
        <v>#N/A</v>
      </c>
      <c r="H1881" s="42" t="e">
        <f ca="1">IF($C$1076&gt;0,VLOOKUP($C1881,COSTI!$U$4:$Z$1003,6,FALSE),IF($C$1075&gt;0,VLOOKUP($C1881,PATRIMONIALE!$U$4:$Z$1003,6,FALSE),IF($C$1074&gt;0,VLOOKUP($C1881,ENTI!$U$4:$Z$1003,6,FALSE),"")))</f>
        <v>#N/A</v>
      </c>
      <c r="I1881" s="496">
        <v>801</v>
      </c>
      <c r="J1881" s="43" t="e">
        <f ca="1">VLOOKUP(D1881,$F$1081:$I$4183,4,FALSE)+COUNTIF(E$1081:E1880,E1881)</f>
        <v>#N/A</v>
      </c>
      <c r="K1881" s="1"/>
      <c r="L1881" s="39" t="e">
        <f>IF($C$1074&gt;0,VLOOKUP($C1881,ENTI!$U$4:$AD$1003,10,FALSE),"")</f>
        <v>#N/A</v>
      </c>
      <c r="M1881" s="1"/>
      <c r="N1881" s="1"/>
      <c r="O1881" s="1"/>
    </row>
    <row r="1882" spans="1:15" hidden="1">
      <c r="A1882" s="1"/>
      <c r="B1882" s="40" t="e">
        <f t="shared" ca="1" si="217"/>
        <v>#N/A</v>
      </c>
      <c r="C1882" s="496">
        <v>802</v>
      </c>
      <c r="D1882" s="41" t="e">
        <f ca="1">IF($C$1076&gt;0,VLOOKUP($C1882,COSTI!$U$4:$Z$1003,3,FALSE),IF($C$1075&gt;0,VLOOKUP($C1882,PATRIMONIALE!$U$4:$Z$1003,3,FALSE),IF($C$1074&gt;0,VLOOKUP($C1882,ENTI!$U$4:$Z$1003,3,FALSE),"")))</f>
        <v>#N/A</v>
      </c>
      <c r="E1882" s="41" t="str">
        <f t="shared" ca="1" si="218"/>
        <v/>
      </c>
      <c r="F1882" s="41" t="e">
        <f t="shared" ca="1" si="219"/>
        <v>#NUM!</v>
      </c>
      <c r="G1882" s="39" t="e">
        <f ca="1">IF($C$1076&gt;0,VLOOKUP($C1882,COSTI!$U$4:$Z$1003,5,FALSE),IF($C$1075&gt;0,VLOOKUP($C1882,PATRIMONIALE!$U$4:$Z$1003,5,FALSE),IF($C$1074&gt;0,VLOOKUP($C1882,ENTI!$U$4:$Z$1003,5,FALSE),"")))</f>
        <v>#N/A</v>
      </c>
      <c r="H1882" s="42" t="e">
        <f ca="1">IF($C$1076&gt;0,VLOOKUP($C1882,COSTI!$U$4:$Z$1003,6,FALSE),IF($C$1075&gt;0,VLOOKUP($C1882,PATRIMONIALE!$U$4:$Z$1003,6,FALSE),IF($C$1074&gt;0,VLOOKUP($C1882,ENTI!$U$4:$Z$1003,6,FALSE),"")))</f>
        <v>#N/A</v>
      </c>
      <c r="I1882" s="496">
        <v>802</v>
      </c>
      <c r="J1882" s="43" t="e">
        <f ca="1">VLOOKUP(D1882,$F$1081:$I$4183,4,FALSE)+COUNTIF(E$1081:E1881,E1882)</f>
        <v>#N/A</v>
      </c>
      <c r="K1882" s="1"/>
      <c r="L1882" s="39" t="e">
        <f>IF($C$1074&gt;0,VLOOKUP($C1882,ENTI!$U$4:$AD$1003,10,FALSE),"")</f>
        <v>#N/A</v>
      </c>
      <c r="M1882" s="1"/>
      <c r="N1882" s="1"/>
      <c r="O1882" s="1"/>
    </row>
    <row r="1883" spans="1:15" hidden="1">
      <c r="A1883" s="1"/>
      <c r="B1883" s="40" t="e">
        <f t="shared" ca="1" si="217"/>
        <v>#N/A</v>
      </c>
      <c r="C1883" s="496">
        <v>803</v>
      </c>
      <c r="D1883" s="41" t="e">
        <f ca="1">IF($C$1076&gt;0,VLOOKUP($C1883,COSTI!$U$4:$Z$1003,3,FALSE),IF($C$1075&gt;0,VLOOKUP($C1883,PATRIMONIALE!$U$4:$Z$1003,3,FALSE),IF($C$1074&gt;0,VLOOKUP($C1883,ENTI!$U$4:$Z$1003,3,FALSE),"")))</f>
        <v>#N/A</v>
      </c>
      <c r="E1883" s="41" t="str">
        <f t="shared" ca="1" si="218"/>
        <v/>
      </c>
      <c r="F1883" s="41" t="e">
        <f t="shared" ca="1" si="219"/>
        <v>#NUM!</v>
      </c>
      <c r="G1883" s="39" t="e">
        <f ca="1">IF($C$1076&gt;0,VLOOKUP($C1883,COSTI!$U$4:$Z$1003,5,FALSE),IF($C$1075&gt;0,VLOOKUP($C1883,PATRIMONIALE!$U$4:$Z$1003,5,FALSE),IF($C$1074&gt;0,VLOOKUP($C1883,ENTI!$U$4:$Z$1003,5,FALSE),"")))</f>
        <v>#N/A</v>
      </c>
      <c r="H1883" s="42" t="e">
        <f ca="1">IF($C$1076&gt;0,VLOOKUP($C1883,COSTI!$U$4:$Z$1003,6,FALSE),IF($C$1075&gt;0,VLOOKUP($C1883,PATRIMONIALE!$U$4:$Z$1003,6,FALSE),IF($C$1074&gt;0,VLOOKUP($C1883,ENTI!$U$4:$Z$1003,6,FALSE),"")))</f>
        <v>#N/A</v>
      </c>
      <c r="I1883" s="496">
        <v>803</v>
      </c>
      <c r="J1883" s="43" t="e">
        <f ca="1">VLOOKUP(D1883,$F$1081:$I$4183,4,FALSE)+COUNTIF(E$1081:E1882,E1883)</f>
        <v>#N/A</v>
      </c>
      <c r="K1883" s="1"/>
      <c r="L1883" s="39" t="e">
        <f>IF($C$1074&gt;0,VLOOKUP($C1883,ENTI!$U$4:$AD$1003,10,FALSE),"")</f>
        <v>#N/A</v>
      </c>
      <c r="M1883" s="1"/>
      <c r="N1883" s="1"/>
      <c r="O1883" s="1"/>
    </row>
    <row r="1884" spans="1:15" hidden="1">
      <c r="A1884" s="1"/>
      <c r="B1884" s="40" t="e">
        <f t="shared" ca="1" si="217"/>
        <v>#N/A</v>
      </c>
      <c r="C1884" s="496">
        <v>804</v>
      </c>
      <c r="D1884" s="41" t="e">
        <f ca="1">IF($C$1076&gt;0,VLOOKUP($C1884,COSTI!$U$4:$Z$1003,3,FALSE),IF($C$1075&gt;0,VLOOKUP($C1884,PATRIMONIALE!$U$4:$Z$1003,3,FALSE),IF($C$1074&gt;0,VLOOKUP($C1884,ENTI!$U$4:$Z$1003,3,FALSE),"")))</f>
        <v>#N/A</v>
      </c>
      <c r="E1884" s="41" t="str">
        <f t="shared" ca="1" si="218"/>
        <v/>
      </c>
      <c r="F1884" s="41" t="e">
        <f t="shared" ca="1" si="219"/>
        <v>#NUM!</v>
      </c>
      <c r="G1884" s="39" t="e">
        <f ca="1">IF($C$1076&gt;0,VLOOKUP($C1884,COSTI!$U$4:$Z$1003,5,FALSE),IF($C$1075&gt;0,VLOOKUP($C1884,PATRIMONIALE!$U$4:$Z$1003,5,FALSE),IF($C$1074&gt;0,VLOOKUP($C1884,ENTI!$U$4:$Z$1003,5,FALSE),"")))</f>
        <v>#N/A</v>
      </c>
      <c r="H1884" s="42" t="e">
        <f ca="1">IF($C$1076&gt;0,VLOOKUP($C1884,COSTI!$U$4:$Z$1003,6,FALSE),IF($C$1075&gt;0,VLOOKUP($C1884,PATRIMONIALE!$U$4:$Z$1003,6,FALSE),IF($C$1074&gt;0,VLOOKUP($C1884,ENTI!$U$4:$Z$1003,6,FALSE),"")))</f>
        <v>#N/A</v>
      </c>
      <c r="I1884" s="496">
        <v>804</v>
      </c>
      <c r="J1884" s="43" t="e">
        <f ca="1">VLOOKUP(D1884,$F$1081:$I$4183,4,FALSE)+COUNTIF(E$1081:E1883,E1884)</f>
        <v>#N/A</v>
      </c>
      <c r="K1884" s="1"/>
      <c r="L1884" s="39" t="e">
        <f>IF($C$1074&gt;0,VLOOKUP($C1884,ENTI!$U$4:$AD$1003,10,FALSE),"")</f>
        <v>#N/A</v>
      </c>
      <c r="M1884" s="1"/>
      <c r="N1884" s="1"/>
      <c r="O1884" s="1"/>
    </row>
    <row r="1885" spans="1:15" hidden="1">
      <c r="A1885" s="1"/>
      <c r="B1885" s="40" t="e">
        <f t="shared" ca="1" si="217"/>
        <v>#N/A</v>
      </c>
      <c r="C1885" s="496">
        <v>805</v>
      </c>
      <c r="D1885" s="41" t="e">
        <f ca="1">IF($C$1076&gt;0,VLOOKUP($C1885,COSTI!$U$4:$Z$1003,3,FALSE),IF($C$1075&gt;0,VLOOKUP($C1885,PATRIMONIALE!$U$4:$Z$1003,3,FALSE),IF($C$1074&gt;0,VLOOKUP($C1885,ENTI!$U$4:$Z$1003,3,FALSE),"")))</f>
        <v>#N/A</v>
      </c>
      <c r="E1885" s="41" t="str">
        <f t="shared" ca="1" si="218"/>
        <v/>
      </c>
      <c r="F1885" s="41" t="e">
        <f t="shared" ca="1" si="219"/>
        <v>#NUM!</v>
      </c>
      <c r="G1885" s="39" t="e">
        <f ca="1">IF($C$1076&gt;0,VLOOKUP($C1885,COSTI!$U$4:$Z$1003,5,FALSE),IF($C$1075&gt;0,VLOOKUP($C1885,PATRIMONIALE!$U$4:$Z$1003,5,FALSE),IF($C$1074&gt;0,VLOOKUP($C1885,ENTI!$U$4:$Z$1003,5,FALSE),"")))</f>
        <v>#N/A</v>
      </c>
      <c r="H1885" s="42" t="e">
        <f ca="1">IF($C$1076&gt;0,VLOOKUP($C1885,COSTI!$U$4:$Z$1003,6,FALSE),IF($C$1075&gt;0,VLOOKUP($C1885,PATRIMONIALE!$U$4:$Z$1003,6,FALSE),IF($C$1074&gt;0,VLOOKUP($C1885,ENTI!$U$4:$Z$1003,6,FALSE),"")))</f>
        <v>#N/A</v>
      </c>
      <c r="I1885" s="496">
        <v>805</v>
      </c>
      <c r="J1885" s="43" t="e">
        <f ca="1">VLOOKUP(D1885,$F$1081:$I$4183,4,FALSE)+COUNTIF(E$1081:E1884,E1885)</f>
        <v>#N/A</v>
      </c>
      <c r="K1885" s="1"/>
      <c r="L1885" s="39" t="e">
        <f>IF($C$1074&gt;0,VLOOKUP($C1885,ENTI!$U$4:$AD$1003,10,FALSE),"")</f>
        <v>#N/A</v>
      </c>
      <c r="M1885" s="1"/>
      <c r="N1885" s="1"/>
      <c r="O1885" s="1"/>
    </row>
    <row r="1886" spans="1:15" hidden="1">
      <c r="A1886" s="1"/>
      <c r="B1886" s="40" t="e">
        <f t="shared" ca="1" si="217"/>
        <v>#N/A</v>
      </c>
      <c r="C1886" s="496">
        <v>806</v>
      </c>
      <c r="D1886" s="41" t="e">
        <f ca="1">IF($C$1076&gt;0,VLOOKUP($C1886,COSTI!$U$4:$Z$1003,3,FALSE),IF($C$1075&gt;0,VLOOKUP($C1886,PATRIMONIALE!$U$4:$Z$1003,3,FALSE),IF($C$1074&gt;0,VLOOKUP($C1886,ENTI!$U$4:$Z$1003,3,FALSE),"")))</f>
        <v>#N/A</v>
      </c>
      <c r="E1886" s="41" t="str">
        <f t="shared" ca="1" si="218"/>
        <v/>
      </c>
      <c r="F1886" s="41" t="e">
        <f t="shared" ca="1" si="219"/>
        <v>#NUM!</v>
      </c>
      <c r="G1886" s="39" t="e">
        <f ca="1">IF($C$1076&gt;0,VLOOKUP($C1886,COSTI!$U$4:$Z$1003,5,FALSE),IF($C$1075&gt;0,VLOOKUP($C1886,PATRIMONIALE!$U$4:$Z$1003,5,FALSE),IF($C$1074&gt;0,VLOOKUP($C1886,ENTI!$U$4:$Z$1003,5,FALSE),"")))</f>
        <v>#N/A</v>
      </c>
      <c r="H1886" s="42" t="e">
        <f ca="1">IF($C$1076&gt;0,VLOOKUP($C1886,COSTI!$U$4:$Z$1003,6,FALSE),IF($C$1075&gt;0,VLOOKUP($C1886,PATRIMONIALE!$U$4:$Z$1003,6,FALSE),IF($C$1074&gt;0,VLOOKUP($C1886,ENTI!$U$4:$Z$1003,6,FALSE),"")))</f>
        <v>#N/A</v>
      </c>
      <c r="I1886" s="496">
        <v>806</v>
      </c>
      <c r="J1886" s="43" t="e">
        <f ca="1">VLOOKUP(D1886,$F$1081:$I$4183,4,FALSE)+COUNTIF(E$1081:E1885,E1886)</f>
        <v>#N/A</v>
      </c>
      <c r="K1886" s="1"/>
      <c r="L1886" s="39" t="e">
        <f>IF($C$1074&gt;0,VLOOKUP($C1886,ENTI!$U$4:$AD$1003,10,FALSE),"")</f>
        <v>#N/A</v>
      </c>
      <c r="M1886" s="1"/>
      <c r="N1886" s="1"/>
      <c r="O1886" s="1"/>
    </row>
    <row r="1887" spans="1:15" hidden="1">
      <c r="A1887" s="1"/>
      <c r="B1887" s="40" t="e">
        <f t="shared" ca="1" si="217"/>
        <v>#N/A</v>
      </c>
      <c r="C1887" s="496">
        <v>807</v>
      </c>
      <c r="D1887" s="41" t="e">
        <f ca="1">IF($C$1076&gt;0,VLOOKUP($C1887,COSTI!$U$4:$Z$1003,3,FALSE),IF($C$1075&gt;0,VLOOKUP($C1887,PATRIMONIALE!$U$4:$Z$1003,3,FALSE),IF($C$1074&gt;0,VLOOKUP($C1887,ENTI!$U$4:$Z$1003,3,FALSE),"")))</f>
        <v>#N/A</v>
      </c>
      <c r="E1887" s="41" t="str">
        <f t="shared" ca="1" si="218"/>
        <v/>
      </c>
      <c r="F1887" s="41" t="e">
        <f t="shared" ca="1" si="219"/>
        <v>#NUM!</v>
      </c>
      <c r="G1887" s="39" t="e">
        <f ca="1">IF($C$1076&gt;0,VLOOKUP($C1887,COSTI!$U$4:$Z$1003,5,FALSE),IF($C$1075&gt;0,VLOOKUP($C1887,PATRIMONIALE!$U$4:$Z$1003,5,FALSE),IF($C$1074&gt;0,VLOOKUP($C1887,ENTI!$U$4:$Z$1003,5,FALSE),"")))</f>
        <v>#N/A</v>
      </c>
      <c r="H1887" s="42" t="e">
        <f ca="1">IF($C$1076&gt;0,VLOOKUP($C1887,COSTI!$U$4:$Z$1003,6,FALSE),IF($C$1075&gt;0,VLOOKUP($C1887,PATRIMONIALE!$U$4:$Z$1003,6,FALSE),IF($C$1074&gt;0,VLOOKUP($C1887,ENTI!$U$4:$Z$1003,6,FALSE),"")))</f>
        <v>#N/A</v>
      </c>
      <c r="I1887" s="496">
        <v>807</v>
      </c>
      <c r="J1887" s="43" t="e">
        <f ca="1">VLOOKUP(D1887,$F$1081:$I$4183,4,FALSE)+COUNTIF(E$1081:E1886,E1887)</f>
        <v>#N/A</v>
      </c>
      <c r="K1887" s="1"/>
      <c r="L1887" s="39" t="e">
        <f>IF($C$1074&gt;0,VLOOKUP($C1887,ENTI!$U$4:$AD$1003,10,FALSE),"")</f>
        <v>#N/A</v>
      </c>
      <c r="M1887" s="1"/>
      <c r="N1887" s="1"/>
      <c r="O1887" s="1"/>
    </row>
    <row r="1888" spans="1:15" hidden="1">
      <c r="A1888" s="1"/>
      <c r="B1888" s="40" t="e">
        <f t="shared" ca="1" si="217"/>
        <v>#N/A</v>
      </c>
      <c r="C1888" s="496">
        <v>808</v>
      </c>
      <c r="D1888" s="41" t="e">
        <f ca="1">IF($C$1076&gt;0,VLOOKUP($C1888,COSTI!$U$4:$Z$1003,3,FALSE),IF($C$1075&gt;0,VLOOKUP($C1888,PATRIMONIALE!$U$4:$Z$1003,3,FALSE),IF($C$1074&gt;0,VLOOKUP($C1888,ENTI!$U$4:$Z$1003,3,FALSE),"")))</f>
        <v>#N/A</v>
      </c>
      <c r="E1888" s="41" t="str">
        <f t="shared" ca="1" si="218"/>
        <v/>
      </c>
      <c r="F1888" s="41" t="e">
        <f t="shared" ca="1" si="219"/>
        <v>#NUM!</v>
      </c>
      <c r="G1888" s="39" t="e">
        <f ca="1">IF($C$1076&gt;0,VLOOKUP($C1888,COSTI!$U$4:$Z$1003,5,FALSE),IF($C$1075&gt;0,VLOOKUP($C1888,PATRIMONIALE!$U$4:$Z$1003,5,FALSE),IF($C$1074&gt;0,VLOOKUP($C1888,ENTI!$U$4:$Z$1003,5,FALSE),"")))</f>
        <v>#N/A</v>
      </c>
      <c r="H1888" s="42" t="e">
        <f ca="1">IF($C$1076&gt;0,VLOOKUP($C1888,COSTI!$U$4:$Z$1003,6,FALSE),IF($C$1075&gt;0,VLOOKUP($C1888,PATRIMONIALE!$U$4:$Z$1003,6,FALSE),IF($C$1074&gt;0,VLOOKUP($C1888,ENTI!$U$4:$Z$1003,6,FALSE),"")))</f>
        <v>#N/A</v>
      </c>
      <c r="I1888" s="496">
        <v>808</v>
      </c>
      <c r="J1888" s="43" t="e">
        <f ca="1">VLOOKUP(D1888,$F$1081:$I$4183,4,FALSE)+COUNTIF(E$1081:E1887,E1888)</f>
        <v>#N/A</v>
      </c>
      <c r="K1888" s="1"/>
      <c r="L1888" s="39" t="e">
        <f>IF($C$1074&gt;0,VLOOKUP($C1888,ENTI!$U$4:$AD$1003,10,FALSE),"")</f>
        <v>#N/A</v>
      </c>
      <c r="M1888" s="1"/>
      <c r="N1888" s="1"/>
      <c r="O1888" s="1"/>
    </row>
    <row r="1889" spans="1:15" hidden="1">
      <c r="A1889" s="1"/>
      <c r="B1889" s="40" t="e">
        <f t="shared" ca="1" si="217"/>
        <v>#N/A</v>
      </c>
      <c r="C1889" s="496">
        <v>809</v>
      </c>
      <c r="D1889" s="41" t="e">
        <f ca="1">IF($C$1076&gt;0,VLOOKUP($C1889,COSTI!$U$4:$Z$1003,3,FALSE),IF($C$1075&gt;0,VLOOKUP($C1889,PATRIMONIALE!$U$4:$Z$1003,3,FALSE),IF($C$1074&gt;0,VLOOKUP($C1889,ENTI!$U$4:$Z$1003,3,FALSE),"")))</f>
        <v>#N/A</v>
      </c>
      <c r="E1889" s="41" t="str">
        <f t="shared" ca="1" si="218"/>
        <v/>
      </c>
      <c r="F1889" s="41" t="e">
        <f t="shared" ca="1" si="219"/>
        <v>#NUM!</v>
      </c>
      <c r="G1889" s="39" t="e">
        <f ca="1">IF($C$1076&gt;0,VLOOKUP($C1889,COSTI!$U$4:$Z$1003,5,FALSE),IF($C$1075&gt;0,VLOOKUP($C1889,PATRIMONIALE!$U$4:$Z$1003,5,FALSE),IF($C$1074&gt;0,VLOOKUP($C1889,ENTI!$U$4:$Z$1003,5,FALSE),"")))</f>
        <v>#N/A</v>
      </c>
      <c r="H1889" s="42" t="e">
        <f ca="1">IF($C$1076&gt;0,VLOOKUP($C1889,COSTI!$U$4:$Z$1003,6,FALSE),IF($C$1075&gt;0,VLOOKUP($C1889,PATRIMONIALE!$U$4:$Z$1003,6,FALSE),IF($C$1074&gt;0,VLOOKUP($C1889,ENTI!$U$4:$Z$1003,6,FALSE),"")))</f>
        <v>#N/A</v>
      </c>
      <c r="I1889" s="496">
        <v>809</v>
      </c>
      <c r="J1889" s="43" t="e">
        <f ca="1">VLOOKUP(D1889,$F$1081:$I$4183,4,FALSE)+COUNTIF(E$1081:E1888,E1889)</f>
        <v>#N/A</v>
      </c>
      <c r="K1889" s="1"/>
      <c r="L1889" s="39" t="e">
        <f>IF($C$1074&gt;0,VLOOKUP($C1889,ENTI!$U$4:$AD$1003,10,FALSE),"")</f>
        <v>#N/A</v>
      </c>
      <c r="M1889" s="1"/>
      <c r="N1889" s="1"/>
      <c r="O1889" s="1"/>
    </row>
    <row r="1890" spans="1:15" hidden="1">
      <c r="A1890" s="1"/>
      <c r="B1890" s="40" t="e">
        <f t="shared" ca="1" si="217"/>
        <v>#N/A</v>
      </c>
      <c r="C1890" s="496">
        <v>810</v>
      </c>
      <c r="D1890" s="41" t="e">
        <f ca="1">IF($C$1076&gt;0,VLOOKUP($C1890,COSTI!$U$4:$Z$1003,3,FALSE),IF($C$1075&gt;0,VLOOKUP($C1890,PATRIMONIALE!$U$4:$Z$1003,3,FALSE),IF($C$1074&gt;0,VLOOKUP($C1890,ENTI!$U$4:$Z$1003,3,FALSE),"")))</f>
        <v>#N/A</v>
      </c>
      <c r="E1890" s="41" t="str">
        <f t="shared" ca="1" si="218"/>
        <v/>
      </c>
      <c r="F1890" s="41" t="e">
        <f t="shared" ca="1" si="219"/>
        <v>#NUM!</v>
      </c>
      <c r="G1890" s="39" t="e">
        <f ca="1">IF($C$1076&gt;0,VLOOKUP($C1890,COSTI!$U$4:$Z$1003,5,FALSE),IF($C$1075&gt;0,VLOOKUP($C1890,PATRIMONIALE!$U$4:$Z$1003,5,FALSE),IF($C$1074&gt;0,VLOOKUP($C1890,ENTI!$U$4:$Z$1003,5,FALSE),"")))</f>
        <v>#N/A</v>
      </c>
      <c r="H1890" s="42" t="e">
        <f ca="1">IF($C$1076&gt;0,VLOOKUP($C1890,COSTI!$U$4:$Z$1003,6,FALSE),IF($C$1075&gt;0,VLOOKUP($C1890,PATRIMONIALE!$U$4:$Z$1003,6,FALSE),IF($C$1074&gt;0,VLOOKUP($C1890,ENTI!$U$4:$Z$1003,6,FALSE),"")))</f>
        <v>#N/A</v>
      </c>
      <c r="I1890" s="496">
        <v>810</v>
      </c>
      <c r="J1890" s="43" t="e">
        <f ca="1">VLOOKUP(D1890,$F$1081:$I$4183,4,FALSE)+COUNTIF(E$1081:E1889,E1890)</f>
        <v>#N/A</v>
      </c>
      <c r="K1890" s="1"/>
      <c r="L1890" s="39" t="e">
        <f>IF($C$1074&gt;0,VLOOKUP($C1890,ENTI!$U$4:$AD$1003,10,FALSE),"")</f>
        <v>#N/A</v>
      </c>
      <c r="M1890" s="1"/>
      <c r="N1890" s="1"/>
      <c r="O1890" s="1"/>
    </row>
    <row r="1891" spans="1:15" hidden="1">
      <c r="A1891" s="1"/>
      <c r="B1891" s="40" t="e">
        <f t="shared" ca="1" si="217"/>
        <v>#N/A</v>
      </c>
      <c r="C1891" s="496">
        <v>811</v>
      </c>
      <c r="D1891" s="41" t="e">
        <f ca="1">IF($C$1076&gt;0,VLOOKUP($C1891,COSTI!$U$4:$Z$1003,3,FALSE),IF($C$1075&gt;0,VLOOKUP($C1891,PATRIMONIALE!$U$4:$Z$1003,3,FALSE),IF($C$1074&gt;0,VLOOKUP($C1891,ENTI!$U$4:$Z$1003,3,FALSE),"")))</f>
        <v>#N/A</v>
      </c>
      <c r="E1891" s="41" t="str">
        <f t="shared" ca="1" si="218"/>
        <v/>
      </c>
      <c r="F1891" s="41" t="e">
        <f t="shared" ca="1" si="219"/>
        <v>#NUM!</v>
      </c>
      <c r="G1891" s="39" t="e">
        <f ca="1">IF($C$1076&gt;0,VLOOKUP($C1891,COSTI!$U$4:$Z$1003,5,FALSE),IF($C$1075&gt;0,VLOOKUP($C1891,PATRIMONIALE!$U$4:$Z$1003,5,FALSE),IF($C$1074&gt;0,VLOOKUP($C1891,ENTI!$U$4:$Z$1003,5,FALSE),"")))</f>
        <v>#N/A</v>
      </c>
      <c r="H1891" s="42" t="e">
        <f ca="1">IF($C$1076&gt;0,VLOOKUP($C1891,COSTI!$U$4:$Z$1003,6,FALSE),IF($C$1075&gt;0,VLOOKUP($C1891,PATRIMONIALE!$U$4:$Z$1003,6,FALSE),IF($C$1074&gt;0,VLOOKUP($C1891,ENTI!$U$4:$Z$1003,6,FALSE),"")))</f>
        <v>#N/A</v>
      </c>
      <c r="I1891" s="496">
        <v>811</v>
      </c>
      <c r="J1891" s="43" t="e">
        <f ca="1">VLOOKUP(D1891,$F$1081:$I$4183,4,FALSE)+COUNTIF(E$1081:E1890,E1891)</f>
        <v>#N/A</v>
      </c>
      <c r="K1891" s="1"/>
      <c r="L1891" s="39" t="e">
        <f>IF($C$1074&gt;0,VLOOKUP($C1891,ENTI!$U$4:$AD$1003,10,FALSE),"")</f>
        <v>#N/A</v>
      </c>
      <c r="M1891" s="1"/>
      <c r="N1891" s="1"/>
      <c r="O1891" s="1"/>
    </row>
    <row r="1892" spans="1:15" hidden="1">
      <c r="A1892" s="1"/>
      <c r="B1892" s="40" t="e">
        <f t="shared" ca="1" si="217"/>
        <v>#N/A</v>
      </c>
      <c r="C1892" s="496">
        <v>812</v>
      </c>
      <c r="D1892" s="41" t="e">
        <f ca="1">IF($C$1076&gt;0,VLOOKUP($C1892,COSTI!$U$4:$Z$1003,3,FALSE),IF($C$1075&gt;0,VLOOKUP($C1892,PATRIMONIALE!$U$4:$Z$1003,3,FALSE),IF($C$1074&gt;0,VLOOKUP($C1892,ENTI!$U$4:$Z$1003,3,FALSE),"")))</f>
        <v>#N/A</v>
      </c>
      <c r="E1892" s="41" t="str">
        <f t="shared" ca="1" si="218"/>
        <v/>
      </c>
      <c r="F1892" s="41" t="e">
        <f t="shared" ca="1" si="219"/>
        <v>#NUM!</v>
      </c>
      <c r="G1892" s="39" t="e">
        <f ca="1">IF($C$1076&gt;0,VLOOKUP($C1892,COSTI!$U$4:$Z$1003,5,FALSE),IF($C$1075&gt;0,VLOOKUP($C1892,PATRIMONIALE!$U$4:$Z$1003,5,FALSE),IF($C$1074&gt;0,VLOOKUP($C1892,ENTI!$U$4:$Z$1003,5,FALSE),"")))</f>
        <v>#N/A</v>
      </c>
      <c r="H1892" s="42" t="e">
        <f ca="1">IF($C$1076&gt;0,VLOOKUP($C1892,COSTI!$U$4:$Z$1003,6,FALSE),IF($C$1075&gt;0,VLOOKUP($C1892,PATRIMONIALE!$U$4:$Z$1003,6,FALSE),IF($C$1074&gt;0,VLOOKUP($C1892,ENTI!$U$4:$Z$1003,6,FALSE),"")))</f>
        <v>#N/A</v>
      </c>
      <c r="I1892" s="496">
        <v>812</v>
      </c>
      <c r="J1892" s="43" t="e">
        <f ca="1">VLOOKUP(D1892,$F$1081:$I$4183,4,FALSE)+COUNTIF(E$1081:E1891,E1892)</f>
        <v>#N/A</v>
      </c>
      <c r="K1892" s="1"/>
      <c r="L1892" s="39" t="e">
        <f>IF($C$1074&gt;0,VLOOKUP($C1892,ENTI!$U$4:$AD$1003,10,FALSE),"")</f>
        <v>#N/A</v>
      </c>
      <c r="M1892" s="1"/>
      <c r="N1892" s="1"/>
      <c r="O1892" s="1"/>
    </row>
    <row r="1893" spans="1:15" hidden="1">
      <c r="A1893" s="1"/>
      <c r="B1893" s="40" t="e">
        <f t="shared" ca="1" si="217"/>
        <v>#N/A</v>
      </c>
      <c r="C1893" s="496">
        <v>813</v>
      </c>
      <c r="D1893" s="41" t="e">
        <f ca="1">IF($C$1076&gt;0,VLOOKUP($C1893,COSTI!$U$4:$Z$1003,3,FALSE),IF($C$1075&gt;0,VLOOKUP($C1893,PATRIMONIALE!$U$4:$Z$1003,3,FALSE),IF($C$1074&gt;0,VLOOKUP($C1893,ENTI!$U$4:$Z$1003,3,FALSE),"")))</f>
        <v>#N/A</v>
      </c>
      <c r="E1893" s="41" t="str">
        <f t="shared" ca="1" si="218"/>
        <v/>
      </c>
      <c r="F1893" s="41" t="e">
        <f t="shared" ca="1" si="219"/>
        <v>#NUM!</v>
      </c>
      <c r="G1893" s="39" t="e">
        <f ca="1">IF($C$1076&gt;0,VLOOKUP($C1893,COSTI!$U$4:$Z$1003,5,FALSE),IF($C$1075&gt;0,VLOOKUP($C1893,PATRIMONIALE!$U$4:$Z$1003,5,FALSE),IF($C$1074&gt;0,VLOOKUP($C1893,ENTI!$U$4:$Z$1003,5,FALSE),"")))</f>
        <v>#N/A</v>
      </c>
      <c r="H1893" s="42" t="e">
        <f ca="1">IF($C$1076&gt;0,VLOOKUP($C1893,COSTI!$U$4:$Z$1003,6,FALSE),IF($C$1075&gt;0,VLOOKUP($C1893,PATRIMONIALE!$U$4:$Z$1003,6,FALSE),IF($C$1074&gt;0,VLOOKUP($C1893,ENTI!$U$4:$Z$1003,6,FALSE),"")))</f>
        <v>#N/A</v>
      </c>
      <c r="I1893" s="496">
        <v>813</v>
      </c>
      <c r="J1893" s="43" t="e">
        <f ca="1">VLOOKUP(D1893,$F$1081:$I$4183,4,FALSE)+COUNTIF(E$1081:E1892,E1893)</f>
        <v>#N/A</v>
      </c>
      <c r="K1893" s="1"/>
      <c r="L1893" s="39" t="e">
        <f>IF($C$1074&gt;0,VLOOKUP($C1893,ENTI!$U$4:$AD$1003,10,FALSE),"")</f>
        <v>#N/A</v>
      </c>
      <c r="M1893" s="1"/>
      <c r="N1893" s="1"/>
      <c r="O1893" s="1"/>
    </row>
    <row r="1894" spans="1:15" hidden="1">
      <c r="A1894" s="1"/>
      <c r="B1894" s="40" t="e">
        <f t="shared" ca="1" si="217"/>
        <v>#N/A</v>
      </c>
      <c r="C1894" s="496">
        <v>814</v>
      </c>
      <c r="D1894" s="41" t="e">
        <f ca="1">IF($C$1076&gt;0,VLOOKUP($C1894,COSTI!$U$4:$Z$1003,3,FALSE),IF($C$1075&gt;0,VLOOKUP($C1894,PATRIMONIALE!$U$4:$Z$1003,3,FALSE),IF($C$1074&gt;0,VLOOKUP($C1894,ENTI!$U$4:$Z$1003,3,FALSE),"")))</f>
        <v>#N/A</v>
      </c>
      <c r="E1894" s="41" t="str">
        <f t="shared" ca="1" si="218"/>
        <v/>
      </c>
      <c r="F1894" s="41" t="e">
        <f t="shared" ca="1" si="219"/>
        <v>#NUM!</v>
      </c>
      <c r="G1894" s="39" t="e">
        <f ca="1">IF($C$1076&gt;0,VLOOKUP($C1894,COSTI!$U$4:$Z$1003,5,FALSE),IF($C$1075&gt;0,VLOOKUP($C1894,PATRIMONIALE!$U$4:$Z$1003,5,FALSE),IF($C$1074&gt;0,VLOOKUP($C1894,ENTI!$U$4:$Z$1003,5,FALSE),"")))</f>
        <v>#N/A</v>
      </c>
      <c r="H1894" s="42" t="e">
        <f ca="1">IF($C$1076&gt;0,VLOOKUP($C1894,COSTI!$U$4:$Z$1003,6,FALSE),IF($C$1075&gt;0,VLOOKUP($C1894,PATRIMONIALE!$U$4:$Z$1003,6,FALSE),IF($C$1074&gt;0,VLOOKUP($C1894,ENTI!$U$4:$Z$1003,6,FALSE),"")))</f>
        <v>#N/A</v>
      </c>
      <c r="I1894" s="496">
        <v>814</v>
      </c>
      <c r="J1894" s="43" t="e">
        <f ca="1">VLOOKUP(D1894,$F$1081:$I$4183,4,FALSE)+COUNTIF(E$1081:E1893,E1894)</f>
        <v>#N/A</v>
      </c>
      <c r="K1894" s="1"/>
      <c r="L1894" s="39" t="e">
        <f>IF($C$1074&gt;0,VLOOKUP($C1894,ENTI!$U$4:$AD$1003,10,FALSE),"")</f>
        <v>#N/A</v>
      </c>
      <c r="M1894" s="1"/>
      <c r="N1894" s="1"/>
      <c r="O1894" s="1"/>
    </row>
    <row r="1895" spans="1:15" hidden="1">
      <c r="A1895" s="1"/>
      <c r="B1895" s="40" t="e">
        <f t="shared" ca="1" si="217"/>
        <v>#N/A</v>
      </c>
      <c r="C1895" s="496">
        <v>815</v>
      </c>
      <c r="D1895" s="41" t="e">
        <f ca="1">IF($C$1076&gt;0,VLOOKUP($C1895,COSTI!$U$4:$Z$1003,3,FALSE),IF($C$1075&gt;0,VLOOKUP($C1895,PATRIMONIALE!$U$4:$Z$1003,3,FALSE),IF($C$1074&gt;0,VLOOKUP($C1895,ENTI!$U$4:$Z$1003,3,FALSE),"")))</f>
        <v>#N/A</v>
      </c>
      <c r="E1895" s="41" t="str">
        <f t="shared" ca="1" si="218"/>
        <v/>
      </c>
      <c r="F1895" s="41" t="e">
        <f t="shared" ca="1" si="219"/>
        <v>#NUM!</v>
      </c>
      <c r="G1895" s="39" t="e">
        <f ca="1">IF($C$1076&gt;0,VLOOKUP($C1895,COSTI!$U$4:$Z$1003,5,FALSE),IF($C$1075&gt;0,VLOOKUP($C1895,PATRIMONIALE!$U$4:$Z$1003,5,FALSE),IF($C$1074&gt;0,VLOOKUP($C1895,ENTI!$U$4:$Z$1003,5,FALSE),"")))</f>
        <v>#N/A</v>
      </c>
      <c r="H1895" s="42" t="e">
        <f ca="1">IF($C$1076&gt;0,VLOOKUP($C1895,COSTI!$U$4:$Z$1003,6,FALSE),IF($C$1075&gt;0,VLOOKUP($C1895,PATRIMONIALE!$U$4:$Z$1003,6,FALSE),IF($C$1074&gt;0,VLOOKUP($C1895,ENTI!$U$4:$Z$1003,6,FALSE),"")))</f>
        <v>#N/A</v>
      </c>
      <c r="I1895" s="496">
        <v>815</v>
      </c>
      <c r="J1895" s="43" t="e">
        <f ca="1">VLOOKUP(D1895,$F$1081:$I$4183,4,FALSE)+COUNTIF(E$1081:E1894,E1895)</f>
        <v>#N/A</v>
      </c>
      <c r="K1895" s="1"/>
      <c r="L1895" s="39" t="e">
        <f>IF($C$1074&gt;0,VLOOKUP($C1895,ENTI!$U$4:$AD$1003,10,FALSE),"")</f>
        <v>#N/A</v>
      </c>
      <c r="M1895" s="1"/>
      <c r="N1895" s="1"/>
      <c r="O1895" s="1"/>
    </row>
    <row r="1896" spans="1:15" hidden="1">
      <c r="A1896" s="1"/>
      <c r="B1896" s="40" t="e">
        <f t="shared" ca="1" si="217"/>
        <v>#N/A</v>
      </c>
      <c r="C1896" s="496">
        <v>816</v>
      </c>
      <c r="D1896" s="41" t="e">
        <f ca="1">IF($C$1076&gt;0,VLOOKUP($C1896,COSTI!$U$4:$Z$1003,3,FALSE),IF($C$1075&gt;0,VLOOKUP($C1896,PATRIMONIALE!$U$4:$Z$1003,3,FALSE),IF($C$1074&gt;0,VLOOKUP($C1896,ENTI!$U$4:$Z$1003,3,FALSE),"")))</f>
        <v>#N/A</v>
      </c>
      <c r="E1896" s="41" t="str">
        <f t="shared" ca="1" si="218"/>
        <v/>
      </c>
      <c r="F1896" s="41" t="e">
        <f t="shared" ca="1" si="219"/>
        <v>#NUM!</v>
      </c>
      <c r="G1896" s="39" t="e">
        <f ca="1">IF($C$1076&gt;0,VLOOKUP($C1896,COSTI!$U$4:$Z$1003,5,FALSE),IF($C$1075&gt;0,VLOOKUP($C1896,PATRIMONIALE!$U$4:$Z$1003,5,FALSE),IF($C$1074&gt;0,VLOOKUP($C1896,ENTI!$U$4:$Z$1003,5,FALSE),"")))</f>
        <v>#N/A</v>
      </c>
      <c r="H1896" s="42" t="e">
        <f ca="1">IF($C$1076&gt;0,VLOOKUP($C1896,COSTI!$U$4:$Z$1003,6,FALSE),IF($C$1075&gt;0,VLOOKUP($C1896,PATRIMONIALE!$U$4:$Z$1003,6,FALSE),IF($C$1074&gt;0,VLOOKUP($C1896,ENTI!$U$4:$Z$1003,6,FALSE),"")))</f>
        <v>#N/A</v>
      </c>
      <c r="I1896" s="496">
        <v>816</v>
      </c>
      <c r="J1896" s="43" t="e">
        <f ca="1">VLOOKUP(D1896,$F$1081:$I$4183,4,FALSE)+COUNTIF(E$1081:E1895,E1896)</f>
        <v>#N/A</v>
      </c>
      <c r="K1896" s="1"/>
      <c r="L1896" s="39" t="e">
        <f>IF($C$1074&gt;0,VLOOKUP($C1896,ENTI!$U$4:$AD$1003,10,FALSE),"")</f>
        <v>#N/A</v>
      </c>
      <c r="M1896" s="1"/>
      <c r="N1896" s="1"/>
      <c r="O1896" s="1"/>
    </row>
    <row r="1897" spans="1:15" hidden="1">
      <c r="A1897" s="1"/>
      <c r="B1897" s="40" t="e">
        <f t="shared" ca="1" si="217"/>
        <v>#N/A</v>
      </c>
      <c r="C1897" s="496">
        <v>817</v>
      </c>
      <c r="D1897" s="41" t="e">
        <f ca="1">IF($C$1076&gt;0,VLOOKUP($C1897,COSTI!$U$4:$Z$1003,3,FALSE),IF($C$1075&gt;0,VLOOKUP($C1897,PATRIMONIALE!$U$4:$Z$1003,3,FALSE),IF($C$1074&gt;0,VLOOKUP($C1897,ENTI!$U$4:$Z$1003,3,FALSE),"")))</f>
        <v>#N/A</v>
      </c>
      <c r="E1897" s="41" t="str">
        <f t="shared" ca="1" si="218"/>
        <v/>
      </c>
      <c r="F1897" s="41" t="e">
        <f t="shared" ca="1" si="219"/>
        <v>#NUM!</v>
      </c>
      <c r="G1897" s="39" t="e">
        <f ca="1">IF($C$1076&gt;0,VLOOKUP($C1897,COSTI!$U$4:$Z$1003,5,FALSE),IF($C$1075&gt;0,VLOOKUP($C1897,PATRIMONIALE!$U$4:$Z$1003,5,FALSE),IF($C$1074&gt;0,VLOOKUP($C1897,ENTI!$U$4:$Z$1003,5,FALSE),"")))</f>
        <v>#N/A</v>
      </c>
      <c r="H1897" s="42" t="e">
        <f ca="1">IF($C$1076&gt;0,VLOOKUP($C1897,COSTI!$U$4:$Z$1003,6,FALSE),IF($C$1075&gt;0,VLOOKUP($C1897,PATRIMONIALE!$U$4:$Z$1003,6,FALSE),IF($C$1074&gt;0,VLOOKUP($C1897,ENTI!$U$4:$Z$1003,6,FALSE),"")))</f>
        <v>#N/A</v>
      </c>
      <c r="I1897" s="496">
        <v>817</v>
      </c>
      <c r="J1897" s="43" t="e">
        <f ca="1">VLOOKUP(D1897,$F$1081:$I$4183,4,FALSE)+COUNTIF(E$1081:E1896,E1897)</f>
        <v>#N/A</v>
      </c>
      <c r="K1897" s="1"/>
      <c r="L1897" s="39" t="e">
        <f>IF($C$1074&gt;0,VLOOKUP($C1897,ENTI!$U$4:$AD$1003,10,FALSE),"")</f>
        <v>#N/A</v>
      </c>
      <c r="M1897" s="1"/>
      <c r="N1897" s="1"/>
      <c r="O1897" s="1"/>
    </row>
    <row r="1898" spans="1:15" hidden="1">
      <c r="A1898" s="1"/>
      <c r="B1898" s="40" t="e">
        <f t="shared" ca="1" si="217"/>
        <v>#N/A</v>
      </c>
      <c r="C1898" s="496">
        <v>818</v>
      </c>
      <c r="D1898" s="41" t="e">
        <f ca="1">IF($C$1076&gt;0,VLOOKUP($C1898,COSTI!$U$4:$Z$1003,3,FALSE),IF($C$1075&gt;0,VLOOKUP($C1898,PATRIMONIALE!$U$4:$Z$1003,3,FALSE),IF($C$1074&gt;0,VLOOKUP($C1898,ENTI!$U$4:$Z$1003,3,FALSE),"")))</f>
        <v>#N/A</v>
      </c>
      <c r="E1898" s="41" t="str">
        <f t="shared" ca="1" si="218"/>
        <v/>
      </c>
      <c r="F1898" s="41" t="e">
        <f t="shared" ca="1" si="219"/>
        <v>#NUM!</v>
      </c>
      <c r="G1898" s="39" t="e">
        <f ca="1">IF($C$1076&gt;0,VLOOKUP($C1898,COSTI!$U$4:$Z$1003,5,FALSE),IF($C$1075&gt;0,VLOOKUP($C1898,PATRIMONIALE!$U$4:$Z$1003,5,FALSE),IF($C$1074&gt;0,VLOOKUP($C1898,ENTI!$U$4:$Z$1003,5,FALSE),"")))</f>
        <v>#N/A</v>
      </c>
      <c r="H1898" s="42" t="e">
        <f ca="1">IF($C$1076&gt;0,VLOOKUP($C1898,COSTI!$U$4:$Z$1003,6,FALSE),IF($C$1075&gt;0,VLOOKUP($C1898,PATRIMONIALE!$U$4:$Z$1003,6,FALSE),IF($C$1074&gt;0,VLOOKUP($C1898,ENTI!$U$4:$Z$1003,6,FALSE),"")))</f>
        <v>#N/A</v>
      </c>
      <c r="I1898" s="496">
        <v>818</v>
      </c>
      <c r="J1898" s="43" t="e">
        <f ca="1">VLOOKUP(D1898,$F$1081:$I$4183,4,FALSE)+COUNTIF(E$1081:E1897,E1898)</f>
        <v>#N/A</v>
      </c>
      <c r="K1898" s="1"/>
      <c r="L1898" s="39" t="e">
        <f>IF($C$1074&gt;0,VLOOKUP($C1898,ENTI!$U$4:$AD$1003,10,FALSE),"")</f>
        <v>#N/A</v>
      </c>
      <c r="M1898" s="1"/>
      <c r="N1898" s="1"/>
      <c r="O1898" s="1"/>
    </row>
    <row r="1899" spans="1:15" hidden="1">
      <c r="A1899" s="1"/>
      <c r="B1899" s="40" t="e">
        <f t="shared" ca="1" si="217"/>
        <v>#N/A</v>
      </c>
      <c r="C1899" s="496">
        <v>819</v>
      </c>
      <c r="D1899" s="41" t="e">
        <f ca="1">IF($C$1076&gt;0,VLOOKUP($C1899,COSTI!$U$4:$Z$1003,3,FALSE),IF($C$1075&gt;0,VLOOKUP($C1899,PATRIMONIALE!$U$4:$Z$1003,3,FALSE),IF($C$1074&gt;0,VLOOKUP($C1899,ENTI!$U$4:$Z$1003,3,FALSE),"")))</f>
        <v>#N/A</v>
      </c>
      <c r="E1899" s="41" t="str">
        <f t="shared" ca="1" si="218"/>
        <v/>
      </c>
      <c r="F1899" s="41" t="e">
        <f t="shared" ca="1" si="219"/>
        <v>#NUM!</v>
      </c>
      <c r="G1899" s="39" t="e">
        <f ca="1">IF($C$1076&gt;0,VLOOKUP($C1899,COSTI!$U$4:$Z$1003,5,FALSE),IF($C$1075&gt;0,VLOOKUP($C1899,PATRIMONIALE!$U$4:$Z$1003,5,FALSE),IF($C$1074&gt;0,VLOOKUP($C1899,ENTI!$U$4:$Z$1003,5,FALSE),"")))</f>
        <v>#N/A</v>
      </c>
      <c r="H1899" s="42" t="e">
        <f ca="1">IF($C$1076&gt;0,VLOOKUP($C1899,COSTI!$U$4:$Z$1003,6,FALSE),IF($C$1075&gt;0,VLOOKUP($C1899,PATRIMONIALE!$U$4:$Z$1003,6,FALSE),IF($C$1074&gt;0,VLOOKUP($C1899,ENTI!$U$4:$Z$1003,6,FALSE),"")))</f>
        <v>#N/A</v>
      </c>
      <c r="I1899" s="496">
        <v>819</v>
      </c>
      <c r="J1899" s="43" t="e">
        <f ca="1">VLOOKUP(D1899,$F$1081:$I$4183,4,FALSE)+COUNTIF(E$1081:E1898,E1899)</f>
        <v>#N/A</v>
      </c>
      <c r="K1899" s="1"/>
      <c r="L1899" s="39" t="e">
        <f>IF($C$1074&gt;0,VLOOKUP($C1899,ENTI!$U$4:$AD$1003,10,FALSE),"")</f>
        <v>#N/A</v>
      </c>
      <c r="M1899" s="1"/>
      <c r="N1899" s="1"/>
      <c r="O1899" s="1"/>
    </row>
    <row r="1900" spans="1:15" hidden="1">
      <c r="A1900" s="1"/>
      <c r="B1900" s="40" t="e">
        <f t="shared" ca="1" si="217"/>
        <v>#N/A</v>
      </c>
      <c r="C1900" s="496">
        <v>820</v>
      </c>
      <c r="D1900" s="41" t="e">
        <f ca="1">IF($C$1076&gt;0,VLOOKUP($C1900,COSTI!$U$4:$Z$1003,3,FALSE),IF($C$1075&gt;0,VLOOKUP($C1900,PATRIMONIALE!$U$4:$Z$1003,3,FALSE),IF($C$1074&gt;0,VLOOKUP($C1900,ENTI!$U$4:$Z$1003,3,FALSE),"")))</f>
        <v>#N/A</v>
      </c>
      <c r="E1900" s="41" t="str">
        <f t="shared" ca="1" si="218"/>
        <v/>
      </c>
      <c r="F1900" s="41" t="e">
        <f t="shared" ca="1" si="219"/>
        <v>#NUM!</v>
      </c>
      <c r="G1900" s="39" t="e">
        <f ca="1">IF($C$1076&gt;0,VLOOKUP($C1900,COSTI!$U$4:$Z$1003,5,FALSE),IF($C$1075&gt;0,VLOOKUP($C1900,PATRIMONIALE!$U$4:$Z$1003,5,FALSE),IF($C$1074&gt;0,VLOOKUP($C1900,ENTI!$U$4:$Z$1003,5,FALSE),"")))</f>
        <v>#N/A</v>
      </c>
      <c r="H1900" s="42" t="e">
        <f ca="1">IF($C$1076&gt;0,VLOOKUP($C1900,COSTI!$U$4:$Z$1003,6,FALSE),IF($C$1075&gt;0,VLOOKUP($C1900,PATRIMONIALE!$U$4:$Z$1003,6,FALSE),IF($C$1074&gt;0,VLOOKUP($C1900,ENTI!$U$4:$Z$1003,6,FALSE),"")))</f>
        <v>#N/A</v>
      </c>
      <c r="I1900" s="496">
        <v>820</v>
      </c>
      <c r="J1900" s="43" t="e">
        <f ca="1">VLOOKUP(D1900,$F$1081:$I$4183,4,FALSE)+COUNTIF(E$1081:E1899,E1900)</f>
        <v>#N/A</v>
      </c>
      <c r="K1900" s="1"/>
      <c r="L1900" s="39" t="e">
        <f>IF($C$1074&gt;0,VLOOKUP($C1900,ENTI!$U$4:$AD$1003,10,FALSE),"")</f>
        <v>#N/A</v>
      </c>
      <c r="M1900" s="1"/>
      <c r="N1900" s="1"/>
      <c r="O1900" s="1"/>
    </row>
    <row r="1901" spans="1:15" hidden="1">
      <c r="A1901" s="1"/>
      <c r="B1901" s="40" t="e">
        <f t="shared" ca="1" si="217"/>
        <v>#N/A</v>
      </c>
      <c r="C1901" s="496">
        <v>821</v>
      </c>
      <c r="D1901" s="41" t="e">
        <f ca="1">IF($C$1076&gt;0,VLOOKUP($C1901,COSTI!$U$4:$Z$1003,3,FALSE),IF($C$1075&gt;0,VLOOKUP($C1901,PATRIMONIALE!$U$4:$Z$1003,3,FALSE),IF($C$1074&gt;0,VLOOKUP($C1901,ENTI!$U$4:$Z$1003,3,FALSE),"")))</f>
        <v>#N/A</v>
      </c>
      <c r="E1901" s="41" t="str">
        <f t="shared" ca="1" si="218"/>
        <v/>
      </c>
      <c r="F1901" s="41" t="e">
        <f t="shared" ca="1" si="219"/>
        <v>#NUM!</v>
      </c>
      <c r="G1901" s="39" t="e">
        <f ca="1">IF($C$1076&gt;0,VLOOKUP($C1901,COSTI!$U$4:$Z$1003,5,FALSE),IF($C$1075&gt;0,VLOOKUP($C1901,PATRIMONIALE!$U$4:$Z$1003,5,FALSE),IF($C$1074&gt;0,VLOOKUP($C1901,ENTI!$U$4:$Z$1003,5,FALSE),"")))</f>
        <v>#N/A</v>
      </c>
      <c r="H1901" s="42" t="e">
        <f ca="1">IF($C$1076&gt;0,VLOOKUP($C1901,COSTI!$U$4:$Z$1003,6,FALSE),IF($C$1075&gt;0,VLOOKUP($C1901,PATRIMONIALE!$U$4:$Z$1003,6,FALSE),IF($C$1074&gt;0,VLOOKUP($C1901,ENTI!$U$4:$Z$1003,6,FALSE),"")))</f>
        <v>#N/A</v>
      </c>
      <c r="I1901" s="496">
        <v>821</v>
      </c>
      <c r="J1901" s="43" t="e">
        <f ca="1">VLOOKUP(D1901,$F$1081:$I$4183,4,FALSE)+COUNTIF(E$1081:E1900,E1901)</f>
        <v>#N/A</v>
      </c>
      <c r="K1901" s="1"/>
      <c r="L1901" s="39" t="e">
        <f>IF($C$1074&gt;0,VLOOKUP($C1901,ENTI!$U$4:$AD$1003,10,FALSE),"")</f>
        <v>#N/A</v>
      </c>
      <c r="M1901" s="1"/>
      <c r="N1901" s="1"/>
      <c r="O1901" s="1"/>
    </row>
    <row r="1902" spans="1:15" hidden="1">
      <c r="A1902" s="1"/>
      <c r="B1902" s="40" t="e">
        <f t="shared" ca="1" si="217"/>
        <v>#N/A</v>
      </c>
      <c r="C1902" s="496">
        <v>822</v>
      </c>
      <c r="D1902" s="41" t="e">
        <f ca="1">IF($C$1076&gt;0,VLOOKUP($C1902,COSTI!$U$4:$Z$1003,3,FALSE),IF($C$1075&gt;0,VLOOKUP($C1902,PATRIMONIALE!$U$4:$Z$1003,3,FALSE),IF($C$1074&gt;0,VLOOKUP($C1902,ENTI!$U$4:$Z$1003,3,FALSE),"")))</f>
        <v>#N/A</v>
      </c>
      <c r="E1902" s="41" t="str">
        <f t="shared" ca="1" si="218"/>
        <v/>
      </c>
      <c r="F1902" s="41" t="e">
        <f t="shared" ca="1" si="219"/>
        <v>#NUM!</v>
      </c>
      <c r="G1902" s="39" t="e">
        <f ca="1">IF($C$1076&gt;0,VLOOKUP($C1902,COSTI!$U$4:$Z$1003,5,FALSE),IF($C$1075&gt;0,VLOOKUP($C1902,PATRIMONIALE!$U$4:$Z$1003,5,FALSE),IF($C$1074&gt;0,VLOOKUP($C1902,ENTI!$U$4:$Z$1003,5,FALSE),"")))</f>
        <v>#N/A</v>
      </c>
      <c r="H1902" s="42" t="e">
        <f ca="1">IF($C$1076&gt;0,VLOOKUP($C1902,COSTI!$U$4:$Z$1003,6,FALSE),IF($C$1075&gt;0,VLOOKUP($C1902,PATRIMONIALE!$U$4:$Z$1003,6,FALSE),IF($C$1074&gt;0,VLOOKUP($C1902,ENTI!$U$4:$Z$1003,6,FALSE),"")))</f>
        <v>#N/A</v>
      </c>
      <c r="I1902" s="496">
        <v>822</v>
      </c>
      <c r="J1902" s="43" t="e">
        <f ca="1">VLOOKUP(D1902,$F$1081:$I$4183,4,FALSE)+COUNTIF(E$1081:E1901,E1902)</f>
        <v>#N/A</v>
      </c>
      <c r="K1902" s="1"/>
      <c r="L1902" s="39" t="e">
        <f>IF($C$1074&gt;0,VLOOKUP($C1902,ENTI!$U$4:$AD$1003,10,FALSE),"")</f>
        <v>#N/A</v>
      </c>
      <c r="M1902" s="1"/>
      <c r="N1902" s="1"/>
      <c r="O1902" s="1"/>
    </row>
    <row r="1903" spans="1:15" hidden="1">
      <c r="A1903" s="1"/>
      <c r="B1903" s="40" t="e">
        <f t="shared" ca="1" si="217"/>
        <v>#N/A</v>
      </c>
      <c r="C1903" s="496">
        <v>823</v>
      </c>
      <c r="D1903" s="41" t="e">
        <f ca="1">IF($C$1076&gt;0,VLOOKUP($C1903,COSTI!$U$4:$Z$1003,3,FALSE),IF($C$1075&gt;0,VLOOKUP($C1903,PATRIMONIALE!$U$4:$Z$1003,3,FALSE),IF($C$1074&gt;0,VLOOKUP($C1903,ENTI!$U$4:$Z$1003,3,FALSE),"")))</f>
        <v>#N/A</v>
      </c>
      <c r="E1903" s="41" t="str">
        <f t="shared" ca="1" si="218"/>
        <v/>
      </c>
      <c r="F1903" s="41" t="e">
        <f t="shared" ca="1" si="219"/>
        <v>#NUM!</v>
      </c>
      <c r="G1903" s="39" t="e">
        <f ca="1">IF($C$1076&gt;0,VLOOKUP($C1903,COSTI!$U$4:$Z$1003,5,FALSE),IF($C$1075&gt;0,VLOOKUP($C1903,PATRIMONIALE!$U$4:$Z$1003,5,FALSE),IF($C$1074&gt;0,VLOOKUP($C1903,ENTI!$U$4:$Z$1003,5,FALSE),"")))</f>
        <v>#N/A</v>
      </c>
      <c r="H1903" s="42" t="e">
        <f ca="1">IF($C$1076&gt;0,VLOOKUP($C1903,COSTI!$U$4:$Z$1003,6,FALSE),IF($C$1075&gt;0,VLOOKUP($C1903,PATRIMONIALE!$U$4:$Z$1003,6,FALSE),IF($C$1074&gt;0,VLOOKUP($C1903,ENTI!$U$4:$Z$1003,6,FALSE),"")))</f>
        <v>#N/A</v>
      </c>
      <c r="I1903" s="496">
        <v>823</v>
      </c>
      <c r="J1903" s="43" t="e">
        <f ca="1">VLOOKUP(D1903,$F$1081:$I$4183,4,FALSE)+COUNTIF(E$1081:E1902,E1903)</f>
        <v>#N/A</v>
      </c>
      <c r="K1903" s="1"/>
      <c r="L1903" s="39" t="e">
        <f>IF($C$1074&gt;0,VLOOKUP($C1903,ENTI!$U$4:$AD$1003,10,FALSE),"")</f>
        <v>#N/A</v>
      </c>
      <c r="M1903" s="1"/>
      <c r="N1903" s="1"/>
      <c r="O1903" s="1"/>
    </row>
    <row r="1904" spans="1:15" hidden="1">
      <c r="A1904" s="1"/>
      <c r="B1904" s="40" t="e">
        <f t="shared" ca="1" si="217"/>
        <v>#N/A</v>
      </c>
      <c r="C1904" s="496">
        <v>824</v>
      </c>
      <c r="D1904" s="41" t="e">
        <f ca="1">IF($C$1076&gt;0,VLOOKUP($C1904,COSTI!$U$4:$Z$1003,3,FALSE),IF($C$1075&gt;0,VLOOKUP($C1904,PATRIMONIALE!$U$4:$Z$1003,3,FALSE),IF($C$1074&gt;0,VLOOKUP($C1904,ENTI!$U$4:$Z$1003,3,FALSE),"")))</f>
        <v>#N/A</v>
      </c>
      <c r="E1904" s="41" t="str">
        <f t="shared" ca="1" si="218"/>
        <v/>
      </c>
      <c r="F1904" s="41" t="e">
        <f t="shared" ca="1" si="219"/>
        <v>#NUM!</v>
      </c>
      <c r="G1904" s="39" t="e">
        <f ca="1">IF($C$1076&gt;0,VLOOKUP($C1904,COSTI!$U$4:$Z$1003,5,FALSE),IF($C$1075&gt;0,VLOOKUP($C1904,PATRIMONIALE!$U$4:$Z$1003,5,FALSE),IF($C$1074&gt;0,VLOOKUP($C1904,ENTI!$U$4:$Z$1003,5,FALSE),"")))</f>
        <v>#N/A</v>
      </c>
      <c r="H1904" s="42" t="e">
        <f ca="1">IF($C$1076&gt;0,VLOOKUP($C1904,COSTI!$U$4:$Z$1003,6,FALSE),IF($C$1075&gt;0,VLOOKUP($C1904,PATRIMONIALE!$U$4:$Z$1003,6,FALSE),IF($C$1074&gt;0,VLOOKUP($C1904,ENTI!$U$4:$Z$1003,6,FALSE),"")))</f>
        <v>#N/A</v>
      </c>
      <c r="I1904" s="496">
        <v>824</v>
      </c>
      <c r="J1904" s="43" t="e">
        <f ca="1">VLOOKUP(D1904,$F$1081:$I$4183,4,FALSE)+COUNTIF(E$1081:E1903,E1904)</f>
        <v>#N/A</v>
      </c>
      <c r="K1904" s="1"/>
      <c r="L1904" s="39" t="e">
        <f>IF($C$1074&gt;0,VLOOKUP($C1904,ENTI!$U$4:$AD$1003,10,FALSE),"")</f>
        <v>#N/A</v>
      </c>
      <c r="M1904" s="1"/>
      <c r="N1904" s="1"/>
      <c r="O1904" s="1"/>
    </row>
    <row r="1905" spans="1:15" hidden="1">
      <c r="A1905" s="1"/>
      <c r="B1905" s="40" t="e">
        <f t="shared" ref="B1905:B1968" ca="1" si="220">IF(OR(C$1075&gt;0,C$1077&gt;0,C$1073&gt;0,C$1071&gt;0),J1905+1,J1905)</f>
        <v>#N/A</v>
      </c>
      <c r="C1905" s="496">
        <v>825</v>
      </c>
      <c r="D1905" s="41" t="e">
        <f ca="1">IF($C$1076&gt;0,VLOOKUP($C1905,COSTI!$U$4:$Z$1003,3,FALSE),IF($C$1075&gt;0,VLOOKUP($C1905,PATRIMONIALE!$U$4:$Z$1003,3,FALSE),IF($C$1074&gt;0,VLOOKUP($C1905,ENTI!$U$4:$Z$1003,3,FALSE),"")))</f>
        <v>#N/A</v>
      </c>
      <c r="E1905" s="41" t="str">
        <f t="shared" ca="1" si="218"/>
        <v/>
      </c>
      <c r="F1905" s="41" t="e">
        <f t="shared" ca="1" si="219"/>
        <v>#NUM!</v>
      </c>
      <c r="G1905" s="39" t="e">
        <f ca="1">IF($C$1076&gt;0,VLOOKUP($C1905,COSTI!$U$4:$Z$1003,5,FALSE),IF($C$1075&gt;0,VLOOKUP($C1905,PATRIMONIALE!$U$4:$Z$1003,5,FALSE),IF($C$1074&gt;0,VLOOKUP($C1905,ENTI!$U$4:$Z$1003,5,FALSE),"")))</f>
        <v>#N/A</v>
      </c>
      <c r="H1905" s="42" t="e">
        <f ca="1">IF($C$1076&gt;0,VLOOKUP($C1905,COSTI!$U$4:$Z$1003,6,FALSE),IF($C$1075&gt;0,VLOOKUP($C1905,PATRIMONIALE!$U$4:$Z$1003,6,FALSE),IF($C$1074&gt;0,VLOOKUP($C1905,ENTI!$U$4:$Z$1003,6,FALSE),"")))</f>
        <v>#N/A</v>
      </c>
      <c r="I1905" s="496">
        <v>825</v>
      </c>
      <c r="J1905" s="43" t="e">
        <f ca="1">VLOOKUP(D1905,$F$1081:$I$4183,4,FALSE)+COUNTIF(E$1081:E1904,E1905)</f>
        <v>#N/A</v>
      </c>
      <c r="K1905" s="1"/>
      <c r="L1905" s="39" t="e">
        <f>IF($C$1074&gt;0,VLOOKUP($C1905,ENTI!$U$4:$AD$1003,10,FALSE),"")</f>
        <v>#N/A</v>
      </c>
      <c r="M1905" s="1"/>
      <c r="N1905" s="1"/>
      <c r="O1905" s="1"/>
    </row>
    <row r="1906" spans="1:15" hidden="1">
      <c r="A1906" s="1"/>
      <c r="B1906" s="40" t="e">
        <f t="shared" ca="1" si="220"/>
        <v>#N/A</v>
      </c>
      <c r="C1906" s="496">
        <v>826</v>
      </c>
      <c r="D1906" s="41" t="e">
        <f ca="1">IF($C$1076&gt;0,VLOOKUP($C1906,COSTI!$U$4:$Z$1003,3,FALSE),IF($C$1075&gt;0,VLOOKUP($C1906,PATRIMONIALE!$U$4:$Z$1003,3,FALSE),IF($C$1074&gt;0,VLOOKUP($C1906,ENTI!$U$4:$Z$1003,3,FALSE),"")))</f>
        <v>#N/A</v>
      </c>
      <c r="E1906" s="41" t="str">
        <f t="shared" ca="1" si="218"/>
        <v/>
      </c>
      <c r="F1906" s="41" t="e">
        <f t="shared" ca="1" si="219"/>
        <v>#NUM!</v>
      </c>
      <c r="G1906" s="39" t="e">
        <f ca="1">IF($C$1076&gt;0,VLOOKUP($C1906,COSTI!$U$4:$Z$1003,5,FALSE),IF($C$1075&gt;0,VLOOKUP($C1906,PATRIMONIALE!$U$4:$Z$1003,5,FALSE),IF($C$1074&gt;0,VLOOKUP($C1906,ENTI!$U$4:$Z$1003,5,FALSE),"")))</f>
        <v>#N/A</v>
      </c>
      <c r="H1906" s="42" t="e">
        <f ca="1">IF($C$1076&gt;0,VLOOKUP($C1906,COSTI!$U$4:$Z$1003,6,FALSE),IF($C$1075&gt;0,VLOOKUP($C1906,PATRIMONIALE!$U$4:$Z$1003,6,FALSE),IF($C$1074&gt;0,VLOOKUP($C1906,ENTI!$U$4:$Z$1003,6,FALSE),"")))</f>
        <v>#N/A</v>
      </c>
      <c r="I1906" s="496">
        <v>826</v>
      </c>
      <c r="J1906" s="43" t="e">
        <f ca="1">VLOOKUP(D1906,$F$1081:$I$4183,4,FALSE)+COUNTIF(E$1081:E1905,E1906)</f>
        <v>#N/A</v>
      </c>
      <c r="K1906" s="1"/>
      <c r="L1906" s="39" t="e">
        <f>IF($C$1074&gt;0,VLOOKUP($C1906,ENTI!$U$4:$AD$1003,10,FALSE),"")</f>
        <v>#N/A</v>
      </c>
      <c r="M1906" s="1"/>
      <c r="N1906" s="1"/>
      <c r="O1906" s="1"/>
    </row>
    <row r="1907" spans="1:15" hidden="1">
      <c r="A1907" s="1"/>
      <c r="B1907" s="40" t="e">
        <f t="shared" ca="1" si="220"/>
        <v>#N/A</v>
      </c>
      <c r="C1907" s="496">
        <v>827</v>
      </c>
      <c r="D1907" s="41" t="e">
        <f ca="1">IF($C$1076&gt;0,VLOOKUP($C1907,COSTI!$U$4:$Z$1003,3,FALSE),IF($C$1075&gt;0,VLOOKUP($C1907,PATRIMONIALE!$U$4:$Z$1003,3,FALSE),IF($C$1074&gt;0,VLOOKUP($C1907,ENTI!$U$4:$Z$1003,3,FALSE),"")))</f>
        <v>#N/A</v>
      </c>
      <c r="E1907" s="41" t="str">
        <f t="shared" ref="E1907:E1970" ca="1" si="221">IF(ISERROR(D1907),"",D1907)</f>
        <v/>
      </c>
      <c r="F1907" s="41" t="e">
        <f t="shared" ca="1" si="219"/>
        <v>#NUM!</v>
      </c>
      <c r="G1907" s="39" t="e">
        <f ca="1">IF($C$1076&gt;0,VLOOKUP($C1907,COSTI!$U$4:$Z$1003,5,FALSE),IF($C$1075&gt;0,VLOOKUP($C1907,PATRIMONIALE!$U$4:$Z$1003,5,FALSE),IF($C$1074&gt;0,VLOOKUP($C1907,ENTI!$U$4:$Z$1003,5,FALSE),"")))</f>
        <v>#N/A</v>
      </c>
      <c r="H1907" s="42" t="e">
        <f ca="1">IF($C$1076&gt;0,VLOOKUP($C1907,COSTI!$U$4:$Z$1003,6,FALSE),IF($C$1075&gt;0,VLOOKUP($C1907,PATRIMONIALE!$U$4:$Z$1003,6,FALSE),IF($C$1074&gt;0,VLOOKUP($C1907,ENTI!$U$4:$Z$1003,6,FALSE),"")))</f>
        <v>#N/A</v>
      </c>
      <c r="I1907" s="496">
        <v>827</v>
      </c>
      <c r="J1907" s="43" t="e">
        <f ca="1">VLOOKUP(D1907,$F$1081:$I$4183,4,FALSE)+COUNTIF(E$1081:E1906,E1907)</f>
        <v>#N/A</v>
      </c>
      <c r="K1907" s="1"/>
      <c r="L1907" s="39" t="e">
        <f>IF($C$1074&gt;0,VLOOKUP($C1907,ENTI!$U$4:$AD$1003,10,FALSE),"")</f>
        <v>#N/A</v>
      </c>
      <c r="M1907" s="1"/>
      <c r="N1907" s="1"/>
      <c r="O1907" s="1"/>
    </row>
    <row r="1908" spans="1:15" hidden="1">
      <c r="A1908" s="1"/>
      <c r="B1908" s="40" t="e">
        <f t="shared" ca="1" si="220"/>
        <v>#N/A</v>
      </c>
      <c r="C1908" s="496">
        <v>828</v>
      </c>
      <c r="D1908" s="41" t="e">
        <f ca="1">IF($C$1076&gt;0,VLOOKUP($C1908,COSTI!$U$4:$Z$1003,3,FALSE),IF($C$1075&gt;0,VLOOKUP($C1908,PATRIMONIALE!$U$4:$Z$1003,3,FALSE),IF($C$1074&gt;0,VLOOKUP($C1908,ENTI!$U$4:$Z$1003,3,FALSE),"")))</f>
        <v>#N/A</v>
      </c>
      <c r="E1908" s="41" t="str">
        <f t="shared" ca="1" si="221"/>
        <v/>
      </c>
      <c r="F1908" s="41" t="e">
        <f t="shared" ca="1" si="219"/>
        <v>#NUM!</v>
      </c>
      <c r="G1908" s="39" t="e">
        <f ca="1">IF($C$1076&gt;0,VLOOKUP($C1908,COSTI!$U$4:$Z$1003,5,FALSE),IF($C$1075&gt;0,VLOOKUP($C1908,PATRIMONIALE!$U$4:$Z$1003,5,FALSE),IF($C$1074&gt;0,VLOOKUP($C1908,ENTI!$U$4:$Z$1003,5,FALSE),"")))</f>
        <v>#N/A</v>
      </c>
      <c r="H1908" s="42" t="e">
        <f ca="1">IF($C$1076&gt;0,VLOOKUP($C1908,COSTI!$U$4:$Z$1003,6,FALSE),IF($C$1075&gt;0,VLOOKUP($C1908,PATRIMONIALE!$U$4:$Z$1003,6,FALSE),IF($C$1074&gt;0,VLOOKUP($C1908,ENTI!$U$4:$Z$1003,6,FALSE),"")))</f>
        <v>#N/A</v>
      </c>
      <c r="I1908" s="496">
        <v>828</v>
      </c>
      <c r="J1908" s="43" t="e">
        <f ca="1">VLOOKUP(D1908,$F$1081:$I$4183,4,FALSE)+COUNTIF(E$1081:E1907,E1908)</f>
        <v>#N/A</v>
      </c>
      <c r="K1908" s="1"/>
      <c r="L1908" s="39" t="e">
        <f>IF($C$1074&gt;0,VLOOKUP($C1908,ENTI!$U$4:$AD$1003,10,FALSE),"")</f>
        <v>#N/A</v>
      </c>
      <c r="M1908" s="1"/>
      <c r="N1908" s="1"/>
      <c r="O1908" s="1"/>
    </row>
    <row r="1909" spans="1:15" hidden="1">
      <c r="A1909" s="1"/>
      <c r="B1909" s="40" t="e">
        <f t="shared" ca="1" si="220"/>
        <v>#N/A</v>
      </c>
      <c r="C1909" s="496">
        <v>829</v>
      </c>
      <c r="D1909" s="41" t="e">
        <f ca="1">IF($C$1076&gt;0,VLOOKUP($C1909,COSTI!$U$4:$Z$1003,3,FALSE),IF($C$1075&gt;0,VLOOKUP($C1909,PATRIMONIALE!$U$4:$Z$1003,3,FALSE),IF($C$1074&gt;0,VLOOKUP($C1909,ENTI!$U$4:$Z$1003,3,FALSE),"")))</f>
        <v>#N/A</v>
      </c>
      <c r="E1909" s="41" t="str">
        <f t="shared" ca="1" si="221"/>
        <v/>
      </c>
      <c r="F1909" s="41" t="e">
        <f t="shared" ca="1" si="219"/>
        <v>#NUM!</v>
      </c>
      <c r="G1909" s="39" t="e">
        <f ca="1">IF($C$1076&gt;0,VLOOKUP($C1909,COSTI!$U$4:$Z$1003,5,FALSE),IF($C$1075&gt;0,VLOOKUP($C1909,PATRIMONIALE!$U$4:$Z$1003,5,FALSE),IF($C$1074&gt;0,VLOOKUP($C1909,ENTI!$U$4:$Z$1003,5,FALSE),"")))</f>
        <v>#N/A</v>
      </c>
      <c r="H1909" s="42" t="e">
        <f ca="1">IF($C$1076&gt;0,VLOOKUP($C1909,COSTI!$U$4:$Z$1003,6,FALSE),IF($C$1075&gt;0,VLOOKUP($C1909,PATRIMONIALE!$U$4:$Z$1003,6,FALSE),IF($C$1074&gt;0,VLOOKUP($C1909,ENTI!$U$4:$Z$1003,6,FALSE),"")))</f>
        <v>#N/A</v>
      </c>
      <c r="I1909" s="496">
        <v>829</v>
      </c>
      <c r="J1909" s="43" t="e">
        <f ca="1">VLOOKUP(D1909,$F$1081:$I$4183,4,FALSE)+COUNTIF(E$1081:E1908,E1909)</f>
        <v>#N/A</v>
      </c>
      <c r="K1909" s="1"/>
      <c r="L1909" s="39" t="e">
        <f>IF($C$1074&gt;0,VLOOKUP($C1909,ENTI!$U$4:$AD$1003,10,FALSE),"")</f>
        <v>#N/A</v>
      </c>
      <c r="M1909" s="1"/>
      <c r="N1909" s="1"/>
      <c r="O1909" s="1"/>
    </row>
    <row r="1910" spans="1:15" hidden="1">
      <c r="A1910" s="1"/>
      <c r="B1910" s="40" t="e">
        <f t="shared" ca="1" si="220"/>
        <v>#N/A</v>
      </c>
      <c r="C1910" s="496">
        <v>830</v>
      </c>
      <c r="D1910" s="41" t="e">
        <f ca="1">IF($C$1076&gt;0,VLOOKUP($C1910,COSTI!$U$4:$Z$1003,3,FALSE),IF($C$1075&gt;0,VLOOKUP($C1910,PATRIMONIALE!$U$4:$Z$1003,3,FALSE),IF($C$1074&gt;0,VLOOKUP($C1910,ENTI!$U$4:$Z$1003,3,FALSE),"")))</f>
        <v>#N/A</v>
      </c>
      <c r="E1910" s="41" t="str">
        <f t="shared" ca="1" si="221"/>
        <v/>
      </c>
      <c r="F1910" s="41" t="e">
        <f t="shared" ca="1" si="219"/>
        <v>#NUM!</v>
      </c>
      <c r="G1910" s="39" t="e">
        <f ca="1">IF($C$1076&gt;0,VLOOKUP($C1910,COSTI!$U$4:$Z$1003,5,FALSE),IF($C$1075&gt;0,VLOOKUP($C1910,PATRIMONIALE!$U$4:$Z$1003,5,FALSE),IF($C$1074&gt;0,VLOOKUP($C1910,ENTI!$U$4:$Z$1003,5,FALSE),"")))</f>
        <v>#N/A</v>
      </c>
      <c r="H1910" s="42" t="e">
        <f ca="1">IF($C$1076&gt;0,VLOOKUP($C1910,COSTI!$U$4:$Z$1003,6,FALSE),IF($C$1075&gt;0,VLOOKUP($C1910,PATRIMONIALE!$U$4:$Z$1003,6,FALSE),IF($C$1074&gt;0,VLOOKUP($C1910,ENTI!$U$4:$Z$1003,6,FALSE),"")))</f>
        <v>#N/A</v>
      </c>
      <c r="I1910" s="496">
        <v>830</v>
      </c>
      <c r="J1910" s="43" t="e">
        <f ca="1">VLOOKUP(D1910,$F$1081:$I$4183,4,FALSE)+COUNTIF(E$1081:E1909,E1910)</f>
        <v>#N/A</v>
      </c>
      <c r="K1910" s="1"/>
      <c r="L1910" s="39" t="e">
        <f>IF($C$1074&gt;0,VLOOKUP($C1910,ENTI!$U$4:$AD$1003,10,FALSE),"")</f>
        <v>#N/A</v>
      </c>
      <c r="M1910" s="1"/>
      <c r="N1910" s="1"/>
      <c r="O1910" s="1"/>
    </row>
    <row r="1911" spans="1:15" hidden="1">
      <c r="A1911" s="1"/>
      <c r="B1911" s="40" t="e">
        <f t="shared" ca="1" si="220"/>
        <v>#N/A</v>
      </c>
      <c r="C1911" s="496">
        <v>831</v>
      </c>
      <c r="D1911" s="41" t="e">
        <f ca="1">IF($C$1076&gt;0,VLOOKUP($C1911,COSTI!$U$4:$Z$1003,3,FALSE),IF($C$1075&gt;0,VLOOKUP($C1911,PATRIMONIALE!$U$4:$Z$1003,3,FALSE),IF($C$1074&gt;0,VLOOKUP($C1911,ENTI!$U$4:$Z$1003,3,FALSE),"")))</f>
        <v>#N/A</v>
      </c>
      <c r="E1911" s="41" t="str">
        <f t="shared" ca="1" si="221"/>
        <v/>
      </c>
      <c r="F1911" s="41" t="e">
        <f t="shared" ca="1" si="219"/>
        <v>#NUM!</v>
      </c>
      <c r="G1911" s="39" t="e">
        <f ca="1">IF($C$1076&gt;0,VLOOKUP($C1911,COSTI!$U$4:$Z$1003,5,FALSE),IF($C$1075&gt;0,VLOOKUP($C1911,PATRIMONIALE!$U$4:$Z$1003,5,FALSE),IF($C$1074&gt;0,VLOOKUP($C1911,ENTI!$U$4:$Z$1003,5,FALSE),"")))</f>
        <v>#N/A</v>
      </c>
      <c r="H1911" s="42" t="e">
        <f ca="1">IF($C$1076&gt;0,VLOOKUP($C1911,COSTI!$U$4:$Z$1003,6,FALSE),IF($C$1075&gt;0,VLOOKUP($C1911,PATRIMONIALE!$U$4:$Z$1003,6,FALSE),IF($C$1074&gt;0,VLOOKUP($C1911,ENTI!$U$4:$Z$1003,6,FALSE),"")))</f>
        <v>#N/A</v>
      </c>
      <c r="I1911" s="496">
        <v>831</v>
      </c>
      <c r="J1911" s="43" t="e">
        <f ca="1">VLOOKUP(D1911,$F$1081:$I$4183,4,FALSE)+COUNTIF(E$1081:E1910,E1911)</f>
        <v>#N/A</v>
      </c>
      <c r="K1911" s="1"/>
      <c r="L1911" s="39" t="e">
        <f>IF($C$1074&gt;0,VLOOKUP($C1911,ENTI!$U$4:$AD$1003,10,FALSE),"")</f>
        <v>#N/A</v>
      </c>
      <c r="M1911" s="1"/>
      <c r="N1911" s="1"/>
      <c r="O1911" s="1"/>
    </row>
    <row r="1912" spans="1:15" hidden="1">
      <c r="A1912" s="1"/>
      <c r="B1912" s="40" t="e">
        <f t="shared" ca="1" si="220"/>
        <v>#N/A</v>
      </c>
      <c r="C1912" s="496">
        <v>832</v>
      </c>
      <c r="D1912" s="41" t="e">
        <f ca="1">IF($C$1076&gt;0,VLOOKUP($C1912,COSTI!$U$4:$Z$1003,3,FALSE),IF($C$1075&gt;0,VLOOKUP($C1912,PATRIMONIALE!$U$4:$Z$1003,3,FALSE),IF($C$1074&gt;0,VLOOKUP($C1912,ENTI!$U$4:$Z$1003,3,FALSE),"")))</f>
        <v>#N/A</v>
      </c>
      <c r="E1912" s="41" t="str">
        <f t="shared" ca="1" si="221"/>
        <v/>
      </c>
      <c r="F1912" s="41" t="e">
        <f t="shared" ca="1" si="219"/>
        <v>#NUM!</v>
      </c>
      <c r="G1912" s="39" t="e">
        <f ca="1">IF($C$1076&gt;0,VLOOKUP($C1912,COSTI!$U$4:$Z$1003,5,FALSE),IF($C$1075&gt;0,VLOOKUP($C1912,PATRIMONIALE!$U$4:$Z$1003,5,FALSE),IF($C$1074&gt;0,VLOOKUP($C1912,ENTI!$U$4:$Z$1003,5,FALSE),"")))</f>
        <v>#N/A</v>
      </c>
      <c r="H1912" s="42" t="e">
        <f ca="1">IF($C$1076&gt;0,VLOOKUP($C1912,COSTI!$U$4:$Z$1003,6,FALSE),IF($C$1075&gt;0,VLOOKUP($C1912,PATRIMONIALE!$U$4:$Z$1003,6,FALSE),IF($C$1074&gt;0,VLOOKUP($C1912,ENTI!$U$4:$Z$1003,6,FALSE),"")))</f>
        <v>#N/A</v>
      </c>
      <c r="I1912" s="496">
        <v>832</v>
      </c>
      <c r="J1912" s="43" t="e">
        <f ca="1">VLOOKUP(D1912,$F$1081:$I$4183,4,FALSE)+COUNTIF(E$1081:E1911,E1912)</f>
        <v>#N/A</v>
      </c>
      <c r="K1912" s="1"/>
      <c r="L1912" s="39" t="e">
        <f>IF($C$1074&gt;0,VLOOKUP($C1912,ENTI!$U$4:$AD$1003,10,FALSE),"")</f>
        <v>#N/A</v>
      </c>
      <c r="M1912" s="1"/>
      <c r="N1912" s="1"/>
      <c r="O1912" s="1"/>
    </row>
    <row r="1913" spans="1:15" hidden="1">
      <c r="A1913" s="1"/>
      <c r="B1913" s="40" t="e">
        <f t="shared" ca="1" si="220"/>
        <v>#N/A</v>
      </c>
      <c r="C1913" s="496">
        <v>833</v>
      </c>
      <c r="D1913" s="41" t="e">
        <f ca="1">IF($C$1076&gt;0,VLOOKUP($C1913,COSTI!$U$4:$Z$1003,3,FALSE),IF($C$1075&gt;0,VLOOKUP($C1913,PATRIMONIALE!$U$4:$Z$1003,3,FALSE),IF($C$1074&gt;0,VLOOKUP($C1913,ENTI!$U$4:$Z$1003,3,FALSE),"")))</f>
        <v>#N/A</v>
      </c>
      <c r="E1913" s="41" t="str">
        <f t="shared" ca="1" si="221"/>
        <v/>
      </c>
      <c r="F1913" s="41" t="e">
        <f t="shared" ref="F1913:F1976" ca="1" si="222">SMALL(E$1081:E$4183,C1913)</f>
        <v>#NUM!</v>
      </c>
      <c r="G1913" s="39" t="e">
        <f ca="1">IF($C$1076&gt;0,VLOOKUP($C1913,COSTI!$U$4:$Z$1003,5,FALSE),IF($C$1075&gt;0,VLOOKUP($C1913,PATRIMONIALE!$U$4:$Z$1003,5,FALSE),IF($C$1074&gt;0,VLOOKUP($C1913,ENTI!$U$4:$Z$1003,5,FALSE),"")))</f>
        <v>#N/A</v>
      </c>
      <c r="H1913" s="42" t="e">
        <f ca="1">IF($C$1076&gt;0,VLOOKUP($C1913,COSTI!$U$4:$Z$1003,6,FALSE),IF($C$1075&gt;0,VLOOKUP($C1913,PATRIMONIALE!$U$4:$Z$1003,6,FALSE),IF($C$1074&gt;0,VLOOKUP($C1913,ENTI!$U$4:$Z$1003,6,FALSE),"")))</f>
        <v>#N/A</v>
      </c>
      <c r="I1913" s="496">
        <v>833</v>
      </c>
      <c r="J1913" s="43" t="e">
        <f ca="1">VLOOKUP(D1913,$F$1081:$I$4183,4,FALSE)+COUNTIF(E$1081:E1912,E1913)</f>
        <v>#N/A</v>
      </c>
      <c r="K1913" s="1"/>
      <c r="L1913" s="39" t="e">
        <f>IF($C$1074&gt;0,VLOOKUP($C1913,ENTI!$U$4:$AD$1003,10,FALSE),"")</f>
        <v>#N/A</v>
      </c>
      <c r="M1913" s="1"/>
      <c r="N1913" s="1"/>
      <c r="O1913" s="1"/>
    </row>
    <row r="1914" spans="1:15" hidden="1">
      <c r="A1914" s="1"/>
      <c r="B1914" s="40" t="e">
        <f t="shared" ca="1" si="220"/>
        <v>#N/A</v>
      </c>
      <c r="C1914" s="496">
        <v>834</v>
      </c>
      <c r="D1914" s="41" t="e">
        <f ca="1">IF($C$1076&gt;0,VLOOKUP($C1914,COSTI!$U$4:$Z$1003,3,FALSE),IF($C$1075&gt;0,VLOOKUP($C1914,PATRIMONIALE!$U$4:$Z$1003,3,FALSE),IF($C$1074&gt;0,VLOOKUP($C1914,ENTI!$U$4:$Z$1003,3,FALSE),"")))</f>
        <v>#N/A</v>
      </c>
      <c r="E1914" s="41" t="str">
        <f t="shared" ca="1" si="221"/>
        <v/>
      </c>
      <c r="F1914" s="41" t="e">
        <f t="shared" ca="1" si="222"/>
        <v>#NUM!</v>
      </c>
      <c r="G1914" s="39" t="e">
        <f ca="1">IF($C$1076&gt;0,VLOOKUP($C1914,COSTI!$U$4:$Z$1003,5,FALSE),IF($C$1075&gt;0,VLOOKUP($C1914,PATRIMONIALE!$U$4:$Z$1003,5,FALSE),IF($C$1074&gt;0,VLOOKUP($C1914,ENTI!$U$4:$Z$1003,5,FALSE),"")))</f>
        <v>#N/A</v>
      </c>
      <c r="H1914" s="42" t="e">
        <f ca="1">IF($C$1076&gt;0,VLOOKUP($C1914,COSTI!$U$4:$Z$1003,6,FALSE),IF($C$1075&gt;0,VLOOKUP($C1914,PATRIMONIALE!$U$4:$Z$1003,6,FALSE),IF($C$1074&gt;0,VLOOKUP($C1914,ENTI!$U$4:$Z$1003,6,FALSE),"")))</f>
        <v>#N/A</v>
      </c>
      <c r="I1914" s="496">
        <v>834</v>
      </c>
      <c r="J1914" s="43" t="e">
        <f ca="1">VLOOKUP(D1914,$F$1081:$I$4183,4,FALSE)+COUNTIF(E$1081:E1913,E1914)</f>
        <v>#N/A</v>
      </c>
      <c r="K1914" s="1"/>
      <c r="L1914" s="39" t="e">
        <f>IF($C$1074&gt;0,VLOOKUP($C1914,ENTI!$U$4:$AD$1003,10,FALSE),"")</f>
        <v>#N/A</v>
      </c>
      <c r="M1914" s="1"/>
      <c r="N1914" s="1"/>
      <c r="O1914" s="1"/>
    </row>
    <row r="1915" spans="1:15" hidden="1">
      <c r="A1915" s="1"/>
      <c r="B1915" s="40" t="e">
        <f t="shared" ca="1" si="220"/>
        <v>#N/A</v>
      </c>
      <c r="C1915" s="496">
        <v>835</v>
      </c>
      <c r="D1915" s="41" t="e">
        <f ca="1">IF($C$1076&gt;0,VLOOKUP($C1915,COSTI!$U$4:$Z$1003,3,FALSE),IF($C$1075&gt;0,VLOOKUP($C1915,PATRIMONIALE!$U$4:$Z$1003,3,FALSE),IF($C$1074&gt;0,VLOOKUP($C1915,ENTI!$U$4:$Z$1003,3,FALSE),"")))</f>
        <v>#N/A</v>
      </c>
      <c r="E1915" s="41" t="str">
        <f t="shared" ca="1" si="221"/>
        <v/>
      </c>
      <c r="F1915" s="41" t="e">
        <f t="shared" ca="1" si="222"/>
        <v>#NUM!</v>
      </c>
      <c r="G1915" s="39" t="e">
        <f ca="1">IF($C$1076&gt;0,VLOOKUP($C1915,COSTI!$U$4:$Z$1003,5,FALSE),IF($C$1075&gt;0,VLOOKUP($C1915,PATRIMONIALE!$U$4:$Z$1003,5,FALSE),IF($C$1074&gt;0,VLOOKUP($C1915,ENTI!$U$4:$Z$1003,5,FALSE),"")))</f>
        <v>#N/A</v>
      </c>
      <c r="H1915" s="42" t="e">
        <f ca="1">IF($C$1076&gt;0,VLOOKUP($C1915,COSTI!$U$4:$Z$1003,6,FALSE),IF($C$1075&gt;0,VLOOKUP($C1915,PATRIMONIALE!$U$4:$Z$1003,6,FALSE),IF($C$1074&gt;0,VLOOKUP($C1915,ENTI!$U$4:$Z$1003,6,FALSE),"")))</f>
        <v>#N/A</v>
      </c>
      <c r="I1915" s="496">
        <v>835</v>
      </c>
      <c r="J1915" s="43" t="e">
        <f ca="1">VLOOKUP(D1915,$F$1081:$I$4183,4,FALSE)+COUNTIF(E$1081:E1914,E1915)</f>
        <v>#N/A</v>
      </c>
      <c r="K1915" s="1"/>
      <c r="L1915" s="39" t="e">
        <f>IF($C$1074&gt;0,VLOOKUP($C1915,ENTI!$U$4:$AD$1003,10,FALSE),"")</f>
        <v>#N/A</v>
      </c>
      <c r="M1915" s="1"/>
      <c r="N1915" s="1"/>
      <c r="O1915" s="1"/>
    </row>
    <row r="1916" spans="1:15" hidden="1">
      <c r="A1916" s="1"/>
      <c r="B1916" s="40" t="e">
        <f t="shared" ca="1" si="220"/>
        <v>#N/A</v>
      </c>
      <c r="C1916" s="496">
        <v>836</v>
      </c>
      <c r="D1916" s="41" t="e">
        <f ca="1">IF($C$1076&gt;0,VLOOKUP($C1916,COSTI!$U$4:$Z$1003,3,FALSE),IF($C$1075&gt;0,VLOOKUP($C1916,PATRIMONIALE!$U$4:$Z$1003,3,FALSE),IF($C$1074&gt;0,VLOOKUP($C1916,ENTI!$U$4:$Z$1003,3,FALSE),"")))</f>
        <v>#N/A</v>
      </c>
      <c r="E1916" s="41" t="str">
        <f t="shared" ca="1" si="221"/>
        <v/>
      </c>
      <c r="F1916" s="41" t="e">
        <f t="shared" ca="1" si="222"/>
        <v>#NUM!</v>
      </c>
      <c r="G1916" s="39" t="e">
        <f ca="1">IF($C$1076&gt;0,VLOOKUP($C1916,COSTI!$U$4:$Z$1003,5,FALSE),IF($C$1075&gt;0,VLOOKUP($C1916,PATRIMONIALE!$U$4:$Z$1003,5,FALSE),IF($C$1074&gt;0,VLOOKUP($C1916,ENTI!$U$4:$Z$1003,5,FALSE),"")))</f>
        <v>#N/A</v>
      </c>
      <c r="H1916" s="42" t="e">
        <f ca="1">IF($C$1076&gt;0,VLOOKUP($C1916,COSTI!$U$4:$Z$1003,6,FALSE),IF($C$1075&gt;0,VLOOKUP($C1916,PATRIMONIALE!$U$4:$Z$1003,6,FALSE),IF($C$1074&gt;0,VLOOKUP($C1916,ENTI!$U$4:$Z$1003,6,FALSE),"")))</f>
        <v>#N/A</v>
      </c>
      <c r="I1916" s="496">
        <v>836</v>
      </c>
      <c r="J1916" s="43" t="e">
        <f ca="1">VLOOKUP(D1916,$F$1081:$I$4183,4,FALSE)+COUNTIF(E$1081:E1915,E1916)</f>
        <v>#N/A</v>
      </c>
      <c r="K1916" s="1"/>
      <c r="L1916" s="39" t="e">
        <f>IF($C$1074&gt;0,VLOOKUP($C1916,ENTI!$U$4:$AD$1003,10,FALSE),"")</f>
        <v>#N/A</v>
      </c>
      <c r="M1916" s="1"/>
      <c r="N1916" s="1"/>
      <c r="O1916" s="1"/>
    </row>
    <row r="1917" spans="1:15" hidden="1">
      <c r="A1917" s="1"/>
      <c r="B1917" s="40" t="e">
        <f t="shared" ca="1" si="220"/>
        <v>#N/A</v>
      </c>
      <c r="C1917" s="496">
        <v>837</v>
      </c>
      <c r="D1917" s="41" t="e">
        <f ca="1">IF($C$1076&gt;0,VLOOKUP($C1917,COSTI!$U$4:$Z$1003,3,FALSE),IF($C$1075&gt;0,VLOOKUP($C1917,PATRIMONIALE!$U$4:$Z$1003,3,FALSE),IF($C$1074&gt;0,VLOOKUP($C1917,ENTI!$U$4:$Z$1003,3,FALSE),"")))</f>
        <v>#N/A</v>
      </c>
      <c r="E1917" s="41" t="str">
        <f t="shared" ca="1" si="221"/>
        <v/>
      </c>
      <c r="F1917" s="41" t="e">
        <f t="shared" ca="1" si="222"/>
        <v>#NUM!</v>
      </c>
      <c r="G1917" s="39" t="e">
        <f ca="1">IF($C$1076&gt;0,VLOOKUP($C1917,COSTI!$U$4:$Z$1003,5,FALSE),IF($C$1075&gt;0,VLOOKUP($C1917,PATRIMONIALE!$U$4:$Z$1003,5,FALSE),IF($C$1074&gt;0,VLOOKUP($C1917,ENTI!$U$4:$Z$1003,5,FALSE),"")))</f>
        <v>#N/A</v>
      </c>
      <c r="H1917" s="42" t="e">
        <f ca="1">IF($C$1076&gt;0,VLOOKUP($C1917,COSTI!$U$4:$Z$1003,6,FALSE),IF($C$1075&gt;0,VLOOKUP($C1917,PATRIMONIALE!$U$4:$Z$1003,6,FALSE),IF($C$1074&gt;0,VLOOKUP($C1917,ENTI!$U$4:$Z$1003,6,FALSE),"")))</f>
        <v>#N/A</v>
      </c>
      <c r="I1917" s="496">
        <v>837</v>
      </c>
      <c r="J1917" s="43" t="e">
        <f ca="1">VLOOKUP(D1917,$F$1081:$I$4183,4,FALSE)+COUNTIF(E$1081:E1916,E1917)</f>
        <v>#N/A</v>
      </c>
      <c r="K1917" s="1"/>
      <c r="L1917" s="39" t="e">
        <f>IF($C$1074&gt;0,VLOOKUP($C1917,ENTI!$U$4:$AD$1003,10,FALSE),"")</f>
        <v>#N/A</v>
      </c>
      <c r="M1917" s="1"/>
      <c r="N1917" s="1"/>
      <c r="O1917" s="1"/>
    </row>
    <row r="1918" spans="1:15" hidden="1">
      <c r="A1918" s="1"/>
      <c r="B1918" s="40" t="e">
        <f t="shared" ca="1" si="220"/>
        <v>#N/A</v>
      </c>
      <c r="C1918" s="496">
        <v>838</v>
      </c>
      <c r="D1918" s="41" t="e">
        <f ca="1">IF($C$1076&gt;0,VLOOKUP($C1918,COSTI!$U$4:$Z$1003,3,FALSE),IF($C$1075&gt;0,VLOOKUP($C1918,PATRIMONIALE!$U$4:$Z$1003,3,FALSE),IF($C$1074&gt;0,VLOOKUP($C1918,ENTI!$U$4:$Z$1003,3,FALSE),"")))</f>
        <v>#N/A</v>
      </c>
      <c r="E1918" s="41" t="str">
        <f t="shared" ca="1" si="221"/>
        <v/>
      </c>
      <c r="F1918" s="41" t="e">
        <f t="shared" ca="1" si="222"/>
        <v>#NUM!</v>
      </c>
      <c r="G1918" s="39" t="e">
        <f ca="1">IF($C$1076&gt;0,VLOOKUP($C1918,COSTI!$U$4:$Z$1003,5,FALSE),IF($C$1075&gt;0,VLOOKUP($C1918,PATRIMONIALE!$U$4:$Z$1003,5,FALSE),IF($C$1074&gt;0,VLOOKUP($C1918,ENTI!$U$4:$Z$1003,5,FALSE),"")))</f>
        <v>#N/A</v>
      </c>
      <c r="H1918" s="42" t="e">
        <f ca="1">IF($C$1076&gt;0,VLOOKUP($C1918,COSTI!$U$4:$Z$1003,6,FALSE),IF($C$1075&gt;0,VLOOKUP($C1918,PATRIMONIALE!$U$4:$Z$1003,6,FALSE),IF($C$1074&gt;0,VLOOKUP($C1918,ENTI!$U$4:$Z$1003,6,FALSE),"")))</f>
        <v>#N/A</v>
      </c>
      <c r="I1918" s="496">
        <v>838</v>
      </c>
      <c r="J1918" s="43" t="e">
        <f ca="1">VLOOKUP(D1918,$F$1081:$I$4183,4,FALSE)+COUNTIF(E$1081:E1917,E1918)</f>
        <v>#N/A</v>
      </c>
      <c r="K1918" s="1"/>
      <c r="L1918" s="39" t="e">
        <f>IF($C$1074&gt;0,VLOOKUP($C1918,ENTI!$U$4:$AD$1003,10,FALSE),"")</f>
        <v>#N/A</v>
      </c>
      <c r="M1918" s="1"/>
      <c r="N1918" s="1"/>
      <c r="O1918" s="1"/>
    </row>
    <row r="1919" spans="1:15" hidden="1">
      <c r="A1919" s="1"/>
      <c r="B1919" s="40" t="e">
        <f t="shared" ca="1" si="220"/>
        <v>#N/A</v>
      </c>
      <c r="C1919" s="496">
        <v>839</v>
      </c>
      <c r="D1919" s="41" t="e">
        <f ca="1">IF($C$1076&gt;0,VLOOKUP($C1919,COSTI!$U$4:$Z$1003,3,FALSE),IF($C$1075&gt;0,VLOOKUP($C1919,PATRIMONIALE!$U$4:$Z$1003,3,FALSE),IF($C$1074&gt;0,VLOOKUP($C1919,ENTI!$U$4:$Z$1003,3,FALSE),"")))</f>
        <v>#N/A</v>
      </c>
      <c r="E1919" s="41" t="str">
        <f t="shared" ca="1" si="221"/>
        <v/>
      </c>
      <c r="F1919" s="41" t="e">
        <f t="shared" ca="1" si="222"/>
        <v>#NUM!</v>
      </c>
      <c r="G1919" s="39" t="e">
        <f ca="1">IF($C$1076&gt;0,VLOOKUP($C1919,COSTI!$U$4:$Z$1003,5,FALSE),IF($C$1075&gt;0,VLOOKUP($C1919,PATRIMONIALE!$U$4:$Z$1003,5,FALSE),IF($C$1074&gt;0,VLOOKUP($C1919,ENTI!$U$4:$Z$1003,5,FALSE),"")))</f>
        <v>#N/A</v>
      </c>
      <c r="H1919" s="42" t="e">
        <f ca="1">IF($C$1076&gt;0,VLOOKUP($C1919,COSTI!$U$4:$Z$1003,6,FALSE),IF($C$1075&gt;0,VLOOKUP($C1919,PATRIMONIALE!$U$4:$Z$1003,6,FALSE),IF($C$1074&gt;0,VLOOKUP($C1919,ENTI!$U$4:$Z$1003,6,FALSE),"")))</f>
        <v>#N/A</v>
      </c>
      <c r="I1919" s="496">
        <v>839</v>
      </c>
      <c r="J1919" s="43" t="e">
        <f ca="1">VLOOKUP(D1919,$F$1081:$I$4183,4,FALSE)+COUNTIF(E$1081:E1918,E1919)</f>
        <v>#N/A</v>
      </c>
      <c r="K1919" s="1"/>
      <c r="L1919" s="39" t="e">
        <f>IF($C$1074&gt;0,VLOOKUP($C1919,ENTI!$U$4:$AD$1003,10,FALSE),"")</f>
        <v>#N/A</v>
      </c>
      <c r="M1919" s="1"/>
      <c r="N1919" s="1"/>
      <c r="O1919" s="1"/>
    </row>
    <row r="1920" spans="1:15" hidden="1">
      <c r="A1920" s="1"/>
      <c r="B1920" s="40" t="e">
        <f t="shared" ca="1" si="220"/>
        <v>#N/A</v>
      </c>
      <c r="C1920" s="496">
        <v>840</v>
      </c>
      <c r="D1920" s="41" t="e">
        <f ca="1">IF($C$1076&gt;0,VLOOKUP($C1920,COSTI!$U$4:$Z$1003,3,FALSE),IF($C$1075&gt;0,VLOOKUP($C1920,PATRIMONIALE!$U$4:$Z$1003,3,FALSE),IF($C$1074&gt;0,VLOOKUP($C1920,ENTI!$U$4:$Z$1003,3,FALSE),"")))</f>
        <v>#N/A</v>
      </c>
      <c r="E1920" s="41" t="str">
        <f t="shared" ca="1" si="221"/>
        <v/>
      </c>
      <c r="F1920" s="41" t="e">
        <f t="shared" ca="1" si="222"/>
        <v>#NUM!</v>
      </c>
      <c r="G1920" s="39" t="e">
        <f ca="1">IF($C$1076&gt;0,VLOOKUP($C1920,COSTI!$U$4:$Z$1003,5,FALSE),IF($C$1075&gt;0,VLOOKUP($C1920,PATRIMONIALE!$U$4:$Z$1003,5,FALSE),IF($C$1074&gt;0,VLOOKUP($C1920,ENTI!$U$4:$Z$1003,5,FALSE),"")))</f>
        <v>#N/A</v>
      </c>
      <c r="H1920" s="42" t="e">
        <f ca="1">IF($C$1076&gt;0,VLOOKUP($C1920,COSTI!$U$4:$Z$1003,6,FALSE),IF($C$1075&gt;0,VLOOKUP($C1920,PATRIMONIALE!$U$4:$Z$1003,6,FALSE),IF($C$1074&gt;0,VLOOKUP($C1920,ENTI!$U$4:$Z$1003,6,FALSE),"")))</f>
        <v>#N/A</v>
      </c>
      <c r="I1920" s="496">
        <v>840</v>
      </c>
      <c r="J1920" s="43" t="e">
        <f ca="1">VLOOKUP(D1920,$F$1081:$I$4183,4,FALSE)+COUNTIF(E$1081:E1919,E1920)</f>
        <v>#N/A</v>
      </c>
      <c r="K1920" s="1"/>
      <c r="L1920" s="39" t="e">
        <f>IF($C$1074&gt;0,VLOOKUP($C1920,ENTI!$U$4:$AD$1003,10,FALSE),"")</f>
        <v>#N/A</v>
      </c>
      <c r="M1920" s="1"/>
      <c r="N1920" s="1"/>
      <c r="O1920" s="1"/>
    </row>
    <row r="1921" spans="1:15" hidden="1">
      <c r="A1921" s="1"/>
      <c r="B1921" s="40" t="e">
        <f t="shared" ca="1" si="220"/>
        <v>#N/A</v>
      </c>
      <c r="C1921" s="496">
        <v>841</v>
      </c>
      <c r="D1921" s="41" t="e">
        <f ca="1">IF($C$1076&gt;0,VLOOKUP($C1921,COSTI!$U$4:$Z$1003,3,FALSE),IF($C$1075&gt;0,VLOOKUP($C1921,PATRIMONIALE!$U$4:$Z$1003,3,FALSE),IF($C$1074&gt;0,VLOOKUP($C1921,ENTI!$U$4:$Z$1003,3,FALSE),"")))</f>
        <v>#N/A</v>
      </c>
      <c r="E1921" s="41" t="str">
        <f t="shared" ca="1" si="221"/>
        <v/>
      </c>
      <c r="F1921" s="41" t="e">
        <f t="shared" ca="1" si="222"/>
        <v>#NUM!</v>
      </c>
      <c r="G1921" s="39" t="e">
        <f ca="1">IF($C$1076&gt;0,VLOOKUP($C1921,COSTI!$U$4:$Z$1003,5,FALSE),IF($C$1075&gt;0,VLOOKUP($C1921,PATRIMONIALE!$U$4:$Z$1003,5,FALSE),IF($C$1074&gt;0,VLOOKUP($C1921,ENTI!$U$4:$Z$1003,5,FALSE),"")))</f>
        <v>#N/A</v>
      </c>
      <c r="H1921" s="42" t="e">
        <f ca="1">IF($C$1076&gt;0,VLOOKUP($C1921,COSTI!$U$4:$Z$1003,6,FALSE),IF($C$1075&gt;0,VLOOKUP($C1921,PATRIMONIALE!$U$4:$Z$1003,6,FALSE),IF($C$1074&gt;0,VLOOKUP($C1921,ENTI!$U$4:$Z$1003,6,FALSE),"")))</f>
        <v>#N/A</v>
      </c>
      <c r="I1921" s="496">
        <v>841</v>
      </c>
      <c r="J1921" s="43" t="e">
        <f ca="1">VLOOKUP(D1921,$F$1081:$I$4183,4,FALSE)+COUNTIF(E$1081:E1920,E1921)</f>
        <v>#N/A</v>
      </c>
      <c r="K1921" s="1"/>
      <c r="L1921" s="39" t="e">
        <f>IF($C$1074&gt;0,VLOOKUP($C1921,ENTI!$U$4:$AD$1003,10,FALSE),"")</f>
        <v>#N/A</v>
      </c>
      <c r="M1921" s="1"/>
      <c r="N1921" s="1"/>
      <c r="O1921" s="1"/>
    </row>
    <row r="1922" spans="1:15" hidden="1">
      <c r="A1922" s="1"/>
      <c r="B1922" s="40" t="e">
        <f t="shared" ca="1" si="220"/>
        <v>#N/A</v>
      </c>
      <c r="C1922" s="496">
        <v>842</v>
      </c>
      <c r="D1922" s="41" t="e">
        <f ca="1">IF($C$1076&gt;0,VLOOKUP($C1922,COSTI!$U$4:$Z$1003,3,FALSE),IF($C$1075&gt;0,VLOOKUP($C1922,PATRIMONIALE!$U$4:$Z$1003,3,FALSE),IF($C$1074&gt;0,VLOOKUP($C1922,ENTI!$U$4:$Z$1003,3,FALSE),"")))</f>
        <v>#N/A</v>
      </c>
      <c r="E1922" s="41" t="str">
        <f t="shared" ca="1" si="221"/>
        <v/>
      </c>
      <c r="F1922" s="41" t="e">
        <f t="shared" ca="1" si="222"/>
        <v>#NUM!</v>
      </c>
      <c r="G1922" s="39" t="e">
        <f ca="1">IF($C$1076&gt;0,VLOOKUP($C1922,COSTI!$U$4:$Z$1003,5,FALSE),IF($C$1075&gt;0,VLOOKUP($C1922,PATRIMONIALE!$U$4:$Z$1003,5,FALSE),IF($C$1074&gt;0,VLOOKUP($C1922,ENTI!$U$4:$Z$1003,5,FALSE),"")))</f>
        <v>#N/A</v>
      </c>
      <c r="H1922" s="42" t="e">
        <f ca="1">IF($C$1076&gt;0,VLOOKUP($C1922,COSTI!$U$4:$Z$1003,6,FALSE),IF($C$1075&gt;0,VLOOKUP($C1922,PATRIMONIALE!$U$4:$Z$1003,6,FALSE),IF($C$1074&gt;0,VLOOKUP($C1922,ENTI!$U$4:$Z$1003,6,FALSE),"")))</f>
        <v>#N/A</v>
      </c>
      <c r="I1922" s="496">
        <v>842</v>
      </c>
      <c r="J1922" s="43" t="e">
        <f ca="1">VLOOKUP(D1922,$F$1081:$I$4183,4,FALSE)+COUNTIF(E$1081:E1921,E1922)</f>
        <v>#N/A</v>
      </c>
      <c r="K1922" s="1"/>
      <c r="L1922" s="39" t="e">
        <f>IF($C$1074&gt;0,VLOOKUP($C1922,ENTI!$U$4:$AD$1003,10,FALSE),"")</f>
        <v>#N/A</v>
      </c>
      <c r="M1922" s="1"/>
      <c r="N1922" s="1"/>
      <c r="O1922" s="1"/>
    </row>
    <row r="1923" spans="1:15" hidden="1">
      <c r="A1923" s="1"/>
      <c r="B1923" s="40" t="e">
        <f t="shared" ca="1" si="220"/>
        <v>#N/A</v>
      </c>
      <c r="C1923" s="496">
        <v>843</v>
      </c>
      <c r="D1923" s="41" t="e">
        <f ca="1">IF($C$1076&gt;0,VLOOKUP($C1923,COSTI!$U$4:$Z$1003,3,FALSE),IF($C$1075&gt;0,VLOOKUP($C1923,PATRIMONIALE!$U$4:$Z$1003,3,FALSE),IF($C$1074&gt;0,VLOOKUP($C1923,ENTI!$U$4:$Z$1003,3,FALSE),"")))</f>
        <v>#N/A</v>
      </c>
      <c r="E1923" s="41" t="str">
        <f t="shared" ca="1" si="221"/>
        <v/>
      </c>
      <c r="F1923" s="41" t="e">
        <f t="shared" ca="1" si="222"/>
        <v>#NUM!</v>
      </c>
      <c r="G1923" s="39" t="e">
        <f ca="1">IF($C$1076&gt;0,VLOOKUP($C1923,COSTI!$U$4:$Z$1003,5,FALSE),IF($C$1075&gt;0,VLOOKUP($C1923,PATRIMONIALE!$U$4:$Z$1003,5,FALSE),IF($C$1074&gt;0,VLOOKUP($C1923,ENTI!$U$4:$Z$1003,5,FALSE),"")))</f>
        <v>#N/A</v>
      </c>
      <c r="H1923" s="42" t="e">
        <f ca="1">IF($C$1076&gt;0,VLOOKUP($C1923,COSTI!$U$4:$Z$1003,6,FALSE),IF($C$1075&gt;0,VLOOKUP($C1923,PATRIMONIALE!$U$4:$Z$1003,6,FALSE),IF($C$1074&gt;0,VLOOKUP($C1923,ENTI!$U$4:$Z$1003,6,FALSE),"")))</f>
        <v>#N/A</v>
      </c>
      <c r="I1923" s="496">
        <v>843</v>
      </c>
      <c r="J1923" s="43" t="e">
        <f ca="1">VLOOKUP(D1923,$F$1081:$I$4183,4,FALSE)+COUNTIF(E$1081:E1922,E1923)</f>
        <v>#N/A</v>
      </c>
      <c r="K1923" s="1"/>
      <c r="L1923" s="39" t="e">
        <f>IF($C$1074&gt;0,VLOOKUP($C1923,ENTI!$U$4:$AD$1003,10,FALSE),"")</f>
        <v>#N/A</v>
      </c>
      <c r="M1923" s="1"/>
      <c r="N1923" s="1"/>
      <c r="O1923" s="1"/>
    </row>
    <row r="1924" spans="1:15" hidden="1">
      <c r="A1924" s="1"/>
      <c r="B1924" s="40" t="e">
        <f t="shared" ca="1" si="220"/>
        <v>#N/A</v>
      </c>
      <c r="C1924" s="496">
        <v>844</v>
      </c>
      <c r="D1924" s="41" t="e">
        <f ca="1">IF($C$1076&gt;0,VLOOKUP($C1924,COSTI!$U$4:$Z$1003,3,FALSE),IF($C$1075&gt;0,VLOOKUP($C1924,PATRIMONIALE!$U$4:$Z$1003,3,FALSE),IF($C$1074&gt;0,VLOOKUP($C1924,ENTI!$U$4:$Z$1003,3,FALSE),"")))</f>
        <v>#N/A</v>
      </c>
      <c r="E1924" s="41" t="str">
        <f t="shared" ca="1" si="221"/>
        <v/>
      </c>
      <c r="F1924" s="41" t="e">
        <f t="shared" ca="1" si="222"/>
        <v>#NUM!</v>
      </c>
      <c r="G1924" s="39" t="e">
        <f ca="1">IF($C$1076&gt;0,VLOOKUP($C1924,COSTI!$U$4:$Z$1003,5,FALSE),IF($C$1075&gt;0,VLOOKUP($C1924,PATRIMONIALE!$U$4:$Z$1003,5,FALSE),IF($C$1074&gt;0,VLOOKUP($C1924,ENTI!$U$4:$Z$1003,5,FALSE),"")))</f>
        <v>#N/A</v>
      </c>
      <c r="H1924" s="42" t="e">
        <f ca="1">IF($C$1076&gt;0,VLOOKUP($C1924,COSTI!$U$4:$Z$1003,6,FALSE),IF($C$1075&gt;0,VLOOKUP($C1924,PATRIMONIALE!$U$4:$Z$1003,6,FALSE),IF($C$1074&gt;0,VLOOKUP($C1924,ENTI!$U$4:$Z$1003,6,FALSE),"")))</f>
        <v>#N/A</v>
      </c>
      <c r="I1924" s="496">
        <v>844</v>
      </c>
      <c r="J1924" s="43" t="e">
        <f ca="1">VLOOKUP(D1924,$F$1081:$I$4183,4,FALSE)+COUNTIF(E$1081:E1923,E1924)</f>
        <v>#N/A</v>
      </c>
      <c r="K1924" s="1"/>
      <c r="L1924" s="39" t="e">
        <f>IF($C$1074&gt;0,VLOOKUP($C1924,ENTI!$U$4:$AD$1003,10,FALSE),"")</f>
        <v>#N/A</v>
      </c>
      <c r="M1924" s="1"/>
      <c r="N1924" s="1"/>
      <c r="O1924" s="1"/>
    </row>
    <row r="1925" spans="1:15" hidden="1">
      <c r="A1925" s="1"/>
      <c r="B1925" s="40" t="e">
        <f t="shared" ca="1" si="220"/>
        <v>#N/A</v>
      </c>
      <c r="C1925" s="496">
        <v>845</v>
      </c>
      <c r="D1925" s="41" t="e">
        <f ca="1">IF($C$1076&gt;0,VLOOKUP($C1925,COSTI!$U$4:$Z$1003,3,FALSE),IF($C$1075&gt;0,VLOOKUP($C1925,PATRIMONIALE!$U$4:$Z$1003,3,FALSE),IF($C$1074&gt;0,VLOOKUP($C1925,ENTI!$U$4:$Z$1003,3,FALSE),"")))</f>
        <v>#N/A</v>
      </c>
      <c r="E1925" s="41" t="str">
        <f t="shared" ca="1" si="221"/>
        <v/>
      </c>
      <c r="F1925" s="41" t="e">
        <f t="shared" ca="1" si="222"/>
        <v>#NUM!</v>
      </c>
      <c r="G1925" s="39" t="e">
        <f ca="1">IF($C$1076&gt;0,VLOOKUP($C1925,COSTI!$U$4:$Z$1003,5,FALSE),IF($C$1075&gt;0,VLOOKUP($C1925,PATRIMONIALE!$U$4:$Z$1003,5,FALSE),IF($C$1074&gt;0,VLOOKUP($C1925,ENTI!$U$4:$Z$1003,5,FALSE),"")))</f>
        <v>#N/A</v>
      </c>
      <c r="H1925" s="42" t="e">
        <f ca="1">IF($C$1076&gt;0,VLOOKUP($C1925,COSTI!$U$4:$Z$1003,6,FALSE),IF($C$1075&gt;0,VLOOKUP($C1925,PATRIMONIALE!$U$4:$Z$1003,6,FALSE),IF($C$1074&gt;0,VLOOKUP($C1925,ENTI!$U$4:$Z$1003,6,FALSE),"")))</f>
        <v>#N/A</v>
      </c>
      <c r="I1925" s="496">
        <v>845</v>
      </c>
      <c r="J1925" s="43" t="e">
        <f ca="1">VLOOKUP(D1925,$F$1081:$I$4183,4,FALSE)+COUNTIF(E$1081:E1924,E1925)</f>
        <v>#N/A</v>
      </c>
      <c r="K1925" s="1"/>
      <c r="L1925" s="39" t="e">
        <f>IF($C$1074&gt;0,VLOOKUP($C1925,ENTI!$U$4:$AD$1003,10,FALSE),"")</f>
        <v>#N/A</v>
      </c>
      <c r="M1925" s="1"/>
      <c r="N1925" s="1"/>
      <c r="O1925" s="1"/>
    </row>
    <row r="1926" spans="1:15" hidden="1">
      <c r="A1926" s="1"/>
      <c r="B1926" s="40" t="e">
        <f t="shared" ca="1" si="220"/>
        <v>#N/A</v>
      </c>
      <c r="C1926" s="496">
        <v>846</v>
      </c>
      <c r="D1926" s="41" t="e">
        <f ca="1">IF($C$1076&gt;0,VLOOKUP($C1926,COSTI!$U$4:$Z$1003,3,FALSE),IF($C$1075&gt;0,VLOOKUP($C1926,PATRIMONIALE!$U$4:$Z$1003,3,FALSE),IF($C$1074&gt;0,VLOOKUP($C1926,ENTI!$U$4:$Z$1003,3,FALSE),"")))</f>
        <v>#N/A</v>
      </c>
      <c r="E1926" s="41" t="str">
        <f t="shared" ca="1" si="221"/>
        <v/>
      </c>
      <c r="F1926" s="41" t="e">
        <f t="shared" ca="1" si="222"/>
        <v>#NUM!</v>
      </c>
      <c r="G1926" s="39" t="e">
        <f ca="1">IF($C$1076&gt;0,VLOOKUP($C1926,COSTI!$U$4:$Z$1003,5,FALSE),IF($C$1075&gt;0,VLOOKUP($C1926,PATRIMONIALE!$U$4:$Z$1003,5,FALSE),IF($C$1074&gt;0,VLOOKUP($C1926,ENTI!$U$4:$Z$1003,5,FALSE),"")))</f>
        <v>#N/A</v>
      </c>
      <c r="H1926" s="42" t="e">
        <f ca="1">IF($C$1076&gt;0,VLOOKUP($C1926,COSTI!$U$4:$Z$1003,6,FALSE),IF($C$1075&gt;0,VLOOKUP($C1926,PATRIMONIALE!$U$4:$Z$1003,6,FALSE),IF($C$1074&gt;0,VLOOKUP($C1926,ENTI!$U$4:$Z$1003,6,FALSE),"")))</f>
        <v>#N/A</v>
      </c>
      <c r="I1926" s="496">
        <v>846</v>
      </c>
      <c r="J1926" s="43" t="e">
        <f ca="1">VLOOKUP(D1926,$F$1081:$I$4183,4,FALSE)+COUNTIF(E$1081:E1925,E1926)</f>
        <v>#N/A</v>
      </c>
      <c r="K1926" s="1"/>
      <c r="L1926" s="39" t="e">
        <f>IF($C$1074&gt;0,VLOOKUP($C1926,ENTI!$U$4:$AD$1003,10,FALSE),"")</f>
        <v>#N/A</v>
      </c>
      <c r="M1926" s="1"/>
      <c r="N1926" s="1"/>
      <c r="O1926" s="1"/>
    </row>
    <row r="1927" spans="1:15" hidden="1">
      <c r="A1927" s="1"/>
      <c r="B1927" s="40" t="e">
        <f t="shared" ca="1" si="220"/>
        <v>#N/A</v>
      </c>
      <c r="C1927" s="496">
        <v>847</v>
      </c>
      <c r="D1927" s="41" t="e">
        <f ca="1">IF($C$1076&gt;0,VLOOKUP($C1927,COSTI!$U$4:$Z$1003,3,FALSE),IF($C$1075&gt;0,VLOOKUP($C1927,PATRIMONIALE!$U$4:$Z$1003,3,FALSE),IF($C$1074&gt;0,VLOOKUP($C1927,ENTI!$U$4:$Z$1003,3,FALSE),"")))</f>
        <v>#N/A</v>
      </c>
      <c r="E1927" s="41" t="str">
        <f t="shared" ca="1" si="221"/>
        <v/>
      </c>
      <c r="F1927" s="41" t="e">
        <f t="shared" ca="1" si="222"/>
        <v>#NUM!</v>
      </c>
      <c r="G1927" s="39" t="e">
        <f ca="1">IF($C$1076&gt;0,VLOOKUP($C1927,COSTI!$U$4:$Z$1003,5,FALSE),IF($C$1075&gt;0,VLOOKUP($C1927,PATRIMONIALE!$U$4:$Z$1003,5,FALSE),IF($C$1074&gt;0,VLOOKUP($C1927,ENTI!$U$4:$Z$1003,5,FALSE),"")))</f>
        <v>#N/A</v>
      </c>
      <c r="H1927" s="42" t="e">
        <f ca="1">IF($C$1076&gt;0,VLOOKUP($C1927,COSTI!$U$4:$Z$1003,6,FALSE),IF($C$1075&gt;0,VLOOKUP($C1927,PATRIMONIALE!$U$4:$Z$1003,6,FALSE),IF($C$1074&gt;0,VLOOKUP($C1927,ENTI!$U$4:$Z$1003,6,FALSE),"")))</f>
        <v>#N/A</v>
      </c>
      <c r="I1927" s="496">
        <v>847</v>
      </c>
      <c r="J1927" s="43" t="e">
        <f ca="1">VLOOKUP(D1927,$F$1081:$I$4183,4,FALSE)+COUNTIF(E$1081:E1926,E1927)</f>
        <v>#N/A</v>
      </c>
      <c r="K1927" s="1"/>
      <c r="L1927" s="39" t="e">
        <f>IF($C$1074&gt;0,VLOOKUP($C1927,ENTI!$U$4:$AD$1003,10,FALSE),"")</f>
        <v>#N/A</v>
      </c>
      <c r="M1927" s="1"/>
      <c r="N1927" s="1"/>
      <c r="O1927" s="1"/>
    </row>
    <row r="1928" spans="1:15" hidden="1">
      <c r="A1928" s="1"/>
      <c r="B1928" s="40" t="e">
        <f t="shared" ca="1" si="220"/>
        <v>#N/A</v>
      </c>
      <c r="C1928" s="496">
        <v>848</v>
      </c>
      <c r="D1928" s="41" t="e">
        <f ca="1">IF($C$1076&gt;0,VLOOKUP($C1928,COSTI!$U$4:$Z$1003,3,FALSE),IF($C$1075&gt;0,VLOOKUP($C1928,PATRIMONIALE!$U$4:$Z$1003,3,FALSE),IF($C$1074&gt;0,VLOOKUP($C1928,ENTI!$U$4:$Z$1003,3,FALSE),"")))</f>
        <v>#N/A</v>
      </c>
      <c r="E1928" s="41" t="str">
        <f t="shared" ca="1" si="221"/>
        <v/>
      </c>
      <c r="F1928" s="41" t="e">
        <f t="shared" ca="1" si="222"/>
        <v>#NUM!</v>
      </c>
      <c r="G1928" s="39" t="e">
        <f ca="1">IF($C$1076&gt;0,VLOOKUP($C1928,COSTI!$U$4:$Z$1003,5,FALSE),IF($C$1075&gt;0,VLOOKUP($C1928,PATRIMONIALE!$U$4:$Z$1003,5,FALSE),IF($C$1074&gt;0,VLOOKUP($C1928,ENTI!$U$4:$Z$1003,5,FALSE),"")))</f>
        <v>#N/A</v>
      </c>
      <c r="H1928" s="42" t="e">
        <f ca="1">IF($C$1076&gt;0,VLOOKUP($C1928,COSTI!$U$4:$Z$1003,6,FALSE),IF($C$1075&gt;0,VLOOKUP($C1928,PATRIMONIALE!$U$4:$Z$1003,6,FALSE),IF($C$1074&gt;0,VLOOKUP($C1928,ENTI!$U$4:$Z$1003,6,FALSE),"")))</f>
        <v>#N/A</v>
      </c>
      <c r="I1928" s="496">
        <v>848</v>
      </c>
      <c r="J1928" s="43" t="e">
        <f ca="1">VLOOKUP(D1928,$F$1081:$I$4183,4,FALSE)+COUNTIF(E$1081:E1927,E1928)</f>
        <v>#N/A</v>
      </c>
      <c r="K1928" s="1"/>
      <c r="L1928" s="39" t="e">
        <f>IF($C$1074&gt;0,VLOOKUP($C1928,ENTI!$U$4:$AD$1003,10,FALSE),"")</f>
        <v>#N/A</v>
      </c>
      <c r="M1928" s="1"/>
      <c r="N1928" s="1"/>
      <c r="O1928" s="1"/>
    </row>
    <row r="1929" spans="1:15" hidden="1">
      <c r="A1929" s="1"/>
      <c r="B1929" s="40" t="e">
        <f t="shared" ca="1" si="220"/>
        <v>#N/A</v>
      </c>
      <c r="C1929" s="496">
        <v>849</v>
      </c>
      <c r="D1929" s="41" t="e">
        <f ca="1">IF($C$1076&gt;0,VLOOKUP($C1929,COSTI!$U$4:$Z$1003,3,FALSE),IF($C$1075&gt;0,VLOOKUP($C1929,PATRIMONIALE!$U$4:$Z$1003,3,FALSE),IF($C$1074&gt;0,VLOOKUP($C1929,ENTI!$U$4:$Z$1003,3,FALSE),"")))</f>
        <v>#N/A</v>
      </c>
      <c r="E1929" s="41" t="str">
        <f t="shared" ca="1" si="221"/>
        <v/>
      </c>
      <c r="F1929" s="41" t="e">
        <f t="shared" ca="1" si="222"/>
        <v>#NUM!</v>
      </c>
      <c r="G1929" s="39" t="e">
        <f ca="1">IF($C$1076&gt;0,VLOOKUP($C1929,COSTI!$U$4:$Z$1003,5,FALSE),IF($C$1075&gt;0,VLOOKUP($C1929,PATRIMONIALE!$U$4:$Z$1003,5,FALSE),IF($C$1074&gt;0,VLOOKUP($C1929,ENTI!$U$4:$Z$1003,5,FALSE),"")))</f>
        <v>#N/A</v>
      </c>
      <c r="H1929" s="42" t="e">
        <f ca="1">IF($C$1076&gt;0,VLOOKUP($C1929,COSTI!$U$4:$Z$1003,6,FALSE),IF($C$1075&gt;0,VLOOKUP($C1929,PATRIMONIALE!$U$4:$Z$1003,6,FALSE),IF($C$1074&gt;0,VLOOKUP($C1929,ENTI!$U$4:$Z$1003,6,FALSE),"")))</f>
        <v>#N/A</v>
      </c>
      <c r="I1929" s="496">
        <v>849</v>
      </c>
      <c r="J1929" s="43" t="e">
        <f ca="1">VLOOKUP(D1929,$F$1081:$I$4183,4,FALSE)+COUNTIF(E$1081:E1928,E1929)</f>
        <v>#N/A</v>
      </c>
      <c r="K1929" s="1"/>
      <c r="L1929" s="39" t="e">
        <f>IF($C$1074&gt;0,VLOOKUP($C1929,ENTI!$U$4:$AD$1003,10,FALSE),"")</f>
        <v>#N/A</v>
      </c>
      <c r="M1929" s="1"/>
      <c r="N1929" s="1"/>
      <c r="O1929" s="1"/>
    </row>
    <row r="1930" spans="1:15" hidden="1">
      <c r="A1930" s="1"/>
      <c r="B1930" s="40" t="e">
        <f t="shared" ca="1" si="220"/>
        <v>#N/A</v>
      </c>
      <c r="C1930" s="496">
        <v>850</v>
      </c>
      <c r="D1930" s="41" t="e">
        <f ca="1">IF($C$1076&gt;0,VLOOKUP($C1930,COSTI!$U$4:$Z$1003,3,FALSE),IF($C$1075&gt;0,VLOOKUP($C1930,PATRIMONIALE!$U$4:$Z$1003,3,FALSE),IF($C$1074&gt;0,VLOOKUP($C1930,ENTI!$U$4:$Z$1003,3,FALSE),"")))</f>
        <v>#N/A</v>
      </c>
      <c r="E1930" s="41" t="str">
        <f t="shared" ca="1" si="221"/>
        <v/>
      </c>
      <c r="F1930" s="41" t="e">
        <f t="shared" ca="1" si="222"/>
        <v>#NUM!</v>
      </c>
      <c r="G1930" s="39" t="e">
        <f ca="1">IF($C$1076&gt;0,VLOOKUP($C1930,COSTI!$U$4:$Z$1003,5,FALSE),IF($C$1075&gt;0,VLOOKUP($C1930,PATRIMONIALE!$U$4:$Z$1003,5,FALSE),IF($C$1074&gt;0,VLOOKUP($C1930,ENTI!$U$4:$Z$1003,5,FALSE),"")))</f>
        <v>#N/A</v>
      </c>
      <c r="H1930" s="42" t="e">
        <f ca="1">IF($C$1076&gt;0,VLOOKUP($C1930,COSTI!$U$4:$Z$1003,6,FALSE),IF($C$1075&gt;0,VLOOKUP($C1930,PATRIMONIALE!$U$4:$Z$1003,6,FALSE),IF($C$1074&gt;0,VLOOKUP($C1930,ENTI!$U$4:$Z$1003,6,FALSE),"")))</f>
        <v>#N/A</v>
      </c>
      <c r="I1930" s="496">
        <v>850</v>
      </c>
      <c r="J1930" s="43" t="e">
        <f ca="1">VLOOKUP(D1930,$F$1081:$I$4183,4,FALSE)+COUNTIF(E$1081:E1929,E1930)</f>
        <v>#N/A</v>
      </c>
      <c r="K1930" s="1"/>
      <c r="L1930" s="39" t="e">
        <f>IF($C$1074&gt;0,VLOOKUP($C1930,ENTI!$U$4:$AD$1003,10,FALSE),"")</f>
        <v>#N/A</v>
      </c>
      <c r="M1930" s="1"/>
      <c r="N1930" s="1"/>
      <c r="O1930" s="1"/>
    </row>
    <row r="1931" spans="1:15" hidden="1">
      <c r="A1931" s="1"/>
      <c r="B1931" s="40" t="e">
        <f t="shared" ca="1" si="220"/>
        <v>#N/A</v>
      </c>
      <c r="C1931" s="496">
        <v>851</v>
      </c>
      <c r="D1931" s="41" t="e">
        <f ca="1">IF($C$1076&gt;0,VLOOKUP($C1931,COSTI!$U$4:$Z$1003,3,FALSE),IF($C$1075&gt;0,VLOOKUP($C1931,PATRIMONIALE!$U$4:$Z$1003,3,FALSE),IF($C$1074&gt;0,VLOOKUP($C1931,ENTI!$U$4:$Z$1003,3,FALSE),"")))</f>
        <v>#N/A</v>
      </c>
      <c r="E1931" s="41" t="str">
        <f t="shared" ca="1" si="221"/>
        <v/>
      </c>
      <c r="F1931" s="41" t="e">
        <f t="shared" ca="1" si="222"/>
        <v>#NUM!</v>
      </c>
      <c r="G1931" s="39" t="e">
        <f ca="1">IF($C$1076&gt;0,VLOOKUP($C1931,COSTI!$U$4:$Z$1003,5,FALSE),IF($C$1075&gt;0,VLOOKUP($C1931,PATRIMONIALE!$U$4:$Z$1003,5,FALSE),IF($C$1074&gt;0,VLOOKUP($C1931,ENTI!$U$4:$Z$1003,5,FALSE),"")))</f>
        <v>#N/A</v>
      </c>
      <c r="H1931" s="42" t="e">
        <f ca="1">IF($C$1076&gt;0,VLOOKUP($C1931,COSTI!$U$4:$Z$1003,6,FALSE),IF($C$1075&gt;0,VLOOKUP($C1931,PATRIMONIALE!$U$4:$Z$1003,6,FALSE),IF($C$1074&gt;0,VLOOKUP($C1931,ENTI!$U$4:$Z$1003,6,FALSE),"")))</f>
        <v>#N/A</v>
      </c>
      <c r="I1931" s="496">
        <v>851</v>
      </c>
      <c r="J1931" s="43" t="e">
        <f ca="1">VLOOKUP(D1931,$F$1081:$I$4183,4,FALSE)+COUNTIF(E$1081:E1930,E1931)</f>
        <v>#N/A</v>
      </c>
      <c r="K1931" s="1"/>
      <c r="L1931" s="39" t="e">
        <f>IF($C$1074&gt;0,VLOOKUP($C1931,ENTI!$U$4:$AD$1003,10,FALSE),"")</f>
        <v>#N/A</v>
      </c>
      <c r="M1931" s="1"/>
      <c r="N1931" s="1"/>
      <c r="O1931" s="1"/>
    </row>
    <row r="1932" spans="1:15" hidden="1">
      <c r="A1932" s="1"/>
      <c r="B1932" s="40" t="e">
        <f t="shared" ca="1" si="220"/>
        <v>#N/A</v>
      </c>
      <c r="C1932" s="496">
        <v>852</v>
      </c>
      <c r="D1932" s="41" t="e">
        <f ca="1">IF($C$1076&gt;0,VLOOKUP($C1932,COSTI!$U$4:$Z$1003,3,FALSE),IF($C$1075&gt;0,VLOOKUP($C1932,PATRIMONIALE!$U$4:$Z$1003,3,FALSE),IF($C$1074&gt;0,VLOOKUP($C1932,ENTI!$U$4:$Z$1003,3,FALSE),"")))</f>
        <v>#N/A</v>
      </c>
      <c r="E1932" s="41" t="str">
        <f t="shared" ca="1" si="221"/>
        <v/>
      </c>
      <c r="F1932" s="41" t="e">
        <f t="shared" ca="1" si="222"/>
        <v>#NUM!</v>
      </c>
      <c r="G1932" s="39" t="e">
        <f ca="1">IF($C$1076&gt;0,VLOOKUP($C1932,COSTI!$U$4:$Z$1003,5,FALSE),IF($C$1075&gt;0,VLOOKUP($C1932,PATRIMONIALE!$U$4:$Z$1003,5,FALSE),IF($C$1074&gt;0,VLOOKUP($C1932,ENTI!$U$4:$Z$1003,5,FALSE),"")))</f>
        <v>#N/A</v>
      </c>
      <c r="H1932" s="42" t="e">
        <f ca="1">IF($C$1076&gt;0,VLOOKUP($C1932,COSTI!$U$4:$Z$1003,6,FALSE),IF($C$1075&gt;0,VLOOKUP($C1932,PATRIMONIALE!$U$4:$Z$1003,6,FALSE),IF($C$1074&gt;0,VLOOKUP($C1932,ENTI!$U$4:$Z$1003,6,FALSE),"")))</f>
        <v>#N/A</v>
      </c>
      <c r="I1932" s="496">
        <v>852</v>
      </c>
      <c r="J1932" s="43" t="e">
        <f ca="1">VLOOKUP(D1932,$F$1081:$I$4183,4,FALSE)+COUNTIF(E$1081:E1931,E1932)</f>
        <v>#N/A</v>
      </c>
      <c r="K1932" s="1"/>
      <c r="L1932" s="39" t="e">
        <f>IF($C$1074&gt;0,VLOOKUP($C1932,ENTI!$U$4:$AD$1003,10,FALSE),"")</f>
        <v>#N/A</v>
      </c>
      <c r="M1932" s="1"/>
      <c r="N1932" s="1"/>
      <c r="O1932" s="1"/>
    </row>
    <row r="1933" spans="1:15" hidden="1">
      <c r="A1933" s="1"/>
      <c r="B1933" s="40" t="e">
        <f t="shared" ca="1" si="220"/>
        <v>#N/A</v>
      </c>
      <c r="C1933" s="496">
        <v>853</v>
      </c>
      <c r="D1933" s="41" t="e">
        <f ca="1">IF($C$1076&gt;0,VLOOKUP($C1933,COSTI!$U$4:$Z$1003,3,FALSE),IF($C$1075&gt;0,VLOOKUP($C1933,PATRIMONIALE!$U$4:$Z$1003,3,FALSE),IF($C$1074&gt;0,VLOOKUP($C1933,ENTI!$U$4:$Z$1003,3,FALSE),"")))</f>
        <v>#N/A</v>
      </c>
      <c r="E1933" s="41" t="str">
        <f t="shared" ca="1" si="221"/>
        <v/>
      </c>
      <c r="F1933" s="41" t="e">
        <f t="shared" ca="1" si="222"/>
        <v>#NUM!</v>
      </c>
      <c r="G1933" s="39" t="e">
        <f ca="1">IF($C$1076&gt;0,VLOOKUP($C1933,COSTI!$U$4:$Z$1003,5,FALSE),IF($C$1075&gt;0,VLOOKUP($C1933,PATRIMONIALE!$U$4:$Z$1003,5,FALSE),IF($C$1074&gt;0,VLOOKUP($C1933,ENTI!$U$4:$Z$1003,5,FALSE),"")))</f>
        <v>#N/A</v>
      </c>
      <c r="H1933" s="42" t="e">
        <f ca="1">IF($C$1076&gt;0,VLOOKUP($C1933,COSTI!$U$4:$Z$1003,6,FALSE),IF($C$1075&gt;0,VLOOKUP($C1933,PATRIMONIALE!$U$4:$Z$1003,6,FALSE),IF($C$1074&gt;0,VLOOKUP($C1933,ENTI!$U$4:$Z$1003,6,FALSE),"")))</f>
        <v>#N/A</v>
      </c>
      <c r="I1933" s="496">
        <v>853</v>
      </c>
      <c r="J1933" s="43" t="e">
        <f ca="1">VLOOKUP(D1933,$F$1081:$I$4183,4,FALSE)+COUNTIF(E$1081:E1932,E1933)</f>
        <v>#N/A</v>
      </c>
      <c r="K1933" s="1"/>
      <c r="L1933" s="39" t="e">
        <f>IF($C$1074&gt;0,VLOOKUP($C1933,ENTI!$U$4:$AD$1003,10,FALSE),"")</f>
        <v>#N/A</v>
      </c>
      <c r="M1933" s="1"/>
      <c r="N1933" s="1"/>
      <c r="O1933" s="1"/>
    </row>
    <row r="1934" spans="1:15" hidden="1">
      <c r="A1934" s="1"/>
      <c r="B1934" s="40" t="e">
        <f t="shared" ca="1" si="220"/>
        <v>#N/A</v>
      </c>
      <c r="C1934" s="496">
        <v>854</v>
      </c>
      <c r="D1934" s="41" t="e">
        <f ca="1">IF($C$1076&gt;0,VLOOKUP($C1934,COSTI!$U$4:$Z$1003,3,FALSE),IF($C$1075&gt;0,VLOOKUP($C1934,PATRIMONIALE!$U$4:$Z$1003,3,FALSE),IF($C$1074&gt;0,VLOOKUP($C1934,ENTI!$U$4:$Z$1003,3,FALSE),"")))</f>
        <v>#N/A</v>
      </c>
      <c r="E1934" s="41" t="str">
        <f t="shared" ca="1" si="221"/>
        <v/>
      </c>
      <c r="F1934" s="41" t="e">
        <f t="shared" ca="1" si="222"/>
        <v>#NUM!</v>
      </c>
      <c r="G1934" s="39" t="e">
        <f ca="1">IF($C$1076&gt;0,VLOOKUP($C1934,COSTI!$U$4:$Z$1003,5,FALSE),IF($C$1075&gt;0,VLOOKUP($C1934,PATRIMONIALE!$U$4:$Z$1003,5,FALSE),IF($C$1074&gt;0,VLOOKUP($C1934,ENTI!$U$4:$Z$1003,5,FALSE),"")))</f>
        <v>#N/A</v>
      </c>
      <c r="H1934" s="42" t="e">
        <f ca="1">IF($C$1076&gt;0,VLOOKUP($C1934,COSTI!$U$4:$Z$1003,6,FALSE),IF($C$1075&gt;0,VLOOKUP($C1934,PATRIMONIALE!$U$4:$Z$1003,6,FALSE),IF($C$1074&gt;0,VLOOKUP($C1934,ENTI!$U$4:$Z$1003,6,FALSE),"")))</f>
        <v>#N/A</v>
      </c>
      <c r="I1934" s="496">
        <v>854</v>
      </c>
      <c r="J1934" s="43" t="e">
        <f ca="1">VLOOKUP(D1934,$F$1081:$I$4183,4,FALSE)+COUNTIF(E$1081:E1933,E1934)</f>
        <v>#N/A</v>
      </c>
      <c r="K1934" s="1"/>
      <c r="L1934" s="39" t="e">
        <f>IF($C$1074&gt;0,VLOOKUP($C1934,ENTI!$U$4:$AD$1003,10,FALSE),"")</f>
        <v>#N/A</v>
      </c>
      <c r="M1934" s="1"/>
      <c r="N1934" s="1"/>
      <c r="O1934" s="1"/>
    </row>
    <row r="1935" spans="1:15" hidden="1">
      <c r="A1935" s="1"/>
      <c r="B1935" s="40" t="e">
        <f t="shared" ca="1" si="220"/>
        <v>#N/A</v>
      </c>
      <c r="C1935" s="496">
        <v>855</v>
      </c>
      <c r="D1935" s="41" t="e">
        <f ca="1">IF($C$1076&gt;0,VLOOKUP($C1935,COSTI!$U$4:$Z$1003,3,FALSE),IF($C$1075&gt;0,VLOOKUP($C1935,PATRIMONIALE!$U$4:$Z$1003,3,FALSE),IF($C$1074&gt;0,VLOOKUP($C1935,ENTI!$U$4:$Z$1003,3,FALSE),"")))</f>
        <v>#N/A</v>
      </c>
      <c r="E1935" s="41" t="str">
        <f t="shared" ca="1" si="221"/>
        <v/>
      </c>
      <c r="F1935" s="41" t="e">
        <f t="shared" ca="1" si="222"/>
        <v>#NUM!</v>
      </c>
      <c r="G1935" s="39" t="e">
        <f ca="1">IF($C$1076&gt;0,VLOOKUP($C1935,COSTI!$U$4:$Z$1003,5,FALSE),IF($C$1075&gt;0,VLOOKUP($C1935,PATRIMONIALE!$U$4:$Z$1003,5,FALSE),IF($C$1074&gt;0,VLOOKUP($C1935,ENTI!$U$4:$Z$1003,5,FALSE),"")))</f>
        <v>#N/A</v>
      </c>
      <c r="H1935" s="42" t="e">
        <f ca="1">IF($C$1076&gt;0,VLOOKUP($C1935,COSTI!$U$4:$Z$1003,6,FALSE),IF($C$1075&gt;0,VLOOKUP($C1935,PATRIMONIALE!$U$4:$Z$1003,6,FALSE),IF($C$1074&gt;0,VLOOKUP($C1935,ENTI!$U$4:$Z$1003,6,FALSE),"")))</f>
        <v>#N/A</v>
      </c>
      <c r="I1935" s="496">
        <v>855</v>
      </c>
      <c r="J1935" s="43" t="e">
        <f ca="1">VLOOKUP(D1935,$F$1081:$I$4183,4,FALSE)+COUNTIF(E$1081:E1934,E1935)</f>
        <v>#N/A</v>
      </c>
      <c r="K1935" s="1"/>
      <c r="L1935" s="39" t="e">
        <f>IF($C$1074&gt;0,VLOOKUP($C1935,ENTI!$U$4:$AD$1003,10,FALSE),"")</f>
        <v>#N/A</v>
      </c>
      <c r="M1935" s="1"/>
      <c r="N1935" s="1"/>
      <c r="O1935" s="1"/>
    </row>
    <row r="1936" spans="1:15" hidden="1">
      <c r="A1936" s="1"/>
      <c r="B1936" s="40" t="e">
        <f t="shared" ca="1" si="220"/>
        <v>#N/A</v>
      </c>
      <c r="C1936" s="496">
        <v>856</v>
      </c>
      <c r="D1936" s="41" t="e">
        <f ca="1">IF($C$1076&gt;0,VLOOKUP($C1936,COSTI!$U$4:$Z$1003,3,FALSE),IF($C$1075&gt;0,VLOOKUP($C1936,PATRIMONIALE!$U$4:$Z$1003,3,FALSE),IF($C$1074&gt;0,VLOOKUP($C1936,ENTI!$U$4:$Z$1003,3,FALSE),"")))</f>
        <v>#N/A</v>
      </c>
      <c r="E1936" s="41" t="str">
        <f t="shared" ca="1" si="221"/>
        <v/>
      </c>
      <c r="F1936" s="41" t="e">
        <f t="shared" ca="1" si="222"/>
        <v>#NUM!</v>
      </c>
      <c r="G1936" s="39" t="e">
        <f ca="1">IF($C$1076&gt;0,VLOOKUP($C1936,COSTI!$U$4:$Z$1003,5,FALSE),IF($C$1075&gt;0,VLOOKUP($C1936,PATRIMONIALE!$U$4:$Z$1003,5,FALSE),IF($C$1074&gt;0,VLOOKUP($C1936,ENTI!$U$4:$Z$1003,5,FALSE),"")))</f>
        <v>#N/A</v>
      </c>
      <c r="H1936" s="42" t="e">
        <f ca="1">IF($C$1076&gt;0,VLOOKUP($C1936,COSTI!$U$4:$Z$1003,6,FALSE),IF($C$1075&gt;0,VLOOKUP($C1936,PATRIMONIALE!$U$4:$Z$1003,6,FALSE),IF($C$1074&gt;0,VLOOKUP($C1936,ENTI!$U$4:$Z$1003,6,FALSE),"")))</f>
        <v>#N/A</v>
      </c>
      <c r="I1936" s="496">
        <v>856</v>
      </c>
      <c r="J1936" s="43" t="e">
        <f ca="1">VLOOKUP(D1936,$F$1081:$I$4183,4,FALSE)+COUNTIF(E$1081:E1935,E1936)</f>
        <v>#N/A</v>
      </c>
      <c r="K1936" s="1"/>
      <c r="L1936" s="39" t="e">
        <f>IF($C$1074&gt;0,VLOOKUP($C1936,ENTI!$U$4:$AD$1003,10,FALSE),"")</f>
        <v>#N/A</v>
      </c>
      <c r="M1936" s="1"/>
      <c r="N1936" s="1"/>
      <c r="O1936" s="1"/>
    </row>
    <row r="1937" spans="1:15" hidden="1">
      <c r="A1937" s="1"/>
      <c r="B1937" s="40" t="e">
        <f t="shared" ca="1" si="220"/>
        <v>#N/A</v>
      </c>
      <c r="C1937" s="496">
        <v>857</v>
      </c>
      <c r="D1937" s="41" t="e">
        <f ca="1">IF($C$1076&gt;0,VLOOKUP($C1937,COSTI!$U$4:$Z$1003,3,FALSE),IF($C$1075&gt;0,VLOOKUP($C1937,PATRIMONIALE!$U$4:$Z$1003,3,FALSE),IF($C$1074&gt;0,VLOOKUP($C1937,ENTI!$U$4:$Z$1003,3,FALSE),"")))</f>
        <v>#N/A</v>
      </c>
      <c r="E1937" s="41" t="str">
        <f t="shared" ca="1" si="221"/>
        <v/>
      </c>
      <c r="F1937" s="41" t="e">
        <f t="shared" ca="1" si="222"/>
        <v>#NUM!</v>
      </c>
      <c r="G1937" s="39" t="e">
        <f ca="1">IF($C$1076&gt;0,VLOOKUP($C1937,COSTI!$U$4:$Z$1003,5,FALSE),IF($C$1075&gt;0,VLOOKUP($C1937,PATRIMONIALE!$U$4:$Z$1003,5,FALSE),IF($C$1074&gt;0,VLOOKUP($C1937,ENTI!$U$4:$Z$1003,5,FALSE),"")))</f>
        <v>#N/A</v>
      </c>
      <c r="H1937" s="42" t="e">
        <f ca="1">IF($C$1076&gt;0,VLOOKUP($C1937,COSTI!$U$4:$Z$1003,6,FALSE),IF($C$1075&gt;0,VLOOKUP($C1937,PATRIMONIALE!$U$4:$Z$1003,6,FALSE),IF($C$1074&gt;0,VLOOKUP($C1937,ENTI!$U$4:$Z$1003,6,FALSE),"")))</f>
        <v>#N/A</v>
      </c>
      <c r="I1937" s="496">
        <v>857</v>
      </c>
      <c r="J1937" s="43" t="e">
        <f ca="1">VLOOKUP(D1937,$F$1081:$I$4183,4,FALSE)+COUNTIF(E$1081:E1936,E1937)</f>
        <v>#N/A</v>
      </c>
      <c r="K1937" s="1"/>
      <c r="L1937" s="39" t="e">
        <f>IF($C$1074&gt;0,VLOOKUP($C1937,ENTI!$U$4:$AD$1003,10,FALSE),"")</f>
        <v>#N/A</v>
      </c>
      <c r="M1937" s="1"/>
      <c r="N1937" s="1"/>
      <c r="O1937" s="1"/>
    </row>
    <row r="1938" spans="1:15" hidden="1">
      <c r="A1938" s="1"/>
      <c r="B1938" s="40" t="e">
        <f t="shared" ca="1" si="220"/>
        <v>#N/A</v>
      </c>
      <c r="C1938" s="496">
        <v>858</v>
      </c>
      <c r="D1938" s="41" t="e">
        <f ca="1">IF($C$1076&gt;0,VLOOKUP($C1938,COSTI!$U$4:$Z$1003,3,FALSE),IF($C$1075&gt;0,VLOOKUP($C1938,PATRIMONIALE!$U$4:$Z$1003,3,FALSE),IF($C$1074&gt;0,VLOOKUP($C1938,ENTI!$U$4:$Z$1003,3,FALSE),"")))</f>
        <v>#N/A</v>
      </c>
      <c r="E1938" s="41" t="str">
        <f t="shared" ca="1" si="221"/>
        <v/>
      </c>
      <c r="F1938" s="41" t="e">
        <f t="shared" ca="1" si="222"/>
        <v>#NUM!</v>
      </c>
      <c r="G1938" s="39" t="e">
        <f ca="1">IF($C$1076&gt;0,VLOOKUP($C1938,COSTI!$U$4:$Z$1003,5,FALSE),IF($C$1075&gt;0,VLOOKUP($C1938,PATRIMONIALE!$U$4:$Z$1003,5,FALSE),IF($C$1074&gt;0,VLOOKUP($C1938,ENTI!$U$4:$Z$1003,5,FALSE),"")))</f>
        <v>#N/A</v>
      </c>
      <c r="H1938" s="42" t="e">
        <f ca="1">IF($C$1076&gt;0,VLOOKUP($C1938,COSTI!$U$4:$Z$1003,6,FALSE),IF($C$1075&gt;0,VLOOKUP($C1938,PATRIMONIALE!$U$4:$Z$1003,6,FALSE),IF($C$1074&gt;0,VLOOKUP($C1938,ENTI!$U$4:$Z$1003,6,FALSE),"")))</f>
        <v>#N/A</v>
      </c>
      <c r="I1938" s="496">
        <v>858</v>
      </c>
      <c r="J1938" s="43" t="e">
        <f ca="1">VLOOKUP(D1938,$F$1081:$I$4183,4,FALSE)+COUNTIF(E$1081:E1937,E1938)</f>
        <v>#N/A</v>
      </c>
      <c r="K1938" s="1"/>
      <c r="L1938" s="39" t="e">
        <f>IF($C$1074&gt;0,VLOOKUP($C1938,ENTI!$U$4:$AD$1003,10,FALSE),"")</f>
        <v>#N/A</v>
      </c>
      <c r="M1938" s="1"/>
      <c r="N1938" s="1"/>
      <c r="O1938" s="1"/>
    </row>
    <row r="1939" spans="1:15" hidden="1">
      <c r="A1939" s="1"/>
      <c r="B1939" s="40" t="e">
        <f t="shared" ca="1" si="220"/>
        <v>#N/A</v>
      </c>
      <c r="C1939" s="496">
        <v>859</v>
      </c>
      <c r="D1939" s="41" t="e">
        <f ca="1">IF($C$1076&gt;0,VLOOKUP($C1939,COSTI!$U$4:$Z$1003,3,FALSE),IF($C$1075&gt;0,VLOOKUP($C1939,PATRIMONIALE!$U$4:$Z$1003,3,FALSE),IF($C$1074&gt;0,VLOOKUP($C1939,ENTI!$U$4:$Z$1003,3,FALSE),"")))</f>
        <v>#N/A</v>
      </c>
      <c r="E1939" s="41" t="str">
        <f t="shared" ca="1" si="221"/>
        <v/>
      </c>
      <c r="F1939" s="41" t="e">
        <f t="shared" ca="1" si="222"/>
        <v>#NUM!</v>
      </c>
      <c r="G1939" s="39" t="e">
        <f ca="1">IF($C$1076&gt;0,VLOOKUP($C1939,COSTI!$U$4:$Z$1003,5,FALSE),IF($C$1075&gt;0,VLOOKUP($C1939,PATRIMONIALE!$U$4:$Z$1003,5,FALSE),IF($C$1074&gt;0,VLOOKUP($C1939,ENTI!$U$4:$Z$1003,5,FALSE),"")))</f>
        <v>#N/A</v>
      </c>
      <c r="H1939" s="42" t="e">
        <f ca="1">IF($C$1076&gt;0,VLOOKUP($C1939,COSTI!$U$4:$Z$1003,6,FALSE),IF($C$1075&gt;0,VLOOKUP($C1939,PATRIMONIALE!$U$4:$Z$1003,6,FALSE),IF($C$1074&gt;0,VLOOKUP($C1939,ENTI!$U$4:$Z$1003,6,FALSE),"")))</f>
        <v>#N/A</v>
      </c>
      <c r="I1939" s="496">
        <v>859</v>
      </c>
      <c r="J1939" s="43" t="e">
        <f ca="1">VLOOKUP(D1939,$F$1081:$I$4183,4,FALSE)+COUNTIF(E$1081:E1938,E1939)</f>
        <v>#N/A</v>
      </c>
      <c r="K1939" s="1"/>
      <c r="L1939" s="39" t="e">
        <f>IF($C$1074&gt;0,VLOOKUP($C1939,ENTI!$U$4:$AD$1003,10,FALSE),"")</f>
        <v>#N/A</v>
      </c>
      <c r="M1939" s="1"/>
      <c r="N1939" s="1"/>
      <c r="O1939" s="1"/>
    </row>
    <row r="1940" spans="1:15" hidden="1">
      <c r="A1940" s="1"/>
      <c r="B1940" s="40" t="e">
        <f t="shared" ca="1" si="220"/>
        <v>#N/A</v>
      </c>
      <c r="C1940" s="496">
        <v>860</v>
      </c>
      <c r="D1940" s="41" t="e">
        <f ca="1">IF($C$1076&gt;0,VLOOKUP($C1940,COSTI!$U$4:$Z$1003,3,FALSE),IF($C$1075&gt;0,VLOOKUP($C1940,PATRIMONIALE!$U$4:$Z$1003,3,FALSE),IF($C$1074&gt;0,VLOOKUP($C1940,ENTI!$U$4:$Z$1003,3,FALSE),"")))</f>
        <v>#N/A</v>
      </c>
      <c r="E1940" s="41" t="str">
        <f t="shared" ca="1" si="221"/>
        <v/>
      </c>
      <c r="F1940" s="41" t="e">
        <f t="shared" ca="1" si="222"/>
        <v>#NUM!</v>
      </c>
      <c r="G1940" s="39" t="e">
        <f ca="1">IF($C$1076&gt;0,VLOOKUP($C1940,COSTI!$U$4:$Z$1003,5,FALSE),IF($C$1075&gt;0,VLOOKUP($C1940,PATRIMONIALE!$U$4:$Z$1003,5,FALSE),IF($C$1074&gt;0,VLOOKUP($C1940,ENTI!$U$4:$Z$1003,5,FALSE),"")))</f>
        <v>#N/A</v>
      </c>
      <c r="H1940" s="42" t="e">
        <f ca="1">IF($C$1076&gt;0,VLOOKUP($C1940,COSTI!$U$4:$Z$1003,6,FALSE),IF($C$1075&gt;0,VLOOKUP($C1940,PATRIMONIALE!$U$4:$Z$1003,6,FALSE),IF($C$1074&gt;0,VLOOKUP($C1940,ENTI!$U$4:$Z$1003,6,FALSE),"")))</f>
        <v>#N/A</v>
      </c>
      <c r="I1940" s="496">
        <v>860</v>
      </c>
      <c r="J1940" s="43" t="e">
        <f ca="1">VLOOKUP(D1940,$F$1081:$I$4183,4,FALSE)+COUNTIF(E$1081:E1939,E1940)</f>
        <v>#N/A</v>
      </c>
      <c r="K1940" s="1"/>
      <c r="L1940" s="39" t="e">
        <f>IF($C$1074&gt;0,VLOOKUP($C1940,ENTI!$U$4:$AD$1003,10,FALSE),"")</f>
        <v>#N/A</v>
      </c>
      <c r="M1940" s="1"/>
      <c r="N1940" s="1"/>
      <c r="O1940" s="1"/>
    </row>
    <row r="1941" spans="1:15" hidden="1">
      <c r="A1941" s="1"/>
      <c r="B1941" s="40" t="e">
        <f t="shared" ca="1" si="220"/>
        <v>#N/A</v>
      </c>
      <c r="C1941" s="496">
        <v>861</v>
      </c>
      <c r="D1941" s="41" t="e">
        <f ca="1">IF($C$1076&gt;0,VLOOKUP($C1941,COSTI!$U$4:$Z$1003,3,FALSE),IF($C$1075&gt;0,VLOOKUP($C1941,PATRIMONIALE!$U$4:$Z$1003,3,FALSE),IF($C$1074&gt;0,VLOOKUP($C1941,ENTI!$U$4:$Z$1003,3,FALSE),"")))</f>
        <v>#N/A</v>
      </c>
      <c r="E1941" s="41" t="str">
        <f t="shared" ca="1" si="221"/>
        <v/>
      </c>
      <c r="F1941" s="41" t="e">
        <f t="shared" ca="1" si="222"/>
        <v>#NUM!</v>
      </c>
      <c r="G1941" s="39" t="e">
        <f ca="1">IF($C$1076&gt;0,VLOOKUP($C1941,COSTI!$U$4:$Z$1003,5,FALSE),IF($C$1075&gt;0,VLOOKUP($C1941,PATRIMONIALE!$U$4:$Z$1003,5,FALSE),IF($C$1074&gt;0,VLOOKUP($C1941,ENTI!$U$4:$Z$1003,5,FALSE),"")))</f>
        <v>#N/A</v>
      </c>
      <c r="H1941" s="42" t="e">
        <f ca="1">IF($C$1076&gt;0,VLOOKUP($C1941,COSTI!$U$4:$Z$1003,6,FALSE),IF($C$1075&gt;0,VLOOKUP($C1941,PATRIMONIALE!$U$4:$Z$1003,6,FALSE),IF($C$1074&gt;0,VLOOKUP($C1941,ENTI!$U$4:$Z$1003,6,FALSE),"")))</f>
        <v>#N/A</v>
      </c>
      <c r="I1941" s="496">
        <v>861</v>
      </c>
      <c r="J1941" s="43" t="e">
        <f ca="1">VLOOKUP(D1941,$F$1081:$I$4183,4,FALSE)+COUNTIF(E$1081:E1940,E1941)</f>
        <v>#N/A</v>
      </c>
      <c r="K1941" s="1"/>
      <c r="L1941" s="39" t="e">
        <f>IF($C$1074&gt;0,VLOOKUP($C1941,ENTI!$U$4:$AD$1003,10,FALSE),"")</f>
        <v>#N/A</v>
      </c>
      <c r="M1941" s="1"/>
      <c r="N1941" s="1"/>
      <c r="O1941" s="1"/>
    </row>
    <row r="1942" spans="1:15" hidden="1">
      <c r="A1942" s="1"/>
      <c r="B1942" s="40" t="e">
        <f t="shared" ca="1" si="220"/>
        <v>#N/A</v>
      </c>
      <c r="C1942" s="496">
        <v>862</v>
      </c>
      <c r="D1942" s="41" t="e">
        <f ca="1">IF($C$1076&gt;0,VLOOKUP($C1942,COSTI!$U$4:$Z$1003,3,FALSE),IF($C$1075&gt;0,VLOOKUP($C1942,PATRIMONIALE!$U$4:$Z$1003,3,FALSE),IF($C$1074&gt;0,VLOOKUP($C1942,ENTI!$U$4:$Z$1003,3,FALSE),"")))</f>
        <v>#N/A</v>
      </c>
      <c r="E1942" s="41" t="str">
        <f t="shared" ca="1" si="221"/>
        <v/>
      </c>
      <c r="F1942" s="41" t="e">
        <f t="shared" ca="1" si="222"/>
        <v>#NUM!</v>
      </c>
      <c r="G1942" s="39" t="e">
        <f ca="1">IF($C$1076&gt;0,VLOOKUP($C1942,COSTI!$U$4:$Z$1003,5,FALSE),IF($C$1075&gt;0,VLOOKUP($C1942,PATRIMONIALE!$U$4:$Z$1003,5,FALSE),IF($C$1074&gt;0,VLOOKUP($C1942,ENTI!$U$4:$Z$1003,5,FALSE),"")))</f>
        <v>#N/A</v>
      </c>
      <c r="H1942" s="42" t="e">
        <f ca="1">IF($C$1076&gt;0,VLOOKUP($C1942,COSTI!$U$4:$Z$1003,6,FALSE),IF($C$1075&gt;0,VLOOKUP($C1942,PATRIMONIALE!$U$4:$Z$1003,6,FALSE),IF($C$1074&gt;0,VLOOKUP($C1942,ENTI!$U$4:$Z$1003,6,FALSE),"")))</f>
        <v>#N/A</v>
      </c>
      <c r="I1942" s="496">
        <v>862</v>
      </c>
      <c r="J1942" s="43" t="e">
        <f ca="1">VLOOKUP(D1942,$F$1081:$I$4183,4,FALSE)+COUNTIF(E$1081:E1941,E1942)</f>
        <v>#N/A</v>
      </c>
      <c r="K1942" s="1"/>
      <c r="L1942" s="39" t="e">
        <f>IF($C$1074&gt;0,VLOOKUP($C1942,ENTI!$U$4:$AD$1003,10,FALSE),"")</f>
        <v>#N/A</v>
      </c>
      <c r="M1942" s="1"/>
      <c r="N1942" s="1"/>
      <c r="O1942" s="1"/>
    </row>
    <row r="1943" spans="1:15" hidden="1">
      <c r="A1943" s="1"/>
      <c r="B1943" s="40" t="e">
        <f t="shared" ca="1" si="220"/>
        <v>#N/A</v>
      </c>
      <c r="C1943" s="496">
        <v>863</v>
      </c>
      <c r="D1943" s="41" t="e">
        <f ca="1">IF($C$1076&gt;0,VLOOKUP($C1943,COSTI!$U$4:$Z$1003,3,FALSE),IF($C$1075&gt;0,VLOOKUP($C1943,PATRIMONIALE!$U$4:$Z$1003,3,FALSE),IF($C$1074&gt;0,VLOOKUP($C1943,ENTI!$U$4:$Z$1003,3,FALSE),"")))</f>
        <v>#N/A</v>
      </c>
      <c r="E1943" s="41" t="str">
        <f t="shared" ca="1" si="221"/>
        <v/>
      </c>
      <c r="F1943" s="41" t="e">
        <f t="shared" ca="1" si="222"/>
        <v>#NUM!</v>
      </c>
      <c r="G1943" s="39" t="e">
        <f ca="1">IF($C$1076&gt;0,VLOOKUP($C1943,COSTI!$U$4:$Z$1003,5,FALSE),IF($C$1075&gt;0,VLOOKUP($C1943,PATRIMONIALE!$U$4:$Z$1003,5,FALSE),IF($C$1074&gt;0,VLOOKUP($C1943,ENTI!$U$4:$Z$1003,5,FALSE),"")))</f>
        <v>#N/A</v>
      </c>
      <c r="H1943" s="42" t="e">
        <f ca="1">IF($C$1076&gt;0,VLOOKUP($C1943,COSTI!$U$4:$Z$1003,6,FALSE),IF($C$1075&gt;0,VLOOKUP($C1943,PATRIMONIALE!$U$4:$Z$1003,6,FALSE),IF($C$1074&gt;0,VLOOKUP($C1943,ENTI!$U$4:$Z$1003,6,FALSE),"")))</f>
        <v>#N/A</v>
      </c>
      <c r="I1943" s="496">
        <v>863</v>
      </c>
      <c r="J1943" s="43" t="e">
        <f ca="1">VLOOKUP(D1943,$F$1081:$I$4183,4,FALSE)+COUNTIF(E$1081:E1942,E1943)</f>
        <v>#N/A</v>
      </c>
      <c r="K1943" s="1"/>
      <c r="L1943" s="39" t="e">
        <f>IF($C$1074&gt;0,VLOOKUP($C1943,ENTI!$U$4:$AD$1003,10,FALSE),"")</f>
        <v>#N/A</v>
      </c>
      <c r="M1943" s="1"/>
      <c r="N1943" s="1"/>
      <c r="O1943" s="1"/>
    </row>
    <row r="1944" spans="1:15" hidden="1">
      <c r="A1944" s="1"/>
      <c r="B1944" s="40" t="e">
        <f t="shared" ca="1" si="220"/>
        <v>#N/A</v>
      </c>
      <c r="C1944" s="496">
        <v>864</v>
      </c>
      <c r="D1944" s="41" t="e">
        <f ca="1">IF($C$1076&gt;0,VLOOKUP($C1944,COSTI!$U$4:$Z$1003,3,FALSE),IF($C$1075&gt;0,VLOOKUP($C1944,PATRIMONIALE!$U$4:$Z$1003,3,FALSE),IF($C$1074&gt;0,VLOOKUP($C1944,ENTI!$U$4:$Z$1003,3,FALSE),"")))</f>
        <v>#N/A</v>
      </c>
      <c r="E1944" s="41" t="str">
        <f t="shared" ca="1" si="221"/>
        <v/>
      </c>
      <c r="F1944" s="41" t="e">
        <f t="shared" ca="1" si="222"/>
        <v>#NUM!</v>
      </c>
      <c r="G1944" s="39" t="e">
        <f ca="1">IF($C$1076&gt;0,VLOOKUP($C1944,COSTI!$U$4:$Z$1003,5,FALSE),IF($C$1075&gt;0,VLOOKUP($C1944,PATRIMONIALE!$U$4:$Z$1003,5,FALSE),IF($C$1074&gt;0,VLOOKUP($C1944,ENTI!$U$4:$Z$1003,5,FALSE),"")))</f>
        <v>#N/A</v>
      </c>
      <c r="H1944" s="42" t="e">
        <f ca="1">IF($C$1076&gt;0,VLOOKUP($C1944,COSTI!$U$4:$Z$1003,6,FALSE),IF($C$1075&gt;0,VLOOKUP($C1944,PATRIMONIALE!$U$4:$Z$1003,6,FALSE),IF($C$1074&gt;0,VLOOKUP($C1944,ENTI!$U$4:$Z$1003,6,FALSE),"")))</f>
        <v>#N/A</v>
      </c>
      <c r="I1944" s="496">
        <v>864</v>
      </c>
      <c r="J1944" s="43" t="e">
        <f ca="1">VLOOKUP(D1944,$F$1081:$I$4183,4,FALSE)+COUNTIF(E$1081:E1943,E1944)</f>
        <v>#N/A</v>
      </c>
      <c r="K1944" s="1"/>
      <c r="L1944" s="39" t="e">
        <f>IF($C$1074&gt;0,VLOOKUP($C1944,ENTI!$U$4:$AD$1003,10,FALSE),"")</f>
        <v>#N/A</v>
      </c>
      <c r="M1944" s="1"/>
      <c r="N1944" s="1"/>
      <c r="O1944" s="1"/>
    </row>
    <row r="1945" spans="1:15" hidden="1">
      <c r="A1945" s="1"/>
      <c r="B1945" s="40" t="e">
        <f t="shared" ca="1" si="220"/>
        <v>#N/A</v>
      </c>
      <c r="C1945" s="496">
        <v>865</v>
      </c>
      <c r="D1945" s="41" t="e">
        <f ca="1">IF($C$1076&gt;0,VLOOKUP($C1945,COSTI!$U$4:$Z$1003,3,FALSE),IF($C$1075&gt;0,VLOOKUP($C1945,PATRIMONIALE!$U$4:$Z$1003,3,FALSE),IF($C$1074&gt;0,VLOOKUP($C1945,ENTI!$U$4:$Z$1003,3,FALSE),"")))</f>
        <v>#N/A</v>
      </c>
      <c r="E1945" s="41" t="str">
        <f t="shared" ca="1" si="221"/>
        <v/>
      </c>
      <c r="F1945" s="41" t="e">
        <f t="shared" ca="1" si="222"/>
        <v>#NUM!</v>
      </c>
      <c r="G1945" s="39" t="e">
        <f ca="1">IF($C$1076&gt;0,VLOOKUP($C1945,COSTI!$U$4:$Z$1003,5,FALSE),IF($C$1075&gt;0,VLOOKUP($C1945,PATRIMONIALE!$U$4:$Z$1003,5,FALSE),IF($C$1074&gt;0,VLOOKUP($C1945,ENTI!$U$4:$Z$1003,5,FALSE),"")))</f>
        <v>#N/A</v>
      </c>
      <c r="H1945" s="42" t="e">
        <f ca="1">IF($C$1076&gt;0,VLOOKUP($C1945,COSTI!$U$4:$Z$1003,6,FALSE),IF($C$1075&gt;0,VLOOKUP($C1945,PATRIMONIALE!$U$4:$Z$1003,6,FALSE),IF($C$1074&gt;0,VLOOKUP($C1945,ENTI!$U$4:$Z$1003,6,FALSE),"")))</f>
        <v>#N/A</v>
      </c>
      <c r="I1945" s="496">
        <v>865</v>
      </c>
      <c r="J1945" s="43" t="e">
        <f ca="1">VLOOKUP(D1945,$F$1081:$I$4183,4,FALSE)+COUNTIF(E$1081:E1944,E1945)</f>
        <v>#N/A</v>
      </c>
      <c r="K1945" s="1"/>
      <c r="L1945" s="39" t="e">
        <f>IF($C$1074&gt;0,VLOOKUP($C1945,ENTI!$U$4:$AD$1003,10,FALSE),"")</f>
        <v>#N/A</v>
      </c>
      <c r="M1945" s="1"/>
      <c r="N1945" s="1"/>
      <c r="O1945" s="1"/>
    </row>
    <row r="1946" spans="1:15" hidden="1">
      <c r="A1946" s="1"/>
      <c r="B1946" s="40" t="e">
        <f t="shared" ca="1" si="220"/>
        <v>#N/A</v>
      </c>
      <c r="C1946" s="496">
        <v>866</v>
      </c>
      <c r="D1946" s="41" t="e">
        <f ca="1">IF($C$1076&gt;0,VLOOKUP($C1946,COSTI!$U$4:$Z$1003,3,FALSE),IF($C$1075&gt;0,VLOOKUP($C1946,PATRIMONIALE!$U$4:$Z$1003,3,FALSE),IF($C$1074&gt;0,VLOOKUP($C1946,ENTI!$U$4:$Z$1003,3,FALSE),"")))</f>
        <v>#N/A</v>
      </c>
      <c r="E1946" s="41" t="str">
        <f t="shared" ca="1" si="221"/>
        <v/>
      </c>
      <c r="F1946" s="41" t="e">
        <f t="shared" ca="1" si="222"/>
        <v>#NUM!</v>
      </c>
      <c r="G1946" s="39" t="e">
        <f ca="1">IF($C$1076&gt;0,VLOOKUP($C1946,COSTI!$U$4:$Z$1003,5,FALSE),IF($C$1075&gt;0,VLOOKUP($C1946,PATRIMONIALE!$U$4:$Z$1003,5,FALSE),IF($C$1074&gt;0,VLOOKUP($C1946,ENTI!$U$4:$Z$1003,5,FALSE),"")))</f>
        <v>#N/A</v>
      </c>
      <c r="H1946" s="42" t="e">
        <f ca="1">IF($C$1076&gt;0,VLOOKUP($C1946,COSTI!$U$4:$Z$1003,6,FALSE),IF($C$1075&gt;0,VLOOKUP($C1946,PATRIMONIALE!$U$4:$Z$1003,6,FALSE),IF($C$1074&gt;0,VLOOKUP($C1946,ENTI!$U$4:$Z$1003,6,FALSE),"")))</f>
        <v>#N/A</v>
      </c>
      <c r="I1946" s="496">
        <v>866</v>
      </c>
      <c r="J1946" s="43" t="e">
        <f ca="1">VLOOKUP(D1946,$F$1081:$I$4183,4,FALSE)+COUNTIF(E$1081:E1945,E1946)</f>
        <v>#N/A</v>
      </c>
      <c r="K1946" s="1"/>
      <c r="L1946" s="39" t="e">
        <f>IF($C$1074&gt;0,VLOOKUP($C1946,ENTI!$U$4:$AD$1003,10,FALSE),"")</f>
        <v>#N/A</v>
      </c>
      <c r="M1946" s="1"/>
      <c r="N1946" s="1"/>
      <c r="O1946" s="1"/>
    </row>
    <row r="1947" spans="1:15" hidden="1">
      <c r="A1947" s="1"/>
      <c r="B1947" s="40" t="e">
        <f t="shared" ca="1" si="220"/>
        <v>#N/A</v>
      </c>
      <c r="C1947" s="496">
        <v>867</v>
      </c>
      <c r="D1947" s="41" t="e">
        <f ca="1">IF($C$1076&gt;0,VLOOKUP($C1947,COSTI!$U$4:$Z$1003,3,FALSE),IF($C$1075&gt;0,VLOOKUP($C1947,PATRIMONIALE!$U$4:$Z$1003,3,FALSE),IF($C$1074&gt;0,VLOOKUP($C1947,ENTI!$U$4:$Z$1003,3,FALSE),"")))</f>
        <v>#N/A</v>
      </c>
      <c r="E1947" s="41" t="str">
        <f t="shared" ca="1" si="221"/>
        <v/>
      </c>
      <c r="F1947" s="41" t="e">
        <f t="shared" ca="1" si="222"/>
        <v>#NUM!</v>
      </c>
      <c r="G1947" s="39" t="e">
        <f ca="1">IF($C$1076&gt;0,VLOOKUP($C1947,COSTI!$U$4:$Z$1003,5,FALSE),IF($C$1075&gt;0,VLOOKUP($C1947,PATRIMONIALE!$U$4:$Z$1003,5,FALSE),IF($C$1074&gt;0,VLOOKUP($C1947,ENTI!$U$4:$Z$1003,5,FALSE),"")))</f>
        <v>#N/A</v>
      </c>
      <c r="H1947" s="42" t="e">
        <f ca="1">IF($C$1076&gt;0,VLOOKUP($C1947,COSTI!$U$4:$Z$1003,6,FALSE),IF($C$1075&gt;0,VLOOKUP($C1947,PATRIMONIALE!$U$4:$Z$1003,6,FALSE),IF($C$1074&gt;0,VLOOKUP($C1947,ENTI!$U$4:$Z$1003,6,FALSE),"")))</f>
        <v>#N/A</v>
      </c>
      <c r="I1947" s="496">
        <v>867</v>
      </c>
      <c r="J1947" s="43" t="e">
        <f ca="1">VLOOKUP(D1947,$F$1081:$I$4183,4,FALSE)+COUNTIF(E$1081:E1946,E1947)</f>
        <v>#N/A</v>
      </c>
      <c r="K1947" s="1"/>
      <c r="L1947" s="39" t="e">
        <f>IF($C$1074&gt;0,VLOOKUP($C1947,ENTI!$U$4:$AD$1003,10,FALSE),"")</f>
        <v>#N/A</v>
      </c>
      <c r="M1947" s="1"/>
      <c r="N1947" s="1"/>
      <c r="O1947" s="1"/>
    </row>
    <row r="1948" spans="1:15" hidden="1">
      <c r="A1948" s="1"/>
      <c r="B1948" s="40" t="e">
        <f t="shared" ca="1" si="220"/>
        <v>#N/A</v>
      </c>
      <c r="C1948" s="496">
        <v>868</v>
      </c>
      <c r="D1948" s="41" t="e">
        <f ca="1">IF($C$1076&gt;0,VLOOKUP($C1948,COSTI!$U$4:$Z$1003,3,FALSE),IF($C$1075&gt;0,VLOOKUP($C1948,PATRIMONIALE!$U$4:$Z$1003,3,FALSE),IF($C$1074&gt;0,VLOOKUP($C1948,ENTI!$U$4:$Z$1003,3,FALSE),"")))</f>
        <v>#N/A</v>
      </c>
      <c r="E1948" s="41" t="str">
        <f t="shared" ca="1" si="221"/>
        <v/>
      </c>
      <c r="F1948" s="41" t="e">
        <f t="shared" ca="1" si="222"/>
        <v>#NUM!</v>
      </c>
      <c r="G1948" s="39" t="e">
        <f ca="1">IF($C$1076&gt;0,VLOOKUP($C1948,COSTI!$U$4:$Z$1003,5,FALSE),IF($C$1075&gt;0,VLOOKUP($C1948,PATRIMONIALE!$U$4:$Z$1003,5,FALSE),IF($C$1074&gt;0,VLOOKUP($C1948,ENTI!$U$4:$Z$1003,5,FALSE),"")))</f>
        <v>#N/A</v>
      </c>
      <c r="H1948" s="42" t="e">
        <f ca="1">IF($C$1076&gt;0,VLOOKUP($C1948,COSTI!$U$4:$Z$1003,6,FALSE),IF($C$1075&gt;0,VLOOKUP($C1948,PATRIMONIALE!$U$4:$Z$1003,6,FALSE),IF($C$1074&gt;0,VLOOKUP($C1948,ENTI!$U$4:$Z$1003,6,FALSE),"")))</f>
        <v>#N/A</v>
      </c>
      <c r="I1948" s="496">
        <v>868</v>
      </c>
      <c r="J1948" s="43" t="e">
        <f ca="1">VLOOKUP(D1948,$F$1081:$I$4183,4,FALSE)+COUNTIF(E$1081:E1947,E1948)</f>
        <v>#N/A</v>
      </c>
      <c r="K1948" s="1"/>
      <c r="L1948" s="39" t="e">
        <f>IF($C$1074&gt;0,VLOOKUP($C1948,ENTI!$U$4:$AD$1003,10,FALSE),"")</f>
        <v>#N/A</v>
      </c>
      <c r="M1948" s="1"/>
      <c r="N1948" s="1"/>
      <c r="O1948" s="1"/>
    </row>
    <row r="1949" spans="1:15" hidden="1">
      <c r="A1949" s="1"/>
      <c r="B1949" s="40" t="e">
        <f t="shared" ca="1" si="220"/>
        <v>#N/A</v>
      </c>
      <c r="C1949" s="496">
        <v>869</v>
      </c>
      <c r="D1949" s="41" t="e">
        <f ca="1">IF($C$1076&gt;0,VLOOKUP($C1949,COSTI!$U$4:$Z$1003,3,FALSE),IF($C$1075&gt;0,VLOOKUP($C1949,PATRIMONIALE!$U$4:$Z$1003,3,FALSE),IF($C$1074&gt;0,VLOOKUP($C1949,ENTI!$U$4:$Z$1003,3,FALSE),"")))</f>
        <v>#N/A</v>
      </c>
      <c r="E1949" s="41" t="str">
        <f t="shared" ca="1" si="221"/>
        <v/>
      </c>
      <c r="F1949" s="41" t="e">
        <f t="shared" ca="1" si="222"/>
        <v>#NUM!</v>
      </c>
      <c r="G1949" s="39" t="e">
        <f ca="1">IF($C$1076&gt;0,VLOOKUP($C1949,COSTI!$U$4:$Z$1003,5,FALSE),IF($C$1075&gt;0,VLOOKUP($C1949,PATRIMONIALE!$U$4:$Z$1003,5,FALSE),IF($C$1074&gt;0,VLOOKUP($C1949,ENTI!$U$4:$Z$1003,5,FALSE),"")))</f>
        <v>#N/A</v>
      </c>
      <c r="H1949" s="42" t="e">
        <f ca="1">IF($C$1076&gt;0,VLOOKUP($C1949,COSTI!$U$4:$Z$1003,6,FALSE),IF($C$1075&gt;0,VLOOKUP($C1949,PATRIMONIALE!$U$4:$Z$1003,6,FALSE),IF($C$1074&gt;0,VLOOKUP($C1949,ENTI!$U$4:$Z$1003,6,FALSE),"")))</f>
        <v>#N/A</v>
      </c>
      <c r="I1949" s="496">
        <v>869</v>
      </c>
      <c r="J1949" s="43" t="e">
        <f ca="1">VLOOKUP(D1949,$F$1081:$I$4183,4,FALSE)+COUNTIF(E$1081:E1948,E1949)</f>
        <v>#N/A</v>
      </c>
      <c r="K1949" s="1"/>
      <c r="L1949" s="39" t="e">
        <f>IF($C$1074&gt;0,VLOOKUP($C1949,ENTI!$U$4:$AD$1003,10,FALSE),"")</f>
        <v>#N/A</v>
      </c>
      <c r="M1949" s="1"/>
      <c r="N1949" s="1"/>
      <c r="O1949" s="1"/>
    </row>
    <row r="1950" spans="1:15" hidden="1">
      <c r="A1950" s="1"/>
      <c r="B1950" s="40" t="e">
        <f t="shared" ca="1" si="220"/>
        <v>#N/A</v>
      </c>
      <c r="C1950" s="496">
        <v>870</v>
      </c>
      <c r="D1950" s="41" t="e">
        <f ca="1">IF($C$1076&gt;0,VLOOKUP($C1950,COSTI!$U$4:$Z$1003,3,FALSE),IF($C$1075&gt;0,VLOOKUP($C1950,PATRIMONIALE!$U$4:$Z$1003,3,FALSE),IF($C$1074&gt;0,VLOOKUP($C1950,ENTI!$U$4:$Z$1003,3,FALSE),"")))</f>
        <v>#N/A</v>
      </c>
      <c r="E1950" s="41" t="str">
        <f t="shared" ca="1" si="221"/>
        <v/>
      </c>
      <c r="F1950" s="41" t="e">
        <f t="shared" ca="1" si="222"/>
        <v>#NUM!</v>
      </c>
      <c r="G1950" s="39" t="e">
        <f ca="1">IF($C$1076&gt;0,VLOOKUP($C1950,COSTI!$U$4:$Z$1003,5,FALSE),IF($C$1075&gt;0,VLOOKUP($C1950,PATRIMONIALE!$U$4:$Z$1003,5,FALSE),IF($C$1074&gt;0,VLOOKUP($C1950,ENTI!$U$4:$Z$1003,5,FALSE),"")))</f>
        <v>#N/A</v>
      </c>
      <c r="H1950" s="42" t="e">
        <f ca="1">IF($C$1076&gt;0,VLOOKUP($C1950,COSTI!$U$4:$Z$1003,6,FALSE),IF($C$1075&gt;0,VLOOKUP($C1950,PATRIMONIALE!$U$4:$Z$1003,6,FALSE),IF($C$1074&gt;0,VLOOKUP($C1950,ENTI!$U$4:$Z$1003,6,FALSE),"")))</f>
        <v>#N/A</v>
      </c>
      <c r="I1950" s="496">
        <v>870</v>
      </c>
      <c r="J1950" s="43" t="e">
        <f ca="1">VLOOKUP(D1950,$F$1081:$I$4183,4,FALSE)+COUNTIF(E$1081:E1949,E1950)</f>
        <v>#N/A</v>
      </c>
      <c r="K1950" s="1"/>
      <c r="L1950" s="39" t="e">
        <f>IF($C$1074&gt;0,VLOOKUP($C1950,ENTI!$U$4:$AD$1003,10,FALSE),"")</f>
        <v>#N/A</v>
      </c>
      <c r="M1950" s="1"/>
      <c r="N1950" s="1"/>
      <c r="O1950" s="1"/>
    </row>
    <row r="1951" spans="1:15" hidden="1">
      <c r="A1951" s="1"/>
      <c r="B1951" s="40" t="e">
        <f t="shared" ca="1" si="220"/>
        <v>#N/A</v>
      </c>
      <c r="C1951" s="496">
        <v>871</v>
      </c>
      <c r="D1951" s="41" t="e">
        <f ca="1">IF($C$1076&gt;0,VLOOKUP($C1951,COSTI!$U$4:$Z$1003,3,FALSE),IF($C$1075&gt;0,VLOOKUP($C1951,PATRIMONIALE!$U$4:$Z$1003,3,FALSE),IF($C$1074&gt;0,VLOOKUP($C1951,ENTI!$U$4:$Z$1003,3,FALSE),"")))</f>
        <v>#N/A</v>
      </c>
      <c r="E1951" s="41" t="str">
        <f t="shared" ca="1" si="221"/>
        <v/>
      </c>
      <c r="F1951" s="41" t="e">
        <f t="shared" ca="1" si="222"/>
        <v>#NUM!</v>
      </c>
      <c r="G1951" s="39" t="e">
        <f ca="1">IF($C$1076&gt;0,VLOOKUP($C1951,COSTI!$U$4:$Z$1003,5,FALSE),IF($C$1075&gt;0,VLOOKUP($C1951,PATRIMONIALE!$U$4:$Z$1003,5,FALSE),IF($C$1074&gt;0,VLOOKUP($C1951,ENTI!$U$4:$Z$1003,5,FALSE),"")))</f>
        <v>#N/A</v>
      </c>
      <c r="H1951" s="42" t="e">
        <f ca="1">IF($C$1076&gt;0,VLOOKUP($C1951,COSTI!$U$4:$Z$1003,6,FALSE),IF($C$1075&gt;0,VLOOKUP($C1951,PATRIMONIALE!$U$4:$Z$1003,6,FALSE),IF($C$1074&gt;0,VLOOKUP($C1951,ENTI!$U$4:$Z$1003,6,FALSE),"")))</f>
        <v>#N/A</v>
      </c>
      <c r="I1951" s="496">
        <v>871</v>
      </c>
      <c r="J1951" s="43" t="e">
        <f ca="1">VLOOKUP(D1951,$F$1081:$I$4183,4,FALSE)+COUNTIF(E$1081:E1950,E1951)</f>
        <v>#N/A</v>
      </c>
      <c r="K1951" s="1"/>
      <c r="L1951" s="39" t="e">
        <f>IF($C$1074&gt;0,VLOOKUP($C1951,ENTI!$U$4:$AD$1003,10,FALSE),"")</f>
        <v>#N/A</v>
      </c>
      <c r="M1951" s="1"/>
      <c r="N1951" s="1"/>
      <c r="O1951" s="1"/>
    </row>
    <row r="1952" spans="1:15" hidden="1">
      <c r="A1952" s="1"/>
      <c r="B1952" s="40" t="e">
        <f t="shared" ca="1" si="220"/>
        <v>#N/A</v>
      </c>
      <c r="C1952" s="496">
        <v>872</v>
      </c>
      <c r="D1952" s="41" t="e">
        <f ca="1">IF($C$1076&gt;0,VLOOKUP($C1952,COSTI!$U$4:$Z$1003,3,FALSE),IF($C$1075&gt;0,VLOOKUP($C1952,PATRIMONIALE!$U$4:$Z$1003,3,FALSE),IF($C$1074&gt;0,VLOOKUP($C1952,ENTI!$U$4:$Z$1003,3,FALSE),"")))</f>
        <v>#N/A</v>
      </c>
      <c r="E1952" s="41" t="str">
        <f t="shared" ca="1" si="221"/>
        <v/>
      </c>
      <c r="F1952" s="41" t="e">
        <f t="shared" ca="1" si="222"/>
        <v>#NUM!</v>
      </c>
      <c r="G1952" s="39" t="e">
        <f ca="1">IF($C$1076&gt;0,VLOOKUP($C1952,COSTI!$U$4:$Z$1003,5,FALSE),IF($C$1075&gt;0,VLOOKUP($C1952,PATRIMONIALE!$U$4:$Z$1003,5,FALSE),IF($C$1074&gt;0,VLOOKUP($C1952,ENTI!$U$4:$Z$1003,5,FALSE),"")))</f>
        <v>#N/A</v>
      </c>
      <c r="H1952" s="42" t="e">
        <f ca="1">IF($C$1076&gt;0,VLOOKUP($C1952,COSTI!$U$4:$Z$1003,6,FALSE),IF($C$1075&gt;0,VLOOKUP($C1952,PATRIMONIALE!$U$4:$Z$1003,6,FALSE),IF($C$1074&gt;0,VLOOKUP($C1952,ENTI!$U$4:$Z$1003,6,FALSE),"")))</f>
        <v>#N/A</v>
      </c>
      <c r="I1952" s="496">
        <v>872</v>
      </c>
      <c r="J1952" s="43" t="e">
        <f ca="1">VLOOKUP(D1952,$F$1081:$I$4183,4,FALSE)+COUNTIF(E$1081:E1951,E1952)</f>
        <v>#N/A</v>
      </c>
      <c r="K1952" s="1"/>
      <c r="L1952" s="39" t="e">
        <f>IF($C$1074&gt;0,VLOOKUP($C1952,ENTI!$U$4:$AD$1003,10,FALSE),"")</f>
        <v>#N/A</v>
      </c>
      <c r="M1952" s="1"/>
      <c r="N1952" s="1"/>
      <c r="O1952" s="1"/>
    </row>
    <row r="1953" spans="1:15" hidden="1">
      <c r="A1953" s="1"/>
      <c r="B1953" s="40" t="e">
        <f t="shared" ca="1" si="220"/>
        <v>#N/A</v>
      </c>
      <c r="C1953" s="496">
        <v>873</v>
      </c>
      <c r="D1953" s="41" t="e">
        <f ca="1">IF($C$1076&gt;0,VLOOKUP($C1953,COSTI!$U$4:$Z$1003,3,FALSE),IF($C$1075&gt;0,VLOOKUP($C1953,PATRIMONIALE!$U$4:$Z$1003,3,FALSE),IF($C$1074&gt;0,VLOOKUP($C1953,ENTI!$U$4:$Z$1003,3,FALSE),"")))</f>
        <v>#N/A</v>
      </c>
      <c r="E1953" s="41" t="str">
        <f t="shared" ca="1" si="221"/>
        <v/>
      </c>
      <c r="F1953" s="41" t="e">
        <f t="shared" ca="1" si="222"/>
        <v>#NUM!</v>
      </c>
      <c r="G1953" s="39" t="e">
        <f ca="1">IF($C$1076&gt;0,VLOOKUP($C1953,COSTI!$U$4:$Z$1003,5,FALSE),IF($C$1075&gt;0,VLOOKUP($C1953,PATRIMONIALE!$U$4:$Z$1003,5,FALSE),IF($C$1074&gt;0,VLOOKUP($C1953,ENTI!$U$4:$Z$1003,5,FALSE),"")))</f>
        <v>#N/A</v>
      </c>
      <c r="H1953" s="42" t="e">
        <f ca="1">IF($C$1076&gt;0,VLOOKUP($C1953,COSTI!$U$4:$Z$1003,6,FALSE),IF($C$1075&gt;0,VLOOKUP($C1953,PATRIMONIALE!$U$4:$Z$1003,6,FALSE),IF($C$1074&gt;0,VLOOKUP($C1953,ENTI!$U$4:$Z$1003,6,FALSE),"")))</f>
        <v>#N/A</v>
      </c>
      <c r="I1953" s="496">
        <v>873</v>
      </c>
      <c r="J1953" s="43" t="e">
        <f ca="1">VLOOKUP(D1953,$F$1081:$I$4183,4,FALSE)+COUNTIF(E$1081:E1952,E1953)</f>
        <v>#N/A</v>
      </c>
      <c r="K1953" s="1"/>
      <c r="L1953" s="39" t="e">
        <f>IF($C$1074&gt;0,VLOOKUP($C1953,ENTI!$U$4:$AD$1003,10,FALSE),"")</f>
        <v>#N/A</v>
      </c>
      <c r="M1953" s="1"/>
      <c r="N1953" s="1"/>
      <c r="O1953" s="1"/>
    </row>
    <row r="1954" spans="1:15" hidden="1">
      <c r="A1954" s="1"/>
      <c r="B1954" s="40" t="e">
        <f t="shared" ca="1" si="220"/>
        <v>#N/A</v>
      </c>
      <c r="C1954" s="496">
        <v>874</v>
      </c>
      <c r="D1954" s="41" t="e">
        <f ca="1">IF($C$1076&gt;0,VLOOKUP($C1954,COSTI!$U$4:$Z$1003,3,FALSE),IF($C$1075&gt;0,VLOOKUP($C1954,PATRIMONIALE!$U$4:$Z$1003,3,FALSE),IF($C$1074&gt;0,VLOOKUP($C1954,ENTI!$U$4:$Z$1003,3,FALSE),"")))</f>
        <v>#N/A</v>
      </c>
      <c r="E1954" s="41" t="str">
        <f t="shared" ca="1" si="221"/>
        <v/>
      </c>
      <c r="F1954" s="41" t="e">
        <f t="shared" ca="1" si="222"/>
        <v>#NUM!</v>
      </c>
      <c r="G1954" s="39" t="e">
        <f ca="1">IF($C$1076&gt;0,VLOOKUP($C1954,COSTI!$U$4:$Z$1003,5,FALSE),IF($C$1075&gt;0,VLOOKUP($C1954,PATRIMONIALE!$U$4:$Z$1003,5,FALSE),IF($C$1074&gt;0,VLOOKUP($C1954,ENTI!$U$4:$Z$1003,5,FALSE),"")))</f>
        <v>#N/A</v>
      </c>
      <c r="H1954" s="42" t="e">
        <f ca="1">IF($C$1076&gt;0,VLOOKUP($C1954,COSTI!$U$4:$Z$1003,6,FALSE),IF($C$1075&gt;0,VLOOKUP($C1954,PATRIMONIALE!$U$4:$Z$1003,6,FALSE),IF($C$1074&gt;0,VLOOKUP($C1954,ENTI!$U$4:$Z$1003,6,FALSE),"")))</f>
        <v>#N/A</v>
      </c>
      <c r="I1954" s="496">
        <v>874</v>
      </c>
      <c r="J1954" s="43" t="e">
        <f ca="1">VLOOKUP(D1954,$F$1081:$I$4183,4,FALSE)+COUNTIF(E$1081:E1953,E1954)</f>
        <v>#N/A</v>
      </c>
      <c r="K1954" s="1"/>
      <c r="L1954" s="39" t="e">
        <f>IF($C$1074&gt;0,VLOOKUP($C1954,ENTI!$U$4:$AD$1003,10,FALSE),"")</f>
        <v>#N/A</v>
      </c>
      <c r="M1954" s="1"/>
      <c r="N1954" s="1"/>
      <c r="O1954" s="1"/>
    </row>
    <row r="1955" spans="1:15" hidden="1">
      <c r="A1955" s="1"/>
      <c r="B1955" s="40" t="e">
        <f t="shared" ca="1" si="220"/>
        <v>#N/A</v>
      </c>
      <c r="C1955" s="496">
        <v>875</v>
      </c>
      <c r="D1955" s="41" t="e">
        <f ca="1">IF($C$1076&gt;0,VLOOKUP($C1955,COSTI!$U$4:$Z$1003,3,FALSE),IF($C$1075&gt;0,VLOOKUP($C1955,PATRIMONIALE!$U$4:$Z$1003,3,FALSE),IF($C$1074&gt;0,VLOOKUP($C1955,ENTI!$U$4:$Z$1003,3,FALSE),"")))</f>
        <v>#N/A</v>
      </c>
      <c r="E1955" s="41" t="str">
        <f t="shared" ca="1" si="221"/>
        <v/>
      </c>
      <c r="F1955" s="41" t="e">
        <f t="shared" ca="1" si="222"/>
        <v>#NUM!</v>
      </c>
      <c r="G1955" s="39" t="e">
        <f ca="1">IF($C$1076&gt;0,VLOOKUP($C1955,COSTI!$U$4:$Z$1003,5,FALSE),IF($C$1075&gt;0,VLOOKUP($C1955,PATRIMONIALE!$U$4:$Z$1003,5,FALSE),IF($C$1074&gt;0,VLOOKUP($C1955,ENTI!$U$4:$Z$1003,5,FALSE),"")))</f>
        <v>#N/A</v>
      </c>
      <c r="H1955" s="42" t="e">
        <f ca="1">IF($C$1076&gt;0,VLOOKUP($C1955,COSTI!$U$4:$Z$1003,6,FALSE),IF($C$1075&gt;0,VLOOKUP($C1955,PATRIMONIALE!$U$4:$Z$1003,6,FALSE),IF($C$1074&gt;0,VLOOKUP($C1955,ENTI!$U$4:$Z$1003,6,FALSE),"")))</f>
        <v>#N/A</v>
      </c>
      <c r="I1955" s="496">
        <v>875</v>
      </c>
      <c r="J1955" s="43" t="e">
        <f ca="1">VLOOKUP(D1955,$F$1081:$I$4183,4,FALSE)+COUNTIF(E$1081:E1954,E1955)</f>
        <v>#N/A</v>
      </c>
      <c r="K1955" s="1"/>
      <c r="L1955" s="39" t="e">
        <f>IF($C$1074&gt;0,VLOOKUP($C1955,ENTI!$U$4:$AD$1003,10,FALSE),"")</f>
        <v>#N/A</v>
      </c>
      <c r="M1955" s="1"/>
      <c r="N1955" s="1"/>
      <c r="O1955" s="1"/>
    </row>
    <row r="1956" spans="1:15" hidden="1">
      <c r="A1956" s="1"/>
      <c r="B1956" s="40" t="e">
        <f t="shared" ca="1" si="220"/>
        <v>#N/A</v>
      </c>
      <c r="C1956" s="496">
        <v>876</v>
      </c>
      <c r="D1956" s="41" t="e">
        <f ca="1">IF($C$1076&gt;0,VLOOKUP($C1956,COSTI!$U$4:$Z$1003,3,FALSE),IF($C$1075&gt;0,VLOOKUP($C1956,PATRIMONIALE!$U$4:$Z$1003,3,FALSE),IF($C$1074&gt;0,VLOOKUP($C1956,ENTI!$U$4:$Z$1003,3,FALSE),"")))</f>
        <v>#N/A</v>
      </c>
      <c r="E1956" s="41" t="str">
        <f t="shared" ca="1" si="221"/>
        <v/>
      </c>
      <c r="F1956" s="41" t="e">
        <f t="shared" ca="1" si="222"/>
        <v>#NUM!</v>
      </c>
      <c r="G1956" s="39" t="e">
        <f ca="1">IF($C$1076&gt;0,VLOOKUP($C1956,COSTI!$U$4:$Z$1003,5,FALSE),IF($C$1075&gt;0,VLOOKUP($C1956,PATRIMONIALE!$U$4:$Z$1003,5,FALSE),IF($C$1074&gt;0,VLOOKUP($C1956,ENTI!$U$4:$Z$1003,5,FALSE),"")))</f>
        <v>#N/A</v>
      </c>
      <c r="H1956" s="42" t="e">
        <f ca="1">IF($C$1076&gt;0,VLOOKUP($C1956,COSTI!$U$4:$Z$1003,6,FALSE),IF($C$1075&gt;0,VLOOKUP($C1956,PATRIMONIALE!$U$4:$Z$1003,6,FALSE),IF($C$1074&gt;0,VLOOKUP($C1956,ENTI!$U$4:$Z$1003,6,FALSE),"")))</f>
        <v>#N/A</v>
      </c>
      <c r="I1956" s="496">
        <v>876</v>
      </c>
      <c r="J1956" s="43" t="e">
        <f ca="1">VLOOKUP(D1956,$F$1081:$I$4183,4,FALSE)+COUNTIF(E$1081:E1955,E1956)</f>
        <v>#N/A</v>
      </c>
      <c r="K1956" s="1"/>
      <c r="L1956" s="39" t="e">
        <f>IF($C$1074&gt;0,VLOOKUP($C1956,ENTI!$U$4:$AD$1003,10,FALSE),"")</f>
        <v>#N/A</v>
      </c>
      <c r="M1956" s="1"/>
      <c r="N1956" s="1"/>
      <c r="O1956" s="1"/>
    </row>
    <row r="1957" spans="1:15" hidden="1">
      <c r="A1957" s="1"/>
      <c r="B1957" s="40" t="e">
        <f t="shared" ca="1" si="220"/>
        <v>#N/A</v>
      </c>
      <c r="C1957" s="496">
        <v>877</v>
      </c>
      <c r="D1957" s="41" t="e">
        <f ca="1">IF($C$1076&gt;0,VLOOKUP($C1957,COSTI!$U$4:$Z$1003,3,FALSE),IF($C$1075&gt;0,VLOOKUP($C1957,PATRIMONIALE!$U$4:$Z$1003,3,FALSE),IF($C$1074&gt;0,VLOOKUP($C1957,ENTI!$U$4:$Z$1003,3,FALSE),"")))</f>
        <v>#N/A</v>
      </c>
      <c r="E1957" s="41" t="str">
        <f t="shared" ca="1" si="221"/>
        <v/>
      </c>
      <c r="F1957" s="41" t="e">
        <f t="shared" ca="1" si="222"/>
        <v>#NUM!</v>
      </c>
      <c r="G1957" s="39" t="e">
        <f ca="1">IF($C$1076&gt;0,VLOOKUP($C1957,COSTI!$U$4:$Z$1003,5,FALSE),IF($C$1075&gt;0,VLOOKUP($C1957,PATRIMONIALE!$U$4:$Z$1003,5,FALSE),IF($C$1074&gt;0,VLOOKUP($C1957,ENTI!$U$4:$Z$1003,5,FALSE),"")))</f>
        <v>#N/A</v>
      </c>
      <c r="H1957" s="42" t="e">
        <f ca="1">IF($C$1076&gt;0,VLOOKUP($C1957,COSTI!$U$4:$Z$1003,6,FALSE),IF($C$1075&gt;0,VLOOKUP($C1957,PATRIMONIALE!$U$4:$Z$1003,6,FALSE),IF($C$1074&gt;0,VLOOKUP($C1957,ENTI!$U$4:$Z$1003,6,FALSE),"")))</f>
        <v>#N/A</v>
      </c>
      <c r="I1957" s="496">
        <v>877</v>
      </c>
      <c r="J1957" s="43" t="e">
        <f ca="1">VLOOKUP(D1957,$F$1081:$I$4183,4,FALSE)+COUNTIF(E$1081:E1956,E1957)</f>
        <v>#N/A</v>
      </c>
      <c r="K1957" s="1"/>
      <c r="L1957" s="39" t="e">
        <f>IF($C$1074&gt;0,VLOOKUP($C1957,ENTI!$U$4:$AD$1003,10,FALSE),"")</f>
        <v>#N/A</v>
      </c>
      <c r="M1957" s="1"/>
      <c r="N1957" s="1"/>
      <c r="O1957" s="1"/>
    </row>
    <row r="1958" spans="1:15" hidden="1">
      <c r="A1958" s="1"/>
      <c r="B1958" s="40" t="e">
        <f t="shared" ca="1" si="220"/>
        <v>#N/A</v>
      </c>
      <c r="C1958" s="496">
        <v>878</v>
      </c>
      <c r="D1958" s="41" t="e">
        <f ca="1">IF($C$1076&gt;0,VLOOKUP($C1958,COSTI!$U$4:$Z$1003,3,FALSE),IF($C$1075&gt;0,VLOOKUP($C1958,PATRIMONIALE!$U$4:$Z$1003,3,FALSE),IF($C$1074&gt;0,VLOOKUP($C1958,ENTI!$U$4:$Z$1003,3,FALSE),"")))</f>
        <v>#N/A</v>
      </c>
      <c r="E1958" s="41" t="str">
        <f t="shared" ca="1" si="221"/>
        <v/>
      </c>
      <c r="F1958" s="41" t="e">
        <f t="shared" ca="1" si="222"/>
        <v>#NUM!</v>
      </c>
      <c r="G1958" s="39" t="e">
        <f ca="1">IF($C$1076&gt;0,VLOOKUP($C1958,COSTI!$U$4:$Z$1003,5,FALSE),IF($C$1075&gt;0,VLOOKUP($C1958,PATRIMONIALE!$U$4:$Z$1003,5,FALSE),IF($C$1074&gt;0,VLOOKUP($C1958,ENTI!$U$4:$Z$1003,5,FALSE),"")))</f>
        <v>#N/A</v>
      </c>
      <c r="H1958" s="42" t="e">
        <f ca="1">IF($C$1076&gt;0,VLOOKUP($C1958,COSTI!$U$4:$Z$1003,6,FALSE),IF($C$1075&gt;0,VLOOKUP($C1958,PATRIMONIALE!$U$4:$Z$1003,6,FALSE),IF($C$1074&gt;0,VLOOKUP($C1958,ENTI!$U$4:$Z$1003,6,FALSE),"")))</f>
        <v>#N/A</v>
      </c>
      <c r="I1958" s="496">
        <v>878</v>
      </c>
      <c r="J1958" s="43" t="e">
        <f ca="1">VLOOKUP(D1958,$F$1081:$I$4183,4,FALSE)+COUNTIF(E$1081:E1957,E1958)</f>
        <v>#N/A</v>
      </c>
      <c r="K1958" s="1"/>
      <c r="L1958" s="39" t="e">
        <f>IF($C$1074&gt;0,VLOOKUP($C1958,ENTI!$U$4:$AD$1003,10,FALSE),"")</f>
        <v>#N/A</v>
      </c>
      <c r="M1958" s="1"/>
      <c r="N1958" s="1"/>
      <c r="O1958" s="1"/>
    </row>
    <row r="1959" spans="1:15" hidden="1">
      <c r="A1959" s="1"/>
      <c r="B1959" s="40" t="e">
        <f t="shared" ca="1" si="220"/>
        <v>#N/A</v>
      </c>
      <c r="C1959" s="496">
        <v>879</v>
      </c>
      <c r="D1959" s="41" t="e">
        <f ca="1">IF($C$1076&gt;0,VLOOKUP($C1959,COSTI!$U$4:$Z$1003,3,FALSE),IF($C$1075&gt;0,VLOOKUP($C1959,PATRIMONIALE!$U$4:$Z$1003,3,FALSE),IF($C$1074&gt;0,VLOOKUP($C1959,ENTI!$U$4:$Z$1003,3,FALSE),"")))</f>
        <v>#N/A</v>
      </c>
      <c r="E1959" s="41" t="str">
        <f t="shared" ca="1" si="221"/>
        <v/>
      </c>
      <c r="F1959" s="41" t="e">
        <f t="shared" ca="1" si="222"/>
        <v>#NUM!</v>
      </c>
      <c r="G1959" s="39" t="e">
        <f ca="1">IF($C$1076&gt;0,VLOOKUP($C1959,COSTI!$U$4:$Z$1003,5,FALSE),IF($C$1075&gt;0,VLOOKUP($C1959,PATRIMONIALE!$U$4:$Z$1003,5,FALSE),IF($C$1074&gt;0,VLOOKUP($C1959,ENTI!$U$4:$Z$1003,5,FALSE),"")))</f>
        <v>#N/A</v>
      </c>
      <c r="H1959" s="42" t="e">
        <f ca="1">IF($C$1076&gt;0,VLOOKUP($C1959,COSTI!$U$4:$Z$1003,6,FALSE),IF($C$1075&gt;0,VLOOKUP($C1959,PATRIMONIALE!$U$4:$Z$1003,6,FALSE),IF($C$1074&gt;0,VLOOKUP($C1959,ENTI!$U$4:$Z$1003,6,FALSE),"")))</f>
        <v>#N/A</v>
      </c>
      <c r="I1959" s="496">
        <v>879</v>
      </c>
      <c r="J1959" s="43" t="e">
        <f ca="1">VLOOKUP(D1959,$F$1081:$I$4183,4,FALSE)+COUNTIF(E$1081:E1958,E1959)</f>
        <v>#N/A</v>
      </c>
      <c r="K1959" s="1"/>
      <c r="L1959" s="39" t="e">
        <f>IF($C$1074&gt;0,VLOOKUP($C1959,ENTI!$U$4:$AD$1003,10,FALSE),"")</f>
        <v>#N/A</v>
      </c>
      <c r="M1959" s="1"/>
      <c r="N1959" s="1"/>
      <c r="O1959" s="1"/>
    </row>
    <row r="1960" spans="1:15" hidden="1">
      <c r="A1960" s="1"/>
      <c r="B1960" s="40" t="e">
        <f t="shared" ca="1" si="220"/>
        <v>#N/A</v>
      </c>
      <c r="C1960" s="496">
        <v>880</v>
      </c>
      <c r="D1960" s="41" t="e">
        <f ca="1">IF($C$1076&gt;0,VLOOKUP($C1960,COSTI!$U$4:$Z$1003,3,FALSE),IF($C$1075&gt;0,VLOOKUP($C1960,PATRIMONIALE!$U$4:$Z$1003,3,FALSE),IF($C$1074&gt;0,VLOOKUP($C1960,ENTI!$U$4:$Z$1003,3,FALSE),"")))</f>
        <v>#N/A</v>
      </c>
      <c r="E1960" s="41" t="str">
        <f t="shared" ca="1" si="221"/>
        <v/>
      </c>
      <c r="F1960" s="41" t="e">
        <f t="shared" ca="1" si="222"/>
        <v>#NUM!</v>
      </c>
      <c r="G1960" s="39" t="e">
        <f ca="1">IF($C$1076&gt;0,VLOOKUP($C1960,COSTI!$U$4:$Z$1003,5,FALSE),IF($C$1075&gt;0,VLOOKUP($C1960,PATRIMONIALE!$U$4:$Z$1003,5,FALSE),IF($C$1074&gt;0,VLOOKUP($C1960,ENTI!$U$4:$Z$1003,5,FALSE),"")))</f>
        <v>#N/A</v>
      </c>
      <c r="H1960" s="42" t="e">
        <f ca="1">IF($C$1076&gt;0,VLOOKUP($C1960,COSTI!$U$4:$Z$1003,6,FALSE),IF($C$1075&gt;0,VLOOKUP($C1960,PATRIMONIALE!$U$4:$Z$1003,6,FALSE),IF($C$1074&gt;0,VLOOKUP($C1960,ENTI!$U$4:$Z$1003,6,FALSE),"")))</f>
        <v>#N/A</v>
      </c>
      <c r="I1960" s="496">
        <v>880</v>
      </c>
      <c r="J1960" s="43" t="e">
        <f ca="1">VLOOKUP(D1960,$F$1081:$I$4183,4,FALSE)+COUNTIF(E$1081:E1959,E1960)</f>
        <v>#N/A</v>
      </c>
      <c r="K1960" s="1"/>
      <c r="L1960" s="39" t="e">
        <f>IF($C$1074&gt;0,VLOOKUP($C1960,ENTI!$U$4:$AD$1003,10,FALSE),"")</f>
        <v>#N/A</v>
      </c>
      <c r="M1960" s="1"/>
      <c r="N1960" s="1"/>
      <c r="O1960" s="1"/>
    </row>
    <row r="1961" spans="1:15" hidden="1">
      <c r="A1961" s="1"/>
      <c r="B1961" s="40" t="e">
        <f t="shared" ca="1" si="220"/>
        <v>#N/A</v>
      </c>
      <c r="C1961" s="496">
        <v>881</v>
      </c>
      <c r="D1961" s="41" t="e">
        <f ca="1">IF($C$1076&gt;0,VLOOKUP($C1961,COSTI!$U$4:$Z$1003,3,FALSE),IF($C$1075&gt;0,VLOOKUP($C1961,PATRIMONIALE!$U$4:$Z$1003,3,FALSE),IF($C$1074&gt;0,VLOOKUP($C1961,ENTI!$U$4:$Z$1003,3,FALSE),"")))</f>
        <v>#N/A</v>
      </c>
      <c r="E1961" s="41" t="str">
        <f t="shared" ca="1" si="221"/>
        <v/>
      </c>
      <c r="F1961" s="41" t="e">
        <f t="shared" ca="1" si="222"/>
        <v>#NUM!</v>
      </c>
      <c r="G1961" s="39" t="e">
        <f ca="1">IF($C$1076&gt;0,VLOOKUP($C1961,COSTI!$U$4:$Z$1003,5,FALSE),IF($C$1075&gt;0,VLOOKUP($C1961,PATRIMONIALE!$U$4:$Z$1003,5,FALSE),IF($C$1074&gt;0,VLOOKUP($C1961,ENTI!$U$4:$Z$1003,5,FALSE),"")))</f>
        <v>#N/A</v>
      </c>
      <c r="H1961" s="42" t="e">
        <f ca="1">IF($C$1076&gt;0,VLOOKUP($C1961,COSTI!$U$4:$Z$1003,6,FALSE),IF($C$1075&gt;0,VLOOKUP($C1961,PATRIMONIALE!$U$4:$Z$1003,6,FALSE),IF($C$1074&gt;0,VLOOKUP($C1961,ENTI!$U$4:$Z$1003,6,FALSE),"")))</f>
        <v>#N/A</v>
      </c>
      <c r="I1961" s="496">
        <v>881</v>
      </c>
      <c r="J1961" s="43" t="e">
        <f ca="1">VLOOKUP(D1961,$F$1081:$I$4183,4,FALSE)+COUNTIF(E$1081:E1960,E1961)</f>
        <v>#N/A</v>
      </c>
      <c r="K1961" s="1"/>
      <c r="L1961" s="39" t="e">
        <f>IF($C$1074&gt;0,VLOOKUP($C1961,ENTI!$U$4:$AD$1003,10,FALSE),"")</f>
        <v>#N/A</v>
      </c>
      <c r="M1961" s="1"/>
      <c r="N1961" s="1"/>
      <c r="O1961" s="1"/>
    </row>
    <row r="1962" spans="1:15" hidden="1">
      <c r="A1962" s="1"/>
      <c r="B1962" s="40" t="e">
        <f t="shared" ca="1" si="220"/>
        <v>#N/A</v>
      </c>
      <c r="C1962" s="496">
        <v>882</v>
      </c>
      <c r="D1962" s="41" t="e">
        <f ca="1">IF($C$1076&gt;0,VLOOKUP($C1962,COSTI!$U$4:$Z$1003,3,FALSE),IF($C$1075&gt;0,VLOOKUP($C1962,PATRIMONIALE!$U$4:$Z$1003,3,FALSE),IF($C$1074&gt;0,VLOOKUP($C1962,ENTI!$U$4:$Z$1003,3,FALSE),"")))</f>
        <v>#N/A</v>
      </c>
      <c r="E1962" s="41" t="str">
        <f t="shared" ca="1" si="221"/>
        <v/>
      </c>
      <c r="F1962" s="41" t="e">
        <f t="shared" ca="1" si="222"/>
        <v>#NUM!</v>
      </c>
      <c r="G1962" s="39" t="e">
        <f ca="1">IF($C$1076&gt;0,VLOOKUP($C1962,COSTI!$U$4:$Z$1003,5,FALSE),IF($C$1075&gt;0,VLOOKUP($C1962,PATRIMONIALE!$U$4:$Z$1003,5,FALSE),IF($C$1074&gt;0,VLOOKUP($C1962,ENTI!$U$4:$Z$1003,5,FALSE),"")))</f>
        <v>#N/A</v>
      </c>
      <c r="H1962" s="42" t="e">
        <f ca="1">IF($C$1076&gt;0,VLOOKUP($C1962,COSTI!$U$4:$Z$1003,6,FALSE),IF($C$1075&gt;0,VLOOKUP($C1962,PATRIMONIALE!$U$4:$Z$1003,6,FALSE),IF($C$1074&gt;0,VLOOKUP($C1962,ENTI!$U$4:$Z$1003,6,FALSE),"")))</f>
        <v>#N/A</v>
      </c>
      <c r="I1962" s="496">
        <v>882</v>
      </c>
      <c r="J1962" s="43" t="e">
        <f ca="1">VLOOKUP(D1962,$F$1081:$I$4183,4,FALSE)+COUNTIF(E$1081:E1961,E1962)</f>
        <v>#N/A</v>
      </c>
      <c r="K1962" s="1"/>
      <c r="L1962" s="39" t="e">
        <f>IF($C$1074&gt;0,VLOOKUP($C1962,ENTI!$U$4:$AD$1003,10,FALSE),"")</f>
        <v>#N/A</v>
      </c>
      <c r="M1962" s="1"/>
      <c r="N1962" s="1"/>
      <c r="O1962" s="1"/>
    </row>
    <row r="1963" spans="1:15" hidden="1">
      <c r="A1963" s="1"/>
      <c r="B1963" s="40" t="e">
        <f t="shared" ca="1" si="220"/>
        <v>#N/A</v>
      </c>
      <c r="C1963" s="496">
        <v>883</v>
      </c>
      <c r="D1963" s="41" t="e">
        <f ca="1">IF($C$1076&gt;0,VLOOKUP($C1963,COSTI!$U$4:$Z$1003,3,FALSE),IF($C$1075&gt;0,VLOOKUP($C1963,PATRIMONIALE!$U$4:$Z$1003,3,FALSE),IF($C$1074&gt;0,VLOOKUP($C1963,ENTI!$U$4:$Z$1003,3,FALSE),"")))</f>
        <v>#N/A</v>
      </c>
      <c r="E1963" s="41" t="str">
        <f t="shared" ca="1" si="221"/>
        <v/>
      </c>
      <c r="F1963" s="41" t="e">
        <f t="shared" ca="1" si="222"/>
        <v>#NUM!</v>
      </c>
      <c r="G1963" s="39" t="e">
        <f ca="1">IF($C$1076&gt;0,VLOOKUP($C1963,COSTI!$U$4:$Z$1003,5,FALSE),IF($C$1075&gt;0,VLOOKUP($C1963,PATRIMONIALE!$U$4:$Z$1003,5,FALSE),IF($C$1074&gt;0,VLOOKUP($C1963,ENTI!$U$4:$Z$1003,5,FALSE),"")))</f>
        <v>#N/A</v>
      </c>
      <c r="H1963" s="42" t="e">
        <f ca="1">IF($C$1076&gt;0,VLOOKUP($C1963,COSTI!$U$4:$Z$1003,6,FALSE),IF($C$1075&gt;0,VLOOKUP($C1963,PATRIMONIALE!$U$4:$Z$1003,6,FALSE),IF($C$1074&gt;0,VLOOKUP($C1963,ENTI!$U$4:$Z$1003,6,FALSE),"")))</f>
        <v>#N/A</v>
      </c>
      <c r="I1963" s="496">
        <v>883</v>
      </c>
      <c r="J1963" s="43" t="e">
        <f ca="1">VLOOKUP(D1963,$F$1081:$I$4183,4,FALSE)+COUNTIF(E$1081:E1962,E1963)</f>
        <v>#N/A</v>
      </c>
      <c r="K1963" s="1"/>
      <c r="L1963" s="39" t="e">
        <f>IF($C$1074&gt;0,VLOOKUP($C1963,ENTI!$U$4:$AD$1003,10,FALSE),"")</f>
        <v>#N/A</v>
      </c>
      <c r="M1963" s="1"/>
      <c r="N1963" s="1"/>
      <c r="O1963" s="1"/>
    </row>
    <row r="1964" spans="1:15" hidden="1">
      <c r="A1964" s="1"/>
      <c r="B1964" s="40" t="e">
        <f t="shared" ca="1" si="220"/>
        <v>#N/A</v>
      </c>
      <c r="C1964" s="496">
        <v>884</v>
      </c>
      <c r="D1964" s="41" t="e">
        <f ca="1">IF($C$1076&gt;0,VLOOKUP($C1964,COSTI!$U$4:$Z$1003,3,FALSE),IF($C$1075&gt;0,VLOOKUP($C1964,PATRIMONIALE!$U$4:$Z$1003,3,FALSE),IF($C$1074&gt;0,VLOOKUP($C1964,ENTI!$U$4:$Z$1003,3,FALSE),"")))</f>
        <v>#N/A</v>
      </c>
      <c r="E1964" s="41" t="str">
        <f t="shared" ca="1" si="221"/>
        <v/>
      </c>
      <c r="F1964" s="41" t="e">
        <f t="shared" ca="1" si="222"/>
        <v>#NUM!</v>
      </c>
      <c r="G1964" s="39" t="e">
        <f ca="1">IF($C$1076&gt;0,VLOOKUP($C1964,COSTI!$U$4:$Z$1003,5,FALSE),IF($C$1075&gt;0,VLOOKUP($C1964,PATRIMONIALE!$U$4:$Z$1003,5,FALSE),IF($C$1074&gt;0,VLOOKUP($C1964,ENTI!$U$4:$Z$1003,5,FALSE),"")))</f>
        <v>#N/A</v>
      </c>
      <c r="H1964" s="42" t="e">
        <f ca="1">IF($C$1076&gt;0,VLOOKUP($C1964,COSTI!$U$4:$Z$1003,6,FALSE),IF($C$1075&gt;0,VLOOKUP($C1964,PATRIMONIALE!$U$4:$Z$1003,6,FALSE),IF($C$1074&gt;0,VLOOKUP($C1964,ENTI!$U$4:$Z$1003,6,FALSE),"")))</f>
        <v>#N/A</v>
      </c>
      <c r="I1964" s="496">
        <v>884</v>
      </c>
      <c r="J1964" s="43" t="e">
        <f ca="1">VLOOKUP(D1964,$F$1081:$I$4183,4,FALSE)+COUNTIF(E$1081:E1963,E1964)</f>
        <v>#N/A</v>
      </c>
      <c r="K1964" s="1"/>
      <c r="L1964" s="39" t="e">
        <f>IF($C$1074&gt;0,VLOOKUP($C1964,ENTI!$U$4:$AD$1003,10,FALSE),"")</f>
        <v>#N/A</v>
      </c>
      <c r="M1964" s="1"/>
      <c r="N1964" s="1"/>
      <c r="O1964" s="1"/>
    </row>
    <row r="1965" spans="1:15" hidden="1">
      <c r="A1965" s="1"/>
      <c r="B1965" s="40" t="e">
        <f t="shared" ca="1" si="220"/>
        <v>#N/A</v>
      </c>
      <c r="C1965" s="496">
        <v>885</v>
      </c>
      <c r="D1965" s="41" t="e">
        <f ca="1">IF($C$1076&gt;0,VLOOKUP($C1965,COSTI!$U$4:$Z$1003,3,FALSE),IF($C$1075&gt;0,VLOOKUP($C1965,PATRIMONIALE!$U$4:$Z$1003,3,FALSE),IF($C$1074&gt;0,VLOOKUP($C1965,ENTI!$U$4:$Z$1003,3,FALSE),"")))</f>
        <v>#N/A</v>
      </c>
      <c r="E1965" s="41" t="str">
        <f t="shared" ca="1" si="221"/>
        <v/>
      </c>
      <c r="F1965" s="41" t="e">
        <f t="shared" ca="1" si="222"/>
        <v>#NUM!</v>
      </c>
      <c r="G1965" s="39" t="e">
        <f ca="1">IF($C$1076&gt;0,VLOOKUP($C1965,COSTI!$U$4:$Z$1003,5,FALSE),IF($C$1075&gt;0,VLOOKUP($C1965,PATRIMONIALE!$U$4:$Z$1003,5,FALSE),IF($C$1074&gt;0,VLOOKUP($C1965,ENTI!$U$4:$Z$1003,5,FALSE),"")))</f>
        <v>#N/A</v>
      </c>
      <c r="H1965" s="42" t="e">
        <f ca="1">IF($C$1076&gt;0,VLOOKUP($C1965,COSTI!$U$4:$Z$1003,6,FALSE),IF($C$1075&gt;0,VLOOKUP($C1965,PATRIMONIALE!$U$4:$Z$1003,6,FALSE),IF($C$1074&gt;0,VLOOKUP($C1965,ENTI!$U$4:$Z$1003,6,FALSE),"")))</f>
        <v>#N/A</v>
      </c>
      <c r="I1965" s="496">
        <v>885</v>
      </c>
      <c r="J1965" s="43" t="e">
        <f ca="1">VLOOKUP(D1965,$F$1081:$I$4183,4,FALSE)+COUNTIF(E$1081:E1964,E1965)</f>
        <v>#N/A</v>
      </c>
      <c r="K1965" s="1"/>
      <c r="L1965" s="39" t="e">
        <f>IF($C$1074&gt;0,VLOOKUP($C1965,ENTI!$U$4:$AD$1003,10,FALSE),"")</f>
        <v>#N/A</v>
      </c>
      <c r="M1965" s="1"/>
      <c r="N1965" s="1"/>
      <c r="O1965" s="1"/>
    </row>
    <row r="1966" spans="1:15" hidden="1">
      <c r="A1966" s="1"/>
      <c r="B1966" s="40" t="e">
        <f t="shared" ca="1" si="220"/>
        <v>#N/A</v>
      </c>
      <c r="C1966" s="496">
        <v>886</v>
      </c>
      <c r="D1966" s="41" t="e">
        <f ca="1">IF($C$1076&gt;0,VLOOKUP($C1966,COSTI!$U$4:$Z$1003,3,FALSE),IF($C$1075&gt;0,VLOOKUP($C1966,PATRIMONIALE!$U$4:$Z$1003,3,FALSE),IF($C$1074&gt;0,VLOOKUP($C1966,ENTI!$U$4:$Z$1003,3,FALSE),"")))</f>
        <v>#N/A</v>
      </c>
      <c r="E1966" s="41" t="str">
        <f t="shared" ca="1" si="221"/>
        <v/>
      </c>
      <c r="F1966" s="41" t="e">
        <f t="shared" ca="1" si="222"/>
        <v>#NUM!</v>
      </c>
      <c r="G1966" s="39" t="e">
        <f ca="1">IF($C$1076&gt;0,VLOOKUP($C1966,COSTI!$U$4:$Z$1003,5,FALSE),IF($C$1075&gt;0,VLOOKUP($C1966,PATRIMONIALE!$U$4:$Z$1003,5,FALSE),IF($C$1074&gt;0,VLOOKUP($C1966,ENTI!$U$4:$Z$1003,5,FALSE),"")))</f>
        <v>#N/A</v>
      </c>
      <c r="H1966" s="42" t="e">
        <f ca="1">IF($C$1076&gt;0,VLOOKUP($C1966,COSTI!$U$4:$Z$1003,6,FALSE),IF($C$1075&gt;0,VLOOKUP($C1966,PATRIMONIALE!$U$4:$Z$1003,6,FALSE),IF($C$1074&gt;0,VLOOKUP($C1966,ENTI!$U$4:$Z$1003,6,FALSE),"")))</f>
        <v>#N/A</v>
      </c>
      <c r="I1966" s="496">
        <v>886</v>
      </c>
      <c r="J1966" s="43" t="e">
        <f ca="1">VLOOKUP(D1966,$F$1081:$I$4183,4,FALSE)+COUNTIF(E$1081:E1965,E1966)</f>
        <v>#N/A</v>
      </c>
      <c r="K1966" s="1"/>
      <c r="L1966" s="39" t="e">
        <f>IF($C$1074&gt;0,VLOOKUP($C1966,ENTI!$U$4:$AD$1003,10,FALSE),"")</f>
        <v>#N/A</v>
      </c>
      <c r="M1966" s="1"/>
      <c r="N1966" s="1"/>
      <c r="O1966" s="1"/>
    </row>
    <row r="1967" spans="1:15" hidden="1">
      <c r="A1967" s="1"/>
      <c r="B1967" s="40" t="e">
        <f t="shared" ca="1" si="220"/>
        <v>#N/A</v>
      </c>
      <c r="C1967" s="496">
        <v>887</v>
      </c>
      <c r="D1967" s="41" t="e">
        <f ca="1">IF($C$1076&gt;0,VLOOKUP($C1967,COSTI!$U$4:$Z$1003,3,FALSE),IF($C$1075&gt;0,VLOOKUP($C1967,PATRIMONIALE!$U$4:$Z$1003,3,FALSE),IF($C$1074&gt;0,VLOOKUP($C1967,ENTI!$U$4:$Z$1003,3,FALSE),"")))</f>
        <v>#N/A</v>
      </c>
      <c r="E1967" s="41" t="str">
        <f t="shared" ca="1" si="221"/>
        <v/>
      </c>
      <c r="F1967" s="41" t="e">
        <f t="shared" ca="1" si="222"/>
        <v>#NUM!</v>
      </c>
      <c r="G1967" s="39" t="e">
        <f ca="1">IF($C$1076&gt;0,VLOOKUP($C1967,COSTI!$U$4:$Z$1003,5,FALSE),IF($C$1075&gt;0,VLOOKUP($C1967,PATRIMONIALE!$U$4:$Z$1003,5,FALSE),IF($C$1074&gt;0,VLOOKUP($C1967,ENTI!$U$4:$Z$1003,5,FALSE),"")))</f>
        <v>#N/A</v>
      </c>
      <c r="H1967" s="42" t="e">
        <f ca="1">IF($C$1076&gt;0,VLOOKUP($C1967,COSTI!$U$4:$Z$1003,6,FALSE),IF($C$1075&gt;0,VLOOKUP($C1967,PATRIMONIALE!$U$4:$Z$1003,6,FALSE),IF($C$1074&gt;0,VLOOKUP($C1967,ENTI!$U$4:$Z$1003,6,FALSE),"")))</f>
        <v>#N/A</v>
      </c>
      <c r="I1967" s="496">
        <v>887</v>
      </c>
      <c r="J1967" s="43" t="e">
        <f ca="1">VLOOKUP(D1967,$F$1081:$I$4183,4,FALSE)+COUNTIF(E$1081:E1966,E1967)</f>
        <v>#N/A</v>
      </c>
      <c r="K1967" s="1"/>
      <c r="L1967" s="39" t="e">
        <f>IF($C$1074&gt;0,VLOOKUP($C1967,ENTI!$U$4:$AD$1003,10,FALSE),"")</f>
        <v>#N/A</v>
      </c>
      <c r="M1967" s="1"/>
      <c r="N1967" s="1"/>
      <c r="O1967" s="1"/>
    </row>
    <row r="1968" spans="1:15" hidden="1">
      <c r="A1968" s="1"/>
      <c r="B1968" s="40" t="e">
        <f t="shared" ca="1" si="220"/>
        <v>#N/A</v>
      </c>
      <c r="C1968" s="496">
        <v>888</v>
      </c>
      <c r="D1968" s="41" t="e">
        <f ca="1">IF($C$1076&gt;0,VLOOKUP($C1968,COSTI!$U$4:$Z$1003,3,FALSE),IF($C$1075&gt;0,VLOOKUP($C1968,PATRIMONIALE!$U$4:$Z$1003,3,FALSE),IF($C$1074&gt;0,VLOOKUP($C1968,ENTI!$U$4:$Z$1003,3,FALSE),"")))</f>
        <v>#N/A</v>
      </c>
      <c r="E1968" s="41" t="str">
        <f t="shared" ca="1" si="221"/>
        <v/>
      </c>
      <c r="F1968" s="41" t="e">
        <f t="shared" ca="1" si="222"/>
        <v>#NUM!</v>
      </c>
      <c r="G1968" s="39" t="e">
        <f ca="1">IF($C$1076&gt;0,VLOOKUP($C1968,COSTI!$U$4:$Z$1003,5,FALSE),IF($C$1075&gt;0,VLOOKUP($C1968,PATRIMONIALE!$U$4:$Z$1003,5,FALSE),IF($C$1074&gt;0,VLOOKUP($C1968,ENTI!$U$4:$Z$1003,5,FALSE),"")))</f>
        <v>#N/A</v>
      </c>
      <c r="H1968" s="42" t="e">
        <f ca="1">IF($C$1076&gt;0,VLOOKUP($C1968,COSTI!$U$4:$Z$1003,6,FALSE),IF($C$1075&gt;0,VLOOKUP($C1968,PATRIMONIALE!$U$4:$Z$1003,6,FALSE),IF($C$1074&gt;0,VLOOKUP($C1968,ENTI!$U$4:$Z$1003,6,FALSE),"")))</f>
        <v>#N/A</v>
      </c>
      <c r="I1968" s="496">
        <v>888</v>
      </c>
      <c r="J1968" s="43" t="e">
        <f ca="1">VLOOKUP(D1968,$F$1081:$I$4183,4,FALSE)+COUNTIF(E$1081:E1967,E1968)</f>
        <v>#N/A</v>
      </c>
      <c r="K1968" s="1"/>
      <c r="L1968" s="39" t="e">
        <f>IF($C$1074&gt;0,VLOOKUP($C1968,ENTI!$U$4:$AD$1003,10,FALSE),"")</f>
        <v>#N/A</v>
      </c>
      <c r="M1968" s="1"/>
      <c r="N1968" s="1"/>
      <c r="O1968" s="1"/>
    </row>
    <row r="1969" spans="1:15" hidden="1">
      <c r="A1969" s="1"/>
      <c r="B1969" s="40" t="e">
        <f t="shared" ref="B1969:B2032" ca="1" si="223">IF(OR(C$1075&gt;0,C$1077&gt;0,C$1073&gt;0,C$1071&gt;0),J1969+1,J1969)</f>
        <v>#N/A</v>
      </c>
      <c r="C1969" s="496">
        <v>889</v>
      </c>
      <c r="D1969" s="41" t="e">
        <f ca="1">IF($C$1076&gt;0,VLOOKUP($C1969,COSTI!$U$4:$Z$1003,3,FALSE),IF($C$1075&gt;0,VLOOKUP($C1969,PATRIMONIALE!$U$4:$Z$1003,3,FALSE),IF($C$1074&gt;0,VLOOKUP($C1969,ENTI!$U$4:$Z$1003,3,FALSE),"")))</f>
        <v>#N/A</v>
      </c>
      <c r="E1969" s="41" t="str">
        <f t="shared" ca="1" si="221"/>
        <v/>
      </c>
      <c r="F1969" s="41" t="e">
        <f t="shared" ca="1" si="222"/>
        <v>#NUM!</v>
      </c>
      <c r="G1969" s="39" t="e">
        <f ca="1">IF($C$1076&gt;0,VLOOKUP($C1969,COSTI!$U$4:$Z$1003,5,FALSE),IF($C$1075&gt;0,VLOOKUP($C1969,PATRIMONIALE!$U$4:$Z$1003,5,FALSE),IF($C$1074&gt;0,VLOOKUP($C1969,ENTI!$U$4:$Z$1003,5,FALSE),"")))</f>
        <v>#N/A</v>
      </c>
      <c r="H1969" s="42" t="e">
        <f ca="1">IF($C$1076&gt;0,VLOOKUP($C1969,COSTI!$U$4:$Z$1003,6,FALSE),IF($C$1075&gt;0,VLOOKUP($C1969,PATRIMONIALE!$U$4:$Z$1003,6,FALSE),IF($C$1074&gt;0,VLOOKUP($C1969,ENTI!$U$4:$Z$1003,6,FALSE),"")))</f>
        <v>#N/A</v>
      </c>
      <c r="I1969" s="496">
        <v>889</v>
      </c>
      <c r="J1969" s="43" t="e">
        <f ca="1">VLOOKUP(D1969,$F$1081:$I$4183,4,FALSE)+COUNTIF(E$1081:E1968,E1969)</f>
        <v>#N/A</v>
      </c>
      <c r="K1969" s="1"/>
      <c r="L1969" s="39" t="e">
        <f>IF($C$1074&gt;0,VLOOKUP($C1969,ENTI!$U$4:$AD$1003,10,FALSE),"")</f>
        <v>#N/A</v>
      </c>
      <c r="M1969" s="1"/>
      <c r="N1969" s="1"/>
      <c r="O1969" s="1"/>
    </row>
    <row r="1970" spans="1:15" hidden="1">
      <c r="A1970" s="1"/>
      <c r="B1970" s="40" t="e">
        <f t="shared" ca="1" si="223"/>
        <v>#N/A</v>
      </c>
      <c r="C1970" s="496">
        <v>890</v>
      </c>
      <c r="D1970" s="41" t="e">
        <f ca="1">IF($C$1076&gt;0,VLOOKUP($C1970,COSTI!$U$4:$Z$1003,3,FALSE),IF($C$1075&gt;0,VLOOKUP($C1970,PATRIMONIALE!$U$4:$Z$1003,3,FALSE),IF($C$1074&gt;0,VLOOKUP($C1970,ENTI!$U$4:$Z$1003,3,FALSE),"")))</f>
        <v>#N/A</v>
      </c>
      <c r="E1970" s="41" t="str">
        <f t="shared" ca="1" si="221"/>
        <v/>
      </c>
      <c r="F1970" s="41" t="e">
        <f t="shared" ca="1" si="222"/>
        <v>#NUM!</v>
      </c>
      <c r="G1970" s="39" t="e">
        <f ca="1">IF($C$1076&gt;0,VLOOKUP($C1970,COSTI!$U$4:$Z$1003,5,FALSE),IF($C$1075&gt;0,VLOOKUP($C1970,PATRIMONIALE!$U$4:$Z$1003,5,FALSE),IF($C$1074&gt;0,VLOOKUP($C1970,ENTI!$U$4:$Z$1003,5,FALSE),"")))</f>
        <v>#N/A</v>
      </c>
      <c r="H1970" s="42" t="e">
        <f ca="1">IF($C$1076&gt;0,VLOOKUP($C1970,COSTI!$U$4:$Z$1003,6,FALSE),IF($C$1075&gt;0,VLOOKUP($C1970,PATRIMONIALE!$U$4:$Z$1003,6,FALSE),IF($C$1074&gt;0,VLOOKUP($C1970,ENTI!$U$4:$Z$1003,6,FALSE),"")))</f>
        <v>#N/A</v>
      </c>
      <c r="I1970" s="496">
        <v>890</v>
      </c>
      <c r="J1970" s="43" t="e">
        <f ca="1">VLOOKUP(D1970,$F$1081:$I$4183,4,FALSE)+COUNTIF(E$1081:E1969,E1970)</f>
        <v>#N/A</v>
      </c>
      <c r="K1970" s="1"/>
      <c r="L1970" s="39" t="e">
        <f>IF($C$1074&gt;0,VLOOKUP($C1970,ENTI!$U$4:$AD$1003,10,FALSE),"")</f>
        <v>#N/A</v>
      </c>
      <c r="M1970" s="1"/>
      <c r="N1970" s="1"/>
      <c r="O1970" s="1"/>
    </row>
    <row r="1971" spans="1:15" hidden="1">
      <c r="A1971" s="1"/>
      <c r="B1971" s="40" t="e">
        <f t="shared" ca="1" si="223"/>
        <v>#N/A</v>
      </c>
      <c r="C1971" s="496">
        <v>891</v>
      </c>
      <c r="D1971" s="41" t="e">
        <f ca="1">IF($C$1076&gt;0,VLOOKUP($C1971,COSTI!$U$4:$Z$1003,3,FALSE),IF($C$1075&gt;0,VLOOKUP($C1971,PATRIMONIALE!$U$4:$Z$1003,3,FALSE),IF($C$1074&gt;0,VLOOKUP($C1971,ENTI!$U$4:$Z$1003,3,FALSE),"")))</f>
        <v>#N/A</v>
      </c>
      <c r="E1971" s="41" t="str">
        <f t="shared" ref="E1971:E2034" ca="1" si="224">IF(ISERROR(D1971),"",D1971)</f>
        <v/>
      </c>
      <c r="F1971" s="41" t="e">
        <f t="shared" ca="1" si="222"/>
        <v>#NUM!</v>
      </c>
      <c r="G1971" s="39" t="e">
        <f ca="1">IF($C$1076&gt;0,VLOOKUP($C1971,COSTI!$U$4:$Z$1003,5,FALSE),IF($C$1075&gt;0,VLOOKUP($C1971,PATRIMONIALE!$U$4:$Z$1003,5,FALSE),IF($C$1074&gt;0,VLOOKUP($C1971,ENTI!$U$4:$Z$1003,5,FALSE),"")))</f>
        <v>#N/A</v>
      </c>
      <c r="H1971" s="42" t="e">
        <f ca="1">IF($C$1076&gt;0,VLOOKUP($C1971,COSTI!$U$4:$Z$1003,6,FALSE),IF($C$1075&gt;0,VLOOKUP($C1971,PATRIMONIALE!$U$4:$Z$1003,6,FALSE),IF($C$1074&gt;0,VLOOKUP($C1971,ENTI!$U$4:$Z$1003,6,FALSE),"")))</f>
        <v>#N/A</v>
      </c>
      <c r="I1971" s="496">
        <v>891</v>
      </c>
      <c r="J1971" s="43" t="e">
        <f ca="1">VLOOKUP(D1971,$F$1081:$I$4183,4,FALSE)+COUNTIF(E$1081:E1970,E1971)</f>
        <v>#N/A</v>
      </c>
      <c r="K1971" s="1"/>
      <c r="L1971" s="39" t="e">
        <f>IF($C$1074&gt;0,VLOOKUP($C1971,ENTI!$U$4:$AD$1003,10,FALSE),"")</f>
        <v>#N/A</v>
      </c>
      <c r="M1971" s="1"/>
      <c r="N1971" s="1"/>
      <c r="O1971" s="1"/>
    </row>
    <row r="1972" spans="1:15" hidden="1">
      <c r="A1972" s="1"/>
      <c r="B1972" s="40" t="e">
        <f t="shared" ca="1" si="223"/>
        <v>#N/A</v>
      </c>
      <c r="C1972" s="496">
        <v>892</v>
      </c>
      <c r="D1972" s="41" t="e">
        <f ca="1">IF($C$1076&gt;0,VLOOKUP($C1972,COSTI!$U$4:$Z$1003,3,FALSE),IF($C$1075&gt;0,VLOOKUP($C1972,PATRIMONIALE!$U$4:$Z$1003,3,FALSE),IF($C$1074&gt;0,VLOOKUP($C1972,ENTI!$U$4:$Z$1003,3,FALSE),"")))</f>
        <v>#N/A</v>
      </c>
      <c r="E1972" s="41" t="str">
        <f t="shared" ca="1" si="224"/>
        <v/>
      </c>
      <c r="F1972" s="41" t="e">
        <f t="shared" ca="1" si="222"/>
        <v>#NUM!</v>
      </c>
      <c r="G1972" s="39" t="e">
        <f ca="1">IF($C$1076&gt;0,VLOOKUP($C1972,COSTI!$U$4:$Z$1003,5,FALSE),IF($C$1075&gt;0,VLOOKUP($C1972,PATRIMONIALE!$U$4:$Z$1003,5,FALSE),IF($C$1074&gt;0,VLOOKUP($C1972,ENTI!$U$4:$Z$1003,5,FALSE),"")))</f>
        <v>#N/A</v>
      </c>
      <c r="H1972" s="42" t="e">
        <f ca="1">IF($C$1076&gt;0,VLOOKUP($C1972,COSTI!$U$4:$Z$1003,6,FALSE),IF($C$1075&gt;0,VLOOKUP($C1972,PATRIMONIALE!$U$4:$Z$1003,6,FALSE),IF($C$1074&gt;0,VLOOKUP($C1972,ENTI!$U$4:$Z$1003,6,FALSE),"")))</f>
        <v>#N/A</v>
      </c>
      <c r="I1972" s="496">
        <v>892</v>
      </c>
      <c r="J1972" s="43" t="e">
        <f ca="1">VLOOKUP(D1972,$F$1081:$I$4183,4,FALSE)+COUNTIF(E$1081:E1971,E1972)</f>
        <v>#N/A</v>
      </c>
      <c r="K1972" s="1"/>
      <c r="L1972" s="39" t="e">
        <f>IF($C$1074&gt;0,VLOOKUP($C1972,ENTI!$U$4:$AD$1003,10,FALSE),"")</f>
        <v>#N/A</v>
      </c>
      <c r="M1972" s="1"/>
      <c r="N1972" s="1"/>
      <c r="O1972" s="1"/>
    </row>
    <row r="1973" spans="1:15" hidden="1">
      <c r="A1973" s="1"/>
      <c r="B1973" s="40" t="e">
        <f t="shared" ca="1" si="223"/>
        <v>#N/A</v>
      </c>
      <c r="C1973" s="496">
        <v>893</v>
      </c>
      <c r="D1973" s="41" t="e">
        <f ca="1">IF($C$1076&gt;0,VLOOKUP($C1973,COSTI!$U$4:$Z$1003,3,FALSE),IF($C$1075&gt;0,VLOOKUP($C1973,PATRIMONIALE!$U$4:$Z$1003,3,FALSE),IF($C$1074&gt;0,VLOOKUP($C1973,ENTI!$U$4:$Z$1003,3,FALSE),"")))</f>
        <v>#N/A</v>
      </c>
      <c r="E1973" s="41" t="str">
        <f t="shared" ca="1" si="224"/>
        <v/>
      </c>
      <c r="F1973" s="41" t="e">
        <f t="shared" ca="1" si="222"/>
        <v>#NUM!</v>
      </c>
      <c r="G1973" s="39" t="e">
        <f ca="1">IF($C$1076&gt;0,VLOOKUP($C1973,COSTI!$U$4:$Z$1003,5,FALSE),IF($C$1075&gt;0,VLOOKUP($C1973,PATRIMONIALE!$U$4:$Z$1003,5,FALSE),IF($C$1074&gt;0,VLOOKUP($C1973,ENTI!$U$4:$Z$1003,5,FALSE),"")))</f>
        <v>#N/A</v>
      </c>
      <c r="H1973" s="42" t="e">
        <f ca="1">IF($C$1076&gt;0,VLOOKUP($C1973,COSTI!$U$4:$Z$1003,6,FALSE),IF($C$1075&gt;0,VLOOKUP($C1973,PATRIMONIALE!$U$4:$Z$1003,6,FALSE),IF($C$1074&gt;0,VLOOKUP($C1973,ENTI!$U$4:$Z$1003,6,FALSE),"")))</f>
        <v>#N/A</v>
      </c>
      <c r="I1973" s="496">
        <v>893</v>
      </c>
      <c r="J1973" s="43" t="e">
        <f ca="1">VLOOKUP(D1973,$F$1081:$I$4183,4,FALSE)+COUNTIF(E$1081:E1972,E1973)</f>
        <v>#N/A</v>
      </c>
      <c r="K1973" s="1"/>
      <c r="L1973" s="39" t="e">
        <f>IF($C$1074&gt;0,VLOOKUP($C1973,ENTI!$U$4:$AD$1003,10,FALSE),"")</f>
        <v>#N/A</v>
      </c>
      <c r="M1973" s="1"/>
      <c r="N1973" s="1"/>
      <c r="O1973" s="1"/>
    </row>
    <row r="1974" spans="1:15" hidden="1">
      <c r="A1974" s="1"/>
      <c r="B1974" s="40" t="e">
        <f t="shared" ca="1" si="223"/>
        <v>#N/A</v>
      </c>
      <c r="C1974" s="496">
        <v>894</v>
      </c>
      <c r="D1974" s="41" t="e">
        <f ca="1">IF($C$1076&gt;0,VLOOKUP($C1974,COSTI!$U$4:$Z$1003,3,FALSE),IF($C$1075&gt;0,VLOOKUP($C1974,PATRIMONIALE!$U$4:$Z$1003,3,FALSE),IF($C$1074&gt;0,VLOOKUP($C1974,ENTI!$U$4:$Z$1003,3,FALSE),"")))</f>
        <v>#N/A</v>
      </c>
      <c r="E1974" s="41" t="str">
        <f t="shared" ca="1" si="224"/>
        <v/>
      </c>
      <c r="F1974" s="41" t="e">
        <f t="shared" ca="1" si="222"/>
        <v>#NUM!</v>
      </c>
      <c r="G1974" s="39" t="e">
        <f ca="1">IF($C$1076&gt;0,VLOOKUP($C1974,COSTI!$U$4:$Z$1003,5,FALSE),IF($C$1075&gt;0,VLOOKUP($C1974,PATRIMONIALE!$U$4:$Z$1003,5,FALSE),IF($C$1074&gt;0,VLOOKUP($C1974,ENTI!$U$4:$Z$1003,5,FALSE),"")))</f>
        <v>#N/A</v>
      </c>
      <c r="H1974" s="42" t="e">
        <f ca="1">IF($C$1076&gt;0,VLOOKUP($C1974,COSTI!$U$4:$Z$1003,6,FALSE),IF($C$1075&gt;0,VLOOKUP($C1974,PATRIMONIALE!$U$4:$Z$1003,6,FALSE),IF($C$1074&gt;0,VLOOKUP($C1974,ENTI!$U$4:$Z$1003,6,FALSE),"")))</f>
        <v>#N/A</v>
      </c>
      <c r="I1974" s="496">
        <v>894</v>
      </c>
      <c r="J1974" s="43" t="e">
        <f ca="1">VLOOKUP(D1974,$F$1081:$I$4183,4,FALSE)+COUNTIF(E$1081:E1973,E1974)</f>
        <v>#N/A</v>
      </c>
      <c r="K1974" s="1"/>
      <c r="L1974" s="39" t="e">
        <f>IF($C$1074&gt;0,VLOOKUP($C1974,ENTI!$U$4:$AD$1003,10,FALSE),"")</f>
        <v>#N/A</v>
      </c>
      <c r="M1974" s="1"/>
      <c r="N1974" s="1"/>
      <c r="O1974" s="1"/>
    </row>
    <row r="1975" spans="1:15" hidden="1">
      <c r="A1975" s="1"/>
      <c r="B1975" s="40" t="e">
        <f t="shared" ca="1" si="223"/>
        <v>#N/A</v>
      </c>
      <c r="C1975" s="496">
        <v>895</v>
      </c>
      <c r="D1975" s="41" t="e">
        <f ca="1">IF($C$1076&gt;0,VLOOKUP($C1975,COSTI!$U$4:$Z$1003,3,FALSE),IF($C$1075&gt;0,VLOOKUP($C1975,PATRIMONIALE!$U$4:$Z$1003,3,FALSE),IF($C$1074&gt;0,VLOOKUP($C1975,ENTI!$U$4:$Z$1003,3,FALSE),"")))</f>
        <v>#N/A</v>
      </c>
      <c r="E1975" s="41" t="str">
        <f t="shared" ca="1" si="224"/>
        <v/>
      </c>
      <c r="F1975" s="41" t="e">
        <f t="shared" ca="1" si="222"/>
        <v>#NUM!</v>
      </c>
      <c r="G1975" s="39" t="e">
        <f ca="1">IF($C$1076&gt;0,VLOOKUP($C1975,COSTI!$U$4:$Z$1003,5,FALSE),IF($C$1075&gt;0,VLOOKUP($C1975,PATRIMONIALE!$U$4:$Z$1003,5,FALSE),IF($C$1074&gt;0,VLOOKUP($C1975,ENTI!$U$4:$Z$1003,5,FALSE),"")))</f>
        <v>#N/A</v>
      </c>
      <c r="H1975" s="42" t="e">
        <f ca="1">IF($C$1076&gt;0,VLOOKUP($C1975,COSTI!$U$4:$Z$1003,6,FALSE),IF($C$1075&gt;0,VLOOKUP($C1975,PATRIMONIALE!$U$4:$Z$1003,6,FALSE),IF($C$1074&gt;0,VLOOKUP($C1975,ENTI!$U$4:$Z$1003,6,FALSE),"")))</f>
        <v>#N/A</v>
      </c>
      <c r="I1975" s="496">
        <v>895</v>
      </c>
      <c r="J1975" s="43" t="e">
        <f ca="1">VLOOKUP(D1975,$F$1081:$I$4183,4,FALSE)+COUNTIF(E$1081:E1974,E1975)</f>
        <v>#N/A</v>
      </c>
      <c r="K1975" s="1"/>
      <c r="L1975" s="39" t="e">
        <f>IF($C$1074&gt;0,VLOOKUP($C1975,ENTI!$U$4:$AD$1003,10,FALSE),"")</f>
        <v>#N/A</v>
      </c>
      <c r="M1975" s="1"/>
      <c r="N1975" s="1"/>
      <c r="O1975" s="1"/>
    </row>
    <row r="1976" spans="1:15" hidden="1">
      <c r="A1976" s="1"/>
      <c r="B1976" s="40" t="e">
        <f t="shared" ca="1" si="223"/>
        <v>#N/A</v>
      </c>
      <c r="C1976" s="496">
        <v>896</v>
      </c>
      <c r="D1976" s="41" t="e">
        <f ca="1">IF($C$1076&gt;0,VLOOKUP($C1976,COSTI!$U$4:$Z$1003,3,FALSE),IF($C$1075&gt;0,VLOOKUP($C1976,PATRIMONIALE!$U$4:$Z$1003,3,FALSE),IF($C$1074&gt;0,VLOOKUP($C1976,ENTI!$U$4:$Z$1003,3,FALSE),"")))</f>
        <v>#N/A</v>
      </c>
      <c r="E1976" s="41" t="str">
        <f t="shared" ca="1" si="224"/>
        <v/>
      </c>
      <c r="F1976" s="41" t="e">
        <f t="shared" ca="1" si="222"/>
        <v>#NUM!</v>
      </c>
      <c r="G1976" s="39" t="e">
        <f ca="1">IF($C$1076&gt;0,VLOOKUP($C1976,COSTI!$U$4:$Z$1003,5,FALSE),IF($C$1075&gt;0,VLOOKUP($C1976,PATRIMONIALE!$U$4:$Z$1003,5,FALSE),IF($C$1074&gt;0,VLOOKUP($C1976,ENTI!$U$4:$Z$1003,5,FALSE),"")))</f>
        <v>#N/A</v>
      </c>
      <c r="H1976" s="42" t="e">
        <f ca="1">IF($C$1076&gt;0,VLOOKUP($C1976,COSTI!$U$4:$Z$1003,6,FALSE),IF($C$1075&gt;0,VLOOKUP($C1976,PATRIMONIALE!$U$4:$Z$1003,6,FALSE),IF($C$1074&gt;0,VLOOKUP($C1976,ENTI!$U$4:$Z$1003,6,FALSE),"")))</f>
        <v>#N/A</v>
      </c>
      <c r="I1976" s="496">
        <v>896</v>
      </c>
      <c r="J1976" s="43" t="e">
        <f ca="1">VLOOKUP(D1976,$F$1081:$I$4183,4,FALSE)+COUNTIF(E$1081:E1975,E1976)</f>
        <v>#N/A</v>
      </c>
      <c r="K1976" s="1"/>
      <c r="L1976" s="39" t="e">
        <f>IF($C$1074&gt;0,VLOOKUP($C1976,ENTI!$U$4:$AD$1003,10,FALSE),"")</f>
        <v>#N/A</v>
      </c>
      <c r="M1976" s="1"/>
      <c r="N1976" s="1"/>
      <c r="O1976" s="1"/>
    </row>
    <row r="1977" spans="1:15" hidden="1">
      <c r="A1977" s="1"/>
      <c r="B1977" s="40" t="e">
        <f t="shared" ca="1" si="223"/>
        <v>#N/A</v>
      </c>
      <c r="C1977" s="496">
        <v>897</v>
      </c>
      <c r="D1977" s="41" t="e">
        <f ca="1">IF($C$1076&gt;0,VLOOKUP($C1977,COSTI!$U$4:$Z$1003,3,FALSE),IF($C$1075&gt;0,VLOOKUP($C1977,PATRIMONIALE!$U$4:$Z$1003,3,FALSE),IF($C$1074&gt;0,VLOOKUP($C1977,ENTI!$U$4:$Z$1003,3,FALSE),"")))</f>
        <v>#N/A</v>
      </c>
      <c r="E1977" s="41" t="str">
        <f t="shared" ca="1" si="224"/>
        <v/>
      </c>
      <c r="F1977" s="41" t="e">
        <f t="shared" ref="F1977:F2040" ca="1" si="225">SMALL(E$1081:E$4183,C1977)</f>
        <v>#NUM!</v>
      </c>
      <c r="G1977" s="39" t="e">
        <f ca="1">IF($C$1076&gt;0,VLOOKUP($C1977,COSTI!$U$4:$Z$1003,5,FALSE),IF($C$1075&gt;0,VLOOKUP($C1977,PATRIMONIALE!$U$4:$Z$1003,5,FALSE),IF($C$1074&gt;0,VLOOKUP($C1977,ENTI!$U$4:$Z$1003,5,FALSE),"")))</f>
        <v>#N/A</v>
      </c>
      <c r="H1977" s="42" t="e">
        <f ca="1">IF($C$1076&gt;0,VLOOKUP($C1977,COSTI!$U$4:$Z$1003,6,FALSE),IF($C$1075&gt;0,VLOOKUP($C1977,PATRIMONIALE!$U$4:$Z$1003,6,FALSE),IF($C$1074&gt;0,VLOOKUP($C1977,ENTI!$U$4:$Z$1003,6,FALSE),"")))</f>
        <v>#N/A</v>
      </c>
      <c r="I1977" s="496">
        <v>897</v>
      </c>
      <c r="J1977" s="43" t="e">
        <f ca="1">VLOOKUP(D1977,$F$1081:$I$4183,4,FALSE)+COUNTIF(E$1081:E1976,E1977)</f>
        <v>#N/A</v>
      </c>
      <c r="K1977" s="1"/>
      <c r="L1977" s="39" t="e">
        <f>IF($C$1074&gt;0,VLOOKUP($C1977,ENTI!$U$4:$AD$1003,10,FALSE),"")</f>
        <v>#N/A</v>
      </c>
      <c r="M1977" s="1"/>
      <c r="N1977" s="1"/>
      <c r="O1977" s="1"/>
    </row>
    <row r="1978" spans="1:15" hidden="1">
      <c r="A1978" s="1"/>
      <c r="B1978" s="40" t="e">
        <f t="shared" ca="1" si="223"/>
        <v>#N/A</v>
      </c>
      <c r="C1978" s="496">
        <v>898</v>
      </c>
      <c r="D1978" s="41" t="e">
        <f ca="1">IF($C$1076&gt;0,VLOOKUP($C1978,COSTI!$U$4:$Z$1003,3,FALSE),IF($C$1075&gt;0,VLOOKUP($C1978,PATRIMONIALE!$U$4:$Z$1003,3,FALSE),IF($C$1074&gt;0,VLOOKUP($C1978,ENTI!$U$4:$Z$1003,3,FALSE),"")))</f>
        <v>#N/A</v>
      </c>
      <c r="E1978" s="41" t="str">
        <f t="shared" ca="1" si="224"/>
        <v/>
      </c>
      <c r="F1978" s="41" t="e">
        <f t="shared" ca="1" si="225"/>
        <v>#NUM!</v>
      </c>
      <c r="G1978" s="39" t="e">
        <f ca="1">IF($C$1076&gt;0,VLOOKUP($C1978,COSTI!$U$4:$Z$1003,5,FALSE),IF($C$1075&gt;0,VLOOKUP($C1978,PATRIMONIALE!$U$4:$Z$1003,5,FALSE),IF($C$1074&gt;0,VLOOKUP($C1978,ENTI!$U$4:$Z$1003,5,FALSE),"")))</f>
        <v>#N/A</v>
      </c>
      <c r="H1978" s="42" t="e">
        <f ca="1">IF($C$1076&gt;0,VLOOKUP($C1978,COSTI!$U$4:$Z$1003,6,FALSE),IF($C$1075&gt;0,VLOOKUP($C1978,PATRIMONIALE!$U$4:$Z$1003,6,FALSE),IF($C$1074&gt;0,VLOOKUP($C1978,ENTI!$U$4:$Z$1003,6,FALSE),"")))</f>
        <v>#N/A</v>
      </c>
      <c r="I1978" s="496">
        <v>898</v>
      </c>
      <c r="J1978" s="43" t="e">
        <f ca="1">VLOOKUP(D1978,$F$1081:$I$4183,4,FALSE)+COUNTIF(E$1081:E1977,E1978)</f>
        <v>#N/A</v>
      </c>
      <c r="K1978" s="1"/>
      <c r="L1978" s="39" t="e">
        <f>IF($C$1074&gt;0,VLOOKUP($C1978,ENTI!$U$4:$AD$1003,10,FALSE),"")</f>
        <v>#N/A</v>
      </c>
      <c r="M1978" s="1"/>
      <c r="N1978" s="1"/>
      <c r="O1978" s="1"/>
    </row>
    <row r="1979" spans="1:15" hidden="1">
      <c r="A1979" s="1"/>
      <c r="B1979" s="40" t="e">
        <f t="shared" ca="1" si="223"/>
        <v>#N/A</v>
      </c>
      <c r="C1979" s="496">
        <v>899</v>
      </c>
      <c r="D1979" s="41" t="e">
        <f ca="1">IF($C$1076&gt;0,VLOOKUP($C1979,COSTI!$U$4:$Z$1003,3,FALSE),IF($C$1075&gt;0,VLOOKUP($C1979,PATRIMONIALE!$U$4:$Z$1003,3,FALSE),IF($C$1074&gt;0,VLOOKUP($C1979,ENTI!$U$4:$Z$1003,3,FALSE),"")))</f>
        <v>#N/A</v>
      </c>
      <c r="E1979" s="41" t="str">
        <f t="shared" ca="1" si="224"/>
        <v/>
      </c>
      <c r="F1979" s="41" t="e">
        <f t="shared" ca="1" si="225"/>
        <v>#NUM!</v>
      </c>
      <c r="G1979" s="39" t="e">
        <f ca="1">IF($C$1076&gt;0,VLOOKUP($C1979,COSTI!$U$4:$Z$1003,5,FALSE),IF($C$1075&gt;0,VLOOKUP($C1979,PATRIMONIALE!$U$4:$Z$1003,5,FALSE),IF($C$1074&gt;0,VLOOKUP($C1979,ENTI!$U$4:$Z$1003,5,FALSE),"")))</f>
        <v>#N/A</v>
      </c>
      <c r="H1979" s="42" t="e">
        <f ca="1">IF($C$1076&gt;0,VLOOKUP($C1979,COSTI!$U$4:$Z$1003,6,FALSE),IF($C$1075&gt;0,VLOOKUP($C1979,PATRIMONIALE!$U$4:$Z$1003,6,FALSE),IF($C$1074&gt;0,VLOOKUP($C1979,ENTI!$U$4:$Z$1003,6,FALSE),"")))</f>
        <v>#N/A</v>
      </c>
      <c r="I1979" s="496">
        <v>899</v>
      </c>
      <c r="J1979" s="43" t="e">
        <f ca="1">VLOOKUP(D1979,$F$1081:$I$4183,4,FALSE)+COUNTIF(E$1081:E1978,E1979)</f>
        <v>#N/A</v>
      </c>
      <c r="K1979" s="1"/>
      <c r="L1979" s="39" t="e">
        <f>IF($C$1074&gt;0,VLOOKUP($C1979,ENTI!$U$4:$AD$1003,10,FALSE),"")</f>
        <v>#N/A</v>
      </c>
      <c r="M1979" s="1"/>
      <c r="N1979" s="1"/>
      <c r="O1979" s="1"/>
    </row>
    <row r="1980" spans="1:15" hidden="1">
      <c r="A1980" s="1"/>
      <c r="B1980" s="40" t="e">
        <f t="shared" ca="1" si="223"/>
        <v>#N/A</v>
      </c>
      <c r="C1980" s="496">
        <v>900</v>
      </c>
      <c r="D1980" s="41" t="e">
        <f ca="1">IF($C$1076&gt;0,VLOOKUP($C1980,COSTI!$U$4:$Z$1003,3,FALSE),IF($C$1075&gt;0,VLOOKUP($C1980,PATRIMONIALE!$U$4:$Z$1003,3,FALSE),IF($C$1074&gt;0,VLOOKUP($C1980,ENTI!$U$4:$Z$1003,3,FALSE),"")))</f>
        <v>#N/A</v>
      </c>
      <c r="E1980" s="41" t="str">
        <f t="shared" ca="1" si="224"/>
        <v/>
      </c>
      <c r="F1980" s="41" t="e">
        <f t="shared" ca="1" si="225"/>
        <v>#NUM!</v>
      </c>
      <c r="G1980" s="39" t="e">
        <f ca="1">IF($C$1076&gt;0,VLOOKUP($C1980,COSTI!$U$4:$Z$1003,5,FALSE),IF($C$1075&gt;0,VLOOKUP($C1980,PATRIMONIALE!$U$4:$Z$1003,5,FALSE),IF($C$1074&gt;0,VLOOKUP($C1980,ENTI!$U$4:$Z$1003,5,FALSE),"")))</f>
        <v>#N/A</v>
      </c>
      <c r="H1980" s="42" t="e">
        <f ca="1">IF($C$1076&gt;0,VLOOKUP($C1980,COSTI!$U$4:$Z$1003,6,FALSE),IF($C$1075&gt;0,VLOOKUP($C1980,PATRIMONIALE!$U$4:$Z$1003,6,FALSE),IF($C$1074&gt;0,VLOOKUP($C1980,ENTI!$U$4:$Z$1003,6,FALSE),"")))</f>
        <v>#N/A</v>
      </c>
      <c r="I1980" s="496">
        <v>900</v>
      </c>
      <c r="J1980" s="43" t="e">
        <f ca="1">VLOOKUP(D1980,$F$1081:$I$4183,4,FALSE)+COUNTIF(E$1081:E1979,E1980)</f>
        <v>#N/A</v>
      </c>
      <c r="K1980" s="1"/>
      <c r="L1980" s="39" t="e">
        <f>IF($C$1074&gt;0,VLOOKUP($C1980,ENTI!$U$4:$AD$1003,10,FALSE),"")</f>
        <v>#N/A</v>
      </c>
      <c r="M1980" s="1"/>
      <c r="N1980" s="1"/>
      <c r="O1980" s="1"/>
    </row>
    <row r="1981" spans="1:15" hidden="1">
      <c r="A1981" s="1"/>
      <c r="B1981" s="40" t="e">
        <f t="shared" ca="1" si="223"/>
        <v>#N/A</v>
      </c>
      <c r="C1981" s="496">
        <v>901</v>
      </c>
      <c r="D1981" s="41" t="e">
        <f ca="1">IF($C$1076&gt;0,VLOOKUP($C1981,COSTI!$U$4:$Z$1003,3,FALSE),IF($C$1075&gt;0,VLOOKUP($C1981,PATRIMONIALE!$U$4:$Z$1003,3,FALSE),IF($C$1074&gt;0,VLOOKUP($C1981,ENTI!$U$4:$Z$1003,3,FALSE),"")))</f>
        <v>#N/A</v>
      </c>
      <c r="E1981" s="41" t="str">
        <f t="shared" ca="1" si="224"/>
        <v/>
      </c>
      <c r="F1981" s="41" t="e">
        <f t="shared" ca="1" si="225"/>
        <v>#NUM!</v>
      </c>
      <c r="G1981" s="39" t="e">
        <f ca="1">IF($C$1076&gt;0,VLOOKUP($C1981,COSTI!$U$4:$Z$1003,5,FALSE),IF($C$1075&gt;0,VLOOKUP($C1981,PATRIMONIALE!$U$4:$Z$1003,5,FALSE),IF($C$1074&gt;0,VLOOKUP($C1981,ENTI!$U$4:$Z$1003,5,FALSE),"")))</f>
        <v>#N/A</v>
      </c>
      <c r="H1981" s="42" t="e">
        <f ca="1">IF($C$1076&gt;0,VLOOKUP($C1981,COSTI!$U$4:$Z$1003,6,FALSE),IF($C$1075&gt;0,VLOOKUP($C1981,PATRIMONIALE!$U$4:$Z$1003,6,FALSE),IF($C$1074&gt;0,VLOOKUP($C1981,ENTI!$U$4:$Z$1003,6,FALSE),"")))</f>
        <v>#N/A</v>
      </c>
      <c r="I1981" s="496">
        <v>901</v>
      </c>
      <c r="J1981" s="43" t="e">
        <f ca="1">VLOOKUP(D1981,$F$1081:$I$4183,4,FALSE)+COUNTIF(E$1081:E1980,E1981)</f>
        <v>#N/A</v>
      </c>
      <c r="K1981" s="1"/>
      <c r="L1981" s="39" t="e">
        <f>IF($C$1074&gt;0,VLOOKUP($C1981,ENTI!$U$4:$AD$1003,10,FALSE),"")</f>
        <v>#N/A</v>
      </c>
      <c r="M1981" s="1"/>
      <c r="N1981" s="1"/>
      <c r="O1981" s="1"/>
    </row>
    <row r="1982" spans="1:15" hidden="1">
      <c r="A1982" s="1"/>
      <c r="B1982" s="40" t="e">
        <f t="shared" ca="1" si="223"/>
        <v>#N/A</v>
      </c>
      <c r="C1982" s="496">
        <v>902</v>
      </c>
      <c r="D1982" s="41" t="e">
        <f ca="1">IF($C$1076&gt;0,VLOOKUP($C1982,COSTI!$U$4:$Z$1003,3,FALSE),IF($C$1075&gt;0,VLOOKUP($C1982,PATRIMONIALE!$U$4:$Z$1003,3,FALSE),IF($C$1074&gt;0,VLOOKUP($C1982,ENTI!$U$4:$Z$1003,3,FALSE),"")))</f>
        <v>#N/A</v>
      </c>
      <c r="E1982" s="41" t="str">
        <f t="shared" ca="1" si="224"/>
        <v/>
      </c>
      <c r="F1982" s="41" t="e">
        <f t="shared" ca="1" si="225"/>
        <v>#NUM!</v>
      </c>
      <c r="G1982" s="39" t="e">
        <f ca="1">IF($C$1076&gt;0,VLOOKUP($C1982,COSTI!$U$4:$Z$1003,5,FALSE),IF($C$1075&gt;0,VLOOKUP($C1982,PATRIMONIALE!$U$4:$Z$1003,5,FALSE),IF($C$1074&gt;0,VLOOKUP($C1982,ENTI!$U$4:$Z$1003,5,FALSE),"")))</f>
        <v>#N/A</v>
      </c>
      <c r="H1982" s="42" t="e">
        <f ca="1">IF($C$1076&gt;0,VLOOKUP($C1982,COSTI!$U$4:$Z$1003,6,FALSE),IF($C$1075&gt;0,VLOOKUP($C1982,PATRIMONIALE!$U$4:$Z$1003,6,FALSE),IF($C$1074&gt;0,VLOOKUP($C1982,ENTI!$U$4:$Z$1003,6,FALSE),"")))</f>
        <v>#N/A</v>
      </c>
      <c r="I1982" s="496">
        <v>902</v>
      </c>
      <c r="J1982" s="43" t="e">
        <f ca="1">VLOOKUP(D1982,$F$1081:$I$4183,4,FALSE)+COUNTIF(E$1081:E1981,E1982)</f>
        <v>#N/A</v>
      </c>
      <c r="K1982" s="1"/>
      <c r="L1982" s="39" t="e">
        <f>IF($C$1074&gt;0,VLOOKUP($C1982,ENTI!$U$4:$AD$1003,10,FALSE),"")</f>
        <v>#N/A</v>
      </c>
      <c r="M1982" s="1"/>
      <c r="N1982" s="1"/>
      <c r="O1982" s="1"/>
    </row>
    <row r="1983" spans="1:15" hidden="1">
      <c r="A1983" s="1"/>
      <c r="B1983" s="40" t="e">
        <f t="shared" ca="1" si="223"/>
        <v>#N/A</v>
      </c>
      <c r="C1983" s="496">
        <v>903</v>
      </c>
      <c r="D1983" s="41" t="e">
        <f ca="1">IF($C$1076&gt;0,VLOOKUP($C1983,COSTI!$U$4:$Z$1003,3,FALSE),IF($C$1075&gt;0,VLOOKUP($C1983,PATRIMONIALE!$U$4:$Z$1003,3,FALSE),IF($C$1074&gt;0,VLOOKUP($C1983,ENTI!$U$4:$Z$1003,3,FALSE),"")))</f>
        <v>#N/A</v>
      </c>
      <c r="E1983" s="41" t="str">
        <f t="shared" ca="1" si="224"/>
        <v/>
      </c>
      <c r="F1983" s="41" t="e">
        <f t="shared" ca="1" si="225"/>
        <v>#NUM!</v>
      </c>
      <c r="G1983" s="39" t="e">
        <f ca="1">IF($C$1076&gt;0,VLOOKUP($C1983,COSTI!$U$4:$Z$1003,5,FALSE),IF($C$1075&gt;0,VLOOKUP($C1983,PATRIMONIALE!$U$4:$Z$1003,5,FALSE),IF($C$1074&gt;0,VLOOKUP($C1983,ENTI!$U$4:$Z$1003,5,FALSE),"")))</f>
        <v>#N/A</v>
      </c>
      <c r="H1983" s="42" t="e">
        <f ca="1">IF($C$1076&gt;0,VLOOKUP($C1983,COSTI!$U$4:$Z$1003,6,FALSE),IF($C$1075&gt;0,VLOOKUP($C1983,PATRIMONIALE!$U$4:$Z$1003,6,FALSE),IF($C$1074&gt;0,VLOOKUP($C1983,ENTI!$U$4:$Z$1003,6,FALSE),"")))</f>
        <v>#N/A</v>
      </c>
      <c r="I1983" s="496">
        <v>903</v>
      </c>
      <c r="J1983" s="43" t="e">
        <f ca="1">VLOOKUP(D1983,$F$1081:$I$4183,4,FALSE)+COUNTIF(E$1081:E1982,E1983)</f>
        <v>#N/A</v>
      </c>
      <c r="K1983" s="1"/>
      <c r="L1983" s="39" t="e">
        <f>IF($C$1074&gt;0,VLOOKUP($C1983,ENTI!$U$4:$AD$1003,10,FALSE),"")</f>
        <v>#N/A</v>
      </c>
      <c r="M1983" s="1"/>
      <c r="N1983" s="1"/>
      <c r="O1983" s="1"/>
    </row>
    <row r="1984" spans="1:15" hidden="1">
      <c r="A1984" s="1"/>
      <c r="B1984" s="40" t="e">
        <f t="shared" ca="1" si="223"/>
        <v>#N/A</v>
      </c>
      <c r="C1984" s="496">
        <v>904</v>
      </c>
      <c r="D1984" s="41" t="e">
        <f ca="1">IF($C$1076&gt;0,VLOOKUP($C1984,COSTI!$U$4:$Z$1003,3,FALSE),IF($C$1075&gt;0,VLOOKUP($C1984,PATRIMONIALE!$U$4:$Z$1003,3,FALSE),IF($C$1074&gt;0,VLOOKUP($C1984,ENTI!$U$4:$Z$1003,3,FALSE),"")))</f>
        <v>#N/A</v>
      </c>
      <c r="E1984" s="41" t="str">
        <f t="shared" ca="1" si="224"/>
        <v/>
      </c>
      <c r="F1984" s="41" t="e">
        <f t="shared" ca="1" si="225"/>
        <v>#NUM!</v>
      </c>
      <c r="G1984" s="39" t="e">
        <f ca="1">IF($C$1076&gt;0,VLOOKUP($C1984,COSTI!$U$4:$Z$1003,5,FALSE),IF($C$1075&gt;0,VLOOKUP($C1984,PATRIMONIALE!$U$4:$Z$1003,5,FALSE),IF($C$1074&gt;0,VLOOKUP($C1984,ENTI!$U$4:$Z$1003,5,FALSE),"")))</f>
        <v>#N/A</v>
      </c>
      <c r="H1984" s="42" t="e">
        <f ca="1">IF($C$1076&gt;0,VLOOKUP($C1984,COSTI!$U$4:$Z$1003,6,FALSE),IF($C$1075&gt;0,VLOOKUP($C1984,PATRIMONIALE!$U$4:$Z$1003,6,FALSE),IF($C$1074&gt;0,VLOOKUP($C1984,ENTI!$U$4:$Z$1003,6,FALSE),"")))</f>
        <v>#N/A</v>
      </c>
      <c r="I1984" s="496">
        <v>904</v>
      </c>
      <c r="J1984" s="43" t="e">
        <f ca="1">VLOOKUP(D1984,$F$1081:$I$4183,4,FALSE)+COUNTIF(E$1081:E1983,E1984)</f>
        <v>#N/A</v>
      </c>
      <c r="K1984" s="1"/>
      <c r="L1984" s="39" t="e">
        <f>IF($C$1074&gt;0,VLOOKUP($C1984,ENTI!$U$4:$AD$1003,10,FALSE),"")</f>
        <v>#N/A</v>
      </c>
      <c r="M1984" s="1"/>
      <c r="N1984" s="1"/>
      <c r="O1984" s="1"/>
    </row>
    <row r="1985" spans="1:15" hidden="1">
      <c r="A1985" s="1"/>
      <c r="B1985" s="40" t="e">
        <f t="shared" ca="1" si="223"/>
        <v>#N/A</v>
      </c>
      <c r="C1985" s="496">
        <v>905</v>
      </c>
      <c r="D1985" s="41" t="e">
        <f ca="1">IF($C$1076&gt;0,VLOOKUP($C1985,COSTI!$U$4:$Z$1003,3,FALSE),IF($C$1075&gt;0,VLOOKUP($C1985,PATRIMONIALE!$U$4:$Z$1003,3,FALSE),IF($C$1074&gt;0,VLOOKUP($C1985,ENTI!$U$4:$Z$1003,3,FALSE),"")))</f>
        <v>#N/A</v>
      </c>
      <c r="E1985" s="41" t="str">
        <f t="shared" ca="1" si="224"/>
        <v/>
      </c>
      <c r="F1985" s="41" t="e">
        <f t="shared" ca="1" si="225"/>
        <v>#NUM!</v>
      </c>
      <c r="G1985" s="39" t="e">
        <f ca="1">IF($C$1076&gt;0,VLOOKUP($C1985,COSTI!$U$4:$Z$1003,5,FALSE),IF($C$1075&gt;0,VLOOKUP($C1985,PATRIMONIALE!$U$4:$Z$1003,5,FALSE),IF($C$1074&gt;0,VLOOKUP($C1985,ENTI!$U$4:$Z$1003,5,FALSE),"")))</f>
        <v>#N/A</v>
      </c>
      <c r="H1985" s="42" t="e">
        <f ca="1">IF($C$1076&gt;0,VLOOKUP($C1985,COSTI!$U$4:$Z$1003,6,FALSE),IF($C$1075&gt;0,VLOOKUP($C1985,PATRIMONIALE!$U$4:$Z$1003,6,FALSE),IF($C$1074&gt;0,VLOOKUP($C1985,ENTI!$U$4:$Z$1003,6,FALSE),"")))</f>
        <v>#N/A</v>
      </c>
      <c r="I1985" s="496">
        <v>905</v>
      </c>
      <c r="J1985" s="43" t="e">
        <f ca="1">VLOOKUP(D1985,$F$1081:$I$4183,4,FALSE)+COUNTIF(E$1081:E1984,E1985)</f>
        <v>#N/A</v>
      </c>
      <c r="K1985" s="1"/>
      <c r="L1985" s="39" t="e">
        <f>IF($C$1074&gt;0,VLOOKUP($C1985,ENTI!$U$4:$AD$1003,10,FALSE),"")</f>
        <v>#N/A</v>
      </c>
      <c r="M1985" s="1"/>
      <c r="N1985" s="1"/>
      <c r="O1985" s="1"/>
    </row>
    <row r="1986" spans="1:15" hidden="1">
      <c r="A1986" s="1"/>
      <c r="B1986" s="40" t="e">
        <f t="shared" ca="1" si="223"/>
        <v>#N/A</v>
      </c>
      <c r="C1986" s="496">
        <v>906</v>
      </c>
      <c r="D1986" s="41" t="e">
        <f ca="1">IF($C$1076&gt;0,VLOOKUP($C1986,COSTI!$U$4:$Z$1003,3,FALSE),IF($C$1075&gt;0,VLOOKUP($C1986,PATRIMONIALE!$U$4:$Z$1003,3,FALSE),IF($C$1074&gt;0,VLOOKUP($C1986,ENTI!$U$4:$Z$1003,3,FALSE),"")))</f>
        <v>#N/A</v>
      </c>
      <c r="E1986" s="41" t="str">
        <f t="shared" ca="1" si="224"/>
        <v/>
      </c>
      <c r="F1986" s="41" t="e">
        <f t="shared" ca="1" si="225"/>
        <v>#NUM!</v>
      </c>
      <c r="G1986" s="39" t="e">
        <f ca="1">IF($C$1076&gt;0,VLOOKUP($C1986,COSTI!$U$4:$Z$1003,5,FALSE),IF($C$1075&gt;0,VLOOKUP($C1986,PATRIMONIALE!$U$4:$Z$1003,5,FALSE),IF($C$1074&gt;0,VLOOKUP($C1986,ENTI!$U$4:$Z$1003,5,FALSE),"")))</f>
        <v>#N/A</v>
      </c>
      <c r="H1986" s="42" t="e">
        <f ca="1">IF($C$1076&gt;0,VLOOKUP($C1986,COSTI!$U$4:$Z$1003,6,FALSE),IF($C$1075&gt;0,VLOOKUP($C1986,PATRIMONIALE!$U$4:$Z$1003,6,FALSE),IF($C$1074&gt;0,VLOOKUP($C1986,ENTI!$U$4:$Z$1003,6,FALSE),"")))</f>
        <v>#N/A</v>
      </c>
      <c r="I1986" s="496">
        <v>906</v>
      </c>
      <c r="J1986" s="43" t="e">
        <f ca="1">VLOOKUP(D1986,$F$1081:$I$4183,4,FALSE)+COUNTIF(E$1081:E1985,E1986)</f>
        <v>#N/A</v>
      </c>
      <c r="K1986" s="1"/>
      <c r="L1986" s="39" t="e">
        <f>IF($C$1074&gt;0,VLOOKUP($C1986,ENTI!$U$4:$AD$1003,10,FALSE),"")</f>
        <v>#N/A</v>
      </c>
      <c r="M1986" s="1"/>
      <c r="N1986" s="1"/>
      <c r="O1986" s="1"/>
    </row>
    <row r="1987" spans="1:15" hidden="1">
      <c r="A1987" s="1"/>
      <c r="B1987" s="40" t="e">
        <f t="shared" ca="1" si="223"/>
        <v>#N/A</v>
      </c>
      <c r="C1987" s="496">
        <v>907</v>
      </c>
      <c r="D1987" s="41" t="e">
        <f ca="1">IF($C$1076&gt;0,VLOOKUP($C1987,COSTI!$U$4:$Z$1003,3,FALSE),IF($C$1075&gt;0,VLOOKUP($C1987,PATRIMONIALE!$U$4:$Z$1003,3,FALSE),IF($C$1074&gt;0,VLOOKUP($C1987,ENTI!$U$4:$Z$1003,3,FALSE),"")))</f>
        <v>#N/A</v>
      </c>
      <c r="E1987" s="41" t="str">
        <f t="shared" ca="1" si="224"/>
        <v/>
      </c>
      <c r="F1987" s="41" t="e">
        <f t="shared" ca="1" si="225"/>
        <v>#NUM!</v>
      </c>
      <c r="G1987" s="39" t="e">
        <f ca="1">IF($C$1076&gt;0,VLOOKUP($C1987,COSTI!$U$4:$Z$1003,5,FALSE),IF($C$1075&gt;0,VLOOKUP($C1987,PATRIMONIALE!$U$4:$Z$1003,5,FALSE),IF($C$1074&gt;0,VLOOKUP($C1987,ENTI!$U$4:$Z$1003,5,FALSE),"")))</f>
        <v>#N/A</v>
      </c>
      <c r="H1987" s="42" t="e">
        <f ca="1">IF($C$1076&gt;0,VLOOKUP($C1987,COSTI!$U$4:$Z$1003,6,FALSE),IF($C$1075&gt;0,VLOOKUP($C1987,PATRIMONIALE!$U$4:$Z$1003,6,FALSE),IF($C$1074&gt;0,VLOOKUP($C1987,ENTI!$U$4:$Z$1003,6,FALSE),"")))</f>
        <v>#N/A</v>
      </c>
      <c r="I1987" s="496">
        <v>907</v>
      </c>
      <c r="J1987" s="43" t="e">
        <f ca="1">VLOOKUP(D1987,$F$1081:$I$4183,4,FALSE)+COUNTIF(E$1081:E1986,E1987)</f>
        <v>#N/A</v>
      </c>
      <c r="K1987" s="1"/>
      <c r="L1987" s="39" t="e">
        <f>IF($C$1074&gt;0,VLOOKUP($C1987,ENTI!$U$4:$AD$1003,10,FALSE),"")</f>
        <v>#N/A</v>
      </c>
      <c r="M1987" s="1"/>
      <c r="N1987" s="1"/>
      <c r="O1987" s="1"/>
    </row>
    <row r="1988" spans="1:15" hidden="1">
      <c r="A1988" s="1"/>
      <c r="B1988" s="40" t="e">
        <f t="shared" ca="1" si="223"/>
        <v>#N/A</v>
      </c>
      <c r="C1988" s="496">
        <v>908</v>
      </c>
      <c r="D1988" s="41" t="e">
        <f ca="1">IF($C$1076&gt;0,VLOOKUP($C1988,COSTI!$U$4:$Z$1003,3,FALSE),IF($C$1075&gt;0,VLOOKUP($C1988,PATRIMONIALE!$U$4:$Z$1003,3,FALSE),IF($C$1074&gt;0,VLOOKUP($C1988,ENTI!$U$4:$Z$1003,3,FALSE),"")))</f>
        <v>#N/A</v>
      </c>
      <c r="E1988" s="41" t="str">
        <f t="shared" ca="1" si="224"/>
        <v/>
      </c>
      <c r="F1988" s="41" t="e">
        <f t="shared" ca="1" si="225"/>
        <v>#NUM!</v>
      </c>
      <c r="G1988" s="39" t="e">
        <f ca="1">IF($C$1076&gt;0,VLOOKUP($C1988,COSTI!$U$4:$Z$1003,5,FALSE),IF($C$1075&gt;0,VLOOKUP($C1988,PATRIMONIALE!$U$4:$Z$1003,5,FALSE),IF($C$1074&gt;0,VLOOKUP($C1988,ENTI!$U$4:$Z$1003,5,FALSE),"")))</f>
        <v>#N/A</v>
      </c>
      <c r="H1988" s="42" t="e">
        <f ca="1">IF($C$1076&gt;0,VLOOKUP($C1988,COSTI!$U$4:$Z$1003,6,FALSE),IF($C$1075&gt;0,VLOOKUP($C1988,PATRIMONIALE!$U$4:$Z$1003,6,FALSE),IF($C$1074&gt;0,VLOOKUP($C1988,ENTI!$U$4:$Z$1003,6,FALSE),"")))</f>
        <v>#N/A</v>
      </c>
      <c r="I1988" s="496">
        <v>908</v>
      </c>
      <c r="J1988" s="43" t="e">
        <f ca="1">VLOOKUP(D1988,$F$1081:$I$4183,4,FALSE)+COUNTIF(E$1081:E1987,E1988)</f>
        <v>#N/A</v>
      </c>
      <c r="K1988" s="1"/>
      <c r="L1988" s="39" t="e">
        <f>IF($C$1074&gt;0,VLOOKUP($C1988,ENTI!$U$4:$AD$1003,10,FALSE),"")</f>
        <v>#N/A</v>
      </c>
      <c r="M1988" s="1"/>
      <c r="N1988" s="1"/>
      <c r="O1988" s="1"/>
    </row>
    <row r="1989" spans="1:15" hidden="1">
      <c r="A1989" s="1"/>
      <c r="B1989" s="40" t="e">
        <f t="shared" ca="1" si="223"/>
        <v>#N/A</v>
      </c>
      <c r="C1989" s="496">
        <v>909</v>
      </c>
      <c r="D1989" s="41" t="e">
        <f ca="1">IF($C$1076&gt;0,VLOOKUP($C1989,COSTI!$U$4:$Z$1003,3,FALSE),IF($C$1075&gt;0,VLOOKUP($C1989,PATRIMONIALE!$U$4:$Z$1003,3,FALSE),IF($C$1074&gt;0,VLOOKUP($C1989,ENTI!$U$4:$Z$1003,3,FALSE),"")))</f>
        <v>#N/A</v>
      </c>
      <c r="E1989" s="41" t="str">
        <f t="shared" ca="1" si="224"/>
        <v/>
      </c>
      <c r="F1989" s="41" t="e">
        <f t="shared" ca="1" si="225"/>
        <v>#NUM!</v>
      </c>
      <c r="G1989" s="39" t="e">
        <f ca="1">IF($C$1076&gt;0,VLOOKUP($C1989,COSTI!$U$4:$Z$1003,5,FALSE),IF($C$1075&gt;0,VLOOKUP($C1989,PATRIMONIALE!$U$4:$Z$1003,5,FALSE),IF($C$1074&gt;0,VLOOKUP($C1989,ENTI!$U$4:$Z$1003,5,FALSE),"")))</f>
        <v>#N/A</v>
      </c>
      <c r="H1989" s="42" t="e">
        <f ca="1">IF($C$1076&gt;0,VLOOKUP($C1989,COSTI!$U$4:$Z$1003,6,FALSE),IF($C$1075&gt;0,VLOOKUP($C1989,PATRIMONIALE!$U$4:$Z$1003,6,FALSE),IF($C$1074&gt;0,VLOOKUP($C1989,ENTI!$U$4:$Z$1003,6,FALSE),"")))</f>
        <v>#N/A</v>
      </c>
      <c r="I1989" s="496">
        <v>909</v>
      </c>
      <c r="J1989" s="43" t="e">
        <f ca="1">VLOOKUP(D1989,$F$1081:$I$4183,4,FALSE)+COUNTIF(E$1081:E1988,E1989)</f>
        <v>#N/A</v>
      </c>
      <c r="K1989" s="1"/>
      <c r="L1989" s="39" t="e">
        <f>IF($C$1074&gt;0,VLOOKUP($C1989,ENTI!$U$4:$AD$1003,10,FALSE),"")</f>
        <v>#N/A</v>
      </c>
      <c r="M1989" s="1"/>
      <c r="N1989" s="1"/>
      <c r="O1989" s="1"/>
    </row>
    <row r="1990" spans="1:15" hidden="1">
      <c r="A1990" s="1"/>
      <c r="B1990" s="40" t="e">
        <f t="shared" ca="1" si="223"/>
        <v>#N/A</v>
      </c>
      <c r="C1990" s="496">
        <v>910</v>
      </c>
      <c r="D1990" s="41" t="e">
        <f ca="1">IF($C$1076&gt;0,VLOOKUP($C1990,COSTI!$U$4:$Z$1003,3,FALSE),IF($C$1075&gt;0,VLOOKUP($C1990,PATRIMONIALE!$U$4:$Z$1003,3,FALSE),IF($C$1074&gt;0,VLOOKUP($C1990,ENTI!$U$4:$Z$1003,3,FALSE),"")))</f>
        <v>#N/A</v>
      </c>
      <c r="E1990" s="41" t="str">
        <f t="shared" ca="1" si="224"/>
        <v/>
      </c>
      <c r="F1990" s="41" t="e">
        <f t="shared" ca="1" si="225"/>
        <v>#NUM!</v>
      </c>
      <c r="G1990" s="39" t="e">
        <f ca="1">IF($C$1076&gt;0,VLOOKUP($C1990,COSTI!$U$4:$Z$1003,5,FALSE),IF($C$1075&gt;0,VLOOKUP($C1990,PATRIMONIALE!$U$4:$Z$1003,5,FALSE),IF($C$1074&gt;0,VLOOKUP($C1990,ENTI!$U$4:$Z$1003,5,FALSE),"")))</f>
        <v>#N/A</v>
      </c>
      <c r="H1990" s="42" t="e">
        <f ca="1">IF($C$1076&gt;0,VLOOKUP($C1990,COSTI!$U$4:$Z$1003,6,FALSE),IF($C$1075&gt;0,VLOOKUP($C1990,PATRIMONIALE!$U$4:$Z$1003,6,FALSE),IF($C$1074&gt;0,VLOOKUP($C1990,ENTI!$U$4:$Z$1003,6,FALSE),"")))</f>
        <v>#N/A</v>
      </c>
      <c r="I1990" s="496">
        <v>910</v>
      </c>
      <c r="J1990" s="43" t="e">
        <f ca="1">VLOOKUP(D1990,$F$1081:$I$4183,4,FALSE)+COUNTIF(E$1081:E1989,E1990)</f>
        <v>#N/A</v>
      </c>
      <c r="K1990" s="1"/>
      <c r="L1990" s="39" t="e">
        <f>IF($C$1074&gt;0,VLOOKUP($C1990,ENTI!$U$4:$AD$1003,10,FALSE),"")</f>
        <v>#N/A</v>
      </c>
      <c r="M1990" s="1"/>
      <c r="N1990" s="1"/>
      <c r="O1990" s="1"/>
    </row>
    <row r="1991" spans="1:15" hidden="1">
      <c r="A1991" s="1"/>
      <c r="B1991" s="40" t="e">
        <f t="shared" ca="1" si="223"/>
        <v>#N/A</v>
      </c>
      <c r="C1991" s="496">
        <v>911</v>
      </c>
      <c r="D1991" s="41" t="e">
        <f ca="1">IF($C$1076&gt;0,VLOOKUP($C1991,COSTI!$U$4:$Z$1003,3,FALSE),IF($C$1075&gt;0,VLOOKUP($C1991,PATRIMONIALE!$U$4:$Z$1003,3,FALSE),IF($C$1074&gt;0,VLOOKUP($C1991,ENTI!$U$4:$Z$1003,3,FALSE),"")))</f>
        <v>#N/A</v>
      </c>
      <c r="E1991" s="41" t="str">
        <f t="shared" ca="1" si="224"/>
        <v/>
      </c>
      <c r="F1991" s="41" t="e">
        <f t="shared" ca="1" si="225"/>
        <v>#NUM!</v>
      </c>
      <c r="G1991" s="39" t="e">
        <f ca="1">IF($C$1076&gt;0,VLOOKUP($C1991,COSTI!$U$4:$Z$1003,5,FALSE),IF($C$1075&gt;0,VLOOKUP($C1991,PATRIMONIALE!$U$4:$Z$1003,5,FALSE),IF($C$1074&gt;0,VLOOKUP($C1991,ENTI!$U$4:$Z$1003,5,FALSE),"")))</f>
        <v>#N/A</v>
      </c>
      <c r="H1991" s="42" t="e">
        <f ca="1">IF($C$1076&gt;0,VLOOKUP($C1991,COSTI!$U$4:$Z$1003,6,FALSE),IF($C$1075&gt;0,VLOOKUP($C1991,PATRIMONIALE!$U$4:$Z$1003,6,FALSE),IF($C$1074&gt;0,VLOOKUP($C1991,ENTI!$U$4:$Z$1003,6,FALSE),"")))</f>
        <v>#N/A</v>
      </c>
      <c r="I1991" s="496">
        <v>911</v>
      </c>
      <c r="J1991" s="43" t="e">
        <f ca="1">VLOOKUP(D1991,$F$1081:$I$4183,4,FALSE)+COUNTIF(E$1081:E1990,E1991)</f>
        <v>#N/A</v>
      </c>
      <c r="K1991" s="1"/>
      <c r="L1991" s="39" t="e">
        <f>IF($C$1074&gt;0,VLOOKUP($C1991,ENTI!$U$4:$AD$1003,10,FALSE),"")</f>
        <v>#N/A</v>
      </c>
      <c r="M1991" s="1"/>
      <c r="N1991" s="1"/>
      <c r="O1991" s="1"/>
    </row>
    <row r="1992" spans="1:15" hidden="1">
      <c r="A1992" s="1"/>
      <c r="B1992" s="40" t="e">
        <f t="shared" ca="1" si="223"/>
        <v>#N/A</v>
      </c>
      <c r="C1992" s="496">
        <v>912</v>
      </c>
      <c r="D1992" s="41" t="e">
        <f ca="1">IF($C$1076&gt;0,VLOOKUP($C1992,COSTI!$U$4:$Z$1003,3,FALSE),IF($C$1075&gt;0,VLOOKUP($C1992,PATRIMONIALE!$U$4:$Z$1003,3,FALSE),IF($C$1074&gt;0,VLOOKUP($C1992,ENTI!$U$4:$Z$1003,3,FALSE),"")))</f>
        <v>#N/A</v>
      </c>
      <c r="E1992" s="41" t="str">
        <f t="shared" ca="1" si="224"/>
        <v/>
      </c>
      <c r="F1992" s="41" t="e">
        <f t="shared" ca="1" si="225"/>
        <v>#NUM!</v>
      </c>
      <c r="G1992" s="39" t="e">
        <f ca="1">IF($C$1076&gt;0,VLOOKUP($C1992,COSTI!$U$4:$Z$1003,5,FALSE),IF($C$1075&gt;0,VLOOKUP($C1992,PATRIMONIALE!$U$4:$Z$1003,5,FALSE),IF($C$1074&gt;0,VLOOKUP($C1992,ENTI!$U$4:$Z$1003,5,FALSE),"")))</f>
        <v>#N/A</v>
      </c>
      <c r="H1992" s="42" t="e">
        <f ca="1">IF($C$1076&gt;0,VLOOKUP($C1992,COSTI!$U$4:$Z$1003,6,FALSE),IF($C$1075&gt;0,VLOOKUP($C1992,PATRIMONIALE!$U$4:$Z$1003,6,FALSE),IF($C$1074&gt;0,VLOOKUP($C1992,ENTI!$U$4:$Z$1003,6,FALSE),"")))</f>
        <v>#N/A</v>
      </c>
      <c r="I1992" s="496">
        <v>912</v>
      </c>
      <c r="J1992" s="43" t="e">
        <f ca="1">VLOOKUP(D1992,$F$1081:$I$4183,4,FALSE)+COUNTIF(E$1081:E1991,E1992)</f>
        <v>#N/A</v>
      </c>
      <c r="K1992" s="1"/>
      <c r="L1992" s="39" t="e">
        <f>IF($C$1074&gt;0,VLOOKUP($C1992,ENTI!$U$4:$AD$1003,10,FALSE),"")</f>
        <v>#N/A</v>
      </c>
      <c r="M1992" s="1"/>
      <c r="N1992" s="1"/>
      <c r="O1992" s="1"/>
    </row>
    <row r="1993" spans="1:15" hidden="1">
      <c r="A1993" s="1"/>
      <c r="B1993" s="40" t="e">
        <f t="shared" ca="1" si="223"/>
        <v>#N/A</v>
      </c>
      <c r="C1993" s="496">
        <v>913</v>
      </c>
      <c r="D1993" s="41" t="e">
        <f ca="1">IF($C$1076&gt;0,VLOOKUP($C1993,COSTI!$U$4:$Z$1003,3,FALSE),IF($C$1075&gt;0,VLOOKUP($C1993,PATRIMONIALE!$U$4:$Z$1003,3,FALSE),IF($C$1074&gt;0,VLOOKUP($C1993,ENTI!$U$4:$Z$1003,3,FALSE),"")))</f>
        <v>#N/A</v>
      </c>
      <c r="E1993" s="41" t="str">
        <f t="shared" ca="1" si="224"/>
        <v/>
      </c>
      <c r="F1993" s="41" t="e">
        <f t="shared" ca="1" si="225"/>
        <v>#NUM!</v>
      </c>
      <c r="G1993" s="39" t="e">
        <f ca="1">IF($C$1076&gt;0,VLOOKUP($C1993,COSTI!$U$4:$Z$1003,5,FALSE),IF($C$1075&gt;0,VLOOKUP($C1993,PATRIMONIALE!$U$4:$Z$1003,5,FALSE),IF($C$1074&gt;0,VLOOKUP($C1993,ENTI!$U$4:$Z$1003,5,FALSE),"")))</f>
        <v>#N/A</v>
      </c>
      <c r="H1993" s="42" t="e">
        <f ca="1">IF($C$1076&gt;0,VLOOKUP($C1993,COSTI!$U$4:$Z$1003,6,FALSE),IF($C$1075&gt;0,VLOOKUP($C1993,PATRIMONIALE!$U$4:$Z$1003,6,FALSE),IF($C$1074&gt;0,VLOOKUP($C1993,ENTI!$U$4:$Z$1003,6,FALSE),"")))</f>
        <v>#N/A</v>
      </c>
      <c r="I1993" s="496">
        <v>913</v>
      </c>
      <c r="J1993" s="43" t="e">
        <f ca="1">VLOOKUP(D1993,$F$1081:$I$4183,4,FALSE)+COUNTIF(E$1081:E1992,E1993)</f>
        <v>#N/A</v>
      </c>
      <c r="K1993" s="1"/>
      <c r="L1993" s="39" t="e">
        <f>IF($C$1074&gt;0,VLOOKUP($C1993,ENTI!$U$4:$AD$1003,10,FALSE),"")</f>
        <v>#N/A</v>
      </c>
      <c r="M1993" s="1"/>
      <c r="N1993" s="1"/>
      <c r="O1993" s="1"/>
    </row>
    <row r="1994" spans="1:15" hidden="1">
      <c r="A1994" s="1"/>
      <c r="B1994" s="40" t="e">
        <f t="shared" ca="1" si="223"/>
        <v>#N/A</v>
      </c>
      <c r="C1994" s="496">
        <v>914</v>
      </c>
      <c r="D1994" s="41" t="e">
        <f ca="1">IF($C$1076&gt;0,VLOOKUP($C1994,COSTI!$U$4:$Z$1003,3,FALSE),IF($C$1075&gt;0,VLOOKUP($C1994,PATRIMONIALE!$U$4:$Z$1003,3,FALSE),IF($C$1074&gt;0,VLOOKUP($C1994,ENTI!$U$4:$Z$1003,3,FALSE),"")))</f>
        <v>#N/A</v>
      </c>
      <c r="E1994" s="41" t="str">
        <f t="shared" ca="1" si="224"/>
        <v/>
      </c>
      <c r="F1994" s="41" t="e">
        <f t="shared" ca="1" si="225"/>
        <v>#NUM!</v>
      </c>
      <c r="G1994" s="39" t="e">
        <f ca="1">IF($C$1076&gt;0,VLOOKUP($C1994,COSTI!$U$4:$Z$1003,5,FALSE),IF($C$1075&gt;0,VLOOKUP($C1994,PATRIMONIALE!$U$4:$Z$1003,5,FALSE),IF($C$1074&gt;0,VLOOKUP($C1994,ENTI!$U$4:$Z$1003,5,FALSE),"")))</f>
        <v>#N/A</v>
      </c>
      <c r="H1994" s="42" t="e">
        <f ca="1">IF($C$1076&gt;0,VLOOKUP($C1994,COSTI!$U$4:$Z$1003,6,FALSE),IF($C$1075&gt;0,VLOOKUP($C1994,PATRIMONIALE!$U$4:$Z$1003,6,FALSE),IF($C$1074&gt;0,VLOOKUP($C1994,ENTI!$U$4:$Z$1003,6,FALSE),"")))</f>
        <v>#N/A</v>
      </c>
      <c r="I1994" s="496">
        <v>914</v>
      </c>
      <c r="J1994" s="43" t="e">
        <f ca="1">VLOOKUP(D1994,$F$1081:$I$4183,4,FALSE)+COUNTIF(E$1081:E1993,E1994)</f>
        <v>#N/A</v>
      </c>
      <c r="K1994" s="1"/>
      <c r="L1994" s="39" t="e">
        <f>IF($C$1074&gt;0,VLOOKUP($C1994,ENTI!$U$4:$AD$1003,10,FALSE),"")</f>
        <v>#N/A</v>
      </c>
      <c r="M1994" s="1"/>
      <c r="N1994" s="1"/>
      <c r="O1994" s="1"/>
    </row>
    <row r="1995" spans="1:15" hidden="1">
      <c r="A1995" s="1"/>
      <c r="B1995" s="40" t="e">
        <f t="shared" ca="1" si="223"/>
        <v>#N/A</v>
      </c>
      <c r="C1995" s="496">
        <v>915</v>
      </c>
      <c r="D1995" s="41" t="e">
        <f ca="1">IF($C$1076&gt;0,VLOOKUP($C1995,COSTI!$U$4:$Z$1003,3,FALSE),IF($C$1075&gt;0,VLOOKUP($C1995,PATRIMONIALE!$U$4:$Z$1003,3,FALSE),IF($C$1074&gt;0,VLOOKUP($C1995,ENTI!$U$4:$Z$1003,3,FALSE),"")))</f>
        <v>#N/A</v>
      </c>
      <c r="E1995" s="41" t="str">
        <f t="shared" ca="1" si="224"/>
        <v/>
      </c>
      <c r="F1995" s="41" t="e">
        <f t="shared" ca="1" si="225"/>
        <v>#NUM!</v>
      </c>
      <c r="G1995" s="39" t="e">
        <f ca="1">IF($C$1076&gt;0,VLOOKUP($C1995,COSTI!$U$4:$Z$1003,5,FALSE),IF($C$1075&gt;0,VLOOKUP($C1995,PATRIMONIALE!$U$4:$Z$1003,5,FALSE),IF($C$1074&gt;0,VLOOKUP($C1995,ENTI!$U$4:$Z$1003,5,FALSE),"")))</f>
        <v>#N/A</v>
      </c>
      <c r="H1995" s="42" t="e">
        <f ca="1">IF($C$1076&gt;0,VLOOKUP($C1995,COSTI!$U$4:$Z$1003,6,FALSE),IF($C$1075&gt;0,VLOOKUP($C1995,PATRIMONIALE!$U$4:$Z$1003,6,FALSE),IF($C$1074&gt;0,VLOOKUP($C1995,ENTI!$U$4:$Z$1003,6,FALSE),"")))</f>
        <v>#N/A</v>
      </c>
      <c r="I1995" s="496">
        <v>915</v>
      </c>
      <c r="J1995" s="43" t="e">
        <f ca="1">VLOOKUP(D1995,$F$1081:$I$4183,4,FALSE)+COUNTIF(E$1081:E1994,E1995)</f>
        <v>#N/A</v>
      </c>
      <c r="K1995" s="1"/>
      <c r="L1995" s="39" t="e">
        <f>IF($C$1074&gt;0,VLOOKUP($C1995,ENTI!$U$4:$AD$1003,10,FALSE),"")</f>
        <v>#N/A</v>
      </c>
      <c r="M1995" s="1"/>
      <c r="N1995" s="1"/>
      <c r="O1995" s="1"/>
    </row>
    <row r="1996" spans="1:15" hidden="1">
      <c r="A1996" s="1"/>
      <c r="B1996" s="40" t="e">
        <f t="shared" ca="1" si="223"/>
        <v>#N/A</v>
      </c>
      <c r="C1996" s="496">
        <v>916</v>
      </c>
      <c r="D1996" s="41" t="e">
        <f ca="1">IF($C$1076&gt;0,VLOOKUP($C1996,COSTI!$U$4:$Z$1003,3,FALSE),IF($C$1075&gt;0,VLOOKUP($C1996,PATRIMONIALE!$U$4:$Z$1003,3,FALSE),IF($C$1074&gt;0,VLOOKUP($C1996,ENTI!$U$4:$Z$1003,3,FALSE),"")))</f>
        <v>#N/A</v>
      </c>
      <c r="E1996" s="41" t="str">
        <f t="shared" ca="1" si="224"/>
        <v/>
      </c>
      <c r="F1996" s="41" t="e">
        <f t="shared" ca="1" si="225"/>
        <v>#NUM!</v>
      </c>
      <c r="G1996" s="39" t="e">
        <f ca="1">IF($C$1076&gt;0,VLOOKUP($C1996,COSTI!$U$4:$Z$1003,5,FALSE),IF($C$1075&gt;0,VLOOKUP($C1996,PATRIMONIALE!$U$4:$Z$1003,5,FALSE),IF($C$1074&gt;0,VLOOKUP($C1996,ENTI!$U$4:$Z$1003,5,FALSE),"")))</f>
        <v>#N/A</v>
      </c>
      <c r="H1996" s="42" t="e">
        <f ca="1">IF($C$1076&gt;0,VLOOKUP($C1996,COSTI!$U$4:$Z$1003,6,FALSE),IF($C$1075&gt;0,VLOOKUP($C1996,PATRIMONIALE!$U$4:$Z$1003,6,FALSE),IF($C$1074&gt;0,VLOOKUP($C1996,ENTI!$U$4:$Z$1003,6,FALSE),"")))</f>
        <v>#N/A</v>
      </c>
      <c r="I1996" s="496">
        <v>916</v>
      </c>
      <c r="J1996" s="43" t="e">
        <f ca="1">VLOOKUP(D1996,$F$1081:$I$4183,4,FALSE)+COUNTIF(E$1081:E1995,E1996)</f>
        <v>#N/A</v>
      </c>
      <c r="K1996" s="1"/>
      <c r="L1996" s="39" t="e">
        <f>IF($C$1074&gt;0,VLOOKUP($C1996,ENTI!$U$4:$AD$1003,10,FALSE),"")</f>
        <v>#N/A</v>
      </c>
      <c r="M1996" s="1"/>
      <c r="N1996" s="1"/>
      <c r="O1996" s="1"/>
    </row>
    <row r="1997" spans="1:15" hidden="1">
      <c r="A1997" s="1"/>
      <c r="B1997" s="40" t="e">
        <f t="shared" ca="1" si="223"/>
        <v>#N/A</v>
      </c>
      <c r="C1997" s="496">
        <v>917</v>
      </c>
      <c r="D1997" s="41" t="e">
        <f ca="1">IF($C$1076&gt;0,VLOOKUP($C1997,COSTI!$U$4:$Z$1003,3,FALSE),IF($C$1075&gt;0,VLOOKUP($C1997,PATRIMONIALE!$U$4:$Z$1003,3,FALSE),IF($C$1074&gt;0,VLOOKUP($C1997,ENTI!$U$4:$Z$1003,3,FALSE),"")))</f>
        <v>#N/A</v>
      </c>
      <c r="E1997" s="41" t="str">
        <f t="shared" ca="1" si="224"/>
        <v/>
      </c>
      <c r="F1997" s="41" t="e">
        <f t="shared" ca="1" si="225"/>
        <v>#NUM!</v>
      </c>
      <c r="G1997" s="39" t="e">
        <f ca="1">IF($C$1076&gt;0,VLOOKUP($C1997,COSTI!$U$4:$Z$1003,5,FALSE),IF($C$1075&gt;0,VLOOKUP($C1997,PATRIMONIALE!$U$4:$Z$1003,5,FALSE),IF($C$1074&gt;0,VLOOKUP($C1997,ENTI!$U$4:$Z$1003,5,FALSE),"")))</f>
        <v>#N/A</v>
      </c>
      <c r="H1997" s="42" t="e">
        <f ca="1">IF($C$1076&gt;0,VLOOKUP($C1997,COSTI!$U$4:$Z$1003,6,FALSE),IF($C$1075&gt;0,VLOOKUP($C1997,PATRIMONIALE!$U$4:$Z$1003,6,FALSE),IF($C$1074&gt;0,VLOOKUP($C1997,ENTI!$U$4:$Z$1003,6,FALSE),"")))</f>
        <v>#N/A</v>
      </c>
      <c r="I1997" s="496">
        <v>917</v>
      </c>
      <c r="J1997" s="43" t="e">
        <f ca="1">VLOOKUP(D1997,$F$1081:$I$4183,4,FALSE)+COUNTIF(E$1081:E1996,E1997)</f>
        <v>#N/A</v>
      </c>
      <c r="K1997" s="1"/>
      <c r="L1997" s="39" t="e">
        <f>IF($C$1074&gt;0,VLOOKUP($C1997,ENTI!$U$4:$AD$1003,10,FALSE),"")</f>
        <v>#N/A</v>
      </c>
      <c r="M1997" s="1"/>
      <c r="N1997" s="1"/>
      <c r="O1997" s="1"/>
    </row>
    <row r="1998" spans="1:15" hidden="1">
      <c r="A1998" s="1"/>
      <c r="B1998" s="40" t="e">
        <f t="shared" ca="1" si="223"/>
        <v>#N/A</v>
      </c>
      <c r="C1998" s="496">
        <v>918</v>
      </c>
      <c r="D1998" s="41" t="e">
        <f ca="1">IF($C$1076&gt;0,VLOOKUP($C1998,COSTI!$U$4:$Z$1003,3,FALSE),IF($C$1075&gt;0,VLOOKUP($C1998,PATRIMONIALE!$U$4:$Z$1003,3,FALSE),IF($C$1074&gt;0,VLOOKUP($C1998,ENTI!$U$4:$Z$1003,3,FALSE),"")))</f>
        <v>#N/A</v>
      </c>
      <c r="E1998" s="41" t="str">
        <f t="shared" ca="1" si="224"/>
        <v/>
      </c>
      <c r="F1998" s="41" t="e">
        <f t="shared" ca="1" si="225"/>
        <v>#NUM!</v>
      </c>
      <c r="G1998" s="39" t="e">
        <f ca="1">IF($C$1076&gt;0,VLOOKUP($C1998,COSTI!$U$4:$Z$1003,5,FALSE),IF($C$1075&gt;0,VLOOKUP($C1998,PATRIMONIALE!$U$4:$Z$1003,5,FALSE),IF($C$1074&gt;0,VLOOKUP($C1998,ENTI!$U$4:$Z$1003,5,FALSE),"")))</f>
        <v>#N/A</v>
      </c>
      <c r="H1998" s="42" t="e">
        <f ca="1">IF($C$1076&gt;0,VLOOKUP($C1998,COSTI!$U$4:$Z$1003,6,FALSE),IF($C$1075&gt;0,VLOOKUP($C1998,PATRIMONIALE!$U$4:$Z$1003,6,FALSE),IF($C$1074&gt;0,VLOOKUP($C1998,ENTI!$U$4:$Z$1003,6,FALSE),"")))</f>
        <v>#N/A</v>
      </c>
      <c r="I1998" s="496">
        <v>918</v>
      </c>
      <c r="J1998" s="43" t="e">
        <f ca="1">VLOOKUP(D1998,$F$1081:$I$4183,4,FALSE)+COUNTIF(E$1081:E1997,E1998)</f>
        <v>#N/A</v>
      </c>
      <c r="K1998" s="1"/>
      <c r="L1998" s="39" t="e">
        <f>IF($C$1074&gt;0,VLOOKUP($C1998,ENTI!$U$4:$AD$1003,10,FALSE),"")</f>
        <v>#N/A</v>
      </c>
      <c r="M1998" s="1"/>
      <c r="N1998" s="1"/>
      <c r="O1998" s="1"/>
    </row>
    <row r="1999" spans="1:15" hidden="1">
      <c r="A1999" s="1"/>
      <c r="B1999" s="40" t="e">
        <f t="shared" ca="1" si="223"/>
        <v>#N/A</v>
      </c>
      <c r="C1999" s="496">
        <v>919</v>
      </c>
      <c r="D1999" s="41" t="e">
        <f ca="1">IF($C$1076&gt;0,VLOOKUP($C1999,COSTI!$U$4:$Z$1003,3,FALSE),IF($C$1075&gt;0,VLOOKUP($C1999,PATRIMONIALE!$U$4:$Z$1003,3,FALSE),IF($C$1074&gt;0,VLOOKUP($C1999,ENTI!$U$4:$Z$1003,3,FALSE),"")))</f>
        <v>#N/A</v>
      </c>
      <c r="E1999" s="41" t="str">
        <f t="shared" ca="1" si="224"/>
        <v/>
      </c>
      <c r="F1999" s="41" t="e">
        <f t="shared" ca="1" si="225"/>
        <v>#NUM!</v>
      </c>
      <c r="G1999" s="39" t="e">
        <f ca="1">IF($C$1076&gt;0,VLOOKUP($C1999,COSTI!$U$4:$Z$1003,5,FALSE),IF($C$1075&gt;0,VLOOKUP($C1999,PATRIMONIALE!$U$4:$Z$1003,5,FALSE),IF($C$1074&gt;0,VLOOKUP($C1999,ENTI!$U$4:$Z$1003,5,FALSE),"")))</f>
        <v>#N/A</v>
      </c>
      <c r="H1999" s="42" t="e">
        <f ca="1">IF($C$1076&gt;0,VLOOKUP($C1999,COSTI!$U$4:$Z$1003,6,FALSE),IF($C$1075&gt;0,VLOOKUP($C1999,PATRIMONIALE!$U$4:$Z$1003,6,FALSE),IF($C$1074&gt;0,VLOOKUP($C1999,ENTI!$U$4:$Z$1003,6,FALSE),"")))</f>
        <v>#N/A</v>
      </c>
      <c r="I1999" s="496">
        <v>919</v>
      </c>
      <c r="J1999" s="43" t="e">
        <f ca="1">VLOOKUP(D1999,$F$1081:$I$4183,4,FALSE)+COUNTIF(E$1081:E1998,E1999)</f>
        <v>#N/A</v>
      </c>
      <c r="K1999" s="1"/>
      <c r="L1999" s="39" t="e">
        <f>IF($C$1074&gt;0,VLOOKUP($C1999,ENTI!$U$4:$AD$1003,10,FALSE),"")</f>
        <v>#N/A</v>
      </c>
      <c r="M1999" s="1"/>
      <c r="N1999" s="1"/>
      <c r="O1999" s="1"/>
    </row>
    <row r="2000" spans="1:15" hidden="1">
      <c r="A2000" s="1"/>
      <c r="B2000" s="40" t="e">
        <f t="shared" ca="1" si="223"/>
        <v>#N/A</v>
      </c>
      <c r="C2000" s="496">
        <v>920</v>
      </c>
      <c r="D2000" s="41" t="e">
        <f ca="1">IF($C$1076&gt;0,VLOOKUP($C2000,COSTI!$U$4:$Z$1003,3,FALSE),IF($C$1075&gt;0,VLOOKUP($C2000,PATRIMONIALE!$U$4:$Z$1003,3,FALSE),IF($C$1074&gt;0,VLOOKUP($C2000,ENTI!$U$4:$Z$1003,3,FALSE),"")))</f>
        <v>#N/A</v>
      </c>
      <c r="E2000" s="41" t="str">
        <f t="shared" ca="1" si="224"/>
        <v/>
      </c>
      <c r="F2000" s="41" t="e">
        <f t="shared" ca="1" si="225"/>
        <v>#NUM!</v>
      </c>
      <c r="G2000" s="39" t="e">
        <f ca="1">IF($C$1076&gt;0,VLOOKUP($C2000,COSTI!$U$4:$Z$1003,5,FALSE),IF($C$1075&gt;0,VLOOKUP($C2000,PATRIMONIALE!$U$4:$Z$1003,5,FALSE),IF($C$1074&gt;0,VLOOKUP($C2000,ENTI!$U$4:$Z$1003,5,FALSE),"")))</f>
        <v>#N/A</v>
      </c>
      <c r="H2000" s="42" t="e">
        <f ca="1">IF($C$1076&gt;0,VLOOKUP($C2000,COSTI!$U$4:$Z$1003,6,FALSE),IF($C$1075&gt;0,VLOOKUP($C2000,PATRIMONIALE!$U$4:$Z$1003,6,FALSE),IF($C$1074&gt;0,VLOOKUP($C2000,ENTI!$U$4:$Z$1003,6,FALSE),"")))</f>
        <v>#N/A</v>
      </c>
      <c r="I2000" s="496">
        <v>920</v>
      </c>
      <c r="J2000" s="43" t="e">
        <f ca="1">VLOOKUP(D2000,$F$1081:$I$4183,4,FALSE)+COUNTIF(E$1081:E1999,E2000)</f>
        <v>#N/A</v>
      </c>
      <c r="K2000" s="1"/>
      <c r="L2000" s="39" t="e">
        <f>IF($C$1074&gt;0,VLOOKUP($C2000,ENTI!$U$4:$AD$1003,10,FALSE),"")</f>
        <v>#N/A</v>
      </c>
      <c r="M2000" s="1"/>
      <c r="N2000" s="1"/>
      <c r="O2000" s="1"/>
    </row>
    <row r="2001" spans="1:15" hidden="1">
      <c r="A2001" s="1"/>
      <c r="B2001" s="40" t="e">
        <f t="shared" ca="1" si="223"/>
        <v>#N/A</v>
      </c>
      <c r="C2001" s="496">
        <v>921</v>
      </c>
      <c r="D2001" s="41" t="e">
        <f ca="1">IF($C$1076&gt;0,VLOOKUP($C2001,COSTI!$U$4:$Z$1003,3,FALSE),IF($C$1075&gt;0,VLOOKUP($C2001,PATRIMONIALE!$U$4:$Z$1003,3,FALSE),IF($C$1074&gt;0,VLOOKUP($C2001,ENTI!$U$4:$Z$1003,3,FALSE),"")))</f>
        <v>#N/A</v>
      </c>
      <c r="E2001" s="41" t="str">
        <f t="shared" ca="1" si="224"/>
        <v/>
      </c>
      <c r="F2001" s="41" t="e">
        <f t="shared" ca="1" si="225"/>
        <v>#NUM!</v>
      </c>
      <c r="G2001" s="39" t="e">
        <f ca="1">IF($C$1076&gt;0,VLOOKUP($C2001,COSTI!$U$4:$Z$1003,5,FALSE),IF($C$1075&gt;0,VLOOKUP($C2001,PATRIMONIALE!$U$4:$Z$1003,5,FALSE),IF($C$1074&gt;0,VLOOKUP($C2001,ENTI!$U$4:$Z$1003,5,FALSE),"")))</f>
        <v>#N/A</v>
      </c>
      <c r="H2001" s="42" t="e">
        <f ca="1">IF($C$1076&gt;0,VLOOKUP($C2001,COSTI!$U$4:$Z$1003,6,FALSE),IF($C$1075&gt;0,VLOOKUP($C2001,PATRIMONIALE!$U$4:$Z$1003,6,FALSE),IF($C$1074&gt;0,VLOOKUP($C2001,ENTI!$U$4:$Z$1003,6,FALSE),"")))</f>
        <v>#N/A</v>
      </c>
      <c r="I2001" s="496">
        <v>921</v>
      </c>
      <c r="J2001" s="43" t="e">
        <f ca="1">VLOOKUP(D2001,$F$1081:$I$4183,4,FALSE)+COUNTIF(E$1081:E2000,E2001)</f>
        <v>#N/A</v>
      </c>
      <c r="K2001" s="1"/>
      <c r="L2001" s="39" t="e">
        <f>IF($C$1074&gt;0,VLOOKUP($C2001,ENTI!$U$4:$AD$1003,10,FALSE),"")</f>
        <v>#N/A</v>
      </c>
      <c r="M2001" s="1"/>
      <c r="N2001" s="1"/>
      <c r="O2001" s="1"/>
    </row>
    <row r="2002" spans="1:15" hidden="1">
      <c r="A2002" s="1"/>
      <c r="B2002" s="40" t="e">
        <f t="shared" ca="1" si="223"/>
        <v>#N/A</v>
      </c>
      <c r="C2002" s="496">
        <v>922</v>
      </c>
      <c r="D2002" s="41" t="e">
        <f ca="1">IF($C$1076&gt;0,VLOOKUP($C2002,COSTI!$U$4:$Z$1003,3,FALSE),IF($C$1075&gt;0,VLOOKUP($C2002,PATRIMONIALE!$U$4:$Z$1003,3,FALSE),IF($C$1074&gt;0,VLOOKUP($C2002,ENTI!$U$4:$Z$1003,3,FALSE),"")))</f>
        <v>#N/A</v>
      </c>
      <c r="E2002" s="41" t="str">
        <f t="shared" ca="1" si="224"/>
        <v/>
      </c>
      <c r="F2002" s="41" t="e">
        <f t="shared" ca="1" si="225"/>
        <v>#NUM!</v>
      </c>
      <c r="G2002" s="39" t="e">
        <f ca="1">IF($C$1076&gt;0,VLOOKUP($C2002,COSTI!$U$4:$Z$1003,5,FALSE),IF($C$1075&gt;0,VLOOKUP($C2002,PATRIMONIALE!$U$4:$Z$1003,5,FALSE),IF($C$1074&gt;0,VLOOKUP($C2002,ENTI!$U$4:$Z$1003,5,FALSE),"")))</f>
        <v>#N/A</v>
      </c>
      <c r="H2002" s="42" t="e">
        <f ca="1">IF($C$1076&gt;0,VLOOKUP($C2002,COSTI!$U$4:$Z$1003,6,FALSE),IF($C$1075&gt;0,VLOOKUP($C2002,PATRIMONIALE!$U$4:$Z$1003,6,FALSE),IF($C$1074&gt;0,VLOOKUP($C2002,ENTI!$U$4:$Z$1003,6,FALSE),"")))</f>
        <v>#N/A</v>
      </c>
      <c r="I2002" s="496">
        <v>922</v>
      </c>
      <c r="J2002" s="43" t="e">
        <f ca="1">VLOOKUP(D2002,$F$1081:$I$4183,4,FALSE)+COUNTIF(E$1081:E2001,E2002)</f>
        <v>#N/A</v>
      </c>
      <c r="K2002" s="1"/>
      <c r="L2002" s="39" t="e">
        <f>IF($C$1074&gt;0,VLOOKUP($C2002,ENTI!$U$4:$AD$1003,10,FALSE),"")</f>
        <v>#N/A</v>
      </c>
      <c r="M2002" s="1"/>
      <c r="N2002" s="1"/>
      <c r="O2002" s="1"/>
    </row>
    <row r="2003" spans="1:15" hidden="1">
      <c r="A2003" s="1"/>
      <c r="B2003" s="40" t="e">
        <f t="shared" ca="1" si="223"/>
        <v>#N/A</v>
      </c>
      <c r="C2003" s="496">
        <v>923</v>
      </c>
      <c r="D2003" s="41" t="e">
        <f ca="1">IF($C$1076&gt;0,VLOOKUP($C2003,COSTI!$U$4:$Z$1003,3,FALSE),IF($C$1075&gt;0,VLOOKUP($C2003,PATRIMONIALE!$U$4:$Z$1003,3,FALSE),IF($C$1074&gt;0,VLOOKUP($C2003,ENTI!$U$4:$Z$1003,3,FALSE),"")))</f>
        <v>#N/A</v>
      </c>
      <c r="E2003" s="41" t="str">
        <f t="shared" ca="1" si="224"/>
        <v/>
      </c>
      <c r="F2003" s="41" t="e">
        <f t="shared" ca="1" si="225"/>
        <v>#NUM!</v>
      </c>
      <c r="G2003" s="39" t="e">
        <f ca="1">IF($C$1076&gt;0,VLOOKUP($C2003,COSTI!$U$4:$Z$1003,5,FALSE),IF($C$1075&gt;0,VLOOKUP($C2003,PATRIMONIALE!$U$4:$Z$1003,5,FALSE),IF($C$1074&gt;0,VLOOKUP($C2003,ENTI!$U$4:$Z$1003,5,FALSE),"")))</f>
        <v>#N/A</v>
      </c>
      <c r="H2003" s="42" t="e">
        <f ca="1">IF($C$1076&gt;0,VLOOKUP($C2003,COSTI!$U$4:$Z$1003,6,FALSE),IF($C$1075&gt;0,VLOOKUP($C2003,PATRIMONIALE!$U$4:$Z$1003,6,FALSE),IF($C$1074&gt;0,VLOOKUP($C2003,ENTI!$U$4:$Z$1003,6,FALSE),"")))</f>
        <v>#N/A</v>
      </c>
      <c r="I2003" s="496">
        <v>923</v>
      </c>
      <c r="J2003" s="43" t="e">
        <f ca="1">VLOOKUP(D2003,$F$1081:$I$4183,4,FALSE)+COUNTIF(E$1081:E2002,E2003)</f>
        <v>#N/A</v>
      </c>
      <c r="K2003" s="1"/>
      <c r="L2003" s="39" t="e">
        <f>IF($C$1074&gt;0,VLOOKUP($C2003,ENTI!$U$4:$AD$1003,10,FALSE),"")</f>
        <v>#N/A</v>
      </c>
      <c r="M2003" s="1"/>
      <c r="N2003" s="1"/>
      <c r="O2003" s="1"/>
    </row>
    <row r="2004" spans="1:15" hidden="1">
      <c r="A2004" s="1"/>
      <c r="B2004" s="40" t="e">
        <f t="shared" ca="1" si="223"/>
        <v>#N/A</v>
      </c>
      <c r="C2004" s="496">
        <v>924</v>
      </c>
      <c r="D2004" s="41" t="e">
        <f ca="1">IF($C$1076&gt;0,VLOOKUP($C2004,COSTI!$U$4:$Z$1003,3,FALSE),IF($C$1075&gt;0,VLOOKUP($C2004,PATRIMONIALE!$U$4:$Z$1003,3,FALSE),IF($C$1074&gt;0,VLOOKUP($C2004,ENTI!$U$4:$Z$1003,3,FALSE),"")))</f>
        <v>#N/A</v>
      </c>
      <c r="E2004" s="41" t="str">
        <f t="shared" ca="1" si="224"/>
        <v/>
      </c>
      <c r="F2004" s="41" t="e">
        <f t="shared" ca="1" si="225"/>
        <v>#NUM!</v>
      </c>
      <c r="G2004" s="39" t="e">
        <f ca="1">IF($C$1076&gt;0,VLOOKUP($C2004,COSTI!$U$4:$Z$1003,5,FALSE),IF($C$1075&gt;0,VLOOKUP($C2004,PATRIMONIALE!$U$4:$Z$1003,5,FALSE),IF($C$1074&gt;0,VLOOKUP($C2004,ENTI!$U$4:$Z$1003,5,FALSE),"")))</f>
        <v>#N/A</v>
      </c>
      <c r="H2004" s="42" t="e">
        <f ca="1">IF($C$1076&gt;0,VLOOKUP($C2004,COSTI!$U$4:$Z$1003,6,FALSE),IF($C$1075&gt;0,VLOOKUP($C2004,PATRIMONIALE!$U$4:$Z$1003,6,FALSE),IF($C$1074&gt;0,VLOOKUP($C2004,ENTI!$U$4:$Z$1003,6,FALSE),"")))</f>
        <v>#N/A</v>
      </c>
      <c r="I2004" s="496">
        <v>924</v>
      </c>
      <c r="J2004" s="43" t="e">
        <f ca="1">VLOOKUP(D2004,$F$1081:$I$4183,4,FALSE)+COUNTIF(E$1081:E2003,E2004)</f>
        <v>#N/A</v>
      </c>
      <c r="K2004" s="1"/>
      <c r="L2004" s="39" t="e">
        <f>IF($C$1074&gt;0,VLOOKUP($C2004,ENTI!$U$4:$AD$1003,10,FALSE),"")</f>
        <v>#N/A</v>
      </c>
      <c r="M2004" s="1"/>
      <c r="N2004" s="1"/>
      <c r="O2004" s="1"/>
    </row>
    <row r="2005" spans="1:15" hidden="1">
      <c r="A2005" s="1"/>
      <c r="B2005" s="40" t="e">
        <f t="shared" ca="1" si="223"/>
        <v>#N/A</v>
      </c>
      <c r="C2005" s="496">
        <v>925</v>
      </c>
      <c r="D2005" s="41" t="e">
        <f ca="1">IF($C$1076&gt;0,VLOOKUP($C2005,COSTI!$U$4:$Z$1003,3,FALSE),IF($C$1075&gt;0,VLOOKUP($C2005,PATRIMONIALE!$U$4:$Z$1003,3,FALSE),IF($C$1074&gt;0,VLOOKUP($C2005,ENTI!$U$4:$Z$1003,3,FALSE),"")))</f>
        <v>#N/A</v>
      </c>
      <c r="E2005" s="41" t="str">
        <f t="shared" ca="1" si="224"/>
        <v/>
      </c>
      <c r="F2005" s="41" t="e">
        <f t="shared" ca="1" si="225"/>
        <v>#NUM!</v>
      </c>
      <c r="G2005" s="39" t="e">
        <f ca="1">IF($C$1076&gt;0,VLOOKUP($C2005,COSTI!$U$4:$Z$1003,5,FALSE),IF($C$1075&gt;0,VLOOKUP($C2005,PATRIMONIALE!$U$4:$Z$1003,5,FALSE),IF($C$1074&gt;0,VLOOKUP($C2005,ENTI!$U$4:$Z$1003,5,FALSE),"")))</f>
        <v>#N/A</v>
      </c>
      <c r="H2005" s="42" t="e">
        <f ca="1">IF($C$1076&gt;0,VLOOKUP($C2005,COSTI!$U$4:$Z$1003,6,FALSE),IF($C$1075&gt;0,VLOOKUP($C2005,PATRIMONIALE!$U$4:$Z$1003,6,FALSE),IF($C$1074&gt;0,VLOOKUP($C2005,ENTI!$U$4:$Z$1003,6,FALSE),"")))</f>
        <v>#N/A</v>
      </c>
      <c r="I2005" s="496">
        <v>925</v>
      </c>
      <c r="J2005" s="43" t="e">
        <f ca="1">VLOOKUP(D2005,$F$1081:$I$4183,4,FALSE)+COUNTIF(E$1081:E2004,E2005)</f>
        <v>#N/A</v>
      </c>
      <c r="K2005" s="1"/>
      <c r="L2005" s="39" t="e">
        <f>IF($C$1074&gt;0,VLOOKUP($C2005,ENTI!$U$4:$AD$1003,10,FALSE),"")</f>
        <v>#N/A</v>
      </c>
      <c r="M2005" s="1"/>
      <c r="N2005" s="1"/>
      <c r="O2005" s="1"/>
    </row>
    <row r="2006" spans="1:15" hidden="1">
      <c r="A2006" s="1"/>
      <c r="B2006" s="40" t="e">
        <f t="shared" ca="1" si="223"/>
        <v>#N/A</v>
      </c>
      <c r="C2006" s="496">
        <v>926</v>
      </c>
      <c r="D2006" s="41" t="e">
        <f ca="1">IF($C$1076&gt;0,VLOOKUP($C2006,COSTI!$U$4:$Z$1003,3,FALSE),IF($C$1075&gt;0,VLOOKUP($C2006,PATRIMONIALE!$U$4:$Z$1003,3,FALSE),IF($C$1074&gt;0,VLOOKUP($C2006,ENTI!$U$4:$Z$1003,3,FALSE),"")))</f>
        <v>#N/A</v>
      </c>
      <c r="E2006" s="41" t="str">
        <f t="shared" ca="1" si="224"/>
        <v/>
      </c>
      <c r="F2006" s="41" t="e">
        <f t="shared" ca="1" si="225"/>
        <v>#NUM!</v>
      </c>
      <c r="G2006" s="39" t="e">
        <f ca="1">IF($C$1076&gt;0,VLOOKUP($C2006,COSTI!$U$4:$Z$1003,5,FALSE),IF($C$1075&gt;0,VLOOKUP($C2006,PATRIMONIALE!$U$4:$Z$1003,5,FALSE),IF($C$1074&gt;0,VLOOKUP($C2006,ENTI!$U$4:$Z$1003,5,FALSE),"")))</f>
        <v>#N/A</v>
      </c>
      <c r="H2006" s="42" t="e">
        <f ca="1">IF($C$1076&gt;0,VLOOKUP($C2006,COSTI!$U$4:$Z$1003,6,FALSE),IF($C$1075&gt;0,VLOOKUP($C2006,PATRIMONIALE!$U$4:$Z$1003,6,FALSE),IF($C$1074&gt;0,VLOOKUP($C2006,ENTI!$U$4:$Z$1003,6,FALSE),"")))</f>
        <v>#N/A</v>
      </c>
      <c r="I2006" s="496">
        <v>926</v>
      </c>
      <c r="J2006" s="43" t="e">
        <f ca="1">VLOOKUP(D2006,$F$1081:$I$4183,4,FALSE)+COUNTIF(E$1081:E2005,E2006)</f>
        <v>#N/A</v>
      </c>
      <c r="K2006" s="1"/>
      <c r="L2006" s="39" t="e">
        <f>IF($C$1074&gt;0,VLOOKUP($C2006,ENTI!$U$4:$AD$1003,10,FALSE),"")</f>
        <v>#N/A</v>
      </c>
      <c r="M2006" s="1"/>
      <c r="N2006" s="1"/>
      <c r="O2006" s="1"/>
    </row>
    <row r="2007" spans="1:15" hidden="1">
      <c r="A2007" s="1"/>
      <c r="B2007" s="40" t="e">
        <f t="shared" ca="1" si="223"/>
        <v>#N/A</v>
      </c>
      <c r="C2007" s="496">
        <v>927</v>
      </c>
      <c r="D2007" s="41" t="e">
        <f ca="1">IF($C$1076&gt;0,VLOOKUP($C2007,COSTI!$U$4:$Z$1003,3,FALSE),IF($C$1075&gt;0,VLOOKUP($C2007,PATRIMONIALE!$U$4:$Z$1003,3,FALSE),IF($C$1074&gt;0,VLOOKUP($C2007,ENTI!$U$4:$Z$1003,3,FALSE),"")))</f>
        <v>#N/A</v>
      </c>
      <c r="E2007" s="41" t="str">
        <f t="shared" ca="1" si="224"/>
        <v/>
      </c>
      <c r="F2007" s="41" t="e">
        <f t="shared" ca="1" si="225"/>
        <v>#NUM!</v>
      </c>
      <c r="G2007" s="39" t="e">
        <f ca="1">IF($C$1076&gt;0,VLOOKUP($C2007,COSTI!$U$4:$Z$1003,5,FALSE),IF($C$1075&gt;0,VLOOKUP($C2007,PATRIMONIALE!$U$4:$Z$1003,5,FALSE),IF($C$1074&gt;0,VLOOKUP($C2007,ENTI!$U$4:$Z$1003,5,FALSE),"")))</f>
        <v>#N/A</v>
      </c>
      <c r="H2007" s="42" t="e">
        <f ca="1">IF($C$1076&gt;0,VLOOKUP($C2007,COSTI!$U$4:$Z$1003,6,FALSE),IF($C$1075&gt;0,VLOOKUP($C2007,PATRIMONIALE!$U$4:$Z$1003,6,FALSE),IF($C$1074&gt;0,VLOOKUP($C2007,ENTI!$U$4:$Z$1003,6,FALSE),"")))</f>
        <v>#N/A</v>
      </c>
      <c r="I2007" s="496">
        <v>927</v>
      </c>
      <c r="J2007" s="43" t="e">
        <f ca="1">VLOOKUP(D2007,$F$1081:$I$4183,4,FALSE)+COUNTIF(E$1081:E2006,E2007)</f>
        <v>#N/A</v>
      </c>
      <c r="K2007" s="1"/>
      <c r="L2007" s="39" t="e">
        <f>IF($C$1074&gt;0,VLOOKUP($C2007,ENTI!$U$4:$AD$1003,10,FALSE),"")</f>
        <v>#N/A</v>
      </c>
      <c r="M2007" s="1"/>
      <c r="N2007" s="1"/>
      <c r="O2007" s="1"/>
    </row>
    <row r="2008" spans="1:15" hidden="1">
      <c r="A2008" s="1"/>
      <c r="B2008" s="40" t="e">
        <f t="shared" ca="1" si="223"/>
        <v>#N/A</v>
      </c>
      <c r="C2008" s="496">
        <v>928</v>
      </c>
      <c r="D2008" s="41" t="e">
        <f ca="1">IF($C$1076&gt;0,VLOOKUP($C2008,COSTI!$U$4:$Z$1003,3,FALSE),IF($C$1075&gt;0,VLOOKUP($C2008,PATRIMONIALE!$U$4:$Z$1003,3,FALSE),IF($C$1074&gt;0,VLOOKUP($C2008,ENTI!$U$4:$Z$1003,3,FALSE),"")))</f>
        <v>#N/A</v>
      </c>
      <c r="E2008" s="41" t="str">
        <f t="shared" ca="1" si="224"/>
        <v/>
      </c>
      <c r="F2008" s="41" t="e">
        <f t="shared" ca="1" si="225"/>
        <v>#NUM!</v>
      </c>
      <c r="G2008" s="39" t="e">
        <f ca="1">IF($C$1076&gt;0,VLOOKUP($C2008,COSTI!$U$4:$Z$1003,5,FALSE),IF($C$1075&gt;0,VLOOKUP($C2008,PATRIMONIALE!$U$4:$Z$1003,5,FALSE),IF($C$1074&gt;0,VLOOKUP($C2008,ENTI!$U$4:$Z$1003,5,FALSE),"")))</f>
        <v>#N/A</v>
      </c>
      <c r="H2008" s="42" t="e">
        <f ca="1">IF($C$1076&gt;0,VLOOKUP($C2008,COSTI!$U$4:$Z$1003,6,FALSE),IF($C$1075&gt;0,VLOOKUP($C2008,PATRIMONIALE!$U$4:$Z$1003,6,FALSE),IF($C$1074&gt;0,VLOOKUP($C2008,ENTI!$U$4:$Z$1003,6,FALSE),"")))</f>
        <v>#N/A</v>
      </c>
      <c r="I2008" s="496">
        <v>928</v>
      </c>
      <c r="J2008" s="43" t="e">
        <f ca="1">VLOOKUP(D2008,$F$1081:$I$4183,4,FALSE)+COUNTIF(E$1081:E2007,E2008)</f>
        <v>#N/A</v>
      </c>
      <c r="K2008" s="1"/>
      <c r="L2008" s="39" t="e">
        <f>IF($C$1074&gt;0,VLOOKUP($C2008,ENTI!$U$4:$AD$1003,10,FALSE),"")</f>
        <v>#N/A</v>
      </c>
      <c r="M2008" s="1"/>
      <c r="N2008" s="1"/>
      <c r="O2008" s="1"/>
    </row>
    <row r="2009" spans="1:15" hidden="1">
      <c r="A2009" s="1"/>
      <c r="B2009" s="40" t="e">
        <f t="shared" ca="1" si="223"/>
        <v>#N/A</v>
      </c>
      <c r="C2009" s="496">
        <v>929</v>
      </c>
      <c r="D2009" s="41" t="e">
        <f ca="1">IF($C$1076&gt;0,VLOOKUP($C2009,COSTI!$U$4:$Z$1003,3,FALSE),IF($C$1075&gt;0,VLOOKUP($C2009,PATRIMONIALE!$U$4:$Z$1003,3,FALSE),IF($C$1074&gt;0,VLOOKUP($C2009,ENTI!$U$4:$Z$1003,3,FALSE),"")))</f>
        <v>#N/A</v>
      </c>
      <c r="E2009" s="41" t="str">
        <f t="shared" ca="1" si="224"/>
        <v/>
      </c>
      <c r="F2009" s="41" t="e">
        <f t="shared" ca="1" si="225"/>
        <v>#NUM!</v>
      </c>
      <c r="G2009" s="39" t="e">
        <f ca="1">IF($C$1076&gt;0,VLOOKUP($C2009,COSTI!$U$4:$Z$1003,5,FALSE),IF($C$1075&gt;0,VLOOKUP($C2009,PATRIMONIALE!$U$4:$Z$1003,5,FALSE),IF($C$1074&gt;0,VLOOKUP($C2009,ENTI!$U$4:$Z$1003,5,FALSE),"")))</f>
        <v>#N/A</v>
      </c>
      <c r="H2009" s="42" t="e">
        <f ca="1">IF($C$1076&gt;0,VLOOKUP($C2009,COSTI!$U$4:$Z$1003,6,FALSE),IF($C$1075&gt;0,VLOOKUP($C2009,PATRIMONIALE!$U$4:$Z$1003,6,FALSE),IF($C$1074&gt;0,VLOOKUP($C2009,ENTI!$U$4:$Z$1003,6,FALSE),"")))</f>
        <v>#N/A</v>
      </c>
      <c r="I2009" s="496">
        <v>929</v>
      </c>
      <c r="J2009" s="43" t="e">
        <f ca="1">VLOOKUP(D2009,$F$1081:$I$4183,4,FALSE)+COUNTIF(E$1081:E2008,E2009)</f>
        <v>#N/A</v>
      </c>
      <c r="K2009" s="1"/>
      <c r="L2009" s="39" t="e">
        <f>IF($C$1074&gt;0,VLOOKUP($C2009,ENTI!$U$4:$AD$1003,10,FALSE),"")</f>
        <v>#N/A</v>
      </c>
      <c r="M2009" s="1"/>
      <c r="N2009" s="1"/>
      <c r="O2009" s="1"/>
    </row>
    <row r="2010" spans="1:15" hidden="1">
      <c r="A2010" s="1"/>
      <c r="B2010" s="40" t="e">
        <f t="shared" ca="1" si="223"/>
        <v>#N/A</v>
      </c>
      <c r="C2010" s="496">
        <v>930</v>
      </c>
      <c r="D2010" s="41" t="e">
        <f ca="1">IF($C$1076&gt;0,VLOOKUP($C2010,COSTI!$U$4:$Z$1003,3,FALSE),IF($C$1075&gt;0,VLOOKUP($C2010,PATRIMONIALE!$U$4:$Z$1003,3,FALSE),IF($C$1074&gt;0,VLOOKUP($C2010,ENTI!$U$4:$Z$1003,3,FALSE),"")))</f>
        <v>#N/A</v>
      </c>
      <c r="E2010" s="41" t="str">
        <f t="shared" ca="1" si="224"/>
        <v/>
      </c>
      <c r="F2010" s="41" t="e">
        <f t="shared" ca="1" si="225"/>
        <v>#NUM!</v>
      </c>
      <c r="G2010" s="39" t="e">
        <f ca="1">IF($C$1076&gt;0,VLOOKUP($C2010,COSTI!$U$4:$Z$1003,5,FALSE),IF($C$1075&gt;0,VLOOKUP($C2010,PATRIMONIALE!$U$4:$Z$1003,5,FALSE),IF($C$1074&gt;0,VLOOKUP($C2010,ENTI!$U$4:$Z$1003,5,FALSE),"")))</f>
        <v>#N/A</v>
      </c>
      <c r="H2010" s="42" t="e">
        <f ca="1">IF($C$1076&gt;0,VLOOKUP($C2010,COSTI!$U$4:$Z$1003,6,FALSE),IF($C$1075&gt;0,VLOOKUP($C2010,PATRIMONIALE!$U$4:$Z$1003,6,FALSE),IF($C$1074&gt;0,VLOOKUP($C2010,ENTI!$U$4:$Z$1003,6,FALSE),"")))</f>
        <v>#N/A</v>
      </c>
      <c r="I2010" s="496">
        <v>930</v>
      </c>
      <c r="J2010" s="43" t="e">
        <f ca="1">VLOOKUP(D2010,$F$1081:$I$4183,4,FALSE)+COUNTIF(E$1081:E2009,E2010)</f>
        <v>#N/A</v>
      </c>
      <c r="K2010" s="1"/>
      <c r="L2010" s="39" t="e">
        <f>IF($C$1074&gt;0,VLOOKUP($C2010,ENTI!$U$4:$AD$1003,10,FALSE),"")</f>
        <v>#N/A</v>
      </c>
      <c r="M2010" s="1"/>
      <c r="N2010" s="1"/>
      <c r="O2010" s="1"/>
    </row>
    <row r="2011" spans="1:15" hidden="1">
      <c r="A2011" s="1"/>
      <c r="B2011" s="40" t="e">
        <f t="shared" ca="1" si="223"/>
        <v>#N/A</v>
      </c>
      <c r="C2011" s="496">
        <v>931</v>
      </c>
      <c r="D2011" s="41" t="e">
        <f ca="1">IF($C$1076&gt;0,VLOOKUP($C2011,COSTI!$U$4:$Z$1003,3,FALSE),IF($C$1075&gt;0,VLOOKUP($C2011,PATRIMONIALE!$U$4:$Z$1003,3,FALSE),IF($C$1074&gt;0,VLOOKUP($C2011,ENTI!$U$4:$Z$1003,3,FALSE),"")))</f>
        <v>#N/A</v>
      </c>
      <c r="E2011" s="41" t="str">
        <f t="shared" ca="1" si="224"/>
        <v/>
      </c>
      <c r="F2011" s="41" t="e">
        <f t="shared" ca="1" si="225"/>
        <v>#NUM!</v>
      </c>
      <c r="G2011" s="39" t="e">
        <f ca="1">IF($C$1076&gt;0,VLOOKUP($C2011,COSTI!$U$4:$Z$1003,5,FALSE),IF($C$1075&gt;0,VLOOKUP($C2011,PATRIMONIALE!$U$4:$Z$1003,5,FALSE),IF($C$1074&gt;0,VLOOKUP($C2011,ENTI!$U$4:$Z$1003,5,FALSE),"")))</f>
        <v>#N/A</v>
      </c>
      <c r="H2011" s="42" t="e">
        <f ca="1">IF($C$1076&gt;0,VLOOKUP($C2011,COSTI!$U$4:$Z$1003,6,FALSE),IF($C$1075&gt;0,VLOOKUP($C2011,PATRIMONIALE!$U$4:$Z$1003,6,FALSE),IF($C$1074&gt;0,VLOOKUP($C2011,ENTI!$U$4:$Z$1003,6,FALSE),"")))</f>
        <v>#N/A</v>
      </c>
      <c r="I2011" s="496">
        <v>931</v>
      </c>
      <c r="J2011" s="43" t="e">
        <f ca="1">VLOOKUP(D2011,$F$1081:$I$4183,4,FALSE)+COUNTIF(E$1081:E2010,E2011)</f>
        <v>#N/A</v>
      </c>
      <c r="K2011" s="1"/>
      <c r="L2011" s="39" t="e">
        <f>IF($C$1074&gt;0,VLOOKUP($C2011,ENTI!$U$4:$AD$1003,10,FALSE),"")</f>
        <v>#N/A</v>
      </c>
      <c r="M2011" s="1"/>
      <c r="N2011" s="1"/>
      <c r="O2011" s="1"/>
    </row>
    <row r="2012" spans="1:15" hidden="1">
      <c r="A2012" s="1"/>
      <c r="B2012" s="40" t="e">
        <f t="shared" ca="1" si="223"/>
        <v>#N/A</v>
      </c>
      <c r="C2012" s="496">
        <v>932</v>
      </c>
      <c r="D2012" s="41" t="e">
        <f ca="1">IF($C$1076&gt;0,VLOOKUP($C2012,COSTI!$U$4:$Z$1003,3,FALSE),IF($C$1075&gt;0,VLOOKUP($C2012,PATRIMONIALE!$U$4:$Z$1003,3,FALSE),IF($C$1074&gt;0,VLOOKUP($C2012,ENTI!$U$4:$Z$1003,3,FALSE),"")))</f>
        <v>#N/A</v>
      </c>
      <c r="E2012" s="41" t="str">
        <f t="shared" ca="1" si="224"/>
        <v/>
      </c>
      <c r="F2012" s="41" t="e">
        <f t="shared" ca="1" si="225"/>
        <v>#NUM!</v>
      </c>
      <c r="G2012" s="39" t="e">
        <f ca="1">IF($C$1076&gt;0,VLOOKUP($C2012,COSTI!$U$4:$Z$1003,5,FALSE),IF($C$1075&gt;0,VLOOKUP($C2012,PATRIMONIALE!$U$4:$Z$1003,5,FALSE),IF($C$1074&gt;0,VLOOKUP($C2012,ENTI!$U$4:$Z$1003,5,FALSE),"")))</f>
        <v>#N/A</v>
      </c>
      <c r="H2012" s="42" t="e">
        <f ca="1">IF($C$1076&gt;0,VLOOKUP($C2012,COSTI!$U$4:$Z$1003,6,FALSE),IF($C$1075&gt;0,VLOOKUP($C2012,PATRIMONIALE!$U$4:$Z$1003,6,FALSE),IF($C$1074&gt;0,VLOOKUP($C2012,ENTI!$U$4:$Z$1003,6,FALSE),"")))</f>
        <v>#N/A</v>
      </c>
      <c r="I2012" s="496">
        <v>932</v>
      </c>
      <c r="J2012" s="43" t="e">
        <f ca="1">VLOOKUP(D2012,$F$1081:$I$4183,4,FALSE)+COUNTIF(E$1081:E2011,E2012)</f>
        <v>#N/A</v>
      </c>
      <c r="K2012" s="1"/>
      <c r="L2012" s="39" t="e">
        <f>IF($C$1074&gt;0,VLOOKUP($C2012,ENTI!$U$4:$AD$1003,10,FALSE),"")</f>
        <v>#N/A</v>
      </c>
      <c r="M2012" s="1"/>
      <c r="N2012" s="1"/>
      <c r="O2012" s="1"/>
    </row>
    <row r="2013" spans="1:15" hidden="1">
      <c r="A2013" s="1"/>
      <c r="B2013" s="40" t="e">
        <f t="shared" ca="1" si="223"/>
        <v>#N/A</v>
      </c>
      <c r="C2013" s="496">
        <v>933</v>
      </c>
      <c r="D2013" s="41" t="e">
        <f ca="1">IF($C$1076&gt;0,VLOOKUP($C2013,COSTI!$U$4:$Z$1003,3,FALSE),IF($C$1075&gt;0,VLOOKUP($C2013,PATRIMONIALE!$U$4:$Z$1003,3,FALSE),IF($C$1074&gt;0,VLOOKUP($C2013,ENTI!$U$4:$Z$1003,3,FALSE),"")))</f>
        <v>#N/A</v>
      </c>
      <c r="E2013" s="41" t="str">
        <f t="shared" ca="1" si="224"/>
        <v/>
      </c>
      <c r="F2013" s="41" t="e">
        <f t="shared" ca="1" si="225"/>
        <v>#NUM!</v>
      </c>
      <c r="G2013" s="39" t="e">
        <f ca="1">IF($C$1076&gt;0,VLOOKUP($C2013,COSTI!$U$4:$Z$1003,5,FALSE),IF($C$1075&gt;0,VLOOKUP($C2013,PATRIMONIALE!$U$4:$Z$1003,5,FALSE),IF($C$1074&gt;0,VLOOKUP($C2013,ENTI!$U$4:$Z$1003,5,FALSE),"")))</f>
        <v>#N/A</v>
      </c>
      <c r="H2013" s="42" t="e">
        <f ca="1">IF($C$1076&gt;0,VLOOKUP($C2013,COSTI!$U$4:$Z$1003,6,FALSE),IF($C$1075&gt;0,VLOOKUP($C2013,PATRIMONIALE!$U$4:$Z$1003,6,FALSE),IF($C$1074&gt;0,VLOOKUP($C2013,ENTI!$U$4:$Z$1003,6,FALSE),"")))</f>
        <v>#N/A</v>
      </c>
      <c r="I2013" s="496">
        <v>933</v>
      </c>
      <c r="J2013" s="43" t="e">
        <f ca="1">VLOOKUP(D2013,$F$1081:$I$4183,4,FALSE)+COUNTIF(E$1081:E2012,E2013)</f>
        <v>#N/A</v>
      </c>
      <c r="K2013" s="1"/>
      <c r="L2013" s="39" t="e">
        <f>IF($C$1074&gt;0,VLOOKUP($C2013,ENTI!$U$4:$AD$1003,10,FALSE),"")</f>
        <v>#N/A</v>
      </c>
      <c r="M2013" s="1"/>
      <c r="N2013" s="1"/>
      <c r="O2013" s="1"/>
    </row>
    <row r="2014" spans="1:15" hidden="1">
      <c r="A2014" s="1"/>
      <c r="B2014" s="40" t="e">
        <f t="shared" ca="1" si="223"/>
        <v>#N/A</v>
      </c>
      <c r="C2014" s="496">
        <v>934</v>
      </c>
      <c r="D2014" s="41" t="e">
        <f ca="1">IF($C$1076&gt;0,VLOOKUP($C2014,COSTI!$U$4:$Z$1003,3,FALSE),IF($C$1075&gt;0,VLOOKUP($C2014,PATRIMONIALE!$U$4:$Z$1003,3,FALSE),IF($C$1074&gt;0,VLOOKUP($C2014,ENTI!$U$4:$Z$1003,3,FALSE),"")))</f>
        <v>#N/A</v>
      </c>
      <c r="E2014" s="41" t="str">
        <f t="shared" ca="1" si="224"/>
        <v/>
      </c>
      <c r="F2014" s="41" t="e">
        <f t="shared" ca="1" si="225"/>
        <v>#NUM!</v>
      </c>
      <c r="G2014" s="39" t="e">
        <f ca="1">IF($C$1076&gt;0,VLOOKUP($C2014,COSTI!$U$4:$Z$1003,5,FALSE),IF($C$1075&gt;0,VLOOKUP($C2014,PATRIMONIALE!$U$4:$Z$1003,5,FALSE),IF($C$1074&gt;0,VLOOKUP($C2014,ENTI!$U$4:$Z$1003,5,FALSE),"")))</f>
        <v>#N/A</v>
      </c>
      <c r="H2014" s="42" t="e">
        <f ca="1">IF($C$1076&gt;0,VLOOKUP($C2014,COSTI!$U$4:$Z$1003,6,FALSE),IF($C$1075&gt;0,VLOOKUP($C2014,PATRIMONIALE!$U$4:$Z$1003,6,FALSE),IF($C$1074&gt;0,VLOOKUP($C2014,ENTI!$U$4:$Z$1003,6,FALSE),"")))</f>
        <v>#N/A</v>
      </c>
      <c r="I2014" s="496">
        <v>934</v>
      </c>
      <c r="J2014" s="43" t="e">
        <f ca="1">VLOOKUP(D2014,$F$1081:$I$4183,4,FALSE)+COUNTIF(E$1081:E2013,E2014)</f>
        <v>#N/A</v>
      </c>
      <c r="K2014" s="1"/>
      <c r="L2014" s="39" t="e">
        <f>IF($C$1074&gt;0,VLOOKUP($C2014,ENTI!$U$4:$AD$1003,10,FALSE),"")</f>
        <v>#N/A</v>
      </c>
      <c r="M2014" s="1"/>
      <c r="N2014" s="1"/>
      <c r="O2014" s="1"/>
    </row>
    <row r="2015" spans="1:15" hidden="1">
      <c r="A2015" s="1"/>
      <c r="B2015" s="40" t="e">
        <f t="shared" ca="1" si="223"/>
        <v>#N/A</v>
      </c>
      <c r="C2015" s="496">
        <v>935</v>
      </c>
      <c r="D2015" s="41" t="e">
        <f ca="1">IF($C$1076&gt;0,VLOOKUP($C2015,COSTI!$U$4:$Z$1003,3,FALSE),IF($C$1075&gt;0,VLOOKUP($C2015,PATRIMONIALE!$U$4:$Z$1003,3,FALSE),IF($C$1074&gt;0,VLOOKUP($C2015,ENTI!$U$4:$Z$1003,3,FALSE),"")))</f>
        <v>#N/A</v>
      </c>
      <c r="E2015" s="41" t="str">
        <f t="shared" ca="1" si="224"/>
        <v/>
      </c>
      <c r="F2015" s="41" t="e">
        <f t="shared" ca="1" si="225"/>
        <v>#NUM!</v>
      </c>
      <c r="G2015" s="39" t="e">
        <f ca="1">IF($C$1076&gt;0,VLOOKUP($C2015,COSTI!$U$4:$Z$1003,5,FALSE),IF($C$1075&gt;0,VLOOKUP($C2015,PATRIMONIALE!$U$4:$Z$1003,5,FALSE),IF($C$1074&gt;0,VLOOKUP($C2015,ENTI!$U$4:$Z$1003,5,FALSE),"")))</f>
        <v>#N/A</v>
      </c>
      <c r="H2015" s="42" t="e">
        <f ca="1">IF($C$1076&gt;0,VLOOKUP($C2015,COSTI!$U$4:$Z$1003,6,FALSE),IF($C$1075&gt;0,VLOOKUP($C2015,PATRIMONIALE!$U$4:$Z$1003,6,FALSE),IF($C$1074&gt;0,VLOOKUP($C2015,ENTI!$U$4:$Z$1003,6,FALSE),"")))</f>
        <v>#N/A</v>
      </c>
      <c r="I2015" s="496">
        <v>935</v>
      </c>
      <c r="J2015" s="43" t="e">
        <f ca="1">VLOOKUP(D2015,$F$1081:$I$4183,4,FALSE)+COUNTIF(E$1081:E2014,E2015)</f>
        <v>#N/A</v>
      </c>
      <c r="K2015" s="1"/>
      <c r="L2015" s="39" t="e">
        <f>IF($C$1074&gt;0,VLOOKUP($C2015,ENTI!$U$4:$AD$1003,10,FALSE),"")</f>
        <v>#N/A</v>
      </c>
      <c r="M2015" s="1"/>
      <c r="N2015" s="1"/>
      <c r="O2015" s="1"/>
    </row>
    <row r="2016" spans="1:15" hidden="1">
      <c r="A2016" s="1"/>
      <c r="B2016" s="40" t="e">
        <f t="shared" ca="1" si="223"/>
        <v>#N/A</v>
      </c>
      <c r="C2016" s="496">
        <v>936</v>
      </c>
      <c r="D2016" s="41" t="e">
        <f ca="1">IF($C$1076&gt;0,VLOOKUP($C2016,COSTI!$U$4:$Z$1003,3,FALSE),IF($C$1075&gt;0,VLOOKUP($C2016,PATRIMONIALE!$U$4:$Z$1003,3,FALSE),IF($C$1074&gt;0,VLOOKUP($C2016,ENTI!$U$4:$Z$1003,3,FALSE),"")))</f>
        <v>#N/A</v>
      </c>
      <c r="E2016" s="41" t="str">
        <f t="shared" ca="1" si="224"/>
        <v/>
      </c>
      <c r="F2016" s="41" t="e">
        <f t="shared" ca="1" si="225"/>
        <v>#NUM!</v>
      </c>
      <c r="G2016" s="39" t="e">
        <f ca="1">IF($C$1076&gt;0,VLOOKUP($C2016,COSTI!$U$4:$Z$1003,5,FALSE),IF($C$1075&gt;0,VLOOKUP($C2016,PATRIMONIALE!$U$4:$Z$1003,5,FALSE),IF($C$1074&gt;0,VLOOKUP($C2016,ENTI!$U$4:$Z$1003,5,FALSE),"")))</f>
        <v>#N/A</v>
      </c>
      <c r="H2016" s="42" t="e">
        <f ca="1">IF($C$1076&gt;0,VLOOKUP($C2016,COSTI!$U$4:$Z$1003,6,FALSE),IF($C$1075&gt;0,VLOOKUP($C2016,PATRIMONIALE!$U$4:$Z$1003,6,FALSE),IF($C$1074&gt;0,VLOOKUP($C2016,ENTI!$U$4:$Z$1003,6,FALSE),"")))</f>
        <v>#N/A</v>
      </c>
      <c r="I2016" s="496">
        <v>936</v>
      </c>
      <c r="J2016" s="43" t="e">
        <f ca="1">VLOOKUP(D2016,$F$1081:$I$4183,4,FALSE)+COUNTIF(E$1081:E2015,E2016)</f>
        <v>#N/A</v>
      </c>
      <c r="K2016" s="1"/>
      <c r="L2016" s="39" t="e">
        <f>IF($C$1074&gt;0,VLOOKUP($C2016,ENTI!$U$4:$AD$1003,10,FALSE),"")</f>
        <v>#N/A</v>
      </c>
      <c r="M2016" s="1"/>
      <c r="N2016" s="1"/>
      <c r="O2016" s="1"/>
    </row>
    <row r="2017" spans="1:15" hidden="1">
      <c r="A2017" s="1"/>
      <c r="B2017" s="40" t="e">
        <f t="shared" ca="1" si="223"/>
        <v>#N/A</v>
      </c>
      <c r="C2017" s="496">
        <v>937</v>
      </c>
      <c r="D2017" s="41" t="e">
        <f ca="1">IF($C$1076&gt;0,VLOOKUP($C2017,COSTI!$U$4:$Z$1003,3,FALSE),IF($C$1075&gt;0,VLOOKUP($C2017,PATRIMONIALE!$U$4:$Z$1003,3,FALSE),IF($C$1074&gt;0,VLOOKUP($C2017,ENTI!$U$4:$Z$1003,3,FALSE),"")))</f>
        <v>#N/A</v>
      </c>
      <c r="E2017" s="41" t="str">
        <f t="shared" ca="1" si="224"/>
        <v/>
      </c>
      <c r="F2017" s="41" t="e">
        <f t="shared" ca="1" si="225"/>
        <v>#NUM!</v>
      </c>
      <c r="G2017" s="39" t="e">
        <f ca="1">IF($C$1076&gt;0,VLOOKUP($C2017,COSTI!$U$4:$Z$1003,5,FALSE),IF($C$1075&gt;0,VLOOKUP($C2017,PATRIMONIALE!$U$4:$Z$1003,5,FALSE),IF($C$1074&gt;0,VLOOKUP($C2017,ENTI!$U$4:$Z$1003,5,FALSE),"")))</f>
        <v>#N/A</v>
      </c>
      <c r="H2017" s="42" t="e">
        <f ca="1">IF($C$1076&gt;0,VLOOKUP($C2017,COSTI!$U$4:$Z$1003,6,FALSE),IF($C$1075&gt;0,VLOOKUP($C2017,PATRIMONIALE!$U$4:$Z$1003,6,FALSE),IF($C$1074&gt;0,VLOOKUP($C2017,ENTI!$U$4:$Z$1003,6,FALSE),"")))</f>
        <v>#N/A</v>
      </c>
      <c r="I2017" s="496">
        <v>937</v>
      </c>
      <c r="J2017" s="43" t="e">
        <f ca="1">VLOOKUP(D2017,$F$1081:$I$4183,4,FALSE)+COUNTIF(E$1081:E2016,E2017)</f>
        <v>#N/A</v>
      </c>
      <c r="K2017" s="1"/>
      <c r="L2017" s="39" t="e">
        <f>IF($C$1074&gt;0,VLOOKUP($C2017,ENTI!$U$4:$AD$1003,10,FALSE),"")</f>
        <v>#N/A</v>
      </c>
      <c r="M2017" s="1"/>
      <c r="N2017" s="1"/>
      <c r="O2017" s="1"/>
    </row>
    <row r="2018" spans="1:15" hidden="1">
      <c r="A2018" s="1"/>
      <c r="B2018" s="40" t="e">
        <f t="shared" ca="1" si="223"/>
        <v>#N/A</v>
      </c>
      <c r="C2018" s="496">
        <v>938</v>
      </c>
      <c r="D2018" s="41" t="e">
        <f ca="1">IF($C$1076&gt;0,VLOOKUP($C2018,COSTI!$U$4:$Z$1003,3,FALSE),IF($C$1075&gt;0,VLOOKUP($C2018,PATRIMONIALE!$U$4:$Z$1003,3,FALSE),IF($C$1074&gt;0,VLOOKUP($C2018,ENTI!$U$4:$Z$1003,3,FALSE),"")))</f>
        <v>#N/A</v>
      </c>
      <c r="E2018" s="41" t="str">
        <f t="shared" ca="1" si="224"/>
        <v/>
      </c>
      <c r="F2018" s="41" t="e">
        <f t="shared" ca="1" si="225"/>
        <v>#NUM!</v>
      </c>
      <c r="G2018" s="39" t="e">
        <f ca="1">IF($C$1076&gt;0,VLOOKUP($C2018,COSTI!$U$4:$Z$1003,5,FALSE),IF($C$1075&gt;0,VLOOKUP($C2018,PATRIMONIALE!$U$4:$Z$1003,5,FALSE),IF($C$1074&gt;0,VLOOKUP($C2018,ENTI!$U$4:$Z$1003,5,FALSE),"")))</f>
        <v>#N/A</v>
      </c>
      <c r="H2018" s="42" t="e">
        <f ca="1">IF($C$1076&gt;0,VLOOKUP($C2018,COSTI!$U$4:$Z$1003,6,FALSE),IF($C$1075&gt;0,VLOOKUP($C2018,PATRIMONIALE!$U$4:$Z$1003,6,FALSE),IF($C$1074&gt;0,VLOOKUP($C2018,ENTI!$U$4:$Z$1003,6,FALSE),"")))</f>
        <v>#N/A</v>
      </c>
      <c r="I2018" s="496">
        <v>938</v>
      </c>
      <c r="J2018" s="43" t="e">
        <f ca="1">VLOOKUP(D2018,$F$1081:$I$4183,4,FALSE)+COUNTIF(E$1081:E2017,E2018)</f>
        <v>#N/A</v>
      </c>
      <c r="K2018" s="1"/>
      <c r="L2018" s="39" t="e">
        <f>IF($C$1074&gt;0,VLOOKUP($C2018,ENTI!$U$4:$AD$1003,10,FALSE),"")</f>
        <v>#N/A</v>
      </c>
      <c r="M2018" s="1"/>
      <c r="N2018" s="1"/>
      <c r="O2018" s="1"/>
    </row>
    <row r="2019" spans="1:15" hidden="1">
      <c r="A2019" s="1"/>
      <c r="B2019" s="40" t="e">
        <f t="shared" ca="1" si="223"/>
        <v>#N/A</v>
      </c>
      <c r="C2019" s="496">
        <v>939</v>
      </c>
      <c r="D2019" s="41" t="e">
        <f ca="1">IF($C$1076&gt;0,VLOOKUP($C2019,COSTI!$U$4:$Z$1003,3,FALSE),IF($C$1075&gt;0,VLOOKUP($C2019,PATRIMONIALE!$U$4:$Z$1003,3,FALSE),IF($C$1074&gt;0,VLOOKUP($C2019,ENTI!$U$4:$Z$1003,3,FALSE),"")))</f>
        <v>#N/A</v>
      </c>
      <c r="E2019" s="41" t="str">
        <f t="shared" ca="1" si="224"/>
        <v/>
      </c>
      <c r="F2019" s="41" t="e">
        <f t="shared" ca="1" si="225"/>
        <v>#NUM!</v>
      </c>
      <c r="G2019" s="39" t="e">
        <f ca="1">IF($C$1076&gt;0,VLOOKUP($C2019,COSTI!$U$4:$Z$1003,5,FALSE),IF($C$1075&gt;0,VLOOKUP($C2019,PATRIMONIALE!$U$4:$Z$1003,5,FALSE),IF($C$1074&gt;0,VLOOKUP($C2019,ENTI!$U$4:$Z$1003,5,FALSE),"")))</f>
        <v>#N/A</v>
      </c>
      <c r="H2019" s="42" t="e">
        <f ca="1">IF($C$1076&gt;0,VLOOKUP($C2019,COSTI!$U$4:$Z$1003,6,FALSE),IF($C$1075&gt;0,VLOOKUP($C2019,PATRIMONIALE!$U$4:$Z$1003,6,FALSE),IF($C$1074&gt;0,VLOOKUP($C2019,ENTI!$U$4:$Z$1003,6,FALSE),"")))</f>
        <v>#N/A</v>
      </c>
      <c r="I2019" s="496">
        <v>939</v>
      </c>
      <c r="J2019" s="43" t="e">
        <f ca="1">VLOOKUP(D2019,$F$1081:$I$4183,4,FALSE)+COUNTIF(E$1081:E2018,E2019)</f>
        <v>#N/A</v>
      </c>
      <c r="K2019" s="1"/>
      <c r="L2019" s="39" t="e">
        <f>IF($C$1074&gt;0,VLOOKUP($C2019,ENTI!$U$4:$AD$1003,10,FALSE),"")</f>
        <v>#N/A</v>
      </c>
      <c r="M2019" s="1"/>
      <c r="N2019" s="1"/>
      <c r="O2019" s="1"/>
    </row>
    <row r="2020" spans="1:15" hidden="1">
      <c r="A2020" s="1"/>
      <c r="B2020" s="40" t="e">
        <f t="shared" ca="1" si="223"/>
        <v>#N/A</v>
      </c>
      <c r="C2020" s="496">
        <v>940</v>
      </c>
      <c r="D2020" s="41" t="e">
        <f ca="1">IF($C$1076&gt;0,VLOOKUP($C2020,COSTI!$U$4:$Z$1003,3,FALSE),IF($C$1075&gt;0,VLOOKUP($C2020,PATRIMONIALE!$U$4:$Z$1003,3,FALSE),IF($C$1074&gt;0,VLOOKUP($C2020,ENTI!$U$4:$Z$1003,3,FALSE),"")))</f>
        <v>#N/A</v>
      </c>
      <c r="E2020" s="41" t="str">
        <f t="shared" ca="1" si="224"/>
        <v/>
      </c>
      <c r="F2020" s="41" t="e">
        <f t="shared" ca="1" si="225"/>
        <v>#NUM!</v>
      </c>
      <c r="G2020" s="39" t="e">
        <f ca="1">IF($C$1076&gt;0,VLOOKUP($C2020,COSTI!$U$4:$Z$1003,5,FALSE),IF($C$1075&gt;0,VLOOKUP($C2020,PATRIMONIALE!$U$4:$Z$1003,5,FALSE),IF($C$1074&gt;0,VLOOKUP($C2020,ENTI!$U$4:$Z$1003,5,FALSE),"")))</f>
        <v>#N/A</v>
      </c>
      <c r="H2020" s="42" t="e">
        <f ca="1">IF($C$1076&gt;0,VLOOKUP($C2020,COSTI!$U$4:$Z$1003,6,FALSE),IF($C$1075&gt;0,VLOOKUP($C2020,PATRIMONIALE!$U$4:$Z$1003,6,FALSE),IF($C$1074&gt;0,VLOOKUP($C2020,ENTI!$U$4:$Z$1003,6,FALSE),"")))</f>
        <v>#N/A</v>
      </c>
      <c r="I2020" s="496">
        <v>940</v>
      </c>
      <c r="J2020" s="43" t="e">
        <f ca="1">VLOOKUP(D2020,$F$1081:$I$4183,4,FALSE)+COUNTIF(E$1081:E2019,E2020)</f>
        <v>#N/A</v>
      </c>
      <c r="K2020" s="1"/>
      <c r="L2020" s="39" t="e">
        <f>IF($C$1074&gt;0,VLOOKUP($C2020,ENTI!$U$4:$AD$1003,10,FALSE),"")</f>
        <v>#N/A</v>
      </c>
      <c r="M2020" s="1"/>
      <c r="N2020" s="1"/>
      <c r="O2020" s="1"/>
    </row>
    <row r="2021" spans="1:15" hidden="1">
      <c r="A2021" s="1"/>
      <c r="B2021" s="40" t="e">
        <f t="shared" ca="1" si="223"/>
        <v>#N/A</v>
      </c>
      <c r="C2021" s="496">
        <v>941</v>
      </c>
      <c r="D2021" s="41" t="e">
        <f ca="1">IF($C$1076&gt;0,VLOOKUP($C2021,COSTI!$U$4:$Z$1003,3,FALSE),IF($C$1075&gt;0,VLOOKUP($C2021,PATRIMONIALE!$U$4:$Z$1003,3,FALSE),IF($C$1074&gt;0,VLOOKUP($C2021,ENTI!$U$4:$Z$1003,3,FALSE),"")))</f>
        <v>#N/A</v>
      </c>
      <c r="E2021" s="41" t="str">
        <f t="shared" ca="1" si="224"/>
        <v/>
      </c>
      <c r="F2021" s="41" t="e">
        <f t="shared" ca="1" si="225"/>
        <v>#NUM!</v>
      </c>
      <c r="G2021" s="39" t="e">
        <f ca="1">IF($C$1076&gt;0,VLOOKUP($C2021,COSTI!$U$4:$Z$1003,5,FALSE),IF($C$1075&gt;0,VLOOKUP($C2021,PATRIMONIALE!$U$4:$Z$1003,5,FALSE),IF($C$1074&gt;0,VLOOKUP($C2021,ENTI!$U$4:$Z$1003,5,FALSE),"")))</f>
        <v>#N/A</v>
      </c>
      <c r="H2021" s="42" t="e">
        <f ca="1">IF($C$1076&gt;0,VLOOKUP($C2021,COSTI!$U$4:$Z$1003,6,FALSE),IF($C$1075&gt;0,VLOOKUP($C2021,PATRIMONIALE!$U$4:$Z$1003,6,FALSE),IF($C$1074&gt;0,VLOOKUP($C2021,ENTI!$U$4:$Z$1003,6,FALSE),"")))</f>
        <v>#N/A</v>
      </c>
      <c r="I2021" s="496">
        <v>941</v>
      </c>
      <c r="J2021" s="43" t="e">
        <f ca="1">VLOOKUP(D2021,$F$1081:$I$4183,4,FALSE)+COUNTIF(E$1081:E2020,E2021)</f>
        <v>#N/A</v>
      </c>
      <c r="K2021" s="1"/>
      <c r="L2021" s="39" t="e">
        <f>IF($C$1074&gt;0,VLOOKUP($C2021,ENTI!$U$4:$AD$1003,10,FALSE),"")</f>
        <v>#N/A</v>
      </c>
      <c r="M2021" s="1"/>
      <c r="N2021" s="1"/>
      <c r="O2021" s="1"/>
    </row>
    <row r="2022" spans="1:15" hidden="1">
      <c r="A2022" s="1"/>
      <c r="B2022" s="40" t="e">
        <f t="shared" ca="1" si="223"/>
        <v>#N/A</v>
      </c>
      <c r="C2022" s="496">
        <v>942</v>
      </c>
      <c r="D2022" s="41" t="e">
        <f ca="1">IF($C$1076&gt;0,VLOOKUP($C2022,COSTI!$U$4:$Z$1003,3,FALSE),IF($C$1075&gt;0,VLOOKUP($C2022,PATRIMONIALE!$U$4:$Z$1003,3,FALSE),IF($C$1074&gt;0,VLOOKUP($C2022,ENTI!$U$4:$Z$1003,3,FALSE),"")))</f>
        <v>#N/A</v>
      </c>
      <c r="E2022" s="41" t="str">
        <f t="shared" ca="1" si="224"/>
        <v/>
      </c>
      <c r="F2022" s="41" t="e">
        <f t="shared" ca="1" si="225"/>
        <v>#NUM!</v>
      </c>
      <c r="G2022" s="39" t="e">
        <f ca="1">IF($C$1076&gt;0,VLOOKUP($C2022,COSTI!$U$4:$Z$1003,5,FALSE),IF($C$1075&gt;0,VLOOKUP($C2022,PATRIMONIALE!$U$4:$Z$1003,5,FALSE),IF($C$1074&gt;0,VLOOKUP($C2022,ENTI!$U$4:$Z$1003,5,FALSE),"")))</f>
        <v>#N/A</v>
      </c>
      <c r="H2022" s="42" t="e">
        <f ca="1">IF($C$1076&gt;0,VLOOKUP($C2022,COSTI!$U$4:$Z$1003,6,FALSE),IF($C$1075&gt;0,VLOOKUP($C2022,PATRIMONIALE!$U$4:$Z$1003,6,FALSE),IF($C$1074&gt;0,VLOOKUP($C2022,ENTI!$U$4:$Z$1003,6,FALSE),"")))</f>
        <v>#N/A</v>
      </c>
      <c r="I2022" s="496">
        <v>942</v>
      </c>
      <c r="J2022" s="43" t="e">
        <f ca="1">VLOOKUP(D2022,$F$1081:$I$4183,4,FALSE)+COUNTIF(E$1081:E2021,E2022)</f>
        <v>#N/A</v>
      </c>
      <c r="K2022" s="1"/>
      <c r="L2022" s="39" t="e">
        <f>IF($C$1074&gt;0,VLOOKUP($C2022,ENTI!$U$4:$AD$1003,10,FALSE),"")</f>
        <v>#N/A</v>
      </c>
      <c r="M2022" s="1"/>
      <c r="N2022" s="1"/>
      <c r="O2022" s="1"/>
    </row>
    <row r="2023" spans="1:15" hidden="1">
      <c r="A2023" s="1"/>
      <c r="B2023" s="40" t="e">
        <f t="shared" ca="1" si="223"/>
        <v>#N/A</v>
      </c>
      <c r="C2023" s="496">
        <v>943</v>
      </c>
      <c r="D2023" s="41" t="e">
        <f ca="1">IF($C$1076&gt;0,VLOOKUP($C2023,COSTI!$U$4:$Z$1003,3,FALSE),IF($C$1075&gt;0,VLOOKUP($C2023,PATRIMONIALE!$U$4:$Z$1003,3,FALSE),IF($C$1074&gt;0,VLOOKUP($C2023,ENTI!$U$4:$Z$1003,3,FALSE),"")))</f>
        <v>#N/A</v>
      </c>
      <c r="E2023" s="41" t="str">
        <f t="shared" ca="1" si="224"/>
        <v/>
      </c>
      <c r="F2023" s="41" t="e">
        <f t="shared" ca="1" si="225"/>
        <v>#NUM!</v>
      </c>
      <c r="G2023" s="39" t="e">
        <f ca="1">IF($C$1076&gt;0,VLOOKUP($C2023,COSTI!$U$4:$Z$1003,5,FALSE),IF($C$1075&gt;0,VLOOKUP($C2023,PATRIMONIALE!$U$4:$Z$1003,5,FALSE),IF($C$1074&gt;0,VLOOKUP($C2023,ENTI!$U$4:$Z$1003,5,FALSE),"")))</f>
        <v>#N/A</v>
      </c>
      <c r="H2023" s="42" t="e">
        <f ca="1">IF($C$1076&gt;0,VLOOKUP($C2023,COSTI!$U$4:$Z$1003,6,FALSE),IF($C$1075&gt;0,VLOOKUP($C2023,PATRIMONIALE!$U$4:$Z$1003,6,FALSE),IF($C$1074&gt;0,VLOOKUP($C2023,ENTI!$U$4:$Z$1003,6,FALSE),"")))</f>
        <v>#N/A</v>
      </c>
      <c r="I2023" s="496">
        <v>943</v>
      </c>
      <c r="J2023" s="43" t="e">
        <f ca="1">VLOOKUP(D2023,$F$1081:$I$4183,4,FALSE)+COUNTIF(E$1081:E2022,E2023)</f>
        <v>#N/A</v>
      </c>
      <c r="K2023" s="1"/>
      <c r="L2023" s="39" t="e">
        <f>IF($C$1074&gt;0,VLOOKUP($C2023,ENTI!$U$4:$AD$1003,10,FALSE),"")</f>
        <v>#N/A</v>
      </c>
      <c r="M2023" s="1"/>
      <c r="N2023" s="1"/>
      <c r="O2023" s="1"/>
    </row>
    <row r="2024" spans="1:15" hidden="1">
      <c r="A2024" s="1"/>
      <c r="B2024" s="40" t="e">
        <f t="shared" ca="1" si="223"/>
        <v>#N/A</v>
      </c>
      <c r="C2024" s="496">
        <v>944</v>
      </c>
      <c r="D2024" s="41" t="e">
        <f ca="1">IF($C$1076&gt;0,VLOOKUP($C2024,COSTI!$U$4:$Z$1003,3,FALSE),IF($C$1075&gt;0,VLOOKUP($C2024,PATRIMONIALE!$U$4:$Z$1003,3,FALSE),IF($C$1074&gt;0,VLOOKUP($C2024,ENTI!$U$4:$Z$1003,3,FALSE),"")))</f>
        <v>#N/A</v>
      </c>
      <c r="E2024" s="41" t="str">
        <f t="shared" ca="1" si="224"/>
        <v/>
      </c>
      <c r="F2024" s="41" t="e">
        <f t="shared" ca="1" si="225"/>
        <v>#NUM!</v>
      </c>
      <c r="G2024" s="39" t="e">
        <f ca="1">IF($C$1076&gt;0,VLOOKUP($C2024,COSTI!$U$4:$Z$1003,5,FALSE),IF($C$1075&gt;0,VLOOKUP($C2024,PATRIMONIALE!$U$4:$Z$1003,5,FALSE),IF($C$1074&gt;0,VLOOKUP($C2024,ENTI!$U$4:$Z$1003,5,FALSE),"")))</f>
        <v>#N/A</v>
      </c>
      <c r="H2024" s="42" t="e">
        <f ca="1">IF($C$1076&gt;0,VLOOKUP($C2024,COSTI!$U$4:$Z$1003,6,FALSE),IF($C$1075&gt;0,VLOOKUP($C2024,PATRIMONIALE!$U$4:$Z$1003,6,FALSE),IF($C$1074&gt;0,VLOOKUP($C2024,ENTI!$U$4:$Z$1003,6,FALSE),"")))</f>
        <v>#N/A</v>
      </c>
      <c r="I2024" s="496">
        <v>944</v>
      </c>
      <c r="J2024" s="43" t="e">
        <f ca="1">VLOOKUP(D2024,$F$1081:$I$4183,4,FALSE)+COUNTIF(E$1081:E2023,E2024)</f>
        <v>#N/A</v>
      </c>
      <c r="K2024" s="1"/>
      <c r="L2024" s="39" t="e">
        <f>IF($C$1074&gt;0,VLOOKUP($C2024,ENTI!$U$4:$AD$1003,10,FALSE),"")</f>
        <v>#N/A</v>
      </c>
      <c r="M2024" s="1"/>
      <c r="N2024" s="1"/>
      <c r="O2024" s="1"/>
    </row>
    <row r="2025" spans="1:15" hidden="1">
      <c r="A2025" s="1"/>
      <c r="B2025" s="40" t="e">
        <f t="shared" ca="1" si="223"/>
        <v>#N/A</v>
      </c>
      <c r="C2025" s="496">
        <v>945</v>
      </c>
      <c r="D2025" s="41" t="e">
        <f ca="1">IF($C$1076&gt;0,VLOOKUP($C2025,COSTI!$U$4:$Z$1003,3,FALSE),IF($C$1075&gt;0,VLOOKUP($C2025,PATRIMONIALE!$U$4:$Z$1003,3,FALSE),IF($C$1074&gt;0,VLOOKUP($C2025,ENTI!$U$4:$Z$1003,3,FALSE),"")))</f>
        <v>#N/A</v>
      </c>
      <c r="E2025" s="41" t="str">
        <f t="shared" ca="1" si="224"/>
        <v/>
      </c>
      <c r="F2025" s="41" t="e">
        <f t="shared" ca="1" si="225"/>
        <v>#NUM!</v>
      </c>
      <c r="G2025" s="39" t="e">
        <f ca="1">IF($C$1076&gt;0,VLOOKUP($C2025,COSTI!$U$4:$Z$1003,5,FALSE),IF($C$1075&gt;0,VLOOKUP($C2025,PATRIMONIALE!$U$4:$Z$1003,5,FALSE),IF($C$1074&gt;0,VLOOKUP($C2025,ENTI!$U$4:$Z$1003,5,FALSE),"")))</f>
        <v>#N/A</v>
      </c>
      <c r="H2025" s="42" t="e">
        <f ca="1">IF($C$1076&gt;0,VLOOKUP($C2025,COSTI!$U$4:$Z$1003,6,FALSE),IF($C$1075&gt;0,VLOOKUP($C2025,PATRIMONIALE!$U$4:$Z$1003,6,FALSE),IF($C$1074&gt;0,VLOOKUP($C2025,ENTI!$U$4:$Z$1003,6,FALSE),"")))</f>
        <v>#N/A</v>
      </c>
      <c r="I2025" s="496">
        <v>945</v>
      </c>
      <c r="J2025" s="43" t="e">
        <f ca="1">VLOOKUP(D2025,$F$1081:$I$4183,4,FALSE)+COUNTIF(E$1081:E2024,E2025)</f>
        <v>#N/A</v>
      </c>
      <c r="K2025" s="1"/>
      <c r="L2025" s="39" t="e">
        <f>IF($C$1074&gt;0,VLOOKUP($C2025,ENTI!$U$4:$AD$1003,10,FALSE),"")</f>
        <v>#N/A</v>
      </c>
      <c r="M2025" s="1"/>
      <c r="N2025" s="1"/>
      <c r="O2025" s="1"/>
    </row>
    <row r="2026" spans="1:15" hidden="1">
      <c r="A2026" s="1"/>
      <c r="B2026" s="40" t="e">
        <f t="shared" ca="1" si="223"/>
        <v>#N/A</v>
      </c>
      <c r="C2026" s="496">
        <v>946</v>
      </c>
      <c r="D2026" s="41" t="e">
        <f ca="1">IF($C$1076&gt;0,VLOOKUP($C2026,COSTI!$U$4:$Z$1003,3,FALSE),IF($C$1075&gt;0,VLOOKUP($C2026,PATRIMONIALE!$U$4:$Z$1003,3,FALSE),IF($C$1074&gt;0,VLOOKUP($C2026,ENTI!$U$4:$Z$1003,3,FALSE),"")))</f>
        <v>#N/A</v>
      </c>
      <c r="E2026" s="41" t="str">
        <f t="shared" ca="1" si="224"/>
        <v/>
      </c>
      <c r="F2026" s="41" t="e">
        <f t="shared" ca="1" si="225"/>
        <v>#NUM!</v>
      </c>
      <c r="G2026" s="39" t="e">
        <f ca="1">IF($C$1076&gt;0,VLOOKUP($C2026,COSTI!$U$4:$Z$1003,5,FALSE),IF($C$1075&gt;0,VLOOKUP($C2026,PATRIMONIALE!$U$4:$Z$1003,5,FALSE),IF($C$1074&gt;0,VLOOKUP($C2026,ENTI!$U$4:$Z$1003,5,FALSE),"")))</f>
        <v>#N/A</v>
      </c>
      <c r="H2026" s="42" t="e">
        <f ca="1">IF($C$1076&gt;0,VLOOKUP($C2026,COSTI!$U$4:$Z$1003,6,FALSE),IF($C$1075&gt;0,VLOOKUP($C2026,PATRIMONIALE!$U$4:$Z$1003,6,FALSE),IF($C$1074&gt;0,VLOOKUP($C2026,ENTI!$U$4:$Z$1003,6,FALSE),"")))</f>
        <v>#N/A</v>
      </c>
      <c r="I2026" s="496">
        <v>946</v>
      </c>
      <c r="J2026" s="43" t="e">
        <f ca="1">VLOOKUP(D2026,$F$1081:$I$4183,4,FALSE)+COUNTIF(E$1081:E2025,E2026)</f>
        <v>#N/A</v>
      </c>
      <c r="K2026" s="1"/>
      <c r="L2026" s="39" t="e">
        <f>IF($C$1074&gt;0,VLOOKUP($C2026,ENTI!$U$4:$AD$1003,10,FALSE),"")</f>
        <v>#N/A</v>
      </c>
      <c r="M2026" s="1"/>
      <c r="N2026" s="1"/>
      <c r="O2026" s="1"/>
    </row>
    <row r="2027" spans="1:15" hidden="1">
      <c r="A2027" s="1"/>
      <c r="B2027" s="40" t="e">
        <f t="shared" ca="1" si="223"/>
        <v>#N/A</v>
      </c>
      <c r="C2027" s="496">
        <v>947</v>
      </c>
      <c r="D2027" s="41" t="e">
        <f ca="1">IF($C$1076&gt;0,VLOOKUP($C2027,COSTI!$U$4:$Z$1003,3,FALSE),IF($C$1075&gt;0,VLOOKUP($C2027,PATRIMONIALE!$U$4:$Z$1003,3,FALSE),IF($C$1074&gt;0,VLOOKUP($C2027,ENTI!$U$4:$Z$1003,3,FALSE),"")))</f>
        <v>#N/A</v>
      </c>
      <c r="E2027" s="41" t="str">
        <f t="shared" ca="1" si="224"/>
        <v/>
      </c>
      <c r="F2027" s="41" t="e">
        <f t="shared" ca="1" si="225"/>
        <v>#NUM!</v>
      </c>
      <c r="G2027" s="39" t="e">
        <f ca="1">IF($C$1076&gt;0,VLOOKUP($C2027,COSTI!$U$4:$Z$1003,5,FALSE),IF($C$1075&gt;0,VLOOKUP($C2027,PATRIMONIALE!$U$4:$Z$1003,5,FALSE),IF($C$1074&gt;0,VLOOKUP($C2027,ENTI!$U$4:$Z$1003,5,FALSE),"")))</f>
        <v>#N/A</v>
      </c>
      <c r="H2027" s="42" t="e">
        <f ca="1">IF($C$1076&gt;0,VLOOKUP($C2027,COSTI!$U$4:$Z$1003,6,FALSE),IF($C$1075&gt;0,VLOOKUP($C2027,PATRIMONIALE!$U$4:$Z$1003,6,FALSE),IF($C$1074&gt;0,VLOOKUP($C2027,ENTI!$U$4:$Z$1003,6,FALSE),"")))</f>
        <v>#N/A</v>
      </c>
      <c r="I2027" s="496">
        <v>947</v>
      </c>
      <c r="J2027" s="43" t="e">
        <f ca="1">VLOOKUP(D2027,$F$1081:$I$4183,4,FALSE)+COUNTIF(E$1081:E2026,E2027)</f>
        <v>#N/A</v>
      </c>
      <c r="K2027" s="1"/>
      <c r="L2027" s="39" t="e">
        <f>IF($C$1074&gt;0,VLOOKUP($C2027,ENTI!$U$4:$AD$1003,10,FALSE),"")</f>
        <v>#N/A</v>
      </c>
      <c r="M2027" s="1"/>
      <c r="N2027" s="1"/>
      <c r="O2027" s="1"/>
    </row>
    <row r="2028" spans="1:15" hidden="1">
      <c r="A2028" s="1"/>
      <c r="B2028" s="40" t="e">
        <f t="shared" ca="1" si="223"/>
        <v>#N/A</v>
      </c>
      <c r="C2028" s="496">
        <v>948</v>
      </c>
      <c r="D2028" s="41" t="e">
        <f ca="1">IF($C$1076&gt;0,VLOOKUP($C2028,COSTI!$U$4:$Z$1003,3,FALSE),IF($C$1075&gt;0,VLOOKUP($C2028,PATRIMONIALE!$U$4:$Z$1003,3,FALSE),IF($C$1074&gt;0,VLOOKUP($C2028,ENTI!$U$4:$Z$1003,3,FALSE),"")))</f>
        <v>#N/A</v>
      </c>
      <c r="E2028" s="41" t="str">
        <f t="shared" ca="1" si="224"/>
        <v/>
      </c>
      <c r="F2028" s="41" t="e">
        <f t="shared" ca="1" si="225"/>
        <v>#NUM!</v>
      </c>
      <c r="G2028" s="39" t="e">
        <f ca="1">IF($C$1076&gt;0,VLOOKUP($C2028,COSTI!$U$4:$Z$1003,5,FALSE),IF($C$1075&gt;0,VLOOKUP($C2028,PATRIMONIALE!$U$4:$Z$1003,5,FALSE),IF($C$1074&gt;0,VLOOKUP($C2028,ENTI!$U$4:$Z$1003,5,FALSE),"")))</f>
        <v>#N/A</v>
      </c>
      <c r="H2028" s="42" t="e">
        <f ca="1">IF($C$1076&gt;0,VLOOKUP($C2028,COSTI!$U$4:$Z$1003,6,FALSE),IF($C$1075&gt;0,VLOOKUP($C2028,PATRIMONIALE!$U$4:$Z$1003,6,FALSE),IF($C$1074&gt;0,VLOOKUP($C2028,ENTI!$U$4:$Z$1003,6,FALSE),"")))</f>
        <v>#N/A</v>
      </c>
      <c r="I2028" s="496">
        <v>948</v>
      </c>
      <c r="J2028" s="43" t="e">
        <f ca="1">VLOOKUP(D2028,$F$1081:$I$4183,4,FALSE)+COUNTIF(E$1081:E2027,E2028)</f>
        <v>#N/A</v>
      </c>
      <c r="K2028" s="1"/>
      <c r="L2028" s="39" t="e">
        <f>IF($C$1074&gt;0,VLOOKUP($C2028,ENTI!$U$4:$AD$1003,10,FALSE),"")</f>
        <v>#N/A</v>
      </c>
      <c r="M2028" s="1"/>
      <c r="N2028" s="1"/>
      <c r="O2028" s="1"/>
    </row>
    <row r="2029" spans="1:15" hidden="1">
      <c r="A2029" s="1"/>
      <c r="B2029" s="40" t="e">
        <f t="shared" ca="1" si="223"/>
        <v>#N/A</v>
      </c>
      <c r="C2029" s="496">
        <v>949</v>
      </c>
      <c r="D2029" s="41" t="e">
        <f ca="1">IF($C$1076&gt;0,VLOOKUP($C2029,COSTI!$U$4:$Z$1003,3,FALSE),IF($C$1075&gt;0,VLOOKUP($C2029,PATRIMONIALE!$U$4:$Z$1003,3,FALSE),IF($C$1074&gt;0,VLOOKUP($C2029,ENTI!$U$4:$Z$1003,3,FALSE),"")))</f>
        <v>#N/A</v>
      </c>
      <c r="E2029" s="41" t="str">
        <f t="shared" ca="1" si="224"/>
        <v/>
      </c>
      <c r="F2029" s="41" t="e">
        <f t="shared" ca="1" si="225"/>
        <v>#NUM!</v>
      </c>
      <c r="G2029" s="39" t="e">
        <f ca="1">IF($C$1076&gt;0,VLOOKUP($C2029,COSTI!$U$4:$Z$1003,5,FALSE),IF($C$1075&gt;0,VLOOKUP($C2029,PATRIMONIALE!$U$4:$Z$1003,5,FALSE),IF($C$1074&gt;0,VLOOKUP($C2029,ENTI!$U$4:$Z$1003,5,FALSE),"")))</f>
        <v>#N/A</v>
      </c>
      <c r="H2029" s="42" t="e">
        <f ca="1">IF($C$1076&gt;0,VLOOKUP($C2029,COSTI!$U$4:$Z$1003,6,FALSE),IF($C$1075&gt;0,VLOOKUP($C2029,PATRIMONIALE!$U$4:$Z$1003,6,FALSE),IF($C$1074&gt;0,VLOOKUP($C2029,ENTI!$U$4:$Z$1003,6,FALSE),"")))</f>
        <v>#N/A</v>
      </c>
      <c r="I2029" s="496">
        <v>949</v>
      </c>
      <c r="J2029" s="43" t="e">
        <f ca="1">VLOOKUP(D2029,$F$1081:$I$4183,4,FALSE)+COUNTIF(E$1081:E2028,E2029)</f>
        <v>#N/A</v>
      </c>
      <c r="K2029" s="1"/>
      <c r="L2029" s="39" t="e">
        <f>IF($C$1074&gt;0,VLOOKUP($C2029,ENTI!$U$4:$AD$1003,10,FALSE),"")</f>
        <v>#N/A</v>
      </c>
      <c r="M2029" s="1"/>
      <c r="N2029" s="1"/>
      <c r="O2029" s="1"/>
    </row>
    <row r="2030" spans="1:15" hidden="1">
      <c r="A2030" s="1"/>
      <c r="B2030" s="40" t="e">
        <f t="shared" ca="1" si="223"/>
        <v>#N/A</v>
      </c>
      <c r="C2030" s="496">
        <v>950</v>
      </c>
      <c r="D2030" s="41" t="e">
        <f ca="1">IF($C$1076&gt;0,VLOOKUP($C2030,COSTI!$U$4:$Z$1003,3,FALSE),IF($C$1075&gt;0,VLOOKUP($C2030,PATRIMONIALE!$U$4:$Z$1003,3,FALSE),IF($C$1074&gt;0,VLOOKUP($C2030,ENTI!$U$4:$Z$1003,3,FALSE),"")))</f>
        <v>#N/A</v>
      </c>
      <c r="E2030" s="41" t="str">
        <f t="shared" ca="1" si="224"/>
        <v/>
      </c>
      <c r="F2030" s="41" t="e">
        <f t="shared" ca="1" si="225"/>
        <v>#NUM!</v>
      </c>
      <c r="G2030" s="39" t="e">
        <f ca="1">IF($C$1076&gt;0,VLOOKUP($C2030,COSTI!$U$4:$Z$1003,5,FALSE),IF($C$1075&gt;0,VLOOKUP($C2030,PATRIMONIALE!$U$4:$Z$1003,5,FALSE),IF($C$1074&gt;0,VLOOKUP($C2030,ENTI!$U$4:$Z$1003,5,FALSE),"")))</f>
        <v>#N/A</v>
      </c>
      <c r="H2030" s="42" t="e">
        <f ca="1">IF($C$1076&gt;0,VLOOKUP($C2030,COSTI!$U$4:$Z$1003,6,FALSE),IF($C$1075&gt;0,VLOOKUP($C2030,PATRIMONIALE!$U$4:$Z$1003,6,FALSE),IF($C$1074&gt;0,VLOOKUP($C2030,ENTI!$U$4:$Z$1003,6,FALSE),"")))</f>
        <v>#N/A</v>
      </c>
      <c r="I2030" s="496">
        <v>950</v>
      </c>
      <c r="J2030" s="43" t="e">
        <f ca="1">VLOOKUP(D2030,$F$1081:$I$4183,4,FALSE)+COUNTIF(E$1081:E2029,E2030)</f>
        <v>#N/A</v>
      </c>
      <c r="K2030" s="1"/>
      <c r="L2030" s="39" t="e">
        <f>IF($C$1074&gt;0,VLOOKUP($C2030,ENTI!$U$4:$AD$1003,10,FALSE),"")</f>
        <v>#N/A</v>
      </c>
      <c r="M2030" s="1"/>
      <c r="N2030" s="1"/>
      <c r="O2030" s="1"/>
    </row>
    <row r="2031" spans="1:15" hidden="1">
      <c r="A2031" s="1"/>
      <c r="B2031" s="40" t="e">
        <f t="shared" ca="1" si="223"/>
        <v>#N/A</v>
      </c>
      <c r="C2031" s="496">
        <v>951</v>
      </c>
      <c r="D2031" s="41" t="e">
        <f ca="1">IF($C$1076&gt;0,VLOOKUP($C2031,COSTI!$U$4:$Z$1003,3,FALSE),IF($C$1075&gt;0,VLOOKUP($C2031,PATRIMONIALE!$U$4:$Z$1003,3,FALSE),IF($C$1074&gt;0,VLOOKUP($C2031,ENTI!$U$4:$Z$1003,3,FALSE),"")))</f>
        <v>#N/A</v>
      </c>
      <c r="E2031" s="41" t="str">
        <f t="shared" ca="1" si="224"/>
        <v/>
      </c>
      <c r="F2031" s="41" t="e">
        <f t="shared" ca="1" si="225"/>
        <v>#NUM!</v>
      </c>
      <c r="G2031" s="39" t="e">
        <f ca="1">IF($C$1076&gt;0,VLOOKUP($C2031,COSTI!$U$4:$Z$1003,5,FALSE),IF($C$1075&gt;0,VLOOKUP($C2031,PATRIMONIALE!$U$4:$Z$1003,5,FALSE),IF($C$1074&gt;0,VLOOKUP($C2031,ENTI!$U$4:$Z$1003,5,FALSE),"")))</f>
        <v>#N/A</v>
      </c>
      <c r="H2031" s="42" t="e">
        <f ca="1">IF($C$1076&gt;0,VLOOKUP($C2031,COSTI!$U$4:$Z$1003,6,FALSE),IF($C$1075&gt;0,VLOOKUP($C2031,PATRIMONIALE!$U$4:$Z$1003,6,FALSE),IF($C$1074&gt;0,VLOOKUP($C2031,ENTI!$U$4:$Z$1003,6,FALSE),"")))</f>
        <v>#N/A</v>
      </c>
      <c r="I2031" s="496">
        <v>951</v>
      </c>
      <c r="J2031" s="43" t="e">
        <f ca="1">VLOOKUP(D2031,$F$1081:$I$4183,4,FALSE)+COUNTIF(E$1081:E2030,E2031)</f>
        <v>#N/A</v>
      </c>
      <c r="K2031" s="1"/>
      <c r="L2031" s="39" t="e">
        <f>IF($C$1074&gt;0,VLOOKUP($C2031,ENTI!$U$4:$AD$1003,10,FALSE),"")</f>
        <v>#N/A</v>
      </c>
      <c r="M2031" s="1"/>
      <c r="N2031" s="1"/>
      <c r="O2031" s="1"/>
    </row>
    <row r="2032" spans="1:15" hidden="1">
      <c r="A2032" s="1"/>
      <c r="B2032" s="40" t="e">
        <f t="shared" ca="1" si="223"/>
        <v>#N/A</v>
      </c>
      <c r="C2032" s="496">
        <v>952</v>
      </c>
      <c r="D2032" s="41" t="e">
        <f ca="1">IF($C$1076&gt;0,VLOOKUP($C2032,COSTI!$U$4:$Z$1003,3,FALSE),IF($C$1075&gt;0,VLOOKUP($C2032,PATRIMONIALE!$U$4:$Z$1003,3,FALSE),IF($C$1074&gt;0,VLOOKUP($C2032,ENTI!$U$4:$Z$1003,3,FALSE),"")))</f>
        <v>#N/A</v>
      </c>
      <c r="E2032" s="41" t="str">
        <f t="shared" ca="1" si="224"/>
        <v/>
      </c>
      <c r="F2032" s="41" t="e">
        <f t="shared" ca="1" si="225"/>
        <v>#NUM!</v>
      </c>
      <c r="G2032" s="39" t="e">
        <f ca="1">IF($C$1076&gt;0,VLOOKUP($C2032,COSTI!$U$4:$Z$1003,5,FALSE),IF($C$1075&gt;0,VLOOKUP($C2032,PATRIMONIALE!$U$4:$Z$1003,5,FALSE),IF($C$1074&gt;0,VLOOKUP($C2032,ENTI!$U$4:$Z$1003,5,FALSE),"")))</f>
        <v>#N/A</v>
      </c>
      <c r="H2032" s="42" t="e">
        <f ca="1">IF($C$1076&gt;0,VLOOKUP($C2032,COSTI!$U$4:$Z$1003,6,FALSE),IF($C$1075&gt;0,VLOOKUP($C2032,PATRIMONIALE!$U$4:$Z$1003,6,FALSE),IF($C$1074&gt;0,VLOOKUP($C2032,ENTI!$U$4:$Z$1003,6,FALSE),"")))</f>
        <v>#N/A</v>
      </c>
      <c r="I2032" s="496">
        <v>952</v>
      </c>
      <c r="J2032" s="43" t="e">
        <f ca="1">VLOOKUP(D2032,$F$1081:$I$4183,4,FALSE)+COUNTIF(E$1081:E2031,E2032)</f>
        <v>#N/A</v>
      </c>
      <c r="K2032" s="1"/>
      <c r="L2032" s="39" t="e">
        <f>IF($C$1074&gt;0,VLOOKUP($C2032,ENTI!$U$4:$AD$1003,10,FALSE),"")</f>
        <v>#N/A</v>
      </c>
      <c r="M2032" s="1"/>
      <c r="N2032" s="1"/>
      <c r="O2032" s="1"/>
    </row>
    <row r="2033" spans="1:15" hidden="1">
      <c r="A2033" s="1"/>
      <c r="B2033" s="40" t="e">
        <f t="shared" ref="B2033:B2065" ca="1" si="226">IF(OR(C$1075&gt;0,C$1077&gt;0,C$1073&gt;0,C$1071&gt;0),J2033+1,J2033)</f>
        <v>#N/A</v>
      </c>
      <c r="C2033" s="496">
        <v>953</v>
      </c>
      <c r="D2033" s="41" t="e">
        <f ca="1">IF($C$1076&gt;0,VLOOKUP($C2033,COSTI!$U$4:$Z$1003,3,FALSE),IF($C$1075&gt;0,VLOOKUP($C2033,PATRIMONIALE!$U$4:$Z$1003,3,FALSE),IF($C$1074&gt;0,VLOOKUP($C2033,ENTI!$U$4:$Z$1003,3,FALSE),"")))</f>
        <v>#N/A</v>
      </c>
      <c r="E2033" s="41" t="str">
        <f t="shared" ca="1" si="224"/>
        <v/>
      </c>
      <c r="F2033" s="41" t="e">
        <f t="shared" ca="1" si="225"/>
        <v>#NUM!</v>
      </c>
      <c r="G2033" s="39" t="e">
        <f ca="1">IF($C$1076&gt;0,VLOOKUP($C2033,COSTI!$U$4:$Z$1003,5,FALSE),IF($C$1075&gt;0,VLOOKUP($C2033,PATRIMONIALE!$U$4:$Z$1003,5,FALSE),IF($C$1074&gt;0,VLOOKUP($C2033,ENTI!$U$4:$Z$1003,5,FALSE),"")))</f>
        <v>#N/A</v>
      </c>
      <c r="H2033" s="42" t="e">
        <f ca="1">IF($C$1076&gt;0,VLOOKUP($C2033,COSTI!$U$4:$Z$1003,6,FALSE),IF($C$1075&gt;0,VLOOKUP($C2033,PATRIMONIALE!$U$4:$Z$1003,6,FALSE),IF($C$1074&gt;0,VLOOKUP($C2033,ENTI!$U$4:$Z$1003,6,FALSE),"")))</f>
        <v>#N/A</v>
      </c>
      <c r="I2033" s="496">
        <v>953</v>
      </c>
      <c r="J2033" s="43" t="e">
        <f ca="1">VLOOKUP(D2033,$F$1081:$I$4183,4,FALSE)+COUNTIF(E$1081:E2032,E2033)</f>
        <v>#N/A</v>
      </c>
      <c r="K2033" s="1"/>
      <c r="L2033" s="39" t="e">
        <f>IF($C$1074&gt;0,VLOOKUP($C2033,ENTI!$U$4:$AD$1003,10,FALSE),"")</f>
        <v>#N/A</v>
      </c>
      <c r="M2033" s="1"/>
      <c r="N2033" s="1"/>
      <c r="O2033" s="1"/>
    </row>
    <row r="2034" spans="1:15" hidden="1">
      <c r="A2034" s="1"/>
      <c r="B2034" s="40" t="e">
        <f t="shared" ca="1" si="226"/>
        <v>#N/A</v>
      </c>
      <c r="C2034" s="496">
        <v>954</v>
      </c>
      <c r="D2034" s="41" t="e">
        <f ca="1">IF($C$1076&gt;0,VLOOKUP($C2034,COSTI!$U$4:$Z$1003,3,FALSE),IF($C$1075&gt;0,VLOOKUP($C2034,PATRIMONIALE!$U$4:$Z$1003,3,FALSE),IF($C$1074&gt;0,VLOOKUP($C2034,ENTI!$U$4:$Z$1003,3,FALSE),"")))</f>
        <v>#N/A</v>
      </c>
      <c r="E2034" s="41" t="str">
        <f t="shared" ca="1" si="224"/>
        <v/>
      </c>
      <c r="F2034" s="41" t="e">
        <f t="shared" ca="1" si="225"/>
        <v>#NUM!</v>
      </c>
      <c r="G2034" s="39" t="e">
        <f ca="1">IF($C$1076&gt;0,VLOOKUP($C2034,COSTI!$U$4:$Z$1003,5,FALSE),IF($C$1075&gt;0,VLOOKUP($C2034,PATRIMONIALE!$U$4:$Z$1003,5,FALSE),IF($C$1074&gt;0,VLOOKUP($C2034,ENTI!$U$4:$Z$1003,5,FALSE),"")))</f>
        <v>#N/A</v>
      </c>
      <c r="H2034" s="42" t="e">
        <f ca="1">IF($C$1076&gt;0,VLOOKUP($C2034,COSTI!$U$4:$Z$1003,6,FALSE),IF($C$1075&gt;0,VLOOKUP($C2034,PATRIMONIALE!$U$4:$Z$1003,6,FALSE),IF($C$1074&gt;0,VLOOKUP($C2034,ENTI!$U$4:$Z$1003,6,FALSE),"")))</f>
        <v>#N/A</v>
      </c>
      <c r="I2034" s="496">
        <v>954</v>
      </c>
      <c r="J2034" s="43" t="e">
        <f ca="1">VLOOKUP(D2034,$F$1081:$I$4183,4,FALSE)+COUNTIF(E$1081:E2033,E2034)</f>
        <v>#N/A</v>
      </c>
      <c r="K2034" s="1"/>
      <c r="L2034" s="39" t="e">
        <f>IF($C$1074&gt;0,VLOOKUP($C2034,ENTI!$U$4:$AD$1003,10,FALSE),"")</f>
        <v>#N/A</v>
      </c>
      <c r="M2034" s="1"/>
      <c r="N2034" s="1"/>
      <c r="O2034" s="1"/>
    </row>
    <row r="2035" spans="1:15" hidden="1">
      <c r="A2035" s="1"/>
      <c r="B2035" s="40" t="e">
        <f t="shared" ca="1" si="226"/>
        <v>#N/A</v>
      </c>
      <c r="C2035" s="496">
        <v>955</v>
      </c>
      <c r="D2035" s="41" t="e">
        <f ca="1">IF($C$1076&gt;0,VLOOKUP($C2035,COSTI!$U$4:$Z$1003,3,FALSE),IF($C$1075&gt;0,VLOOKUP($C2035,PATRIMONIALE!$U$4:$Z$1003,3,FALSE),IF($C$1074&gt;0,VLOOKUP($C2035,ENTI!$U$4:$Z$1003,3,FALSE),"")))</f>
        <v>#N/A</v>
      </c>
      <c r="E2035" s="41" t="str">
        <f t="shared" ref="E2035:E2065" ca="1" si="227">IF(ISERROR(D2035),"",D2035)</f>
        <v/>
      </c>
      <c r="F2035" s="41" t="e">
        <f t="shared" ca="1" si="225"/>
        <v>#NUM!</v>
      </c>
      <c r="G2035" s="39" t="e">
        <f ca="1">IF($C$1076&gt;0,VLOOKUP($C2035,COSTI!$U$4:$Z$1003,5,FALSE),IF($C$1075&gt;0,VLOOKUP($C2035,PATRIMONIALE!$U$4:$Z$1003,5,FALSE),IF($C$1074&gt;0,VLOOKUP($C2035,ENTI!$U$4:$Z$1003,5,FALSE),"")))</f>
        <v>#N/A</v>
      </c>
      <c r="H2035" s="42" t="e">
        <f ca="1">IF($C$1076&gt;0,VLOOKUP($C2035,COSTI!$U$4:$Z$1003,6,FALSE),IF($C$1075&gt;0,VLOOKUP($C2035,PATRIMONIALE!$U$4:$Z$1003,6,FALSE),IF($C$1074&gt;0,VLOOKUP($C2035,ENTI!$U$4:$Z$1003,6,FALSE),"")))</f>
        <v>#N/A</v>
      </c>
      <c r="I2035" s="496">
        <v>955</v>
      </c>
      <c r="J2035" s="43" t="e">
        <f ca="1">VLOOKUP(D2035,$F$1081:$I$4183,4,FALSE)+COUNTIF(E$1081:E2034,E2035)</f>
        <v>#N/A</v>
      </c>
      <c r="K2035" s="1"/>
      <c r="L2035" s="39" t="e">
        <f>IF($C$1074&gt;0,VLOOKUP($C2035,ENTI!$U$4:$AD$1003,10,FALSE),"")</f>
        <v>#N/A</v>
      </c>
      <c r="M2035" s="1"/>
      <c r="N2035" s="1"/>
      <c r="O2035" s="1"/>
    </row>
    <row r="2036" spans="1:15" hidden="1">
      <c r="A2036" s="1"/>
      <c r="B2036" s="40" t="e">
        <f t="shared" ca="1" si="226"/>
        <v>#N/A</v>
      </c>
      <c r="C2036" s="496">
        <v>956</v>
      </c>
      <c r="D2036" s="41" t="e">
        <f ca="1">IF($C$1076&gt;0,VLOOKUP($C2036,COSTI!$U$4:$Z$1003,3,FALSE),IF($C$1075&gt;0,VLOOKUP($C2036,PATRIMONIALE!$U$4:$Z$1003,3,FALSE),IF($C$1074&gt;0,VLOOKUP($C2036,ENTI!$U$4:$Z$1003,3,FALSE),"")))</f>
        <v>#N/A</v>
      </c>
      <c r="E2036" s="41" t="str">
        <f t="shared" ca="1" si="227"/>
        <v/>
      </c>
      <c r="F2036" s="41" t="e">
        <f t="shared" ca="1" si="225"/>
        <v>#NUM!</v>
      </c>
      <c r="G2036" s="39" t="e">
        <f ca="1">IF($C$1076&gt;0,VLOOKUP($C2036,COSTI!$U$4:$Z$1003,5,FALSE),IF($C$1075&gt;0,VLOOKUP($C2036,PATRIMONIALE!$U$4:$Z$1003,5,FALSE),IF($C$1074&gt;0,VLOOKUP($C2036,ENTI!$U$4:$Z$1003,5,FALSE),"")))</f>
        <v>#N/A</v>
      </c>
      <c r="H2036" s="42" t="e">
        <f ca="1">IF($C$1076&gt;0,VLOOKUP($C2036,COSTI!$U$4:$Z$1003,6,FALSE),IF($C$1075&gt;0,VLOOKUP($C2036,PATRIMONIALE!$U$4:$Z$1003,6,FALSE),IF($C$1074&gt;0,VLOOKUP($C2036,ENTI!$U$4:$Z$1003,6,FALSE),"")))</f>
        <v>#N/A</v>
      </c>
      <c r="I2036" s="496">
        <v>956</v>
      </c>
      <c r="J2036" s="43" t="e">
        <f ca="1">VLOOKUP(D2036,$F$1081:$I$4183,4,FALSE)+COUNTIF(E$1081:E2035,E2036)</f>
        <v>#N/A</v>
      </c>
      <c r="K2036" s="1"/>
      <c r="L2036" s="39" t="e">
        <f>IF($C$1074&gt;0,VLOOKUP($C2036,ENTI!$U$4:$AD$1003,10,FALSE),"")</f>
        <v>#N/A</v>
      </c>
      <c r="M2036" s="1"/>
      <c r="N2036" s="1"/>
      <c r="O2036" s="1"/>
    </row>
    <row r="2037" spans="1:15" hidden="1">
      <c r="A2037" s="1"/>
      <c r="B2037" s="40" t="e">
        <f t="shared" ca="1" si="226"/>
        <v>#N/A</v>
      </c>
      <c r="C2037" s="496">
        <v>957</v>
      </c>
      <c r="D2037" s="41" t="e">
        <f ca="1">IF($C$1076&gt;0,VLOOKUP($C2037,COSTI!$U$4:$Z$1003,3,FALSE),IF($C$1075&gt;0,VLOOKUP($C2037,PATRIMONIALE!$U$4:$Z$1003,3,FALSE),IF($C$1074&gt;0,VLOOKUP($C2037,ENTI!$U$4:$Z$1003,3,FALSE),"")))</f>
        <v>#N/A</v>
      </c>
      <c r="E2037" s="41" t="str">
        <f t="shared" ca="1" si="227"/>
        <v/>
      </c>
      <c r="F2037" s="41" t="e">
        <f t="shared" ca="1" si="225"/>
        <v>#NUM!</v>
      </c>
      <c r="G2037" s="39" t="e">
        <f ca="1">IF($C$1076&gt;0,VLOOKUP($C2037,COSTI!$U$4:$Z$1003,5,FALSE),IF($C$1075&gt;0,VLOOKUP($C2037,PATRIMONIALE!$U$4:$Z$1003,5,FALSE),IF($C$1074&gt;0,VLOOKUP($C2037,ENTI!$U$4:$Z$1003,5,FALSE),"")))</f>
        <v>#N/A</v>
      </c>
      <c r="H2037" s="42" t="e">
        <f ca="1">IF($C$1076&gt;0,VLOOKUP($C2037,COSTI!$U$4:$Z$1003,6,FALSE),IF($C$1075&gt;0,VLOOKUP($C2037,PATRIMONIALE!$U$4:$Z$1003,6,FALSE),IF($C$1074&gt;0,VLOOKUP($C2037,ENTI!$U$4:$Z$1003,6,FALSE),"")))</f>
        <v>#N/A</v>
      </c>
      <c r="I2037" s="496">
        <v>957</v>
      </c>
      <c r="J2037" s="43" t="e">
        <f ca="1">VLOOKUP(D2037,$F$1081:$I$4183,4,FALSE)+COUNTIF(E$1081:E2036,E2037)</f>
        <v>#N/A</v>
      </c>
      <c r="K2037" s="1"/>
      <c r="L2037" s="39" t="e">
        <f>IF($C$1074&gt;0,VLOOKUP($C2037,ENTI!$U$4:$AD$1003,10,FALSE),"")</f>
        <v>#N/A</v>
      </c>
      <c r="M2037" s="1"/>
      <c r="N2037" s="1"/>
      <c r="O2037" s="1"/>
    </row>
    <row r="2038" spans="1:15" hidden="1">
      <c r="A2038" s="1"/>
      <c r="B2038" s="40" t="e">
        <f t="shared" ca="1" si="226"/>
        <v>#N/A</v>
      </c>
      <c r="C2038" s="496">
        <v>958</v>
      </c>
      <c r="D2038" s="41" t="e">
        <f ca="1">IF($C$1076&gt;0,VLOOKUP($C2038,COSTI!$U$4:$Z$1003,3,FALSE),IF($C$1075&gt;0,VLOOKUP($C2038,PATRIMONIALE!$U$4:$Z$1003,3,FALSE),IF($C$1074&gt;0,VLOOKUP($C2038,ENTI!$U$4:$Z$1003,3,FALSE),"")))</f>
        <v>#N/A</v>
      </c>
      <c r="E2038" s="41" t="str">
        <f t="shared" ca="1" si="227"/>
        <v/>
      </c>
      <c r="F2038" s="41" t="e">
        <f t="shared" ca="1" si="225"/>
        <v>#NUM!</v>
      </c>
      <c r="G2038" s="39" t="e">
        <f ca="1">IF($C$1076&gt;0,VLOOKUP($C2038,COSTI!$U$4:$Z$1003,5,FALSE),IF($C$1075&gt;0,VLOOKUP($C2038,PATRIMONIALE!$U$4:$Z$1003,5,FALSE),IF($C$1074&gt;0,VLOOKUP($C2038,ENTI!$U$4:$Z$1003,5,FALSE),"")))</f>
        <v>#N/A</v>
      </c>
      <c r="H2038" s="42" t="e">
        <f ca="1">IF($C$1076&gt;0,VLOOKUP($C2038,COSTI!$U$4:$Z$1003,6,FALSE),IF($C$1075&gt;0,VLOOKUP($C2038,PATRIMONIALE!$U$4:$Z$1003,6,FALSE),IF($C$1074&gt;0,VLOOKUP($C2038,ENTI!$U$4:$Z$1003,6,FALSE),"")))</f>
        <v>#N/A</v>
      </c>
      <c r="I2038" s="496">
        <v>958</v>
      </c>
      <c r="J2038" s="43" t="e">
        <f ca="1">VLOOKUP(D2038,$F$1081:$I$4183,4,FALSE)+COUNTIF(E$1081:E2037,E2038)</f>
        <v>#N/A</v>
      </c>
      <c r="K2038" s="1"/>
      <c r="L2038" s="39" t="e">
        <f>IF($C$1074&gt;0,VLOOKUP($C2038,ENTI!$U$4:$AD$1003,10,FALSE),"")</f>
        <v>#N/A</v>
      </c>
      <c r="M2038" s="1"/>
      <c r="N2038" s="1"/>
      <c r="O2038" s="1"/>
    </row>
    <row r="2039" spans="1:15" hidden="1">
      <c r="A2039" s="1"/>
      <c r="B2039" s="40" t="e">
        <f t="shared" ca="1" si="226"/>
        <v>#N/A</v>
      </c>
      <c r="C2039" s="496">
        <v>959</v>
      </c>
      <c r="D2039" s="41" t="e">
        <f ca="1">IF($C$1076&gt;0,VLOOKUP($C2039,COSTI!$U$4:$Z$1003,3,FALSE),IF($C$1075&gt;0,VLOOKUP($C2039,PATRIMONIALE!$U$4:$Z$1003,3,FALSE),IF($C$1074&gt;0,VLOOKUP($C2039,ENTI!$U$4:$Z$1003,3,FALSE),"")))</f>
        <v>#N/A</v>
      </c>
      <c r="E2039" s="41" t="str">
        <f t="shared" ca="1" si="227"/>
        <v/>
      </c>
      <c r="F2039" s="41" t="e">
        <f t="shared" ca="1" si="225"/>
        <v>#NUM!</v>
      </c>
      <c r="G2039" s="39" t="e">
        <f ca="1">IF($C$1076&gt;0,VLOOKUP($C2039,COSTI!$U$4:$Z$1003,5,FALSE),IF($C$1075&gt;0,VLOOKUP($C2039,PATRIMONIALE!$U$4:$Z$1003,5,FALSE),IF($C$1074&gt;0,VLOOKUP($C2039,ENTI!$U$4:$Z$1003,5,FALSE),"")))</f>
        <v>#N/A</v>
      </c>
      <c r="H2039" s="42" t="e">
        <f ca="1">IF($C$1076&gt;0,VLOOKUP($C2039,COSTI!$U$4:$Z$1003,6,FALSE),IF($C$1075&gt;0,VLOOKUP($C2039,PATRIMONIALE!$U$4:$Z$1003,6,FALSE),IF($C$1074&gt;0,VLOOKUP($C2039,ENTI!$U$4:$Z$1003,6,FALSE),"")))</f>
        <v>#N/A</v>
      </c>
      <c r="I2039" s="496">
        <v>959</v>
      </c>
      <c r="J2039" s="43" t="e">
        <f ca="1">VLOOKUP(D2039,$F$1081:$I$4183,4,FALSE)+COUNTIF(E$1081:E2038,E2039)</f>
        <v>#N/A</v>
      </c>
      <c r="K2039" s="1"/>
      <c r="L2039" s="39" t="e">
        <f>IF($C$1074&gt;0,VLOOKUP($C2039,ENTI!$U$4:$AD$1003,10,FALSE),"")</f>
        <v>#N/A</v>
      </c>
      <c r="M2039" s="1"/>
      <c r="N2039" s="1"/>
      <c r="O2039" s="1"/>
    </row>
    <row r="2040" spans="1:15" hidden="1">
      <c r="A2040" s="1"/>
      <c r="B2040" s="40" t="e">
        <f t="shared" ca="1" si="226"/>
        <v>#N/A</v>
      </c>
      <c r="C2040" s="496">
        <v>960</v>
      </c>
      <c r="D2040" s="41" t="e">
        <f ca="1">IF($C$1076&gt;0,VLOOKUP($C2040,COSTI!$U$4:$Z$1003,3,FALSE),IF($C$1075&gt;0,VLOOKUP($C2040,PATRIMONIALE!$U$4:$Z$1003,3,FALSE),IF($C$1074&gt;0,VLOOKUP($C2040,ENTI!$U$4:$Z$1003,3,FALSE),"")))</f>
        <v>#N/A</v>
      </c>
      <c r="E2040" s="41" t="str">
        <f t="shared" ca="1" si="227"/>
        <v/>
      </c>
      <c r="F2040" s="41" t="e">
        <f t="shared" ca="1" si="225"/>
        <v>#NUM!</v>
      </c>
      <c r="G2040" s="39" t="e">
        <f ca="1">IF($C$1076&gt;0,VLOOKUP($C2040,COSTI!$U$4:$Z$1003,5,FALSE),IF($C$1075&gt;0,VLOOKUP($C2040,PATRIMONIALE!$U$4:$Z$1003,5,FALSE),IF($C$1074&gt;0,VLOOKUP($C2040,ENTI!$U$4:$Z$1003,5,FALSE),"")))</f>
        <v>#N/A</v>
      </c>
      <c r="H2040" s="42" t="e">
        <f ca="1">IF($C$1076&gt;0,VLOOKUP($C2040,COSTI!$U$4:$Z$1003,6,FALSE),IF($C$1075&gt;0,VLOOKUP($C2040,PATRIMONIALE!$U$4:$Z$1003,6,FALSE),IF($C$1074&gt;0,VLOOKUP($C2040,ENTI!$U$4:$Z$1003,6,FALSE),"")))</f>
        <v>#N/A</v>
      </c>
      <c r="I2040" s="496">
        <v>960</v>
      </c>
      <c r="J2040" s="43" t="e">
        <f ca="1">VLOOKUP(D2040,$F$1081:$I$4183,4,FALSE)+COUNTIF(E$1081:E2039,E2040)</f>
        <v>#N/A</v>
      </c>
      <c r="K2040" s="1"/>
      <c r="L2040" s="39" t="e">
        <f>IF($C$1074&gt;0,VLOOKUP($C2040,ENTI!$U$4:$AD$1003,10,FALSE),"")</f>
        <v>#N/A</v>
      </c>
      <c r="M2040" s="1"/>
      <c r="N2040" s="1"/>
      <c r="O2040" s="1"/>
    </row>
    <row r="2041" spans="1:15" hidden="1">
      <c r="A2041" s="1"/>
      <c r="B2041" s="40" t="e">
        <f t="shared" ca="1" si="226"/>
        <v>#N/A</v>
      </c>
      <c r="C2041" s="496">
        <v>961</v>
      </c>
      <c r="D2041" s="41" t="e">
        <f ca="1">IF($C$1076&gt;0,VLOOKUP($C2041,COSTI!$U$4:$Z$1003,3,FALSE),IF($C$1075&gt;0,VLOOKUP($C2041,PATRIMONIALE!$U$4:$Z$1003,3,FALSE),IF($C$1074&gt;0,VLOOKUP($C2041,ENTI!$U$4:$Z$1003,3,FALSE),"")))</f>
        <v>#N/A</v>
      </c>
      <c r="E2041" s="41" t="str">
        <f t="shared" ca="1" si="227"/>
        <v/>
      </c>
      <c r="F2041" s="41" t="e">
        <f t="shared" ref="F2041:F2066" ca="1" si="228">SMALL(E$1081:E$4183,C2041)</f>
        <v>#NUM!</v>
      </c>
      <c r="G2041" s="39" t="e">
        <f ca="1">IF($C$1076&gt;0,VLOOKUP($C2041,COSTI!$U$4:$Z$1003,5,FALSE),IF($C$1075&gt;0,VLOOKUP($C2041,PATRIMONIALE!$U$4:$Z$1003,5,FALSE),IF($C$1074&gt;0,VLOOKUP($C2041,ENTI!$U$4:$Z$1003,5,FALSE),"")))</f>
        <v>#N/A</v>
      </c>
      <c r="H2041" s="42" t="e">
        <f ca="1">IF($C$1076&gt;0,VLOOKUP($C2041,COSTI!$U$4:$Z$1003,6,FALSE),IF($C$1075&gt;0,VLOOKUP($C2041,PATRIMONIALE!$U$4:$Z$1003,6,FALSE),IF($C$1074&gt;0,VLOOKUP($C2041,ENTI!$U$4:$Z$1003,6,FALSE),"")))</f>
        <v>#N/A</v>
      </c>
      <c r="I2041" s="496">
        <v>961</v>
      </c>
      <c r="J2041" s="43" t="e">
        <f ca="1">VLOOKUP(D2041,$F$1081:$I$4183,4,FALSE)+COUNTIF(E$1081:E2040,E2041)</f>
        <v>#N/A</v>
      </c>
      <c r="K2041" s="1"/>
      <c r="L2041" s="39" t="e">
        <f>IF($C$1074&gt;0,VLOOKUP($C2041,ENTI!$U$4:$AD$1003,10,FALSE),"")</f>
        <v>#N/A</v>
      </c>
      <c r="M2041" s="1"/>
      <c r="N2041" s="1"/>
      <c r="O2041" s="1"/>
    </row>
    <row r="2042" spans="1:15" hidden="1">
      <c r="A2042" s="1"/>
      <c r="B2042" s="40" t="e">
        <f t="shared" ca="1" si="226"/>
        <v>#N/A</v>
      </c>
      <c r="C2042" s="496">
        <v>962</v>
      </c>
      <c r="D2042" s="41" t="e">
        <f ca="1">IF($C$1076&gt;0,VLOOKUP($C2042,COSTI!$U$4:$Z$1003,3,FALSE),IF($C$1075&gt;0,VLOOKUP($C2042,PATRIMONIALE!$U$4:$Z$1003,3,FALSE),IF($C$1074&gt;0,VLOOKUP($C2042,ENTI!$U$4:$Z$1003,3,FALSE),"")))</f>
        <v>#N/A</v>
      </c>
      <c r="E2042" s="41" t="str">
        <f t="shared" ca="1" si="227"/>
        <v/>
      </c>
      <c r="F2042" s="41" t="e">
        <f t="shared" ca="1" si="228"/>
        <v>#NUM!</v>
      </c>
      <c r="G2042" s="39" t="e">
        <f ca="1">IF($C$1076&gt;0,VLOOKUP($C2042,COSTI!$U$4:$Z$1003,5,FALSE),IF($C$1075&gt;0,VLOOKUP($C2042,PATRIMONIALE!$U$4:$Z$1003,5,FALSE),IF($C$1074&gt;0,VLOOKUP($C2042,ENTI!$U$4:$Z$1003,5,FALSE),"")))</f>
        <v>#N/A</v>
      </c>
      <c r="H2042" s="42" t="e">
        <f ca="1">IF($C$1076&gt;0,VLOOKUP($C2042,COSTI!$U$4:$Z$1003,6,FALSE),IF($C$1075&gt;0,VLOOKUP($C2042,PATRIMONIALE!$U$4:$Z$1003,6,FALSE),IF($C$1074&gt;0,VLOOKUP($C2042,ENTI!$U$4:$Z$1003,6,FALSE),"")))</f>
        <v>#N/A</v>
      </c>
      <c r="I2042" s="496">
        <v>962</v>
      </c>
      <c r="J2042" s="43" t="e">
        <f ca="1">VLOOKUP(D2042,$F$1081:$I$4183,4,FALSE)+COUNTIF(E$1081:E2041,E2042)</f>
        <v>#N/A</v>
      </c>
      <c r="K2042" s="1"/>
      <c r="L2042" s="39" t="e">
        <f>IF($C$1074&gt;0,VLOOKUP($C2042,ENTI!$U$4:$AD$1003,10,FALSE),"")</f>
        <v>#N/A</v>
      </c>
      <c r="M2042" s="1"/>
      <c r="N2042" s="1"/>
      <c r="O2042" s="1"/>
    </row>
    <row r="2043" spans="1:15" hidden="1">
      <c r="A2043" s="1"/>
      <c r="B2043" s="40" t="e">
        <f t="shared" ca="1" si="226"/>
        <v>#N/A</v>
      </c>
      <c r="C2043" s="496">
        <v>963</v>
      </c>
      <c r="D2043" s="41" t="e">
        <f ca="1">IF($C$1076&gt;0,VLOOKUP($C2043,COSTI!$U$4:$Z$1003,3,FALSE),IF($C$1075&gt;0,VLOOKUP($C2043,PATRIMONIALE!$U$4:$Z$1003,3,FALSE),IF($C$1074&gt;0,VLOOKUP($C2043,ENTI!$U$4:$Z$1003,3,FALSE),"")))</f>
        <v>#N/A</v>
      </c>
      <c r="E2043" s="41" t="str">
        <f t="shared" ca="1" si="227"/>
        <v/>
      </c>
      <c r="F2043" s="41" t="e">
        <f t="shared" ca="1" si="228"/>
        <v>#NUM!</v>
      </c>
      <c r="G2043" s="39" t="e">
        <f ca="1">IF($C$1076&gt;0,VLOOKUP($C2043,COSTI!$U$4:$Z$1003,5,FALSE),IF($C$1075&gt;0,VLOOKUP($C2043,PATRIMONIALE!$U$4:$Z$1003,5,FALSE),IF($C$1074&gt;0,VLOOKUP($C2043,ENTI!$U$4:$Z$1003,5,FALSE),"")))</f>
        <v>#N/A</v>
      </c>
      <c r="H2043" s="42" t="e">
        <f ca="1">IF($C$1076&gt;0,VLOOKUP($C2043,COSTI!$U$4:$Z$1003,6,FALSE),IF($C$1075&gt;0,VLOOKUP($C2043,PATRIMONIALE!$U$4:$Z$1003,6,FALSE),IF($C$1074&gt;0,VLOOKUP($C2043,ENTI!$U$4:$Z$1003,6,FALSE),"")))</f>
        <v>#N/A</v>
      </c>
      <c r="I2043" s="496">
        <v>963</v>
      </c>
      <c r="J2043" s="43" t="e">
        <f ca="1">VLOOKUP(D2043,$F$1081:$I$4183,4,FALSE)+COUNTIF(E$1081:E2042,E2043)</f>
        <v>#N/A</v>
      </c>
      <c r="K2043" s="1"/>
      <c r="L2043" s="39" t="e">
        <f>IF($C$1074&gt;0,VLOOKUP($C2043,ENTI!$U$4:$AD$1003,10,FALSE),"")</f>
        <v>#N/A</v>
      </c>
      <c r="M2043" s="1"/>
      <c r="N2043" s="1"/>
      <c r="O2043" s="1"/>
    </row>
    <row r="2044" spans="1:15" hidden="1">
      <c r="A2044" s="1"/>
      <c r="B2044" s="40" t="e">
        <f t="shared" ca="1" si="226"/>
        <v>#N/A</v>
      </c>
      <c r="C2044" s="496">
        <v>964</v>
      </c>
      <c r="D2044" s="41" t="e">
        <f ca="1">IF($C$1076&gt;0,VLOOKUP($C2044,COSTI!$U$4:$Z$1003,3,FALSE),IF($C$1075&gt;0,VLOOKUP($C2044,PATRIMONIALE!$U$4:$Z$1003,3,FALSE),IF($C$1074&gt;0,VLOOKUP($C2044,ENTI!$U$4:$Z$1003,3,FALSE),"")))</f>
        <v>#N/A</v>
      </c>
      <c r="E2044" s="41" t="str">
        <f t="shared" ca="1" si="227"/>
        <v/>
      </c>
      <c r="F2044" s="41" t="e">
        <f t="shared" ca="1" si="228"/>
        <v>#NUM!</v>
      </c>
      <c r="G2044" s="39" t="e">
        <f ca="1">IF($C$1076&gt;0,VLOOKUP($C2044,COSTI!$U$4:$Z$1003,5,FALSE),IF($C$1075&gt;0,VLOOKUP($C2044,PATRIMONIALE!$U$4:$Z$1003,5,FALSE),IF($C$1074&gt;0,VLOOKUP($C2044,ENTI!$U$4:$Z$1003,5,FALSE),"")))</f>
        <v>#N/A</v>
      </c>
      <c r="H2044" s="42" t="e">
        <f ca="1">IF($C$1076&gt;0,VLOOKUP($C2044,COSTI!$U$4:$Z$1003,6,FALSE),IF($C$1075&gt;0,VLOOKUP($C2044,PATRIMONIALE!$U$4:$Z$1003,6,FALSE),IF($C$1074&gt;0,VLOOKUP($C2044,ENTI!$U$4:$Z$1003,6,FALSE),"")))</f>
        <v>#N/A</v>
      </c>
      <c r="I2044" s="496">
        <v>964</v>
      </c>
      <c r="J2044" s="43" t="e">
        <f ca="1">VLOOKUP(D2044,$F$1081:$I$4183,4,FALSE)+COUNTIF(E$1081:E2043,E2044)</f>
        <v>#N/A</v>
      </c>
      <c r="K2044" s="1"/>
      <c r="L2044" s="39" t="e">
        <f>IF($C$1074&gt;0,VLOOKUP($C2044,ENTI!$U$4:$AD$1003,10,FALSE),"")</f>
        <v>#N/A</v>
      </c>
      <c r="M2044" s="1"/>
      <c r="N2044" s="1"/>
      <c r="O2044" s="1"/>
    </row>
    <row r="2045" spans="1:15" hidden="1">
      <c r="A2045" s="1"/>
      <c r="B2045" s="40" t="e">
        <f t="shared" ca="1" si="226"/>
        <v>#N/A</v>
      </c>
      <c r="C2045" s="496">
        <v>965</v>
      </c>
      <c r="D2045" s="41" t="e">
        <f ca="1">IF($C$1076&gt;0,VLOOKUP($C2045,COSTI!$U$4:$Z$1003,3,FALSE),IF($C$1075&gt;0,VLOOKUP($C2045,PATRIMONIALE!$U$4:$Z$1003,3,FALSE),IF($C$1074&gt;0,VLOOKUP($C2045,ENTI!$U$4:$Z$1003,3,FALSE),"")))</f>
        <v>#N/A</v>
      </c>
      <c r="E2045" s="41" t="str">
        <f t="shared" ca="1" si="227"/>
        <v/>
      </c>
      <c r="F2045" s="41" t="e">
        <f t="shared" ca="1" si="228"/>
        <v>#NUM!</v>
      </c>
      <c r="G2045" s="39" t="e">
        <f ca="1">IF($C$1076&gt;0,VLOOKUP($C2045,COSTI!$U$4:$Z$1003,5,FALSE),IF($C$1075&gt;0,VLOOKUP($C2045,PATRIMONIALE!$U$4:$Z$1003,5,FALSE),IF($C$1074&gt;0,VLOOKUP($C2045,ENTI!$U$4:$Z$1003,5,FALSE),"")))</f>
        <v>#N/A</v>
      </c>
      <c r="H2045" s="42" t="e">
        <f ca="1">IF($C$1076&gt;0,VLOOKUP($C2045,COSTI!$U$4:$Z$1003,6,FALSE),IF($C$1075&gt;0,VLOOKUP($C2045,PATRIMONIALE!$U$4:$Z$1003,6,FALSE),IF($C$1074&gt;0,VLOOKUP($C2045,ENTI!$U$4:$Z$1003,6,FALSE),"")))</f>
        <v>#N/A</v>
      </c>
      <c r="I2045" s="496">
        <v>965</v>
      </c>
      <c r="J2045" s="43" t="e">
        <f ca="1">VLOOKUP(D2045,$F$1081:$I$4183,4,FALSE)+COUNTIF(E$1081:E2044,E2045)</f>
        <v>#N/A</v>
      </c>
      <c r="K2045" s="1"/>
      <c r="L2045" s="39" t="e">
        <f>IF($C$1074&gt;0,VLOOKUP($C2045,ENTI!$U$4:$AD$1003,10,FALSE),"")</f>
        <v>#N/A</v>
      </c>
      <c r="M2045" s="1"/>
      <c r="N2045" s="1"/>
      <c r="O2045" s="1"/>
    </row>
    <row r="2046" spans="1:15" hidden="1">
      <c r="A2046" s="1"/>
      <c r="B2046" s="40" t="e">
        <f t="shared" ca="1" si="226"/>
        <v>#N/A</v>
      </c>
      <c r="C2046" s="496">
        <v>966</v>
      </c>
      <c r="D2046" s="41" t="e">
        <f ca="1">IF($C$1076&gt;0,VLOOKUP($C2046,COSTI!$U$4:$Z$1003,3,FALSE),IF($C$1075&gt;0,VLOOKUP($C2046,PATRIMONIALE!$U$4:$Z$1003,3,FALSE),IF($C$1074&gt;0,VLOOKUP($C2046,ENTI!$U$4:$Z$1003,3,FALSE),"")))</f>
        <v>#N/A</v>
      </c>
      <c r="E2046" s="41" t="str">
        <f t="shared" ca="1" si="227"/>
        <v/>
      </c>
      <c r="F2046" s="41" t="e">
        <f t="shared" ca="1" si="228"/>
        <v>#NUM!</v>
      </c>
      <c r="G2046" s="39" t="e">
        <f ca="1">IF($C$1076&gt;0,VLOOKUP($C2046,COSTI!$U$4:$Z$1003,5,FALSE),IF($C$1075&gt;0,VLOOKUP($C2046,PATRIMONIALE!$U$4:$Z$1003,5,FALSE),IF($C$1074&gt;0,VLOOKUP($C2046,ENTI!$U$4:$Z$1003,5,FALSE),"")))</f>
        <v>#N/A</v>
      </c>
      <c r="H2046" s="42" t="e">
        <f ca="1">IF($C$1076&gt;0,VLOOKUP($C2046,COSTI!$U$4:$Z$1003,6,FALSE),IF($C$1075&gt;0,VLOOKUP($C2046,PATRIMONIALE!$U$4:$Z$1003,6,FALSE),IF($C$1074&gt;0,VLOOKUP($C2046,ENTI!$U$4:$Z$1003,6,FALSE),"")))</f>
        <v>#N/A</v>
      </c>
      <c r="I2046" s="496">
        <v>966</v>
      </c>
      <c r="J2046" s="43" t="e">
        <f ca="1">VLOOKUP(D2046,$F$1081:$I$4183,4,FALSE)+COUNTIF(E$1081:E2045,E2046)</f>
        <v>#N/A</v>
      </c>
      <c r="K2046" s="1"/>
      <c r="L2046" s="39" t="e">
        <f>IF($C$1074&gt;0,VLOOKUP($C2046,ENTI!$U$4:$AD$1003,10,FALSE),"")</f>
        <v>#N/A</v>
      </c>
      <c r="M2046" s="1"/>
      <c r="N2046" s="1"/>
      <c r="O2046" s="1"/>
    </row>
    <row r="2047" spans="1:15" hidden="1">
      <c r="A2047" s="1"/>
      <c r="B2047" s="40" t="e">
        <f t="shared" ca="1" si="226"/>
        <v>#N/A</v>
      </c>
      <c r="C2047" s="496">
        <v>967</v>
      </c>
      <c r="D2047" s="41" t="e">
        <f ca="1">IF($C$1076&gt;0,VLOOKUP($C2047,COSTI!$U$4:$Z$1003,3,FALSE),IF($C$1075&gt;0,VLOOKUP($C2047,PATRIMONIALE!$U$4:$Z$1003,3,FALSE),IF($C$1074&gt;0,VLOOKUP($C2047,ENTI!$U$4:$Z$1003,3,FALSE),"")))</f>
        <v>#N/A</v>
      </c>
      <c r="E2047" s="41" t="str">
        <f t="shared" ca="1" si="227"/>
        <v/>
      </c>
      <c r="F2047" s="41" t="e">
        <f t="shared" ca="1" si="228"/>
        <v>#NUM!</v>
      </c>
      <c r="G2047" s="39" t="e">
        <f ca="1">IF($C$1076&gt;0,VLOOKUP($C2047,COSTI!$U$4:$Z$1003,5,FALSE),IF($C$1075&gt;0,VLOOKUP($C2047,PATRIMONIALE!$U$4:$Z$1003,5,FALSE),IF($C$1074&gt;0,VLOOKUP($C2047,ENTI!$U$4:$Z$1003,5,FALSE),"")))</f>
        <v>#N/A</v>
      </c>
      <c r="H2047" s="42" t="e">
        <f ca="1">IF($C$1076&gt;0,VLOOKUP($C2047,COSTI!$U$4:$Z$1003,6,FALSE),IF($C$1075&gt;0,VLOOKUP($C2047,PATRIMONIALE!$U$4:$Z$1003,6,FALSE),IF($C$1074&gt;0,VLOOKUP($C2047,ENTI!$U$4:$Z$1003,6,FALSE),"")))</f>
        <v>#N/A</v>
      </c>
      <c r="I2047" s="496">
        <v>967</v>
      </c>
      <c r="J2047" s="43" t="e">
        <f ca="1">VLOOKUP(D2047,$F$1081:$I$4183,4,FALSE)+COUNTIF(E$1081:E2046,E2047)</f>
        <v>#N/A</v>
      </c>
      <c r="K2047" s="1"/>
      <c r="L2047" s="39" t="e">
        <f>IF($C$1074&gt;0,VLOOKUP($C2047,ENTI!$U$4:$AD$1003,10,FALSE),"")</f>
        <v>#N/A</v>
      </c>
      <c r="M2047" s="1"/>
      <c r="N2047" s="1"/>
      <c r="O2047" s="1"/>
    </row>
    <row r="2048" spans="1:15" hidden="1">
      <c r="A2048" s="1"/>
      <c r="B2048" s="40" t="e">
        <f t="shared" ca="1" si="226"/>
        <v>#N/A</v>
      </c>
      <c r="C2048" s="496">
        <v>968</v>
      </c>
      <c r="D2048" s="41" t="e">
        <f ca="1">IF($C$1076&gt;0,VLOOKUP($C2048,COSTI!$U$4:$Z$1003,3,FALSE),IF($C$1075&gt;0,VLOOKUP($C2048,PATRIMONIALE!$U$4:$Z$1003,3,FALSE),IF($C$1074&gt;0,VLOOKUP($C2048,ENTI!$U$4:$Z$1003,3,FALSE),"")))</f>
        <v>#N/A</v>
      </c>
      <c r="E2048" s="41" t="str">
        <f t="shared" ca="1" si="227"/>
        <v/>
      </c>
      <c r="F2048" s="41" t="e">
        <f t="shared" ca="1" si="228"/>
        <v>#NUM!</v>
      </c>
      <c r="G2048" s="39" t="e">
        <f ca="1">IF($C$1076&gt;0,VLOOKUP($C2048,COSTI!$U$4:$Z$1003,5,FALSE),IF($C$1075&gt;0,VLOOKUP($C2048,PATRIMONIALE!$U$4:$Z$1003,5,FALSE),IF($C$1074&gt;0,VLOOKUP($C2048,ENTI!$U$4:$Z$1003,5,FALSE),"")))</f>
        <v>#N/A</v>
      </c>
      <c r="H2048" s="42" t="e">
        <f ca="1">IF($C$1076&gt;0,VLOOKUP($C2048,COSTI!$U$4:$Z$1003,6,FALSE),IF($C$1075&gt;0,VLOOKUP($C2048,PATRIMONIALE!$U$4:$Z$1003,6,FALSE),IF($C$1074&gt;0,VLOOKUP($C2048,ENTI!$U$4:$Z$1003,6,FALSE),"")))</f>
        <v>#N/A</v>
      </c>
      <c r="I2048" s="496">
        <v>968</v>
      </c>
      <c r="J2048" s="43" t="e">
        <f ca="1">VLOOKUP(D2048,$F$1081:$I$4183,4,FALSE)+COUNTIF(E$1081:E2047,E2048)</f>
        <v>#N/A</v>
      </c>
      <c r="K2048" s="1"/>
      <c r="L2048" s="39" t="e">
        <f>IF($C$1074&gt;0,VLOOKUP($C2048,ENTI!$U$4:$AD$1003,10,FALSE),"")</f>
        <v>#N/A</v>
      </c>
      <c r="M2048" s="1"/>
      <c r="N2048" s="1"/>
      <c r="O2048" s="1"/>
    </row>
    <row r="2049" spans="1:15" hidden="1">
      <c r="A2049" s="1"/>
      <c r="B2049" s="40" t="e">
        <f t="shared" ca="1" si="226"/>
        <v>#N/A</v>
      </c>
      <c r="C2049" s="496">
        <v>969</v>
      </c>
      <c r="D2049" s="41" t="e">
        <f ca="1">IF($C$1076&gt;0,VLOOKUP($C2049,COSTI!$U$4:$Z$1003,3,FALSE),IF($C$1075&gt;0,VLOOKUP($C2049,PATRIMONIALE!$U$4:$Z$1003,3,FALSE),IF($C$1074&gt;0,VLOOKUP($C2049,ENTI!$U$4:$Z$1003,3,FALSE),"")))</f>
        <v>#N/A</v>
      </c>
      <c r="E2049" s="41" t="str">
        <f t="shared" ca="1" si="227"/>
        <v/>
      </c>
      <c r="F2049" s="41" t="e">
        <f t="shared" ca="1" si="228"/>
        <v>#NUM!</v>
      </c>
      <c r="G2049" s="39" t="e">
        <f ca="1">IF($C$1076&gt;0,VLOOKUP($C2049,COSTI!$U$4:$Z$1003,5,FALSE),IF($C$1075&gt;0,VLOOKUP($C2049,PATRIMONIALE!$U$4:$Z$1003,5,FALSE),IF($C$1074&gt;0,VLOOKUP($C2049,ENTI!$U$4:$Z$1003,5,FALSE),"")))</f>
        <v>#N/A</v>
      </c>
      <c r="H2049" s="42" t="e">
        <f ca="1">IF($C$1076&gt;0,VLOOKUP($C2049,COSTI!$U$4:$Z$1003,6,FALSE),IF($C$1075&gt;0,VLOOKUP($C2049,PATRIMONIALE!$U$4:$Z$1003,6,FALSE),IF($C$1074&gt;0,VLOOKUP($C2049,ENTI!$U$4:$Z$1003,6,FALSE),"")))</f>
        <v>#N/A</v>
      </c>
      <c r="I2049" s="496">
        <v>969</v>
      </c>
      <c r="J2049" s="43" t="e">
        <f ca="1">VLOOKUP(D2049,$F$1081:$I$4183,4,FALSE)+COUNTIF(E$1081:E2048,E2049)</f>
        <v>#N/A</v>
      </c>
      <c r="K2049" s="1"/>
      <c r="L2049" s="39" t="e">
        <f>IF($C$1074&gt;0,VLOOKUP($C2049,ENTI!$U$4:$AD$1003,10,FALSE),"")</f>
        <v>#N/A</v>
      </c>
      <c r="M2049" s="1"/>
      <c r="N2049" s="1"/>
      <c r="O2049" s="1"/>
    </row>
    <row r="2050" spans="1:15" hidden="1">
      <c r="A2050" s="1"/>
      <c r="B2050" s="40" t="e">
        <f t="shared" ca="1" si="226"/>
        <v>#N/A</v>
      </c>
      <c r="C2050" s="496">
        <v>970</v>
      </c>
      <c r="D2050" s="41" t="e">
        <f ca="1">IF($C$1076&gt;0,VLOOKUP($C2050,COSTI!$U$4:$Z$1003,3,FALSE),IF($C$1075&gt;0,VLOOKUP($C2050,PATRIMONIALE!$U$4:$Z$1003,3,FALSE),IF($C$1074&gt;0,VLOOKUP($C2050,ENTI!$U$4:$Z$1003,3,FALSE),"")))</f>
        <v>#N/A</v>
      </c>
      <c r="E2050" s="41" t="str">
        <f t="shared" ca="1" si="227"/>
        <v/>
      </c>
      <c r="F2050" s="41" t="e">
        <f t="shared" ca="1" si="228"/>
        <v>#NUM!</v>
      </c>
      <c r="G2050" s="39" t="e">
        <f ca="1">IF($C$1076&gt;0,VLOOKUP($C2050,COSTI!$U$4:$Z$1003,5,FALSE),IF($C$1075&gt;0,VLOOKUP($C2050,PATRIMONIALE!$U$4:$Z$1003,5,FALSE),IF($C$1074&gt;0,VLOOKUP($C2050,ENTI!$U$4:$Z$1003,5,FALSE),"")))</f>
        <v>#N/A</v>
      </c>
      <c r="H2050" s="42" t="e">
        <f ca="1">IF($C$1076&gt;0,VLOOKUP($C2050,COSTI!$U$4:$Z$1003,6,FALSE),IF($C$1075&gt;0,VLOOKUP($C2050,PATRIMONIALE!$U$4:$Z$1003,6,FALSE),IF($C$1074&gt;0,VLOOKUP($C2050,ENTI!$U$4:$Z$1003,6,FALSE),"")))</f>
        <v>#N/A</v>
      </c>
      <c r="I2050" s="496">
        <v>970</v>
      </c>
      <c r="J2050" s="43" t="e">
        <f ca="1">VLOOKUP(D2050,$F$1081:$I$4183,4,FALSE)+COUNTIF(E$1081:E2049,E2050)</f>
        <v>#N/A</v>
      </c>
      <c r="K2050" s="1"/>
      <c r="L2050" s="39" t="e">
        <f>IF($C$1074&gt;0,VLOOKUP($C2050,ENTI!$U$4:$AD$1003,10,FALSE),"")</f>
        <v>#N/A</v>
      </c>
      <c r="M2050" s="1"/>
      <c r="N2050" s="1"/>
      <c r="O2050" s="1"/>
    </row>
    <row r="2051" spans="1:15" hidden="1">
      <c r="A2051" s="1"/>
      <c r="B2051" s="40" t="e">
        <f t="shared" ca="1" si="226"/>
        <v>#N/A</v>
      </c>
      <c r="C2051" s="496">
        <v>971</v>
      </c>
      <c r="D2051" s="41" t="e">
        <f ca="1">IF($C$1076&gt;0,VLOOKUP($C2051,COSTI!$U$4:$Z$1003,3,FALSE),IF($C$1075&gt;0,VLOOKUP($C2051,PATRIMONIALE!$U$4:$Z$1003,3,FALSE),IF($C$1074&gt;0,VLOOKUP($C2051,ENTI!$U$4:$Z$1003,3,FALSE),"")))</f>
        <v>#N/A</v>
      </c>
      <c r="E2051" s="41" t="str">
        <f t="shared" ca="1" si="227"/>
        <v/>
      </c>
      <c r="F2051" s="41" t="e">
        <f t="shared" ca="1" si="228"/>
        <v>#NUM!</v>
      </c>
      <c r="G2051" s="39" t="e">
        <f ca="1">IF($C$1076&gt;0,VLOOKUP($C2051,COSTI!$U$4:$Z$1003,5,FALSE),IF($C$1075&gt;0,VLOOKUP($C2051,PATRIMONIALE!$U$4:$Z$1003,5,FALSE),IF($C$1074&gt;0,VLOOKUP($C2051,ENTI!$U$4:$Z$1003,5,FALSE),"")))</f>
        <v>#N/A</v>
      </c>
      <c r="H2051" s="42" t="e">
        <f ca="1">IF($C$1076&gt;0,VLOOKUP($C2051,COSTI!$U$4:$Z$1003,6,FALSE),IF($C$1075&gt;0,VLOOKUP($C2051,PATRIMONIALE!$U$4:$Z$1003,6,FALSE),IF($C$1074&gt;0,VLOOKUP($C2051,ENTI!$U$4:$Z$1003,6,FALSE),"")))</f>
        <v>#N/A</v>
      </c>
      <c r="I2051" s="496">
        <v>971</v>
      </c>
      <c r="J2051" s="43" t="e">
        <f ca="1">VLOOKUP(D2051,$F$1081:$I$4183,4,FALSE)+COUNTIF(E$1081:E2050,E2051)</f>
        <v>#N/A</v>
      </c>
      <c r="K2051" s="1"/>
      <c r="L2051" s="39" t="e">
        <f>IF($C$1074&gt;0,VLOOKUP($C2051,ENTI!$U$4:$AD$1003,10,FALSE),"")</f>
        <v>#N/A</v>
      </c>
      <c r="M2051" s="1"/>
      <c r="N2051" s="1"/>
      <c r="O2051" s="1"/>
    </row>
    <row r="2052" spans="1:15" hidden="1">
      <c r="A2052" s="1"/>
      <c r="B2052" s="40" t="e">
        <f t="shared" ca="1" si="226"/>
        <v>#N/A</v>
      </c>
      <c r="C2052" s="496">
        <v>972</v>
      </c>
      <c r="D2052" s="41" t="e">
        <f ca="1">IF($C$1076&gt;0,VLOOKUP($C2052,COSTI!$U$4:$Z$1003,3,FALSE),IF($C$1075&gt;0,VLOOKUP($C2052,PATRIMONIALE!$U$4:$Z$1003,3,FALSE),IF($C$1074&gt;0,VLOOKUP($C2052,ENTI!$U$4:$Z$1003,3,FALSE),"")))</f>
        <v>#N/A</v>
      </c>
      <c r="E2052" s="41" t="str">
        <f t="shared" ca="1" si="227"/>
        <v/>
      </c>
      <c r="F2052" s="41" t="e">
        <f t="shared" ca="1" si="228"/>
        <v>#NUM!</v>
      </c>
      <c r="G2052" s="39" t="e">
        <f ca="1">IF($C$1076&gt;0,VLOOKUP($C2052,COSTI!$U$4:$Z$1003,5,FALSE),IF($C$1075&gt;0,VLOOKUP($C2052,PATRIMONIALE!$U$4:$Z$1003,5,FALSE),IF($C$1074&gt;0,VLOOKUP($C2052,ENTI!$U$4:$Z$1003,5,FALSE),"")))</f>
        <v>#N/A</v>
      </c>
      <c r="H2052" s="42" t="e">
        <f ca="1">IF($C$1076&gt;0,VLOOKUP($C2052,COSTI!$U$4:$Z$1003,6,FALSE),IF($C$1075&gt;0,VLOOKUP($C2052,PATRIMONIALE!$U$4:$Z$1003,6,FALSE),IF($C$1074&gt;0,VLOOKUP($C2052,ENTI!$U$4:$Z$1003,6,FALSE),"")))</f>
        <v>#N/A</v>
      </c>
      <c r="I2052" s="496">
        <v>972</v>
      </c>
      <c r="J2052" s="43" t="e">
        <f ca="1">VLOOKUP(D2052,$F$1081:$I$4183,4,FALSE)+COUNTIF(E$1081:E2051,E2052)</f>
        <v>#N/A</v>
      </c>
      <c r="K2052" s="1"/>
      <c r="L2052" s="39" t="e">
        <f>IF($C$1074&gt;0,VLOOKUP($C2052,ENTI!$U$4:$AD$1003,10,FALSE),"")</f>
        <v>#N/A</v>
      </c>
      <c r="M2052" s="1"/>
      <c r="N2052" s="1"/>
      <c r="O2052" s="1"/>
    </row>
    <row r="2053" spans="1:15" hidden="1">
      <c r="A2053" s="1"/>
      <c r="B2053" s="40" t="e">
        <f t="shared" ca="1" si="226"/>
        <v>#N/A</v>
      </c>
      <c r="C2053" s="496">
        <v>973</v>
      </c>
      <c r="D2053" s="41" t="e">
        <f ca="1">IF($C$1076&gt;0,VLOOKUP($C2053,COSTI!$U$4:$Z$1003,3,FALSE),IF($C$1075&gt;0,VLOOKUP($C2053,PATRIMONIALE!$U$4:$Z$1003,3,FALSE),IF($C$1074&gt;0,VLOOKUP($C2053,ENTI!$U$4:$Z$1003,3,FALSE),"")))</f>
        <v>#N/A</v>
      </c>
      <c r="E2053" s="41" t="str">
        <f t="shared" ca="1" si="227"/>
        <v/>
      </c>
      <c r="F2053" s="41" t="e">
        <f t="shared" ca="1" si="228"/>
        <v>#NUM!</v>
      </c>
      <c r="G2053" s="39" t="e">
        <f ca="1">IF($C$1076&gt;0,VLOOKUP($C2053,COSTI!$U$4:$Z$1003,5,FALSE),IF($C$1075&gt;0,VLOOKUP($C2053,PATRIMONIALE!$U$4:$Z$1003,5,FALSE),IF($C$1074&gt;0,VLOOKUP($C2053,ENTI!$U$4:$Z$1003,5,FALSE),"")))</f>
        <v>#N/A</v>
      </c>
      <c r="H2053" s="42" t="e">
        <f ca="1">IF($C$1076&gt;0,VLOOKUP($C2053,COSTI!$U$4:$Z$1003,6,FALSE),IF($C$1075&gt;0,VLOOKUP($C2053,PATRIMONIALE!$U$4:$Z$1003,6,FALSE),IF($C$1074&gt;0,VLOOKUP($C2053,ENTI!$U$4:$Z$1003,6,FALSE),"")))</f>
        <v>#N/A</v>
      </c>
      <c r="I2053" s="496">
        <v>973</v>
      </c>
      <c r="J2053" s="43" t="e">
        <f ca="1">VLOOKUP(D2053,$F$1081:$I$4183,4,FALSE)+COUNTIF(E$1081:E2052,E2053)</f>
        <v>#N/A</v>
      </c>
      <c r="K2053" s="1"/>
      <c r="L2053" s="39" t="e">
        <f>IF($C$1074&gt;0,VLOOKUP($C2053,ENTI!$U$4:$AD$1003,10,FALSE),"")</f>
        <v>#N/A</v>
      </c>
      <c r="M2053" s="1"/>
      <c r="N2053" s="1"/>
      <c r="O2053" s="1"/>
    </row>
    <row r="2054" spans="1:15" hidden="1">
      <c r="A2054" s="1"/>
      <c r="B2054" s="40" t="e">
        <f t="shared" ca="1" si="226"/>
        <v>#N/A</v>
      </c>
      <c r="C2054" s="496">
        <v>974</v>
      </c>
      <c r="D2054" s="41" t="e">
        <f ca="1">IF($C$1076&gt;0,VLOOKUP($C2054,COSTI!$U$4:$Z$1003,3,FALSE),IF($C$1075&gt;0,VLOOKUP($C2054,PATRIMONIALE!$U$4:$Z$1003,3,FALSE),IF($C$1074&gt;0,VLOOKUP($C2054,ENTI!$U$4:$Z$1003,3,FALSE),"")))</f>
        <v>#N/A</v>
      </c>
      <c r="E2054" s="41" t="str">
        <f t="shared" ca="1" si="227"/>
        <v/>
      </c>
      <c r="F2054" s="41" t="e">
        <f t="shared" ca="1" si="228"/>
        <v>#NUM!</v>
      </c>
      <c r="G2054" s="39" t="e">
        <f ca="1">IF($C$1076&gt;0,VLOOKUP($C2054,COSTI!$U$4:$Z$1003,5,FALSE),IF($C$1075&gt;0,VLOOKUP($C2054,PATRIMONIALE!$U$4:$Z$1003,5,FALSE),IF($C$1074&gt;0,VLOOKUP($C2054,ENTI!$U$4:$Z$1003,5,FALSE),"")))</f>
        <v>#N/A</v>
      </c>
      <c r="H2054" s="42" t="e">
        <f ca="1">IF($C$1076&gt;0,VLOOKUP($C2054,COSTI!$U$4:$Z$1003,6,FALSE),IF($C$1075&gt;0,VLOOKUP($C2054,PATRIMONIALE!$U$4:$Z$1003,6,FALSE),IF($C$1074&gt;0,VLOOKUP($C2054,ENTI!$U$4:$Z$1003,6,FALSE),"")))</f>
        <v>#N/A</v>
      </c>
      <c r="I2054" s="496">
        <v>974</v>
      </c>
      <c r="J2054" s="43" t="e">
        <f ca="1">VLOOKUP(D2054,$F$1081:$I$4183,4,FALSE)+COUNTIF(E$1081:E2053,E2054)</f>
        <v>#N/A</v>
      </c>
      <c r="K2054" s="1"/>
      <c r="L2054" s="39" t="e">
        <f>IF($C$1074&gt;0,VLOOKUP($C2054,ENTI!$U$4:$AD$1003,10,FALSE),"")</f>
        <v>#N/A</v>
      </c>
      <c r="M2054" s="1"/>
      <c r="N2054" s="1"/>
      <c r="O2054" s="1"/>
    </row>
    <row r="2055" spans="1:15" hidden="1">
      <c r="A2055" s="1"/>
      <c r="B2055" s="40" t="e">
        <f t="shared" ca="1" si="226"/>
        <v>#N/A</v>
      </c>
      <c r="C2055" s="496">
        <v>975</v>
      </c>
      <c r="D2055" s="41" t="e">
        <f ca="1">IF($C$1076&gt;0,VLOOKUP($C2055,COSTI!$U$4:$Z$1003,3,FALSE),IF($C$1075&gt;0,VLOOKUP($C2055,PATRIMONIALE!$U$4:$Z$1003,3,FALSE),IF($C$1074&gt;0,VLOOKUP($C2055,ENTI!$U$4:$Z$1003,3,FALSE),"")))</f>
        <v>#N/A</v>
      </c>
      <c r="E2055" s="41" t="str">
        <f t="shared" ca="1" si="227"/>
        <v/>
      </c>
      <c r="F2055" s="41" t="e">
        <f t="shared" ca="1" si="228"/>
        <v>#NUM!</v>
      </c>
      <c r="G2055" s="39" t="e">
        <f ca="1">IF($C$1076&gt;0,VLOOKUP($C2055,COSTI!$U$4:$Z$1003,5,FALSE),IF($C$1075&gt;0,VLOOKUP($C2055,PATRIMONIALE!$U$4:$Z$1003,5,FALSE),IF($C$1074&gt;0,VLOOKUP($C2055,ENTI!$U$4:$Z$1003,5,FALSE),"")))</f>
        <v>#N/A</v>
      </c>
      <c r="H2055" s="42" t="e">
        <f ca="1">IF($C$1076&gt;0,VLOOKUP($C2055,COSTI!$U$4:$Z$1003,6,FALSE),IF($C$1075&gt;0,VLOOKUP($C2055,PATRIMONIALE!$U$4:$Z$1003,6,FALSE),IF($C$1074&gt;0,VLOOKUP($C2055,ENTI!$U$4:$Z$1003,6,FALSE),"")))</f>
        <v>#N/A</v>
      </c>
      <c r="I2055" s="496">
        <v>975</v>
      </c>
      <c r="J2055" s="43" t="e">
        <f ca="1">VLOOKUP(D2055,$F$1081:$I$4183,4,FALSE)+COUNTIF(E$1081:E2054,E2055)</f>
        <v>#N/A</v>
      </c>
      <c r="K2055" s="1"/>
      <c r="L2055" s="39" t="e">
        <f>IF($C$1074&gt;0,VLOOKUP($C2055,ENTI!$U$4:$AD$1003,10,FALSE),"")</f>
        <v>#N/A</v>
      </c>
      <c r="M2055" s="1"/>
      <c r="N2055" s="1"/>
      <c r="O2055" s="1"/>
    </row>
    <row r="2056" spans="1:15" hidden="1">
      <c r="A2056" s="1"/>
      <c r="B2056" s="40" t="e">
        <f t="shared" ca="1" si="226"/>
        <v>#N/A</v>
      </c>
      <c r="C2056" s="496">
        <v>976</v>
      </c>
      <c r="D2056" s="41" t="e">
        <f ca="1">IF($C$1076&gt;0,VLOOKUP($C2056,COSTI!$U$4:$Z$1003,3,FALSE),IF($C$1075&gt;0,VLOOKUP($C2056,PATRIMONIALE!$U$4:$Z$1003,3,FALSE),IF($C$1074&gt;0,VLOOKUP($C2056,ENTI!$U$4:$Z$1003,3,FALSE),"")))</f>
        <v>#N/A</v>
      </c>
      <c r="E2056" s="41" t="str">
        <f t="shared" ca="1" si="227"/>
        <v/>
      </c>
      <c r="F2056" s="41" t="e">
        <f t="shared" ca="1" si="228"/>
        <v>#NUM!</v>
      </c>
      <c r="G2056" s="39" t="e">
        <f ca="1">IF($C$1076&gt;0,VLOOKUP($C2056,COSTI!$U$4:$Z$1003,5,FALSE),IF($C$1075&gt;0,VLOOKUP($C2056,PATRIMONIALE!$U$4:$Z$1003,5,FALSE),IF($C$1074&gt;0,VLOOKUP($C2056,ENTI!$U$4:$Z$1003,5,FALSE),"")))</f>
        <v>#N/A</v>
      </c>
      <c r="H2056" s="42" t="e">
        <f ca="1">IF($C$1076&gt;0,VLOOKUP($C2056,COSTI!$U$4:$Z$1003,6,FALSE),IF($C$1075&gt;0,VLOOKUP($C2056,PATRIMONIALE!$U$4:$Z$1003,6,FALSE),IF($C$1074&gt;0,VLOOKUP($C2056,ENTI!$U$4:$Z$1003,6,FALSE),"")))</f>
        <v>#N/A</v>
      </c>
      <c r="I2056" s="496">
        <v>976</v>
      </c>
      <c r="J2056" s="43" t="e">
        <f ca="1">VLOOKUP(D2056,$F$1081:$I$4183,4,FALSE)+COUNTIF(E$1081:E2055,E2056)</f>
        <v>#N/A</v>
      </c>
      <c r="K2056" s="1"/>
      <c r="L2056" s="39" t="e">
        <f>IF($C$1074&gt;0,VLOOKUP($C2056,ENTI!$U$4:$AD$1003,10,FALSE),"")</f>
        <v>#N/A</v>
      </c>
      <c r="M2056" s="1"/>
      <c r="N2056" s="1"/>
      <c r="O2056" s="1"/>
    </row>
    <row r="2057" spans="1:15" hidden="1">
      <c r="A2057" s="1"/>
      <c r="B2057" s="40" t="e">
        <f t="shared" ca="1" si="226"/>
        <v>#N/A</v>
      </c>
      <c r="C2057" s="496">
        <v>977</v>
      </c>
      <c r="D2057" s="41" t="e">
        <f ca="1">IF($C$1076&gt;0,VLOOKUP($C2057,COSTI!$U$4:$Z$1003,3,FALSE),IF($C$1075&gt;0,VLOOKUP($C2057,PATRIMONIALE!$U$4:$Z$1003,3,FALSE),IF($C$1074&gt;0,VLOOKUP($C2057,ENTI!$U$4:$Z$1003,3,FALSE),"")))</f>
        <v>#N/A</v>
      </c>
      <c r="E2057" s="41" t="str">
        <f t="shared" ca="1" si="227"/>
        <v/>
      </c>
      <c r="F2057" s="41" t="e">
        <f t="shared" ca="1" si="228"/>
        <v>#NUM!</v>
      </c>
      <c r="G2057" s="39" t="e">
        <f ca="1">IF($C$1076&gt;0,VLOOKUP($C2057,COSTI!$U$4:$Z$1003,5,FALSE),IF($C$1075&gt;0,VLOOKUP($C2057,PATRIMONIALE!$U$4:$Z$1003,5,FALSE),IF($C$1074&gt;0,VLOOKUP($C2057,ENTI!$U$4:$Z$1003,5,FALSE),"")))</f>
        <v>#N/A</v>
      </c>
      <c r="H2057" s="42" t="e">
        <f ca="1">IF($C$1076&gt;0,VLOOKUP($C2057,COSTI!$U$4:$Z$1003,6,FALSE),IF($C$1075&gt;0,VLOOKUP($C2057,PATRIMONIALE!$U$4:$Z$1003,6,FALSE),IF($C$1074&gt;0,VLOOKUP($C2057,ENTI!$U$4:$Z$1003,6,FALSE),"")))</f>
        <v>#N/A</v>
      </c>
      <c r="I2057" s="496">
        <v>977</v>
      </c>
      <c r="J2057" s="43" t="e">
        <f ca="1">VLOOKUP(D2057,$F$1081:$I$4183,4,FALSE)+COUNTIF(E$1081:E2056,E2057)</f>
        <v>#N/A</v>
      </c>
      <c r="K2057" s="1"/>
      <c r="L2057" s="39" t="e">
        <f>IF($C$1074&gt;0,VLOOKUP($C2057,ENTI!$U$4:$AD$1003,10,FALSE),"")</f>
        <v>#N/A</v>
      </c>
      <c r="M2057" s="1"/>
      <c r="N2057" s="1"/>
      <c r="O2057" s="1"/>
    </row>
    <row r="2058" spans="1:15" hidden="1">
      <c r="A2058" s="1"/>
      <c r="B2058" s="40" t="e">
        <f t="shared" ca="1" si="226"/>
        <v>#N/A</v>
      </c>
      <c r="C2058" s="496">
        <v>978</v>
      </c>
      <c r="D2058" s="41" t="e">
        <f ca="1">IF($C$1076&gt;0,VLOOKUP($C2058,COSTI!$U$4:$Z$1003,3,FALSE),IF($C$1075&gt;0,VLOOKUP($C2058,PATRIMONIALE!$U$4:$Z$1003,3,FALSE),IF($C$1074&gt;0,VLOOKUP($C2058,ENTI!$U$4:$Z$1003,3,FALSE),"")))</f>
        <v>#N/A</v>
      </c>
      <c r="E2058" s="41" t="str">
        <f t="shared" ca="1" si="227"/>
        <v/>
      </c>
      <c r="F2058" s="41" t="e">
        <f t="shared" ca="1" si="228"/>
        <v>#NUM!</v>
      </c>
      <c r="G2058" s="39" t="e">
        <f ca="1">IF($C$1076&gt;0,VLOOKUP($C2058,COSTI!$U$4:$Z$1003,5,FALSE),IF($C$1075&gt;0,VLOOKUP($C2058,PATRIMONIALE!$U$4:$Z$1003,5,FALSE),IF($C$1074&gt;0,VLOOKUP($C2058,ENTI!$U$4:$Z$1003,5,FALSE),"")))</f>
        <v>#N/A</v>
      </c>
      <c r="H2058" s="42" t="e">
        <f ca="1">IF($C$1076&gt;0,VLOOKUP($C2058,COSTI!$U$4:$Z$1003,6,FALSE),IF($C$1075&gt;0,VLOOKUP($C2058,PATRIMONIALE!$U$4:$Z$1003,6,FALSE),IF($C$1074&gt;0,VLOOKUP($C2058,ENTI!$U$4:$Z$1003,6,FALSE),"")))</f>
        <v>#N/A</v>
      </c>
      <c r="I2058" s="496">
        <v>978</v>
      </c>
      <c r="J2058" s="43" t="e">
        <f ca="1">VLOOKUP(D2058,$F$1081:$I$4183,4,FALSE)+COUNTIF(E$1081:E2057,E2058)</f>
        <v>#N/A</v>
      </c>
      <c r="K2058" s="1"/>
      <c r="L2058" s="39" t="e">
        <f>IF($C$1074&gt;0,VLOOKUP($C2058,ENTI!$U$4:$AD$1003,10,FALSE),"")</f>
        <v>#N/A</v>
      </c>
      <c r="M2058" s="1"/>
      <c r="N2058" s="1"/>
      <c r="O2058" s="1"/>
    </row>
    <row r="2059" spans="1:15" hidden="1">
      <c r="A2059" s="1"/>
      <c r="B2059" s="40" t="e">
        <f t="shared" ca="1" si="226"/>
        <v>#N/A</v>
      </c>
      <c r="C2059" s="496">
        <v>979</v>
      </c>
      <c r="D2059" s="41" t="e">
        <f ca="1">IF($C$1076&gt;0,VLOOKUP($C2059,COSTI!$U$4:$Z$1003,3,FALSE),IF($C$1075&gt;0,VLOOKUP($C2059,PATRIMONIALE!$U$4:$Z$1003,3,FALSE),IF($C$1074&gt;0,VLOOKUP($C2059,ENTI!$U$4:$Z$1003,3,FALSE),"")))</f>
        <v>#N/A</v>
      </c>
      <c r="E2059" s="41" t="str">
        <f t="shared" ca="1" si="227"/>
        <v/>
      </c>
      <c r="F2059" s="41" t="e">
        <f t="shared" ca="1" si="228"/>
        <v>#NUM!</v>
      </c>
      <c r="G2059" s="39" t="e">
        <f ca="1">IF($C$1076&gt;0,VLOOKUP($C2059,COSTI!$U$4:$Z$1003,5,FALSE),IF($C$1075&gt;0,VLOOKUP($C2059,PATRIMONIALE!$U$4:$Z$1003,5,FALSE),IF($C$1074&gt;0,VLOOKUP($C2059,ENTI!$U$4:$Z$1003,5,FALSE),"")))</f>
        <v>#N/A</v>
      </c>
      <c r="H2059" s="42" t="e">
        <f ca="1">IF($C$1076&gt;0,VLOOKUP($C2059,COSTI!$U$4:$Z$1003,6,FALSE),IF($C$1075&gt;0,VLOOKUP($C2059,PATRIMONIALE!$U$4:$Z$1003,6,FALSE),IF($C$1074&gt;0,VLOOKUP($C2059,ENTI!$U$4:$Z$1003,6,FALSE),"")))</f>
        <v>#N/A</v>
      </c>
      <c r="I2059" s="496">
        <v>979</v>
      </c>
      <c r="J2059" s="43" t="e">
        <f ca="1">VLOOKUP(D2059,$F$1081:$I$4183,4,FALSE)+COUNTIF(E$1081:E2058,E2059)</f>
        <v>#N/A</v>
      </c>
      <c r="K2059" s="1"/>
      <c r="L2059" s="39" t="e">
        <f>IF($C$1074&gt;0,VLOOKUP($C2059,ENTI!$U$4:$AD$1003,10,FALSE),"")</f>
        <v>#N/A</v>
      </c>
      <c r="M2059" s="1"/>
      <c r="N2059" s="1"/>
      <c r="O2059" s="1"/>
    </row>
    <row r="2060" spans="1:15" hidden="1">
      <c r="A2060" s="1"/>
      <c r="B2060" s="40" t="e">
        <f t="shared" ca="1" si="226"/>
        <v>#N/A</v>
      </c>
      <c r="C2060" s="496">
        <v>980</v>
      </c>
      <c r="D2060" s="41" t="e">
        <f ca="1">IF($C$1076&gt;0,VLOOKUP($C2060,COSTI!$U$4:$Z$1003,3,FALSE),IF($C$1075&gt;0,VLOOKUP($C2060,PATRIMONIALE!$U$4:$Z$1003,3,FALSE),IF($C$1074&gt;0,VLOOKUP($C2060,ENTI!$U$4:$Z$1003,3,FALSE),"")))</f>
        <v>#N/A</v>
      </c>
      <c r="E2060" s="41" t="str">
        <f t="shared" ca="1" si="227"/>
        <v/>
      </c>
      <c r="F2060" s="41" t="e">
        <f t="shared" ca="1" si="228"/>
        <v>#NUM!</v>
      </c>
      <c r="G2060" s="39" t="e">
        <f ca="1">IF($C$1076&gt;0,VLOOKUP($C2060,COSTI!$U$4:$Z$1003,5,FALSE),IF($C$1075&gt;0,VLOOKUP($C2060,PATRIMONIALE!$U$4:$Z$1003,5,FALSE),IF($C$1074&gt;0,VLOOKUP($C2060,ENTI!$U$4:$Z$1003,5,FALSE),"")))</f>
        <v>#N/A</v>
      </c>
      <c r="H2060" s="42" t="e">
        <f ca="1">IF($C$1076&gt;0,VLOOKUP($C2060,COSTI!$U$4:$Z$1003,6,FALSE),IF($C$1075&gt;0,VLOOKUP($C2060,PATRIMONIALE!$U$4:$Z$1003,6,FALSE),IF($C$1074&gt;0,VLOOKUP($C2060,ENTI!$U$4:$Z$1003,6,FALSE),"")))</f>
        <v>#N/A</v>
      </c>
      <c r="I2060" s="496">
        <v>980</v>
      </c>
      <c r="J2060" s="43" t="e">
        <f ca="1">VLOOKUP(D2060,$F$1081:$I$4183,4,FALSE)+COUNTIF(E$1081:E2059,E2060)</f>
        <v>#N/A</v>
      </c>
      <c r="K2060" s="1"/>
      <c r="L2060" s="39" t="e">
        <f>IF($C$1074&gt;0,VLOOKUP($C2060,ENTI!$U$4:$AD$1003,10,FALSE),"")</f>
        <v>#N/A</v>
      </c>
      <c r="M2060" s="1"/>
      <c r="N2060" s="1"/>
      <c r="O2060" s="1"/>
    </row>
    <row r="2061" spans="1:15" hidden="1">
      <c r="A2061" s="1"/>
      <c r="B2061" s="40" t="e">
        <f t="shared" ca="1" si="226"/>
        <v>#N/A</v>
      </c>
      <c r="C2061" s="496">
        <v>981</v>
      </c>
      <c r="D2061" s="41" t="e">
        <f ca="1">IF($C$1076&gt;0,VLOOKUP($C2061,COSTI!$U$4:$Z$1003,3,FALSE),IF($C$1075&gt;0,VLOOKUP($C2061,PATRIMONIALE!$U$4:$Z$1003,3,FALSE),IF($C$1074&gt;0,VLOOKUP($C2061,ENTI!$U$4:$Z$1003,3,FALSE),"")))</f>
        <v>#N/A</v>
      </c>
      <c r="E2061" s="41" t="str">
        <f t="shared" ca="1" si="227"/>
        <v/>
      </c>
      <c r="F2061" s="41" t="e">
        <f t="shared" ca="1" si="228"/>
        <v>#NUM!</v>
      </c>
      <c r="G2061" s="39" t="e">
        <f ca="1">IF($C$1076&gt;0,VLOOKUP($C2061,COSTI!$U$4:$Z$1003,5,FALSE),IF($C$1075&gt;0,VLOOKUP($C2061,PATRIMONIALE!$U$4:$Z$1003,5,FALSE),IF($C$1074&gt;0,VLOOKUP($C2061,ENTI!$U$4:$Z$1003,5,FALSE),"")))</f>
        <v>#N/A</v>
      </c>
      <c r="H2061" s="42" t="e">
        <f ca="1">IF($C$1076&gt;0,VLOOKUP($C2061,COSTI!$U$4:$Z$1003,6,FALSE),IF($C$1075&gt;0,VLOOKUP($C2061,PATRIMONIALE!$U$4:$Z$1003,6,FALSE),IF($C$1074&gt;0,VLOOKUP($C2061,ENTI!$U$4:$Z$1003,6,FALSE),"")))</f>
        <v>#N/A</v>
      </c>
      <c r="I2061" s="496">
        <v>981</v>
      </c>
      <c r="J2061" s="43" t="e">
        <f ca="1">VLOOKUP(D2061,$F$1081:$I$4183,4,FALSE)+COUNTIF(E$1081:E2060,E2061)</f>
        <v>#N/A</v>
      </c>
      <c r="K2061" s="1"/>
      <c r="L2061" s="39" t="e">
        <f>IF($C$1074&gt;0,VLOOKUP($C2061,ENTI!$U$4:$AD$1003,10,FALSE),"")</f>
        <v>#N/A</v>
      </c>
      <c r="M2061" s="1"/>
      <c r="N2061" s="1"/>
      <c r="O2061" s="1"/>
    </row>
    <row r="2062" spans="1:15" hidden="1">
      <c r="A2062" s="1"/>
      <c r="B2062" s="40" t="e">
        <f t="shared" ca="1" si="226"/>
        <v>#N/A</v>
      </c>
      <c r="C2062" s="496">
        <v>982</v>
      </c>
      <c r="D2062" s="41" t="e">
        <f ca="1">IF($C$1076&gt;0,VLOOKUP($C2062,COSTI!$U$4:$Z$1003,3,FALSE),IF($C$1075&gt;0,VLOOKUP($C2062,PATRIMONIALE!$U$4:$Z$1003,3,FALSE),IF($C$1074&gt;0,VLOOKUP($C2062,ENTI!$U$4:$Z$1003,3,FALSE),"")))</f>
        <v>#N/A</v>
      </c>
      <c r="E2062" s="41" t="str">
        <f t="shared" ca="1" si="227"/>
        <v/>
      </c>
      <c r="F2062" s="41" t="e">
        <f t="shared" ca="1" si="228"/>
        <v>#NUM!</v>
      </c>
      <c r="G2062" s="39" t="e">
        <f ca="1">IF($C$1076&gt;0,VLOOKUP($C2062,COSTI!$U$4:$Z$1003,5,FALSE),IF($C$1075&gt;0,VLOOKUP($C2062,PATRIMONIALE!$U$4:$Z$1003,5,FALSE),IF($C$1074&gt;0,VLOOKUP($C2062,ENTI!$U$4:$Z$1003,5,FALSE),"")))</f>
        <v>#N/A</v>
      </c>
      <c r="H2062" s="42" t="e">
        <f ca="1">IF($C$1076&gt;0,VLOOKUP($C2062,COSTI!$U$4:$Z$1003,6,FALSE),IF($C$1075&gt;0,VLOOKUP($C2062,PATRIMONIALE!$U$4:$Z$1003,6,FALSE),IF($C$1074&gt;0,VLOOKUP($C2062,ENTI!$U$4:$Z$1003,6,FALSE),"")))</f>
        <v>#N/A</v>
      </c>
      <c r="I2062" s="496">
        <v>982</v>
      </c>
      <c r="J2062" s="43" t="e">
        <f ca="1">VLOOKUP(D2062,$F$1081:$I$4183,4,FALSE)+COUNTIF(E$1081:E2061,E2062)</f>
        <v>#N/A</v>
      </c>
      <c r="K2062" s="1"/>
      <c r="L2062" s="39" t="e">
        <f>IF($C$1074&gt;0,VLOOKUP($C2062,ENTI!$U$4:$AD$1003,10,FALSE),"")</f>
        <v>#N/A</v>
      </c>
      <c r="M2062" s="1"/>
      <c r="N2062" s="1"/>
      <c r="O2062" s="1"/>
    </row>
    <row r="2063" spans="1:15" hidden="1">
      <c r="A2063" s="1"/>
      <c r="B2063" s="40" t="e">
        <f t="shared" ca="1" si="226"/>
        <v>#N/A</v>
      </c>
      <c r="C2063" s="496">
        <v>983</v>
      </c>
      <c r="D2063" s="41" t="e">
        <f ca="1">IF($C$1076&gt;0,VLOOKUP($C2063,COSTI!$U$4:$Z$1003,3,FALSE),IF($C$1075&gt;0,VLOOKUP($C2063,PATRIMONIALE!$U$4:$Z$1003,3,FALSE),IF($C$1074&gt;0,VLOOKUP($C2063,ENTI!$U$4:$Z$1003,3,FALSE),"")))</f>
        <v>#N/A</v>
      </c>
      <c r="E2063" s="41" t="str">
        <f t="shared" ca="1" si="227"/>
        <v/>
      </c>
      <c r="F2063" s="41" t="e">
        <f t="shared" ca="1" si="228"/>
        <v>#NUM!</v>
      </c>
      <c r="G2063" s="39" t="e">
        <f ca="1">IF($C$1076&gt;0,VLOOKUP($C2063,COSTI!$U$4:$Z$1003,5,FALSE),IF($C$1075&gt;0,VLOOKUP($C2063,PATRIMONIALE!$U$4:$Z$1003,5,FALSE),IF($C$1074&gt;0,VLOOKUP($C2063,ENTI!$U$4:$Z$1003,5,FALSE),"")))</f>
        <v>#N/A</v>
      </c>
      <c r="H2063" s="42" t="e">
        <f ca="1">IF($C$1076&gt;0,VLOOKUP($C2063,COSTI!$U$4:$Z$1003,6,FALSE),IF($C$1075&gt;0,VLOOKUP($C2063,PATRIMONIALE!$U$4:$Z$1003,6,FALSE),IF($C$1074&gt;0,VLOOKUP($C2063,ENTI!$U$4:$Z$1003,6,FALSE),"")))</f>
        <v>#N/A</v>
      </c>
      <c r="I2063" s="496">
        <v>983</v>
      </c>
      <c r="J2063" s="43" t="e">
        <f ca="1">VLOOKUP(D2063,$F$1081:$I$4183,4,FALSE)+COUNTIF(E$1081:E2062,E2063)</f>
        <v>#N/A</v>
      </c>
      <c r="K2063" s="1"/>
      <c r="L2063" s="39" t="e">
        <f>IF($C$1074&gt;0,VLOOKUP($C2063,ENTI!$U$4:$AD$1003,10,FALSE),"")</f>
        <v>#N/A</v>
      </c>
      <c r="M2063" s="1"/>
      <c r="N2063" s="1"/>
      <c r="O2063" s="1"/>
    </row>
    <row r="2064" spans="1:15" hidden="1">
      <c r="A2064" s="1"/>
      <c r="B2064" s="40" t="e">
        <f t="shared" ca="1" si="226"/>
        <v>#N/A</v>
      </c>
      <c r="C2064" s="496">
        <v>984</v>
      </c>
      <c r="D2064" s="41" t="e">
        <f ca="1">IF($C$1076&gt;0,VLOOKUP($C2064,COSTI!$U$4:$Z$1003,3,FALSE),IF($C$1075&gt;0,VLOOKUP($C2064,PATRIMONIALE!$U$4:$Z$1003,3,FALSE),IF($C$1074&gt;0,VLOOKUP($C2064,ENTI!$U$4:$Z$1003,3,FALSE),"")))</f>
        <v>#N/A</v>
      </c>
      <c r="E2064" s="41" t="str">
        <f t="shared" ca="1" si="227"/>
        <v/>
      </c>
      <c r="F2064" s="41" t="e">
        <f t="shared" ca="1" si="228"/>
        <v>#NUM!</v>
      </c>
      <c r="G2064" s="39" t="e">
        <f ca="1">IF($C$1076&gt;0,VLOOKUP($C2064,COSTI!$U$4:$Z$1003,5,FALSE),IF($C$1075&gt;0,VLOOKUP($C2064,PATRIMONIALE!$U$4:$Z$1003,5,FALSE),IF($C$1074&gt;0,VLOOKUP($C2064,ENTI!$U$4:$Z$1003,5,FALSE),"")))</f>
        <v>#N/A</v>
      </c>
      <c r="H2064" s="42" t="e">
        <f ca="1">IF($C$1076&gt;0,VLOOKUP($C2064,COSTI!$U$4:$Z$1003,6,FALSE),IF($C$1075&gt;0,VLOOKUP($C2064,PATRIMONIALE!$U$4:$Z$1003,6,FALSE),IF($C$1074&gt;0,VLOOKUP($C2064,ENTI!$U$4:$Z$1003,6,FALSE),"")))</f>
        <v>#N/A</v>
      </c>
      <c r="I2064" s="496">
        <v>984</v>
      </c>
      <c r="J2064" s="43" t="e">
        <f ca="1">VLOOKUP(D2064,$F$1081:$I$4183,4,FALSE)+COUNTIF(E$1081:E2063,E2064)</f>
        <v>#N/A</v>
      </c>
      <c r="K2064" s="1"/>
      <c r="L2064" s="39" t="e">
        <f>IF($C$1074&gt;0,VLOOKUP($C2064,ENTI!$U$4:$AD$1003,10,FALSE),"")</f>
        <v>#N/A</v>
      </c>
      <c r="M2064" s="1"/>
      <c r="N2064" s="1"/>
      <c r="O2064" s="1"/>
    </row>
    <row r="2065" spans="1:15" hidden="1">
      <c r="A2065" s="1"/>
      <c r="B2065" s="40" t="e">
        <f t="shared" ca="1" si="226"/>
        <v>#N/A</v>
      </c>
      <c r="C2065" s="496">
        <v>985</v>
      </c>
      <c r="D2065" s="41" t="e">
        <f ca="1">IF($C$1076&gt;0,VLOOKUP($C2065,COSTI!$U$4:$Z$1003,3,FALSE),IF($C$1075&gt;0,VLOOKUP($C2065,PATRIMONIALE!$U$4:$Z$1003,3,FALSE),IF($C$1074&gt;0,VLOOKUP($C2065,ENTI!$U$4:$Z$1003,3,FALSE),"")))</f>
        <v>#N/A</v>
      </c>
      <c r="E2065" s="41" t="str">
        <f t="shared" ca="1" si="227"/>
        <v/>
      </c>
      <c r="F2065" s="41" t="e">
        <f t="shared" ca="1" si="228"/>
        <v>#NUM!</v>
      </c>
      <c r="G2065" s="39" t="e">
        <f ca="1">IF($C$1076&gt;0,VLOOKUP($C2065,COSTI!$U$4:$Z$1003,5,FALSE),IF($C$1075&gt;0,VLOOKUP($C2065,PATRIMONIALE!$U$4:$Z$1003,5,FALSE),IF($C$1074&gt;0,VLOOKUP($C2065,ENTI!$U$4:$Z$1003,5,FALSE),"")))</f>
        <v>#N/A</v>
      </c>
      <c r="H2065" s="42" t="e">
        <f ca="1">IF($C$1076&gt;0,VLOOKUP($C2065,COSTI!$U$4:$Z$1003,6,FALSE),IF($C$1075&gt;0,VLOOKUP($C2065,PATRIMONIALE!$U$4:$Z$1003,6,FALSE),IF($C$1074&gt;0,VLOOKUP($C2065,ENTI!$U$4:$Z$1003,6,FALSE),"")))</f>
        <v>#N/A</v>
      </c>
      <c r="I2065" s="496">
        <v>985</v>
      </c>
      <c r="J2065" s="43" t="e">
        <f ca="1">VLOOKUP(D2065,$F$1081:$I$4183,4,FALSE)+COUNTIF(E$1081:E2064,E2065)</f>
        <v>#N/A</v>
      </c>
      <c r="K2065" s="1"/>
      <c r="L2065" s="39" t="e">
        <f>IF($C$1074&gt;0,VLOOKUP($C2065,ENTI!$U$4:$AD$1003,10,FALSE),"")</f>
        <v>#N/A</v>
      </c>
      <c r="M2065" s="1"/>
      <c r="N2065" s="1"/>
      <c r="O2065" s="1"/>
    </row>
    <row r="2066" spans="1:15" hidden="1">
      <c r="A2066" s="1"/>
      <c r="B2066" s="40" t="e">
        <f t="shared" ref="B2066:B2072" ca="1" si="229">IF(OR(C$1075&gt;0,C$1077&gt;0,C$1073&gt;0,C$1071&gt;0),J2066+1,J2066)</f>
        <v>#N/A</v>
      </c>
      <c r="C2066" s="496">
        <v>986</v>
      </c>
      <c r="D2066" s="96" t="e">
        <f ca="1">IF($C$1076&gt;0,VLOOKUP($C2066,COSTI!$U$4:$Z$1003,3,FALSE),IF($C$1075&gt;0,VLOOKUP($C2066,PATRIMONIALE!$U$4:$Z$1003,3,FALSE),IF($C$1074&gt;0,VLOOKUP($C2066,ENTI!$U$4:$Z$1003,3,FALSE),"")))</f>
        <v>#N/A</v>
      </c>
      <c r="E2066" s="96" t="str">
        <f t="shared" ref="E2066:E2129" ca="1" si="230">IF(ISERROR(D2066),"",D2066)</f>
        <v/>
      </c>
      <c r="F2066" s="96" t="e">
        <f t="shared" ca="1" si="228"/>
        <v>#NUM!</v>
      </c>
      <c r="G2066" s="183" t="e">
        <f ca="1">IF($C$1076&gt;0,VLOOKUP($C2066,COSTI!$U$4:$Z$1003,5,FALSE),IF($C$1075&gt;0,VLOOKUP($C2066,PATRIMONIALE!$U$4:$Z$1003,5,FALSE),IF($C$1074&gt;0,VLOOKUP($C2066,ENTI!$U$4:$Z$1003,5,FALSE),"")))</f>
        <v>#N/A</v>
      </c>
      <c r="H2066" s="184" t="e">
        <f ca="1">IF($C$1076&gt;0,VLOOKUP($C2066,COSTI!$U$4:$Z$1003,6,FALSE),IF($C$1075&gt;0,VLOOKUP($C2066,PATRIMONIALE!$U$4:$Z$1003,6,FALSE),IF($C$1074&gt;0,VLOOKUP($C2066,ENTI!$U$4:$Z$1003,6,FALSE),"")))</f>
        <v>#N/A</v>
      </c>
      <c r="I2066" s="496">
        <v>1486</v>
      </c>
      <c r="J2066" s="43" t="e">
        <f ca="1">VLOOKUP(D2066,$F$1081:$I$4183,4,FALSE)+COUNTIF(E$1081:E2065,E2066)</f>
        <v>#N/A</v>
      </c>
      <c r="K2066" s="1"/>
      <c r="L2066" s="39" t="e">
        <f>IF($C$1074&gt;0,VLOOKUP($C2066,ENTI!$U$4:$AD$1003,10,FALSE),"")</f>
        <v>#N/A</v>
      </c>
      <c r="M2066" s="1"/>
      <c r="N2066" s="1"/>
      <c r="O2066" s="1"/>
    </row>
    <row r="2067" spans="1:15" hidden="1">
      <c r="A2067" s="1"/>
      <c r="B2067" s="197" t="e">
        <f t="shared" ca="1" si="229"/>
        <v>#N/A</v>
      </c>
      <c r="C2067" s="497">
        <v>1</v>
      </c>
      <c r="D2067" s="135" t="e">
        <f>IF($C$1077&gt;0,VLOOKUP($C2067,ENTI!$AL$4:AN$1003,3,FALSE),"")</f>
        <v>#N/A</v>
      </c>
      <c r="E2067" s="135" t="str">
        <f t="shared" si="230"/>
        <v/>
      </c>
      <c r="F2067" s="199"/>
      <c r="G2067" s="136" t="e">
        <f>IF($C$1077&gt;0,VLOOKUP($C2067,ENTI!$AL$4:AP$1003,5,FALSE),"")</f>
        <v>#N/A</v>
      </c>
      <c r="H2067" s="137" t="e">
        <f>IF($C$1077&gt;0,VLOOKUP($C2067,ENTI!$AL$4:AQ$1003,6,FALSE),"")</f>
        <v>#N/A</v>
      </c>
      <c r="I2067" s="186"/>
      <c r="J2067" s="138" t="e">
        <f ca="1">VLOOKUP(D2067,$F$1081:$I$4183,4,FALSE)+COUNTIF(E$1081:E2066,E2067)</f>
        <v>#N/A</v>
      </c>
      <c r="K2067" s="1"/>
      <c r="L2067" s="156"/>
      <c r="M2067" s="1"/>
      <c r="N2067" s="1"/>
      <c r="O2067" s="1"/>
    </row>
    <row r="2068" spans="1:15" hidden="1">
      <c r="A2068" s="1"/>
      <c r="B2068" s="197" t="e">
        <f t="shared" ca="1" si="229"/>
        <v>#N/A</v>
      </c>
      <c r="C2068" s="498">
        <v>2</v>
      </c>
      <c r="D2068" s="41" t="e">
        <f>IF($C$1077&gt;0,VLOOKUP($C2068,ENTI!$AL$4:AN$1003,3,FALSE),"")</f>
        <v>#N/A</v>
      </c>
      <c r="E2068" s="41" t="str">
        <f t="shared" si="230"/>
        <v/>
      </c>
      <c r="F2068" s="200"/>
      <c r="G2068" s="178" t="e">
        <f>IF($C$1077&gt;0,VLOOKUP($C2068,ENTI!$AL$4:AP$1003,5,FALSE),"")</f>
        <v>#N/A</v>
      </c>
      <c r="H2068" s="179" t="e">
        <f>IF($C$1077&gt;0,VLOOKUP($C2068,ENTI!$AL$4:AQ$1003,6,FALSE),"")</f>
        <v>#N/A</v>
      </c>
      <c r="I2068" s="187"/>
      <c r="J2068" s="140" t="e">
        <f ca="1">VLOOKUP(D2068,$F$1081:$I$4183,4,FALSE)+COUNTIF(E$1081:E2067,E2068)</f>
        <v>#N/A</v>
      </c>
      <c r="K2068" s="1"/>
      <c r="L2068" s="156"/>
      <c r="M2068" s="1"/>
      <c r="N2068" s="1"/>
      <c r="O2068" s="1"/>
    </row>
    <row r="2069" spans="1:15" hidden="1">
      <c r="A2069" s="1"/>
      <c r="B2069" s="197" t="e">
        <f t="shared" ca="1" si="229"/>
        <v>#N/A</v>
      </c>
      <c r="C2069" s="498">
        <v>3</v>
      </c>
      <c r="D2069" s="41" t="e">
        <f>IF($C$1077&gt;0,VLOOKUP($C2069,ENTI!$AL$4:AN$1003,3,FALSE),"")</f>
        <v>#N/A</v>
      </c>
      <c r="E2069" s="41" t="str">
        <f t="shared" si="230"/>
        <v/>
      </c>
      <c r="F2069" s="200"/>
      <c r="G2069" s="178" t="e">
        <f>IF($C$1077&gt;0,VLOOKUP($C2069,ENTI!$AL$4:AP$1003,5,FALSE),"")</f>
        <v>#N/A</v>
      </c>
      <c r="H2069" s="179" t="e">
        <f>IF($C$1077&gt;0,VLOOKUP($C2069,ENTI!$AL$4:AQ$1003,6,FALSE),"")</f>
        <v>#N/A</v>
      </c>
      <c r="I2069" s="187"/>
      <c r="J2069" s="140" t="e">
        <f ca="1">VLOOKUP(D2069,$F$1081:$I$4183,4,FALSE)+COUNTIF(E$1081:E2068,E2069)</f>
        <v>#N/A</v>
      </c>
      <c r="K2069" s="1"/>
      <c r="L2069" s="156"/>
      <c r="M2069" s="1"/>
      <c r="N2069" s="1"/>
      <c r="O2069" s="1"/>
    </row>
    <row r="2070" spans="1:15" hidden="1">
      <c r="A2070" s="1"/>
      <c r="B2070" s="197" t="e">
        <f t="shared" ca="1" si="229"/>
        <v>#N/A</v>
      </c>
      <c r="C2070" s="498">
        <v>4</v>
      </c>
      <c r="D2070" s="41" t="e">
        <f>IF($C$1077&gt;0,VLOOKUP($C2070,ENTI!$AL$4:AN$1003,3,FALSE),"")</f>
        <v>#N/A</v>
      </c>
      <c r="E2070" s="41" t="str">
        <f t="shared" si="230"/>
        <v/>
      </c>
      <c r="F2070" s="200"/>
      <c r="G2070" s="178" t="e">
        <f>IF($C$1077&gt;0,VLOOKUP($C2070,ENTI!$AL$4:AP$1003,5,FALSE),"")</f>
        <v>#N/A</v>
      </c>
      <c r="H2070" s="179" t="e">
        <f>IF($C$1077&gt;0,VLOOKUP($C2070,ENTI!$AL$4:AQ$1003,6,FALSE),"")</f>
        <v>#N/A</v>
      </c>
      <c r="I2070" s="187"/>
      <c r="J2070" s="140" t="e">
        <f ca="1">VLOOKUP(D2070,$F$1081:$I$4183,4,FALSE)+COUNTIF(E$1081:E2069,E2070)</f>
        <v>#N/A</v>
      </c>
      <c r="K2070" s="1"/>
      <c r="L2070" s="156"/>
      <c r="M2070" s="1"/>
      <c r="N2070" s="1"/>
      <c r="O2070" s="1"/>
    </row>
    <row r="2071" spans="1:15" hidden="1">
      <c r="A2071" s="1"/>
      <c r="B2071" s="197" t="e">
        <f t="shared" ca="1" si="229"/>
        <v>#N/A</v>
      </c>
      <c r="C2071" s="498">
        <v>5</v>
      </c>
      <c r="D2071" s="41" t="e">
        <f>IF($C$1077&gt;0,VLOOKUP($C2071,ENTI!$AL$4:AN$1003,3,FALSE),"")</f>
        <v>#N/A</v>
      </c>
      <c r="E2071" s="41" t="str">
        <f t="shared" si="230"/>
        <v/>
      </c>
      <c r="F2071" s="200"/>
      <c r="G2071" s="178" t="e">
        <f>IF($C$1077&gt;0,VLOOKUP($C2071,ENTI!$AL$4:AP$1003,5,FALSE),"")</f>
        <v>#N/A</v>
      </c>
      <c r="H2071" s="179" t="e">
        <f>IF($C$1077&gt;0,VLOOKUP($C2071,ENTI!$AL$4:AQ$1003,6,FALSE),"")</f>
        <v>#N/A</v>
      </c>
      <c r="I2071" s="187"/>
      <c r="J2071" s="140" t="e">
        <f ca="1">VLOOKUP(D2071,$F$1081:$I$4183,4,FALSE)+COUNTIF(E$1081:E2070,E2071)</f>
        <v>#N/A</v>
      </c>
      <c r="K2071" s="1"/>
      <c r="L2071" s="156"/>
      <c r="M2071" s="1"/>
      <c r="N2071" s="1"/>
      <c r="O2071" s="1"/>
    </row>
    <row r="2072" spans="1:15" hidden="1">
      <c r="A2072" s="1"/>
      <c r="B2072" s="197" t="e">
        <f t="shared" ca="1" si="229"/>
        <v>#N/A</v>
      </c>
      <c r="C2072" s="498">
        <v>6</v>
      </c>
      <c r="D2072" s="41" t="e">
        <f>IF($C$1077&gt;0,VLOOKUP($C2072,ENTI!$AL$4:AN$1003,3,FALSE),"")</f>
        <v>#N/A</v>
      </c>
      <c r="E2072" s="41" t="str">
        <f t="shared" si="230"/>
        <v/>
      </c>
      <c r="F2072" s="200"/>
      <c r="G2072" s="178" t="e">
        <f>IF($C$1077&gt;0,VLOOKUP($C2072,ENTI!$AL$4:AP$1003,5,FALSE),"")</f>
        <v>#N/A</v>
      </c>
      <c r="H2072" s="179" t="e">
        <f>IF($C$1077&gt;0,VLOOKUP($C2072,ENTI!$AL$4:AQ$1003,6,FALSE),"")</f>
        <v>#N/A</v>
      </c>
      <c r="I2072" s="187"/>
      <c r="J2072" s="140" t="e">
        <f ca="1">VLOOKUP(D2072,$F$1081:$I$4183,4,FALSE)+COUNTIF(E$1081:E2071,E2072)</f>
        <v>#N/A</v>
      </c>
      <c r="K2072" s="1"/>
      <c r="L2072" s="156"/>
      <c r="M2072" s="1"/>
      <c r="N2072" s="1"/>
      <c r="O2072" s="1"/>
    </row>
    <row r="2073" spans="1:15" hidden="1">
      <c r="A2073" s="1"/>
      <c r="B2073" s="197" t="e">
        <f t="shared" ref="B2073:B2136" ca="1" si="231">IF(OR(C$1075&gt;0,C$1077&gt;0,C$1073&gt;0,C$1071&gt;0),J2073+1,J2073)</f>
        <v>#N/A</v>
      </c>
      <c r="C2073" s="498">
        <v>7</v>
      </c>
      <c r="D2073" s="41" t="e">
        <f>IF($C$1077&gt;0,VLOOKUP($C2073,ENTI!$AL$4:AN$1003,3,FALSE),"")</f>
        <v>#N/A</v>
      </c>
      <c r="E2073" s="41" t="str">
        <f t="shared" si="230"/>
        <v/>
      </c>
      <c r="F2073" s="200"/>
      <c r="G2073" s="178" t="e">
        <f>IF($C$1077&gt;0,VLOOKUP($C2073,ENTI!$AL$4:AP$1003,5,FALSE),"")</f>
        <v>#N/A</v>
      </c>
      <c r="H2073" s="179" t="e">
        <f>IF($C$1077&gt;0,VLOOKUP($C2073,ENTI!$AL$4:AQ$1003,6,FALSE),"")</f>
        <v>#N/A</v>
      </c>
      <c r="I2073" s="187"/>
      <c r="J2073" s="140" t="e">
        <f ca="1">VLOOKUP(D2073,$F$1081:$I$4183,4,FALSE)+COUNTIF(E$1081:E2072,E2073)</f>
        <v>#N/A</v>
      </c>
      <c r="K2073" s="1"/>
      <c r="L2073" s="156"/>
      <c r="M2073" s="1"/>
      <c r="N2073" s="1"/>
      <c r="O2073" s="1"/>
    </row>
    <row r="2074" spans="1:15" hidden="1">
      <c r="A2074" s="1"/>
      <c r="B2074" s="197" t="e">
        <f t="shared" ca="1" si="231"/>
        <v>#N/A</v>
      </c>
      <c r="C2074" s="498">
        <v>8</v>
      </c>
      <c r="D2074" s="41" t="e">
        <f>IF($C$1077&gt;0,VLOOKUP($C2074,ENTI!$AL$4:AN$1003,3,FALSE),"")</f>
        <v>#N/A</v>
      </c>
      <c r="E2074" s="41" t="str">
        <f t="shared" si="230"/>
        <v/>
      </c>
      <c r="F2074" s="200"/>
      <c r="G2074" s="178" t="e">
        <f>IF($C$1077&gt;0,VLOOKUP($C2074,ENTI!$AL$4:AP$1003,5,FALSE),"")</f>
        <v>#N/A</v>
      </c>
      <c r="H2074" s="179" t="e">
        <f>IF($C$1077&gt;0,VLOOKUP($C2074,ENTI!$AL$4:AQ$1003,6,FALSE),"")</f>
        <v>#N/A</v>
      </c>
      <c r="I2074" s="187"/>
      <c r="J2074" s="140" t="e">
        <f ca="1">VLOOKUP(D2074,$F$1081:$I$4183,4,FALSE)+COUNTIF(E$1081:E2073,E2074)</f>
        <v>#N/A</v>
      </c>
      <c r="K2074" s="1"/>
      <c r="L2074" s="156"/>
      <c r="M2074" s="1"/>
      <c r="N2074" s="1"/>
      <c r="O2074" s="1"/>
    </row>
    <row r="2075" spans="1:15" hidden="1">
      <c r="A2075" s="1"/>
      <c r="B2075" s="197" t="e">
        <f t="shared" ca="1" si="231"/>
        <v>#N/A</v>
      </c>
      <c r="C2075" s="498">
        <v>9</v>
      </c>
      <c r="D2075" s="41" t="e">
        <f>IF($C$1077&gt;0,VLOOKUP($C2075,ENTI!$AL$4:AN$1003,3,FALSE),"")</f>
        <v>#N/A</v>
      </c>
      <c r="E2075" s="41" t="str">
        <f t="shared" si="230"/>
        <v/>
      </c>
      <c r="F2075" s="200"/>
      <c r="G2075" s="178" t="e">
        <f>IF($C$1077&gt;0,VLOOKUP($C2075,ENTI!$AL$4:AP$1003,5,FALSE),"")</f>
        <v>#N/A</v>
      </c>
      <c r="H2075" s="179" t="e">
        <f>IF($C$1077&gt;0,VLOOKUP($C2075,ENTI!$AL$4:AQ$1003,6,FALSE),"")</f>
        <v>#N/A</v>
      </c>
      <c r="I2075" s="187"/>
      <c r="J2075" s="140" t="e">
        <f ca="1">VLOOKUP(D2075,$F$1081:$I$4183,4,FALSE)+COUNTIF(E$1081:E2074,E2075)</f>
        <v>#N/A</v>
      </c>
      <c r="K2075" s="1"/>
      <c r="L2075" s="156"/>
      <c r="M2075" s="1"/>
      <c r="N2075" s="1"/>
      <c r="O2075" s="1"/>
    </row>
    <row r="2076" spans="1:15" hidden="1">
      <c r="A2076" s="1"/>
      <c r="B2076" s="197" t="e">
        <f t="shared" ca="1" si="231"/>
        <v>#N/A</v>
      </c>
      <c r="C2076" s="498">
        <v>10</v>
      </c>
      <c r="D2076" s="41" t="e">
        <f>IF($C$1077&gt;0,VLOOKUP($C2076,ENTI!$AL$4:AN$1003,3,FALSE),"")</f>
        <v>#N/A</v>
      </c>
      <c r="E2076" s="41" t="str">
        <f t="shared" si="230"/>
        <v/>
      </c>
      <c r="F2076" s="200"/>
      <c r="G2076" s="178" t="e">
        <f>IF($C$1077&gt;0,VLOOKUP($C2076,ENTI!$AL$4:AP$1003,5,FALSE),"")</f>
        <v>#N/A</v>
      </c>
      <c r="H2076" s="179" t="e">
        <f>IF($C$1077&gt;0,VLOOKUP($C2076,ENTI!$AL$4:AQ$1003,6,FALSE),"")</f>
        <v>#N/A</v>
      </c>
      <c r="I2076" s="187"/>
      <c r="J2076" s="140" t="e">
        <f ca="1">VLOOKUP(D2076,$F$1081:$I$4183,4,FALSE)+COUNTIF(E$1081:E2075,E2076)</f>
        <v>#N/A</v>
      </c>
      <c r="K2076" s="1"/>
      <c r="L2076" s="156"/>
      <c r="M2076" s="1"/>
      <c r="N2076" s="1"/>
      <c r="O2076" s="1"/>
    </row>
    <row r="2077" spans="1:15" hidden="1">
      <c r="A2077" s="1"/>
      <c r="B2077" s="197" t="e">
        <f t="shared" ca="1" si="231"/>
        <v>#N/A</v>
      </c>
      <c r="C2077" s="498">
        <v>11</v>
      </c>
      <c r="D2077" s="41" t="e">
        <f>IF($C$1077&gt;0,VLOOKUP($C2077,ENTI!$AL$4:AN$1003,3,FALSE),"")</f>
        <v>#N/A</v>
      </c>
      <c r="E2077" s="41" t="str">
        <f t="shared" si="230"/>
        <v/>
      </c>
      <c r="F2077" s="200"/>
      <c r="G2077" s="178" t="e">
        <f>IF($C$1077&gt;0,VLOOKUP($C2077,ENTI!$AL$4:AP$1003,5,FALSE),"")</f>
        <v>#N/A</v>
      </c>
      <c r="H2077" s="179" t="e">
        <f>IF($C$1077&gt;0,VLOOKUP($C2077,ENTI!$AL$4:AQ$1003,6,FALSE),"")</f>
        <v>#N/A</v>
      </c>
      <c r="I2077" s="187"/>
      <c r="J2077" s="140" t="e">
        <f ca="1">VLOOKUP(D2077,$F$1081:$I$4183,4,FALSE)+COUNTIF(E$1081:E2076,E2077)</f>
        <v>#N/A</v>
      </c>
      <c r="K2077" s="1"/>
      <c r="L2077" s="156"/>
      <c r="M2077" s="1"/>
      <c r="N2077" s="1"/>
      <c r="O2077" s="1"/>
    </row>
    <row r="2078" spans="1:15" hidden="1">
      <c r="A2078" s="1"/>
      <c r="B2078" s="197" t="e">
        <f t="shared" ca="1" si="231"/>
        <v>#N/A</v>
      </c>
      <c r="C2078" s="498">
        <v>12</v>
      </c>
      <c r="D2078" s="41" t="e">
        <f>IF($C$1077&gt;0,VLOOKUP($C2078,ENTI!$AL$4:AN$1003,3,FALSE),"")</f>
        <v>#N/A</v>
      </c>
      <c r="E2078" s="41" t="str">
        <f t="shared" si="230"/>
        <v/>
      </c>
      <c r="F2078" s="200"/>
      <c r="G2078" s="178" t="e">
        <f>IF($C$1077&gt;0,VLOOKUP($C2078,ENTI!$AL$4:AP$1003,5,FALSE),"")</f>
        <v>#N/A</v>
      </c>
      <c r="H2078" s="179" t="e">
        <f>IF($C$1077&gt;0,VLOOKUP($C2078,ENTI!$AL$4:AQ$1003,6,FALSE),"")</f>
        <v>#N/A</v>
      </c>
      <c r="I2078" s="187"/>
      <c r="J2078" s="140" t="e">
        <f ca="1">VLOOKUP(D2078,$F$1081:$I$4183,4,FALSE)+COUNTIF(E$1081:E2077,E2078)</f>
        <v>#N/A</v>
      </c>
      <c r="K2078" s="1"/>
      <c r="L2078" s="156"/>
      <c r="M2078" s="1"/>
      <c r="N2078" s="1"/>
      <c r="O2078" s="1"/>
    </row>
    <row r="2079" spans="1:15" hidden="1">
      <c r="A2079" s="1"/>
      <c r="B2079" s="197" t="e">
        <f t="shared" ca="1" si="231"/>
        <v>#N/A</v>
      </c>
      <c r="C2079" s="498">
        <v>13</v>
      </c>
      <c r="D2079" s="41" t="e">
        <f>IF($C$1077&gt;0,VLOOKUP($C2079,ENTI!$AL$4:AN$1003,3,FALSE),"")</f>
        <v>#N/A</v>
      </c>
      <c r="E2079" s="41" t="str">
        <f t="shared" si="230"/>
        <v/>
      </c>
      <c r="F2079" s="200"/>
      <c r="G2079" s="178" t="e">
        <f>IF($C$1077&gt;0,VLOOKUP($C2079,ENTI!$AL$4:AP$1003,5,FALSE),"")</f>
        <v>#N/A</v>
      </c>
      <c r="H2079" s="179" t="e">
        <f>IF($C$1077&gt;0,VLOOKUP($C2079,ENTI!$AL$4:AQ$1003,6,FALSE),"")</f>
        <v>#N/A</v>
      </c>
      <c r="I2079" s="187"/>
      <c r="J2079" s="140" t="e">
        <f ca="1">VLOOKUP(D2079,$F$1081:$I$4183,4,FALSE)+COUNTIF(E$1081:E2078,E2079)</f>
        <v>#N/A</v>
      </c>
      <c r="K2079" s="1"/>
      <c r="L2079" s="156"/>
      <c r="M2079" s="1"/>
      <c r="N2079" s="1"/>
      <c r="O2079" s="1"/>
    </row>
    <row r="2080" spans="1:15" hidden="1">
      <c r="A2080" s="1"/>
      <c r="B2080" s="197" t="e">
        <f t="shared" ca="1" si="231"/>
        <v>#N/A</v>
      </c>
      <c r="C2080" s="498">
        <v>14</v>
      </c>
      <c r="D2080" s="41" t="e">
        <f>IF($C$1077&gt;0,VLOOKUP($C2080,ENTI!$AL$4:AN$1003,3,FALSE),"")</f>
        <v>#N/A</v>
      </c>
      <c r="E2080" s="41" t="str">
        <f t="shared" si="230"/>
        <v/>
      </c>
      <c r="F2080" s="200"/>
      <c r="G2080" s="178" t="e">
        <f>IF($C$1077&gt;0,VLOOKUP($C2080,ENTI!$AL$4:AP$1003,5,FALSE),"")</f>
        <v>#N/A</v>
      </c>
      <c r="H2080" s="179" t="e">
        <f>IF($C$1077&gt;0,VLOOKUP($C2080,ENTI!$AL$4:AQ$1003,6,FALSE),"")</f>
        <v>#N/A</v>
      </c>
      <c r="I2080" s="187"/>
      <c r="J2080" s="140" t="e">
        <f ca="1">VLOOKUP(D2080,$F$1081:$I$4183,4,FALSE)+COUNTIF(E$1081:E2079,E2080)</f>
        <v>#N/A</v>
      </c>
      <c r="K2080" s="1"/>
      <c r="L2080" s="156"/>
      <c r="M2080" s="1"/>
      <c r="N2080" s="1"/>
      <c r="O2080" s="1"/>
    </row>
    <row r="2081" spans="1:15" hidden="1">
      <c r="A2081" s="1"/>
      <c r="B2081" s="197" t="e">
        <f t="shared" ca="1" si="231"/>
        <v>#N/A</v>
      </c>
      <c r="C2081" s="498">
        <v>15</v>
      </c>
      <c r="D2081" s="41" t="e">
        <f>IF($C$1077&gt;0,VLOOKUP($C2081,ENTI!$AL$4:AN$1003,3,FALSE),"")</f>
        <v>#N/A</v>
      </c>
      <c r="E2081" s="41" t="str">
        <f t="shared" si="230"/>
        <v/>
      </c>
      <c r="F2081" s="200"/>
      <c r="G2081" s="178" t="e">
        <f>IF($C$1077&gt;0,VLOOKUP($C2081,ENTI!$AL$4:AP$1003,5,FALSE),"")</f>
        <v>#N/A</v>
      </c>
      <c r="H2081" s="179" t="e">
        <f>IF($C$1077&gt;0,VLOOKUP($C2081,ENTI!$AL$4:AQ$1003,6,FALSE),"")</f>
        <v>#N/A</v>
      </c>
      <c r="I2081" s="187"/>
      <c r="J2081" s="140" t="e">
        <f ca="1">VLOOKUP(D2081,$F$1081:$I$4183,4,FALSE)+COUNTIF(E$1081:E2080,E2081)</f>
        <v>#N/A</v>
      </c>
      <c r="K2081" s="1"/>
      <c r="L2081" s="156"/>
      <c r="M2081" s="1"/>
      <c r="N2081" s="1"/>
      <c r="O2081" s="1"/>
    </row>
    <row r="2082" spans="1:15" hidden="1">
      <c r="A2082" s="1"/>
      <c r="B2082" s="197" t="e">
        <f t="shared" ca="1" si="231"/>
        <v>#N/A</v>
      </c>
      <c r="C2082" s="498">
        <v>16</v>
      </c>
      <c r="D2082" s="41" t="e">
        <f>IF($C$1077&gt;0,VLOOKUP($C2082,ENTI!$AL$4:AN$1003,3,FALSE),"")</f>
        <v>#N/A</v>
      </c>
      <c r="E2082" s="41" t="str">
        <f t="shared" si="230"/>
        <v/>
      </c>
      <c r="F2082" s="200"/>
      <c r="G2082" s="178" t="e">
        <f>IF($C$1077&gt;0,VLOOKUP($C2082,ENTI!$AL$4:AP$1003,5,FALSE),"")</f>
        <v>#N/A</v>
      </c>
      <c r="H2082" s="179" t="e">
        <f>IF($C$1077&gt;0,VLOOKUP($C2082,ENTI!$AL$4:AQ$1003,6,FALSE),"")</f>
        <v>#N/A</v>
      </c>
      <c r="I2082" s="187"/>
      <c r="J2082" s="140" t="e">
        <f ca="1">VLOOKUP(D2082,$F$1081:$I$4183,4,FALSE)+COUNTIF(E$1081:E2081,E2082)</f>
        <v>#N/A</v>
      </c>
      <c r="K2082" s="1"/>
      <c r="L2082" s="156"/>
      <c r="M2082" s="1"/>
      <c r="N2082" s="1"/>
      <c r="O2082" s="1"/>
    </row>
    <row r="2083" spans="1:15" hidden="1">
      <c r="A2083" s="1"/>
      <c r="B2083" s="197" t="e">
        <f t="shared" ca="1" si="231"/>
        <v>#N/A</v>
      </c>
      <c r="C2083" s="498">
        <v>17</v>
      </c>
      <c r="D2083" s="41" t="e">
        <f>IF($C$1077&gt;0,VLOOKUP($C2083,ENTI!$AL$4:AN$1003,3,FALSE),"")</f>
        <v>#N/A</v>
      </c>
      <c r="E2083" s="41" t="str">
        <f t="shared" si="230"/>
        <v/>
      </c>
      <c r="F2083" s="200"/>
      <c r="G2083" s="178" t="e">
        <f>IF($C$1077&gt;0,VLOOKUP($C2083,ENTI!$AL$4:AP$1003,5,FALSE),"")</f>
        <v>#N/A</v>
      </c>
      <c r="H2083" s="179" t="e">
        <f>IF($C$1077&gt;0,VLOOKUP($C2083,ENTI!$AL$4:AQ$1003,6,FALSE),"")</f>
        <v>#N/A</v>
      </c>
      <c r="I2083" s="187"/>
      <c r="J2083" s="140" t="e">
        <f ca="1">VLOOKUP(D2083,$F$1081:$I$4183,4,FALSE)+COUNTIF(E$1081:E2082,E2083)</f>
        <v>#N/A</v>
      </c>
      <c r="K2083" s="1"/>
      <c r="L2083" s="156"/>
      <c r="M2083" s="1"/>
      <c r="N2083" s="1"/>
      <c r="O2083" s="1"/>
    </row>
    <row r="2084" spans="1:15" hidden="1">
      <c r="A2084" s="1"/>
      <c r="B2084" s="197" t="e">
        <f t="shared" ca="1" si="231"/>
        <v>#N/A</v>
      </c>
      <c r="C2084" s="498">
        <v>18</v>
      </c>
      <c r="D2084" s="41" t="e">
        <f>IF($C$1077&gt;0,VLOOKUP($C2084,ENTI!$AL$4:AN$1003,3,FALSE),"")</f>
        <v>#N/A</v>
      </c>
      <c r="E2084" s="41" t="str">
        <f t="shared" si="230"/>
        <v/>
      </c>
      <c r="F2084" s="200"/>
      <c r="G2084" s="178" t="e">
        <f>IF($C$1077&gt;0,VLOOKUP($C2084,ENTI!$AL$4:AP$1003,5,FALSE),"")</f>
        <v>#N/A</v>
      </c>
      <c r="H2084" s="179" t="e">
        <f>IF($C$1077&gt;0,VLOOKUP($C2084,ENTI!$AL$4:AQ$1003,6,FALSE),"")</f>
        <v>#N/A</v>
      </c>
      <c r="I2084" s="187"/>
      <c r="J2084" s="140" t="e">
        <f ca="1">VLOOKUP(D2084,$F$1081:$I$4183,4,FALSE)+COUNTIF(E$1081:E2083,E2084)</f>
        <v>#N/A</v>
      </c>
      <c r="K2084" s="1"/>
      <c r="L2084" s="156"/>
      <c r="M2084" s="1"/>
      <c r="N2084" s="1"/>
      <c r="O2084" s="1"/>
    </row>
    <row r="2085" spans="1:15" hidden="1">
      <c r="A2085" s="1"/>
      <c r="B2085" s="197" t="e">
        <f t="shared" ca="1" si="231"/>
        <v>#N/A</v>
      </c>
      <c r="C2085" s="498">
        <v>19</v>
      </c>
      <c r="D2085" s="41" t="e">
        <f>IF($C$1077&gt;0,VLOOKUP($C2085,ENTI!$AL$4:AN$1003,3,FALSE),"")</f>
        <v>#N/A</v>
      </c>
      <c r="E2085" s="41" t="str">
        <f t="shared" si="230"/>
        <v/>
      </c>
      <c r="F2085" s="200"/>
      <c r="G2085" s="178" t="e">
        <f>IF($C$1077&gt;0,VLOOKUP($C2085,ENTI!$AL$4:AP$1003,5,FALSE),"")</f>
        <v>#N/A</v>
      </c>
      <c r="H2085" s="179" t="e">
        <f>IF($C$1077&gt;0,VLOOKUP($C2085,ENTI!$AL$4:AQ$1003,6,FALSE),"")</f>
        <v>#N/A</v>
      </c>
      <c r="I2085" s="187"/>
      <c r="J2085" s="140" t="e">
        <f ca="1">VLOOKUP(D2085,$F$1081:$I$4183,4,FALSE)+COUNTIF(E$1081:E2084,E2085)</f>
        <v>#N/A</v>
      </c>
      <c r="K2085" s="1"/>
      <c r="L2085" s="156"/>
      <c r="M2085" s="1"/>
      <c r="N2085" s="1"/>
      <c r="O2085" s="1"/>
    </row>
    <row r="2086" spans="1:15" hidden="1">
      <c r="A2086" s="1"/>
      <c r="B2086" s="197" t="e">
        <f t="shared" ca="1" si="231"/>
        <v>#N/A</v>
      </c>
      <c r="C2086" s="498">
        <v>20</v>
      </c>
      <c r="D2086" s="41" t="e">
        <f>IF($C$1077&gt;0,VLOOKUP($C2086,ENTI!$AL$4:AN$1003,3,FALSE),"")</f>
        <v>#N/A</v>
      </c>
      <c r="E2086" s="41" t="str">
        <f t="shared" si="230"/>
        <v/>
      </c>
      <c r="F2086" s="200"/>
      <c r="G2086" s="178" t="e">
        <f>IF($C$1077&gt;0,VLOOKUP($C2086,ENTI!$AL$4:AP$1003,5,FALSE),"")</f>
        <v>#N/A</v>
      </c>
      <c r="H2086" s="179" t="e">
        <f>IF($C$1077&gt;0,VLOOKUP($C2086,ENTI!$AL$4:AQ$1003,6,FALSE),"")</f>
        <v>#N/A</v>
      </c>
      <c r="I2086" s="187"/>
      <c r="J2086" s="140" t="e">
        <f ca="1">VLOOKUP(D2086,$F$1081:$I$4183,4,FALSE)+COUNTIF(E$1081:E2085,E2086)</f>
        <v>#N/A</v>
      </c>
      <c r="K2086" s="1"/>
      <c r="L2086" s="156"/>
      <c r="M2086" s="1"/>
      <c r="N2086" s="1"/>
      <c r="O2086" s="1"/>
    </row>
    <row r="2087" spans="1:15" hidden="1">
      <c r="A2087" s="1"/>
      <c r="B2087" s="197" t="e">
        <f t="shared" ca="1" si="231"/>
        <v>#N/A</v>
      </c>
      <c r="C2087" s="498">
        <v>21</v>
      </c>
      <c r="D2087" s="41" t="e">
        <f>IF($C$1077&gt;0,VLOOKUP($C2087,ENTI!$AL$4:AN$1003,3,FALSE),"")</f>
        <v>#N/A</v>
      </c>
      <c r="E2087" s="41" t="str">
        <f t="shared" si="230"/>
        <v/>
      </c>
      <c r="F2087" s="200"/>
      <c r="G2087" s="178" t="e">
        <f>IF($C$1077&gt;0,VLOOKUP($C2087,ENTI!$AL$4:AP$1003,5,FALSE),"")</f>
        <v>#N/A</v>
      </c>
      <c r="H2087" s="179" t="e">
        <f>IF($C$1077&gt;0,VLOOKUP($C2087,ENTI!$AL$4:AQ$1003,6,FALSE),"")</f>
        <v>#N/A</v>
      </c>
      <c r="I2087" s="187"/>
      <c r="J2087" s="140" t="e">
        <f ca="1">VLOOKUP(D2087,$F$1081:$I$4183,4,FALSE)+COUNTIF(E$1081:E2086,E2087)</f>
        <v>#N/A</v>
      </c>
      <c r="K2087" s="1"/>
      <c r="L2087" s="156"/>
      <c r="M2087" s="1"/>
      <c r="N2087" s="1"/>
      <c r="O2087" s="1"/>
    </row>
    <row r="2088" spans="1:15" hidden="1">
      <c r="A2088" s="1"/>
      <c r="B2088" s="197" t="e">
        <f t="shared" ca="1" si="231"/>
        <v>#N/A</v>
      </c>
      <c r="C2088" s="498">
        <v>22</v>
      </c>
      <c r="D2088" s="41" t="e">
        <f>IF($C$1077&gt;0,VLOOKUP($C2088,ENTI!$AL$4:AN$1003,3,FALSE),"")</f>
        <v>#N/A</v>
      </c>
      <c r="E2088" s="41" t="str">
        <f t="shared" si="230"/>
        <v/>
      </c>
      <c r="F2088" s="200"/>
      <c r="G2088" s="178" t="e">
        <f>IF($C$1077&gt;0,VLOOKUP($C2088,ENTI!$AL$4:AP$1003,5,FALSE),"")</f>
        <v>#N/A</v>
      </c>
      <c r="H2088" s="179" t="e">
        <f>IF($C$1077&gt;0,VLOOKUP($C2088,ENTI!$AL$4:AQ$1003,6,FALSE),"")</f>
        <v>#N/A</v>
      </c>
      <c r="I2088" s="187"/>
      <c r="J2088" s="140" t="e">
        <f ca="1">VLOOKUP(D2088,$F$1081:$I$4183,4,FALSE)+COUNTIF(E$1081:E2087,E2088)</f>
        <v>#N/A</v>
      </c>
      <c r="K2088" s="1"/>
      <c r="L2088" s="156"/>
      <c r="M2088" s="1"/>
      <c r="N2088" s="1"/>
      <c r="O2088" s="1"/>
    </row>
    <row r="2089" spans="1:15" hidden="1">
      <c r="A2089" s="1"/>
      <c r="B2089" s="197" t="e">
        <f t="shared" ca="1" si="231"/>
        <v>#N/A</v>
      </c>
      <c r="C2089" s="498">
        <v>23</v>
      </c>
      <c r="D2089" s="41" t="e">
        <f>IF($C$1077&gt;0,VLOOKUP($C2089,ENTI!$AL$4:AN$1003,3,FALSE),"")</f>
        <v>#N/A</v>
      </c>
      <c r="E2089" s="41" t="str">
        <f t="shared" si="230"/>
        <v/>
      </c>
      <c r="F2089" s="200"/>
      <c r="G2089" s="178" t="e">
        <f>IF($C$1077&gt;0,VLOOKUP($C2089,ENTI!$AL$4:AP$1003,5,FALSE),"")</f>
        <v>#N/A</v>
      </c>
      <c r="H2089" s="179" t="e">
        <f>IF($C$1077&gt;0,VLOOKUP($C2089,ENTI!$AL$4:AQ$1003,6,FALSE),"")</f>
        <v>#N/A</v>
      </c>
      <c r="I2089" s="187"/>
      <c r="J2089" s="140" t="e">
        <f ca="1">VLOOKUP(D2089,$F$1081:$I$4183,4,FALSE)+COUNTIF(E$1081:E2088,E2089)</f>
        <v>#N/A</v>
      </c>
      <c r="K2089" s="1"/>
      <c r="L2089" s="156"/>
      <c r="M2089" s="1"/>
      <c r="N2089" s="1"/>
      <c r="O2089" s="1"/>
    </row>
    <row r="2090" spans="1:15" hidden="1">
      <c r="A2090" s="1"/>
      <c r="B2090" s="197" t="e">
        <f t="shared" ca="1" si="231"/>
        <v>#N/A</v>
      </c>
      <c r="C2090" s="498">
        <v>24</v>
      </c>
      <c r="D2090" s="41" t="e">
        <f>IF($C$1077&gt;0,VLOOKUP($C2090,ENTI!$AL$4:AN$1003,3,FALSE),"")</f>
        <v>#N/A</v>
      </c>
      <c r="E2090" s="41" t="str">
        <f t="shared" si="230"/>
        <v/>
      </c>
      <c r="F2090" s="200"/>
      <c r="G2090" s="178" t="e">
        <f>IF($C$1077&gt;0,VLOOKUP($C2090,ENTI!$AL$4:AP$1003,5,FALSE),"")</f>
        <v>#N/A</v>
      </c>
      <c r="H2090" s="179" t="e">
        <f>IF($C$1077&gt;0,VLOOKUP($C2090,ENTI!$AL$4:AQ$1003,6,FALSE),"")</f>
        <v>#N/A</v>
      </c>
      <c r="I2090" s="187"/>
      <c r="J2090" s="140" t="e">
        <f ca="1">VLOOKUP(D2090,$F$1081:$I$4183,4,FALSE)+COUNTIF(E$1081:E2089,E2090)</f>
        <v>#N/A</v>
      </c>
      <c r="K2090" s="1"/>
      <c r="L2090" s="156"/>
      <c r="M2090" s="1"/>
      <c r="N2090" s="1"/>
      <c r="O2090" s="1"/>
    </row>
    <row r="2091" spans="1:15" hidden="1">
      <c r="A2091" s="1"/>
      <c r="B2091" s="197" t="e">
        <f t="shared" ca="1" si="231"/>
        <v>#N/A</v>
      </c>
      <c r="C2091" s="498">
        <v>25</v>
      </c>
      <c r="D2091" s="41" t="e">
        <f>IF($C$1077&gt;0,VLOOKUP($C2091,ENTI!$AL$4:AN$1003,3,FALSE),"")</f>
        <v>#N/A</v>
      </c>
      <c r="E2091" s="41" t="str">
        <f t="shared" si="230"/>
        <v/>
      </c>
      <c r="F2091" s="200"/>
      <c r="G2091" s="178" t="e">
        <f>IF($C$1077&gt;0,VLOOKUP($C2091,ENTI!$AL$4:AP$1003,5,FALSE),"")</f>
        <v>#N/A</v>
      </c>
      <c r="H2091" s="179" t="e">
        <f>IF($C$1077&gt;0,VLOOKUP($C2091,ENTI!$AL$4:AQ$1003,6,FALSE),"")</f>
        <v>#N/A</v>
      </c>
      <c r="I2091" s="187"/>
      <c r="J2091" s="140" t="e">
        <f ca="1">VLOOKUP(D2091,$F$1081:$I$4183,4,FALSE)+COUNTIF(E$1081:E2090,E2091)</f>
        <v>#N/A</v>
      </c>
      <c r="K2091" s="1"/>
      <c r="L2091" s="156"/>
      <c r="M2091" s="1"/>
      <c r="N2091" s="1"/>
      <c r="O2091" s="1"/>
    </row>
    <row r="2092" spans="1:15" hidden="1">
      <c r="A2092" s="1"/>
      <c r="B2092" s="197" t="e">
        <f t="shared" ca="1" si="231"/>
        <v>#N/A</v>
      </c>
      <c r="C2092" s="498">
        <v>26</v>
      </c>
      <c r="D2092" s="41" t="e">
        <f>IF($C$1077&gt;0,VLOOKUP($C2092,ENTI!$AL$4:AN$1003,3,FALSE),"")</f>
        <v>#N/A</v>
      </c>
      <c r="E2092" s="41" t="str">
        <f t="shared" si="230"/>
        <v/>
      </c>
      <c r="F2092" s="200"/>
      <c r="G2092" s="178" t="e">
        <f>IF($C$1077&gt;0,VLOOKUP($C2092,ENTI!$AL$4:AP$1003,5,FALSE),"")</f>
        <v>#N/A</v>
      </c>
      <c r="H2092" s="179" t="e">
        <f>IF($C$1077&gt;0,VLOOKUP($C2092,ENTI!$AL$4:AQ$1003,6,FALSE),"")</f>
        <v>#N/A</v>
      </c>
      <c r="I2092" s="187"/>
      <c r="J2092" s="140" t="e">
        <f ca="1">VLOOKUP(D2092,$F$1081:$I$4183,4,FALSE)+COUNTIF(E$1081:E2091,E2092)</f>
        <v>#N/A</v>
      </c>
      <c r="K2092" s="1"/>
      <c r="L2092" s="156"/>
      <c r="M2092" s="1"/>
      <c r="N2092" s="1"/>
      <c r="O2092" s="1"/>
    </row>
    <row r="2093" spans="1:15" hidden="1">
      <c r="A2093" s="1"/>
      <c r="B2093" s="197" t="e">
        <f t="shared" ca="1" si="231"/>
        <v>#N/A</v>
      </c>
      <c r="C2093" s="498">
        <v>27</v>
      </c>
      <c r="D2093" s="41" t="e">
        <f>IF($C$1077&gt;0,VLOOKUP($C2093,ENTI!$AL$4:AN$1003,3,FALSE),"")</f>
        <v>#N/A</v>
      </c>
      <c r="E2093" s="41" t="str">
        <f t="shared" si="230"/>
        <v/>
      </c>
      <c r="F2093" s="200"/>
      <c r="G2093" s="178" t="e">
        <f>IF($C$1077&gt;0,VLOOKUP($C2093,ENTI!$AL$4:AP$1003,5,FALSE),"")</f>
        <v>#N/A</v>
      </c>
      <c r="H2093" s="179" t="e">
        <f>IF($C$1077&gt;0,VLOOKUP($C2093,ENTI!$AL$4:AQ$1003,6,FALSE),"")</f>
        <v>#N/A</v>
      </c>
      <c r="I2093" s="187"/>
      <c r="J2093" s="140" t="e">
        <f ca="1">VLOOKUP(D2093,$F$1081:$I$4183,4,FALSE)+COUNTIF(E$1081:E2092,E2093)</f>
        <v>#N/A</v>
      </c>
      <c r="K2093" s="1"/>
      <c r="L2093" s="156"/>
      <c r="M2093" s="1"/>
      <c r="N2093" s="1"/>
      <c r="O2093" s="1"/>
    </row>
    <row r="2094" spans="1:15" hidden="1">
      <c r="A2094" s="1"/>
      <c r="B2094" s="197" t="e">
        <f t="shared" ca="1" si="231"/>
        <v>#N/A</v>
      </c>
      <c r="C2094" s="498">
        <v>28</v>
      </c>
      <c r="D2094" s="41" t="e">
        <f>IF($C$1077&gt;0,VLOOKUP($C2094,ENTI!$AL$4:AN$1003,3,FALSE),"")</f>
        <v>#N/A</v>
      </c>
      <c r="E2094" s="41" t="str">
        <f t="shared" si="230"/>
        <v/>
      </c>
      <c r="F2094" s="200"/>
      <c r="G2094" s="178" t="e">
        <f>IF($C$1077&gt;0,VLOOKUP($C2094,ENTI!$AL$4:AP$1003,5,FALSE),"")</f>
        <v>#N/A</v>
      </c>
      <c r="H2094" s="179" t="e">
        <f>IF($C$1077&gt;0,VLOOKUP($C2094,ENTI!$AL$4:AQ$1003,6,FALSE),"")</f>
        <v>#N/A</v>
      </c>
      <c r="I2094" s="187"/>
      <c r="J2094" s="140" t="e">
        <f ca="1">VLOOKUP(D2094,$F$1081:$I$4183,4,FALSE)+COUNTIF(E$1081:E2093,E2094)</f>
        <v>#N/A</v>
      </c>
      <c r="K2094" s="1"/>
      <c r="L2094" s="156"/>
      <c r="M2094" s="1"/>
      <c r="N2094" s="1"/>
      <c r="O2094" s="1"/>
    </row>
    <row r="2095" spans="1:15" hidden="1">
      <c r="A2095" s="1"/>
      <c r="B2095" s="197" t="e">
        <f t="shared" ca="1" si="231"/>
        <v>#N/A</v>
      </c>
      <c r="C2095" s="498">
        <v>29</v>
      </c>
      <c r="D2095" s="41" t="e">
        <f>IF($C$1077&gt;0,VLOOKUP($C2095,ENTI!$AL$4:AN$1003,3,FALSE),"")</f>
        <v>#N/A</v>
      </c>
      <c r="E2095" s="41" t="str">
        <f t="shared" si="230"/>
        <v/>
      </c>
      <c r="F2095" s="200"/>
      <c r="G2095" s="178" t="e">
        <f>IF($C$1077&gt;0,VLOOKUP($C2095,ENTI!$AL$4:AP$1003,5,FALSE),"")</f>
        <v>#N/A</v>
      </c>
      <c r="H2095" s="179" t="e">
        <f>IF($C$1077&gt;0,VLOOKUP($C2095,ENTI!$AL$4:AQ$1003,6,FALSE),"")</f>
        <v>#N/A</v>
      </c>
      <c r="I2095" s="187"/>
      <c r="J2095" s="140" t="e">
        <f ca="1">VLOOKUP(D2095,$F$1081:$I$4183,4,FALSE)+COUNTIF(E$1081:E2094,E2095)</f>
        <v>#N/A</v>
      </c>
      <c r="K2095" s="1"/>
      <c r="L2095" s="156"/>
      <c r="M2095" s="1"/>
      <c r="N2095" s="1"/>
      <c r="O2095" s="1"/>
    </row>
    <row r="2096" spans="1:15" hidden="1">
      <c r="A2096" s="1"/>
      <c r="B2096" s="197" t="e">
        <f t="shared" ca="1" si="231"/>
        <v>#N/A</v>
      </c>
      <c r="C2096" s="498">
        <v>30</v>
      </c>
      <c r="D2096" s="41" t="e">
        <f>IF($C$1077&gt;0,VLOOKUP($C2096,ENTI!$AL$4:AN$1003,3,FALSE),"")</f>
        <v>#N/A</v>
      </c>
      <c r="E2096" s="41" t="str">
        <f t="shared" si="230"/>
        <v/>
      </c>
      <c r="F2096" s="200"/>
      <c r="G2096" s="178" t="e">
        <f>IF($C$1077&gt;0,VLOOKUP($C2096,ENTI!$AL$4:AP$1003,5,FALSE),"")</f>
        <v>#N/A</v>
      </c>
      <c r="H2096" s="179" t="e">
        <f>IF($C$1077&gt;0,VLOOKUP($C2096,ENTI!$AL$4:AQ$1003,6,FALSE),"")</f>
        <v>#N/A</v>
      </c>
      <c r="I2096" s="187"/>
      <c r="J2096" s="140" t="e">
        <f ca="1">VLOOKUP(D2096,$F$1081:$I$4183,4,FALSE)+COUNTIF(E$1081:E2095,E2096)</f>
        <v>#N/A</v>
      </c>
      <c r="K2096" s="1"/>
      <c r="L2096" s="156"/>
      <c r="M2096" s="1"/>
      <c r="N2096" s="1"/>
      <c r="O2096" s="1"/>
    </row>
    <row r="2097" spans="1:15" hidden="1">
      <c r="A2097" s="1"/>
      <c r="B2097" s="197" t="e">
        <f t="shared" ca="1" si="231"/>
        <v>#N/A</v>
      </c>
      <c r="C2097" s="498">
        <v>31</v>
      </c>
      <c r="D2097" s="41" t="e">
        <f>IF($C$1077&gt;0,VLOOKUP($C2097,ENTI!$AL$4:AN$1003,3,FALSE),"")</f>
        <v>#N/A</v>
      </c>
      <c r="E2097" s="41" t="str">
        <f t="shared" si="230"/>
        <v/>
      </c>
      <c r="F2097" s="200"/>
      <c r="G2097" s="178" t="e">
        <f>IF($C$1077&gt;0,VLOOKUP($C2097,ENTI!$AL$4:AP$1003,5,FALSE),"")</f>
        <v>#N/A</v>
      </c>
      <c r="H2097" s="179" t="e">
        <f>IF($C$1077&gt;0,VLOOKUP($C2097,ENTI!$AL$4:AQ$1003,6,FALSE),"")</f>
        <v>#N/A</v>
      </c>
      <c r="I2097" s="187"/>
      <c r="J2097" s="140" t="e">
        <f ca="1">VLOOKUP(D2097,$F$1081:$I$4183,4,FALSE)+COUNTIF(E$1081:E2096,E2097)</f>
        <v>#N/A</v>
      </c>
      <c r="K2097" s="1"/>
      <c r="L2097" s="156"/>
      <c r="M2097" s="1"/>
      <c r="N2097" s="1"/>
      <c r="O2097" s="1"/>
    </row>
    <row r="2098" spans="1:15" hidden="1">
      <c r="A2098" s="1"/>
      <c r="B2098" s="197" t="e">
        <f t="shared" ca="1" si="231"/>
        <v>#N/A</v>
      </c>
      <c r="C2098" s="498">
        <v>32</v>
      </c>
      <c r="D2098" s="41" t="e">
        <f>IF($C$1077&gt;0,VLOOKUP($C2098,ENTI!$AL$4:AN$1003,3,FALSE),"")</f>
        <v>#N/A</v>
      </c>
      <c r="E2098" s="41" t="str">
        <f t="shared" si="230"/>
        <v/>
      </c>
      <c r="F2098" s="200"/>
      <c r="G2098" s="178" t="e">
        <f>IF($C$1077&gt;0,VLOOKUP($C2098,ENTI!$AL$4:AP$1003,5,FALSE),"")</f>
        <v>#N/A</v>
      </c>
      <c r="H2098" s="179" t="e">
        <f>IF($C$1077&gt;0,VLOOKUP($C2098,ENTI!$AL$4:AQ$1003,6,FALSE),"")</f>
        <v>#N/A</v>
      </c>
      <c r="I2098" s="187"/>
      <c r="J2098" s="140" t="e">
        <f ca="1">VLOOKUP(D2098,$F$1081:$I$4183,4,FALSE)+COUNTIF(E$1081:E2097,E2098)</f>
        <v>#N/A</v>
      </c>
      <c r="K2098" s="1"/>
      <c r="L2098" s="156"/>
      <c r="M2098" s="1"/>
      <c r="N2098" s="1"/>
      <c r="O2098" s="1"/>
    </row>
    <row r="2099" spans="1:15" hidden="1">
      <c r="A2099" s="1"/>
      <c r="B2099" s="197" t="e">
        <f t="shared" ca="1" si="231"/>
        <v>#N/A</v>
      </c>
      <c r="C2099" s="498">
        <v>33</v>
      </c>
      <c r="D2099" s="41" t="e">
        <f>IF($C$1077&gt;0,VLOOKUP($C2099,ENTI!$AL$4:AN$1003,3,FALSE),"")</f>
        <v>#N/A</v>
      </c>
      <c r="E2099" s="41" t="str">
        <f t="shared" si="230"/>
        <v/>
      </c>
      <c r="F2099" s="200"/>
      <c r="G2099" s="178" t="e">
        <f>IF($C$1077&gt;0,VLOOKUP($C2099,ENTI!$AL$4:AP$1003,5,FALSE),"")</f>
        <v>#N/A</v>
      </c>
      <c r="H2099" s="179" t="e">
        <f>IF($C$1077&gt;0,VLOOKUP($C2099,ENTI!$AL$4:AQ$1003,6,FALSE),"")</f>
        <v>#N/A</v>
      </c>
      <c r="I2099" s="187"/>
      <c r="J2099" s="140" t="e">
        <f ca="1">VLOOKUP(D2099,$F$1081:$I$4183,4,FALSE)+COUNTIF(E$1081:E2098,E2099)</f>
        <v>#N/A</v>
      </c>
      <c r="K2099" s="1"/>
      <c r="L2099" s="156"/>
      <c r="M2099" s="1"/>
      <c r="N2099" s="1"/>
      <c r="O2099" s="1"/>
    </row>
    <row r="2100" spans="1:15" hidden="1">
      <c r="A2100" s="1"/>
      <c r="B2100" s="197" t="e">
        <f t="shared" ca="1" si="231"/>
        <v>#N/A</v>
      </c>
      <c r="C2100" s="498">
        <v>34</v>
      </c>
      <c r="D2100" s="41" t="e">
        <f>IF($C$1077&gt;0,VLOOKUP($C2100,ENTI!$AL$4:AN$1003,3,FALSE),"")</f>
        <v>#N/A</v>
      </c>
      <c r="E2100" s="41" t="str">
        <f t="shared" si="230"/>
        <v/>
      </c>
      <c r="F2100" s="200"/>
      <c r="G2100" s="178" t="e">
        <f>IF($C$1077&gt;0,VLOOKUP($C2100,ENTI!$AL$4:AP$1003,5,FALSE),"")</f>
        <v>#N/A</v>
      </c>
      <c r="H2100" s="179" t="e">
        <f>IF($C$1077&gt;0,VLOOKUP($C2100,ENTI!$AL$4:AQ$1003,6,FALSE),"")</f>
        <v>#N/A</v>
      </c>
      <c r="I2100" s="187"/>
      <c r="J2100" s="140" t="e">
        <f ca="1">VLOOKUP(D2100,$F$1081:$I$4183,4,FALSE)+COUNTIF(E$1081:E2099,E2100)</f>
        <v>#N/A</v>
      </c>
      <c r="K2100" s="1"/>
      <c r="L2100" s="156"/>
      <c r="M2100" s="1"/>
      <c r="N2100" s="1"/>
      <c r="O2100" s="1"/>
    </row>
    <row r="2101" spans="1:15" hidden="1">
      <c r="A2101" s="1"/>
      <c r="B2101" s="197" t="e">
        <f t="shared" ca="1" si="231"/>
        <v>#N/A</v>
      </c>
      <c r="C2101" s="498">
        <v>35</v>
      </c>
      <c r="D2101" s="41" t="e">
        <f>IF($C$1077&gt;0,VLOOKUP($C2101,ENTI!$AL$4:AN$1003,3,FALSE),"")</f>
        <v>#N/A</v>
      </c>
      <c r="E2101" s="41" t="str">
        <f t="shared" si="230"/>
        <v/>
      </c>
      <c r="F2101" s="200"/>
      <c r="G2101" s="178" t="e">
        <f>IF($C$1077&gt;0,VLOOKUP($C2101,ENTI!$AL$4:AP$1003,5,FALSE),"")</f>
        <v>#N/A</v>
      </c>
      <c r="H2101" s="179" t="e">
        <f>IF($C$1077&gt;0,VLOOKUP($C2101,ENTI!$AL$4:AQ$1003,6,FALSE),"")</f>
        <v>#N/A</v>
      </c>
      <c r="I2101" s="187"/>
      <c r="J2101" s="140" t="e">
        <f ca="1">VLOOKUP(D2101,$F$1081:$I$4183,4,FALSE)+COUNTIF(E$1081:E2100,E2101)</f>
        <v>#N/A</v>
      </c>
      <c r="K2101" s="1"/>
      <c r="L2101" s="156"/>
      <c r="M2101" s="1"/>
      <c r="N2101" s="1"/>
      <c r="O2101" s="1"/>
    </row>
    <row r="2102" spans="1:15" hidden="1">
      <c r="A2102" s="1"/>
      <c r="B2102" s="197" t="e">
        <f t="shared" ca="1" si="231"/>
        <v>#N/A</v>
      </c>
      <c r="C2102" s="498">
        <v>36</v>
      </c>
      <c r="D2102" s="41" t="e">
        <f>IF($C$1077&gt;0,VLOOKUP($C2102,ENTI!$AL$4:AN$1003,3,FALSE),"")</f>
        <v>#N/A</v>
      </c>
      <c r="E2102" s="41" t="str">
        <f t="shared" si="230"/>
        <v/>
      </c>
      <c r="F2102" s="200"/>
      <c r="G2102" s="178" t="e">
        <f>IF($C$1077&gt;0,VLOOKUP($C2102,ENTI!$AL$4:AP$1003,5,FALSE),"")</f>
        <v>#N/A</v>
      </c>
      <c r="H2102" s="179" t="e">
        <f>IF($C$1077&gt;0,VLOOKUP($C2102,ENTI!$AL$4:AQ$1003,6,FALSE),"")</f>
        <v>#N/A</v>
      </c>
      <c r="I2102" s="187"/>
      <c r="J2102" s="140" t="e">
        <f ca="1">VLOOKUP(D2102,$F$1081:$I$4183,4,FALSE)+COUNTIF(E$1081:E2101,E2102)</f>
        <v>#N/A</v>
      </c>
      <c r="K2102" s="1"/>
      <c r="L2102" s="156"/>
      <c r="M2102" s="1"/>
      <c r="N2102" s="1"/>
      <c r="O2102" s="1"/>
    </row>
    <row r="2103" spans="1:15" hidden="1">
      <c r="A2103" s="1"/>
      <c r="B2103" s="197" t="e">
        <f t="shared" ca="1" si="231"/>
        <v>#N/A</v>
      </c>
      <c r="C2103" s="498">
        <v>37</v>
      </c>
      <c r="D2103" s="41" t="e">
        <f>IF($C$1077&gt;0,VLOOKUP($C2103,ENTI!$AL$4:AN$1003,3,FALSE),"")</f>
        <v>#N/A</v>
      </c>
      <c r="E2103" s="41" t="str">
        <f t="shared" si="230"/>
        <v/>
      </c>
      <c r="F2103" s="200"/>
      <c r="G2103" s="178" t="e">
        <f>IF($C$1077&gt;0,VLOOKUP($C2103,ENTI!$AL$4:AP$1003,5,FALSE),"")</f>
        <v>#N/A</v>
      </c>
      <c r="H2103" s="179" t="e">
        <f>IF($C$1077&gt;0,VLOOKUP($C2103,ENTI!$AL$4:AQ$1003,6,FALSE),"")</f>
        <v>#N/A</v>
      </c>
      <c r="I2103" s="187"/>
      <c r="J2103" s="140" t="e">
        <f ca="1">VLOOKUP(D2103,$F$1081:$I$4183,4,FALSE)+COUNTIF(E$1081:E2102,E2103)</f>
        <v>#N/A</v>
      </c>
      <c r="K2103" s="1"/>
      <c r="L2103" s="156"/>
      <c r="M2103" s="1"/>
      <c r="N2103" s="1"/>
      <c r="O2103" s="1"/>
    </row>
    <row r="2104" spans="1:15" hidden="1">
      <c r="A2104" s="1"/>
      <c r="B2104" s="197" t="e">
        <f t="shared" ca="1" si="231"/>
        <v>#N/A</v>
      </c>
      <c r="C2104" s="498">
        <v>38</v>
      </c>
      <c r="D2104" s="41" t="e">
        <f>IF($C$1077&gt;0,VLOOKUP($C2104,ENTI!$AL$4:AN$1003,3,FALSE),"")</f>
        <v>#N/A</v>
      </c>
      <c r="E2104" s="41" t="str">
        <f t="shared" si="230"/>
        <v/>
      </c>
      <c r="F2104" s="200"/>
      <c r="G2104" s="178" t="e">
        <f>IF($C$1077&gt;0,VLOOKUP($C2104,ENTI!$AL$4:AP$1003,5,FALSE),"")</f>
        <v>#N/A</v>
      </c>
      <c r="H2104" s="179" t="e">
        <f>IF($C$1077&gt;0,VLOOKUP($C2104,ENTI!$AL$4:AQ$1003,6,FALSE),"")</f>
        <v>#N/A</v>
      </c>
      <c r="I2104" s="187"/>
      <c r="J2104" s="140" t="e">
        <f ca="1">VLOOKUP(D2104,$F$1081:$I$4183,4,FALSE)+COUNTIF(E$1081:E2103,E2104)</f>
        <v>#N/A</v>
      </c>
      <c r="K2104" s="1"/>
      <c r="L2104" s="156"/>
      <c r="M2104" s="1"/>
      <c r="N2104" s="1"/>
      <c r="O2104" s="1"/>
    </row>
    <row r="2105" spans="1:15" hidden="1">
      <c r="A2105" s="1"/>
      <c r="B2105" s="197" t="e">
        <f t="shared" ca="1" si="231"/>
        <v>#N/A</v>
      </c>
      <c r="C2105" s="498">
        <v>39</v>
      </c>
      <c r="D2105" s="41" t="e">
        <f>IF($C$1077&gt;0,VLOOKUP($C2105,ENTI!$AL$4:AN$1003,3,FALSE),"")</f>
        <v>#N/A</v>
      </c>
      <c r="E2105" s="41" t="str">
        <f t="shared" si="230"/>
        <v/>
      </c>
      <c r="F2105" s="200"/>
      <c r="G2105" s="178" t="e">
        <f>IF($C$1077&gt;0,VLOOKUP($C2105,ENTI!$AL$4:AP$1003,5,FALSE),"")</f>
        <v>#N/A</v>
      </c>
      <c r="H2105" s="179" t="e">
        <f>IF($C$1077&gt;0,VLOOKUP($C2105,ENTI!$AL$4:AQ$1003,6,FALSE),"")</f>
        <v>#N/A</v>
      </c>
      <c r="I2105" s="187"/>
      <c r="J2105" s="140" t="e">
        <f ca="1">VLOOKUP(D2105,$F$1081:$I$4183,4,FALSE)+COUNTIF(E$1081:E2104,E2105)</f>
        <v>#N/A</v>
      </c>
      <c r="K2105" s="1"/>
      <c r="L2105" s="156"/>
      <c r="M2105" s="1"/>
      <c r="N2105" s="1"/>
      <c r="O2105" s="1"/>
    </row>
    <row r="2106" spans="1:15" hidden="1">
      <c r="A2106" s="1"/>
      <c r="B2106" s="197" t="e">
        <f t="shared" ca="1" si="231"/>
        <v>#N/A</v>
      </c>
      <c r="C2106" s="498">
        <v>40</v>
      </c>
      <c r="D2106" s="41" t="e">
        <f>IF($C$1077&gt;0,VLOOKUP($C2106,ENTI!$AL$4:AN$1003,3,FALSE),"")</f>
        <v>#N/A</v>
      </c>
      <c r="E2106" s="41" t="str">
        <f t="shared" si="230"/>
        <v/>
      </c>
      <c r="F2106" s="200"/>
      <c r="G2106" s="178" t="e">
        <f>IF($C$1077&gt;0,VLOOKUP($C2106,ENTI!$AL$4:AP$1003,5,FALSE),"")</f>
        <v>#N/A</v>
      </c>
      <c r="H2106" s="179" t="e">
        <f>IF($C$1077&gt;0,VLOOKUP($C2106,ENTI!$AL$4:AQ$1003,6,FALSE),"")</f>
        <v>#N/A</v>
      </c>
      <c r="I2106" s="187"/>
      <c r="J2106" s="140" t="e">
        <f ca="1">VLOOKUP(D2106,$F$1081:$I$4183,4,FALSE)+COUNTIF(E$1081:E2105,E2106)</f>
        <v>#N/A</v>
      </c>
      <c r="K2106" s="1"/>
      <c r="L2106" s="156"/>
      <c r="M2106" s="1"/>
      <c r="N2106" s="1"/>
      <c r="O2106" s="1"/>
    </row>
    <row r="2107" spans="1:15" hidden="1">
      <c r="A2107" s="1"/>
      <c r="B2107" s="197" t="e">
        <f t="shared" ca="1" si="231"/>
        <v>#N/A</v>
      </c>
      <c r="C2107" s="498">
        <v>41</v>
      </c>
      <c r="D2107" s="41" t="e">
        <f>IF($C$1077&gt;0,VLOOKUP($C2107,ENTI!$AL$4:AN$1003,3,FALSE),"")</f>
        <v>#N/A</v>
      </c>
      <c r="E2107" s="41" t="str">
        <f t="shared" si="230"/>
        <v/>
      </c>
      <c r="F2107" s="200"/>
      <c r="G2107" s="178" t="e">
        <f>IF($C$1077&gt;0,VLOOKUP($C2107,ENTI!$AL$4:AP$1003,5,FALSE),"")</f>
        <v>#N/A</v>
      </c>
      <c r="H2107" s="179" t="e">
        <f>IF($C$1077&gt;0,VLOOKUP($C2107,ENTI!$AL$4:AQ$1003,6,FALSE),"")</f>
        <v>#N/A</v>
      </c>
      <c r="I2107" s="187"/>
      <c r="J2107" s="140" t="e">
        <f ca="1">VLOOKUP(D2107,$F$1081:$I$4183,4,FALSE)+COUNTIF(E$1081:E2106,E2107)</f>
        <v>#N/A</v>
      </c>
      <c r="K2107" s="1"/>
      <c r="L2107" s="156"/>
      <c r="M2107" s="1"/>
      <c r="N2107" s="1"/>
      <c r="O2107" s="1"/>
    </row>
    <row r="2108" spans="1:15" hidden="1">
      <c r="A2108" s="1"/>
      <c r="B2108" s="197" t="e">
        <f t="shared" ca="1" si="231"/>
        <v>#N/A</v>
      </c>
      <c r="C2108" s="498">
        <v>42</v>
      </c>
      <c r="D2108" s="41" t="e">
        <f>IF($C$1077&gt;0,VLOOKUP($C2108,ENTI!$AL$4:AN$1003,3,FALSE),"")</f>
        <v>#N/A</v>
      </c>
      <c r="E2108" s="41" t="str">
        <f t="shared" si="230"/>
        <v/>
      </c>
      <c r="F2108" s="200"/>
      <c r="G2108" s="178" t="e">
        <f>IF($C$1077&gt;0,VLOOKUP($C2108,ENTI!$AL$4:AP$1003,5,FALSE),"")</f>
        <v>#N/A</v>
      </c>
      <c r="H2108" s="179" t="e">
        <f>IF($C$1077&gt;0,VLOOKUP($C2108,ENTI!$AL$4:AQ$1003,6,FALSE),"")</f>
        <v>#N/A</v>
      </c>
      <c r="I2108" s="187"/>
      <c r="J2108" s="140" t="e">
        <f ca="1">VLOOKUP(D2108,$F$1081:$I$4183,4,FALSE)+COUNTIF(E$1081:E2107,E2108)</f>
        <v>#N/A</v>
      </c>
      <c r="K2108" s="1"/>
      <c r="L2108" s="156"/>
      <c r="M2108" s="1"/>
      <c r="N2108" s="1"/>
      <c r="O2108" s="1"/>
    </row>
    <row r="2109" spans="1:15" hidden="1">
      <c r="A2109" s="1"/>
      <c r="B2109" s="197" t="e">
        <f t="shared" ca="1" si="231"/>
        <v>#N/A</v>
      </c>
      <c r="C2109" s="498">
        <v>43</v>
      </c>
      <c r="D2109" s="41" t="e">
        <f>IF($C$1077&gt;0,VLOOKUP($C2109,ENTI!$AL$4:AN$1003,3,FALSE),"")</f>
        <v>#N/A</v>
      </c>
      <c r="E2109" s="41" t="str">
        <f t="shared" si="230"/>
        <v/>
      </c>
      <c r="F2109" s="200"/>
      <c r="G2109" s="178" t="e">
        <f>IF($C$1077&gt;0,VLOOKUP($C2109,ENTI!$AL$4:AP$1003,5,FALSE),"")</f>
        <v>#N/A</v>
      </c>
      <c r="H2109" s="179" t="e">
        <f>IF($C$1077&gt;0,VLOOKUP($C2109,ENTI!$AL$4:AQ$1003,6,FALSE),"")</f>
        <v>#N/A</v>
      </c>
      <c r="I2109" s="187"/>
      <c r="J2109" s="140" t="e">
        <f ca="1">VLOOKUP(D2109,$F$1081:$I$4183,4,FALSE)+COUNTIF(E$1081:E2108,E2109)</f>
        <v>#N/A</v>
      </c>
      <c r="K2109" s="1"/>
      <c r="L2109" s="156"/>
      <c r="M2109" s="1"/>
      <c r="N2109" s="1"/>
      <c r="O2109" s="1"/>
    </row>
    <row r="2110" spans="1:15" hidden="1">
      <c r="A2110" s="1"/>
      <c r="B2110" s="197" t="e">
        <f t="shared" ca="1" si="231"/>
        <v>#N/A</v>
      </c>
      <c r="C2110" s="498">
        <v>44</v>
      </c>
      <c r="D2110" s="41" t="e">
        <f>IF($C$1077&gt;0,VLOOKUP($C2110,ENTI!$AL$4:AN$1003,3,FALSE),"")</f>
        <v>#N/A</v>
      </c>
      <c r="E2110" s="41" t="str">
        <f t="shared" si="230"/>
        <v/>
      </c>
      <c r="F2110" s="200"/>
      <c r="G2110" s="178" t="e">
        <f>IF($C$1077&gt;0,VLOOKUP($C2110,ENTI!$AL$4:AP$1003,5,FALSE),"")</f>
        <v>#N/A</v>
      </c>
      <c r="H2110" s="179" t="e">
        <f>IF($C$1077&gt;0,VLOOKUP($C2110,ENTI!$AL$4:AQ$1003,6,FALSE),"")</f>
        <v>#N/A</v>
      </c>
      <c r="I2110" s="187"/>
      <c r="J2110" s="140" t="e">
        <f ca="1">VLOOKUP(D2110,$F$1081:$I$4183,4,FALSE)+COUNTIF(E$1081:E2109,E2110)</f>
        <v>#N/A</v>
      </c>
      <c r="K2110" s="1"/>
      <c r="L2110" s="156"/>
      <c r="M2110" s="1"/>
      <c r="N2110" s="1"/>
      <c r="O2110" s="1"/>
    </row>
    <row r="2111" spans="1:15" hidden="1">
      <c r="A2111" s="1"/>
      <c r="B2111" s="197" t="e">
        <f t="shared" ca="1" si="231"/>
        <v>#N/A</v>
      </c>
      <c r="C2111" s="498">
        <v>45</v>
      </c>
      <c r="D2111" s="41" t="e">
        <f>IF($C$1077&gt;0,VLOOKUP($C2111,ENTI!$AL$4:AN$1003,3,FALSE),"")</f>
        <v>#N/A</v>
      </c>
      <c r="E2111" s="41" t="str">
        <f t="shared" si="230"/>
        <v/>
      </c>
      <c r="F2111" s="200"/>
      <c r="G2111" s="178" t="e">
        <f>IF($C$1077&gt;0,VLOOKUP($C2111,ENTI!$AL$4:AP$1003,5,FALSE),"")</f>
        <v>#N/A</v>
      </c>
      <c r="H2111" s="179" t="e">
        <f>IF($C$1077&gt;0,VLOOKUP($C2111,ENTI!$AL$4:AQ$1003,6,FALSE),"")</f>
        <v>#N/A</v>
      </c>
      <c r="I2111" s="187"/>
      <c r="J2111" s="140" t="e">
        <f ca="1">VLOOKUP(D2111,$F$1081:$I$4183,4,FALSE)+COUNTIF(E$1081:E2110,E2111)</f>
        <v>#N/A</v>
      </c>
      <c r="K2111" s="1"/>
      <c r="L2111" s="156"/>
      <c r="M2111" s="1"/>
      <c r="N2111" s="1"/>
      <c r="O2111" s="1"/>
    </row>
    <row r="2112" spans="1:15" hidden="1">
      <c r="A2112" s="1"/>
      <c r="B2112" s="197" t="e">
        <f t="shared" ca="1" si="231"/>
        <v>#N/A</v>
      </c>
      <c r="C2112" s="498">
        <v>46</v>
      </c>
      <c r="D2112" s="41" t="e">
        <f>IF($C$1077&gt;0,VLOOKUP($C2112,ENTI!$AL$4:AN$1003,3,FALSE),"")</f>
        <v>#N/A</v>
      </c>
      <c r="E2112" s="41" t="str">
        <f t="shared" si="230"/>
        <v/>
      </c>
      <c r="F2112" s="200"/>
      <c r="G2112" s="178" t="e">
        <f>IF($C$1077&gt;0,VLOOKUP($C2112,ENTI!$AL$4:AP$1003,5,FALSE),"")</f>
        <v>#N/A</v>
      </c>
      <c r="H2112" s="179" t="e">
        <f>IF($C$1077&gt;0,VLOOKUP($C2112,ENTI!$AL$4:AQ$1003,6,FALSE),"")</f>
        <v>#N/A</v>
      </c>
      <c r="I2112" s="187"/>
      <c r="J2112" s="140" t="e">
        <f ca="1">VLOOKUP(D2112,$F$1081:$I$4183,4,FALSE)+COUNTIF(E$1081:E2111,E2112)</f>
        <v>#N/A</v>
      </c>
      <c r="K2112" s="1"/>
      <c r="L2112" s="156"/>
      <c r="M2112" s="1"/>
      <c r="N2112" s="1"/>
      <c r="O2112" s="1"/>
    </row>
    <row r="2113" spans="1:15" hidden="1">
      <c r="A2113" s="1"/>
      <c r="B2113" s="197" t="e">
        <f t="shared" ca="1" si="231"/>
        <v>#N/A</v>
      </c>
      <c r="C2113" s="498">
        <v>47</v>
      </c>
      <c r="D2113" s="41" t="e">
        <f>IF($C$1077&gt;0,VLOOKUP($C2113,ENTI!$AL$4:AN$1003,3,FALSE),"")</f>
        <v>#N/A</v>
      </c>
      <c r="E2113" s="41" t="str">
        <f t="shared" si="230"/>
        <v/>
      </c>
      <c r="F2113" s="200"/>
      <c r="G2113" s="178" t="e">
        <f>IF($C$1077&gt;0,VLOOKUP($C2113,ENTI!$AL$4:AP$1003,5,FALSE),"")</f>
        <v>#N/A</v>
      </c>
      <c r="H2113" s="179" t="e">
        <f>IF($C$1077&gt;0,VLOOKUP($C2113,ENTI!$AL$4:AQ$1003,6,FALSE),"")</f>
        <v>#N/A</v>
      </c>
      <c r="I2113" s="187"/>
      <c r="J2113" s="140" t="e">
        <f ca="1">VLOOKUP(D2113,$F$1081:$I$4183,4,FALSE)+COUNTIF(E$1081:E2112,E2113)</f>
        <v>#N/A</v>
      </c>
      <c r="K2113" s="1"/>
      <c r="L2113" s="156"/>
      <c r="M2113" s="1"/>
      <c r="N2113" s="1"/>
      <c r="O2113" s="1"/>
    </row>
    <row r="2114" spans="1:15" hidden="1">
      <c r="A2114" s="1"/>
      <c r="B2114" s="197" t="e">
        <f t="shared" ca="1" si="231"/>
        <v>#N/A</v>
      </c>
      <c r="C2114" s="498">
        <v>48</v>
      </c>
      <c r="D2114" s="41" t="e">
        <f>IF($C$1077&gt;0,VLOOKUP($C2114,ENTI!$AL$4:AN$1003,3,FALSE),"")</f>
        <v>#N/A</v>
      </c>
      <c r="E2114" s="41" t="str">
        <f t="shared" si="230"/>
        <v/>
      </c>
      <c r="F2114" s="200"/>
      <c r="G2114" s="178" t="e">
        <f>IF($C$1077&gt;0,VLOOKUP($C2114,ENTI!$AL$4:AP$1003,5,FALSE),"")</f>
        <v>#N/A</v>
      </c>
      <c r="H2114" s="179" t="e">
        <f>IF($C$1077&gt;0,VLOOKUP($C2114,ENTI!$AL$4:AQ$1003,6,FALSE),"")</f>
        <v>#N/A</v>
      </c>
      <c r="I2114" s="187"/>
      <c r="J2114" s="140" t="e">
        <f ca="1">VLOOKUP(D2114,$F$1081:$I$4183,4,FALSE)+COUNTIF(E$1081:E2113,E2114)</f>
        <v>#N/A</v>
      </c>
      <c r="K2114" s="1"/>
      <c r="L2114" s="156"/>
      <c r="M2114" s="1"/>
      <c r="N2114" s="1"/>
      <c r="O2114" s="1"/>
    </row>
    <row r="2115" spans="1:15" hidden="1">
      <c r="A2115" s="1"/>
      <c r="B2115" s="197" t="e">
        <f t="shared" ca="1" si="231"/>
        <v>#N/A</v>
      </c>
      <c r="C2115" s="498">
        <v>49</v>
      </c>
      <c r="D2115" s="41" t="e">
        <f>IF($C$1077&gt;0,VLOOKUP($C2115,ENTI!$AL$4:AN$1003,3,FALSE),"")</f>
        <v>#N/A</v>
      </c>
      <c r="E2115" s="41" t="str">
        <f t="shared" si="230"/>
        <v/>
      </c>
      <c r="F2115" s="200"/>
      <c r="G2115" s="178" t="e">
        <f>IF($C$1077&gt;0,VLOOKUP($C2115,ENTI!$AL$4:AP$1003,5,FALSE),"")</f>
        <v>#N/A</v>
      </c>
      <c r="H2115" s="179" t="e">
        <f>IF($C$1077&gt;0,VLOOKUP($C2115,ENTI!$AL$4:AQ$1003,6,FALSE),"")</f>
        <v>#N/A</v>
      </c>
      <c r="I2115" s="187"/>
      <c r="J2115" s="140" t="e">
        <f ca="1">VLOOKUP(D2115,$F$1081:$I$4183,4,FALSE)+COUNTIF(E$1081:E2114,E2115)</f>
        <v>#N/A</v>
      </c>
      <c r="K2115" s="1"/>
      <c r="L2115" s="156"/>
      <c r="M2115" s="1"/>
      <c r="N2115" s="1"/>
      <c r="O2115" s="1"/>
    </row>
    <row r="2116" spans="1:15" hidden="1">
      <c r="A2116" s="1"/>
      <c r="B2116" s="197" t="e">
        <f t="shared" ca="1" si="231"/>
        <v>#N/A</v>
      </c>
      <c r="C2116" s="498">
        <v>50</v>
      </c>
      <c r="D2116" s="41" t="e">
        <f>IF($C$1077&gt;0,VLOOKUP($C2116,ENTI!$AL$4:AN$1003,3,FALSE),"")</f>
        <v>#N/A</v>
      </c>
      <c r="E2116" s="41" t="str">
        <f t="shared" si="230"/>
        <v/>
      </c>
      <c r="F2116" s="200"/>
      <c r="G2116" s="178" t="e">
        <f>IF($C$1077&gt;0,VLOOKUP($C2116,ENTI!$AL$4:AP$1003,5,FALSE),"")</f>
        <v>#N/A</v>
      </c>
      <c r="H2116" s="179" t="e">
        <f>IF($C$1077&gt;0,VLOOKUP($C2116,ENTI!$AL$4:AQ$1003,6,FALSE),"")</f>
        <v>#N/A</v>
      </c>
      <c r="I2116" s="187"/>
      <c r="J2116" s="140" t="e">
        <f ca="1">VLOOKUP(D2116,$F$1081:$I$4183,4,FALSE)+COUNTIF(E$1081:E2115,E2116)</f>
        <v>#N/A</v>
      </c>
      <c r="K2116" s="1"/>
      <c r="L2116" s="156"/>
      <c r="M2116" s="1"/>
      <c r="N2116" s="1"/>
      <c r="O2116" s="1"/>
    </row>
    <row r="2117" spans="1:15" hidden="1">
      <c r="A2117" s="1"/>
      <c r="B2117" s="197" t="e">
        <f t="shared" ca="1" si="231"/>
        <v>#N/A</v>
      </c>
      <c r="C2117" s="498">
        <v>51</v>
      </c>
      <c r="D2117" s="41" t="e">
        <f>IF($C$1077&gt;0,VLOOKUP($C2117,ENTI!$AL$4:AN$1003,3,FALSE),"")</f>
        <v>#N/A</v>
      </c>
      <c r="E2117" s="41" t="str">
        <f t="shared" si="230"/>
        <v/>
      </c>
      <c r="F2117" s="200"/>
      <c r="G2117" s="178" t="e">
        <f>IF($C$1077&gt;0,VLOOKUP($C2117,ENTI!$AL$4:AP$1003,5,FALSE),"")</f>
        <v>#N/A</v>
      </c>
      <c r="H2117" s="179" t="e">
        <f>IF($C$1077&gt;0,VLOOKUP($C2117,ENTI!$AL$4:AQ$1003,6,FALSE),"")</f>
        <v>#N/A</v>
      </c>
      <c r="I2117" s="187"/>
      <c r="J2117" s="140" t="e">
        <f ca="1">VLOOKUP(D2117,$F$1081:$I$4183,4,FALSE)+COUNTIF(E$1081:E2116,E2117)</f>
        <v>#N/A</v>
      </c>
      <c r="K2117" s="1"/>
      <c r="L2117" s="156"/>
      <c r="M2117" s="1"/>
      <c r="N2117" s="1"/>
      <c r="O2117" s="1"/>
    </row>
    <row r="2118" spans="1:15" hidden="1">
      <c r="A2118" s="1"/>
      <c r="B2118" s="197" t="e">
        <f t="shared" ca="1" si="231"/>
        <v>#N/A</v>
      </c>
      <c r="C2118" s="498">
        <v>52</v>
      </c>
      <c r="D2118" s="41" t="e">
        <f>IF($C$1077&gt;0,VLOOKUP($C2118,ENTI!$AL$4:AN$1003,3,FALSE),"")</f>
        <v>#N/A</v>
      </c>
      <c r="E2118" s="41" t="str">
        <f t="shared" si="230"/>
        <v/>
      </c>
      <c r="F2118" s="200"/>
      <c r="G2118" s="178" t="e">
        <f>IF($C$1077&gt;0,VLOOKUP($C2118,ENTI!$AL$4:AP$1003,5,FALSE),"")</f>
        <v>#N/A</v>
      </c>
      <c r="H2118" s="179" t="e">
        <f>IF($C$1077&gt;0,VLOOKUP($C2118,ENTI!$AL$4:AQ$1003,6,FALSE),"")</f>
        <v>#N/A</v>
      </c>
      <c r="I2118" s="187"/>
      <c r="J2118" s="140" t="e">
        <f ca="1">VLOOKUP(D2118,$F$1081:$I$4183,4,FALSE)+COUNTIF(E$1081:E2117,E2118)</f>
        <v>#N/A</v>
      </c>
      <c r="K2118" s="1"/>
      <c r="L2118" s="156"/>
      <c r="M2118" s="1"/>
      <c r="N2118" s="1"/>
      <c r="O2118" s="1"/>
    </row>
    <row r="2119" spans="1:15" hidden="1">
      <c r="A2119" s="1"/>
      <c r="B2119" s="197" t="e">
        <f t="shared" ca="1" si="231"/>
        <v>#N/A</v>
      </c>
      <c r="C2119" s="498">
        <v>53</v>
      </c>
      <c r="D2119" s="41" t="e">
        <f>IF($C$1077&gt;0,VLOOKUP($C2119,ENTI!$AL$4:AN$1003,3,FALSE),"")</f>
        <v>#N/A</v>
      </c>
      <c r="E2119" s="41" t="str">
        <f t="shared" si="230"/>
        <v/>
      </c>
      <c r="F2119" s="200"/>
      <c r="G2119" s="178" t="e">
        <f>IF($C$1077&gt;0,VLOOKUP($C2119,ENTI!$AL$4:AP$1003,5,FALSE),"")</f>
        <v>#N/A</v>
      </c>
      <c r="H2119" s="179" t="e">
        <f>IF($C$1077&gt;0,VLOOKUP($C2119,ENTI!$AL$4:AQ$1003,6,FALSE),"")</f>
        <v>#N/A</v>
      </c>
      <c r="I2119" s="187"/>
      <c r="J2119" s="140" t="e">
        <f ca="1">VLOOKUP(D2119,$F$1081:$I$4183,4,FALSE)+COUNTIF(E$1081:E2118,E2119)</f>
        <v>#N/A</v>
      </c>
      <c r="K2119" s="1"/>
      <c r="L2119" s="156"/>
      <c r="M2119" s="1"/>
      <c r="N2119" s="1"/>
      <c r="O2119" s="1"/>
    </row>
    <row r="2120" spans="1:15" hidden="1">
      <c r="A2120" s="1"/>
      <c r="B2120" s="197" t="e">
        <f t="shared" ca="1" si="231"/>
        <v>#N/A</v>
      </c>
      <c r="C2120" s="498">
        <v>54</v>
      </c>
      <c r="D2120" s="41" t="e">
        <f>IF($C$1077&gt;0,VLOOKUP($C2120,ENTI!$AL$4:AN$1003,3,FALSE),"")</f>
        <v>#N/A</v>
      </c>
      <c r="E2120" s="41" t="str">
        <f t="shared" si="230"/>
        <v/>
      </c>
      <c r="F2120" s="200"/>
      <c r="G2120" s="178" t="e">
        <f>IF($C$1077&gt;0,VLOOKUP($C2120,ENTI!$AL$4:AP$1003,5,FALSE),"")</f>
        <v>#N/A</v>
      </c>
      <c r="H2120" s="179" t="e">
        <f>IF($C$1077&gt;0,VLOOKUP($C2120,ENTI!$AL$4:AQ$1003,6,FALSE),"")</f>
        <v>#N/A</v>
      </c>
      <c r="I2120" s="187"/>
      <c r="J2120" s="140" t="e">
        <f ca="1">VLOOKUP(D2120,$F$1081:$I$4183,4,FALSE)+COUNTIF(E$1081:E2119,E2120)</f>
        <v>#N/A</v>
      </c>
      <c r="K2120" s="1"/>
      <c r="L2120" s="156"/>
      <c r="M2120" s="1"/>
      <c r="N2120" s="1"/>
      <c r="O2120" s="1"/>
    </row>
    <row r="2121" spans="1:15" hidden="1">
      <c r="A2121" s="1"/>
      <c r="B2121" s="197" t="e">
        <f t="shared" ca="1" si="231"/>
        <v>#N/A</v>
      </c>
      <c r="C2121" s="498">
        <v>55</v>
      </c>
      <c r="D2121" s="41" t="e">
        <f>IF($C$1077&gt;0,VLOOKUP($C2121,ENTI!$AL$4:AN$1003,3,FALSE),"")</f>
        <v>#N/A</v>
      </c>
      <c r="E2121" s="41" t="str">
        <f t="shared" si="230"/>
        <v/>
      </c>
      <c r="F2121" s="200"/>
      <c r="G2121" s="178" t="e">
        <f>IF($C$1077&gt;0,VLOOKUP($C2121,ENTI!$AL$4:AP$1003,5,FALSE),"")</f>
        <v>#N/A</v>
      </c>
      <c r="H2121" s="179" t="e">
        <f>IF($C$1077&gt;0,VLOOKUP($C2121,ENTI!$AL$4:AQ$1003,6,FALSE),"")</f>
        <v>#N/A</v>
      </c>
      <c r="I2121" s="187"/>
      <c r="J2121" s="140" t="e">
        <f ca="1">VLOOKUP(D2121,$F$1081:$I$4183,4,FALSE)+COUNTIF(E$1081:E2120,E2121)</f>
        <v>#N/A</v>
      </c>
      <c r="K2121" s="1"/>
      <c r="L2121" s="156"/>
      <c r="M2121" s="1"/>
      <c r="N2121" s="1"/>
      <c r="O2121" s="1"/>
    </row>
    <row r="2122" spans="1:15" hidden="1">
      <c r="A2122" s="1"/>
      <c r="B2122" s="197" t="e">
        <f t="shared" ca="1" si="231"/>
        <v>#N/A</v>
      </c>
      <c r="C2122" s="498">
        <v>56</v>
      </c>
      <c r="D2122" s="41" t="e">
        <f>IF($C$1077&gt;0,VLOOKUP($C2122,ENTI!$AL$4:AN$1003,3,FALSE),"")</f>
        <v>#N/A</v>
      </c>
      <c r="E2122" s="41" t="str">
        <f t="shared" si="230"/>
        <v/>
      </c>
      <c r="F2122" s="200"/>
      <c r="G2122" s="178" t="e">
        <f>IF($C$1077&gt;0,VLOOKUP($C2122,ENTI!$AL$4:AP$1003,5,FALSE),"")</f>
        <v>#N/A</v>
      </c>
      <c r="H2122" s="179" t="e">
        <f>IF($C$1077&gt;0,VLOOKUP($C2122,ENTI!$AL$4:AQ$1003,6,FALSE),"")</f>
        <v>#N/A</v>
      </c>
      <c r="I2122" s="187"/>
      <c r="J2122" s="140" t="e">
        <f ca="1">VLOOKUP(D2122,$F$1081:$I$4183,4,FALSE)+COUNTIF(E$1081:E2121,E2122)</f>
        <v>#N/A</v>
      </c>
      <c r="K2122" s="1"/>
      <c r="L2122" s="156"/>
      <c r="M2122" s="1"/>
      <c r="N2122" s="1"/>
      <c r="O2122" s="1"/>
    </row>
    <row r="2123" spans="1:15" hidden="1">
      <c r="A2123" s="1"/>
      <c r="B2123" s="197" t="e">
        <f t="shared" ca="1" si="231"/>
        <v>#N/A</v>
      </c>
      <c r="C2123" s="498">
        <v>57</v>
      </c>
      <c r="D2123" s="41" t="e">
        <f>IF($C$1077&gt;0,VLOOKUP($C2123,ENTI!$AL$4:AN$1003,3,FALSE),"")</f>
        <v>#N/A</v>
      </c>
      <c r="E2123" s="41" t="str">
        <f t="shared" si="230"/>
        <v/>
      </c>
      <c r="F2123" s="200"/>
      <c r="G2123" s="178" t="e">
        <f>IF($C$1077&gt;0,VLOOKUP($C2123,ENTI!$AL$4:AP$1003,5,FALSE),"")</f>
        <v>#N/A</v>
      </c>
      <c r="H2123" s="179" t="e">
        <f>IF($C$1077&gt;0,VLOOKUP($C2123,ENTI!$AL$4:AQ$1003,6,FALSE),"")</f>
        <v>#N/A</v>
      </c>
      <c r="I2123" s="187"/>
      <c r="J2123" s="140" t="e">
        <f ca="1">VLOOKUP(D2123,$F$1081:$I$4183,4,FALSE)+COUNTIF(E$1081:E2122,E2123)</f>
        <v>#N/A</v>
      </c>
      <c r="K2123" s="1"/>
      <c r="L2123" s="156"/>
      <c r="M2123" s="1"/>
      <c r="N2123" s="1"/>
      <c r="O2123" s="1"/>
    </row>
    <row r="2124" spans="1:15" hidden="1">
      <c r="A2124" s="1"/>
      <c r="B2124" s="197" t="e">
        <f t="shared" ca="1" si="231"/>
        <v>#N/A</v>
      </c>
      <c r="C2124" s="498">
        <v>58</v>
      </c>
      <c r="D2124" s="41" t="e">
        <f>IF($C$1077&gt;0,VLOOKUP($C2124,ENTI!$AL$4:AN$1003,3,FALSE),"")</f>
        <v>#N/A</v>
      </c>
      <c r="E2124" s="41" t="str">
        <f t="shared" si="230"/>
        <v/>
      </c>
      <c r="F2124" s="200"/>
      <c r="G2124" s="178" t="e">
        <f>IF($C$1077&gt;0,VLOOKUP($C2124,ENTI!$AL$4:AP$1003,5,FALSE),"")</f>
        <v>#N/A</v>
      </c>
      <c r="H2124" s="179" t="e">
        <f>IF($C$1077&gt;0,VLOOKUP($C2124,ENTI!$AL$4:AQ$1003,6,FALSE),"")</f>
        <v>#N/A</v>
      </c>
      <c r="I2124" s="187"/>
      <c r="J2124" s="140" t="e">
        <f ca="1">VLOOKUP(D2124,$F$1081:$I$4183,4,FALSE)+COUNTIF(E$1081:E2123,E2124)</f>
        <v>#N/A</v>
      </c>
      <c r="K2124" s="1"/>
      <c r="L2124" s="156"/>
      <c r="M2124" s="1"/>
      <c r="N2124" s="1"/>
      <c r="O2124" s="1"/>
    </row>
    <row r="2125" spans="1:15" hidden="1">
      <c r="A2125" s="1"/>
      <c r="B2125" s="197" t="e">
        <f t="shared" ca="1" si="231"/>
        <v>#N/A</v>
      </c>
      <c r="C2125" s="498">
        <v>59</v>
      </c>
      <c r="D2125" s="41" t="e">
        <f>IF($C$1077&gt;0,VLOOKUP($C2125,ENTI!$AL$4:AN$1003,3,FALSE),"")</f>
        <v>#N/A</v>
      </c>
      <c r="E2125" s="41" t="str">
        <f t="shared" si="230"/>
        <v/>
      </c>
      <c r="F2125" s="200"/>
      <c r="G2125" s="178" t="e">
        <f>IF($C$1077&gt;0,VLOOKUP($C2125,ENTI!$AL$4:AP$1003,5,FALSE),"")</f>
        <v>#N/A</v>
      </c>
      <c r="H2125" s="179" t="e">
        <f>IF($C$1077&gt;0,VLOOKUP($C2125,ENTI!$AL$4:AQ$1003,6,FALSE),"")</f>
        <v>#N/A</v>
      </c>
      <c r="I2125" s="187"/>
      <c r="J2125" s="140" t="e">
        <f ca="1">VLOOKUP(D2125,$F$1081:$I$4183,4,FALSE)+COUNTIF(E$1081:E2124,E2125)</f>
        <v>#N/A</v>
      </c>
      <c r="K2125" s="1"/>
      <c r="L2125" s="156"/>
      <c r="M2125" s="1"/>
      <c r="N2125" s="1"/>
      <c r="O2125" s="1"/>
    </row>
    <row r="2126" spans="1:15" hidden="1">
      <c r="A2126" s="1"/>
      <c r="B2126" s="197" t="e">
        <f t="shared" ca="1" si="231"/>
        <v>#N/A</v>
      </c>
      <c r="C2126" s="498">
        <v>60</v>
      </c>
      <c r="D2126" s="41" t="e">
        <f>IF($C$1077&gt;0,VLOOKUP($C2126,ENTI!$AL$4:AN$1003,3,FALSE),"")</f>
        <v>#N/A</v>
      </c>
      <c r="E2126" s="41" t="str">
        <f t="shared" si="230"/>
        <v/>
      </c>
      <c r="F2126" s="200"/>
      <c r="G2126" s="178" t="e">
        <f>IF($C$1077&gt;0,VLOOKUP($C2126,ENTI!$AL$4:AP$1003,5,FALSE),"")</f>
        <v>#N/A</v>
      </c>
      <c r="H2126" s="179" t="e">
        <f>IF($C$1077&gt;0,VLOOKUP($C2126,ENTI!$AL$4:AQ$1003,6,FALSE),"")</f>
        <v>#N/A</v>
      </c>
      <c r="I2126" s="187"/>
      <c r="J2126" s="140" t="e">
        <f ca="1">VLOOKUP(D2126,$F$1081:$I$4183,4,FALSE)+COUNTIF(E$1081:E2125,E2126)</f>
        <v>#N/A</v>
      </c>
      <c r="K2126" s="1"/>
      <c r="L2126" s="156"/>
      <c r="M2126" s="1"/>
      <c r="N2126" s="1"/>
      <c r="O2126" s="1"/>
    </row>
    <row r="2127" spans="1:15" hidden="1">
      <c r="A2127" s="1"/>
      <c r="B2127" s="197" t="e">
        <f t="shared" ca="1" si="231"/>
        <v>#N/A</v>
      </c>
      <c r="C2127" s="498">
        <v>61</v>
      </c>
      <c r="D2127" s="41" t="e">
        <f>IF($C$1077&gt;0,VLOOKUP($C2127,ENTI!$AL$4:AN$1003,3,FALSE),"")</f>
        <v>#N/A</v>
      </c>
      <c r="E2127" s="41" t="str">
        <f t="shared" si="230"/>
        <v/>
      </c>
      <c r="F2127" s="200"/>
      <c r="G2127" s="178" t="e">
        <f>IF($C$1077&gt;0,VLOOKUP($C2127,ENTI!$AL$4:AP$1003,5,FALSE),"")</f>
        <v>#N/A</v>
      </c>
      <c r="H2127" s="179" t="e">
        <f>IF($C$1077&gt;0,VLOOKUP($C2127,ENTI!$AL$4:AQ$1003,6,FALSE),"")</f>
        <v>#N/A</v>
      </c>
      <c r="I2127" s="187"/>
      <c r="J2127" s="140" t="e">
        <f ca="1">VLOOKUP(D2127,$F$1081:$I$4183,4,FALSE)+COUNTIF(E$1081:E2126,E2127)</f>
        <v>#N/A</v>
      </c>
      <c r="K2127" s="1"/>
      <c r="L2127" s="156"/>
      <c r="M2127" s="1"/>
      <c r="N2127" s="1"/>
      <c r="O2127" s="1"/>
    </row>
    <row r="2128" spans="1:15" hidden="1">
      <c r="A2128" s="1"/>
      <c r="B2128" s="197" t="e">
        <f t="shared" ca="1" si="231"/>
        <v>#N/A</v>
      </c>
      <c r="C2128" s="498">
        <v>62</v>
      </c>
      <c r="D2128" s="41" t="e">
        <f>IF($C$1077&gt;0,VLOOKUP($C2128,ENTI!$AL$4:AN$1003,3,FALSE),"")</f>
        <v>#N/A</v>
      </c>
      <c r="E2128" s="41" t="str">
        <f t="shared" si="230"/>
        <v/>
      </c>
      <c r="F2128" s="200"/>
      <c r="G2128" s="178" t="e">
        <f>IF($C$1077&gt;0,VLOOKUP($C2128,ENTI!$AL$4:AP$1003,5,FALSE),"")</f>
        <v>#N/A</v>
      </c>
      <c r="H2128" s="179" t="e">
        <f>IF($C$1077&gt;0,VLOOKUP($C2128,ENTI!$AL$4:AQ$1003,6,FALSE),"")</f>
        <v>#N/A</v>
      </c>
      <c r="I2128" s="187"/>
      <c r="J2128" s="140" t="e">
        <f ca="1">VLOOKUP(D2128,$F$1081:$I$4183,4,FALSE)+COUNTIF(E$1081:E2127,E2128)</f>
        <v>#N/A</v>
      </c>
      <c r="K2128" s="1"/>
      <c r="L2128" s="156"/>
      <c r="M2128" s="1"/>
      <c r="N2128" s="1"/>
      <c r="O2128" s="1"/>
    </row>
    <row r="2129" spans="1:15" hidden="1">
      <c r="A2129" s="1"/>
      <c r="B2129" s="197" t="e">
        <f t="shared" ca="1" si="231"/>
        <v>#N/A</v>
      </c>
      <c r="C2129" s="498">
        <v>63</v>
      </c>
      <c r="D2129" s="41" t="e">
        <f>IF($C$1077&gt;0,VLOOKUP($C2129,ENTI!$AL$4:AN$1003,3,FALSE),"")</f>
        <v>#N/A</v>
      </c>
      <c r="E2129" s="41" t="str">
        <f t="shared" si="230"/>
        <v/>
      </c>
      <c r="F2129" s="200"/>
      <c r="G2129" s="178" t="e">
        <f>IF($C$1077&gt;0,VLOOKUP($C2129,ENTI!$AL$4:AP$1003,5,FALSE),"")</f>
        <v>#N/A</v>
      </c>
      <c r="H2129" s="179" t="e">
        <f>IF($C$1077&gt;0,VLOOKUP($C2129,ENTI!$AL$4:AQ$1003,6,FALSE),"")</f>
        <v>#N/A</v>
      </c>
      <c r="I2129" s="187"/>
      <c r="J2129" s="140" t="e">
        <f ca="1">VLOOKUP(D2129,$F$1081:$I$4183,4,FALSE)+COUNTIF(E$1081:E2128,E2129)</f>
        <v>#N/A</v>
      </c>
      <c r="K2129" s="1"/>
      <c r="L2129" s="156"/>
      <c r="M2129" s="1"/>
      <c r="N2129" s="1"/>
      <c r="O2129" s="1"/>
    </row>
    <row r="2130" spans="1:15" hidden="1">
      <c r="A2130" s="1"/>
      <c r="B2130" s="197" t="e">
        <f t="shared" ca="1" si="231"/>
        <v>#N/A</v>
      </c>
      <c r="C2130" s="498">
        <v>64</v>
      </c>
      <c r="D2130" s="41" t="e">
        <f>IF($C$1077&gt;0,VLOOKUP($C2130,ENTI!$AL$4:AN$1003,3,FALSE),"")</f>
        <v>#N/A</v>
      </c>
      <c r="E2130" s="41" t="str">
        <f t="shared" ref="E2130:E2193" si="232">IF(ISERROR(D2130),"",D2130)</f>
        <v/>
      </c>
      <c r="F2130" s="200"/>
      <c r="G2130" s="178" t="e">
        <f>IF($C$1077&gt;0,VLOOKUP($C2130,ENTI!$AL$4:AP$1003,5,FALSE),"")</f>
        <v>#N/A</v>
      </c>
      <c r="H2130" s="179" t="e">
        <f>IF($C$1077&gt;0,VLOOKUP($C2130,ENTI!$AL$4:AQ$1003,6,FALSE),"")</f>
        <v>#N/A</v>
      </c>
      <c r="I2130" s="187"/>
      <c r="J2130" s="140" t="e">
        <f ca="1">VLOOKUP(D2130,$F$1081:$I$4183,4,FALSE)+COUNTIF(E$1081:E2129,E2130)</f>
        <v>#N/A</v>
      </c>
      <c r="K2130" s="1"/>
      <c r="L2130" s="156"/>
      <c r="M2130" s="1"/>
      <c r="N2130" s="1"/>
      <c r="O2130" s="1"/>
    </row>
    <row r="2131" spans="1:15" hidden="1">
      <c r="A2131" s="1"/>
      <c r="B2131" s="197" t="e">
        <f t="shared" ca="1" si="231"/>
        <v>#N/A</v>
      </c>
      <c r="C2131" s="498">
        <v>65</v>
      </c>
      <c r="D2131" s="41" t="e">
        <f>IF($C$1077&gt;0,VLOOKUP($C2131,ENTI!$AL$4:AN$1003,3,FALSE),"")</f>
        <v>#N/A</v>
      </c>
      <c r="E2131" s="41" t="str">
        <f t="shared" si="232"/>
        <v/>
      </c>
      <c r="F2131" s="200"/>
      <c r="G2131" s="178" t="e">
        <f>IF($C$1077&gt;0,VLOOKUP($C2131,ENTI!$AL$4:AP$1003,5,FALSE),"")</f>
        <v>#N/A</v>
      </c>
      <c r="H2131" s="179" t="e">
        <f>IF($C$1077&gt;0,VLOOKUP($C2131,ENTI!$AL$4:AQ$1003,6,FALSE),"")</f>
        <v>#N/A</v>
      </c>
      <c r="I2131" s="187"/>
      <c r="J2131" s="140" t="e">
        <f ca="1">VLOOKUP(D2131,$F$1081:$I$4183,4,FALSE)+COUNTIF(E$1081:E2130,E2131)</f>
        <v>#N/A</v>
      </c>
      <c r="K2131" s="1"/>
      <c r="L2131" s="156"/>
      <c r="M2131" s="1"/>
      <c r="N2131" s="1"/>
      <c r="O2131" s="1"/>
    </row>
    <row r="2132" spans="1:15" hidden="1">
      <c r="A2132" s="1"/>
      <c r="B2132" s="197" t="e">
        <f t="shared" ca="1" si="231"/>
        <v>#N/A</v>
      </c>
      <c r="C2132" s="498">
        <v>66</v>
      </c>
      <c r="D2132" s="41" t="e">
        <f>IF($C$1077&gt;0,VLOOKUP($C2132,ENTI!$AL$4:AN$1003,3,FALSE),"")</f>
        <v>#N/A</v>
      </c>
      <c r="E2132" s="41" t="str">
        <f t="shared" si="232"/>
        <v/>
      </c>
      <c r="F2132" s="200"/>
      <c r="G2132" s="178" t="e">
        <f>IF($C$1077&gt;0,VLOOKUP($C2132,ENTI!$AL$4:AP$1003,5,FALSE),"")</f>
        <v>#N/A</v>
      </c>
      <c r="H2132" s="179" t="e">
        <f>IF($C$1077&gt;0,VLOOKUP($C2132,ENTI!$AL$4:AQ$1003,6,FALSE),"")</f>
        <v>#N/A</v>
      </c>
      <c r="I2132" s="187"/>
      <c r="J2132" s="140" t="e">
        <f ca="1">VLOOKUP(D2132,$F$1081:$I$4183,4,FALSE)+COUNTIF(E$1081:E2131,E2132)</f>
        <v>#N/A</v>
      </c>
      <c r="K2132" s="1"/>
      <c r="L2132" s="156"/>
      <c r="M2132" s="1"/>
      <c r="N2132" s="1"/>
      <c r="O2132" s="1"/>
    </row>
    <row r="2133" spans="1:15" hidden="1">
      <c r="A2133" s="1"/>
      <c r="B2133" s="197" t="e">
        <f t="shared" ca="1" si="231"/>
        <v>#N/A</v>
      </c>
      <c r="C2133" s="498">
        <v>67</v>
      </c>
      <c r="D2133" s="41" t="e">
        <f>IF($C$1077&gt;0,VLOOKUP($C2133,ENTI!$AL$4:AN$1003,3,FALSE),"")</f>
        <v>#N/A</v>
      </c>
      <c r="E2133" s="41" t="str">
        <f t="shared" si="232"/>
        <v/>
      </c>
      <c r="F2133" s="200"/>
      <c r="G2133" s="178" t="e">
        <f>IF($C$1077&gt;0,VLOOKUP($C2133,ENTI!$AL$4:AP$1003,5,FALSE),"")</f>
        <v>#N/A</v>
      </c>
      <c r="H2133" s="179" t="e">
        <f>IF($C$1077&gt;0,VLOOKUP($C2133,ENTI!$AL$4:AQ$1003,6,FALSE),"")</f>
        <v>#N/A</v>
      </c>
      <c r="I2133" s="187"/>
      <c r="J2133" s="140" t="e">
        <f ca="1">VLOOKUP(D2133,$F$1081:$I$4183,4,FALSE)+COUNTIF(E$1081:E2132,E2133)</f>
        <v>#N/A</v>
      </c>
      <c r="K2133" s="1"/>
      <c r="L2133" s="156"/>
      <c r="M2133" s="1"/>
      <c r="N2133" s="1"/>
      <c r="O2133" s="1"/>
    </row>
    <row r="2134" spans="1:15" hidden="1">
      <c r="A2134" s="1"/>
      <c r="B2134" s="197" t="e">
        <f t="shared" ca="1" si="231"/>
        <v>#N/A</v>
      </c>
      <c r="C2134" s="498">
        <v>68</v>
      </c>
      <c r="D2134" s="41" t="e">
        <f>IF($C$1077&gt;0,VLOOKUP($C2134,ENTI!$AL$4:AN$1003,3,FALSE),"")</f>
        <v>#N/A</v>
      </c>
      <c r="E2134" s="41" t="str">
        <f t="shared" si="232"/>
        <v/>
      </c>
      <c r="F2134" s="200"/>
      <c r="G2134" s="178" t="e">
        <f>IF($C$1077&gt;0,VLOOKUP($C2134,ENTI!$AL$4:AP$1003,5,FALSE),"")</f>
        <v>#N/A</v>
      </c>
      <c r="H2134" s="179" t="e">
        <f>IF($C$1077&gt;0,VLOOKUP($C2134,ENTI!$AL$4:AQ$1003,6,FALSE),"")</f>
        <v>#N/A</v>
      </c>
      <c r="I2134" s="187"/>
      <c r="J2134" s="140" t="e">
        <f ca="1">VLOOKUP(D2134,$F$1081:$I$4183,4,FALSE)+COUNTIF(E$1081:E2133,E2134)</f>
        <v>#N/A</v>
      </c>
      <c r="K2134" s="1"/>
      <c r="L2134" s="156"/>
      <c r="M2134" s="1"/>
      <c r="N2134" s="1"/>
      <c r="O2134" s="1"/>
    </row>
    <row r="2135" spans="1:15" hidden="1">
      <c r="A2135" s="1"/>
      <c r="B2135" s="197" t="e">
        <f t="shared" ca="1" si="231"/>
        <v>#N/A</v>
      </c>
      <c r="C2135" s="498">
        <v>69</v>
      </c>
      <c r="D2135" s="41" t="e">
        <f>IF($C$1077&gt;0,VLOOKUP($C2135,ENTI!$AL$4:AN$1003,3,FALSE),"")</f>
        <v>#N/A</v>
      </c>
      <c r="E2135" s="41" t="str">
        <f t="shared" si="232"/>
        <v/>
      </c>
      <c r="F2135" s="200"/>
      <c r="G2135" s="178" t="e">
        <f>IF($C$1077&gt;0,VLOOKUP($C2135,ENTI!$AL$4:AP$1003,5,FALSE),"")</f>
        <v>#N/A</v>
      </c>
      <c r="H2135" s="179" t="e">
        <f>IF($C$1077&gt;0,VLOOKUP($C2135,ENTI!$AL$4:AQ$1003,6,FALSE),"")</f>
        <v>#N/A</v>
      </c>
      <c r="I2135" s="187"/>
      <c r="J2135" s="140" t="e">
        <f ca="1">VLOOKUP(D2135,$F$1081:$I$4183,4,FALSE)+COUNTIF(E$1081:E2134,E2135)</f>
        <v>#N/A</v>
      </c>
      <c r="K2135" s="1"/>
      <c r="L2135" s="156"/>
      <c r="M2135" s="1"/>
      <c r="N2135" s="1"/>
      <c r="O2135" s="1"/>
    </row>
    <row r="2136" spans="1:15" hidden="1">
      <c r="A2136" s="1"/>
      <c r="B2136" s="197" t="e">
        <f t="shared" ca="1" si="231"/>
        <v>#N/A</v>
      </c>
      <c r="C2136" s="498">
        <v>70</v>
      </c>
      <c r="D2136" s="41" t="e">
        <f>IF($C$1077&gt;0,VLOOKUP($C2136,ENTI!$AL$4:AN$1003,3,FALSE),"")</f>
        <v>#N/A</v>
      </c>
      <c r="E2136" s="41" t="str">
        <f t="shared" si="232"/>
        <v/>
      </c>
      <c r="F2136" s="200"/>
      <c r="G2136" s="178" t="e">
        <f>IF($C$1077&gt;0,VLOOKUP($C2136,ENTI!$AL$4:AP$1003,5,FALSE),"")</f>
        <v>#N/A</v>
      </c>
      <c r="H2136" s="179" t="e">
        <f>IF($C$1077&gt;0,VLOOKUP($C2136,ENTI!$AL$4:AQ$1003,6,FALSE),"")</f>
        <v>#N/A</v>
      </c>
      <c r="I2136" s="187"/>
      <c r="J2136" s="140" t="e">
        <f ca="1">VLOOKUP(D2136,$F$1081:$I$4183,4,FALSE)+COUNTIF(E$1081:E2135,E2136)</f>
        <v>#N/A</v>
      </c>
      <c r="K2136" s="1"/>
      <c r="L2136" s="156"/>
      <c r="M2136" s="1"/>
      <c r="N2136" s="1"/>
      <c r="O2136" s="1"/>
    </row>
    <row r="2137" spans="1:15" hidden="1">
      <c r="A2137" s="1"/>
      <c r="B2137" s="197" t="e">
        <f t="shared" ref="B2137:B2200" ca="1" si="233">IF(OR(C$1075&gt;0,C$1077&gt;0,C$1073&gt;0,C$1071&gt;0),J2137+1,J2137)</f>
        <v>#N/A</v>
      </c>
      <c r="C2137" s="498">
        <v>71</v>
      </c>
      <c r="D2137" s="41" t="e">
        <f>IF($C$1077&gt;0,VLOOKUP($C2137,ENTI!$AL$4:AN$1003,3,FALSE),"")</f>
        <v>#N/A</v>
      </c>
      <c r="E2137" s="41" t="str">
        <f t="shared" si="232"/>
        <v/>
      </c>
      <c r="F2137" s="200"/>
      <c r="G2137" s="178" t="e">
        <f>IF($C$1077&gt;0,VLOOKUP($C2137,ENTI!$AL$4:AP$1003,5,FALSE),"")</f>
        <v>#N/A</v>
      </c>
      <c r="H2137" s="179" t="e">
        <f>IF($C$1077&gt;0,VLOOKUP($C2137,ENTI!$AL$4:AQ$1003,6,FALSE),"")</f>
        <v>#N/A</v>
      </c>
      <c r="I2137" s="187"/>
      <c r="J2137" s="140" t="e">
        <f ca="1">VLOOKUP(D2137,$F$1081:$I$4183,4,FALSE)+COUNTIF(E$1081:E2136,E2137)</f>
        <v>#N/A</v>
      </c>
      <c r="K2137" s="1"/>
      <c r="L2137" s="156"/>
      <c r="M2137" s="1"/>
      <c r="N2137" s="1"/>
      <c r="O2137" s="1"/>
    </row>
    <row r="2138" spans="1:15" hidden="1">
      <c r="A2138" s="1"/>
      <c r="B2138" s="197" t="e">
        <f t="shared" ca="1" si="233"/>
        <v>#N/A</v>
      </c>
      <c r="C2138" s="498">
        <v>72</v>
      </c>
      <c r="D2138" s="41" t="e">
        <f>IF($C$1077&gt;0,VLOOKUP($C2138,ENTI!$AL$4:AN$1003,3,FALSE),"")</f>
        <v>#N/A</v>
      </c>
      <c r="E2138" s="41" t="str">
        <f t="shared" si="232"/>
        <v/>
      </c>
      <c r="F2138" s="200"/>
      <c r="G2138" s="178" t="e">
        <f>IF($C$1077&gt;0,VLOOKUP($C2138,ENTI!$AL$4:AP$1003,5,FALSE),"")</f>
        <v>#N/A</v>
      </c>
      <c r="H2138" s="179" t="e">
        <f>IF($C$1077&gt;0,VLOOKUP($C2138,ENTI!$AL$4:AQ$1003,6,FALSE),"")</f>
        <v>#N/A</v>
      </c>
      <c r="I2138" s="187"/>
      <c r="J2138" s="140" t="e">
        <f ca="1">VLOOKUP(D2138,$F$1081:$I$4183,4,FALSE)+COUNTIF(E$1081:E2137,E2138)</f>
        <v>#N/A</v>
      </c>
      <c r="K2138" s="1"/>
      <c r="L2138" s="156"/>
      <c r="M2138" s="1"/>
      <c r="N2138" s="1"/>
      <c r="O2138" s="1"/>
    </row>
    <row r="2139" spans="1:15" hidden="1">
      <c r="A2139" s="1"/>
      <c r="B2139" s="197" t="e">
        <f t="shared" ca="1" si="233"/>
        <v>#N/A</v>
      </c>
      <c r="C2139" s="498">
        <v>73</v>
      </c>
      <c r="D2139" s="41" t="e">
        <f>IF($C$1077&gt;0,VLOOKUP($C2139,ENTI!$AL$4:AN$1003,3,FALSE),"")</f>
        <v>#N/A</v>
      </c>
      <c r="E2139" s="41" t="str">
        <f t="shared" si="232"/>
        <v/>
      </c>
      <c r="F2139" s="200"/>
      <c r="G2139" s="178" t="e">
        <f>IF($C$1077&gt;0,VLOOKUP($C2139,ENTI!$AL$4:AP$1003,5,FALSE),"")</f>
        <v>#N/A</v>
      </c>
      <c r="H2139" s="179" t="e">
        <f>IF($C$1077&gt;0,VLOOKUP($C2139,ENTI!$AL$4:AQ$1003,6,FALSE),"")</f>
        <v>#N/A</v>
      </c>
      <c r="I2139" s="187"/>
      <c r="J2139" s="140" t="e">
        <f ca="1">VLOOKUP(D2139,$F$1081:$I$4183,4,FALSE)+COUNTIF(E$1081:E2138,E2139)</f>
        <v>#N/A</v>
      </c>
      <c r="K2139" s="1"/>
      <c r="L2139" s="156"/>
      <c r="M2139" s="1"/>
      <c r="N2139" s="1"/>
      <c r="O2139" s="1"/>
    </row>
    <row r="2140" spans="1:15" hidden="1">
      <c r="A2140" s="1"/>
      <c r="B2140" s="197" t="e">
        <f t="shared" ca="1" si="233"/>
        <v>#N/A</v>
      </c>
      <c r="C2140" s="498">
        <v>74</v>
      </c>
      <c r="D2140" s="41" t="e">
        <f>IF($C$1077&gt;0,VLOOKUP($C2140,ENTI!$AL$4:AN$1003,3,FALSE),"")</f>
        <v>#N/A</v>
      </c>
      <c r="E2140" s="41" t="str">
        <f t="shared" si="232"/>
        <v/>
      </c>
      <c r="F2140" s="200"/>
      <c r="G2140" s="178" t="e">
        <f>IF($C$1077&gt;0,VLOOKUP($C2140,ENTI!$AL$4:AP$1003,5,FALSE),"")</f>
        <v>#N/A</v>
      </c>
      <c r="H2140" s="179" t="e">
        <f>IF($C$1077&gt;0,VLOOKUP($C2140,ENTI!$AL$4:AQ$1003,6,FALSE),"")</f>
        <v>#N/A</v>
      </c>
      <c r="I2140" s="187"/>
      <c r="J2140" s="140" t="e">
        <f ca="1">VLOOKUP(D2140,$F$1081:$I$4183,4,FALSE)+COUNTIF(E$1081:E2139,E2140)</f>
        <v>#N/A</v>
      </c>
      <c r="K2140" s="1"/>
      <c r="L2140" s="156"/>
      <c r="M2140" s="1"/>
      <c r="N2140" s="1"/>
      <c r="O2140" s="1"/>
    </row>
    <row r="2141" spans="1:15" hidden="1">
      <c r="A2141" s="1"/>
      <c r="B2141" s="197" t="e">
        <f t="shared" ca="1" si="233"/>
        <v>#N/A</v>
      </c>
      <c r="C2141" s="498">
        <v>75</v>
      </c>
      <c r="D2141" s="41" t="e">
        <f>IF($C$1077&gt;0,VLOOKUP($C2141,ENTI!$AL$4:AN$1003,3,FALSE),"")</f>
        <v>#N/A</v>
      </c>
      <c r="E2141" s="41" t="str">
        <f t="shared" si="232"/>
        <v/>
      </c>
      <c r="F2141" s="200"/>
      <c r="G2141" s="178" t="e">
        <f>IF($C$1077&gt;0,VLOOKUP($C2141,ENTI!$AL$4:AP$1003,5,FALSE),"")</f>
        <v>#N/A</v>
      </c>
      <c r="H2141" s="179" t="e">
        <f>IF($C$1077&gt;0,VLOOKUP($C2141,ENTI!$AL$4:AQ$1003,6,FALSE),"")</f>
        <v>#N/A</v>
      </c>
      <c r="I2141" s="187"/>
      <c r="J2141" s="140" t="e">
        <f ca="1">VLOOKUP(D2141,$F$1081:$I$4183,4,FALSE)+COUNTIF(E$1081:E2140,E2141)</f>
        <v>#N/A</v>
      </c>
      <c r="K2141" s="1"/>
      <c r="L2141" s="156"/>
      <c r="M2141" s="1"/>
      <c r="N2141" s="1"/>
      <c r="O2141" s="1"/>
    </row>
    <row r="2142" spans="1:15" hidden="1">
      <c r="A2142" s="1"/>
      <c r="B2142" s="197" t="e">
        <f t="shared" ca="1" si="233"/>
        <v>#N/A</v>
      </c>
      <c r="C2142" s="498">
        <v>76</v>
      </c>
      <c r="D2142" s="41" t="e">
        <f>IF($C$1077&gt;0,VLOOKUP($C2142,ENTI!$AL$4:AN$1003,3,FALSE),"")</f>
        <v>#N/A</v>
      </c>
      <c r="E2142" s="41" t="str">
        <f t="shared" si="232"/>
        <v/>
      </c>
      <c r="F2142" s="200"/>
      <c r="G2142" s="178" t="e">
        <f>IF($C$1077&gt;0,VLOOKUP($C2142,ENTI!$AL$4:AP$1003,5,FALSE),"")</f>
        <v>#N/A</v>
      </c>
      <c r="H2142" s="179" t="e">
        <f>IF($C$1077&gt;0,VLOOKUP($C2142,ENTI!$AL$4:AQ$1003,6,FALSE),"")</f>
        <v>#N/A</v>
      </c>
      <c r="I2142" s="187"/>
      <c r="J2142" s="140" t="e">
        <f ca="1">VLOOKUP(D2142,$F$1081:$I$4183,4,FALSE)+COUNTIF(E$1081:E2141,E2142)</f>
        <v>#N/A</v>
      </c>
      <c r="K2142" s="1"/>
      <c r="L2142" s="156"/>
      <c r="M2142" s="1"/>
      <c r="N2142" s="1"/>
      <c r="O2142" s="1"/>
    </row>
    <row r="2143" spans="1:15" hidden="1">
      <c r="A2143" s="1"/>
      <c r="B2143" s="197" t="e">
        <f t="shared" ca="1" si="233"/>
        <v>#N/A</v>
      </c>
      <c r="C2143" s="498">
        <v>77</v>
      </c>
      <c r="D2143" s="41" t="e">
        <f>IF($C$1077&gt;0,VLOOKUP($C2143,ENTI!$AL$4:AN$1003,3,FALSE),"")</f>
        <v>#N/A</v>
      </c>
      <c r="E2143" s="41" t="str">
        <f t="shared" si="232"/>
        <v/>
      </c>
      <c r="F2143" s="200"/>
      <c r="G2143" s="178" t="e">
        <f>IF($C$1077&gt;0,VLOOKUP($C2143,ENTI!$AL$4:AP$1003,5,FALSE),"")</f>
        <v>#N/A</v>
      </c>
      <c r="H2143" s="179" t="e">
        <f>IF($C$1077&gt;0,VLOOKUP($C2143,ENTI!$AL$4:AQ$1003,6,FALSE),"")</f>
        <v>#N/A</v>
      </c>
      <c r="I2143" s="187"/>
      <c r="J2143" s="140" t="e">
        <f ca="1">VLOOKUP(D2143,$F$1081:$I$4183,4,FALSE)+COUNTIF(E$1081:E2142,E2143)</f>
        <v>#N/A</v>
      </c>
      <c r="K2143" s="1"/>
      <c r="L2143" s="156"/>
      <c r="M2143" s="1"/>
      <c r="N2143" s="1"/>
      <c r="O2143" s="1"/>
    </row>
    <row r="2144" spans="1:15" hidden="1">
      <c r="A2144" s="1"/>
      <c r="B2144" s="197" t="e">
        <f t="shared" ca="1" si="233"/>
        <v>#N/A</v>
      </c>
      <c r="C2144" s="498">
        <v>78</v>
      </c>
      <c r="D2144" s="41" t="e">
        <f>IF($C$1077&gt;0,VLOOKUP($C2144,ENTI!$AL$4:AN$1003,3,FALSE),"")</f>
        <v>#N/A</v>
      </c>
      <c r="E2144" s="41" t="str">
        <f t="shared" si="232"/>
        <v/>
      </c>
      <c r="F2144" s="200"/>
      <c r="G2144" s="178" t="e">
        <f>IF($C$1077&gt;0,VLOOKUP($C2144,ENTI!$AL$4:AP$1003,5,FALSE),"")</f>
        <v>#N/A</v>
      </c>
      <c r="H2144" s="179" t="e">
        <f>IF($C$1077&gt;0,VLOOKUP($C2144,ENTI!$AL$4:AQ$1003,6,FALSE),"")</f>
        <v>#N/A</v>
      </c>
      <c r="I2144" s="187"/>
      <c r="J2144" s="140" t="e">
        <f ca="1">VLOOKUP(D2144,$F$1081:$I$4183,4,FALSE)+COUNTIF(E$1081:E2143,E2144)</f>
        <v>#N/A</v>
      </c>
      <c r="K2144" s="1"/>
      <c r="L2144" s="156"/>
      <c r="M2144" s="1"/>
      <c r="N2144" s="1"/>
      <c r="O2144" s="1"/>
    </row>
    <row r="2145" spans="1:15" hidden="1">
      <c r="A2145" s="1"/>
      <c r="B2145" s="197" t="e">
        <f t="shared" ca="1" si="233"/>
        <v>#N/A</v>
      </c>
      <c r="C2145" s="498">
        <v>79</v>
      </c>
      <c r="D2145" s="41" t="e">
        <f>IF($C$1077&gt;0,VLOOKUP($C2145,ENTI!$AL$4:AN$1003,3,FALSE),"")</f>
        <v>#N/A</v>
      </c>
      <c r="E2145" s="41" t="str">
        <f t="shared" si="232"/>
        <v/>
      </c>
      <c r="F2145" s="200"/>
      <c r="G2145" s="178" t="e">
        <f>IF($C$1077&gt;0,VLOOKUP($C2145,ENTI!$AL$4:AP$1003,5,FALSE),"")</f>
        <v>#N/A</v>
      </c>
      <c r="H2145" s="179" t="e">
        <f>IF($C$1077&gt;0,VLOOKUP($C2145,ENTI!$AL$4:AQ$1003,6,FALSE),"")</f>
        <v>#N/A</v>
      </c>
      <c r="I2145" s="187"/>
      <c r="J2145" s="140" t="e">
        <f ca="1">VLOOKUP(D2145,$F$1081:$I$4183,4,FALSE)+COUNTIF(E$1081:E2144,E2145)</f>
        <v>#N/A</v>
      </c>
      <c r="K2145" s="1"/>
      <c r="L2145" s="156"/>
      <c r="M2145" s="1"/>
      <c r="N2145" s="1"/>
      <c r="O2145" s="1"/>
    </row>
    <row r="2146" spans="1:15" hidden="1">
      <c r="A2146" s="1"/>
      <c r="B2146" s="197" t="e">
        <f t="shared" ca="1" si="233"/>
        <v>#N/A</v>
      </c>
      <c r="C2146" s="498">
        <v>80</v>
      </c>
      <c r="D2146" s="41" t="e">
        <f>IF($C$1077&gt;0,VLOOKUP($C2146,ENTI!$AL$4:AN$1003,3,FALSE),"")</f>
        <v>#N/A</v>
      </c>
      <c r="E2146" s="41" t="str">
        <f t="shared" si="232"/>
        <v/>
      </c>
      <c r="F2146" s="200"/>
      <c r="G2146" s="178" t="e">
        <f>IF($C$1077&gt;0,VLOOKUP($C2146,ENTI!$AL$4:AP$1003,5,FALSE),"")</f>
        <v>#N/A</v>
      </c>
      <c r="H2146" s="179" t="e">
        <f>IF($C$1077&gt;0,VLOOKUP($C2146,ENTI!$AL$4:AQ$1003,6,FALSE),"")</f>
        <v>#N/A</v>
      </c>
      <c r="I2146" s="187"/>
      <c r="J2146" s="140" t="e">
        <f ca="1">VLOOKUP(D2146,$F$1081:$I$4183,4,FALSE)+COUNTIF(E$1081:E2145,E2146)</f>
        <v>#N/A</v>
      </c>
      <c r="K2146" s="1"/>
      <c r="L2146" s="156"/>
      <c r="M2146" s="1"/>
      <c r="N2146" s="1"/>
      <c r="O2146" s="1"/>
    </row>
    <row r="2147" spans="1:15" hidden="1">
      <c r="A2147" s="1"/>
      <c r="B2147" s="197" t="e">
        <f t="shared" ca="1" si="233"/>
        <v>#N/A</v>
      </c>
      <c r="C2147" s="498">
        <v>81</v>
      </c>
      <c r="D2147" s="41" t="e">
        <f>IF($C$1077&gt;0,VLOOKUP($C2147,ENTI!$AL$4:AN$1003,3,FALSE),"")</f>
        <v>#N/A</v>
      </c>
      <c r="E2147" s="41" t="str">
        <f t="shared" si="232"/>
        <v/>
      </c>
      <c r="F2147" s="200"/>
      <c r="G2147" s="178" t="e">
        <f>IF($C$1077&gt;0,VLOOKUP($C2147,ENTI!$AL$4:AP$1003,5,FALSE),"")</f>
        <v>#N/A</v>
      </c>
      <c r="H2147" s="179" t="e">
        <f>IF($C$1077&gt;0,VLOOKUP($C2147,ENTI!$AL$4:AQ$1003,6,FALSE),"")</f>
        <v>#N/A</v>
      </c>
      <c r="I2147" s="187"/>
      <c r="J2147" s="140" t="e">
        <f ca="1">VLOOKUP(D2147,$F$1081:$I$4183,4,FALSE)+COUNTIF(E$1081:E2146,E2147)</f>
        <v>#N/A</v>
      </c>
      <c r="K2147" s="1"/>
      <c r="L2147" s="156"/>
      <c r="M2147" s="1"/>
      <c r="N2147" s="1"/>
      <c r="O2147" s="1"/>
    </row>
    <row r="2148" spans="1:15" hidden="1">
      <c r="A2148" s="1"/>
      <c r="B2148" s="197" t="e">
        <f t="shared" ca="1" si="233"/>
        <v>#N/A</v>
      </c>
      <c r="C2148" s="498">
        <v>82</v>
      </c>
      <c r="D2148" s="41" t="e">
        <f>IF($C$1077&gt;0,VLOOKUP($C2148,ENTI!$AL$4:AN$1003,3,FALSE),"")</f>
        <v>#N/A</v>
      </c>
      <c r="E2148" s="41" t="str">
        <f t="shared" si="232"/>
        <v/>
      </c>
      <c r="F2148" s="200"/>
      <c r="G2148" s="178" t="e">
        <f>IF($C$1077&gt;0,VLOOKUP($C2148,ENTI!$AL$4:AP$1003,5,FALSE),"")</f>
        <v>#N/A</v>
      </c>
      <c r="H2148" s="179" t="e">
        <f>IF($C$1077&gt;0,VLOOKUP($C2148,ENTI!$AL$4:AQ$1003,6,FALSE),"")</f>
        <v>#N/A</v>
      </c>
      <c r="I2148" s="187"/>
      <c r="J2148" s="140" t="e">
        <f ca="1">VLOOKUP(D2148,$F$1081:$I$4183,4,FALSE)+COUNTIF(E$1081:E2147,E2148)</f>
        <v>#N/A</v>
      </c>
      <c r="K2148" s="1"/>
      <c r="L2148" s="156"/>
      <c r="M2148" s="1"/>
      <c r="N2148" s="1"/>
      <c r="O2148" s="1"/>
    </row>
    <row r="2149" spans="1:15" hidden="1">
      <c r="A2149" s="1"/>
      <c r="B2149" s="197" t="e">
        <f t="shared" ca="1" si="233"/>
        <v>#N/A</v>
      </c>
      <c r="C2149" s="498">
        <v>83</v>
      </c>
      <c r="D2149" s="41" t="e">
        <f>IF($C$1077&gt;0,VLOOKUP($C2149,ENTI!$AL$4:AN$1003,3,FALSE),"")</f>
        <v>#N/A</v>
      </c>
      <c r="E2149" s="41" t="str">
        <f t="shared" si="232"/>
        <v/>
      </c>
      <c r="F2149" s="200"/>
      <c r="G2149" s="178" t="e">
        <f>IF($C$1077&gt;0,VLOOKUP($C2149,ENTI!$AL$4:AP$1003,5,FALSE),"")</f>
        <v>#N/A</v>
      </c>
      <c r="H2149" s="179" t="e">
        <f>IF($C$1077&gt;0,VLOOKUP($C2149,ENTI!$AL$4:AQ$1003,6,FALSE),"")</f>
        <v>#N/A</v>
      </c>
      <c r="I2149" s="187"/>
      <c r="J2149" s="140" t="e">
        <f ca="1">VLOOKUP(D2149,$F$1081:$I$4183,4,FALSE)+COUNTIF(E$1081:E2148,E2149)</f>
        <v>#N/A</v>
      </c>
      <c r="K2149" s="1"/>
      <c r="L2149" s="156"/>
      <c r="M2149" s="1"/>
      <c r="N2149" s="1"/>
      <c r="O2149" s="1"/>
    </row>
    <row r="2150" spans="1:15" hidden="1">
      <c r="A2150" s="1"/>
      <c r="B2150" s="197" t="e">
        <f t="shared" ca="1" si="233"/>
        <v>#N/A</v>
      </c>
      <c r="C2150" s="498">
        <v>84</v>
      </c>
      <c r="D2150" s="41" t="e">
        <f>IF($C$1077&gt;0,VLOOKUP($C2150,ENTI!$AL$4:AN$1003,3,FALSE),"")</f>
        <v>#N/A</v>
      </c>
      <c r="E2150" s="41" t="str">
        <f t="shared" si="232"/>
        <v/>
      </c>
      <c r="F2150" s="200"/>
      <c r="G2150" s="178" t="e">
        <f>IF($C$1077&gt;0,VLOOKUP($C2150,ENTI!$AL$4:AP$1003,5,FALSE),"")</f>
        <v>#N/A</v>
      </c>
      <c r="H2150" s="179" t="e">
        <f>IF($C$1077&gt;0,VLOOKUP($C2150,ENTI!$AL$4:AQ$1003,6,FALSE),"")</f>
        <v>#N/A</v>
      </c>
      <c r="I2150" s="187"/>
      <c r="J2150" s="140" t="e">
        <f ca="1">VLOOKUP(D2150,$F$1081:$I$4183,4,FALSE)+COUNTIF(E$1081:E2149,E2150)</f>
        <v>#N/A</v>
      </c>
      <c r="K2150" s="1"/>
      <c r="L2150" s="156"/>
      <c r="M2150" s="1"/>
      <c r="N2150" s="1"/>
      <c r="O2150" s="1"/>
    </row>
    <row r="2151" spans="1:15" hidden="1">
      <c r="A2151" s="1"/>
      <c r="B2151" s="197" t="e">
        <f t="shared" ca="1" si="233"/>
        <v>#N/A</v>
      </c>
      <c r="C2151" s="498">
        <v>85</v>
      </c>
      <c r="D2151" s="41" t="e">
        <f>IF($C$1077&gt;0,VLOOKUP($C2151,ENTI!$AL$4:AN$1003,3,FALSE),"")</f>
        <v>#N/A</v>
      </c>
      <c r="E2151" s="41" t="str">
        <f t="shared" si="232"/>
        <v/>
      </c>
      <c r="F2151" s="200"/>
      <c r="G2151" s="178" t="e">
        <f>IF($C$1077&gt;0,VLOOKUP($C2151,ENTI!$AL$4:AP$1003,5,FALSE),"")</f>
        <v>#N/A</v>
      </c>
      <c r="H2151" s="179" t="e">
        <f>IF($C$1077&gt;0,VLOOKUP($C2151,ENTI!$AL$4:AQ$1003,6,FALSE),"")</f>
        <v>#N/A</v>
      </c>
      <c r="I2151" s="187"/>
      <c r="J2151" s="140" t="e">
        <f ca="1">VLOOKUP(D2151,$F$1081:$I$4183,4,FALSE)+COUNTIF(E$1081:E2150,E2151)</f>
        <v>#N/A</v>
      </c>
      <c r="K2151" s="1"/>
      <c r="L2151" s="156"/>
      <c r="M2151" s="1"/>
      <c r="N2151" s="1"/>
      <c r="O2151" s="1"/>
    </row>
    <row r="2152" spans="1:15" hidden="1">
      <c r="A2152" s="1"/>
      <c r="B2152" s="197" t="e">
        <f t="shared" ca="1" si="233"/>
        <v>#N/A</v>
      </c>
      <c r="C2152" s="498">
        <v>86</v>
      </c>
      <c r="D2152" s="41" t="e">
        <f>IF($C$1077&gt;0,VLOOKUP($C2152,ENTI!$AL$4:AN$1003,3,FALSE),"")</f>
        <v>#N/A</v>
      </c>
      <c r="E2152" s="41" t="str">
        <f t="shared" si="232"/>
        <v/>
      </c>
      <c r="F2152" s="200"/>
      <c r="G2152" s="178" t="e">
        <f>IF($C$1077&gt;0,VLOOKUP($C2152,ENTI!$AL$4:AP$1003,5,FALSE),"")</f>
        <v>#N/A</v>
      </c>
      <c r="H2152" s="179" t="e">
        <f>IF($C$1077&gt;0,VLOOKUP($C2152,ENTI!$AL$4:AQ$1003,6,FALSE),"")</f>
        <v>#N/A</v>
      </c>
      <c r="I2152" s="187"/>
      <c r="J2152" s="140" t="e">
        <f ca="1">VLOOKUP(D2152,$F$1081:$I$4183,4,FALSE)+COUNTIF(E$1081:E2151,E2152)</f>
        <v>#N/A</v>
      </c>
      <c r="K2152" s="1"/>
      <c r="L2152" s="156"/>
      <c r="M2152" s="1"/>
      <c r="N2152" s="1"/>
      <c r="O2152" s="1"/>
    </row>
    <row r="2153" spans="1:15" hidden="1">
      <c r="A2153" s="1"/>
      <c r="B2153" s="197" t="e">
        <f t="shared" ca="1" si="233"/>
        <v>#N/A</v>
      </c>
      <c r="C2153" s="498">
        <v>87</v>
      </c>
      <c r="D2153" s="41" t="e">
        <f>IF($C$1077&gt;0,VLOOKUP($C2153,ENTI!$AL$4:AN$1003,3,FALSE),"")</f>
        <v>#N/A</v>
      </c>
      <c r="E2153" s="41" t="str">
        <f t="shared" si="232"/>
        <v/>
      </c>
      <c r="F2153" s="200"/>
      <c r="G2153" s="178" t="e">
        <f>IF($C$1077&gt;0,VLOOKUP($C2153,ENTI!$AL$4:AP$1003,5,FALSE),"")</f>
        <v>#N/A</v>
      </c>
      <c r="H2153" s="179" t="e">
        <f>IF($C$1077&gt;0,VLOOKUP($C2153,ENTI!$AL$4:AQ$1003,6,FALSE),"")</f>
        <v>#N/A</v>
      </c>
      <c r="I2153" s="187"/>
      <c r="J2153" s="140" t="e">
        <f ca="1">VLOOKUP(D2153,$F$1081:$I$4183,4,FALSE)+COUNTIF(E$1081:E2152,E2153)</f>
        <v>#N/A</v>
      </c>
      <c r="K2153" s="1"/>
      <c r="L2153" s="156"/>
      <c r="M2153" s="1"/>
      <c r="N2153" s="1"/>
      <c r="O2153" s="1"/>
    </row>
    <row r="2154" spans="1:15" hidden="1">
      <c r="A2154" s="1"/>
      <c r="B2154" s="197" t="e">
        <f t="shared" ca="1" si="233"/>
        <v>#N/A</v>
      </c>
      <c r="C2154" s="498">
        <v>88</v>
      </c>
      <c r="D2154" s="41" t="e">
        <f>IF($C$1077&gt;0,VLOOKUP($C2154,ENTI!$AL$4:AN$1003,3,FALSE),"")</f>
        <v>#N/A</v>
      </c>
      <c r="E2154" s="41" t="str">
        <f t="shared" si="232"/>
        <v/>
      </c>
      <c r="F2154" s="200"/>
      <c r="G2154" s="178" t="e">
        <f>IF($C$1077&gt;0,VLOOKUP($C2154,ENTI!$AL$4:AP$1003,5,FALSE),"")</f>
        <v>#N/A</v>
      </c>
      <c r="H2154" s="179" t="e">
        <f>IF($C$1077&gt;0,VLOOKUP($C2154,ENTI!$AL$4:AQ$1003,6,FALSE),"")</f>
        <v>#N/A</v>
      </c>
      <c r="I2154" s="187"/>
      <c r="J2154" s="140" t="e">
        <f ca="1">VLOOKUP(D2154,$F$1081:$I$4183,4,FALSE)+COUNTIF(E$1081:E2153,E2154)</f>
        <v>#N/A</v>
      </c>
      <c r="K2154" s="1"/>
      <c r="L2154" s="156"/>
      <c r="M2154" s="1"/>
      <c r="N2154" s="1"/>
      <c r="O2154" s="1"/>
    </row>
    <row r="2155" spans="1:15" hidden="1">
      <c r="A2155" s="1"/>
      <c r="B2155" s="197" t="e">
        <f t="shared" ca="1" si="233"/>
        <v>#N/A</v>
      </c>
      <c r="C2155" s="498">
        <v>89</v>
      </c>
      <c r="D2155" s="41" t="e">
        <f>IF($C$1077&gt;0,VLOOKUP($C2155,ENTI!$AL$4:AN$1003,3,FALSE),"")</f>
        <v>#N/A</v>
      </c>
      <c r="E2155" s="41" t="str">
        <f t="shared" si="232"/>
        <v/>
      </c>
      <c r="F2155" s="200"/>
      <c r="G2155" s="178" t="e">
        <f>IF($C$1077&gt;0,VLOOKUP($C2155,ENTI!$AL$4:AP$1003,5,FALSE),"")</f>
        <v>#N/A</v>
      </c>
      <c r="H2155" s="179" t="e">
        <f>IF($C$1077&gt;0,VLOOKUP($C2155,ENTI!$AL$4:AQ$1003,6,FALSE),"")</f>
        <v>#N/A</v>
      </c>
      <c r="I2155" s="187"/>
      <c r="J2155" s="140" t="e">
        <f ca="1">VLOOKUP(D2155,$F$1081:$I$4183,4,FALSE)+COUNTIF(E$1081:E2154,E2155)</f>
        <v>#N/A</v>
      </c>
      <c r="K2155" s="1"/>
      <c r="L2155" s="156"/>
      <c r="M2155" s="1"/>
      <c r="N2155" s="1"/>
      <c r="O2155" s="1"/>
    </row>
    <row r="2156" spans="1:15" hidden="1">
      <c r="A2156" s="1"/>
      <c r="B2156" s="197" t="e">
        <f t="shared" ca="1" si="233"/>
        <v>#N/A</v>
      </c>
      <c r="C2156" s="498">
        <v>90</v>
      </c>
      <c r="D2156" s="41" t="e">
        <f>IF($C$1077&gt;0,VLOOKUP($C2156,ENTI!$AL$4:AN$1003,3,FALSE),"")</f>
        <v>#N/A</v>
      </c>
      <c r="E2156" s="41" t="str">
        <f t="shared" si="232"/>
        <v/>
      </c>
      <c r="F2156" s="200"/>
      <c r="G2156" s="178" t="e">
        <f>IF($C$1077&gt;0,VLOOKUP($C2156,ENTI!$AL$4:AP$1003,5,FALSE),"")</f>
        <v>#N/A</v>
      </c>
      <c r="H2156" s="179" t="e">
        <f>IF($C$1077&gt;0,VLOOKUP($C2156,ENTI!$AL$4:AQ$1003,6,FALSE),"")</f>
        <v>#N/A</v>
      </c>
      <c r="I2156" s="187"/>
      <c r="J2156" s="140" t="e">
        <f ca="1">VLOOKUP(D2156,$F$1081:$I$4183,4,FALSE)+COUNTIF(E$1081:E2155,E2156)</f>
        <v>#N/A</v>
      </c>
      <c r="K2156" s="1"/>
      <c r="L2156" s="156"/>
      <c r="M2156" s="1"/>
      <c r="N2156" s="1"/>
      <c r="O2156" s="1"/>
    </row>
    <row r="2157" spans="1:15" hidden="1">
      <c r="A2157" s="1"/>
      <c r="B2157" s="197" t="e">
        <f t="shared" ca="1" si="233"/>
        <v>#N/A</v>
      </c>
      <c r="C2157" s="498">
        <v>91</v>
      </c>
      <c r="D2157" s="41" t="e">
        <f>IF($C$1077&gt;0,VLOOKUP($C2157,ENTI!$AL$4:AN$1003,3,FALSE),"")</f>
        <v>#N/A</v>
      </c>
      <c r="E2157" s="41" t="str">
        <f t="shared" si="232"/>
        <v/>
      </c>
      <c r="F2157" s="200"/>
      <c r="G2157" s="178" t="e">
        <f>IF($C$1077&gt;0,VLOOKUP($C2157,ENTI!$AL$4:AP$1003,5,FALSE),"")</f>
        <v>#N/A</v>
      </c>
      <c r="H2157" s="179" t="e">
        <f>IF($C$1077&gt;0,VLOOKUP($C2157,ENTI!$AL$4:AQ$1003,6,FALSE),"")</f>
        <v>#N/A</v>
      </c>
      <c r="I2157" s="187"/>
      <c r="J2157" s="140" t="e">
        <f ca="1">VLOOKUP(D2157,$F$1081:$I$4183,4,FALSE)+COUNTIF(E$1081:E2156,E2157)</f>
        <v>#N/A</v>
      </c>
      <c r="K2157" s="1"/>
      <c r="L2157" s="156"/>
      <c r="M2157" s="1"/>
      <c r="N2157" s="1"/>
      <c r="O2157" s="1"/>
    </row>
    <row r="2158" spans="1:15" hidden="1">
      <c r="A2158" s="1"/>
      <c r="B2158" s="197" t="e">
        <f t="shared" ca="1" si="233"/>
        <v>#N/A</v>
      </c>
      <c r="C2158" s="498">
        <v>92</v>
      </c>
      <c r="D2158" s="41" t="e">
        <f>IF($C$1077&gt;0,VLOOKUP($C2158,ENTI!$AL$4:AN$1003,3,FALSE),"")</f>
        <v>#N/A</v>
      </c>
      <c r="E2158" s="41" t="str">
        <f t="shared" si="232"/>
        <v/>
      </c>
      <c r="F2158" s="200"/>
      <c r="G2158" s="178" t="e">
        <f>IF($C$1077&gt;0,VLOOKUP($C2158,ENTI!$AL$4:AP$1003,5,FALSE),"")</f>
        <v>#N/A</v>
      </c>
      <c r="H2158" s="179" t="e">
        <f>IF($C$1077&gt;0,VLOOKUP($C2158,ENTI!$AL$4:AQ$1003,6,FALSE),"")</f>
        <v>#N/A</v>
      </c>
      <c r="I2158" s="187"/>
      <c r="J2158" s="140" t="e">
        <f ca="1">VLOOKUP(D2158,$F$1081:$I$4183,4,FALSE)+COUNTIF(E$1081:E2157,E2158)</f>
        <v>#N/A</v>
      </c>
      <c r="K2158" s="1"/>
      <c r="L2158" s="156"/>
      <c r="M2158" s="1"/>
      <c r="N2158" s="1"/>
      <c r="O2158" s="1"/>
    </row>
    <row r="2159" spans="1:15" hidden="1">
      <c r="A2159" s="1"/>
      <c r="B2159" s="197" t="e">
        <f t="shared" ca="1" si="233"/>
        <v>#N/A</v>
      </c>
      <c r="C2159" s="498">
        <v>93</v>
      </c>
      <c r="D2159" s="41" t="e">
        <f>IF($C$1077&gt;0,VLOOKUP($C2159,ENTI!$AL$4:AN$1003,3,FALSE),"")</f>
        <v>#N/A</v>
      </c>
      <c r="E2159" s="41" t="str">
        <f t="shared" si="232"/>
        <v/>
      </c>
      <c r="F2159" s="200"/>
      <c r="G2159" s="178" t="e">
        <f>IF($C$1077&gt;0,VLOOKUP($C2159,ENTI!$AL$4:AP$1003,5,FALSE),"")</f>
        <v>#N/A</v>
      </c>
      <c r="H2159" s="179" t="e">
        <f>IF($C$1077&gt;0,VLOOKUP($C2159,ENTI!$AL$4:AQ$1003,6,FALSE),"")</f>
        <v>#N/A</v>
      </c>
      <c r="I2159" s="187"/>
      <c r="J2159" s="140" t="e">
        <f ca="1">VLOOKUP(D2159,$F$1081:$I$4183,4,FALSE)+COUNTIF(E$1081:E2158,E2159)</f>
        <v>#N/A</v>
      </c>
      <c r="K2159" s="1"/>
      <c r="L2159" s="156"/>
      <c r="M2159" s="1"/>
      <c r="N2159" s="1"/>
      <c r="O2159" s="1"/>
    </row>
    <row r="2160" spans="1:15" hidden="1">
      <c r="A2160" s="1"/>
      <c r="B2160" s="197" t="e">
        <f t="shared" ca="1" si="233"/>
        <v>#N/A</v>
      </c>
      <c r="C2160" s="498">
        <v>94</v>
      </c>
      <c r="D2160" s="41" t="e">
        <f>IF($C$1077&gt;0,VLOOKUP($C2160,ENTI!$AL$4:AN$1003,3,FALSE),"")</f>
        <v>#N/A</v>
      </c>
      <c r="E2160" s="41" t="str">
        <f t="shared" si="232"/>
        <v/>
      </c>
      <c r="F2160" s="200"/>
      <c r="G2160" s="178" t="e">
        <f>IF($C$1077&gt;0,VLOOKUP($C2160,ENTI!$AL$4:AP$1003,5,FALSE),"")</f>
        <v>#N/A</v>
      </c>
      <c r="H2160" s="179" t="e">
        <f>IF($C$1077&gt;0,VLOOKUP($C2160,ENTI!$AL$4:AQ$1003,6,FALSE),"")</f>
        <v>#N/A</v>
      </c>
      <c r="I2160" s="187"/>
      <c r="J2160" s="140" t="e">
        <f ca="1">VLOOKUP(D2160,$F$1081:$I$4183,4,FALSE)+COUNTIF(E$1081:E2159,E2160)</f>
        <v>#N/A</v>
      </c>
      <c r="K2160" s="1"/>
      <c r="L2160" s="156"/>
      <c r="M2160" s="1"/>
      <c r="N2160" s="1"/>
      <c r="O2160" s="1"/>
    </row>
    <row r="2161" spans="1:15" hidden="1">
      <c r="A2161" s="1"/>
      <c r="B2161" s="197" t="e">
        <f t="shared" ca="1" si="233"/>
        <v>#N/A</v>
      </c>
      <c r="C2161" s="498">
        <v>95</v>
      </c>
      <c r="D2161" s="41" t="e">
        <f>IF($C$1077&gt;0,VLOOKUP($C2161,ENTI!$AL$4:AN$1003,3,FALSE),"")</f>
        <v>#N/A</v>
      </c>
      <c r="E2161" s="41" t="str">
        <f t="shared" si="232"/>
        <v/>
      </c>
      <c r="F2161" s="200"/>
      <c r="G2161" s="178" t="e">
        <f>IF($C$1077&gt;0,VLOOKUP($C2161,ENTI!$AL$4:AP$1003,5,FALSE),"")</f>
        <v>#N/A</v>
      </c>
      <c r="H2161" s="179" t="e">
        <f>IF($C$1077&gt;0,VLOOKUP($C2161,ENTI!$AL$4:AQ$1003,6,FALSE),"")</f>
        <v>#N/A</v>
      </c>
      <c r="I2161" s="187"/>
      <c r="J2161" s="140" t="e">
        <f ca="1">VLOOKUP(D2161,$F$1081:$I$4183,4,FALSE)+COUNTIF(E$1081:E2160,E2161)</f>
        <v>#N/A</v>
      </c>
      <c r="K2161" s="1"/>
      <c r="L2161" s="156"/>
      <c r="M2161" s="1"/>
      <c r="N2161" s="1"/>
      <c r="O2161" s="1"/>
    </row>
    <row r="2162" spans="1:15" hidden="1">
      <c r="A2162" s="1"/>
      <c r="B2162" s="197" t="e">
        <f t="shared" ca="1" si="233"/>
        <v>#N/A</v>
      </c>
      <c r="C2162" s="498">
        <v>96</v>
      </c>
      <c r="D2162" s="41" t="e">
        <f>IF($C$1077&gt;0,VLOOKUP($C2162,ENTI!$AL$4:AN$1003,3,FALSE),"")</f>
        <v>#N/A</v>
      </c>
      <c r="E2162" s="41" t="str">
        <f t="shared" si="232"/>
        <v/>
      </c>
      <c r="F2162" s="200"/>
      <c r="G2162" s="178" t="e">
        <f>IF($C$1077&gt;0,VLOOKUP($C2162,ENTI!$AL$4:AP$1003,5,FALSE),"")</f>
        <v>#N/A</v>
      </c>
      <c r="H2162" s="179" t="e">
        <f>IF($C$1077&gt;0,VLOOKUP($C2162,ENTI!$AL$4:AQ$1003,6,FALSE),"")</f>
        <v>#N/A</v>
      </c>
      <c r="I2162" s="187"/>
      <c r="J2162" s="140" t="e">
        <f ca="1">VLOOKUP(D2162,$F$1081:$I$4183,4,FALSE)+COUNTIF(E$1081:E2161,E2162)</f>
        <v>#N/A</v>
      </c>
      <c r="K2162" s="1"/>
      <c r="L2162" s="156"/>
      <c r="M2162" s="1"/>
      <c r="N2162" s="1"/>
      <c r="O2162" s="1"/>
    </row>
    <row r="2163" spans="1:15" hidden="1">
      <c r="A2163" s="1"/>
      <c r="B2163" s="197" t="e">
        <f t="shared" ca="1" si="233"/>
        <v>#N/A</v>
      </c>
      <c r="C2163" s="498">
        <v>97</v>
      </c>
      <c r="D2163" s="41" t="e">
        <f>IF($C$1077&gt;0,VLOOKUP($C2163,ENTI!$AL$4:AN$1003,3,FALSE),"")</f>
        <v>#N/A</v>
      </c>
      <c r="E2163" s="41" t="str">
        <f t="shared" si="232"/>
        <v/>
      </c>
      <c r="F2163" s="200"/>
      <c r="G2163" s="178" t="e">
        <f>IF($C$1077&gt;0,VLOOKUP($C2163,ENTI!$AL$4:AP$1003,5,FALSE),"")</f>
        <v>#N/A</v>
      </c>
      <c r="H2163" s="179" t="e">
        <f>IF($C$1077&gt;0,VLOOKUP($C2163,ENTI!$AL$4:AQ$1003,6,FALSE),"")</f>
        <v>#N/A</v>
      </c>
      <c r="I2163" s="187"/>
      <c r="J2163" s="140" t="e">
        <f ca="1">VLOOKUP(D2163,$F$1081:$I$4183,4,FALSE)+COUNTIF(E$1081:E2162,E2163)</f>
        <v>#N/A</v>
      </c>
      <c r="K2163" s="1"/>
      <c r="L2163" s="156"/>
      <c r="M2163" s="1"/>
      <c r="N2163" s="1"/>
      <c r="O2163" s="1"/>
    </row>
    <row r="2164" spans="1:15" hidden="1">
      <c r="A2164" s="1"/>
      <c r="B2164" s="197" t="e">
        <f t="shared" ca="1" si="233"/>
        <v>#N/A</v>
      </c>
      <c r="C2164" s="498">
        <v>98</v>
      </c>
      <c r="D2164" s="41" t="e">
        <f>IF($C$1077&gt;0,VLOOKUP($C2164,ENTI!$AL$4:AN$1003,3,FALSE),"")</f>
        <v>#N/A</v>
      </c>
      <c r="E2164" s="41" t="str">
        <f t="shared" si="232"/>
        <v/>
      </c>
      <c r="F2164" s="200"/>
      <c r="G2164" s="178" t="e">
        <f>IF($C$1077&gt;0,VLOOKUP($C2164,ENTI!$AL$4:AP$1003,5,FALSE),"")</f>
        <v>#N/A</v>
      </c>
      <c r="H2164" s="179" t="e">
        <f>IF($C$1077&gt;0,VLOOKUP($C2164,ENTI!$AL$4:AQ$1003,6,FALSE),"")</f>
        <v>#N/A</v>
      </c>
      <c r="I2164" s="187"/>
      <c r="J2164" s="140" t="e">
        <f ca="1">VLOOKUP(D2164,$F$1081:$I$4183,4,FALSE)+COUNTIF(E$1081:E2163,E2164)</f>
        <v>#N/A</v>
      </c>
      <c r="K2164" s="1"/>
      <c r="L2164" s="156"/>
      <c r="M2164" s="1"/>
      <c r="N2164" s="1"/>
      <c r="O2164" s="1"/>
    </row>
    <row r="2165" spans="1:15" hidden="1">
      <c r="A2165" s="1"/>
      <c r="B2165" s="197" t="e">
        <f t="shared" ca="1" si="233"/>
        <v>#N/A</v>
      </c>
      <c r="C2165" s="498">
        <v>99</v>
      </c>
      <c r="D2165" s="41" t="e">
        <f>IF($C$1077&gt;0,VLOOKUP($C2165,ENTI!$AL$4:AN$1003,3,FALSE),"")</f>
        <v>#N/A</v>
      </c>
      <c r="E2165" s="41" t="str">
        <f t="shared" si="232"/>
        <v/>
      </c>
      <c r="F2165" s="200"/>
      <c r="G2165" s="178" t="e">
        <f>IF($C$1077&gt;0,VLOOKUP($C2165,ENTI!$AL$4:AP$1003,5,FALSE),"")</f>
        <v>#N/A</v>
      </c>
      <c r="H2165" s="179" t="e">
        <f>IF($C$1077&gt;0,VLOOKUP($C2165,ENTI!$AL$4:AQ$1003,6,FALSE),"")</f>
        <v>#N/A</v>
      </c>
      <c r="I2165" s="187"/>
      <c r="J2165" s="140" t="e">
        <f ca="1">VLOOKUP(D2165,$F$1081:$I$4183,4,FALSE)+COUNTIF(E$1081:E2164,E2165)</f>
        <v>#N/A</v>
      </c>
      <c r="K2165" s="1"/>
      <c r="L2165" s="156"/>
      <c r="M2165" s="1"/>
      <c r="N2165" s="1"/>
      <c r="O2165" s="1"/>
    </row>
    <row r="2166" spans="1:15" hidden="1">
      <c r="A2166" s="1"/>
      <c r="B2166" s="197" t="e">
        <f t="shared" ca="1" si="233"/>
        <v>#N/A</v>
      </c>
      <c r="C2166" s="498">
        <v>100</v>
      </c>
      <c r="D2166" s="41" t="e">
        <f>IF($C$1077&gt;0,VLOOKUP($C2166,ENTI!$AL$4:AN$1003,3,FALSE),"")</f>
        <v>#N/A</v>
      </c>
      <c r="E2166" s="41" t="str">
        <f t="shared" si="232"/>
        <v/>
      </c>
      <c r="F2166" s="200"/>
      <c r="G2166" s="178" t="e">
        <f>IF($C$1077&gt;0,VLOOKUP($C2166,ENTI!$AL$4:AP$1003,5,FALSE),"")</f>
        <v>#N/A</v>
      </c>
      <c r="H2166" s="179" t="e">
        <f>IF($C$1077&gt;0,VLOOKUP($C2166,ENTI!$AL$4:AQ$1003,6,FALSE),"")</f>
        <v>#N/A</v>
      </c>
      <c r="I2166" s="187"/>
      <c r="J2166" s="140" t="e">
        <f ca="1">VLOOKUP(D2166,$F$1081:$I$4183,4,FALSE)+COUNTIF(E$1081:E2165,E2166)</f>
        <v>#N/A</v>
      </c>
      <c r="K2166" s="1"/>
      <c r="L2166" s="156"/>
      <c r="M2166" s="1"/>
      <c r="N2166" s="1"/>
      <c r="O2166" s="1"/>
    </row>
    <row r="2167" spans="1:15" hidden="1">
      <c r="A2167" s="1"/>
      <c r="B2167" s="197" t="e">
        <f t="shared" ca="1" si="233"/>
        <v>#N/A</v>
      </c>
      <c r="C2167" s="498">
        <v>101</v>
      </c>
      <c r="D2167" s="41" t="e">
        <f>IF($C$1077&gt;0,VLOOKUP($C2167,ENTI!$AL$4:AN$1003,3,FALSE),"")</f>
        <v>#N/A</v>
      </c>
      <c r="E2167" s="41" t="str">
        <f t="shared" si="232"/>
        <v/>
      </c>
      <c r="F2167" s="200"/>
      <c r="G2167" s="178" t="e">
        <f>IF($C$1077&gt;0,VLOOKUP($C2167,ENTI!$AL$4:AP$1003,5,FALSE),"")</f>
        <v>#N/A</v>
      </c>
      <c r="H2167" s="179" t="e">
        <f>IF($C$1077&gt;0,VLOOKUP($C2167,ENTI!$AL$4:AQ$1003,6,FALSE),"")</f>
        <v>#N/A</v>
      </c>
      <c r="I2167" s="187"/>
      <c r="J2167" s="140" t="e">
        <f ca="1">VLOOKUP(D2167,$F$1081:$I$4183,4,FALSE)+COUNTIF(E$1081:E2166,E2167)</f>
        <v>#N/A</v>
      </c>
      <c r="K2167" s="1"/>
      <c r="L2167" s="156"/>
      <c r="M2167" s="1"/>
      <c r="N2167" s="1"/>
      <c r="O2167" s="1"/>
    </row>
    <row r="2168" spans="1:15" hidden="1">
      <c r="A2168" s="1"/>
      <c r="B2168" s="197" t="e">
        <f t="shared" ca="1" si="233"/>
        <v>#N/A</v>
      </c>
      <c r="C2168" s="498">
        <v>102</v>
      </c>
      <c r="D2168" s="41" t="e">
        <f>IF($C$1077&gt;0,VLOOKUP($C2168,ENTI!$AL$4:AN$1003,3,FALSE),"")</f>
        <v>#N/A</v>
      </c>
      <c r="E2168" s="41" t="str">
        <f t="shared" si="232"/>
        <v/>
      </c>
      <c r="F2168" s="200"/>
      <c r="G2168" s="178" t="e">
        <f>IF($C$1077&gt;0,VLOOKUP($C2168,ENTI!$AL$4:AP$1003,5,FALSE),"")</f>
        <v>#N/A</v>
      </c>
      <c r="H2168" s="179" t="e">
        <f>IF($C$1077&gt;0,VLOOKUP($C2168,ENTI!$AL$4:AQ$1003,6,FALSE),"")</f>
        <v>#N/A</v>
      </c>
      <c r="I2168" s="187"/>
      <c r="J2168" s="140" t="e">
        <f ca="1">VLOOKUP(D2168,$F$1081:$I$4183,4,FALSE)+COUNTIF(E$1081:E2167,E2168)</f>
        <v>#N/A</v>
      </c>
      <c r="K2168" s="1"/>
      <c r="L2168" s="156"/>
      <c r="M2168" s="1"/>
      <c r="N2168" s="1"/>
      <c r="O2168" s="1"/>
    </row>
    <row r="2169" spans="1:15" hidden="1">
      <c r="A2169" s="1"/>
      <c r="B2169" s="197" t="e">
        <f t="shared" ca="1" si="233"/>
        <v>#N/A</v>
      </c>
      <c r="C2169" s="498">
        <v>103</v>
      </c>
      <c r="D2169" s="41" t="e">
        <f>IF($C$1077&gt;0,VLOOKUP($C2169,ENTI!$AL$4:AN$1003,3,FALSE),"")</f>
        <v>#N/A</v>
      </c>
      <c r="E2169" s="41" t="str">
        <f t="shared" si="232"/>
        <v/>
      </c>
      <c r="F2169" s="200"/>
      <c r="G2169" s="178" t="e">
        <f>IF($C$1077&gt;0,VLOOKUP($C2169,ENTI!$AL$4:AP$1003,5,FALSE),"")</f>
        <v>#N/A</v>
      </c>
      <c r="H2169" s="179" t="e">
        <f>IF($C$1077&gt;0,VLOOKUP($C2169,ENTI!$AL$4:AQ$1003,6,FALSE),"")</f>
        <v>#N/A</v>
      </c>
      <c r="I2169" s="187"/>
      <c r="J2169" s="140" t="e">
        <f ca="1">VLOOKUP(D2169,$F$1081:$I$4183,4,FALSE)+COUNTIF(E$1081:E2168,E2169)</f>
        <v>#N/A</v>
      </c>
      <c r="K2169" s="1"/>
      <c r="L2169" s="156"/>
      <c r="M2169" s="1"/>
      <c r="N2169" s="1"/>
      <c r="O2169" s="1"/>
    </row>
    <row r="2170" spans="1:15" hidden="1">
      <c r="A2170" s="1"/>
      <c r="B2170" s="197" t="e">
        <f t="shared" ca="1" si="233"/>
        <v>#N/A</v>
      </c>
      <c r="C2170" s="498">
        <v>104</v>
      </c>
      <c r="D2170" s="41" t="e">
        <f>IF($C$1077&gt;0,VLOOKUP($C2170,ENTI!$AL$4:AN$1003,3,FALSE),"")</f>
        <v>#N/A</v>
      </c>
      <c r="E2170" s="41" t="str">
        <f t="shared" si="232"/>
        <v/>
      </c>
      <c r="F2170" s="200"/>
      <c r="G2170" s="178" t="e">
        <f>IF($C$1077&gt;0,VLOOKUP($C2170,ENTI!$AL$4:AP$1003,5,FALSE),"")</f>
        <v>#N/A</v>
      </c>
      <c r="H2170" s="179" t="e">
        <f>IF($C$1077&gt;0,VLOOKUP($C2170,ENTI!$AL$4:AQ$1003,6,FALSE),"")</f>
        <v>#N/A</v>
      </c>
      <c r="I2170" s="187"/>
      <c r="J2170" s="140" t="e">
        <f ca="1">VLOOKUP(D2170,$F$1081:$I$4183,4,FALSE)+COUNTIF(E$1081:E2169,E2170)</f>
        <v>#N/A</v>
      </c>
      <c r="K2170" s="1"/>
      <c r="L2170" s="156"/>
      <c r="M2170" s="1"/>
      <c r="N2170" s="1"/>
      <c r="O2170" s="1"/>
    </row>
    <row r="2171" spans="1:15" hidden="1">
      <c r="A2171" s="1"/>
      <c r="B2171" s="197" t="e">
        <f t="shared" ca="1" si="233"/>
        <v>#N/A</v>
      </c>
      <c r="C2171" s="498">
        <v>105</v>
      </c>
      <c r="D2171" s="41" t="e">
        <f>IF($C$1077&gt;0,VLOOKUP($C2171,ENTI!$AL$4:AN$1003,3,FALSE),"")</f>
        <v>#N/A</v>
      </c>
      <c r="E2171" s="41" t="str">
        <f t="shared" si="232"/>
        <v/>
      </c>
      <c r="F2171" s="200"/>
      <c r="G2171" s="178" t="e">
        <f>IF($C$1077&gt;0,VLOOKUP($C2171,ENTI!$AL$4:AP$1003,5,FALSE),"")</f>
        <v>#N/A</v>
      </c>
      <c r="H2171" s="179" t="e">
        <f>IF($C$1077&gt;0,VLOOKUP($C2171,ENTI!$AL$4:AQ$1003,6,FALSE),"")</f>
        <v>#N/A</v>
      </c>
      <c r="I2171" s="187"/>
      <c r="J2171" s="140" t="e">
        <f ca="1">VLOOKUP(D2171,$F$1081:$I$4183,4,FALSE)+COUNTIF(E$1081:E2170,E2171)</f>
        <v>#N/A</v>
      </c>
      <c r="K2171" s="1"/>
      <c r="L2171" s="156"/>
      <c r="M2171" s="1"/>
      <c r="N2171" s="1"/>
      <c r="O2171" s="1"/>
    </row>
    <row r="2172" spans="1:15" hidden="1">
      <c r="A2172" s="1"/>
      <c r="B2172" s="197" t="e">
        <f t="shared" ca="1" si="233"/>
        <v>#N/A</v>
      </c>
      <c r="C2172" s="498">
        <v>106</v>
      </c>
      <c r="D2172" s="41" t="e">
        <f>IF($C$1077&gt;0,VLOOKUP($C2172,ENTI!$AL$4:AN$1003,3,FALSE),"")</f>
        <v>#N/A</v>
      </c>
      <c r="E2172" s="41" t="str">
        <f t="shared" si="232"/>
        <v/>
      </c>
      <c r="F2172" s="200"/>
      <c r="G2172" s="178" t="e">
        <f>IF($C$1077&gt;0,VLOOKUP($C2172,ENTI!$AL$4:AP$1003,5,FALSE),"")</f>
        <v>#N/A</v>
      </c>
      <c r="H2172" s="179" t="e">
        <f>IF($C$1077&gt;0,VLOOKUP($C2172,ENTI!$AL$4:AQ$1003,6,FALSE),"")</f>
        <v>#N/A</v>
      </c>
      <c r="I2172" s="187"/>
      <c r="J2172" s="140" t="e">
        <f ca="1">VLOOKUP(D2172,$F$1081:$I$4183,4,FALSE)+COUNTIF(E$1081:E2171,E2172)</f>
        <v>#N/A</v>
      </c>
      <c r="K2172" s="1"/>
      <c r="L2172" s="156"/>
      <c r="M2172" s="1"/>
      <c r="N2172" s="1"/>
      <c r="O2172" s="1"/>
    </row>
    <row r="2173" spans="1:15" hidden="1">
      <c r="A2173" s="1"/>
      <c r="B2173" s="197" t="e">
        <f t="shared" ca="1" si="233"/>
        <v>#N/A</v>
      </c>
      <c r="C2173" s="498">
        <v>107</v>
      </c>
      <c r="D2173" s="41" t="e">
        <f>IF($C$1077&gt;0,VLOOKUP($C2173,ENTI!$AL$4:AN$1003,3,FALSE),"")</f>
        <v>#N/A</v>
      </c>
      <c r="E2173" s="41" t="str">
        <f t="shared" si="232"/>
        <v/>
      </c>
      <c r="F2173" s="200"/>
      <c r="G2173" s="178" t="e">
        <f>IF($C$1077&gt;0,VLOOKUP($C2173,ENTI!$AL$4:AP$1003,5,FALSE),"")</f>
        <v>#N/A</v>
      </c>
      <c r="H2173" s="179" t="e">
        <f>IF($C$1077&gt;0,VLOOKUP($C2173,ENTI!$AL$4:AQ$1003,6,FALSE),"")</f>
        <v>#N/A</v>
      </c>
      <c r="I2173" s="187"/>
      <c r="J2173" s="140" t="e">
        <f ca="1">VLOOKUP(D2173,$F$1081:$I$4183,4,FALSE)+COUNTIF(E$1081:E2172,E2173)</f>
        <v>#N/A</v>
      </c>
      <c r="K2173" s="1"/>
      <c r="L2173" s="156"/>
      <c r="M2173" s="1"/>
      <c r="N2173" s="1"/>
      <c r="O2173" s="1"/>
    </row>
    <row r="2174" spans="1:15" hidden="1">
      <c r="A2174" s="1"/>
      <c r="B2174" s="197" t="e">
        <f t="shared" ca="1" si="233"/>
        <v>#N/A</v>
      </c>
      <c r="C2174" s="498">
        <v>108</v>
      </c>
      <c r="D2174" s="41" t="e">
        <f>IF($C$1077&gt;0,VLOOKUP($C2174,ENTI!$AL$4:AN$1003,3,FALSE),"")</f>
        <v>#N/A</v>
      </c>
      <c r="E2174" s="41" t="str">
        <f t="shared" si="232"/>
        <v/>
      </c>
      <c r="F2174" s="200"/>
      <c r="G2174" s="178" t="e">
        <f>IF($C$1077&gt;0,VLOOKUP($C2174,ENTI!$AL$4:AP$1003,5,FALSE),"")</f>
        <v>#N/A</v>
      </c>
      <c r="H2174" s="179" t="e">
        <f>IF($C$1077&gt;0,VLOOKUP($C2174,ENTI!$AL$4:AQ$1003,6,FALSE),"")</f>
        <v>#N/A</v>
      </c>
      <c r="I2174" s="187"/>
      <c r="J2174" s="140" t="e">
        <f ca="1">VLOOKUP(D2174,$F$1081:$I$4183,4,FALSE)+COUNTIF(E$1081:E2173,E2174)</f>
        <v>#N/A</v>
      </c>
      <c r="K2174" s="1"/>
      <c r="L2174" s="156"/>
      <c r="M2174" s="1"/>
      <c r="N2174" s="1"/>
      <c r="O2174" s="1"/>
    </row>
    <row r="2175" spans="1:15" hidden="1">
      <c r="A2175" s="1"/>
      <c r="B2175" s="197" t="e">
        <f t="shared" ca="1" si="233"/>
        <v>#N/A</v>
      </c>
      <c r="C2175" s="498">
        <v>109</v>
      </c>
      <c r="D2175" s="41" t="e">
        <f>IF($C$1077&gt;0,VLOOKUP($C2175,ENTI!$AL$4:AN$1003,3,FALSE),"")</f>
        <v>#N/A</v>
      </c>
      <c r="E2175" s="41" t="str">
        <f t="shared" si="232"/>
        <v/>
      </c>
      <c r="F2175" s="200"/>
      <c r="G2175" s="178" t="e">
        <f>IF($C$1077&gt;0,VLOOKUP($C2175,ENTI!$AL$4:AP$1003,5,FALSE),"")</f>
        <v>#N/A</v>
      </c>
      <c r="H2175" s="179" t="e">
        <f>IF($C$1077&gt;0,VLOOKUP($C2175,ENTI!$AL$4:AQ$1003,6,FALSE),"")</f>
        <v>#N/A</v>
      </c>
      <c r="I2175" s="187"/>
      <c r="J2175" s="140" t="e">
        <f ca="1">VLOOKUP(D2175,$F$1081:$I$4183,4,FALSE)+COUNTIF(E$1081:E2174,E2175)</f>
        <v>#N/A</v>
      </c>
      <c r="K2175" s="1"/>
      <c r="L2175" s="156"/>
      <c r="M2175" s="1"/>
      <c r="N2175" s="1"/>
      <c r="O2175" s="1"/>
    </row>
    <row r="2176" spans="1:15" hidden="1">
      <c r="A2176" s="1"/>
      <c r="B2176" s="197" t="e">
        <f t="shared" ca="1" si="233"/>
        <v>#N/A</v>
      </c>
      <c r="C2176" s="498">
        <v>110</v>
      </c>
      <c r="D2176" s="41" t="e">
        <f>IF($C$1077&gt;0,VLOOKUP($C2176,ENTI!$AL$4:AN$1003,3,FALSE),"")</f>
        <v>#N/A</v>
      </c>
      <c r="E2176" s="41" t="str">
        <f t="shared" si="232"/>
        <v/>
      </c>
      <c r="F2176" s="200"/>
      <c r="G2176" s="178" t="e">
        <f>IF($C$1077&gt;0,VLOOKUP($C2176,ENTI!$AL$4:AP$1003,5,FALSE),"")</f>
        <v>#N/A</v>
      </c>
      <c r="H2176" s="179" t="e">
        <f>IF($C$1077&gt;0,VLOOKUP($C2176,ENTI!$AL$4:AQ$1003,6,FALSE),"")</f>
        <v>#N/A</v>
      </c>
      <c r="I2176" s="187"/>
      <c r="J2176" s="140" t="e">
        <f ca="1">VLOOKUP(D2176,$F$1081:$I$4183,4,FALSE)+COUNTIF(E$1081:E2175,E2176)</f>
        <v>#N/A</v>
      </c>
      <c r="K2176" s="1"/>
      <c r="L2176" s="156"/>
      <c r="M2176" s="1"/>
      <c r="N2176" s="1"/>
      <c r="O2176" s="1"/>
    </row>
    <row r="2177" spans="1:15" hidden="1">
      <c r="A2177" s="1"/>
      <c r="B2177" s="197" t="e">
        <f t="shared" ca="1" si="233"/>
        <v>#N/A</v>
      </c>
      <c r="C2177" s="498">
        <v>111</v>
      </c>
      <c r="D2177" s="41" t="e">
        <f>IF($C$1077&gt;0,VLOOKUP($C2177,ENTI!$AL$4:AN$1003,3,FALSE),"")</f>
        <v>#N/A</v>
      </c>
      <c r="E2177" s="41" t="str">
        <f t="shared" si="232"/>
        <v/>
      </c>
      <c r="F2177" s="200"/>
      <c r="G2177" s="178" t="e">
        <f>IF($C$1077&gt;0,VLOOKUP($C2177,ENTI!$AL$4:AP$1003,5,FALSE),"")</f>
        <v>#N/A</v>
      </c>
      <c r="H2177" s="179" t="e">
        <f>IF($C$1077&gt;0,VLOOKUP($C2177,ENTI!$AL$4:AQ$1003,6,FALSE),"")</f>
        <v>#N/A</v>
      </c>
      <c r="I2177" s="187"/>
      <c r="J2177" s="140" t="e">
        <f ca="1">VLOOKUP(D2177,$F$1081:$I$4183,4,FALSE)+COUNTIF(E$1081:E2176,E2177)</f>
        <v>#N/A</v>
      </c>
      <c r="K2177" s="1"/>
      <c r="L2177" s="156"/>
      <c r="M2177" s="1"/>
      <c r="N2177" s="1"/>
      <c r="O2177" s="1"/>
    </row>
    <row r="2178" spans="1:15" hidden="1">
      <c r="A2178" s="1"/>
      <c r="B2178" s="197" t="e">
        <f t="shared" ca="1" si="233"/>
        <v>#N/A</v>
      </c>
      <c r="C2178" s="498">
        <v>112</v>
      </c>
      <c r="D2178" s="41" t="e">
        <f>IF($C$1077&gt;0,VLOOKUP($C2178,ENTI!$AL$4:AN$1003,3,FALSE),"")</f>
        <v>#N/A</v>
      </c>
      <c r="E2178" s="41" t="str">
        <f t="shared" si="232"/>
        <v/>
      </c>
      <c r="F2178" s="200"/>
      <c r="G2178" s="178" t="e">
        <f>IF($C$1077&gt;0,VLOOKUP($C2178,ENTI!$AL$4:AP$1003,5,FALSE),"")</f>
        <v>#N/A</v>
      </c>
      <c r="H2178" s="179" t="e">
        <f>IF($C$1077&gt;0,VLOOKUP($C2178,ENTI!$AL$4:AQ$1003,6,FALSE),"")</f>
        <v>#N/A</v>
      </c>
      <c r="I2178" s="187"/>
      <c r="J2178" s="140" t="e">
        <f ca="1">VLOOKUP(D2178,$F$1081:$I$4183,4,FALSE)+COUNTIF(E$1081:E2177,E2178)</f>
        <v>#N/A</v>
      </c>
      <c r="K2178" s="1"/>
      <c r="L2178" s="156"/>
      <c r="M2178" s="1"/>
      <c r="N2178" s="1"/>
      <c r="O2178" s="1"/>
    </row>
    <row r="2179" spans="1:15" hidden="1">
      <c r="A2179" s="1"/>
      <c r="B2179" s="197" t="e">
        <f t="shared" ca="1" si="233"/>
        <v>#N/A</v>
      </c>
      <c r="C2179" s="498">
        <v>113</v>
      </c>
      <c r="D2179" s="41" t="e">
        <f>IF($C$1077&gt;0,VLOOKUP($C2179,ENTI!$AL$4:AN$1003,3,FALSE),"")</f>
        <v>#N/A</v>
      </c>
      <c r="E2179" s="41" t="str">
        <f t="shared" si="232"/>
        <v/>
      </c>
      <c r="F2179" s="200"/>
      <c r="G2179" s="178" t="e">
        <f>IF($C$1077&gt;0,VLOOKUP($C2179,ENTI!$AL$4:AP$1003,5,FALSE),"")</f>
        <v>#N/A</v>
      </c>
      <c r="H2179" s="179" t="e">
        <f>IF($C$1077&gt;0,VLOOKUP($C2179,ENTI!$AL$4:AQ$1003,6,FALSE),"")</f>
        <v>#N/A</v>
      </c>
      <c r="I2179" s="187"/>
      <c r="J2179" s="140" t="e">
        <f ca="1">VLOOKUP(D2179,$F$1081:$I$4183,4,FALSE)+COUNTIF(E$1081:E2178,E2179)</f>
        <v>#N/A</v>
      </c>
      <c r="K2179" s="1"/>
      <c r="L2179" s="156"/>
      <c r="M2179" s="1"/>
      <c r="N2179" s="1"/>
      <c r="O2179" s="1"/>
    </row>
    <row r="2180" spans="1:15" hidden="1">
      <c r="A2180" s="1"/>
      <c r="B2180" s="197" t="e">
        <f t="shared" ca="1" si="233"/>
        <v>#N/A</v>
      </c>
      <c r="C2180" s="498">
        <v>114</v>
      </c>
      <c r="D2180" s="41" t="e">
        <f>IF($C$1077&gt;0,VLOOKUP($C2180,ENTI!$AL$4:AN$1003,3,FALSE),"")</f>
        <v>#N/A</v>
      </c>
      <c r="E2180" s="41" t="str">
        <f t="shared" si="232"/>
        <v/>
      </c>
      <c r="F2180" s="200"/>
      <c r="G2180" s="178" t="e">
        <f>IF($C$1077&gt;0,VLOOKUP($C2180,ENTI!$AL$4:AP$1003,5,FALSE),"")</f>
        <v>#N/A</v>
      </c>
      <c r="H2180" s="179" t="e">
        <f>IF($C$1077&gt;0,VLOOKUP($C2180,ENTI!$AL$4:AQ$1003,6,FALSE),"")</f>
        <v>#N/A</v>
      </c>
      <c r="I2180" s="187"/>
      <c r="J2180" s="140" t="e">
        <f ca="1">VLOOKUP(D2180,$F$1081:$I$4183,4,FALSE)+COUNTIF(E$1081:E2179,E2180)</f>
        <v>#N/A</v>
      </c>
      <c r="K2180" s="1"/>
      <c r="L2180" s="156"/>
      <c r="M2180" s="1"/>
      <c r="N2180" s="1"/>
      <c r="O2180" s="1"/>
    </row>
    <row r="2181" spans="1:15" hidden="1">
      <c r="A2181" s="1"/>
      <c r="B2181" s="197" t="e">
        <f t="shared" ca="1" si="233"/>
        <v>#N/A</v>
      </c>
      <c r="C2181" s="498">
        <v>115</v>
      </c>
      <c r="D2181" s="41" t="e">
        <f>IF($C$1077&gt;0,VLOOKUP($C2181,ENTI!$AL$4:AN$1003,3,FALSE),"")</f>
        <v>#N/A</v>
      </c>
      <c r="E2181" s="41" t="str">
        <f t="shared" si="232"/>
        <v/>
      </c>
      <c r="F2181" s="200"/>
      <c r="G2181" s="178" t="e">
        <f>IF($C$1077&gt;0,VLOOKUP($C2181,ENTI!$AL$4:AP$1003,5,FALSE),"")</f>
        <v>#N/A</v>
      </c>
      <c r="H2181" s="179" t="e">
        <f>IF($C$1077&gt;0,VLOOKUP($C2181,ENTI!$AL$4:AQ$1003,6,FALSE),"")</f>
        <v>#N/A</v>
      </c>
      <c r="I2181" s="187"/>
      <c r="J2181" s="140" t="e">
        <f ca="1">VLOOKUP(D2181,$F$1081:$I$4183,4,FALSE)+COUNTIF(E$1081:E2180,E2181)</f>
        <v>#N/A</v>
      </c>
      <c r="K2181" s="1"/>
      <c r="L2181" s="156"/>
      <c r="M2181" s="1"/>
      <c r="N2181" s="1"/>
      <c r="O2181" s="1"/>
    </row>
    <row r="2182" spans="1:15" hidden="1">
      <c r="A2182" s="1"/>
      <c r="B2182" s="197" t="e">
        <f t="shared" ca="1" si="233"/>
        <v>#N/A</v>
      </c>
      <c r="C2182" s="498">
        <v>116</v>
      </c>
      <c r="D2182" s="41" t="e">
        <f>IF($C$1077&gt;0,VLOOKUP($C2182,ENTI!$AL$4:AN$1003,3,FALSE),"")</f>
        <v>#N/A</v>
      </c>
      <c r="E2182" s="41" t="str">
        <f t="shared" si="232"/>
        <v/>
      </c>
      <c r="F2182" s="200"/>
      <c r="G2182" s="178" t="e">
        <f>IF($C$1077&gt;0,VLOOKUP($C2182,ENTI!$AL$4:AP$1003,5,FALSE),"")</f>
        <v>#N/A</v>
      </c>
      <c r="H2182" s="179" t="e">
        <f>IF($C$1077&gt;0,VLOOKUP($C2182,ENTI!$AL$4:AQ$1003,6,FALSE),"")</f>
        <v>#N/A</v>
      </c>
      <c r="I2182" s="187"/>
      <c r="J2182" s="140" t="e">
        <f ca="1">VLOOKUP(D2182,$F$1081:$I$4183,4,FALSE)+COUNTIF(E$1081:E2181,E2182)</f>
        <v>#N/A</v>
      </c>
      <c r="K2182" s="1"/>
      <c r="L2182" s="156"/>
      <c r="M2182" s="1"/>
      <c r="N2182" s="1"/>
      <c r="O2182" s="1"/>
    </row>
    <row r="2183" spans="1:15" hidden="1">
      <c r="A2183" s="1"/>
      <c r="B2183" s="197" t="e">
        <f t="shared" ca="1" si="233"/>
        <v>#N/A</v>
      </c>
      <c r="C2183" s="498">
        <v>117</v>
      </c>
      <c r="D2183" s="41" t="e">
        <f>IF($C$1077&gt;0,VLOOKUP($C2183,ENTI!$AL$4:AN$1003,3,FALSE),"")</f>
        <v>#N/A</v>
      </c>
      <c r="E2183" s="41" t="str">
        <f t="shared" si="232"/>
        <v/>
      </c>
      <c r="F2183" s="200"/>
      <c r="G2183" s="178" t="e">
        <f>IF($C$1077&gt;0,VLOOKUP($C2183,ENTI!$AL$4:AP$1003,5,FALSE),"")</f>
        <v>#N/A</v>
      </c>
      <c r="H2183" s="179" t="e">
        <f>IF($C$1077&gt;0,VLOOKUP($C2183,ENTI!$AL$4:AQ$1003,6,FALSE),"")</f>
        <v>#N/A</v>
      </c>
      <c r="I2183" s="187"/>
      <c r="J2183" s="140" t="e">
        <f ca="1">VLOOKUP(D2183,$F$1081:$I$4183,4,FALSE)+COUNTIF(E$1081:E2182,E2183)</f>
        <v>#N/A</v>
      </c>
      <c r="K2183" s="1"/>
      <c r="L2183" s="156"/>
      <c r="M2183" s="1"/>
      <c r="N2183" s="1"/>
      <c r="O2183" s="1"/>
    </row>
    <row r="2184" spans="1:15" hidden="1">
      <c r="A2184" s="1"/>
      <c r="B2184" s="197" t="e">
        <f t="shared" ca="1" si="233"/>
        <v>#N/A</v>
      </c>
      <c r="C2184" s="498">
        <v>118</v>
      </c>
      <c r="D2184" s="41" t="e">
        <f>IF($C$1077&gt;0,VLOOKUP($C2184,ENTI!$AL$4:AN$1003,3,FALSE),"")</f>
        <v>#N/A</v>
      </c>
      <c r="E2184" s="41" t="str">
        <f t="shared" si="232"/>
        <v/>
      </c>
      <c r="F2184" s="200"/>
      <c r="G2184" s="178" t="e">
        <f>IF($C$1077&gt;0,VLOOKUP($C2184,ENTI!$AL$4:AP$1003,5,FALSE),"")</f>
        <v>#N/A</v>
      </c>
      <c r="H2184" s="179" t="e">
        <f>IF($C$1077&gt;0,VLOOKUP($C2184,ENTI!$AL$4:AQ$1003,6,FALSE),"")</f>
        <v>#N/A</v>
      </c>
      <c r="I2184" s="187"/>
      <c r="J2184" s="140" t="e">
        <f ca="1">VLOOKUP(D2184,$F$1081:$I$4183,4,FALSE)+COUNTIF(E$1081:E2183,E2184)</f>
        <v>#N/A</v>
      </c>
      <c r="K2184" s="1"/>
      <c r="L2184" s="156"/>
      <c r="M2184" s="1"/>
      <c r="N2184" s="1"/>
      <c r="O2184" s="1"/>
    </row>
    <row r="2185" spans="1:15" hidden="1">
      <c r="A2185" s="1"/>
      <c r="B2185" s="197" t="e">
        <f t="shared" ca="1" si="233"/>
        <v>#N/A</v>
      </c>
      <c r="C2185" s="498">
        <v>119</v>
      </c>
      <c r="D2185" s="41" t="e">
        <f>IF($C$1077&gt;0,VLOOKUP($C2185,ENTI!$AL$4:AN$1003,3,FALSE),"")</f>
        <v>#N/A</v>
      </c>
      <c r="E2185" s="41" t="str">
        <f t="shared" si="232"/>
        <v/>
      </c>
      <c r="F2185" s="200"/>
      <c r="G2185" s="178" t="e">
        <f>IF($C$1077&gt;0,VLOOKUP($C2185,ENTI!$AL$4:AP$1003,5,FALSE),"")</f>
        <v>#N/A</v>
      </c>
      <c r="H2185" s="179" t="e">
        <f>IF($C$1077&gt;0,VLOOKUP($C2185,ENTI!$AL$4:AQ$1003,6,FALSE),"")</f>
        <v>#N/A</v>
      </c>
      <c r="I2185" s="187"/>
      <c r="J2185" s="140" t="e">
        <f ca="1">VLOOKUP(D2185,$F$1081:$I$4183,4,FALSE)+COUNTIF(E$1081:E2184,E2185)</f>
        <v>#N/A</v>
      </c>
      <c r="K2185" s="1"/>
      <c r="L2185" s="156"/>
      <c r="M2185" s="1"/>
      <c r="N2185" s="1"/>
      <c r="O2185" s="1"/>
    </row>
    <row r="2186" spans="1:15" hidden="1">
      <c r="A2186" s="1"/>
      <c r="B2186" s="197" t="e">
        <f t="shared" ca="1" si="233"/>
        <v>#N/A</v>
      </c>
      <c r="C2186" s="498">
        <v>120</v>
      </c>
      <c r="D2186" s="41" t="e">
        <f>IF($C$1077&gt;0,VLOOKUP($C2186,ENTI!$AL$4:AN$1003,3,FALSE),"")</f>
        <v>#N/A</v>
      </c>
      <c r="E2186" s="41" t="str">
        <f t="shared" si="232"/>
        <v/>
      </c>
      <c r="F2186" s="200"/>
      <c r="G2186" s="178" t="e">
        <f>IF($C$1077&gt;0,VLOOKUP($C2186,ENTI!$AL$4:AP$1003,5,FALSE),"")</f>
        <v>#N/A</v>
      </c>
      <c r="H2186" s="179" t="e">
        <f>IF($C$1077&gt;0,VLOOKUP($C2186,ENTI!$AL$4:AQ$1003,6,FALSE),"")</f>
        <v>#N/A</v>
      </c>
      <c r="I2186" s="187"/>
      <c r="J2186" s="140" t="e">
        <f ca="1">VLOOKUP(D2186,$F$1081:$I$4183,4,FALSE)+COUNTIF(E$1081:E2185,E2186)</f>
        <v>#N/A</v>
      </c>
      <c r="K2186" s="1"/>
      <c r="L2186" s="156"/>
      <c r="M2186" s="1"/>
      <c r="N2186" s="1"/>
      <c r="O2186" s="1"/>
    </row>
    <row r="2187" spans="1:15" hidden="1">
      <c r="A2187" s="1"/>
      <c r="B2187" s="197" t="e">
        <f t="shared" ca="1" si="233"/>
        <v>#N/A</v>
      </c>
      <c r="C2187" s="498">
        <v>121</v>
      </c>
      <c r="D2187" s="41" t="e">
        <f>IF($C$1077&gt;0,VLOOKUP($C2187,ENTI!$AL$4:AN$1003,3,FALSE),"")</f>
        <v>#N/A</v>
      </c>
      <c r="E2187" s="41" t="str">
        <f t="shared" si="232"/>
        <v/>
      </c>
      <c r="F2187" s="200"/>
      <c r="G2187" s="178" t="e">
        <f>IF($C$1077&gt;0,VLOOKUP($C2187,ENTI!$AL$4:AP$1003,5,FALSE),"")</f>
        <v>#N/A</v>
      </c>
      <c r="H2187" s="179" t="e">
        <f>IF($C$1077&gt;0,VLOOKUP($C2187,ENTI!$AL$4:AQ$1003,6,FALSE),"")</f>
        <v>#N/A</v>
      </c>
      <c r="I2187" s="187"/>
      <c r="J2187" s="140" t="e">
        <f ca="1">VLOOKUP(D2187,$F$1081:$I$4183,4,FALSE)+COUNTIF(E$1081:E2186,E2187)</f>
        <v>#N/A</v>
      </c>
      <c r="K2187" s="1"/>
      <c r="L2187" s="156"/>
      <c r="M2187" s="1"/>
      <c r="N2187" s="1"/>
      <c r="O2187" s="1"/>
    </row>
    <row r="2188" spans="1:15" hidden="1">
      <c r="A2188" s="1"/>
      <c r="B2188" s="197" t="e">
        <f t="shared" ca="1" si="233"/>
        <v>#N/A</v>
      </c>
      <c r="C2188" s="498">
        <v>122</v>
      </c>
      <c r="D2188" s="41" t="e">
        <f>IF($C$1077&gt;0,VLOOKUP($C2188,ENTI!$AL$4:AN$1003,3,FALSE),"")</f>
        <v>#N/A</v>
      </c>
      <c r="E2188" s="41" t="str">
        <f t="shared" si="232"/>
        <v/>
      </c>
      <c r="F2188" s="200"/>
      <c r="G2188" s="178" t="e">
        <f>IF($C$1077&gt;0,VLOOKUP($C2188,ENTI!$AL$4:AP$1003,5,FALSE),"")</f>
        <v>#N/A</v>
      </c>
      <c r="H2188" s="179" t="e">
        <f>IF($C$1077&gt;0,VLOOKUP($C2188,ENTI!$AL$4:AQ$1003,6,FALSE),"")</f>
        <v>#N/A</v>
      </c>
      <c r="I2188" s="187"/>
      <c r="J2188" s="140" t="e">
        <f ca="1">VLOOKUP(D2188,$F$1081:$I$4183,4,FALSE)+COUNTIF(E$1081:E2187,E2188)</f>
        <v>#N/A</v>
      </c>
      <c r="K2188" s="1"/>
      <c r="L2188" s="156"/>
      <c r="M2188" s="1"/>
      <c r="N2188" s="1"/>
      <c r="O2188" s="1"/>
    </row>
    <row r="2189" spans="1:15" hidden="1">
      <c r="A2189" s="1"/>
      <c r="B2189" s="197" t="e">
        <f t="shared" ca="1" si="233"/>
        <v>#N/A</v>
      </c>
      <c r="C2189" s="498">
        <v>123</v>
      </c>
      <c r="D2189" s="41" t="e">
        <f>IF($C$1077&gt;0,VLOOKUP($C2189,ENTI!$AL$4:AN$1003,3,FALSE),"")</f>
        <v>#N/A</v>
      </c>
      <c r="E2189" s="41" t="str">
        <f t="shared" si="232"/>
        <v/>
      </c>
      <c r="F2189" s="200"/>
      <c r="G2189" s="178" t="e">
        <f>IF($C$1077&gt;0,VLOOKUP($C2189,ENTI!$AL$4:AP$1003,5,FALSE),"")</f>
        <v>#N/A</v>
      </c>
      <c r="H2189" s="179" t="e">
        <f>IF($C$1077&gt;0,VLOOKUP($C2189,ENTI!$AL$4:AQ$1003,6,FALSE),"")</f>
        <v>#N/A</v>
      </c>
      <c r="I2189" s="187"/>
      <c r="J2189" s="140" t="e">
        <f ca="1">VLOOKUP(D2189,$F$1081:$I$4183,4,FALSE)+COUNTIF(E$1081:E2188,E2189)</f>
        <v>#N/A</v>
      </c>
      <c r="K2189" s="1"/>
      <c r="L2189" s="156"/>
      <c r="M2189" s="1"/>
      <c r="N2189" s="1"/>
      <c r="O2189" s="1"/>
    </row>
    <row r="2190" spans="1:15" hidden="1">
      <c r="A2190" s="1"/>
      <c r="B2190" s="197" t="e">
        <f t="shared" ca="1" si="233"/>
        <v>#N/A</v>
      </c>
      <c r="C2190" s="498">
        <v>124</v>
      </c>
      <c r="D2190" s="41" t="e">
        <f>IF($C$1077&gt;0,VLOOKUP($C2190,ENTI!$AL$4:AN$1003,3,FALSE),"")</f>
        <v>#N/A</v>
      </c>
      <c r="E2190" s="41" t="str">
        <f t="shared" si="232"/>
        <v/>
      </c>
      <c r="F2190" s="200"/>
      <c r="G2190" s="178" t="e">
        <f>IF($C$1077&gt;0,VLOOKUP($C2190,ENTI!$AL$4:AP$1003,5,FALSE),"")</f>
        <v>#N/A</v>
      </c>
      <c r="H2190" s="179" t="e">
        <f>IF($C$1077&gt;0,VLOOKUP($C2190,ENTI!$AL$4:AQ$1003,6,FALSE),"")</f>
        <v>#N/A</v>
      </c>
      <c r="I2190" s="187"/>
      <c r="J2190" s="140" t="e">
        <f ca="1">VLOOKUP(D2190,$F$1081:$I$4183,4,FALSE)+COUNTIF(E$1081:E2189,E2190)</f>
        <v>#N/A</v>
      </c>
      <c r="K2190" s="1"/>
      <c r="L2190" s="156"/>
      <c r="M2190" s="1"/>
      <c r="N2190" s="1"/>
      <c r="O2190" s="1"/>
    </row>
    <row r="2191" spans="1:15" hidden="1">
      <c r="A2191" s="1"/>
      <c r="B2191" s="197" t="e">
        <f t="shared" ca="1" si="233"/>
        <v>#N/A</v>
      </c>
      <c r="C2191" s="498">
        <v>125</v>
      </c>
      <c r="D2191" s="41" t="e">
        <f>IF($C$1077&gt;0,VLOOKUP($C2191,ENTI!$AL$4:AN$1003,3,FALSE),"")</f>
        <v>#N/A</v>
      </c>
      <c r="E2191" s="41" t="str">
        <f t="shared" si="232"/>
        <v/>
      </c>
      <c r="F2191" s="200"/>
      <c r="G2191" s="178" t="e">
        <f>IF($C$1077&gt;0,VLOOKUP($C2191,ENTI!$AL$4:AP$1003,5,FALSE),"")</f>
        <v>#N/A</v>
      </c>
      <c r="H2191" s="179" t="e">
        <f>IF($C$1077&gt;0,VLOOKUP($C2191,ENTI!$AL$4:AQ$1003,6,FALSE),"")</f>
        <v>#N/A</v>
      </c>
      <c r="I2191" s="187"/>
      <c r="J2191" s="140" t="e">
        <f ca="1">VLOOKUP(D2191,$F$1081:$I$4183,4,FALSE)+COUNTIF(E$1081:E2190,E2191)</f>
        <v>#N/A</v>
      </c>
      <c r="K2191" s="1"/>
      <c r="L2191" s="156"/>
      <c r="M2191" s="1"/>
      <c r="N2191" s="1"/>
      <c r="O2191" s="1"/>
    </row>
    <row r="2192" spans="1:15" hidden="1">
      <c r="A2192" s="1"/>
      <c r="B2192" s="197" t="e">
        <f t="shared" ca="1" si="233"/>
        <v>#N/A</v>
      </c>
      <c r="C2192" s="498">
        <v>126</v>
      </c>
      <c r="D2192" s="41" t="e">
        <f>IF($C$1077&gt;0,VLOOKUP($C2192,ENTI!$AL$4:AN$1003,3,FALSE),"")</f>
        <v>#N/A</v>
      </c>
      <c r="E2192" s="41" t="str">
        <f t="shared" si="232"/>
        <v/>
      </c>
      <c r="F2192" s="200"/>
      <c r="G2192" s="178" t="e">
        <f>IF($C$1077&gt;0,VLOOKUP($C2192,ENTI!$AL$4:AP$1003,5,FALSE),"")</f>
        <v>#N/A</v>
      </c>
      <c r="H2192" s="179" t="e">
        <f>IF($C$1077&gt;0,VLOOKUP($C2192,ENTI!$AL$4:AQ$1003,6,FALSE),"")</f>
        <v>#N/A</v>
      </c>
      <c r="I2192" s="187"/>
      <c r="J2192" s="140" t="e">
        <f ca="1">VLOOKUP(D2192,$F$1081:$I$4183,4,FALSE)+COUNTIF(E$1081:E2191,E2192)</f>
        <v>#N/A</v>
      </c>
      <c r="K2192" s="1"/>
      <c r="L2192" s="156"/>
      <c r="M2192" s="1"/>
      <c r="N2192" s="1"/>
      <c r="O2192" s="1"/>
    </row>
    <row r="2193" spans="1:15" hidden="1">
      <c r="A2193" s="1"/>
      <c r="B2193" s="197" t="e">
        <f t="shared" ca="1" si="233"/>
        <v>#N/A</v>
      </c>
      <c r="C2193" s="498">
        <v>127</v>
      </c>
      <c r="D2193" s="41" t="e">
        <f>IF($C$1077&gt;0,VLOOKUP($C2193,ENTI!$AL$4:AN$1003,3,FALSE),"")</f>
        <v>#N/A</v>
      </c>
      <c r="E2193" s="41" t="str">
        <f t="shared" si="232"/>
        <v/>
      </c>
      <c r="F2193" s="200"/>
      <c r="G2193" s="178" t="e">
        <f>IF($C$1077&gt;0,VLOOKUP($C2193,ENTI!$AL$4:AP$1003,5,FALSE),"")</f>
        <v>#N/A</v>
      </c>
      <c r="H2193" s="179" t="e">
        <f>IF($C$1077&gt;0,VLOOKUP($C2193,ENTI!$AL$4:AQ$1003,6,FALSE),"")</f>
        <v>#N/A</v>
      </c>
      <c r="I2193" s="187"/>
      <c r="J2193" s="140" t="e">
        <f ca="1">VLOOKUP(D2193,$F$1081:$I$4183,4,FALSE)+COUNTIF(E$1081:E2192,E2193)</f>
        <v>#N/A</v>
      </c>
      <c r="K2193" s="1"/>
      <c r="L2193" s="156"/>
      <c r="M2193" s="1"/>
      <c r="N2193" s="1"/>
      <c r="O2193" s="1"/>
    </row>
    <row r="2194" spans="1:15" hidden="1">
      <c r="A2194" s="1"/>
      <c r="B2194" s="197" t="e">
        <f t="shared" ca="1" si="233"/>
        <v>#N/A</v>
      </c>
      <c r="C2194" s="498">
        <v>128</v>
      </c>
      <c r="D2194" s="41" t="e">
        <f>IF($C$1077&gt;0,VLOOKUP($C2194,ENTI!$AL$4:AN$1003,3,FALSE),"")</f>
        <v>#N/A</v>
      </c>
      <c r="E2194" s="41" t="str">
        <f t="shared" ref="E2194:E2257" si="234">IF(ISERROR(D2194),"",D2194)</f>
        <v/>
      </c>
      <c r="F2194" s="200"/>
      <c r="G2194" s="178" t="e">
        <f>IF($C$1077&gt;0,VLOOKUP($C2194,ENTI!$AL$4:AP$1003,5,FALSE),"")</f>
        <v>#N/A</v>
      </c>
      <c r="H2194" s="179" t="e">
        <f>IF($C$1077&gt;0,VLOOKUP($C2194,ENTI!$AL$4:AQ$1003,6,FALSE),"")</f>
        <v>#N/A</v>
      </c>
      <c r="I2194" s="187"/>
      <c r="J2194" s="140" t="e">
        <f ca="1">VLOOKUP(D2194,$F$1081:$I$4183,4,FALSE)+COUNTIF(E$1081:E2193,E2194)</f>
        <v>#N/A</v>
      </c>
      <c r="K2194" s="1"/>
      <c r="L2194" s="156"/>
      <c r="M2194" s="1"/>
      <c r="N2194" s="1"/>
      <c r="O2194" s="1"/>
    </row>
    <row r="2195" spans="1:15" hidden="1">
      <c r="A2195" s="1"/>
      <c r="B2195" s="197" t="e">
        <f t="shared" ca="1" si="233"/>
        <v>#N/A</v>
      </c>
      <c r="C2195" s="498">
        <v>129</v>
      </c>
      <c r="D2195" s="41" t="e">
        <f>IF($C$1077&gt;0,VLOOKUP($C2195,ENTI!$AL$4:AN$1003,3,FALSE),"")</f>
        <v>#N/A</v>
      </c>
      <c r="E2195" s="41" t="str">
        <f t="shared" si="234"/>
        <v/>
      </c>
      <c r="F2195" s="200"/>
      <c r="G2195" s="178" t="e">
        <f>IF($C$1077&gt;0,VLOOKUP($C2195,ENTI!$AL$4:AP$1003,5,FALSE),"")</f>
        <v>#N/A</v>
      </c>
      <c r="H2195" s="179" t="e">
        <f>IF($C$1077&gt;0,VLOOKUP($C2195,ENTI!$AL$4:AQ$1003,6,FALSE),"")</f>
        <v>#N/A</v>
      </c>
      <c r="I2195" s="187"/>
      <c r="J2195" s="140" t="e">
        <f ca="1">VLOOKUP(D2195,$F$1081:$I$4183,4,FALSE)+COUNTIF(E$1081:E2194,E2195)</f>
        <v>#N/A</v>
      </c>
      <c r="K2195" s="1"/>
      <c r="L2195" s="156"/>
      <c r="M2195" s="1"/>
      <c r="N2195" s="1"/>
      <c r="O2195" s="1"/>
    </row>
    <row r="2196" spans="1:15" hidden="1">
      <c r="A2196" s="1"/>
      <c r="B2196" s="197" t="e">
        <f t="shared" ca="1" si="233"/>
        <v>#N/A</v>
      </c>
      <c r="C2196" s="498">
        <v>130</v>
      </c>
      <c r="D2196" s="41" t="e">
        <f>IF($C$1077&gt;0,VLOOKUP($C2196,ENTI!$AL$4:AN$1003,3,FALSE),"")</f>
        <v>#N/A</v>
      </c>
      <c r="E2196" s="41" t="str">
        <f t="shared" si="234"/>
        <v/>
      </c>
      <c r="F2196" s="200"/>
      <c r="G2196" s="178" t="e">
        <f>IF($C$1077&gt;0,VLOOKUP($C2196,ENTI!$AL$4:AP$1003,5,FALSE),"")</f>
        <v>#N/A</v>
      </c>
      <c r="H2196" s="179" t="e">
        <f>IF($C$1077&gt;0,VLOOKUP($C2196,ENTI!$AL$4:AQ$1003,6,FALSE),"")</f>
        <v>#N/A</v>
      </c>
      <c r="I2196" s="187"/>
      <c r="J2196" s="140" t="e">
        <f ca="1">VLOOKUP(D2196,$F$1081:$I$4183,4,FALSE)+COUNTIF(E$1081:E2195,E2196)</f>
        <v>#N/A</v>
      </c>
      <c r="K2196" s="1"/>
      <c r="L2196" s="156"/>
      <c r="M2196" s="1"/>
      <c r="N2196" s="1"/>
      <c r="O2196" s="1"/>
    </row>
    <row r="2197" spans="1:15" hidden="1">
      <c r="A2197" s="1"/>
      <c r="B2197" s="197" t="e">
        <f t="shared" ca="1" si="233"/>
        <v>#N/A</v>
      </c>
      <c r="C2197" s="498">
        <v>131</v>
      </c>
      <c r="D2197" s="41" t="e">
        <f>IF($C$1077&gt;0,VLOOKUP($C2197,ENTI!$AL$4:AN$1003,3,FALSE),"")</f>
        <v>#N/A</v>
      </c>
      <c r="E2197" s="41" t="str">
        <f t="shared" si="234"/>
        <v/>
      </c>
      <c r="F2197" s="200"/>
      <c r="G2197" s="178" t="e">
        <f>IF($C$1077&gt;0,VLOOKUP($C2197,ENTI!$AL$4:AP$1003,5,FALSE),"")</f>
        <v>#N/A</v>
      </c>
      <c r="H2197" s="179" t="e">
        <f>IF($C$1077&gt;0,VLOOKUP($C2197,ENTI!$AL$4:AQ$1003,6,FALSE),"")</f>
        <v>#N/A</v>
      </c>
      <c r="I2197" s="187"/>
      <c r="J2197" s="140" t="e">
        <f ca="1">VLOOKUP(D2197,$F$1081:$I$4183,4,FALSE)+COUNTIF(E$1081:E2196,E2197)</f>
        <v>#N/A</v>
      </c>
      <c r="K2197" s="1"/>
      <c r="L2197" s="156"/>
      <c r="M2197" s="1"/>
      <c r="N2197" s="1"/>
      <c r="O2197" s="1"/>
    </row>
    <row r="2198" spans="1:15" hidden="1">
      <c r="A2198" s="1"/>
      <c r="B2198" s="197" t="e">
        <f t="shared" ca="1" si="233"/>
        <v>#N/A</v>
      </c>
      <c r="C2198" s="498">
        <v>132</v>
      </c>
      <c r="D2198" s="41" t="e">
        <f>IF($C$1077&gt;0,VLOOKUP($C2198,ENTI!$AL$4:AN$1003,3,FALSE),"")</f>
        <v>#N/A</v>
      </c>
      <c r="E2198" s="41" t="str">
        <f t="shared" si="234"/>
        <v/>
      </c>
      <c r="F2198" s="200"/>
      <c r="G2198" s="178" t="e">
        <f>IF($C$1077&gt;0,VLOOKUP($C2198,ENTI!$AL$4:AP$1003,5,FALSE),"")</f>
        <v>#N/A</v>
      </c>
      <c r="H2198" s="179" t="e">
        <f>IF($C$1077&gt;0,VLOOKUP($C2198,ENTI!$AL$4:AQ$1003,6,FALSE),"")</f>
        <v>#N/A</v>
      </c>
      <c r="I2198" s="187"/>
      <c r="J2198" s="140" t="e">
        <f ca="1">VLOOKUP(D2198,$F$1081:$I$4183,4,FALSE)+COUNTIF(E$1081:E2197,E2198)</f>
        <v>#N/A</v>
      </c>
      <c r="K2198" s="1"/>
      <c r="L2198" s="156"/>
      <c r="M2198" s="1"/>
      <c r="N2198" s="1"/>
      <c r="O2198" s="1"/>
    </row>
    <row r="2199" spans="1:15" hidden="1">
      <c r="A2199" s="1"/>
      <c r="B2199" s="197" t="e">
        <f t="shared" ca="1" si="233"/>
        <v>#N/A</v>
      </c>
      <c r="C2199" s="498">
        <v>133</v>
      </c>
      <c r="D2199" s="41" t="e">
        <f>IF($C$1077&gt;0,VLOOKUP($C2199,ENTI!$AL$4:AN$1003,3,FALSE),"")</f>
        <v>#N/A</v>
      </c>
      <c r="E2199" s="41" t="str">
        <f t="shared" si="234"/>
        <v/>
      </c>
      <c r="F2199" s="200"/>
      <c r="G2199" s="178" t="e">
        <f>IF($C$1077&gt;0,VLOOKUP($C2199,ENTI!$AL$4:AP$1003,5,FALSE),"")</f>
        <v>#N/A</v>
      </c>
      <c r="H2199" s="179" t="e">
        <f>IF($C$1077&gt;0,VLOOKUP($C2199,ENTI!$AL$4:AQ$1003,6,FALSE),"")</f>
        <v>#N/A</v>
      </c>
      <c r="I2199" s="187"/>
      <c r="J2199" s="140" t="e">
        <f ca="1">VLOOKUP(D2199,$F$1081:$I$4183,4,FALSE)+COUNTIF(E$1081:E2198,E2199)</f>
        <v>#N/A</v>
      </c>
      <c r="K2199" s="1"/>
      <c r="L2199" s="156"/>
      <c r="M2199" s="1"/>
      <c r="N2199" s="1"/>
      <c r="O2199" s="1"/>
    </row>
    <row r="2200" spans="1:15" hidden="1">
      <c r="A2200" s="1"/>
      <c r="B2200" s="197" t="e">
        <f t="shared" ca="1" si="233"/>
        <v>#N/A</v>
      </c>
      <c r="C2200" s="498">
        <v>134</v>
      </c>
      <c r="D2200" s="41" t="e">
        <f>IF($C$1077&gt;0,VLOOKUP($C2200,ENTI!$AL$4:AN$1003,3,FALSE),"")</f>
        <v>#N/A</v>
      </c>
      <c r="E2200" s="41" t="str">
        <f t="shared" si="234"/>
        <v/>
      </c>
      <c r="F2200" s="200"/>
      <c r="G2200" s="178" t="e">
        <f>IF($C$1077&gt;0,VLOOKUP($C2200,ENTI!$AL$4:AP$1003,5,FALSE),"")</f>
        <v>#N/A</v>
      </c>
      <c r="H2200" s="179" t="e">
        <f>IF($C$1077&gt;0,VLOOKUP($C2200,ENTI!$AL$4:AQ$1003,6,FALSE),"")</f>
        <v>#N/A</v>
      </c>
      <c r="I2200" s="187"/>
      <c r="J2200" s="140" t="e">
        <f ca="1">VLOOKUP(D2200,$F$1081:$I$4183,4,FALSE)+COUNTIF(E$1081:E2199,E2200)</f>
        <v>#N/A</v>
      </c>
      <c r="K2200" s="1"/>
      <c r="L2200" s="156"/>
      <c r="M2200" s="1"/>
      <c r="N2200" s="1"/>
      <c r="O2200" s="1"/>
    </row>
    <row r="2201" spans="1:15" hidden="1">
      <c r="A2201" s="1"/>
      <c r="B2201" s="197" t="e">
        <f t="shared" ref="B2201:B2264" ca="1" si="235">IF(OR(C$1075&gt;0,C$1077&gt;0,C$1073&gt;0,C$1071&gt;0),J2201+1,J2201)</f>
        <v>#N/A</v>
      </c>
      <c r="C2201" s="498">
        <v>135</v>
      </c>
      <c r="D2201" s="41" t="e">
        <f>IF($C$1077&gt;0,VLOOKUP($C2201,ENTI!$AL$4:AN$1003,3,FALSE),"")</f>
        <v>#N/A</v>
      </c>
      <c r="E2201" s="41" t="str">
        <f t="shared" si="234"/>
        <v/>
      </c>
      <c r="F2201" s="200"/>
      <c r="G2201" s="178" t="e">
        <f>IF($C$1077&gt;0,VLOOKUP($C2201,ENTI!$AL$4:AP$1003,5,FALSE),"")</f>
        <v>#N/A</v>
      </c>
      <c r="H2201" s="179" t="e">
        <f>IF($C$1077&gt;0,VLOOKUP($C2201,ENTI!$AL$4:AQ$1003,6,FALSE),"")</f>
        <v>#N/A</v>
      </c>
      <c r="I2201" s="187"/>
      <c r="J2201" s="140" t="e">
        <f ca="1">VLOOKUP(D2201,$F$1081:$I$4183,4,FALSE)+COUNTIF(E$1081:E2200,E2201)</f>
        <v>#N/A</v>
      </c>
      <c r="K2201" s="1"/>
      <c r="L2201" s="156"/>
      <c r="M2201" s="1"/>
      <c r="N2201" s="1"/>
      <c r="O2201" s="1"/>
    </row>
    <row r="2202" spans="1:15" hidden="1">
      <c r="A2202" s="1"/>
      <c r="B2202" s="197" t="e">
        <f t="shared" ca="1" si="235"/>
        <v>#N/A</v>
      </c>
      <c r="C2202" s="498">
        <v>136</v>
      </c>
      <c r="D2202" s="41" t="e">
        <f>IF($C$1077&gt;0,VLOOKUP($C2202,ENTI!$AL$4:AN$1003,3,FALSE),"")</f>
        <v>#N/A</v>
      </c>
      <c r="E2202" s="41" t="str">
        <f t="shared" si="234"/>
        <v/>
      </c>
      <c r="F2202" s="200"/>
      <c r="G2202" s="178" t="e">
        <f>IF($C$1077&gt;0,VLOOKUP($C2202,ENTI!$AL$4:AP$1003,5,FALSE),"")</f>
        <v>#N/A</v>
      </c>
      <c r="H2202" s="179" t="e">
        <f>IF($C$1077&gt;0,VLOOKUP($C2202,ENTI!$AL$4:AQ$1003,6,FALSE),"")</f>
        <v>#N/A</v>
      </c>
      <c r="I2202" s="187"/>
      <c r="J2202" s="140" t="e">
        <f ca="1">VLOOKUP(D2202,$F$1081:$I$4183,4,FALSE)+COUNTIF(E$1081:E2201,E2202)</f>
        <v>#N/A</v>
      </c>
      <c r="K2202" s="1"/>
      <c r="L2202" s="156"/>
      <c r="M2202" s="1"/>
      <c r="N2202" s="1"/>
      <c r="O2202" s="1"/>
    </row>
    <row r="2203" spans="1:15" hidden="1">
      <c r="A2203" s="1"/>
      <c r="B2203" s="197" t="e">
        <f t="shared" ca="1" si="235"/>
        <v>#N/A</v>
      </c>
      <c r="C2203" s="498">
        <v>137</v>
      </c>
      <c r="D2203" s="41" t="e">
        <f>IF($C$1077&gt;0,VLOOKUP($C2203,ENTI!$AL$4:AN$1003,3,FALSE),"")</f>
        <v>#N/A</v>
      </c>
      <c r="E2203" s="41" t="str">
        <f t="shared" si="234"/>
        <v/>
      </c>
      <c r="F2203" s="200"/>
      <c r="G2203" s="178" t="e">
        <f>IF($C$1077&gt;0,VLOOKUP($C2203,ENTI!$AL$4:AP$1003,5,FALSE),"")</f>
        <v>#N/A</v>
      </c>
      <c r="H2203" s="179" t="e">
        <f>IF($C$1077&gt;0,VLOOKUP($C2203,ENTI!$AL$4:AQ$1003,6,FALSE),"")</f>
        <v>#N/A</v>
      </c>
      <c r="I2203" s="187"/>
      <c r="J2203" s="140" t="e">
        <f ca="1">VLOOKUP(D2203,$F$1081:$I$4183,4,FALSE)+COUNTIF(E$1081:E2202,E2203)</f>
        <v>#N/A</v>
      </c>
      <c r="K2203" s="1"/>
      <c r="L2203" s="156"/>
      <c r="M2203" s="1"/>
      <c r="N2203" s="1"/>
      <c r="O2203" s="1"/>
    </row>
    <row r="2204" spans="1:15" hidden="1">
      <c r="A2204" s="1"/>
      <c r="B2204" s="197" t="e">
        <f t="shared" ca="1" si="235"/>
        <v>#N/A</v>
      </c>
      <c r="C2204" s="498">
        <v>138</v>
      </c>
      <c r="D2204" s="41" t="e">
        <f>IF($C$1077&gt;0,VLOOKUP($C2204,ENTI!$AL$4:AN$1003,3,FALSE),"")</f>
        <v>#N/A</v>
      </c>
      <c r="E2204" s="41" t="str">
        <f t="shared" si="234"/>
        <v/>
      </c>
      <c r="F2204" s="200"/>
      <c r="G2204" s="178" t="e">
        <f>IF($C$1077&gt;0,VLOOKUP($C2204,ENTI!$AL$4:AP$1003,5,FALSE),"")</f>
        <v>#N/A</v>
      </c>
      <c r="H2204" s="179" t="e">
        <f>IF($C$1077&gt;0,VLOOKUP($C2204,ENTI!$AL$4:AQ$1003,6,FALSE),"")</f>
        <v>#N/A</v>
      </c>
      <c r="I2204" s="187"/>
      <c r="J2204" s="140" t="e">
        <f ca="1">VLOOKUP(D2204,$F$1081:$I$4183,4,FALSE)+COUNTIF(E$1081:E2203,E2204)</f>
        <v>#N/A</v>
      </c>
      <c r="K2204" s="1"/>
      <c r="L2204" s="156"/>
      <c r="M2204" s="1"/>
      <c r="N2204" s="1"/>
      <c r="O2204" s="1"/>
    </row>
    <row r="2205" spans="1:15" hidden="1">
      <c r="A2205" s="1"/>
      <c r="B2205" s="197" t="e">
        <f t="shared" ca="1" si="235"/>
        <v>#N/A</v>
      </c>
      <c r="C2205" s="498">
        <v>139</v>
      </c>
      <c r="D2205" s="41" t="e">
        <f>IF($C$1077&gt;0,VLOOKUP($C2205,ENTI!$AL$4:AN$1003,3,FALSE),"")</f>
        <v>#N/A</v>
      </c>
      <c r="E2205" s="41" t="str">
        <f t="shared" si="234"/>
        <v/>
      </c>
      <c r="F2205" s="200"/>
      <c r="G2205" s="178" t="e">
        <f>IF($C$1077&gt;0,VLOOKUP($C2205,ENTI!$AL$4:AP$1003,5,FALSE),"")</f>
        <v>#N/A</v>
      </c>
      <c r="H2205" s="179" t="e">
        <f>IF($C$1077&gt;0,VLOOKUP($C2205,ENTI!$AL$4:AQ$1003,6,FALSE),"")</f>
        <v>#N/A</v>
      </c>
      <c r="I2205" s="187"/>
      <c r="J2205" s="140" t="e">
        <f ca="1">VLOOKUP(D2205,$F$1081:$I$4183,4,FALSE)+COUNTIF(E$1081:E2204,E2205)</f>
        <v>#N/A</v>
      </c>
      <c r="K2205" s="1"/>
      <c r="L2205" s="156"/>
      <c r="M2205" s="1"/>
      <c r="N2205" s="1"/>
      <c r="O2205" s="1"/>
    </row>
    <row r="2206" spans="1:15" hidden="1">
      <c r="A2206" s="1"/>
      <c r="B2206" s="197" t="e">
        <f t="shared" ca="1" si="235"/>
        <v>#N/A</v>
      </c>
      <c r="C2206" s="498">
        <v>140</v>
      </c>
      <c r="D2206" s="41" t="e">
        <f>IF($C$1077&gt;0,VLOOKUP($C2206,ENTI!$AL$4:AN$1003,3,FALSE),"")</f>
        <v>#N/A</v>
      </c>
      <c r="E2206" s="41" t="str">
        <f t="shared" si="234"/>
        <v/>
      </c>
      <c r="F2206" s="200"/>
      <c r="G2206" s="178" t="e">
        <f>IF($C$1077&gt;0,VLOOKUP($C2206,ENTI!$AL$4:AP$1003,5,FALSE),"")</f>
        <v>#N/A</v>
      </c>
      <c r="H2206" s="179" t="e">
        <f>IF($C$1077&gt;0,VLOOKUP($C2206,ENTI!$AL$4:AQ$1003,6,FALSE),"")</f>
        <v>#N/A</v>
      </c>
      <c r="I2206" s="187"/>
      <c r="J2206" s="140" t="e">
        <f ca="1">VLOOKUP(D2206,$F$1081:$I$4183,4,FALSE)+COUNTIF(E$1081:E2205,E2206)</f>
        <v>#N/A</v>
      </c>
      <c r="K2206" s="1"/>
      <c r="L2206" s="156"/>
      <c r="M2206" s="1"/>
      <c r="N2206" s="1"/>
      <c r="O2206" s="1"/>
    </row>
    <row r="2207" spans="1:15" hidden="1">
      <c r="A2207" s="1"/>
      <c r="B2207" s="197" t="e">
        <f t="shared" ca="1" si="235"/>
        <v>#N/A</v>
      </c>
      <c r="C2207" s="498">
        <v>141</v>
      </c>
      <c r="D2207" s="41" t="e">
        <f>IF($C$1077&gt;0,VLOOKUP($C2207,ENTI!$AL$4:AN$1003,3,FALSE),"")</f>
        <v>#N/A</v>
      </c>
      <c r="E2207" s="41" t="str">
        <f t="shared" si="234"/>
        <v/>
      </c>
      <c r="F2207" s="200"/>
      <c r="G2207" s="178" t="e">
        <f>IF($C$1077&gt;0,VLOOKUP($C2207,ENTI!$AL$4:AP$1003,5,FALSE),"")</f>
        <v>#N/A</v>
      </c>
      <c r="H2207" s="179" t="e">
        <f>IF($C$1077&gt;0,VLOOKUP($C2207,ENTI!$AL$4:AQ$1003,6,FALSE),"")</f>
        <v>#N/A</v>
      </c>
      <c r="I2207" s="187"/>
      <c r="J2207" s="140" t="e">
        <f ca="1">VLOOKUP(D2207,$F$1081:$I$4183,4,FALSE)+COUNTIF(E$1081:E2206,E2207)</f>
        <v>#N/A</v>
      </c>
      <c r="K2207" s="1"/>
      <c r="L2207" s="156"/>
      <c r="M2207" s="1"/>
      <c r="N2207" s="1"/>
      <c r="O2207" s="1"/>
    </row>
    <row r="2208" spans="1:15" hidden="1">
      <c r="A2208" s="1"/>
      <c r="B2208" s="197" t="e">
        <f t="shared" ca="1" si="235"/>
        <v>#N/A</v>
      </c>
      <c r="C2208" s="498">
        <v>142</v>
      </c>
      <c r="D2208" s="41" t="e">
        <f>IF($C$1077&gt;0,VLOOKUP($C2208,ENTI!$AL$4:AN$1003,3,FALSE),"")</f>
        <v>#N/A</v>
      </c>
      <c r="E2208" s="41" t="str">
        <f t="shared" si="234"/>
        <v/>
      </c>
      <c r="F2208" s="200"/>
      <c r="G2208" s="178" t="e">
        <f>IF($C$1077&gt;0,VLOOKUP($C2208,ENTI!$AL$4:AP$1003,5,FALSE),"")</f>
        <v>#N/A</v>
      </c>
      <c r="H2208" s="179" t="e">
        <f>IF($C$1077&gt;0,VLOOKUP($C2208,ENTI!$AL$4:AQ$1003,6,FALSE),"")</f>
        <v>#N/A</v>
      </c>
      <c r="I2208" s="187"/>
      <c r="J2208" s="140" t="e">
        <f ca="1">VLOOKUP(D2208,$F$1081:$I$4183,4,FALSE)+COUNTIF(E$1081:E2207,E2208)</f>
        <v>#N/A</v>
      </c>
      <c r="K2208" s="1"/>
      <c r="L2208" s="156"/>
      <c r="M2208" s="1"/>
      <c r="N2208" s="1"/>
      <c r="O2208" s="1"/>
    </row>
    <row r="2209" spans="1:15" hidden="1">
      <c r="A2209" s="1"/>
      <c r="B2209" s="197" t="e">
        <f t="shared" ca="1" si="235"/>
        <v>#N/A</v>
      </c>
      <c r="C2209" s="498">
        <v>143</v>
      </c>
      <c r="D2209" s="41" t="e">
        <f>IF($C$1077&gt;0,VLOOKUP($C2209,ENTI!$AL$4:AN$1003,3,FALSE),"")</f>
        <v>#N/A</v>
      </c>
      <c r="E2209" s="41" t="str">
        <f t="shared" si="234"/>
        <v/>
      </c>
      <c r="F2209" s="200"/>
      <c r="G2209" s="178" t="e">
        <f>IF($C$1077&gt;0,VLOOKUP($C2209,ENTI!$AL$4:AP$1003,5,FALSE),"")</f>
        <v>#N/A</v>
      </c>
      <c r="H2209" s="179" t="e">
        <f>IF($C$1077&gt;0,VLOOKUP($C2209,ENTI!$AL$4:AQ$1003,6,FALSE),"")</f>
        <v>#N/A</v>
      </c>
      <c r="I2209" s="187"/>
      <c r="J2209" s="140" t="e">
        <f ca="1">VLOOKUP(D2209,$F$1081:$I$4183,4,FALSE)+COUNTIF(E$1081:E2208,E2209)</f>
        <v>#N/A</v>
      </c>
      <c r="K2209" s="1"/>
      <c r="L2209" s="156"/>
      <c r="M2209" s="1"/>
      <c r="N2209" s="1"/>
      <c r="O2209" s="1"/>
    </row>
    <row r="2210" spans="1:15" hidden="1">
      <c r="A2210" s="1"/>
      <c r="B2210" s="197" t="e">
        <f t="shared" ca="1" si="235"/>
        <v>#N/A</v>
      </c>
      <c r="C2210" s="498">
        <v>144</v>
      </c>
      <c r="D2210" s="41" t="e">
        <f>IF($C$1077&gt;0,VLOOKUP($C2210,ENTI!$AL$4:AN$1003,3,FALSE),"")</f>
        <v>#N/A</v>
      </c>
      <c r="E2210" s="41" t="str">
        <f t="shared" si="234"/>
        <v/>
      </c>
      <c r="F2210" s="200"/>
      <c r="G2210" s="178" t="e">
        <f>IF($C$1077&gt;0,VLOOKUP($C2210,ENTI!$AL$4:AP$1003,5,FALSE),"")</f>
        <v>#N/A</v>
      </c>
      <c r="H2210" s="179" t="e">
        <f>IF($C$1077&gt;0,VLOOKUP($C2210,ENTI!$AL$4:AQ$1003,6,FALSE),"")</f>
        <v>#N/A</v>
      </c>
      <c r="I2210" s="187"/>
      <c r="J2210" s="140" t="e">
        <f ca="1">VLOOKUP(D2210,$F$1081:$I$4183,4,FALSE)+COUNTIF(E$1081:E2209,E2210)</f>
        <v>#N/A</v>
      </c>
      <c r="K2210" s="1"/>
      <c r="L2210" s="156"/>
      <c r="M2210" s="1"/>
      <c r="N2210" s="1"/>
      <c r="O2210" s="1"/>
    </row>
    <row r="2211" spans="1:15" hidden="1">
      <c r="A2211" s="1"/>
      <c r="B2211" s="197" t="e">
        <f t="shared" ca="1" si="235"/>
        <v>#N/A</v>
      </c>
      <c r="C2211" s="498">
        <v>145</v>
      </c>
      <c r="D2211" s="41" t="e">
        <f>IF($C$1077&gt;0,VLOOKUP($C2211,ENTI!$AL$4:AN$1003,3,FALSE),"")</f>
        <v>#N/A</v>
      </c>
      <c r="E2211" s="41" t="str">
        <f t="shared" si="234"/>
        <v/>
      </c>
      <c r="F2211" s="200"/>
      <c r="G2211" s="178" t="e">
        <f>IF($C$1077&gt;0,VLOOKUP($C2211,ENTI!$AL$4:AP$1003,5,FALSE),"")</f>
        <v>#N/A</v>
      </c>
      <c r="H2211" s="179" t="e">
        <f>IF($C$1077&gt;0,VLOOKUP($C2211,ENTI!$AL$4:AQ$1003,6,FALSE),"")</f>
        <v>#N/A</v>
      </c>
      <c r="I2211" s="187"/>
      <c r="J2211" s="140" t="e">
        <f ca="1">VLOOKUP(D2211,$F$1081:$I$4183,4,FALSE)+COUNTIF(E$1081:E2210,E2211)</f>
        <v>#N/A</v>
      </c>
      <c r="K2211" s="1"/>
      <c r="L2211" s="156"/>
      <c r="M2211" s="1"/>
      <c r="N2211" s="1"/>
      <c r="O2211" s="1"/>
    </row>
    <row r="2212" spans="1:15" hidden="1">
      <c r="A2212" s="1"/>
      <c r="B2212" s="197" t="e">
        <f t="shared" ca="1" si="235"/>
        <v>#N/A</v>
      </c>
      <c r="C2212" s="498">
        <v>146</v>
      </c>
      <c r="D2212" s="41" t="e">
        <f>IF($C$1077&gt;0,VLOOKUP($C2212,ENTI!$AL$4:AN$1003,3,FALSE),"")</f>
        <v>#N/A</v>
      </c>
      <c r="E2212" s="41" t="str">
        <f t="shared" si="234"/>
        <v/>
      </c>
      <c r="F2212" s="200"/>
      <c r="G2212" s="178" t="e">
        <f>IF($C$1077&gt;0,VLOOKUP($C2212,ENTI!$AL$4:AP$1003,5,FALSE),"")</f>
        <v>#N/A</v>
      </c>
      <c r="H2212" s="179" t="e">
        <f>IF($C$1077&gt;0,VLOOKUP($C2212,ENTI!$AL$4:AQ$1003,6,FALSE),"")</f>
        <v>#N/A</v>
      </c>
      <c r="I2212" s="187"/>
      <c r="J2212" s="140" t="e">
        <f ca="1">VLOOKUP(D2212,$F$1081:$I$4183,4,FALSE)+COUNTIF(E$1081:E2211,E2212)</f>
        <v>#N/A</v>
      </c>
      <c r="K2212" s="1"/>
      <c r="L2212" s="156"/>
      <c r="M2212" s="1"/>
      <c r="N2212" s="1"/>
      <c r="O2212" s="1"/>
    </row>
    <row r="2213" spans="1:15" hidden="1">
      <c r="A2213" s="1"/>
      <c r="B2213" s="197" t="e">
        <f t="shared" ca="1" si="235"/>
        <v>#N/A</v>
      </c>
      <c r="C2213" s="498">
        <v>147</v>
      </c>
      <c r="D2213" s="41" t="e">
        <f>IF($C$1077&gt;0,VLOOKUP($C2213,ENTI!$AL$4:AN$1003,3,FALSE),"")</f>
        <v>#N/A</v>
      </c>
      <c r="E2213" s="41" t="str">
        <f t="shared" si="234"/>
        <v/>
      </c>
      <c r="F2213" s="200"/>
      <c r="G2213" s="178" t="e">
        <f>IF($C$1077&gt;0,VLOOKUP($C2213,ENTI!$AL$4:AP$1003,5,FALSE),"")</f>
        <v>#N/A</v>
      </c>
      <c r="H2213" s="179" t="e">
        <f>IF($C$1077&gt;0,VLOOKUP($C2213,ENTI!$AL$4:AQ$1003,6,FALSE),"")</f>
        <v>#N/A</v>
      </c>
      <c r="I2213" s="187"/>
      <c r="J2213" s="140" t="e">
        <f ca="1">VLOOKUP(D2213,$F$1081:$I$4183,4,FALSE)+COUNTIF(E$1081:E2212,E2213)</f>
        <v>#N/A</v>
      </c>
      <c r="K2213" s="1"/>
      <c r="L2213" s="156"/>
      <c r="M2213" s="1"/>
      <c r="N2213" s="1"/>
      <c r="O2213" s="1"/>
    </row>
    <row r="2214" spans="1:15" hidden="1">
      <c r="A2214" s="1"/>
      <c r="B2214" s="197" t="e">
        <f t="shared" ca="1" si="235"/>
        <v>#N/A</v>
      </c>
      <c r="C2214" s="498">
        <v>148</v>
      </c>
      <c r="D2214" s="41" t="e">
        <f>IF($C$1077&gt;0,VLOOKUP($C2214,ENTI!$AL$4:AN$1003,3,FALSE),"")</f>
        <v>#N/A</v>
      </c>
      <c r="E2214" s="41" t="str">
        <f t="shared" si="234"/>
        <v/>
      </c>
      <c r="F2214" s="200"/>
      <c r="G2214" s="178" t="e">
        <f>IF($C$1077&gt;0,VLOOKUP($C2214,ENTI!$AL$4:AP$1003,5,FALSE),"")</f>
        <v>#N/A</v>
      </c>
      <c r="H2214" s="179" t="e">
        <f>IF($C$1077&gt;0,VLOOKUP($C2214,ENTI!$AL$4:AQ$1003,6,FALSE),"")</f>
        <v>#N/A</v>
      </c>
      <c r="I2214" s="187"/>
      <c r="J2214" s="140" t="e">
        <f ca="1">VLOOKUP(D2214,$F$1081:$I$4183,4,FALSE)+COUNTIF(E$1081:E2213,E2214)</f>
        <v>#N/A</v>
      </c>
      <c r="K2214" s="1"/>
      <c r="L2214" s="156"/>
      <c r="M2214" s="1"/>
      <c r="N2214" s="1"/>
      <c r="O2214" s="1"/>
    </row>
    <row r="2215" spans="1:15" hidden="1">
      <c r="A2215" s="1"/>
      <c r="B2215" s="197" t="e">
        <f t="shared" ca="1" si="235"/>
        <v>#N/A</v>
      </c>
      <c r="C2215" s="498">
        <v>149</v>
      </c>
      <c r="D2215" s="41" t="e">
        <f>IF($C$1077&gt;0,VLOOKUP($C2215,ENTI!$AL$4:AN$1003,3,FALSE),"")</f>
        <v>#N/A</v>
      </c>
      <c r="E2215" s="41" t="str">
        <f t="shared" si="234"/>
        <v/>
      </c>
      <c r="F2215" s="200"/>
      <c r="G2215" s="178" t="e">
        <f>IF($C$1077&gt;0,VLOOKUP($C2215,ENTI!$AL$4:AP$1003,5,FALSE),"")</f>
        <v>#N/A</v>
      </c>
      <c r="H2215" s="179" t="e">
        <f>IF($C$1077&gt;0,VLOOKUP($C2215,ENTI!$AL$4:AQ$1003,6,FALSE),"")</f>
        <v>#N/A</v>
      </c>
      <c r="I2215" s="187"/>
      <c r="J2215" s="140" t="e">
        <f ca="1">VLOOKUP(D2215,$F$1081:$I$4183,4,FALSE)+COUNTIF(E$1081:E2214,E2215)</f>
        <v>#N/A</v>
      </c>
      <c r="K2215" s="1"/>
      <c r="L2215" s="156"/>
      <c r="M2215" s="1"/>
      <c r="N2215" s="1"/>
      <c r="O2215" s="1"/>
    </row>
    <row r="2216" spans="1:15" hidden="1">
      <c r="A2216" s="1"/>
      <c r="B2216" s="197" t="e">
        <f t="shared" ca="1" si="235"/>
        <v>#N/A</v>
      </c>
      <c r="C2216" s="498">
        <v>150</v>
      </c>
      <c r="D2216" s="41" t="e">
        <f>IF($C$1077&gt;0,VLOOKUP($C2216,ENTI!$AL$4:AN$1003,3,FALSE),"")</f>
        <v>#N/A</v>
      </c>
      <c r="E2216" s="41" t="str">
        <f t="shared" si="234"/>
        <v/>
      </c>
      <c r="F2216" s="200"/>
      <c r="G2216" s="178" t="e">
        <f>IF($C$1077&gt;0,VLOOKUP($C2216,ENTI!$AL$4:AP$1003,5,FALSE),"")</f>
        <v>#N/A</v>
      </c>
      <c r="H2216" s="179" t="e">
        <f>IF($C$1077&gt;0,VLOOKUP($C2216,ENTI!$AL$4:AQ$1003,6,FALSE),"")</f>
        <v>#N/A</v>
      </c>
      <c r="I2216" s="187"/>
      <c r="J2216" s="140" t="e">
        <f ca="1">VLOOKUP(D2216,$F$1081:$I$4183,4,FALSE)+COUNTIF(E$1081:E2215,E2216)</f>
        <v>#N/A</v>
      </c>
      <c r="K2216" s="1"/>
      <c r="L2216" s="156"/>
      <c r="M2216" s="1"/>
      <c r="N2216" s="1"/>
      <c r="O2216" s="1"/>
    </row>
    <row r="2217" spans="1:15" hidden="1">
      <c r="A2217" s="1"/>
      <c r="B2217" s="197" t="e">
        <f t="shared" ca="1" si="235"/>
        <v>#N/A</v>
      </c>
      <c r="C2217" s="498">
        <v>151</v>
      </c>
      <c r="D2217" s="41" t="e">
        <f>IF($C$1077&gt;0,VLOOKUP($C2217,ENTI!$AL$4:AN$1003,3,FALSE),"")</f>
        <v>#N/A</v>
      </c>
      <c r="E2217" s="41" t="str">
        <f t="shared" si="234"/>
        <v/>
      </c>
      <c r="F2217" s="200"/>
      <c r="G2217" s="178" t="e">
        <f>IF($C$1077&gt;0,VLOOKUP($C2217,ENTI!$AL$4:AP$1003,5,FALSE),"")</f>
        <v>#N/A</v>
      </c>
      <c r="H2217" s="179" t="e">
        <f>IF($C$1077&gt;0,VLOOKUP($C2217,ENTI!$AL$4:AQ$1003,6,FALSE),"")</f>
        <v>#N/A</v>
      </c>
      <c r="I2217" s="187"/>
      <c r="J2217" s="140" t="e">
        <f ca="1">VLOOKUP(D2217,$F$1081:$I$4183,4,FALSE)+COUNTIF(E$1081:E2216,E2217)</f>
        <v>#N/A</v>
      </c>
      <c r="K2217" s="1"/>
      <c r="L2217" s="156"/>
      <c r="M2217" s="1"/>
      <c r="N2217" s="1"/>
      <c r="O2217" s="1"/>
    </row>
    <row r="2218" spans="1:15" hidden="1">
      <c r="A2218" s="1"/>
      <c r="B2218" s="197" t="e">
        <f t="shared" ca="1" si="235"/>
        <v>#N/A</v>
      </c>
      <c r="C2218" s="498">
        <v>152</v>
      </c>
      <c r="D2218" s="41" t="e">
        <f>IF($C$1077&gt;0,VLOOKUP($C2218,ENTI!$AL$4:AN$1003,3,FALSE),"")</f>
        <v>#N/A</v>
      </c>
      <c r="E2218" s="41" t="str">
        <f t="shared" si="234"/>
        <v/>
      </c>
      <c r="F2218" s="200"/>
      <c r="G2218" s="178" t="e">
        <f>IF($C$1077&gt;0,VLOOKUP($C2218,ENTI!$AL$4:AP$1003,5,FALSE),"")</f>
        <v>#N/A</v>
      </c>
      <c r="H2218" s="179" t="e">
        <f>IF($C$1077&gt;0,VLOOKUP($C2218,ENTI!$AL$4:AQ$1003,6,FALSE),"")</f>
        <v>#N/A</v>
      </c>
      <c r="I2218" s="187"/>
      <c r="J2218" s="140" t="e">
        <f ca="1">VLOOKUP(D2218,$F$1081:$I$4183,4,FALSE)+COUNTIF(E$1081:E2217,E2218)</f>
        <v>#N/A</v>
      </c>
      <c r="K2218" s="1"/>
      <c r="L2218" s="156"/>
      <c r="M2218" s="1"/>
      <c r="N2218" s="1"/>
      <c r="O2218" s="1"/>
    </row>
    <row r="2219" spans="1:15" hidden="1">
      <c r="A2219" s="1"/>
      <c r="B2219" s="197" t="e">
        <f t="shared" ca="1" si="235"/>
        <v>#N/A</v>
      </c>
      <c r="C2219" s="498">
        <v>153</v>
      </c>
      <c r="D2219" s="41" t="e">
        <f>IF($C$1077&gt;0,VLOOKUP($C2219,ENTI!$AL$4:AN$1003,3,FALSE),"")</f>
        <v>#N/A</v>
      </c>
      <c r="E2219" s="41" t="str">
        <f t="shared" si="234"/>
        <v/>
      </c>
      <c r="F2219" s="200"/>
      <c r="G2219" s="178" t="e">
        <f>IF($C$1077&gt;0,VLOOKUP($C2219,ENTI!$AL$4:AP$1003,5,FALSE),"")</f>
        <v>#N/A</v>
      </c>
      <c r="H2219" s="179" t="e">
        <f>IF($C$1077&gt;0,VLOOKUP($C2219,ENTI!$AL$4:AQ$1003,6,FALSE),"")</f>
        <v>#N/A</v>
      </c>
      <c r="I2219" s="187"/>
      <c r="J2219" s="140" t="e">
        <f ca="1">VLOOKUP(D2219,$F$1081:$I$4183,4,FALSE)+COUNTIF(E$1081:E2218,E2219)</f>
        <v>#N/A</v>
      </c>
      <c r="K2219" s="1"/>
      <c r="L2219" s="156"/>
      <c r="M2219" s="1"/>
      <c r="N2219" s="1"/>
      <c r="O2219" s="1"/>
    </row>
    <row r="2220" spans="1:15" hidden="1">
      <c r="A2220" s="1"/>
      <c r="B2220" s="197" t="e">
        <f t="shared" ca="1" si="235"/>
        <v>#N/A</v>
      </c>
      <c r="C2220" s="498">
        <v>154</v>
      </c>
      <c r="D2220" s="41" t="e">
        <f>IF($C$1077&gt;0,VLOOKUP($C2220,ENTI!$AL$4:AN$1003,3,FALSE),"")</f>
        <v>#N/A</v>
      </c>
      <c r="E2220" s="41" t="str">
        <f t="shared" si="234"/>
        <v/>
      </c>
      <c r="F2220" s="200"/>
      <c r="G2220" s="178" t="e">
        <f>IF($C$1077&gt;0,VLOOKUP($C2220,ENTI!$AL$4:AP$1003,5,FALSE),"")</f>
        <v>#N/A</v>
      </c>
      <c r="H2220" s="179" t="e">
        <f>IF($C$1077&gt;0,VLOOKUP($C2220,ENTI!$AL$4:AQ$1003,6,FALSE),"")</f>
        <v>#N/A</v>
      </c>
      <c r="I2220" s="187"/>
      <c r="J2220" s="140" t="e">
        <f ca="1">VLOOKUP(D2220,$F$1081:$I$4183,4,FALSE)+COUNTIF(E$1081:E2219,E2220)</f>
        <v>#N/A</v>
      </c>
      <c r="K2220" s="1"/>
      <c r="L2220" s="156"/>
      <c r="M2220" s="1"/>
      <c r="N2220" s="1"/>
      <c r="O2220" s="1"/>
    </row>
    <row r="2221" spans="1:15" hidden="1">
      <c r="A2221" s="1"/>
      <c r="B2221" s="197" t="e">
        <f t="shared" ca="1" si="235"/>
        <v>#N/A</v>
      </c>
      <c r="C2221" s="498">
        <v>155</v>
      </c>
      <c r="D2221" s="41" t="e">
        <f>IF($C$1077&gt;0,VLOOKUP($C2221,ENTI!$AL$4:AN$1003,3,FALSE),"")</f>
        <v>#N/A</v>
      </c>
      <c r="E2221" s="41" t="str">
        <f t="shared" si="234"/>
        <v/>
      </c>
      <c r="F2221" s="200"/>
      <c r="G2221" s="178" t="e">
        <f>IF($C$1077&gt;0,VLOOKUP($C2221,ENTI!$AL$4:AP$1003,5,FALSE),"")</f>
        <v>#N/A</v>
      </c>
      <c r="H2221" s="179" t="e">
        <f>IF($C$1077&gt;0,VLOOKUP($C2221,ENTI!$AL$4:AQ$1003,6,FALSE),"")</f>
        <v>#N/A</v>
      </c>
      <c r="I2221" s="187"/>
      <c r="J2221" s="140" t="e">
        <f ca="1">VLOOKUP(D2221,$F$1081:$I$4183,4,FALSE)+COUNTIF(E$1081:E2220,E2221)</f>
        <v>#N/A</v>
      </c>
      <c r="K2221" s="1"/>
      <c r="L2221" s="156"/>
      <c r="M2221" s="1"/>
      <c r="N2221" s="1"/>
      <c r="O2221" s="1"/>
    </row>
    <row r="2222" spans="1:15" hidden="1">
      <c r="A2222" s="1"/>
      <c r="B2222" s="197" t="e">
        <f t="shared" ca="1" si="235"/>
        <v>#N/A</v>
      </c>
      <c r="C2222" s="498">
        <v>156</v>
      </c>
      <c r="D2222" s="41" t="e">
        <f>IF($C$1077&gt;0,VLOOKUP($C2222,ENTI!$AL$4:AN$1003,3,FALSE),"")</f>
        <v>#N/A</v>
      </c>
      <c r="E2222" s="41" t="str">
        <f t="shared" si="234"/>
        <v/>
      </c>
      <c r="F2222" s="200"/>
      <c r="G2222" s="178" t="e">
        <f>IF($C$1077&gt;0,VLOOKUP($C2222,ENTI!$AL$4:AP$1003,5,FALSE),"")</f>
        <v>#N/A</v>
      </c>
      <c r="H2222" s="179" t="e">
        <f>IF($C$1077&gt;0,VLOOKUP($C2222,ENTI!$AL$4:AQ$1003,6,FALSE),"")</f>
        <v>#N/A</v>
      </c>
      <c r="I2222" s="187"/>
      <c r="J2222" s="140" t="e">
        <f ca="1">VLOOKUP(D2222,$F$1081:$I$4183,4,FALSE)+COUNTIF(E$1081:E2221,E2222)</f>
        <v>#N/A</v>
      </c>
      <c r="K2222" s="1"/>
      <c r="L2222" s="156"/>
      <c r="M2222" s="1"/>
      <c r="N2222" s="1"/>
      <c r="O2222" s="1"/>
    </row>
    <row r="2223" spans="1:15" hidden="1">
      <c r="A2223" s="1"/>
      <c r="B2223" s="197" t="e">
        <f t="shared" ca="1" si="235"/>
        <v>#N/A</v>
      </c>
      <c r="C2223" s="498">
        <v>157</v>
      </c>
      <c r="D2223" s="41" t="e">
        <f>IF($C$1077&gt;0,VLOOKUP($C2223,ENTI!$AL$4:AN$1003,3,FALSE),"")</f>
        <v>#N/A</v>
      </c>
      <c r="E2223" s="41" t="str">
        <f t="shared" si="234"/>
        <v/>
      </c>
      <c r="F2223" s="200"/>
      <c r="G2223" s="178" t="e">
        <f>IF($C$1077&gt;0,VLOOKUP($C2223,ENTI!$AL$4:AP$1003,5,FALSE),"")</f>
        <v>#N/A</v>
      </c>
      <c r="H2223" s="179" t="e">
        <f>IF($C$1077&gt;0,VLOOKUP($C2223,ENTI!$AL$4:AQ$1003,6,FALSE),"")</f>
        <v>#N/A</v>
      </c>
      <c r="I2223" s="187"/>
      <c r="J2223" s="140" t="e">
        <f ca="1">VLOOKUP(D2223,$F$1081:$I$4183,4,FALSE)+COUNTIF(E$1081:E2222,E2223)</f>
        <v>#N/A</v>
      </c>
      <c r="K2223" s="1"/>
      <c r="L2223" s="156"/>
      <c r="M2223" s="1"/>
      <c r="N2223" s="1"/>
      <c r="O2223" s="1"/>
    </row>
    <row r="2224" spans="1:15" hidden="1">
      <c r="A2224" s="1"/>
      <c r="B2224" s="197" t="e">
        <f t="shared" ca="1" si="235"/>
        <v>#N/A</v>
      </c>
      <c r="C2224" s="498">
        <v>158</v>
      </c>
      <c r="D2224" s="41" t="e">
        <f>IF($C$1077&gt;0,VLOOKUP($C2224,ENTI!$AL$4:AN$1003,3,FALSE),"")</f>
        <v>#N/A</v>
      </c>
      <c r="E2224" s="41" t="str">
        <f t="shared" si="234"/>
        <v/>
      </c>
      <c r="F2224" s="200"/>
      <c r="G2224" s="178" t="e">
        <f>IF($C$1077&gt;0,VLOOKUP($C2224,ENTI!$AL$4:AP$1003,5,FALSE),"")</f>
        <v>#N/A</v>
      </c>
      <c r="H2224" s="179" t="e">
        <f>IF($C$1077&gt;0,VLOOKUP($C2224,ENTI!$AL$4:AQ$1003,6,FALSE),"")</f>
        <v>#N/A</v>
      </c>
      <c r="I2224" s="187"/>
      <c r="J2224" s="140" t="e">
        <f ca="1">VLOOKUP(D2224,$F$1081:$I$4183,4,FALSE)+COUNTIF(E$1081:E2223,E2224)</f>
        <v>#N/A</v>
      </c>
      <c r="K2224" s="1"/>
      <c r="L2224" s="156"/>
      <c r="M2224" s="1"/>
      <c r="N2224" s="1"/>
      <c r="O2224" s="1"/>
    </row>
    <row r="2225" spans="1:15" hidden="1">
      <c r="A2225" s="1"/>
      <c r="B2225" s="197" t="e">
        <f t="shared" ca="1" si="235"/>
        <v>#N/A</v>
      </c>
      <c r="C2225" s="498">
        <v>159</v>
      </c>
      <c r="D2225" s="41" t="e">
        <f>IF($C$1077&gt;0,VLOOKUP($C2225,ENTI!$AL$4:AN$1003,3,FALSE),"")</f>
        <v>#N/A</v>
      </c>
      <c r="E2225" s="41" t="str">
        <f t="shared" si="234"/>
        <v/>
      </c>
      <c r="F2225" s="200"/>
      <c r="G2225" s="178" t="e">
        <f>IF($C$1077&gt;0,VLOOKUP($C2225,ENTI!$AL$4:AP$1003,5,FALSE),"")</f>
        <v>#N/A</v>
      </c>
      <c r="H2225" s="179" t="e">
        <f>IF($C$1077&gt;0,VLOOKUP($C2225,ENTI!$AL$4:AQ$1003,6,FALSE),"")</f>
        <v>#N/A</v>
      </c>
      <c r="I2225" s="187"/>
      <c r="J2225" s="140" t="e">
        <f ca="1">VLOOKUP(D2225,$F$1081:$I$4183,4,FALSE)+COUNTIF(E$1081:E2224,E2225)</f>
        <v>#N/A</v>
      </c>
      <c r="K2225" s="1"/>
      <c r="L2225" s="156"/>
      <c r="M2225" s="1"/>
      <c r="N2225" s="1"/>
      <c r="O2225" s="1"/>
    </row>
    <row r="2226" spans="1:15" hidden="1">
      <c r="A2226" s="1"/>
      <c r="B2226" s="197" t="e">
        <f t="shared" ca="1" si="235"/>
        <v>#N/A</v>
      </c>
      <c r="C2226" s="498">
        <v>160</v>
      </c>
      <c r="D2226" s="41" t="e">
        <f>IF($C$1077&gt;0,VLOOKUP($C2226,ENTI!$AL$4:AN$1003,3,FALSE),"")</f>
        <v>#N/A</v>
      </c>
      <c r="E2226" s="41" t="str">
        <f t="shared" si="234"/>
        <v/>
      </c>
      <c r="F2226" s="200"/>
      <c r="G2226" s="178" t="e">
        <f>IF($C$1077&gt;0,VLOOKUP($C2226,ENTI!$AL$4:AP$1003,5,FALSE),"")</f>
        <v>#N/A</v>
      </c>
      <c r="H2226" s="179" t="e">
        <f>IF($C$1077&gt;0,VLOOKUP($C2226,ENTI!$AL$4:AQ$1003,6,FALSE),"")</f>
        <v>#N/A</v>
      </c>
      <c r="I2226" s="187"/>
      <c r="J2226" s="140" t="e">
        <f ca="1">VLOOKUP(D2226,$F$1081:$I$4183,4,FALSE)+COUNTIF(E$1081:E2225,E2226)</f>
        <v>#N/A</v>
      </c>
      <c r="K2226" s="1"/>
      <c r="L2226" s="156"/>
      <c r="M2226" s="1"/>
      <c r="N2226" s="1"/>
      <c r="O2226" s="1"/>
    </row>
    <row r="2227" spans="1:15" hidden="1">
      <c r="A2227" s="1"/>
      <c r="B2227" s="197" t="e">
        <f t="shared" ca="1" si="235"/>
        <v>#N/A</v>
      </c>
      <c r="C2227" s="498">
        <v>161</v>
      </c>
      <c r="D2227" s="41" t="e">
        <f>IF($C$1077&gt;0,VLOOKUP($C2227,ENTI!$AL$4:AN$1003,3,FALSE),"")</f>
        <v>#N/A</v>
      </c>
      <c r="E2227" s="41" t="str">
        <f t="shared" si="234"/>
        <v/>
      </c>
      <c r="F2227" s="200"/>
      <c r="G2227" s="178" t="e">
        <f>IF($C$1077&gt;0,VLOOKUP($C2227,ENTI!$AL$4:AP$1003,5,FALSE),"")</f>
        <v>#N/A</v>
      </c>
      <c r="H2227" s="179" t="e">
        <f>IF($C$1077&gt;0,VLOOKUP($C2227,ENTI!$AL$4:AQ$1003,6,FALSE),"")</f>
        <v>#N/A</v>
      </c>
      <c r="I2227" s="187"/>
      <c r="J2227" s="140" t="e">
        <f ca="1">VLOOKUP(D2227,$F$1081:$I$4183,4,FALSE)+COUNTIF(E$1081:E2226,E2227)</f>
        <v>#N/A</v>
      </c>
      <c r="K2227" s="1"/>
      <c r="L2227" s="156"/>
      <c r="M2227" s="1"/>
      <c r="N2227" s="1"/>
      <c r="O2227" s="1"/>
    </row>
    <row r="2228" spans="1:15" hidden="1">
      <c r="A2228" s="1"/>
      <c r="B2228" s="197" t="e">
        <f t="shared" ca="1" si="235"/>
        <v>#N/A</v>
      </c>
      <c r="C2228" s="498">
        <v>162</v>
      </c>
      <c r="D2228" s="41" t="e">
        <f>IF($C$1077&gt;0,VLOOKUP($C2228,ENTI!$AL$4:AN$1003,3,FALSE),"")</f>
        <v>#N/A</v>
      </c>
      <c r="E2228" s="41" t="str">
        <f t="shared" si="234"/>
        <v/>
      </c>
      <c r="F2228" s="200"/>
      <c r="G2228" s="178" t="e">
        <f>IF($C$1077&gt;0,VLOOKUP($C2228,ENTI!$AL$4:AP$1003,5,FALSE),"")</f>
        <v>#N/A</v>
      </c>
      <c r="H2228" s="179" t="e">
        <f>IF($C$1077&gt;0,VLOOKUP($C2228,ENTI!$AL$4:AQ$1003,6,FALSE),"")</f>
        <v>#N/A</v>
      </c>
      <c r="I2228" s="187"/>
      <c r="J2228" s="140" t="e">
        <f ca="1">VLOOKUP(D2228,$F$1081:$I$4183,4,FALSE)+COUNTIF(E$1081:E2227,E2228)</f>
        <v>#N/A</v>
      </c>
      <c r="K2228" s="1"/>
      <c r="L2228" s="156"/>
      <c r="M2228" s="1"/>
      <c r="N2228" s="1"/>
      <c r="O2228" s="1"/>
    </row>
    <row r="2229" spans="1:15" hidden="1">
      <c r="A2229" s="1"/>
      <c r="B2229" s="197" t="e">
        <f t="shared" ca="1" si="235"/>
        <v>#N/A</v>
      </c>
      <c r="C2229" s="498">
        <v>163</v>
      </c>
      <c r="D2229" s="41" t="e">
        <f>IF($C$1077&gt;0,VLOOKUP($C2229,ENTI!$AL$4:AN$1003,3,FALSE),"")</f>
        <v>#N/A</v>
      </c>
      <c r="E2229" s="41" t="str">
        <f t="shared" si="234"/>
        <v/>
      </c>
      <c r="F2229" s="200"/>
      <c r="G2229" s="178" t="e">
        <f>IF($C$1077&gt;0,VLOOKUP($C2229,ENTI!$AL$4:AP$1003,5,FALSE),"")</f>
        <v>#N/A</v>
      </c>
      <c r="H2229" s="179" t="e">
        <f>IF($C$1077&gt;0,VLOOKUP($C2229,ENTI!$AL$4:AQ$1003,6,FALSE),"")</f>
        <v>#N/A</v>
      </c>
      <c r="I2229" s="187"/>
      <c r="J2229" s="140" t="e">
        <f ca="1">VLOOKUP(D2229,$F$1081:$I$4183,4,FALSE)+COUNTIF(E$1081:E2228,E2229)</f>
        <v>#N/A</v>
      </c>
      <c r="K2229" s="1"/>
      <c r="L2229" s="156"/>
      <c r="M2229" s="1"/>
      <c r="N2229" s="1"/>
      <c r="O2229" s="1"/>
    </row>
    <row r="2230" spans="1:15" hidden="1">
      <c r="A2230" s="1"/>
      <c r="B2230" s="197" t="e">
        <f t="shared" ca="1" si="235"/>
        <v>#N/A</v>
      </c>
      <c r="C2230" s="498">
        <v>164</v>
      </c>
      <c r="D2230" s="41" t="e">
        <f>IF($C$1077&gt;0,VLOOKUP($C2230,ENTI!$AL$4:AN$1003,3,FALSE),"")</f>
        <v>#N/A</v>
      </c>
      <c r="E2230" s="41" t="str">
        <f t="shared" si="234"/>
        <v/>
      </c>
      <c r="F2230" s="200"/>
      <c r="G2230" s="178" t="e">
        <f>IF($C$1077&gt;0,VLOOKUP($C2230,ENTI!$AL$4:AP$1003,5,FALSE),"")</f>
        <v>#N/A</v>
      </c>
      <c r="H2230" s="179" t="e">
        <f>IF($C$1077&gt;0,VLOOKUP($C2230,ENTI!$AL$4:AQ$1003,6,FALSE),"")</f>
        <v>#N/A</v>
      </c>
      <c r="I2230" s="187"/>
      <c r="J2230" s="140" t="e">
        <f ca="1">VLOOKUP(D2230,$F$1081:$I$4183,4,FALSE)+COUNTIF(E$1081:E2229,E2230)</f>
        <v>#N/A</v>
      </c>
      <c r="K2230" s="1"/>
      <c r="L2230" s="156"/>
      <c r="M2230" s="1"/>
      <c r="N2230" s="1"/>
      <c r="O2230" s="1"/>
    </row>
    <row r="2231" spans="1:15" hidden="1">
      <c r="A2231" s="1"/>
      <c r="B2231" s="197" t="e">
        <f t="shared" ca="1" si="235"/>
        <v>#N/A</v>
      </c>
      <c r="C2231" s="498">
        <v>165</v>
      </c>
      <c r="D2231" s="41" t="e">
        <f>IF($C$1077&gt;0,VLOOKUP($C2231,ENTI!$AL$4:AN$1003,3,FALSE),"")</f>
        <v>#N/A</v>
      </c>
      <c r="E2231" s="41" t="str">
        <f t="shared" si="234"/>
        <v/>
      </c>
      <c r="F2231" s="200"/>
      <c r="G2231" s="178" t="e">
        <f>IF($C$1077&gt;0,VLOOKUP($C2231,ENTI!$AL$4:AP$1003,5,FALSE),"")</f>
        <v>#N/A</v>
      </c>
      <c r="H2231" s="179" t="e">
        <f>IF($C$1077&gt;0,VLOOKUP($C2231,ENTI!$AL$4:AQ$1003,6,FALSE),"")</f>
        <v>#N/A</v>
      </c>
      <c r="I2231" s="187"/>
      <c r="J2231" s="140" t="e">
        <f ca="1">VLOOKUP(D2231,$F$1081:$I$4183,4,FALSE)+COUNTIF(E$1081:E2230,E2231)</f>
        <v>#N/A</v>
      </c>
      <c r="K2231" s="1"/>
      <c r="L2231" s="156"/>
      <c r="M2231" s="1"/>
      <c r="N2231" s="1"/>
      <c r="O2231" s="1"/>
    </row>
    <row r="2232" spans="1:15" hidden="1">
      <c r="A2232" s="1"/>
      <c r="B2232" s="197" t="e">
        <f t="shared" ca="1" si="235"/>
        <v>#N/A</v>
      </c>
      <c r="C2232" s="498">
        <v>166</v>
      </c>
      <c r="D2232" s="41" t="e">
        <f>IF($C$1077&gt;0,VLOOKUP($C2232,ENTI!$AL$4:AN$1003,3,FALSE),"")</f>
        <v>#N/A</v>
      </c>
      <c r="E2232" s="41" t="str">
        <f t="shared" si="234"/>
        <v/>
      </c>
      <c r="F2232" s="200"/>
      <c r="G2232" s="178" t="e">
        <f>IF($C$1077&gt;0,VLOOKUP($C2232,ENTI!$AL$4:AP$1003,5,FALSE),"")</f>
        <v>#N/A</v>
      </c>
      <c r="H2232" s="179" t="e">
        <f>IF($C$1077&gt;0,VLOOKUP($C2232,ENTI!$AL$4:AQ$1003,6,FALSE),"")</f>
        <v>#N/A</v>
      </c>
      <c r="I2232" s="187"/>
      <c r="J2232" s="140" t="e">
        <f ca="1">VLOOKUP(D2232,$F$1081:$I$4183,4,FALSE)+COUNTIF(E$1081:E2231,E2232)</f>
        <v>#N/A</v>
      </c>
      <c r="K2232" s="1"/>
      <c r="L2232" s="156"/>
      <c r="M2232" s="1"/>
      <c r="N2232" s="1"/>
      <c r="O2232" s="1"/>
    </row>
    <row r="2233" spans="1:15" hidden="1">
      <c r="A2233" s="1"/>
      <c r="B2233" s="197" t="e">
        <f t="shared" ca="1" si="235"/>
        <v>#N/A</v>
      </c>
      <c r="C2233" s="498">
        <v>167</v>
      </c>
      <c r="D2233" s="41" t="e">
        <f>IF($C$1077&gt;0,VLOOKUP($C2233,ENTI!$AL$4:AN$1003,3,FALSE),"")</f>
        <v>#N/A</v>
      </c>
      <c r="E2233" s="41" t="str">
        <f t="shared" si="234"/>
        <v/>
      </c>
      <c r="F2233" s="200"/>
      <c r="G2233" s="178" t="e">
        <f>IF($C$1077&gt;0,VLOOKUP($C2233,ENTI!$AL$4:AP$1003,5,FALSE),"")</f>
        <v>#N/A</v>
      </c>
      <c r="H2233" s="179" t="e">
        <f>IF($C$1077&gt;0,VLOOKUP($C2233,ENTI!$AL$4:AQ$1003,6,FALSE),"")</f>
        <v>#N/A</v>
      </c>
      <c r="I2233" s="187"/>
      <c r="J2233" s="140" t="e">
        <f ca="1">VLOOKUP(D2233,$F$1081:$I$4183,4,FALSE)+COUNTIF(E$1081:E2232,E2233)</f>
        <v>#N/A</v>
      </c>
      <c r="K2233" s="1"/>
      <c r="L2233" s="156"/>
      <c r="M2233" s="1"/>
      <c r="N2233" s="1"/>
      <c r="O2233" s="1"/>
    </row>
    <row r="2234" spans="1:15" hidden="1">
      <c r="A2234" s="1"/>
      <c r="B2234" s="197" t="e">
        <f t="shared" ca="1" si="235"/>
        <v>#N/A</v>
      </c>
      <c r="C2234" s="498">
        <v>168</v>
      </c>
      <c r="D2234" s="41" t="e">
        <f>IF($C$1077&gt;0,VLOOKUP($C2234,ENTI!$AL$4:AN$1003,3,FALSE),"")</f>
        <v>#N/A</v>
      </c>
      <c r="E2234" s="41" t="str">
        <f t="shared" si="234"/>
        <v/>
      </c>
      <c r="F2234" s="200"/>
      <c r="G2234" s="178" t="e">
        <f>IF($C$1077&gt;0,VLOOKUP($C2234,ENTI!$AL$4:AP$1003,5,FALSE),"")</f>
        <v>#N/A</v>
      </c>
      <c r="H2234" s="179" t="e">
        <f>IF($C$1077&gt;0,VLOOKUP($C2234,ENTI!$AL$4:AQ$1003,6,FALSE),"")</f>
        <v>#N/A</v>
      </c>
      <c r="I2234" s="187"/>
      <c r="J2234" s="140" t="e">
        <f ca="1">VLOOKUP(D2234,$F$1081:$I$4183,4,FALSE)+COUNTIF(E$1081:E2233,E2234)</f>
        <v>#N/A</v>
      </c>
      <c r="K2234" s="1"/>
      <c r="L2234" s="156"/>
      <c r="M2234" s="1"/>
      <c r="N2234" s="1"/>
      <c r="O2234" s="1"/>
    </row>
    <row r="2235" spans="1:15" hidden="1">
      <c r="A2235" s="1"/>
      <c r="B2235" s="197" t="e">
        <f t="shared" ca="1" si="235"/>
        <v>#N/A</v>
      </c>
      <c r="C2235" s="498">
        <v>169</v>
      </c>
      <c r="D2235" s="41" t="e">
        <f>IF($C$1077&gt;0,VLOOKUP($C2235,ENTI!$AL$4:AN$1003,3,FALSE),"")</f>
        <v>#N/A</v>
      </c>
      <c r="E2235" s="41" t="str">
        <f t="shared" si="234"/>
        <v/>
      </c>
      <c r="F2235" s="200"/>
      <c r="G2235" s="178" t="e">
        <f>IF($C$1077&gt;0,VLOOKUP($C2235,ENTI!$AL$4:AP$1003,5,FALSE),"")</f>
        <v>#N/A</v>
      </c>
      <c r="H2235" s="179" t="e">
        <f>IF($C$1077&gt;0,VLOOKUP($C2235,ENTI!$AL$4:AQ$1003,6,FALSE),"")</f>
        <v>#N/A</v>
      </c>
      <c r="I2235" s="187"/>
      <c r="J2235" s="140" t="e">
        <f ca="1">VLOOKUP(D2235,$F$1081:$I$4183,4,FALSE)+COUNTIF(E$1081:E2234,E2235)</f>
        <v>#N/A</v>
      </c>
      <c r="K2235" s="1"/>
      <c r="L2235" s="156"/>
      <c r="M2235" s="1"/>
      <c r="N2235" s="1"/>
      <c r="O2235" s="1"/>
    </row>
    <row r="2236" spans="1:15" hidden="1">
      <c r="A2236" s="1"/>
      <c r="B2236" s="197" t="e">
        <f t="shared" ca="1" si="235"/>
        <v>#N/A</v>
      </c>
      <c r="C2236" s="498">
        <v>170</v>
      </c>
      <c r="D2236" s="41" t="e">
        <f>IF($C$1077&gt;0,VLOOKUP($C2236,ENTI!$AL$4:AN$1003,3,FALSE),"")</f>
        <v>#N/A</v>
      </c>
      <c r="E2236" s="41" t="str">
        <f t="shared" si="234"/>
        <v/>
      </c>
      <c r="F2236" s="200"/>
      <c r="G2236" s="178" t="e">
        <f>IF($C$1077&gt;0,VLOOKUP($C2236,ENTI!$AL$4:AP$1003,5,FALSE),"")</f>
        <v>#N/A</v>
      </c>
      <c r="H2236" s="179" t="e">
        <f>IF($C$1077&gt;0,VLOOKUP($C2236,ENTI!$AL$4:AQ$1003,6,FALSE),"")</f>
        <v>#N/A</v>
      </c>
      <c r="I2236" s="187"/>
      <c r="J2236" s="140" t="e">
        <f ca="1">VLOOKUP(D2236,$F$1081:$I$4183,4,FALSE)+COUNTIF(E$1081:E2235,E2236)</f>
        <v>#N/A</v>
      </c>
      <c r="K2236" s="1"/>
      <c r="L2236" s="156"/>
      <c r="M2236" s="1"/>
      <c r="N2236" s="1"/>
      <c r="O2236" s="1"/>
    </row>
    <row r="2237" spans="1:15" hidden="1">
      <c r="A2237" s="1"/>
      <c r="B2237" s="197" t="e">
        <f t="shared" ca="1" si="235"/>
        <v>#N/A</v>
      </c>
      <c r="C2237" s="498">
        <v>171</v>
      </c>
      <c r="D2237" s="41" t="e">
        <f>IF($C$1077&gt;0,VLOOKUP($C2237,ENTI!$AL$4:AN$1003,3,FALSE),"")</f>
        <v>#N/A</v>
      </c>
      <c r="E2237" s="41" t="str">
        <f t="shared" si="234"/>
        <v/>
      </c>
      <c r="F2237" s="200"/>
      <c r="G2237" s="178" t="e">
        <f>IF($C$1077&gt;0,VLOOKUP($C2237,ENTI!$AL$4:AP$1003,5,FALSE),"")</f>
        <v>#N/A</v>
      </c>
      <c r="H2237" s="179" t="e">
        <f>IF($C$1077&gt;0,VLOOKUP($C2237,ENTI!$AL$4:AQ$1003,6,FALSE),"")</f>
        <v>#N/A</v>
      </c>
      <c r="I2237" s="187"/>
      <c r="J2237" s="140" t="e">
        <f ca="1">VLOOKUP(D2237,$F$1081:$I$4183,4,FALSE)+COUNTIF(E$1081:E2236,E2237)</f>
        <v>#N/A</v>
      </c>
      <c r="K2237" s="1"/>
      <c r="L2237" s="156"/>
      <c r="M2237" s="1"/>
      <c r="N2237" s="1"/>
      <c r="O2237" s="1"/>
    </row>
    <row r="2238" spans="1:15" hidden="1">
      <c r="A2238" s="1"/>
      <c r="B2238" s="197" t="e">
        <f t="shared" ca="1" si="235"/>
        <v>#N/A</v>
      </c>
      <c r="C2238" s="498">
        <v>172</v>
      </c>
      <c r="D2238" s="41" t="e">
        <f>IF($C$1077&gt;0,VLOOKUP($C2238,ENTI!$AL$4:AN$1003,3,FALSE),"")</f>
        <v>#N/A</v>
      </c>
      <c r="E2238" s="41" t="str">
        <f t="shared" si="234"/>
        <v/>
      </c>
      <c r="F2238" s="200"/>
      <c r="G2238" s="178" t="e">
        <f>IF($C$1077&gt;0,VLOOKUP($C2238,ENTI!$AL$4:AP$1003,5,FALSE),"")</f>
        <v>#N/A</v>
      </c>
      <c r="H2238" s="179" t="e">
        <f>IF($C$1077&gt;0,VLOOKUP($C2238,ENTI!$AL$4:AQ$1003,6,FALSE),"")</f>
        <v>#N/A</v>
      </c>
      <c r="I2238" s="187"/>
      <c r="J2238" s="140" t="e">
        <f ca="1">VLOOKUP(D2238,$F$1081:$I$4183,4,FALSE)+COUNTIF(E$1081:E2237,E2238)</f>
        <v>#N/A</v>
      </c>
      <c r="K2238" s="1"/>
      <c r="L2238" s="156"/>
      <c r="M2238" s="1"/>
      <c r="N2238" s="1"/>
      <c r="O2238" s="1"/>
    </row>
    <row r="2239" spans="1:15" hidden="1">
      <c r="A2239" s="1"/>
      <c r="B2239" s="197" t="e">
        <f t="shared" ca="1" si="235"/>
        <v>#N/A</v>
      </c>
      <c r="C2239" s="498">
        <v>173</v>
      </c>
      <c r="D2239" s="41" t="e">
        <f>IF($C$1077&gt;0,VLOOKUP($C2239,ENTI!$AL$4:AN$1003,3,FALSE),"")</f>
        <v>#N/A</v>
      </c>
      <c r="E2239" s="41" t="str">
        <f t="shared" si="234"/>
        <v/>
      </c>
      <c r="F2239" s="200"/>
      <c r="G2239" s="178" t="e">
        <f>IF($C$1077&gt;0,VLOOKUP($C2239,ENTI!$AL$4:AP$1003,5,FALSE),"")</f>
        <v>#N/A</v>
      </c>
      <c r="H2239" s="179" t="e">
        <f>IF($C$1077&gt;0,VLOOKUP($C2239,ENTI!$AL$4:AQ$1003,6,FALSE),"")</f>
        <v>#N/A</v>
      </c>
      <c r="I2239" s="187"/>
      <c r="J2239" s="140" t="e">
        <f ca="1">VLOOKUP(D2239,$F$1081:$I$4183,4,FALSE)+COUNTIF(E$1081:E2238,E2239)</f>
        <v>#N/A</v>
      </c>
      <c r="K2239" s="1"/>
      <c r="L2239" s="156"/>
      <c r="M2239" s="1"/>
      <c r="N2239" s="1"/>
      <c r="O2239" s="1"/>
    </row>
    <row r="2240" spans="1:15" hidden="1">
      <c r="A2240" s="1"/>
      <c r="B2240" s="197" t="e">
        <f t="shared" ca="1" si="235"/>
        <v>#N/A</v>
      </c>
      <c r="C2240" s="498">
        <v>174</v>
      </c>
      <c r="D2240" s="41" t="e">
        <f>IF($C$1077&gt;0,VLOOKUP($C2240,ENTI!$AL$4:AN$1003,3,FALSE),"")</f>
        <v>#N/A</v>
      </c>
      <c r="E2240" s="41" t="str">
        <f t="shared" si="234"/>
        <v/>
      </c>
      <c r="F2240" s="200"/>
      <c r="G2240" s="178" t="e">
        <f>IF($C$1077&gt;0,VLOOKUP($C2240,ENTI!$AL$4:AP$1003,5,FALSE),"")</f>
        <v>#N/A</v>
      </c>
      <c r="H2240" s="179" t="e">
        <f>IF($C$1077&gt;0,VLOOKUP($C2240,ENTI!$AL$4:AQ$1003,6,FALSE),"")</f>
        <v>#N/A</v>
      </c>
      <c r="I2240" s="187"/>
      <c r="J2240" s="140" t="e">
        <f ca="1">VLOOKUP(D2240,$F$1081:$I$4183,4,FALSE)+COUNTIF(E$1081:E2239,E2240)</f>
        <v>#N/A</v>
      </c>
      <c r="K2240" s="1"/>
      <c r="L2240" s="156"/>
      <c r="M2240" s="1"/>
      <c r="N2240" s="1"/>
      <c r="O2240" s="1"/>
    </row>
    <row r="2241" spans="1:15" hidden="1">
      <c r="A2241" s="1"/>
      <c r="B2241" s="197" t="e">
        <f t="shared" ca="1" si="235"/>
        <v>#N/A</v>
      </c>
      <c r="C2241" s="498">
        <v>175</v>
      </c>
      <c r="D2241" s="41" t="e">
        <f>IF($C$1077&gt;0,VLOOKUP($C2241,ENTI!$AL$4:AN$1003,3,FALSE),"")</f>
        <v>#N/A</v>
      </c>
      <c r="E2241" s="41" t="str">
        <f t="shared" si="234"/>
        <v/>
      </c>
      <c r="F2241" s="200"/>
      <c r="G2241" s="178" t="e">
        <f>IF($C$1077&gt;0,VLOOKUP($C2241,ENTI!$AL$4:AP$1003,5,FALSE),"")</f>
        <v>#N/A</v>
      </c>
      <c r="H2241" s="179" t="e">
        <f>IF($C$1077&gt;0,VLOOKUP($C2241,ENTI!$AL$4:AQ$1003,6,FALSE),"")</f>
        <v>#N/A</v>
      </c>
      <c r="I2241" s="187"/>
      <c r="J2241" s="140" t="e">
        <f ca="1">VLOOKUP(D2241,$F$1081:$I$4183,4,FALSE)+COUNTIF(E$1081:E2240,E2241)</f>
        <v>#N/A</v>
      </c>
      <c r="K2241" s="1"/>
      <c r="L2241" s="156"/>
      <c r="M2241" s="1"/>
      <c r="N2241" s="1"/>
      <c r="O2241" s="1"/>
    </row>
    <row r="2242" spans="1:15" hidden="1">
      <c r="A2242" s="1"/>
      <c r="B2242" s="197" t="e">
        <f t="shared" ca="1" si="235"/>
        <v>#N/A</v>
      </c>
      <c r="C2242" s="498">
        <v>176</v>
      </c>
      <c r="D2242" s="41" t="e">
        <f>IF($C$1077&gt;0,VLOOKUP($C2242,ENTI!$AL$4:AN$1003,3,FALSE),"")</f>
        <v>#N/A</v>
      </c>
      <c r="E2242" s="41" t="str">
        <f t="shared" si="234"/>
        <v/>
      </c>
      <c r="F2242" s="200"/>
      <c r="G2242" s="178" t="e">
        <f>IF($C$1077&gt;0,VLOOKUP($C2242,ENTI!$AL$4:AP$1003,5,FALSE),"")</f>
        <v>#N/A</v>
      </c>
      <c r="H2242" s="179" t="e">
        <f>IF($C$1077&gt;0,VLOOKUP($C2242,ENTI!$AL$4:AQ$1003,6,FALSE),"")</f>
        <v>#N/A</v>
      </c>
      <c r="I2242" s="187"/>
      <c r="J2242" s="140" t="e">
        <f ca="1">VLOOKUP(D2242,$F$1081:$I$4183,4,FALSE)+COUNTIF(E$1081:E2241,E2242)</f>
        <v>#N/A</v>
      </c>
      <c r="K2242" s="1"/>
      <c r="L2242" s="156"/>
      <c r="M2242" s="1"/>
      <c r="N2242" s="1"/>
      <c r="O2242" s="1"/>
    </row>
    <row r="2243" spans="1:15" hidden="1">
      <c r="A2243" s="1"/>
      <c r="B2243" s="197" t="e">
        <f t="shared" ca="1" si="235"/>
        <v>#N/A</v>
      </c>
      <c r="C2243" s="498">
        <v>177</v>
      </c>
      <c r="D2243" s="41" t="e">
        <f>IF($C$1077&gt;0,VLOOKUP($C2243,ENTI!$AL$4:AN$1003,3,FALSE),"")</f>
        <v>#N/A</v>
      </c>
      <c r="E2243" s="41" t="str">
        <f t="shared" si="234"/>
        <v/>
      </c>
      <c r="F2243" s="200"/>
      <c r="G2243" s="178" t="e">
        <f>IF($C$1077&gt;0,VLOOKUP($C2243,ENTI!$AL$4:AP$1003,5,FALSE),"")</f>
        <v>#N/A</v>
      </c>
      <c r="H2243" s="179" t="e">
        <f>IF($C$1077&gt;0,VLOOKUP($C2243,ENTI!$AL$4:AQ$1003,6,FALSE),"")</f>
        <v>#N/A</v>
      </c>
      <c r="I2243" s="187"/>
      <c r="J2243" s="140" t="e">
        <f ca="1">VLOOKUP(D2243,$F$1081:$I$4183,4,FALSE)+COUNTIF(E$1081:E2242,E2243)</f>
        <v>#N/A</v>
      </c>
      <c r="K2243" s="1"/>
      <c r="L2243" s="156"/>
      <c r="M2243" s="1"/>
      <c r="N2243" s="1"/>
      <c r="O2243" s="1"/>
    </row>
    <row r="2244" spans="1:15" hidden="1">
      <c r="A2244" s="1"/>
      <c r="B2244" s="197" t="e">
        <f t="shared" ca="1" si="235"/>
        <v>#N/A</v>
      </c>
      <c r="C2244" s="498">
        <v>178</v>
      </c>
      <c r="D2244" s="41" t="e">
        <f>IF($C$1077&gt;0,VLOOKUP($C2244,ENTI!$AL$4:AN$1003,3,FALSE),"")</f>
        <v>#N/A</v>
      </c>
      <c r="E2244" s="41" t="str">
        <f t="shared" si="234"/>
        <v/>
      </c>
      <c r="F2244" s="200"/>
      <c r="G2244" s="178" t="e">
        <f>IF($C$1077&gt;0,VLOOKUP($C2244,ENTI!$AL$4:AP$1003,5,FALSE),"")</f>
        <v>#N/A</v>
      </c>
      <c r="H2244" s="179" t="e">
        <f>IF($C$1077&gt;0,VLOOKUP($C2244,ENTI!$AL$4:AQ$1003,6,FALSE),"")</f>
        <v>#N/A</v>
      </c>
      <c r="I2244" s="187"/>
      <c r="J2244" s="140" t="e">
        <f ca="1">VLOOKUP(D2244,$F$1081:$I$4183,4,FALSE)+COUNTIF(E$1081:E2243,E2244)</f>
        <v>#N/A</v>
      </c>
      <c r="K2244" s="1"/>
      <c r="L2244" s="156"/>
      <c r="M2244" s="1"/>
      <c r="N2244" s="1"/>
      <c r="O2244" s="1"/>
    </row>
    <row r="2245" spans="1:15" hidden="1">
      <c r="A2245" s="1"/>
      <c r="B2245" s="197" t="e">
        <f t="shared" ca="1" si="235"/>
        <v>#N/A</v>
      </c>
      <c r="C2245" s="498">
        <v>179</v>
      </c>
      <c r="D2245" s="41" t="e">
        <f>IF($C$1077&gt;0,VLOOKUP($C2245,ENTI!$AL$4:AN$1003,3,FALSE),"")</f>
        <v>#N/A</v>
      </c>
      <c r="E2245" s="41" t="str">
        <f t="shared" si="234"/>
        <v/>
      </c>
      <c r="F2245" s="200"/>
      <c r="G2245" s="178" t="e">
        <f>IF($C$1077&gt;0,VLOOKUP($C2245,ENTI!$AL$4:AP$1003,5,FALSE),"")</f>
        <v>#N/A</v>
      </c>
      <c r="H2245" s="179" t="e">
        <f>IF($C$1077&gt;0,VLOOKUP($C2245,ENTI!$AL$4:AQ$1003,6,FALSE),"")</f>
        <v>#N/A</v>
      </c>
      <c r="I2245" s="187"/>
      <c r="J2245" s="140" t="e">
        <f ca="1">VLOOKUP(D2245,$F$1081:$I$4183,4,FALSE)+COUNTIF(E$1081:E2244,E2245)</f>
        <v>#N/A</v>
      </c>
      <c r="K2245" s="1"/>
      <c r="L2245" s="156"/>
      <c r="M2245" s="1"/>
      <c r="N2245" s="1"/>
      <c r="O2245" s="1"/>
    </row>
    <row r="2246" spans="1:15" hidden="1">
      <c r="A2246" s="1"/>
      <c r="B2246" s="197" t="e">
        <f t="shared" ca="1" si="235"/>
        <v>#N/A</v>
      </c>
      <c r="C2246" s="498">
        <v>180</v>
      </c>
      <c r="D2246" s="41" t="e">
        <f>IF($C$1077&gt;0,VLOOKUP($C2246,ENTI!$AL$4:AN$1003,3,FALSE),"")</f>
        <v>#N/A</v>
      </c>
      <c r="E2246" s="41" t="str">
        <f t="shared" si="234"/>
        <v/>
      </c>
      <c r="F2246" s="200"/>
      <c r="G2246" s="178" t="e">
        <f>IF($C$1077&gt;0,VLOOKUP($C2246,ENTI!$AL$4:AP$1003,5,FALSE),"")</f>
        <v>#N/A</v>
      </c>
      <c r="H2246" s="179" t="e">
        <f>IF($C$1077&gt;0,VLOOKUP($C2246,ENTI!$AL$4:AQ$1003,6,FALSE),"")</f>
        <v>#N/A</v>
      </c>
      <c r="I2246" s="187"/>
      <c r="J2246" s="140" t="e">
        <f ca="1">VLOOKUP(D2246,$F$1081:$I$4183,4,FALSE)+COUNTIF(E$1081:E2245,E2246)</f>
        <v>#N/A</v>
      </c>
      <c r="K2246" s="1"/>
      <c r="L2246" s="156"/>
      <c r="M2246" s="1"/>
      <c r="N2246" s="1"/>
      <c r="O2246" s="1"/>
    </row>
    <row r="2247" spans="1:15" hidden="1">
      <c r="A2247" s="1"/>
      <c r="B2247" s="197" t="e">
        <f t="shared" ca="1" si="235"/>
        <v>#N/A</v>
      </c>
      <c r="C2247" s="498">
        <v>181</v>
      </c>
      <c r="D2247" s="41" t="e">
        <f>IF($C$1077&gt;0,VLOOKUP($C2247,ENTI!$AL$4:AN$1003,3,FALSE),"")</f>
        <v>#N/A</v>
      </c>
      <c r="E2247" s="41" t="str">
        <f t="shared" si="234"/>
        <v/>
      </c>
      <c r="F2247" s="200"/>
      <c r="G2247" s="178" t="e">
        <f>IF($C$1077&gt;0,VLOOKUP($C2247,ENTI!$AL$4:AP$1003,5,FALSE),"")</f>
        <v>#N/A</v>
      </c>
      <c r="H2247" s="179" t="e">
        <f>IF($C$1077&gt;0,VLOOKUP($C2247,ENTI!$AL$4:AQ$1003,6,FALSE),"")</f>
        <v>#N/A</v>
      </c>
      <c r="I2247" s="187"/>
      <c r="J2247" s="140" t="e">
        <f ca="1">VLOOKUP(D2247,$F$1081:$I$4183,4,FALSE)+COUNTIF(E$1081:E2246,E2247)</f>
        <v>#N/A</v>
      </c>
      <c r="K2247" s="1"/>
      <c r="L2247" s="156"/>
      <c r="M2247" s="1"/>
      <c r="N2247" s="1"/>
      <c r="O2247" s="1"/>
    </row>
    <row r="2248" spans="1:15" hidden="1">
      <c r="A2248" s="1"/>
      <c r="B2248" s="197" t="e">
        <f t="shared" ca="1" si="235"/>
        <v>#N/A</v>
      </c>
      <c r="C2248" s="498">
        <v>182</v>
      </c>
      <c r="D2248" s="41" t="e">
        <f>IF($C$1077&gt;0,VLOOKUP($C2248,ENTI!$AL$4:AN$1003,3,FALSE),"")</f>
        <v>#N/A</v>
      </c>
      <c r="E2248" s="41" t="str">
        <f t="shared" si="234"/>
        <v/>
      </c>
      <c r="F2248" s="200"/>
      <c r="G2248" s="178" t="e">
        <f>IF($C$1077&gt;0,VLOOKUP($C2248,ENTI!$AL$4:AP$1003,5,FALSE),"")</f>
        <v>#N/A</v>
      </c>
      <c r="H2248" s="179" t="e">
        <f>IF($C$1077&gt;0,VLOOKUP($C2248,ENTI!$AL$4:AQ$1003,6,FALSE),"")</f>
        <v>#N/A</v>
      </c>
      <c r="I2248" s="187"/>
      <c r="J2248" s="140" t="e">
        <f ca="1">VLOOKUP(D2248,$F$1081:$I$4183,4,FALSE)+COUNTIF(E$1081:E2247,E2248)</f>
        <v>#N/A</v>
      </c>
      <c r="K2248" s="1"/>
      <c r="L2248" s="156"/>
      <c r="M2248" s="1"/>
      <c r="N2248" s="1"/>
      <c r="O2248" s="1"/>
    </row>
    <row r="2249" spans="1:15" hidden="1">
      <c r="A2249" s="1"/>
      <c r="B2249" s="197" t="e">
        <f t="shared" ca="1" si="235"/>
        <v>#N/A</v>
      </c>
      <c r="C2249" s="498">
        <v>183</v>
      </c>
      <c r="D2249" s="41" t="e">
        <f>IF($C$1077&gt;0,VLOOKUP($C2249,ENTI!$AL$4:AN$1003,3,FALSE),"")</f>
        <v>#N/A</v>
      </c>
      <c r="E2249" s="41" t="str">
        <f t="shared" si="234"/>
        <v/>
      </c>
      <c r="F2249" s="200"/>
      <c r="G2249" s="178" t="e">
        <f>IF($C$1077&gt;0,VLOOKUP($C2249,ENTI!$AL$4:AP$1003,5,FALSE),"")</f>
        <v>#N/A</v>
      </c>
      <c r="H2249" s="179" t="e">
        <f>IF($C$1077&gt;0,VLOOKUP($C2249,ENTI!$AL$4:AQ$1003,6,FALSE),"")</f>
        <v>#N/A</v>
      </c>
      <c r="I2249" s="187"/>
      <c r="J2249" s="140" t="e">
        <f ca="1">VLOOKUP(D2249,$F$1081:$I$4183,4,FALSE)+COUNTIF(E$1081:E2248,E2249)</f>
        <v>#N/A</v>
      </c>
      <c r="K2249" s="1"/>
      <c r="L2249" s="156"/>
      <c r="M2249" s="1"/>
      <c r="N2249" s="1"/>
      <c r="O2249" s="1"/>
    </row>
    <row r="2250" spans="1:15" hidden="1">
      <c r="A2250" s="1"/>
      <c r="B2250" s="197" t="e">
        <f t="shared" ca="1" si="235"/>
        <v>#N/A</v>
      </c>
      <c r="C2250" s="498">
        <v>184</v>
      </c>
      <c r="D2250" s="41" t="e">
        <f>IF($C$1077&gt;0,VLOOKUP($C2250,ENTI!$AL$4:AN$1003,3,FALSE),"")</f>
        <v>#N/A</v>
      </c>
      <c r="E2250" s="41" t="str">
        <f t="shared" si="234"/>
        <v/>
      </c>
      <c r="F2250" s="200"/>
      <c r="G2250" s="178" t="e">
        <f>IF($C$1077&gt;0,VLOOKUP($C2250,ENTI!$AL$4:AP$1003,5,FALSE),"")</f>
        <v>#N/A</v>
      </c>
      <c r="H2250" s="179" t="e">
        <f>IF($C$1077&gt;0,VLOOKUP($C2250,ENTI!$AL$4:AQ$1003,6,FALSE),"")</f>
        <v>#N/A</v>
      </c>
      <c r="I2250" s="187"/>
      <c r="J2250" s="140" t="e">
        <f ca="1">VLOOKUP(D2250,$F$1081:$I$4183,4,FALSE)+COUNTIF(E$1081:E2249,E2250)</f>
        <v>#N/A</v>
      </c>
      <c r="K2250" s="1"/>
      <c r="L2250" s="156"/>
      <c r="M2250" s="1"/>
      <c r="N2250" s="1"/>
      <c r="O2250" s="1"/>
    </row>
    <row r="2251" spans="1:15" hidden="1">
      <c r="A2251" s="1"/>
      <c r="B2251" s="197" t="e">
        <f t="shared" ca="1" si="235"/>
        <v>#N/A</v>
      </c>
      <c r="C2251" s="498">
        <v>185</v>
      </c>
      <c r="D2251" s="41" t="e">
        <f>IF($C$1077&gt;0,VLOOKUP($C2251,ENTI!$AL$4:AN$1003,3,FALSE),"")</f>
        <v>#N/A</v>
      </c>
      <c r="E2251" s="41" t="str">
        <f t="shared" si="234"/>
        <v/>
      </c>
      <c r="F2251" s="200"/>
      <c r="G2251" s="178" t="e">
        <f>IF($C$1077&gt;0,VLOOKUP($C2251,ENTI!$AL$4:AP$1003,5,FALSE),"")</f>
        <v>#N/A</v>
      </c>
      <c r="H2251" s="179" t="e">
        <f>IF($C$1077&gt;0,VLOOKUP($C2251,ENTI!$AL$4:AQ$1003,6,FALSE),"")</f>
        <v>#N/A</v>
      </c>
      <c r="I2251" s="187"/>
      <c r="J2251" s="140" t="e">
        <f ca="1">VLOOKUP(D2251,$F$1081:$I$4183,4,FALSE)+COUNTIF(E$1081:E2250,E2251)</f>
        <v>#N/A</v>
      </c>
      <c r="K2251" s="1"/>
      <c r="L2251" s="156"/>
      <c r="M2251" s="1"/>
      <c r="N2251" s="1"/>
      <c r="O2251" s="1"/>
    </row>
    <row r="2252" spans="1:15" hidden="1">
      <c r="A2252" s="1"/>
      <c r="B2252" s="197" t="e">
        <f t="shared" ca="1" si="235"/>
        <v>#N/A</v>
      </c>
      <c r="C2252" s="498">
        <v>186</v>
      </c>
      <c r="D2252" s="41" t="e">
        <f>IF($C$1077&gt;0,VLOOKUP($C2252,ENTI!$AL$4:AN$1003,3,FALSE),"")</f>
        <v>#N/A</v>
      </c>
      <c r="E2252" s="41" t="str">
        <f t="shared" si="234"/>
        <v/>
      </c>
      <c r="F2252" s="200"/>
      <c r="G2252" s="178" t="e">
        <f>IF($C$1077&gt;0,VLOOKUP($C2252,ENTI!$AL$4:AP$1003,5,FALSE),"")</f>
        <v>#N/A</v>
      </c>
      <c r="H2252" s="179" t="e">
        <f>IF($C$1077&gt;0,VLOOKUP($C2252,ENTI!$AL$4:AQ$1003,6,FALSE),"")</f>
        <v>#N/A</v>
      </c>
      <c r="I2252" s="187"/>
      <c r="J2252" s="140" t="e">
        <f ca="1">VLOOKUP(D2252,$F$1081:$I$4183,4,FALSE)+COUNTIF(E$1081:E2251,E2252)</f>
        <v>#N/A</v>
      </c>
      <c r="K2252" s="1"/>
      <c r="L2252" s="156"/>
      <c r="M2252" s="1"/>
      <c r="N2252" s="1"/>
      <c r="O2252" s="1"/>
    </row>
    <row r="2253" spans="1:15" hidden="1">
      <c r="A2253" s="1"/>
      <c r="B2253" s="197" t="e">
        <f t="shared" ca="1" si="235"/>
        <v>#N/A</v>
      </c>
      <c r="C2253" s="498">
        <v>187</v>
      </c>
      <c r="D2253" s="41" t="e">
        <f>IF($C$1077&gt;0,VLOOKUP($C2253,ENTI!$AL$4:AN$1003,3,FALSE),"")</f>
        <v>#N/A</v>
      </c>
      <c r="E2253" s="41" t="str">
        <f t="shared" si="234"/>
        <v/>
      </c>
      <c r="F2253" s="200"/>
      <c r="G2253" s="178" t="e">
        <f>IF($C$1077&gt;0,VLOOKUP($C2253,ENTI!$AL$4:AP$1003,5,FALSE),"")</f>
        <v>#N/A</v>
      </c>
      <c r="H2253" s="179" t="e">
        <f>IF($C$1077&gt;0,VLOOKUP($C2253,ENTI!$AL$4:AQ$1003,6,FALSE),"")</f>
        <v>#N/A</v>
      </c>
      <c r="I2253" s="187"/>
      <c r="J2253" s="140" t="e">
        <f ca="1">VLOOKUP(D2253,$F$1081:$I$4183,4,FALSE)+COUNTIF(E$1081:E2252,E2253)</f>
        <v>#N/A</v>
      </c>
      <c r="K2253" s="1"/>
      <c r="L2253" s="156"/>
      <c r="M2253" s="1"/>
      <c r="N2253" s="1"/>
      <c r="O2253" s="1"/>
    </row>
    <row r="2254" spans="1:15" hidden="1">
      <c r="A2254" s="1"/>
      <c r="B2254" s="197" t="e">
        <f t="shared" ca="1" si="235"/>
        <v>#N/A</v>
      </c>
      <c r="C2254" s="498">
        <v>188</v>
      </c>
      <c r="D2254" s="41" t="e">
        <f>IF($C$1077&gt;0,VLOOKUP($C2254,ENTI!$AL$4:AN$1003,3,FALSE),"")</f>
        <v>#N/A</v>
      </c>
      <c r="E2254" s="41" t="str">
        <f t="shared" si="234"/>
        <v/>
      </c>
      <c r="F2254" s="200"/>
      <c r="G2254" s="178" t="e">
        <f>IF($C$1077&gt;0,VLOOKUP($C2254,ENTI!$AL$4:AP$1003,5,FALSE),"")</f>
        <v>#N/A</v>
      </c>
      <c r="H2254" s="179" t="e">
        <f>IF($C$1077&gt;0,VLOOKUP($C2254,ENTI!$AL$4:AQ$1003,6,FALSE),"")</f>
        <v>#N/A</v>
      </c>
      <c r="I2254" s="187"/>
      <c r="J2254" s="140" t="e">
        <f ca="1">VLOOKUP(D2254,$F$1081:$I$4183,4,FALSE)+COUNTIF(E$1081:E2253,E2254)</f>
        <v>#N/A</v>
      </c>
      <c r="K2254" s="1"/>
      <c r="L2254" s="156"/>
      <c r="M2254" s="1"/>
      <c r="N2254" s="1"/>
      <c r="O2254" s="1"/>
    </row>
    <row r="2255" spans="1:15" hidden="1">
      <c r="A2255" s="1"/>
      <c r="B2255" s="197" t="e">
        <f t="shared" ca="1" si="235"/>
        <v>#N/A</v>
      </c>
      <c r="C2255" s="498">
        <v>189</v>
      </c>
      <c r="D2255" s="41" t="e">
        <f>IF($C$1077&gt;0,VLOOKUP($C2255,ENTI!$AL$4:AN$1003,3,FALSE),"")</f>
        <v>#N/A</v>
      </c>
      <c r="E2255" s="41" t="str">
        <f t="shared" si="234"/>
        <v/>
      </c>
      <c r="F2255" s="200"/>
      <c r="G2255" s="178" t="e">
        <f>IF($C$1077&gt;0,VLOOKUP($C2255,ENTI!$AL$4:AP$1003,5,FALSE),"")</f>
        <v>#N/A</v>
      </c>
      <c r="H2255" s="179" t="e">
        <f>IF($C$1077&gt;0,VLOOKUP($C2255,ENTI!$AL$4:AQ$1003,6,FALSE),"")</f>
        <v>#N/A</v>
      </c>
      <c r="I2255" s="187"/>
      <c r="J2255" s="140" t="e">
        <f ca="1">VLOOKUP(D2255,$F$1081:$I$4183,4,FALSE)+COUNTIF(E$1081:E2254,E2255)</f>
        <v>#N/A</v>
      </c>
      <c r="K2255" s="1"/>
      <c r="L2255" s="156"/>
      <c r="M2255" s="1"/>
      <c r="N2255" s="1"/>
      <c r="O2255" s="1"/>
    </row>
    <row r="2256" spans="1:15" hidden="1">
      <c r="A2256" s="1"/>
      <c r="B2256" s="197" t="e">
        <f t="shared" ca="1" si="235"/>
        <v>#N/A</v>
      </c>
      <c r="C2256" s="498">
        <v>190</v>
      </c>
      <c r="D2256" s="41" t="e">
        <f>IF($C$1077&gt;0,VLOOKUP($C2256,ENTI!$AL$4:AN$1003,3,FALSE),"")</f>
        <v>#N/A</v>
      </c>
      <c r="E2256" s="41" t="str">
        <f t="shared" si="234"/>
        <v/>
      </c>
      <c r="F2256" s="200"/>
      <c r="G2256" s="178" t="e">
        <f>IF($C$1077&gt;0,VLOOKUP($C2256,ENTI!$AL$4:AP$1003,5,FALSE),"")</f>
        <v>#N/A</v>
      </c>
      <c r="H2256" s="179" t="e">
        <f>IF($C$1077&gt;0,VLOOKUP($C2256,ENTI!$AL$4:AQ$1003,6,FALSE),"")</f>
        <v>#N/A</v>
      </c>
      <c r="I2256" s="187"/>
      <c r="J2256" s="140" t="e">
        <f ca="1">VLOOKUP(D2256,$F$1081:$I$4183,4,FALSE)+COUNTIF(E$1081:E2255,E2256)</f>
        <v>#N/A</v>
      </c>
      <c r="K2256" s="1"/>
      <c r="L2256" s="156"/>
      <c r="M2256" s="1"/>
      <c r="N2256" s="1"/>
      <c r="O2256" s="1"/>
    </row>
    <row r="2257" spans="1:15" hidden="1">
      <c r="A2257" s="1"/>
      <c r="B2257" s="197" t="e">
        <f t="shared" ca="1" si="235"/>
        <v>#N/A</v>
      </c>
      <c r="C2257" s="498">
        <v>191</v>
      </c>
      <c r="D2257" s="41" t="e">
        <f>IF($C$1077&gt;0,VLOOKUP($C2257,ENTI!$AL$4:AN$1003,3,FALSE),"")</f>
        <v>#N/A</v>
      </c>
      <c r="E2257" s="41" t="str">
        <f t="shared" si="234"/>
        <v/>
      </c>
      <c r="F2257" s="200"/>
      <c r="G2257" s="178" t="e">
        <f>IF($C$1077&gt;0,VLOOKUP($C2257,ENTI!$AL$4:AP$1003,5,FALSE),"")</f>
        <v>#N/A</v>
      </c>
      <c r="H2257" s="179" t="e">
        <f>IF($C$1077&gt;0,VLOOKUP($C2257,ENTI!$AL$4:AQ$1003,6,FALSE),"")</f>
        <v>#N/A</v>
      </c>
      <c r="I2257" s="187"/>
      <c r="J2257" s="140" t="e">
        <f ca="1">VLOOKUP(D2257,$F$1081:$I$4183,4,FALSE)+COUNTIF(E$1081:E2256,E2257)</f>
        <v>#N/A</v>
      </c>
      <c r="K2257" s="1"/>
      <c r="L2257" s="156"/>
      <c r="M2257" s="1"/>
      <c r="N2257" s="1"/>
      <c r="O2257" s="1"/>
    </row>
    <row r="2258" spans="1:15" hidden="1">
      <c r="A2258" s="1"/>
      <c r="B2258" s="197" t="e">
        <f t="shared" ca="1" si="235"/>
        <v>#N/A</v>
      </c>
      <c r="C2258" s="498">
        <v>192</v>
      </c>
      <c r="D2258" s="41" t="e">
        <f>IF($C$1077&gt;0,VLOOKUP($C2258,ENTI!$AL$4:AN$1003,3,FALSE),"")</f>
        <v>#N/A</v>
      </c>
      <c r="E2258" s="41" t="str">
        <f t="shared" ref="E2258:E2321" si="236">IF(ISERROR(D2258),"",D2258)</f>
        <v/>
      </c>
      <c r="F2258" s="200"/>
      <c r="G2258" s="178" t="e">
        <f>IF($C$1077&gt;0,VLOOKUP($C2258,ENTI!$AL$4:AP$1003,5,FALSE),"")</f>
        <v>#N/A</v>
      </c>
      <c r="H2258" s="179" t="e">
        <f>IF($C$1077&gt;0,VLOOKUP($C2258,ENTI!$AL$4:AQ$1003,6,FALSE),"")</f>
        <v>#N/A</v>
      </c>
      <c r="I2258" s="187"/>
      <c r="J2258" s="140" t="e">
        <f ca="1">VLOOKUP(D2258,$F$1081:$I$4183,4,FALSE)+COUNTIF(E$1081:E2257,E2258)</f>
        <v>#N/A</v>
      </c>
      <c r="K2258" s="1"/>
      <c r="L2258" s="156"/>
      <c r="M2258" s="1"/>
      <c r="N2258" s="1"/>
      <c r="O2258" s="1"/>
    </row>
    <row r="2259" spans="1:15" hidden="1">
      <c r="A2259" s="1"/>
      <c r="B2259" s="197" t="e">
        <f t="shared" ca="1" si="235"/>
        <v>#N/A</v>
      </c>
      <c r="C2259" s="498">
        <v>193</v>
      </c>
      <c r="D2259" s="41" t="e">
        <f>IF($C$1077&gt;0,VLOOKUP($C2259,ENTI!$AL$4:AN$1003,3,FALSE),"")</f>
        <v>#N/A</v>
      </c>
      <c r="E2259" s="41" t="str">
        <f t="shared" si="236"/>
        <v/>
      </c>
      <c r="F2259" s="200"/>
      <c r="G2259" s="178" t="e">
        <f>IF($C$1077&gt;0,VLOOKUP($C2259,ENTI!$AL$4:AP$1003,5,FALSE),"")</f>
        <v>#N/A</v>
      </c>
      <c r="H2259" s="179" t="e">
        <f>IF($C$1077&gt;0,VLOOKUP($C2259,ENTI!$AL$4:AQ$1003,6,FALSE),"")</f>
        <v>#N/A</v>
      </c>
      <c r="I2259" s="187"/>
      <c r="J2259" s="140" t="e">
        <f ca="1">VLOOKUP(D2259,$F$1081:$I$4183,4,FALSE)+COUNTIF(E$1081:E2258,E2259)</f>
        <v>#N/A</v>
      </c>
      <c r="K2259" s="1"/>
      <c r="L2259" s="156"/>
      <c r="M2259" s="1"/>
      <c r="N2259" s="1"/>
      <c r="O2259" s="1"/>
    </row>
    <row r="2260" spans="1:15" hidden="1">
      <c r="A2260" s="1"/>
      <c r="B2260" s="197" t="e">
        <f t="shared" ca="1" si="235"/>
        <v>#N/A</v>
      </c>
      <c r="C2260" s="498">
        <v>194</v>
      </c>
      <c r="D2260" s="41" t="e">
        <f>IF($C$1077&gt;0,VLOOKUP($C2260,ENTI!$AL$4:AN$1003,3,FALSE),"")</f>
        <v>#N/A</v>
      </c>
      <c r="E2260" s="41" t="str">
        <f t="shared" si="236"/>
        <v/>
      </c>
      <c r="F2260" s="200"/>
      <c r="G2260" s="178" t="e">
        <f>IF($C$1077&gt;0,VLOOKUP($C2260,ENTI!$AL$4:AP$1003,5,FALSE),"")</f>
        <v>#N/A</v>
      </c>
      <c r="H2260" s="179" t="e">
        <f>IF($C$1077&gt;0,VLOOKUP($C2260,ENTI!$AL$4:AQ$1003,6,FALSE),"")</f>
        <v>#N/A</v>
      </c>
      <c r="I2260" s="187"/>
      <c r="J2260" s="140" t="e">
        <f ca="1">VLOOKUP(D2260,$F$1081:$I$4183,4,FALSE)+COUNTIF(E$1081:E2259,E2260)</f>
        <v>#N/A</v>
      </c>
      <c r="K2260" s="1"/>
      <c r="L2260" s="156"/>
      <c r="M2260" s="1"/>
      <c r="N2260" s="1"/>
      <c r="O2260" s="1"/>
    </row>
    <row r="2261" spans="1:15" hidden="1">
      <c r="A2261" s="1"/>
      <c r="B2261" s="197" t="e">
        <f t="shared" ca="1" si="235"/>
        <v>#N/A</v>
      </c>
      <c r="C2261" s="498">
        <v>195</v>
      </c>
      <c r="D2261" s="41" t="e">
        <f>IF($C$1077&gt;0,VLOOKUP($C2261,ENTI!$AL$4:AN$1003,3,FALSE),"")</f>
        <v>#N/A</v>
      </c>
      <c r="E2261" s="41" t="str">
        <f t="shared" si="236"/>
        <v/>
      </c>
      <c r="F2261" s="200"/>
      <c r="G2261" s="178" t="e">
        <f>IF($C$1077&gt;0,VLOOKUP($C2261,ENTI!$AL$4:AP$1003,5,FALSE),"")</f>
        <v>#N/A</v>
      </c>
      <c r="H2261" s="179" t="e">
        <f>IF($C$1077&gt;0,VLOOKUP($C2261,ENTI!$AL$4:AQ$1003,6,FALSE),"")</f>
        <v>#N/A</v>
      </c>
      <c r="I2261" s="187"/>
      <c r="J2261" s="140" t="e">
        <f ca="1">VLOOKUP(D2261,$F$1081:$I$4183,4,FALSE)+COUNTIF(E$1081:E2260,E2261)</f>
        <v>#N/A</v>
      </c>
      <c r="K2261" s="1"/>
      <c r="L2261" s="156"/>
      <c r="M2261" s="1"/>
      <c r="N2261" s="1"/>
      <c r="O2261" s="1"/>
    </row>
    <row r="2262" spans="1:15" hidden="1">
      <c r="A2262" s="1"/>
      <c r="B2262" s="197" t="e">
        <f t="shared" ca="1" si="235"/>
        <v>#N/A</v>
      </c>
      <c r="C2262" s="498">
        <v>196</v>
      </c>
      <c r="D2262" s="41" t="e">
        <f>IF($C$1077&gt;0,VLOOKUP($C2262,ENTI!$AL$4:AN$1003,3,FALSE),"")</f>
        <v>#N/A</v>
      </c>
      <c r="E2262" s="41" t="str">
        <f t="shared" si="236"/>
        <v/>
      </c>
      <c r="F2262" s="200"/>
      <c r="G2262" s="178" t="e">
        <f>IF($C$1077&gt;0,VLOOKUP($C2262,ENTI!$AL$4:AP$1003,5,FALSE),"")</f>
        <v>#N/A</v>
      </c>
      <c r="H2262" s="179" t="e">
        <f>IF($C$1077&gt;0,VLOOKUP($C2262,ENTI!$AL$4:AQ$1003,6,FALSE),"")</f>
        <v>#N/A</v>
      </c>
      <c r="I2262" s="187"/>
      <c r="J2262" s="140" t="e">
        <f ca="1">VLOOKUP(D2262,$F$1081:$I$4183,4,FALSE)+COUNTIF(E$1081:E2261,E2262)</f>
        <v>#N/A</v>
      </c>
      <c r="K2262" s="1"/>
      <c r="L2262" s="156"/>
      <c r="M2262" s="1"/>
      <c r="N2262" s="1"/>
      <c r="O2262" s="1"/>
    </row>
    <row r="2263" spans="1:15" hidden="1">
      <c r="A2263" s="1"/>
      <c r="B2263" s="197" t="e">
        <f t="shared" ca="1" si="235"/>
        <v>#N/A</v>
      </c>
      <c r="C2263" s="498">
        <v>197</v>
      </c>
      <c r="D2263" s="41" t="e">
        <f>IF($C$1077&gt;0,VLOOKUP($C2263,ENTI!$AL$4:AN$1003,3,FALSE),"")</f>
        <v>#N/A</v>
      </c>
      <c r="E2263" s="41" t="str">
        <f t="shared" si="236"/>
        <v/>
      </c>
      <c r="F2263" s="200"/>
      <c r="G2263" s="178" t="e">
        <f>IF($C$1077&gt;0,VLOOKUP($C2263,ENTI!$AL$4:AP$1003,5,FALSE),"")</f>
        <v>#N/A</v>
      </c>
      <c r="H2263" s="179" t="e">
        <f>IF($C$1077&gt;0,VLOOKUP($C2263,ENTI!$AL$4:AQ$1003,6,FALSE),"")</f>
        <v>#N/A</v>
      </c>
      <c r="I2263" s="187"/>
      <c r="J2263" s="140" t="e">
        <f ca="1">VLOOKUP(D2263,$F$1081:$I$4183,4,FALSE)+COUNTIF(E$1081:E2262,E2263)</f>
        <v>#N/A</v>
      </c>
      <c r="K2263" s="1"/>
      <c r="L2263" s="156"/>
      <c r="M2263" s="1"/>
      <c r="N2263" s="1"/>
      <c r="O2263" s="1"/>
    </row>
    <row r="2264" spans="1:15" hidden="1">
      <c r="A2264" s="1"/>
      <c r="B2264" s="197" t="e">
        <f t="shared" ca="1" si="235"/>
        <v>#N/A</v>
      </c>
      <c r="C2264" s="498">
        <v>198</v>
      </c>
      <c r="D2264" s="41" t="e">
        <f>IF($C$1077&gt;0,VLOOKUP($C2264,ENTI!$AL$4:AN$1003,3,FALSE),"")</f>
        <v>#N/A</v>
      </c>
      <c r="E2264" s="41" t="str">
        <f t="shared" si="236"/>
        <v/>
      </c>
      <c r="F2264" s="200"/>
      <c r="G2264" s="178" t="e">
        <f>IF($C$1077&gt;0,VLOOKUP($C2264,ENTI!$AL$4:AP$1003,5,FALSE),"")</f>
        <v>#N/A</v>
      </c>
      <c r="H2264" s="179" t="e">
        <f>IF($C$1077&gt;0,VLOOKUP($C2264,ENTI!$AL$4:AQ$1003,6,FALSE),"")</f>
        <v>#N/A</v>
      </c>
      <c r="I2264" s="187"/>
      <c r="J2264" s="140" t="e">
        <f ca="1">VLOOKUP(D2264,$F$1081:$I$4183,4,FALSE)+COUNTIF(E$1081:E2263,E2264)</f>
        <v>#N/A</v>
      </c>
      <c r="K2264" s="1"/>
      <c r="L2264" s="156"/>
      <c r="M2264" s="1"/>
      <c r="N2264" s="1"/>
      <c r="O2264" s="1"/>
    </row>
    <row r="2265" spans="1:15" hidden="1">
      <c r="A2265" s="1"/>
      <c r="B2265" s="197" t="e">
        <f t="shared" ref="B2265:B2296" ca="1" si="237">IF(OR(C$1075&gt;0,C$1077&gt;0,C$1073&gt;0,C$1071&gt;0),J2265+1,J2265)</f>
        <v>#N/A</v>
      </c>
      <c r="C2265" s="498">
        <v>199</v>
      </c>
      <c r="D2265" s="41" t="e">
        <f>IF($C$1077&gt;0,VLOOKUP($C2265,ENTI!$AL$4:AN$1003,3,FALSE),"")</f>
        <v>#N/A</v>
      </c>
      <c r="E2265" s="41" t="str">
        <f t="shared" si="236"/>
        <v/>
      </c>
      <c r="F2265" s="200"/>
      <c r="G2265" s="178" t="e">
        <f>IF($C$1077&gt;0,VLOOKUP($C2265,ENTI!$AL$4:AP$1003,5,FALSE),"")</f>
        <v>#N/A</v>
      </c>
      <c r="H2265" s="179" t="e">
        <f>IF($C$1077&gt;0,VLOOKUP($C2265,ENTI!$AL$4:AQ$1003,6,FALSE),"")</f>
        <v>#N/A</v>
      </c>
      <c r="I2265" s="187"/>
      <c r="J2265" s="140" t="e">
        <f ca="1">VLOOKUP(D2265,$F$1081:$I$4183,4,FALSE)+COUNTIF(E$1081:E2264,E2265)</f>
        <v>#N/A</v>
      </c>
      <c r="K2265" s="1"/>
      <c r="L2265" s="156"/>
      <c r="M2265" s="1"/>
      <c r="N2265" s="1"/>
      <c r="O2265" s="1"/>
    </row>
    <row r="2266" spans="1:15" hidden="1">
      <c r="A2266" s="1"/>
      <c r="B2266" s="197" t="e">
        <f t="shared" ca="1" si="237"/>
        <v>#N/A</v>
      </c>
      <c r="C2266" s="498">
        <v>200</v>
      </c>
      <c r="D2266" s="41" t="e">
        <f>IF($C$1077&gt;0,VLOOKUP($C2266,ENTI!$AL$4:AN$1003,3,FALSE),"")</f>
        <v>#N/A</v>
      </c>
      <c r="E2266" s="41" t="str">
        <f t="shared" si="236"/>
        <v/>
      </c>
      <c r="F2266" s="200"/>
      <c r="G2266" s="178" t="e">
        <f>IF($C$1077&gt;0,VLOOKUP($C2266,ENTI!$AL$4:AP$1003,5,FALSE),"")</f>
        <v>#N/A</v>
      </c>
      <c r="H2266" s="179" t="e">
        <f>IF($C$1077&gt;0,VLOOKUP($C2266,ENTI!$AL$4:AQ$1003,6,FALSE),"")</f>
        <v>#N/A</v>
      </c>
      <c r="I2266" s="187"/>
      <c r="J2266" s="140" t="e">
        <f ca="1">VLOOKUP(D2266,$F$1081:$I$4183,4,FALSE)+COUNTIF(E$1081:E2265,E2266)</f>
        <v>#N/A</v>
      </c>
      <c r="K2266" s="1"/>
      <c r="L2266" s="156"/>
      <c r="M2266" s="1"/>
      <c r="N2266" s="1"/>
      <c r="O2266" s="1"/>
    </row>
    <row r="2267" spans="1:15" hidden="1">
      <c r="A2267" s="1"/>
      <c r="B2267" s="197" t="e">
        <f t="shared" ca="1" si="237"/>
        <v>#N/A</v>
      </c>
      <c r="C2267" s="498">
        <v>201</v>
      </c>
      <c r="D2267" s="41" t="e">
        <f>IF($C$1077&gt;0,VLOOKUP($C2267,ENTI!$AL$4:AN$1003,3,FALSE),"")</f>
        <v>#N/A</v>
      </c>
      <c r="E2267" s="41" t="str">
        <f t="shared" si="236"/>
        <v/>
      </c>
      <c r="F2267" s="200"/>
      <c r="G2267" s="178" t="e">
        <f>IF($C$1077&gt;0,VLOOKUP($C2267,ENTI!$AL$4:AP$1003,5,FALSE),"")</f>
        <v>#N/A</v>
      </c>
      <c r="H2267" s="179" t="e">
        <f>IF($C$1077&gt;0,VLOOKUP($C2267,ENTI!$AL$4:AQ$1003,6,FALSE),"")</f>
        <v>#N/A</v>
      </c>
      <c r="I2267" s="187"/>
      <c r="J2267" s="140" t="e">
        <f ca="1">VLOOKUP(D2267,$F$1081:$I$4183,4,FALSE)+COUNTIF(E$1081:E2266,E2267)</f>
        <v>#N/A</v>
      </c>
      <c r="K2267" s="1"/>
      <c r="L2267" s="156"/>
      <c r="M2267" s="1"/>
      <c r="N2267" s="1"/>
      <c r="O2267" s="1"/>
    </row>
    <row r="2268" spans="1:15" hidden="1">
      <c r="A2268" s="1"/>
      <c r="B2268" s="197" t="e">
        <f t="shared" ca="1" si="237"/>
        <v>#N/A</v>
      </c>
      <c r="C2268" s="498">
        <v>202</v>
      </c>
      <c r="D2268" s="41" t="e">
        <f>IF($C$1077&gt;0,VLOOKUP($C2268,ENTI!$AL$4:AN$1003,3,FALSE),"")</f>
        <v>#N/A</v>
      </c>
      <c r="E2268" s="41" t="str">
        <f t="shared" si="236"/>
        <v/>
      </c>
      <c r="F2268" s="200"/>
      <c r="G2268" s="178" t="e">
        <f>IF($C$1077&gt;0,VLOOKUP($C2268,ENTI!$AL$4:AP$1003,5,FALSE),"")</f>
        <v>#N/A</v>
      </c>
      <c r="H2268" s="179" t="e">
        <f>IF($C$1077&gt;0,VLOOKUP($C2268,ENTI!$AL$4:AQ$1003,6,FALSE),"")</f>
        <v>#N/A</v>
      </c>
      <c r="I2268" s="187"/>
      <c r="J2268" s="140" t="e">
        <f ca="1">VLOOKUP(D2268,$F$1081:$I$4183,4,FALSE)+COUNTIF(E$1081:E2267,E2268)</f>
        <v>#N/A</v>
      </c>
      <c r="K2268" s="1"/>
      <c r="L2268" s="156"/>
      <c r="M2268" s="1"/>
      <c r="N2268" s="1"/>
      <c r="O2268" s="1"/>
    </row>
    <row r="2269" spans="1:15" hidden="1">
      <c r="A2269" s="1"/>
      <c r="B2269" s="197" t="e">
        <f t="shared" ca="1" si="237"/>
        <v>#N/A</v>
      </c>
      <c r="C2269" s="498">
        <v>203</v>
      </c>
      <c r="D2269" s="41" t="e">
        <f>IF($C$1077&gt;0,VLOOKUP($C2269,ENTI!$AL$4:AN$1003,3,FALSE),"")</f>
        <v>#N/A</v>
      </c>
      <c r="E2269" s="41" t="str">
        <f t="shared" si="236"/>
        <v/>
      </c>
      <c r="F2269" s="200"/>
      <c r="G2269" s="178" t="e">
        <f>IF($C$1077&gt;0,VLOOKUP($C2269,ENTI!$AL$4:AP$1003,5,FALSE),"")</f>
        <v>#N/A</v>
      </c>
      <c r="H2269" s="179" t="e">
        <f>IF($C$1077&gt;0,VLOOKUP($C2269,ENTI!$AL$4:AQ$1003,6,FALSE),"")</f>
        <v>#N/A</v>
      </c>
      <c r="I2269" s="187"/>
      <c r="J2269" s="140" t="e">
        <f ca="1">VLOOKUP(D2269,$F$1081:$I$4183,4,FALSE)+COUNTIF(E$1081:E2268,E2269)</f>
        <v>#N/A</v>
      </c>
      <c r="K2269" s="1"/>
      <c r="L2269" s="156"/>
      <c r="M2269" s="1"/>
      <c r="N2269" s="1"/>
      <c r="O2269" s="1"/>
    </row>
    <row r="2270" spans="1:15" hidden="1">
      <c r="A2270" s="1"/>
      <c r="B2270" s="197" t="e">
        <f t="shared" ca="1" si="237"/>
        <v>#N/A</v>
      </c>
      <c r="C2270" s="498">
        <v>204</v>
      </c>
      <c r="D2270" s="41" t="e">
        <f>IF($C$1077&gt;0,VLOOKUP($C2270,ENTI!$AL$4:AN$1003,3,FALSE),"")</f>
        <v>#N/A</v>
      </c>
      <c r="E2270" s="41" t="str">
        <f t="shared" si="236"/>
        <v/>
      </c>
      <c r="F2270" s="200"/>
      <c r="G2270" s="178" t="e">
        <f>IF($C$1077&gt;0,VLOOKUP($C2270,ENTI!$AL$4:AP$1003,5,FALSE),"")</f>
        <v>#N/A</v>
      </c>
      <c r="H2270" s="179" t="e">
        <f>IF($C$1077&gt;0,VLOOKUP($C2270,ENTI!$AL$4:AQ$1003,6,FALSE),"")</f>
        <v>#N/A</v>
      </c>
      <c r="I2270" s="187"/>
      <c r="J2270" s="140" t="e">
        <f ca="1">VLOOKUP(D2270,$F$1081:$I$4183,4,FALSE)+COUNTIF(E$1081:E2269,E2270)</f>
        <v>#N/A</v>
      </c>
      <c r="K2270" s="1"/>
      <c r="L2270" s="156"/>
      <c r="M2270" s="1"/>
      <c r="N2270" s="1"/>
      <c r="O2270" s="1"/>
    </row>
    <row r="2271" spans="1:15" hidden="1">
      <c r="A2271" s="1"/>
      <c r="B2271" s="197" t="e">
        <f t="shared" ca="1" si="237"/>
        <v>#N/A</v>
      </c>
      <c r="C2271" s="498">
        <v>205</v>
      </c>
      <c r="D2271" s="41" t="e">
        <f>IF($C$1077&gt;0,VLOOKUP($C2271,ENTI!$AL$4:AN$1003,3,FALSE),"")</f>
        <v>#N/A</v>
      </c>
      <c r="E2271" s="41" t="str">
        <f t="shared" si="236"/>
        <v/>
      </c>
      <c r="F2271" s="200"/>
      <c r="G2271" s="178" t="e">
        <f>IF($C$1077&gt;0,VLOOKUP($C2271,ENTI!$AL$4:AP$1003,5,FALSE),"")</f>
        <v>#N/A</v>
      </c>
      <c r="H2271" s="179" t="e">
        <f>IF($C$1077&gt;0,VLOOKUP($C2271,ENTI!$AL$4:AQ$1003,6,FALSE),"")</f>
        <v>#N/A</v>
      </c>
      <c r="I2271" s="187"/>
      <c r="J2271" s="140" t="e">
        <f ca="1">VLOOKUP(D2271,$F$1081:$I$4183,4,FALSE)+COUNTIF(E$1081:E2270,E2271)</f>
        <v>#N/A</v>
      </c>
      <c r="K2271" s="1"/>
      <c r="L2271" s="156"/>
      <c r="M2271" s="1"/>
      <c r="N2271" s="1"/>
      <c r="O2271" s="1"/>
    </row>
    <row r="2272" spans="1:15" hidden="1">
      <c r="A2272" s="1"/>
      <c r="B2272" s="197" t="e">
        <f t="shared" ca="1" si="237"/>
        <v>#N/A</v>
      </c>
      <c r="C2272" s="498">
        <v>206</v>
      </c>
      <c r="D2272" s="41" t="e">
        <f>IF($C$1077&gt;0,VLOOKUP($C2272,ENTI!$AL$4:AN$1003,3,FALSE),"")</f>
        <v>#N/A</v>
      </c>
      <c r="E2272" s="41" t="str">
        <f t="shared" si="236"/>
        <v/>
      </c>
      <c r="F2272" s="200"/>
      <c r="G2272" s="178" t="e">
        <f>IF($C$1077&gt;0,VLOOKUP($C2272,ENTI!$AL$4:AP$1003,5,FALSE),"")</f>
        <v>#N/A</v>
      </c>
      <c r="H2272" s="179" t="e">
        <f>IF($C$1077&gt;0,VLOOKUP($C2272,ENTI!$AL$4:AQ$1003,6,FALSE),"")</f>
        <v>#N/A</v>
      </c>
      <c r="I2272" s="187"/>
      <c r="J2272" s="140" t="e">
        <f ca="1">VLOOKUP(D2272,$F$1081:$I$4183,4,FALSE)+COUNTIF(E$1081:E2271,E2272)</f>
        <v>#N/A</v>
      </c>
      <c r="K2272" s="1"/>
      <c r="L2272" s="156"/>
      <c r="M2272" s="1"/>
      <c r="N2272" s="1"/>
      <c r="O2272" s="1"/>
    </row>
    <row r="2273" spans="1:15" hidden="1">
      <c r="A2273" s="1"/>
      <c r="B2273" s="197" t="e">
        <f t="shared" ca="1" si="237"/>
        <v>#N/A</v>
      </c>
      <c r="C2273" s="498">
        <v>207</v>
      </c>
      <c r="D2273" s="41" t="e">
        <f>IF($C$1077&gt;0,VLOOKUP($C2273,ENTI!$AL$4:AN$1003,3,FALSE),"")</f>
        <v>#N/A</v>
      </c>
      <c r="E2273" s="41" t="str">
        <f t="shared" si="236"/>
        <v/>
      </c>
      <c r="F2273" s="200"/>
      <c r="G2273" s="178" t="e">
        <f>IF($C$1077&gt;0,VLOOKUP($C2273,ENTI!$AL$4:AP$1003,5,FALSE),"")</f>
        <v>#N/A</v>
      </c>
      <c r="H2273" s="179" t="e">
        <f>IF($C$1077&gt;0,VLOOKUP($C2273,ENTI!$AL$4:AQ$1003,6,FALSE),"")</f>
        <v>#N/A</v>
      </c>
      <c r="I2273" s="187"/>
      <c r="J2273" s="140" t="e">
        <f ca="1">VLOOKUP(D2273,$F$1081:$I$4183,4,FALSE)+COUNTIF(E$1081:E2272,E2273)</f>
        <v>#N/A</v>
      </c>
      <c r="K2273" s="1"/>
      <c r="L2273" s="156"/>
      <c r="M2273" s="1"/>
      <c r="N2273" s="1"/>
      <c r="O2273" s="1"/>
    </row>
    <row r="2274" spans="1:15" hidden="1">
      <c r="A2274" s="1"/>
      <c r="B2274" s="197" t="e">
        <f t="shared" ca="1" si="237"/>
        <v>#N/A</v>
      </c>
      <c r="C2274" s="498">
        <v>208</v>
      </c>
      <c r="D2274" s="41" t="e">
        <f>IF($C$1077&gt;0,VLOOKUP($C2274,ENTI!$AL$4:AN$1003,3,FALSE),"")</f>
        <v>#N/A</v>
      </c>
      <c r="E2274" s="41" t="str">
        <f t="shared" si="236"/>
        <v/>
      </c>
      <c r="F2274" s="200"/>
      <c r="G2274" s="178" t="e">
        <f>IF($C$1077&gt;0,VLOOKUP($C2274,ENTI!$AL$4:AP$1003,5,FALSE),"")</f>
        <v>#N/A</v>
      </c>
      <c r="H2274" s="179" t="e">
        <f>IF($C$1077&gt;0,VLOOKUP($C2274,ENTI!$AL$4:AQ$1003,6,FALSE),"")</f>
        <v>#N/A</v>
      </c>
      <c r="I2274" s="187"/>
      <c r="J2274" s="140" t="e">
        <f ca="1">VLOOKUP(D2274,$F$1081:$I$4183,4,FALSE)+COUNTIF(E$1081:E2273,E2274)</f>
        <v>#N/A</v>
      </c>
      <c r="K2274" s="1"/>
      <c r="L2274" s="156"/>
      <c r="M2274" s="1"/>
      <c r="N2274" s="1"/>
      <c r="O2274" s="1"/>
    </row>
    <row r="2275" spans="1:15" hidden="1">
      <c r="A2275" s="1"/>
      <c r="B2275" s="197" t="e">
        <f t="shared" ca="1" si="237"/>
        <v>#N/A</v>
      </c>
      <c r="C2275" s="498">
        <v>209</v>
      </c>
      <c r="D2275" s="41" t="e">
        <f>IF($C$1077&gt;0,VLOOKUP($C2275,ENTI!$AL$4:AN$1003,3,FALSE),"")</f>
        <v>#N/A</v>
      </c>
      <c r="E2275" s="41" t="str">
        <f t="shared" si="236"/>
        <v/>
      </c>
      <c r="F2275" s="200"/>
      <c r="G2275" s="178" t="e">
        <f>IF($C$1077&gt;0,VLOOKUP($C2275,ENTI!$AL$4:AP$1003,5,FALSE),"")</f>
        <v>#N/A</v>
      </c>
      <c r="H2275" s="179" t="e">
        <f>IF($C$1077&gt;0,VLOOKUP($C2275,ENTI!$AL$4:AQ$1003,6,FALSE),"")</f>
        <v>#N/A</v>
      </c>
      <c r="I2275" s="187"/>
      <c r="J2275" s="140" t="e">
        <f ca="1">VLOOKUP(D2275,$F$1081:$I$4183,4,FALSE)+COUNTIF(E$1081:E2274,E2275)</f>
        <v>#N/A</v>
      </c>
      <c r="K2275" s="1"/>
      <c r="L2275" s="156"/>
      <c r="M2275" s="1"/>
      <c r="N2275" s="1"/>
      <c r="O2275" s="1"/>
    </row>
    <row r="2276" spans="1:15" hidden="1">
      <c r="A2276" s="1"/>
      <c r="B2276" s="197" t="e">
        <f t="shared" ca="1" si="237"/>
        <v>#N/A</v>
      </c>
      <c r="C2276" s="498">
        <v>210</v>
      </c>
      <c r="D2276" s="41" t="e">
        <f>IF($C$1077&gt;0,VLOOKUP($C2276,ENTI!$AL$4:AN$1003,3,FALSE),"")</f>
        <v>#N/A</v>
      </c>
      <c r="E2276" s="41" t="str">
        <f t="shared" si="236"/>
        <v/>
      </c>
      <c r="F2276" s="200"/>
      <c r="G2276" s="178" t="e">
        <f>IF($C$1077&gt;0,VLOOKUP($C2276,ENTI!$AL$4:AP$1003,5,FALSE),"")</f>
        <v>#N/A</v>
      </c>
      <c r="H2276" s="179" t="e">
        <f>IF($C$1077&gt;0,VLOOKUP($C2276,ENTI!$AL$4:AQ$1003,6,FALSE),"")</f>
        <v>#N/A</v>
      </c>
      <c r="I2276" s="187"/>
      <c r="J2276" s="140" t="e">
        <f ca="1">VLOOKUP(D2276,$F$1081:$I$4183,4,FALSE)+COUNTIF(E$1081:E2275,E2276)</f>
        <v>#N/A</v>
      </c>
      <c r="K2276" s="1"/>
      <c r="L2276" s="156"/>
      <c r="M2276" s="1"/>
      <c r="N2276" s="1"/>
      <c r="O2276" s="1"/>
    </row>
    <row r="2277" spans="1:15" hidden="1">
      <c r="A2277" s="1"/>
      <c r="B2277" s="197" t="e">
        <f t="shared" ca="1" si="237"/>
        <v>#N/A</v>
      </c>
      <c r="C2277" s="498">
        <v>211</v>
      </c>
      <c r="D2277" s="41" t="e">
        <f>IF($C$1077&gt;0,VLOOKUP($C2277,ENTI!$AL$4:AN$1003,3,FALSE),"")</f>
        <v>#N/A</v>
      </c>
      <c r="E2277" s="41" t="str">
        <f t="shared" si="236"/>
        <v/>
      </c>
      <c r="F2277" s="200"/>
      <c r="G2277" s="178" t="e">
        <f>IF($C$1077&gt;0,VLOOKUP($C2277,ENTI!$AL$4:AP$1003,5,FALSE),"")</f>
        <v>#N/A</v>
      </c>
      <c r="H2277" s="179" t="e">
        <f>IF($C$1077&gt;0,VLOOKUP($C2277,ENTI!$AL$4:AQ$1003,6,FALSE),"")</f>
        <v>#N/A</v>
      </c>
      <c r="I2277" s="187"/>
      <c r="J2277" s="140" t="e">
        <f ca="1">VLOOKUP(D2277,$F$1081:$I$4183,4,FALSE)+COUNTIF(E$1081:E2276,E2277)</f>
        <v>#N/A</v>
      </c>
      <c r="K2277" s="1"/>
      <c r="L2277" s="156"/>
      <c r="M2277" s="1"/>
      <c r="N2277" s="1"/>
      <c r="O2277" s="1"/>
    </row>
    <row r="2278" spans="1:15" hidden="1">
      <c r="A2278" s="1"/>
      <c r="B2278" s="197" t="e">
        <f t="shared" ca="1" si="237"/>
        <v>#N/A</v>
      </c>
      <c r="C2278" s="498">
        <v>212</v>
      </c>
      <c r="D2278" s="41" t="e">
        <f>IF($C$1077&gt;0,VLOOKUP($C2278,ENTI!$AL$4:AN$1003,3,FALSE),"")</f>
        <v>#N/A</v>
      </c>
      <c r="E2278" s="41" t="str">
        <f t="shared" si="236"/>
        <v/>
      </c>
      <c r="F2278" s="200"/>
      <c r="G2278" s="178" t="e">
        <f>IF($C$1077&gt;0,VLOOKUP($C2278,ENTI!$AL$4:AP$1003,5,FALSE),"")</f>
        <v>#N/A</v>
      </c>
      <c r="H2278" s="179" t="e">
        <f>IF($C$1077&gt;0,VLOOKUP($C2278,ENTI!$AL$4:AQ$1003,6,FALSE),"")</f>
        <v>#N/A</v>
      </c>
      <c r="I2278" s="187"/>
      <c r="J2278" s="140" t="e">
        <f ca="1">VLOOKUP(D2278,$F$1081:$I$4183,4,FALSE)+COUNTIF(E$1081:E2277,E2278)</f>
        <v>#N/A</v>
      </c>
      <c r="K2278" s="1"/>
      <c r="L2278" s="156"/>
      <c r="M2278" s="1"/>
      <c r="N2278" s="1"/>
      <c r="O2278" s="1"/>
    </row>
    <row r="2279" spans="1:15" hidden="1">
      <c r="A2279" s="1"/>
      <c r="B2279" s="197" t="e">
        <f t="shared" ca="1" si="237"/>
        <v>#N/A</v>
      </c>
      <c r="C2279" s="498">
        <v>213</v>
      </c>
      <c r="D2279" s="41" t="e">
        <f>IF($C$1077&gt;0,VLOOKUP($C2279,ENTI!$AL$4:AN$1003,3,FALSE),"")</f>
        <v>#N/A</v>
      </c>
      <c r="E2279" s="41" t="str">
        <f t="shared" si="236"/>
        <v/>
      </c>
      <c r="F2279" s="200"/>
      <c r="G2279" s="178" t="e">
        <f>IF($C$1077&gt;0,VLOOKUP($C2279,ENTI!$AL$4:AP$1003,5,FALSE),"")</f>
        <v>#N/A</v>
      </c>
      <c r="H2279" s="179" t="e">
        <f>IF($C$1077&gt;0,VLOOKUP($C2279,ENTI!$AL$4:AQ$1003,6,FALSE),"")</f>
        <v>#N/A</v>
      </c>
      <c r="I2279" s="187"/>
      <c r="J2279" s="140" t="e">
        <f ca="1">VLOOKUP(D2279,$F$1081:$I$4183,4,FALSE)+COUNTIF(E$1081:E2278,E2279)</f>
        <v>#N/A</v>
      </c>
      <c r="K2279" s="1"/>
      <c r="L2279" s="156"/>
      <c r="M2279" s="1"/>
      <c r="N2279" s="1"/>
      <c r="O2279" s="1"/>
    </row>
    <row r="2280" spans="1:15" hidden="1">
      <c r="A2280" s="1"/>
      <c r="B2280" s="197" t="e">
        <f t="shared" ca="1" si="237"/>
        <v>#N/A</v>
      </c>
      <c r="C2280" s="498">
        <v>214</v>
      </c>
      <c r="D2280" s="41" t="e">
        <f>IF($C$1077&gt;0,VLOOKUP($C2280,ENTI!$AL$4:AN$1003,3,FALSE),"")</f>
        <v>#N/A</v>
      </c>
      <c r="E2280" s="41" t="str">
        <f t="shared" si="236"/>
        <v/>
      </c>
      <c r="F2280" s="200"/>
      <c r="G2280" s="178" t="e">
        <f>IF($C$1077&gt;0,VLOOKUP($C2280,ENTI!$AL$4:AP$1003,5,FALSE),"")</f>
        <v>#N/A</v>
      </c>
      <c r="H2280" s="179" t="e">
        <f>IF($C$1077&gt;0,VLOOKUP($C2280,ENTI!$AL$4:AQ$1003,6,FALSE),"")</f>
        <v>#N/A</v>
      </c>
      <c r="I2280" s="187"/>
      <c r="J2280" s="140" t="e">
        <f ca="1">VLOOKUP(D2280,$F$1081:$I$4183,4,FALSE)+COUNTIF(E$1081:E2279,E2280)</f>
        <v>#N/A</v>
      </c>
      <c r="K2280" s="1"/>
      <c r="L2280" s="156"/>
      <c r="M2280" s="1"/>
      <c r="N2280" s="1"/>
      <c r="O2280" s="1"/>
    </row>
    <row r="2281" spans="1:15" hidden="1">
      <c r="A2281" s="1"/>
      <c r="B2281" s="197" t="e">
        <f t="shared" ca="1" si="237"/>
        <v>#N/A</v>
      </c>
      <c r="C2281" s="498">
        <v>215</v>
      </c>
      <c r="D2281" s="41" t="e">
        <f>IF($C$1077&gt;0,VLOOKUP($C2281,ENTI!$AL$4:AN$1003,3,FALSE),"")</f>
        <v>#N/A</v>
      </c>
      <c r="E2281" s="41" t="str">
        <f t="shared" si="236"/>
        <v/>
      </c>
      <c r="F2281" s="200"/>
      <c r="G2281" s="178" t="e">
        <f>IF($C$1077&gt;0,VLOOKUP($C2281,ENTI!$AL$4:AP$1003,5,FALSE),"")</f>
        <v>#N/A</v>
      </c>
      <c r="H2281" s="179" t="e">
        <f>IF($C$1077&gt;0,VLOOKUP($C2281,ENTI!$AL$4:AQ$1003,6,FALSE),"")</f>
        <v>#N/A</v>
      </c>
      <c r="I2281" s="187"/>
      <c r="J2281" s="140" t="e">
        <f ca="1">VLOOKUP(D2281,$F$1081:$I$4183,4,FALSE)+COUNTIF(E$1081:E2280,E2281)</f>
        <v>#N/A</v>
      </c>
      <c r="K2281" s="1"/>
      <c r="L2281" s="156"/>
      <c r="M2281" s="1"/>
      <c r="N2281" s="1"/>
      <c r="O2281" s="1"/>
    </row>
    <row r="2282" spans="1:15" hidden="1">
      <c r="A2282" s="1"/>
      <c r="B2282" s="197" t="e">
        <f t="shared" ca="1" si="237"/>
        <v>#N/A</v>
      </c>
      <c r="C2282" s="498">
        <v>216</v>
      </c>
      <c r="D2282" s="41" t="e">
        <f>IF($C$1077&gt;0,VLOOKUP($C2282,ENTI!$AL$4:AN$1003,3,FALSE),"")</f>
        <v>#N/A</v>
      </c>
      <c r="E2282" s="41" t="str">
        <f t="shared" si="236"/>
        <v/>
      </c>
      <c r="F2282" s="200"/>
      <c r="G2282" s="178" t="e">
        <f>IF($C$1077&gt;0,VLOOKUP($C2282,ENTI!$AL$4:AP$1003,5,FALSE),"")</f>
        <v>#N/A</v>
      </c>
      <c r="H2282" s="179" t="e">
        <f>IF($C$1077&gt;0,VLOOKUP($C2282,ENTI!$AL$4:AQ$1003,6,FALSE),"")</f>
        <v>#N/A</v>
      </c>
      <c r="I2282" s="187"/>
      <c r="J2282" s="140" t="e">
        <f ca="1">VLOOKUP(D2282,$F$1081:$I$4183,4,FALSE)+COUNTIF(E$1081:E2281,E2282)</f>
        <v>#N/A</v>
      </c>
      <c r="K2282" s="1"/>
      <c r="L2282" s="156"/>
      <c r="M2282" s="1"/>
      <c r="N2282" s="1"/>
      <c r="O2282" s="1"/>
    </row>
    <row r="2283" spans="1:15" hidden="1">
      <c r="A2283" s="1"/>
      <c r="B2283" s="197" t="e">
        <f t="shared" ca="1" si="237"/>
        <v>#N/A</v>
      </c>
      <c r="C2283" s="498">
        <v>217</v>
      </c>
      <c r="D2283" s="41" t="e">
        <f>IF($C$1077&gt;0,VLOOKUP($C2283,ENTI!$AL$4:AN$1003,3,FALSE),"")</f>
        <v>#N/A</v>
      </c>
      <c r="E2283" s="41" t="str">
        <f t="shared" si="236"/>
        <v/>
      </c>
      <c r="F2283" s="200"/>
      <c r="G2283" s="178" t="e">
        <f>IF($C$1077&gt;0,VLOOKUP($C2283,ENTI!$AL$4:AP$1003,5,FALSE),"")</f>
        <v>#N/A</v>
      </c>
      <c r="H2283" s="179" t="e">
        <f>IF($C$1077&gt;0,VLOOKUP($C2283,ENTI!$AL$4:AQ$1003,6,FALSE),"")</f>
        <v>#N/A</v>
      </c>
      <c r="I2283" s="187"/>
      <c r="J2283" s="140" t="e">
        <f ca="1">VLOOKUP(D2283,$F$1081:$I$4183,4,FALSE)+COUNTIF(E$1081:E2282,E2283)</f>
        <v>#N/A</v>
      </c>
      <c r="K2283" s="1"/>
      <c r="L2283" s="156"/>
      <c r="M2283" s="1"/>
      <c r="N2283" s="1"/>
      <c r="O2283" s="1"/>
    </row>
    <row r="2284" spans="1:15" hidden="1">
      <c r="A2284" s="1"/>
      <c r="B2284" s="197" t="e">
        <f t="shared" ca="1" si="237"/>
        <v>#N/A</v>
      </c>
      <c r="C2284" s="498">
        <v>218</v>
      </c>
      <c r="D2284" s="41" t="e">
        <f>IF($C$1077&gt;0,VLOOKUP($C2284,ENTI!$AL$4:AN$1003,3,FALSE),"")</f>
        <v>#N/A</v>
      </c>
      <c r="E2284" s="41" t="str">
        <f t="shared" si="236"/>
        <v/>
      </c>
      <c r="F2284" s="200"/>
      <c r="G2284" s="178" t="e">
        <f>IF($C$1077&gt;0,VLOOKUP($C2284,ENTI!$AL$4:AP$1003,5,FALSE),"")</f>
        <v>#N/A</v>
      </c>
      <c r="H2284" s="179" t="e">
        <f>IF($C$1077&gt;0,VLOOKUP($C2284,ENTI!$AL$4:AQ$1003,6,FALSE),"")</f>
        <v>#N/A</v>
      </c>
      <c r="I2284" s="187"/>
      <c r="J2284" s="140" t="e">
        <f ca="1">VLOOKUP(D2284,$F$1081:$I$4183,4,FALSE)+COUNTIF(E$1081:E2283,E2284)</f>
        <v>#N/A</v>
      </c>
      <c r="K2284" s="1"/>
      <c r="L2284" s="156"/>
      <c r="M2284" s="1"/>
      <c r="N2284" s="1"/>
      <c r="O2284" s="1"/>
    </row>
    <row r="2285" spans="1:15" hidden="1">
      <c r="A2285" s="1"/>
      <c r="B2285" s="197" t="e">
        <f t="shared" ca="1" si="237"/>
        <v>#N/A</v>
      </c>
      <c r="C2285" s="498">
        <v>219</v>
      </c>
      <c r="D2285" s="41" t="e">
        <f>IF($C$1077&gt;0,VLOOKUP($C2285,ENTI!$AL$4:AN$1003,3,FALSE),"")</f>
        <v>#N/A</v>
      </c>
      <c r="E2285" s="41" t="str">
        <f t="shared" si="236"/>
        <v/>
      </c>
      <c r="F2285" s="200"/>
      <c r="G2285" s="178" t="e">
        <f>IF($C$1077&gt;0,VLOOKUP($C2285,ENTI!$AL$4:AP$1003,5,FALSE),"")</f>
        <v>#N/A</v>
      </c>
      <c r="H2285" s="179" t="e">
        <f>IF($C$1077&gt;0,VLOOKUP($C2285,ENTI!$AL$4:AQ$1003,6,FALSE),"")</f>
        <v>#N/A</v>
      </c>
      <c r="I2285" s="187"/>
      <c r="J2285" s="140" t="e">
        <f ca="1">VLOOKUP(D2285,$F$1081:$I$4183,4,FALSE)+COUNTIF(E$1081:E2284,E2285)</f>
        <v>#N/A</v>
      </c>
      <c r="K2285" s="1"/>
      <c r="L2285" s="156"/>
      <c r="M2285" s="1"/>
      <c r="N2285" s="1"/>
      <c r="O2285" s="1"/>
    </row>
    <row r="2286" spans="1:15" hidden="1">
      <c r="A2286" s="1"/>
      <c r="B2286" s="197" t="e">
        <f t="shared" ca="1" si="237"/>
        <v>#N/A</v>
      </c>
      <c r="C2286" s="498">
        <v>220</v>
      </c>
      <c r="D2286" s="41" t="e">
        <f>IF($C$1077&gt;0,VLOOKUP($C2286,ENTI!$AL$4:AN$1003,3,FALSE),"")</f>
        <v>#N/A</v>
      </c>
      <c r="E2286" s="41" t="str">
        <f t="shared" si="236"/>
        <v/>
      </c>
      <c r="F2286" s="200"/>
      <c r="G2286" s="178" t="e">
        <f>IF($C$1077&gt;0,VLOOKUP($C2286,ENTI!$AL$4:AP$1003,5,FALSE),"")</f>
        <v>#N/A</v>
      </c>
      <c r="H2286" s="179" t="e">
        <f>IF($C$1077&gt;0,VLOOKUP($C2286,ENTI!$AL$4:AQ$1003,6,FALSE),"")</f>
        <v>#N/A</v>
      </c>
      <c r="I2286" s="187"/>
      <c r="J2286" s="140" t="e">
        <f ca="1">VLOOKUP(D2286,$F$1081:$I$4183,4,FALSE)+COUNTIF(E$1081:E2285,E2286)</f>
        <v>#N/A</v>
      </c>
      <c r="K2286" s="1"/>
      <c r="L2286" s="156"/>
      <c r="M2286" s="1"/>
      <c r="N2286" s="1"/>
      <c r="O2286" s="1"/>
    </row>
    <row r="2287" spans="1:15" hidden="1">
      <c r="A2287" s="1"/>
      <c r="B2287" s="197" t="e">
        <f t="shared" ca="1" si="237"/>
        <v>#N/A</v>
      </c>
      <c r="C2287" s="498">
        <v>221</v>
      </c>
      <c r="D2287" s="41" t="e">
        <f>IF($C$1077&gt;0,VLOOKUP($C2287,ENTI!$AL$4:AN$1003,3,FALSE),"")</f>
        <v>#N/A</v>
      </c>
      <c r="E2287" s="41" t="str">
        <f t="shared" si="236"/>
        <v/>
      </c>
      <c r="F2287" s="200"/>
      <c r="G2287" s="178" t="e">
        <f>IF($C$1077&gt;0,VLOOKUP($C2287,ENTI!$AL$4:AP$1003,5,FALSE),"")</f>
        <v>#N/A</v>
      </c>
      <c r="H2287" s="179" t="e">
        <f>IF($C$1077&gt;0,VLOOKUP($C2287,ENTI!$AL$4:AQ$1003,6,FALSE),"")</f>
        <v>#N/A</v>
      </c>
      <c r="I2287" s="187"/>
      <c r="J2287" s="140" t="e">
        <f ca="1">VLOOKUP(D2287,$F$1081:$I$4183,4,FALSE)+COUNTIF(E$1081:E2286,E2287)</f>
        <v>#N/A</v>
      </c>
      <c r="K2287" s="1"/>
      <c r="L2287" s="156"/>
      <c r="M2287" s="1"/>
      <c r="N2287" s="1"/>
      <c r="O2287" s="1"/>
    </row>
    <row r="2288" spans="1:15" hidden="1">
      <c r="A2288" s="1"/>
      <c r="B2288" s="197" t="e">
        <f t="shared" ca="1" si="237"/>
        <v>#N/A</v>
      </c>
      <c r="C2288" s="498">
        <v>222</v>
      </c>
      <c r="D2288" s="41" t="e">
        <f>IF($C$1077&gt;0,VLOOKUP($C2288,ENTI!$AL$4:AN$1003,3,FALSE),"")</f>
        <v>#N/A</v>
      </c>
      <c r="E2288" s="41" t="str">
        <f t="shared" si="236"/>
        <v/>
      </c>
      <c r="F2288" s="200"/>
      <c r="G2288" s="178" t="e">
        <f>IF($C$1077&gt;0,VLOOKUP($C2288,ENTI!$AL$4:AP$1003,5,FALSE),"")</f>
        <v>#N/A</v>
      </c>
      <c r="H2288" s="179" t="e">
        <f>IF($C$1077&gt;0,VLOOKUP($C2288,ENTI!$AL$4:AQ$1003,6,FALSE),"")</f>
        <v>#N/A</v>
      </c>
      <c r="I2288" s="187"/>
      <c r="J2288" s="140" t="e">
        <f ca="1">VLOOKUP(D2288,$F$1081:$I$4183,4,FALSE)+COUNTIF(E$1081:E2287,E2288)</f>
        <v>#N/A</v>
      </c>
      <c r="K2288" s="1"/>
      <c r="L2288" s="156"/>
      <c r="M2288" s="1"/>
      <c r="N2288" s="1"/>
      <c r="O2288" s="1"/>
    </row>
    <row r="2289" spans="1:15" hidden="1">
      <c r="A2289" s="1"/>
      <c r="B2289" s="197" t="e">
        <f t="shared" ca="1" si="237"/>
        <v>#N/A</v>
      </c>
      <c r="C2289" s="498">
        <v>223</v>
      </c>
      <c r="D2289" s="41" t="e">
        <f>IF($C$1077&gt;0,VLOOKUP($C2289,ENTI!$AL$4:AN$1003,3,FALSE),"")</f>
        <v>#N/A</v>
      </c>
      <c r="E2289" s="41" t="str">
        <f t="shared" si="236"/>
        <v/>
      </c>
      <c r="F2289" s="200"/>
      <c r="G2289" s="178" t="e">
        <f>IF($C$1077&gt;0,VLOOKUP($C2289,ENTI!$AL$4:AP$1003,5,FALSE),"")</f>
        <v>#N/A</v>
      </c>
      <c r="H2289" s="179" t="e">
        <f>IF($C$1077&gt;0,VLOOKUP($C2289,ENTI!$AL$4:AQ$1003,6,FALSE),"")</f>
        <v>#N/A</v>
      </c>
      <c r="I2289" s="187"/>
      <c r="J2289" s="140" t="e">
        <f ca="1">VLOOKUP(D2289,$F$1081:$I$4183,4,FALSE)+COUNTIF(E$1081:E2288,E2289)</f>
        <v>#N/A</v>
      </c>
      <c r="K2289" s="1"/>
      <c r="L2289" s="156"/>
      <c r="M2289" s="1"/>
      <c r="N2289" s="1"/>
      <c r="O2289" s="1"/>
    </row>
    <row r="2290" spans="1:15" hidden="1">
      <c r="A2290" s="1"/>
      <c r="B2290" s="197" t="e">
        <f t="shared" ca="1" si="237"/>
        <v>#N/A</v>
      </c>
      <c r="C2290" s="498">
        <v>224</v>
      </c>
      <c r="D2290" s="41" t="e">
        <f>IF($C$1077&gt;0,VLOOKUP($C2290,ENTI!$AL$4:AN$1003,3,FALSE),"")</f>
        <v>#N/A</v>
      </c>
      <c r="E2290" s="41" t="str">
        <f t="shared" si="236"/>
        <v/>
      </c>
      <c r="F2290" s="200"/>
      <c r="G2290" s="178" t="e">
        <f>IF($C$1077&gt;0,VLOOKUP($C2290,ENTI!$AL$4:AP$1003,5,FALSE),"")</f>
        <v>#N/A</v>
      </c>
      <c r="H2290" s="179" t="e">
        <f>IF($C$1077&gt;0,VLOOKUP($C2290,ENTI!$AL$4:AQ$1003,6,FALSE),"")</f>
        <v>#N/A</v>
      </c>
      <c r="I2290" s="187"/>
      <c r="J2290" s="140" t="e">
        <f ca="1">VLOOKUP(D2290,$F$1081:$I$4183,4,FALSE)+COUNTIF(E$1081:E2289,E2290)</f>
        <v>#N/A</v>
      </c>
      <c r="K2290" s="1"/>
      <c r="L2290" s="156"/>
      <c r="M2290" s="1"/>
      <c r="N2290" s="1"/>
      <c r="O2290" s="1"/>
    </row>
    <row r="2291" spans="1:15" hidden="1">
      <c r="A2291" s="1"/>
      <c r="B2291" s="197" t="e">
        <f t="shared" ca="1" si="237"/>
        <v>#N/A</v>
      </c>
      <c r="C2291" s="498">
        <v>225</v>
      </c>
      <c r="D2291" s="41" t="e">
        <f>IF($C$1077&gt;0,VLOOKUP($C2291,ENTI!$AL$4:AN$1003,3,FALSE),"")</f>
        <v>#N/A</v>
      </c>
      <c r="E2291" s="41" t="str">
        <f t="shared" si="236"/>
        <v/>
      </c>
      <c r="F2291" s="200"/>
      <c r="G2291" s="178" t="e">
        <f>IF($C$1077&gt;0,VLOOKUP($C2291,ENTI!$AL$4:AP$1003,5,FALSE),"")</f>
        <v>#N/A</v>
      </c>
      <c r="H2291" s="179" t="e">
        <f>IF($C$1077&gt;0,VLOOKUP($C2291,ENTI!$AL$4:AQ$1003,6,FALSE),"")</f>
        <v>#N/A</v>
      </c>
      <c r="I2291" s="187"/>
      <c r="J2291" s="140" t="e">
        <f ca="1">VLOOKUP(D2291,$F$1081:$I$4183,4,FALSE)+COUNTIF(E$1081:E2290,E2291)</f>
        <v>#N/A</v>
      </c>
      <c r="K2291" s="1"/>
      <c r="L2291" s="156"/>
      <c r="M2291" s="1"/>
      <c r="N2291" s="1"/>
      <c r="O2291" s="1"/>
    </row>
    <row r="2292" spans="1:15" hidden="1">
      <c r="A2292" s="1"/>
      <c r="B2292" s="197" t="e">
        <f t="shared" ca="1" si="237"/>
        <v>#N/A</v>
      </c>
      <c r="C2292" s="498">
        <v>226</v>
      </c>
      <c r="D2292" s="41" t="e">
        <f>IF($C$1077&gt;0,VLOOKUP($C2292,ENTI!$AL$4:AN$1003,3,FALSE),"")</f>
        <v>#N/A</v>
      </c>
      <c r="E2292" s="41" t="str">
        <f t="shared" si="236"/>
        <v/>
      </c>
      <c r="F2292" s="200"/>
      <c r="G2292" s="178" t="e">
        <f>IF($C$1077&gt;0,VLOOKUP($C2292,ENTI!$AL$4:AP$1003,5,FALSE),"")</f>
        <v>#N/A</v>
      </c>
      <c r="H2292" s="179" t="e">
        <f>IF($C$1077&gt;0,VLOOKUP($C2292,ENTI!$AL$4:AQ$1003,6,FALSE),"")</f>
        <v>#N/A</v>
      </c>
      <c r="I2292" s="187"/>
      <c r="J2292" s="140" t="e">
        <f ca="1">VLOOKUP(D2292,$F$1081:$I$4183,4,FALSE)+COUNTIF(E$1081:E2291,E2292)</f>
        <v>#N/A</v>
      </c>
      <c r="K2292" s="1"/>
      <c r="L2292" s="156"/>
      <c r="M2292" s="1"/>
      <c r="N2292" s="1"/>
      <c r="O2292" s="1"/>
    </row>
    <row r="2293" spans="1:15" hidden="1">
      <c r="A2293" s="1"/>
      <c r="B2293" s="197" t="e">
        <f t="shared" ca="1" si="237"/>
        <v>#N/A</v>
      </c>
      <c r="C2293" s="498">
        <v>227</v>
      </c>
      <c r="D2293" s="41" t="e">
        <f>IF($C$1077&gt;0,VLOOKUP($C2293,ENTI!$AL$4:AN$1003,3,FALSE),"")</f>
        <v>#N/A</v>
      </c>
      <c r="E2293" s="41" t="str">
        <f t="shared" si="236"/>
        <v/>
      </c>
      <c r="F2293" s="200"/>
      <c r="G2293" s="178" t="e">
        <f>IF($C$1077&gt;0,VLOOKUP($C2293,ENTI!$AL$4:AP$1003,5,FALSE),"")</f>
        <v>#N/A</v>
      </c>
      <c r="H2293" s="179" t="e">
        <f>IF($C$1077&gt;0,VLOOKUP($C2293,ENTI!$AL$4:AQ$1003,6,FALSE),"")</f>
        <v>#N/A</v>
      </c>
      <c r="I2293" s="187"/>
      <c r="J2293" s="140" t="e">
        <f ca="1">VLOOKUP(D2293,$F$1081:$I$4183,4,FALSE)+COUNTIF(E$1081:E2292,E2293)</f>
        <v>#N/A</v>
      </c>
      <c r="K2293" s="1"/>
      <c r="L2293" s="156"/>
      <c r="M2293" s="1"/>
      <c r="N2293" s="1"/>
      <c r="O2293" s="1"/>
    </row>
    <row r="2294" spans="1:15" hidden="1">
      <c r="A2294" s="1"/>
      <c r="B2294" s="197" t="e">
        <f t="shared" ca="1" si="237"/>
        <v>#N/A</v>
      </c>
      <c r="C2294" s="498">
        <v>228</v>
      </c>
      <c r="D2294" s="41" t="e">
        <f>IF($C$1077&gt;0,VLOOKUP($C2294,ENTI!$AL$4:AN$1003,3,FALSE),"")</f>
        <v>#N/A</v>
      </c>
      <c r="E2294" s="41" t="str">
        <f t="shared" si="236"/>
        <v/>
      </c>
      <c r="F2294" s="200"/>
      <c r="G2294" s="178" t="e">
        <f>IF($C$1077&gt;0,VLOOKUP($C2294,ENTI!$AL$4:AP$1003,5,FALSE),"")</f>
        <v>#N/A</v>
      </c>
      <c r="H2294" s="179" t="e">
        <f>IF($C$1077&gt;0,VLOOKUP($C2294,ENTI!$AL$4:AQ$1003,6,FALSE),"")</f>
        <v>#N/A</v>
      </c>
      <c r="I2294" s="187"/>
      <c r="J2294" s="140" t="e">
        <f ca="1">VLOOKUP(D2294,$F$1081:$I$4183,4,FALSE)+COUNTIF(E$1081:E2293,E2294)</f>
        <v>#N/A</v>
      </c>
      <c r="K2294" s="1"/>
      <c r="L2294" s="156"/>
      <c r="M2294" s="1"/>
      <c r="N2294" s="1"/>
      <c r="O2294" s="1"/>
    </row>
    <row r="2295" spans="1:15" hidden="1">
      <c r="A2295" s="1"/>
      <c r="B2295" s="197" t="e">
        <f t="shared" ca="1" si="237"/>
        <v>#N/A</v>
      </c>
      <c r="C2295" s="498">
        <v>229</v>
      </c>
      <c r="D2295" s="41" t="e">
        <f>IF($C$1077&gt;0,VLOOKUP($C2295,ENTI!$AL$4:AN$1003,3,FALSE),"")</f>
        <v>#N/A</v>
      </c>
      <c r="E2295" s="41" t="str">
        <f t="shared" si="236"/>
        <v/>
      </c>
      <c r="F2295" s="200"/>
      <c r="G2295" s="178" t="e">
        <f>IF($C$1077&gt;0,VLOOKUP($C2295,ENTI!$AL$4:AP$1003,5,FALSE),"")</f>
        <v>#N/A</v>
      </c>
      <c r="H2295" s="179" t="e">
        <f>IF($C$1077&gt;0,VLOOKUP($C2295,ENTI!$AL$4:AQ$1003,6,FALSE),"")</f>
        <v>#N/A</v>
      </c>
      <c r="I2295" s="187"/>
      <c r="J2295" s="140" t="e">
        <f ca="1">VLOOKUP(D2295,$F$1081:$I$4183,4,FALSE)+COUNTIF(E$1081:E2294,E2295)</f>
        <v>#N/A</v>
      </c>
      <c r="K2295" s="1"/>
      <c r="L2295" s="156"/>
      <c r="M2295" s="1"/>
      <c r="N2295" s="1"/>
      <c r="O2295" s="1"/>
    </row>
    <row r="2296" spans="1:15" hidden="1">
      <c r="A2296" s="1"/>
      <c r="B2296" s="197" t="e">
        <f t="shared" ca="1" si="237"/>
        <v>#N/A</v>
      </c>
      <c r="C2296" s="498">
        <v>230</v>
      </c>
      <c r="D2296" s="41" t="e">
        <f>IF($C$1077&gt;0,VLOOKUP($C2296,ENTI!$AL$4:AN$1003,3,FALSE),"")</f>
        <v>#N/A</v>
      </c>
      <c r="E2296" s="41" t="str">
        <f t="shared" si="236"/>
        <v/>
      </c>
      <c r="F2296" s="200"/>
      <c r="G2296" s="178" t="e">
        <f>IF($C$1077&gt;0,VLOOKUP($C2296,ENTI!$AL$4:AP$1003,5,FALSE),"")</f>
        <v>#N/A</v>
      </c>
      <c r="H2296" s="179" t="e">
        <f>IF($C$1077&gt;0,VLOOKUP($C2296,ENTI!$AL$4:AQ$1003,6,FALSE),"")</f>
        <v>#N/A</v>
      </c>
      <c r="I2296" s="187"/>
      <c r="J2296" s="140" t="e">
        <f ca="1">VLOOKUP(D2296,$F$1081:$I$4183,4,FALSE)+COUNTIF(E$1081:E2295,E2296)</f>
        <v>#N/A</v>
      </c>
      <c r="K2296" s="1"/>
      <c r="L2296" s="156"/>
      <c r="M2296" s="1"/>
      <c r="N2296" s="1"/>
      <c r="O2296" s="1"/>
    </row>
    <row r="2297" spans="1:15" hidden="1">
      <c r="A2297" s="1"/>
      <c r="B2297" s="197" t="e">
        <f t="shared" ref="B2297:B2328" ca="1" si="238">IF(OR(C$1075&gt;0,C$1077&gt;0,C$1073&gt;0,C$1071&gt;0),J2297+1,J2297)</f>
        <v>#N/A</v>
      </c>
      <c r="C2297" s="498">
        <v>231</v>
      </c>
      <c r="D2297" s="41" t="e">
        <f>IF($C$1077&gt;0,VLOOKUP($C2297,ENTI!$AL$4:AN$1003,3,FALSE),"")</f>
        <v>#N/A</v>
      </c>
      <c r="E2297" s="41" t="str">
        <f t="shared" si="236"/>
        <v/>
      </c>
      <c r="F2297" s="200"/>
      <c r="G2297" s="178" t="e">
        <f>IF($C$1077&gt;0,VLOOKUP($C2297,ENTI!$AL$4:AP$1003,5,FALSE),"")</f>
        <v>#N/A</v>
      </c>
      <c r="H2297" s="179" t="e">
        <f>IF($C$1077&gt;0,VLOOKUP($C2297,ENTI!$AL$4:AQ$1003,6,FALSE),"")</f>
        <v>#N/A</v>
      </c>
      <c r="I2297" s="187"/>
      <c r="J2297" s="140" t="e">
        <f ca="1">VLOOKUP(D2297,$F$1081:$I$4183,4,FALSE)+COUNTIF(E$1081:E2296,E2297)</f>
        <v>#N/A</v>
      </c>
      <c r="K2297" s="1"/>
      <c r="L2297" s="156"/>
      <c r="M2297" s="1"/>
      <c r="N2297" s="1"/>
      <c r="O2297" s="1"/>
    </row>
    <row r="2298" spans="1:15" hidden="1">
      <c r="A2298" s="1"/>
      <c r="B2298" s="197" t="e">
        <f t="shared" ca="1" si="238"/>
        <v>#N/A</v>
      </c>
      <c r="C2298" s="498">
        <v>232</v>
      </c>
      <c r="D2298" s="41" t="e">
        <f>IF($C$1077&gt;0,VLOOKUP($C2298,ENTI!$AL$4:AN$1003,3,FALSE),"")</f>
        <v>#N/A</v>
      </c>
      <c r="E2298" s="41" t="str">
        <f t="shared" si="236"/>
        <v/>
      </c>
      <c r="F2298" s="200"/>
      <c r="G2298" s="178" t="e">
        <f>IF($C$1077&gt;0,VLOOKUP($C2298,ENTI!$AL$4:AP$1003,5,FALSE),"")</f>
        <v>#N/A</v>
      </c>
      <c r="H2298" s="179" t="e">
        <f>IF($C$1077&gt;0,VLOOKUP($C2298,ENTI!$AL$4:AQ$1003,6,FALSE),"")</f>
        <v>#N/A</v>
      </c>
      <c r="I2298" s="187"/>
      <c r="J2298" s="140" t="e">
        <f ca="1">VLOOKUP(D2298,$F$1081:$I$4183,4,FALSE)+COUNTIF(E$1081:E2297,E2298)</f>
        <v>#N/A</v>
      </c>
      <c r="K2298" s="1"/>
      <c r="L2298" s="156"/>
      <c r="M2298" s="1"/>
      <c r="N2298" s="1"/>
      <c r="O2298" s="1"/>
    </row>
    <row r="2299" spans="1:15" hidden="1">
      <c r="A2299" s="1"/>
      <c r="B2299" s="197" t="e">
        <f t="shared" ca="1" si="238"/>
        <v>#N/A</v>
      </c>
      <c r="C2299" s="498">
        <v>233</v>
      </c>
      <c r="D2299" s="41" t="e">
        <f>IF($C$1077&gt;0,VLOOKUP($C2299,ENTI!$AL$4:AN$1003,3,FALSE),"")</f>
        <v>#N/A</v>
      </c>
      <c r="E2299" s="41" t="str">
        <f t="shared" si="236"/>
        <v/>
      </c>
      <c r="F2299" s="200"/>
      <c r="G2299" s="178" t="e">
        <f>IF($C$1077&gt;0,VLOOKUP($C2299,ENTI!$AL$4:AP$1003,5,FALSE),"")</f>
        <v>#N/A</v>
      </c>
      <c r="H2299" s="179" t="e">
        <f>IF($C$1077&gt;0,VLOOKUP($C2299,ENTI!$AL$4:AQ$1003,6,FALSE),"")</f>
        <v>#N/A</v>
      </c>
      <c r="I2299" s="187"/>
      <c r="J2299" s="140" t="e">
        <f ca="1">VLOOKUP(D2299,$F$1081:$I$4183,4,FALSE)+COUNTIF(E$1081:E2298,E2299)</f>
        <v>#N/A</v>
      </c>
      <c r="K2299" s="1"/>
      <c r="L2299" s="156"/>
      <c r="M2299" s="1"/>
      <c r="N2299" s="1"/>
      <c r="O2299" s="1"/>
    </row>
    <row r="2300" spans="1:15" hidden="1">
      <c r="A2300" s="1"/>
      <c r="B2300" s="197" t="e">
        <f t="shared" ca="1" si="238"/>
        <v>#N/A</v>
      </c>
      <c r="C2300" s="498">
        <v>234</v>
      </c>
      <c r="D2300" s="41" t="e">
        <f>IF($C$1077&gt;0,VLOOKUP($C2300,ENTI!$AL$4:AN$1003,3,FALSE),"")</f>
        <v>#N/A</v>
      </c>
      <c r="E2300" s="41" t="str">
        <f t="shared" si="236"/>
        <v/>
      </c>
      <c r="F2300" s="200"/>
      <c r="G2300" s="178" t="e">
        <f>IF($C$1077&gt;0,VLOOKUP($C2300,ENTI!$AL$4:AP$1003,5,FALSE),"")</f>
        <v>#N/A</v>
      </c>
      <c r="H2300" s="179" t="e">
        <f>IF($C$1077&gt;0,VLOOKUP($C2300,ENTI!$AL$4:AQ$1003,6,FALSE),"")</f>
        <v>#N/A</v>
      </c>
      <c r="I2300" s="187"/>
      <c r="J2300" s="140" t="e">
        <f ca="1">VLOOKUP(D2300,$F$1081:$I$4183,4,FALSE)+COUNTIF(E$1081:E2299,E2300)</f>
        <v>#N/A</v>
      </c>
      <c r="K2300" s="1"/>
      <c r="L2300" s="156"/>
      <c r="M2300" s="1"/>
      <c r="N2300" s="1"/>
      <c r="O2300" s="1"/>
    </row>
    <row r="2301" spans="1:15" hidden="1">
      <c r="A2301" s="1"/>
      <c r="B2301" s="197" t="e">
        <f t="shared" ca="1" si="238"/>
        <v>#N/A</v>
      </c>
      <c r="C2301" s="498">
        <v>235</v>
      </c>
      <c r="D2301" s="41" t="e">
        <f>IF($C$1077&gt;0,VLOOKUP($C2301,ENTI!$AL$4:AN$1003,3,FALSE),"")</f>
        <v>#N/A</v>
      </c>
      <c r="E2301" s="41" t="str">
        <f t="shared" si="236"/>
        <v/>
      </c>
      <c r="F2301" s="200"/>
      <c r="G2301" s="178" t="e">
        <f>IF($C$1077&gt;0,VLOOKUP($C2301,ENTI!$AL$4:AP$1003,5,FALSE),"")</f>
        <v>#N/A</v>
      </c>
      <c r="H2301" s="179" t="e">
        <f>IF($C$1077&gt;0,VLOOKUP($C2301,ENTI!$AL$4:AQ$1003,6,FALSE),"")</f>
        <v>#N/A</v>
      </c>
      <c r="I2301" s="187"/>
      <c r="J2301" s="140" t="e">
        <f ca="1">VLOOKUP(D2301,$F$1081:$I$4183,4,FALSE)+COUNTIF(E$1081:E2300,E2301)</f>
        <v>#N/A</v>
      </c>
      <c r="K2301" s="1"/>
      <c r="L2301" s="156"/>
      <c r="M2301" s="1"/>
      <c r="N2301" s="1"/>
      <c r="O2301" s="1"/>
    </row>
    <row r="2302" spans="1:15" hidden="1">
      <c r="A2302" s="1"/>
      <c r="B2302" s="197" t="e">
        <f t="shared" ca="1" si="238"/>
        <v>#N/A</v>
      </c>
      <c r="C2302" s="498">
        <v>236</v>
      </c>
      <c r="D2302" s="41" t="e">
        <f>IF($C$1077&gt;0,VLOOKUP($C2302,ENTI!$AL$4:AN$1003,3,FALSE),"")</f>
        <v>#N/A</v>
      </c>
      <c r="E2302" s="41" t="str">
        <f t="shared" si="236"/>
        <v/>
      </c>
      <c r="F2302" s="200"/>
      <c r="G2302" s="178" t="e">
        <f>IF($C$1077&gt;0,VLOOKUP($C2302,ENTI!$AL$4:AP$1003,5,FALSE),"")</f>
        <v>#N/A</v>
      </c>
      <c r="H2302" s="179" t="e">
        <f>IF($C$1077&gt;0,VLOOKUP($C2302,ENTI!$AL$4:AQ$1003,6,FALSE),"")</f>
        <v>#N/A</v>
      </c>
      <c r="I2302" s="187"/>
      <c r="J2302" s="140" t="e">
        <f ca="1">VLOOKUP(D2302,$F$1081:$I$4183,4,FALSE)+COUNTIF(E$1081:E2301,E2302)</f>
        <v>#N/A</v>
      </c>
      <c r="K2302" s="1"/>
      <c r="L2302" s="156"/>
      <c r="M2302" s="1"/>
      <c r="N2302" s="1"/>
      <c r="O2302" s="1"/>
    </row>
    <row r="2303" spans="1:15" hidden="1">
      <c r="A2303" s="1"/>
      <c r="B2303" s="197" t="e">
        <f t="shared" ca="1" si="238"/>
        <v>#N/A</v>
      </c>
      <c r="C2303" s="498">
        <v>237</v>
      </c>
      <c r="D2303" s="41" t="e">
        <f>IF($C$1077&gt;0,VLOOKUP($C2303,ENTI!$AL$4:AN$1003,3,FALSE),"")</f>
        <v>#N/A</v>
      </c>
      <c r="E2303" s="41" t="str">
        <f t="shared" si="236"/>
        <v/>
      </c>
      <c r="F2303" s="200"/>
      <c r="G2303" s="178" t="e">
        <f>IF($C$1077&gt;0,VLOOKUP($C2303,ENTI!$AL$4:AP$1003,5,FALSE),"")</f>
        <v>#N/A</v>
      </c>
      <c r="H2303" s="179" t="e">
        <f>IF($C$1077&gt;0,VLOOKUP($C2303,ENTI!$AL$4:AQ$1003,6,FALSE),"")</f>
        <v>#N/A</v>
      </c>
      <c r="I2303" s="187"/>
      <c r="J2303" s="140" t="e">
        <f ca="1">VLOOKUP(D2303,$F$1081:$I$4183,4,FALSE)+COUNTIF(E$1081:E2302,E2303)</f>
        <v>#N/A</v>
      </c>
      <c r="K2303" s="1"/>
      <c r="L2303" s="156"/>
      <c r="M2303" s="1"/>
      <c r="N2303" s="1"/>
      <c r="O2303" s="1"/>
    </row>
    <row r="2304" spans="1:15" hidden="1">
      <c r="A2304" s="1"/>
      <c r="B2304" s="197" t="e">
        <f t="shared" ca="1" si="238"/>
        <v>#N/A</v>
      </c>
      <c r="C2304" s="498">
        <v>238</v>
      </c>
      <c r="D2304" s="41" t="e">
        <f>IF($C$1077&gt;0,VLOOKUP($C2304,ENTI!$AL$4:AN$1003,3,FALSE),"")</f>
        <v>#N/A</v>
      </c>
      <c r="E2304" s="41" t="str">
        <f t="shared" si="236"/>
        <v/>
      </c>
      <c r="F2304" s="200"/>
      <c r="G2304" s="178" t="e">
        <f>IF($C$1077&gt;0,VLOOKUP($C2304,ENTI!$AL$4:AP$1003,5,FALSE),"")</f>
        <v>#N/A</v>
      </c>
      <c r="H2304" s="179" t="e">
        <f>IF($C$1077&gt;0,VLOOKUP($C2304,ENTI!$AL$4:AQ$1003,6,FALSE),"")</f>
        <v>#N/A</v>
      </c>
      <c r="I2304" s="187"/>
      <c r="J2304" s="140" t="e">
        <f ca="1">VLOOKUP(D2304,$F$1081:$I$4183,4,FALSE)+COUNTIF(E$1081:E2303,E2304)</f>
        <v>#N/A</v>
      </c>
      <c r="K2304" s="1"/>
      <c r="L2304" s="156"/>
      <c r="M2304" s="1"/>
      <c r="N2304" s="1"/>
      <c r="O2304" s="1"/>
    </row>
    <row r="2305" spans="1:15" hidden="1">
      <c r="A2305" s="1"/>
      <c r="B2305" s="197" t="e">
        <f t="shared" ca="1" si="238"/>
        <v>#N/A</v>
      </c>
      <c r="C2305" s="498">
        <v>239</v>
      </c>
      <c r="D2305" s="41" t="e">
        <f>IF($C$1077&gt;0,VLOOKUP($C2305,ENTI!$AL$4:AN$1003,3,FALSE),"")</f>
        <v>#N/A</v>
      </c>
      <c r="E2305" s="41" t="str">
        <f t="shared" si="236"/>
        <v/>
      </c>
      <c r="F2305" s="200"/>
      <c r="G2305" s="178" t="e">
        <f>IF($C$1077&gt;0,VLOOKUP($C2305,ENTI!$AL$4:AP$1003,5,FALSE),"")</f>
        <v>#N/A</v>
      </c>
      <c r="H2305" s="179" t="e">
        <f>IF($C$1077&gt;0,VLOOKUP($C2305,ENTI!$AL$4:AQ$1003,6,FALSE),"")</f>
        <v>#N/A</v>
      </c>
      <c r="I2305" s="187"/>
      <c r="J2305" s="140" t="e">
        <f ca="1">VLOOKUP(D2305,$F$1081:$I$4183,4,FALSE)+COUNTIF(E$1081:E2304,E2305)</f>
        <v>#N/A</v>
      </c>
      <c r="K2305" s="1"/>
      <c r="L2305" s="156"/>
      <c r="M2305" s="1"/>
      <c r="N2305" s="1"/>
      <c r="O2305" s="1"/>
    </row>
    <row r="2306" spans="1:15" hidden="1">
      <c r="A2306" s="1"/>
      <c r="B2306" s="197" t="e">
        <f t="shared" ca="1" si="238"/>
        <v>#N/A</v>
      </c>
      <c r="C2306" s="498">
        <v>240</v>
      </c>
      <c r="D2306" s="41" t="e">
        <f>IF($C$1077&gt;0,VLOOKUP($C2306,ENTI!$AL$4:AN$1003,3,FALSE),"")</f>
        <v>#N/A</v>
      </c>
      <c r="E2306" s="41" t="str">
        <f t="shared" si="236"/>
        <v/>
      </c>
      <c r="F2306" s="200"/>
      <c r="G2306" s="178" t="e">
        <f>IF($C$1077&gt;0,VLOOKUP($C2306,ENTI!$AL$4:AP$1003,5,FALSE),"")</f>
        <v>#N/A</v>
      </c>
      <c r="H2306" s="179" t="e">
        <f>IF($C$1077&gt;0,VLOOKUP($C2306,ENTI!$AL$4:AQ$1003,6,FALSE),"")</f>
        <v>#N/A</v>
      </c>
      <c r="I2306" s="187"/>
      <c r="J2306" s="140" t="e">
        <f ca="1">VLOOKUP(D2306,$F$1081:$I$4183,4,FALSE)+COUNTIF(E$1081:E2305,E2306)</f>
        <v>#N/A</v>
      </c>
      <c r="K2306" s="1"/>
      <c r="L2306" s="156"/>
      <c r="M2306" s="1"/>
      <c r="N2306" s="1"/>
      <c r="O2306" s="1"/>
    </row>
    <row r="2307" spans="1:15" hidden="1">
      <c r="A2307" s="1"/>
      <c r="B2307" s="197" t="e">
        <f t="shared" ca="1" si="238"/>
        <v>#N/A</v>
      </c>
      <c r="C2307" s="498">
        <v>241</v>
      </c>
      <c r="D2307" s="41" t="e">
        <f>IF($C$1077&gt;0,VLOOKUP($C2307,ENTI!$AL$4:AN$1003,3,FALSE),"")</f>
        <v>#N/A</v>
      </c>
      <c r="E2307" s="41" t="str">
        <f t="shared" si="236"/>
        <v/>
      </c>
      <c r="F2307" s="200"/>
      <c r="G2307" s="178" t="e">
        <f>IF($C$1077&gt;0,VLOOKUP($C2307,ENTI!$AL$4:AP$1003,5,FALSE),"")</f>
        <v>#N/A</v>
      </c>
      <c r="H2307" s="179" t="e">
        <f>IF($C$1077&gt;0,VLOOKUP($C2307,ENTI!$AL$4:AQ$1003,6,FALSE),"")</f>
        <v>#N/A</v>
      </c>
      <c r="I2307" s="187"/>
      <c r="J2307" s="140" t="e">
        <f ca="1">VLOOKUP(D2307,$F$1081:$I$4183,4,FALSE)+COUNTIF(E$1081:E2306,E2307)</f>
        <v>#N/A</v>
      </c>
      <c r="K2307" s="1"/>
      <c r="L2307" s="156"/>
      <c r="M2307" s="1"/>
      <c r="N2307" s="1"/>
      <c r="O2307" s="1"/>
    </row>
    <row r="2308" spans="1:15" hidden="1">
      <c r="A2308" s="1"/>
      <c r="B2308" s="197" t="e">
        <f t="shared" ca="1" si="238"/>
        <v>#N/A</v>
      </c>
      <c r="C2308" s="498">
        <v>242</v>
      </c>
      <c r="D2308" s="41" t="e">
        <f>IF($C$1077&gt;0,VLOOKUP($C2308,ENTI!$AL$4:AN$1003,3,FALSE),"")</f>
        <v>#N/A</v>
      </c>
      <c r="E2308" s="41" t="str">
        <f t="shared" si="236"/>
        <v/>
      </c>
      <c r="F2308" s="200"/>
      <c r="G2308" s="178" t="e">
        <f>IF($C$1077&gt;0,VLOOKUP($C2308,ENTI!$AL$4:AP$1003,5,FALSE),"")</f>
        <v>#N/A</v>
      </c>
      <c r="H2308" s="179" t="e">
        <f>IF($C$1077&gt;0,VLOOKUP($C2308,ENTI!$AL$4:AQ$1003,6,FALSE),"")</f>
        <v>#N/A</v>
      </c>
      <c r="I2308" s="187"/>
      <c r="J2308" s="140" t="e">
        <f ca="1">VLOOKUP(D2308,$F$1081:$I$4183,4,FALSE)+COUNTIF(E$1081:E2307,E2308)</f>
        <v>#N/A</v>
      </c>
      <c r="K2308" s="1"/>
      <c r="L2308" s="156"/>
      <c r="M2308" s="1"/>
      <c r="N2308" s="1"/>
      <c r="O2308" s="1"/>
    </row>
    <row r="2309" spans="1:15" hidden="1">
      <c r="A2309" s="1"/>
      <c r="B2309" s="197" t="e">
        <f t="shared" ca="1" si="238"/>
        <v>#N/A</v>
      </c>
      <c r="C2309" s="498">
        <v>243</v>
      </c>
      <c r="D2309" s="41" t="e">
        <f>IF($C$1077&gt;0,VLOOKUP($C2309,ENTI!$AL$4:AN$1003,3,FALSE),"")</f>
        <v>#N/A</v>
      </c>
      <c r="E2309" s="41" t="str">
        <f t="shared" si="236"/>
        <v/>
      </c>
      <c r="F2309" s="200"/>
      <c r="G2309" s="178" t="e">
        <f>IF($C$1077&gt;0,VLOOKUP($C2309,ENTI!$AL$4:AP$1003,5,FALSE),"")</f>
        <v>#N/A</v>
      </c>
      <c r="H2309" s="179" t="e">
        <f>IF($C$1077&gt;0,VLOOKUP($C2309,ENTI!$AL$4:AQ$1003,6,FALSE),"")</f>
        <v>#N/A</v>
      </c>
      <c r="I2309" s="187"/>
      <c r="J2309" s="140" t="e">
        <f ca="1">VLOOKUP(D2309,$F$1081:$I$4183,4,FALSE)+COUNTIF(E$1081:E2308,E2309)</f>
        <v>#N/A</v>
      </c>
      <c r="K2309" s="1"/>
      <c r="L2309" s="156"/>
      <c r="M2309" s="1"/>
      <c r="N2309" s="1"/>
      <c r="O2309" s="1"/>
    </row>
    <row r="2310" spans="1:15" hidden="1">
      <c r="A2310" s="1"/>
      <c r="B2310" s="197" t="e">
        <f t="shared" ca="1" si="238"/>
        <v>#N/A</v>
      </c>
      <c r="C2310" s="498">
        <v>244</v>
      </c>
      <c r="D2310" s="41" t="e">
        <f>IF($C$1077&gt;0,VLOOKUP($C2310,ENTI!$AL$4:AN$1003,3,FALSE),"")</f>
        <v>#N/A</v>
      </c>
      <c r="E2310" s="41" t="str">
        <f t="shared" si="236"/>
        <v/>
      </c>
      <c r="F2310" s="200"/>
      <c r="G2310" s="178" t="e">
        <f>IF($C$1077&gt;0,VLOOKUP($C2310,ENTI!$AL$4:AP$1003,5,FALSE),"")</f>
        <v>#N/A</v>
      </c>
      <c r="H2310" s="179" t="e">
        <f>IF($C$1077&gt;0,VLOOKUP($C2310,ENTI!$AL$4:AQ$1003,6,FALSE),"")</f>
        <v>#N/A</v>
      </c>
      <c r="I2310" s="187"/>
      <c r="J2310" s="140" t="e">
        <f ca="1">VLOOKUP(D2310,$F$1081:$I$4183,4,FALSE)+COUNTIF(E$1081:E2309,E2310)</f>
        <v>#N/A</v>
      </c>
      <c r="K2310" s="1"/>
      <c r="L2310" s="156"/>
      <c r="M2310" s="1"/>
      <c r="N2310" s="1"/>
      <c r="O2310" s="1"/>
    </row>
    <row r="2311" spans="1:15" hidden="1">
      <c r="A2311" s="1"/>
      <c r="B2311" s="197" t="e">
        <f t="shared" ca="1" si="238"/>
        <v>#N/A</v>
      </c>
      <c r="C2311" s="498">
        <v>245</v>
      </c>
      <c r="D2311" s="41" t="e">
        <f>IF($C$1077&gt;0,VLOOKUP($C2311,ENTI!$AL$4:AN$1003,3,FALSE),"")</f>
        <v>#N/A</v>
      </c>
      <c r="E2311" s="41" t="str">
        <f t="shared" si="236"/>
        <v/>
      </c>
      <c r="F2311" s="200"/>
      <c r="G2311" s="178" t="e">
        <f>IF($C$1077&gt;0,VLOOKUP($C2311,ENTI!$AL$4:AP$1003,5,FALSE),"")</f>
        <v>#N/A</v>
      </c>
      <c r="H2311" s="179" t="e">
        <f>IF($C$1077&gt;0,VLOOKUP($C2311,ENTI!$AL$4:AQ$1003,6,FALSE),"")</f>
        <v>#N/A</v>
      </c>
      <c r="I2311" s="187"/>
      <c r="J2311" s="140" t="e">
        <f ca="1">VLOOKUP(D2311,$F$1081:$I$4183,4,FALSE)+COUNTIF(E$1081:E2310,E2311)</f>
        <v>#N/A</v>
      </c>
      <c r="K2311" s="1"/>
      <c r="L2311" s="156"/>
      <c r="M2311" s="1"/>
      <c r="N2311" s="1"/>
      <c r="O2311" s="1"/>
    </row>
    <row r="2312" spans="1:15" hidden="1">
      <c r="A2312" s="1"/>
      <c r="B2312" s="197" t="e">
        <f t="shared" ca="1" si="238"/>
        <v>#N/A</v>
      </c>
      <c r="C2312" s="498">
        <v>246</v>
      </c>
      <c r="D2312" s="41" t="e">
        <f>IF($C$1077&gt;0,VLOOKUP($C2312,ENTI!$AL$4:AN$1003,3,FALSE),"")</f>
        <v>#N/A</v>
      </c>
      <c r="E2312" s="41" t="str">
        <f t="shared" si="236"/>
        <v/>
      </c>
      <c r="F2312" s="200"/>
      <c r="G2312" s="178" t="e">
        <f>IF($C$1077&gt;0,VLOOKUP($C2312,ENTI!$AL$4:AP$1003,5,FALSE),"")</f>
        <v>#N/A</v>
      </c>
      <c r="H2312" s="179" t="e">
        <f>IF($C$1077&gt;0,VLOOKUP($C2312,ENTI!$AL$4:AQ$1003,6,FALSE),"")</f>
        <v>#N/A</v>
      </c>
      <c r="I2312" s="187"/>
      <c r="J2312" s="140" t="e">
        <f ca="1">VLOOKUP(D2312,$F$1081:$I$4183,4,FALSE)+COUNTIF(E$1081:E2311,E2312)</f>
        <v>#N/A</v>
      </c>
      <c r="K2312" s="1"/>
      <c r="L2312" s="156"/>
      <c r="M2312" s="1"/>
      <c r="N2312" s="1"/>
      <c r="O2312" s="1"/>
    </row>
    <row r="2313" spans="1:15" hidden="1">
      <c r="A2313" s="1"/>
      <c r="B2313" s="197" t="e">
        <f t="shared" ca="1" si="238"/>
        <v>#N/A</v>
      </c>
      <c r="C2313" s="498">
        <v>247</v>
      </c>
      <c r="D2313" s="41" t="e">
        <f>IF($C$1077&gt;0,VLOOKUP($C2313,ENTI!$AL$4:AN$1003,3,FALSE),"")</f>
        <v>#N/A</v>
      </c>
      <c r="E2313" s="41" t="str">
        <f t="shared" si="236"/>
        <v/>
      </c>
      <c r="F2313" s="200"/>
      <c r="G2313" s="178" t="e">
        <f>IF($C$1077&gt;0,VLOOKUP($C2313,ENTI!$AL$4:AP$1003,5,FALSE),"")</f>
        <v>#N/A</v>
      </c>
      <c r="H2313" s="179" t="e">
        <f>IF($C$1077&gt;0,VLOOKUP($C2313,ENTI!$AL$4:AQ$1003,6,FALSE),"")</f>
        <v>#N/A</v>
      </c>
      <c r="I2313" s="187"/>
      <c r="J2313" s="140" t="e">
        <f ca="1">VLOOKUP(D2313,$F$1081:$I$4183,4,FALSE)+COUNTIF(E$1081:E2312,E2313)</f>
        <v>#N/A</v>
      </c>
      <c r="K2313" s="1"/>
      <c r="L2313" s="156"/>
      <c r="M2313" s="1"/>
      <c r="N2313" s="1"/>
      <c r="O2313" s="1"/>
    </row>
    <row r="2314" spans="1:15" hidden="1">
      <c r="A2314" s="1"/>
      <c r="B2314" s="197" t="e">
        <f t="shared" ca="1" si="238"/>
        <v>#N/A</v>
      </c>
      <c r="C2314" s="498">
        <v>248</v>
      </c>
      <c r="D2314" s="41" t="e">
        <f>IF($C$1077&gt;0,VLOOKUP($C2314,ENTI!$AL$4:AN$1003,3,FALSE),"")</f>
        <v>#N/A</v>
      </c>
      <c r="E2314" s="41" t="str">
        <f t="shared" si="236"/>
        <v/>
      </c>
      <c r="F2314" s="200"/>
      <c r="G2314" s="178" t="e">
        <f>IF($C$1077&gt;0,VLOOKUP($C2314,ENTI!$AL$4:AP$1003,5,FALSE),"")</f>
        <v>#N/A</v>
      </c>
      <c r="H2314" s="179" t="e">
        <f>IF($C$1077&gt;0,VLOOKUP($C2314,ENTI!$AL$4:AQ$1003,6,FALSE),"")</f>
        <v>#N/A</v>
      </c>
      <c r="I2314" s="187"/>
      <c r="J2314" s="140" t="e">
        <f ca="1">VLOOKUP(D2314,$F$1081:$I$4183,4,FALSE)+COUNTIF(E$1081:E2313,E2314)</f>
        <v>#N/A</v>
      </c>
      <c r="K2314" s="1"/>
      <c r="L2314" s="156"/>
      <c r="M2314" s="1"/>
      <c r="N2314" s="1"/>
      <c r="O2314" s="1"/>
    </row>
    <row r="2315" spans="1:15" hidden="1">
      <c r="A2315" s="1"/>
      <c r="B2315" s="197" t="e">
        <f t="shared" ca="1" si="238"/>
        <v>#N/A</v>
      </c>
      <c r="C2315" s="498">
        <v>249</v>
      </c>
      <c r="D2315" s="41" t="e">
        <f>IF($C$1077&gt;0,VLOOKUP($C2315,ENTI!$AL$4:AN$1003,3,FALSE),"")</f>
        <v>#N/A</v>
      </c>
      <c r="E2315" s="41" t="str">
        <f t="shared" si="236"/>
        <v/>
      </c>
      <c r="F2315" s="200"/>
      <c r="G2315" s="178" t="e">
        <f>IF($C$1077&gt;0,VLOOKUP($C2315,ENTI!$AL$4:AP$1003,5,FALSE),"")</f>
        <v>#N/A</v>
      </c>
      <c r="H2315" s="179" t="e">
        <f>IF($C$1077&gt;0,VLOOKUP($C2315,ENTI!$AL$4:AQ$1003,6,FALSE),"")</f>
        <v>#N/A</v>
      </c>
      <c r="I2315" s="187"/>
      <c r="J2315" s="140" t="e">
        <f ca="1">VLOOKUP(D2315,$F$1081:$I$4183,4,FALSE)+COUNTIF(E$1081:E2314,E2315)</f>
        <v>#N/A</v>
      </c>
      <c r="K2315" s="1"/>
      <c r="L2315" s="156"/>
      <c r="M2315" s="1"/>
      <c r="N2315" s="1"/>
      <c r="O2315" s="1"/>
    </row>
    <row r="2316" spans="1:15" hidden="1">
      <c r="A2316" s="1"/>
      <c r="B2316" s="197" t="e">
        <f t="shared" ca="1" si="238"/>
        <v>#N/A</v>
      </c>
      <c r="C2316" s="498">
        <v>250</v>
      </c>
      <c r="D2316" s="41" t="e">
        <f>IF($C$1077&gt;0,VLOOKUP($C2316,ENTI!$AL$4:AN$1003,3,FALSE),"")</f>
        <v>#N/A</v>
      </c>
      <c r="E2316" s="41" t="str">
        <f t="shared" si="236"/>
        <v/>
      </c>
      <c r="F2316" s="200"/>
      <c r="G2316" s="178" t="e">
        <f>IF($C$1077&gt;0,VLOOKUP($C2316,ENTI!$AL$4:AP$1003,5,FALSE),"")</f>
        <v>#N/A</v>
      </c>
      <c r="H2316" s="179" t="e">
        <f>IF($C$1077&gt;0,VLOOKUP($C2316,ENTI!$AL$4:AQ$1003,6,FALSE),"")</f>
        <v>#N/A</v>
      </c>
      <c r="I2316" s="187"/>
      <c r="J2316" s="140" t="e">
        <f ca="1">VLOOKUP(D2316,$F$1081:$I$4183,4,FALSE)+COUNTIF(E$1081:E2315,E2316)</f>
        <v>#N/A</v>
      </c>
      <c r="K2316" s="1"/>
      <c r="L2316" s="156"/>
      <c r="M2316" s="1"/>
      <c r="N2316" s="1"/>
      <c r="O2316" s="1"/>
    </row>
    <row r="2317" spans="1:15" hidden="1">
      <c r="A2317" s="1"/>
      <c r="B2317" s="197" t="e">
        <f t="shared" ca="1" si="238"/>
        <v>#N/A</v>
      </c>
      <c r="C2317" s="498">
        <v>251</v>
      </c>
      <c r="D2317" s="41" t="e">
        <f>IF($C$1077&gt;0,VLOOKUP($C2317,ENTI!$AL$4:AN$1003,3,FALSE),"")</f>
        <v>#N/A</v>
      </c>
      <c r="E2317" s="41" t="str">
        <f t="shared" si="236"/>
        <v/>
      </c>
      <c r="F2317" s="200"/>
      <c r="G2317" s="178" t="e">
        <f>IF($C$1077&gt;0,VLOOKUP($C2317,ENTI!$AL$4:AP$1003,5,FALSE),"")</f>
        <v>#N/A</v>
      </c>
      <c r="H2317" s="179" t="e">
        <f>IF($C$1077&gt;0,VLOOKUP($C2317,ENTI!$AL$4:AQ$1003,6,FALSE),"")</f>
        <v>#N/A</v>
      </c>
      <c r="I2317" s="187"/>
      <c r="J2317" s="140" t="e">
        <f ca="1">VLOOKUP(D2317,$F$1081:$I$4183,4,FALSE)+COUNTIF(E$1081:E2316,E2317)</f>
        <v>#N/A</v>
      </c>
      <c r="K2317" s="1"/>
      <c r="L2317" s="156"/>
      <c r="M2317" s="1"/>
      <c r="N2317" s="1"/>
      <c r="O2317" s="1"/>
    </row>
    <row r="2318" spans="1:15" hidden="1">
      <c r="A2318" s="1"/>
      <c r="B2318" s="197" t="e">
        <f t="shared" ca="1" si="238"/>
        <v>#N/A</v>
      </c>
      <c r="C2318" s="498">
        <v>252</v>
      </c>
      <c r="D2318" s="41" t="e">
        <f>IF($C$1077&gt;0,VLOOKUP($C2318,ENTI!$AL$4:AN$1003,3,FALSE),"")</f>
        <v>#N/A</v>
      </c>
      <c r="E2318" s="41" t="str">
        <f t="shared" si="236"/>
        <v/>
      </c>
      <c r="F2318" s="200"/>
      <c r="G2318" s="178" t="e">
        <f>IF($C$1077&gt;0,VLOOKUP($C2318,ENTI!$AL$4:AP$1003,5,FALSE),"")</f>
        <v>#N/A</v>
      </c>
      <c r="H2318" s="179" t="e">
        <f>IF($C$1077&gt;0,VLOOKUP($C2318,ENTI!$AL$4:AQ$1003,6,FALSE),"")</f>
        <v>#N/A</v>
      </c>
      <c r="I2318" s="187"/>
      <c r="J2318" s="140" t="e">
        <f ca="1">VLOOKUP(D2318,$F$1081:$I$4183,4,FALSE)+COUNTIF(E$1081:E2317,E2318)</f>
        <v>#N/A</v>
      </c>
      <c r="K2318" s="1"/>
      <c r="L2318" s="156"/>
      <c r="M2318" s="1"/>
      <c r="N2318" s="1"/>
      <c r="O2318" s="1"/>
    </row>
    <row r="2319" spans="1:15" hidden="1">
      <c r="A2319" s="1"/>
      <c r="B2319" s="197" t="e">
        <f t="shared" ca="1" si="238"/>
        <v>#N/A</v>
      </c>
      <c r="C2319" s="498">
        <v>253</v>
      </c>
      <c r="D2319" s="41" t="e">
        <f>IF($C$1077&gt;0,VLOOKUP($C2319,ENTI!$AL$4:AN$1003,3,FALSE),"")</f>
        <v>#N/A</v>
      </c>
      <c r="E2319" s="41" t="str">
        <f t="shared" si="236"/>
        <v/>
      </c>
      <c r="F2319" s="200"/>
      <c r="G2319" s="178" t="e">
        <f>IF($C$1077&gt;0,VLOOKUP($C2319,ENTI!$AL$4:AP$1003,5,FALSE),"")</f>
        <v>#N/A</v>
      </c>
      <c r="H2319" s="179" t="e">
        <f>IF($C$1077&gt;0,VLOOKUP($C2319,ENTI!$AL$4:AQ$1003,6,FALSE),"")</f>
        <v>#N/A</v>
      </c>
      <c r="I2319" s="187"/>
      <c r="J2319" s="140" t="e">
        <f ca="1">VLOOKUP(D2319,$F$1081:$I$4183,4,FALSE)+COUNTIF(E$1081:E2318,E2319)</f>
        <v>#N/A</v>
      </c>
      <c r="K2319" s="1"/>
      <c r="L2319" s="156"/>
      <c r="M2319" s="1"/>
      <c r="N2319" s="1"/>
      <c r="O2319" s="1"/>
    </row>
    <row r="2320" spans="1:15" hidden="1">
      <c r="A2320" s="1"/>
      <c r="B2320" s="197" t="e">
        <f t="shared" ca="1" si="238"/>
        <v>#N/A</v>
      </c>
      <c r="C2320" s="498">
        <v>254</v>
      </c>
      <c r="D2320" s="41" t="e">
        <f>IF($C$1077&gt;0,VLOOKUP($C2320,ENTI!$AL$4:AN$1003,3,FALSE),"")</f>
        <v>#N/A</v>
      </c>
      <c r="E2320" s="41" t="str">
        <f t="shared" si="236"/>
        <v/>
      </c>
      <c r="F2320" s="200"/>
      <c r="G2320" s="178" t="e">
        <f>IF($C$1077&gt;0,VLOOKUP($C2320,ENTI!$AL$4:AP$1003,5,FALSE),"")</f>
        <v>#N/A</v>
      </c>
      <c r="H2320" s="179" t="e">
        <f>IF($C$1077&gt;0,VLOOKUP($C2320,ENTI!$AL$4:AQ$1003,6,FALSE),"")</f>
        <v>#N/A</v>
      </c>
      <c r="I2320" s="187"/>
      <c r="J2320" s="140" t="e">
        <f ca="1">VLOOKUP(D2320,$F$1081:$I$4183,4,FALSE)+COUNTIF(E$1081:E2319,E2320)</f>
        <v>#N/A</v>
      </c>
      <c r="K2320" s="1"/>
      <c r="L2320" s="156"/>
      <c r="M2320" s="1"/>
      <c r="N2320" s="1"/>
      <c r="O2320" s="1"/>
    </row>
    <row r="2321" spans="1:15" hidden="1">
      <c r="A2321" s="1"/>
      <c r="B2321" s="197" t="e">
        <f t="shared" ca="1" si="238"/>
        <v>#N/A</v>
      </c>
      <c r="C2321" s="498">
        <v>255</v>
      </c>
      <c r="D2321" s="41" t="e">
        <f>IF($C$1077&gt;0,VLOOKUP($C2321,ENTI!$AL$4:AN$1003,3,FALSE),"")</f>
        <v>#N/A</v>
      </c>
      <c r="E2321" s="41" t="str">
        <f t="shared" si="236"/>
        <v/>
      </c>
      <c r="F2321" s="200"/>
      <c r="G2321" s="178" t="e">
        <f>IF($C$1077&gt;0,VLOOKUP($C2321,ENTI!$AL$4:AP$1003,5,FALSE),"")</f>
        <v>#N/A</v>
      </c>
      <c r="H2321" s="179" t="e">
        <f>IF($C$1077&gt;0,VLOOKUP($C2321,ENTI!$AL$4:AQ$1003,6,FALSE),"")</f>
        <v>#N/A</v>
      </c>
      <c r="I2321" s="187"/>
      <c r="J2321" s="140" t="e">
        <f ca="1">VLOOKUP(D2321,$F$1081:$I$4183,4,FALSE)+COUNTIF(E$1081:E2320,E2321)</f>
        <v>#N/A</v>
      </c>
      <c r="K2321" s="1"/>
      <c r="L2321" s="156"/>
      <c r="M2321" s="1"/>
      <c r="N2321" s="1"/>
      <c r="O2321" s="1"/>
    </row>
    <row r="2322" spans="1:15" hidden="1">
      <c r="A2322" s="1"/>
      <c r="B2322" s="197" t="e">
        <f t="shared" ca="1" si="238"/>
        <v>#N/A</v>
      </c>
      <c r="C2322" s="498">
        <v>256</v>
      </c>
      <c r="D2322" s="41" t="e">
        <f>IF($C$1077&gt;0,VLOOKUP($C2322,ENTI!$AL$4:AN$1003,3,FALSE),"")</f>
        <v>#N/A</v>
      </c>
      <c r="E2322" s="41" t="str">
        <f t="shared" ref="E2322:E2385" si="239">IF(ISERROR(D2322),"",D2322)</f>
        <v/>
      </c>
      <c r="F2322" s="200"/>
      <c r="G2322" s="178" t="e">
        <f>IF($C$1077&gt;0,VLOOKUP($C2322,ENTI!$AL$4:AP$1003,5,FALSE),"")</f>
        <v>#N/A</v>
      </c>
      <c r="H2322" s="179" t="e">
        <f>IF($C$1077&gt;0,VLOOKUP($C2322,ENTI!$AL$4:AQ$1003,6,FALSE),"")</f>
        <v>#N/A</v>
      </c>
      <c r="I2322" s="187"/>
      <c r="J2322" s="140" t="e">
        <f ca="1">VLOOKUP(D2322,$F$1081:$I$4183,4,FALSE)+COUNTIF(E$1081:E2321,E2322)</f>
        <v>#N/A</v>
      </c>
      <c r="K2322" s="1"/>
      <c r="L2322" s="156"/>
      <c r="M2322" s="1"/>
      <c r="N2322" s="1"/>
      <c r="O2322" s="1"/>
    </row>
    <row r="2323" spans="1:15" hidden="1">
      <c r="A2323" s="1"/>
      <c r="B2323" s="197" t="e">
        <f t="shared" ca="1" si="238"/>
        <v>#N/A</v>
      </c>
      <c r="C2323" s="498">
        <v>257</v>
      </c>
      <c r="D2323" s="41" t="e">
        <f>IF($C$1077&gt;0,VLOOKUP($C2323,ENTI!$AL$4:AN$1003,3,FALSE),"")</f>
        <v>#N/A</v>
      </c>
      <c r="E2323" s="41" t="str">
        <f t="shared" si="239"/>
        <v/>
      </c>
      <c r="F2323" s="200"/>
      <c r="G2323" s="178" t="e">
        <f>IF($C$1077&gt;0,VLOOKUP($C2323,ENTI!$AL$4:AP$1003,5,FALSE),"")</f>
        <v>#N/A</v>
      </c>
      <c r="H2323" s="179" t="e">
        <f>IF($C$1077&gt;0,VLOOKUP($C2323,ENTI!$AL$4:AQ$1003,6,FALSE),"")</f>
        <v>#N/A</v>
      </c>
      <c r="I2323" s="187"/>
      <c r="J2323" s="140" t="e">
        <f ca="1">VLOOKUP(D2323,$F$1081:$I$4183,4,FALSE)+COUNTIF(E$1081:E2322,E2323)</f>
        <v>#N/A</v>
      </c>
      <c r="K2323" s="1"/>
      <c r="L2323" s="156"/>
      <c r="M2323" s="1"/>
      <c r="N2323" s="1"/>
      <c r="O2323" s="1"/>
    </row>
    <row r="2324" spans="1:15" hidden="1">
      <c r="A2324" s="1"/>
      <c r="B2324" s="197" t="e">
        <f t="shared" ca="1" si="238"/>
        <v>#N/A</v>
      </c>
      <c r="C2324" s="498">
        <v>258</v>
      </c>
      <c r="D2324" s="41" t="e">
        <f>IF($C$1077&gt;0,VLOOKUP($C2324,ENTI!$AL$4:AN$1003,3,FALSE),"")</f>
        <v>#N/A</v>
      </c>
      <c r="E2324" s="41" t="str">
        <f t="shared" si="239"/>
        <v/>
      </c>
      <c r="F2324" s="200"/>
      <c r="G2324" s="178" t="e">
        <f>IF($C$1077&gt;0,VLOOKUP($C2324,ENTI!$AL$4:AP$1003,5,FALSE),"")</f>
        <v>#N/A</v>
      </c>
      <c r="H2324" s="179" t="e">
        <f>IF($C$1077&gt;0,VLOOKUP($C2324,ENTI!$AL$4:AQ$1003,6,FALSE),"")</f>
        <v>#N/A</v>
      </c>
      <c r="I2324" s="187"/>
      <c r="J2324" s="140" t="e">
        <f ca="1">VLOOKUP(D2324,$F$1081:$I$4183,4,FALSE)+COUNTIF(E$1081:E2323,E2324)</f>
        <v>#N/A</v>
      </c>
      <c r="K2324" s="1"/>
      <c r="L2324" s="156"/>
      <c r="M2324" s="1"/>
      <c r="N2324" s="1"/>
      <c r="O2324" s="1"/>
    </row>
    <row r="2325" spans="1:15" hidden="1">
      <c r="A2325" s="1"/>
      <c r="B2325" s="197" t="e">
        <f t="shared" ca="1" si="238"/>
        <v>#N/A</v>
      </c>
      <c r="C2325" s="498">
        <v>259</v>
      </c>
      <c r="D2325" s="41" t="e">
        <f>IF($C$1077&gt;0,VLOOKUP($C2325,ENTI!$AL$4:AN$1003,3,FALSE),"")</f>
        <v>#N/A</v>
      </c>
      <c r="E2325" s="41" t="str">
        <f t="shared" si="239"/>
        <v/>
      </c>
      <c r="F2325" s="200"/>
      <c r="G2325" s="178" t="e">
        <f>IF($C$1077&gt;0,VLOOKUP($C2325,ENTI!$AL$4:AP$1003,5,FALSE),"")</f>
        <v>#N/A</v>
      </c>
      <c r="H2325" s="179" t="e">
        <f>IF($C$1077&gt;0,VLOOKUP($C2325,ENTI!$AL$4:AQ$1003,6,FALSE),"")</f>
        <v>#N/A</v>
      </c>
      <c r="I2325" s="187"/>
      <c r="J2325" s="140" t="e">
        <f ca="1">VLOOKUP(D2325,$F$1081:$I$4183,4,FALSE)+COUNTIF(E$1081:E2324,E2325)</f>
        <v>#N/A</v>
      </c>
      <c r="K2325" s="1"/>
      <c r="L2325" s="156"/>
      <c r="M2325" s="1"/>
      <c r="N2325" s="1"/>
      <c r="O2325" s="1"/>
    </row>
    <row r="2326" spans="1:15" hidden="1">
      <c r="A2326" s="1"/>
      <c r="B2326" s="197" t="e">
        <f t="shared" ca="1" si="238"/>
        <v>#N/A</v>
      </c>
      <c r="C2326" s="498">
        <v>260</v>
      </c>
      <c r="D2326" s="41" t="e">
        <f>IF($C$1077&gt;0,VLOOKUP($C2326,ENTI!$AL$4:AN$1003,3,FALSE),"")</f>
        <v>#N/A</v>
      </c>
      <c r="E2326" s="41" t="str">
        <f t="shared" si="239"/>
        <v/>
      </c>
      <c r="F2326" s="200"/>
      <c r="G2326" s="178" t="e">
        <f>IF($C$1077&gt;0,VLOOKUP($C2326,ENTI!$AL$4:AP$1003,5,FALSE),"")</f>
        <v>#N/A</v>
      </c>
      <c r="H2326" s="179" t="e">
        <f>IF($C$1077&gt;0,VLOOKUP($C2326,ENTI!$AL$4:AQ$1003,6,FALSE),"")</f>
        <v>#N/A</v>
      </c>
      <c r="I2326" s="187"/>
      <c r="J2326" s="140" t="e">
        <f ca="1">VLOOKUP(D2326,$F$1081:$I$4183,4,FALSE)+COUNTIF(E$1081:E2325,E2326)</f>
        <v>#N/A</v>
      </c>
      <c r="K2326" s="1"/>
      <c r="L2326" s="156"/>
      <c r="M2326" s="1"/>
      <c r="N2326" s="1"/>
      <c r="O2326" s="1"/>
    </row>
    <row r="2327" spans="1:15" hidden="1">
      <c r="A2327" s="1"/>
      <c r="B2327" s="197" t="e">
        <f t="shared" ca="1" si="238"/>
        <v>#N/A</v>
      </c>
      <c r="C2327" s="498">
        <v>261</v>
      </c>
      <c r="D2327" s="41" t="e">
        <f>IF($C$1077&gt;0,VLOOKUP($C2327,ENTI!$AL$4:AN$1003,3,FALSE),"")</f>
        <v>#N/A</v>
      </c>
      <c r="E2327" s="41" t="str">
        <f t="shared" si="239"/>
        <v/>
      </c>
      <c r="F2327" s="200"/>
      <c r="G2327" s="178" t="e">
        <f>IF($C$1077&gt;0,VLOOKUP($C2327,ENTI!$AL$4:AP$1003,5,FALSE),"")</f>
        <v>#N/A</v>
      </c>
      <c r="H2327" s="179" t="e">
        <f>IF($C$1077&gt;0,VLOOKUP($C2327,ENTI!$AL$4:AQ$1003,6,FALSE),"")</f>
        <v>#N/A</v>
      </c>
      <c r="I2327" s="187"/>
      <c r="J2327" s="140" t="e">
        <f ca="1">VLOOKUP(D2327,$F$1081:$I$4183,4,FALSE)+COUNTIF(E$1081:E2326,E2327)</f>
        <v>#N/A</v>
      </c>
      <c r="K2327" s="1"/>
      <c r="L2327" s="156"/>
      <c r="M2327" s="1"/>
      <c r="N2327" s="1"/>
      <c r="O2327" s="1"/>
    </row>
    <row r="2328" spans="1:15" hidden="1">
      <c r="A2328" s="1"/>
      <c r="B2328" s="197" t="e">
        <f t="shared" ca="1" si="238"/>
        <v>#N/A</v>
      </c>
      <c r="C2328" s="498">
        <v>262</v>
      </c>
      <c r="D2328" s="41" t="e">
        <f>IF($C$1077&gt;0,VLOOKUP($C2328,ENTI!$AL$4:AN$1003,3,FALSE),"")</f>
        <v>#N/A</v>
      </c>
      <c r="E2328" s="41" t="str">
        <f t="shared" si="239"/>
        <v/>
      </c>
      <c r="F2328" s="200"/>
      <c r="G2328" s="178" t="e">
        <f>IF($C$1077&gt;0,VLOOKUP($C2328,ENTI!$AL$4:AP$1003,5,FALSE),"")</f>
        <v>#N/A</v>
      </c>
      <c r="H2328" s="179" t="e">
        <f>IF($C$1077&gt;0,VLOOKUP($C2328,ENTI!$AL$4:AQ$1003,6,FALSE),"")</f>
        <v>#N/A</v>
      </c>
      <c r="I2328" s="187"/>
      <c r="J2328" s="140" t="e">
        <f ca="1">VLOOKUP(D2328,$F$1081:$I$4183,4,FALSE)+COUNTIF(E$1081:E2327,E2328)</f>
        <v>#N/A</v>
      </c>
      <c r="K2328" s="1"/>
      <c r="L2328" s="156"/>
      <c r="M2328" s="1"/>
      <c r="N2328" s="1"/>
      <c r="O2328" s="1"/>
    </row>
    <row r="2329" spans="1:15" hidden="1">
      <c r="A2329" s="1"/>
      <c r="B2329" s="197" t="e">
        <f t="shared" ref="B2329:B2360" ca="1" si="240">IF(OR(C$1075&gt;0,C$1077&gt;0,C$1073&gt;0,C$1071&gt;0),J2329+1,J2329)</f>
        <v>#N/A</v>
      </c>
      <c r="C2329" s="498">
        <v>263</v>
      </c>
      <c r="D2329" s="41" t="e">
        <f>IF($C$1077&gt;0,VLOOKUP($C2329,ENTI!$AL$4:AN$1003,3,FALSE),"")</f>
        <v>#N/A</v>
      </c>
      <c r="E2329" s="41" t="str">
        <f t="shared" si="239"/>
        <v/>
      </c>
      <c r="F2329" s="200"/>
      <c r="G2329" s="178" t="e">
        <f>IF($C$1077&gt;0,VLOOKUP($C2329,ENTI!$AL$4:AP$1003,5,FALSE),"")</f>
        <v>#N/A</v>
      </c>
      <c r="H2329" s="179" t="e">
        <f>IF($C$1077&gt;0,VLOOKUP($C2329,ENTI!$AL$4:AQ$1003,6,FALSE),"")</f>
        <v>#N/A</v>
      </c>
      <c r="I2329" s="187"/>
      <c r="J2329" s="140" t="e">
        <f ca="1">VLOOKUP(D2329,$F$1081:$I$4183,4,FALSE)+COUNTIF(E$1081:E2328,E2329)</f>
        <v>#N/A</v>
      </c>
      <c r="K2329" s="1"/>
      <c r="L2329" s="156"/>
      <c r="M2329" s="1"/>
      <c r="N2329" s="1"/>
      <c r="O2329" s="1"/>
    </row>
    <row r="2330" spans="1:15" hidden="1">
      <c r="A2330" s="1"/>
      <c r="B2330" s="197" t="e">
        <f t="shared" ca="1" si="240"/>
        <v>#N/A</v>
      </c>
      <c r="C2330" s="498">
        <v>264</v>
      </c>
      <c r="D2330" s="41" t="e">
        <f>IF($C$1077&gt;0,VLOOKUP($C2330,ENTI!$AL$4:AN$1003,3,FALSE),"")</f>
        <v>#N/A</v>
      </c>
      <c r="E2330" s="41" t="str">
        <f t="shared" si="239"/>
        <v/>
      </c>
      <c r="F2330" s="200"/>
      <c r="G2330" s="178" t="e">
        <f>IF($C$1077&gt;0,VLOOKUP($C2330,ENTI!$AL$4:AP$1003,5,FALSE),"")</f>
        <v>#N/A</v>
      </c>
      <c r="H2330" s="179" t="e">
        <f>IF($C$1077&gt;0,VLOOKUP($C2330,ENTI!$AL$4:AQ$1003,6,FALSE),"")</f>
        <v>#N/A</v>
      </c>
      <c r="I2330" s="187"/>
      <c r="J2330" s="140" t="e">
        <f ca="1">VLOOKUP(D2330,$F$1081:$I$4183,4,FALSE)+COUNTIF(E$1081:E2329,E2330)</f>
        <v>#N/A</v>
      </c>
      <c r="K2330" s="1"/>
      <c r="L2330" s="156"/>
      <c r="M2330" s="1"/>
      <c r="N2330" s="1"/>
      <c r="O2330" s="1"/>
    </row>
    <row r="2331" spans="1:15" hidden="1">
      <c r="A2331" s="1"/>
      <c r="B2331" s="197" t="e">
        <f t="shared" ca="1" si="240"/>
        <v>#N/A</v>
      </c>
      <c r="C2331" s="498">
        <v>265</v>
      </c>
      <c r="D2331" s="41" t="e">
        <f>IF($C$1077&gt;0,VLOOKUP($C2331,ENTI!$AL$4:AN$1003,3,FALSE),"")</f>
        <v>#N/A</v>
      </c>
      <c r="E2331" s="41" t="str">
        <f t="shared" si="239"/>
        <v/>
      </c>
      <c r="F2331" s="200"/>
      <c r="G2331" s="178" t="e">
        <f>IF($C$1077&gt;0,VLOOKUP($C2331,ENTI!$AL$4:AP$1003,5,FALSE),"")</f>
        <v>#N/A</v>
      </c>
      <c r="H2331" s="179" t="e">
        <f>IF($C$1077&gt;0,VLOOKUP($C2331,ENTI!$AL$4:AQ$1003,6,FALSE),"")</f>
        <v>#N/A</v>
      </c>
      <c r="I2331" s="187"/>
      <c r="J2331" s="140" t="e">
        <f ca="1">VLOOKUP(D2331,$F$1081:$I$4183,4,FALSE)+COUNTIF(E$1081:E2330,E2331)</f>
        <v>#N/A</v>
      </c>
      <c r="K2331" s="1"/>
      <c r="L2331" s="156"/>
      <c r="M2331" s="1"/>
      <c r="N2331" s="1"/>
      <c r="O2331" s="1"/>
    </row>
    <row r="2332" spans="1:15" hidden="1">
      <c r="A2332" s="1"/>
      <c r="B2332" s="197" t="e">
        <f t="shared" ca="1" si="240"/>
        <v>#N/A</v>
      </c>
      <c r="C2332" s="498">
        <v>266</v>
      </c>
      <c r="D2332" s="41" t="e">
        <f>IF($C$1077&gt;0,VLOOKUP($C2332,ENTI!$AL$4:AN$1003,3,FALSE),"")</f>
        <v>#N/A</v>
      </c>
      <c r="E2332" s="41" t="str">
        <f t="shared" si="239"/>
        <v/>
      </c>
      <c r="F2332" s="200"/>
      <c r="G2332" s="178" t="e">
        <f>IF($C$1077&gt;0,VLOOKUP($C2332,ENTI!$AL$4:AP$1003,5,FALSE),"")</f>
        <v>#N/A</v>
      </c>
      <c r="H2332" s="179" t="e">
        <f>IF($C$1077&gt;0,VLOOKUP($C2332,ENTI!$AL$4:AQ$1003,6,FALSE),"")</f>
        <v>#N/A</v>
      </c>
      <c r="I2332" s="187"/>
      <c r="J2332" s="140" t="e">
        <f ca="1">VLOOKUP(D2332,$F$1081:$I$4183,4,FALSE)+COUNTIF(E$1081:E2331,E2332)</f>
        <v>#N/A</v>
      </c>
      <c r="K2332" s="1"/>
      <c r="L2332" s="156"/>
      <c r="M2332" s="1"/>
      <c r="N2332" s="1"/>
      <c r="O2332" s="1"/>
    </row>
    <row r="2333" spans="1:15" hidden="1">
      <c r="A2333" s="1"/>
      <c r="B2333" s="197" t="e">
        <f t="shared" ca="1" si="240"/>
        <v>#N/A</v>
      </c>
      <c r="C2333" s="498">
        <v>267</v>
      </c>
      <c r="D2333" s="41" t="e">
        <f>IF($C$1077&gt;0,VLOOKUP($C2333,ENTI!$AL$4:AN$1003,3,FALSE),"")</f>
        <v>#N/A</v>
      </c>
      <c r="E2333" s="41" t="str">
        <f t="shared" si="239"/>
        <v/>
      </c>
      <c r="F2333" s="200"/>
      <c r="G2333" s="178" t="e">
        <f>IF($C$1077&gt;0,VLOOKUP($C2333,ENTI!$AL$4:AP$1003,5,FALSE),"")</f>
        <v>#N/A</v>
      </c>
      <c r="H2333" s="179" t="e">
        <f>IF($C$1077&gt;0,VLOOKUP($C2333,ENTI!$AL$4:AQ$1003,6,FALSE),"")</f>
        <v>#N/A</v>
      </c>
      <c r="I2333" s="187"/>
      <c r="J2333" s="140" t="e">
        <f ca="1">VLOOKUP(D2333,$F$1081:$I$4183,4,FALSE)+COUNTIF(E$1081:E2332,E2333)</f>
        <v>#N/A</v>
      </c>
      <c r="K2333" s="1"/>
      <c r="L2333" s="156"/>
      <c r="M2333" s="1"/>
      <c r="N2333" s="1"/>
      <c r="O2333" s="1"/>
    </row>
    <row r="2334" spans="1:15" hidden="1">
      <c r="A2334" s="1"/>
      <c r="B2334" s="197" t="e">
        <f t="shared" ca="1" si="240"/>
        <v>#N/A</v>
      </c>
      <c r="C2334" s="498">
        <v>268</v>
      </c>
      <c r="D2334" s="41" t="e">
        <f>IF($C$1077&gt;0,VLOOKUP($C2334,ENTI!$AL$4:AN$1003,3,FALSE),"")</f>
        <v>#N/A</v>
      </c>
      <c r="E2334" s="41" t="str">
        <f t="shared" si="239"/>
        <v/>
      </c>
      <c r="F2334" s="200"/>
      <c r="G2334" s="178" t="e">
        <f>IF($C$1077&gt;0,VLOOKUP($C2334,ENTI!$AL$4:AP$1003,5,FALSE),"")</f>
        <v>#N/A</v>
      </c>
      <c r="H2334" s="179" t="e">
        <f>IF($C$1077&gt;0,VLOOKUP($C2334,ENTI!$AL$4:AQ$1003,6,FALSE),"")</f>
        <v>#N/A</v>
      </c>
      <c r="I2334" s="187"/>
      <c r="J2334" s="140" t="e">
        <f ca="1">VLOOKUP(D2334,$F$1081:$I$4183,4,FALSE)+COUNTIF(E$1081:E2333,E2334)</f>
        <v>#N/A</v>
      </c>
      <c r="K2334" s="1"/>
      <c r="L2334" s="156"/>
      <c r="M2334" s="1"/>
      <c r="N2334" s="1"/>
      <c r="O2334" s="1"/>
    </row>
    <row r="2335" spans="1:15" hidden="1">
      <c r="A2335" s="1"/>
      <c r="B2335" s="197" t="e">
        <f t="shared" ca="1" si="240"/>
        <v>#N/A</v>
      </c>
      <c r="C2335" s="498">
        <v>269</v>
      </c>
      <c r="D2335" s="41" t="e">
        <f>IF($C$1077&gt;0,VLOOKUP($C2335,ENTI!$AL$4:AN$1003,3,FALSE),"")</f>
        <v>#N/A</v>
      </c>
      <c r="E2335" s="41" t="str">
        <f t="shared" si="239"/>
        <v/>
      </c>
      <c r="F2335" s="200"/>
      <c r="G2335" s="178" t="e">
        <f>IF($C$1077&gt;0,VLOOKUP($C2335,ENTI!$AL$4:AP$1003,5,FALSE),"")</f>
        <v>#N/A</v>
      </c>
      <c r="H2335" s="179" t="e">
        <f>IF($C$1077&gt;0,VLOOKUP($C2335,ENTI!$AL$4:AQ$1003,6,FALSE),"")</f>
        <v>#N/A</v>
      </c>
      <c r="I2335" s="187"/>
      <c r="J2335" s="140" t="e">
        <f ca="1">VLOOKUP(D2335,$F$1081:$I$4183,4,FALSE)+COUNTIF(E$1081:E2334,E2335)</f>
        <v>#N/A</v>
      </c>
      <c r="K2335" s="1"/>
      <c r="L2335" s="156"/>
      <c r="M2335" s="1"/>
      <c r="N2335" s="1"/>
      <c r="O2335" s="1"/>
    </row>
    <row r="2336" spans="1:15" hidden="1">
      <c r="A2336" s="1"/>
      <c r="B2336" s="197" t="e">
        <f t="shared" ca="1" si="240"/>
        <v>#N/A</v>
      </c>
      <c r="C2336" s="498">
        <v>270</v>
      </c>
      <c r="D2336" s="41" t="e">
        <f>IF($C$1077&gt;0,VLOOKUP($C2336,ENTI!$AL$4:AN$1003,3,FALSE),"")</f>
        <v>#N/A</v>
      </c>
      <c r="E2336" s="41" t="str">
        <f t="shared" si="239"/>
        <v/>
      </c>
      <c r="F2336" s="200"/>
      <c r="G2336" s="178" t="e">
        <f>IF($C$1077&gt;0,VLOOKUP($C2336,ENTI!$AL$4:AP$1003,5,FALSE),"")</f>
        <v>#N/A</v>
      </c>
      <c r="H2336" s="179" t="e">
        <f>IF($C$1077&gt;0,VLOOKUP($C2336,ENTI!$AL$4:AQ$1003,6,FALSE),"")</f>
        <v>#N/A</v>
      </c>
      <c r="I2336" s="187"/>
      <c r="J2336" s="140" t="e">
        <f ca="1">VLOOKUP(D2336,$F$1081:$I$4183,4,FALSE)+COUNTIF(E$1081:E2335,E2336)</f>
        <v>#N/A</v>
      </c>
      <c r="K2336" s="1"/>
      <c r="L2336" s="156"/>
      <c r="M2336" s="1"/>
      <c r="N2336" s="1"/>
      <c r="O2336" s="1"/>
    </row>
    <row r="2337" spans="1:15" hidden="1">
      <c r="A2337" s="1"/>
      <c r="B2337" s="197" t="e">
        <f t="shared" ca="1" si="240"/>
        <v>#N/A</v>
      </c>
      <c r="C2337" s="498">
        <v>271</v>
      </c>
      <c r="D2337" s="41" t="e">
        <f>IF($C$1077&gt;0,VLOOKUP($C2337,ENTI!$AL$4:AN$1003,3,FALSE),"")</f>
        <v>#N/A</v>
      </c>
      <c r="E2337" s="41" t="str">
        <f t="shared" si="239"/>
        <v/>
      </c>
      <c r="F2337" s="200"/>
      <c r="G2337" s="178" t="e">
        <f>IF($C$1077&gt;0,VLOOKUP($C2337,ENTI!$AL$4:AP$1003,5,FALSE),"")</f>
        <v>#N/A</v>
      </c>
      <c r="H2337" s="179" t="e">
        <f>IF($C$1077&gt;0,VLOOKUP($C2337,ENTI!$AL$4:AQ$1003,6,FALSE),"")</f>
        <v>#N/A</v>
      </c>
      <c r="I2337" s="187"/>
      <c r="J2337" s="140" t="e">
        <f ca="1">VLOOKUP(D2337,$F$1081:$I$4183,4,FALSE)+COUNTIF(E$1081:E2336,E2337)</f>
        <v>#N/A</v>
      </c>
      <c r="K2337" s="1"/>
      <c r="L2337" s="156"/>
      <c r="M2337" s="1"/>
      <c r="N2337" s="1"/>
      <c r="O2337" s="1"/>
    </row>
    <row r="2338" spans="1:15" hidden="1">
      <c r="A2338" s="1"/>
      <c r="B2338" s="197" t="e">
        <f t="shared" ca="1" si="240"/>
        <v>#N/A</v>
      </c>
      <c r="C2338" s="498">
        <v>272</v>
      </c>
      <c r="D2338" s="41" t="e">
        <f>IF($C$1077&gt;0,VLOOKUP($C2338,ENTI!$AL$4:AN$1003,3,FALSE),"")</f>
        <v>#N/A</v>
      </c>
      <c r="E2338" s="41" t="str">
        <f t="shared" si="239"/>
        <v/>
      </c>
      <c r="F2338" s="200"/>
      <c r="G2338" s="178" t="e">
        <f>IF($C$1077&gt;0,VLOOKUP($C2338,ENTI!$AL$4:AP$1003,5,FALSE),"")</f>
        <v>#N/A</v>
      </c>
      <c r="H2338" s="179" t="e">
        <f>IF($C$1077&gt;0,VLOOKUP($C2338,ENTI!$AL$4:AQ$1003,6,FALSE),"")</f>
        <v>#N/A</v>
      </c>
      <c r="I2338" s="187"/>
      <c r="J2338" s="140" t="e">
        <f ca="1">VLOOKUP(D2338,$F$1081:$I$4183,4,FALSE)+COUNTIF(E$1081:E2337,E2338)</f>
        <v>#N/A</v>
      </c>
      <c r="K2338" s="1"/>
      <c r="L2338" s="156"/>
      <c r="M2338" s="1"/>
      <c r="N2338" s="1"/>
      <c r="O2338" s="1"/>
    </row>
    <row r="2339" spans="1:15" hidden="1">
      <c r="A2339" s="1"/>
      <c r="B2339" s="197" t="e">
        <f t="shared" ca="1" si="240"/>
        <v>#N/A</v>
      </c>
      <c r="C2339" s="498">
        <v>273</v>
      </c>
      <c r="D2339" s="41" t="e">
        <f>IF($C$1077&gt;0,VLOOKUP($C2339,ENTI!$AL$4:AN$1003,3,FALSE),"")</f>
        <v>#N/A</v>
      </c>
      <c r="E2339" s="41" t="str">
        <f t="shared" si="239"/>
        <v/>
      </c>
      <c r="F2339" s="200"/>
      <c r="G2339" s="178" t="e">
        <f>IF($C$1077&gt;0,VLOOKUP($C2339,ENTI!$AL$4:AP$1003,5,FALSE),"")</f>
        <v>#N/A</v>
      </c>
      <c r="H2339" s="179" t="e">
        <f>IF($C$1077&gt;0,VLOOKUP($C2339,ENTI!$AL$4:AQ$1003,6,FALSE),"")</f>
        <v>#N/A</v>
      </c>
      <c r="I2339" s="187"/>
      <c r="J2339" s="140" t="e">
        <f ca="1">VLOOKUP(D2339,$F$1081:$I$4183,4,FALSE)+COUNTIF(E$1081:E2338,E2339)</f>
        <v>#N/A</v>
      </c>
      <c r="K2339" s="1"/>
      <c r="L2339" s="156"/>
      <c r="M2339" s="1"/>
      <c r="N2339" s="1"/>
      <c r="O2339" s="1"/>
    </row>
    <row r="2340" spans="1:15" hidden="1">
      <c r="A2340" s="1"/>
      <c r="B2340" s="197" t="e">
        <f t="shared" ca="1" si="240"/>
        <v>#N/A</v>
      </c>
      <c r="C2340" s="498">
        <v>274</v>
      </c>
      <c r="D2340" s="41" t="e">
        <f>IF($C$1077&gt;0,VLOOKUP($C2340,ENTI!$AL$4:AN$1003,3,FALSE),"")</f>
        <v>#N/A</v>
      </c>
      <c r="E2340" s="41" t="str">
        <f t="shared" si="239"/>
        <v/>
      </c>
      <c r="F2340" s="200"/>
      <c r="G2340" s="178" t="e">
        <f>IF($C$1077&gt;0,VLOOKUP($C2340,ENTI!$AL$4:AP$1003,5,FALSE),"")</f>
        <v>#N/A</v>
      </c>
      <c r="H2340" s="179" t="e">
        <f>IF($C$1077&gt;0,VLOOKUP($C2340,ENTI!$AL$4:AQ$1003,6,FALSE),"")</f>
        <v>#N/A</v>
      </c>
      <c r="I2340" s="187"/>
      <c r="J2340" s="140" t="e">
        <f ca="1">VLOOKUP(D2340,$F$1081:$I$4183,4,FALSE)+COUNTIF(E$1081:E2339,E2340)</f>
        <v>#N/A</v>
      </c>
      <c r="K2340" s="1"/>
      <c r="L2340" s="156"/>
      <c r="M2340" s="1"/>
      <c r="N2340" s="1"/>
      <c r="O2340" s="1"/>
    </row>
    <row r="2341" spans="1:15" hidden="1">
      <c r="A2341" s="1"/>
      <c r="B2341" s="197" t="e">
        <f t="shared" ca="1" si="240"/>
        <v>#N/A</v>
      </c>
      <c r="C2341" s="498">
        <v>275</v>
      </c>
      <c r="D2341" s="41" t="e">
        <f>IF($C$1077&gt;0,VLOOKUP($C2341,ENTI!$AL$4:AN$1003,3,FALSE),"")</f>
        <v>#N/A</v>
      </c>
      <c r="E2341" s="41" t="str">
        <f t="shared" si="239"/>
        <v/>
      </c>
      <c r="F2341" s="200"/>
      <c r="G2341" s="178" t="e">
        <f>IF($C$1077&gt;0,VLOOKUP($C2341,ENTI!$AL$4:AP$1003,5,FALSE),"")</f>
        <v>#N/A</v>
      </c>
      <c r="H2341" s="179" t="e">
        <f>IF($C$1077&gt;0,VLOOKUP($C2341,ENTI!$AL$4:AQ$1003,6,FALSE),"")</f>
        <v>#N/A</v>
      </c>
      <c r="I2341" s="187"/>
      <c r="J2341" s="140" t="e">
        <f ca="1">VLOOKUP(D2341,$F$1081:$I$4183,4,FALSE)+COUNTIF(E$1081:E2340,E2341)</f>
        <v>#N/A</v>
      </c>
      <c r="K2341" s="1"/>
      <c r="L2341" s="156"/>
      <c r="M2341" s="1"/>
      <c r="N2341" s="1"/>
      <c r="O2341" s="1"/>
    </row>
    <row r="2342" spans="1:15" hidden="1">
      <c r="A2342" s="1"/>
      <c r="B2342" s="197" t="e">
        <f t="shared" ca="1" si="240"/>
        <v>#N/A</v>
      </c>
      <c r="C2342" s="498">
        <v>276</v>
      </c>
      <c r="D2342" s="41" t="e">
        <f>IF($C$1077&gt;0,VLOOKUP($C2342,ENTI!$AL$4:AN$1003,3,FALSE),"")</f>
        <v>#N/A</v>
      </c>
      <c r="E2342" s="41" t="str">
        <f t="shared" si="239"/>
        <v/>
      </c>
      <c r="F2342" s="200"/>
      <c r="G2342" s="178" t="e">
        <f>IF($C$1077&gt;0,VLOOKUP($C2342,ENTI!$AL$4:AP$1003,5,FALSE),"")</f>
        <v>#N/A</v>
      </c>
      <c r="H2342" s="179" t="e">
        <f>IF($C$1077&gt;0,VLOOKUP($C2342,ENTI!$AL$4:AQ$1003,6,FALSE),"")</f>
        <v>#N/A</v>
      </c>
      <c r="I2342" s="187"/>
      <c r="J2342" s="140" t="e">
        <f ca="1">VLOOKUP(D2342,$F$1081:$I$4183,4,FALSE)+COUNTIF(E$1081:E2341,E2342)</f>
        <v>#N/A</v>
      </c>
      <c r="K2342" s="1"/>
      <c r="L2342" s="156"/>
      <c r="M2342" s="1"/>
      <c r="N2342" s="1"/>
      <c r="O2342" s="1"/>
    </row>
    <row r="2343" spans="1:15" hidden="1">
      <c r="A2343" s="1"/>
      <c r="B2343" s="197" t="e">
        <f t="shared" ca="1" si="240"/>
        <v>#N/A</v>
      </c>
      <c r="C2343" s="498">
        <v>277</v>
      </c>
      <c r="D2343" s="41" t="e">
        <f>IF($C$1077&gt;0,VLOOKUP($C2343,ENTI!$AL$4:AN$1003,3,FALSE),"")</f>
        <v>#N/A</v>
      </c>
      <c r="E2343" s="41" t="str">
        <f t="shared" si="239"/>
        <v/>
      </c>
      <c r="F2343" s="200"/>
      <c r="G2343" s="178" t="e">
        <f>IF($C$1077&gt;0,VLOOKUP($C2343,ENTI!$AL$4:AP$1003,5,FALSE),"")</f>
        <v>#N/A</v>
      </c>
      <c r="H2343" s="179" t="e">
        <f>IF($C$1077&gt;0,VLOOKUP($C2343,ENTI!$AL$4:AQ$1003,6,FALSE),"")</f>
        <v>#N/A</v>
      </c>
      <c r="I2343" s="187"/>
      <c r="J2343" s="140" t="e">
        <f ca="1">VLOOKUP(D2343,$F$1081:$I$4183,4,FALSE)+COUNTIF(E$1081:E2342,E2343)</f>
        <v>#N/A</v>
      </c>
      <c r="K2343" s="1"/>
      <c r="L2343" s="156"/>
      <c r="M2343" s="1"/>
      <c r="N2343" s="1"/>
      <c r="O2343" s="1"/>
    </row>
    <row r="2344" spans="1:15" hidden="1">
      <c r="A2344" s="1"/>
      <c r="B2344" s="197" t="e">
        <f t="shared" ca="1" si="240"/>
        <v>#N/A</v>
      </c>
      <c r="C2344" s="498">
        <v>278</v>
      </c>
      <c r="D2344" s="41" t="e">
        <f>IF($C$1077&gt;0,VLOOKUP($C2344,ENTI!$AL$4:AN$1003,3,FALSE),"")</f>
        <v>#N/A</v>
      </c>
      <c r="E2344" s="41" t="str">
        <f t="shared" si="239"/>
        <v/>
      </c>
      <c r="F2344" s="200"/>
      <c r="G2344" s="178" t="e">
        <f>IF($C$1077&gt;0,VLOOKUP($C2344,ENTI!$AL$4:AP$1003,5,FALSE),"")</f>
        <v>#N/A</v>
      </c>
      <c r="H2344" s="179" t="e">
        <f>IF($C$1077&gt;0,VLOOKUP($C2344,ENTI!$AL$4:AQ$1003,6,FALSE),"")</f>
        <v>#N/A</v>
      </c>
      <c r="I2344" s="187"/>
      <c r="J2344" s="140" t="e">
        <f ca="1">VLOOKUP(D2344,$F$1081:$I$4183,4,FALSE)+COUNTIF(E$1081:E2343,E2344)</f>
        <v>#N/A</v>
      </c>
      <c r="K2344" s="1"/>
      <c r="L2344" s="156"/>
      <c r="M2344" s="1"/>
      <c r="N2344" s="1"/>
      <c r="O2344" s="1"/>
    </row>
    <row r="2345" spans="1:15" hidden="1">
      <c r="A2345" s="1"/>
      <c r="B2345" s="197" t="e">
        <f t="shared" ca="1" si="240"/>
        <v>#N/A</v>
      </c>
      <c r="C2345" s="498">
        <v>279</v>
      </c>
      <c r="D2345" s="41" t="e">
        <f>IF($C$1077&gt;0,VLOOKUP($C2345,ENTI!$AL$4:AN$1003,3,FALSE),"")</f>
        <v>#N/A</v>
      </c>
      <c r="E2345" s="41" t="str">
        <f t="shared" si="239"/>
        <v/>
      </c>
      <c r="F2345" s="200"/>
      <c r="G2345" s="178" t="e">
        <f>IF($C$1077&gt;0,VLOOKUP($C2345,ENTI!$AL$4:AP$1003,5,FALSE),"")</f>
        <v>#N/A</v>
      </c>
      <c r="H2345" s="179" t="e">
        <f>IF($C$1077&gt;0,VLOOKUP($C2345,ENTI!$AL$4:AQ$1003,6,FALSE),"")</f>
        <v>#N/A</v>
      </c>
      <c r="I2345" s="187"/>
      <c r="J2345" s="140" t="e">
        <f ca="1">VLOOKUP(D2345,$F$1081:$I$4183,4,FALSE)+COUNTIF(E$1081:E2344,E2345)</f>
        <v>#N/A</v>
      </c>
      <c r="K2345" s="1"/>
      <c r="L2345" s="156"/>
      <c r="M2345" s="1"/>
      <c r="N2345" s="1"/>
      <c r="O2345" s="1"/>
    </row>
    <row r="2346" spans="1:15" hidden="1">
      <c r="A2346" s="1"/>
      <c r="B2346" s="197" t="e">
        <f t="shared" ca="1" si="240"/>
        <v>#N/A</v>
      </c>
      <c r="C2346" s="498">
        <v>280</v>
      </c>
      <c r="D2346" s="41" t="e">
        <f>IF($C$1077&gt;0,VLOOKUP($C2346,ENTI!$AL$4:AN$1003,3,FALSE),"")</f>
        <v>#N/A</v>
      </c>
      <c r="E2346" s="41" t="str">
        <f t="shared" si="239"/>
        <v/>
      </c>
      <c r="F2346" s="200"/>
      <c r="G2346" s="178" t="e">
        <f>IF($C$1077&gt;0,VLOOKUP($C2346,ENTI!$AL$4:AP$1003,5,FALSE),"")</f>
        <v>#N/A</v>
      </c>
      <c r="H2346" s="179" t="e">
        <f>IF($C$1077&gt;0,VLOOKUP($C2346,ENTI!$AL$4:AQ$1003,6,FALSE),"")</f>
        <v>#N/A</v>
      </c>
      <c r="I2346" s="187"/>
      <c r="J2346" s="140" t="e">
        <f ca="1">VLOOKUP(D2346,$F$1081:$I$4183,4,FALSE)+COUNTIF(E$1081:E2345,E2346)</f>
        <v>#N/A</v>
      </c>
      <c r="K2346" s="1"/>
      <c r="L2346" s="156"/>
      <c r="M2346" s="1"/>
      <c r="N2346" s="1"/>
      <c r="O2346" s="1"/>
    </row>
    <row r="2347" spans="1:15" hidden="1">
      <c r="A2347" s="1"/>
      <c r="B2347" s="197" t="e">
        <f t="shared" ca="1" si="240"/>
        <v>#N/A</v>
      </c>
      <c r="C2347" s="498">
        <v>281</v>
      </c>
      <c r="D2347" s="41" t="e">
        <f>IF($C$1077&gt;0,VLOOKUP($C2347,ENTI!$AL$4:AN$1003,3,FALSE),"")</f>
        <v>#N/A</v>
      </c>
      <c r="E2347" s="41" t="str">
        <f t="shared" si="239"/>
        <v/>
      </c>
      <c r="F2347" s="200"/>
      <c r="G2347" s="178" t="e">
        <f>IF($C$1077&gt;0,VLOOKUP($C2347,ENTI!$AL$4:AP$1003,5,FALSE),"")</f>
        <v>#N/A</v>
      </c>
      <c r="H2347" s="179" t="e">
        <f>IF($C$1077&gt;0,VLOOKUP($C2347,ENTI!$AL$4:AQ$1003,6,FALSE),"")</f>
        <v>#N/A</v>
      </c>
      <c r="I2347" s="187"/>
      <c r="J2347" s="140" t="e">
        <f ca="1">VLOOKUP(D2347,$F$1081:$I$4183,4,FALSE)+COUNTIF(E$1081:E2346,E2347)</f>
        <v>#N/A</v>
      </c>
      <c r="K2347" s="1"/>
      <c r="L2347" s="156"/>
      <c r="M2347" s="1"/>
      <c r="N2347" s="1"/>
      <c r="O2347" s="1"/>
    </row>
    <row r="2348" spans="1:15" hidden="1">
      <c r="A2348" s="1"/>
      <c r="B2348" s="197" t="e">
        <f t="shared" ca="1" si="240"/>
        <v>#N/A</v>
      </c>
      <c r="C2348" s="498">
        <v>282</v>
      </c>
      <c r="D2348" s="41" t="e">
        <f>IF($C$1077&gt;0,VLOOKUP($C2348,ENTI!$AL$4:AN$1003,3,FALSE),"")</f>
        <v>#N/A</v>
      </c>
      <c r="E2348" s="41" t="str">
        <f t="shared" si="239"/>
        <v/>
      </c>
      <c r="F2348" s="200"/>
      <c r="G2348" s="178" t="e">
        <f>IF($C$1077&gt;0,VLOOKUP($C2348,ENTI!$AL$4:AP$1003,5,FALSE),"")</f>
        <v>#N/A</v>
      </c>
      <c r="H2348" s="179" t="e">
        <f>IF($C$1077&gt;0,VLOOKUP($C2348,ENTI!$AL$4:AQ$1003,6,FALSE),"")</f>
        <v>#N/A</v>
      </c>
      <c r="I2348" s="187"/>
      <c r="J2348" s="140" t="e">
        <f ca="1">VLOOKUP(D2348,$F$1081:$I$4183,4,FALSE)+COUNTIF(E$1081:E2347,E2348)</f>
        <v>#N/A</v>
      </c>
      <c r="K2348" s="1"/>
      <c r="L2348" s="156"/>
      <c r="M2348" s="1"/>
      <c r="N2348" s="1"/>
      <c r="O2348" s="1"/>
    </row>
    <row r="2349" spans="1:15" hidden="1">
      <c r="A2349" s="1"/>
      <c r="B2349" s="197" t="e">
        <f t="shared" ca="1" si="240"/>
        <v>#N/A</v>
      </c>
      <c r="C2349" s="498">
        <v>283</v>
      </c>
      <c r="D2349" s="41" t="e">
        <f>IF($C$1077&gt;0,VLOOKUP($C2349,ENTI!$AL$4:AN$1003,3,FALSE),"")</f>
        <v>#N/A</v>
      </c>
      <c r="E2349" s="41" t="str">
        <f t="shared" si="239"/>
        <v/>
      </c>
      <c r="F2349" s="200"/>
      <c r="G2349" s="178" t="e">
        <f>IF($C$1077&gt;0,VLOOKUP($C2349,ENTI!$AL$4:AP$1003,5,FALSE),"")</f>
        <v>#N/A</v>
      </c>
      <c r="H2349" s="179" t="e">
        <f>IF($C$1077&gt;0,VLOOKUP($C2349,ENTI!$AL$4:AQ$1003,6,FALSE),"")</f>
        <v>#N/A</v>
      </c>
      <c r="I2349" s="187"/>
      <c r="J2349" s="140" t="e">
        <f ca="1">VLOOKUP(D2349,$F$1081:$I$4183,4,FALSE)+COUNTIF(E$1081:E2348,E2349)</f>
        <v>#N/A</v>
      </c>
      <c r="K2349" s="1"/>
      <c r="L2349" s="156"/>
      <c r="M2349" s="1"/>
      <c r="N2349" s="1"/>
      <c r="O2349" s="1"/>
    </row>
    <row r="2350" spans="1:15" hidden="1">
      <c r="A2350" s="1"/>
      <c r="B2350" s="197" t="e">
        <f t="shared" ca="1" si="240"/>
        <v>#N/A</v>
      </c>
      <c r="C2350" s="498">
        <v>284</v>
      </c>
      <c r="D2350" s="41" t="e">
        <f>IF($C$1077&gt;0,VLOOKUP($C2350,ENTI!$AL$4:AN$1003,3,FALSE),"")</f>
        <v>#N/A</v>
      </c>
      <c r="E2350" s="41" t="str">
        <f t="shared" si="239"/>
        <v/>
      </c>
      <c r="F2350" s="200"/>
      <c r="G2350" s="178" t="e">
        <f>IF($C$1077&gt;0,VLOOKUP($C2350,ENTI!$AL$4:AP$1003,5,FALSE),"")</f>
        <v>#N/A</v>
      </c>
      <c r="H2350" s="179" t="e">
        <f>IF($C$1077&gt;0,VLOOKUP($C2350,ENTI!$AL$4:AQ$1003,6,FALSE),"")</f>
        <v>#N/A</v>
      </c>
      <c r="I2350" s="187"/>
      <c r="J2350" s="140" t="e">
        <f ca="1">VLOOKUP(D2350,$F$1081:$I$4183,4,FALSE)+COUNTIF(E$1081:E2349,E2350)</f>
        <v>#N/A</v>
      </c>
      <c r="K2350" s="1"/>
      <c r="L2350" s="156"/>
      <c r="M2350" s="1"/>
      <c r="N2350" s="1"/>
      <c r="O2350" s="1"/>
    </row>
    <row r="2351" spans="1:15" hidden="1">
      <c r="A2351" s="1"/>
      <c r="B2351" s="197" t="e">
        <f t="shared" ca="1" si="240"/>
        <v>#N/A</v>
      </c>
      <c r="C2351" s="498">
        <v>285</v>
      </c>
      <c r="D2351" s="41" t="e">
        <f>IF($C$1077&gt;0,VLOOKUP($C2351,ENTI!$AL$4:AN$1003,3,FALSE),"")</f>
        <v>#N/A</v>
      </c>
      <c r="E2351" s="41" t="str">
        <f t="shared" si="239"/>
        <v/>
      </c>
      <c r="F2351" s="200"/>
      <c r="G2351" s="178" t="e">
        <f>IF($C$1077&gt;0,VLOOKUP($C2351,ENTI!$AL$4:AP$1003,5,FALSE),"")</f>
        <v>#N/A</v>
      </c>
      <c r="H2351" s="179" t="e">
        <f>IF($C$1077&gt;0,VLOOKUP($C2351,ENTI!$AL$4:AQ$1003,6,FALSE),"")</f>
        <v>#N/A</v>
      </c>
      <c r="I2351" s="187"/>
      <c r="J2351" s="140" t="e">
        <f ca="1">VLOOKUP(D2351,$F$1081:$I$4183,4,FALSE)+COUNTIF(E$1081:E2350,E2351)</f>
        <v>#N/A</v>
      </c>
      <c r="K2351" s="1"/>
      <c r="L2351" s="156"/>
      <c r="M2351" s="1"/>
      <c r="N2351" s="1"/>
      <c r="O2351" s="1"/>
    </row>
    <row r="2352" spans="1:15" hidden="1">
      <c r="A2352" s="1"/>
      <c r="B2352" s="197" t="e">
        <f t="shared" ca="1" si="240"/>
        <v>#N/A</v>
      </c>
      <c r="C2352" s="498">
        <v>286</v>
      </c>
      <c r="D2352" s="41" t="e">
        <f>IF($C$1077&gt;0,VLOOKUP($C2352,ENTI!$AL$4:AN$1003,3,FALSE),"")</f>
        <v>#N/A</v>
      </c>
      <c r="E2352" s="41" t="str">
        <f t="shared" si="239"/>
        <v/>
      </c>
      <c r="F2352" s="200"/>
      <c r="G2352" s="178" t="e">
        <f>IF($C$1077&gt;0,VLOOKUP($C2352,ENTI!$AL$4:AP$1003,5,FALSE),"")</f>
        <v>#N/A</v>
      </c>
      <c r="H2352" s="179" t="e">
        <f>IF($C$1077&gt;0,VLOOKUP($C2352,ENTI!$AL$4:AQ$1003,6,FALSE),"")</f>
        <v>#N/A</v>
      </c>
      <c r="I2352" s="187"/>
      <c r="J2352" s="140" t="e">
        <f ca="1">VLOOKUP(D2352,$F$1081:$I$4183,4,FALSE)+COUNTIF(E$1081:E2351,E2352)</f>
        <v>#N/A</v>
      </c>
      <c r="K2352" s="1"/>
      <c r="L2352" s="156"/>
      <c r="M2352" s="1"/>
      <c r="N2352" s="1"/>
      <c r="O2352" s="1"/>
    </row>
    <row r="2353" spans="1:15" hidden="1">
      <c r="A2353" s="1"/>
      <c r="B2353" s="197" t="e">
        <f t="shared" ca="1" si="240"/>
        <v>#N/A</v>
      </c>
      <c r="C2353" s="498">
        <v>287</v>
      </c>
      <c r="D2353" s="41" t="e">
        <f>IF($C$1077&gt;0,VLOOKUP($C2353,ENTI!$AL$4:AN$1003,3,FALSE),"")</f>
        <v>#N/A</v>
      </c>
      <c r="E2353" s="41" t="str">
        <f t="shared" si="239"/>
        <v/>
      </c>
      <c r="F2353" s="200"/>
      <c r="G2353" s="178" t="e">
        <f>IF($C$1077&gt;0,VLOOKUP($C2353,ENTI!$AL$4:AP$1003,5,FALSE),"")</f>
        <v>#N/A</v>
      </c>
      <c r="H2353" s="179" t="e">
        <f>IF($C$1077&gt;0,VLOOKUP($C2353,ENTI!$AL$4:AQ$1003,6,FALSE),"")</f>
        <v>#N/A</v>
      </c>
      <c r="I2353" s="187"/>
      <c r="J2353" s="140" t="e">
        <f ca="1">VLOOKUP(D2353,$F$1081:$I$4183,4,FALSE)+COUNTIF(E$1081:E2352,E2353)</f>
        <v>#N/A</v>
      </c>
      <c r="K2353" s="1"/>
      <c r="L2353" s="156"/>
      <c r="M2353" s="1"/>
      <c r="N2353" s="1"/>
      <c r="O2353" s="1"/>
    </row>
    <row r="2354" spans="1:15" hidden="1">
      <c r="A2354" s="1"/>
      <c r="B2354" s="197" t="e">
        <f t="shared" ca="1" si="240"/>
        <v>#N/A</v>
      </c>
      <c r="C2354" s="498">
        <v>288</v>
      </c>
      <c r="D2354" s="41" t="e">
        <f>IF($C$1077&gt;0,VLOOKUP($C2354,ENTI!$AL$4:AN$1003,3,FALSE),"")</f>
        <v>#N/A</v>
      </c>
      <c r="E2354" s="41" t="str">
        <f t="shared" si="239"/>
        <v/>
      </c>
      <c r="F2354" s="200"/>
      <c r="G2354" s="178" t="e">
        <f>IF($C$1077&gt;0,VLOOKUP($C2354,ENTI!$AL$4:AP$1003,5,FALSE),"")</f>
        <v>#N/A</v>
      </c>
      <c r="H2354" s="179" t="e">
        <f>IF($C$1077&gt;0,VLOOKUP($C2354,ENTI!$AL$4:AQ$1003,6,FALSE),"")</f>
        <v>#N/A</v>
      </c>
      <c r="I2354" s="187"/>
      <c r="J2354" s="140" t="e">
        <f ca="1">VLOOKUP(D2354,$F$1081:$I$4183,4,FALSE)+COUNTIF(E$1081:E2353,E2354)</f>
        <v>#N/A</v>
      </c>
      <c r="K2354" s="1"/>
      <c r="L2354" s="156"/>
      <c r="M2354" s="1"/>
      <c r="N2354" s="1"/>
      <c r="O2354" s="1"/>
    </row>
    <row r="2355" spans="1:15" hidden="1">
      <c r="A2355" s="1"/>
      <c r="B2355" s="197" t="e">
        <f t="shared" ca="1" si="240"/>
        <v>#N/A</v>
      </c>
      <c r="C2355" s="498">
        <v>289</v>
      </c>
      <c r="D2355" s="41" t="e">
        <f>IF($C$1077&gt;0,VLOOKUP($C2355,ENTI!$AL$4:AN$1003,3,FALSE),"")</f>
        <v>#N/A</v>
      </c>
      <c r="E2355" s="41" t="str">
        <f t="shared" si="239"/>
        <v/>
      </c>
      <c r="F2355" s="200"/>
      <c r="G2355" s="178" t="e">
        <f>IF($C$1077&gt;0,VLOOKUP($C2355,ENTI!$AL$4:AP$1003,5,FALSE),"")</f>
        <v>#N/A</v>
      </c>
      <c r="H2355" s="179" t="e">
        <f>IF($C$1077&gt;0,VLOOKUP($C2355,ENTI!$AL$4:AQ$1003,6,FALSE),"")</f>
        <v>#N/A</v>
      </c>
      <c r="I2355" s="187"/>
      <c r="J2355" s="140" t="e">
        <f ca="1">VLOOKUP(D2355,$F$1081:$I$4183,4,FALSE)+COUNTIF(E$1081:E2354,E2355)</f>
        <v>#N/A</v>
      </c>
      <c r="K2355" s="1"/>
      <c r="L2355" s="156"/>
      <c r="M2355" s="1"/>
      <c r="N2355" s="1"/>
      <c r="O2355" s="1"/>
    </row>
    <row r="2356" spans="1:15" hidden="1">
      <c r="A2356" s="1"/>
      <c r="B2356" s="197" t="e">
        <f t="shared" ca="1" si="240"/>
        <v>#N/A</v>
      </c>
      <c r="C2356" s="498">
        <v>290</v>
      </c>
      <c r="D2356" s="41" t="e">
        <f>IF($C$1077&gt;0,VLOOKUP($C2356,ENTI!$AL$4:AN$1003,3,FALSE),"")</f>
        <v>#N/A</v>
      </c>
      <c r="E2356" s="41" t="str">
        <f t="shared" si="239"/>
        <v/>
      </c>
      <c r="F2356" s="200"/>
      <c r="G2356" s="178" t="e">
        <f>IF($C$1077&gt;0,VLOOKUP($C2356,ENTI!$AL$4:AP$1003,5,FALSE),"")</f>
        <v>#N/A</v>
      </c>
      <c r="H2356" s="179" t="e">
        <f>IF($C$1077&gt;0,VLOOKUP($C2356,ENTI!$AL$4:AQ$1003,6,FALSE),"")</f>
        <v>#N/A</v>
      </c>
      <c r="I2356" s="187"/>
      <c r="J2356" s="140" t="e">
        <f ca="1">VLOOKUP(D2356,$F$1081:$I$4183,4,FALSE)+COUNTIF(E$1081:E2355,E2356)</f>
        <v>#N/A</v>
      </c>
      <c r="K2356" s="1"/>
      <c r="L2356" s="156"/>
      <c r="M2356" s="1"/>
      <c r="N2356" s="1"/>
      <c r="O2356" s="1"/>
    </row>
    <row r="2357" spans="1:15" hidden="1">
      <c r="A2357" s="1"/>
      <c r="B2357" s="197" t="e">
        <f t="shared" ca="1" si="240"/>
        <v>#N/A</v>
      </c>
      <c r="C2357" s="498">
        <v>291</v>
      </c>
      <c r="D2357" s="41" t="e">
        <f>IF($C$1077&gt;0,VLOOKUP($C2357,ENTI!$AL$4:AN$1003,3,FALSE),"")</f>
        <v>#N/A</v>
      </c>
      <c r="E2357" s="41" t="str">
        <f t="shared" si="239"/>
        <v/>
      </c>
      <c r="F2357" s="200"/>
      <c r="G2357" s="178" t="e">
        <f>IF($C$1077&gt;0,VLOOKUP($C2357,ENTI!$AL$4:AP$1003,5,FALSE),"")</f>
        <v>#N/A</v>
      </c>
      <c r="H2357" s="179" t="e">
        <f>IF($C$1077&gt;0,VLOOKUP($C2357,ENTI!$AL$4:AQ$1003,6,FALSE),"")</f>
        <v>#N/A</v>
      </c>
      <c r="I2357" s="187"/>
      <c r="J2357" s="140" t="e">
        <f ca="1">VLOOKUP(D2357,$F$1081:$I$4183,4,FALSE)+COUNTIF(E$1081:E2356,E2357)</f>
        <v>#N/A</v>
      </c>
      <c r="K2357" s="1"/>
      <c r="L2357" s="156"/>
      <c r="M2357" s="1"/>
      <c r="N2357" s="1"/>
      <c r="O2357" s="1"/>
    </row>
    <row r="2358" spans="1:15" hidden="1">
      <c r="A2358" s="1"/>
      <c r="B2358" s="197" t="e">
        <f t="shared" ca="1" si="240"/>
        <v>#N/A</v>
      </c>
      <c r="C2358" s="498">
        <v>292</v>
      </c>
      <c r="D2358" s="41" t="e">
        <f>IF($C$1077&gt;0,VLOOKUP($C2358,ENTI!$AL$4:AN$1003,3,FALSE),"")</f>
        <v>#N/A</v>
      </c>
      <c r="E2358" s="41" t="str">
        <f t="shared" si="239"/>
        <v/>
      </c>
      <c r="F2358" s="200"/>
      <c r="G2358" s="178" t="e">
        <f>IF($C$1077&gt;0,VLOOKUP($C2358,ENTI!$AL$4:AP$1003,5,FALSE),"")</f>
        <v>#N/A</v>
      </c>
      <c r="H2358" s="179" t="e">
        <f>IF($C$1077&gt;0,VLOOKUP($C2358,ENTI!$AL$4:AQ$1003,6,FALSE),"")</f>
        <v>#N/A</v>
      </c>
      <c r="I2358" s="187"/>
      <c r="J2358" s="140" t="e">
        <f ca="1">VLOOKUP(D2358,$F$1081:$I$4183,4,FALSE)+COUNTIF(E$1081:E2357,E2358)</f>
        <v>#N/A</v>
      </c>
      <c r="K2358" s="1"/>
      <c r="L2358" s="156"/>
      <c r="M2358" s="1"/>
      <c r="N2358" s="1"/>
      <c r="O2358" s="1"/>
    </row>
    <row r="2359" spans="1:15" hidden="1">
      <c r="A2359" s="1"/>
      <c r="B2359" s="197" t="e">
        <f t="shared" ca="1" si="240"/>
        <v>#N/A</v>
      </c>
      <c r="C2359" s="498">
        <v>293</v>
      </c>
      <c r="D2359" s="41" t="e">
        <f>IF($C$1077&gt;0,VLOOKUP($C2359,ENTI!$AL$4:AN$1003,3,FALSE),"")</f>
        <v>#N/A</v>
      </c>
      <c r="E2359" s="41" t="str">
        <f t="shared" si="239"/>
        <v/>
      </c>
      <c r="F2359" s="200"/>
      <c r="G2359" s="178" t="e">
        <f>IF($C$1077&gt;0,VLOOKUP($C2359,ENTI!$AL$4:AP$1003,5,FALSE),"")</f>
        <v>#N/A</v>
      </c>
      <c r="H2359" s="179" t="e">
        <f>IF($C$1077&gt;0,VLOOKUP($C2359,ENTI!$AL$4:AQ$1003,6,FALSE),"")</f>
        <v>#N/A</v>
      </c>
      <c r="I2359" s="187"/>
      <c r="J2359" s="140" t="e">
        <f ca="1">VLOOKUP(D2359,$F$1081:$I$4183,4,FALSE)+COUNTIF(E$1081:E2358,E2359)</f>
        <v>#N/A</v>
      </c>
      <c r="K2359" s="1"/>
      <c r="L2359" s="156"/>
      <c r="M2359" s="1"/>
      <c r="N2359" s="1"/>
      <c r="O2359" s="1"/>
    </row>
    <row r="2360" spans="1:15" hidden="1">
      <c r="A2360" s="1"/>
      <c r="B2360" s="197" t="e">
        <f t="shared" ca="1" si="240"/>
        <v>#N/A</v>
      </c>
      <c r="C2360" s="498">
        <v>294</v>
      </c>
      <c r="D2360" s="41" t="e">
        <f>IF($C$1077&gt;0,VLOOKUP($C2360,ENTI!$AL$4:AN$1003,3,FALSE),"")</f>
        <v>#N/A</v>
      </c>
      <c r="E2360" s="41" t="str">
        <f t="shared" si="239"/>
        <v/>
      </c>
      <c r="F2360" s="200"/>
      <c r="G2360" s="178" t="e">
        <f>IF($C$1077&gt;0,VLOOKUP($C2360,ENTI!$AL$4:AP$1003,5,FALSE),"")</f>
        <v>#N/A</v>
      </c>
      <c r="H2360" s="179" t="e">
        <f>IF($C$1077&gt;0,VLOOKUP($C2360,ENTI!$AL$4:AQ$1003,6,FALSE),"")</f>
        <v>#N/A</v>
      </c>
      <c r="I2360" s="187"/>
      <c r="J2360" s="140" t="e">
        <f ca="1">VLOOKUP(D2360,$F$1081:$I$4183,4,FALSE)+COUNTIF(E$1081:E2359,E2360)</f>
        <v>#N/A</v>
      </c>
      <c r="K2360" s="1"/>
      <c r="L2360" s="156"/>
      <c r="M2360" s="1"/>
      <c r="N2360" s="1"/>
      <c r="O2360" s="1"/>
    </row>
    <row r="2361" spans="1:15" hidden="1">
      <c r="A2361" s="1"/>
      <c r="B2361" s="197" t="e">
        <f t="shared" ref="B2361:B2392" ca="1" si="241">IF(OR(C$1075&gt;0,C$1077&gt;0,C$1073&gt;0,C$1071&gt;0),J2361+1,J2361)</f>
        <v>#N/A</v>
      </c>
      <c r="C2361" s="498">
        <v>295</v>
      </c>
      <c r="D2361" s="41" t="e">
        <f>IF($C$1077&gt;0,VLOOKUP($C2361,ENTI!$AL$4:AN$1003,3,FALSE),"")</f>
        <v>#N/A</v>
      </c>
      <c r="E2361" s="41" t="str">
        <f t="shared" si="239"/>
        <v/>
      </c>
      <c r="F2361" s="200"/>
      <c r="G2361" s="178" t="e">
        <f>IF($C$1077&gt;0,VLOOKUP($C2361,ENTI!$AL$4:AP$1003,5,FALSE),"")</f>
        <v>#N/A</v>
      </c>
      <c r="H2361" s="179" t="e">
        <f>IF($C$1077&gt;0,VLOOKUP($C2361,ENTI!$AL$4:AQ$1003,6,FALSE),"")</f>
        <v>#N/A</v>
      </c>
      <c r="I2361" s="187"/>
      <c r="J2361" s="140" t="e">
        <f ca="1">VLOOKUP(D2361,$F$1081:$I$4183,4,FALSE)+COUNTIF(E$1081:E2360,E2361)</f>
        <v>#N/A</v>
      </c>
      <c r="K2361" s="1"/>
      <c r="L2361" s="156"/>
      <c r="M2361" s="1"/>
      <c r="N2361" s="1"/>
      <c r="O2361" s="1"/>
    </row>
    <row r="2362" spans="1:15" hidden="1">
      <c r="A2362" s="1"/>
      <c r="B2362" s="197" t="e">
        <f t="shared" ca="1" si="241"/>
        <v>#N/A</v>
      </c>
      <c r="C2362" s="498">
        <v>296</v>
      </c>
      <c r="D2362" s="41" t="e">
        <f>IF($C$1077&gt;0,VLOOKUP($C2362,ENTI!$AL$4:AN$1003,3,FALSE),"")</f>
        <v>#N/A</v>
      </c>
      <c r="E2362" s="41" t="str">
        <f t="shared" si="239"/>
        <v/>
      </c>
      <c r="F2362" s="200"/>
      <c r="G2362" s="178" t="e">
        <f>IF($C$1077&gt;0,VLOOKUP($C2362,ENTI!$AL$4:AP$1003,5,FALSE),"")</f>
        <v>#N/A</v>
      </c>
      <c r="H2362" s="179" t="e">
        <f>IF($C$1077&gt;0,VLOOKUP($C2362,ENTI!$AL$4:AQ$1003,6,FALSE),"")</f>
        <v>#N/A</v>
      </c>
      <c r="I2362" s="187"/>
      <c r="J2362" s="140" t="e">
        <f ca="1">VLOOKUP(D2362,$F$1081:$I$4183,4,FALSE)+COUNTIF(E$1081:E2361,E2362)</f>
        <v>#N/A</v>
      </c>
      <c r="K2362" s="1"/>
      <c r="L2362" s="156"/>
      <c r="M2362" s="1"/>
      <c r="N2362" s="1"/>
      <c r="O2362" s="1"/>
    </row>
    <row r="2363" spans="1:15" hidden="1">
      <c r="A2363" s="1"/>
      <c r="B2363" s="197" t="e">
        <f t="shared" ca="1" si="241"/>
        <v>#N/A</v>
      </c>
      <c r="C2363" s="498">
        <v>297</v>
      </c>
      <c r="D2363" s="41" t="e">
        <f>IF($C$1077&gt;0,VLOOKUP($C2363,ENTI!$AL$4:AN$1003,3,FALSE),"")</f>
        <v>#N/A</v>
      </c>
      <c r="E2363" s="41" t="str">
        <f t="shared" si="239"/>
        <v/>
      </c>
      <c r="F2363" s="200"/>
      <c r="G2363" s="178" t="e">
        <f>IF($C$1077&gt;0,VLOOKUP($C2363,ENTI!$AL$4:AP$1003,5,FALSE),"")</f>
        <v>#N/A</v>
      </c>
      <c r="H2363" s="179" t="e">
        <f>IF($C$1077&gt;0,VLOOKUP($C2363,ENTI!$AL$4:AQ$1003,6,FALSE),"")</f>
        <v>#N/A</v>
      </c>
      <c r="I2363" s="187"/>
      <c r="J2363" s="140" t="e">
        <f ca="1">VLOOKUP(D2363,$F$1081:$I$4183,4,FALSE)+COUNTIF(E$1081:E2362,E2363)</f>
        <v>#N/A</v>
      </c>
      <c r="K2363" s="1"/>
      <c r="L2363" s="156"/>
      <c r="M2363" s="1"/>
      <c r="N2363" s="1"/>
      <c r="O2363" s="1"/>
    </row>
    <row r="2364" spans="1:15" hidden="1">
      <c r="A2364" s="1"/>
      <c r="B2364" s="197" t="e">
        <f t="shared" ca="1" si="241"/>
        <v>#N/A</v>
      </c>
      <c r="C2364" s="498">
        <v>298</v>
      </c>
      <c r="D2364" s="41" t="e">
        <f>IF($C$1077&gt;0,VLOOKUP($C2364,ENTI!$AL$4:AN$1003,3,FALSE),"")</f>
        <v>#N/A</v>
      </c>
      <c r="E2364" s="41" t="str">
        <f t="shared" si="239"/>
        <v/>
      </c>
      <c r="F2364" s="200"/>
      <c r="G2364" s="178" t="e">
        <f>IF($C$1077&gt;0,VLOOKUP($C2364,ENTI!$AL$4:AP$1003,5,FALSE),"")</f>
        <v>#N/A</v>
      </c>
      <c r="H2364" s="179" t="e">
        <f>IF($C$1077&gt;0,VLOOKUP($C2364,ENTI!$AL$4:AQ$1003,6,FALSE),"")</f>
        <v>#N/A</v>
      </c>
      <c r="I2364" s="187"/>
      <c r="J2364" s="140" t="e">
        <f ca="1">VLOOKUP(D2364,$F$1081:$I$4183,4,FALSE)+COUNTIF(E$1081:E2363,E2364)</f>
        <v>#N/A</v>
      </c>
      <c r="K2364" s="1"/>
      <c r="L2364" s="156"/>
      <c r="M2364" s="1"/>
      <c r="N2364" s="1"/>
      <c r="O2364" s="1"/>
    </row>
    <row r="2365" spans="1:15" hidden="1">
      <c r="A2365" s="1"/>
      <c r="B2365" s="197" t="e">
        <f t="shared" ca="1" si="241"/>
        <v>#N/A</v>
      </c>
      <c r="C2365" s="498">
        <v>299</v>
      </c>
      <c r="D2365" s="41" t="e">
        <f>IF($C$1077&gt;0,VLOOKUP($C2365,ENTI!$AL$4:AN$1003,3,FALSE),"")</f>
        <v>#N/A</v>
      </c>
      <c r="E2365" s="41" t="str">
        <f t="shared" si="239"/>
        <v/>
      </c>
      <c r="F2365" s="200"/>
      <c r="G2365" s="178" t="e">
        <f>IF($C$1077&gt;0,VLOOKUP($C2365,ENTI!$AL$4:AP$1003,5,FALSE),"")</f>
        <v>#N/A</v>
      </c>
      <c r="H2365" s="179" t="e">
        <f>IF($C$1077&gt;0,VLOOKUP($C2365,ENTI!$AL$4:AQ$1003,6,FALSE),"")</f>
        <v>#N/A</v>
      </c>
      <c r="I2365" s="187"/>
      <c r="J2365" s="140" t="e">
        <f ca="1">VLOOKUP(D2365,$F$1081:$I$4183,4,FALSE)+COUNTIF(E$1081:E2364,E2365)</f>
        <v>#N/A</v>
      </c>
      <c r="K2365" s="1"/>
      <c r="L2365" s="156"/>
      <c r="M2365" s="1"/>
      <c r="N2365" s="1"/>
      <c r="O2365" s="1"/>
    </row>
    <row r="2366" spans="1:15" hidden="1">
      <c r="A2366" s="1"/>
      <c r="B2366" s="197" t="e">
        <f t="shared" ca="1" si="241"/>
        <v>#N/A</v>
      </c>
      <c r="C2366" s="498">
        <v>300</v>
      </c>
      <c r="D2366" s="41" t="e">
        <f>IF($C$1077&gt;0,VLOOKUP($C2366,ENTI!$AL$4:AN$1003,3,FALSE),"")</f>
        <v>#N/A</v>
      </c>
      <c r="E2366" s="41" t="str">
        <f t="shared" si="239"/>
        <v/>
      </c>
      <c r="F2366" s="200"/>
      <c r="G2366" s="178" t="e">
        <f>IF($C$1077&gt;0,VLOOKUP($C2366,ENTI!$AL$4:AP$1003,5,FALSE),"")</f>
        <v>#N/A</v>
      </c>
      <c r="H2366" s="179" t="e">
        <f>IF($C$1077&gt;0,VLOOKUP($C2366,ENTI!$AL$4:AQ$1003,6,FALSE),"")</f>
        <v>#N/A</v>
      </c>
      <c r="I2366" s="187"/>
      <c r="J2366" s="140" t="e">
        <f ca="1">VLOOKUP(D2366,$F$1081:$I$4183,4,FALSE)+COUNTIF(E$1081:E2365,E2366)</f>
        <v>#N/A</v>
      </c>
      <c r="K2366" s="1"/>
      <c r="L2366" s="156"/>
      <c r="M2366" s="1"/>
      <c r="N2366" s="1"/>
      <c r="O2366" s="1"/>
    </row>
    <row r="2367" spans="1:15" hidden="1">
      <c r="A2367" s="1"/>
      <c r="B2367" s="197" t="e">
        <f t="shared" ca="1" si="241"/>
        <v>#N/A</v>
      </c>
      <c r="C2367" s="498">
        <v>301</v>
      </c>
      <c r="D2367" s="41" t="e">
        <f>IF($C$1077&gt;0,VLOOKUP($C2367,ENTI!$AL$4:AN$1003,3,FALSE),"")</f>
        <v>#N/A</v>
      </c>
      <c r="E2367" s="41" t="str">
        <f t="shared" si="239"/>
        <v/>
      </c>
      <c r="F2367" s="200"/>
      <c r="G2367" s="178" t="e">
        <f>IF($C$1077&gt;0,VLOOKUP($C2367,ENTI!$AL$4:AP$1003,5,FALSE),"")</f>
        <v>#N/A</v>
      </c>
      <c r="H2367" s="179" t="e">
        <f>IF($C$1077&gt;0,VLOOKUP($C2367,ENTI!$AL$4:AQ$1003,6,FALSE),"")</f>
        <v>#N/A</v>
      </c>
      <c r="I2367" s="187"/>
      <c r="J2367" s="140" t="e">
        <f ca="1">VLOOKUP(D2367,$F$1081:$I$4183,4,FALSE)+COUNTIF(E$1081:E2366,E2367)</f>
        <v>#N/A</v>
      </c>
      <c r="K2367" s="1"/>
      <c r="L2367" s="156"/>
      <c r="M2367" s="1"/>
      <c r="N2367" s="1"/>
      <c r="O2367" s="1"/>
    </row>
    <row r="2368" spans="1:15" hidden="1">
      <c r="A2368" s="1"/>
      <c r="B2368" s="197" t="e">
        <f t="shared" ca="1" si="241"/>
        <v>#N/A</v>
      </c>
      <c r="C2368" s="498">
        <v>302</v>
      </c>
      <c r="D2368" s="41" t="e">
        <f>IF($C$1077&gt;0,VLOOKUP($C2368,ENTI!$AL$4:AN$1003,3,FALSE),"")</f>
        <v>#N/A</v>
      </c>
      <c r="E2368" s="41" t="str">
        <f t="shared" si="239"/>
        <v/>
      </c>
      <c r="F2368" s="200"/>
      <c r="G2368" s="178" t="e">
        <f>IF($C$1077&gt;0,VLOOKUP($C2368,ENTI!$AL$4:AP$1003,5,FALSE),"")</f>
        <v>#N/A</v>
      </c>
      <c r="H2368" s="179" t="e">
        <f>IF($C$1077&gt;0,VLOOKUP($C2368,ENTI!$AL$4:AQ$1003,6,FALSE),"")</f>
        <v>#N/A</v>
      </c>
      <c r="I2368" s="187"/>
      <c r="J2368" s="140" t="e">
        <f ca="1">VLOOKUP(D2368,$F$1081:$I$4183,4,FALSE)+COUNTIF(E$1081:E2367,E2368)</f>
        <v>#N/A</v>
      </c>
      <c r="K2368" s="1"/>
      <c r="L2368" s="156"/>
      <c r="M2368" s="1"/>
      <c r="N2368" s="1"/>
      <c r="O2368" s="1"/>
    </row>
    <row r="2369" spans="1:15" hidden="1">
      <c r="A2369" s="1"/>
      <c r="B2369" s="197" t="e">
        <f t="shared" ca="1" si="241"/>
        <v>#N/A</v>
      </c>
      <c r="C2369" s="498">
        <v>303</v>
      </c>
      <c r="D2369" s="41" t="e">
        <f>IF($C$1077&gt;0,VLOOKUP($C2369,ENTI!$AL$4:AN$1003,3,FALSE),"")</f>
        <v>#N/A</v>
      </c>
      <c r="E2369" s="41" t="str">
        <f t="shared" si="239"/>
        <v/>
      </c>
      <c r="F2369" s="200"/>
      <c r="G2369" s="178" t="e">
        <f>IF($C$1077&gt;0,VLOOKUP($C2369,ENTI!$AL$4:AP$1003,5,FALSE),"")</f>
        <v>#N/A</v>
      </c>
      <c r="H2369" s="179" t="e">
        <f>IF($C$1077&gt;0,VLOOKUP($C2369,ENTI!$AL$4:AQ$1003,6,FALSE),"")</f>
        <v>#N/A</v>
      </c>
      <c r="I2369" s="187"/>
      <c r="J2369" s="140" t="e">
        <f ca="1">VLOOKUP(D2369,$F$1081:$I$4183,4,FALSE)+COUNTIF(E$1081:E2368,E2369)</f>
        <v>#N/A</v>
      </c>
      <c r="K2369" s="1"/>
      <c r="L2369" s="156"/>
      <c r="M2369" s="1"/>
      <c r="N2369" s="1"/>
      <c r="O2369" s="1"/>
    </row>
    <row r="2370" spans="1:15" hidden="1">
      <c r="A2370" s="1"/>
      <c r="B2370" s="197" t="e">
        <f t="shared" ca="1" si="241"/>
        <v>#N/A</v>
      </c>
      <c r="C2370" s="498">
        <v>304</v>
      </c>
      <c r="D2370" s="41" t="e">
        <f>IF($C$1077&gt;0,VLOOKUP($C2370,ENTI!$AL$4:AN$1003,3,FALSE),"")</f>
        <v>#N/A</v>
      </c>
      <c r="E2370" s="41" t="str">
        <f t="shared" si="239"/>
        <v/>
      </c>
      <c r="F2370" s="200"/>
      <c r="G2370" s="178" t="e">
        <f>IF($C$1077&gt;0,VLOOKUP($C2370,ENTI!$AL$4:AP$1003,5,FALSE),"")</f>
        <v>#N/A</v>
      </c>
      <c r="H2370" s="179" t="e">
        <f>IF($C$1077&gt;0,VLOOKUP($C2370,ENTI!$AL$4:AQ$1003,6,FALSE),"")</f>
        <v>#N/A</v>
      </c>
      <c r="I2370" s="187"/>
      <c r="J2370" s="140" t="e">
        <f ca="1">VLOOKUP(D2370,$F$1081:$I$4183,4,FALSE)+COUNTIF(E$1081:E2369,E2370)</f>
        <v>#N/A</v>
      </c>
      <c r="K2370" s="1"/>
      <c r="L2370" s="156"/>
      <c r="M2370" s="1"/>
      <c r="N2370" s="1"/>
      <c r="O2370" s="1"/>
    </row>
    <row r="2371" spans="1:15" hidden="1">
      <c r="A2371" s="1"/>
      <c r="B2371" s="197" t="e">
        <f t="shared" ca="1" si="241"/>
        <v>#N/A</v>
      </c>
      <c r="C2371" s="498">
        <v>305</v>
      </c>
      <c r="D2371" s="41" t="e">
        <f>IF($C$1077&gt;0,VLOOKUP($C2371,ENTI!$AL$4:AN$1003,3,FALSE),"")</f>
        <v>#N/A</v>
      </c>
      <c r="E2371" s="41" t="str">
        <f t="shared" si="239"/>
        <v/>
      </c>
      <c r="F2371" s="200"/>
      <c r="G2371" s="178" t="e">
        <f>IF($C$1077&gt;0,VLOOKUP($C2371,ENTI!$AL$4:AP$1003,5,FALSE),"")</f>
        <v>#N/A</v>
      </c>
      <c r="H2371" s="179" t="e">
        <f>IF($C$1077&gt;0,VLOOKUP($C2371,ENTI!$AL$4:AQ$1003,6,FALSE),"")</f>
        <v>#N/A</v>
      </c>
      <c r="I2371" s="187"/>
      <c r="J2371" s="140" t="e">
        <f ca="1">VLOOKUP(D2371,$F$1081:$I$4183,4,FALSE)+COUNTIF(E$1081:E2370,E2371)</f>
        <v>#N/A</v>
      </c>
      <c r="K2371" s="1"/>
      <c r="L2371" s="156"/>
      <c r="M2371" s="1"/>
      <c r="N2371" s="1"/>
      <c r="O2371" s="1"/>
    </row>
    <row r="2372" spans="1:15" hidden="1">
      <c r="A2372" s="1"/>
      <c r="B2372" s="197" t="e">
        <f t="shared" ca="1" si="241"/>
        <v>#N/A</v>
      </c>
      <c r="C2372" s="498">
        <v>306</v>
      </c>
      <c r="D2372" s="41" t="e">
        <f>IF($C$1077&gt;0,VLOOKUP($C2372,ENTI!$AL$4:AN$1003,3,FALSE),"")</f>
        <v>#N/A</v>
      </c>
      <c r="E2372" s="41" t="str">
        <f t="shared" si="239"/>
        <v/>
      </c>
      <c r="F2372" s="200"/>
      <c r="G2372" s="178" t="e">
        <f>IF($C$1077&gt;0,VLOOKUP($C2372,ENTI!$AL$4:AP$1003,5,FALSE),"")</f>
        <v>#N/A</v>
      </c>
      <c r="H2372" s="179" t="e">
        <f>IF($C$1077&gt;0,VLOOKUP($C2372,ENTI!$AL$4:AQ$1003,6,FALSE),"")</f>
        <v>#N/A</v>
      </c>
      <c r="I2372" s="187"/>
      <c r="J2372" s="140" t="e">
        <f ca="1">VLOOKUP(D2372,$F$1081:$I$4183,4,FALSE)+COUNTIF(E$1081:E2371,E2372)</f>
        <v>#N/A</v>
      </c>
      <c r="K2372" s="1"/>
      <c r="L2372" s="156"/>
      <c r="M2372" s="1"/>
      <c r="N2372" s="1"/>
      <c r="O2372" s="1"/>
    </row>
    <row r="2373" spans="1:15" hidden="1">
      <c r="A2373" s="1"/>
      <c r="B2373" s="197" t="e">
        <f t="shared" ca="1" si="241"/>
        <v>#N/A</v>
      </c>
      <c r="C2373" s="498">
        <v>307</v>
      </c>
      <c r="D2373" s="41" t="e">
        <f>IF($C$1077&gt;0,VLOOKUP($C2373,ENTI!$AL$4:AN$1003,3,FALSE),"")</f>
        <v>#N/A</v>
      </c>
      <c r="E2373" s="41" t="str">
        <f t="shared" si="239"/>
        <v/>
      </c>
      <c r="F2373" s="200"/>
      <c r="G2373" s="178" t="e">
        <f>IF($C$1077&gt;0,VLOOKUP($C2373,ENTI!$AL$4:AP$1003,5,FALSE),"")</f>
        <v>#N/A</v>
      </c>
      <c r="H2373" s="179" t="e">
        <f>IF($C$1077&gt;0,VLOOKUP($C2373,ENTI!$AL$4:AQ$1003,6,FALSE),"")</f>
        <v>#N/A</v>
      </c>
      <c r="I2373" s="187"/>
      <c r="J2373" s="140" t="e">
        <f ca="1">VLOOKUP(D2373,$F$1081:$I$4183,4,FALSE)+COUNTIF(E$1081:E2372,E2373)</f>
        <v>#N/A</v>
      </c>
      <c r="K2373" s="1"/>
      <c r="L2373" s="156"/>
      <c r="M2373" s="1"/>
      <c r="N2373" s="1"/>
      <c r="O2373" s="1"/>
    </row>
    <row r="2374" spans="1:15" hidden="1">
      <c r="A2374" s="1"/>
      <c r="B2374" s="197" t="e">
        <f t="shared" ca="1" si="241"/>
        <v>#N/A</v>
      </c>
      <c r="C2374" s="498">
        <v>308</v>
      </c>
      <c r="D2374" s="41" t="e">
        <f>IF($C$1077&gt;0,VLOOKUP($C2374,ENTI!$AL$4:AN$1003,3,FALSE),"")</f>
        <v>#N/A</v>
      </c>
      <c r="E2374" s="41" t="str">
        <f t="shared" si="239"/>
        <v/>
      </c>
      <c r="F2374" s="200"/>
      <c r="G2374" s="178" t="e">
        <f>IF($C$1077&gt;0,VLOOKUP($C2374,ENTI!$AL$4:AP$1003,5,FALSE),"")</f>
        <v>#N/A</v>
      </c>
      <c r="H2374" s="179" t="e">
        <f>IF($C$1077&gt;0,VLOOKUP($C2374,ENTI!$AL$4:AQ$1003,6,FALSE),"")</f>
        <v>#N/A</v>
      </c>
      <c r="I2374" s="187"/>
      <c r="J2374" s="140" t="e">
        <f ca="1">VLOOKUP(D2374,$F$1081:$I$4183,4,FALSE)+COUNTIF(E$1081:E2373,E2374)</f>
        <v>#N/A</v>
      </c>
      <c r="K2374" s="1"/>
      <c r="L2374" s="156"/>
      <c r="M2374" s="1"/>
      <c r="N2374" s="1"/>
      <c r="O2374" s="1"/>
    </row>
    <row r="2375" spans="1:15" hidden="1">
      <c r="A2375" s="1"/>
      <c r="B2375" s="197" t="e">
        <f t="shared" ca="1" si="241"/>
        <v>#N/A</v>
      </c>
      <c r="C2375" s="498">
        <v>309</v>
      </c>
      <c r="D2375" s="41" t="e">
        <f>IF($C$1077&gt;0,VLOOKUP($C2375,ENTI!$AL$4:AN$1003,3,FALSE),"")</f>
        <v>#N/A</v>
      </c>
      <c r="E2375" s="41" t="str">
        <f t="shared" si="239"/>
        <v/>
      </c>
      <c r="F2375" s="200"/>
      <c r="G2375" s="178" t="e">
        <f>IF($C$1077&gt;0,VLOOKUP($C2375,ENTI!$AL$4:AP$1003,5,FALSE),"")</f>
        <v>#N/A</v>
      </c>
      <c r="H2375" s="179" t="e">
        <f>IF($C$1077&gt;0,VLOOKUP($C2375,ENTI!$AL$4:AQ$1003,6,FALSE),"")</f>
        <v>#N/A</v>
      </c>
      <c r="I2375" s="187"/>
      <c r="J2375" s="140" t="e">
        <f ca="1">VLOOKUP(D2375,$F$1081:$I$4183,4,FALSE)+COUNTIF(E$1081:E2374,E2375)</f>
        <v>#N/A</v>
      </c>
      <c r="K2375" s="1"/>
      <c r="L2375" s="156"/>
      <c r="M2375" s="1"/>
      <c r="N2375" s="1"/>
      <c r="O2375" s="1"/>
    </row>
    <row r="2376" spans="1:15" hidden="1">
      <c r="A2376" s="1"/>
      <c r="B2376" s="197" t="e">
        <f t="shared" ca="1" si="241"/>
        <v>#N/A</v>
      </c>
      <c r="C2376" s="498">
        <v>310</v>
      </c>
      <c r="D2376" s="41" t="e">
        <f>IF($C$1077&gt;0,VLOOKUP($C2376,ENTI!$AL$4:AN$1003,3,FALSE),"")</f>
        <v>#N/A</v>
      </c>
      <c r="E2376" s="41" t="str">
        <f t="shared" si="239"/>
        <v/>
      </c>
      <c r="F2376" s="200"/>
      <c r="G2376" s="178" t="e">
        <f>IF($C$1077&gt;0,VLOOKUP($C2376,ENTI!$AL$4:AP$1003,5,FALSE),"")</f>
        <v>#N/A</v>
      </c>
      <c r="H2376" s="179" t="e">
        <f>IF($C$1077&gt;0,VLOOKUP($C2376,ENTI!$AL$4:AQ$1003,6,FALSE),"")</f>
        <v>#N/A</v>
      </c>
      <c r="I2376" s="187"/>
      <c r="J2376" s="140" t="e">
        <f ca="1">VLOOKUP(D2376,$F$1081:$I$4183,4,FALSE)+COUNTIF(E$1081:E2375,E2376)</f>
        <v>#N/A</v>
      </c>
      <c r="K2376" s="1"/>
      <c r="L2376" s="156"/>
      <c r="M2376" s="1"/>
      <c r="N2376" s="1"/>
      <c r="O2376" s="1"/>
    </row>
    <row r="2377" spans="1:15" hidden="1">
      <c r="A2377" s="1"/>
      <c r="B2377" s="197" t="e">
        <f t="shared" ca="1" si="241"/>
        <v>#N/A</v>
      </c>
      <c r="C2377" s="498">
        <v>311</v>
      </c>
      <c r="D2377" s="41" t="e">
        <f>IF($C$1077&gt;0,VLOOKUP($C2377,ENTI!$AL$4:AN$1003,3,FALSE),"")</f>
        <v>#N/A</v>
      </c>
      <c r="E2377" s="41" t="str">
        <f t="shared" si="239"/>
        <v/>
      </c>
      <c r="F2377" s="200"/>
      <c r="G2377" s="178" t="e">
        <f>IF($C$1077&gt;0,VLOOKUP($C2377,ENTI!$AL$4:AP$1003,5,FALSE),"")</f>
        <v>#N/A</v>
      </c>
      <c r="H2377" s="179" t="e">
        <f>IF($C$1077&gt;0,VLOOKUP($C2377,ENTI!$AL$4:AQ$1003,6,FALSE),"")</f>
        <v>#N/A</v>
      </c>
      <c r="I2377" s="187"/>
      <c r="J2377" s="140" t="e">
        <f ca="1">VLOOKUP(D2377,$F$1081:$I$4183,4,FALSE)+COUNTIF(E$1081:E2376,E2377)</f>
        <v>#N/A</v>
      </c>
      <c r="K2377" s="1"/>
      <c r="L2377" s="156"/>
      <c r="M2377" s="1"/>
      <c r="N2377" s="1"/>
      <c r="O2377" s="1"/>
    </row>
    <row r="2378" spans="1:15" hidden="1">
      <c r="A2378" s="1"/>
      <c r="B2378" s="197" t="e">
        <f t="shared" ca="1" si="241"/>
        <v>#N/A</v>
      </c>
      <c r="C2378" s="498">
        <v>312</v>
      </c>
      <c r="D2378" s="41" t="e">
        <f>IF($C$1077&gt;0,VLOOKUP($C2378,ENTI!$AL$4:AN$1003,3,FALSE),"")</f>
        <v>#N/A</v>
      </c>
      <c r="E2378" s="41" t="str">
        <f t="shared" si="239"/>
        <v/>
      </c>
      <c r="F2378" s="200"/>
      <c r="G2378" s="178" t="e">
        <f>IF($C$1077&gt;0,VLOOKUP($C2378,ENTI!$AL$4:AP$1003,5,FALSE),"")</f>
        <v>#N/A</v>
      </c>
      <c r="H2378" s="179" t="e">
        <f>IF($C$1077&gt;0,VLOOKUP($C2378,ENTI!$AL$4:AQ$1003,6,FALSE),"")</f>
        <v>#N/A</v>
      </c>
      <c r="I2378" s="187"/>
      <c r="J2378" s="140" t="e">
        <f ca="1">VLOOKUP(D2378,$F$1081:$I$4183,4,FALSE)+COUNTIF(E$1081:E2377,E2378)</f>
        <v>#N/A</v>
      </c>
      <c r="K2378" s="1"/>
      <c r="L2378" s="156"/>
      <c r="M2378" s="1"/>
      <c r="N2378" s="1"/>
      <c r="O2378" s="1"/>
    </row>
    <row r="2379" spans="1:15" hidden="1">
      <c r="A2379" s="1"/>
      <c r="B2379" s="197" t="e">
        <f t="shared" ca="1" si="241"/>
        <v>#N/A</v>
      </c>
      <c r="C2379" s="498">
        <v>313</v>
      </c>
      <c r="D2379" s="41" t="e">
        <f>IF($C$1077&gt;0,VLOOKUP($C2379,ENTI!$AL$4:AN$1003,3,FALSE),"")</f>
        <v>#N/A</v>
      </c>
      <c r="E2379" s="41" t="str">
        <f t="shared" si="239"/>
        <v/>
      </c>
      <c r="F2379" s="200"/>
      <c r="G2379" s="178" t="e">
        <f>IF($C$1077&gt;0,VLOOKUP($C2379,ENTI!$AL$4:AP$1003,5,FALSE),"")</f>
        <v>#N/A</v>
      </c>
      <c r="H2379" s="179" t="e">
        <f>IF($C$1077&gt;0,VLOOKUP($C2379,ENTI!$AL$4:AQ$1003,6,FALSE),"")</f>
        <v>#N/A</v>
      </c>
      <c r="I2379" s="187"/>
      <c r="J2379" s="140" t="e">
        <f ca="1">VLOOKUP(D2379,$F$1081:$I$4183,4,FALSE)+COUNTIF(E$1081:E2378,E2379)</f>
        <v>#N/A</v>
      </c>
      <c r="K2379" s="1"/>
      <c r="L2379" s="156"/>
      <c r="M2379" s="1"/>
      <c r="N2379" s="1"/>
      <c r="O2379" s="1"/>
    </row>
    <row r="2380" spans="1:15" hidden="1">
      <c r="A2380" s="1"/>
      <c r="B2380" s="197" t="e">
        <f t="shared" ca="1" si="241"/>
        <v>#N/A</v>
      </c>
      <c r="C2380" s="498">
        <v>314</v>
      </c>
      <c r="D2380" s="41" t="e">
        <f>IF($C$1077&gt;0,VLOOKUP($C2380,ENTI!$AL$4:AN$1003,3,FALSE),"")</f>
        <v>#N/A</v>
      </c>
      <c r="E2380" s="41" t="str">
        <f t="shared" si="239"/>
        <v/>
      </c>
      <c r="F2380" s="200"/>
      <c r="G2380" s="178" t="e">
        <f>IF($C$1077&gt;0,VLOOKUP($C2380,ENTI!$AL$4:AP$1003,5,FALSE),"")</f>
        <v>#N/A</v>
      </c>
      <c r="H2380" s="179" t="e">
        <f>IF($C$1077&gt;0,VLOOKUP($C2380,ENTI!$AL$4:AQ$1003,6,FALSE),"")</f>
        <v>#N/A</v>
      </c>
      <c r="I2380" s="187"/>
      <c r="J2380" s="140" t="e">
        <f ca="1">VLOOKUP(D2380,$F$1081:$I$4183,4,FALSE)+COUNTIF(E$1081:E2379,E2380)</f>
        <v>#N/A</v>
      </c>
      <c r="K2380" s="1"/>
      <c r="L2380" s="156"/>
      <c r="M2380" s="1"/>
      <c r="N2380" s="1"/>
      <c r="O2380" s="1"/>
    </row>
    <row r="2381" spans="1:15" hidden="1">
      <c r="A2381" s="1"/>
      <c r="B2381" s="197" t="e">
        <f t="shared" ca="1" si="241"/>
        <v>#N/A</v>
      </c>
      <c r="C2381" s="498">
        <v>315</v>
      </c>
      <c r="D2381" s="41" t="e">
        <f>IF($C$1077&gt;0,VLOOKUP($C2381,ENTI!$AL$4:AN$1003,3,FALSE),"")</f>
        <v>#N/A</v>
      </c>
      <c r="E2381" s="41" t="str">
        <f t="shared" si="239"/>
        <v/>
      </c>
      <c r="F2381" s="200"/>
      <c r="G2381" s="178" t="e">
        <f>IF($C$1077&gt;0,VLOOKUP($C2381,ENTI!$AL$4:AP$1003,5,FALSE),"")</f>
        <v>#N/A</v>
      </c>
      <c r="H2381" s="179" t="e">
        <f>IF($C$1077&gt;0,VLOOKUP($C2381,ENTI!$AL$4:AQ$1003,6,FALSE),"")</f>
        <v>#N/A</v>
      </c>
      <c r="I2381" s="187"/>
      <c r="J2381" s="140" t="e">
        <f ca="1">VLOOKUP(D2381,$F$1081:$I$4183,4,FALSE)+COUNTIF(E$1081:E2380,E2381)</f>
        <v>#N/A</v>
      </c>
      <c r="K2381" s="1"/>
      <c r="L2381" s="156"/>
      <c r="M2381" s="1"/>
      <c r="N2381" s="1"/>
      <c r="O2381" s="1"/>
    </row>
    <row r="2382" spans="1:15" hidden="1">
      <c r="A2382" s="1"/>
      <c r="B2382" s="197" t="e">
        <f t="shared" ca="1" si="241"/>
        <v>#N/A</v>
      </c>
      <c r="C2382" s="498">
        <v>316</v>
      </c>
      <c r="D2382" s="41" t="e">
        <f>IF($C$1077&gt;0,VLOOKUP($C2382,ENTI!$AL$4:AN$1003,3,FALSE),"")</f>
        <v>#N/A</v>
      </c>
      <c r="E2382" s="41" t="str">
        <f t="shared" si="239"/>
        <v/>
      </c>
      <c r="F2382" s="200"/>
      <c r="G2382" s="178" t="e">
        <f>IF($C$1077&gt;0,VLOOKUP($C2382,ENTI!$AL$4:AP$1003,5,FALSE),"")</f>
        <v>#N/A</v>
      </c>
      <c r="H2382" s="179" t="e">
        <f>IF($C$1077&gt;0,VLOOKUP($C2382,ENTI!$AL$4:AQ$1003,6,FALSE),"")</f>
        <v>#N/A</v>
      </c>
      <c r="I2382" s="187"/>
      <c r="J2382" s="140" t="e">
        <f ca="1">VLOOKUP(D2382,$F$1081:$I$4183,4,FALSE)+COUNTIF(E$1081:E2381,E2382)</f>
        <v>#N/A</v>
      </c>
      <c r="K2382" s="1"/>
      <c r="L2382" s="156"/>
      <c r="M2382" s="1"/>
      <c r="N2382" s="1"/>
      <c r="O2382" s="1"/>
    </row>
    <row r="2383" spans="1:15" hidden="1">
      <c r="A2383" s="1"/>
      <c r="B2383" s="197" t="e">
        <f t="shared" ca="1" si="241"/>
        <v>#N/A</v>
      </c>
      <c r="C2383" s="498">
        <v>317</v>
      </c>
      <c r="D2383" s="41" t="e">
        <f>IF($C$1077&gt;0,VLOOKUP($C2383,ENTI!$AL$4:AN$1003,3,FALSE),"")</f>
        <v>#N/A</v>
      </c>
      <c r="E2383" s="41" t="str">
        <f t="shared" si="239"/>
        <v/>
      </c>
      <c r="F2383" s="200"/>
      <c r="G2383" s="178" t="e">
        <f>IF($C$1077&gt;0,VLOOKUP($C2383,ENTI!$AL$4:AP$1003,5,FALSE),"")</f>
        <v>#N/A</v>
      </c>
      <c r="H2383" s="179" t="e">
        <f>IF($C$1077&gt;0,VLOOKUP($C2383,ENTI!$AL$4:AQ$1003,6,FALSE),"")</f>
        <v>#N/A</v>
      </c>
      <c r="I2383" s="187"/>
      <c r="J2383" s="140" t="e">
        <f ca="1">VLOOKUP(D2383,$F$1081:$I$4183,4,FALSE)+COUNTIF(E$1081:E2382,E2383)</f>
        <v>#N/A</v>
      </c>
      <c r="K2383" s="1"/>
      <c r="L2383" s="156"/>
      <c r="M2383" s="1"/>
      <c r="N2383" s="1"/>
      <c r="O2383" s="1"/>
    </row>
    <row r="2384" spans="1:15" hidden="1">
      <c r="A2384" s="1"/>
      <c r="B2384" s="197" t="e">
        <f t="shared" ca="1" si="241"/>
        <v>#N/A</v>
      </c>
      <c r="C2384" s="498">
        <v>318</v>
      </c>
      <c r="D2384" s="41" t="e">
        <f>IF($C$1077&gt;0,VLOOKUP($C2384,ENTI!$AL$4:AN$1003,3,FALSE),"")</f>
        <v>#N/A</v>
      </c>
      <c r="E2384" s="41" t="str">
        <f t="shared" si="239"/>
        <v/>
      </c>
      <c r="F2384" s="200"/>
      <c r="G2384" s="178" t="e">
        <f>IF($C$1077&gt;0,VLOOKUP($C2384,ENTI!$AL$4:AP$1003,5,FALSE),"")</f>
        <v>#N/A</v>
      </c>
      <c r="H2384" s="179" t="e">
        <f>IF($C$1077&gt;0,VLOOKUP($C2384,ENTI!$AL$4:AQ$1003,6,FALSE),"")</f>
        <v>#N/A</v>
      </c>
      <c r="I2384" s="187"/>
      <c r="J2384" s="140" t="e">
        <f ca="1">VLOOKUP(D2384,$F$1081:$I$4183,4,FALSE)+COUNTIF(E$1081:E2383,E2384)</f>
        <v>#N/A</v>
      </c>
      <c r="K2384" s="1"/>
      <c r="L2384" s="156"/>
      <c r="M2384" s="1"/>
      <c r="N2384" s="1"/>
      <c r="O2384" s="1"/>
    </row>
    <row r="2385" spans="1:15" hidden="1">
      <c r="A2385" s="1"/>
      <c r="B2385" s="197" t="e">
        <f t="shared" ca="1" si="241"/>
        <v>#N/A</v>
      </c>
      <c r="C2385" s="498">
        <v>319</v>
      </c>
      <c r="D2385" s="41" t="e">
        <f>IF($C$1077&gt;0,VLOOKUP($C2385,ENTI!$AL$4:AN$1003,3,FALSE),"")</f>
        <v>#N/A</v>
      </c>
      <c r="E2385" s="41" t="str">
        <f t="shared" si="239"/>
        <v/>
      </c>
      <c r="F2385" s="200"/>
      <c r="G2385" s="178" t="e">
        <f>IF($C$1077&gt;0,VLOOKUP($C2385,ENTI!$AL$4:AP$1003,5,FALSE),"")</f>
        <v>#N/A</v>
      </c>
      <c r="H2385" s="179" t="e">
        <f>IF($C$1077&gt;0,VLOOKUP($C2385,ENTI!$AL$4:AQ$1003,6,FALSE),"")</f>
        <v>#N/A</v>
      </c>
      <c r="I2385" s="187"/>
      <c r="J2385" s="140" t="e">
        <f ca="1">VLOOKUP(D2385,$F$1081:$I$4183,4,FALSE)+COUNTIF(E$1081:E2384,E2385)</f>
        <v>#N/A</v>
      </c>
      <c r="K2385" s="1"/>
      <c r="L2385" s="156"/>
      <c r="M2385" s="1"/>
      <c r="N2385" s="1"/>
      <c r="O2385" s="1"/>
    </row>
    <row r="2386" spans="1:15" hidden="1">
      <c r="A2386" s="1"/>
      <c r="B2386" s="197" t="e">
        <f t="shared" ca="1" si="241"/>
        <v>#N/A</v>
      </c>
      <c r="C2386" s="498">
        <v>320</v>
      </c>
      <c r="D2386" s="41" t="e">
        <f>IF($C$1077&gt;0,VLOOKUP($C2386,ENTI!$AL$4:AN$1003,3,FALSE),"")</f>
        <v>#N/A</v>
      </c>
      <c r="E2386" s="41" t="str">
        <f t="shared" ref="E2386:E2449" si="242">IF(ISERROR(D2386),"",D2386)</f>
        <v/>
      </c>
      <c r="F2386" s="200"/>
      <c r="G2386" s="178" t="e">
        <f>IF($C$1077&gt;0,VLOOKUP($C2386,ENTI!$AL$4:AP$1003,5,FALSE),"")</f>
        <v>#N/A</v>
      </c>
      <c r="H2386" s="179" t="e">
        <f>IF($C$1077&gt;0,VLOOKUP($C2386,ENTI!$AL$4:AQ$1003,6,FALSE),"")</f>
        <v>#N/A</v>
      </c>
      <c r="I2386" s="187"/>
      <c r="J2386" s="140" t="e">
        <f ca="1">VLOOKUP(D2386,$F$1081:$I$4183,4,FALSE)+COUNTIF(E$1081:E2385,E2386)</f>
        <v>#N/A</v>
      </c>
      <c r="K2386" s="1"/>
      <c r="L2386" s="156"/>
      <c r="M2386" s="1"/>
      <c r="N2386" s="1"/>
      <c r="O2386" s="1"/>
    </row>
    <row r="2387" spans="1:15" hidden="1">
      <c r="A2387" s="1"/>
      <c r="B2387" s="197" t="e">
        <f t="shared" ca="1" si="241"/>
        <v>#N/A</v>
      </c>
      <c r="C2387" s="498">
        <v>321</v>
      </c>
      <c r="D2387" s="41" t="e">
        <f>IF($C$1077&gt;0,VLOOKUP($C2387,ENTI!$AL$4:AN$1003,3,FALSE),"")</f>
        <v>#N/A</v>
      </c>
      <c r="E2387" s="41" t="str">
        <f t="shared" si="242"/>
        <v/>
      </c>
      <c r="F2387" s="200"/>
      <c r="G2387" s="178" t="e">
        <f>IF($C$1077&gt;0,VLOOKUP($C2387,ENTI!$AL$4:AP$1003,5,FALSE),"")</f>
        <v>#N/A</v>
      </c>
      <c r="H2387" s="179" t="e">
        <f>IF($C$1077&gt;0,VLOOKUP($C2387,ENTI!$AL$4:AQ$1003,6,FALSE),"")</f>
        <v>#N/A</v>
      </c>
      <c r="I2387" s="187"/>
      <c r="J2387" s="140" t="e">
        <f ca="1">VLOOKUP(D2387,$F$1081:$I$4183,4,FALSE)+COUNTIF(E$1081:E2386,E2387)</f>
        <v>#N/A</v>
      </c>
      <c r="K2387" s="1"/>
      <c r="L2387" s="156"/>
      <c r="M2387" s="1"/>
      <c r="N2387" s="1"/>
      <c r="O2387" s="1"/>
    </row>
    <row r="2388" spans="1:15" hidden="1">
      <c r="A2388" s="1"/>
      <c r="B2388" s="197" t="e">
        <f t="shared" ca="1" si="241"/>
        <v>#N/A</v>
      </c>
      <c r="C2388" s="498">
        <v>322</v>
      </c>
      <c r="D2388" s="41" t="e">
        <f>IF($C$1077&gt;0,VLOOKUP($C2388,ENTI!$AL$4:AN$1003,3,FALSE),"")</f>
        <v>#N/A</v>
      </c>
      <c r="E2388" s="41" t="str">
        <f t="shared" si="242"/>
        <v/>
      </c>
      <c r="F2388" s="200"/>
      <c r="G2388" s="178" t="e">
        <f>IF($C$1077&gt;0,VLOOKUP($C2388,ENTI!$AL$4:AP$1003,5,FALSE),"")</f>
        <v>#N/A</v>
      </c>
      <c r="H2388" s="179" t="e">
        <f>IF($C$1077&gt;0,VLOOKUP($C2388,ENTI!$AL$4:AQ$1003,6,FALSE),"")</f>
        <v>#N/A</v>
      </c>
      <c r="I2388" s="187"/>
      <c r="J2388" s="140" t="e">
        <f ca="1">VLOOKUP(D2388,$F$1081:$I$4183,4,FALSE)+COUNTIF(E$1081:E2387,E2388)</f>
        <v>#N/A</v>
      </c>
      <c r="K2388" s="1"/>
      <c r="L2388" s="156"/>
      <c r="M2388" s="1"/>
      <c r="N2388" s="1"/>
      <c r="O2388" s="1"/>
    </row>
    <row r="2389" spans="1:15" hidden="1">
      <c r="A2389" s="1"/>
      <c r="B2389" s="197" t="e">
        <f t="shared" ca="1" si="241"/>
        <v>#N/A</v>
      </c>
      <c r="C2389" s="498">
        <v>323</v>
      </c>
      <c r="D2389" s="41" t="e">
        <f>IF($C$1077&gt;0,VLOOKUP($C2389,ENTI!$AL$4:AN$1003,3,FALSE),"")</f>
        <v>#N/A</v>
      </c>
      <c r="E2389" s="41" t="str">
        <f t="shared" si="242"/>
        <v/>
      </c>
      <c r="F2389" s="200"/>
      <c r="G2389" s="178" t="e">
        <f>IF($C$1077&gt;0,VLOOKUP($C2389,ENTI!$AL$4:AP$1003,5,FALSE),"")</f>
        <v>#N/A</v>
      </c>
      <c r="H2389" s="179" t="e">
        <f>IF($C$1077&gt;0,VLOOKUP($C2389,ENTI!$AL$4:AQ$1003,6,FALSE),"")</f>
        <v>#N/A</v>
      </c>
      <c r="I2389" s="187"/>
      <c r="J2389" s="140" t="e">
        <f ca="1">VLOOKUP(D2389,$F$1081:$I$4183,4,FALSE)+COUNTIF(E$1081:E2388,E2389)</f>
        <v>#N/A</v>
      </c>
      <c r="K2389" s="1"/>
      <c r="L2389" s="156"/>
      <c r="M2389" s="1"/>
      <c r="N2389" s="1"/>
      <c r="O2389" s="1"/>
    </row>
    <row r="2390" spans="1:15" hidden="1">
      <c r="A2390" s="1"/>
      <c r="B2390" s="197" t="e">
        <f t="shared" ca="1" si="241"/>
        <v>#N/A</v>
      </c>
      <c r="C2390" s="498">
        <v>324</v>
      </c>
      <c r="D2390" s="41" t="e">
        <f>IF($C$1077&gt;0,VLOOKUP($C2390,ENTI!$AL$4:AN$1003,3,FALSE),"")</f>
        <v>#N/A</v>
      </c>
      <c r="E2390" s="41" t="str">
        <f t="shared" si="242"/>
        <v/>
      </c>
      <c r="F2390" s="200"/>
      <c r="G2390" s="178" t="e">
        <f>IF($C$1077&gt;0,VLOOKUP($C2390,ENTI!$AL$4:AP$1003,5,FALSE),"")</f>
        <v>#N/A</v>
      </c>
      <c r="H2390" s="179" t="e">
        <f>IF($C$1077&gt;0,VLOOKUP($C2390,ENTI!$AL$4:AQ$1003,6,FALSE),"")</f>
        <v>#N/A</v>
      </c>
      <c r="I2390" s="187"/>
      <c r="J2390" s="140" t="e">
        <f ca="1">VLOOKUP(D2390,$F$1081:$I$4183,4,FALSE)+COUNTIF(E$1081:E2389,E2390)</f>
        <v>#N/A</v>
      </c>
      <c r="K2390" s="1"/>
      <c r="L2390" s="156"/>
      <c r="M2390" s="1"/>
      <c r="N2390" s="1"/>
      <c r="O2390" s="1"/>
    </row>
    <row r="2391" spans="1:15" hidden="1">
      <c r="A2391" s="1"/>
      <c r="B2391" s="197" t="e">
        <f t="shared" ca="1" si="241"/>
        <v>#N/A</v>
      </c>
      <c r="C2391" s="498">
        <v>325</v>
      </c>
      <c r="D2391" s="41" t="e">
        <f>IF($C$1077&gt;0,VLOOKUP($C2391,ENTI!$AL$4:AN$1003,3,FALSE),"")</f>
        <v>#N/A</v>
      </c>
      <c r="E2391" s="41" t="str">
        <f t="shared" si="242"/>
        <v/>
      </c>
      <c r="F2391" s="200"/>
      <c r="G2391" s="178" t="e">
        <f>IF($C$1077&gt;0,VLOOKUP($C2391,ENTI!$AL$4:AP$1003,5,FALSE),"")</f>
        <v>#N/A</v>
      </c>
      <c r="H2391" s="179" t="e">
        <f>IF($C$1077&gt;0,VLOOKUP($C2391,ENTI!$AL$4:AQ$1003,6,FALSE),"")</f>
        <v>#N/A</v>
      </c>
      <c r="I2391" s="187"/>
      <c r="J2391" s="140" t="e">
        <f ca="1">VLOOKUP(D2391,$F$1081:$I$4183,4,FALSE)+COUNTIF(E$1081:E2390,E2391)</f>
        <v>#N/A</v>
      </c>
      <c r="K2391" s="1"/>
      <c r="L2391" s="156"/>
      <c r="M2391" s="1"/>
      <c r="N2391" s="1"/>
      <c r="O2391" s="1"/>
    </row>
    <row r="2392" spans="1:15" hidden="1">
      <c r="A2392" s="1"/>
      <c r="B2392" s="197" t="e">
        <f t="shared" ca="1" si="241"/>
        <v>#N/A</v>
      </c>
      <c r="C2392" s="498">
        <v>326</v>
      </c>
      <c r="D2392" s="41" t="e">
        <f>IF($C$1077&gt;0,VLOOKUP($C2392,ENTI!$AL$4:AN$1003,3,FALSE),"")</f>
        <v>#N/A</v>
      </c>
      <c r="E2392" s="41" t="str">
        <f t="shared" si="242"/>
        <v/>
      </c>
      <c r="F2392" s="200"/>
      <c r="G2392" s="178" t="e">
        <f>IF($C$1077&gt;0,VLOOKUP($C2392,ENTI!$AL$4:AP$1003,5,FALSE),"")</f>
        <v>#N/A</v>
      </c>
      <c r="H2392" s="179" t="e">
        <f>IF($C$1077&gt;0,VLOOKUP($C2392,ENTI!$AL$4:AQ$1003,6,FALSE),"")</f>
        <v>#N/A</v>
      </c>
      <c r="I2392" s="187"/>
      <c r="J2392" s="140" t="e">
        <f ca="1">VLOOKUP(D2392,$F$1081:$I$4183,4,FALSE)+COUNTIF(E$1081:E2391,E2392)</f>
        <v>#N/A</v>
      </c>
      <c r="K2392" s="1"/>
      <c r="L2392" s="156"/>
      <c r="M2392" s="1"/>
      <c r="N2392" s="1"/>
      <c r="O2392" s="1"/>
    </row>
    <row r="2393" spans="1:15" hidden="1">
      <c r="A2393" s="1"/>
      <c r="B2393" s="197" t="e">
        <f t="shared" ref="B2393:B2424" ca="1" si="243">IF(OR(C$1075&gt;0,C$1077&gt;0,C$1073&gt;0,C$1071&gt;0),J2393+1,J2393)</f>
        <v>#N/A</v>
      </c>
      <c r="C2393" s="498">
        <v>327</v>
      </c>
      <c r="D2393" s="41" t="e">
        <f>IF($C$1077&gt;0,VLOOKUP($C2393,ENTI!$AL$4:AN$1003,3,FALSE),"")</f>
        <v>#N/A</v>
      </c>
      <c r="E2393" s="41" t="str">
        <f t="shared" si="242"/>
        <v/>
      </c>
      <c r="F2393" s="200"/>
      <c r="G2393" s="178" t="e">
        <f>IF($C$1077&gt;0,VLOOKUP($C2393,ENTI!$AL$4:AP$1003,5,FALSE),"")</f>
        <v>#N/A</v>
      </c>
      <c r="H2393" s="179" t="e">
        <f>IF($C$1077&gt;0,VLOOKUP($C2393,ENTI!$AL$4:AQ$1003,6,FALSE),"")</f>
        <v>#N/A</v>
      </c>
      <c r="I2393" s="187"/>
      <c r="J2393" s="140" t="e">
        <f ca="1">VLOOKUP(D2393,$F$1081:$I$4183,4,FALSE)+COUNTIF(E$1081:E2392,E2393)</f>
        <v>#N/A</v>
      </c>
      <c r="K2393" s="1"/>
      <c r="L2393" s="156"/>
      <c r="M2393" s="1"/>
      <c r="N2393" s="1"/>
      <c r="O2393" s="1"/>
    </row>
    <row r="2394" spans="1:15" hidden="1">
      <c r="A2394" s="1"/>
      <c r="B2394" s="197" t="e">
        <f t="shared" ca="1" si="243"/>
        <v>#N/A</v>
      </c>
      <c r="C2394" s="498">
        <v>328</v>
      </c>
      <c r="D2394" s="41" t="e">
        <f>IF($C$1077&gt;0,VLOOKUP($C2394,ENTI!$AL$4:AN$1003,3,FALSE),"")</f>
        <v>#N/A</v>
      </c>
      <c r="E2394" s="41" t="str">
        <f t="shared" si="242"/>
        <v/>
      </c>
      <c r="F2394" s="200"/>
      <c r="G2394" s="178" t="e">
        <f>IF($C$1077&gt;0,VLOOKUP($C2394,ENTI!$AL$4:AP$1003,5,FALSE),"")</f>
        <v>#N/A</v>
      </c>
      <c r="H2394" s="179" t="e">
        <f>IF($C$1077&gt;0,VLOOKUP($C2394,ENTI!$AL$4:AQ$1003,6,FALSE),"")</f>
        <v>#N/A</v>
      </c>
      <c r="I2394" s="187"/>
      <c r="J2394" s="140" t="e">
        <f ca="1">VLOOKUP(D2394,$F$1081:$I$4183,4,FALSE)+COUNTIF(E$1081:E2393,E2394)</f>
        <v>#N/A</v>
      </c>
      <c r="K2394" s="1"/>
      <c r="L2394" s="156"/>
      <c r="M2394" s="1"/>
      <c r="N2394" s="1"/>
      <c r="O2394" s="1"/>
    </row>
    <row r="2395" spans="1:15" hidden="1">
      <c r="A2395" s="1"/>
      <c r="B2395" s="197" t="e">
        <f t="shared" ca="1" si="243"/>
        <v>#N/A</v>
      </c>
      <c r="C2395" s="498">
        <v>329</v>
      </c>
      <c r="D2395" s="41" t="e">
        <f>IF($C$1077&gt;0,VLOOKUP($C2395,ENTI!$AL$4:AN$1003,3,FALSE),"")</f>
        <v>#N/A</v>
      </c>
      <c r="E2395" s="41" t="str">
        <f t="shared" si="242"/>
        <v/>
      </c>
      <c r="F2395" s="200"/>
      <c r="G2395" s="178" t="e">
        <f>IF($C$1077&gt;0,VLOOKUP($C2395,ENTI!$AL$4:AP$1003,5,FALSE),"")</f>
        <v>#N/A</v>
      </c>
      <c r="H2395" s="179" t="e">
        <f>IF($C$1077&gt;0,VLOOKUP($C2395,ENTI!$AL$4:AQ$1003,6,FALSE),"")</f>
        <v>#N/A</v>
      </c>
      <c r="I2395" s="187"/>
      <c r="J2395" s="140" t="e">
        <f ca="1">VLOOKUP(D2395,$F$1081:$I$4183,4,FALSE)+COUNTIF(E$1081:E2394,E2395)</f>
        <v>#N/A</v>
      </c>
      <c r="K2395" s="1"/>
      <c r="L2395" s="156"/>
      <c r="M2395" s="1"/>
      <c r="N2395" s="1"/>
      <c r="O2395" s="1"/>
    </row>
    <row r="2396" spans="1:15" hidden="1">
      <c r="A2396" s="1"/>
      <c r="B2396" s="197" t="e">
        <f t="shared" ca="1" si="243"/>
        <v>#N/A</v>
      </c>
      <c r="C2396" s="498">
        <v>330</v>
      </c>
      <c r="D2396" s="41" t="e">
        <f>IF($C$1077&gt;0,VLOOKUP($C2396,ENTI!$AL$4:AN$1003,3,FALSE),"")</f>
        <v>#N/A</v>
      </c>
      <c r="E2396" s="41" t="str">
        <f t="shared" si="242"/>
        <v/>
      </c>
      <c r="F2396" s="200"/>
      <c r="G2396" s="178" t="e">
        <f>IF($C$1077&gt;0,VLOOKUP($C2396,ENTI!$AL$4:AP$1003,5,FALSE),"")</f>
        <v>#N/A</v>
      </c>
      <c r="H2396" s="179" t="e">
        <f>IF($C$1077&gt;0,VLOOKUP($C2396,ENTI!$AL$4:AQ$1003,6,FALSE),"")</f>
        <v>#N/A</v>
      </c>
      <c r="I2396" s="187"/>
      <c r="J2396" s="140" t="e">
        <f ca="1">VLOOKUP(D2396,$F$1081:$I$4183,4,FALSE)+COUNTIF(E$1081:E2395,E2396)</f>
        <v>#N/A</v>
      </c>
      <c r="K2396" s="1"/>
      <c r="L2396" s="156"/>
      <c r="M2396" s="1"/>
      <c r="N2396" s="1"/>
      <c r="O2396" s="1"/>
    </row>
    <row r="2397" spans="1:15" hidden="1">
      <c r="A2397" s="1"/>
      <c r="B2397" s="197" t="e">
        <f t="shared" ca="1" si="243"/>
        <v>#N/A</v>
      </c>
      <c r="C2397" s="498">
        <v>331</v>
      </c>
      <c r="D2397" s="41" t="e">
        <f>IF($C$1077&gt;0,VLOOKUP($C2397,ENTI!$AL$4:AN$1003,3,FALSE),"")</f>
        <v>#N/A</v>
      </c>
      <c r="E2397" s="41" t="str">
        <f t="shared" si="242"/>
        <v/>
      </c>
      <c r="F2397" s="200"/>
      <c r="G2397" s="178" t="e">
        <f>IF($C$1077&gt;0,VLOOKUP($C2397,ENTI!$AL$4:AP$1003,5,FALSE),"")</f>
        <v>#N/A</v>
      </c>
      <c r="H2397" s="179" t="e">
        <f>IF($C$1077&gt;0,VLOOKUP($C2397,ENTI!$AL$4:AQ$1003,6,FALSE),"")</f>
        <v>#N/A</v>
      </c>
      <c r="I2397" s="187"/>
      <c r="J2397" s="140" t="e">
        <f ca="1">VLOOKUP(D2397,$F$1081:$I$4183,4,FALSE)+COUNTIF(E$1081:E2396,E2397)</f>
        <v>#N/A</v>
      </c>
      <c r="K2397" s="1"/>
      <c r="L2397" s="156"/>
      <c r="M2397" s="1"/>
      <c r="N2397" s="1"/>
      <c r="O2397" s="1"/>
    </row>
    <row r="2398" spans="1:15" hidden="1">
      <c r="A2398" s="1"/>
      <c r="B2398" s="197" t="e">
        <f t="shared" ca="1" si="243"/>
        <v>#N/A</v>
      </c>
      <c r="C2398" s="498">
        <v>332</v>
      </c>
      <c r="D2398" s="41" t="e">
        <f>IF($C$1077&gt;0,VLOOKUP($C2398,ENTI!$AL$4:AN$1003,3,FALSE),"")</f>
        <v>#N/A</v>
      </c>
      <c r="E2398" s="41" t="str">
        <f t="shared" si="242"/>
        <v/>
      </c>
      <c r="F2398" s="200"/>
      <c r="G2398" s="178" t="e">
        <f>IF($C$1077&gt;0,VLOOKUP($C2398,ENTI!$AL$4:AP$1003,5,FALSE),"")</f>
        <v>#N/A</v>
      </c>
      <c r="H2398" s="179" t="e">
        <f>IF($C$1077&gt;0,VLOOKUP($C2398,ENTI!$AL$4:AQ$1003,6,FALSE),"")</f>
        <v>#N/A</v>
      </c>
      <c r="I2398" s="187"/>
      <c r="J2398" s="140" t="e">
        <f ca="1">VLOOKUP(D2398,$F$1081:$I$4183,4,FALSE)+COUNTIF(E$1081:E2397,E2398)</f>
        <v>#N/A</v>
      </c>
      <c r="K2398" s="1"/>
      <c r="L2398" s="156"/>
      <c r="M2398" s="1"/>
      <c r="N2398" s="1"/>
      <c r="O2398" s="1"/>
    </row>
    <row r="2399" spans="1:15" hidden="1">
      <c r="A2399" s="1"/>
      <c r="B2399" s="197" t="e">
        <f t="shared" ca="1" si="243"/>
        <v>#N/A</v>
      </c>
      <c r="C2399" s="498">
        <v>333</v>
      </c>
      <c r="D2399" s="41" t="e">
        <f>IF($C$1077&gt;0,VLOOKUP($C2399,ENTI!$AL$4:AN$1003,3,FALSE),"")</f>
        <v>#N/A</v>
      </c>
      <c r="E2399" s="41" t="str">
        <f t="shared" si="242"/>
        <v/>
      </c>
      <c r="F2399" s="200"/>
      <c r="G2399" s="178" t="e">
        <f>IF($C$1077&gt;0,VLOOKUP($C2399,ENTI!$AL$4:AP$1003,5,FALSE),"")</f>
        <v>#N/A</v>
      </c>
      <c r="H2399" s="179" t="e">
        <f>IF($C$1077&gt;0,VLOOKUP($C2399,ENTI!$AL$4:AQ$1003,6,FALSE),"")</f>
        <v>#N/A</v>
      </c>
      <c r="I2399" s="187"/>
      <c r="J2399" s="140" t="e">
        <f ca="1">VLOOKUP(D2399,$F$1081:$I$4183,4,FALSE)+COUNTIF(E$1081:E2398,E2399)</f>
        <v>#N/A</v>
      </c>
      <c r="K2399" s="1"/>
      <c r="L2399" s="156"/>
      <c r="M2399" s="1"/>
      <c r="N2399" s="1"/>
      <c r="O2399" s="1"/>
    </row>
    <row r="2400" spans="1:15" hidden="1">
      <c r="A2400" s="1"/>
      <c r="B2400" s="197" t="e">
        <f t="shared" ca="1" si="243"/>
        <v>#N/A</v>
      </c>
      <c r="C2400" s="498">
        <v>334</v>
      </c>
      <c r="D2400" s="41" t="e">
        <f>IF($C$1077&gt;0,VLOOKUP($C2400,ENTI!$AL$4:AN$1003,3,FALSE),"")</f>
        <v>#N/A</v>
      </c>
      <c r="E2400" s="41" t="str">
        <f t="shared" si="242"/>
        <v/>
      </c>
      <c r="F2400" s="200"/>
      <c r="G2400" s="178" t="e">
        <f>IF($C$1077&gt;0,VLOOKUP($C2400,ENTI!$AL$4:AP$1003,5,FALSE),"")</f>
        <v>#N/A</v>
      </c>
      <c r="H2400" s="179" t="e">
        <f>IF($C$1077&gt;0,VLOOKUP($C2400,ENTI!$AL$4:AQ$1003,6,FALSE),"")</f>
        <v>#N/A</v>
      </c>
      <c r="I2400" s="187"/>
      <c r="J2400" s="140" t="e">
        <f ca="1">VLOOKUP(D2400,$F$1081:$I$4183,4,FALSE)+COUNTIF(E$1081:E2399,E2400)</f>
        <v>#N/A</v>
      </c>
      <c r="K2400" s="1"/>
      <c r="L2400" s="156"/>
      <c r="M2400" s="1"/>
      <c r="N2400" s="1"/>
      <c r="O2400" s="1"/>
    </row>
    <row r="2401" spans="1:15" hidden="1">
      <c r="A2401" s="1"/>
      <c r="B2401" s="197" t="e">
        <f t="shared" ca="1" si="243"/>
        <v>#N/A</v>
      </c>
      <c r="C2401" s="498">
        <v>335</v>
      </c>
      <c r="D2401" s="41" t="e">
        <f>IF($C$1077&gt;0,VLOOKUP($C2401,ENTI!$AL$4:AN$1003,3,FALSE),"")</f>
        <v>#N/A</v>
      </c>
      <c r="E2401" s="41" t="str">
        <f t="shared" si="242"/>
        <v/>
      </c>
      <c r="F2401" s="200"/>
      <c r="G2401" s="178" t="e">
        <f>IF($C$1077&gt;0,VLOOKUP($C2401,ENTI!$AL$4:AP$1003,5,FALSE),"")</f>
        <v>#N/A</v>
      </c>
      <c r="H2401" s="179" t="e">
        <f>IF($C$1077&gt;0,VLOOKUP($C2401,ENTI!$AL$4:AQ$1003,6,FALSE),"")</f>
        <v>#N/A</v>
      </c>
      <c r="I2401" s="187"/>
      <c r="J2401" s="140" t="e">
        <f ca="1">VLOOKUP(D2401,$F$1081:$I$4183,4,FALSE)+COUNTIF(E$1081:E2400,E2401)</f>
        <v>#N/A</v>
      </c>
      <c r="K2401" s="1"/>
      <c r="L2401" s="156"/>
      <c r="M2401" s="1"/>
      <c r="N2401" s="1"/>
      <c r="O2401" s="1"/>
    </row>
    <row r="2402" spans="1:15" hidden="1">
      <c r="A2402" s="1"/>
      <c r="B2402" s="197" t="e">
        <f t="shared" ca="1" si="243"/>
        <v>#N/A</v>
      </c>
      <c r="C2402" s="498">
        <v>336</v>
      </c>
      <c r="D2402" s="41" t="e">
        <f>IF($C$1077&gt;0,VLOOKUP($C2402,ENTI!$AL$4:AN$1003,3,FALSE),"")</f>
        <v>#N/A</v>
      </c>
      <c r="E2402" s="41" t="str">
        <f t="shared" si="242"/>
        <v/>
      </c>
      <c r="F2402" s="200"/>
      <c r="G2402" s="178" t="e">
        <f>IF($C$1077&gt;0,VLOOKUP($C2402,ENTI!$AL$4:AP$1003,5,FALSE),"")</f>
        <v>#N/A</v>
      </c>
      <c r="H2402" s="179" t="e">
        <f>IF($C$1077&gt;0,VLOOKUP($C2402,ENTI!$AL$4:AQ$1003,6,FALSE),"")</f>
        <v>#N/A</v>
      </c>
      <c r="I2402" s="187"/>
      <c r="J2402" s="140" t="e">
        <f ca="1">VLOOKUP(D2402,$F$1081:$I$4183,4,FALSE)+COUNTIF(E$1081:E2401,E2402)</f>
        <v>#N/A</v>
      </c>
      <c r="K2402" s="1"/>
      <c r="L2402" s="156"/>
      <c r="M2402" s="1"/>
      <c r="N2402" s="1"/>
      <c r="O2402" s="1"/>
    </row>
    <row r="2403" spans="1:15" hidden="1">
      <c r="A2403" s="1"/>
      <c r="B2403" s="197" t="e">
        <f t="shared" ca="1" si="243"/>
        <v>#N/A</v>
      </c>
      <c r="C2403" s="498">
        <v>337</v>
      </c>
      <c r="D2403" s="41" t="e">
        <f>IF($C$1077&gt;0,VLOOKUP($C2403,ENTI!$AL$4:AN$1003,3,FALSE),"")</f>
        <v>#N/A</v>
      </c>
      <c r="E2403" s="41" t="str">
        <f t="shared" si="242"/>
        <v/>
      </c>
      <c r="F2403" s="200"/>
      <c r="G2403" s="178" t="e">
        <f>IF($C$1077&gt;0,VLOOKUP($C2403,ENTI!$AL$4:AP$1003,5,FALSE),"")</f>
        <v>#N/A</v>
      </c>
      <c r="H2403" s="179" t="e">
        <f>IF($C$1077&gt;0,VLOOKUP($C2403,ENTI!$AL$4:AQ$1003,6,FALSE),"")</f>
        <v>#N/A</v>
      </c>
      <c r="I2403" s="187"/>
      <c r="J2403" s="140" t="e">
        <f ca="1">VLOOKUP(D2403,$F$1081:$I$4183,4,FALSE)+COUNTIF(E$1081:E2402,E2403)</f>
        <v>#N/A</v>
      </c>
      <c r="K2403" s="1"/>
      <c r="L2403" s="156"/>
      <c r="M2403" s="1"/>
      <c r="N2403" s="1"/>
      <c r="O2403" s="1"/>
    </row>
    <row r="2404" spans="1:15" hidden="1">
      <c r="A2404" s="1"/>
      <c r="B2404" s="197" t="e">
        <f t="shared" ca="1" si="243"/>
        <v>#N/A</v>
      </c>
      <c r="C2404" s="498">
        <v>338</v>
      </c>
      <c r="D2404" s="41" t="e">
        <f>IF($C$1077&gt;0,VLOOKUP($C2404,ENTI!$AL$4:AN$1003,3,FALSE),"")</f>
        <v>#N/A</v>
      </c>
      <c r="E2404" s="41" t="str">
        <f t="shared" si="242"/>
        <v/>
      </c>
      <c r="F2404" s="200"/>
      <c r="G2404" s="178" t="e">
        <f>IF($C$1077&gt;0,VLOOKUP($C2404,ENTI!$AL$4:AP$1003,5,FALSE),"")</f>
        <v>#N/A</v>
      </c>
      <c r="H2404" s="179" t="e">
        <f>IF($C$1077&gt;0,VLOOKUP($C2404,ENTI!$AL$4:AQ$1003,6,FALSE),"")</f>
        <v>#N/A</v>
      </c>
      <c r="I2404" s="187"/>
      <c r="J2404" s="140" t="e">
        <f ca="1">VLOOKUP(D2404,$F$1081:$I$4183,4,FALSE)+COUNTIF(E$1081:E2403,E2404)</f>
        <v>#N/A</v>
      </c>
      <c r="K2404" s="1"/>
      <c r="L2404" s="156"/>
      <c r="M2404" s="1"/>
      <c r="N2404" s="1"/>
      <c r="O2404" s="1"/>
    </row>
    <row r="2405" spans="1:15" hidden="1">
      <c r="A2405" s="1"/>
      <c r="B2405" s="197" t="e">
        <f t="shared" ca="1" si="243"/>
        <v>#N/A</v>
      </c>
      <c r="C2405" s="498">
        <v>339</v>
      </c>
      <c r="D2405" s="41" t="e">
        <f>IF($C$1077&gt;0,VLOOKUP($C2405,ENTI!$AL$4:AN$1003,3,FALSE),"")</f>
        <v>#N/A</v>
      </c>
      <c r="E2405" s="41" t="str">
        <f t="shared" si="242"/>
        <v/>
      </c>
      <c r="F2405" s="200"/>
      <c r="G2405" s="178" t="e">
        <f>IF($C$1077&gt;0,VLOOKUP($C2405,ENTI!$AL$4:AP$1003,5,FALSE),"")</f>
        <v>#N/A</v>
      </c>
      <c r="H2405" s="179" t="e">
        <f>IF($C$1077&gt;0,VLOOKUP($C2405,ENTI!$AL$4:AQ$1003,6,FALSE),"")</f>
        <v>#N/A</v>
      </c>
      <c r="I2405" s="187"/>
      <c r="J2405" s="140" t="e">
        <f ca="1">VLOOKUP(D2405,$F$1081:$I$4183,4,FALSE)+COUNTIF(E$1081:E2404,E2405)</f>
        <v>#N/A</v>
      </c>
      <c r="K2405" s="1"/>
      <c r="L2405" s="156"/>
      <c r="M2405" s="1"/>
      <c r="N2405" s="1"/>
      <c r="O2405" s="1"/>
    </row>
    <row r="2406" spans="1:15" hidden="1">
      <c r="A2406" s="1"/>
      <c r="B2406" s="197" t="e">
        <f t="shared" ca="1" si="243"/>
        <v>#N/A</v>
      </c>
      <c r="C2406" s="498">
        <v>340</v>
      </c>
      <c r="D2406" s="41" t="e">
        <f>IF($C$1077&gt;0,VLOOKUP($C2406,ENTI!$AL$4:AN$1003,3,FALSE),"")</f>
        <v>#N/A</v>
      </c>
      <c r="E2406" s="41" t="str">
        <f t="shared" si="242"/>
        <v/>
      </c>
      <c r="F2406" s="200"/>
      <c r="G2406" s="178" t="e">
        <f>IF($C$1077&gt;0,VLOOKUP($C2406,ENTI!$AL$4:AP$1003,5,FALSE),"")</f>
        <v>#N/A</v>
      </c>
      <c r="H2406" s="179" t="e">
        <f>IF($C$1077&gt;0,VLOOKUP($C2406,ENTI!$AL$4:AQ$1003,6,FALSE),"")</f>
        <v>#N/A</v>
      </c>
      <c r="I2406" s="187"/>
      <c r="J2406" s="140" t="e">
        <f ca="1">VLOOKUP(D2406,$F$1081:$I$4183,4,FALSE)+COUNTIF(E$1081:E2405,E2406)</f>
        <v>#N/A</v>
      </c>
      <c r="K2406" s="1"/>
      <c r="L2406" s="156"/>
      <c r="M2406" s="1"/>
      <c r="N2406" s="1"/>
      <c r="O2406" s="1"/>
    </row>
    <row r="2407" spans="1:15" hidden="1">
      <c r="A2407" s="1"/>
      <c r="B2407" s="197" t="e">
        <f t="shared" ca="1" si="243"/>
        <v>#N/A</v>
      </c>
      <c r="C2407" s="498">
        <v>341</v>
      </c>
      <c r="D2407" s="41" t="e">
        <f>IF($C$1077&gt;0,VLOOKUP($C2407,ENTI!$AL$4:AN$1003,3,FALSE),"")</f>
        <v>#N/A</v>
      </c>
      <c r="E2407" s="41" t="str">
        <f t="shared" si="242"/>
        <v/>
      </c>
      <c r="F2407" s="200"/>
      <c r="G2407" s="178" t="e">
        <f>IF($C$1077&gt;0,VLOOKUP($C2407,ENTI!$AL$4:AP$1003,5,FALSE),"")</f>
        <v>#N/A</v>
      </c>
      <c r="H2407" s="179" t="e">
        <f>IF($C$1077&gt;0,VLOOKUP($C2407,ENTI!$AL$4:AQ$1003,6,FALSE),"")</f>
        <v>#N/A</v>
      </c>
      <c r="I2407" s="187"/>
      <c r="J2407" s="140" t="e">
        <f ca="1">VLOOKUP(D2407,$F$1081:$I$4183,4,FALSE)+COUNTIF(E$1081:E2406,E2407)</f>
        <v>#N/A</v>
      </c>
      <c r="K2407" s="1"/>
      <c r="L2407" s="156"/>
      <c r="M2407" s="1"/>
      <c r="N2407" s="1"/>
      <c r="O2407" s="1"/>
    </row>
    <row r="2408" spans="1:15" hidden="1">
      <c r="A2408" s="1"/>
      <c r="B2408" s="197" t="e">
        <f t="shared" ca="1" si="243"/>
        <v>#N/A</v>
      </c>
      <c r="C2408" s="498">
        <v>342</v>
      </c>
      <c r="D2408" s="41" t="e">
        <f>IF($C$1077&gt;0,VLOOKUP($C2408,ENTI!$AL$4:AN$1003,3,FALSE),"")</f>
        <v>#N/A</v>
      </c>
      <c r="E2408" s="41" t="str">
        <f t="shared" si="242"/>
        <v/>
      </c>
      <c r="F2408" s="200"/>
      <c r="G2408" s="178" t="e">
        <f>IF($C$1077&gt;0,VLOOKUP($C2408,ENTI!$AL$4:AP$1003,5,FALSE),"")</f>
        <v>#N/A</v>
      </c>
      <c r="H2408" s="179" t="e">
        <f>IF($C$1077&gt;0,VLOOKUP($C2408,ENTI!$AL$4:AQ$1003,6,FALSE),"")</f>
        <v>#N/A</v>
      </c>
      <c r="I2408" s="187"/>
      <c r="J2408" s="140" t="e">
        <f ca="1">VLOOKUP(D2408,$F$1081:$I$4183,4,FALSE)+COUNTIF(E$1081:E2407,E2408)</f>
        <v>#N/A</v>
      </c>
      <c r="K2408" s="1"/>
      <c r="L2408" s="156"/>
      <c r="M2408" s="1"/>
      <c r="N2408" s="1"/>
      <c r="O2408" s="1"/>
    </row>
    <row r="2409" spans="1:15" hidden="1">
      <c r="A2409" s="1"/>
      <c r="B2409" s="197" t="e">
        <f t="shared" ca="1" si="243"/>
        <v>#N/A</v>
      </c>
      <c r="C2409" s="498">
        <v>343</v>
      </c>
      <c r="D2409" s="41" t="e">
        <f>IF($C$1077&gt;0,VLOOKUP($C2409,ENTI!$AL$4:AN$1003,3,FALSE),"")</f>
        <v>#N/A</v>
      </c>
      <c r="E2409" s="41" t="str">
        <f t="shared" si="242"/>
        <v/>
      </c>
      <c r="F2409" s="200"/>
      <c r="G2409" s="178" t="e">
        <f>IF($C$1077&gt;0,VLOOKUP($C2409,ENTI!$AL$4:AP$1003,5,FALSE),"")</f>
        <v>#N/A</v>
      </c>
      <c r="H2409" s="179" t="e">
        <f>IF($C$1077&gt;0,VLOOKUP($C2409,ENTI!$AL$4:AQ$1003,6,FALSE),"")</f>
        <v>#N/A</v>
      </c>
      <c r="I2409" s="187"/>
      <c r="J2409" s="140" t="e">
        <f ca="1">VLOOKUP(D2409,$F$1081:$I$4183,4,FALSE)+COUNTIF(E$1081:E2408,E2409)</f>
        <v>#N/A</v>
      </c>
      <c r="K2409" s="1"/>
      <c r="L2409" s="156"/>
      <c r="M2409" s="1"/>
      <c r="N2409" s="1"/>
      <c r="O2409" s="1"/>
    </row>
    <row r="2410" spans="1:15" hidden="1">
      <c r="A2410" s="1"/>
      <c r="B2410" s="197" t="e">
        <f t="shared" ca="1" si="243"/>
        <v>#N/A</v>
      </c>
      <c r="C2410" s="498">
        <v>344</v>
      </c>
      <c r="D2410" s="41" t="e">
        <f>IF($C$1077&gt;0,VLOOKUP($C2410,ENTI!$AL$4:AN$1003,3,FALSE),"")</f>
        <v>#N/A</v>
      </c>
      <c r="E2410" s="41" t="str">
        <f t="shared" si="242"/>
        <v/>
      </c>
      <c r="F2410" s="200"/>
      <c r="G2410" s="178" t="e">
        <f>IF($C$1077&gt;0,VLOOKUP($C2410,ENTI!$AL$4:AP$1003,5,FALSE),"")</f>
        <v>#N/A</v>
      </c>
      <c r="H2410" s="179" t="e">
        <f>IF($C$1077&gt;0,VLOOKUP($C2410,ENTI!$AL$4:AQ$1003,6,FALSE),"")</f>
        <v>#N/A</v>
      </c>
      <c r="I2410" s="187"/>
      <c r="J2410" s="140" t="e">
        <f ca="1">VLOOKUP(D2410,$F$1081:$I$4183,4,FALSE)+COUNTIF(E$1081:E2409,E2410)</f>
        <v>#N/A</v>
      </c>
      <c r="K2410" s="1"/>
      <c r="L2410" s="156"/>
      <c r="M2410" s="1"/>
      <c r="N2410" s="1"/>
      <c r="O2410" s="1"/>
    </row>
    <row r="2411" spans="1:15" hidden="1">
      <c r="A2411" s="1"/>
      <c r="B2411" s="197" t="e">
        <f t="shared" ca="1" si="243"/>
        <v>#N/A</v>
      </c>
      <c r="C2411" s="498">
        <v>345</v>
      </c>
      <c r="D2411" s="41" t="e">
        <f>IF($C$1077&gt;0,VLOOKUP($C2411,ENTI!$AL$4:AN$1003,3,FALSE),"")</f>
        <v>#N/A</v>
      </c>
      <c r="E2411" s="41" t="str">
        <f t="shared" si="242"/>
        <v/>
      </c>
      <c r="F2411" s="200"/>
      <c r="G2411" s="178" t="e">
        <f>IF($C$1077&gt;0,VLOOKUP($C2411,ENTI!$AL$4:AP$1003,5,FALSE),"")</f>
        <v>#N/A</v>
      </c>
      <c r="H2411" s="179" t="e">
        <f>IF($C$1077&gt;0,VLOOKUP($C2411,ENTI!$AL$4:AQ$1003,6,FALSE),"")</f>
        <v>#N/A</v>
      </c>
      <c r="I2411" s="187"/>
      <c r="J2411" s="140" t="e">
        <f ca="1">VLOOKUP(D2411,$F$1081:$I$4183,4,FALSE)+COUNTIF(E$1081:E2410,E2411)</f>
        <v>#N/A</v>
      </c>
      <c r="K2411" s="1"/>
      <c r="L2411" s="156"/>
      <c r="M2411" s="1"/>
      <c r="N2411" s="1"/>
      <c r="O2411" s="1"/>
    </row>
    <row r="2412" spans="1:15" hidden="1">
      <c r="A2412" s="1"/>
      <c r="B2412" s="197" t="e">
        <f t="shared" ca="1" si="243"/>
        <v>#N/A</v>
      </c>
      <c r="C2412" s="498">
        <v>346</v>
      </c>
      <c r="D2412" s="41" t="e">
        <f>IF($C$1077&gt;0,VLOOKUP($C2412,ENTI!$AL$4:AN$1003,3,FALSE),"")</f>
        <v>#N/A</v>
      </c>
      <c r="E2412" s="41" t="str">
        <f t="shared" si="242"/>
        <v/>
      </c>
      <c r="F2412" s="200"/>
      <c r="G2412" s="178" t="e">
        <f>IF($C$1077&gt;0,VLOOKUP($C2412,ENTI!$AL$4:AP$1003,5,FALSE),"")</f>
        <v>#N/A</v>
      </c>
      <c r="H2412" s="179" t="e">
        <f>IF($C$1077&gt;0,VLOOKUP($C2412,ENTI!$AL$4:AQ$1003,6,FALSE),"")</f>
        <v>#N/A</v>
      </c>
      <c r="I2412" s="187"/>
      <c r="J2412" s="140" t="e">
        <f ca="1">VLOOKUP(D2412,$F$1081:$I$4183,4,FALSE)+COUNTIF(E$1081:E2411,E2412)</f>
        <v>#N/A</v>
      </c>
      <c r="K2412" s="1"/>
      <c r="L2412" s="156"/>
      <c r="M2412" s="1"/>
      <c r="N2412" s="1"/>
      <c r="O2412" s="1"/>
    </row>
    <row r="2413" spans="1:15" hidden="1">
      <c r="A2413" s="1"/>
      <c r="B2413" s="197" t="e">
        <f t="shared" ca="1" si="243"/>
        <v>#N/A</v>
      </c>
      <c r="C2413" s="498">
        <v>347</v>
      </c>
      <c r="D2413" s="41" t="e">
        <f>IF($C$1077&gt;0,VLOOKUP($C2413,ENTI!$AL$4:AN$1003,3,FALSE),"")</f>
        <v>#N/A</v>
      </c>
      <c r="E2413" s="41" t="str">
        <f t="shared" si="242"/>
        <v/>
      </c>
      <c r="F2413" s="200"/>
      <c r="G2413" s="178" t="e">
        <f>IF($C$1077&gt;0,VLOOKUP($C2413,ENTI!$AL$4:AP$1003,5,FALSE),"")</f>
        <v>#N/A</v>
      </c>
      <c r="H2413" s="179" t="e">
        <f>IF($C$1077&gt;0,VLOOKUP($C2413,ENTI!$AL$4:AQ$1003,6,FALSE),"")</f>
        <v>#N/A</v>
      </c>
      <c r="I2413" s="187"/>
      <c r="J2413" s="140" t="e">
        <f ca="1">VLOOKUP(D2413,$F$1081:$I$4183,4,FALSE)+COUNTIF(E$1081:E2412,E2413)</f>
        <v>#N/A</v>
      </c>
      <c r="K2413" s="1"/>
      <c r="L2413" s="156"/>
      <c r="M2413" s="1"/>
      <c r="N2413" s="1"/>
      <c r="O2413" s="1"/>
    </row>
    <row r="2414" spans="1:15" hidden="1">
      <c r="A2414" s="1"/>
      <c r="B2414" s="197" t="e">
        <f t="shared" ca="1" si="243"/>
        <v>#N/A</v>
      </c>
      <c r="C2414" s="498">
        <v>348</v>
      </c>
      <c r="D2414" s="41" t="e">
        <f>IF($C$1077&gt;0,VLOOKUP($C2414,ENTI!$AL$4:AN$1003,3,FALSE),"")</f>
        <v>#N/A</v>
      </c>
      <c r="E2414" s="41" t="str">
        <f t="shared" si="242"/>
        <v/>
      </c>
      <c r="F2414" s="200"/>
      <c r="G2414" s="178" t="e">
        <f>IF($C$1077&gt;0,VLOOKUP($C2414,ENTI!$AL$4:AP$1003,5,FALSE),"")</f>
        <v>#N/A</v>
      </c>
      <c r="H2414" s="179" t="e">
        <f>IF($C$1077&gt;0,VLOOKUP($C2414,ENTI!$AL$4:AQ$1003,6,FALSE),"")</f>
        <v>#N/A</v>
      </c>
      <c r="I2414" s="187"/>
      <c r="J2414" s="140" t="e">
        <f ca="1">VLOOKUP(D2414,$F$1081:$I$4183,4,FALSE)+COUNTIF(E$1081:E2413,E2414)</f>
        <v>#N/A</v>
      </c>
      <c r="K2414" s="1"/>
      <c r="L2414" s="156"/>
      <c r="M2414" s="1"/>
      <c r="N2414" s="1"/>
      <c r="O2414" s="1"/>
    </row>
    <row r="2415" spans="1:15" hidden="1">
      <c r="A2415" s="1"/>
      <c r="B2415" s="197" t="e">
        <f t="shared" ca="1" si="243"/>
        <v>#N/A</v>
      </c>
      <c r="C2415" s="498">
        <v>349</v>
      </c>
      <c r="D2415" s="41" t="e">
        <f>IF($C$1077&gt;0,VLOOKUP($C2415,ENTI!$AL$4:AN$1003,3,FALSE),"")</f>
        <v>#N/A</v>
      </c>
      <c r="E2415" s="41" t="str">
        <f t="shared" si="242"/>
        <v/>
      </c>
      <c r="F2415" s="200"/>
      <c r="G2415" s="178" t="e">
        <f>IF($C$1077&gt;0,VLOOKUP($C2415,ENTI!$AL$4:AP$1003,5,FALSE),"")</f>
        <v>#N/A</v>
      </c>
      <c r="H2415" s="179" t="e">
        <f>IF($C$1077&gt;0,VLOOKUP($C2415,ENTI!$AL$4:AQ$1003,6,FALSE),"")</f>
        <v>#N/A</v>
      </c>
      <c r="I2415" s="187"/>
      <c r="J2415" s="140" t="e">
        <f ca="1">VLOOKUP(D2415,$F$1081:$I$4183,4,FALSE)+COUNTIF(E$1081:E2414,E2415)</f>
        <v>#N/A</v>
      </c>
      <c r="K2415" s="1"/>
      <c r="L2415" s="156"/>
      <c r="M2415" s="1"/>
      <c r="N2415" s="1"/>
      <c r="O2415" s="1"/>
    </row>
    <row r="2416" spans="1:15" hidden="1">
      <c r="A2416" s="1"/>
      <c r="B2416" s="197" t="e">
        <f t="shared" ca="1" si="243"/>
        <v>#N/A</v>
      </c>
      <c r="C2416" s="498">
        <v>350</v>
      </c>
      <c r="D2416" s="41" t="e">
        <f>IF($C$1077&gt;0,VLOOKUP($C2416,ENTI!$AL$4:AN$1003,3,FALSE),"")</f>
        <v>#N/A</v>
      </c>
      <c r="E2416" s="41" t="str">
        <f t="shared" si="242"/>
        <v/>
      </c>
      <c r="F2416" s="200"/>
      <c r="G2416" s="178" t="e">
        <f>IF($C$1077&gt;0,VLOOKUP($C2416,ENTI!$AL$4:AP$1003,5,FALSE),"")</f>
        <v>#N/A</v>
      </c>
      <c r="H2416" s="179" t="e">
        <f>IF($C$1077&gt;0,VLOOKUP($C2416,ENTI!$AL$4:AQ$1003,6,FALSE),"")</f>
        <v>#N/A</v>
      </c>
      <c r="I2416" s="187"/>
      <c r="J2416" s="140" t="e">
        <f ca="1">VLOOKUP(D2416,$F$1081:$I$4183,4,FALSE)+COUNTIF(E$1081:E2415,E2416)</f>
        <v>#N/A</v>
      </c>
      <c r="K2416" s="1"/>
      <c r="L2416" s="156"/>
      <c r="M2416" s="1"/>
      <c r="N2416" s="1"/>
      <c r="O2416" s="1"/>
    </row>
    <row r="2417" spans="1:15" hidden="1">
      <c r="A2417" s="1"/>
      <c r="B2417" s="197" t="e">
        <f t="shared" ca="1" si="243"/>
        <v>#N/A</v>
      </c>
      <c r="C2417" s="498">
        <v>351</v>
      </c>
      <c r="D2417" s="41" t="e">
        <f>IF($C$1077&gt;0,VLOOKUP($C2417,ENTI!$AL$4:AN$1003,3,FALSE),"")</f>
        <v>#N/A</v>
      </c>
      <c r="E2417" s="41" t="str">
        <f t="shared" si="242"/>
        <v/>
      </c>
      <c r="F2417" s="200"/>
      <c r="G2417" s="178" t="e">
        <f>IF($C$1077&gt;0,VLOOKUP($C2417,ENTI!$AL$4:AP$1003,5,FALSE),"")</f>
        <v>#N/A</v>
      </c>
      <c r="H2417" s="179" t="e">
        <f>IF($C$1077&gt;0,VLOOKUP($C2417,ENTI!$AL$4:AQ$1003,6,FALSE),"")</f>
        <v>#N/A</v>
      </c>
      <c r="I2417" s="187"/>
      <c r="J2417" s="140" t="e">
        <f ca="1">VLOOKUP(D2417,$F$1081:$I$4183,4,FALSE)+COUNTIF(E$1081:E2416,E2417)</f>
        <v>#N/A</v>
      </c>
      <c r="K2417" s="1"/>
      <c r="L2417" s="156"/>
      <c r="M2417" s="1"/>
      <c r="N2417" s="1"/>
      <c r="O2417" s="1"/>
    </row>
    <row r="2418" spans="1:15" hidden="1">
      <c r="A2418" s="1"/>
      <c r="B2418" s="197" t="e">
        <f t="shared" ca="1" si="243"/>
        <v>#N/A</v>
      </c>
      <c r="C2418" s="498">
        <v>352</v>
      </c>
      <c r="D2418" s="41" t="e">
        <f>IF($C$1077&gt;0,VLOOKUP($C2418,ENTI!$AL$4:AN$1003,3,FALSE),"")</f>
        <v>#N/A</v>
      </c>
      <c r="E2418" s="41" t="str">
        <f t="shared" si="242"/>
        <v/>
      </c>
      <c r="F2418" s="200"/>
      <c r="G2418" s="178" t="e">
        <f>IF($C$1077&gt;0,VLOOKUP($C2418,ENTI!$AL$4:AP$1003,5,FALSE),"")</f>
        <v>#N/A</v>
      </c>
      <c r="H2418" s="179" t="e">
        <f>IF($C$1077&gt;0,VLOOKUP($C2418,ENTI!$AL$4:AQ$1003,6,FALSE),"")</f>
        <v>#N/A</v>
      </c>
      <c r="I2418" s="187"/>
      <c r="J2418" s="140" t="e">
        <f ca="1">VLOOKUP(D2418,$F$1081:$I$4183,4,FALSE)+COUNTIF(E$1081:E2417,E2418)</f>
        <v>#N/A</v>
      </c>
      <c r="K2418" s="1"/>
      <c r="L2418" s="156"/>
      <c r="M2418" s="1"/>
      <c r="N2418" s="1"/>
      <c r="O2418" s="1"/>
    </row>
    <row r="2419" spans="1:15" hidden="1">
      <c r="A2419" s="1"/>
      <c r="B2419" s="197" t="e">
        <f t="shared" ca="1" si="243"/>
        <v>#N/A</v>
      </c>
      <c r="C2419" s="498">
        <v>353</v>
      </c>
      <c r="D2419" s="41" t="e">
        <f>IF($C$1077&gt;0,VLOOKUP($C2419,ENTI!$AL$4:AN$1003,3,FALSE),"")</f>
        <v>#N/A</v>
      </c>
      <c r="E2419" s="41" t="str">
        <f t="shared" si="242"/>
        <v/>
      </c>
      <c r="F2419" s="200"/>
      <c r="G2419" s="178" t="e">
        <f>IF($C$1077&gt;0,VLOOKUP($C2419,ENTI!$AL$4:AP$1003,5,FALSE),"")</f>
        <v>#N/A</v>
      </c>
      <c r="H2419" s="179" t="e">
        <f>IF($C$1077&gt;0,VLOOKUP($C2419,ENTI!$AL$4:AQ$1003,6,FALSE),"")</f>
        <v>#N/A</v>
      </c>
      <c r="I2419" s="187"/>
      <c r="J2419" s="140" t="e">
        <f ca="1">VLOOKUP(D2419,$F$1081:$I$4183,4,FALSE)+COUNTIF(E$1081:E2418,E2419)</f>
        <v>#N/A</v>
      </c>
      <c r="K2419" s="1"/>
      <c r="L2419" s="156"/>
      <c r="M2419" s="1"/>
      <c r="N2419" s="1"/>
      <c r="O2419" s="1"/>
    </row>
    <row r="2420" spans="1:15" hidden="1">
      <c r="A2420" s="1"/>
      <c r="B2420" s="197" t="e">
        <f t="shared" ca="1" si="243"/>
        <v>#N/A</v>
      </c>
      <c r="C2420" s="498">
        <v>354</v>
      </c>
      <c r="D2420" s="41" t="e">
        <f>IF($C$1077&gt;0,VLOOKUP($C2420,ENTI!$AL$4:AN$1003,3,FALSE),"")</f>
        <v>#N/A</v>
      </c>
      <c r="E2420" s="41" t="str">
        <f t="shared" si="242"/>
        <v/>
      </c>
      <c r="F2420" s="200"/>
      <c r="G2420" s="178" t="e">
        <f>IF($C$1077&gt;0,VLOOKUP($C2420,ENTI!$AL$4:AP$1003,5,FALSE),"")</f>
        <v>#N/A</v>
      </c>
      <c r="H2420" s="179" t="e">
        <f>IF($C$1077&gt;0,VLOOKUP($C2420,ENTI!$AL$4:AQ$1003,6,FALSE),"")</f>
        <v>#N/A</v>
      </c>
      <c r="I2420" s="187"/>
      <c r="J2420" s="140" t="e">
        <f ca="1">VLOOKUP(D2420,$F$1081:$I$4183,4,FALSE)+COUNTIF(E$1081:E2419,E2420)</f>
        <v>#N/A</v>
      </c>
      <c r="K2420" s="1"/>
      <c r="L2420" s="156"/>
      <c r="M2420" s="1"/>
      <c r="N2420" s="1"/>
      <c r="O2420" s="1"/>
    </row>
    <row r="2421" spans="1:15" hidden="1">
      <c r="A2421" s="1"/>
      <c r="B2421" s="197" t="e">
        <f t="shared" ca="1" si="243"/>
        <v>#N/A</v>
      </c>
      <c r="C2421" s="498">
        <v>355</v>
      </c>
      <c r="D2421" s="41" t="e">
        <f>IF($C$1077&gt;0,VLOOKUP($C2421,ENTI!$AL$4:AN$1003,3,FALSE),"")</f>
        <v>#N/A</v>
      </c>
      <c r="E2421" s="41" t="str">
        <f t="shared" si="242"/>
        <v/>
      </c>
      <c r="F2421" s="200"/>
      <c r="G2421" s="178" t="e">
        <f>IF($C$1077&gt;0,VLOOKUP($C2421,ENTI!$AL$4:AP$1003,5,FALSE),"")</f>
        <v>#N/A</v>
      </c>
      <c r="H2421" s="179" t="e">
        <f>IF($C$1077&gt;0,VLOOKUP($C2421,ENTI!$AL$4:AQ$1003,6,FALSE),"")</f>
        <v>#N/A</v>
      </c>
      <c r="I2421" s="187"/>
      <c r="J2421" s="140" t="e">
        <f ca="1">VLOOKUP(D2421,$F$1081:$I$4183,4,FALSE)+COUNTIF(E$1081:E2420,E2421)</f>
        <v>#N/A</v>
      </c>
      <c r="K2421" s="1"/>
      <c r="L2421" s="156"/>
      <c r="M2421" s="1"/>
      <c r="N2421" s="1"/>
      <c r="O2421" s="1"/>
    </row>
    <row r="2422" spans="1:15" hidden="1">
      <c r="A2422" s="1"/>
      <c r="B2422" s="197" t="e">
        <f t="shared" ca="1" si="243"/>
        <v>#N/A</v>
      </c>
      <c r="C2422" s="498">
        <v>356</v>
      </c>
      <c r="D2422" s="41" t="e">
        <f>IF($C$1077&gt;0,VLOOKUP($C2422,ENTI!$AL$4:AN$1003,3,FALSE),"")</f>
        <v>#N/A</v>
      </c>
      <c r="E2422" s="41" t="str">
        <f t="shared" si="242"/>
        <v/>
      </c>
      <c r="F2422" s="200"/>
      <c r="G2422" s="178" t="e">
        <f>IF($C$1077&gt;0,VLOOKUP($C2422,ENTI!$AL$4:AP$1003,5,FALSE),"")</f>
        <v>#N/A</v>
      </c>
      <c r="H2422" s="179" t="e">
        <f>IF($C$1077&gt;0,VLOOKUP($C2422,ENTI!$AL$4:AQ$1003,6,FALSE),"")</f>
        <v>#N/A</v>
      </c>
      <c r="I2422" s="187"/>
      <c r="J2422" s="140" t="e">
        <f ca="1">VLOOKUP(D2422,$F$1081:$I$4183,4,FALSE)+COUNTIF(E$1081:E2421,E2422)</f>
        <v>#N/A</v>
      </c>
      <c r="K2422" s="1"/>
      <c r="L2422" s="156"/>
      <c r="M2422" s="1"/>
      <c r="N2422" s="1"/>
      <c r="O2422" s="1"/>
    </row>
    <row r="2423" spans="1:15" hidden="1">
      <c r="A2423" s="1"/>
      <c r="B2423" s="197" t="e">
        <f t="shared" ca="1" si="243"/>
        <v>#N/A</v>
      </c>
      <c r="C2423" s="498">
        <v>357</v>
      </c>
      <c r="D2423" s="41" t="e">
        <f>IF($C$1077&gt;0,VLOOKUP($C2423,ENTI!$AL$4:AN$1003,3,FALSE),"")</f>
        <v>#N/A</v>
      </c>
      <c r="E2423" s="41" t="str">
        <f t="shared" si="242"/>
        <v/>
      </c>
      <c r="F2423" s="200"/>
      <c r="G2423" s="178" t="e">
        <f>IF($C$1077&gt;0,VLOOKUP($C2423,ENTI!$AL$4:AP$1003,5,FALSE),"")</f>
        <v>#N/A</v>
      </c>
      <c r="H2423" s="179" t="e">
        <f>IF($C$1077&gt;0,VLOOKUP($C2423,ENTI!$AL$4:AQ$1003,6,FALSE),"")</f>
        <v>#N/A</v>
      </c>
      <c r="I2423" s="187"/>
      <c r="J2423" s="140" t="e">
        <f ca="1">VLOOKUP(D2423,$F$1081:$I$4183,4,FALSE)+COUNTIF(E$1081:E2422,E2423)</f>
        <v>#N/A</v>
      </c>
      <c r="K2423" s="1"/>
      <c r="L2423" s="156"/>
      <c r="M2423" s="1"/>
      <c r="N2423" s="1"/>
      <c r="O2423" s="1"/>
    </row>
    <row r="2424" spans="1:15" hidden="1">
      <c r="A2424" s="1"/>
      <c r="B2424" s="197" t="e">
        <f t="shared" ca="1" si="243"/>
        <v>#N/A</v>
      </c>
      <c r="C2424" s="498">
        <v>358</v>
      </c>
      <c r="D2424" s="41" t="e">
        <f>IF($C$1077&gt;0,VLOOKUP($C2424,ENTI!$AL$4:AN$1003,3,FALSE),"")</f>
        <v>#N/A</v>
      </c>
      <c r="E2424" s="41" t="str">
        <f t="shared" si="242"/>
        <v/>
      </c>
      <c r="F2424" s="200"/>
      <c r="G2424" s="178" t="e">
        <f>IF($C$1077&gt;0,VLOOKUP($C2424,ENTI!$AL$4:AP$1003,5,FALSE),"")</f>
        <v>#N/A</v>
      </c>
      <c r="H2424" s="179" t="e">
        <f>IF($C$1077&gt;0,VLOOKUP($C2424,ENTI!$AL$4:AQ$1003,6,FALSE),"")</f>
        <v>#N/A</v>
      </c>
      <c r="I2424" s="187"/>
      <c r="J2424" s="140" t="e">
        <f ca="1">VLOOKUP(D2424,$F$1081:$I$4183,4,FALSE)+COUNTIF(E$1081:E2423,E2424)</f>
        <v>#N/A</v>
      </c>
      <c r="K2424" s="1"/>
      <c r="L2424" s="156"/>
      <c r="M2424" s="1"/>
      <c r="N2424" s="1"/>
      <c r="O2424" s="1"/>
    </row>
    <row r="2425" spans="1:15" hidden="1">
      <c r="A2425" s="1"/>
      <c r="B2425" s="197" t="e">
        <f t="shared" ref="B2425:B2456" ca="1" si="244">IF(OR(C$1075&gt;0,C$1077&gt;0,C$1073&gt;0,C$1071&gt;0),J2425+1,J2425)</f>
        <v>#N/A</v>
      </c>
      <c r="C2425" s="498">
        <v>359</v>
      </c>
      <c r="D2425" s="41" t="e">
        <f>IF($C$1077&gt;0,VLOOKUP($C2425,ENTI!$AL$4:AN$1003,3,FALSE),"")</f>
        <v>#N/A</v>
      </c>
      <c r="E2425" s="41" t="str">
        <f t="shared" si="242"/>
        <v/>
      </c>
      <c r="F2425" s="200"/>
      <c r="G2425" s="178" t="e">
        <f>IF($C$1077&gt;0,VLOOKUP($C2425,ENTI!$AL$4:AP$1003,5,FALSE),"")</f>
        <v>#N/A</v>
      </c>
      <c r="H2425" s="179" t="e">
        <f>IF($C$1077&gt;0,VLOOKUP($C2425,ENTI!$AL$4:AQ$1003,6,FALSE),"")</f>
        <v>#N/A</v>
      </c>
      <c r="I2425" s="187"/>
      <c r="J2425" s="140" t="e">
        <f ca="1">VLOOKUP(D2425,$F$1081:$I$4183,4,FALSE)+COUNTIF(E$1081:E2424,E2425)</f>
        <v>#N/A</v>
      </c>
      <c r="K2425" s="1"/>
      <c r="L2425" s="156"/>
      <c r="M2425" s="1"/>
      <c r="N2425" s="1"/>
      <c r="O2425" s="1"/>
    </row>
    <row r="2426" spans="1:15" hidden="1">
      <c r="A2426" s="1"/>
      <c r="B2426" s="197" t="e">
        <f t="shared" ca="1" si="244"/>
        <v>#N/A</v>
      </c>
      <c r="C2426" s="498">
        <v>360</v>
      </c>
      <c r="D2426" s="41" t="e">
        <f>IF($C$1077&gt;0,VLOOKUP($C2426,ENTI!$AL$4:AN$1003,3,FALSE),"")</f>
        <v>#N/A</v>
      </c>
      <c r="E2426" s="41" t="str">
        <f t="shared" si="242"/>
        <v/>
      </c>
      <c r="F2426" s="200"/>
      <c r="G2426" s="178" t="e">
        <f>IF($C$1077&gt;0,VLOOKUP($C2426,ENTI!$AL$4:AP$1003,5,FALSE),"")</f>
        <v>#N/A</v>
      </c>
      <c r="H2426" s="179" t="e">
        <f>IF($C$1077&gt;0,VLOOKUP($C2426,ENTI!$AL$4:AQ$1003,6,FALSE),"")</f>
        <v>#N/A</v>
      </c>
      <c r="I2426" s="187"/>
      <c r="J2426" s="140" t="e">
        <f ca="1">VLOOKUP(D2426,$F$1081:$I$4183,4,FALSE)+COUNTIF(E$1081:E2425,E2426)</f>
        <v>#N/A</v>
      </c>
      <c r="K2426" s="1"/>
      <c r="L2426" s="156"/>
      <c r="M2426" s="1"/>
      <c r="N2426" s="1"/>
      <c r="O2426" s="1"/>
    </row>
    <row r="2427" spans="1:15" hidden="1">
      <c r="A2427" s="1"/>
      <c r="B2427" s="197" t="e">
        <f t="shared" ca="1" si="244"/>
        <v>#N/A</v>
      </c>
      <c r="C2427" s="498">
        <v>361</v>
      </c>
      <c r="D2427" s="41" t="e">
        <f>IF($C$1077&gt;0,VLOOKUP($C2427,ENTI!$AL$4:AN$1003,3,FALSE),"")</f>
        <v>#N/A</v>
      </c>
      <c r="E2427" s="41" t="str">
        <f t="shared" si="242"/>
        <v/>
      </c>
      <c r="F2427" s="200"/>
      <c r="G2427" s="178" t="e">
        <f>IF($C$1077&gt;0,VLOOKUP($C2427,ENTI!$AL$4:AP$1003,5,FALSE),"")</f>
        <v>#N/A</v>
      </c>
      <c r="H2427" s="179" t="e">
        <f>IF($C$1077&gt;0,VLOOKUP($C2427,ENTI!$AL$4:AQ$1003,6,FALSE),"")</f>
        <v>#N/A</v>
      </c>
      <c r="I2427" s="187"/>
      <c r="J2427" s="140" t="e">
        <f ca="1">VLOOKUP(D2427,$F$1081:$I$4183,4,FALSE)+COUNTIF(E$1081:E2426,E2427)</f>
        <v>#N/A</v>
      </c>
      <c r="K2427" s="1"/>
      <c r="L2427" s="156"/>
      <c r="M2427" s="1"/>
      <c r="N2427" s="1"/>
      <c r="O2427" s="1"/>
    </row>
    <row r="2428" spans="1:15" hidden="1">
      <c r="A2428" s="1"/>
      <c r="B2428" s="197" t="e">
        <f t="shared" ca="1" si="244"/>
        <v>#N/A</v>
      </c>
      <c r="C2428" s="498">
        <v>362</v>
      </c>
      <c r="D2428" s="41" t="e">
        <f>IF($C$1077&gt;0,VLOOKUP($C2428,ENTI!$AL$4:AN$1003,3,FALSE),"")</f>
        <v>#N/A</v>
      </c>
      <c r="E2428" s="41" t="str">
        <f t="shared" si="242"/>
        <v/>
      </c>
      <c r="F2428" s="200"/>
      <c r="G2428" s="178" t="e">
        <f>IF($C$1077&gt;0,VLOOKUP($C2428,ENTI!$AL$4:AP$1003,5,FALSE),"")</f>
        <v>#N/A</v>
      </c>
      <c r="H2428" s="179" t="e">
        <f>IF($C$1077&gt;0,VLOOKUP($C2428,ENTI!$AL$4:AQ$1003,6,FALSE),"")</f>
        <v>#N/A</v>
      </c>
      <c r="I2428" s="187"/>
      <c r="J2428" s="140" t="e">
        <f ca="1">VLOOKUP(D2428,$F$1081:$I$4183,4,FALSE)+COUNTIF(E$1081:E2427,E2428)</f>
        <v>#N/A</v>
      </c>
      <c r="K2428" s="1"/>
      <c r="L2428" s="156"/>
      <c r="M2428" s="1"/>
      <c r="N2428" s="1"/>
      <c r="O2428" s="1"/>
    </row>
    <row r="2429" spans="1:15" hidden="1">
      <c r="A2429" s="1"/>
      <c r="B2429" s="197" t="e">
        <f t="shared" ca="1" si="244"/>
        <v>#N/A</v>
      </c>
      <c r="C2429" s="498">
        <v>363</v>
      </c>
      <c r="D2429" s="41" t="e">
        <f>IF($C$1077&gt;0,VLOOKUP($C2429,ENTI!$AL$4:AN$1003,3,FALSE),"")</f>
        <v>#N/A</v>
      </c>
      <c r="E2429" s="41" t="str">
        <f t="shared" si="242"/>
        <v/>
      </c>
      <c r="F2429" s="200"/>
      <c r="G2429" s="178" t="e">
        <f>IF($C$1077&gt;0,VLOOKUP($C2429,ENTI!$AL$4:AP$1003,5,FALSE),"")</f>
        <v>#N/A</v>
      </c>
      <c r="H2429" s="179" t="e">
        <f>IF($C$1077&gt;0,VLOOKUP($C2429,ENTI!$AL$4:AQ$1003,6,FALSE),"")</f>
        <v>#N/A</v>
      </c>
      <c r="I2429" s="187"/>
      <c r="J2429" s="140" t="e">
        <f ca="1">VLOOKUP(D2429,$F$1081:$I$4183,4,FALSE)+COUNTIF(E$1081:E2428,E2429)</f>
        <v>#N/A</v>
      </c>
      <c r="K2429" s="1"/>
      <c r="L2429" s="156"/>
      <c r="M2429" s="1"/>
      <c r="N2429" s="1"/>
      <c r="O2429" s="1"/>
    </row>
    <row r="2430" spans="1:15" hidden="1">
      <c r="A2430" s="1"/>
      <c r="B2430" s="197" t="e">
        <f t="shared" ca="1" si="244"/>
        <v>#N/A</v>
      </c>
      <c r="C2430" s="498">
        <v>364</v>
      </c>
      <c r="D2430" s="41" t="e">
        <f>IF($C$1077&gt;0,VLOOKUP($C2430,ENTI!$AL$4:AN$1003,3,FALSE),"")</f>
        <v>#N/A</v>
      </c>
      <c r="E2430" s="41" t="str">
        <f t="shared" si="242"/>
        <v/>
      </c>
      <c r="F2430" s="200"/>
      <c r="G2430" s="178" t="e">
        <f>IF($C$1077&gt;0,VLOOKUP($C2430,ENTI!$AL$4:AP$1003,5,FALSE),"")</f>
        <v>#N/A</v>
      </c>
      <c r="H2430" s="179" t="e">
        <f>IF($C$1077&gt;0,VLOOKUP($C2430,ENTI!$AL$4:AQ$1003,6,FALSE),"")</f>
        <v>#N/A</v>
      </c>
      <c r="I2430" s="187"/>
      <c r="J2430" s="140" t="e">
        <f ca="1">VLOOKUP(D2430,$F$1081:$I$4183,4,FALSE)+COUNTIF(E$1081:E2429,E2430)</f>
        <v>#N/A</v>
      </c>
      <c r="K2430" s="1"/>
      <c r="L2430" s="156"/>
      <c r="M2430" s="1"/>
      <c r="N2430" s="1"/>
      <c r="O2430" s="1"/>
    </row>
    <row r="2431" spans="1:15" hidden="1">
      <c r="A2431" s="1"/>
      <c r="B2431" s="197" t="e">
        <f t="shared" ca="1" si="244"/>
        <v>#N/A</v>
      </c>
      <c r="C2431" s="498">
        <v>365</v>
      </c>
      <c r="D2431" s="41" t="e">
        <f>IF($C$1077&gt;0,VLOOKUP($C2431,ENTI!$AL$4:AN$1003,3,FALSE),"")</f>
        <v>#N/A</v>
      </c>
      <c r="E2431" s="41" t="str">
        <f t="shared" si="242"/>
        <v/>
      </c>
      <c r="F2431" s="200"/>
      <c r="G2431" s="178" t="e">
        <f>IF($C$1077&gt;0,VLOOKUP($C2431,ENTI!$AL$4:AP$1003,5,FALSE),"")</f>
        <v>#N/A</v>
      </c>
      <c r="H2431" s="179" t="e">
        <f>IF($C$1077&gt;0,VLOOKUP($C2431,ENTI!$AL$4:AQ$1003,6,FALSE),"")</f>
        <v>#N/A</v>
      </c>
      <c r="I2431" s="187"/>
      <c r="J2431" s="140" t="e">
        <f ca="1">VLOOKUP(D2431,$F$1081:$I$4183,4,FALSE)+COUNTIF(E$1081:E2430,E2431)</f>
        <v>#N/A</v>
      </c>
      <c r="K2431" s="1"/>
      <c r="L2431" s="156"/>
      <c r="M2431" s="1"/>
      <c r="N2431" s="1"/>
      <c r="O2431" s="1"/>
    </row>
    <row r="2432" spans="1:15" hidden="1">
      <c r="A2432" s="1"/>
      <c r="B2432" s="197" t="e">
        <f t="shared" ca="1" si="244"/>
        <v>#N/A</v>
      </c>
      <c r="C2432" s="498">
        <v>366</v>
      </c>
      <c r="D2432" s="41" t="e">
        <f>IF($C$1077&gt;0,VLOOKUP($C2432,ENTI!$AL$4:AN$1003,3,FALSE),"")</f>
        <v>#N/A</v>
      </c>
      <c r="E2432" s="41" t="str">
        <f t="shared" si="242"/>
        <v/>
      </c>
      <c r="F2432" s="200"/>
      <c r="G2432" s="178" t="e">
        <f>IF($C$1077&gt;0,VLOOKUP($C2432,ENTI!$AL$4:AP$1003,5,FALSE),"")</f>
        <v>#N/A</v>
      </c>
      <c r="H2432" s="179" t="e">
        <f>IF($C$1077&gt;0,VLOOKUP($C2432,ENTI!$AL$4:AQ$1003,6,FALSE),"")</f>
        <v>#N/A</v>
      </c>
      <c r="I2432" s="187"/>
      <c r="J2432" s="140" t="e">
        <f ca="1">VLOOKUP(D2432,$F$1081:$I$4183,4,FALSE)+COUNTIF(E$1081:E2431,E2432)</f>
        <v>#N/A</v>
      </c>
      <c r="K2432" s="1"/>
      <c r="L2432" s="156"/>
      <c r="M2432" s="1"/>
      <c r="N2432" s="1"/>
      <c r="O2432" s="1"/>
    </row>
    <row r="2433" spans="1:15" hidden="1">
      <c r="A2433" s="1"/>
      <c r="B2433" s="197" t="e">
        <f t="shared" ca="1" si="244"/>
        <v>#N/A</v>
      </c>
      <c r="C2433" s="498">
        <v>367</v>
      </c>
      <c r="D2433" s="41" t="e">
        <f>IF($C$1077&gt;0,VLOOKUP($C2433,ENTI!$AL$4:AN$1003,3,FALSE),"")</f>
        <v>#N/A</v>
      </c>
      <c r="E2433" s="41" t="str">
        <f t="shared" si="242"/>
        <v/>
      </c>
      <c r="F2433" s="200"/>
      <c r="G2433" s="178" t="e">
        <f>IF($C$1077&gt;0,VLOOKUP($C2433,ENTI!$AL$4:AP$1003,5,FALSE),"")</f>
        <v>#N/A</v>
      </c>
      <c r="H2433" s="179" t="e">
        <f>IF($C$1077&gt;0,VLOOKUP($C2433,ENTI!$AL$4:AQ$1003,6,FALSE),"")</f>
        <v>#N/A</v>
      </c>
      <c r="I2433" s="187"/>
      <c r="J2433" s="140" t="e">
        <f ca="1">VLOOKUP(D2433,$F$1081:$I$4183,4,FALSE)+COUNTIF(E$1081:E2432,E2433)</f>
        <v>#N/A</v>
      </c>
      <c r="K2433" s="1"/>
      <c r="L2433" s="156"/>
      <c r="M2433" s="1"/>
      <c r="N2433" s="1"/>
      <c r="O2433" s="1"/>
    </row>
    <row r="2434" spans="1:15" hidden="1">
      <c r="A2434" s="1"/>
      <c r="B2434" s="197" t="e">
        <f t="shared" ca="1" si="244"/>
        <v>#N/A</v>
      </c>
      <c r="C2434" s="498">
        <v>368</v>
      </c>
      <c r="D2434" s="41" t="e">
        <f>IF($C$1077&gt;0,VLOOKUP($C2434,ENTI!$AL$4:AN$1003,3,FALSE),"")</f>
        <v>#N/A</v>
      </c>
      <c r="E2434" s="41" t="str">
        <f t="shared" si="242"/>
        <v/>
      </c>
      <c r="F2434" s="200"/>
      <c r="G2434" s="178" t="e">
        <f>IF($C$1077&gt;0,VLOOKUP($C2434,ENTI!$AL$4:AP$1003,5,FALSE),"")</f>
        <v>#N/A</v>
      </c>
      <c r="H2434" s="179" t="e">
        <f>IF($C$1077&gt;0,VLOOKUP($C2434,ENTI!$AL$4:AQ$1003,6,FALSE),"")</f>
        <v>#N/A</v>
      </c>
      <c r="I2434" s="187"/>
      <c r="J2434" s="140" t="e">
        <f ca="1">VLOOKUP(D2434,$F$1081:$I$4183,4,FALSE)+COUNTIF(E$1081:E2433,E2434)</f>
        <v>#N/A</v>
      </c>
      <c r="K2434" s="1"/>
      <c r="L2434" s="156"/>
      <c r="M2434" s="1"/>
      <c r="N2434" s="1"/>
      <c r="O2434" s="1"/>
    </row>
    <row r="2435" spans="1:15" hidden="1">
      <c r="A2435" s="1"/>
      <c r="B2435" s="197" t="e">
        <f t="shared" ca="1" si="244"/>
        <v>#N/A</v>
      </c>
      <c r="C2435" s="498">
        <v>369</v>
      </c>
      <c r="D2435" s="41" t="e">
        <f>IF($C$1077&gt;0,VLOOKUP($C2435,ENTI!$AL$4:AN$1003,3,FALSE),"")</f>
        <v>#N/A</v>
      </c>
      <c r="E2435" s="41" t="str">
        <f t="shared" si="242"/>
        <v/>
      </c>
      <c r="F2435" s="200"/>
      <c r="G2435" s="178" t="e">
        <f>IF($C$1077&gt;0,VLOOKUP($C2435,ENTI!$AL$4:AP$1003,5,FALSE),"")</f>
        <v>#N/A</v>
      </c>
      <c r="H2435" s="179" t="e">
        <f>IF($C$1077&gt;0,VLOOKUP($C2435,ENTI!$AL$4:AQ$1003,6,FALSE),"")</f>
        <v>#N/A</v>
      </c>
      <c r="I2435" s="187"/>
      <c r="J2435" s="140" t="e">
        <f ca="1">VLOOKUP(D2435,$F$1081:$I$4183,4,FALSE)+COUNTIF(E$1081:E2434,E2435)</f>
        <v>#N/A</v>
      </c>
      <c r="K2435" s="1"/>
      <c r="L2435" s="156"/>
      <c r="M2435" s="1"/>
      <c r="N2435" s="1"/>
      <c r="O2435" s="1"/>
    </row>
    <row r="2436" spans="1:15" hidden="1">
      <c r="A2436" s="1"/>
      <c r="B2436" s="197" t="e">
        <f t="shared" ca="1" si="244"/>
        <v>#N/A</v>
      </c>
      <c r="C2436" s="498">
        <v>370</v>
      </c>
      <c r="D2436" s="41" t="e">
        <f>IF($C$1077&gt;0,VLOOKUP($C2436,ENTI!$AL$4:AN$1003,3,FALSE),"")</f>
        <v>#N/A</v>
      </c>
      <c r="E2436" s="41" t="str">
        <f t="shared" si="242"/>
        <v/>
      </c>
      <c r="F2436" s="200"/>
      <c r="G2436" s="178" t="e">
        <f>IF($C$1077&gt;0,VLOOKUP($C2436,ENTI!$AL$4:AP$1003,5,FALSE),"")</f>
        <v>#N/A</v>
      </c>
      <c r="H2436" s="179" t="e">
        <f>IF($C$1077&gt;0,VLOOKUP($C2436,ENTI!$AL$4:AQ$1003,6,FALSE),"")</f>
        <v>#N/A</v>
      </c>
      <c r="I2436" s="187"/>
      <c r="J2436" s="140" t="e">
        <f ca="1">VLOOKUP(D2436,$F$1081:$I$4183,4,FALSE)+COUNTIF(E$1081:E2435,E2436)</f>
        <v>#N/A</v>
      </c>
      <c r="K2436" s="1"/>
      <c r="L2436" s="156"/>
      <c r="M2436" s="1"/>
      <c r="N2436" s="1"/>
      <c r="O2436" s="1"/>
    </row>
    <row r="2437" spans="1:15" hidden="1">
      <c r="A2437" s="1"/>
      <c r="B2437" s="197" t="e">
        <f t="shared" ca="1" si="244"/>
        <v>#N/A</v>
      </c>
      <c r="C2437" s="498">
        <v>371</v>
      </c>
      <c r="D2437" s="41" t="e">
        <f>IF($C$1077&gt;0,VLOOKUP($C2437,ENTI!$AL$4:AN$1003,3,FALSE),"")</f>
        <v>#N/A</v>
      </c>
      <c r="E2437" s="41" t="str">
        <f t="shared" si="242"/>
        <v/>
      </c>
      <c r="F2437" s="200"/>
      <c r="G2437" s="178" t="e">
        <f>IF($C$1077&gt;0,VLOOKUP($C2437,ENTI!$AL$4:AP$1003,5,FALSE),"")</f>
        <v>#N/A</v>
      </c>
      <c r="H2437" s="179" t="e">
        <f>IF($C$1077&gt;0,VLOOKUP($C2437,ENTI!$AL$4:AQ$1003,6,FALSE),"")</f>
        <v>#N/A</v>
      </c>
      <c r="I2437" s="187"/>
      <c r="J2437" s="140" t="e">
        <f ca="1">VLOOKUP(D2437,$F$1081:$I$4183,4,FALSE)+COUNTIF(E$1081:E2436,E2437)</f>
        <v>#N/A</v>
      </c>
      <c r="K2437" s="1"/>
      <c r="L2437" s="156"/>
      <c r="M2437" s="1"/>
      <c r="N2437" s="1"/>
      <c r="O2437" s="1"/>
    </row>
    <row r="2438" spans="1:15" hidden="1">
      <c r="A2438" s="1"/>
      <c r="B2438" s="197" t="e">
        <f t="shared" ca="1" si="244"/>
        <v>#N/A</v>
      </c>
      <c r="C2438" s="498">
        <v>372</v>
      </c>
      <c r="D2438" s="41" t="e">
        <f>IF($C$1077&gt;0,VLOOKUP($C2438,ENTI!$AL$4:AN$1003,3,FALSE),"")</f>
        <v>#N/A</v>
      </c>
      <c r="E2438" s="41" t="str">
        <f t="shared" si="242"/>
        <v/>
      </c>
      <c r="F2438" s="200"/>
      <c r="G2438" s="178" t="e">
        <f>IF($C$1077&gt;0,VLOOKUP($C2438,ENTI!$AL$4:AP$1003,5,FALSE),"")</f>
        <v>#N/A</v>
      </c>
      <c r="H2438" s="179" t="e">
        <f>IF($C$1077&gt;0,VLOOKUP($C2438,ENTI!$AL$4:AQ$1003,6,FALSE),"")</f>
        <v>#N/A</v>
      </c>
      <c r="I2438" s="187"/>
      <c r="J2438" s="140" t="e">
        <f ca="1">VLOOKUP(D2438,$F$1081:$I$4183,4,FALSE)+COUNTIF(E$1081:E2437,E2438)</f>
        <v>#N/A</v>
      </c>
      <c r="K2438" s="1"/>
      <c r="L2438" s="156"/>
      <c r="M2438" s="1"/>
      <c r="N2438" s="1"/>
      <c r="O2438" s="1"/>
    </row>
    <row r="2439" spans="1:15" hidden="1">
      <c r="A2439" s="1"/>
      <c r="B2439" s="197" t="e">
        <f t="shared" ca="1" si="244"/>
        <v>#N/A</v>
      </c>
      <c r="C2439" s="498">
        <v>373</v>
      </c>
      <c r="D2439" s="41" t="e">
        <f>IF($C$1077&gt;0,VLOOKUP($C2439,ENTI!$AL$4:AN$1003,3,FALSE),"")</f>
        <v>#N/A</v>
      </c>
      <c r="E2439" s="41" t="str">
        <f t="shared" si="242"/>
        <v/>
      </c>
      <c r="F2439" s="200"/>
      <c r="G2439" s="178" t="e">
        <f>IF($C$1077&gt;0,VLOOKUP($C2439,ENTI!$AL$4:AP$1003,5,FALSE),"")</f>
        <v>#N/A</v>
      </c>
      <c r="H2439" s="179" t="e">
        <f>IF($C$1077&gt;0,VLOOKUP($C2439,ENTI!$AL$4:AQ$1003,6,FALSE),"")</f>
        <v>#N/A</v>
      </c>
      <c r="I2439" s="187"/>
      <c r="J2439" s="140" t="e">
        <f ca="1">VLOOKUP(D2439,$F$1081:$I$4183,4,FALSE)+COUNTIF(E$1081:E2438,E2439)</f>
        <v>#N/A</v>
      </c>
      <c r="K2439" s="1"/>
      <c r="L2439" s="156"/>
      <c r="M2439" s="1"/>
      <c r="N2439" s="1"/>
      <c r="O2439" s="1"/>
    </row>
    <row r="2440" spans="1:15" hidden="1">
      <c r="A2440" s="1"/>
      <c r="B2440" s="197" t="e">
        <f t="shared" ca="1" si="244"/>
        <v>#N/A</v>
      </c>
      <c r="C2440" s="498">
        <v>374</v>
      </c>
      <c r="D2440" s="41" t="e">
        <f>IF($C$1077&gt;0,VLOOKUP($C2440,ENTI!$AL$4:AN$1003,3,FALSE),"")</f>
        <v>#N/A</v>
      </c>
      <c r="E2440" s="41" t="str">
        <f t="shared" si="242"/>
        <v/>
      </c>
      <c r="F2440" s="200"/>
      <c r="G2440" s="178" t="e">
        <f>IF($C$1077&gt;0,VLOOKUP($C2440,ENTI!$AL$4:AP$1003,5,FALSE),"")</f>
        <v>#N/A</v>
      </c>
      <c r="H2440" s="179" t="e">
        <f>IF($C$1077&gt;0,VLOOKUP($C2440,ENTI!$AL$4:AQ$1003,6,FALSE),"")</f>
        <v>#N/A</v>
      </c>
      <c r="I2440" s="187"/>
      <c r="J2440" s="140" t="e">
        <f ca="1">VLOOKUP(D2440,$F$1081:$I$4183,4,FALSE)+COUNTIF(E$1081:E2439,E2440)</f>
        <v>#N/A</v>
      </c>
      <c r="K2440" s="1"/>
      <c r="L2440" s="156"/>
      <c r="M2440" s="1"/>
      <c r="N2440" s="1"/>
      <c r="O2440" s="1"/>
    </row>
    <row r="2441" spans="1:15" hidden="1">
      <c r="A2441" s="1"/>
      <c r="B2441" s="197" t="e">
        <f t="shared" ca="1" si="244"/>
        <v>#N/A</v>
      </c>
      <c r="C2441" s="498">
        <v>375</v>
      </c>
      <c r="D2441" s="41" t="e">
        <f>IF($C$1077&gt;0,VLOOKUP($C2441,ENTI!$AL$4:AN$1003,3,FALSE),"")</f>
        <v>#N/A</v>
      </c>
      <c r="E2441" s="41" t="str">
        <f t="shared" si="242"/>
        <v/>
      </c>
      <c r="F2441" s="200"/>
      <c r="G2441" s="178" t="e">
        <f>IF($C$1077&gt;0,VLOOKUP($C2441,ENTI!$AL$4:AP$1003,5,FALSE),"")</f>
        <v>#N/A</v>
      </c>
      <c r="H2441" s="179" t="e">
        <f>IF($C$1077&gt;0,VLOOKUP($C2441,ENTI!$AL$4:AQ$1003,6,FALSE),"")</f>
        <v>#N/A</v>
      </c>
      <c r="I2441" s="187"/>
      <c r="J2441" s="140" t="e">
        <f ca="1">VLOOKUP(D2441,$F$1081:$I$4183,4,FALSE)+COUNTIF(E$1081:E2440,E2441)</f>
        <v>#N/A</v>
      </c>
      <c r="K2441" s="1"/>
      <c r="L2441" s="156"/>
      <c r="M2441" s="1"/>
      <c r="N2441" s="1"/>
      <c r="O2441" s="1"/>
    </row>
    <row r="2442" spans="1:15" hidden="1">
      <c r="A2442" s="1"/>
      <c r="B2442" s="197" t="e">
        <f t="shared" ca="1" si="244"/>
        <v>#N/A</v>
      </c>
      <c r="C2442" s="498">
        <v>376</v>
      </c>
      <c r="D2442" s="41" t="e">
        <f>IF($C$1077&gt;0,VLOOKUP($C2442,ENTI!$AL$4:AN$1003,3,FALSE),"")</f>
        <v>#N/A</v>
      </c>
      <c r="E2442" s="41" t="str">
        <f t="shared" si="242"/>
        <v/>
      </c>
      <c r="F2442" s="200"/>
      <c r="G2442" s="178" t="e">
        <f>IF($C$1077&gt;0,VLOOKUP($C2442,ENTI!$AL$4:AP$1003,5,FALSE),"")</f>
        <v>#N/A</v>
      </c>
      <c r="H2442" s="179" t="e">
        <f>IF($C$1077&gt;0,VLOOKUP($C2442,ENTI!$AL$4:AQ$1003,6,FALSE),"")</f>
        <v>#N/A</v>
      </c>
      <c r="I2442" s="187"/>
      <c r="J2442" s="140" t="e">
        <f ca="1">VLOOKUP(D2442,$F$1081:$I$4183,4,FALSE)+COUNTIF(E$1081:E2441,E2442)</f>
        <v>#N/A</v>
      </c>
      <c r="K2442" s="1"/>
      <c r="L2442" s="156"/>
      <c r="M2442" s="1"/>
      <c r="N2442" s="1"/>
      <c r="O2442" s="1"/>
    </row>
    <row r="2443" spans="1:15" hidden="1">
      <c r="A2443" s="1"/>
      <c r="B2443" s="197" t="e">
        <f t="shared" ca="1" si="244"/>
        <v>#N/A</v>
      </c>
      <c r="C2443" s="498">
        <v>377</v>
      </c>
      <c r="D2443" s="41" t="e">
        <f>IF($C$1077&gt;0,VLOOKUP($C2443,ENTI!$AL$4:AN$1003,3,FALSE),"")</f>
        <v>#N/A</v>
      </c>
      <c r="E2443" s="41" t="str">
        <f t="shared" si="242"/>
        <v/>
      </c>
      <c r="F2443" s="200"/>
      <c r="G2443" s="178" t="e">
        <f>IF($C$1077&gt;0,VLOOKUP($C2443,ENTI!$AL$4:AP$1003,5,FALSE),"")</f>
        <v>#N/A</v>
      </c>
      <c r="H2443" s="179" t="e">
        <f>IF($C$1077&gt;0,VLOOKUP($C2443,ENTI!$AL$4:AQ$1003,6,FALSE),"")</f>
        <v>#N/A</v>
      </c>
      <c r="I2443" s="187"/>
      <c r="J2443" s="140" t="e">
        <f ca="1">VLOOKUP(D2443,$F$1081:$I$4183,4,FALSE)+COUNTIF(E$1081:E2442,E2443)</f>
        <v>#N/A</v>
      </c>
      <c r="K2443" s="1"/>
      <c r="L2443" s="156"/>
      <c r="M2443" s="1"/>
      <c r="N2443" s="1"/>
      <c r="O2443" s="1"/>
    </row>
    <row r="2444" spans="1:15" hidden="1">
      <c r="A2444" s="1"/>
      <c r="B2444" s="197" t="e">
        <f t="shared" ca="1" si="244"/>
        <v>#N/A</v>
      </c>
      <c r="C2444" s="498">
        <v>378</v>
      </c>
      <c r="D2444" s="41" t="e">
        <f>IF($C$1077&gt;0,VLOOKUP($C2444,ENTI!$AL$4:AN$1003,3,FALSE),"")</f>
        <v>#N/A</v>
      </c>
      <c r="E2444" s="41" t="str">
        <f t="shared" si="242"/>
        <v/>
      </c>
      <c r="F2444" s="200"/>
      <c r="G2444" s="178" t="e">
        <f>IF($C$1077&gt;0,VLOOKUP($C2444,ENTI!$AL$4:AP$1003,5,FALSE),"")</f>
        <v>#N/A</v>
      </c>
      <c r="H2444" s="179" t="e">
        <f>IF($C$1077&gt;0,VLOOKUP($C2444,ENTI!$AL$4:AQ$1003,6,FALSE),"")</f>
        <v>#N/A</v>
      </c>
      <c r="I2444" s="187"/>
      <c r="J2444" s="140" t="e">
        <f ca="1">VLOOKUP(D2444,$F$1081:$I$4183,4,FALSE)+COUNTIF(E$1081:E2443,E2444)</f>
        <v>#N/A</v>
      </c>
      <c r="K2444" s="1"/>
      <c r="L2444" s="156"/>
      <c r="M2444" s="1"/>
      <c r="N2444" s="1"/>
      <c r="O2444" s="1"/>
    </row>
    <row r="2445" spans="1:15" hidden="1">
      <c r="A2445" s="1"/>
      <c r="B2445" s="197" t="e">
        <f t="shared" ca="1" si="244"/>
        <v>#N/A</v>
      </c>
      <c r="C2445" s="498">
        <v>379</v>
      </c>
      <c r="D2445" s="41" t="e">
        <f>IF($C$1077&gt;0,VLOOKUP($C2445,ENTI!$AL$4:AN$1003,3,FALSE),"")</f>
        <v>#N/A</v>
      </c>
      <c r="E2445" s="41" t="str">
        <f t="shared" si="242"/>
        <v/>
      </c>
      <c r="F2445" s="200"/>
      <c r="G2445" s="178" t="e">
        <f>IF($C$1077&gt;0,VLOOKUP($C2445,ENTI!$AL$4:AP$1003,5,FALSE),"")</f>
        <v>#N/A</v>
      </c>
      <c r="H2445" s="179" t="e">
        <f>IF($C$1077&gt;0,VLOOKUP($C2445,ENTI!$AL$4:AQ$1003,6,FALSE),"")</f>
        <v>#N/A</v>
      </c>
      <c r="I2445" s="187"/>
      <c r="J2445" s="140" t="e">
        <f ca="1">VLOOKUP(D2445,$F$1081:$I$4183,4,FALSE)+COUNTIF(E$1081:E2444,E2445)</f>
        <v>#N/A</v>
      </c>
      <c r="K2445" s="1"/>
      <c r="L2445" s="156"/>
      <c r="M2445" s="1"/>
      <c r="N2445" s="1"/>
      <c r="O2445" s="1"/>
    </row>
    <row r="2446" spans="1:15" hidden="1">
      <c r="A2446" s="1"/>
      <c r="B2446" s="197" t="e">
        <f t="shared" ca="1" si="244"/>
        <v>#N/A</v>
      </c>
      <c r="C2446" s="498">
        <v>380</v>
      </c>
      <c r="D2446" s="41" t="e">
        <f>IF($C$1077&gt;0,VLOOKUP($C2446,ENTI!$AL$4:AN$1003,3,FALSE),"")</f>
        <v>#N/A</v>
      </c>
      <c r="E2446" s="41" t="str">
        <f t="shared" si="242"/>
        <v/>
      </c>
      <c r="F2446" s="200"/>
      <c r="G2446" s="178" t="e">
        <f>IF($C$1077&gt;0,VLOOKUP($C2446,ENTI!$AL$4:AP$1003,5,FALSE),"")</f>
        <v>#N/A</v>
      </c>
      <c r="H2446" s="179" t="e">
        <f>IF($C$1077&gt;0,VLOOKUP($C2446,ENTI!$AL$4:AQ$1003,6,FALSE),"")</f>
        <v>#N/A</v>
      </c>
      <c r="I2446" s="187"/>
      <c r="J2446" s="140" t="e">
        <f ca="1">VLOOKUP(D2446,$F$1081:$I$4183,4,FALSE)+COUNTIF(E$1081:E2445,E2446)</f>
        <v>#N/A</v>
      </c>
      <c r="K2446" s="1"/>
      <c r="L2446" s="156"/>
      <c r="M2446" s="1"/>
      <c r="N2446" s="1"/>
      <c r="O2446" s="1"/>
    </row>
    <row r="2447" spans="1:15" hidden="1">
      <c r="A2447" s="1"/>
      <c r="B2447" s="197" t="e">
        <f t="shared" ca="1" si="244"/>
        <v>#N/A</v>
      </c>
      <c r="C2447" s="498">
        <v>381</v>
      </c>
      <c r="D2447" s="41" t="e">
        <f>IF($C$1077&gt;0,VLOOKUP($C2447,ENTI!$AL$4:AN$1003,3,FALSE),"")</f>
        <v>#N/A</v>
      </c>
      <c r="E2447" s="41" t="str">
        <f t="shared" si="242"/>
        <v/>
      </c>
      <c r="F2447" s="200"/>
      <c r="G2447" s="178" t="e">
        <f>IF($C$1077&gt;0,VLOOKUP($C2447,ENTI!$AL$4:AP$1003,5,FALSE),"")</f>
        <v>#N/A</v>
      </c>
      <c r="H2447" s="179" t="e">
        <f>IF($C$1077&gt;0,VLOOKUP($C2447,ENTI!$AL$4:AQ$1003,6,FALSE),"")</f>
        <v>#N/A</v>
      </c>
      <c r="I2447" s="187"/>
      <c r="J2447" s="140" t="e">
        <f ca="1">VLOOKUP(D2447,$F$1081:$I$4183,4,FALSE)+COUNTIF(E$1081:E2446,E2447)</f>
        <v>#N/A</v>
      </c>
      <c r="K2447" s="1"/>
      <c r="L2447" s="156"/>
      <c r="M2447" s="1"/>
      <c r="N2447" s="1"/>
      <c r="O2447" s="1"/>
    </row>
    <row r="2448" spans="1:15" hidden="1">
      <c r="A2448" s="1"/>
      <c r="B2448" s="197" t="e">
        <f t="shared" ca="1" si="244"/>
        <v>#N/A</v>
      </c>
      <c r="C2448" s="498">
        <v>382</v>
      </c>
      <c r="D2448" s="41" t="e">
        <f>IF($C$1077&gt;0,VLOOKUP($C2448,ENTI!$AL$4:AN$1003,3,FALSE),"")</f>
        <v>#N/A</v>
      </c>
      <c r="E2448" s="41" t="str">
        <f t="shared" si="242"/>
        <v/>
      </c>
      <c r="F2448" s="200"/>
      <c r="G2448" s="178" t="e">
        <f>IF($C$1077&gt;0,VLOOKUP($C2448,ENTI!$AL$4:AP$1003,5,FALSE),"")</f>
        <v>#N/A</v>
      </c>
      <c r="H2448" s="179" t="e">
        <f>IF($C$1077&gt;0,VLOOKUP($C2448,ENTI!$AL$4:AQ$1003,6,FALSE),"")</f>
        <v>#N/A</v>
      </c>
      <c r="I2448" s="187"/>
      <c r="J2448" s="140" t="e">
        <f ca="1">VLOOKUP(D2448,$F$1081:$I$4183,4,FALSE)+COUNTIF(E$1081:E2447,E2448)</f>
        <v>#N/A</v>
      </c>
      <c r="K2448" s="1"/>
      <c r="L2448" s="156"/>
      <c r="M2448" s="1"/>
      <c r="N2448" s="1"/>
      <c r="O2448" s="1"/>
    </row>
    <row r="2449" spans="1:15" hidden="1">
      <c r="A2449" s="1"/>
      <c r="B2449" s="197" t="e">
        <f t="shared" ca="1" si="244"/>
        <v>#N/A</v>
      </c>
      <c r="C2449" s="498">
        <v>383</v>
      </c>
      <c r="D2449" s="41" t="e">
        <f>IF($C$1077&gt;0,VLOOKUP($C2449,ENTI!$AL$4:AN$1003,3,FALSE),"")</f>
        <v>#N/A</v>
      </c>
      <c r="E2449" s="41" t="str">
        <f t="shared" si="242"/>
        <v/>
      </c>
      <c r="F2449" s="200"/>
      <c r="G2449" s="178" t="e">
        <f>IF($C$1077&gt;0,VLOOKUP($C2449,ENTI!$AL$4:AP$1003,5,FALSE),"")</f>
        <v>#N/A</v>
      </c>
      <c r="H2449" s="179" t="e">
        <f>IF($C$1077&gt;0,VLOOKUP($C2449,ENTI!$AL$4:AQ$1003,6,FALSE),"")</f>
        <v>#N/A</v>
      </c>
      <c r="I2449" s="187"/>
      <c r="J2449" s="140" t="e">
        <f ca="1">VLOOKUP(D2449,$F$1081:$I$4183,4,FALSE)+COUNTIF(E$1081:E2448,E2449)</f>
        <v>#N/A</v>
      </c>
      <c r="K2449" s="1"/>
      <c r="L2449" s="156"/>
      <c r="M2449" s="1"/>
      <c r="N2449" s="1"/>
      <c r="O2449" s="1"/>
    </row>
    <row r="2450" spans="1:15" hidden="1">
      <c r="A2450" s="1"/>
      <c r="B2450" s="197" t="e">
        <f t="shared" ca="1" si="244"/>
        <v>#N/A</v>
      </c>
      <c r="C2450" s="498">
        <v>384</v>
      </c>
      <c r="D2450" s="41" t="e">
        <f>IF($C$1077&gt;0,VLOOKUP($C2450,ENTI!$AL$4:AN$1003,3,FALSE),"")</f>
        <v>#N/A</v>
      </c>
      <c r="E2450" s="41" t="str">
        <f t="shared" ref="E2450:E2510" si="245">IF(ISERROR(D2450),"",D2450)</f>
        <v/>
      </c>
      <c r="F2450" s="200"/>
      <c r="G2450" s="178" t="e">
        <f>IF($C$1077&gt;0,VLOOKUP($C2450,ENTI!$AL$4:AP$1003,5,FALSE),"")</f>
        <v>#N/A</v>
      </c>
      <c r="H2450" s="179" t="e">
        <f>IF($C$1077&gt;0,VLOOKUP($C2450,ENTI!$AL$4:AQ$1003,6,FALSE),"")</f>
        <v>#N/A</v>
      </c>
      <c r="I2450" s="187"/>
      <c r="J2450" s="140" t="e">
        <f ca="1">VLOOKUP(D2450,$F$1081:$I$4183,4,FALSE)+COUNTIF(E$1081:E2449,E2450)</f>
        <v>#N/A</v>
      </c>
      <c r="K2450" s="1"/>
      <c r="L2450" s="156"/>
      <c r="M2450" s="1"/>
      <c r="N2450" s="1"/>
      <c r="O2450" s="1"/>
    </row>
    <row r="2451" spans="1:15" hidden="1">
      <c r="A2451" s="1"/>
      <c r="B2451" s="197" t="e">
        <f t="shared" ca="1" si="244"/>
        <v>#N/A</v>
      </c>
      <c r="C2451" s="498">
        <v>385</v>
      </c>
      <c r="D2451" s="41" t="e">
        <f>IF($C$1077&gt;0,VLOOKUP($C2451,ENTI!$AL$4:AN$1003,3,FALSE),"")</f>
        <v>#N/A</v>
      </c>
      <c r="E2451" s="41" t="str">
        <f t="shared" si="245"/>
        <v/>
      </c>
      <c r="F2451" s="200"/>
      <c r="G2451" s="178" t="e">
        <f>IF($C$1077&gt;0,VLOOKUP($C2451,ENTI!$AL$4:AP$1003,5,FALSE),"")</f>
        <v>#N/A</v>
      </c>
      <c r="H2451" s="179" t="e">
        <f>IF($C$1077&gt;0,VLOOKUP($C2451,ENTI!$AL$4:AQ$1003,6,FALSE),"")</f>
        <v>#N/A</v>
      </c>
      <c r="I2451" s="187"/>
      <c r="J2451" s="140" t="e">
        <f ca="1">VLOOKUP(D2451,$F$1081:$I$4183,4,FALSE)+COUNTIF(E$1081:E2450,E2451)</f>
        <v>#N/A</v>
      </c>
      <c r="K2451" s="1"/>
      <c r="L2451" s="156"/>
      <c r="M2451" s="1"/>
      <c r="N2451" s="1"/>
      <c r="O2451" s="1"/>
    </row>
    <row r="2452" spans="1:15" hidden="1">
      <c r="A2452" s="1"/>
      <c r="B2452" s="197" t="e">
        <f t="shared" ca="1" si="244"/>
        <v>#N/A</v>
      </c>
      <c r="C2452" s="498">
        <v>386</v>
      </c>
      <c r="D2452" s="41" t="e">
        <f>IF($C$1077&gt;0,VLOOKUP($C2452,ENTI!$AL$4:AN$1003,3,FALSE),"")</f>
        <v>#N/A</v>
      </c>
      <c r="E2452" s="41" t="str">
        <f t="shared" si="245"/>
        <v/>
      </c>
      <c r="F2452" s="200"/>
      <c r="G2452" s="178" t="e">
        <f>IF($C$1077&gt;0,VLOOKUP($C2452,ENTI!$AL$4:AP$1003,5,FALSE),"")</f>
        <v>#N/A</v>
      </c>
      <c r="H2452" s="179" t="e">
        <f>IF($C$1077&gt;0,VLOOKUP($C2452,ENTI!$AL$4:AQ$1003,6,FALSE),"")</f>
        <v>#N/A</v>
      </c>
      <c r="I2452" s="187"/>
      <c r="J2452" s="140" t="e">
        <f ca="1">VLOOKUP(D2452,$F$1081:$I$4183,4,FALSE)+COUNTIF(E$1081:E2451,E2452)</f>
        <v>#N/A</v>
      </c>
      <c r="K2452" s="1"/>
      <c r="L2452" s="156"/>
      <c r="M2452" s="1"/>
      <c r="N2452" s="1"/>
      <c r="O2452" s="1"/>
    </row>
    <row r="2453" spans="1:15" hidden="1">
      <c r="A2453" s="1"/>
      <c r="B2453" s="197" t="e">
        <f t="shared" ca="1" si="244"/>
        <v>#N/A</v>
      </c>
      <c r="C2453" s="498">
        <v>387</v>
      </c>
      <c r="D2453" s="41" t="e">
        <f>IF($C$1077&gt;0,VLOOKUP($C2453,ENTI!$AL$4:AN$1003,3,FALSE),"")</f>
        <v>#N/A</v>
      </c>
      <c r="E2453" s="41" t="str">
        <f t="shared" si="245"/>
        <v/>
      </c>
      <c r="F2453" s="200"/>
      <c r="G2453" s="178" t="e">
        <f>IF($C$1077&gt;0,VLOOKUP($C2453,ENTI!$AL$4:AP$1003,5,FALSE),"")</f>
        <v>#N/A</v>
      </c>
      <c r="H2453" s="179" t="e">
        <f>IF($C$1077&gt;0,VLOOKUP($C2453,ENTI!$AL$4:AQ$1003,6,FALSE),"")</f>
        <v>#N/A</v>
      </c>
      <c r="I2453" s="187"/>
      <c r="J2453" s="140" t="e">
        <f ca="1">VLOOKUP(D2453,$F$1081:$I$4183,4,FALSE)+COUNTIF(E$1081:E2452,E2453)</f>
        <v>#N/A</v>
      </c>
      <c r="K2453" s="1"/>
      <c r="L2453" s="156"/>
      <c r="M2453" s="1"/>
      <c r="N2453" s="1"/>
      <c r="O2453" s="1"/>
    </row>
    <row r="2454" spans="1:15" hidden="1">
      <c r="A2454" s="1"/>
      <c r="B2454" s="197" t="e">
        <f t="shared" ca="1" si="244"/>
        <v>#N/A</v>
      </c>
      <c r="C2454" s="498">
        <v>388</v>
      </c>
      <c r="D2454" s="41" t="e">
        <f>IF($C$1077&gt;0,VLOOKUP($C2454,ENTI!$AL$4:AN$1003,3,FALSE),"")</f>
        <v>#N/A</v>
      </c>
      <c r="E2454" s="41" t="str">
        <f t="shared" si="245"/>
        <v/>
      </c>
      <c r="F2454" s="200"/>
      <c r="G2454" s="178" t="e">
        <f>IF($C$1077&gt;0,VLOOKUP($C2454,ENTI!$AL$4:AP$1003,5,FALSE),"")</f>
        <v>#N/A</v>
      </c>
      <c r="H2454" s="179" t="e">
        <f>IF($C$1077&gt;0,VLOOKUP($C2454,ENTI!$AL$4:AQ$1003,6,FALSE),"")</f>
        <v>#N/A</v>
      </c>
      <c r="I2454" s="187"/>
      <c r="J2454" s="140" t="e">
        <f ca="1">VLOOKUP(D2454,$F$1081:$I$4183,4,FALSE)+COUNTIF(E$1081:E2453,E2454)</f>
        <v>#N/A</v>
      </c>
      <c r="K2454" s="1"/>
      <c r="L2454" s="156"/>
      <c r="M2454" s="1"/>
      <c r="N2454" s="1"/>
      <c r="O2454" s="1"/>
    </row>
    <row r="2455" spans="1:15" hidden="1">
      <c r="A2455" s="1"/>
      <c r="B2455" s="197" t="e">
        <f t="shared" ca="1" si="244"/>
        <v>#N/A</v>
      </c>
      <c r="C2455" s="498">
        <v>389</v>
      </c>
      <c r="D2455" s="41" t="e">
        <f>IF($C$1077&gt;0,VLOOKUP($C2455,ENTI!$AL$4:AN$1003,3,FALSE),"")</f>
        <v>#N/A</v>
      </c>
      <c r="E2455" s="41" t="str">
        <f t="shared" si="245"/>
        <v/>
      </c>
      <c r="F2455" s="200"/>
      <c r="G2455" s="178" t="e">
        <f>IF($C$1077&gt;0,VLOOKUP($C2455,ENTI!$AL$4:AP$1003,5,FALSE),"")</f>
        <v>#N/A</v>
      </c>
      <c r="H2455" s="179" t="e">
        <f>IF($C$1077&gt;0,VLOOKUP($C2455,ENTI!$AL$4:AQ$1003,6,FALSE),"")</f>
        <v>#N/A</v>
      </c>
      <c r="I2455" s="187"/>
      <c r="J2455" s="140" t="e">
        <f ca="1">VLOOKUP(D2455,$F$1081:$I$4183,4,FALSE)+COUNTIF(E$1081:E2454,E2455)</f>
        <v>#N/A</v>
      </c>
      <c r="K2455" s="1"/>
      <c r="L2455" s="156"/>
      <c r="M2455" s="1"/>
      <c r="N2455" s="1"/>
      <c r="O2455" s="1"/>
    </row>
    <row r="2456" spans="1:15" hidden="1">
      <c r="A2456" s="1"/>
      <c r="B2456" s="197" t="e">
        <f t="shared" ca="1" si="244"/>
        <v>#N/A</v>
      </c>
      <c r="C2456" s="498">
        <v>390</v>
      </c>
      <c r="D2456" s="41" t="e">
        <f>IF($C$1077&gt;0,VLOOKUP($C2456,ENTI!$AL$4:AN$1003,3,FALSE),"")</f>
        <v>#N/A</v>
      </c>
      <c r="E2456" s="41" t="str">
        <f t="shared" si="245"/>
        <v/>
      </c>
      <c r="F2456" s="200"/>
      <c r="G2456" s="178" t="e">
        <f>IF($C$1077&gt;0,VLOOKUP($C2456,ENTI!$AL$4:AP$1003,5,FALSE),"")</f>
        <v>#N/A</v>
      </c>
      <c r="H2456" s="179" t="e">
        <f>IF($C$1077&gt;0,VLOOKUP($C2456,ENTI!$AL$4:AQ$1003,6,FALSE),"")</f>
        <v>#N/A</v>
      </c>
      <c r="I2456" s="187"/>
      <c r="J2456" s="140" t="e">
        <f ca="1">VLOOKUP(D2456,$F$1081:$I$4183,4,FALSE)+COUNTIF(E$1081:E2455,E2456)</f>
        <v>#N/A</v>
      </c>
      <c r="K2456" s="1"/>
      <c r="L2456" s="156"/>
      <c r="M2456" s="1"/>
      <c r="N2456" s="1"/>
      <c r="O2456" s="1"/>
    </row>
    <row r="2457" spans="1:15" hidden="1">
      <c r="A2457" s="1"/>
      <c r="B2457" s="197" t="e">
        <f t="shared" ref="B2457:B2520" ca="1" si="246">IF(OR(C$1075&gt;0,C$1077&gt;0,C$1073&gt;0,C$1071&gt;0),J2457+1,J2457)</f>
        <v>#N/A</v>
      </c>
      <c r="C2457" s="498">
        <v>391</v>
      </c>
      <c r="D2457" s="41" t="e">
        <f>IF($C$1077&gt;0,VLOOKUP($C2457,ENTI!$AL$4:AN$1003,3,FALSE),"")</f>
        <v>#N/A</v>
      </c>
      <c r="E2457" s="41" t="str">
        <f t="shared" si="245"/>
        <v/>
      </c>
      <c r="F2457" s="200"/>
      <c r="G2457" s="178" t="e">
        <f>IF($C$1077&gt;0,VLOOKUP($C2457,ENTI!$AL$4:AP$1003,5,FALSE),"")</f>
        <v>#N/A</v>
      </c>
      <c r="H2457" s="179" t="e">
        <f>IF($C$1077&gt;0,VLOOKUP($C2457,ENTI!$AL$4:AQ$1003,6,FALSE),"")</f>
        <v>#N/A</v>
      </c>
      <c r="I2457" s="187"/>
      <c r="J2457" s="140" t="e">
        <f ca="1">VLOOKUP(D2457,$F$1081:$I$4183,4,FALSE)+COUNTIF(E$1081:E2456,E2457)</f>
        <v>#N/A</v>
      </c>
      <c r="K2457" s="1"/>
      <c r="L2457" s="156"/>
      <c r="M2457" s="1"/>
      <c r="N2457" s="1"/>
      <c r="O2457" s="1"/>
    </row>
    <row r="2458" spans="1:15" hidden="1">
      <c r="A2458" s="1"/>
      <c r="B2458" s="197" t="e">
        <f t="shared" ca="1" si="246"/>
        <v>#N/A</v>
      </c>
      <c r="C2458" s="498">
        <v>392</v>
      </c>
      <c r="D2458" s="41" t="e">
        <f>IF($C$1077&gt;0,VLOOKUP($C2458,ENTI!$AL$4:AN$1003,3,FALSE),"")</f>
        <v>#N/A</v>
      </c>
      <c r="E2458" s="41" t="str">
        <f t="shared" si="245"/>
        <v/>
      </c>
      <c r="F2458" s="200"/>
      <c r="G2458" s="178" t="e">
        <f>IF($C$1077&gt;0,VLOOKUP($C2458,ENTI!$AL$4:AP$1003,5,FALSE),"")</f>
        <v>#N/A</v>
      </c>
      <c r="H2458" s="179" t="e">
        <f>IF($C$1077&gt;0,VLOOKUP($C2458,ENTI!$AL$4:AQ$1003,6,FALSE),"")</f>
        <v>#N/A</v>
      </c>
      <c r="I2458" s="187"/>
      <c r="J2458" s="140" t="e">
        <f ca="1">VLOOKUP(D2458,$F$1081:$I$4183,4,FALSE)+COUNTIF(E$1081:E2457,E2458)</f>
        <v>#N/A</v>
      </c>
      <c r="K2458" s="1"/>
      <c r="L2458" s="156"/>
      <c r="M2458" s="1"/>
      <c r="N2458" s="1"/>
      <c r="O2458" s="1"/>
    </row>
    <row r="2459" spans="1:15" hidden="1">
      <c r="A2459" s="1"/>
      <c r="B2459" s="197" t="e">
        <f t="shared" ca="1" si="246"/>
        <v>#N/A</v>
      </c>
      <c r="C2459" s="498">
        <v>393</v>
      </c>
      <c r="D2459" s="41" t="e">
        <f>IF($C$1077&gt;0,VLOOKUP($C2459,ENTI!$AL$4:AN$1003,3,FALSE),"")</f>
        <v>#N/A</v>
      </c>
      <c r="E2459" s="41" t="str">
        <f t="shared" si="245"/>
        <v/>
      </c>
      <c r="F2459" s="200"/>
      <c r="G2459" s="178" t="e">
        <f>IF($C$1077&gt;0,VLOOKUP($C2459,ENTI!$AL$4:AP$1003,5,FALSE),"")</f>
        <v>#N/A</v>
      </c>
      <c r="H2459" s="179" t="e">
        <f>IF($C$1077&gt;0,VLOOKUP($C2459,ENTI!$AL$4:AQ$1003,6,FALSE),"")</f>
        <v>#N/A</v>
      </c>
      <c r="I2459" s="187"/>
      <c r="J2459" s="140" t="e">
        <f ca="1">VLOOKUP(D2459,$F$1081:$I$4183,4,FALSE)+COUNTIF(E$1081:E2458,E2459)</f>
        <v>#N/A</v>
      </c>
      <c r="K2459" s="1"/>
      <c r="L2459" s="156"/>
      <c r="M2459" s="1"/>
      <c r="N2459" s="1"/>
      <c r="O2459" s="1"/>
    </row>
    <row r="2460" spans="1:15" hidden="1">
      <c r="A2460" s="1"/>
      <c r="B2460" s="197" t="e">
        <f t="shared" ca="1" si="246"/>
        <v>#N/A</v>
      </c>
      <c r="C2460" s="498">
        <v>394</v>
      </c>
      <c r="D2460" s="41" t="e">
        <f>IF($C$1077&gt;0,VLOOKUP($C2460,ENTI!$AL$4:AN$1003,3,FALSE),"")</f>
        <v>#N/A</v>
      </c>
      <c r="E2460" s="41" t="str">
        <f t="shared" si="245"/>
        <v/>
      </c>
      <c r="F2460" s="200"/>
      <c r="G2460" s="178" t="e">
        <f>IF($C$1077&gt;0,VLOOKUP($C2460,ENTI!$AL$4:AP$1003,5,FALSE),"")</f>
        <v>#N/A</v>
      </c>
      <c r="H2460" s="179" t="e">
        <f>IF($C$1077&gt;0,VLOOKUP($C2460,ENTI!$AL$4:AQ$1003,6,FALSE),"")</f>
        <v>#N/A</v>
      </c>
      <c r="I2460" s="187"/>
      <c r="J2460" s="140" t="e">
        <f ca="1">VLOOKUP(D2460,$F$1081:$I$4183,4,FALSE)+COUNTIF(E$1081:E2459,E2460)</f>
        <v>#N/A</v>
      </c>
      <c r="K2460" s="1"/>
      <c r="L2460" s="156"/>
      <c r="M2460" s="1"/>
      <c r="N2460" s="1"/>
      <c r="O2460" s="1"/>
    </row>
    <row r="2461" spans="1:15" hidden="1">
      <c r="A2461" s="1"/>
      <c r="B2461" s="197" t="e">
        <f t="shared" ca="1" si="246"/>
        <v>#N/A</v>
      </c>
      <c r="C2461" s="498">
        <v>395</v>
      </c>
      <c r="D2461" s="41" t="e">
        <f>IF($C$1077&gt;0,VLOOKUP($C2461,ENTI!$AL$4:AN$1003,3,FALSE),"")</f>
        <v>#N/A</v>
      </c>
      <c r="E2461" s="41" t="str">
        <f t="shared" si="245"/>
        <v/>
      </c>
      <c r="F2461" s="200"/>
      <c r="G2461" s="178" t="e">
        <f>IF($C$1077&gt;0,VLOOKUP($C2461,ENTI!$AL$4:AP$1003,5,FALSE),"")</f>
        <v>#N/A</v>
      </c>
      <c r="H2461" s="179" t="e">
        <f>IF($C$1077&gt;0,VLOOKUP($C2461,ENTI!$AL$4:AQ$1003,6,FALSE),"")</f>
        <v>#N/A</v>
      </c>
      <c r="I2461" s="187"/>
      <c r="J2461" s="140" t="e">
        <f ca="1">VLOOKUP(D2461,$F$1081:$I$4183,4,FALSE)+COUNTIF(E$1081:E2460,E2461)</f>
        <v>#N/A</v>
      </c>
      <c r="K2461" s="1"/>
      <c r="L2461" s="156"/>
      <c r="M2461" s="1"/>
      <c r="N2461" s="1"/>
      <c r="O2461" s="1"/>
    </row>
    <row r="2462" spans="1:15" hidden="1">
      <c r="A2462" s="1"/>
      <c r="B2462" s="197" t="e">
        <f t="shared" ca="1" si="246"/>
        <v>#N/A</v>
      </c>
      <c r="C2462" s="498">
        <v>396</v>
      </c>
      <c r="D2462" s="41" t="e">
        <f>IF($C$1077&gt;0,VLOOKUP($C2462,ENTI!$AL$4:AN$1003,3,FALSE),"")</f>
        <v>#N/A</v>
      </c>
      <c r="E2462" s="41" t="str">
        <f t="shared" si="245"/>
        <v/>
      </c>
      <c r="F2462" s="200"/>
      <c r="G2462" s="178" t="e">
        <f>IF($C$1077&gt;0,VLOOKUP($C2462,ENTI!$AL$4:AP$1003,5,FALSE),"")</f>
        <v>#N/A</v>
      </c>
      <c r="H2462" s="179" t="e">
        <f>IF($C$1077&gt;0,VLOOKUP($C2462,ENTI!$AL$4:AQ$1003,6,FALSE),"")</f>
        <v>#N/A</v>
      </c>
      <c r="I2462" s="187"/>
      <c r="J2462" s="140" t="e">
        <f ca="1">VLOOKUP(D2462,$F$1081:$I$4183,4,FALSE)+COUNTIF(E$1081:E2461,E2462)</f>
        <v>#N/A</v>
      </c>
      <c r="K2462" s="1"/>
      <c r="L2462" s="156"/>
      <c r="M2462" s="1"/>
      <c r="N2462" s="1"/>
      <c r="O2462" s="1"/>
    </row>
    <row r="2463" spans="1:15" hidden="1">
      <c r="A2463" s="1"/>
      <c r="B2463" s="197" t="e">
        <f t="shared" ca="1" si="246"/>
        <v>#N/A</v>
      </c>
      <c r="C2463" s="498">
        <v>397</v>
      </c>
      <c r="D2463" s="41" t="e">
        <f>IF($C$1077&gt;0,VLOOKUP($C2463,ENTI!$AL$4:AN$1003,3,FALSE),"")</f>
        <v>#N/A</v>
      </c>
      <c r="E2463" s="41" t="str">
        <f t="shared" si="245"/>
        <v/>
      </c>
      <c r="F2463" s="200"/>
      <c r="G2463" s="178" t="e">
        <f>IF($C$1077&gt;0,VLOOKUP($C2463,ENTI!$AL$4:AP$1003,5,FALSE),"")</f>
        <v>#N/A</v>
      </c>
      <c r="H2463" s="179" t="e">
        <f>IF($C$1077&gt;0,VLOOKUP($C2463,ENTI!$AL$4:AQ$1003,6,FALSE),"")</f>
        <v>#N/A</v>
      </c>
      <c r="I2463" s="187"/>
      <c r="J2463" s="140" t="e">
        <f ca="1">VLOOKUP(D2463,$F$1081:$I$4183,4,FALSE)+COUNTIF(E$1081:E2462,E2463)</f>
        <v>#N/A</v>
      </c>
      <c r="K2463" s="1"/>
      <c r="L2463" s="156"/>
      <c r="M2463" s="1"/>
      <c r="N2463" s="1"/>
      <c r="O2463" s="1"/>
    </row>
    <row r="2464" spans="1:15" hidden="1">
      <c r="A2464" s="1"/>
      <c r="B2464" s="197" t="e">
        <f t="shared" ca="1" si="246"/>
        <v>#N/A</v>
      </c>
      <c r="C2464" s="498">
        <v>398</v>
      </c>
      <c r="D2464" s="41" t="e">
        <f>IF($C$1077&gt;0,VLOOKUP($C2464,ENTI!$AL$4:AN$1003,3,FALSE),"")</f>
        <v>#N/A</v>
      </c>
      <c r="E2464" s="41" t="str">
        <f t="shared" si="245"/>
        <v/>
      </c>
      <c r="F2464" s="200"/>
      <c r="G2464" s="178" t="e">
        <f>IF($C$1077&gt;0,VLOOKUP($C2464,ENTI!$AL$4:AP$1003,5,FALSE),"")</f>
        <v>#N/A</v>
      </c>
      <c r="H2464" s="179" t="e">
        <f>IF($C$1077&gt;0,VLOOKUP($C2464,ENTI!$AL$4:AQ$1003,6,FALSE),"")</f>
        <v>#N/A</v>
      </c>
      <c r="I2464" s="187"/>
      <c r="J2464" s="140" t="e">
        <f ca="1">VLOOKUP(D2464,$F$1081:$I$4183,4,FALSE)+COUNTIF(E$1081:E2463,E2464)</f>
        <v>#N/A</v>
      </c>
      <c r="K2464" s="1"/>
      <c r="L2464" s="156"/>
      <c r="M2464" s="1"/>
      <c r="N2464" s="1"/>
      <c r="O2464" s="1"/>
    </row>
    <row r="2465" spans="1:15" hidden="1">
      <c r="A2465" s="1"/>
      <c r="B2465" s="197" t="e">
        <f t="shared" ca="1" si="246"/>
        <v>#N/A</v>
      </c>
      <c r="C2465" s="498">
        <v>399</v>
      </c>
      <c r="D2465" s="41" t="e">
        <f>IF($C$1077&gt;0,VLOOKUP($C2465,ENTI!$AL$4:AN$1003,3,FALSE),"")</f>
        <v>#N/A</v>
      </c>
      <c r="E2465" s="41" t="str">
        <f t="shared" si="245"/>
        <v/>
      </c>
      <c r="F2465" s="200"/>
      <c r="G2465" s="178" t="e">
        <f>IF($C$1077&gt;0,VLOOKUP($C2465,ENTI!$AL$4:AP$1003,5,FALSE),"")</f>
        <v>#N/A</v>
      </c>
      <c r="H2465" s="179" t="e">
        <f>IF($C$1077&gt;0,VLOOKUP($C2465,ENTI!$AL$4:AQ$1003,6,FALSE),"")</f>
        <v>#N/A</v>
      </c>
      <c r="I2465" s="187"/>
      <c r="J2465" s="140" t="e">
        <f ca="1">VLOOKUP(D2465,$F$1081:$I$4183,4,FALSE)+COUNTIF(E$1081:E2464,E2465)</f>
        <v>#N/A</v>
      </c>
      <c r="K2465" s="1"/>
      <c r="L2465" s="156"/>
      <c r="M2465" s="1"/>
      <c r="N2465" s="1"/>
      <c r="O2465" s="1"/>
    </row>
    <row r="2466" spans="1:15" hidden="1">
      <c r="A2466" s="1"/>
      <c r="B2466" s="197" t="e">
        <f t="shared" ca="1" si="246"/>
        <v>#N/A</v>
      </c>
      <c r="C2466" s="498">
        <v>400</v>
      </c>
      <c r="D2466" s="41" t="e">
        <f>IF($C$1077&gt;0,VLOOKUP($C2466,ENTI!$AL$4:AN$1003,3,FALSE),"")</f>
        <v>#N/A</v>
      </c>
      <c r="E2466" s="41" t="str">
        <f t="shared" si="245"/>
        <v/>
      </c>
      <c r="F2466" s="200"/>
      <c r="G2466" s="178" t="e">
        <f>IF($C$1077&gt;0,VLOOKUP($C2466,ENTI!$AL$4:AP$1003,5,FALSE),"")</f>
        <v>#N/A</v>
      </c>
      <c r="H2466" s="179" t="e">
        <f>IF($C$1077&gt;0,VLOOKUP($C2466,ENTI!$AL$4:AQ$1003,6,FALSE),"")</f>
        <v>#N/A</v>
      </c>
      <c r="I2466" s="187"/>
      <c r="J2466" s="140" t="e">
        <f ca="1">VLOOKUP(D2466,$F$1081:$I$4183,4,FALSE)+COUNTIF(E$1081:E2465,E2466)</f>
        <v>#N/A</v>
      </c>
      <c r="K2466" s="1"/>
      <c r="L2466" s="156"/>
      <c r="M2466" s="1"/>
      <c r="N2466" s="1"/>
      <c r="O2466" s="1"/>
    </row>
    <row r="2467" spans="1:15" hidden="1">
      <c r="A2467" s="1"/>
      <c r="B2467" s="197" t="e">
        <f t="shared" ca="1" si="246"/>
        <v>#N/A</v>
      </c>
      <c r="C2467" s="498">
        <v>401</v>
      </c>
      <c r="D2467" s="41" t="e">
        <f>IF($C$1077&gt;0,VLOOKUP($C2467,ENTI!$AL$4:AN$1003,3,FALSE),"")</f>
        <v>#N/A</v>
      </c>
      <c r="E2467" s="41" t="str">
        <f t="shared" si="245"/>
        <v/>
      </c>
      <c r="F2467" s="200"/>
      <c r="G2467" s="178" t="e">
        <f>IF($C$1077&gt;0,VLOOKUP($C2467,ENTI!$AL$4:AP$1003,5,FALSE),"")</f>
        <v>#N/A</v>
      </c>
      <c r="H2467" s="179" t="e">
        <f>IF($C$1077&gt;0,VLOOKUP($C2467,ENTI!$AL$4:AQ$1003,6,FALSE),"")</f>
        <v>#N/A</v>
      </c>
      <c r="I2467" s="187"/>
      <c r="J2467" s="140" t="e">
        <f ca="1">VLOOKUP(D2467,$F$1081:$I$4183,4,FALSE)+COUNTIF(E$1081:E2466,E2467)</f>
        <v>#N/A</v>
      </c>
      <c r="K2467" s="1"/>
      <c r="L2467" s="156"/>
      <c r="M2467" s="1"/>
      <c r="N2467" s="1"/>
      <c r="O2467" s="1"/>
    </row>
    <row r="2468" spans="1:15" hidden="1">
      <c r="A2468" s="1"/>
      <c r="B2468" s="197" t="e">
        <f t="shared" ca="1" si="246"/>
        <v>#N/A</v>
      </c>
      <c r="C2468" s="498">
        <v>402</v>
      </c>
      <c r="D2468" s="41" t="e">
        <f>IF($C$1077&gt;0,VLOOKUP($C2468,ENTI!$AL$4:AN$1003,3,FALSE),"")</f>
        <v>#N/A</v>
      </c>
      <c r="E2468" s="41" t="str">
        <f t="shared" si="245"/>
        <v/>
      </c>
      <c r="F2468" s="200"/>
      <c r="G2468" s="178" t="e">
        <f>IF($C$1077&gt;0,VLOOKUP($C2468,ENTI!$AL$4:AP$1003,5,FALSE),"")</f>
        <v>#N/A</v>
      </c>
      <c r="H2468" s="179" t="e">
        <f>IF($C$1077&gt;0,VLOOKUP($C2468,ENTI!$AL$4:AQ$1003,6,FALSE),"")</f>
        <v>#N/A</v>
      </c>
      <c r="I2468" s="187"/>
      <c r="J2468" s="140" t="e">
        <f ca="1">VLOOKUP(D2468,$F$1081:$I$4183,4,FALSE)+COUNTIF(E$1081:E2467,E2468)</f>
        <v>#N/A</v>
      </c>
      <c r="K2468" s="1"/>
      <c r="L2468" s="156"/>
      <c r="M2468" s="1"/>
      <c r="N2468" s="1"/>
      <c r="O2468" s="1"/>
    </row>
    <row r="2469" spans="1:15" hidden="1">
      <c r="A2469" s="1"/>
      <c r="B2469" s="197" t="e">
        <f t="shared" ca="1" si="246"/>
        <v>#N/A</v>
      </c>
      <c r="C2469" s="498">
        <v>403</v>
      </c>
      <c r="D2469" s="41" t="e">
        <f>IF($C$1077&gt;0,VLOOKUP($C2469,ENTI!$AL$4:AN$1003,3,FALSE),"")</f>
        <v>#N/A</v>
      </c>
      <c r="E2469" s="41" t="str">
        <f t="shared" si="245"/>
        <v/>
      </c>
      <c r="F2469" s="200"/>
      <c r="G2469" s="178" t="e">
        <f>IF($C$1077&gt;0,VLOOKUP($C2469,ENTI!$AL$4:AP$1003,5,FALSE),"")</f>
        <v>#N/A</v>
      </c>
      <c r="H2469" s="179" t="e">
        <f>IF($C$1077&gt;0,VLOOKUP($C2469,ENTI!$AL$4:AQ$1003,6,FALSE),"")</f>
        <v>#N/A</v>
      </c>
      <c r="I2469" s="187"/>
      <c r="J2469" s="140" t="e">
        <f ca="1">VLOOKUP(D2469,$F$1081:$I$4183,4,FALSE)+COUNTIF(E$1081:E2468,E2469)</f>
        <v>#N/A</v>
      </c>
      <c r="K2469" s="1"/>
      <c r="L2469" s="156"/>
      <c r="M2469" s="1"/>
      <c r="N2469" s="1"/>
      <c r="O2469" s="1"/>
    </row>
    <row r="2470" spans="1:15" hidden="1">
      <c r="A2470" s="1"/>
      <c r="B2470" s="197" t="e">
        <f t="shared" ca="1" si="246"/>
        <v>#N/A</v>
      </c>
      <c r="C2470" s="498">
        <v>404</v>
      </c>
      <c r="D2470" s="41" t="e">
        <f>IF($C$1077&gt;0,VLOOKUP($C2470,ENTI!$AL$4:AN$1003,3,FALSE),"")</f>
        <v>#N/A</v>
      </c>
      <c r="E2470" s="41" t="str">
        <f t="shared" si="245"/>
        <v/>
      </c>
      <c r="F2470" s="200"/>
      <c r="G2470" s="178" t="e">
        <f>IF($C$1077&gt;0,VLOOKUP($C2470,ENTI!$AL$4:AP$1003,5,FALSE),"")</f>
        <v>#N/A</v>
      </c>
      <c r="H2470" s="179" t="e">
        <f>IF($C$1077&gt;0,VLOOKUP($C2470,ENTI!$AL$4:AQ$1003,6,FALSE),"")</f>
        <v>#N/A</v>
      </c>
      <c r="I2470" s="187"/>
      <c r="J2470" s="140" t="e">
        <f ca="1">VLOOKUP(D2470,$F$1081:$I$4183,4,FALSE)+COUNTIF(E$1081:E2469,E2470)</f>
        <v>#N/A</v>
      </c>
      <c r="K2470" s="1"/>
      <c r="L2470" s="156"/>
      <c r="M2470" s="1"/>
      <c r="N2470" s="1"/>
      <c r="O2470" s="1"/>
    </row>
    <row r="2471" spans="1:15" hidden="1">
      <c r="A2471" s="1"/>
      <c r="B2471" s="197" t="e">
        <f t="shared" ca="1" si="246"/>
        <v>#N/A</v>
      </c>
      <c r="C2471" s="498">
        <v>405</v>
      </c>
      <c r="D2471" s="41" t="e">
        <f>IF($C$1077&gt;0,VLOOKUP($C2471,ENTI!$AL$4:AN$1003,3,FALSE),"")</f>
        <v>#N/A</v>
      </c>
      <c r="E2471" s="41" t="str">
        <f t="shared" si="245"/>
        <v/>
      </c>
      <c r="F2471" s="200"/>
      <c r="G2471" s="178" t="e">
        <f>IF($C$1077&gt;0,VLOOKUP($C2471,ENTI!$AL$4:AP$1003,5,FALSE),"")</f>
        <v>#N/A</v>
      </c>
      <c r="H2471" s="179" t="e">
        <f>IF($C$1077&gt;0,VLOOKUP($C2471,ENTI!$AL$4:AQ$1003,6,FALSE),"")</f>
        <v>#N/A</v>
      </c>
      <c r="I2471" s="187"/>
      <c r="J2471" s="140" t="e">
        <f ca="1">VLOOKUP(D2471,$F$1081:$I$4183,4,FALSE)+COUNTIF(E$1081:E2470,E2471)</f>
        <v>#N/A</v>
      </c>
      <c r="K2471" s="1"/>
      <c r="L2471" s="156"/>
      <c r="M2471" s="1"/>
      <c r="N2471" s="1"/>
      <c r="O2471" s="1"/>
    </row>
    <row r="2472" spans="1:15" hidden="1">
      <c r="A2472" s="1"/>
      <c r="B2472" s="197" t="e">
        <f t="shared" ca="1" si="246"/>
        <v>#N/A</v>
      </c>
      <c r="C2472" s="498">
        <v>406</v>
      </c>
      <c r="D2472" s="41" t="e">
        <f>IF($C$1077&gt;0,VLOOKUP($C2472,ENTI!$AL$4:AN$1003,3,FALSE),"")</f>
        <v>#N/A</v>
      </c>
      <c r="E2472" s="41" t="str">
        <f t="shared" si="245"/>
        <v/>
      </c>
      <c r="F2472" s="200"/>
      <c r="G2472" s="178" t="e">
        <f>IF($C$1077&gt;0,VLOOKUP($C2472,ENTI!$AL$4:AP$1003,5,FALSE),"")</f>
        <v>#N/A</v>
      </c>
      <c r="H2472" s="179" t="e">
        <f>IF($C$1077&gt;0,VLOOKUP($C2472,ENTI!$AL$4:AQ$1003,6,FALSE),"")</f>
        <v>#N/A</v>
      </c>
      <c r="I2472" s="187"/>
      <c r="J2472" s="140" t="e">
        <f ca="1">VLOOKUP(D2472,$F$1081:$I$4183,4,FALSE)+COUNTIF(E$1081:E2471,E2472)</f>
        <v>#N/A</v>
      </c>
      <c r="K2472" s="1"/>
      <c r="L2472" s="156"/>
      <c r="M2472" s="1"/>
      <c r="N2472" s="1"/>
      <c r="O2472" s="1"/>
    </row>
    <row r="2473" spans="1:15" hidden="1">
      <c r="A2473" s="1"/>
      <c r="B2473" s="197" t="e">
        <f t="shared" ca="1" si="246"/>
        <v>#N/A</v>
      </c>
      <c r="C2473" s="498">
        <v>407</v>
      </c>
      <c r="D2473" s="41" t="e">
        <f>IF($C$1077&gt;0,VLOOKUP($C2473,ENTI!$AL$4:AN$1003,3,FALSE),"")</f>
        <v>#N/A</v>
      </c>
      <c r="E2473" s="41" t="str">
        <f t="shared" si="245"/>
        <v/>
      </c>
      <c r="F2473" s="200"/>
      <c r="G2473" s="178" t="e">
        <f>IF($C$1077&gt;0,VLOOKUP($C2473,ENTI!$AL$4:AP$1003,5,FALSE),"")</f>
        <v>#N/A</v>
      </c>
      <c r="H2473" s="179" t="e">
        <f>IF($C$1077&gt;0,VLOOKUP($C2473,ENTI!$AL$4:AQ$1003,6,FALSE),"")</f>
        <v>#N/A</v>
      </c>
      <c r="I2473" s="187"/>
      <c r="J2473" s="140" t="e">
        <f ca="1">VLOOKUP(D2473,$F$1081:$I$4183,4,FALSE)+COUNTIF(E$1081:E2472,E2473)</f>
        <v>#N/A</v>
      </c>
      <c r="K2473" s="1"/>
      <c r="L2473" s="156"/>
      <c r="M2473" s="1"/>
      <c r="N2473" s="1"/>
      <c r="O2473" s="1"/>
    </row>
    <row r="2474" spans="1:15" hidden="1">
      <c r="A2474" s="1"/>
      <c r="B2474" s="197" t="e">
        <f t="shared" ca="1" si="246"/>
        <v>#N/A</v>
      </c>
      <c r="C2474" s="498">
        <v>408</v>
      </c>
      <c r="D2474" s="41" t="e">
        <f>IF($C$1077&gt;0,VLOOKUP($C2474,ENTI!$AL$4:AN$1003,3,FALSE),"")</f>
        <v>#N/A</v>
      </c>
      <c r="E2474" s="41" t="str">
        <f t="shared" si="245"/>
        <v/>
      </c>
      <c r="F2474" s="200"/>
      <c r="G2474" s="178" t="e">
        <f>IF($C$1077&gt;0,VLOOKUP($C2474,ENTI!$AL$4:AP$1003,5,FALSE),"")</f>
        <v>#N/A</v>
      </c>
      <c r="H2474" s="179" t="e">
        <f>IF($C$1077&gt;0,VLOOKUP($C2474,ENTI!$AL$4:AQ$1003,6,FALSE),"")</f>
        <v>#N/A</v>
      </c>
      <c r="I2474" s="187"/>
      <c r="J2474" s="140" t="e">
        <f ca="1">VLOOKUP(D2474,$F$1081:$I$4183,4,FALSE)+COUNTIF(E$1081:E2473,E2474)</f>
        <v>#N/A</v>
      </c>
      <c r="K2474" s="1"/>
      <c r="L2474" s="156"/>
      <c r="M2474" s="1"/>
      <c r="N2474" s="1"/>
      <c r="O2474" s="1"/>
    </row>
    <row r="2475" spans="1:15" hidden="1">
      <c r="A2475" s="1"/>
      <c r="B2475" s="197" t="e">
        <f t="shared" ca="1" si="246"/>
        <v>#N/A</v>
      </c>
      <c r="C2475" s="498">
        <v>409</v>
      </c>
      <c r="D2475" s="41" t="e">
        <f>IF($C$1077&gt;0,VLOOKUP($C2475,ENTI!$AL$4:AN$1003,3,FALSE),"")</f>
        <v>#N/A</v>
      </c>
      <c r="E2475" s="41" t="str">
        <f t="shared" si="245"/>
        <v/>
      </c>
      <c r="F2475" s="200"/>
      <c r="G2475" s="178" t="e">
        <f>IF($C$1077&gt;0,VLOOKUP($C2475,ENTI!$AL$4:AP$1003,5,FALSE),"")</f>
        <v>#N/A</v>
      </c>
      <c r="H2475" s="179" t="e">
        <f>IF($C$1077&gt;0,VLOOKUP($C2475,ENTI!$AL$4:AQ$1003,6,FALSE),"")</f>
        <v>#N/A</v>
      </c>
      <c r="I2475" s="187"/>
      <c r="J2475" s="140" t="e">
        <f ca="1">VLOOKUP(D2475,$F$1081:$I$4183,4,FALSE)+COUNTIF(E$1081:E2474,E2475)</f>
        <v>#N/A</v>
      </c>
      <c r="K2475" s="1"/>
      <c r="L2475" s="156"/>
      <c r="M2475" s="1"/>
      <c r="N2475" s="1"/>
      <c r="O2475" s="1"/>
    </row>
    <row r="2476" spans="1:15" hidden="1">
      <c r="A2476" s="1"/>
      <c r="B2476" s="197" t="e">
        <f t="shared" ca="1" si="246"/>
        <v>#N/A</v>
      </c>
      <c r="C2476" s="498">
        <v>410</v>
      </c>
      <c r="D2476" s="41" t="e">
        <f>IF($C$1077&gt;0,VLOOKUP($C2476,ENTI!$AL$4:AN$1003,3,FALSE),"")</f>
        <v>#N/A</v>
      </c>
      <c r="E2476" s="41" t="str">
        <f t="shared" si="245"/>
        <v/>
      </c>
      <c r="F2476" s="200"/>
      <c r="G2476" s="178" t="e">
        <f>IF($C$1077&gt;0,VLOOKUP($C2476,ENTI!$AL$4:AP$1003,5,FALSE),"")</f>
        <v>#N/A</v>
      </c>
      <c r="H2476" s="179" t="e">
        <f>IF($C$1077&gt;0,VLOOKUP($C2476,ENTI!$AL$4:AQ$1003,6,FALSE),"")</f>
        <v>#N/A</v>
      </c>
      <c r="I2476" s="187"/>
      <c r="J2476" s="140" t="e">
        <f ca="1">VLOOKUP(D2476,$F$1081:$I$4183,4,FALSE)+COUNTIF(E$1081:E2475,E2476)</f>
        <v>#N/A</v>
      </c>
      <c r="K2476" s="1"/>
      <c r="L2476" s="156"/>
      <c r="M2476" s="1"/>
      <c r="N2476" s="1"/>
      <c r="O2476" s="1"/>
    </row>
    <row r="2477" spans="1:15" hidden="1">
      <c r="A2477" s="1"/>
      <c r="B2477" s="197" t="e">
        <f t="shared" ca="1" si="246"/>
        <v>#N/A</v>
      </c>
      <c r="C2477" s="498">
        <v>411</v>
      </c>
      <c r="D2477" s="41" t="e">
        <f>IF($C$1077&gt;0,VLOOKUP($C2477,ENTI!$AL$4:AN$1003,3,FALSE),"")</f>
        <v>#N/A</v>
      </c>
      <c r="E2477" s="41" t="str">
        <f t="shared" si="245"/>
        <v/>
      </c>
      <c r="F2477" s="200"/>
      <c r="G2477" s="178" t="e">
        <f>IF($C$1077&gt;0,VLOOKUP($C2477,ENTI!$AL$4:AP$1003,5,FALSE),"")</f>
        <v>#N/A</v>
      </c>
      <c r="H2477" s="179" t="e">
        <f>IF($C$1077&gt;0,VLOOKUP($C2477,ENTI!$AL$4:AQ$1003,6,FALSE),"")</f>
        <v>#N/A</v>
      </c>
      <c r="I2477" s="187"/>
      <c r="J2477" s="140" t="e">
        <f ca="1">VLOOKUP(D2477,$F$1081:$I$4183,4,FALSE)+COUNTIF(E$1081:E2476,E2477)</f>
        <v>#N/A</v>
      </c>
      <c r="K2477" s="1"/>
      <c r="L2477" s="156"/>
      <c r="M2477" s="1"/>
      <c r="N2477" s="1"/>
      <c r="O2477" s="1"/>
    </row>
    <row r="2478" spans="1:15" hidden="1">
      <c r="A2478" s="1"/>
      <c r="B2478" s="197" t="e">
        <f t="shared" ca="1" si="246"/>
        <v>#N/A</v>
      </c>
      <c r="C2478" s="498">
        <v>412</v>
      </c>
      <c r="D2478" s="41" t="e">
        <f>IF($C$1077&gt;0,VLOOKUP($C2478,ENTI!$AL$4:AN$1003,3,FALSE),"")</f>
        <v>#N/A</v>
      </c>
      <c r="E2478" s="41" t="str">
        <f t="shared" si="245"/>
        <v/>
      </c>
      <c r="F2478" s="200"/>
      <c r="G2478" s="178" t="e">
        <f>IF($C$1077&gt;0,VLOOKUP($C2478,ENTI!$AL$4:AP$1003,5,FALSE),"")</f>
        <v>#N/A</v>
      </c>
      <c r="H2478" s="179" t="e">
        <f>IF($C$1077&gt;0,VLOOKUP($C2478,ENTI!$AL$4:AQ$1003,6,FALSE),"")</f>
        <v>#N/A</v>
      </c>
      <c r="I2478" s="187"/>
      <c r="J2478" s="140" t="e">
        <f ca="1">VLOOKUP(D2478,$F$1081:$I$4183,4,FALSE)+COUNTIF(E$1081:E2477,E2478)</f>
        <v>#N/A</v>
      </c>
      <c r="K2478" s="1"/>
      <c r="L2478" s="156"/>
      <c r="M2478" s="1"/>
      <c r="N2478" s="1"/>
      <c r="O2478" s="1"/>
    </row>
    <row r="2479" spans="1:15" hidden="1">
      <c r="A2479" s="1"/>
      <c r="B2479" s="197" t="e">
        <f t="shared" ca="1" si="246"/>
        <v>#N/A</v>
      </c>
      <c r="C2479" s="498">
        <v>413</v>
      </c>
      <c r="D2479" s="41" t="e">
        <f>IF($C$1077&gt;0,VLOOKUP($C2479,ENTI!$AL$4:AN$1003,3,FALSE),"")</f>
        <v>#N/A</v>
      </c>
      <c r="E2479" s="41" t="str">
        <f t="shared" si="245"/>
        <v/>
      </c>
      <c r="F2479" s="200"/>
      <c r="G2479" s="178" t="e">
        <f>IF($C$1077&gt;0,VLOOKUP($C2479,ENTI!$AL$4:AP$1003,5,FALSE),"")</f>
        <v>#N/A</v>
      </c>
      <c r="H2479" s="179" t="e">
        <f>IF($C$1077&gt;0,VLOOKUP($C2479,ENTI!$AL$4:AQ$1003,6,FALSE),"")</f>
        <v>#N/A</v>
      </c>
      <c r="I2479" s="187"/>
      <c r="J2479" s="140" t="e">
        <f ca="1">VLOOKUP(D2479,$F$1081:$I$4183,4,FALSE)+COUNTIF(E$1081:E2478,E2479)</f>
        <v>#N/A</v>
      </c>
      <c r="K2479" s="1"/>
      <c r="L2479" s="156"/>
      <c r="M2479" s="1"/>
      <c r="N2479" s="1"/>
      <c r="O2479" s="1"/>
    </row>
    <row r="2480" spans="1:15" hidden="1">
      <c r="A2480" s="1"/>
      <c r="B2480" s="197" t="e">
        <f t="shared" ca="1" si="246"/>
        <v>#N/A</v>
      </c>
      <c r="C2480" s="498">
        <v>414</v>
      </c>
      <c r="D2480" s="41" t="e">
        <f>IF($C$1077&gt;0,VLOOKUP($C2480,ENTI!$AL$4:AN$1003,3,FALSE),"")</f>
        <v>#N/A</v>
      </c>
      <c r="E2480" s="41" t="str">
        <f t="shared" si="245"/>
        <v/>
      </c>
      <c r="F2480" s="200"/>
      <c r="G2480" s="178" t="e">
        <f>IF($C$1077&gt;0,VLOOKUP($C2480,ENTI!$AL$4:AP$1003,5,FALSE),"")</f>
        <v>#N/A</v>
      </c>
      <c r="H2480" s="179" t="e">
        <f>IF($C$1077&gt;0,VLOOKUP($C2480,ENTI!$AL$4:AQ$1003,6,FALSE),"")</f>
        <v>#N/A</v>
      </c>
      <c r="I2480" s="187"/>
      <c r="J2480" s="140" t="e">
        <f ca="1">VLOOKUP(D2480,$F$1081:$I$4183,4,FALSE)+COUNTIF(E$1081:E2479,E2480)</f>
        <v>#N/A</v>
      </c>
      <c r="K2480" s="1"/>
      <c r="L2480" s="156"/>
      <c r="M2480" s="1"/>
      <c r="N2480" s="1"/>
      <c r="O2480" s="1"/>
    </row>
    <row r="2481" spans="1:15" hidden="1">
      <c r="A2481" s="1"/>
      <c r="B2481" s="197" t="e">
        <f t="shared" ca="1" si="246"/>
        <v>#N/A</v>
      </c>
      <c r="C2481" s="498">
        <v>415</v>
      </c>
      <c r="D2481" s="41" t="e">
        <f>IF($C$1077&gt;0,VLOOKUP($C2481,ENTI!$AL$4:AN$1003,3,FALSE),"")</f>
        <v>#N/A</v>
      </c>
      <c r="E2481" s="41" t="str">
        <f t="shared" si="245"/>
        <v/>
      </c>
      <c r="F2481" s="200"/>
      <c r="G2481" s="178" t="e">
        <f>IF($C$1077&gt;0,VLOOKUP($C2481,ENTI!$AL$4:AP$1003,5,FALSE),"")</f>
        <v>#N/A</v>
      </c>
      <c r="H2481" s="179" t="e">
        <f>IF($C$1077&gt;0,VLOOKUP($C2481,ENTI!$AL$4:AQ$1003,6,FALSE),"")</f>
        <v>#N/A</v>
      </c>
      <c r="I2481" s="187"/>
      <c r="J2481" s="140" t="e">
        <f ca="1">VLOOKUP(D2481,$F$1081:$I$4183,4,FALSE)+COUNTIF(E$1081:E2480,E2481)</f>
        <v>#N/A</v>
      </c>
      <c r="K2481" s="1"/>
      <c r="L2481" s="156"/>
      <c r="M2481" s="1"/>
      <c r="N2481" s="1"/>
      <c r="O2481" s="1"/>
    </row>
    <row r="2482" spans="1:15" hidden="1">
      <c r="A2482" s="1"/>
      <c r="B2482" s="197" t="e">
        <f t="shared" ca="1" si="246"/>
        <v>#N/A</v>
      </c>
      <c r="C2482" s="498">
        <v>416</v>
      </c>
      <c r="D2482" s="41" t="e">
        <f>IF($C$1077&gt;0,VLOOKUP($C2482,ENTI!$AL$4:AN$1003,3,FALSE),"")</f>
        <v>#N/A</v>
      </c>
      <c r="E2482" s="41" t="str">
        <f t="shared" si="245"/>
        <v/>
      </c>
      <c r="F2482" s="200"/>
      <c r="G2482" s="178" t="e">
        <f>IF($C$1077&gt;0,VLOOKUP($C2482,ENTI!$AL$4:AP$1003,5,FALSE),"")</f>
        <v>#N/A</v>
      </c>
      <c r="H2482" s="179" t="e">
        <f>IF($C$1077&gt;0,VLOOKUP($C2482,ENTI!$AL$4:AQ$1003,6,FALSE),"")</f>
        <v>#N/A</v>
      </c>
      <c r="I2482" s="187"/>
      <c r="J2482" s="140" t="e">
        <f ca="1">VLOOKUP(D2482,$F$1081:$I$4183,4,FALSE)+COUNTIF(E$1081:E2481,E2482)</f>
        <v>#N/A</v>
      </c>
      <c r="K2482" s="1"/>
      <c r="L2482" s="156"/>
      <c r="M2482" s="1"/>
      <c r="N2482" s="1"/>
      <c r="O2482" s="1"/>
    </row>
    <row r="2483" spans="1:15" hidden="1">
      <c r="A2483" s="1"/>
      <c r="B2483" s="197" t="e">
        <f t="shared" ca="1" si="246"/>
        <v>#N/A</v>
      </c>
      <c r="C2483" s="498">
        <v>417</v>
      </c>
      <c r="D2483" s="41" t="e">
        <f>IF($C$1077&gt;0,VLOOKUP($C2483,ENTI!$AL$4:AN$1003,3,FALSE),"")</f>
        <v>#N/A</v>
      </c>
      <c r="E2483" s="41" t="str">
        <f t="shared" si="245"/>
        <v/>
      </c>
      <c r="F2483" s="200"/>
      <c r="G2483" s="178" t="e">
        <f>IF($C$1077&gt;0,VLOOKUP($C2483,ENTI!$AL$4:AP$1003,5,FALSE),"")</f>
        <v>#N/A</v>
      </c>
      <c r="H2483" s="179" t="e">
        <f>IF($C$1077&gt;0,VLOOKUP($C2483,ENTI!$AL$4:AQ$1003,6,FALSE),"")</f>
        <v>#N/A</v>
      </c>
      <c r="I2483" s="187"/>
      <c r="J2483" s="140" t="e">
        <f ca="1">VLOOKUP(D2483,$F$1081:$I$4183,4,FALSE)+COUNTIF(E$1081:E2482,E2483)</f>
        <v>#N/A</v>
      </c>
      <c r="K2483" s="1"/>
      <c r="L2483" s="156"/>
      <c r="M2483" s="1"/>
      <c r="N2483" s="1"/>
      <c r="O2483" s="1"/>
    </row>
    <row r="2484" spans="1:15" hidden="1">
      <c r="A2484" s="1"/>
      <c r="B2484" s="197" t="e">
        <f t="shared" ca="1" si="246"/>
        <v>#N/A</v>
      </c>
      <c r="C2484" s="498">
        <v>418</v>
      </c>
      <c r="D2484" s="41" t="e">
        <f>IF($C$1077&gt;0,VLOOKUP($C2484,ENTI!$AL$4:AN$1003,3,FALSE),"")</f>
        <v>#N/A</v>
      </c>
      <c r="E2484" s="41" t="str">
        <f t="shared" si="245"/>
        <v/>
      </c>
      <c r="F2484" s="200"/>
      <c r="G2484" s="178" t="e">
        <f>IF($C$1077&gt;0,VLOOKUP($C2484,ENTI!$AL$4:AP$1003,5,FALSE),"")</f>
        <v>#N/A</v>
      </c>
      <c r="H2484" s="179" t="e">
        <f>IF($C$1077&gt;0,VLOOKUP($C2484,ENTI!$AL$4:AQ$1003,6,FALSE),"")</f>
        <v>#N/A</v>
      </c>
      <c r="I2484" s="187"/>
      <c r="J2484" s="140" t="e">
        <f ca="1">VLOOKUP(D2484,$F$1081:$I$4183,4,FALSE)+COUNTIF(E$1081:E2483,E2484)</f>
        <v>#N/A</v>
      </c>
      <c r="K2484" s="1"/>
      <c r="L2484" s="156"/>
      <c r="M2484" s="1"/>
      <c r="N2484" s="1"/>
      <c r="O2484" s="1"/>
    </row>
    <row r="2485" spans="1:15" hidden="1">
      <c r="A2485" s="1"/>
      <c r="B2485" s="197" t="e">
        <f t="shared" ca="1" si="246"/>
        <v>#N/A</v>
      </c>
      <c r="C2485" s="498">
        <v>419</v>
      </c>
      <c r="D2485" s="41" t="e">
        <f>IF($C$1077&gt;0,VLOOKUP($C2485,ENTI!$AL$4:AN$1003,3,FALSE),"")</f>
        <v>#N/A</v>
      </c>
      <c r="E2485" s="41" t="str">
        <f t="shared" si="245"/>
        <v/>
      </c>
      <c r="F2485" s="200"/>
      <c r="G2485" s="178" t="e">
        <f>IF($C$1077&gt;0,VLOOKUP($C2485,ENTI!$AL$4:AP$1003,5,FALSE),"")</f>
        <v>#N/A</v>
      </c>
      <c r="H2485" s="179" t="e">
        <f>IF($C$1077&gt;0,VLOOKUP($C2485,ENTI!$AL$4:AQ$1003,6,FALSE),"")</f>
        <v>#N/A</v>
      </c>
      <c r="I2485" s="187"/>
      <c r="J2485" s="140" t="e">
        <f ca="1">VLOOKUP(D2485,$F$1081:$I$4183,4,FALSE)+COUNTIF(E$1081:E2484,E2485)</f>
        <v>#N/A</v>
      </c>
      <c r="K2485" s="1"/>
      <c r="L2485" s="156"/>
      <c r="M2485" s="1"/>
      <c r="N2485" s="1"/>
      <c r="O2485" s="1"/>
    </row>
    <row r="2486" spans="1:15" hidden="1">
      <c r="A2486" s="1"/>
      <c r="B2486" s="197" t="e">
        <f t="shared" ca="1" si="246"/>
        <v>#N/A</v>
      </c>
      <c r="C2486" s="498">
        <v>420</v>
      </c>
      <c r="D2486" s="41" t="e">
        <f>IF($C$1077&gt;0,VLOOKUP($C2486,ENTI!$AL$4:AN$1003,3,FALSE),"")</f>
        <v>#N/A</v>
      </c>
      <c r="E2486" s="41" t="str">
        <f t="shared" si="245"/>
        <v/>
      </c>
      <c r="F2486" s="200"/>
      <c r="G2486" s="178" t="e">
        <f>IF($C$1077&gt;0,VLOOKUP($C2486,ENTI!$AL$4:AP$1003,5,FALSE),"")</f>
        <v>#N/A</v>
      </c>
      <c r="H2486" s="179" t="e">
        <f>IF($C$1077&gt;0,VLOOKUP($C2486,ENTI!$AL$4:AQ$1003,6,FALSE),"")</f>
        <v>#N/A</v>
      </c>
      <c r="I2486" s="187"/>
      <c r="J2486" s="140" t="e">
        <f ca="1">VLOOKUP(D2486,$F$1081:$I$4183,4,FALSE)+COUNTIF(E$1081:E2485,E2486)</f>
        <v>#N/A</v>
      </c>
      <c r="K2486" s="1"/>
      <c r="L2486" s="156"/>
      <c r="M2486" s="1"/>
      <c r="N2486" s="1"/>
      <c r="O2486" s="1"/>
    </row>
    <row r="2487" spans="1:15" hidden="1">
      <c r="A2487" s="1"/>
      <c r="B2487" s="197" t="e">
        <f t="shared" ca="1" si="246"/>
        <v>#N/A</v>
      </c>
      <c r="C2487" s="498">
        <v>421</v>
      </c>
      <c r="D2487" s="41" t="e">
        <f>IF($C$1077&gt;0,VLOOKUP($C2487,ENTI!$AL$4:AN$1003,3,FALSE),"")</f>
        <v>#N/A</v>
      </c>
      <c r="E2487" s="41" t="str">
        <f t="shared" si="245"/>
        <v/>
      </c>
      <c r="F2487" s="200"/>
      <c r="G2487" s="178" t="e">
        <f>IF($C$1077&gt;0,VLOOKUP($C2487,ENTI!$AL$4:AP$1003,5,FALSE),"")</f>
        <v>#N/A</v>
      </c>
      <c r="H2487" s="179" t="e">
        <f>IF($C$1077&gt;0,VLOOKUP($C2487,ENTI!$AL$4:AQ$1003,6,FALSE),"")</f>
        <v>#N/A</v>
      </c>
      <c r="I2487" s="187"/>
      <c r="J2487" s="140" t="e">
        <f ca="1">VLOOKUP(D2487,$F$1081:$I$4183,4,FALSE)+COUNTIF(E$1081:E2486,E2487)</f>
        <v>#N/A</v>
      </c>
      <c r="K2487" s="1"/>
      <c r="L2487" s="156"/>
      <c r="M2487" s="1"/>
      <c r="N2487" s="1"/>
      <c r="O2487" s="1"/>
    </row>
    <row r="2488" spans="1:15" hidden="1">
      <c r="A2488" s="1"/>
      <c r="B2488" s="197" t="e">
        <f t="shared" ca="1" si="246"/>
        <v>#N/A</v>
      </c>
      <c r="C2488" s="498">
        <v>422</v>
      </c>
      <c r="D2488" s="41" t="e">
        <f>IF($C$1077&gt;0,VLOOKUP($C2488,ENTI!$AL$4:AN$1003,3,FALSE),"")</f>
        <v>#N/A</v>
      </c>
      <c r="E2488" s="41" t="str">
        <f t="shared" si="245"/>
        <v/>
      </c>
      <c r="F2488" s="200"/>
      <c r="G2488" s="178" t="e">
        <f>IF($C$1077&gt;0,VLOOKUP($C2488,ENTI!$AL$4:AP$1003,5,FALSE),"")</f>
        <v>#N/A</v>
      </c>
      <c r="H2488" s="179" t="e">
        <f>IF($C$1077&gt;0,VLOOKUP($C2488,ENTI!$AL$4:AQ$1003,6,FALSE),"")</f>
        <v>#N/A</v>
      </c>
      <c r="I2488" s="187"/>
      <c r="J2488" s="140" t="e">
        <f ca="1">VLOOKUP(D2488,$F$1081:$I$4183,4,FALSE)+COUNTIF(E$1081:E2487,E2488)</f>
        <v>#N/A</v>
      </c>
      <c r="K2488" s="1"/>
      <c r="L2488" s="156"/>
      <c r="M2488" s="1"/>
      <c r="N2488" s="1"/>
      <c r="O2488" s="1"/>
    </row>
    <row r="2489" spans="1:15" hidden="1">
      <c r="A2489" s="1"/>
      <c r="B2489" s="197" t="e">
        <f t="shared" ca="1" si="246"/>
        <v>#N/A</v>
      </c>
      <c r="C2489" s="498">
        <v>423</v>
      </c>
      <c r="D2489" s="41" t="e">
        <f>IF($C$1077&gt;0,VLOOKUP($C2489,ENTI!$AL$4:AN$1003,3,FALSE),"")</f>
        <v>#N/A</v>
      </c>
      <c r="E2489" s="41" t="str">
        <f t="shared" si="245"/>
        <v/>
      </c>
      <c r="F2489" s="200"/>
      <c r="G2489" s="178" t="e">
        <f>IF($C$1077&gt;0,VLOOKUP($C2489,ENTI!$AL$4:AP$1003,5,FALSE),"")</f>
        <v>#N/A</v>
      </c>
      <c r="H2489" s="179" t="e">
        <f>IF($C$1077&gt;0,VLOOKUP($C2489,ENTI!$AL$4:AQ$1003,6,FALSE),"")</f>
        <v>#N/A</v>
      </c>
      <c r="I2489" s="187"/>
      <c r="J2489" s="140" t="e">
        <f ca="1">VLOOKUP(D2489,$F$1081:$I$4183,4,FALSE)+COUNTIF(E$1081:E2488,E2489)</f>
        <v>#N/A</v>
      </c>
      <c r="K2489" s="1"/>
      <c r="L2489" s="156"/>
      <c r="M2489" s="1"/>
      <c r="N2489" s="1"/>
      <c r="O2489" s="1"/>
    </row>
    <row r="2490" spans="1:15" hidden="1">
      <c r="A2490" s="1"/>
      <c r="B2490" s="197" t="e">
        <f t="shared" ca="1" si="246"/>
        <v>#N/A</v>
      </c>
      <c r="C2490" s="498">
        <v>424</v>
      </c>
      <c r="D2490" s="41" t="e">
        <f>IF($C$1077&gt;0,VLOOKUP($C2490,ENTI!$AL$4:AN$1003,3,FALSE),"")</f>
        <v>#N/A</v>
      </c>
      <c r="E2490" s="41" t="str">
        <f t="shared" si="245"/>
        <v/>
      </c>
      <c r="F2490" s="200"/>
      <c r="G2490" s="178" t="e">
        <f>IF($C$1077&gt;0,VLOOKUP($C2490,ENTI!$AL$4:AP$1003,5,FALSE),"")</f>
        <v>#N/A</v>
      </c>
      <c r="H2490" s="179" t="e">
        <f>IF($C$1077&gt;0,VLOOKUP($C2490,ENTI!$AL$4:AQ$1003,6,FALSE),"")</f>
        <v>#N/A</v>
      </c>
      <c r="I2490" s="187"/>
      <c r="J2490" s="140" t="e">
        <f ca="1">VLOOKUP(D2490,$F$1081:$I$4183,4,FALSE)+COUNTIF(E$1081:E2489,E2490)</f>
        <v>#N/A</v>
      </c>
      <c r="K2490" s="1"/>
      <c r="L2490" s="156"/>
      <c r="M2490" s="1"/>
      <c r="N2490" s="1"/>
      <c r="O2490" s="1"/>
    </row>
    <row r="2491" spans="1:15" hidden="1">
      <c r="A2491" s="1"/>
      <c r="B2491" s="197" t="e">
        <f t="shared" ca="1" si="246"/>
        <v>#N/A</v>
      </c>
      <c r="C2491" s="498">
        <v>425</v>
      </c>
      <c r="D2491" s="41" t="e">
        <f>IF($C$1077&gt;0,VLOOKUP($C2491,ENTI!$AL$4:AN$1003,3,FALSE),"")</f>
        <v>#N/A</v>
      </c>
      <c r="E2491" s="41" t="str">
        <f t="shared" si="245"/>
        <v/>
      </c>
      <c r="F2491" s="200"/>
      <c r="G2491" s="178" t="e">
        <f>IF($C$1077&gt;0,VLOOKUP($C2491,ENTI!$AL$4:AP$1003,5,FALSE),"")</f>
        <v>#N/A</v>
      </c>
      <c r="H2491" s="179" t="e">
        <f>IF($C$1077&gt;0,VLOOKUP($C2491,ENTI!$AL$4:AQ$1003,6,FALSE),"")</f>
        <v>#N/A</v>
      </c>
      <c r="I2491" s="187"/>
      <c r="J2491" s="140" t="e">
        <f ca="1">VLOOKUP(D2491,$F$1081:$I$4183,4,FALSE)+COUNTIF(E$1081:E2490,E2491)</f>
        <v>#N/A</v>
      </c>
      <c r="K2491" s="1"/>
      <c r="L2491" s="156"/>
      <c r="M2491" s="1"/>
      <c r="N2491" s="1"/>
      <c r="O2491" s="1"/>
    </row>
    <row r="2492" spans="1:15" hidden="1">
      <c r="A2492" s="1"/>
      <c r="B2492" s="197" t="e">
        <f t="shared" ca="1" si="246"/>
        <v>#N/A</v>
      </c>
      <c r="C2492" s="498">
        <v>426</v>
      </c>
      <c r="D2492" s="41" t="e">
        <f>IF($C$1077&gt;0,VLOOKUP($C2492,ENTI!$AL$4:AN$1003,3,FALSE),"")</f>
        <v>#N/A</v>
      </c>
      <c r="E2492" s="41" t="str">
        <f t="shared" si="245"/>
        <v/>
      </c>
      <c r="F2492" s="200"/>
      <c r="G2492" s="178" t="e">
        <f>IF($C$1077&gt;0,VLOOKUP($C2492,ENTI!$AL$4:AP$1003,5,FALSE),"")</f>
        <v>#N/A</v>
      </c>
      <c r="H2492" s="179" t="e">
        <f>IF($C$1077&gt;0,VLOOKUP($C2492,ENTI!$AL$4:AQ$1003,6,FALSE),"")</f>
        <v>#N/A</v>
      </c>
      <c r="I2492" s="187"/>
      <c r="J2492" s="140" t="e">
        <f ca="1">VLOOKUP(D2492,$F$1081:$I$4183,4,FALSE)+COUNTIF(E$1081:E2491,E2492)</f>
        <v>#N/A</v>
      </c>
      <c r="K2492" s="1"/>
      <c r="L2492" s="156"/>
      <c r="M2492" s="1"/>
      <c r="N2492" s="1"/>
      <c r="O2492" s="1"/>
    </row>
    <row r="2493" spans="1:15" hidden="1">
      <c r="A2493" s="1"/>
      <c r="B2493" s="197" t="e">
        <f t="shared" ca="1" si="246"/>
        <v>#N/A</v>
      </c>
      <c r="C2493" s="498">
        <v>427</v>
      </c>
      <c r="D2493" s="41" t="e">
        <f>IF($C$1077&gt;0,VLOOKUP($C2493,ENTI!$AL$4:AN$1003,3,FALSE),"")</f>
        <v>#N/A</v>
      </c>
      <c r="E2493" s="41" t="str">
        <f t="shared" si="245"/>
        <v/>
      </c>
      <c r="F2493" s="200"/>
      <c r="G2493" s="178" t="e">
        <f>IF($C$1077&gt;0,VLOOKUP($C2493,ENTI!$AL$4:AP$1003,5,FALSE),"")</f>
        <v>#N/A</v>
      </c>
      <c r="H2493" s="179" t="e">
        <f>IF($C$1077&gt;0,VLOOKUP($C2493,ENTI!$AL$4:AQ$1003,6,FALSE),"")</f>
        <v>#N/A</v>
      </c>
      <c r="I2493" s="187"/>
      <c r="J2493" s="140" t="e">
        <f ca="1">VLOOKUP(D2493,$F$1081:$I$4183,4,FALSE)+COUNTIF(E$1081:E2492,E2493)</f>
        <v>#N/A</v>
      </c>
      <c r="K2493" s="1"/>
      <c r="L2493" s="156"/>
      <c r="M2493" s="1"/>
      <c r="N2493" s="1"/>
      <c r="O2493" s="1"/>
    </row>
    <row r="2494" spans="1:15" hidden="1">
      <c r="A2494" s="1"/>
      <c r="B2494" s="197" t="e">
        <f t="shared" ca="1" si="246"/>
        <v>#N/A</v>
      </c>
      <c r="C2494" s="498">
        <v>428</v>
      </c>
      <c r="D2494" s="41" t="e">
        <f>IF($C$1077&gt;0,VLOOKUP($C2494,ENTI!$AL$4:AN$1003,3,FALSE),"")</f>
        <v>#N/A</v>
      </c>
      <c r="E2494" s="41" t="str">
        <f t="shared" si="245"/>
        <v/>
      </c>
      <c r="F2494" s="200"/>
      <c r="G2494" s="178" t="e">
        <f>IF($C$1077&gt;0,VLOOKUP($C2494,ENTI!$AL$4:AP$1003,5,FALSE),"")</f>
        <v>#N/A</v>
      </c>
      <c r="H2494" s="179" t="e">
        <f>IF($C$1077&gt;0,VLOOKUP($C2494,ENTI!$AL$4:AQ$1003,6,FALSE),"")</f>
        <v>#N/A</v>
      </c>
      <c r="I2494" s="187"/>
      <c r="J2494" s="140" t="e">
        <f ca="1">VLOOKUP(D2494,$F$1081:$I$4183,4,FALSE)+COUNTIF(E$1081:E2493,E2494)</f>
        <v>#N/A</v>
      </c>
      <c r="K2494" s="1"/>
      <c r="L2494" s="156"/>
      <c r="M2494" s="1"/>
      <c r="N2494" s="1"/>
      <c r="O2494" s="1"/>
    </row>
    <row r="2495" spans="1:15" hidden="1">
      <c r="A2495" s="1"/>
      <c r="B2495" s="197" t="e">
        <f t="shared" ca="1" si="246"/>
        <v>#N/A</v>
      </c>
      <c r="C2495" s="498">
        <v>429</v>
      </c>
      <c r="D2495" s="41" t="e">
        <f>IF($C$1077&gt;0,VLOOKUP($C2495,ENTI!$AL$4:AN$1003,3,FALSE),"")</f>
        <v>#N/A</v>
      </c>
      <c r="E2495" s="41" t="str">
        <f t="shared" si="245"/>
        <v/>
      </c>
      <c r="F2495" s="200"/>
      <c r="G2495" s="178" t="e">
        <f>IF($C$1077&gt;0,VLOOKUP($C2495,ENTI!$AL$4:AP$1003,5,FALSE),"")</f>
        <v>#N/A</v>
      </c>
      <c r="H2495" s="179" t="e">
        <f>IF($C$1077&gt;0,VLOOKUP($C2495,ENTI!$AL$4:AQ$1003,6,FALSE),"")</f>
        <v>#N/A</v>
      </c>
      <c r="I2495" s="187"/>
      <c r="J2495" s="140" t="e">
        <f ca="1">VLOOKUP(D2495,$F$1081:$I$4183,4,FALSE)+COUNTIF(E$1081:E2494,E2495)</f>
        <v>#N/A</v>
      </c>
      <c r="K2495" s="1"/>
      <c r="L2495" s="156"/>
      <c r="M2495" s="1"/>
      <c r="N2495" s="1"/>
      <c r="O2495" s="1"/>
    </row>
    <row r="2496" spans="1:15" hidden="1">
      <c r="A2496" s="1"/>
      <c r="B2496" s="197" t="e">
        <f t="shared" ca="1" si="246"/>
        <v>#N/A</v>
      </c>
      <c r="C2496" s="498">
        <v>430</v>
      </c>
      <c r="D2496" s="41" t="e">
        <f>IF($C$1077&gt;0,VLOOKUP($C2496,ENTI!$AL$4:AN$1003,3,FALSE),"")</f>
        <v>#N/A</v>
      </c>
      <c r="E2496" s="41" t="str">
        <f t="shared" si="245"/>
        <v/>
      </c>
      <c r="F2496" s="200"/>
      <c r="G2496" s="178" t="e">
        <f>IF($C$1077&gt;0,VLOOKUP($C2496,ENTI!$AL$4:AP$1003,5,FALSE),"")</f>
        <v>#N/A</v>
      </c>
      <c r="H2496" s="179" t="e">
        <f>IF($C$1077&gt;0,VLOOKUP($C2496,ENTI!$AL$4:AQ$1003,6,FALSE),"")</f>
        <v>#N/A</v>
      </c>
      <c r="I2496" s="187"/>
      <c r="J2496" s="140" t="e">
        <f ca="1">VLOOKUP(D2496,$F$1081:$I$4183,4,FALSE)+COUNTIF(E$1081:E2495,E2496)</f>
        <v>#N/A</v>
      </c>
      <c r="K2496" s="1"/>
      <c r="L2496" s="156"/>
      <c r="M2496" s="1"/>
      <c r="N2496" s="1"/>
      <c r="O2496" s="1"/>
    </row>
    <row r="2497" spans="1:15" hidden="1">
      <c r="A2497" s="1"/>
      <c r="B2497" s="197" t="e">
        <f t="shared" ca="1" si="246"/>
        <v>#N/A</v>
      </c>
      <c r="C2497" s="498">
        <v>431</v>
      </c>
      <c r="D2497" s="41" t="e">
        <f>IF($C$1077&gt;0,VLOOKUP($C2497,ENTI!$AL$4:AN$1003,3,FALSE),"")</f>
        <v>#N/A</v>
      </c>
      <c r="E2497" s="41" t="str">
        <f t="shared" si="245"/>
        <v/>
      </c>
      <c r="F2497" s="200"/>
      <c r="G2497" s="178" t="e">
        <f>IF($C$1077&gt;0,VLOOKUP($C2497,ENTI!$AL$4:AP$1003,5,FALSE),"")</f>
        <v>#N/A</v>
      </c>
      <c r="H2497" s="179" t="e">
        <f>IF($C$1077&gt;0,VLOOKUP($C2497,ENTI!$AL$4:AQ$1003,6,FALSE),"")</f>
        <v>#N/A</v>
      </c>
      <c r="I2497" s="187"/>
      <c r="J2497" s="140" t="e">
        <f ca="1">VLOOKUP(D2497,$F$1081:$I$4183,4,FALSE)+COUNTIF(E$1081:E2496,E2497)</f>
        <v>#N/A</v>
      </c>
      <c r="K2497" s="1"/>
      <c r="L2497" s="156"/>
      <c r="M2497" s="1"/>
      <c r="N2497" s="1"/>
      <c r="O2497" s="1"/>
    </row>
    <row r="2498" spans="1:15" hidden="1">
      <c r="A2498" s="1"/>
      <c r="B2498" s="197" t="e">
        <f t="shared" ca="1" si="246"/>
        <v>#N/A</v>
      </c>
      <c r="C2498" s="498">
        <v>432</v>
      </c>
      <c r="D2498" s="41" t="e">
        <f>IF($C$1077&gt;0,VLOOKUP($C2498,ENTI!$AL$4:AN$1003,3,FALSE),"")</f>
        <v>#N/A</v>
      </c>
      <c r="E2498" s="41" t="str">
        <f t="shared" si="245"/>
        <v/>
      </c>
      <c r="F2498" s="200"/>
      <c r="G2498" s="178" t="e">
        <f>IF($C$1077&gt;0,VLOOKUP($C2498,ENTI!$AL$4:AP$1003,5,FALSE),"")</f>
        <v>#N/A</v>
      </c>
      <c r="H2498" s="179" t="e">
        <f>IF($C$1077&gt;0,VLOOKUP($C2498,ENTI!$AL$4:AQ$1003,6,FALSE),"")</f>
        <v>#N/A</v>
      </c>
      <c r="I2498" s="187"/>
      <c r="J2498" s="140" t="e">
        <f ca="1">VLOOKUP(D2498,$F$1081:$I$4183,4,FALSE)+COUNTIF(E$1081:E2497,E2498)</f>
        <v>#N/A</v>
      </c>
      <c r="K2498" s="1"/>
      <c r="L2498" s="156"/>
      <c r="M2498" s="1"/>
      <c r="N2498" s="1"/>
      <c r="O2498" s="1"/>
    </row>
    <row r="2499" spans="1:15" hidden="1">
      <c r="A2499" s="1"/>
      <c r="B2499" s="197" t="e">
        <f t="shared" ca="1" si="246"/>
        <v>#N/A</v>
      </c>
      <c r="C2499" s="498">
        <v>433</v>
      </c>
      <c r="D2499" s="41" t="e">
        <f>IF($C$1077&gt;0,VLOOKUP($C2499,ENTI!$AL$4:AN$1003,3,FALSE),"")</f>
        <v>#N/A</v>
      </c>
      <c r="E2499" s="41" t="str">
        <f t="shared" si="245"/>
        <v/>
      </c>
      <c r="F2499" s="200"/>
      <c r="G2499" s="178" t="e">
        <f>IF($C$1077&gt;0,VLOOKUP($C2499,ENTI!$AL$4:AP$1003,5,FALSE),"")</f>
        <v>#N/A</v>
      </c>
      <c r="H2499" s="179" t="e">
        <f>IF($C$1077&gt;0,VLOOKUP($C2499,ENTI!$AL$4:AQ$1003,6,FALSE),"")</f>
        <v>#N/A</v>
      </c>
      <c r="I2499" s="187"/>
      <c r="J2499" s="140" t="e">
        <f ca="1">VLOOKUP(D2499,$F$1081:$I$4183,4,FALSE)+COUNTIF(E$1081:E2498,E2499)</f>
        <v>#N/A</v>
      </c>
      <c r="K2499" s="1"/>
      <c r="L2499" s="156"/>
      <c r="M2499" s="1"/>
      <c r="N2499" s="1"/>
      <c r="O2499" s="1"/>
    </row>
    <row r="2500" spans="1:15" hidden="1">
      <c r="A2500" s="1"/>
      <c r="B2500" s="197" t="e">
        <f t="shared" ca="1" si="246"/>
        <v>#N/A</v>
      </c>
      <c r="C2500" s="498">
        <v>434</v>
      </c>
      <c r="D2500" s="41" t="e">
        <f>IF($C$1077&gt;0,VLOOKUP($C2500,ENTI!$AL$4:AN$1003,3,FALSE),"")</f>
        <v>#N/A</v>
      </c>
      <c r="E2500" s="41" t="str">
        <f t="shared" si="245"/>
        <v/>
      </c>
      <c r="F2500" s="200"/>
      <c r="G2500" s="178" t="e">
        <f>IF($C$1077&gt;0,VLOOKUP($C2500,ENTI!$AL$4:AP$1003,5,FALSE),"")</f>
        <v>#N/A</v>
      </c>
      <c r="H2500" s="179" t="e">
        <f>IF($C$1077&gt;0,VLOOKUP($C2500,ENTI!$AL$4:AQ$1003,6,FALSE),"")</f>
        <v>#N/A</v>
      </c>
      <c r="I2500" s="187"/>
      <c r="J2500" s="140" t="e">
        <f ca="1">VLOOKUP(D2500,$F$1081:$I$4183,4,FALSE)+COUNTIF(E$1081:E2499,E2500)</f>
        <v>#N/A</v>
      </c>
      <c r="K2500" s="1"/>
      <c r="L2500" s="156"/>
      <c r="M2500" s="1"/>
      <c r="N2500" s="1"/>
      <c r="O2500" s="1"/>
    </row>
    <row r="2501" spans="1:15" hidden="1">
      <c r="A2501" s="1"/>
      <c r="B2501" s="197" t="e">
        <f t="shared" ca="1" si="246"/>
        <v>#N/A</v>
      </c>
      <c r="C2501" s="498">
        <v>435</v>
      </c>
      <c r="D2501" s="41" t="e">
        <f>IF($C$1077&gt;0,VLOOKUP($C2501,ENTI!$AL$4:AN$1003,3,FALSE),"")</f>
        <v>#N/A</v>
      </c>
      <c r="E2501" s="41" t="str">
        <f t="shared" si="245"/>
        <v/>
      </c>
      <c r="F2501" s="200"/>
      <c r="G2501" s="178" t="e">
        <f>IF($C$1077&gt;0,VLOOKUP($C2501,ENTI!$AL$4:AP$1003,5,FALSE),"")</f>
        <v>#N/A</v>
      </c>
      <c r="H2501" s="179" t="e">
        <f>IF($C$1077&gt;0,VLOOKUP($C2501,ENTI!$AL$4:AQ$1003,6,FALSE),"")</f>
        <v>#N/A</v>
      </c>
      <c r="I2501" s="187"/>
      <c r="J2501" s="140" t="e">
        <f ca="1">VLOOKUP(D2501,$F$1081:$I$4183,4,FALSE)+COUNTIF(E$1081:E2500,E2501)</f>
        <v>#N/A</v>
      </c>
      <c r="K2501" s="1"/>
      <c r="L2501" s="156"/>
      <c r="M2501" s="1"/>
      <c r="N2501" s="1"/>
      <c r="O2501" s="1"/>
    </row>
    <row r="2502" spans="1:15" hidden="1">
      <c r="A2502" s="1"/>
      <c r="B2502" s="197" t="e">
        <f t="shared" ca="1" si="246"/>
        <v>#N/A</v>
      </c>
      <c r="C2502" s="498">
        <v>436</v>
      </c>
      <c r="D2502" s="41" t="e">
        <f>IF($C$1077&gt;0,VLOOKUP($C2502,ENTI!$AL$4:AN$1003,3,FALSE),"")</f>
        <v>#N/A</v>
      </c>
      <c r="E2502" s="41" t="str">
        <f t="shared" si="245"/>
        <v/>
      </c>
      <c r="F2502" s="200"/>
      <c r="G2502" s="178" t="e">
        <f>IF($C$1077&gt;0,VLOOKUP($C2502,ENTI!$AL$4:AP$1003,5,FALSE),"")</f>
        <v>#N/A</v>
      </c>
      <c r="H2502" s="179" t="e">
        <f>IF($C$1077&gt;0,VLOOKUP($C2502,ENTI!$AL$4:AQ$1003,6,FALSE),"")</f>
        <v>#N/A</v>
      </c>
      <c r="I2502" s="187"/>
      <c r="J2502" s="140" t="e">
        <f ca="1">VLOOKUP(D2502,$F$1081:$I$4183,4,FALSE)+COUNTIF(E$1081:E2501,E2502)</f>
        <v>#N/A</v>
      </c>
      <c r="K2502" s="1"/>
      <c r="L2502" s="156"/>
      <c r="M2502" s="1"/>
      <c r="N2502" s="1"/>
      <c r="O2502" s="1"/>
    </row>
    <row r="2503" spans="1:15" hidden="1">
      <c r="A2503" s="1"/>
      <c r="B2503" s="197" t="e">
        <f t="shared" ca="1" si="246"/>
        <v>#N/A</v>
      </c>
      <c r="C2503" s="498">
        <v>437</v>
      </c>
      <c r="D2503" s="41" t="e">
        <f>IF($C$1077&gt;0,VLOOKUP($C2503,ENTI!$AL$4:AN$1003,3,FALSE),"")</f>
        <v>#N/A</v>
      </c>
      <c r="E2503" s="41" t="str">
        <f t="shared" si="245"/>
        <v/>
      </c>
      <c r="F2503" s="200"/>
      <c r="G2503" s="178" t="e">
        <f>IF($C$1077&gt;0,VLOOKUP($C2503,ENTI!$AL$4:AP$1003,5,FALSE),"")</f>
        <v>#N/A</v>
      </c>
      <c r="H2503" s="179" t="e">
        <f>IF($C$1077&gt;0,VLOOKUP($C2503,ENTI!$AL$4:AQ$1003,6,FALSE),"")</f>
        <v>#N/A</v>
      </c>
      <c r="I2503" s="187"/>
      <c r="J2503" s="140" t="e">
        <f ca="1">VLOOKUP(D2503,$F$1081:$I$4183,4,FALSE)+COUNTIF(E$1081:E2502,E2503)</f>
        <v>#N/A</v>
      </c>
      <c r="K2503" s="1"/>
      <c r="L2503" s="156"/>
      <c r="M2503" s="1"/>
      <c r="N2503" s="1"/>
      <c r="O2503" s="1"/>
    </row>
    <row r="2504" spans="1:15" hidden="1">
      <c r="A2504" s="1"/>
      <c r="B2504" s="197" t="e">
        <f t="shared" ca="1" si="246"/>
        <v>#N/A</v>
      </c>
      <c r="C2504" s="498">
        <v>438</v>
      </c>
      <c r="D2504" s="41" t="e">
        <f>IF($C$1077&gt;0,VLOOKUP($C2504,ENTI!$AL$4:AN$1003,3,FALSE),"")</f>
        <v>#N/A</v>
      </c>
      <c r="E2504" s="41" t="str">
        <f t="shared" si="245"/>
        <v/>
      </c>
      <c r="F2504" s="200"/>
      <c r="G2504" s="178" t="e">
        <f>IF($C$1077&gt;0,VLOOKUP($C2504,ENTI!$AL$4:AP$1003,5,FALSE),"")</f>
        <v>#N/A</v>
      </c>
      <c r="H2504" s="179" t="e">
        <f>IF($C$1077&gt;0,VLOOKUP($C2504,ENTI!$AL$4:AQ$1003,6,FALSE),"")</f>
        <v>#N/A</v>
      </c>
      <c r="I2504" s="187"/>
      <c r="J2504" s="140" t="e">
        <f ca="1">VLOOKUP(D2504,$F$1081:$I$4183,4,FALSE)+COUNTIF(E$1081:E2503,E2504)</f>
        <v>#N/A</v>
      </c>
      <c r="K2504" s="1"/>
      <c r="L2504" s="156"/>
      <c r="M2504" s="1"/>
      <c r="N2504" s="1"/>
      <c r="O2504" s="1"/>
    </row>
    <row r="2505" spans="1:15" hidden="1">
      <c r="A2505" s="1"/>
      <c r="B2505" s="197" t="e">
        <f t="shared" ca="1" si="246"/>
        <v>#N/A</v>
      </c>
      <c r="C2505" s="498">
        <v>439</v>
      </c>
      <c r="D2505" s="41" t="e">
        <f>IF($C$1077&gt;0,VLOOKUP($C2505,ENTI!$AL$4:AN$1003,3,FALSE),"")</f>
        <v>#N/A</v>
      </c>
      <c r="E2505" s="41" t="str">
        <f t="shared" si="245"/>
        <v/>
      </c>
      <c r="F2505" s="200"/>
      <c r="G2505" s="178" t="e">
        <f>IF($C$1077&gt;0,VLOOKUP($C2505,ENTI!$AL$4:AP$1003,5,FALSE),"")</f>
        <v>#N/A</v>
      </c>
      <c r="H2505" s="179" t="e">
        <f>IF($C$1077&gt;0,VLOOKUP($C2505,ENTI!$AL$4:AQ$1003,6,FALSE),"")</f>
        <v>#N/A</v>
      </c>
      <c r="I2505" s="187"/>
      <c r="J2505" s="140" t="e">
        <f ca="1">VLOOKUP(D2505,$F$1081:$I$4183,4,FALSE)+COUNTIF(E$1081:E2504,E2505)</f>
        <v>#N/A</v>
      </c>
      <c r="K2505" s="1"/>
      <c r="L2505" s="156"/>
      <c r="M2505" s="1"/>
      <c r="N2505" s="1"/>
      <c r="O2505" s="1"/>
    </row>
    <row r="2506" spans="1:15" hidden="1">
      <c r="A2506" s="1"/>
      <c r="B2506" s="197" t="e">
        <f t="shared" ca="1" si="246"/>
        <v>#N/A</v>
      </c>
      <c r="C2506" s="498">
        <v>440</v>
      </c>
      <c r="D2506" s="41" t="e">
        <f>IF($C$1077&gt;0,VLOOKUP($C2506,ENTI!$AL$4:AN$1003,3,FALSE),"")</f>
        <v>#N/A</v>
      </c>
      <c r="E2506" s="41" t="str">
        <f t="shared" si="245"/>
        <v/>
      </c>
      <c r="F2506" s="200"/>
      <c r="G2506" s="178" t="e">
        <f>IF($C$1077&gt;0,VLOOKUP($C2506,ENTI!$AL$4:AP$1003,5,FALSE),"")</f>
        <v>#N/A</v>
      </c>
      <c r="H2506" s="179" t="e">
        <f>IF($C$1077&gt;0,VLOOKUP($C2506,ENTI!$AL$4:AQ$1003,6,FALSE),"")</f>
        <v>#N/A</v>
      </c>
      <c r="I2506" s="187"/>
      <c r="J2506" s="140" t="e">
        <f ca="1">VLOOKUP(D2506,$F$1081:$I$4183,4,FALSE)+COUNTIF(E$1081:E2505,E2506)</f>
        <v>#N/A</v>
      </c>
      <c r="K2506" s="1"/>
      <c r="L2506" s="156"/>
      <c r="M2506" s="1"/>
      <c r="N2506" s="1"/>
      <c r="O2506" s="1"/>
    </row>
    <row r="2507" spans="1:15" hidden="1">
      <c r="A2507" s="1"/>
      <c r="B2507" s="197" t="e">
        <f t="shared" ca="1" si="246"/>
        <v>#N/A</v>
      </c>
      <c r="C2507" s="498">
        <v>441</v>
      </c>
      <c r="D2507" s="41" t="e">
        <f>IF($C$1077&gt;0,VLOOKUP($C2507,ENTI!$AL$4:AN$1003,3,FALSE),"")</f>
        <v>#N/A</v>
      </c>
      <c r="E2507" s="41" t="str">
        <f t="shared" si="245"/>
        <v/>
      </c>
      <c r="F2507" s="200"/>
      <c r="G2507" s="178" t="e">
        <f>IF($C$1077&gt;0,VLOOKUP($C2507,ENTI!$AL$4:AP$1003,5,FALSE),"")</f>
        <v>#N/A</v>
      </c>
      <c r="H2507" s="179" t="e">
        <f>IF($C$1077&gt;0,VLOOKUP($C2507,ENTI!$AL$4:AQ$1003,6,FALSE),"")</f>
        <v>#N/A</v>
      </c>
      <c r="I2507" s="187"/>
      <c r="J2507" s="140" t="e">
        <f ca="1">VLOOKUP(D2507,$F$1081:$I$4183,4,FALSE)+COUNTIF(E$1081:E2506,E2507)</f>
        <v>#N/A</v>
      </c>
      <c r="K2507" s="1"/>
      <c r="L2507" s="156"/>
      <c r="M2507" s="1"/>
      <c r="N2507" s="1"/>
      <c r="O2507" s="1"/>
    </row>
    <row r="2508" spans="1:15" hidden="1">
      <c r="A2508" s="1"/>
      <c r="B2508" s="197" t="e">
        <f t="shared" ca="1" si="246"/>
        <v>#N/A</v>
      </c>
      <c r="C2508" s="498">
        <v>442</v>
      </c>
      <c r="D2508" s="41" t="e">
        <f>IF($C$1077&gt;0,VLOOKUP($C2508,ENTI!$AL$4:AN$1003,3,FALSE),"")</f>
        <v>#N/A</v>
      </c>
      <c r="E2508" s="41" t="str">
        <f t="shared" si="245"/>
        <v/>
      </c>
      <c r="F2508" s="200"/>
      <c r="G2508" s="178" t="e">
        <f>IF($C$1077&gt;0,VLOOKUP($C2508,ENTI!$AL$4:AP$1003,5,FALSE),"")</f>
        <v>#N/A</v>
      </c>
      <c r="H2508" s="179" t="e">
        <f>IF($C$1077&gt;0,VLOOKUP($C2508,ENTI!$AL$4:AQ$1003,6,FALSE),"")</f>
        <v>#N/A</v>
      </c>
      <c r="I2508" s="187"/>
      <c r="J2508" s="140" t="e">
        <f ca="1">VLOOKUP(D2508,$F$1081:$I$4183,4,FALSE)+COUNTIF(E$1081:E2507,E2508)</f>
        <v>#N/A</v>
      </c>
      <c r="K2508" s="1"/>
      <c r="L2508" s="156"/>
      <c r="M2508" s="1"/>
      <c r="N2508" s="1"/>
      <c r="O2508" s="1"/>
    </row>
    <row r="2509" spans="1:15" hidden="1">
      <c r="A2509" s="1"/>
      <c r="B2509" s="197" t="e">
        <f t="shared" ca="1" si="246"/>
        <v>#N/A</v>
      </c>
      <c r="C2509" s="498">
        <v>443</v>
      </c>
      <c r="D2509" s="41" t="e">
        <f>IF($C$1077&gt;0,VLOOKUP($C2509,ENTI!$AL$4:AN$1003,3,FALSE),"")</f>
        <v>#N/A</v>
      </c>
      <c r="E2509" s="41" t="str">
        <f t="shared" si="245"/>
        <v/>
      </c>
      <c r="F2509" s="200"/>
      <c r="G2509" s="178" t="e">
        <f>IF($C$1077&gt;0,VLOOKUP($C2509,ENTI!$AL$4:AP$1003,5,FALSE),"")</f>
        <v>#N/A</v>
      </c>
      <c r="H2509" s="179" t="e">
        <f>IF($C$1077&gt;0,VLOOKUP($C2509,ENTI!$AL$4:AQ$1003,6,FALSE),"")</f>
        <v>#N/A</v>
      </c>
      <c r="I2509" s="187"/>
      <c r="J2509" s="140" t="e">
        <f ca="1">VLOOKUP(D2509,$F$1081:$I$4183,4,FALSE)+COUNTIF(E$1081:E2508,E2509)</f>
        <v>#N/A</v>
      </c>
      <c r="K2509" s="1"/>
      <c r="L2509" s="156"/>
      <c r="M2509" s="1"/>
      <c r="N2509" s="1"/>
      <c r="O2509" s="1"/>
    </row>
    <row r="2510" spans="1:15" hidden="1">
      <c r="A2510" s="1"/>
      <c r="B2510" s="197" t="e">
        <f t="shared" ca="1" si="246"/>
        <v>#N/A</v>
      </c>
      <c r="C2510" s="498">
        <v>444</v>
      </c>
      <c r="D2510" s="41" t="e">
        <f>IF($C$1077&gt;0,VLOOKUP($C2510,ENTI!$AL$4:AN$1003,3,FALSE),"")</f>
        <v>#N/A</v>
      </c>
      <c r="E2510" s="41" t="str">
        <f t="shared" si="245"/>
        <v/>
      </c>
      <c r="F2510" s="200"/>
      <c r="G2510" s="178" t="e">
        <f>IF($C$1077&gt;0,VLOOKUP($C2510,ENTI!$AL$4:AP$1003,5,FALSE),"")</f>
        <v>#N/A</v>
      </c>
      <c r="H2510" s="179" t="e">
        <f>IF($C$1077&gt;0,VLOOKUP($C2510,ENTI!$AL$4:AQ$1003,6,FALSE),"")</f>
        <v>#N/A</v>
      </c>
      <c r="I2510" s="187"/>
      <c r="J2510" s="140" t="e">
        <f ca="1">VLOOKUP(D2510,$F$1081:$I$4183,4,FALSE)+COUNTIF(E$1081:E2509,E2510)</f>
        <v>#N/A</v>
      </c>
      <c r="K2510" s="1"/>
      <c r="L2510" s="156"/>
      <c r="M2510" s="1"/>
      <c r="N2510" s="1"/>
      <c r="O2510" s="1"/>
    </row>
    <row r="2511" spans="1:15" hidden="1">
      <c r="A2511" s="1"/>
      <c r="B2511" s="197" t="e">
        <f t="shared" ca="1" si="246"/>
        <v>#N/A</v>
      </c>
      <c r="C2511" s="498">
        <v>445</v>
      </c>
      <c r="D2511" s="41" t="e">
        <f>IF($C$1077&gt;0,VLOOKUP($C2511,ENTI!$AL$4:AN$1003,3,FALSE),"")</f>
        <v>#N/A</v>
      </c>
      <c r="E2511" s="41" t="str">
        <f t="shared" ref="E2511:E2574" si="247">IF(ISERROR(D2511),"",D2511)</f>
        <v/>
      </c>
      <c r="F2511" s="200"/>
      <c r="G2511" s="178" t="e">
        <f>IF($C$1077&gt;0,VLOOKUP($C2511,ENTI!$AL$4:AP$1003,5,FALSE),"")</f>
        <v>#N/A</v>
      </c>
      <c r="H2511" s="179" t="e">
        <f>IF($C$1077&gt;0,VLOOKUP($C2511,ENTI!$AL$4:AQ$1003,6,FALSE),"")</f>
        <v>#N/A</v>
      </c>
      <c r="I2511" s="187"/>
      <c r="J2511" s="140" t="e">
        <f ca="1">VLOOKUP(D2511,$F$1081:$I$4183,4,FALSE)+COUNTIF(E$1081:E2510,E2511)</f>
        <v>#N/A</v>
      </c>
      <c r="K2511" s="1"/>
      <c r="L2511" s="156"/>
      <c r="M2511" s="1"/>
      <c r="N2511" s="1"/>
      <c r="O2511" s="1"/>
    </row>
    <row r="2512" spans="1:15" hidden="1">
      <c r="A2512" s="1"/>
      <c r="B2512" s="197" t="e">
        <f t="shared" ca="1" si="246"/>
        <v>#N/A</v>
      </c>
      <c r="C2512" s="498">
        <v>446</v>
      </c>
      <c r="D2512" s="41" t="e">
        <f>IF($C$1077&gt;0,VLOOKUP($C2512,ENTI!$AL$4:AN$1003,3,FALSE),"")</f>
        <v>#N/A</v>
      </c>
      <c r="E2512" s="41" t="str">
        <f t="shared" si="247"/>
        <v/>
      </c>
      <c r="F2512" s="200"/>
      <c r="G2512" s="178" t="e">
        <f>IF($C$1077&gt;0,VLOOKUP($C2512,ENTI!$AL$4:AP$1003,5,FALSE),"")</f>
        <v>#N/A</v>
      </c>
      <c r="H2512" s="179" t="e">
        <f>IF($C$1077&gt;0,VLOOKUP($C2512,ENTI!$AL$4:AQ$1003,6,FALSE),"")</f>
        <v>#N/A</v>
      </c>
      <c r="I2512" s="187"/>
      <c r="J2512" s="140" t="e">
        <f ca="1">VLOOKUP(D2512,$F$1081:$I$4183,4,FALSE)+COUNTIF(E$1081:E2511,E2512)</f>
        <v>#N/A</v>
      </c>
      <c r="K2512" s="1"/>
      <c r="L2512" s="156"/>
      <c r="M2512" s="1"/>
      <c r="N2512" s="1"/>
      <c r="O2512" s="1"/>
    </row>
    <row r="2513" spans="1:15" hidden="1">
      <c r="A2513" s="1"/>
      <c r="B2513" s="197" t="e">
        <f t="shared" ca="1" si="246"/>
        <v>#N/A</v>
      </c>
      <c r="C2513" s="498">
        <v>447</v>
      </c>
      <c r="D2513" s="41" t="e">
        <f>IF($C$1077&gt;0,VLOOKUP($C2513,ENTI!$AL$4:AN$1003,3,FALSE),"")</f>
        <v>#N/A</v>
      </c>
      <c r="E2513" s="41" t="str">
        <f t="shared" si="247"/>
        <v/>
      </c>
      <c r="F2513" s="200"/>
      <c r="G2513" s="178" t="e">
        <f>IF($C$1077&gt;0,VLOOKUP($C2513,ENTI!$AL$4:AP$1003,5,FALSE),"")</f>
        <v>#N/A</v>
      </c>
      <c r="H2513" s="179" t="e">
        <f>IF($C$1077&gt;0,VLOOKUP($C2513,ENTI!$AL$4:AQ$1003,6,FALSE),"")</f>
        <v>#N/A</v>
      </c>
      <c r="I2513" s="187"/>
      <c r="J2513" s="140" t="e">
        <f ca="1">VLOOKUP(D2513,$F$1081:$I$4183,4,FALSE)+COUNTIF(E$1081:E2512,E2513)</f>
        <v>#N/A</v>
      </c>
      <c r="K2513" s="1"/>
      <c r="L2513" s="156"/>
      <c r="M2513" s="1"/>
      <c r="N2513" s="1"/>
      <c r="O2513" s="1"/>
    </row>
    <row r="2514" spans="1:15" hidden="1">
      <c r="A2514" s="1"/>
      <c r="B2514" s="197" t="e">
        <f t="shared" ca="1" si="246"/>
        <v>#N/A</v>
      </c>
      <c r="C2514" s="498">
        <v>448</v>
      </c>
      <c r="D2514" s="41" t="e">
        <f>IF($C$1077&gt;0,VLOOKUP($C2514,ENTI!$AL$4:AN$1003,3,FALSE),"")</f>
        <v>#N/A</v>
      </c>
      <c r="E2514" s="41" t="str">
        <f t="shared" si="247"/>
        <v/>
      </c>
      <c r="F2514" s="200"/>
      <c r="G2514" s="178" t="e">
        <f>IF($C$1077&gt;0,VLOOKUP($C2514,ENTI!$AL$4:AP$1003,5,FALSE),"")</f>
        <v>#N/A</v>
      </c>
      <c r="H2514" s="179" t="e">
        <f>IF($C$1077&gt;0,VLOOKUP($C2514,ENTI!$AL$4:AQ$1003,6,FALSE),"")</f>
        <v>#N/A</v>
      </c>
      <c r="I2514" s="187"/>
      <c r="J2514" s="140" t="e">
        <f ca="1">VLOOKUP(D2514,$F$1081:$I$4183,4,FALSE)+COUNTIF(E$1081:E2513,E2514)</f>
        <v>#N/A</v>
      </c>
      <c r="K2514" s="1"/>
      <c r="L2514" s="156"/>
      <c r="M2514" s="1"/>
      <c r="N2514" s="1"/>
      <c r="O2514" s="1"/>
    </row>
    <row r="2515" spans="1:15" hidden="1">
      <c r="A2515" s="1"/>
      <c r="B2515" s="197" t="e">
        <f t="shared" ca="1" si="246"/>
        <v>#N/A</v>
      </c>
      <c r="C2515" s="498">
        <v>449</v>
      </c>
      <c r="D2515" s="41" t="e">
        <f>IF($C$1077&gt;0,VLOOKUP($C2515,ENTI!$AL$4:AN$1003,3,FALSE),"")</f>
        <v>#N/A</v>
      </c>
      <c r="E2515" s="41" t="str">
        <f t="shared" si="247"/>
        <v/>
      </c>
      <c r="F2515" s="200"/>
      <c r="G2515" s="178" t="e">
        <f>IF($C$1077&gt;0,VLOOKUP($C2515,ENTI!$AL$4:AP$1003,5,FALSE),"")</f>
        <v>#N/A</v>
      </c>
      <c r="H2515" s="179" t="e">
        <f>IF($C$1077&gt;0,VLOOKUP($C2515,ENTI!$AL$4:AQ$1003,6,FALSE),"")</f>
        <v>#N/A</v>
      </c>
      <c r="I2515" s="187"/>
      <c r="J2515" s="140" t="e">
        <f ca="1">VLOOKUP(D2515,$F$1081:$I$4183,4,FALSE)+COUNTIF(E$1081:E2514,E2515)</f>
        <v>#N/A</v>
      </c>
      <c r="K2515" s="1"/>
      <c r="L2515" s="156"/>
      <c r="M2515" s="1"/>
      <c r="N2515" s="1"/>
      <c r="O2515" s="1"/>
    </row>
    <row r="2516" spans="1:15" hidden="1">
      <c r="A2516" s="1"/>
      <c r="B2516" s="197" t="e">
        <f t="shared" ca="1" si="246"/>
        <v>#N/A</v>
      </c>
      <c r="C2516" s="498">
        <v>450</v>
      </c>
      <c r="D2516" s="41" t="e">
        <f>IF($C$1077&gt;0,VLOOKUP($C2516,ENTI!$AL$4:AN$1003,3,FALSE),"")</f>
        <v>#N/A</v>
      </c>
      <c r="E2516" s="41" t="str">
        <f t="shared" si="247"/>
        <v/>
      </c>
      <c r="F2516" s="200"/>
      <c r="G2516" s="178" t="e">
        <f>IF($C$1077&gt;0,VLOOKUP($C2516,ENTI!$AL$4:AP$1003,5,FALSE),"")</f>
        <v>#N/A</v>
      </c>
      <c r="H2516" s="179" t="e">
        <f>IF($C$1077&gt;0,VLOOKUP($C2516,ENTI!$AL$4:AQ$1003,6,FALSE),"")</f>
        <v>#N/A</v>
      </c>
      <c r="I2516" s="187"/>
      <c r="J2516" s="140" t="e">
        <f ca="1">VLOOKUP(D2516,$F$1081:$I$4183,4,FALSE)+COUNTIF(E$1081:E2515,E2516)</f>
        <v>#N/A</v>
      </c>
      <c r="K2516" s="1"/>
      <c r="L2516" s="156"/>
      <c r="M2516" s="1"/>
      <c r="N2516" s="1"/>
      <c r="O2516" s="1"/>
    </row>
    <row r="2517" spans="1:15" hidden="1">
      <c r="A2517" s="1"/>
      <c r="B2517" s="197" t="e">
        <f t="shared" ca="1" si="246"/>
        <v>#N/A</v>
      </c>
      <c r="C2517" s="498">
        <v>451</v>
      </c>
      <c r="D2517" s="41" t="e">
        <f>IF($C$1077&gt;0,VLOOKUP($C2517,ENTI!$AL$4:AN$1003,3,FALSE),"")</f>
        <v>#N/A</v>
      </c>
      <c r="E2517" s="41" t="str">
        <f t="shared" si="247"/>
        <v/>
      </c>
      <c r="F2517" s="200"/>
      <c r="G2517" s="178" t="e">
        <f>IF($C$1077&gt;0,VLOOKUP($C2517,ENTI!$AL$4:AP$1003,5,FALSE),"")</f>
        <v>#N/A</v>
      </c>
      <c r="H2517" s="179" t="e">
        <f>IF($C$1077&gt;0,VLOOKUP($C2517,ENTI!$AL$4:AQ$1003,6,FALSE),"")</f>
        <v>#N/A</v>
      </c>
      <c r="I2517" s="187"/>
      <c r="J2517" s="140" t="e">
        <f ca="1">VLOOKUP(D2517,$F$1081:$I$4183,4,FALSE)+COUNTIF(E$1081:E2516,E2517)</f>
        <v>#N/A</v>
      </c>
      <c r="K2517" s="1"/>
      <c r="L2517" s="156"/>
      <c r="M2517" s="1"/>
      <c r="N2517" s="1"/>
      <c r="O2517" s="1"/>
    </row>
    <row r="2518" spans="1:15" hidden="1">
      <c r="A2518" s="1"/>
      <c r="B2518" s="197" t="e">
        <f t="shared" ca="1" si="246"/>
        <v>#N/A</v>
      </c>
      <c r="C2518" s="498">
        <v>452</v>
      </c>
      <c r="D2518" s="41" t="e">
        <f>IF($C$1077&gt;0,VLOOKUP($C2518,ENTI!$AL$4:AN$1003,3,FALSE),"")</f>
        <v>#N/A</v>
      </c>
      <c r="E2518" s="41" t="str">
        <f t="shared" si="247"/>
        <v/>
      </c>
      <c r="F2518" s="200"/>
      <c r="G2518" s="178" t="e">
        <f>IF($C$1077&gt;0,VLOOKUP($C2518,ENTI!$AL$4:AP$1003,5,FALSE),"")</f>
        <v>#N/A</v>
      </c>
      <c r="H2518" s="179" t="e">
        <f>IF($C$1077&gt;0,VLOOKUP($C2518,ENTI!$AL$4:AQ$1003,6,FALSE),"")</f>
        <v>#N/A</v>
      </c>
      <c r="I2518" s="187"/>
      <c r="J2518" s="140" t="e">
        <f ca="1">VLOOKUP(D2518,$F$1081:$I$4183,4,FALSE)+COUNTIF(E$1081:E2517,E2518)</f>
        <v>#N/A</v>
      </c>
      <c r="K2518" s="1"/>
      <c r="L2518" s="156"/>
      <c r="M2518" s="1"/>
      <c r="N2518" s="1"/>
      <c r="O2518" s="1"/>
    </row>
    <row r="2519" spans="1:15" hidden="1">
      <c r="A2519" s="1"/>
      <c r="B2519" s="197" t="e">
        <f t="shared" ca="1" si="246"/>
        <v>#N/A</v>
      </c>
      <c r="C2519" s="498">
        <v>453</v>
      </c>
      <c r="D2519" s="41" t="e">
        <f>IF($C$1077&gt;0,VLOOKUP($C2519,ENTI!$AL$4:AN$1003,3,FALSE),"")</f>
        <v>#N/A</v>
      </c>
      <c r="E2519" s="41" t="str">
        <f t="shared" si="247"/>
        <v/>
      </c>
      <c r="F2519" s="200"/>
      <c r="G2519" s="178" t="e">
        <f>IF($C$1077&gt;0,VLOOKUP($C2519,ENTI!$AL$4:AP$1003,5,FALSE),"")</f>
        <v>#N/A</v>
      </c>
      <c r="H2519" s="179" t="e">
        <f>IF($C$1077&gt;0,VLOOKUP($C2519,ENTI!$AL$4:AQ$1003,6,FALSE),"")</f>
        <v>#N/A</v>
      </c>
      <c r="I2519" s="187"/>
      <c r="J2519" s="140" t="e">
        <f ca="1">VLOOKUP(D2519,$F$1081:$I$4183,4,FALSE)+COUNTIF(E$1081:E2518,E2519)</f>
        <v>#N/A</v>
      </c>
      <c r="K2519" s="1"/>
      <c r="L2519" s="156"/>
      <c r="M2519" s="1"/>
      <c r="N2519" s="1"/>
      <c r="O2519" s="1"/>
    </row>
    <row r="2520" spans="1:15" hidden="1">
      <c r="A2520" s="1"/>
      <c r="B2520" s="197" t="e">
        <f t="shared" ca="1" si="246"/>
        <v>#N/A</v>
      </c>
      <c r="C2520" s="498">
        <v>454</v>
      </c>
      <c r="D2520" s="41" t="e">
        <f>IF($C$1077&gt;0,VLOOKUP($C2520,ENTI!$AL$4:AN$1003,3,FALSE),"")</f>
        <v>#N/A</v>
      </c>
      <c r="E2520" s="41" t="str">
        <f t="shared" si="247"/>
        <v/>
      </c>
      <c r="F2520" s="200"/>
      <c r="G2520" s="178" t="e">
        <f>IF($C$1077&gt;0,VLOOKUP($C2520,ENTI!$AL$4:AP$1003,5,FALSE),"")</f>
        <v>#N/A</v>
      </c>
      <c r="H2520" s="179" t="e">
        <f>IF($C$1077&gt;0,VLOOKUP($C2520,ENTI!$AL$4:AQ$1003,6,FALSE),"")</f>
        <v>#N/A</v>
      </c>
      <c r="I2520" s="187"/>
      <c r="J2520" s="140" t="e">
        <f ca="1">VLOOKUP(D2520,$F$1081:$I$4183,4,FALSE)+COUNTIF(E$1081:E2519,E2520)</f>
        <v>#N/A</v>
      </c>
      <c r="K2520" s="1"/>
      <c r="L2520" s="156"/>
      <c r="M2520" s="1"/>
      <c r="N2520" s="1"/>
      <c r="O2520" s="1"/>
    </row>
    <row r="2521" spans="1:15" hidden="1">
      <c r="A2521" s="1"/>
      <c r="B2521" s="197" t="e">
        <f t="shared" ref="B2521:B2584" ca="1" si="248">IF(OR(C$1075&gt;0,C$1077&gt;0,C$1073&gt;0,C$1071&gt;0),J2521+1,J2521)</f>
        <v>#N/A</v>
      </c>
      <c r="C2521" s="498">
        <v>455</v>
      </c>
      <c r="D2521" s="41" t="e">
        <f>IF($C$1077&gt;0,VLOOKUP($C2521,ENTI!$AL$4:AN$1003,3,FALSE),"")</f>
        <v>#N/A</v>
      </c>
      <c r="E2521" s="41" t="str">
        <f t="shared" si="247"/>
        <v/>
      </c>
      <c r="F2521" s="200"/>
      <c r="G2521" s="178" t="e">
        <f>IF($C$1077&gt;0,VLOOKUP($C2521,ENTI!$AL$4:AP$1003,5,FALSE),"")</f>
        <v>#N/A</v>
      </c>
      <c r="H2521" s="179" t="e">
        <f>IF($C$1077&gt;0,VLOOKUP($C2521,ENTI!$AL$4:AQ$1003,6,FALSE),"")</f>
        <v>#N/A</v>
      </c>
      <c r="I2521" s="187"/>
      <c r="J2521" s="140" t="e">
        <f ca="1">VLOOKUP(D2521,$F$1081:$I$4183,4,FALSE)+COUNTIF(E$1081:E2520,E2521)</f>
        <v>#N/A</v>
      </c>
      <c r="K2521" s="1"/>
      <c r="L2521" s="156"/>
      <c r="M2521" s="1"/>
      <c r="N2521" s="1"/>
      <c r="O2521" s="1"/>
    </row>
    <row r="2522" spans="1:15" hidden="1">
      <c r="A2522" s="1"/>
      <c r="B2522" s="197" t="e">
        <f t="shared" ca="1" si="248"/>
        <v>#N/A</v>
      </c>
      <c r="C2522" s="498">
        <v>456</v>
      </c>
      <c r="D2522" s="41" t="e">
        <f>IF($C$1077&gt;0,VLOOKUP($C2522,ENTI!$AL$4:AN$1003,3,FALSE),"")</f>
        <v>#N/A</v>
      </c>
      <c r="E2522" s="41" t="str">
        <f t="shared" si="247"/>
        <v/>
      </c>
      <c r="F2522" s="200"/>
      <c r="G2522" s="178" t="e">
        <f>IF($C$1077&gt;0,VLOOKUP($C2522,ENTI!$AL$4:AP$1003,5,FALSE),"")</f>
        <v>#N/A</v>
      </c>
      <c r="H2522" s="179" t="e">
        <f>IF($C$1077&gt;0,VLOOKUP($C2522,ENTI!$AL$4:AQ$1003,6,FALSE),"")</f>
        <v>#N/A</v>
      </c>
      <c r="I2522" s="187"/>
      <c r="J2522" s="140" t="e">
        <f ca="1">VLOOKUP(D2522,$F$1081:$I$4183,4,FALSE)+COUNTIF(E$1081:E2521,E2522)</f>
        <v>#N/A</v>
      </c>
      <c r="K2522" s="1"/>
      <c r="L2522" s="156"/>
      <c r="M2522" s="1"/>
      <c r="N2522" s="1"/>
      <c r="O2522" s="1"/>
    </row>
    <row r="2523" spans="1:15" hidden="1">
      <c r="A2523" s="1"/>
      <c r="B2523" s="197" t="e">
        <f t="shared" ca="1" si="248"/>
        <v>#N/A</v>
      </c>
      <c r="C2523" s="498">
        <v>457</v>
      </c>
      <c r="D2523" s="41" t="e">
        <f>IF($C$1077&gt;0,VLOOKUP($C2523,ENTI!$AL$4:AN$1003,3,FALSE),"")</f>
        <v>#N/A</v>
      </c>
      <c r="E2523" s="41" t="str">
        <f t="shared" si="247"/>
        <v/>
      </c>
      <c r="F2523" s="200"/>
      <c r="G2523" s="178" t="e">
        <f>IF($C$1077&gt;0,VLOOKUP($C2523,ENTI!$AL$4:AP$1003,5,FALSE),"")</f>
        <v>#N/A</v>
      </c>
      <c r="H2523" s="179" t="e">
        <f>IF($C$1077&gt;0,VLOOKUP($C2523,ENTI!$AL$4:AQ$1003,6,FALSE),"")</f>
        <v>#N/A</v>
      </c>
      <c r="I2523" s="187"/>
      <c r="J2523" s="140" t="e">
        <f ca="1">VLOOKUP(D2523,$F$1081:$I$4183,4,FALSE)+COUNTIF(E$1081:E2522,E2523)</f>
        <v>#N/A</v>
      </c>
      <c r="K2523" s="1"/>
      <c r="L2523" s="156"/>
      <c r="M2523" s="1"/>
      <c r="N2523" s="1"/>
      <c r="O2523" s="1"/>
    </row>
    <row r="2524" spans="1:15" hidden="1">
      <c r="A2524" s="1"/>
      <c r="B2524" s="197" t="e">
        <f t="shared" ca="1" si="248"/>
        <v>#N/A</v>
      </c>
      <c r="C2524" s="498">
        <v>458</v>
      </c>
      <c r="D2524" s="41" t="e">
        <f>IF($C$1077&gt;0,VLOOKUP($C2524,ENTI!$AL$4:AN$1003,3,FALSE),"")</f>
        <v>#N/A</v>
      </c>
      <c r="E2524" s="41" t="str">
        <f t="shared" si="247"/>
        <v/>
      </c>
      <c r="F2524" s="200"/>
      <c r="G2524" s="178" t="e">
        <f>IF($C$1077&gt;0,VLOOKUP($C2524,ENTI!$AL$4:AP$1003,5,FALSE),"")</f>
        <v>#N/A</v>
      </c>
      <c r="H2524" s="179" t="e">
        <f>IF($C$1077&gt;0,VLOOKUP($C2524,ENTI!$AL$4:AQ$1003,6,FALSE),"")</f>
        <v>#N/A</v>
      </c>
      <c r="I2524" s="187"/>
      <c r="J2524" s="140" t="e">
        <f ca="1">VLOOKUP(D2524,$F$1081:$I$4183,4,FALSE)+COUNTIF(E$1081:E2523,E2524)</f>
        <v>#N/A</v>
      </c>
      <c r="K2524" s="1"/>
      <c r="L2524" s="156"/>
      <c r="M2524" s="1"/>
      <c r="N2524" s="1"/>
      <c r="O2524" s="1"/>
    </row>
    <row r="2525" spans="1:15" hidden="1">
      <c r="A2525" s="1"/>
      <c r="B2525" s="197" t="e">
        <f t="shared" ca="1" si="248"/>
        <v>#N/A</v>
      </c>
      <c r="C2525" s="498">
        <v>459</v>
      </c>
      <c r="D2525" s="41" t="e">
        <f>IF($C$1077&gt;0,VLOOKUP($C2525,ENTI!$AL$4:AN$1003,3,FALSE),"")</f>
        <v>#N/A</v>
      </c>
      <c r="E2525" s="41" t="str">
        <f t="shared" si="247"/>
        <v/>
      </c>
      <c r="F2525" s="200"/>
      <c r="G2525" s="178" t="e">
        <f>IF($C$1077&gt;0,VLOOKUP($C2525,ENTI!$AL$4:AP$1003,5,FALSE),"")</f>
        <v>#N/A</v>
      </c>
      <c r="H2525" s="179" t="e">
        <f>IF($C$1077&gt;0,VLOOKUP($C2525,ENTI!$AL$4:AQ$1003,6,FALSE),"")</f>
        <v>#N/A</v>
      </c>
      <c r="I2525" s="187"/>
      <c r="J2525" s="140" t="e">
        <f ca="1">VLOOKUP(D2525,$F$1081:$I$4183,4,FALSE)+COUNTIF(E$1081:E2524,E2525)</f>
        <v>#N/A</v>
      </c>
      <c r="K2525" s="1"/>
      <c r="L2525" s="156"/>
      <c r="M2525" s="1"/>
      <c r="N2525" s="1"/>
      <c r="O2525" s="1"/>
    </row>
    <row r="2526" spans="1:15" hidden="1">
      <c r="A2526" s="1"/>
      <c r="B2526" s="197" t="e">
        <f t="shared" ca="1" si="248"/>
        <v>#N/A</v>
      </c>
      <c r="C2526" s="498">
        <v>460</v>
      </c>
      <c r="D2526" s="41" t="e">
        <f>IF($C$1077&gt;0,VLOOKUP($C2526,ENTI!$AL$4:AN$1003,3,FALSE),"")</f>
        <v>#N/A</v>
      </c>
      <c r="E2526" s="41" t="str">
        <f t="shared" si="247"/>
        <v/>
      </c>
      <c r="F2526" s="200"/>
      <c r="G2526" s="178" t="e">
        <f>IF($C$1077&gt;0,VLOOKUP($C2526,ENTI!$AL$4:AP$1003,5,FALSE),"")</f>
        <v>#N/A</v>
      </c>
      <c r="H2526" s="179" t="e">
        <f>IF($C$1077&gt;0,VLOOKUP($C2526,ENTI!$AL$4:AQ$1003,6,FALSE),"")</f>
        <v>#N/A</v>
      </c>
      <c r="I2526" s="187"/>
      <c r="J2526" s="140" t="e">
        <f ca="1">VLOOKUP(D2526,$F$1081:$I$4183,4,FALSE)+COUNTIF(E$1081:E2525,E2526)</f>
        <v>#N/A</v>
      </c>
      <c r="K2526" s="1"/>
      <c r="L2526" s="156"/>
      <c r="M2526" s="1"/>
      <c r="N2526" s="1"/>
      <c r="O2526" s="1"/>
    </row>
    <row r="2527" spans="1:15" hidden="1">
      <c r="A2527" s="1"/>
      <c r="B2527" s="197" t="e">
        <f t="shared" ca="1" si="248"/>
        <v>#N/A</v>
      </c>
      <c r="C2527" s="498">
        <v>461</v>
      </c>
      <c r="D2527" s="41" t="e">
        <f>IF($C$1077&gt;0,VLOOKUP($C2527,ENTI!$AL$4:AN$1003,3,FALSE),"")</f>
        <v>#N/A</v>
      </c>
      <c r="E2527" s="41" t="str">
        <f t="shared" si="247"/>
        <v/>
      </c>
      <c r="F2527" s="200"/>
      <c r="G2527" s="178" t="e">
        <f>IF($C$1077&gt;0,VLOOKUP($C2527,ENTI!$AL$4:AP$1003,5,FALSE),"")</f>
        <v>#N/A</v>
      </c>
      <c r="H2527" s="179" t="e">
        <f>IF($C$1077&gt;0,VLOOKUP($C2527,ENTI!$AL$4:AQ$1003,6,FALSE),"")</f>
        <v>#N/A</v>
      </c>
      <c r="I2527" s="187"/>
      <c r="J2527" s="140" t="e">
        <f ca="1">VLOOKUP(D2527,$F$1081:$I$4183,4,FALSE)+COUNTIF(E$1081:E2526,E2527)</f>
        <v>#N/A</v>
      </c>
      <c r="K2527" s="1"/>
      <c r="L2527" s="156"/>
      <c r="M2527" s="1"/>
      <c r="N2527" s="1"/>
      <c r="O2527" s="1"/>
    </row>
    <row r="2528" spans="1:15" hidden="1">
      <c r="A2528" s="1"/>
      <c r="B2528" s="197" t="e">
        <f t="shared" ca="1" si="248"/>
        <v>#N/A</v>
      </c>
      <c r="C2528" s="498">
        <v>462</v>
      </c>
      <c r="D2528" s="41" t="e">
        <f>IF($C$1077&gt;0,VLOOKUP($C2528,ENTI!$AL$4:AN$1003,3,FALSE),"")</f>
        <v>#N/A</v>
      </c>
      <c r="E2528" s="41" t="str">
        <f t="shared" si="247"/>
        <v/>
      </c>
      <c r="F2528" s="200"/>
      <c r="G2528" s="178" t="e">
        <f>IF($C$1077&gt;0,VLOOKUP($C2528,ENTI!$AL$4:AP$1003,5,FALSE),"")</f>
        <v>#N/A</v>
      </c>
      <c r="H2528" s="179" t="e">
        <f>IF($C$1077&gt;0,VLOOKUP($C2528,ENTI!$AL$4:AQ$1003,6,FALSE),"")</f>
        <v>#N/A</v>
      </c>
      <c r="I2528" s="187"/>
      <c r="J2528" s="140" t="e">
        <f ca="1">VLOOKUP(D2528,$F$1081:$I$4183,4,FALSE)+COUNTIF(E$1081:E2527,E2528)</f>
        <v>#N/A</v>
      </c>
      <c r="K2528" s="1"/>
      <c r="L2528" s="156"/>
      <c r="M2528" s="1"/>
      <c r="N2528" s="1"/>
      <c r="O2528" s="1"/>
    </row>
    <row r="2529" spans="1:15" hidden="1">
      <c r="A2529" s="1"/>
      <c r="B2529" s="197" t="e">
        <f t="shared" ca="1" si="248"/>
        <v>#N/A</v>
      </c>
      <c r="C2529" s="498">
        <v>463</v>
      </c>
      <c r="D2529" s="41" t="e">
        <f>IF($C$1077&gt;0,VLOOKUP($C2529,ENTI!$AL$4:AN$1003,3,FALSE),"")</f>
        <v>#N/A</v>
      </c>
      <c r="E2529" s="41" t="str">
        <f t="shared" si="247"/>
        <v/>
      </c>
      <c r="F2529" s="200"/>
      <c r="G2529" s="178" t="e">
        <f>IF($C$1077&gt;0,VLOOKUP($C2529,ENTI!$AL$4:AP$1003,5,FALSE),"")</f>
        <v>#N/A</v>
      </c>
      <c r="H2529" s="179" t="e">
        <f>IF($C$1077&gt;0,VLOOKUP($C2529,ENTI!$AL$4:AQ$1003,6,FALSE),"")</f>
        <v>#N/A</v>
      </c>
      <c r="I2529" s="187"/>
      <c r="J2529" s="140" t="e">
        <f ca="1">VLOOKUP(D2529,$F$1081:$I$4183,4,FALSE)+COUNTIF(E$1081:E2528,E2529)</f>
        <v>#N/A</v>
      </c>
      <c r="K2529" s="1"/>
      <c r="L2529" s="156"/>
      <c r="M2529" s="1"/>
      <c r="N2529" s="1"/>
      <c r="O2529" s="1"/>
    </row>
    <row r="2530" spans="1:15" hidden="1">
      <c r="A2530" s="1"/>
      <c r="B2530" s="197" t="e">
        <f t="shared" ca="1" si="248"/>
        <v>#N/A</v>
      </c>
      <c r="C2530" s="498">
        <v>464</v>
      </c>
      <c r="D2530" s="41" t="e">
        <f>IF($C$1077&gt;0,VLOOKUP($C2530,ENTI!$AL$4:AN$1003,3,FALSE),"")</f>
        <v>#N/A</v>
      </c>
      <c r="E2530" s="41" t="str">
        <f t="shared" si="247"/>
        <v/>
      </c>
      <c r="F2530" s="200"/>
      <c r="G2530" s="178" t="e">
        <f>IF($C$1077&gt;0,VLOOKUP($C2530,ENTI!$AL$4:AP$1003,5,FALSE),"")</f>
        <v>#N/A</v>
      </c>
      <c r="H2530" s="179" t="e">
        <f>IF($C$1077&gt;0,VLOOKUP($C2530,ENTI!$AL$4:AQ$1003,6,FALSE),"")</f>
        <v>#N/A</v>
      </c>
      <c r="I2530" s="187"/>
      <c r="J2530" s="140" t="e">
        <f ca="1">VLOOKUP(D2530,$F$1081:$I$4183,4,FALSE)+COUNTIF(E$1081:E2529,E2530)</f>
        <v>#N/A</v>
      </c>
      <c r="K2530" s="1"/>
      <c r="L2530" s="156"/>
      <c r="M2530" s="1"/>
      <c r="N2530" s="1"/>
      <c r="O2530" s="1"/>
    </row>
    <row r="2531" spans="1:15" hidden="1">
      <c r="A2531" s="1"/>
      <c r="B2531" s="197" t="e">
        <f t="shared" ca="1" si="248"/>
        <v>#N/A</v>
      </c>
      <c r="C2531" s="498">
        <v>465</v>
      </c>
      <c r="D2531" s="41" t="e">
        <f>IF($C$1077&gt;0,VLOOKUP($C2531,ENTI!$AL$4:AN$1003,3,FALSE),"")</f>
        <v>#N/A</v>
      </c>
      <c r="E2531" s="41" t="str">
        <f t="shared" si="247"/>
        <v/>
      </c>
      <c r="F2531" s="200"/>
      <c r="G2531" s="178" t="e">
        <f>IF($C$1077&gt;0,VLOOKUP($C2531,ENTI!$AL$4:AP$1003,5,FALSE),"")</f>
        <v>#N/A</v>
      </c>
      <c r="H2531" s="179" t="e">
        <f>IF($C$1077&gt;0,VLOOKUP($C2531,ENTI!$AL$4:AQ$1003,6,FALSE),"")</f>
        <v>#N/A</v>
      </c>
      <c r="I2531" s="187"/>
      <c r="J2531" s="140" t="e">
        <f ca="1">VLOOKUP(D2531,$F$1081:$I$4183,4,FALSE)+COUNTIF(E$1081:E2530,E2531)</f>
        <v>#N/A</v>
      </c>
      <c r="K2531" s="1"/>
      <c r="L2531" s="156"/>
      <c r="M2531" s="1"/>
      <c r="N2531" s="1"/>
      <c r="O2531" s="1"/>
    </row>
    <row r="2532" spans="1:15" hidden="1">
      <c r="A2532" s="1"/>
      <c r="B2532" s="197" t="e">
        <f t="shared" ca="1" si="248"/>
        <v>#N/A</v>
      </c>
      <c r="C2532" s="498">
        <v>466</v>
      </c>
      <c r="D2532" s="41" t="e">
        <f>IF($C$1077&gt;0,VLOOKUP($C2532,ENTI!$AL$4:AN$1003,3,FALSE),"")</f>
        <v>#N/A</v>
      </c>
      <c r="E2532" s="41" t="str">
        <f t="shared" si="247"/>
        <v/>
      </c>
      <c r="F2532" s="200"/>
      <c r="G2532" s="178" t="e">
        <f>IF($C$1077&gt;0,VLOOKUP($C2532,ENTI!$AL$4:AP$1003,5,FALSE),"")</f>
        <v>#N/A</v>
      </c>
      <c r="H2532" s="179" t="e">
        <f>IF($C$1077&gt;0,VLOOKUP($C2532,ENTI!$AL$4:AQ$1003,6,FALSE),"")</f>
        <v>#N/A</v>
      </c>
      <c r="I2532" s="187"/>
      <c r="J2532" s="140" t="e">
        <f ca="1">VLOOKUP(D2532,$F$1081:$I$4183,4,FALSE)+COUNTIF(E$1081:E2531,E2532)</f>
        <v>#N/A</v>
      </c>
      <c r="K2532" s="1"/>
      <c r="L2532" s="156"/>
      <c r="M2532" s="1"/>
      <c r="N2532" s="1"/>
      <c r="O2532" s="1"/>
    </row>
    <row r="2533" spans="1:15" hidden="1">
      <c r="A2533" s="1"/>
      <c r="B2533" s="197" t="e">
        <f t="shared" ca="1" si="248"/>
        <v>#N/A</v>
      </c>
      <c r="C2533" s="498">
        <v>467</v>
      </c>
      <c r="D2533" s="41" t="e">
        <f>IF($C$1077&gt;0,VLOOKUP($C2533,ENTI!$AL$4:AN$1003,3,FALSE),"")</f>
        <v>#N/A</v>
      </c>
      <c r="E2533" s="41" t="str">
        <f t="shared" si="247"/>
        <v/>
      </c>
      <c r="F2533" s="200"/>
      <c r="G2533" s="178" t="e">
        <f>IF($C$1077&gt;0,VLOOKUP($C2533,ENTI!$AL$4:AP$1003,5,FALSE),"")</f>
        <v>#N/A</v>
      </c>
      <c r="H2533" s="179" t="e">
        <f>IF($C$1077&gt;0,VLOOKUP($C2533,ENTI!$AL$4:AQ$1003,6,FALSE),"")</f>
        <v>#N/A</v>
      </c>
      <c r="I2533" s="187"/>
      <c r="J2533" s="140" t="e">
        <f ca="1">VLOOKUP(D2533,$F$1081:$I$4183,4,FALSE)+COUNTIF(E$1081:E2532,E2533)</f>
        <v>#N/A</v>
      </c>
      <c r="K2533" s="1"/>
      <c r="L2533" s="156"/>
      <c r="M2533" s="1"/>
      <c r="N2533" s="1"/>
      <c r="O2533" s="1"/>
    </row>
    <row r="2534" spans="1:15" hidden="1">
      <c r="A2534" s="1"/>
      <c r="B2534" s="197" t="e">
        <f t="shared" ca="1" si="248"/>
        <v>#N/A</v>
      </c>
      <c r="C2534" s="498">
        <v>468</v>
      </c>
      <c r="D2534" s="41" t="e">
        <f>IF($C$1077&gt;0,VLOOKUP($C2534,ENTI!$AL$4:AN$1003,3,FALSE),"")</f>
        <v>#N/A</v>
      </c>
      <c r="E2534" s="41" t="str">
        <f t="shared" si="247"/>
        <v/>
      </c>
      <c r="F2534" s="200"/>
      <c r="G2534" s="178" t="e">
        <f>IF($C$1077&gt;0,VLOOKUP($C2534,ENTI!$AL$4:AP$1003,5,FALSE),"")</f>
        <v>#N/A</v>
      </c>
      <c r="H2534" s="179" t="e">
        <f>IF($C$1077&gt;0,VLOOKUP($C2534,ENTI!$AL$4:AQ$1003,6,FALSE),"")</f>
        <v>#N/A</v>
      </c>
      <c r="I2534" s="187"/>
      <c r="J2534" s="140" t="e">
        <f ca="1">VLOOKUP(D2534,$F$1081:$I$4183,4,FALSE)+COUNTIF(E$1081:E2533,E2534)</f>
        <v>#N/A</v>
      </c>
      <c r="K2534" s="1"/>
      <c r="L2534" s="156"/>
      <c r="M2534" s="1"/>
      <c r="N2534" s="1"/>
      <c r="O2534" s="1"/>
    </row>
    <row r="2535" spans="1:15" hidden="1">
      <c r="A2535" s="1"/>
      <c r="B2535" s="197" t="e">
        <f t="shared" ca="1" si="248"/>
        <v>#N/A</v>
      </c>
      <c r="C2535" s="498">
        <v>469</v>
      </c>
      <c r="D2535" s="41" t="e">
        <f>IF($C$1077&gt;0,VLOOKUP($C2535,ENTI!$AL$4:AN$1003,3,FALSE),"")</f>
        <v>#N/A</v>
      </c>
      <c r="E2535" s="41" t="str">
        <f t="shared" si="247"/>
        <v/>
      </c>
      <c r="F2535" s="200"/>
      <c r="G2535" s="178" t="e">
        <f>IF($C$1077&gt;0,VLOOKUP($C2535,ENTI!$AL$4:AP$1003,5,FALSE),"")</f>
        <v>#N/A</v>
      </c>
      <c r="H2535" s="179" t="e">
        <f>IF($C$1077&gt;0,VLOOKUP($C2535,ENTI!$AL$4:AQ$1003,6,FALSE),"")</f>
        <v>#N/A</v>
      </c>
      <c r="I2535" s="187"/>
      <c r="J2535" s="140" t="e">
        <f ca="1">VLOOKUP(D2535,$F$1081:$I$4183,4,FALSE)+COUNTIF(E$1081:E2534,E2535)</f>
        <v>#N/A</v>
      </c>
      <c r="K2535" s="1"/>
      <c r="L2535" s="156"/>
      <c r="M2535" s="1"/>
      <c r="N2535" s="1"/>
      <c r="O2535" s="1"/>
    </row>
    <row r="2536" spans="1:15" hidden="1">
      <c r="A2536" s="1"/>
      <c r="B2536" s="197" t="e">
        <f t="shared" ca="1" si="248"/>
        <v>#N/A</v>
      </c>
      <c r="C2536" s="498">
        <v>470</v>
      </c>
      <c r="D2536" s="41" t="e">
        <f>IF($C$1077&gt;0,VLOOKUP($C2536,ENTI!$AL$4:AN$1003,3,FALSE),"")</f>
        <v>#N/A</v>
      </c>
      <c r="E2536" s="41" t="str">
        <f t="shared" si="247"/>
        <v/>
      </c>
      <c r="F2536" s="200"/>
      <c r="G2536" s="178" t="e">
        <f>IF($C$1077&gt;0,VLOOKUP($C2536,ENTI!$AL$4:AP$1003,5,FALSE),"")</f>
        <v>#N/A</v>
      </c>
      <c r="H2536" s="179" t="e">
        <f>IF($C$1077&gt;0,VLOOKUP($C2536,ENTI!$AL$4:AQ$1003,6,FALSE),"")</f>
        <v>#N/A</v>
      </c>
      <c r="I2536" s="187"/>
      <c r="J2536" s="140" t="e">
        <f ca="1">VLOOKUP(D2536,$F$1081:$I$4183,4,FALSE)+COUNTIF(E$1081:E2535,E2536)</f>
        <v>#N/A</v>
      </c>
      <c r="K2536" s="1"/>
      <c r="L2536" s="156"/>
      <c r="M2536" s="1"/>
      <c r="N2536" s="1"/>
      <c r="O2536" s="1"/>
    </row>
    <row r="2537" spans="1:15" hidden="1">
      <c r="A2537" s="1"/>
      <c r="B2537" s="197" t="e">
        <f t="shared" ca="1" si="248"/>
        <v>#N/A</v>
      </c>
      <c r="C2537" s="498">
        <v>471</v>
      </c>
      <c r="D2537" s="41" t="e">
        <f>IF($C$1077&gt;0,VLOOKUP($C2537,ENTI!$AL$4:AN$1003,3,FALSE),"")</f>
        <v>#N/A</v>
      </c>
      <c r="E2537" s="41" t="str">
        <f t="shared" si="247"/>
        <v/>
      </c>
      <c r="F2537" s="200"/>
      <c r="G2537" s="178" t="e">
        <f>IF($C$1077&gt;0,VLOOKUP($C2537,ENTI!$AL$4:AP$1003,5,FALSE),"")</f>
        <v>#N/A</v>
      </c>
      <c r="H2537" s="179" t="e">
        <f>IF($C$1077&gt;0,VLOOKUP($C2537,ENTI!$AL$4:AQ$1003,6,FALSE),"")</f>
        <v>#N/A</v>
      </c>
      <c r="I2537" s="187"/>
      <c r="J2537" s="140" t="e">
        <f ca="1">VLOOKUP(D2537,$F$1081:$I$4183,4,FALSE)+COUNTIF(E$1081:E2536,E2537)</f>
        <v>#N/A</v>
      </c>
      <c r="K2537" s="1"/>
      <c r="L2537" s="156"/>
      <c r="M2537" s="1"/>
      <c r="N2537" s="1"/>
      <c r="O2537" s="1"/>
    </row>
    <row r="2538" spans="1:15" hidden="1">
      <c r="A2538" s="1"/>
      <c r="B2538" s="197" t="e">
        <f t="shared" ca="1" si="248"/>
        <v>#N/A</v>
      </c>
      <c r="C2538" s="498">
        <v>472</v>
      </c>
      <c r="D2538" s="41" t="e">
        <f>IF($C$1077&gt;0,VLOOKUP($C2538,ENTI!$AL$4:AN$1003,3,FALSE),"")</f>
        <v>#N/A</v>
      </c>
      <c r="E2538" s="41" t="str">
        <f t="shared" si="247"/>
        <v/>
      </c>
      <c r="F2538" s="200"/>
      <c r="G2538" s="178" t="e">
        <f>IF($C$1077&gt;0,VLOOKUP($C2538,ENTI!$AL$4:AP$1003,5,FALSE),"")</f>
        <v>#N/A</v>
      </c>
      <c r="H2538" s="179" t="e">
        <f>IF($C$1077&gt;0,VLOOKUP($C2538,ENTI!$AL$4:AQ$1003,6,FALSE),"")</f>
        <v>#N/A</v>
      </c>
      <c r="I2538" s="187"/>
      <c r="J2538" s="140" t="e">
        <f ca="1">VLOOKUP(D2538,$F$1081:$I$4183,4,FALSE)+COUNTIF(E$1081:E2537,E2538)</f>
        <v>#N/A</v>
      </c>
      <c r="K2538" s="1"/>
      <c r="L2538" s="156"/>
      <c r="M2538" s="1"/>
      <c r="N2538" s="1"/>
      <c r="O2538" s="1"/>
    </row>
    <row r="2539" spans="1:15" hidden="1">
      <c r="A2539" s="1"/>
      <c r="B2539" s="197" t="e">
        <f t="shared" ca="1" si="248"/>
        <v>#N/A</v>
      </c>
      <c r="C2539" s="498">
        <v>473</v>
      </c>
      <c r="D2539" s="41" t="e">
        <f>IF($C$1077&gt;0,VLOOKUP($C2539,ENTI!$AL$4:AN$1003,3,FALSE),"")</f>
        <v>#N/A</v>
      </c>
      <c r="E2539" s="41" t="str">
        <f t="shared" si="247"/>
        <v/>
      </c>
      <c r="F2539" s="200"/>
      <c r="G2539" s="178" t="e">
        <f>IF($C$1077&gt;0,VLOOKUP($C2539,ENTI!$AL$4:AP$1003,5,FALSE),"")</f>
        <v>#N/A</v>
      </c>
      <c r="H2539" s="179" t="e">
        <f>IF($C$1077&gt;0,VLOOKUP($C2539,ENTI!$AL$4:AQ$1003,6,FALSE),"")</f>
        <v>#N/A</v>
      </c>
      <c r="I2539" s="187"/>
      <c r="J2539" s="140" t="e">
        <f ca="1">VLOOKUP(D2539,$F$1081:$I$4183,4,FALSE)+COUNTIF(E$1081:E2538,E2539)</f>
        <v>#N/A</v>
      </c>
      <c r="K2539" s="1"/>
      <c r="L2539" s="156"/>
      <c r="M2539" s="1"/>
      <c r="N2539" s="1"/>
      <c r="O2539" s="1"/>
    </row>
    <row r="2540" spans="1:15" hidden="1">
      <c r="A2540" s="1"/>
      <c r="B2540" s="197" t="e">
        <f t="shared" ca="1" si="248"/>
        <v>#N/A</v>
      </c>
      <c r="C2540" s="498">
        <v>474</v>
      </c>
      <c r="D2540" s="41" t="e">
        <f>IF($C$1077&gt;0,VLOOKUP($C2540,ENTI!$AL$4:AN$1003,3,FALSE),"")</f>
        <v>#N/A</v>
      </c>
      <c r="E2540" s="41" t="str">
        <f t="shared" si="247"/>
        <v/>
      </c>
      <c r="F2540" s="200"/>
      <c r="G2540" s="178" t="e">
        <f>IF($C$1077&gt;0,VLOOKUP($C2540,ENTI!$AL$4:AP$1003,5,FALSE),"")</f>
        <v>#N/A</v>
      </c>
      <c r="H2540" s="179" t="e">
        <f>IF($C$1077&gt;0,VLOOKUP($C2540,ENTI!$AL$4:AQ$1003,6,FALSE),"")</f>
        <v>#N/A</v>
      </c>
      <c r="I2540" s="187"/>
      <c r="J2540" s="140" t="e">
        <f ca="1">VLOOKUP(D2540,$F$1081:$I$4183,4,FALSE)+COUNTIF(E$1081:E2539,E2540)</f>
        <v>#N/A</v>
      </c>
      <c r="K2540" s="1"/>
      <c r="L2540" s="156"/>
      <c r="M2540" s="1"/>
      <c r="N2540" s="1"/>
      <c r="O2540" s="1"/>
    </row>
    <row r="2541" spans="1:15" hidden="1">
      <c r="A2541" s="1"/>
      <c r="B2541" s="197" t="e">
        <f t="shared" ca="1" si="248"/>
        <v>#N/A</v>
      </c>
      <c r="C2541" s="498">
        <v>475</v>
      </c>
      <c r="D2541" s="41" t="e">
        <f>IF($C$1077&gt;0,VLOOKUP($C2541,ENTI!$AL$4:AN$1003,3,FALSE),"")</f>
        <v>#N/A</v>
      </c>
      <c r="E2541" s="41" t="str">
        <f t="shared" si="247"/>
        <v/>
      </c>
      <c r="F2541" s="200"/>
      <c r="G2541" s="178" t="e">
        <f>IF($C$1077&gt;0,VLOOKUP($C2541,ENTI!$AL$4:AP$1003,5,FALSE),"")</f>
        <v>#N/A</v>
      </c>
      <c r="H2541" s="179" t="e">
        <f>IF($C$1077&gt;0,VLOOKUP($C2541,ENTI!$AL$4:AQ$1003,6,FALSE),"")</f>
        <v>#N/A</v>
      </c>
      <c r="I2541" s="187"/>
      <c r="J2541" s="140" t="e">
        <f ca="1">VLOOKUP(D2541,$F$1081:$I$4183,4,FALSE)+COUNTIF(E$1081:E2540,E2541)</f>
        <v>#N/A</v>
      </c>
      <c r="K2541" s="1"/>
      <c r="L2541" s="156"/>
      <c r="M2541" s="1"/>
      <c r="N2541" s="1"/>
      <c r="O2541" s="1"/>
    </row>
    <row r="2542" spans="1:15" hidden="1">
      <c r="A2542" s="1"/>
      <c r="B2542" s="197" t="e">
        <f t="shared" ca="1" si="248"/>
        <v>#N/A</v>
      </c>
      <c r="C2542" s="498">
        <v>476</v>
      </c>
      <c r="D2542" s="41" t="e">
        <f>IF($C$1077&gt;0,VLOOKUP($C2542,ENTI!$AL$4:AN$1003,3,FALSE),"")</f>
        <v>#N/A</v>
      </c>
      <c r="E2542" s="41" t="str">
        <f t="shared" si="247"/>
        <v/>
      </c>
      <c r="F2542" s="200"/>
      <c r="G2542" s="178" t="e">
        <f>IF($C$1077&gt;0,VLOOKUP($C2542,ENTI!$AL$4:AP$1003,5,FALSE),"")</f>
        <v>#N/A</v>
      </c>
      <c r="H2542" s="179" t="e">
        <f>IF($C$1077&gt;0,VLOOKUP($C2542,ENTI!$AL$4:AQ$1003,6,FALSE),"")</f>
        <v>#N/A</v>
      </c>
      <c r="I2542" s="187"/>
      <c r="J2542" s="140" t="e">
        <f ca="1">VLOOKUP(D2542,$F$1081:$I$4183,4,FALSE)+COUNTIF(E$1081:E2541,E2542)</f>
        <v>#N/A</v>
      </c>
      <c r="K2542" s="1"/>
      <c r="L2542" s="156"/>
      <c r="M2542" s="1"/>
      <c r="N2542" s="1"/>
      <c r="O2542" s="1"/>
    </row>
    <row r="2543" spans="1:15" hidden="1">
      <c r="A2543" s="1"/>
      <c r="B2543" s="197" t="e">
        <f t="shared" ca="1" si="248"/>
        <v>#N/A</v>
      </c>
      <c r="C2543" s="498">
        <v>477</v>
      </c>
      <c r="D2543" s="41" t="e">
        <f>IF($C$1077&gt;0,VLOOKUP($C2543,ENTI!$AL$4:AN$1003,3,FALSE),"")</f>
        <v>#N/A</v>
      </c>
      <c r="E2543" s="41" t="str">
        <f t="shared" si="247"/>
        <v/>
      </c>
      <c r="F2543" s="200"/>
      <c r="G2543" s="178" t="e">
        <f>IF($C$1077&gt;0,VLOOKUP($C2543,ENTI!$AL$4:AP$1003,5,FALSE),"")</f>
        <v>#N/A</v>
      </c>
      <c r="H2543" s="179" t="e">
        <f>IF($C$1077&gt;0,VLOOKUP($C2543,ENTI!$AL$4:AQ$1003,6,FALSE),"")</f>
        <v>#N/A</v>
      </c>
      <c r="I2543" s="187"/>
      <c r="J2543" s="140" t="e">
        <f ca="1">VLOOKUP(D2543,$F$1081:$I$4183,4,FALSE)+COUNTIF(E$1081:E2542,E2543)</f>
        <v>#N/A</v>
      </c>
      <c r="K2543" s="1"/>
      <c r="L2543" s="156"/>
      <c r="M2543" s="1"/>
      <c r="N2543" s="1"/>
      <c r="O2543" s="1"/>
    </row>
    <row r="2544" spans="1:15" hidden="1">
      <c r="A2544" s="1"/>
      <c r="B2544" s="197" t="e">
        <f t="shared" ca="1" si="248"/>
        <v>#N/A</v>
      </c>
      <c r="C2544" s="498">
        <v>478</v>
      </c>
      <c r="D2544" s="41" t="e">
        <f>IF($C$1077&gt;0,VLOOKUP($C2544,ENTI!$AL$4:AN$1003,3,FALSE),"")</f>
        <v>#N/A</v>
      </c>
      <c r="E2544" s="41" t="str">
        <f t="shared" si="247"/>
        <v/>
      </c>
      <c r="F2544" s="200"/>
      <c r="G2544" s="178" t="e">
        <f>IF($C$1077&gt;0,VLOOKUP($C2544,ENTI!$AL$4:AP$1003,5,FALSE),"")</f>
        <v>#N/A</v>
      </c>
      <c r="H2544" s="179" t="e">
        <f>IF($C$1077&gt;0,VLOOKUP($C2544,ENTI!$AL$4:AQ$1003,6,FALSE),"")</f>
        <v>#N/A</v>
      </c>
      <c r="I2544" s="187"/>
      <c r="J2544" s="140" t="e">
        <f ca="1">VLOOKUP(D2544,$F$1081:$I$4183,4,FALSE)+COUNTIF(E$1081:E2543,E2544)</f>
        <v>#N/A</v>
      </c>
      <c r="K2544" s="1"/>
      <c r="L2544" s="156"/>
      <c r="M2544" s="1"/>
      <c r="N2544" s="1"/>
      <c r="O2544" s="1"/>
    </row>
    <row r="2545" spans="1:15" hidden="1">
      <c r="A2545" s="1"/>
      <c r="B2545" s="197" t="e">
        <f t="shared" ca="1" si="248"/>
        <v>#N/A</v>
      </c>
      <c r="C2545" s="498">
        <v>479</v>
      </c>
      <c r="D2545" s="41" t="e">
        <f>IF($C$1077&gt;0,VLOOKUP($C2545,ENTI!$AL$4:AN$1003,3,FALSE),"")</f>
        <v>#N/A</v>
      </c>
      <c r="E2545" s="41" t="str">
        <f t="shared" si="247"/>
        <v/>
      </c>
      <c r="F2545" s="200"/>
      <c r="G2545" s="178" t="e">
        <f>IF($C$1077&gt;0,VLOOKUP($C2545,ENTI!$AL$4:AP$1003,5,FALSE),"")</f>
        <v>#N/A</v>
      </c>
      <c r="H2545" s="179" t="e">
        <f>IF($C$1077&gt;0,VLOOKUP($C2545,ENTI!$AL$4:AQ$1003,6,FALSE),"")</f>
        <v>#N/A</v>
      </c>
      <c r="I2545" s="187"/>
      <c r="J2545" s="140" t="e">
        <f ca="1">VLOOKUP(D2545,$F$1081:$I$4183,4,FALSE)+COUNTIF(E$1081:E2544,E2545)</f>
        <v>#N/A</v>
      </c>
      <c r="K2545" s="1"/>
      <c r="L2545" s="156"/>
      <c r="M2545" s="1"/>
      <c r="N2545" s="1"/>
      <c r="O2545" s="1"/>
    </row>
    <row r="2546" spans="1:15" hidden="1">
      <c r="A2546" s="1"/>
      <c r="B2546" s="197" t="e">
        <f t="shared" ca="1" si="248"/>
        <v>#N/A</v>
      </c>
      <c r="C2546" s="498">
        <v>480</v>
      </c>
      <c r="D2546" s="41" t="e">
        <f>IF($C$1077&gt;0,VLOOKUP($C2546,ENTI!$AL$4:AN$1003,3,FALSE),"")</f>
        <v>#N/A</v>
      </c>
      <c r="E2546" s="41" t="str">
        <f t="shared" si="247"/>
        <v/>
      </c>
      <c r="F2546" s="200"/>
      <c r="G2546" s="178" t="e">
        <f>IF($C$1077&gt;0,VLOOKUP($C2546,ENTI!$AL$4:AP$1003,5,FALSE),"")</f>
        <v>#N/A</v>
      </c>
      <c r="H2546" s="179" t="e">
        <f>IF($C$1077&gt;0,VLOOKUP($C2546,ENTI!$AL$4:AQ$1003,6,FALSE),"")</f>
        <v>#N/A</v>
      </c>
      <c r="I2546" s="187"/>
      <c r="J2546" s="140" t="e">
        <f ca="1">VLOOKUP(D2546,$F$1081:$I$4183,4,FALSE)+COUNTIF(E$1081:E2545,E2546)</f>
        <v>#N/A</v>
      </c>
      <c r="K2546" s="1"/>
      <c r="L2546" s="156"/>
      <c r="M2546" s="1"/>
      <c r="N2546" s="1"/>
      <c r="O2546" s="1"/>
    </row>
    <row r="2547" spans="1:15" hidden="1">
      <c r="A2547" s="1"/>
      <c r="B2547" s="197" t="e">
        <f t="shared" ca="1" si="248"/>
        <v>#N/A</v>
      </c>
      <c r="C2547" s="498">
        <v>481</v>
      </c>
      <c r="D2547" s="41" t="e">
        <f>IF($C$1077&gt;0,VLOOKUP($C2547,ENTI!$AL$4:AN$1003,3,FALSE),"")</f>
        <v>#N/A</v>
      </c>
      <c r="E2547" s="41" t="str">
        <f t="shared" si="247"/>
        <v/>
      </c>
      <c r="F2547" s="200"/>
      <c r="G2547" s="178" t="e">
        <f>IF($C$1077&gt;0,VLOOKUP($C2547,ENTI!$AL$4:AP$1003,5,FALSE),"")</f>
        <v>#N/A</v>
      </c>
      <c r="H2547" s="179" t="e">
        <f>IF($C$1077&gt;0,VLOOKUP($C2547,ENTI!$AL$4:AQ$1003,6,FALSE),"")</f>
        <v>#N/A</v>
      </c>
      <c r="I2547" s="187"/>
      <c r="J2547" s="140" t="e">
        <f ca="1">VLOOKUP(D2547,$F$1081:$I$4183,4,FALSE)+COUNTIF(E$1081:E2546,E2547)</f>
        <v>#N/A</v>
      </c>
      <c r="K2547" s="1"/>
      <c r="L2547" s="156"/>
      <c r="M2547" s="1"/>
      <c r="N2547" s="1"/>
      <c r="O2547" s="1"/>
    </row>
    <row r="2548" spans="1:15" hidden="1">
      <c r="A2548" s="1"/>
      <c r="B2548" s="197" t="e">
        <f t="shared" ca="1" si="248"/>
        <v>#N/A</v>
      </c>
      <c r="C2548" s="498">
        <v>482</v>
      </c>
      <c r="D2548" s="41" t="e">
        <f>IF($C$1077&gt;0,VLOOKUP($C2548,ENTI!$AL$4:AN$1003,3,FALSE),"")</f>
        <v>#N/A</v>
      </c>
      <c r="E2548" s="41" t="str">
        <f t="shared" si="247"/>
        <v/>
      </c>
      <c r="F2548" s="200"/>
      <c r="G2548" s="178" t="e">
        <f>IF($C$1077&gt;0,VLOOKUP($C2548,ENTI!$AL$4:AP$1003,5,FALSE),"")</f>
        <v>#N/A</v>
      </c>
      <c r="H2548" s="179" t="e">
        <f>IF($C$1077&gt;0,VLOOKUP($C2548,ENTI!$AL$4:AQ$1003,6,FALSE),"")</f>
        <v>#N/A</v>
      </c>
      <c r="I2548" s="187"/>
      <c r="J2548" s="140" t="e">
        <f ca="1">VLOOKUP(D2548,$F$1081:$I$4183,4,FALSE)+COUNTIF(E$1081:E2547,E2548)</f>
        <v>#N/A</v>
      </c>
      <c r="K2548" s="1"/>
      <c r="L2548" s="156"/>
      <c r="M2548" s="1"/>
      <c r="N2548" s="1"/>
      <c r="O2548" s="1"/>
    </row>
    <row r="2549" spans="1:15" hidden="1">
      <c r="A2549" s="1"/>
      <c r="B2549" s="197" t="e">
        <f t="shared" ca="1" si="248"/>
        <v>#N/A</v>
      </c>
      <c r="C2549" s="498">
        <v>483</v>
      </c>
      <c r="D2549" s="41" t="e">
        <f>IF($C$1077&gt;0,VLOOKUP($C2549,ENTI!$AL$4:AN$1003,3,FALSE),"")</f>
        <v>#N/A</v>
      </c>
      <c r="E2549" s="41" t="str">
        <f t="shared" si="247"/>
        <v/>
      </c>
      <c r="F2549" s="200"/>
      <c r="G2549" s="178" t="e">
        <f>IF($C$1077&gt;0,VLOOKUP($C2549,ENTI!$AL$4:AP$1003,5,FALSE),"")</f>
        <v>#N/A</v>
      </c>
      <c r="H2549" s="179" t="e">
        <f>IF($C$1077&gt;0,VLOOKUP($C2549,ENTI!$AL$4:AQ$1003,6,FALSE),"")</f>
        <v>#N/A</v>
      </c>
      <c r="I2549" s="187"/>
      <c r="J2549" s="140" t="e">
        <f ca="1">VLOOKUP(D2549,$F$1081:$I$4183,4,FALSE)+COUNTIF(E$1081:E2548,E2549)</f>
        <v>#N/A</v>
      </c>
      <c r="K2549" s="1"/>
      <c r="L2549" s="156"/>
      <c r="M2549" s="1"/>
      <c r="N2549" s="1"/>
      <c r="O2549" s="1"/>
    </row>
    <row r="2550" spans="1:15" hidden="1">
      <c r="A2550" s="1"/>
      <c r="B2550" s="197" t="e">
        <f t="shared" ca="1" si="248"/>
        <v>#N/A</v>
      </c>
      <c r="C2550" s="498">
        <v>484</v>
      </c>
      <c r="D2550" s="41" t="e">
        <f>IF($C$1077&gt;0,VLOOKUP($C2550,ENTI!$AL$4:AN$1003,3,FALSE),"")</f>
        <v>#N/A</v>
      </c>
      <c r="E2550" s="41" t="str">
        <f t="shared" si="247"/>
        <v/>
      </c>
      <c r="F2550" s="200"/>
      <c r="G2550" s="178" t="e">
        <f>IF($C$1077&gt;0,VLOOKUP($C2550,ENTI!$AL$4:AP$1003,5,FALSE),"")</f>
        <v>#N/A</v>
      </c>
      <c r="H2550" s="179" t="e">
        <f>IF($C$1077&gt;0,VLOOKUP($C2550,ENTI!$AL$4:AQ$1003,6,FALSE),"")</f>
        <v>#N/A</v>
      </c>
      <c r="I2550" s="187"/>
      <c r="J2550" s="140" t="e">
        <f ca="1">VLOOKUP(D2550,$F$1081:$I$4183,4,FALSE)+COUNTIF(E$1081:E2549,E2550)</f>
        <v>#N/A</v>
      </c>
      <c r="K2550" s="1"/>
      <c r="L2550" s="156"/>
      <c r="M2550" s="1"/>
      <c r="N2550" s="1"/>
      <c r="O2550" s="1"/>
    </row>
    <row r="2551" spans="1:15" hidden="1">
      <c r="A2551" s="1"/>
      <c r="B2551" s="197" t="e">
        <f t="shared" ca="1" si="248"/>
        <v>#N/A</v>
      </c>
      <c r="C2551" s="498">
        <v>485</v>
      </c>
      <c r="D2551" s="41" t="e">
        <f>IF($C$1077&gt;0,VLOOKUP($C2551,ENTI!$AL$4:AN$1003,3,FALSE),"")</f>
        <v>#N/A</v>
      </c>
      <c r="E2551" s="41" t="str">
        <f t="shared" si="247"/>
        <v/>
      </c>
      <c r="F2551" s="200"/>
      <c r="G2551" s="178" t="e">
        <f>IF($C$1077&gt;0,VLOOKUP($C2551,ENTI!$AL$4:AP$1003,5,FALSE),"")</f>
        <v>#N/A</v>
      </c>
      <c r="H2551" s="179" t="e">
        <f>IF($C$1077&gt;0,VLOOKUP($C2551,ENTI!$AL$4:AQ$1003,6,FALSE),"")</f>
        <v>#N/A</v>
      </c>
      <c r="I2551" s="187"/>
      <c r="J2551" s="140" t="e">
        <f ca="1">VLOOKUP(D2551,$F$1081:$I$4183,4,FALSE)+COUNTIF(E$1081:E2550,E2551)</f>
        <v>#N/A</v>
      </c>
      <c r="K2551" s="1"/>
      <c r="L2551" s="156"/>
      <c r="M2551" s="1"/>
      <c r="N2551" s="1"/>
      <c r="O2551" s="1"/>
    </row>
    <row r="2552" spans="1:15" hidden="1">
      <c r="A2552" s="1"/>
      <c r="B2552" s="197" t="e">
        <f t="shared" ca="1" si="248"/>
        <v>#N/A</v>
      </c>
      <c r="C2552" s="498">
        <v>486</v>
      </c>
      <c r="D2552" s="41" t="e">
        <f>IF($C$1077&gt;0,VLOOKUP($C2552,ENTI!$AL$4:AN$1003,3,FALSE),"")</f>
        <v>#N/A</v>
      </c>
      <c r="E2552" s="41" t="str">
        <f t="shared" si="247"/>
        <v/>
      </c>
      <c r="F2552" s="200"/>
      <c r="G2552" s="178" t="e">
        <f>IF($C$1077&gt;0,VLOOKUP($C2552,ENTI!$AL$4:AP$1003,5,FALSE),"")</f>
        <v>#N/A</v>
      </c>
      <c r="H2552" s="179" t="e">
        <f>IF($C$1077&gt;0,VLOOKUP($C2552,ENTI!$AL$4:AQ$1003,6,FALSE),"")</f>
        <v>#N/A</v>
      </c>
      <c r="I2552" s="187"/>
      <c r="J2552" s="140" t="e">
        <f ca="1">VLOOKUP(D2552,$F$1081:$I$4183,4,FALSE)+COUNTIF(E$1081:E2551,E2552)</f>
        <v>#N/A</v>
      </c>
      <c r="K2552" s="1"/>
      <c r="L2552" s="156"/>
      <c r="M2552" s="1"/>
      <c r="N2552" s="1"/>
      <c r="O2552" s="1"/>
    </row>
    <row r="2553" spans="1:15" hidden="1">
      <c r="A2553" s="1"/>
      <c r="B2553" s="197" t="e">
        <f t="shared" ca="1" si="248"/>
        <v>#N/A</v>
      </c>
      <c r="C2553" s="498">
        <v>487</v>
      </c>
      <c r="D2553" s="41" t="e">
        <f>IF($C$1077&gt;0,VLOOKUP($C2553,ENTI!$AL$4:AN$1003,3,FALSE),"")</f>
        <v>#N/A</v>
      </c>
      <c r="E2553" s="41" t="str">
        <f t="shared" si="247"/>
        <v/>
      </c>
      <c r="F2553" s="200"/>
      <c r="G2553" s="178" t="e">
        <f>IF($C$1077&gt;0,VLOOKUP($C2553,ENTI!$AL$4:AP$1003,5,FALSE),"")</f>
        <v>#N/A</v>
      </c>
      <c r="H2553" s="179" t="e">
        <f>IF($C$1077&gt;0,VLOOKUP($C2553,ENTI!$AL$4:AQ$1003,6,FALSE),"")</f>
        <v>#N/A</v>
      </c>
      <c r="I2553" s="187"/>
      <c r="J2553" s="140" t="e">
        <f ca="1">VLOOKUP(D2553,$F$1081:$I$4183,4,FALSE)+COUNTIF(E$1081:E2552,E2553)</f>
        <v>#N/A</v>
      </c>
      <c r="K2553" s="1"/>
      <c r="L2553" s="156"/>
      <c r="M2553" s="1"/>
      <c r="N2553" s="1"/>
      <c r="O2553" s="1"/>
    </row>
    <row r="2554" spans="1:15" hidden="1">
      <c r="A2554" s="1"/>
      <c r="B2554" s="197" t="e">
        <f t="shared" ca="1" si="248"/>
        <v>#N/A</v>
      </c>
      <c r="C2554" s="498">
        <v>488</v>
      </c>
      <c r="D2554" s="41" t="e">
        <f>IF($C$1077&gt;0,VLOOKUP($C2554,ENTI!$AL$4:AN$1003,3,FALSE),"")</f>
        <v>#N/A</v>
      </c>
      <c r="E2554" s="41" t="str">
        <f t="shared" si="247"/>
        <v/>
      </c>
      <c r="F2554" s="200"/>
      <c r="G2554" s="178" t="e">
        <f>IF($C$1077&gt;0,VLOOKUP($C2554,ENTI!$AL$4:AP$1003,5,FALSE),"")</f>
        <v>#N/A</v>
      </c>
      <c r="H2554" s="179" t="e">
        <f>IF($C$1077&gt;0,VLOOKUP($C2554,ENTI!$AL$4:AQ$1003,6,FALSE),"")</f>
        <v>#N/A</v>
      </c>
      <c r="I2554" s="187"/>
      <c r="J2554" s="140" t="e">
        <f ca="1">VLOOKUP(D2554,$F$1081:$I$4183,4,FALSE)+COUNTIF(E$1081:E2553,E2554)</f>
        <v>#N/A</v>
      </c>
      <c r="K2554" s="1"/>
      <c r="L2554" s="156"/>
      <c r="M2554" s="1"/>
      <c r="N2554" s="1"/>
      <c r="O2554" s="1"/>
    </row>
    <row r="2555" spans="1:15" hidden="1">
      <c r="A2555" s="1"/>
      <c r="B2555" s="197" t="e">
        <f t="shared" ca="1" si="248"/>
        <v>#N/A</v>
      </c>
      <c r="C2555" s="498">
        <v>489</v>
      </c>
      <c r="D2555" s="41" t="e">
        <f>IF($C$1077&gt;0,VLOOKUP($C2555,ENTI!$AL$4:AN$1003,3,FALSE),"")</f>
        <v>#N/A</v>
      </c>
      <c r="E2555" s="41" t="str">
        <f t="shared" si="247"/>
        <v/>
      </c>
      <c r="F2555" s="200"/>
      <c r="G2555" s="178" t="e">
        <f>IF($C$1077&gt;0,VLOOKUP($C2555,ENTI!$AL$4:AP$1003,5,FALSE),"")</f>
        <v>#N/A</v>
      </c>
      <c r="H2555" s="179" t="e">
        <f>IF($C$1077&gt;0,VLOOKUP($C2555,ENTI!$AL$4:AQ$1003,6,FALSE),"")</f>
        <v>#N/A</v>
      </c>
      <c r="I2555" s="187"/>
      <c r="J2555" s="140" t="e">
        <f ca="1">VLOOKUP(D2555,$F$1081:$I$4183,4,FALSE)+COUNTIF(E$1081:E2554,E2555)</f>
        <v>#N/A</v>
      </c>
      <c r="K2555" s="1"/>
      <c r="L2555" s="156"/>
      <c r="M2555" s="1"/>
      <c r="N2555" s="1"/>
      <c r="O2555" s="1"/>
    </row>
    <row r="2556" spans="1:15" hidden="1">
      <c r="A2556" s="1"/>
      <c r="B2556" s="197" t="e">
        <f t="shared" ca="1" si="248"/>
        <v>#N/A</v>
      </c>
      <c r="C2556" s="498">
        <v>490</v>
      </c>
      <c r="D2556" s="41" t="e">
        <f>IF($C$1077&gt;0,VLOOKUP($C2556,ENTI!$AL$4:AN$1003,3,FALSE),"")</f>
        <v>#N/A</v>
      </c>
      <c r="E2556" s="41" t="str">
        <f t="shared" si="247"/>
        <v/>
      </c>
      <c r="F2556" s="200"/>
      <c r="G2556" s="178" t="e">
        <f>IF($C$1077&gt;0,VLOOKUP($C2556,ENTI!$AL$4:AP$1003,5,FALSE),"")</f>
        <v>#N/A</v>
      </c>
      <c r="H2556" s="179" t="e">
        <f>IF($C$1077&gt;0,VLOOKUP($C2556,ENTI!$AL$4:AQ$1003,6,FALSE),"")</f>
        <v>#N/A</v>
      </c>
      <c r="I2556" s="187"/>
      <c r="J2556" s="140" t="e">
        <f ca="1">VLOOKUP(D2556,$F$1081:$I$4183,4,FALSE)+COUNTIF(E$1081:E2555,E2556)</f>
        <v>#N/A</v>
      </c>
      <c r="K2556" s="1"/>
      <c r="L2556" s="156"/>
      <c r="M2556" s="1"/>
      <c r="N2556" s="1"/>
      <c r="O2556" s="1"/>
    </row>
    <row r="2557" spans="1:15" hidden="1">
      <c r="A2557" s="1"/>
      <c r="B2557" s="197" t="e">
        <f t="shared" ca="1" si="248"/>
        <v>#N/A</v>
      </c>
      <c r="C2557" s="498">
        <v>491</v>
      </c>
      <c r="D2557" s="41" t="e">
        <f>IF($C$1077&gt;0,VLOOKUP($C2557,ENTI!$AL$4:AN$1003,3,FALSE),"")</f>
        <v>#N/A</v>
      </c>
      <c r="E2557" s="41" t="str">
        <f t="shared" si="247"/>
        <v/>
      </c>
      <c r="F2557" s="200"/>
      <c r="G2557" s="178" t="e">
        <f>IF($C$1077&gt;0,VLOOKUP($C2557,ENTI!$AL$4:AP$1003,5,FALSE),"")</f>
        <v>#N/A</v>
      </c>
      <c r="H2557" s="179" t="e">
        <f>IF($C$1077&gt;0,VLOOKUP($C2557,ENTI!$AL$4:AQ$1003,6,FALSE),"")</f>
        <v>#N/A</v>
      </c>
      <c r="I2557" s="187"/>
      <c r="J2557" s="140" t="e">
        <f ca="1">VLOOKUP(D2557,$F$1081:$I$4183,4,FALSE)+COUNTIF(E$1081:E2556,E2557)</f>
        <v>#N/A</v>
      </c>
      <c r="K2557" s="1"/>
      <c r="L2557" s="156"/>
      <c r="M2557" s="1"/>
      <c r="N2557" s="1"/>
      <c r="O2557" s="1"/>
    </row>
    <row r="2558" spans="1:15" hidden="1">
      <c r="A2558" s="1"/>
      <c r="B2558" s="197" t="e">
        <f t="shared" ca="1" si="248"/>
        <v>#N/A</v>
      </c>
      <c r="C2558" s="498">
        <v>492</v>
      </c>
      <c r="D2558" s="41" t="e">
        <f>IF($C$1077&gt;0,VLOOKUP($C2558,ENTI!$AL$4:AN$1003,3,FALSE),"")</f>
        <v>#N/A</v>
      </c>
      <c r="E2558" s="41" t="str">
        <f t="shared" si="247"/>
        <v/>
      </c>
      <c r="F2558" s="200"/>
      <c r="G2558" s="178" t="e">
        <f>IF($C$1077&gt;0,VLOOKUP($C2558,ENTI!$AL$4:AP$1003,5,FALSE),"")</f>
        <v>#N/A</v>
      </c>
      <c r="H2558" s="179" t="e">
        <f>IF($C$1077&gt;0,VLOOKUP($C2558,ENTI!$AL$4:AQ$1003,6,FALSE),"")</f>
        <v>#N/A</v>
      </c>
      <c r="I2558" s="187"/>
      <c r="J2558" s="140" t="e">
        <f ca="1">VLOOKUP(D2558,$F$1081:$I$4183,4,FALSE)+COUNTIF(E$1081:E2557,E2558)</f>
        <v>#N/A</v>
      </c>
      <c r="K2558" s="1"/>
      <c r="L2558" s="156"/>
      <c r="M2558" s="1"/>
      <c r="N2558" s="1"/>
      <c r="O2558" s="1"/>
    </row>
    <row r="2559" spans="1:15" hidden="1">
      <c r="A2559" s="1"/>
      <c r="B2559" s="197" t="e">
        <f t="shared" ca="1" si="248"/>
        <v>#N/A</v>
      </c>
      <c r="C2559" s="498">
        <v>493</v>
      </c>
      <c r="D2559" s="41" t="e">
        <f>IF($C$1077&gt;0,VLOOKUP($C2559,ENTI!$AL$4:AN$1003,3,FALSE),"")</f>
        <v>#N/A</v>
      </c>
      <c r="E2559" s="41" t="str">
        <f t="shared" si="247"/>
        <v/>
      </c>
      <c r="F2559" s="200"/>
      <c r="G2559" s="178" t="e">
        <f>IF($C$1077&gt;0,VLOOKUP($C2559,ENTI!$AL$4:AP$1003,5,FALSE),"")</f>
        <v>#N/A</v>
      </c>
      <c r="H2559" s="179" t="e">
        <f>IF($C$1077&gt;0,VLOOKUP($C2559,ENTI!$AL$4:AQ$1003,6,FALSE),"")</f>
        <v>#N/A</v>
      </c>
      <c r="I2559" s="187"/>
      <c r="J2559" s="140" t="e">
        <f ca="1">VLOOKUP(D2559,$F$1081:$I$4183,4,FALSE)+COUNTIF(E$1081:E2558,E2559)</f>
        <v>#N/A</v>
      </c>
      <c r="K2559" s="1"/>
      <c r="L2559" s="156"/>
      <c r="M2559" s="1"/>
      <c r="N2559" s="1"/>
      <c r="O2559" s="1"/>
    </row>
    <row r="2560" spans="1:15" hidden="1">
      <c r="A2560" s="1"/>
      <c r="B2560" s="197" t="e">
        <f t="shared" ca="1" si="248"/>
        <v>#N/A</v>
      </c>
      <c r="C2560" s="498">
        <v>494</v>
      </c>
      <c r="D2560" s="41" t="e">
        <f>IF($C$1077&gt;0,VLOOKUP($C2560,ENTI!$AL$4:AN$1003,3,FALSE),"")</f>
        <v>#N/A</v>
      </c>
      <c r="E2560" s="41" t="str">
        <f t="shared" si="247"/>
        <v/>
      </c>
      <c r="F2560" s="200"/>
      <c r="G2560" s="178" t="e">
        <f>IF($C$1077&gt;0,VLOOKUP($C2560,ENTI!$AL$4:AP$1003,5,FALSE),"")</f>
        <v>#N/A</v>
      </c>
      <c r="H2560" s="179" t="e">
        <f>IF($C$1077&gt;0,VLOOKUP($C2560,ENTI!$AL$4:AQ$1003,6,FALSE),"")</f>
        <v>#N/A</v>
      </c>
      <c r="I2560" s="187"/>
      <c r="J2560" s="140" t="e">
        <f ca="1">VLOOKUP(D2560,$F$1081:$I$4183,4,FALSE)+COUNTIF(E$1081:E2559,E2560)</f>
        <v>#N/A</v>
      </c>
      <c r="K2560" s="1"/>
      <c r="L2560" s="156"/>
      <c r="M2560" s="1"/>
      <c r="N2560" s="1"/>
      <c r="O2560" s="1"/>
    </row>
    <row r="2561" spans="1:15" hidden="1">
      <c r="A2561" s="1"/>
      <c r="B2561" s="197" t="e">
        <f t="shared" ca="1" si="248"/>
        <v>#N/A</v>
      </c>
      <c r="C2561" s="498">
        <v>495</v>
      </c>
      <c r="D2561" s="41" t="e">
        <f>IF($C$1077&gt;0,VLOOKUP($C2561,ENTI!$AL$4:AN$1003,3,FALSE),"")</f>
        <v>#N/A</v>
      </c>
      <c r="E2561" s="41" t="str">
        <f t="shared" si="247"/>
        <v/>
      </c>
      <c r="F2561" s="200"/>
      <c r="G2561" s="178" t="e">
        <f>IF($C$1077&gt;0,VLOOKUP($C2561,ENTI!$AL$4:AP$1003,5,FALSE),"")</f>
        <v>#N/A</v>
      </c>
      <c r="H2561" s="179" t="e">
        <f>IF($C$1077&gt;0,VLOOKUP($C2561,ENTI!$AL$4:AQ$1003,6,FALSE),"")</f>
        <v>#N/A</v>
      </c>
      <c r="I2561" s="187"/>
      <c r="J2561" s="140" t="e">
        <f ca="1">VLOOKUP(D2561,$F$1081:$I$4183,4,FALSE)+COUNTIF(E$1081:E2560,E2561)</f>
        <v>#N/A</v>
      </c>
      <c r="K2561" s="1"/>
      <c r="L2561" s="156"/>
      <c r="M2561" s="1"/>
      <c r="N2561" s="1"/>
      <c r="O2561" s="1"/>
    </row>
    <row r="2562" spans="1:15" hidden="1">
      <c r="A2562" s="1"/>
      <c r="B2562" s="197" t="e">
        <f t="shared" ca="1" si="248"/>
        <v>#N/A</v>
      </c>
      <c r="C2562" s="498">
        <v>496</v>
      </c>
      <c r="D2562" s="41" t="e">
        <f>IF($C$1077&gt;0,VLOOKUP($C2562,ENTI!$AL$4:AN$1003,3,FALSE),"")</f>
        <v>#N/A</v>
      </c>
      <c r="E2562" s="41" t="str">
        <f t="shared" si="247"/>
        <v/>
      </c>
      <c r="F2562" s="200"/>
      <c r="G2562" s="178" t="e">
        <f>IF($C$1077&gt;0,VLOOKUP($C2562,ENTI!$AL$4:AP$1003,5,FALSE),"")</f>
        <v>#N/A</v>
      </c>
      <c r="H2562" s="179" t="e">
        <f>IF($C$1077&gt;0,VLOOKUP($C2562,ENTI!$AL$4:AQ$1003,6,FALSE),"")</f>
        <v>#N/A</v>
      </c>
      <c r="I2562" s="187"/>
      <c r="J2562" s="140" t="e">
        <f ca="1">VLOOKUP(D2562,$F$1081:$I$4183,4,FALSE)+COUNTIF(E$1081:E2561,E2562)</f>
        <v>#N/A</v>
      </c>
      <c r="K2562" s="1"/>
      <c r="L2562" s="156"/>
      <c r="M2562" s="1"/>
      <c r="N2562" s="1"/>
      <c r="O2562" s="1"/>
    </row>
    <row r="2563" spans="1:15" hidden="1">
      <c r="A2563" s="1"/>
      <c r="B2563" s="197" t="e">
        <f t="shared" ca="1" si="248"/>
        <v>#N/A</v>
      </c>
      <c r="C2563" s="498">
        <v>497</v>
      </c>
      <c r="D2563" s="41" t="e">
        <f>IF($C$1077&gt;0,VLOOKUP($C2563,ENTI!$AL$4:AN$1003,3,FALSE),"")</f>
        <v>#N/A</v>
      </c>
      <c r="E2563" s="41" t="str">
        <f t="shared" si="247"/>
        <v/>
      </c>
      <c r="F2563" s="200"/>
      <c r="G2563" s="178" t="e">
        <f>IF($C$1077&gt;0,VLOOKUP($C2563,ENTI!$AL$4:AP$1003,5,FALSE),"")</f>
        <v>#N/A</v>
      </c>
      <c r="H2563" s="179" t="e">
        <f>IF($C$1077&gt;0,VLOOKUP($C2563,ENTI!$AL$4:AQ$1003,6,FALSE),"")</f>
        <v>#N/A</v>
      </c>
      <c r="I2563" s="187"/>
      <c r="J2563" s="140" t="e">
        <f ca="1">VLOOKUP(D2563,$F$1081:$I$4183,4,FALSE)+COUNTIF(E$1081:E2562,E2563)</f>
        <v>#N/A</v>
      </c>
      <c r="K2563" s="1"/>
      <c r="L2563" s="156"/>
      <c r="M2563" s="1"/>
      <c r="N2563" s="1"/>
      <c r="O2563" s="1"/>
    </row>
    <row r="2564" spans="1:15" hidden="1">
      <c r="A2564" s="1"/>
      <c r="B2564" s="197" t="e">
        <f t="shared" ca="1" si="248"/>
        <v>#N/A</v>
      </c>
      <c r="C2564" s="498">
        <v>498</v>
      </c>
      <c r="D2564" s="41" t="e">
        <f>IF($C$1077&gt;0,VLOOKUP($C2564,ENTI!$AL$4:AN$1003,3,FALSE),"")</f>
        <v>#N/A</v>
      </c>
      <c r="E2564" s="41" t="str">
        <f t="shared" si="247"/>
        <v/>
      </c>
      <c r="F2564" s="200"/>
      <c r="G2564" s="178" t="e">
        <f>IF($C$1077&gt;0,VLOOKUP($C2564,ENTI!$AL$4:AP$1003,5,FALSE),"")</f>
        <v>#N/A</v>
      </c>
      <c r="H2564" s="179" t="e">
        <f>IF($C$1077&gt;0,VLOOKUP($C2564,ENTI!$AL$4:AQ$1003,6,FALSE),"")</f>
        <v>#N/A</v>
      </c>
      <c r="I2564" s="187"/>
      <c r="J2564" s="140" t="e">
        <f ca="1">VLOOKUP(D2564,$F$1081:$I$4183,4,FALSE)+COUNTIF(E$1081:E2563,E2564)</f>
        <v>#N/A</v>
      </c>
      <c r="K2564" s="1"/>
      <c r="L2564" s="156"/>
      <c r="M2564" s="1"/>
      <c r="N2564" s="1"/>
      <c r="O2564" s="1"/>
    </row>
    <row r="2565" spans="1:15" hidden="1">
      <c r="A2565" s="1"/>
      <c r="B2565" s="197" t="e">
        <f t="shared" ca="1" si="248"/>
        <v>#N/A</v>
      </c>
      <c r="C2565" s="498">
        <v>499</v>
      </c>
      <c r="D2565" s="41" t="e">
        <f>IF($C$1077&gt;0,VLOOKUP($C2565,ENTI!$AL$4:AN$1003,3,FALSE),"")</f>
        <v>#N/A</v>
      </c>
      <c r="E2565" s="41" t="str">
        <f t="shared" si="247"/>
        <v/>
      </c>
      <c r="F2565" s="200"/>
      <c r="G2565" s="178" t="e">
        <f>IF($C$1077&gt;0,VLOOKUP($C2565,ENTI!$AL$4:AP$1003,5,FALSE),"")</f>
        <v>#N/A</v>
      </c>
      <c r="H2565" s="179" t="e">
        <f>IF($C$1077&gt;0,VLOOKUP($C2565,ENTI!$AL$4:AQ$1003,6,FALSE),"")</f>
        <v>#N/A</v>
      </c>
      <c r="I2565" s="187"/>
      <c r="J2565" s="140" t="e">
        <f ca="1">VLOOKUP(D2565,$F$1081:$I$4183,4,FALSE)+COUNTIF(E$1081:E2564,E2565)</f>
        <v>#N/A</v>
      </c>
      <c r="K2565" s="1"/>
      <c r="L2565" s="156"/>
      <c r="M2565" s="1"/>
      <c r="N2565" s="1"/>
      <c r="O2565" s="1"/>
    </row>
    <row r="2566" spans="1:15" hidden="1">
      <c r="A2566" s="1"/>
      <c r="B2566" s="197" t="e">
        <f t="shared" ca="1" si="248"/>
        <v>#N/A</v>
      </c>
      <c r="C2566" s="498">
        <v>500</v>
      </c>
      <c r="D2566" s="41" t="e">
        <f>IF($C$1077&gt;0,VLOOKUP($C2566,ENTI!$AL$4:AN$1003,3,FALSE),"")</f>
        <v>#N/A</v>
      </c>
      <c r="E2566" s="41" t="str">
        <f t="shared" si="247"/>
        <v/>
      </c>
      <c r="F2566" s="200"/>
      <c r="G2566" s="178" t="e">
        <f>IF($C$1077&gt;0,VLOOKUP($C2566,ENTI!$AL$4:AP$1003,5,FALSE),"")</f>
        <v>#N/A</v>
      </c>
      <c r="H2566" s="179" t="e">
        <f>IF($C$1077&gt;0,VLOOKUP($C2566,ENTI!$AL$4:AQ$1003,6,FALSE),"")</f>
        <v>#N/A</v>
      </c>
      <c r="I2566" s="187"/>
      <c r="J2566" s="140" t="e">
        <f ca="1">VLOOKUP(D2566,$F$1081:$I$4183,4,FALSE)+COUNTIF(E$1081:E2565,E2566)</f>
        <v>#N/A</v>
      </c>
      <c r="K2566" s="1"/>
      <c r="L2566" s="156"/>
      <c r="M2566" s="1"/>
      <c r="N2566" s="1"/>
      <c r="O2566" s="1"/>
    </row>
    <row r="2567" spans="1:15" hidden="1">
      <c r="A2567" s="1"/>
      <c r="B2567" s="197" t="e">
        <f t="shared" ca="1" si="248"/>
        <v>#N/A</v>
      </c>
      <c r="C2567" s="498">
        <v>501</v>
      </c>
      <c r="D2567" s="41" t="e">
        <f>IF($C$1077&gt;0,VLOOKUP($C2567,ENTI!$AL$4:AN$1003,3,FALSE),"")</f>
        <v>#N/A</v>
      </c>
      <c r="E2567" s="41" t="str">
        <f t="shared" si="247"/>
        <v/>
      </c>
      <c r="F2567" s="200"/>
      <c r="G2567" s="178" t="e">
        <f>IF($C$1077&gt;0,VLOOKUP($C2567,ENTI!$AL$4:AP$1003,5,FALSE),"")</f>
        <v>#N/A</v>
      </c>
      <c r="H2567" s="179" t="e">
        <f>IF($C$1077&gt;0,VLOOKUP($C2567,ENTI!$AL$4:AQ$1003,6,FALSE),"")</f>
        <v>#N/A</v>
      </c>
      <c r="I2567" s="187"/>
      <c r="J2567" s="140" t="e">
        <f ca="1">VLOOKUP(D2567,$F$1081:$I$4183,4,FALSE)+COUNTIF(E$1081:E2566,E2567)</f>
        <v>#N/A</v>
      </c>
      <c r="K2567" s="1"/>
      <c r="L2567" s="156"/>
      <c r="M2567" s="1"/>
      <c r="N2567" s="1"/>
      <c r="O2567" s="1"/>
    </row>
    <row r="2568" spans="1:15" hidden="1">
      <c r="A2568" s="1"/>
      <c r="B2568" s="197" t="e">
        <f t="shared" ca="1" si="248"/>
        <v>#N/A</v>
      </c>
      <c r="C2568" s="498">
        <v>502</v>
      </c>
      <c r="D2568" s="41" t="e">
        <f>IF($C$1077&gt;0,VLOOKUP($C2568,ENTI!$AL$4:AN$1003,3,FALSE),"")</f>
        <v>#N/A</v>
      </c>
      <c r="E2568" s="41" t="str">
        <f t="shared" si="247"/>
        <v/>
      </c>
      <c r="F2568" s="200"/>
      <c r="G2568" s="178" t="e">
        <f>IF($C$1077&gt;0,VLOOKUP($C2568,ENTI!$AL$4:AP$1003,5,FALSE),"")</f>
        <v>#N/A</v>
      </c>
      <c r="H2568" s="179" t="e">
        <f>IF($C$1077&gt;0,VLOOKUP($C2568,ENTI!$AL$4:AQ$1003,6,FALSE),"")</f>
        <v>#N/A</v>
      </c>
      <c r="I2568" s="187"/>
      <c r="J2568" s="140" t="e">
        <f ca="1">VLOOKUP(D2568,$F$1081:$I$4183,4,FALSE)+COUNTIF(E$1081:E2567,E2568)</f>
        <v>#N/A</v>
      </c>
      <c r="K2568" s="1"/>
      <c r="L2568" s="156"/>
      <c r="M2568" s="1"/>
      <c r="N2568" s="1"/>
      <c r="O2568" s="1"/>
    </row>
    <row r="2569" spans="1:15" hidden="1">
      <c r="A2569" s="1"/>
      <c r="B2569" s="197" t="e">
        <f t="shared" ca="1" si="248"/>
        <v>#N/A</v>
      </c>
      <c r="C2569" s="498">
        <v>503</v>
      </c>
      <c r="D2569" s="41" t="e">
        <f>IF($C$1077&gt;0,VLOOKUP($C2569,ENTI!$AL$4:AN$1003,3,FALSE),"")</f>
        <v>#N/A</v>
      </c>
      <c r="E2569" s="41" t="str">
        <f t="shared" si="247"/>
        <v/>
      </c>
      <c r="F2569" s="200"/>
      <c r="G2569" s="178" t="e">
        <f>IF($C$1077&gt;0,VLOOKUP($C2569,ENTI!$AL$4:AP$1003,5,FALSE),"")</f>
        <v>#N/A</v>
      </c>
      <c r="H2569" s="179" t="e">
        <f>IF($C$1077&gt;0,VLOOKUP($C2569,ENTI!$AL$4:AQ$1003,6,FALSE),"")</f>
        <v>#N/A</v>
      </c>
      <c r="I2569" s="187"/>
      <c r="J2569" s="140" t="e">
        <f ca="1">VLOOKUP(D2569,$F$1081:$I$4183,4,FALSE)+COUNTIF(E$1081:E2568,E2569)</f>
        <v>#N/A</v>
      </c>
      <c r="K2569" s="1"/>
      <c r="L2569" s="156"/>
      <c r="M2569" s="1"/>
      <c r="N2569" s="1"/>
      <c r="O2569" s="1"/>
    </row>
    <row r="2570" spans="1:15" hidden="1">
      <c r="A2570" s="1"/>
      <c r="B2570" s="197" t="e">
        <f t="shared" ca="1" si="248"/>
        <v>#N/A</v>
      </c>
      <c r="C2570" s="498">
        <v>504</v>
      </c>
      <c r="D2570" s="41" t="e">
        <f>IF($C$1077&gt;0,VLOOKUP($C2570,ENTI!$AL$4:AN$1003,3,FALSE),"")</f>
        <v>#N/A</v>
      </c>
      <c r="E2570" s="41" t="str">
        <f t="shared" si="247"/>
        <v/>
      </c>
      <c r="F2570" s="200"/>
      <c r="G2570" s="178" t="e">
        <f>IF($C$1077&gt;0,VLOOKUP($C2570,ENTI!$AL$4:AP$1003,5,FALSE),"")</f>
        <v>#N/A</v>
      </c>
      <c r="H2570" s="179" t="e">
        <f>IF($C$1077&gt;0,VLOOKUP($C2570,ENTI!$AL$4:AQ$1003,6,FALSE),"")</f>
        <v>#N/A</v>
      </c>
      <c r="I2570" s="187"/>
      <c r="J2570" s="140" t="e">
        <f ca="1">VLOOKUP(D2570,$F$1081:$I$4183,4,FALSE)+COUNTIF(E$1081:E2569,E2570)</f>
        <v>#N/A</v>
      </c>
      <c r="K2570" s="1"/>
      <c r="L2570" s="156"/>
      <c r="M2570" s="1"/>
      <c r="N2570" s="1"/>
      <c r="O2570" s="1"/>
    </row>
    <row r="2571" spans="1:15" hidden="1">
      <c r="A2571" s="1"/>
      <c r="B2571" s="197" t="e">
        <f t="shared" ca="1" si="248"/>
        <v>#N/A</v>
      </c>
      <c r="C2571" s="498">
        <v>505</v>
      </c>
      <c r="D2571" s="41" t="e">
        <f>IF($C$1077&gt;0,VLOOKUP($C2571,ENTI!$AL$4:AN$1003,3,FALSE),"")</f>
        <v>#N/A</v>
      </c>
      <c r="E2571" s="41" t="str">
        <f t="shared" si="247"/>
        <v/>
      </c>
      <c r="F2571" s="200"/>
      <c r="G2571" s="178" t="e">
        <f>IF($C$1077&gt;0,VLOOKUP($C2571,ENTI!$AL$4:AP$1003,5,FALSE),"")</f>
        <v>#N/A</v>
      </c>
      <c r="H2571" s="179" t="e">
        <f>IF($C$1077&gt;0,VLOOKUP($C2571,ENTI!$AL$4:AQ$1003,6,FALSE),"")</f>
        <v>#N/A</v>
      </c>
      <c r="I2571" s="187"/>
      <c r="J2571" s="140" t="e">
        <f ca="1">VLOOKUP(D2571,$F$1081:$I$4183,4,FALSE)+COUNTIF(E$1081:E2570,E2571)</f>
        <v>#N/A</v>
      </c>
      <c r="K2571" s="1"/>
      <c r="L2571" s="156"/>
      <c r="M2571" s="1"/>
      <c r="N2571" s="1"/>
      <c r="O2571" s="1"/>
    </row>
    <row r="2572" spans="1:15" hidden="1">
      <c r="A2572" s="1"/>
      <c r="B2572" s="197" t="e">
        <f t="shared" ca="1" si="248"/>
        <v>#N/A</v>
      </c>
      <c r="C2572" s="498">
        <v>506</v>
      </c>
      <c r="D2572" s="41" t="e">
        <f>IF($C$1077&gt;0,VLOOKUP($C2572,ENTI!$AL$4:AN$1003,3,FALSE),"")</f>
        <v>#N/A</v>
      </c>
      <c r="E2572" s="41" t="str">
        <f t="shared" si="247"/>
        <v/>
      </c>
      <c r="F2572" s="200"/>
      <c r="G2572" s="178" t="e">
        <f>IF($C$1077&gt;0,VLOOKUP($C2572,ENTI!$AL$4:AP$1003,5,FALSE),"")</f>
        <v>#N/A</v>
      </c>
      <c r="H2572" s="179" t="e">
        <f>IF($C$1077&gt;0,VLOOKUP($C2572,ENTI!$AL$4:AQ$1003,6,FALSE),"")</f>
        <v>#N/A</v>
      </c>
      <c r="I2572" s="187"/>
      <c r="J2572" s="140" t="e">
        <f ca="1">VLOOKUP(D2572,$F$1081:$I$4183,4,FALSE)+COUNTIF(E$1081:E2571,E2572)</f>
        <v>#N/A</v>
      </c>
      <c r="K2572" s="1"/>
      <c r="L2572" s="156"/>
      <c r="M2572" s="1"/>
      <c r="N2572" s="1"/>
      <c r="O2572" s="1"/>
    </row>
    <row r="2573" spans="1:15" hidden="1">
      <c r="A2573" s="1"/>
      <c r="B2573" s="197" t="e">
        <f t="shared" ca="1" si="248"/>
        <v>#N/A</v>
      </c>
      <c r="C2573" s="498">
        <v>507</v>
      </c>
      <c r="D2573" s="41" t="e">
        <f>IF($C$1077&gt;0,VLOOKUP($C2573,ENTI!$AL$4:AN$1003,3,FALSE),"")</f>
        <v>#N/A</v>
      </c>
      <c r="E2573" s="41" t="str">
        <f t="shared" si="247"/>
        <v/>
      </c>
      <c r="F2573" s="200"/>
      <c r="G2573" s="178" t="e">
        <f>IF($C$1077&gt;0,VLOOKUP($C2573,ENTI!$AL$4:AP$1003,5,FALSE),"")</f>
        <v>#N/A</v>
      </c>
      <c r="H2573" s="179" t="e">
        <f>IF($C$1077&gt;0,VLOOKUP($C2573,ENTI!$AL$4:AQ$1003,6,FALSE),"")</f>
        <v>#N/A</v>
      </c>
      <c r="I2573" s="187"/>
      <c r="J2573" s="140" t="e">
        <f ca="1">VLOOKUP(D2573,$F$1081:$I$4183,4,FALSE)+COUNTIF(E$1081:E2572,E2573)</f>
        <v>#N/A</v>
      </c>
      <c r="K2573" s="1"/>
      <c r="L2573" s="156"/>
      <c r="M2573" s="1"/>
      <c r="N2573" s="1"/>
      <c r="O2573" s="1"/>
    </row>
    <row r="2574" spans="1:15" hidden="1">
      <c r="A2574" s="1"/>
      <c r="B2574" s="197" t="e">
        <f t="shared" ca="1" si="248"/>
        <v>#N/A</v>
      </c>
      <c r="C2574" s="498">
        <v>508</v>
      </c>
      <c r="D2574" s="41" t="e">
        <f>IF($C$1077&gt;0,VLOOKUP($C2574,ENTI!$AL$4:AN$1003,3,FALSE),"")</f>
        <v>#N/A</v>
      </c>
      <c r="E2574" s="41" t="str">
        <f t="shared" si="247"/>
        <v/>
      </c>
      <c r="F2574" s="200"/>
      <c r="G2574" s="178" t="e">
        <f>IF($C$1077&gt;0,VLOOKUP($C2574,ENTI!$AL$4:AP$1003,5,FALSE),"")</f>
        <v>#N/A</v>
      </c>
      <c r="H2574" s="179" t="e">
        <f>IF($C$1077&gt;0,VLOOKUP($C2574,ENTI!$AL$4:AQ$1003,6,FALSE),"")</f>
        <v>#N/A</v>
      </c>
      <c r="I2574" s="187"/>
      <c r="J2574" s="140" t="e">
        <f ca="1">VLOOKUP(D2574,$F$1081:$I$4183,4,FALSE)+COUNTIF(E$1081:E2573,E2574)</f>
        <v>#N/A</v>
      </c>
      <c r="K2574" s="1"/>
      <c r="L2574" s="156"/>
      <c r="M2574" s="1"/>
      <c r="N2574" s="1"/>
      <c r="O2574" s="1"/>
    </row>
    <row r="2575" spans="1:15" hidden="1">
      <c r="A2575" s="1"/>
      <c r="B2575" s="197" t="e">
        <f t="shared" ca="1" si="248"/>
        <v>#N/A</v>
      </c>
      <c r="C2575" s="498">
        <v>509</v>
      </c>
      <c r="D2575" s="41" t="e">
        <f>IF($C$1077&gt;0,VLOOKUP($C2575,ENTI!$AL$4:AN$1003,3,FALSE),"")</f>
        <v>#N/A</v>
      </c>
      <c r="E2575" s="41" t="str">
        <f t="shared" ref="E2575:E2638" si="249">IF(ISERROR(D2575),"",D2575)</f>
        <v/>
      </c>
      <c r="F2575" s="200"/>
      <c r="G2575" s="178" t="e">
        <f>IF($C$1077&gt;0,VLOOKUP($C2575,ENTI!$AL$4:AP$1003,5,FALSE),"")</f>
        <v>#N/A</v>
      </c>
      <c r="H2575" s="179" t="e">
        <f>IF($C$1077&gt;0,VLOOKUP($C2575,ENTI!$AL$4:AQ$1003,6,FALSE),"")</f>
        <v>#N/A</v>
      </c>
      <c r="I2575" s="187"/>
      <c r="J2575" s="140" t="e">
        <f ca="1">VLOOKUP(D2575,$F$1081:$I$4183,4,FALSE)+COUNTIF(E$1081:E2574,E2575)</f>
        <v>#N/A</v>
      </c>
      <c r="K2575" s="1"/>
      <c r="L2575" s="156"/>
      <c r="M2575" s="1"/>
      <c r="N2575" s="1"/>
      <c r="O2575" s="1"/>
    </row>
    <row r="2576" spans="1:15" hidden="1">
      <c r="A2576" s="1"/>
      <c r="B2576" s="197" t="e">
        <f t="shared" ca="1" si="248"/>
        <v>#N/A</v>
      </c>
      <c r="C2576" s="498">
        <v>510</v>
      </c>
      <c r="D2576" s="41" t="e">
        <f>IF($C$1077&gt;0,VLOOKUP($C2576,ENTI!$AL$4:AN$1003,3,FALSE),"")</f>
        <v>#N/A</v>
      </c>
      <c r="E2576" s="41" t="str">
        <f t="shared" si="249"/>
        <v/>
      </c>
      <c r="F2576" s="200"/>
      <c r="G2576" s="178" t="e">
        <f>IF($C$1077&gt;0,VLOOKUP($C2576,ENTI!$AL$4:AP$1003,5,FALSE),"")</f>
        <v>#N/A</v>
      </c>
      <c r="H2576" s="179" t="e">
        <f>IF($C$1077&gt;0,VLOOKUP($C2576,ENTI!$AL$4:AQ$1003,6,FALSE),"")</f>
        <v>#N/A</v>
      </c>
      <c r="I2576" s="187"/>
      <c r="J2576" s="140" t="e">
        <f ca="1">VLOOKUP(D2576,$F$1081:$I$4183,4,FALSE)+COUNTIF(E$1081:E2575,E2576)</f>
        <v>#N/A</v>
      </c>
      <c r="K2576" s="1"/>
      <c r="L2576" s="156"/>
      <c r="M2576" s="1"/>
      <c r="N2576" s="1"/>
      <c r="O2576" s="1"/>
    </row>
    <row r="2577" spans="1:15" hidden="1">
      <c r="A2577" s="1"/>
      <c r="B2577" s="197" t="e">
        <f t="shared" ca="1" si="248"/>
        <v>#N/A</v>
      </c>
      <c r="C2577" s="498">
        <v>511</v>
      </c>
      <c r="D2577" s="41" t="e">
        <f>IF($C$1077&gt;0,VLOOKUP($C2577,ENTI!$AL$4:AN$1003,3,FALSE),"")</f>
        <v>#N/A</v>
      </c>
      <c r="E2577" s="41" t="str">
        <f t="shared" si="249"/>
        <v/>
      </c>
      <c r="F2577" s="200"/>
      <c r="G2577" s="178" t="e">
        <f>IF($C$1077&gt;0,VLOOKUP($C2577,ENTI!$AL$4:AP$1003,5,FALSE),"")</f>
        <v>#N/A</v>
      </c>
      <c r="H2577" s="179" t="e">
        <f>IF($C$1077&gt;0,VLOOKUP($C2577,ENTI!$AL$4:AQ$1003,6,FALSE),"")</f>
        <v>#N/A</v>
      </c>
      <c r="I2577" s="187"/>
      <c r="J2577" s="140" t="e">
        <f ca="1">VLOOKUP(D2577,$F$1081:$I$4183,4,FALSE)+COUNTIF(E$1081:E2576,E2577)</f>
        <v>#N/A</v>
      </c>
      <c r="K2577" s="1"/>
      <c r="L2577" s="156"/>
      <c r="M2577" s="1"/>
      <c r="N2577" s="1"/>
      <c r="O2577" s="1"/>
    </row>
    <row r="2578" spans="1:15" hidden="1">
      <c r="A2578" s="1"/>
      <c r="B2578" s="197" t="e">
        <f t="shared" ca="1" si="248"/>
        <v>#N/A</v>
      </c>
      <c r="C2578" s="498">
        <v>512</v>
      </c>
      <c r="D2578" s="41" t="e">
        <f>IF($C$1077&gt;0,VLOOKUP($C2578,ENTI!$AL$4:AN$1003,3,FALSE),"")</f>
        <v>#N/A</v>
      </c>
      <c r="E2578" s="41" t="str">
        <f t="shared" si="249"/>
        <v/>
      </c>
      <c r="F2578" s="200"/>
      <c r="G2578" s="178" t="e">
        <f>IF($C$1077&gt;0,VLOOKUP($C2578,ENTI!$AL$4:AP$1003,5,FALSE),"")</f>
        <v>#N/A</v>
      </c>
      <c r="H2578" s="179" t="e">
        <f>IF($C$1077&gt;0,VLOOKUP($C2578,ENTI!$AL$4:AQ$1003,6,FALSE),"")</f>
        <v>#N/A</v>
      </c>
      <c r="I2578" s="187"/>
      <c r="J2578" s="140" t="e">
        <f ca="1">VLOOKUP(D2578,$F$1081:$I$4183,4,FALSE)+COUNTIF(E$1081:E2577,E2578)</f>
        <v>#N/A</v>
      </c>
      <c r="K2578" s="1"/>
      <c r="L2578" s="156"/>
      <c r="M2578" s="1"/>
      <c r="N2578" s="1"/>
      <c r="O2578" s="1"/>
    </row>
    <row r="2579" spans="1:15" hidden="1">
      <c r="A2579" s="1"/>
      <c r="B2579" s="197" t="e">
        <f t="shared" ca="1" si="248"/>
        <v>#N/A</v>
      </c>
      <c r="C2579" s="498">
        <v>513</v>
      </c>
      <c r="D2579" s="41" t="e">
        <f>IF($C$1077&gt;0,VLOOKUP($C2579,ENTI!$AL$4:AN$1003,3,FALSE),"")</f>
        <v>#N/A</v>
      </c>
      <c r="E2579" s="41" t="str">
        <f t="shared" si="249"/>
        <v/>
      </c>
      <c r="F2579" s="200"/>
      <c r="G2579" s="178" t="e">
        <f>IF($C$1077&gt;0,VLOOKUP($C2579,ENTI!$AL$4:AP$1003,5,FALSE),"")</f>
        <v>#N/A</v>
      </c>
      <c r="H2579" s="179" t="e">
        <f>IF($C$1077&gt;0,VLOOKUP($C2579,ENTI!$AL$4:AQ$1003,6,FALSE),"")</f>
        <v>#N/A</v>
      </c>
      <c r="I2579" s="187"/>
      <c r="J2579" s="140" t="e">
        <f ca="1">VLOOKUP(D2579,$F$1081:$I$4183,4,FALSE)+COUNTIF(E$1081:E2578,E2579)</f>
        <v>#N/A</v>
      </c>
      <c r="K2579" s="1"/>
      <c r="L2579" s="156"/>
      <c r="M2579" s="1"/>
      <c r="N2579" s="1"/>
      <c r="O2579" s="1"/>
    </row>
    <row r="2580" spans="1:15" hidden="1">
      <c r="A2580" s="1"/>
      <c r="B2580" s="197" t="e">
        <f t="shared" ca="1" si="248"/>
        <v>#N/A</v>
      </c>
      <c r="C2580" s="498">
        <v>514</v>
      </c>
      <c r="D2580" s="41" t="e">
        <f>IF($C$1077&gt;0,VLOOKUP($C2580,ENTI!$AL$4:AN$1003,3,FALSE),"")</f>
        <v>#N/A</v>
      </c>
      <c r="E2580" s="41" t="str">
        <f t="shared" si="249"/>
        <v/>
      </c>
      <c r="F2580" s="200"/>
      <c r="G2580" s="178" t="e">
        <f>IF($C$1077&gt;0,VLOOKUP($C2580,ENTI!$AL$4:AP$1003,5,FALSE),"")</f>
        <v>#N/A</v>
      </c>
      <c r="H2580" s="179" t="e">
        <f>IF($C$1077&gt;0,VLOOKUP($C2580,ENTI!$AL$4:AQ$1003,6,FALSE),"")</f>
        <v>#N/A</v>
      </c>
      <c r="I2580" s="187"/>
      <c r="J2580" s="140" t="e">
        <f ca="1">VLOOKUP(D2580,$F$1081:$I$4183,4,FALSE)+COUNTIF(E$1081:E2579,E2580)</f>
        <v>#N/A</v>
      </c>
      <c r="K2580" s="1"/>
      <c r="L2580" s="156"/>
      <c r="M2580" s="1"/>
      <c r="N2580" s="1"/>
      <c r="O2580" s="1"/>
    </row>
    <row r="2581" spans="1:15" hidden="1">
      <c r="A2581" s="1"/>
      <c r="B2581" s="197" t="e">
        <f t="shared" ca="1" si="248"/>
        <v>#N/A</v>
      </c>
      <c r="C2581" s="498">
        <v>515</v>
      </c>
      <c r="D2581" s="41" t="e">
        <f>IF($C$1077&gt;0,VLOOKUP($C2581,ENTI!$AL$4:AN$1003,3,FALSE),"")</f>
        <v>#N/A</v>
      </c>
      <c r="E2581" s="41" t="str">
        <f t="shared" si="249"/>
        <v/>
      </c>
      <c r="F2581" s="200"/>
      <c r="G2581" s="178" t="e">
        <f>IF($C$1077&gt;0,VLOOKUP($C2581,ENTI!$AL$4:AP$1003,5,FALSE),"")</f>
        <v>#N/A</v>
      </c>
      <c r="H2581" s="179" t="e">
        <f>IF($C$1077&gt;0,VLOOKUP($C2581,ENTI!$AL$4:AQ$1003,6,FALSE),"")</f>
        <v>#N/A</v>
      </c>
      <c r="I2581" s="187"/>
      <c r="J2581" s="140" t="e">
        <f ca="1">VLOOKUP(D2581,$F$1081:$I$4183,4,FALSE)+COUNTIF(E$1081:E2580,E2581)</f>
        <v>#N/A</v>
      </c>
      <c r="K2581" s="1"/>
      <c r="L2581" s="156"/>
      <c r="M2581" s="1"/>
      <c r="N2581" s="1"/>
      <c r="O2581" s="1"/>
    </row>
    <row r="2582" spans="1:15" hidden="1">
      <c r="A2582" s="1"/>
      <c r="B2582" s="197" t="e">
        <f t="shared" ca="1" si="248"/>
        <v>#N/A</v>
      </c>
      <c r="C2582" s="498">
        <v>516</v>
      </c>
      <c r="D2582" s="41" t="e">
        <f>IF($C$1077&gt;0,VLOOKUP($C2582,ENTI!$AL$4:AN$1003,3,FALSE),"")</f>
        <v>#N/A</v>
      </c>
      <c r="E2582" s="41" t="str">
        <f t="shared" si="249"/>
        <v/>
      </c>
      <c r="F2582" s="200"/>
      <c r="G2582" s="178" t="e">
        <f>IF($C$1077&gt;0,VLOOKUP($C2582,ENTI!$AL$4:AP$1003,5,FALSE),"")</f>
        <v>#N/A</v>
      </c>
      <c r="H2582" s="179" t="e">
        <f>IF($C$1077&gt;0,VLOOKUP($C2582,ENTI!$AL$4:AQ$1003,6,FALSE),"")</f>
        <v>#N/A</v>
      </c>
      <c r="I2582" s="187"/>
      <c r="J2582" s="140" t="e">
        <f ca="1">VLOOKUP(D2582,$F$1081:$I$4183,4,FALSE)+COUNTIF(E$1081:E2581,E2582)</f>
        <v>#N/A</v>
      </c>
      <c r="K2582" s="1"/>
      <c r="L2582" s="156"/>
      <c r="M2582" s="1"/>
      <c r="N2582" s="1"/>
      <c r="O2582" s="1"/>
    </row>
    <row r="2583" spans="1:15" hidden="1">
      <c r="A2583" s="1"/>
      <c r="B2583" s="197" t="e">
        <f t="shared" ca="1" si="248"/>
        <v>#N/A</v>
      </c>
      <c r="C2583" s="498">
        <v>517</v>
      </c>
      <c r="D2583" s="41" t="e">
        <f>IF($C$1077&gt;0,VLOOKUP($C2583,ENTI!$AL$4:AN$1003,3,FALSE),"")</f>
        <v>#N/A</v>
      </c>
      <c r="E2583" s="41" t="str">
        <f t="shared" si="249"/>
        <v/>
      </c>
      <c r="F2583" s="200"/>
      <c r="G2583" s="178" t="e">
        <f>IF($C$1077&gt;0,VLOOKUP($C2583,ENTI!$AL$4:AP$1003,5,FALSE),"")</f>
        <v>#N/A</v>
      </c>
      <c r="H2583" s="179" t="e">
        <f>IF($C$1077&gt;0,VLOOKUP($C2583,ENTI!$AL$4:AQ$1003,6,FALSE),"")</f>
        <v>#N/A</v>
      </c>
      <c r="I2583" s="187"/>
      <c r="J2583" s="140" t="e">
        <f ca="1">VLOOKUP(D2583,$F$1081:$I$4183,4,FALSE)+COUNTIF(E$1081:E2582,E2583)</f>
        <v>#N/A</v>
      </c>
      <c r="K2583" s="1"/>
      <c r="L2583" s="156"/>
      <c r="M2583" s="1"/>
      <c r="N2583" s="1"/>
      <c r="O2583" s="1"/>
    </row>
    <row r="2584" spans="1:15" hidden="1">
      <c r="A2584" s="1"/>
      <c r="B2584" s="197" t="e">
        <f t="shared" ca="1" si="248"/>
        <v>#N/A</v>
      </c>
      <c r="C2584" s="498">
        <v>518</v>
      </c>
      <c r="D2584" s="41" t="e">
        <f>IF($C$1077&gt;0,VLOOKUP($C2584,ENTI!$AL$4:AN$1003,3,FALSE),"")</f>
        <v>#N/A</v>
      </c>
      <c r="E2584" s="41" t="str">
        <f t="shared" si="249"/>
        <v/>
      </c>
      <c r="F2584" s="200"/>
      <c r="G2584" s="178" t="e">
        <f>IF($C$1077&gt;0,VLOOKUP($C2584,ENTI!$AL$4:AP$1003,5,FALSE),"")</f>
        <v>#N/A</v>
      </c>
      <c r="H2584" s="179" t="e">
        <f>IF($C$1077&gt;0,VLOOKUP($C2584,ENTI!$AL$4:AQ$1003,6,FALSE),"")</f>
        <v>#N/A</v>
      </c>
      <c r="I2584" s="187"/>
      <c r="J2584" s="140" t="e">
        <f ca="1">VLOOKUP(D2584,$F$1081:$I$4183,4,FALSE)+COUNTIF(E$1081:E2583,E2584)</f>
        <v>#N/A</v>
      </c>
      <c r="K2584" s="1"/>
      <c r="L2584" s="156"/>
      <c r="M2584" s="1"/>
      <c r="N2584" s="1"/>
      <c r="O2584" s="1"/>
    </row>
    <row r="2585" spans="1:15" hidden="1">
      <c r="A2585" s="1"/>
      <c r="B2585" s="197" t="e">
        <f t="shared" ref="B2585:B2648" ca="1" si="250">IF(OR(C$1075&gt;0,C$1077&gt;0,C$1073&gt;0,C$1071&gt;0),J2585+1,J2585)</f>
        <v>#N/A</v>
      </c>
      <c r="C2585" s="498">
        <v>519</v>
      </c>
      <c r="D2585" s="41" t="e">
        <f>IF($C$1077&gt;0,VLOOKUP($C2585,ENTI!$AL$4:AN$1003,3,FALSE),"")</f>
        <v>#N/A</v>
      </c>
      <c r="E2585" s="41" t="str">
        <f t="shared" si="249"/>
        <v/>
      </c>
      <c r="F2585" s="200"/>
      <c r="G2585" s="178" t="e">
        <f>IF($C$1077&gt;0,VLOOKUP($C2585,ENTI!$AL$4:AP$1003,5,FALSE),"")</f>
        <v>#N/A</v>
      </c>
      <c r="H2585" s="179" t="e">
        <f>IF($C$1077&gt;0,VLOOKUP($C2585,ENTI!$AL$4:AQ$1003,6,FALSE),"")</f>
        <v>#N/A</v>
      </c>
      <c r="I2585" s="187"/>
      <c r="J2585" s="140" t="e">
        <f ca="1">VLOOKUP(D2585,$F$1081:$I$4183,4,FALSE)+COUNTIF(E$1081:E2584,E2585)</f>
        <v>#N/A</v>
      </c>
      <c r="K2585" s="1"/>
      <c r="L2585" s="156"/>
      <c r="M2585" s="1"/>
      <c r="N2585" s="1"/>
      <c r="O2585" s="1"/>
    </row>
    <row r="2586" spans="1:15" hidden="1">
      <c r="A2586" s="1"/>
      <c r="B2586" s="197" t="e">
        <f t="shared" ca="1" si="250"/>
        <v>#N/A</v>
      </c>
      <c r="C2586" s="498">
        <v>520</v>
      </c>
      <c r="D2586" s="41" t="e">
        <f>IF($C$1077&gt;0,VLOOKUP($C2586,ENTI!$AL$4:AN$1003,3,FALSE),"")</f>
        <v>#N/A</v>
      </c>
      <c r="E2586" s="41" t="str">
        <f t="shared" si="249"/>
        <v/>
      </c>
      <c r="F2586" s="200"/>
      <c r="G2586" s="178" t="e">
        <f>IF($C$1077&gt;0,VLOOKUP($C2586,ENTI!$AL$4:AP$1003,5,FALSE),"")</f>
        <v>#N/A</v>
      </c>
      <c r="H2586" s="179" t="e">
        <f>IF($C$1077&gt;0,VLOOKUP($C2586,ENTI!$AL$4:AQ$1003,6,FALSE),"")</f>
        <v>#N/A</v>
      </c>
      <c r="I2586" s="187"/>
      <c r="J2586" s="140" t="e">
        <f ca="1">VLOOKUP(D2586,$F$1081:$I$4183,4,FALSE)+COUNTIF(E$1081:E2585,E2586)</f>
        <v>#N/A</v>
      </c>
      <c r="K2586" s="1"/>
      <c r="L2586" s="156"/>
      <c r="M2586" s="1"/>
      <c r="N2586" s="1"/>
      <c r="O2586" s="1"/>
    </row>
    <row r="2587" spans="1:15" hidden="1">
      <c r="A2587" s="1"/>
      <c r="B2587" s="197" t="e">
        <f t="shared" ca="1" si="250"/>
        <v>#N/A</v>
      </c>
      <c r="C2587" s="498">
        <v>521</v>
      </c>
      <c r="D2587" s="41" t="e">
        <f>IF($C$1077&gt;0,VLOOKUP($C2587,ENTI!$AL$4:AN$1003,3,FALSE),"")</f>
        <v>#N/A</v>
      </c>
      <c r="E2587" s="41" t="str">
        <f t="shared" si="249"/>
        <v/>
      </c>
      <c r="F2587" s="200"/>
      <c r="G2587" s="178" t="e">
        <f>IF($C$1077&gt;0,VLOOKUP($C2587,ENTI!$AL$4:AP$1003,5,FALSE),"")</f>
        <v>#N/A</v>
      </c>
      <c r="H2587" s="179" t="e">
        <f>IF($C$1077&gt;0,VLOOKUP($C2587,ENTI!$AL$4:AQ$1003,6,FALSE),"")</f>
        <v>#N/A</v>
      </c>
      <c r="I2587" s="187"/>
      <c r="J2587" s="140" t="e">
        <f ca="1">VLOOKUP(D2587,$F$1081:$I$4183,4,FALSE)+COUNTIF(E$1081:E2586,E2587)</f>
        <v>#N/A</v>
      </c>
      <c r="K2587" s="1"/>
      <c r="L2587" s="156"/>
      <c r="M2587" s="1"/>
      <c r="N2587" s="1"/>
      <c r="O2587" s="1"/>
    </row>
    <row r="2588" spans="1:15" hidden="1">
      <c r="A2588" s="1"/>
      <c r="B2588" s="197" t="e">
        <f t="shared" ca="1" si="250"/>
        <v>#N/A</v>
      </c>
      <c r="C2588" s="498">
        <v>522</v>
      </c>
      <c r="D2588" s="41" t="e">
        <f>IF($C$1077&gt;0,VLOOKUP($C2588,ENTI!$AL$4:AN$1003,3,FALSE),"")</f>
        <v>#N/A</v>
      </c>
      <c r="E2588" s="41" t="str">
        <f t="shared" si="249"/>
        <v/>
      </c>
      <c r="F2588" s="200"/>
      <c r="G2588" s="178" t="e">
        <f>IF($C$1077&gt;0,VLOOKUP($C2588,ENTI!$AL$4:AP$1003,5,FALSE),"")</f>
        <v>#N/A</v>
      </c>
      <c r="H2588" s="179" t="e">
        <f>IF($C$1077&gt;0,VLOOKUP($C2588,ENTI!$AL$4:AQ$1003,6,FALSE),"")</f>
        <v>#N/A</v>
      </c>
      <c r="I2588" s="187"/>
      <c r="J2588" s="140" t="e">
        <f ca="1">VLOOKUP(D2588,$F$1081:$I$4183,4,FALSE)+COUNTIF(E$1081:E2587,E2588)</f>
        <v>#N/A</v>
      </c>
      <c r="K2588" s="1"/>
      <c r="L2588" s="156"/>
      <c r="M2588" s="1"/>
      <c r="N2588" s="1"/>
      <c r="O2588" s="1"/>
    </row>
    <row r="2589" spans="1:15" hidden="1">
      <c r="A2589" s="1"/>
      <c r="B2589" s="197" t="e">
        <f t="shared" ca="1" si="250"/>
        <v>#N/A</v>
      </c>
      <c r="C2589" s="498">
        <v>523</v>
      </c>
      <c r="D2589" s="41" t="e">
        <f>IF($C$1077&gt;0,VLOOKUP($C2589,ENTI!$AL$4:AN$1003,3,FALSE),"")</f>
        <v>#N/A</v>
      </c>
      <c r="E2589" s="41" t="str">
        <f t="shared" si="249"/>
        <v/>
      </c>
      <c r="F2589" s="200"/>
      <c r="G2589" s="178" t="e">
        <f>IF($C$1077&gt;0,VLOOKUP($C2589,ENTI!$AL$4:AP$1003,5,FALSE),"")</f>
        <v>#N/A</v>
      </c>
      <c r="H2589" s="179" t="e">
        <f>IF($C$1077&gt;0,VLOOKUP($C2589,ENTI!$AL$4:AQ$1003,6,FALSE),"")</f>
        <v>#N/A</v>
      </c>
      <c r="I2589" s="187"/>
      <c r="J2589" s="140" t="e">
        <f ca="1">VLOOKUP(D2589,$F$1081:$I$4183,4,FALSE)+COUNTIF(E$1081:E2588,E2589)</f>
        <v>#N/A</v>
      </c>
      <c r="K2589" s="1"/>
      <c r="L2589" s="156"/>
      <c r="M2589" s="1"/>
      <c r="N2589" s="1"/>
      <c r="O2589" s="1"/>
    </row>
    <row r="2590" spans="1:15" hidden="1">
      <c r="A2590" s="1"/>
      <c r="B2590" s="197" t="e">
        <f t="shared" ca="1" si="250"/>
        <v>#N/A</v>
      </c>
      <c r="C2590" s="498">
        <v>524</v>
      </c>
      <c r="D2590" s="41" t="e">
        <f>IF($C$1077&gt;0,VLOOKUP($C2590,ENTI!$AL$4:AN$1003,3,FALSE),"")</f>
        <v>#N/A</v>
      </c>
      <c r="E2590" s="41" t="str">
        <f t="shared" si="249"/>
        <v/>
      </c>
      <c r="F2590" s="200"/>
      <c r="G2590" s="178" t="e">
        <f>IF($C$1077&gt;0,VLOOKUP($C2590,ENTI!$AL$4:AP$1003,5,FALSE),"")</f>
        <v>#N/A</v>
      </c>
      <c r="H2590" s="179" t="e">
        <f>IF($C$1077&gt;0,VLOOKUP($C2590,ENTI!$AL$4:AQ$1003,6,FALSE),"")</f>
        <v>#N/A</v>
      </c>
      <c r="I2590" s="187"/>
      <c r="J2590" s="140" t="e">
        <f ca="1">VLOOKUP(D2590,$F$1081:$I$4183,4,FALSE)+COUNTIF(E$1081:E2589,E2590)</f>
        <v>#N/A</v>
      </c>
      <c r="K2590" s="1"/>
      <c r="L2590" s="156"/>
      <c r="M2590" s="1"/>
      <c r="N2590" s="1"/>
      <c r="O2590" s="1"/>
    </row>
    <row r="2591" spans="1:15" hidden="1">
      <c r="A2591" s="1"/>
      <c r="B2591" s="197" t="e">
        <f t="shared" ca="1" si="250"/>
        <v>#N/A</v>
      </c>
      <c r="C2591" s="498">
        <v>525</v>
      </c>
      <c r="D2591" s="41" t="e">
        <f>IF($C$1077&gt;0,VLOOKUP($C2591,ENTI!$AL$4:AN$1003,3,FALSE),"")</f>
        <v>#N/A</v>
      </c>
      <c r="E2591" s="41" t="str">
        <f t="shared" si="249"/>
        <v/>
      </c>
      <c r="F2591" s="200"/>
      <c r="G2591" s="178" t="e">
        <f>IF($C$1077&gt;0,VLOOKUP($C2591,ENTI!$AL$4:AP$1003,5,FALSE),"")</f>
        <v>#N/A</v>
      </c>
      <c r="H2591" s="179" t="e">
        <f>IF($C$1077&gt;0,VLOOKUP($C2591,ENTI!$AL$4:AQ$1003,6,FALSE),"")</f>
        <v>#N/A</v>
      </c>
      <c r="I2591" s="187"/>
      <c r="J2591" s="140" t="e">
        <f ca="1">VLOOKUP(D2591,$F$1081:$I$4183,4,FALSE)+COUNTIF(E$1081:E2590,E2591)</f>
        <v>#N/A</v>
      </c>
      <c r="K2591" s="1"/>
      <c r="L2591" s="156"/>
      <c r="M2591" s="1"/>
      <c r="N2591" s="1"/>
      <c r="O2591" s="1"/>
    </row>
    <row r="2592" spans="1:15" hidden="1">
      <c r="A2592" s="1"/>
      <c r="B2592" s="197" t="e">
        <f t="shared" ca="1" si="250"/>
        <v>#N/A</v>
      </c>
      <c r="C2592" s="498">
        <v>526</v>
      </c>
      <c r="D2592" s="41" t="e">
        <f>IF($C$1077&gt;0,VLOOKUP($C2592,ENTI!$AL$4:AN$1003,3,FALSE),"")</f>
        <v>#N/A</v>
      </c>
      <c r="E2592" s="41" t="str">
        <f t="shared" si="249"/>
        <v/>
      </c>
      <c r="F2592" s="200"/>
      <c r="G2592" s="178" t="e">
        <f>IF($C$1077&gt;0,VLOOKUP($C2592,ENTI!$AL$4:AP$1003,5,FALSE),"")</f>
        <v>#N/A</v>
      </c>
      <c r="H2592" s="179" t="e">
        <f>IF($C$1077&gt;0,VLOOKUP($C2592,ENTI!$AL$4:AQ$1003,6,FALSE),"")</f>
        <v>#N/A</v>
      </c>
      <c r="I2592" s="187"/>
      <c r="J2592" s="140" t="e">
        <f ca="1">VLOOKUP(D2592,$F$1081:$I$4183,4,FALSE)+COUNTIF(E$1081:E2591,E2592)</f>
        <v>#N/A</v>
      </c>
      <c r="K2592" s="1"/>
      <c r="L2592" s="156"/>
      <c r="M2592" s="1"/>
      <c r="N2592" s="1"/>
      <c r="O2592" s="1"/>
    </row>
    <row r="2593" spans="1:15" hidden="1">
      <c r="A2593" s="1"/>
      <c r="B2593" s="197" t="e">
        <f t="shared" ca="1" si="250"/>
        <v>#N/A</v>
      </c>
      <c r="C2593" s="498">
        <v>527</v>
      </c>
      <c r="D2593" s="41" t="e">
        <f>IF($C$1077&gt;0,VLOOKUP($C2593,ENTI!$AL$4:AN$1003,3,FALSE),"")</f>
        <v>#N/A</v>
      </c>
      <c r="E2593" s="41" t="str">
        <f t="shared" si="249"/>
        <v/>
      </c>
      <c r="F2593" s="200"/>
      <c r="G2593" s="178" t="e">
        <f>IF($C$1077&gt;0,VLOOKUP($C2593,ENTI!$AL$4:AP$1003,5,FALSE),"")</f>
        <v>#N/A</v>
      </c>
      <c r="H2593" s="179" t="e">
        <f>IF($C$1077&gt;0,VLOOKUP($C2593,ENTI!$AL$4:AQ$1003,6,FALSE),"")</f>
        <v>#N/A</v>
      </c>
      <c r="I2593" s="187"/>
      <c r="J2593" s="140" t="e">
        <f ca="1">VLOOKUP(D2593,$F$1081:$I$4183,4,FALSE)+COUNTIF(E$1081:E2592,E2593)</f>
        <v>#N/A</v>
      </c>
      <c r="K2593" s="1"/>
      <c r="L2593" s="156"/>
      <c r="M2593" s="1"/>
      <c r="N2593" s="1"/>
      <c r="O2593" s="1"/>
    </row>
    <row r="2594" spans="1:15" hidden="1">
      <c r="A2594" s="1"/>
      <c r="B2594" s="197" t="e">
        <f t="shared" ca="1" si="250"/>
        <v>#N/A</v>
      </c>
      <c r="C2594" s="498">
        <v>528</v>
      </c>
      <c r="D2594" s="41" t="e">
        <f>IF($C$1077&gt;0,VLOOKUP($C2594,ENTI!$AL$4:AN$1003,3,FALSE),"")</f>
        <v>#N/A</v>
      </c>
      <c r="E2594" s="41" t="str">
        <f t="shared" si="249"/>
        <v/>
      </c>
      <c r="F2594" s="200"/>
      <c r="G2594" s="178" t="e">
        <f>IF($C$1077&gt;0,VLOOKUP($C2594,ENTI!$AL$4:AP$1003,5,FALSE),"")</f>
        <v>#N/A</v>
      </c>
      <c r="H2594" s="179" t="e">
        <f>IF($C$1077&gt;0,VLOOKUP($C2594,ENTI!$AL$4:AQ$1003,6,FALSE),"")</f>
        <v>#N/A</v>
      </c>
      <c r="I2594" s="187"/>
      <c r="J2594" s="140" t="e">
        <f ca="1">VLOOKUP(D2594,$F$1081:$I$4183,4,FALSE)+COUNTIF(E$1081:E2593,E2594)</f>
        <v>#N/A</v>
      </c>
      <c r="K2594" s="1"/>
      <c r="L2594" s="156"/>
      <c r="M2594" s="1"/>
      <c r="N2594" s="1"/>
      <c r="O2594" s="1"/>
    </row>
    <row r="2595" spans="1:15" hidden="1">
      <c r="A2595" s="1"/>
      <c r="B2595" s="197" t="e">
        <f t="shared" ca="1" si="250"/>
        <v>#N/A</v>
      </c>
      <c r="C2595" s="498">
        <v>529</v>
      </c>
      <c r="D2595" s="41" t="e">
        <f>IF($C$1077&gt;0,VLOOKUP($C2595,ENTI!$AL$4:AN$1003,3,FALSE),"")</f>
        <v>#N/A</v>
      </c>
      <c r="E2595" s="41" t="str">
        <f t="shared" si="249"/>
        <v/>
      </c>
      <c r="F2595" s="200"/>
      <c r="G2595" s="178" t="e">
        <f>IF($C$1077&gt;0,VLOOKUP($C2595,ENTI!$AL$4:AP$1003,5,FALSE),"")</f>
        <v>#N/A</v>
      </c>
      <c r="H2595" s="179" t="e">
        <f>IF($C$1077&gt;0,VLOOKUP($C2595,ENTI!$AL$4:AQ$1003,6,FALSE),"")</f>
        <v>#N/A</v>
      </c>
      <c r="I2595" s="187"/>
      <c r="J2595" s="140" t="e">
        <f ca="1">VLOOKUP(D2595,$F$1081:$I$4183,4,FALSE)+COUNTIF(E$1081:E2594,E2595)</f>
        <v>#N/A</v>
      </c>
      <c r="K2595" s="1"/>
      <c r="L2595" s="156"/>
      <c r="M2595" s="1"/>
      <c r="N2595" s="1"/>
      <c r="O2595" s="1"/>
    </row>
    <row r="2596" spans="1:15" hidden="1">
      <c r="A2596" s="1"/>
      <c r="B2596" s="197" t="e">
        <f t="shared" ca="1" si="250"/>
        <v>#N/A</v>
      </c>
      <c r="C2596" s="498">
        <v>530</v>
      </c>
      <c r="D2596" s="41" t="e">
        <f>IF($C$1077&gt;0,VLOOKUP($C2596,ENTI!$AL$4:AN$1003,3,FALSE),"")</f>
        <v>#N/A</v>
      </c>
      <c r="E2596" s="41" t="str">
        <f t="shared" si="249"/>
        <v/>
      </c>
      <c r="F2596" s="200"/>
      <c r="G2596" s="178" t="e">
        <f>IF($C$1077&gt;0,VLOOKUP($C2596,ENTI!$AL$4:AP$1003,5,FALSE),"")</f>
        <v>#N/A</v>
      </c>
      <c r="H2596" s="179" t="e">
        <f>IF($C$1077&gt;0,VLOOKUP($C2596,ENTI!$AL$4:AQ$1003,6,FALSE),"")</f>
        <v>#N/A</v>
      </c>
      <c r="I2596" s="187"/>
      <c r="J2596" s="140" t="e">
        <f ca="1">VLOOKUP(D2596,$F$1081:$I$4183,4,FALSE)+COUNTIF(E$1081:E2595,E2596)</f>
        <v>#N/A</v>
      </c>
      <c r="K2596" s="1"/>
      <c r="L2596" s="156"/>
      <c r="M2596" s="1"/>
      <c r="N2596" s="1"/>
      <c r="O2596" s="1"/>
    </row>
    <row r="2597" spans="1:15" hidden="1">
      <c r="A2597" s="1"/>
      <c r="B2597" s="197" t="e">
        <f t="shared" ca="1" si="250"/>
        <v>#N/A</v>
      </c>
      <c r="C2597" s="498">
        <v>531</v>
      </c>
      <c r="D2597" s="41" t="e">
        <f>IF($C$1077&gt;0,VLOOKUP($C2597,ENTI!$AL$4:AN$1003,3,FALSE),"")</f>
        <v>#N/A</v>
      </c>
      <c r="E2597" s="41" t="str">
        <f t="shared" si="249"/>
        <v/>
      </c>
      <c r="F2597" s="200"/>
      <c r="G2597" s="178" t="e">
        <f>IF($C$1077&gt;0,VLOOKUP($C2597,ENTI!$AL$4:AP$1003,5,FALSE),"")</f>
        <v>#N/A</v>
      </c>
      <c r="H2597" s="179" t="e">
        <f>IF($C$1077&gt;0,VLOOKUP($C2597,ENTI!$AL$4:AQ$1003,6,FALSE),"")</f>
        <v>#N/A</v>
      </c>
      <c r="I2597" s="187"/>
      <c r="J2597" s="140" t="e">
        <f ca="1">VLOOKUP(D2597,$F$1081:$I$4183,4,FALSE)+COUNTIF(E$1081:E2596,E2597)</f>
        <v>#N/A</v>
      </c>
      <c r="K2597" s="1"/>
      <c r="L2597" s="156"/>
      <c r="M2597" s="1"/>
      <c r="N2597" s="1"/>
      <c r="O2597" s="1"/>
    </row>
    <row r="2598" spans="1:15" hidden="1">
      <c r="A2598" s="1"/>
      <c r="B2598" s="197" t="e">
        <f t="shared" ca="1" si="250"/>
        <v>#N/A</v>
      </c>
      <c r="C2598" s="498">
        <v>532</v>
      </c>
      <c r="D2598" s="41" t="e">
        <f>IF($C$1077&gt;0,VLOOKUP($C2598,ENTI!$AL$4:AN$1003,3,FALSE),"")</f>
        <v>#N/A</v>
      </c>
      <c r="E2598" s="41" t="str">
        <f t="shared" si="249"/>
        <v/>
      </c>
      <c r="F2598" s="200"/>
      <c r="G2598" s="178" t="e">
        <f>IF($C$1077&gt;0,VLOOKUP($C2598,ENTI!$AL$4:AP$1003,5,FALSE),"")</f>
        <v>#N/A</v>
      </c>
      <c r="H2598" s="179" t="e">
        <f>IF($C$1077&gt;0,VLOOKUP($C2598,ENTI!$AL$4:AQ$1003,6,FALSE),"")</f>
        <v>#N/A</v>
      </c>
      <c r="I2598" s="187"/>
      <c r="J2598" s="140" t="e">
        <f ca="1">VLOOKUP(D2598,$F$1081:$I$4183,4,FALSE)+COUNTIF(E$1081:E2597,E2598)</f>
        <v>#N/A</v>
      </c>
      <c r="K2598" s="1"/>
      <c r="L2598" s="156"/>
      <c r="M2598" s="1"/>
      <c r="N2598" s="1"/>
      <c r="O2598" s="1"/>
    </row>
    <row r="2599" spans="1:15" hidden="1">
      <c r="A2599" s="1"/>
      <c r="B2599" s="197" t="e">
        <f t="shared" ca="1" si="250"/>
        <v>#N/A</v>
      </c>
      <c r="C2599" s="498">
        <v>533</v>
      </c>
      <c r="D2599" s="41" t="e">
        <f>IF($C$1077&gt;0,VLOOKUP($C2599,ENTI!$AL$4:AN$1003,3,FALSE),"")</f>
        <v>#N/A</v>
      </c>
      <c r="E2599" s="41" t="str">
        <f t="shared" si="249"/>
        <v/>
      </c>
      <c r="F2599" s="200"/>
      <c r="G2599" s="178" t="e">
        <f>IF($C$1077&gt;0,VLOOKUP($C2599,ENTI!$AL$4:AP$1003,5,FALSE),"")</f>
        <v>#N/A</v>
      </c>
      <c r="H2599" s="179" t="e">
        <f>IF($C$1077&gt;0,VLOOKUP($C2599,ENTI!$AL$4:AQ$1003,6,FALSE),"")</f>
        <v>#N/A</v>
      </c>
      <c r="I2599" s="187"/>
      <c r="J2599" s="140" t="e">
        <f ca="1">VLOOKUP(D2599,$F$1081:$I$4183,4,FALSE)+COUNTIF(E$1081:E2598,E2599)</f>
        <v>#N/A</v>
      </c>
      <c r="K2599" s="1"/>
      <c r="L2599" s="156"/>
      <c r="M2599" s="1"/>
      <c r="N2599" s="1"/>
      <c r="O2599" s="1"/>
    </row>
    <row r="2600" spans="1:15" hidden="1">
      <c r="A2600" s="1"/>
      <c r="B2600" s="197" t="e">
        <f t="shared" ca="1" si="250"/>
        <v>#N/A</v>
      </c>
      <c r="C2600" s="498">
        <v>534</v>
      </c>
      <c r="D2600" s="41" t="e">
        <f>IF($C$1077&gt;0,VLOOKUP($C2600,ENTI!$AL$4:AN$1003,3,FALSE),"")</f>
        <v>#N/A</v>
      </c>
      <c r="E2600" s="41" t="str">
        <f t="shared" si="249"/>
        <v/>
      </c>
      <c r="F2600" s="200"/>
      <c r="G2600" s="178" t="e">
        <f>IF($C$1077&gt;0,VLOOKUP($C2600,ENTI!$AL$4:AP$1003,5,FALSE),"")</f>
        <v>#N/A</v>
      </c>
      <c r="H2600" s="179" t="e">
        <f>IF($C$1077&gt;0,VLOOKUP($C2600,ENTI!$AL$4:AQ$1003,6,FALSE),"")</f>
        <v>#N/A</v>
      </c>
      <c r="I2600" s="187"/>
      <c r="J2600" s="140" t="e">
        <f ca="1">VLOOKUP(D2600,$F$1081:$I$4183,4,FALSE)+COUNTIF(E$1081:E2599,E2600)</f>
        <v>#N/A</v>
      </c>
      <c r="K2600" s="1"/>
      <c r="L2600" s="156"/>
      <c r="M2600" s="1"/>
      <c r="N2600" s="1"/>
      <c r="O2600" s="1"/>
    </row>
    <row r="2601" spans="1:15" hidden="1">
      <c r="A2601" s="1"/>
      <c r="B2601" s="197" t="e">
        <f t="shared" ca="1" si="250"/>
        <v>#N/A</v>
      </c>
      <c r="C2601" s="498">
        <v>535</v>
      </c>
      <c r="D2601" s="41" t="e">
        <f>IF($C$1077&gt;0,VLOOKUP($C2601,ENTI!$AL$4:AN$1003,3,FALSE),"")</f>
        <v>#N/A</v>
      </c>
      <c r="E2601" s="41" t="str">
        <f t="shared" si="249"/>
        <v/>
      </c>
      <c r="F2601" s="200"/>
      <c r="G2601" s="178" t="e">
        <f>IF($C$1077&gt;0,VLOOKUP($C2601,ENTI!$AL$4:AP$1003,5,FALSE),"")</f>
        <v>#N/A</v>
      </c>
      <c r="H2601" s="179" t="e">
        <f>IF($C$1077&gt;0,VLOOKUP($C2601,ENTI!$AL$4:AQ$1003,6,FALSE),"")</f>
        <v>#N/A</v>
      </c>
      <c r="I2601" s="187"/>
      <c r="J2601" s="140" t="e">
        <f ca="1">VLOOKUP(D2601,$F$1081:$I$4183,4,FALSE)+COUNTIF(E$1081:E2600,E2601)</f>
        <v>#N/A</v>
      </c>
      <c r="K2601" s="1"/>
      <c r="L2601" s="156"/>
      <c r="M2601" s="1"/>
      <c r="N2601" s="1"/>
      <c r="O2601" s="1"/>
    </row>
    <row r="2602" spans="1:15" hidden="1">
      <c r="A2602" s="1"/>
      <c r="B2602" s="197" t="e">
        <f t="shared" ca="1" si="250"/>
        <v>#N/A</v>
      </c>
      <c r="C2602" s="498">
        <v>536</v>
      </c>
      <c r="D2602" s="41" t="e">
        <f>IF($C$1077&gt;0,VLOOKUP($C2602,ENTI!$AL$4:AN$1003,3,FALSE),"")</f>
        <v>#N/A</v>
      </c>
      <c r="E2602" s="41" t="str">
        <f t="shared" si="249"/>
        <v/>
      </c>
      <c r="F2602" s="200"/>
      <c r="G2602" s="178" t="e">
        <f>IF($C$1077&gt;0,VLOOKUP($C2602,ENTI!$AL$4:AP$1003,5,FALSE),"")</f>
        <v>#N/A</v>
      </c>
      <c r="H2602" s="179" t="e">
        <f>IF($C$1077&gt;0,VLOOKUP($C2602,ENTI!$AL$4:AQ$1003,6,FALSE),"")</f>
        <v>#N/A</v>
      </c>
      <c r="I2602" s="187"/>
      <c r="J2602" s="140" t="e">
        <f ca="1">VLOOKUP(D2602,$F$1081:$I$4183,4,FALSE)+COUNTIF(E$1081:E2601,E2602)</f>
        <v>#N/A</v>
      </c>
      <c r="K2602" s="1"/>
      <c r="L2602" s="156"/>
      <c r="M2602" s="1"/>
      <c r="N2602" s="1"/>
      <c r="O2602" s="1"/>
    </row>
    <row r="2603" spans="1:15" hidden="1">
      <c r="A2603" s="1"/>
      <c r="B2603" s="197" t="e">
        <f t="shared" ca="1" si="250"/>
        <v>#N/A</v>
      </c>
      <c r="C2603" s="498">
        <v>537</v>
      </c>
      <c r="D2603" s="41" t="e">
        <f>IF($C$1077&gt;0,VLOOKUP($C2603,ENTI!$AL$4:AN$1003,3,FALSE),"")</f>
        <v>#N/A</v>
      </c>
      <c r="E2603" s="41" t="str">
        <f t="shared" si="249"/>
        <v/>
      </c>
      <c r="F2603" s="200"/>
      <c r="G2603" s="178" t="e">
        <f>IF($C$1077&gt;0,VLOOKUP($C2603,ENTI!$AL$4:AP$1003,5,FALSE),"")</f>
        <v>#N/A</v>
      </c>
      <c r="H2603" s="179" t="e">
        <f>IF($C$1077&gt;0,VLOOKUP($C2603,ENTI!$AL$4:AQ$1003,6,FALSE),"")</f>
        <v>#N/A</v>
      </c>
      <c r="I2603" s="187"/>
      <c r="J2603" s="140" t="e">
        <f ca="1">VLOOKUP(D2603,$F$1081:$I$4183,4,FALSE)+COUNTIF(E$1081:E2602,E2603)</f>
        <v>#N/A</v>
      </c>
      <c r="K2603" s="1"/>
      <c r="L2603" s="156"/>
      <c r="M2603" s="1"/>
      <c r="N2603" s="1"/>
      <c r="O2603" s="1"/>
    </row>
    <row r="2604" spans="1:15" hidden="1">
      <c r="A2604" s="1"/>
      <c r="B2604" s="197" t="e">
        <f t="shared" ca="1" si="250"/>
        <v>#N/A</v>
      </c>
      <c r="C2604" s="498">
        <v>538</v>
      </c>
      <c r="D2604" s="41" t="e">
        <f>IF($C$1077&gt;0,VLOOKUP($C2604,ENTI!$AL$4:AN$1003,3,FALSE),"")</f>
        <v>#N/A</v>
      </c>
      <c r="E2604" s="41" t="str">
        <f t="shared" si="249"/>
        <v/>
      </c>
      <c r="F2604" s="200"/>
      <c r="G2604" s="178" t="e">
        <f>IF($C$1077&gt;0,VLOOKUP($C2604,ENTI!$AL$4:AP$1003,5,FALSE),"")</f>
        <v>#N/A</v>
      </c>
      <c r="H2604" s="179" t="e">
        <f>IF($C$1077&gt;0,VLOOKUP($C2604,ENTI!$AL$4:AQ$1003,6,FALSE),"")</f>
        <v>#N/A</v>
      </c>
      <c r="I2604" s="187"/>
      <c r="J2604" s="140" t="e">
        <f ca="1">VLOOKUP(D2604,$F$1081:$I$4183,4,FALSE)+COUNTIF(E$1081:E2603,E2604)</f>
        <v>#N/A</v>
      </c>
      <c r="K2604" s="1"/>
      <c r="L2604" s="156"/>
      <c r="M2604" s="1"/>
      <c r="N2604" s="1"/>
      <c r="O2604" s="1"/>
    </row>
    <row r="2605" spans="1:15" hidden="1">
      <c r="A2605" s="1"/>
      <c r="B2605" s="197" t="e">
        <f t="shared" ca="1" si="250"/>
        <v>#N/A</v>
      </c>
      <c r="C2605" s="498">
        <v>539</v>
      </c>
      <c r="D2605" s="41" t="e">
        <f>IF($C$1077&gt;0,VLOOKUP($C2605,ENTI!$AL$4:AN$1003,3,FALSE),"")</f>
        <v>#N/A</v>
      </c>
      <c r="E2605" s="41" t="str">
        <f t="shared" si="249"/>
        <v/>
      </c>
      <c r="F2605" s="200"/>
      <c r="G2605" s="178" t="e">
        <f>IF($C$1077&gt;0,VLOOKUP($C2605,ENTI!$AL$4:AP$1003,5,FALSE),"")</f>
        <v>#N/A</v>
      </c>
      <c r="H2605" s="179" t="e">
        <f>IF($C$1077&gt;0,VLOOKUP($C2605,ENTI!$AL$4:AQ$1003,6,FALSE),"")</f>
        <v>#N/A</v>
      </c>
      <c r="I2605" s="187"/>
      <c r="J2605" s="140" t="e">
        <f ca="1">VLOOKUP(D2605,$F$1081:$I$4183,4,FALSE)+COUNTIF(E$1081:E2604,E2605)</f>
        <v>#N/A</v>
      </c>
      <c r="K2605" s="1"/>
      <c r="L2605" s="156"/>
      <c r="M2605" s="1"/>
      <c r="N2605" s="1"/>
      <c r="O2605" s="1"/>
    </row>
    <row r="2606" spans="1:15" hidden="1">
      <c r="A2606" s="1"/>
      <c r="B2606" s="197" t="e">
        <f t="shared" ca="1" si="250"/>
        <v>#N/A</v>
      </c>
      <c r="C2606" s="498">
        <v>540</v>
      </c>
      <c r="D2606" s="41" t="e">
        <f>IF($C$1077&gt;0,VLOOKUP($C2606,ENTI!$AL$4:AN$1003,3,FALSE),"")</f>
        <v>#N/A</v>
      </c>
      <c r="E2606" s="41" t="str">
        <f t="shared" si="249"/>
        <v/>
      </c>
      <c r="F2606" s="200"/>
      <c r="G2606" s="178" t="e">
        <f>IF($C$1077&gt;0,VLOOKUP($C2606,ENTI!$AL$4:AP$1003,5,FALSE),"")</f>
        <v>#N/A</v>
      </c>
      <c r="H2606" s="179" t="e">
        <f>IF($C$1077&gt;0,VLOOKUP($C2606,ENTI!$AL$4:AQ$1003,6,FALSE),"")</f>
        <v>#N/A</v>
      </c>
      <c r="I2606" s="187"/>
      <c r="J2606" s="140" t="e">
        <f ca="1">VLOOKUP(D2606,$F$1081:$I$4183,4,FALSE)+COUNTIF(E$1081:E2605,E2606)</f>
        <v>#N/A</v>
      </c>
      <c r="K2606" s="1"/>
      <c r="L2606" s="156"/>
      <c r="M2606" s="1"/>
      <c r="N2606" s="1"/>
      <c r="O2606" s="1"/>
    </row>
    <row r="2607" spans="1:15" hidden="1">
      <c r="A2607" s="1"/>
      <c r="B2607" s="197" t="e">
        <f t="shared" ca="1" si="250"/>
        <v>#N/A</v>
      </c>
      <c r="C2607" s="498">
        <v>541</v>
      </c>
      <c r="D2607" s="41" t="e">
        <f>IF($C$1077&gt;0,VLOOKUP($C2607,ENTI!$AL$4:AN$1003,3,FALSE),"")</f>
        <v>#N/A</v>
      </c>
      <c r="E2607" s="41" t="str">
        <f t="shared" si="249"/>
        <v/>
      </c>
      <c r="F2607" s="200"/>
      <c r="G2607" s="178" t="e">
        <f>IF($C$1077&gt;0,VLOOKUP($C2607,ENTI!$AL$4:AP$1003,5,FALSE),"")</f>
        <v>#N/A</v>
      </c>
      <c r="H2607" s="179" t="e">
        <f>IF($C$1077&gt;0,VLOOKUP($C2607,ENTI!$AL$4:AQ$1003,6,FALSE),"")</f>
        <v>#N/A</v>
      </c>
      <c r="I2607" s="187"/>
      <c r="J2607" s="140" t="e">
        <f ca="1">VLOOKUP(D2607,$F$1081:$I$4183,4,FALSE)+COUNTIF(E$1081:E2606,E2607)</f>
        <v>#N/A</v>
      </c>
      <c r="K2607" s="1"/>
      <c r="L2607" s="156"/>
      <c r="M2607" s="1"/>
      <c r="N2607" s="1"/>
      <c r="O2607" s="1"/>
    </row>
    <row r="2608" spans="1:15" hidden="1">
      <c r="A2608" s="1"/>
      <c r="B2608" s="197" t="e">
        <f t="shared" ca="1" si="250"/>
        <v>#N/A</v>
      </c>
      <c r="C2608" s="498">
        <v>542</v>
      </c>
      <c r="D2608" s="41" t="e">
        <f>IF($C$1077&gt;0,VLOOKUP($C2608,ENTI!$AL$4:AN$1003,3,FALSE),"")</f>
        <v>#N/A</v>
      </c>
      <c r="E2608" s="41" t="str">
        <f t="shared" si="249"/>
        <v/>
      </c>
      <c r="F2608" s="200"/>
      <c r="G2608" s="178" t="e">
        <f>IF($C$1077&gt;0,VLOOKUP($C2608,ENTI!$AL$4:AP$1003,5,FALSE),"")</f>
        <v>#N/A</v>
      </c>
      <c r="H2608" s="179" t="e">
        <f>IF($C$1077&gt;0,VLOOKUP($C2608,ENTI!$AL$4:AQ$1003,6,FALSE),"")</f>
        <v>#N/A</v>
      </c>
      <c r="I2608" s="187"/>
      <c r="J2608" s="140" t="e">
        <f ca="1">VLOOKUP(D2608,$F$1081:$I$4183,4,FALSE)+COUNTIF(E$1081:E2607,E2608)</f>
        <v>#N/A</v>
      </c>
      <c r="K2608" s="1"/>
      <c r="L2608" s="156"/>
      <c r="M2608" s="1"/>
      <c r="N2608" s="1"/>
      <c r="O2608" s="1"/>
    </row>
    <row r="2609" spans="1:15" hidden="1">
      <c r="A2609" s="1"/>
      <c r="B2609" s="197" t="e">
        <f t="shared" ca="1" si="250"/>
        <v>#N/A</v>
      </c>
      <c r="C2609" s="498">
        <v>543</v>
      </c>
      <c r="D2609" s="41" t="e">
        <f>IF($C$1077&gt;0,VLOOKUP($C2609,ENTI!$AL$4:AN$1003,3,FALSE),"")</f>
        <v>#N/A</v>
      </c>
      <c r="E2609" s="41" t="str">
        <f t="shared" si="249"/>
        <v/>
      </c>
      <c r="F2609" s="200"/>
      <c r="G2609" s="178" t="e">
        <f>IF($C$1077&gt;0,VLOOKUP($C2609,ENTI!$AL$4:AP$1003,5,FALSE),"")</f>
        <v>#N/A</v>
      </c>
      <c r="H2609" s="179" t="e">
        <f>IF($C$1077&gt;0,VLOOKUP($C2609,ENTI!$AL$4:AQ$1003,6,FALSE),"")</f>
        <v>#N/A</v>
      </c>
      <c r="I2609" s="187"/>
      <c r="J2609" s="140" t="e">
        <f ca="1">VLOOKUP(D2609,$F$1081:$I$4183,4,FALSE)+COUNTIF(E$1081:E2608,E2609)</f>
        <v>#N/A</v>
      </c>
      <c r="K2609" s="1"/>
      <c r="L2609" s="156"/>
      <c r="M2609" s="1"/>
      <c r="N2609" s="1"/>
      <c r="O2609" s="1"/>
    </row>
    <row r="2610" spans="1:15" hidden="1">
      <c r="A2610" s="1"/>
      <c r="B2610" s="197" t="e">
        <f t="shared" ca="1" si="250"/>
        <v>#N/A</v>
      </c>
      <c r="C2610" s="498">
        <v>544</v>
      </c>
      <c r="D2610" s="41" t="e">
        <f>IF($C$1077&gt;0,VLOOKUP($C2610,ENTI!$AL$4:AN$1003,3,FALSE),"")</f>
        <v>#N/A</v>
      </c>
      <c r="E2610" s="41" t="str">
        <f t="shared" si="249"/>
        <v/>
      </c>
      <c r="F2610" s="200"/>
      <c r="G2610" s="178" t="e">
        <f>IF($C$1077&gt;0,VLOOKUP($C2610,ENTI!$AL$4:AP$1003,5,FALSE),"")</f>
        <v>#N/A</v>
      </c>
      <c r="H2610" s="179" t="e">
        <f>IF($C$1077&gt;0,VLOOKUP($C2610,ENTI!$AL$4:AQ$1003,6,FALSE),"")</f>
        <v>#N/A</v>
      </c>
      <c r="I2610" s="187"/>
      <c r="J2610" s="140" t="e">
        <f ca="1">VLOOKUP(D2610,$F$1081:$I$4183,4,FALSE)+COUNTIF(E$1081:E2609,E2610)</f>
        <v>#N/A</v>
      </c>
      <c r="K2610" s="1"/>
      <c r="L2610" s="156"/>
      <c r="M2610" s="1"/>
      <c r="N2610" s="1"/>
      <c r="O2610" s="1"/>
    </row>
    <row r="2611" spans="1:15" hidden="1">
      <c r="A2611" s="1"/>
      <c r="B2611" s="197" t="e">
        <f t="shared" ca="1" si="250"/>
        <v>#N/A</v>
      </c>
      <c r="C2611" s="498">
        <v>545</v>
      </c>
      <c r="D2611" s="41" t="e">
        <f>IF($C$1077&gt;0,VLOOKUP($C2611,ENTI!$AL$4:AN$1003,3,FALSE),"")</f>
        <v>#N/A</v>
      </c>
      <c r="E2611" s="41" t="str">
        <f t="shared" si="249"/>
        <v/>
      </c>
      <c r="F2611" s="200"/>
      <c r="G2611" s="178" t="e">
        <f>IF($C$1077&gt;0,VLOOKUP($C2611,ENTI!$AL$4:AP$1003,5,FALSE),"")</f>
        <v>#N/A</v>
      </c>
      <c r="H2611" s="179" t="e">
        <f>IF($C$1077&gt;0,VLOOKUP($C2611,ENTI!$AL$4:AQ$1003,6,FALSE),"")</f>
        <v>#N/A</v>
      </c>
      <c r="I2611" s="187"/>
      <c r="J2611" s="140" t="e">
        <f ca="1">VLOOKUP(D2611,$F$1081:$I$4183,4,FALSE)+COUNTIF(E$1081:E2610,E2611)</f>
        <v>#N/A</v>
      </c>
      <c r="K2611" s="1"/>
      <c r="L2611" s="156"/>
      <c r="M2611" s="1"/>
      <c r="N2611" s="1"/>
      <c r="O2611" s="1"/>
    </row>
    <row r="2612" spans="1:15" hidden="1">
      <c r="A2612" s="1"/>
      <c r="B2612" s="197" t="e">
        <f t="shared" ca="1" si="250"/>
        <v>#N/A</v>
      </c>
      <c r="C2612" s="498">
        <v>546</v>
      </c>
      <c r="D2612" s="41" t="e">
        <f>IF($C$1077&gt;0,VLOOKUP($C2612,ENTI!$AL$4:AN$1003,3,FALSE),"")</f>
        <v>#N/A</v>
      </c>
      <c r="E2612" s="41" t="str">
        <f t="shared" si="249"/>
        <v/>
      </c>
      <c r="F2612" s="200"/>
      <c r="G2612" s="178" t="e">
        <f>IF($C$1077&gt;0,VLOOKUP($C2612,ENTI!$AL$4:AP$1003,5,FALSE),"")</f>
        <v>#N/A</v>
      </c>
      <c r="H2612" s="179" t="e">
        <f>IF($C$1077&gt;0,VLOOKUP($C2612,ENTI!$AL$4:AQ$1003,6,FALSE),"")</f>
        <v>#N/A</v>
      </c>
      <c r="I2612" s="187"/>
      <c r="J2612" s="140" t="e">
        <f ca="1">VLOOKUP(D2612,$F$1081:$I$4183,4,FALSE)+COUNTIF(E$1081:E2611,E2612)</f>
        <v>#N/A</v>
      </c>
      <c r="K2612" s="1"/>
      <c r="L2612" s="156"/>
      <c r="M2612" s="1"/>
      <c r="N2612" s="1"/>
      <c r="O2612" s="1"/>
    </row>
    <row r="2613" spans="1:15" hidden="1">
      <c r="A2613" s="1"/>
      <c r="B2613" s="197" t="e">
        <f t="shared" ca="1" si="250"/>
        <v>#N/A</v>
      </c>
      <c r="C2613" s="498">
        <v>547</v>
      </c>
      <c r="D2613" s="41" t="e">
        <f>IF($C$1077&gt;0,VLOOKUP($C2613,ENTI!$AL$4:AN$1003,3,FALSE),"")</f>
        <v>#N/A</v>
      </c>
      <c r="E2613" s="41" t="str">
        <f t="shared" si="249"/>
        <v/>
      </c>
      <c r="F2613" s="200"/>
      <c r="G2613" s="178" t="e">
        <f>IF($C$1077&gt;0,VLOOKUP($C2613,ENTI!$AL$4:AP$1003,5,FALSE),"")</f>
        <v>#N/A</v>
      </c>
      <c r="H2613" s="179" t="e">
        <f>IF($C$1077&gt;0,VLOOKUP($C2613,ENTI!$AL$4:AQ$1003,6,FALSE),"")</f>
        <v>#N/A</v>
      </c>
      <c r="I2613" s="187"/>
      <c r="J2613" s="140" t="e">
        <f ca="1">VLOOKUP(D2613,$F$1081:$I$4183,4,FALSE)+COUNTIF(E$1081:E2612,E2613)</f>
        <v>#N/A</v>
      </c>
      <c r="K2613" s="1"/>
      <c r="L2613" s="156"/>
      <c r="M2613" s="1"/>
      <c r="N2613" s="1"/>
      <c r="O2613" s="1"/>
    </row>
    <row r="2614" spans="1:15" hidden="1">
      <c r="A2614" s="1"/>
      <c r="B2614" s="197" t="e">
        <f t="shared" ca="1" si="250"/>
        <v>#N/A</v>
      </c>
      <c r="C2614" s="498">
        <v>548</v>
      </c>
      <c r="D2614" s="41" t="e">
        <f>IF($C$1077&gt;0,VLOOKUP($C2614,ENTI!$AL$4:AN$1003,3,FALSE),"")</f>
        <v>#N/A</v>
      </c>
      <c r="E2614" s="41" t="str">
        <f t="shared" si="249"/>
        <v/>
      </c>
      <c r="F2614" s="200"/>
      <c r="G2614" s="178" t="e">
        <f>IF($C$1077&gt;0,VLOOKUP($C2614,ENTI!$AL$4:AP$1003,5,FALSE),"")</f>
        <v>#N/A</v>
      </c>
      <c r="H2614" s="179" t="e">
        <f>IF($C$1077&gt;0,VLOOKUP($C2614,ENTI!$AL$4:AQ$1003,6,FALSE),"")</f>
        <v>#N/A</v>
      </c>
      <c r="I2614" s="187"/>
      <c r="J2614" s="140" t="e">
        <f ca="1">VLOOKUP(D2614,$F$1081:$I$4183,4,FALSE)+COUNTIF(E$1081:E2613,E2614)</f>
        <v>#N/A</v>
      </c>
      <c r="K2614" s="1"/>
      <c r="L2614" s="156"/>
      <c r="M2614" s="1"/>
      <c r="N2614" s="1"/>
      <c r="O2614" s="1"/>
    </row>
    <row r="2615" spans="1:15" hidden="1">
      <c r="A2615" s="1"/>
      <c r="B2615" s="197" t="e">
        <f t="shared" ca="1" si="250"/>
        <v>#N/A</v>
      </c>
      <c r="C2615" s="498">
        <v>549</v>
      </c>
      <c r="D2615" s="41" t="e">
        <f>IF($C$1077&gt;0,VLOOKUP($C2615,ENTI!$AL$4:AN$1003,3,FALSE),"")</f>
        <v>#N/A</v>
      </c>
      <c r="E2615" s="41" t="str">
        <f t="shared" si="249"/>
        <v/>
      </c>
      <c r="F2615" s="200"/>
      <c r="G2615" s="178" t="e">
        <f>IF($C$1077&gt;0,VLOOKUP($C2615,ENTI!$AL$4:AP$1003,5,FALSE),"")</f>
        <v>#N/A</v>
      </c>
      <c r="H2615" s="179" t="e">
        <f>IF($C$1077&gt;0,VLOOKUP($C2615,ENTI!$AL$4:AQ$1003,6,FALSE),"")</f>
        <v>#N/A</v>
      </c>
      <c r="I2615" s="187"/>
      <c r="J2615" s="140" t="e">
        <f ca="1">VLOOKUP(D2615,$F$1081:$I$4183,4,FALSE)+COUNTIF(E$1081:E2614,E2615)</f>
        <v>#N/A</v>
      </c>
      <c r="K2615" s="1"/>
      <c r="L2615" s="156"/>
      <c r="M2615" s="1"/>
      <c r="N2615" s="1"/>
      <c r="O2615" s="1"/>
    </row>
    <row r="2616" spans="1:15" hidden="1">
      <c r="A2616" s="1"/>
      <c r="B2616" s="197" t="e">
        <f t="shared" ca="1" si="250"/>
        <v>#N/A</v>
      </c>
      <c r="C2616" s="498">
        <v>550</v>
      </c>
      <c r="D2616" s="41" t="e">
        <f>IF($C$1077&gt;0,VLOOKUP($C2616,ENTI!$AL$4:AN$1003,3,FALSE),"")</f>
        <v>#N/A</v>
      </c>
      <c r="E2616" s="41" t="str">
        <f t="shared" si="249"/>
        <v/>
      </c>
      <c r="F2616" s="200"/>
      <c r="G2616" s="178" t="e">
        <f>IF($C$1077&gt;0,VLOOKUP($C2616,ENTI!$AL$4:AP$1003,5,FALSE),"")</f>
        <v>#N/A</v>
      </c>
      <c r="H2616" s="179" t="e">
        <f>IF($C$1077&gt;0,VLOOKUP($C2616,ENTI!$AL$4:AQ$1003,6,FALSE),"")</f>
        <v>#N/A</v>
      </c>
      <c r="I2616" s="187"/>
      <c r="J2616" s="140" t="e">
        <f ca="1">VLOOKUP(D2616,$F$1081:$I$4183,4,FALSE)+COUNTIF(E$1081:E2615,E2616)</f>
        <v>#N/A</v>
      </c>
      <c r="K2616" s="1"/>
      <c r="L2616" s="156"/>
      <c r="M2616" s="1"/>
      <c r="N2616" s="1"/>
      <c r="O2616" s="1"/>
    </row>
    <row r="2617" spans="1:15" hidden="1">
      <c r="A2617" s="1"/>
      <c r="B2617" s="197" t="e">
        <f t="shared" ca="1" si="250"/>
        <v>#N/A</v>
      </c>
      <c r="C2617" s="498">
        <v>551</v>
      </c>
      <c r="D2617" s="41" t="e">
        <f>IF($C$1077&gt;0,VLOOKUP($C2617,ENTI!$AL$4:AN$1003,3,FALSE),"")</f>
        <v>#N/A</v>
      </c>
      <c r="E2617" s="41" t="str">
        <f t="shared" si="249"/>
        <v/>
      </c>
      <c r="F2617" s="200"/>
      <c r="G2617" s="178" t="e">
        <f>IF($C$1077&gt;0,VLOOKUP($C2617,ENTI!$AL$4:AP$1003,5,FALSE),"")</f>
        <v>#N/A</v>
      </c>
      <c r="H2617" s="179" t="e">
        <f>IF($C$1077&gt;0,VLOOKUP($C2617,ENTI!$AL$4:AQ$1003,6,FALSE),"")</f>
        <v>#N/A</v>
      </c>
      <c r="I2617" s="187"/>
      <c r="J2617" s="140" t="e">
        <f ca="1">VLOOKUP(D2617,$F$1081:$I$4183,4,FALSE)+COUNTIF(E$1081:E2616,E2617)</f>
        <v>#N/A</v>
      </c>
      <c r="K2617" s="1"/>
      <c r="L2617" s="156"/>
      <c r="M2617" s="1"/>
      <c r="N2617" s="1"/>
      <c r="O2617" s="1"/>
    </row>
    <row r="2618" spans="1:15" hidden="1">
      <c r="A2618" s="1"/>
      <c r="B2618" s="197" t="e">
        <f t="shared" ca="1" si="250"/>
        <v>#N/A</v>
      </c>
      <c r="C2618" s="498">
        <v>552</v>
      </c>
      <c r="D2618" s="41" t="e">
        <f>IF($C$1077&gt;0,VLOOKUP($C2618,ENTI!$AL$4:AN$1003,3,FALSE),"")</f>
        <v>#N/A</v>
      </c>
      <c r="E2618" s="41" t="str">
        <f t="shared" si="249"/>
        <v/>
      </c>
      <c r="F2618" s="200"/>
      <c r="G2618" s="178" t="e">
        <f>IF($C$1077&gt;0,VLOOKUP($C2618,ENTI!$AL$4:AP$1003,5,FALSE),"")</f>
        <v>#N/A</v>
      </c>
      <c r="H2618" s="179" t="e">
        <f>IF($C$1077&gt;0,VLOOKUP($C2618,ENTI!$AL$4:AQ$1003,6,FALSE),"")</f>
        <v>#N/A</v>
      </c>
      <c r="I2618" s="187"/>
      <c r="J2618" s="140" t="e">
        <f ca="1">VLOOKUP(D2618,$F$1081:$I$4183,4,FALSE)+COUNTIF(E$1081:E2617,E2618)</f>
        <v>#N/A</v>
      </c>
      <c r="K2618" s="1"/>
      <c r="L2618" s="156"/>
      <c r="M2618" s="1"/>
      <c r="N2618" s="1"/>
      <c r="O2618" s="1"/>
    </row>
    <row r="2619" spans="1:15" hidden="1">
      <c r="A2619" s="1"/>
      <c r="B2619" s="197" t="e">
        <f t="shared" ca="1" si="250"/>
        <v>#N/A</v>
      </c>
      <c r="C2619" s="498">
        <v>553</v>
      </c>
      <c r="D2619" s="41" t="e">
        <f>IF($C$1077&gt;0,VLOOKUP($C2619,ENTI!$AL$4:AN$1003,3,FALSE),"")</f>
        <v>#N/A</v>
      </c>
      <c r="E2619" s="41" t="str">
        <f t="shared" si="249"/>
        <v/>
      </c>
      <c r="F2619" s="200"/>
      <c r="G2619" s="178" t="e">
        <f>IF($C$1077&gt;0,VLOOKUP($C2619,ENTI!$AL$4:AP$1003,5,FALSE),"")</f>
        <v>#N/A</v>
      </c>
      <c r="H2619" s="179" t="e">
        <f>IF($C$1077&gt;0,VLOOKUP($C2619,ENTI!$AL$4:AQ$1003,6,FALSE),"")</f>
        <v>#N/A</v>
      </c>
      <c r="I2619" s="187"/>
      <c r="J2619" s="140" t="e">
        <f ca="1">VLOOKUP(D2619,$F$1081:$I$4183,4,FALSE)+COUNTIF(E$1081:E2618,E2619)</f>
        <v>#N/A</v>
      </c>
      <c r="K2619" s="1"/>
      <c r="L2619" s="156"/>
      <c r="M2619" s="1"/>
      <c r="N2619" s="1"/>
      <c r="O2619" s="1"/>
    </row>
    <row r="2620" spans="1:15" hidden="1">
      <c r="A2620" s="1"/>
      <c r="B2620" s="197" t="e">
        <f t="shared" ca="1" si="250"/>
        <v>#N/A</v>
      </c>
      <c r="C2620" s="498">
        <v>554</v>
      </c>
      <c r="D2620" s="41" t="e">
        <f>IF($C$1077&gt;0,VLOOKUP($C2620,ENTI!$AL$4:AN$1003,3,FALSE),"")</f>
        <v>#N/A</v>
      </c>
      <c r="E2620" s="41" t="str">
        <f t="shared" si="249"/>
        <v/>
      </c>
      <c r="F2620" s="200"/>
      <c r="G2620" s="178" t="e">
        <f>IF($C$1077&gt;0,VLOOKUP($C2620,ENTI!$AL$4:AP$1003,5,FALSE),"")</f>
        <v>#N/A</v>
      </c>
      <c r="H2620" s="179" t="e">
        <f>IF($C$1077&gt;0,VLOOKUP($C2620,ENTI!$AL$4:AQ$1003,6,FALSE),"")</f>
        <v>#N/A</v>
      </c>
      <c r="I2620" s="187"/>
      <c r="J2620" s="140" t="e">
        <f ca="1">VLOOKUP(D2620,$F$1081:$I$4183,4,FALSE)+COUNTIF(E$1081:E2619,E2620)</f>
        <v>#N/A</v>
      </c>
      <c r="K2620" s="1"/>
      <c r="L2620" s="156"/>
      <c r="M2620" s="1"/>
      <c r="N2620" s="1"/>
      <c r="O2620" s="1"/>
    </row>
    <row r="2621" spans="1:15" hidden="1">
      <c r="A2621" s="1"/>
      <c r="B2621" s="197" t="e">
        <f t="shared" ca="1" si="250"/>
        <v>#N/A</v>
      </c>
      <c r="C2621" s="498">
        <v>555</v>
      </c>
      <c r="D2621" s="41" t="e">
        <f>IF($C$1077&gt;0,VLOOKUP($C2621,ENTI!$AL$4:AN$1003,3,FALSE),"")</f>
        <v>#N/A</v>
      </c>
      <c r="E2621" s="41" t="str">
        <f t="shared" si="249"/>
        <v/>
      </c>
      <c r="F2621" s="200"/>
      <c r="G2621" s="178" t="e">
        <f>IF($C$1077&gt;0,VLOOKUP($C2621,ENTI!$AL$4:AP$1003,5,FALSE),"")</f>
        <v>#N/A</v>
      </c>
      <c r="H2621" s="179" t="e">
        <f>IF($C$1077&gt;0,VLOOKUP($C2621,ENTI!$AL$4:AQ$1003,6,FALSE),"")</f>
        <v>#N/A</v>
      </c>
      <c r="I2621" s="187"/>
      <c r="J2621" s="140" t="e">
        <f ca="1">VLOOKUP(D2621,$F$1081:$I$4183,4,FALSE)+COUNTIF(E$1081:E2620,E2621)</f>
        <v>#N/A</v>
      </c>
      <c r="K2621" s="1"/>
      <c r="L2621" s="156"/>
      <c r="M2621" s="1"/>
      <c r="N2621" s="1"/>
      <c r="O2621" s="1"/>
    </row>
    <row r="2622" spans="1:15" hidden="1">
      <c r="A2622" s="1"/>
      <c r="B2622" s="197" t="e">
        <f t="shared" ca="1" si="250"/>
        <v>#N/A</v>
      </c>
      <c r="C2622" s="498">
        <v>556</v>
      </c>
      <c r="D2622" s="41" t="e">
        <f>IF($C$1077&gt;0,VLOOKUP($C2622,ENTI!$AL$4:AN$1003,3,FALSE),"")</f>
        <v>#N/A</v>
      </c>
      <c r="E2622" s="41" t="str">
        <f t="shared" si="249"/>
        <v/>
      </c>
      <c r="F2622" s="200"/>
      <c r="G2622" s="178" t="e">
        <f>IF($C$1077&gt;0,VLOOKUP($C2622,ENTI!$AL$4:AP$1003,5,FALSE),"")</f>
        <v>#N/A</v>
      </c>
      <c r="H2622" s="179" t="e">
        <f>IF($C$1077&gt;0,VLOOKUP($C2622,ENTI!$AL$4:AQ$1003,6,FALSE),"")</f>
        <v>#N/A</v>
      </c>
      <c r="I2622" s="187"/>
      <c r="J2622" s="140" t="e">
        <f ca="1">VLOOKUP(D2622,$F$1081:$I$4183,4,FALSE)+COUNTIF(E$1081:E2621,E2622)</f>
        <v>#N/A</v>
      </c>
      <c r="K2622" s="1"/>
      <c r="L2622" s="156"/>
      <c r="M2622" s="1"/>
      <c r="N2622" s="1"/>
      <c r="O2622" s="1"/>
    </row>
    <row r="2623" spans="1:15" hidden="1">
      <c r="A2623" s="1"/>
      <c r="B2623" s="197" t="e">
        <f t="shared" ca="1" si="250"/>
        <v>#N/A</v>
      </c>
      <c r="C2623" s="498">
        <v>557</v>
      </c>
      <c r="D2623" s="41" t="e">
        <f>IF($C$1077&gt;0,VLOOKUP($C2623,ENTI!$AL$4:AN$1003,3,FALSE),"")</f>
        <v>#N/A</v>
      </c>
      <c r="E2623" s="41" t="str">
        <f t="shared" si="249"/>
        <v/>
      </c>
      <c r="F2623" s="200"/>
      <c r="G2623" s="178" t="e">
        <f>IF($C$1077&gt;0,VLOOKUP($C2623,ENTI!$AL$4:AP$1003,5,FALSE),"")</f>
        <v>#N/A</v>
      </c>
      <c r="H2623" s="179" t="e">
        <f>IF($C$1077&gt;0,VLOOKUP($C2623,ENTI!$AL$4:AQ$1003,6,FALSE),"")</f>
        <v>#N/A</v>
      </c>
      <c r="I2623" s="187"/>
      <c r="J2623" s="140" t="e">
        <f ca="1">VLOOKUP(D2623,$F$1081:$I$4183,4,FALSE)+COUNTIF(E$1081:E2622,E2623)</f>
        <v>#N/A</v>
      </c>
      <c r="K2623" s="1"/>
      <c r="L2623" s="156"/>
      <c r="M2623" s="1"/>
      <c r="N2623" s="1"/>
      <c r="O2623" s="1"/>
    </row>
    <row r="2624" spans="1:15" hidden="1">
      <c r="A2624" s="1"/>
      <c r="B2624" s="197" t="e">
        <f t="shared" ca="1" si="250"/>
        <v>#N/A</v>
      </c>
      <c r="C2624" s="498">
        <v>558</v>
      </c>
      <c r="D2624" s="41" t="e">
        <f>IF($C$1077&gt;0,VLOOKUP($C2624,ENTI!$AL$4:AN$1003,3,FALSE),"")</f>
        <v>#N/A</v>
      </c>
      <c r="E2624" s="41" t="str">
        <f t="shared" si="249"/>
        <v/>
      </c>
      <c r="F2624" s="200"/>
      <c r="G2624" s="178" t="e">
        <f>IF($C$1077&gt;0,VLOOKUP($C2624,ENTI!$AL$4:AP$1003,5,FALSE),"")</f>
        <v>#N/A</v>
      </c>
      <c r="H2624" s="179" t="e">
        <f>IF($C$1077&gt;0,VLOOKUP($C2624,ENTI!$AL$4:AQ$1003,6,FALSE),"")</f>
        <v>#N/A</v>
      </c>
      <c r="I2624" s="187"/>
      <c r="J2624" s="140" t="e">
        <f ca="1">VLOOKUP(D2624,$F$1081:$I$4183,4,FALSE)+COUNTIF(E$1081:E2623,E2624)</f>
        <v>#N/A</v>
      </c>
      <c r="K2624" s="1"/>
      <c r="L2624" s="156"/>
      <c r="M2624" s="1"/>
      <c r="N2624" s="1"/>
      <c r="O2624" s="1"/>
    </row>
    <row r="2625" spans="1:15" hidden="1">
      <c r="A2625" s="1"/>
      <c r="B2625" s="197" t="e">
        <f t="shared" ca="1" si="250"/>
        <v>#N/A</v>
      </c>
      <c r="C2625" s="498">
        <v>559</v>
      </c>
      <c r="D2625" s="41" t="e">
        <f>IF($C$1077&gt;0,VLOOKUP($C2625,ENTI!$AL$4:AN$1003,3,FALSE),"")</f>
        <v>#N/A</v>
      </c>
      <c r="E2625" s="41" t="str">
        <f t="shared" si="249"/>
        <v/>
      </c>
      <c r="F2625" s="200"/>
      <c r="G2625" s="178" t="e">
        <f>IF($C$1077&gt;0,VLOOKUP($C2625,ENTI!$AL$4:AP$1003,5,FALSE),"")</f>
        <v>#N/A</v>
      </c>
      <c r="H2625" s="179" t="e">
        <f>IF($C$1077&gt;0,VLOOKUP($C2625,ENTI!$AL$4:AQ$1003,6,FALSE),"")</f>
        <v>#N/A</v>
      </c>
      <c r="I2625" s="187"/>
      <c r="J2625" s="140" t="e">
        <f ca="1">VLOOKUP(D2625,$F$1081:$I$4183,4,FALSE)+COUNTIF(E$1081:E2624,E2625)</f>
        <v>#N/A</v>
      </c>
      <c r="K2625" s="1"/>
      <c r="L2625" s="156"/>
      <c r="M2625" s="1"/>
      <c r="N2625" s="1"/>
      <c r="O2625" s="1"/>
    </row>
    <row r="2626" spans="1:15" hidden="1">
      <c r="A2626" s="1"/>
      <c r="B2626" s="197" t="e">
        <f t="shared" ca="1" si="250"/>
        <v>#N/A</v>
      </c>
      <c r="C2626" s="498">
        <v>560</v>
      </c>
      <c r="D2626" s="41" t="e">
        <f>IF($C$1077&gt;0,VLOOKUP($C2626,ENTI!$AL$4:AN$1003,3,FALSE),"")</f>
        <v>#N/A</v>
      </c>
      <c r="E2626" s="41" t="str">
        <f t="shared" si="249"/>
        <v/>
      </c>
      <c r="F2626" s="200"/>
      <c r="G2626" s="178" t="e">
        <f>IF($C$1077&gt;0,VLOOKUP($C2626,ENTI!$AL$4:AP$1003,5,FALSE),"")</f>
        <v>#N/A</v>
      </c>
      <c r="H2626" s="179" t="e">
        <f>IF($C$1077&gt;0,VLOOKUP($C2626,ENTI!$AL$4:AQ$1003,6,FALSE),"")</f>
        <v>#N/A</v>
      </c>
      <c r="I2626" s="187"/>
      <c r="J2626" s="140" t="e">
        <f ca="1">VLOOKUP(D2626,$F$1081:$I$4183,4,FALSE)+COUNTIF(E$1081:E2625,E2626)</f>
        <v>#N/A</v>
      </c>
      <c r="K2626" s="1"/>
      <c r="L2626" s="156"/>
      <c r="M2626" s="1"/>
      <c r="N2626" s="1"/>
      <c r="O2626" s="1"/>
    </row>
    <row r="2627" spans="1:15" hidden="1">
      <c r="A2627" s="1"/>
      <c r="B2627" s="197" t="e">
        <f t="shared" ca="1" si="250"/>
        <v>#N/A</v>
      </c>
      <c r="C2627" s="498">
        <v>561</v>
      </c>
      <c r="D2627" s="41" t="e">
        <f>IF($C$1077&gt;0,VLOOKUP($C2627,ENTI!$AL$4:AN$1003,3,FALSE),"")</f>
        <v>#N/A</v>
      </c>
      <c r="E2627" s="41" t="str">
        <f t="shared" si="249"/>
        <v/>
      </c>
      <c r="F2627" s="200"/>
      <c r="G2627" s="178" t="e">
        <f>IF($C$1077&gt;0,VLOOKUP($C2627,ENTI!$AL$4:AP$1003,5,FALSE),"")</f>
        <v>#N/A</v>
      </c>
      <c r="H2627" s="179" t="e">
        <f>IF($C$1077&gt;0,VLOOKUP($C2627,ENTI!$AL$4:AQ$1003,6,FALSE),"")</f>
        <v>#N/A</v>
      </c>
      <c r="I2627" s="187"/>
      <c r="J2627" s="140" t="e">
        <f ca="1">VLOOKUP(D2627,$F$1081:$I$4183,4,FALSE)+COUNTIF(E$1081:E2626,E2627)</f>
        <v>#N/A</v>
      </c>
      <c r="K2627" s="1"/>
      <c r="L2627" s="156"/>
      <c r="M2627" s="1"/>
      <c r="N2627" s="1"/>
      <c r="O2627" s="1"/>
    </row>
    <row r="2628" spans="1:15" hidden="1">
      <c r="A2628" s="1"/>
      <c r="B2628" s="197" t="e">
        <f t="shared" ca="1" si="250"/>
        <v>#N/A</v>
      </c>
      <c r="C2628" s="498">
        <v>562</v>
      </c>
      <c r="D2628" s="41" t="e">
        <f>IF($C$1077&gt;0,VLOOKUP($C2628,ENTI!$AL$4:AN$1003,3,FALSE),"")</f>
        <v>#N/A</v>
      </c>
      <c r="E2628" s="41" t="str">
        <f t="shared" si="249"/>
        <v/>
      </c>
      <c r="F2628" s="200"/>
      <c r="G2628" s="178" t="e">
        <f>IF($C$1077&gt;0,VLOOKUP($C2628,ENTI!$AL$4:AP$1003,5,FALSE),"")</f>
        <v>#N/A</v>
      </c>
      <c r="H2628" s="179" t="e">
        <f>IF($C$1077&gt;0,VLOOKUP($C2628,ENTI!$AL$4:AQ$1003,6,FALSE),"")</f>
        <v>#N/A</v>
      </c>
      <c r="I2628" s="187"/>
      <c r="J2628" s="140" t="e">
        <f ca="1">VLOOKUP(D2628,$F$1081:$I$4183,4,FALSE)+COUNTIF(E$1081:E2627,E2628)</f>
        <v>#N/A</v>
      </c>
      <c r="K2628" s="1"/>
      <c r="L2628" s="156"/>
      <c r="M2628" s="1"/>
      <c r="N2628" s="1"/>
      <c r="O2628" s="1"/>
    </row>
    <row r="2629" spans="1:15" hidden="1">
      <c r="A2629" s="1"/>
      <c r="B2629" s="197" t="e">
        <f t="shared" ca="1" si="250"/>
        <v>#N/A</v>
      </c>
      <c r="C2629" s="498">
        <v>563</v>
      </c>
      <c r="D2629" s="41" t="e">
        <f>IF($C$1077&gt;0,VLOOKUP($C2629,ENTI!$AL$4:AN$1003,3,FALSE),"")</f>
        <v>#N/A</v>
      </c>
      <c r="E2629" s="41" t="str">
        <f t="shared" si="249"/>
        <v/>
      </c>
      <c r="F2629" s="200"/>
      <c r="G2629" s="178" t="e">
        <f>IF($C$1077&gt;0,VLOOKUP($C2629,ENTI!$AL$4:AP$1003,5,FALSE),"")</f>
        <v>#N/A</v>
      </c>
      <c r="H2629" s="179" t="e">
        <f>IF($C$1077&gt;0,VLOOKUP($C2629,ENTI!$AL$4:AQ$1003,6,FALSE),"")</f>
        <v>#N/A</v>
      </c>
      <c r="I2629" s="187"/>
      <c r="J2629" s="140" t="e">
        <f ca="1">VLOOKUP(D2629,$F$1081:$I$4183,4,FALSE)+COUNTIF(E$1081:E2628,E2629)</f>
        <v>#N/A</v>
      </c>
      <c r="K2629" s="1"/>
      <c r="L2629" s="156"/>
      <c r="M2629" s="1"/>
      <c r="N2629" s="1"/>
      <c r="O2629" s="1"/>
    </row>
    <row r="2630" spans="1:15" hidden="1">
      <c r="A2630" s="1"/>
      <c r="B2630" s="197" t="e">
        <f t="shared" ca="1" si="250"/>
        <v>#N/A</v>
      </c>
      <c r="C2630" s="498">
        <v>564</v>
      </c>
      <c r="D2630" s="41" t="e">
        <f>IF($C$1077&gt;0,VLOOKUP($C2630,ENTI!$AL$4:AN$1003,3,FALSE),"")</f>
        <v>#N/A</v>
      </c>
      <c r="E2630" s="41" t="str">
        <f t="shared" si="249"/>
        <v/>
      </c>
      <c r="F2630" s="200"/>
      <c r="G2630" s="178" t="e">
        <f>IF($C$1077&gt;0,VLOOKUP($C2630,ENTI!$AL$4:AP$1003,5,FALSE),"")</f>
        <v>#N/A</v>
      </c>
      <c r="H2630" s="179" t="e">
        <f>IF($C$1077&gt;0,VLOOKUP($C2630,ENTI!$AL$4:AQ$1003,6,FALSE),"")</f>
        <v>#N/A</v>
      </c>
      <c r="I2630" s="187"/>
      <c r="J2630" s="140" t="e">
        <f ca="1">VLOOKUP(D2630,$F$1081:$I$4183,4,FALSE)+COUNTIF(E$1081:E2629,E2630)</f>
        <v>#N/A</v>
      </c>
      <c r="K2630" s="1"/>
      <c r="L2630" s="156"/>
      <c r="M2630" s="1"/>
      <c r="N2630" s="1"/>
      <c r="O2630" s="1"/>
    </row>
    <row r="2631" spans="1:15" hidden="1">
      <c r="A2631" s="1"/>
      <c r="B2631" s="197" t="e">
        <f t="shared" ca="1" si="250"/>
        <v>#N/A</v>
      </c>
      <c r="C2631" s="498">
        <v>565</v>
      </c>
      <c r="D2631" s="41" t="e">
        <f>IF($C$1077&gt;0,VLOOKUP($C2631,ENTI!$AL$4:AN$1003,3,FALSE),"")</f>
        <v>#N/A</v>
      </c>
      <c r="E2631" s="41" t="str">
        <f t="shared" si="249"/>
        <v/>
      </c>
      <c r="F2631" s="200"/>
      <c r="G2631" s="178" t="e">
        <f>IF($C$1077&gt;0,VLOOKUP($C2631,ENTI!$AL$4:AP$1003,5,FALSE),"")</f>
        <v>#N/A</v>
      </c>
      <c r="H2631" s="179" t="e">
        <f>IF($C$1077&gt;0,VLOOKUP($C2631,ENTI!$AL$4:AQ$1003,6,FALSE),"")</f>
        <v>#N/A</v>
      </c>
      <c r="I2631" s="187"/>
      <c r="J2631" s="140" t="e">
        <f ca="1">VLOOKUP(D2631,$F$1081:$I$4183,4,FALSE)+COUNTIF(E$1081:E2630,E2631)</f>
        <v>#N/A</v>
      </c>
      <c r="K2631" s="1"/>
      <c r="L2631" s="156"/>
      <c r="M2631" s="1"/>
      <c r="N2631" s="1"/>
      <c r="O2631" s="1"/>
    </row>
    <row r="2632" spans="1:15" hidden="1">
      <c r="A2632" s="1"/>
      <c r="B2632" s="197" t="e">
        <f t="shared" ca="1" si="250"/>
        <v>#N/A</v>
      </c>
      <c r="C2632" s="498">
        <v>566</v>
      </c>
      <c r="D2632" s="41" t="e">
        <f>IF($C$1077&gt;0,VLOOKUP($C2632,ENTI!$AL$4:AN$1003,3,FALSE),"")</f>
        <v>#N/A</v>
      </c>
      <c r="E2632" s="41" t="str">
        <f t="shared" si="249"/>
        <v/>
      </c>
      <c r="F2632" s="200"/>
      <c r="G2632" s="178" t="e">
        <f>IF($C$1077&gt;0,VLOOKUP($C2632,ENTI!$AL$4:AP$1003,5,FALSE),"")</f>
        <v>#N/A</v>
      </c>
      <c r="H2632" s="179" t="e">
        <f>IF($C$1077&gt;0,VLOOKUP($C2632,ENTI!$AL$4:AQ$1003,6,FALSE),"")</f>
        <v>#N/A</v>
      </c>
      <c r="I2632" s="187"/>
      <c r="J2632" s="140" t="e">
        <f ca="1">VLOOKUP(D2632,$F$1081:$I$4183,4,FALSE)+COUNTIF(E$1081:E2631,E2632)</f>
        <v>#N/A</v>
      </c>
      <c r="K2632" s="1"/>
      <c r="L2632" s="156"/>
      <c r="M2632" s="1"/>
      <c r="N2632" s="1"/>
      <c r="O2632" s="1"/>
    </row>
    <row r="2633" spans="1:15" hidden="1">
      <c r="A2633" s="1"/>
      <c r="B2633" s="197" t="e">
        <f t="shared" ca="1" si="250"/>
        <v>#N/A</v>
      </c>
      <c r="C2633" s="498">
        <v>567</v>
      </c>
      <c r="D2633" s="41" t="e">
        <f>IF($C$1077&gt;0,VLOOKUP($C2633,ENTI!$AL$4:AN$1003,3,FALSE),"")</f>
        <v>#N/A</v>
      </c>
      <c r="E2633" s="41" t="str">
        <f t="shared" si="249"/>
        <v/>
      </c>
      <c r="F2633" s="200"/>
      <c r="G2633" s="178" t="e">
        <f>IF($C$1077&gt;0,VLOOKUP($C2633,ENTI!$AL$4:AP$1003,5,FALSE),"")</f>
        <v>#N/A</v>
      </c>
      <c r="H2633" s="179" t="e">
        <f>IF($C$1077&gt;0,VLOOKUP($C2633,ENTI!$AL$4:AQ$1003,6,FALSE),"")</f>
        <v>#N/A</v>
      </c>
      <c r="I2633" s="187"/>
      <c r="J2633" s="140" t="e">
        <f ca="1">VLOOKUP(D2633,$F$1081:$I$4183,4,FALSE)+COUNTIF(E$1081:E2632,E2633)</f>
        <v>#N/A</v>
      </c>
      <c r="K2633" s="1"/>
      <c r="L2633" s="156"/>
      <c r="M2633" s="1"/>
      <c r="N2633" s="1"/>
      <c r="O2633" s="1"/>
    </row>
    <row r="2634" spans="1:15" hidden="1">
      <c r="A2634" s="1"/>
      <c r="B2634" s="197" t="e">
        <f t="shared" ca="1" si="250"/>
        <v>#N/A</v>
      </c>
      <c r="C2634" s="498">
        <v>568</v>
      </c>
      <c r="D2634" s="41" t="e">
        <f>IF($C$1077&gt;0,VLOOKUP($C2634,ENTI!$AL$4:AN$1003,3,FALSE),"")</f>
        <v>#N/A</v>
      </c>
      <c r="E2634" s="41" t="str">
        <f t="shared" si="249"/>
        <v/>
      </c>
      <c r="F2634" s="200"/>
      <c r="G2634" s="178" t="e">
        <f>IF($C$1077&gt;0,VLOOKUP($C2634,ENTI!$AL$4:AP$1003,5,FALSE),"")</f>
        <v>#N/A</v>
      </c>
      <c r="H2634" s="179" t="e">
        <f>IF($C$1077&gt;0,VLOOKUP($C2634,ENTI!$AL$4:AQ$1003,6,FALSE),"")</f>
        <v>#N/A</v>
      </c>
      <c r="I2634" s="187"/>
      <c r="J2634" s="140" t="e">
        <f ca="1">VLOOKUP(D2634,$F$1081:$I$4183,4,FALSE)+COUNTIF(E$1081:E2633,E2634)</f>
        <v>#N/A</v>
      </c>
      <c r="K2634" s="1"/>
      <c r="L2634" s="156"/>
      <c r="M2634" s="1"/>
      <c r="N2634" s="1"/>
      <c r="O2634" s="1"/>
    </row>
    <row r="2635" spans="1:15" hidden="1">
      <c r="A2635" s="1"/>
      <c r="B2635" s="197" t="e">
        <f t="shared" ca="1" si="250"/>
        <v>#N/A</v>
      </c>
      <c r="C2635" s="498">
        <v>569</v>
      </c>
      <c r="D2635" s="41" t="e">
        <f>IF($C$1077&gt;0,VLOOKUP($C2635,ENTI!$AL$4:AN$1003,3,FALSE),"")</f>
        <v>#N/A</v>
      </c>
      <c r="E2635" s="41" t="str">
        <f t="shared" si="249"/>
        <v/>
      </c>
      <c r="F2635" s="200"/>
      <c r="G2635" s="178" t="e">
        <f>IF($C$1077&gt;0,VLOOKUP($C2635,ENTI!$AL$4:AP$1003,5,FALSE),"")</f>
        <v>#N/A</v>
      </c>
      <c r="H2635" s="179" t="e">
        <f>IF($C$1077&gt;0,VLOOKUP($C2635,ENTI!$AL$4:AQ$1003,6,FALSE),"")</f>
        <v>#N/A</v>
      </c>
      <c r="I2635" s="187"/>
      <c r="J2635" s="140" t="e">
        <f ca="1">VLOOKUP(D2635,$F$1081:$I$4183,4,FALSE)+COUNTIF(E$1081:E2634,E2635)</f>
        <v>#N/A</v>
      </c>
      <c r="K2635" s="1"/>
      <c r="L2635" s="156"/>
      <c r="M2635" s="1"/>
      <c r="N2635" s="1"/>
      <c r="O2635" s="1"/>
    </row>
    <row r="2636" spans="1:15" hidden="1">
      <c r="A2636" s="1"/>
      <c r="B2636" s="197" t="e">
        <f t="shared" ca="1" si="250"/>
        <v>#N/A</v>
      </c>
      <c r="C2636" s="498">
        <v>570</v>
      </c>
      <c r="D2636" s="41" t="e">
        <f>IF($C$1077&gt;0,VLOOKUP($C2636,ENTI!$AL$4:AN$1003,3,FALSE),"")</f>
        <v>#N/A</v>
      </c>
      <c r="E2636" s="41" t="str">
        <f t="shared" si="249"/>
        <v/>
      </c>
      <c r="F2636" s="200"/>
      <c r="G2636" s="178" t="e">
        <f>IF($C$1077&gt;0,VLOOKUP($C2636,ENTI!$AL$4:AP$1003,5,FALSE),"")</f>
        <v>#N/A</v>
      </c>
      <c r="H2636" s="179" t="e">
        <f>IF($C$1077&gt;0,VLOOKUP($C2636,ENTI!$AL$4:AQ$1003,6,FALSE),"")</f>
        <v>#N/A</v>
      </c>
      <c r="I2636" s="187"/>
      <c r="J2636" s="140" t="e">
        <f ca="1">VLOOKUP(D2636,$F$1081:$I$4183,4,FALSE)+COUNTIF(E$1081:E2635,E2636)</f>
        <v>#N/A</v>
      </c>
      <c r="K2636" s="1"/>
      <c r="L2636" s="156"/>
      <c r="M2636" s="1"/>
      <c r="N2636" s="1"/>
      <c r="O2636" s="1"/>
    </row>
    <row r="2637" spans="1:15" hidden="1">
      <c r="A2637" s="1"/>
      <c r="B2637" s="197" t="e">
        <f t="shared" ca="1" si="250"/>
        <v>#N/A</v>
      </c>
      <c r="C2637" s="498">
        <v>571</v>
      </c>
      <c r="D2637" s="41" t="e">
        <f>IF($C$1077&gt;0,VLOOKUP($C2637,ENTI!$AL$4:AN$1003,3,FALSE),"")</f>
        <v>#N/A</v>
      </c>
      <c r="E2637" s="41" t="str">
        <f t="shared" si="249"/>
        <v/>
      </c>
      <c r="F2637" s="200"/>
      <c r="G2637" s="178" t="e">
        <f>IF($C$1077&gt;0,VLOOKUP($C2637,ENTI!$AL$4:AP$1003,5,FALSE),"")</f>
        <v>#N/A</v>
      </c>
      <c r="H2637" s="179" t="e">
        <f>IF($C$1077&gt;0,VLOOKUP($C2637,ENTI!$AL$4:AQ$1003,6,FALSE),"")</f>
        <v>#N/A</v>
      </c>
      <c r="I2637" s="187"/>
      <c r="J2637" s="140" t="e">
        <f ca="1">VLOOKUP(D2637,$F$1081:$I$4183,4,FALSE)+COUNTIF(E$1081:E2636,E2637)</f>
        <v>#N/A</v>
      </c>
      <c r="K2637" s="1"/>
      <c r="L2637" s="156"/>
      <c r="M2637" s="1"/>
      <c r="N2637" s="1"/>
      <c r="O2637" s="1"/>
    </row>
    <row r="2638" spans="1:15" hidden="1">
      <c r="A2638" s="1"/>
      <c r="B2638" s="197" t="e">
        <f t="shared" ca="1" si="250"/>
        <v>#N/A</v>
      </c>
      <c r="C2638" s="498">
        <v>572</v>
      </c>
      <c r="D2638" s="41" t="e">
        <f>IF($C$1077&gt;0,VLOOKUP($C2638,ENTI!$AL$4:AN$1003,3,FALSE),"")</f>
        <v>#N/A</v>
      </c>
      <c r="E2638" s="41" t="str">
        <f t="shared" si="249"/>
        <v/>
      </c>
      <c r="F2638" s="200"/>
      <c r="G2638" s="178" t="e">
        <f>IF($C$1077&gt;0,VLOOKUP($C2638,ENTI!$AL$4:AP$1003,5,FALSE),"")</f>
        <v>#N/A</v>
      </c>
      <c r="H2638" s="179" t="e">
        <f>IF($C$1077&gt;0,VLOOKUP($C2638,ENTI!$AL$4:AQ$1003,6,FALSE),"")</f>
        <v>#N/A</v>
      </c>
      <c r="I2638" s="187"/>
      <c r="J2638" s="140" t="e">
        <f ca="1">VLOOKUP(D2638,$F$1081:$I$4183,4,FALSE)+COUNTIF(E$1081:E2637,E2638)</f>
        <v>#N/A</v>
      </c>
      <c r="K2638" s="1"/>
      <c r="L2638" s="156"/>
      <c r="M2638" s="1"/>
      <c r="N2638" s="1"/>
      <c r="O2638" s="1"/>
    </row>
    <row r="2639" spans="1:15" hidden="1">
      <c r="A2639" s="1"/>
      <c r="B2639" s="197" t="e">
        <f t="shared" ca="1" si="250"/>
        <v>#N/A</v>
      </c>
      <c r="C2639" s="498">
        <v>573</v>
      </c>
      <c r="D2639" s="41" t="e">
        <f>IF($C$1077&gt;0,VLOOKUP($C2639,ENTI!$AL$4:AN$1003,3,FALSE),"")</f>
        <v>#N/A</v>
      </c>
      <c r="E2639" s="41" t="str">
        <f t="shared" ref="E2639:E2702" si="251">IF(ISERROR(D2639),"",D2639)</f>
        <v/>
      </c>
      <c r="F2639" s="200"/>
      <c r="G2639" s="178" t="e">
        <f>IF($C$1077&gt;0,VLOOKUP($C2639,ENTI!$AL$4:AP$1003,5,FALSE),"")</f>
        <v>#N/A</v>
      </c>
      <c r="H2639" s="179" t="e">
        <f>IF($C$1077&gt;0,VLOOKUP($C2639,ENTI!$AL$4:AQ$1003,6,FALSE),"")</f>
        <v>#N/A</v>
      </c>
      <c r="I2639" s="187"/>
      <c r="J2639" s="140" t="e">
        <f ca="1">VLOOKUP(D2639,$F$1081:$I$4183,4,FALSE)+COUNTIF(E$1081:E2638,E2639)</f>
        <v>#N/A</v>
      </c>
      <c r="K2639" s="1"/>
      <c r="L2639" s="156"/>
      <c r="M2639" s="1"/>
      <c r="N2639" s="1"/>
      <c r="O2639" s="1"/>
    </row>
    <row r="2640" spans="1:15" hidden="1">
      <c r="A2640" s="1"/>
      <c r="B2640" s="197" t="e">
        <f t="shared" ca="1" si="250"/>
        <v>#N/A</v>
      </c>
      <c r="C2640" s="498">
        <v>574</v>
      </c>
      <c r="D2640" s="41" t="e">
        <f>IF($C$1077&gt;0,VLOOKUP($C2640,ENTI!$AL$4:AN$1003,3,FALSE),"")</f>
        <v>#N/A</v>
      </c>
      <c r="E2640" s="41" t="str">
        <f t="shared" si="251"/>
        <v/>
      </c>
      <c r="F2640" s="200"/>
      <c r="G2640" s="178" t="e">
        <f>IF($C$1077&gt;0,VLOOKUP($C2640,ENTI!$AL$4:AP$1003,5,FALSE),"")</f>
        <v>#N/A</v>
      </c>
      <c r="H2640" s="179" t="e">
        <f>IF($C$1077&gt;0,VLOOKUP($C2640,ENTI!$AL$4:AQ$1003,6,FALSE),"")</f>
        <v>#N/A</v>
      </c>
      <c r="I2640" s="187"/>
      <c r="J2640" s="140" t="e">
        <f ca="1">VLOOKUP(D2640,$F$1081:$I$4183,4,FALSE)+COUNTIF(E$1081:E2639,E2640)</f>
        <v>#N/A</v>
      </c>
      <c r="K2640" s="1"/>
      <c r="L2640" s="156"/>
      <c r="M2640" s="1"/>
      <c r="N2640" s="1"/>
      <c r="O2640" s="1"/>
    </row>
    <row r="2641" spans="1:15" hidden="1">
      <c r="A2641" s="1"/>
      <c r="B2641" s="197" t="e">
        <f t="shared" ca="1" si="250"/>
        <v>#N/A</v>
      </c>
      <c r="C2641" s="498">
        <v>575</v>
      </c>
      <c r="D2641" s="41" t="e">
        <f>IF($C$1077&gt;0,VLOOKUP($C2641,ENTI!$AL$4:AN$1003,3,FALSE),"")</f>
        <v>#N/A</v>
      </c>
      <c r="E2641" s="41" t="str">
        <f t="shared" si="251"/>
        <v/>
      </c>
      <c r="F2641" s="200"/>
      <c r="G2641" s="178" t="e">
        <f>IF($C$1077&gt;0,VLOOKUP($C2641,ENTI!$AL$4:AP$1003,5,FALSE),"")</f>
        <v>#N/A</v>
      </c>
      <c r="H2641" s="179" t="e">
        <f>IF($C$1077&gt;0,VLOOKUP($C2641,ENTI!$AL$4:AQ$1003,6,FALSE),"")</f>
        <v>#N/A</v>
      </c>
      <c r="I2641" s="187"/>
      <c r="J2641" s="140" t="e">
        <f ca="1">VLOOKUP(D2641,$F$1081:$I$4183,4,FALSE)+COUNTIF(E$1081:E2640,E2641)</f>
        <v>#N/A</v>
      </c>
      <c r="K2641" s="1"/>
      <c r="L2641" s="156"/>
      <c r="M2641" s="1"/>
      <c r="N2641" s="1"/>
      <c r="O2641" s="1"/>
    </row>
    <row r="2642" spans="1:15" hidden="1">
      <c r="A2642" s="1"/>
      <c r="B2642" s="197" t="e">
        <f t="shared" ca="1" si="250"/>
        <v>#N/A</v>
      </c>
      <c r="C2642" s="498">
        <v>576</v>
      </c>
      <c r="D2642" s="41" t="e">
        <f>IF($C$1077&gt;0,VLOOKUP($C2642,ENTI!$AL$4:AN$1003,3,FALSE),"")</f>
        <v>#N/A</v>
      </c>
      <c r="E2642" s="41" t="str">
        <f t="shared" si="251"/>
        <v/>
      </c>
      <c r="F2642" s="200"/>
      <c r="G2642" s="178" t="e">
        <f>IF($C$1077&gt;0,VLOOKUP($C2642,ENTI!$AL$4:AP$1003,5,FALSE),"")</f>
        <v>#N/A</v>
      </c>
      <c r="H2642" s="179" t="e">
        <f>IF($C$1077&gt;0,VLOOKUP($C2642,ENTI!$AL$4:AQ$1003,6,FALSE),"")</f>
        <v>#N/A</v>
      </c>
      <c r="I2642" s="187"/>
      <c r="J2642" s="140" t="e">
        <f ca="1">VLOOKUP(D2642,$F$1081:$I$4183,4,FALSE)+COUNTIF(E$1081:E2641,E2642)</f>
        <v>#N/A</v>
      </c>
      <c r="K2642" s="1"/>
      <c r="L2642" s="156"/>
      <c r="M2642" s="1"/>
      <c r="N2642" s="1"/>
      <c r="O2642" s="1"/>
    </row>
    <row r="2643" spans="1:15" hidden="1">
      <c r="A2643" s="1"/>
      <c r="B2643" s="197" t="e">
        <f t="shared" ca="1" si="250"/>
        <v>#N/A</v>
      </c>
      <c r="C2643" s="498">
        <v>577</v>
      </c>
      <c r="D2643" s="41" t="e">
        <f>IF($C$1077&gt;0,VLOOKUP($C2643,ENTI!$AL$4:AN$1003,3,FALSE),"")</f>
        <v>#N/A</v>
      </c>
      <c r="E2643" s="41" t="str">
        <f t="shared" si="251"/>
        <v/>
      </c>
      <c r="F2643" s="200"/>
      <c r="G2643" s="178" t="e">
        <f>IF($C$1077&gt;0,VLOOKUP($C2643,ENTI!$AL$4:AP$1003,5,FALSE),"")</f>
        <v>#N/A</v>
      </c>
      <c r="H2643" s="179" t="e">
        <f>IF($C$1077&gt;0,VLOOKUP($C2643,ENTI!$AL$4:AQ$1003,6,FALSE),"")</f>
        <v>#N/A</v>
      </c>
      <c r="I2643" s="187"/>
      <c r="J2643" s="140" t="e">
        <f ca="1">VLOOKUP(D2643,$F$1081:$I$4183,4,FALSE)+COUNTIF(E$1081:E2642,E2643)</f>
        <v>#N/A</v>
      </c>
      <c r="K2643" s="1"/>
      <c r="L2643" s="156"/>
      <c r="M2643" s="1"/>
      <c r="N2643" s="1"/>
      <c r="O2643" s="1"/>
    </row>
    <row r="2644" spans="1:15" hidden="1">
      <c r="A2644" s="1"/>
      <c r="B2644" s="197" t="e">
        <f t="shared" ca="1" si="250"/>
        <v>#N/A</v>
      </c>
      <c r="C2644" s="498">
        <v>578</v>
      </c>
      <c r="D2644" s="41" t="e">
        <f>IF($C$1077&gt;0,VLOOKUP($C2644,ENTI!$AL$4:AN$1003,3,FALSE),"")</f>
        <v>#N/A</v>
      </c>
      <c r="E2644" s="41" t="str">
        <f t="shared" si="251"/>
        <v/>
      </c>
      <c r="F2644" s="200"/>
      <c r="G2644" s="178" t="e">
        <f>IF($C$1077&gt;0,VLOOKUP($C2644,ENTI!$AL$4:AP$1003,5,FALSE),"")</f>
        <v>#N/A</v>
      </c>
      <c r="H2644" s="179" t="e">
        <f>IF($C$1077&gt;0,VLOOKUP($C2644,ENTI!$AL$4:AQ$1003,6,FALSE),"")</f>
        <v>#N/A</v>
      </c>
      <c r="I2644" s="187"/>
      <c r="J2644" s="140" t="e">
        <f ca="1">VLOOKUP(D2644,$F$1081:$I$4183,4,FALSE)+COUNTIF(E$1081:E2643,E2644)</f>
        <v>#N/A</v>
      </c>
      <c r="K2644" s="1"/>
      <c r="L2644" s="156"/>
      <c r="M2644" s="1"/>
      <c r="N2644" s="1"/>
      <c r="O2644" s="1"/>
    </row>
    <row r="2645" spans="1:15" hidden="1">
      <c r="A2645" s="1"/>
      <c r="B2645" s="197" t="e">
        <f t="shared" ca="1" si="250"/>
        <v>#N/A</v>
      </c>
      <c r="C2645" s="498">
        <v>579</v>
      </c>
      <c r="D2645" s="41" t="e">
        <f>IF($C$1077&gt;0,VLOOKUP($C2645,ENTI!$AL$4:AN$1003,3,FALSE),"")</f>
        <v>#N/A</v>
      </c>
      <c r="E2645" s="41" t="str">
        <f t="shared" si="251"/>
        <v/>
      </c>
      <c r="F2645" s="200"/>
      <c r="G2645" s="178" t="e">
        <f>IF($C$1077&gt;0,VLOOKUP($C2645,ENTI!$AL$4:AP$1003,5,FALSE),"")</f>
        <v>#N/A</v>
      </c>
      <c r="H2645" s="179" t="e">
        <f>IF($C$1077&gt;0,VLOOKUP($C2645,ENTI!$AL$4:AQ$1003,6,FALSE),"")</f>
        <v>#N/A</v>
      </c>
      <c r="I2645" s="187"/>
      <c r="J2645" s="140" t="e">
        <f ca="1">VLOOKUP(D2645,$F$1081:$I$4183,4,FALSE)+COUNTIF(E$1081:E2644,E2645)</f>
        <v>#N/A</v>
      </c>
      <c r="K2645" s="1"/>
      <c r="L2645" s="156"/>
      <c r="M2645" s="1"/>
      <c r="N2645" s="1"/>
      <c r="O2645" s="1"/>
    </row>
    <row r="2646" spans="1:15" hidden="1">
      <c r="A2646" s="1"/>
      <c r="B2646" s="197" t="e">
        <f t="shared" ca="1" si="250"/>
        <v>#N/A</v>
      </c>
      <c r="C2646" s="498">
        <v>580</v>
      </c>
      <c r="D2646" s="41" t="e">
        <f>IF($C$1077&gt;0,VLOOKUP($C2646,ENTI!$AL$4:AN$1003,3,FALSE),"")</f>
        <v>#N/A</v>
      </c>
      <c r="E2646" s="41" t="str">
        <f t="shared" si="251"/>
        <v/>
      </c>
      <c r="F2646" s="200"/>
      <c r="G2646" s="178" t="e">
        <f>IF($C$1077&gt;0,VLOOKUP($C2646,ENTI!$AL$4:AP$1003,5,FALSE),"")</f>
        <v>#N/A</v>
      </c>
      <c r="H2646" s="179" t="e">
        <f>IF($C$1077&gt;0,VLOOKUP($C2646,ENTI!$AL$4:AQ$1003,6,FALSE),"")</f>
        <v>#N/A</v>
      </c>
      <c r="I2646" s="187"/>
      <c r="J2646" s="140" t="e">
        <f ca="1">VLOOKUP(D2646,$F$1081:$I$4183,4,FALSE)+COUNTIF(E$1081:E2645,E2646)</f>
        <v>#N/A</v>
      </c>
      <c r="K2646" s="1"/>
      <c r="L2646" s="156"/>
      <c r="M2646" s="1"/>
      <c r="N2646" s="1"/>
      <c r="O2646" s="1"/>
    </row>
    <row r="2647" spans="1:15" hidden="1">
      <c r="A2647" s="1"/>
      <c r="B2647" s="197" t="e">
        <f t="shared" ca="1" si="250"/>
        <v>#N/A</v>
      </c>
      <c r="C2647" s="498">
        <v>581</v>
      </c>
      <c r="D2647" s="41" t="e">
        <f>IF($C$1077&gt;0,VLOOKUP($C2647,ENTI!$AL$4:AN$1003,3,FALSE),"")</f>
        <v>#N/A</v>
      </c>
      <c r="E2647" s="41" t="str">
        <f t="shared" si="251"/>
        <v/>
      </c>
      <c r="F2647" s="200"/>
      <c r="G2647" s="178" t="e">
        <f>IF($C$1077&gt;0,VLOOKUP($C2647,ENTI!$AL$4:AP$1003,5,FALSE),"")</f>
        <v>#N/A</v>
      </c>
      <c r="H2647" s="179" t="e">
        <f>IF($C$1077&gt;0,VLOOKUP($C2647,ENTI!$AL$4:AQ$1003,6,FALSE),"")</f>
        <v>#N/A</v>
      </c>
      <c r="I2647" s="187"/>
      <c r="J2647" s="140" t="e">
        <f ca="1">VLOOKUP(D2647,$F$1081:$I$4183,4,FALSE)+COUNTIF(E$1081:E2646,E2647)</f>
        <v>#N/A</v>
      </c>
      <c r="K2647" s="1"/>
      <c r="L2647" s="156"/>
      <c r="M2647" s="1"/>
      <c r="N2647" s="1"/>
      <c r="O2647" s="1"/>
    </row>
    <row r="2648" spans="1:15" hidden="1">
      <c r="A2648" s="1"/>
      <c r="B2648" s="197" t="e">
        <f t="shared" ca="1" si="250"/>
        <v>#N/A</v>
      </c>
      <c r="C2648" s="498">
        <v>582</v>
      </c>
      <c r="D2648" s="41" t="e">
        <f>IF($C$1077&gt;0,VLOOKUP($C2648,ENTI!$AL$4:AN$1003,3,FALSE),"")</f>
        <v>#N/A</v>
      </c>
      <c r="E2648" s="41" t="str">
        <f t="shared" si="251"/>
        <v/>
      </c>
      <c r="F2648" s="200"/>
      <c r="G2648" s="178" t="e">
        <f>IF($C$1077&gt;0,VLOOKUP($C2648,ENTI!$AL$4:AP$1003,5,FALSE),"")</f>
        <v>#N/A</v>
      </c>
      <c r="H2648" s="179" t="e">
        <f>IF($C$1077&gt;0,VLOOKUP($C2648,ENTI!$AL$4:AQ$1003,6,FALSE),"")</f>
        <v>#N/A</v>
      </c>
      <c r="I2648" s="187"/>
      <c r="J2648" s="140" t="e">
        <f ca="1">VLOOKUP(D2648,$F$1081:$I$4183,4,FALSE)+COUNTIF(E$1081:E2647,E2648)</f>
        <v>#N/A</v>
      </c>
      <c r="K2648" s="1"/>
      <c r="L2648" s="156"/>
      <c r="M2648" s="1"/>
      <c r="N2648" s="1"/>
      <c r="O2648" s="1"/>
    </row>
    <row r="2649" spans="1:15" hidden="1">
      <c r="A2649" s="1"/>
      <c r="B2649" s="197" t="e">
        <f t="shared" ref="B2649:B2712" ca="1" si="252">IF(OR(C$1075&gt;0,C$1077&gt;0,C$1073&gt;0,C$1071&gt;0),J2649+1,J2649)</f>
        <v>#N/A</v>
      </c>
      <c r="C2649" s="498">
        <v>583</v>
      </c>
      <c r="D2649" s="41" t="e">
        <f>IF($C$1077&gt;0,VLOOKUP($C2649,ENTI!$AL$4:AN$1003,3,FALSE),"")</f>
        <v>#N/A</v>
      </c>
      <c r="E2649" s="41" t="str">
        <f t="shared" si="251"/>
        <v/>
      </c>
      <c r="F2649" s="200"/>
      <c r="G2649" s="178" t="e">
        <f>IF($C$1077&gt;0,VLOOKUP($C2649,ENTI!$AL$4:AP$1003,5,FALSE),"")</f>
        <v>#N/A</v>
      </c>
      <c r="H2649" s="179" t="e">
        <f>IF($C$1077&gt;0,VLOOKUP($C2649,ENTI!$AL$4:AQ$1003,6,FALSE),"")</f>
        <v>#N/A</v>
      </c>
      <c r="I2649" s="187"/>
      <c r="J2649" s="140" t="e">
        <f ca="1">VLOOKUP(D2649,$F$1081:$I$4183,4,FALSE)+COUNTIF(E$1081:E2648,E2649)</f>
        <v>#N/A</v>
      </c>
      <c r="K2649" s="1"/>
      <c r="L2649" s="156"/>
      <c r="M2649" s="1"/>
      <c r="N2649" s="1"/>
      <c r="O2649" s="1"/>
    </row>
    <row r="2650" spans="1:15" hidden="1">
      <c r="A2650" s="1"/>
      <c r="B2650" s="197" t="e">
        <f t="shared" ca="1" si="252"/>
        <v>#N/A</v>
      </c>
      <c r="C2650" s="498">
        <v>584</v>
      </c>
      <c r="D2650" s="41" t="e">
        <f>IF($C$1077&gt;0,VLOOKUP($C2650,ENTI!$AL$4:AN$1003,3,FALSE),"")</f>
        <v>#N/A</v>
      </c>
      <c r="E2650" s="41" t="str">
        <f t="shared" si="251"/>
        <v/>
      </c>
      <c r="F2650" s="200"/>
      <c r="G2650" s="178" t="e">
        <f>IF($C$1077&gt;0,VLOOKUP($C2650,ENTI!$AL$4:AP$1003,5,FALSE),"")</f>
        <v>#N/A</v>
      </c>
      <c r="H2650" s="179" t="e">
        <f>IF($C$1077&gt;0,VLOOKUP($C2650,ENTI!$AL$4:AQ$1003,6,FALSE),"")</f>
        <v>#N/A</v>
      </c>
      <c r="I2650" s="187"/>
      <c r="J2650" s="140" t="e">
        <f ca="1">VLOOKUP(D2650,$F$1081:$I$4183,4,FALSE)+COUNTIF(E$1081:E2649,E2650)</f>
        <v>#N/A</v>
      </c>
      <c r="K2650" s="1"/>
      <c r="L2650" s="156"/>
      <c r="M2650" s="1"/>
      <c r="N2650" s="1"/>
      <c r="O2650" s="1"/>
    </row>
    <row r="2651" spans="1:15" hidden="1">
      <c r="A2651" s="1"/>
      <c r="B2651" s="197" t="e">
        <f t="shared" ca="1" si="252"/>
        <v>#N/A</v>
      </c>
      <c r="C2651" s="498">
        <v>585</v>
      </c>
      <c r="D2651" s="41" t="e">
        <f>IF($C$1077&gt;0,VLOOKUP($C2651,ENTI!$AL$4:AN$1003,3,FALSE),"")</f>
        <v>#N/A</v>
      </c>
      <c r="E2651" s="41" t="str">
        <f t="shared" si="251"/>
        <v/>
      </c>
      <c r="F2651" s="200"/>
      <c r="G2651" s="178" t="e">
        <f>IF($C$1077&gt;0,VLOOKUP($C2651,ENTI!$AL$4:AP$1003,5,FALSE),"")</f>
        <v>#N/A</v>
      </c>
      <c r="H2651" s="179" t="e">
        <f>IF($C$1077&gt;0,VLOOKUP($C2651,ENTI!$AL$4:AQ$1003,6,FALSE),"")</f>
        <v>#N/A</v>
      </c>
      <c r="I2651" s="187"/>
      <c r="J2651" s="140" t="e">
        <f ca="1">VLOOKUP(D2651,$F$1081:$I$4183,4,FALSE)+COUNTIF(E$1081:E2650,E2651)</f>
        <v>#N/A</v>
      </c>
      <c r="K2651" s="1"/>
      <c r="L2651" s="156"/>
      <c r="M2651" s="1"/>
      <c r="N2651" s="1"/>
      <c r="O2651" s="1"/>
    </row>
    <row r="2652" spans="1:15" hidden="1">
      <c r="A2652" s="1"/>
      <c r="B2652" s="197" t="e">
        <f t="shared" ca="1" si="252"/>
        <v>#N/A</v>
      </c>
      <c r="C2652" s="498">
        <v>586</v>
      </c>
      <c r="D2652" s="41" t="e">
        <f>IF($C$1077&gt;0,VLOOKUP($C2652,ENTI!$AL$4:AN$1003,3,FALSE),"")</f>
        <v>#N/A</v>
      </c>
      <c r="E2652" s="41" t="str">
        <f t="shared" si="251"/>
        <v/>
      </c>
      <c r="F2652" s="200"/>
      <c r="G2652" s="178" t="e">
        <f>IF($C$1077&gt;0,VLOOKUP($C2652,ENTI!$AL$4:AP$1003,5,FALSE),"")</f>
        <v>#N/A</v>
      </c>
      <c r="H2652" s="179" t="e">
        <f>IF($C$1077&gt;0,VLOOKUP($C2652,ENTI!$AL$4:AQ$1003,6,FALSE),"")</f>
        <v>#N/A</v>
      </c>
      <c r="I2652" s="187"/>
      <c r="J2652" s="140" t="e">
        <f ca="1">VLOOKUP(D2652,$F$1081:$I$4183,4,FALSE)+COUNTIF(E$1081:E2651,E2652)</f>
        <v>#N/A</v>
      </c>
      <c r="K2652" s="1"/>
      <c r="L2652" s="156"/>
      <c r="M2652" s="1"/>
      <c r="N2652" s="1"/>
      <c r="O2652" s="1"/>
    </row>
    <row r="2653" spans="1:15" hidden="1">
      <c r="A2653" s="1"/>
      <c r="B2653" s="197" t="e">
        <f t="shared" ca="1" si="252"/>
        <v>#N/A</v>
      </c>
      <c r="C2653" s="498">
        <v>587</v>
      </c>
      <c r="D2653" s="41" t="e">
        <f>IF($C$1077&gt;0,VLOOKUP($C2653,ENTI!$AL$4:AN$1003,3,FALSE),"")</f>
        <v>#N/A</v>
      </c>
      <c r="E2653" s="41" t="str">
        <f t="shared" si="251"/>
        <v/>
      </c>
      <c r="F2653" s="200"/>
      <c r="G2653" s="178" t="e">
        <f>IF($C$1077&gt;0,VLOOKUP($C2653,ENTI!$AL$4:AP$1003,5,FALSE),"")</f>
        <v>#N/A</v>
      </c>
      <c r="H2653" s="179" t="e">
        <f>IF($C$1077&gt;0,VLOOKUP($C2653,ENTI!$AL$4:AQ$1003,6,FALSE),"")</f>
        <v>#N/A</v>
      </c>
      <c r="I2653" s="187"/>
      <c r="J2653" s="140" t="e">
        <f ca="1">VLOOKUP(D2653,$F$1081:$I$4183,4,FALSE)+COUNTIF(E$1081:E2652,E2653)</f>
        <v>#N/A</v>
      </c>
      <c r="K2653" s="1"/>
      <c r="L2653" s="156"/>
      <c r="M2653" s="1"/>
      <c r="N2653" s="1"/>
      <c r="O2653" s="1"/>
    </row>
    <row r="2654" spans="1:15" hidden="1">
      <c r="A2654" s="1"/>
      <c r="B2654" s="197" t="e">
        <f t="shared" ca="1" si="252"/>
        <v>#N/A</v>
      </c>
      <c r="C2654" s="498">
        <v>588</v>
      </c>
      <c r="D2654" s="41" t="e">
        <f>IF($C$1077&gt;0,VLOOKUP($C2654,ENTI!$AL$4:AN$1003,3,FALSE),"")</f>
        <v>#N/A</v>
      </c>
      <c r="E2654" s="41" t="str">
        <f t="shared" si="251"/>
        <v/>
      </c>
      <c r="F2654" s="200"/>
      <c r="G2654" s="178" t="e">
        <f>IF($C$1077&gt;0,VLOOKUP($C2654,ENTI!$AL$4:AP$1003,5,FALSE),"")</f>
        <v>#N/A</v>
      </c>
      <c r="H2654" s="179" t="e">
        <f>IF($C$1077&gt;0,VLOOKUP($C2654,ENTI!$AL$4:AQ$1003,6,FALSE),"")</f>
        <v>#N/A</v>
      </c>
      <c r="I2654" s="187"/>
      <c r="J2654" s="140" t="e">
        <f ca="1">VLOOKUP(D2654,$F$1081:$I$4183,4,FALSE)+COUNTIF(E$1081:E2653,E2654)</f>
        <v>#N/A</v>
      </c>
      <c r="K2654" s="1"/>
      <c r="L2654" s="156"/>
      <c r="M2654" s="1"/>
      <c r="N2654" s="1"/>
      <c r="O2654" s="1"/>
    </row>
    <row r="2655" spans="1:15" hidden="1">
      <c r="A2655" s="1"/>
      <c r="B2655" s="197" t="e">
        <f t="shared" ca="1" si="252"/>
        <v>#N/A</v>
      </c>
      <c r="C2655" s="498">
        <v>589</v>
      </c>
      <c r="D2655" s="41" t="e">
        <f>IF($C$1077&gt;0,VLOOKUP($C2655,ENTI!$AL$4:AN$1003,3,FALSE),"")</f>
        <v>#N/A</v>
      </c>
      <c r="E2655" s="41" t="str">
        <f t="shared" si="251"/>
        <v/>
      </c>
      <c r="F2655" s="200"/>
      <c r="G2655" s="178" t="e">
        <f>IF($C$1077&gt;0,VLOOKUP($C2655,ENTI!$AL$4:AP$1003,5,FALSE),"")</f>
        <v>#N/A</v>
      </c>
      <c r="H2655" s="179" t="e">
        <f>IF($C$1077&gt;0,VLOOKUP($C2655,ENTI!$AL$4:AQ$1003,6,FALSE),"")</f>
        <v>#N/A</v>
      </c>
      <c r="I2655" s="187"/>
      <c r="J2655" s="140" t="e">
        <f ca="1">VLOOKUP(D2655,$F$1081:$I$4183,4,FALSE)+COUNTIF(E$1081:E2654,E2655)</f>
        <v>#N/A</v>
      </c>
      <c r="K2655" s="1"/>
      <c r="L2655" s="156"/>
      <c r="M2655" s="1"/>
      <c r="N2655" s="1"/>
      <c r="O2655" s="1"/>
    </row>
    <row r="2656" spans="1:15" hidden="1">
      <c r="A2656" s="1"/>
      <c r="B2656" s="197" t="e">
        <f t="shared" ca="1" si="252"/>
        <v>#N/A</v>
      </c>
      <c r="C2656" s="498">
        <v>590</v>
      </c>
      <c r="D2656" s="41" t="e">
        <f>IF($C$1077&gt;0,VLOOKUP($C2656,ENTI!$AL$4:AN$1003,3,FALSE),"")</f>
        <v>#N/A</v>
      </c>
      <c r="E2656" s="41" t="str">
        <f t="shared" si="251"/>
        <v/>
      </c>
      <c r="F2656" s="200"/>
      <c r="G2656" s="178" t="e">
        <f>IF($C$1077&gt;0,VLOOKUP($C2656,ENTI!$AL$4:AP$1003,5,FALSE),"")</f>
        <v>#N/A</v>
      </c>
      <c r="H2656" s="179" t="e">
        <f>IF($C$1077&gt;0,VLOOKUP($C2656,ENTI!$AL$4:AQ$1003,6,FALSE),"")</f>
        <v>#N/A</v>
      </c>
      <c r="I2656" s="187"/>
      <c r="J2656" s="140" t="e">
        <f ca="1">VLOOKUP(D2656,$F$1081:$I$4183,4,FALSE)+COUNTIF(E$1081:E2655,E2656)</f>
        <v>#N/A</v>
      </c>
      <c r="K2656" s="1"/>
      <c r="L2656" s="156"/>
      <c r="M2656" s="1"/>
      <c r="N2656" s="1"/>
      <c r="O2656" s="1"/>
    </row>
    <row r="2657" spans="1:15" hidden="1">
      <c r="A2657" s="1"/>
      <c r="B2657" s="197" t="e">
        <f t="shared" ca="1" si="252"/>
        <v>#N/A</v>
      </c>
      <c r="C2657" s="498">
        <v>591</v>
      </c>
      <c r="D2657" s="41" t="e">
        <f>IF($C$1077&gt;0,VLOOKUP($C2657,ENTI!$AL$4:AN$1003,3,FALSE),"")</f>
        <v>#N/A</v>
      </c>
      <c r="E2657" s="41" t="str">
        <f t="shared" si="251"/>
        <v/>
      </c>
      <c r="F2657" s="200"/>
      <c r="G2657" s="178" t="e">
        <f>IF($C$1077&gt;0,VLOOKUP($C2657,ENTI!$AL$4:AP$1003,5,FALSE),"")</f>
        <v>#N/A</v>
      </c>
      <c r="H2657" s="179" t="e">
        <f>IF($C$1077&gt;0,VLOOKUP($C2657,ENTI!$AL$4:AQ$1003,6,FALSE),"")</f>
        <v>#N/A</v>
      </c>
      <c r="I2657" s="187"/>
      <c r="J2657" s="140" t="e">
        <f ca="1">VLOOKUP(D2657,$F$1081:$I$4183,4,FALSE)+COUNTIF(E$1081:E2656,E2657)</f>
        <v>#N/A</v>
      </c>
      <c r="K2657" s="1"/>
      <c r="L2657" s="156"/>
      <c r="M2657" s="1"/>
      <c r="N2657" s="1"/>
      <c r="O2657" s="1"/>
    </row>
    <row r="2658" spans="1:15" hidden="1">
      <c r="A2658" s="1"/>
      <c r="B2658" s="197" t="e">
        <f t="shared" ca="1" si="252"/>
        <v>#N/A</v>
      </c>
      <c r="C2658" s="498">
        <v>592</v>
      </c>
      <c r="D2658" s="41" t="e">
        <f>IF($C$1077&gt;0,VLOOKUP($C2658,ENTI!$AL$4:AN$1003,3,FALSE),"")</f>
        <v>#N/A</v>
      </c>
      <c r="E2658" s="41" t="str">
        <f t="shared" si="251"/>
        <v/>
      </c>
      <c r="F2658" s="200"/>
      <c r="G2658" s="178" t="e">
        <f>IF($C$1077&gt;0,VLOOKUP($C2658,ENTI!$AL$4:AP$1003,5,FALSE),"")</f>
        <v>#N/A</v>
      </c>
      <c r="H2658" s="179" t="e">
        <f>IF($C$1077&gt;0,VLOOKUP($C2658,ENTI!$AL$4:AQ$1003,6,FALSE),"")</f>
        <v>#N/A</v>
      </c>
      <c r="I2658" s="187"/>
      <c r="J2658" s="140" t="e">
        <f ca="1">VLOOKUP(D2658,$F$1081:$I$4183,4,FALSE)+COUNTIF(E$1081:E2657,E2658)</f>
        <v>#N/A</v>
      </c>
      <c r="K2658" s="1"/>
      <c r="L2658" s="156"/>
      <c r="M2658" s="1"/>
      <c r="N2658" s="1"/>
      <c r="O2658" s="1"/>
    </row>
    <row r="2659" spans="1:15" hidden="1">
      <c r="A2659" s="1"/>
      <c r="B2659" s="197" t="e">
        <f t="shared" ca="1" si="252"/>
        <v>#N/A</v>
      </c>
      <c r="C2659" s="498">
        <v>593</v>
      </c>
      <c r="D2659" s="41" t="e">
        <f>IF($C$1077&gt;0,VLOOKUP($C2659,ENTI!$AL$4:AN$1003,3,FALSE),"")</f>
        <v>#N/A</v>
      </c>
      <c r="E2659" s="41" t="str">
        <f t="shared" si="251"/>
        <v/>
      </c>
      <c r="F2659" s="200"/>
      <c r="G2659" s="178" t="e">
        <f>IF($C$1077&gt;0,VLOOKUP($C2659,ENTI!$AL$4:AP$1003,5,FALSE),"")</f>
        <v>#N/A</v>
      </c>
      <c r="H2659" s="179" t="e">
        <f>IF($C$1077&gt;0,VLOOKUP($C2659,ENTI!$AL$4:AQ$1003,6,FALSE),"")</f>
        <v>#N/A</v>
      </c>
      <c r="I2659" s="187"/>
      <c r="J2659" s="140" t="e">
        <f ca="1">VLOOKUP(D2659,$F$1081:$I$4183,4,FALSE)+COUNTIF(E$1081:E2658,E2659)</f>
        <v>#N/A</v>
      </c>
      <c r="K2659" s="1"/>
      <c r="L2659" s="156"/>
      <c r="M2659" s="1"/>
      <c r="N2659" s="1"/>
      <c r="O2659" s="1"/>
    </row>
    <row r="2660" spans="1:15" hidden="1">
      <c r="A2660" s="1"/>
      <c r="B2660" s="197" t="e">
        <f t="shared" ca="1" si="252"/>
        <v>#N/A</v>
      </c>
      <c r="C2660" s="498">
        <v>594</v>
      </c>
      <c r="D2660" s="41" t="e">
        <f>IF($C$1077&gt;0,VLOOKUP($C2660,ENTI!$AL$4:AN$1003,3,FALSE),"")</f>
        <v>#N/A</v>
      </c>
      <c r="E2660" s="41" t="str">
        <f t="shared" si="251"/>
        <v/>
      </c>
      <c r="F2660" s="200"/>
      <c r="G2660" s="178" t="e">
        <f>IF($C$1077&gt;0,VLOOKUP($C2660,ENTI!$AL$4:AP$1003,5,FALSE),"")</f>
        <v>#N/A</v>
      </c>
      <c r="H2660" s="179" t="e">
        <f>IF($C$1077&gt;0,VLOOKUP($C2660,ENTI!$AL$4:AQ$1003,6,FALSE),"")</f>
        <v>#N/A</v>
      </c>
      <c r="I2660" s="187"/>
      <c r="J2660" s="140" t="e">
        <f ca="1">VLOOKUP(D2660,$F$1081:$I$4183,4,FALSE)+COUNTIF(E$1081:E2659,E2660)</f>
        <v>#N/A</v>
      </c>
      <c r="K2660" s="1"/>
      <c r="L2660" s="156"/>
      <c r="M2660" s="1"/>
      <c r="N2660" s="1"/>
      <c r="O2660" s="1"/>
    </row>
    <row r="2661" spans="1:15" hidden="1">
      <c r="A2661" s="1"/>
      <c r="B2661" s="197" t="e">
        <f t="shared" ca="1" si="252"/>
        <v>#N/A</v>
      </c>
      <c r="C2661" s="498">
        <v>595</v>
      </c>
      <c r="D2661" s="41" t="e">
        <f>IF($C$1077&gt;0,VLOOKUP($C2661,ENTI!$AL$4:AN$1003,3,FALSE),"")</f>
        <v>#N/A</v>
      </c>
      <c r="E2661" s="41" t="str">
        <f t="shared" si="251"/>
        <v/>
      </c>
      <c r="F2661" s="200"/>
      <c r="G2661" s="178" t="e">
        <f>IF($C$1077&gt;0,VLOOKUP($C2661,ENTI!$AL$4:AP$1003,5,FALSE),"")</f>
        <v>#N/A</v>
      </c>
      <c r="H2661" s="179" t="e">
        <f>IF($C$1077&gt;0,VLOOKUP($C2661,ENTI!$AL$4:AQ$1003,6,FALSE),"")</f>
        <v>#N/A</v>
      </c>
      <c r="I2661" s="187"/>
      <c r="J2661" s="140" t="e">
        <f ca="1">VLOOKUP(D2661,$F$1081:$I$4183,4,FALSE)+COUNTIF(E$1081:E2660,E2661)</f>
        <v>#N/A</v>
      </c>
      <c r="K2661" s="1"/>
      <c r="L2661" s="156"/>
      <c r="M2661" s="1"/>
      <c r="N2661" s="1"/>
      <c r="O2661" s="1"/>
    </row>
    <row r="2662" spans="1:15" hidden="1">
      <c r="A2662" s="1"/>
      <c r="B2662" s="197" t="e">
        <f t="shared" ca="1" si="252"/>
        <v>#N/A</v>
      </c>
      <c r="C2662" s="498">
        <v>596</v>
      </c>
      <c r="D2662" s="41" t="e">
        <f>IF($C$1077&gt;0,VLOOKUP($C2662,ENTI!$AL$4:AN$1003,3,FALSE),"")</f>
        <v>#N/A</v>
      </c>
      <c r="E2662" s="41" t="str">
        <f t="shared" si="251"/>
        <v/>
      </c>
      <c r="F2662" s="200"/>
      <c r="G2662" s="178" t="e">
        <f>IF($C$1077&gt;0,VLOOKUP($C2662,ENTI!$AL$4:AP$1003,5,FALSE),"")</f>
        <v>#N/A</v>
      </c>
      <c r="H2662" s="179" t="e">
        <f>IF($C$1077&gt;0,VLOOKUP($C2662,ENTI!$AL$4:AQ$1003,6,FALSE),"")</f>
        <v>#N/A</v>
      </c>
      <c r="I2662" s="187"/>
      <c r="J2662" s="140" t="e">
        <f ca="1">VLOOKUP(D2662,$F$1081:$I$4183,4,FALSE)+COUNTIF(E$1081:E2661,E2662)</f>
        <v>#N/A</v>
      </c>
      <c r="K2662" s="1"/>
      <c r="L2662" s="156"/>
      <c r="M2662" s="1"/>
      <c r="N2662" s="1"/>
      <c r="O2662" s="1"/>
    </row>
    <row r="2663" spans="1:15" hidden="1">
      <c r="A2663" s="1"/>
      <c r="B2663" s="197" t="e">
        <f t="shared" ca="1" si="252"/>
        <v>#N/A</v>
      </c>
      <c r="C2663" s="498">
        <v>597</v>
      </c>
      <c r="D2663" s="41" t="e">
        <f>IF($C$1077&gt;0,VLOOKUP($C2663,ENTI!$AL$4:AN$1003,3,FALSE),"")</f>
        <v>#N/A</v>
      </c>
      <c r="E2663" s="41" t="str">
        <f t="shared" si="251"/>
        <v/>
      </c>
      <c r="F2663" s="200"/>
      <c r="G2663" s="178" t="e">
        <f>IF($C$1077&gt;0,VLOOKUP($C2663,ENTI!$AL$4:AP$1003,5,FALSE),"")</f>
        <v>#N/A</v>
      </c>
      <c r="H2663" s="179" t="e">
        <f>IF($C$1077&gt;0,VLOOKUP($C2663,ENTI!$AL$4:AQ$1003,6,FALSE),"")</f>
        <v>#N/A</v>
      </c>
      <c r="I2663" s="187"/>
      <c r="J2663" s="140" t="e">
        <f ca="1">VLOOKUP(D2663,$F$1081:$I$4183,4,FALSE)+COUNTIF(E$1081:E2662,E2663)</f>
        <v>#N/A</v>
      </c>
      <c r="K2663" s="1"/>
      <c r="L2663" s="156"/>
      <c r="M2663" s="1"/>
      <c r="N2663" s="1"/>
      <c r="O2663" s="1"/>
    </row>
    <row r="2664" spans="1:15" hidden="1">
      <c r="A2664" s="1"/>
      <c r="B2664" s="197" t="e">
        <f t="shared" ca="1" si="252"/>
        <v>#N/A</v>
      </c>
      <c r="C2664" s="498">
        <v>598</v>
      </c>
      <c r="D2664" s="41" t="e">
        <f>IF($C$1077&gt;0,VLOOKUP($C2664,ENTI!$AL$4:AN$1003,3,FALSE),"")</f>
        <v>#N/A</v>
      </c>
      <c r="E2664" s="41" t="str">
        <f t="shared" si="251"/>
        <v/>
      </c>
      <c r="F2664" s="200"/>
      <c r="G2664" s="178" t="e">
        <f>IF($C$1077&gt;0,VLOOKUP($C2664,ENTI!$AL$4:AP$1003,5,FALSE),"")</f>
        <v>#N/A</v>
      </c>
      <c r="H2664" s="179" t="e">
        <f>IF($C$1077&gt;0,VLOOKUP($C2664,ENTI!$AL$4:AQ$1003,6,FALSE),"")</f>
        <v>#N/A</v>
      </c>
      <c r="I2664" s="187"/>
      <c r="J2664" s="140" t="e">
        <f ca="1">VLOOKUP(D2664,$F$1081:$I$4183,4,FALSE)+COUNTIF(E$1081:E2663,E2664)</f>
        <v>#N/A</v>
      </c>
      <c r="K2664" s="1"/>
      <c r="L2664" s="156"/>
      <c r="M2664" s="1"/>
      <c r="N2664" s="1"/>
      <c r="O2664" s="1"/>
    </row>
    <row r="2665" spans="1:15" hidden="1">
      <c r="A2665" s="1"/>
      <c r="B2665" s="197" t="e">
        <f t="shared" ca="1" si="252"/>
        <v>#N/A</v>
      </c>
      <c r="C2665" s="498">
        <v>599</v>
      </c>
      <c r="D2665" s="41" t="e">
        <f>IF($C$1077&gt;0,VLOOKUP($C2665,ENTI!$AL$4:AN$1003,3,FALSE),"")</f>
        <v>#N/A</v>
      </c>
      <c r="E2665" s="41" t="str">
        <f t="shared" si="251"/>
        <v/>
      </c>
      <c r="F2665" s="200"/>
      <c r="G2665" s="178" t="e">
        <f>IF($C$1077&gt;0,VLOOKUP($C2665,ENTI!$AL$4:AP$1003,5,FALSE),"")</f>
        <v>#N/A</v>
      </c>
      <c r="H2665" s="179" t="e">
        <f>IF($C$1077&gt;0,VLOOKUP($C2665,ENTI!$AL$4:AQ$1003,6,FALSE),"")</f>
        <v>#N/A</v>
      </c>
      <c r="I2665" s="187"/>
      <c r="J2665" s="140" t="e">
        <f ca="1">VLOOKUP(D2665,$F$1081:$I$4183,4,FALSE)+COUNTIF(E$1081:E2664,E2665)</f>
        <v>#N/A</v>
      </c>
      <c r="K2665" s="1"/>
      <c r="L2665" s="156"/>
      <c r="M2665" s="1"/>
      <c r="N2665" s="1"/>
      <c r="O2665" s="1"/>
    </row>
    <row r="2666" spans="1:15" hidden="1">
      <c r="A2666" s="1"/>
      <c r="B2666" s="197" t="e">
        <f t="shared" ca="1" si="252"/>
        <v>#N/A</v>
      </c>
      <c r="C2666" s="498">
        <v>600</v>
      </c>
      <c r="D2666" s="41" t="e">
        <f>IF($C$1077&gt;0,VLOOKUP($C2666,ENTI!$AL$4:AN$1003,3,FALSE),"")</f>
        <v>#N/A</v>
      </c>
      <c r="E2666" s="41" t="str">
        <f t="shared" si="251"/>
        <v/>
      </c>
      <c r="F2666" s="200"/>
      <c r="G2666" s="178" t="e">
        <f>IF($C$1077&gt;0,VLOOKUP($C2666,ENTI!$AL$4:AP$1003,5,FALSE),"")</f>
        <v>#N/A</v>
      </c>
      <c r="H2666" s="179" t="e">
        <f>IF($C$1077&gt;0,VLOOKUP($C2666,ENTI!$AL$4:AQ$1003,6,FALSE),"")</f>
        <v>#N/A</v>
      </c>
      <c r="I2666" s="187"/>
      <c r="J2666" s="140" t="e">
        <f ca="1">VLOOKUP(D2666,$F$1081:$I$4183,4,FALSE)+COUNTIF(E$1081:E2665,E2666)</f>
        <v>#N/A</v>
      </c>
      <c r="K2666" s="1"/>
      <c r="L2666" s="156"/>
      <c r="M2666" s="1"/>
      <c r="N2666" s="1"/>
      <c r="O2666" s="1"/>
    </row>
    <row r="2667" spans="1:15" hidden="1">
      <c r="A2667" s="1"/>
      <c r="B2667" s="197" t="e">
        <f t="shared" ca="1" si="252"/>
        <v>#N/A</v>
      </c>
      <c r="C2667" s="498">
        <v>601</v>
      </c>
      <c r="D2667" s="41" t="e">
        <f>IF($C$1077&gt;0,VLOOKUP($C2667,ENTI!$AL$4:AN$1003,3,FALSE),"")</f>
        <v>#N/A</v>
      </c>
      <c r="E2667" s="41" t="str">
        <f t="shared" si="251"/>
        <v/>
      </c>
      <c r="F2667" s="200"/>
      <c r="G2667" s="178" t="e">
        <f>IF($C$1077&gt;0,VLOOKUP($C2667,ENTI!$AL$4:AP$1003,5,FALSE),"")</f>
        <v>#N/A</v>
      </c>
      <c r="H2667" s="179" t="e">
        <f>IF($C$1077&gt;0,VLOOKUP($C2667,ENTI!$AL$4:AQ$1003,6,FALSE),"")</f>
        <v>#N/A</v>
      </c>
      <c r="I2667" s="187"/>
      <c r="J2667" s="140" t="e">
        <f ca="1">VLOOKUP(D2667,$F$1081:$I$4183,4,FALSE)+COUNTIF(E$1081:E2666,E2667)</f>
        <v>#N/A</v>
      </c>
      <c r="K2667" s="1"/>
      <c r="L2667" s="156"/>
      <c r="M2667" s="1"/>
      <c r="N2667" s="1"/>
      <c r="O2667" s="1"/>
    </row>
    <row r="2668" spans="1:15" hidden="1">
      <c r="A2668" s="1"/>
      <c r="B2668" s="197" t="e">
        <f t="shared" ca="1" si="252"/>
        <v>#N/A</v>
      </c>
      <c r="C2668" s="498">
        <v>602</v>
      </c>
      <c r="D2668" s="41" t="e">
        <f>IF($C$1077&gt;0,VLOOKUP($C2668,ENTI!$AL$4:AN$1003,3,FALSE),"")</f>
        <v>#N/A</v>
      </c>
      <c r="E2668" s="41" t="str">
        <f t="shared" si="251"/>
        <v/>
      </c>
      <c r="F2668" s="200"/>
      <c r="G2668" s="178" t="e">
        <f>IF($C$1077&gt;0,VLOOKUP($C2668,ENTI!$AL$4:AP$1003,5,FALSE),"")</f>
        <v>#N/A</v>
      </c>
      <c r="H2668" s="179" t="e">
        <f>IF($C$1077&gt;0,VLOOKUP($C2668,ENTI!$AL$4:AQ$1003,6,FALSE),"")</f>
        <v>#N/A</v>
      </c>
      <c r="I2668" s="187"/>
      <c r="J2668" s="140" t="e">
        <f ca="1">VLOOKUP(D2668,$F$1081:$I$4183,4,FALSE)+COUNTIF(E$1081:E2667,E2668)</f>
        <v>#N/A</v>
      </c>
      <c r="K2668" s="1"/>
      <c r="L2668" s="156"/>
      <c r="M2668" s="1"/>
      <c r="N2668" s="1"/>
      <c r="O2668" s="1"/>
    </row>
    <row r="2669" spans="1:15" hidden="1">
      <c r="A2669" s="1"/>
      <c r="B2669" s="197" t="e">
        <f t="shared" ca="1" si="252"/>
        <v>#N/A</v>
      </c>
      <c r="C2669" s="498">
        <v>603</v>
      </c>
      <c r="D2669" s="41" t="e">
        <f>IF($C$1077&gt;0,VLOOKUP($C2669,ENTI!$AL$4:AN$1003,3,FALSE),"")</f>
        <v>#N/A</v>
      </c>
      <c r="E2669" s="41" t="str">
        <f t="shared" si="251"/>
        <v/>
      </c>
      <c r="F2669" s="200"/>
      <c r="G2669" s="178" t="e">
        <f>IF($C$1077&gt;0,VLOOKUP($C2669,ENTI!$AL$4:AP$1003,5,FALSE),"")</f>
        <v>#N/A</v>
      </c>
      <c r="H2669" s="179" t="e">
        <f>IF($C$1077&gt;0,VLOOKUP($C2669,ENTI!$AL$4:AQ$1003,6,FALSE),"")</f>
        <v>#N/A</v>
      </c>
      <c r="I2669" s="187"/>
      <c r="J2669" s="140" t="e">
        <f ca="1">VLOOKUP(D2669,$F$1081:$I$4183,4,FALSE)+COUNTIF(E$1081:E2668,E2669)</f>
        <v>#N/A</v>
      </c>
      <c r="K2669" s="1"/>
      <c r="L2669" s="156"/>
      <c r="M2669" s="1"/>
      <c r="N2669" s="1"/>
      <c r="O2669" s="1"/>
    </row>
    <row r="2670" spans="1:15" hidden="1">
      <c r="A2670" s="1"/>
      <c r="B2670" s="197" t="e">
        <f t="shared" ca="1" si="252"/>
        <v>#N/A</v>
      </c>
      <c r="C2670" s="498">
        <v>604</v>
      </c>
      <c r="D2670" s="41" t="e">
        <f>IF($C$1077&gt;0,VLOOKUP($C2670,ENTI!$AL$4:AN$1003,3,FALSE),"")</f>
        <v>#N/A</v>
      </c>
      <c r="E2670" s="41" t="str">
        <f t="shared" si="251"/>
        <v/>
      </c>
      <c r="F2670" s="200"/>
      <c r="G2670" s="178" t="e">
        <f>IF($C$1077&gt;0,VLOOKUP($C2670,ENTI!$AL$4:AP$1003,5,FALSE),"")</f>
        <v>#N/A</v>
      </c>
      <c r="H2670" s="179" t="e">
        <f>IF($C$1077&gt;0,VLOOKUP($C2670,ENTI!$AL$4:AQ$1003,6,FALSE),"")</f>
        <v>#N/A</v>
      </c>
      <c r="I2670" s="187"/>
      <c r="J2670" s="140" t="e">
        <f ca="1">VLOOKUP(D2670,$F$1081:$I$4183,4,FALSE)+COUNTIF(E$1081:E2669,E2670)</f>
        <v>#N/A</v>
      </c>
      <c r="K2670" s="1"/>
      <c r="L2670" s="156"/>
      <c r="M2670" s="1"/>
      <c r="N2670" s="1"/>
      <c r="O2670" s="1"/>
    </row>
    <row r="2671" spans="1:15" hidden="1">
      <c r="A2671" s="1"/>
      <c r="B2671" s="197" t="e">
        <f t="shared" ca="1" si="252"/>
        <v>#N/A</v>
      </c>
      <c r="C2671" s="498">
        <v>605</v>
      </c>
      <c r="D2671" s="41" t="e">
        <f>IF($C$1077&gt;0,VLOOKUP($C2671,ENTI!$AL$4:AN$1003,3,FALSE),"")</f>
        <v>#N/A</v>
      </c>
      <c r="E2671" s="41" t="str">
        <f t="shared" si="251"/>
        <v/>
      </c>
      <c r="F2671" s="200"/>
      <c r="G2671" s="178" t="e">
        <f>IF($C$1077&gt;0,VLOOKUP($C2671,ENTI!$AL$4:AP$1003,5,FALSE),"")</f>
        <v>#N/A</v>
      </c>
      <c r="H2671" s="179" t="e">
        <f>IF($C$1077&gt;0,VLOOKUP($C2671,ENTI!$AL$4:AQ$1003,6,FALSE),"")</f>
        <v>#N/A</v>
      </c>
      <c r="I2671" s="187"/>
      <c r="J2671" s="140" t="e">
        <f ca="1">VLOOKUP(D2671,$F$1081:$I$4183,4,FALSE)+COUNTIF(E$1081:E2670,E2671)</f>
        <v>#N/A</v>
      </c>
      <c r="K2671" s="1"/>
      <c r="L2671" s="156"/>
      <c r="M2671" s="1"/>
      <c r="N2671" s="1"/>
      <c r="O2671" s="1"/>
    </row>
    <row r="2672" spans="1:15" hidden="1">
      <c r="A2672" s="1"/>
      <c r="B2672" s="197" t="e">
        <f t="shared" ca="1" si="252"/>
        <v>#N/A</v>
      </c>
      <c r="C2672" s="498">
        <v>606</v>
      </c>
      <c r="D2672" s="41" t="e">
        <f>IF($C$1077&gt;0,VLOOKUP($C2672,ENTI!$AL$4:AN$1003,3,FALSE),"")</f>
        <v>#N/A</v>
      </c>
      <c r="E2672" s="41" t="str">
        <f t="shared" si="251"/>
        <v/>
      </c>
      <c r="F2672" s="200"/>
      <c r="G2672" s="178" t="e">
        <f>IF($C$1077&gt;0,VLOOKUP($C2672,ENTI!$AL$4:AP$1003,5,FALSE),"")</f>
        <v>#N/A</v>
      </c>
      <c r="H2672" s="179" t="e">
        <f>IF($C$1077&gt;0,VLOOKUP($C2672,ENTI!$AL$4:AQ$1003,6,FALSE),"")</f>
        <v>#N/A</v>
      </c>
      <c r="I2672" s="187"/>
      <c r="J2672" s="140" t="e">
        <f ca="1">VLOOKUP(D2672,$F$1081:$I$4183,4,FALSE)+COUNTIF(E$1081:E2671,E2672)</f>
        <v>#N/A</v>
      </c>
      <c r="K2672" s="1"/>
      <c r="L2672" s="156"/>
      <c r="M2672" s="1"/>
      <c r="N2672" s="1"/>
      <c r="O2672" s="1"/>
    </row>
    <row r="2673" spans="1:15" hidden="1">
      <c r="A2673" s="1"/>
      <c r="B2673" s="197" t="e">
        <f t="shared" ca="1" si="252"/>
        <v>#N/A</v>
      </c>
      <c r="C2673" s="498">
        <v>607</v>
      </c>
      <c r="D2673" s="41" t="e">
        <f>IF($C$1077&gt;0,VLOOKUP($C2673,ENTI!$AL$4:AN$1003,3,FALSE),"")</f>
        <v>#N/A</v>
      </c>
      <c r="E2673" s="41" t="str">
        <f t="shared" si="251"/>
        <v/>
      </c>
      <c r="F2673" s="200"/>
      <c r="G2673" s="178" t="e">
        <f>IF($C$1077&gt;0,VLOOKUP($C2673,ENTI!$AL$4:AP$1003,5,FALSE),"")</f>
        <v>#N/A</v>
      </c>
      <c r="H2673" s="179" t="e">
        <f>IF($C$1077&gt;0,VLOOKUP($C2673,ENTI!$AL$4:AQ$1003,6,FALSE),"")</f>
        <v>#N/A</v>
      </c>
      <c r="I2673" s="187"/>
      <c r="J2673" s="140" t="e">
        <f ca="1">VLOOKUP(D2673,$F$1081:$I$4183,4,FALSE)+COUNTIF(E$1081:E2672,E2673)</f>
        <v>#N/A</v>
      </c>
      <c r="K2673" s="1"/>
      <c r="L2673" s="156"/>
      <c r="M2673" s="1"/>
      <c r="N2673" s="1"/>
      <c r="O2673" s="1"/>
    </row>
    <row r="2674" spans="1:15" hidden="1">
      <c r="A2674" s="1"/>
      <c r="B2674" s="197" t="e">
        <f t="shared" ca="1" si="252"/>
        <v>#N/A</v>
      </c>
      <c r="C2674" s="498">
        <v>608</v>
      </c>
      <c r="D2674" s="41" t="e">
        <f>IF($C$1077&gt;0,VLOOKUP($C2674,ENTI!$AL$4:AN$1003,3,FALSE),"")</f>
        <v>#N/A</v>
      </c>
      <c r="E2674" s="41" t="str">
        <f t="shared" si="251"/>
        <v/>
      </c>
      <c r="F2674" s="200"/>
      <c r="G2674" s="178" t="e">
        <f>IF($C$1077&gt;0,VLOOKUP($C2674,ENTI!$AL$4:AP$1003,5,FALSE),"")</f>
        <v>#N/A</v>
      </c>
      <c r="H2674" s="179" t="e">
        <f>IF($C$1077&gt;0,VLOOKUP($C2674,ENTI!$AL$4:AQ$1003,6,FALSE),"")</f>
        <v>#N/A</v>
      </c>
      <c r="I2674" s="187"/>
      <c r="J2674" s="140" t="e">
        <f ca="1">VLOOKUP(D2674,$F$1081:$I$4183,4,FALSE)+COUNTIF(E$1081:E2673,E2674)</f>
        <v>#N/A</v>
      </c>
      <c r="K2674" s="1"/>
      <c r="L2674" s="156"/>
      <c r="M2674" s="1"/>
      <c r="N2674" s="1"/>
      <c r="O2674" s="1"/>
    </row>
    <row r="2675" spans="1:15" hidden="1">
      <c r="A2675" s="1"/>
      <c r="B2675" s="197" t="e">
        <f t="shared" ca="1" si="252"/>
        <v>#N/A</v>
      </c>
      <c r="C2675" s="498">
        <v>609</v>
      </c>
      <c r="D2675" s="41" t="e">
        <f>IF($C$1077&gt;0,VLOOKUP($C2675,ENTI!$AL$4:AN$1003,3,FALSE),"")</f>
        <v>#N/A</v>
      </c>
      <c r="E2675" s="41" t="str">
        <f t="shared" si="251"/>
        <v/>
      </c>
      <c r="F2675" s="200"/>
      <c r="G2675" s="178" t="e">
        <f>IF($C$1077&gt;0,VLOOKUP($C2675,ENTI!$AL$4:AP$1003,5,FALSE),"")</f>
        <v>#N/A</v>
      </c>
      <c r="H2675" s="179" t="e">
        <f>IF($C$1077&gt;0,VLOOKUP($C2675,ENTI!$AL$4:AQ$1003,6,FALSE),"")</f>
        <v>#N/A</v>
      </c>
      <c r="I2675" s="187"/>
      <c r="J2675" s="140" t="e">
        <f ca="1">VLOOKUP(D2675,$F$1081:$I$4183,4,FALSE)+COUNTIF(E$1081:E2674,E2675)</f>
        <v>#N/A</v>
      </c>
      <c r="K2675" s="1"/>
      <c r="L2675" s="156"/>
      <c r="M2675" s="1"/>
      <c r="N2675" s="1"/>
      <c r="O2675" s="1"/>
    </row>
    <row r="2676" spans="1:15" hidden="1">
      <c r="A2676" s="1"/>
      <c r="B2676" s="197" t="e">
        <f t="shared" ca="1" si="252"/>
        <v>#N/A</v>
      </c>
      <c r="C2676" s="498">
        <v>610</v>
      </c>
      <c r="D2676" s="41" t="e">
        <f>IF($C$1077&gt;0,VLOOKUP($C2676,ENTI!$AL$4:AN$1003,3,FALSE),"")</f>
        <v>#N/A</v>
      </c>
      <c r="E2676" s="41" t="str">
        <f t="shared" si="251"/>
        <v/>
      </c>
      <c r="F2676" s="200"/>
      <c r="G2676" s="178" t="e">
        <f>IF($C$1077&gt;0,VLOOKUP($C2676,ENTI!$AL$4:AP$1003,5,FALSE),"")</f>
        <v>#N/A</v>
      </c>
      <c r="H2676" s="179" t="e">
        <f>IF($C$1077&gt;0,VLOOKUP($C2676,ENTI!$AL$4:AQ$1003,6,FALSE),"")</f>
        <v>#N/A</v>
      </c>
      <c r="I2676" s="187"/>
      <c r="J2676" s="140" t="e">
        <f ca="1">VLOOKUP(D2676,$F$1081:$I$4183,4,FALSE)+COUNTIF(E$1081:E2675,E2676)</f>
        <v>#N/A</v>
      </c>
      <c r="K2676" s="1"/>
      <c r="L2676" s="156"/>
      <c r="M2676" s="1"/>
      <c r="N2676" s="1"/>
      <c r="O2676" s="1"/>
    </row>
    <row r="2677" spans="1:15" hidden="1">
      <c r="A2677" s="1"/>
      <c r="B2677" s="197" t="e">
        <f t="shared" ca="1" si="252"/>
        <v>#N/A</v>
      </c>
      <c r="C2677" s="498">
        <v>611</v>
      </c>
      <c r="D2677" s="41" t="e">
        <f>IF($C$1077&gt;0,VLOOKUP($C2677,ENTI!$AL$4:AN$1003,3,FALSE),"")</f>
        <v>#N/A</v>
      </c>
      <c r="E2677" s="41" t="str">
        <f t="shared" si="251"/>
        <v/>
      </c>
      <c r="F2677" s="200"/>
      <c r="G2677" s="178" t="e">
        <f>IF($C$1077&gt;0,VLOOKUP($C2677,ENTI!$AL$4:AP$1003,5,FALSE),"")</f>
        <v>#N/A</v>
      </c>
      <c r="H2677" s="179" t="e">
        <f>IF($C$1077&gt;0,VLOOKUP($C2677,ENTI!$AL$4:AQ$1003,6,FALSE),"")</f>
        <v>#N/A</v>
      </c>
      <c r="I2677" s="187"/>
      <c r="J2677" s="140" t="e">
        <f ca="1">VLOOKUP(D2677,$F$1081:$I$4183,4,FALSE)+COUNTIF(E$1081:E2676,E2677)</f>
        <v>#N/A</v>
      </c>
      <c r="K2677" s="1"/>
      <c r="L2677" s="156"/>
      <c r="M2677" s="1"/>
      <c r="N2677" s="1"/>
      <c r="O2677" s="1"/>
    </row>
    <row r="2678" spans="1:15" hidden="1">
      <c r="A2678" s="1"/>
      <c r="B2678" s="197" t="e">
        <f t="shared" ca="1" si="252"/>
        <v>#N/A</v>
      </c>
      <c r="C2678" s="498">
        <v>612</v>
      </c>
      <c r="D2678" s="41" t="e">
        <f>IF($C$1077&gt;0,VLOOKUP($C2678,ENTI!$AL$4:AN$1003,3,FALSE),"")</f>
        <v>#N/A</v>
      </c>
      <c r="E2678" s="41" t="str">
        <f t="shared" si="251"/>
        <v/>
      </c>
      <c r="F2678" s="200"/>
      <c r="G2678" s="178" t="e">
        <f>IF($C$1077&gt;0,VLOOKUP($C2678,ENTI!$AL$4:AP$1003,5,FALSE),"")</f>
        <v>#N/A</v>
      </c>
      <c r="H2678" s="179" t="e">
        <f>IF($C$1077&gt;0,VLOOKUP($C2678,ENTI!$AL$4:AQ$1003,6,FALSE),"")</f>
        <v>#N/A</v>
      </c>
      <c r="I2678" s="187"/>
      <c r="J2678" s="140" t="e">
        <f ca="1">VLOOKUP(D2678,$F$1081:$I$4183,4,FALSE)+COUNTIF(E$1081:E2677,E2678)</f>
        <v>#N/A</v>
      </c>
      <c r="K2678" s="1"/>
      <c r="L2678" s="156"/>
      <c r="M2678" s="1"/>
      <c r="N2678" s="1"/>
      <c r="O2678" s="1"/>
    </row>
    <row r="2679" spans="1:15" hidden="1">
      <c r="A2679" s="1"/>
      <c r="B2679" s="197" t="e">
        <f t="shared" ca="1" si="252"/>
        <v>#N/A</v>
      </c>
      <c r="C2679" s="498">
        <v>613</v>
      </c>
      <c r="D2679" s="41" t="e">
        <f>IF($C$1077&gt;0,VLOOKUP($C2679,ENTI!$AL$4:AN$1003,3,FALSE),"")</f>
        <v>#N/A</v>
      </c>
      <c r="E2679" s="41" t="str">
        <f t="shared" si="251"/>
        <v/>
      </c>
      <c r="F2679" s="200"/>
      <c r="G2679" s="178" t="e">
        <f>IF($C$1077&gt;0,VLOOKUP($C2679,ENTI!$AL$4:AP$1003,5,FALSE),"")</f>
        <v>#N/A</v>
      </c>
      <c r="H2679" s="179" t="e">
        <f>IF($C$1077&gt;0,VLOOKUP($C2679,ENTI!$AL$4:AQ$1003,6,FALSE),"")</f>
        <v>#N/A</v>
      </c>
      <c r="I2679" s="187"/>
      <c r="J2679" s="140" t="e">
        <f ca="1">VLOOKUP(D2679,$F$1081:$I$4183,4,FALSE)+COUNTIF(E$1081:E2678,E2679)</f>
        <v>#N/A</v>
      </c>
      <c r="K2679" s="1"/>
      <c r="L2679" s="156"/>
      <c r="M2679" s="1"/>
      <c r="N2679" s="1"/>
      <c r="O2679" s="1"/>
    </row>
    <row r="2680" spans="1:15" hidden="1">
      <c r="A2680" s="1"/>
      <c r="B2680" s="197" t="e">
        <f t="shared" ca="1" si="252"/>
        <v>#N/A</v>
      </c>
      <c r="C2680" s="498">
        <v>614</v>
      </c>
      <c r="D2680" s="41" t="e">
        <f>IF($C$1077&gt;0,VLOOKUP($C2680,ENTI!$AL$4:AN$1003,3,FALSE),"")</f>
        <v>#N/A</v>
      </c>
      <c r="E2680" s="41" t="str">
        <f t="shared" si="251"/>
        <v/>
      </c>
      <c r="F2680" s="200"/>
      <c r="G2680" s="178" t="e">
        <f>IF($C$1077&gt;0,VLOOKUP($C2680,ENTI!$AL$4:AP$1003,5,FALSE),"")</f>
        <v>#N/A</v>
      </c>
      <c r="H2680" s="179" t="e">
        <f>IF($C$1077&gt;0,VLOOKUP($C2680,ENTI!$AL$4:AQ$1003,6,FALSE),"")</f>
        <v>#N/A</v>
      </c>
      <c r="I2680" s="187"/>
      <c r="J2680" s="140" t="e">
        <f ca="1">VLOOKUP(D2680,$F$1081:$I$4183,4,FALSE)+COUNTIF(E$1081:E2679,E2680)</f>
        <v>#N/A</v>
      </c>
      <c r="K2680" s="1"/>
      <c r="L2680" s="156"/>
      <c r="M2680" s="1"/>
      <c r="N2680" s="1"/>
      <c r="O2680" s="1"/>
    </row>
    <row r="2681" spans="1:15" hidden="1">
      <c r="A2681" s="1"/>
      <c r="B2681" s="197" t="e">
        <f t="shared" ca="1" si="252"/>
        <v>#N/A</v>
      </c>
      <c r="C2681" s="498">
        <v>615</v>
      </c>
      <c r="D2681" s="41" t="e">
        <f>IF($C$1077&gt;0,VLOOKUP($C2681,ENTI!$AL$4:AN$1003,3,FALSE),"")</f>
        <v>#N/A</v>
      </c>
      <c r="E2681" s="41" t="str">
        <f t="shared" si="251"/>
        <v/>
      </c>
      <c r="F2681" s="200"/>
      <c r="G2681" s="178" t="e">
        <f>IF($C$1077&gt;0,VLOOKUP($C2681,ENTI!$AL$4:AP$1003,5,FALSE),"")</f>
        <v>#N/A</v>
      </c>
      <c r="H2681" s="179" t="e">
        <f>IF($C$1077&gt;0,VLOOKUP($C2681,ENTI!$AL$4:AQ$1003,6,FALSE),"")</f>
        <v>#N/A</v>
      </c>
      <c r="I2681" s="187"/>
      <c r="J2681" s="140" t="e">
        <f ca="1">VLOOKUP(D2681,$F$1081:$I$4183,4,FALSE)+COUNTIF(E$1081:E2680,E2681)</f>
        <v>#N/A</v>
      </c>
      <c r="K2681" s="1"/>
      <c r="L2681" s="156"/>
      <c r="M2681" s="1"/>
      <c r="N2681" s="1"/>
      <c r="O2681" s="1"/>
    </row>
    <row r="2682" spans="1:15" hidden="1">
      <c r="A2682" s="1"/>
      <c r="B2682" s="197" t="e">
        <f t="shared" ca="1" si="252"/>
        <v>#N/A</v>
      </c>
      <c r="C2682" s="498">
        <v>616</v>
      </c>
      <c r="D2682" s="41" t="e">
        <f>IF($C$1077&gt;0,VLOOKUP($C2682,ENTI!$AL$4:AN$1003,3,FALSE),"")</f>
        <v>#N/A</v>
      </c>
      <c r="E2682" s="41" t="str">
        <f t="shared" si="251"/>
        <v/>
      </c>
      <c r="F2682" s="200"/>
      <c r="G2682" s="178" t="e">
        <f>IF($C$1077&gt;0,VLOOKUP($C2682,ENTI!$AL$4:AP$1003,5,FALSE),"")</f>
        <v>#N/A</v>
      </c>
      <c r="H2682" s="179" t="e">
        <f>IF($C$1077&gt;0,VLOOKUP($C2682,ENTI!$AL$4:AQ$1003,6,FALSE),"")</f>
        <v>#N/A</v>
      </c>
      <c r="I2682" s="187"/>
      <c r="J2682" s="140" t="e">
        <f ca="1">VLOOKUP(D2682,$F$1081:$I$4183,4,FALSE)+COUNTIF(E$1081:E2681,E2682)</f>
        <v>#N/A</v>
      </c>
      <c r="K2682" s="1"/>
      <c r="L2682" s="156"/>
      <c r="M2682" s="1"/>
      <c r="N2682" s="1"/>
      <c r="O2682" s="1"/>
    </row>
    <row r="2683" spans="1:15" hidden="1">
      <c r="A2683" s="1"/>
      <c r="B2683" s="197" t="e">
        <f t="shared" ca="1" si="252"/>
        <v>#N/A</v>
      </c>
      <c r="C2683" s="498">
        <v>617</v>
      </c>
      <c r="D2683" s="41" t="e">
        <f>IF($C$1077&gt;0,VLOOKUP($C2683,ENTI!$AL$4:AN$1003,3,FALSE),"")</f>
        <v>#N/A</v>
      </c>
      <c r="E2683" s="41" t="str">
        <f t="shared" si="251"/>
        <v/>
      </c>
      <c r="F2683" s="200"/>
      <c r="G2683" s="178" t="e">
        <f>IF($C$1077&gt;0,VLOOKUP($C2683,ENTI!$AL$4:AP$1003,5,FALSE),"")</f>
        <v>#N/A</v>
      </c>
      <c r="H2683" s="179" t="e">
        <f>IF($C$1077&gt;0,VLOOKUP($C2683,ENTI!$AL$4:AQ$1003,6,FALSE),"")</f>
        <v>#N/A</v>
      </c>
      <c r="I2683" s="187"/>
      <c r="J2683" s="140" t="e">
        <f ca="1">VLOOKUP(D2683,$F$1081:$I$4183,4,FALSE)+COUNTIF(E$1081:E2682,E2683)</f>
        <v>#N/A</v>
      </c>
      <c r="K2683" s="1"/>
      <c r="L2683" s="156"/>
      <c r="M2683" s="1"/>
      <c r="N2683" s="1"/>
      <c r="O2683" s="1"/>
    </row>
    <row r="2684" spans="1:15" hidden="1">
      <c r="A2684" s="1"/>
      <c r="B2684" s="197" t="e">
        <f t="shared" ca="1" si="252"/>
        <v>#N/A</v>
      </c>
      <c r="C2684" s="498">
        <v>618</v>
      </c>
      <c r="D2684" s="41" t="e">
        <f>IF($C$1077&gt;0,VLOOKUP($C2684,ENTI!$AL$4:AN$1003,3,FALSE),"")</f>
        <v>#N/A</v>
      </c>
      <c r="E2684" s="41" t="str">
        <f t="shared" si="251"/>
        <v/>
      </c>
      <c r="F2684" s="200"/>
      <c r="G2684" s="178" t="e">
        <f>IF($C$1077&gt;0,VLOOKUP($C2684,ENTI!$AL$4:AP$1003,5,FALSE),"")</f>
        <v>#N/A</v>
      </c>
      <c r="H2684" s="179" t="e">
        <f>IF($C$1077&gt;0,VLOOKUP($C2684,ENTI!$AL$4:AQ$1003,6,FALSE),"")</f>
        <v>#N/A</v>
      </c>
      <c r="I2684" s="187"/>
      <c r="J2684" s="140" t="e">
        <f ca="1">VLOOKUP(D2684,$F$1081:$I$4183,4,FALSE)+COUNTIF(E$1081:E2683,E2684)</f>
        <v>#N/A</v>
      </c>
      <c r="K2684" s="1"/>
      <c r="L2684" s="156"/>
      <c r="M2684" s="1"/>
      <c r="N2684" s="1"/>
      <c r="O2684" s="1"/>
    </row>
    <row r="2685" spans="1:15" hidden="1">
      <c r="A2685" s="1"/>
      <c r="B2685" s="197" t="e">
        <f t="shared" ca="1" si="252"/>
        <v>#N/A</v>
      </c>
      <c r="C2685" s="498">
        <v>619</v>
      </c>
      <c r="D2685" s="41" t="e">
        <f>IF($C$1077&gt;0,VLOOKUP($C2685,ENTI!$AL$4:AN$1003,3,FALSE),"")</f>
        <v>#N/A</v>
      </c>
      <c r="E2685" s="41" t="str">
        <f t="shared" si="251"/>
        <v/>
      </c>
      <c r="F2685" s="200"/>
      <c r="G2685" s="178" t="e">
        <f>IF($C$1077&gt;0,VLOOKUP($C2685,ENTI!$AL$4:AP$1003,5,FALSE),"")</f>
        <v>#N/A</v>
      </c>
      <c r="H2685" s="179" t="e">
        <f>IF($C$1077&gt;0,VLOOKUP($C2685,ENTI!$AL$4:AQ$1003,6,FALSE),"")</f>
        <v>#N/A</v>
      </c>
      <c r="I2685" s="187"/>
      <c r="J2685" s="140" t="e">
        <f ca="1">VLOOKUP(D2685,$F$1081:$I$4183,4,FALSE)+COUNTIF(E$1081:E2684,E2685)</f>
        <v>#N/A</v>
      </c>
      <c r="K2685" s="1"/>
      <c r="L2685" s="156"/>
      <c r="M2685" s="1"/>
      <c r="N2685" s="1"/>
      <c r="O2685" s="1"/>
    </row>
    <row r="2686" spans="1:15" hidden="1">
      <c r="A2686" s="1"/>
      <c r="B2686" s="197" t="e">
        <f t="shared" ca="1" si="252"/>
        <v>#N/A</v>
      </c>
      <c r="C2686" s="498">
        <v>620</v>
      </c>
      <c r="D2686" s="41" t="e">
        <f>IF($C$1077&gt;0,VLOOKUP($C2686,ENTI!$AL$4:AN$1003,3,FALSE),"")</f>
        <v>#N/A</v>
      </c>
      <c r="E2686" s="41" t="str">
        <f t="shared" si="251"/>
        <v/>
      </c>
      <c r="F2686" s="200"/>
      <c r="G2686" s="178" t="e">
        <f>IF($C$1077&gt;0,VLOOKUP($C2686,ENTI!$AL$4:AP$1003,5,FALSE),"")</f>
        <v>#N/A</v>
      </c>
      <c r="H2686" s="179" t="e">
        <f>IF($C$1077&gt;0,VLOOKUP($C2686,ENTI!$AL$4:AQ$1003,6,FALSE),"")</f>
        <v>#N/A</v>
      </c>
      <c r="I2686" s="187"/>
      <c r="J2686" s="140" t="e">
        <f ca="1">VLOOKUP(D2686,$F$1081:$I$4183,4,FALSE)+COUNTIF(E$1081:E2685,E2686)</f>
        <v>#N/A</v>
      </c>
      <c r="K2686" s="1"/>
      <c r="L2686" s="156"/>
      <c r="M2686" s="1"/>
      <c r="N2686" s="1"/>
      <c r="O2686" s="1"/>
    </row>
    <row r="2687" spans="1:15" hidden="1">
      <c r="A2687" s="1"/>
      <c r="B2687" s="197" t="e">
        <f t="shared" ca="1" si="252"/>
        <v>#N/A</v>
      </c>
      <c r="C2687" s="498">
        <v>621</v>
      </c>
      <c r="D2687" s="41" t="e">
        <f>IF($C$1077&gt;0,VLOOKUP($C2687,ENTI!$AL$4:AN$1003,3,FALSE),"")</f>
        <v>#N/A</v>
      </c>
      <c r="E2687" s="41" t="str">
        <f t="shared" si="251"/>
        <v/>
      </c>
      <c r="F2687" s="200"/>
      <c r="G2687" s="178" t="e">
        <f>IF($C$1077&gt;0,VLOOKUP($C2687,ENTI!$AL$4:AP$1003,5,FALSE),"")</f>
        <v>#N/A</v>
      </c>
      <c r="H2687" s="179" t="e">
        <f>IF($C$1077&gt;0,VLOOKUP($C2687,ENTI!$AL$4:AQ$1003,6,FALSE),"")</f>
        <v>#N/A</v>
      </c>
      <c r="I2687" s="187"/>
      <c r="J2687" s="140" t="e">
        <f ca="1">VLOOKUP(D2687,$F$1081:$I$4183,4,FALSE)+COUNTIF(E$1081:E2686,E2687)</f>
        <v>#N/A</v>
      </c>
      <c r="K2687" s="1"/>
      <c r="L2687" s="156"/>
      <c r="M2687" s="1"/>
      <c r="N2687" s="1"/>
      <c r="O2687" s="1"/>
    </row>
    <row r="2688" spans="1:15" hidden="1">
      <c r="A2688" s="1"/>
      <c r="B2688" s="197" t="e">
        <f t="shared" ca="1" si="252"/>
        <v>#N/A</v>
      </c>
      <c r="C2688" s="498">
        <v>622</v>
      </c>
      <c r="D2688" s="41" t="e">
        <f>IF($C$1077&gt;0,VLOOKUP($C2688,ENTI!$AL$4:AN$1003,3,FALSE),"")</f>
        <v>#N/A</v>
      </c>
      <c r="E2688" s="41" t="str">
        <f t="shared" si="251"/>
        <v/>
      </c>
      <c r="F2688" s="200"/>
      <c r="G2688" s="178" t="e">
        <f>IF($C$1077&gt;0,VLOOKUP($C2688,ENTI!$AL$4:AP$1003,5,FALSE),"")</f>
        <v>#N/A</v>
      </c>
      <c r="H2688" s="179" t="e">
        <f>IF($C$1077&gt;0,VLOOKUP($C2688,ENTI!$AL$4:AQ$1003,6,FALSE),"")</f>
        <v>#N/A</v>
      </c>
      <c r="I2688" s="187"/>
      <c r="J2688" s="140" t="e">
        <f ca="1">VLOOKUP(D2688,$F$1081:$I$4183,4,FALSE)+COUNTIF(E$1081:E2687,E2688)</f>
        <v>#N/A</v>
      </c>
      <c r="K2688" s="1"/>
      <c r="L2688" s="156"/>
      <c r="M2688" s="1"/>
      <c r="N2688" s="1"/>
      <c r="O2688" s="1"/>
    </row>
    <row r="2689" spans="1:15" hidden="1">
      <c r="A2689" s="1"/>
      <c r="B2689" s="197" t="e">
        <f t="shared" ca="1" si="252"/>
        <v>#N/A</v>
      </c>
      <c r="C2689" s="498">
        <v>623</v>
      </c>
      <c r="D2689" s="41" t="e">
        <f>IF($C$1077&gt;0,VLOOKUP($C2689,ENTI!$AL$4:AN$1003,3,FALSE),"")</f>
        <v>#N/A</v>
      </c>
      <c r="E2689" s="41" t="str">
        <f t="shared" si="251"/>
        <v/>
      </c>
      <c r="F2689" s="200"/>
      <c r="G2689" s="178" t="e">
        <f>IF($C$1077&gt;0,VLOOKUP($C2689,ENTI!$AL$4:AP$1003,5,FALSE),"")</f>
        <v>#N/A</v>
      </c>
      <c r="H2689" s="179" t="e">
        <f>IF($C$1077&gt;0,VLOOKUP($C2689,ENTI!$AL$4:AQ$1003,6,FALSE),"")</f>
        <v>#N/A</v>
      </c>
      <c r="I2689" s="187"/>
      <c r="J2689" s="140" t="e">
        <f ca="1">VLOOKUP(D2689,$F$1081:$I$4183,4,FALSE)+COUNTIF(E$1081:E2688,E2689)</f>
        <v>#N/A</v>
      </c>
      <c r="K2689" s="1"/>
      <c r="L2689" s="156"/>
      <c r="M2689" s="1"/>
      <c r="N2689" s="1"/>
      <c r="O2689" s="1"/>
    </row>
    <row r="2690" spans="1:15" hidden="1">
      <c r="A2690" s="1"/>
      <c r="B2690" s="197" t="e">
        <f t="shared" ca="1" si="252"/>
        <v>#N/A</v>
      </c>
      <c r="C2690" s="498">
        <v>624</v>
      </c>
      <c r="D2690" s="41" t="e">
        <f>IF($C$1077&gt;0,VLOOKUP($C2690,ENTI!$AL$4:AN$1003,3,FALSE),"")</f>
        <v>#N/A</v>
      </c>
      <c r="E2690" s="41" t="str">
        <f t="shared" si="251"/>
        <v/>
      </c>
      <c r="F2690" s="200"/>
      <c r="G2690" s="178" t="e">
        <f>IF($C$1077&gt;0,VLOOKUP($C2690,ENTI!$AL$4:AP$1003,5,FALSE),"")</f>
        <v>#N/A</v>
      </c>
      <c r="H2690" s="179" t="e">
        <f>IF($C$1077&gt;0,VLOOKUP($C2690,ENTI!$AL$4:AQ$1003,6,FALSE),"")</f>
        <v>#N/A</v>
      </c>
      <c r="I2690" s="187"/>
      <c r="J2690" s="140" t="e">
        <f ca="1">VLOOKUP(D2690,$F$1081:$I$4183,4,FALSE)+COUNTIF(E$1081:E2689,E2690)</f>
        <v>#N/A</v>
      </c>
      <c r="K2690" s="1"/>
      <c r="L2690" s="156"/>
      <c r="M2690" s="1"/>
      <c r="N2690" s="1"/>
      <c r="O2690" s="1"/>
    </row>
    <row r="2691" spans="1:15" hidden="1">
      <c r="A2691" s="1"/>
      <c r="B2691" s="197" t="e">
        <f t="shared" ca="1" si="252"/>
        <v>#N/A</v>
      </c>
      <c r="C2691" s="498">
        <v>625</v>
      </c>
      <c r="D2691" s="41" t="e">
        <f>IF($C$1077&gt;0,VLOOKUP($C2691,ENTI!$AL$4:AN$1003,3,FALSE),"")</f>
        <v>#N/A</v>
      </c>
      <c r="E2691" s="41" t="str">
        <f t="shared" si="251"/>
        <v/>
      </c>
      <c r="F2691" s="200"/>
      <c r="G2691" s="178" t="e">
        <f>IF($C$1077&gt;0,VLOOKUP($C2691,ENTI!$AL$4:AP$1003,5,FALSE),"")</f>
        <v>#N/A</v>
      </c>
      <c r="H2691" s="179" t="e">
        <f>IF($C$1077&gt;0,VLOOKUP($C2691,ENTI!$AL$4:AQ$1003,6,FALSE),"")</f>
        <v>#N/A</v>
      </c>
      <c r="I2691" s="187"/>
      <c r="J2691" s="140" t="e">
        <f ca="1">VLOOKUP(D2691,$F$1081:$I$4183,4,FALSE)+COUNTIF(E$1081:E2690,E2691)</f>
        <v>#N/A</v>
      </c>
      <c r="K2691" s="1"/>
      <c r="L2691" s="156"/>
      <c r="M2691" s="1"/>
      <c r="N2691" s="1"/>
      <c r="O2691" s="1"/>
    </row>
    <row r="2692" spans="1:15" hidden="1">
      <c r="A2692" s="1"/>
      <c r="B2692" s="197" t="e">
        <f t="shared" ca="1" si="252"/>
        <v>#N/A</v>
      </c>
      <c r="C2692" s="498">
        <v>626</v>
      </c>
      <c r="D2692" s="41" t="e">
        <f>IF($C$1077&gt;0,VLOOKUP($C2692,ENTI!$AL$4:AN$1003,3,FALSE),"")</f>
        <v>#N/A</v>
      </c>
      <c r="E2692" s="41" t="str">
        <f t="shared" si="251"/>
        <v/>
      </c>
      <c r="F2692" s="200"/>
      <c r="G2692" s="178" t="e">
        <f>IF($C$1077&gt;0,VLOOKUP($C2692,ENTI!$AL$4:AP$1003,5,FALSE),"")</f>
        <v>#N/A</v>
      </c>
      <c r="H2692" s="179" t="e">
        <f>IF($C$1077&gt;0,VLOOKUP($C2692,ENTI!$AL$4:AQ$1003,6,FALSE),"")</f>
        <v>#N/A</v>
      </c>
      <c r="I2692" s="187"/>
      <c r="J2692" s="140" t="e">
        <f ca="1">VLOOKUP(D2692,$F$1081:$I$4183,4,FALSE)+COUNTIF(E$1081:E2691,E2692)</f>
        <v>#N/A</v>
      </c>
      <c r="K2692" s="1"/>
      <c r="L2692" s="156"/>
      <c r="M2692" s="1"/>
      <c r="N2692" s="1"/>
      <c r="O2692" s="1"/>
    </row>
    <row r="2693" spans="1:15" hidden="1">
      <c r="A2693" s="1"/>
      <c r="B2693" s="197" t="e">
        <f t="shared" ca="1" si="252"/>
        <v>#N/A</v>
      </c>
      <c r="C2693" s="498">
        <v>627</v>
      </c>
      <c r="D2693" s="41" t="e">
        <f>IF($C$1077&gt;0,VLOOKUP($C2693,ENTI!$AL$4:AN$1003,3,FALSE),"")</f>
        <v>#N/A</v>
      </c>
      <c r="E2693" s="41" t="str">
        <f t="shared" si="251"/>
        <v/>
      </c>
      <c r="F2693" s="200"/>
      <c r="G2693" s="178" t="e">
        <f>IF($C$1077&gt;0,VLOOKUP($C2693,ENTI!$AL$4:AP$1003,5,FALSE),"")</f>
        <v>#N/A</v>
      </c>
      <c r="H2693" s="179" t="e">
        <f>IF($C$1077&gt;0,VLOOKUP($C2693,ENTI!$AL$4:AQ$1003,6,FALSE),"")</f>
        <v>#N/A</v>
      </c>
      <c r="I2693" s="187"/>
      <c r="J2693" s="140" t="e">
        <f ca="1">VLOOKUP(D2693,$F$1081:$I$4183,4,FALSE)+COUNTIF(E$1081:E2692,E2693)</f>
        <v>#N/A</v>
      </c>
      <c r="K2693" s="1"/>
      <c r="L2693" s="156"/>
      <c r="M2693" s="1"/>
      <c r="N2693" s="1"/>
      <c r="O2693" s="1"/>
    </row>
    <row r="2694" spans="1:15" hidden="1">
      <c r="A2694" s="1"/>
      <c r="B2694" s="197" t="e">
        <f t="shared" ca="1" si="252"/>
        <v>#N/A</v>
      </c>
      <c r="C2694" s="498">
        <v>628</v>
      </c>
      <c r="D2694" s="41" t="e">
        <f>IF($C$1077&gt;0,VLOOKUP($C2694,ENTI!$AL$4:AN$1003,3,FALSE),"")</f>
        <v>#N/A</v>
      </c>
      <c r="E2694" s="41" t="str">
        <f t="shared" si="251"/>
        <v/>
      </c>
      <c r="F2694" s="200"/>
      <c r="G2694" s="178" t="e">
        <f>IF($C$1077&gt;0,VLOOKUP($C2694,ENTI!$AL$4:AP$1003,5,FALSE),"")</f>
        <v>#N/A</v>
      </c>
      <c r="H2694" s="179" t="e">
        <f>IF($C$1077&gt;0,VLOOKUP($C2694,ENTI!$AL$4:AQ$1003,6,FALSE),"")</f>
        <v>#N/A</v>
      </c>
      <c r="I2694" s="187"/>
      <c r="J2694" s="140" t="e">
        <f ca="1">VLOOKUP(D2694,$F$1081:$I$4183,4,FALSE)+COUNTIF(E$1081:E2693,E2694)</f>
        <v>#N/A</v>
      </c>
      <c r="K2694" s="1"/>
      <c r="L2694" s="156"/>
      <c r="M2694" s="1"/>
      <c r="N2694" s="1"/>
      <c r="O2694" s="1"/>
    </row>
    <row r="2695" spans="1:15" hidden="1">
      <c r="A2695" s="1"/>
      <c r="B2695" s="197" t="e">
        <f t="shared" ca="1" si="252"/>
        <v>#N/A</v>
      </c>
      <c r="C2695" s="498">
        <v>629</v>
      </c>
      <c r="D2695" s="41" t="e">
        <f>IF($C$1077&gt;0,VLOOKUP($C2695,ENTI!$AL$4:AN$1003,3,FALSE),"")</f>
        <v>#N/A</v>
      </c>
      <c r="E2695" s="41" t="str">
        <f t="shared" si="251"/>
        <v/>
      </c>
      <c r="F2695" s="200"/>
      <c r="G2695" s="178" t="e">
        <f>IF($C$1077&gt;0,VLOOKUP($C2695,ENTI!$AL$4:AP$1003,5,FALSE),"")</f>
        <v>#N/A</v>
      </c>
      <c r="H2695" s="179" t="e">
        <f>IF($C$1077&gt;0,VLOOKUP($C2695,ENTI!$AL$4:AQ$1003,6,FALSE),"")</f>
        <v>#N/A</v>
      </c>
      <c r="I2695" s="187"/>
      <c r="J2695" s="140" t="e">
        <f ca="1">VLOOKUP(D2695,$F$1081:$I$4183,4,FALSE)+COUNTIF(E$1081:E2694,E2695)</f>
        <v>#N/A</v>
      </c>
      <c r="K2695" s="1"/>
      <c r="L2695" s="156"/>
      <c r="M2695" s="1"/>
      <c r="N2695" s="1"/>
      <c r="O2695" s="1"/>
    </row>
    <row r="2696" spans="1:15" hidden="1">
      <c r="A2696" s="1"/>
      <c r="B2696" s="197" t="e">
        <f t="shared" ca="1" si="252"/>
        <v>#N/A</v>
      </c>
      <c r="C2696" s="498">
        <v>630</v>
      </c>
      <c r="D2696" s="41" t="e">
        <f>IF($C$1077&gt;0,VLOOKUP($C2696,ENTI!$AL$4:AN$1003,3,FALSE),"")</f>
        <v>#N/A</v>
      </c>
      <c r="E2696" s="41" t="str">
        <f t="shared" si="251"/>
        <v/>
      </c>
      <c r="F2696" s="200"/>
      <c r="G2696" s="178" t="e">
        <f>IF($C$1077&gt;0,VLOOKUP($C2696,ENTI!$AL$4:AP$1003,5,FALSE),"")</f>
        <v>#N/A</v>
      </c>
      <c r="H2696" s="179" t="e">
        <f>IF($C$1077&gt;0,VLOOKUP($C2696,ENTI!$AL$4:AQ$1003,6,FALSE),"")</f>
        <v>#N/A</v>
      </c>
      <c r="I2696" s="187"/>
      <c r="J2696" s="140" t="e">
        <f ca="1">VLOOKUP(D2696,$F$1081:$I$4183,4,FALSE)+COUNTIF(E$1081:E2695,E2696)</f>
        <v>#N/A</v>
      </c>
      <c r="K2696" s="1"/>
      <c r="L2696" s="156"/>
      <c r="M2696" s="1"/>
      <c r="N2696" s="1"/>
      <c r="O2696" s="1"/>
    </row>
    <row r="2697" spans="1:15" hidden="1">
      <c r="A2697" s="1"/>
      <c r="B2697" s="197" t="e">
        <f t="shared" ca="1" si="252"/>
        <v>#N/A</v>
      </c>
      <c r="C2697" s="498">
        <v>631</v>
      </c>
      <c r="D2697" s="41" t="e">
        <f>IF($C$1077&gt;0,VLOOKUP($C2697,ENTI!$AL$4:AN$1003,3,FALSE),"")</f>
        <v>#N/A</v>
      </c>
      <c r="E2697" s="41" t="str">
        <f t="shared" si="251"/>
        <v/>
      </c>
      <c r="F2697" s="200"/>
      <c r="G2697" s="178" t="e">
        <f>IF($C$1077&gt;0,VLOOKUP($C2697,ENTI!$AL$4:AP$1003,5,FALSE),"")</f>
        <v>#N/A</v>
      </c>
      <c r="H2697" s="179" t="e">
        <f>IF($C$1077&gt;0,VLOOKUP($C2697,ENTI!$AL$4:AQ$1003,6,FALSE),"")</f>
        <v>#N/A</v>
      </c>
      <c r="I2697" s="187"/>
      <c r="J2697" s="140" t="e">
        <f ca="1">VLOOKUP(D2697,$F$1081:$I$4183,4,FALSE)+COUNTIF(E$1081:E2696,E2697)</f>
        <v>#N/A</v>
      </c>
      <c r="K2697" s="1"/>
      <c r="L2697" s="156"/>
      <c r="M2697" s="1"/>
      <c r="N2697" s="1"/>
      <c r="O2697" s="1"/>
    </row>
    <row r="2698" spans="1:15" hidden="1">
      <c r="A2698" s="1"/>
      <c r="B2698" s="197" t="e">
        <f t="shared" ca="1" si="252"/>
        <v>#N/A</v>
      </c>
      <c r="C2698" s="498">
        <v>632</v>
      </c>
      <c r="D2698" s="41" t="e">
        <f>IF($C$1077&gt;0,VLOOKUP($C2698,ENTI!$AL$4:AN$1003,3,FALSE),"")</f>
        <v>#N/A</v>
      </c>
      <c r="E2698" s="41" t="str">
        <f t="shared" si="251"/>
        <v/>
      </c>
      <c r="F2698" s="200"/>
      <c r="G2698" s="178" t="e">
        <f>IF($C$1077&gt;0,VLOOKUP($C2698,ENTI!$AL$4:AP$1003,5,FALSE),"")</f>
        <v>#N/A</v>
      </c>
      <c r="H2698" s="179" t="e">
        <f>IF($C$1077&gt;0,VLOOKUP($C2698,ENTI!$AL$4:AQ$1003,6,FALSE),"")</f>
        <v>#N/A</v>
      </c>
      <c r="I2698" s="187"/>
      <c r="J2698" s="140" t="e">
        <f ca="1">VLOOKUP(D2698,$F$1081:$I$4183,4,FALSE)+COUNTIF(E$1081:E2697,E2698)</f>
        <v>#N/A</v>
      </c>
      <c r="K2698" s="1"/>
      <c r="L2698" s="156"/>
      <c r="M2698" s="1"/>
      <c r="N2698" s="1"/>
      <c r="O2698" s="1"/>
    </row>
    <row r="2699" spans="1:15" hidden="1">
      <c r="A2699" s="1"/>
      <c r="B2699" s="197" t="e">
        <f t="shared" ca="1" si="252"/>
        <v>#N/A</v>
      </c>
      <c r="C2699" s="498">
        <v>633</v>
      </c>
      <c r="D2699" s="41" t="e">
        <f>IF($C$1077&gt;0,VLOOKUP($C2699,ENTI!$AL$4:AN$1003,3,FALSE),"")</f>
        <v>#N/A</v>
      </c>
      <c r="E2699" s="41" t="str">
        <f t="shared" si="251"/>
        <v/>
      </c>
      <c r="F2699" s="200"/>
      <c r="G2699" s="178" t="e">
        <f>IF($C$1077&gt;0,VLOOKUP($C2699,ENTI!$AL$4:AP$1003,5,FALSE),"")</f>
        <v>#N/A</v>
      </c>
      <c r="H2699" s="179" t="e">
        <f>IF($C$1077&gt;0,VLOOKUP($C2699,ENTI!$AL$4:AQ$1003,6,FALSE),"")</f>
        <v>#N/A</v>
      </c>
      <c r="I2699" s="187"/>
      <c r="J2699" s="140" t="e">
        <f ca="1">VLOOKUP(D2699,$F$1081:$I$4183,4,FALSE)+COUNTIF(E$1081:E2698,E2699)</f>
        <v>#N/A</v>
      </c>
      <c r="K2699" s="1"/>
      <c r="L2699" s="156"/>
      <c r="M2699" s="1"/>
      <c r="N2699" s="1"/>
      <c r="O2699" s="1"/>
    </row>
    <row r="2700" spans="1:15" hidden="1">
      <c r="A2700" s="1"/>
      <c r="B2700" s="197" t="e">
        <f t="shared" ca="1" si="252"/>
        <v>#N/A</v>
      </c>
      <c r="C2700" s="498">
        <v>634</v>
      </c>
      <c r="D2700" s="41" t="e">
        <f>IF($C$1077&gt;0,VLOOKUP($C2700,ENTI!$AL$4:AN$1003,3,FALSE),"")</f>
        <v>#N/A</v>
      </c>
      <c r="E2700" s="41" t="str">
        <f t="shared" si="251"/>
        <v/>
      </c>
      <c r="F2700" s="200"/>
      <c r="G2700" s="178" t="e">
        <f>IF($C$1077&gt;0,VLOOKUP($C2700,ENTI!$AL$4:AP$1003,5,FALSE),"")</f>
        <v>#N/A</v>
      </c>
      <c r="H2700" s="179" t="e">
        <f>IF($C$1077&gt;0,VLOOKUP($C2700,ENTI!$AL$4:AQ$1003,6,FALSE),"")</f>
        <v>#N/A</v>
      </c>
      <c r="I2700" s="187"/>
      <c r="J2700" s="140" t="e">
        <f ca="1">VLOOKUP(D2700,$F$1081:$I$4183,4,FALSE)+COUNTIF(E$1081:E2699,E2700)</f>
        <v>#N/A</v>
      </c>
      <c r="K2700" s="1"/>
      <c r="L2700" s="156"/>
      <c r="M2700" s="1"/>
      <c r="N2700" s="1"/>
      <c r="O2700" s="1"/>
    </row>
    <row r="2701" spans="1:15" hidden="1">
      <c r="A2701" s="1"/>
      <c r="B2701" s="197" t="e">
        <f t="shared" ca="1" si="252"/>
        <v>#N/A</v>
      </c>
      <c r="C2701" s="498">
        <v>635</v>
      </c>
      <c r="D2701" s="41" t="e">
        <f>IF($C$1077&gt;0,VLOOKUP($C2701,ENTI!$AL$4:AN$1003,3,FALSE),"")</f>
        <v>#N/A</v>
      </c>
      <c r="E2701" s="41" t="str">
        <f t="shared" si="251"/>
        <v/>
      </c>
      <c r="F2701" s="200"/>
      <c r="G2701" s="178" t="e">
        <f>IF($C$1077&gt;0,VLOOKUP($C2701,ENTI!$AL$4:AP$1003,5,FALSE),"")</f>
        <v>#N/A</v>
      </c>
      <c r="H2701" s="179" t="e">
        <f>IF($C$1077&gt;0,VLOOKUP($C2701,ENTI!$AL$4:AQ$1003,6,FALSE),"")</f>
        <v>#N/A</v>
      </c>
      <c r="I2701" s="187"/>
      <c r="J2701" s="140" t="e">
        <f ca="1">VLOOKUP(D2701,$F$1081:$I$4183,4,FALSE)+COUNTIF(E$1081:E2700,E2701)</f>
        <v>#N/A</v>
      </c>
      <c r="K2701" s="1"/>
      <c r="L2701" s="156"/>
      <c r="M2701" s="1"/>
      <c r="N2701" s="1"/>
      <c r="O2701" s="1"/>
    </row>
    <row r="2702" spans="1:15" hidden="1">
      <c r="A2702" s="1"/>
      <c r="B2702" s="197" t="e">
        <f t="shared" ca="1" si="252"/>
        <v>#N/A</v>
      </c>
      <c r="C2702" s="498">
        <v>636</v>
      </c>
      <c r="D2702" s="41" t="e">
        <f>IF($C$1077&gt;0,VLOOKUP($C2702,ENTI!$AL$4:AN$1003,3,FALSE),"")</f>
        <v>#N/A</v>
      </c>
      <c r="E2702" s="41" t="str">
        <f t="shared" si="251"/>
        <v/>
      </c>
      <c r="F2702" s="200"/>
      <c r="G2702" s="178" t="e">
        <f>IF($C$1077&gt;0,VLOOKUP($C2702,ENTI!$AL$4:AP$1003,5,FALSE),"")</f>
        <v>#N/A</v>
      </c>
      <c r="H2702" s="179" t="e">
        <f>IF($C$1077&gt;0,VLOOKUP($C2702,ENTI!$AL$4:AQ$1003,6,FALSE),"")</f>
        <v>#N/A</v>
      </c>
      <c r="I2702" s="187"/>
      <c r="J2702" s="140" t="e">
        <f ca="1">VLOOKUP(D2702,$F$1081:$I$4183,4,FALSE)+COUNTIF(E$1081:E2701,E2702)</f>
        <v>#N/A</v>
      </c>
      <c r="K2702" s="1"/>
      <c r="L2702" s="156"/>
      <c r="M2702" s="1"/>
      <c r="N2702" s="1"/>
      <c r="O2702" s="1"/>
    </row>
    <row r="2703" spans="1:15" hidden="1">
      <c r="A2703" s="1"/>
      <c r="B2703" s="197" t="e">
        <f t="shared" ca="1" si="252"/>
        <v>#N/A</v>
      </c>
      <c r="C2703" s="498">
        <v>637</v>
      </c>
      <c r="D2703" s="41" t="e">
        <f>IF($C$1077&gt;0,VLOOKUP($C2703,ENTI!$AL$4:AN$1003,3,FALSE),"")</f>
        <v>#N/A</v>
      </c>
      <c r="E2703" s="41" t="str">
        <f t="shared" ref="E2703:E2766" si="253">IF(ISERROR(D2703),"",D2703)</f>
        <v/>
      </c>
      <c r="F2703" s="200"/>
      <c r="G2703" s="178" t="e">
        <f>IF($C$1077&gt;0,VLOOKUP($C2703,ENTI!$AL$4:AP$1003,5,FALSE),"")</f>
        <v>#N/A</v>
      </c>
      <c r="H2703" s="179" t="e">
        <f>IF($C$1077&gt;0,VLOOKUP($C2703,ENTI!$AL$4:AQ$1003,6,FALSE),"")</f>
        <v>#N/A</v>
      </c>
      <c r="I2703" s="187"/>
      <c r="J2703" s="140" t="e">
        <f ca="1">VLOOKUP(D2703,$F$1081:$I$4183,4,FALSE)+COUNTIF(E$1081:E2702,E2703)</f>
        <v>#N/A</v>
      </c>
      <c r="K2703" s="1"/>
      <c r="L2703" s="156"/>
      <c r="M2703" s="1"/>
      <c r="N2703" s="1"/>
      <c r="O2703" s="1"/>
    </row>
    <row r="2704" spans="1:15" hidden="1">
      <c r="A2704" s="1"/>
      <c r="B2704" s="197" t="e">
        <f t="shared" ca="1" si="252"/>
        <v>#N/A</v>
      </c>
      <c r="C2704" s="498">
        <v>638</v>
      </c>
      <c r="D2704" s="41" t="e">
        <f>IF($C$1077&gt;0,VLOOKUP($C2704,ENTI!$AL$4:AN$1003,3,FALSE),"")</f>
        <v>#N/A</v>
      </c>
      <c r="E2704" s="41" t="str">
        <f t="shared" si="253"/>
        <v/>
      </c>
      <c r="F2704" s="200"/>
      <c r="G2704" s="178" t="e">
        <f>IF($C$1077&gt;0,VLOOKUP($C2704,ENTI!$AL$4:AP$1003,5,FALSE),"")</f>
        <v>#N/A</v>
      </c>
      <c r="H2704" s="179" t="e">
        <f>IF($C$1077&gt;0,VLOOKUP($C2704,ENTI!$AL$4:AQ$1003,6,FALSE),"")</f>
        <v>#N/A</v>
      </c>
      <c r="I2704" s="187"/>
      <c r="J2704" s="140" t="e">
        <f ca="1">VLOOKUP(D2704,$F$1081:$I$4183,4,FALSE)+COUNTIF(E$1081:E2703,E2704)</f>
        <v>#N/A</v>
      </c>
      <c r="K2704" s="1"/>
      <c r="L2704" s="156"/>
      <c r="M2704" s="1"/>
      <c r="N2704" s="1"/>
      <c r="O2704" s="1"/>
    </row>
    <row r="2705" spans="1:15" hidden="1">
      <c r="A2705" s="1"/>
      <c r="B2705" s="197" t="e">
        <f t="shared" ca="1" si="252"/>
        <v>#N/A</v>
      </c>
      <c r="C2705" s="498">
        <v>639</v>
      </c>
      <c r="D2705" s="41" t="e">
        <f>IF($C$1077&gt;0,VLOOKUP($C2705,ENTI!$AL$4:AN$1003,3,FALSE),"")</f>
        <v>#N/A</v>
      </c>
      <c r="E2705" s="41" t="str">
        <f t="shared" si="253"/>
        <v/>
      </c>
      <c r="F2705" s="200"/>
      <c r="G2705" s="178" t="e">
        <f>IF($C$1077&gt;0,VLOOKUP($C2705,ENTI!$AL$4:AP$1003,5,FALSE),"")</f>
        <v>#N/A</v>
      </c>
      <c r="H2705" s="179" t="e">
        <f>IF($C$1077&gt;0,VLOOKUP($C2705,ENTI!$AL$4:AQ$1003,6,FALSE),"")</f>
        <v>#N/A</v>
      </c>
      <c r="I2705" s="187"/>
      <c r="J2705" s="140" t="e">
        <f ca="1">VLOOKUP(D2705,$F$1081:$I$4183,4,FALSE)+COUNTIF(E$1081:E2704,E2705)</f>
        <v>#N/A</v>
      </c>
      <c r="K2705" s="1"/>
      <c r="L2705" s="156"/>
      <c r="M2705" s="1"/>
      <c r="N2705" s="1"/>
      <c r="O2705" s="1"/>
    </row>
    <row r="2706" spans="1:15" hidden="1">
      <c r="A2706" s="1"/>
      <c r="B2706" s="197" t="e">
        <f t="shared" ca="1" si="252"/>
        <v>#N/A</v>
      </c>
      <c r="C2706" s="498">
        <v>640</v>
      </c>
      <c r="D2706" s="41" t="e">
        <f>IF($C$1077&gt;0,VLOOKUP($C2706,ENTI!$AL$4:AN$1003,3,FALSE),"")</f>
        <v>#N/A</v>
      </c>
      <c r="E2706" s="41" t="str">
        <f t="shared" si="253"/>
        <v/>
      </c>
      <c r="F2706" s="200"/>
      <c r="G2706" s="178" t="e">
        <f>IF($C$1077&gt;0,VLOOKUP($C2706,ENTI!$AL$4:AP$1003,5,FALSE),"")</f>
        <v>#N/A</v>
      </c>
      <c r="H2706" s="179" t="e">
        <f>IF($C$1077&gt;0,VLOOKUP($C2706,ENTI!$AL$4:AQ$1003,6,FALSE),"")</f>
        <v>#N/A</v>
      </c>
      <c r="I2706" s="187"/>
      <c r="J2706" s="140" t="e">
        <f ca="1">VLOOKUP(D2706,$F$1081:$I$4183,4,FALSE)+COUNTIF(E$1081:E2705,E2706)</f>
        <v>#N/A</v>
      </c>
      <c r="K2706" s="1"/>
      <c r="L2706" s="156"/>
      <c r="M2706" s="1"/>
      <c r="N2706" s="1"/>
      <c r="O2706" s="1"/>
    </row>
    <row r="2707" spans="1:15" hidden="1">
      <c r="A2707" s="1"/>
      <c r="B2707" s="197" t="e">
        <f t="shared" ca="1" si="252"/>
        <v>#N/A</v>
      </c>
      <c r="C2707" s="498">
        <v>641</v>
      </c>
      <c r="D2707" s="41" t="e">
        <f>IF($C$1077&gt;0,VLOOKUP($C2707,ENTI!$AL$4:AN$1003,3,FALSE),"")</f>
        <v>#N/A</v>
      </c>
      <c r="E2707" s="41" t="str">
        <f t="shared" si="253"/>
        <v/>
      </c>
      <c r="F2707" s="200"/>
      <c r="G2707" s="178" t="e">
        <f>IF($C$1077&gt;0,VLOOKUP($C2707,ENTI!$AL$4:AP$1003,5,FALSE),"")</f>
        <v>#N/A</v>
      </c>
      <c r="H2707" s="179" t="e">
        <f>IF($C$1077&gt;0,VLOOKUP($C2707,ENTI!$AL$4:AQ$1003,6,FALSE),"")</f>
        <v>#N/A</v>
      </c>
      <c r="I2707" s="187"/>
      <c r="J2707" s="140" t="e">
        <f ca="1">VLOOKUP(D2707,$F$1081:$I$4183,4,FALSE)+COUNTIF(E$1081:E2706,E2707)</f>
        <v>#N/A</v>
      </c>
      <c r="K2707" s="1"/>
      <c r="L2707" s="156"/>
      <c r="M2707" s="1"/>
      <c r="N2707" s="1"/>
      <c r="O2707" s="1"/>
    </row>
    <row r="2708" spans="1:15" hidden="1">
      <c r="A2708" s="1"/>
      <c r="B2708" s="197" t="e">
        <f t="shared" ca="1" si="252"/>
        <v>#N/A</v>
      </c>
      <c r="C2708" s="498">
        <v>642</v>
      </c>
      <c r="D2708" s="41" t="e">
        <f>IF($C$1077&gt;0,VLOOKUP($C2708,ENTI!$AL$4:AN$1003,3,FALSE),"")</f>
        <v>#N/A</v>
      </c>
      <c r="E2708" s="41" t="str">
        <f t="shared" si="253"/>
        <v/>
      </c>
      <c r="F2708" s="200"/>
      <c r="G2708" s="178" t="e">
        <f>IF($C$1077&gt;0,VLOOKUP($C2708,ENTI!$AL$4:AP$1003,5,FALSE),"")</f>
        <v>#N/A</v>
      </c>
      <c r="H2708" s="179" t="e">
        <f>IF($C$1077&gt;0,VLOOKUP($C2708,ENTI!$AL$4:AQ$1003,6,FALSE),"")</f>
        <v>#N/A</v>
      </c>
      <c r="I2708" s="187"/>
      <c r="J2708" s="140" t="e">
        <f ca="1">VLOOKUP(D2708,$F$1081:$I$4183,4,FALSE)+COUNTIF(E$1081:E2707,E2708)</f>
        <v>#N/A</v>
      </c>
      <c r="K2708" s="1"/>
      <c r="L2708" s="156"/>
      <c r="M2708" s="1"/>
      <c r="N2708" s="1"/>
      <c r="O2708" s="1"/>
    </row>
    <row r="2709" spans="1:15" hidden="1">
      <c r="A2709" s="1"/>
      <c r="B2709" s="197" t="e">
        <f t="shared" ca="1" si="252"/>
        <v>#N/A</v>
      </c>
      <c r="C2709" s="498">
        <v>643</v>
      </c>
      <c r="D2709" s="41" t="e">
        <f>IF($C$1077&gt;0,VLOOKUP($C2709,ENTI!$AL$4:AN$1003,3,FALSE),"")</f>
        <v>#N/A</v>
      </c>
      <c r="E2709" s="41" t="str">
        <f t="shared" si="253"/>
        <v/>
      </c>
      <c r="F2709" s="200"/>
      <c r="G2709" s="178" t="e">
        <f>IF($C$1077&gt;0,VLOOKUP($C2709,ENTI!$AL$4:AP$1003,5,FALSE),"")</f>
        <v>#N/A</v>
      </c>
      <c r="H2709" s="179" t="e">
        <f>IF($C$1077&gt;0,VLOOKUP($C2709,ENTI!$AL$4:AQ$1003,6,FALSE),"")</f>
        <v>#N/A</v>
      </c>
      <c r="I2709" s="187"/>
      <c r="J2709" s="140" t="e">
        <f ca="1">VLOOKUP(D2709,$F$1081:$I$4183,4,FALSE)+COUNTIF(E$1081:E2708,E2709)</f>
        <v>#N/A</v>
      </c>
      <c r="K2709" s="1"/>
      <c r="L2709" s="156"/>
      <c r="M2709" s="1"/>
      <c r="N2709" s="1"/>
      <c r="O2709" s="1"/>
    </row>
    <row r="2710" spans="1:15" hidden="1">
      <c r="A2710" s="1"/>
      <c r="B2710" s="197" t="e">
        <f t="shared" ca="1" si="252"/>
        <v>#N/A</v>
      </c>
      <c r="C2710" s="498">
        <v>644</v>
      </c>
      <c r="D2710" s="41" t="e">
        <f>IF($C$1077&gt;0,VLOOKUP($C2710,ENTI!$AL$4:AN$1003,3,FALSE),"")</f>
        <v>#N/A</v>
      </c>
      <c r="E2710" s="41" t="str">
        <f t="shared" si="253"/>
        <v/>
      </c>
      <c r="F2710" s="200"/>
      <c r="G2710" s="178" t="e">
        <f>IF($C$1077&gt;0,VLOOKUP($C2710,ENTI!$AL$4:AP$1003,5,FALSE),"")</f>
        <v>#N/A</v>
      </c>
      <c r="H2710" s="179" t="e">
        <f>IF($C$1077&gt;0,VLOOKUP($C2710,ENTI!$AL$4:AQ$1003,6,FALSE),"")</f>
        <v>#N/A</v>
      </c>
      <c r="I2710" s="187"/>
      <c r="J2710" s="140" t="e">
        <f ca="1">VLOOKUP(D2710,$F$1081:$I$4183,4,FALSE)+COUNTIF(E$1081:E2709,E2710)</f>
        <v>#N/A</v>
      </c>
      <c r="K2710" s="1"/>
      <c r="L2710" s="156"/>
      <c r="M2710" s="1"/>
      <c r="N2710" s="1"/>
      <c r="O2710" s="1"/>
    </row>
    <row r="2711" spans="1:15" hidden="1">
      <c r="A2711" s="1"/>
      <c r="B2711" s="197" t="e">
        <f t="shared" ca="1" si="252"/>
        <v>#N/A</v>
      </c>
      <c r="C2711" s="498">
        <v>645</v>
      </c>
      <c r="D2711" s="41" t="e">
        <f>IF($C$1077&gt;0,VLOOKUP($C2711,ENTI!$AL$4:AN$1003,3,FALSE),"")</f>
        <v>#N/A</v>
      </c>
      <c r="E2711" s="41" t="str">
        <f t="shared" si="253"/>
        <v/>
      </c>
      <c r="F2711" s="200"/>
      <c r="G2711" s="178" t="e">
        <f>IF($C$1077&gt;0,VLOOKUP($C2711,ENTI!$AL$4:AP$1003,5,FALSE),"")</f>
        <v>#N/A</v>
      </c>
      <c r="H2711" s="179" t="e">
        <f>IF($C$1077&gt;0,VLOOKUP($C2711,ENTI!$AL$4:AQ$1003,6,FALSE),"")</f>
        <v>#N/A</v>
      </c>
      <c r="I2711" s="187"/>
      <c r="J2711" s="140" t="e">
        <f ca="1">VLOOKUP(D2711,$F$1081:$I$4183,4,FALSE)+COUNTIF(E$1081:E2710,E2711)</f>
        <v>#N/A</v>
      </c>
      <c r="K2711" s="1"/>
      <c r="L2711" s="156"/>
      <c r="M2711" s="1"/>
      <c r="N2711" s="1"/>
      <c r="O2711" s="1"/>
    </row>
    <row r="2712" spans="1:15" hidden="1">
      <c r="A2712" s="1"/>
      <c r="B2712" s="197" t="e">
        <f t="shared" ca="1" si="252"/>
        <v>#N/A</v>
      </c>
      <c r="C2712" s="498">
        <v>646</v>
      </c>
      <c r="D2712" s="41" t="e">
        <f>IF($C$1077&gt;0,VLOOKUP($C2712,ENTI!$AL$4:AN$1003,3,FALSE),"")</f>
        <v>#N/A</v>
      </c>
      <c r="E2712" s="41" t="str">
        <f t="shared" si="253"/>
        <v/>
      </c>
      <c r="F2712" s="200"/>
      <c r="G2712" s="178" t="e">
        <f>IF($C$1077&gt;0,VLOOKUP($C2712,ENTI!$AL$4:AP$1003,5,FALSE),"")</f>
        <v>#N/A</v>
      </c>
      <c r="H2712" s="179" t="e">
        <f>IF($C$1077&gt;0,VLOOKUP($C2712,ENTI!$AL$4:AQ$1003,6,FALSE),"")</f>
        <v>#N/A</v>
      </c>
      <c r="I2712" s="187"/>
      <c r="J2712" s="140" t="e">
        <f ca="1">VLOOKUP(D2712,$F$1081:$I$4183,4,FALSE)+COUNTIF(E$1081:E2711,E2712)</f>
        <v>#N/A</v>
      </c>
      <c r="K2712" s="1"/>
      <c r="L2712" s="156"/>
      <c r="M2712" s="1"/>
      <c r="N2712" s="1"/>
      <c r="O2712" s="1"/>
    </row>
    <row r="2713" spans="1:15" hidden="1">
      <c r="A2713" s="1"/>
      <c r="B2713" s="197" t="e">
        <f t="shared" ref="B2713:B2776" ca="1" si="254">IF(OR(C$1075&gt;0,C$1077&gt;0,C$1073&gt;0,C$1071&gt;0),J2713+1,J2713)</f>
        <v>#N/A</v>
      </c>
      <c r="C2713" s="498">
        <v>647</v>
      </c>
      <c r="D2713" s="41" t="e">
        <f>IF($C$1077&gt;0,VLOOKUP($C2713,ENTI!$AL$4:AN$1003,3,FALSE),"")</f>
        <v>#N/A</v>
      </c>
      <c r="E2713" s="41" t="str">
        <f t="shared" si="253"/>
        <v/>
      </c>
      <c r="F2713" s="200"/>
      <c r="G2713" s="178" t="e">
        <f>IF($C$1077&gt;0,VLOOKUP($C2713,ENTI!$AL$4:AP$1003,5,FALSE),"")</f>
        <v>#N/A</v>
      </c>
      <c r="H2713" s="179" t="e">
        <f>IF($C$1077&gt;0,VLOOKUP($C2713,ENTI!$AL$4:AQ$1003,6,FALSE),"")</f>
        <v>#N/A</v>
      </c>
      <c r="I2713" s="187"/>
      <c r="J2713" s="140" t="e">
        <f ca="1">VLOOKUP(D2713,$F$1081:$I$4183,4,FALSE)+COUNTIF(E$1081:E2712,E2713)</f>
        <v>#N/A</v>
      </c>
      <c r="K2713" s="1"/>
      <c r="L2713" s="156"/>
      <c r="M2713" s="1"/>
      <c r="N2713" s="1"/>
      <c r="O2713" s="1"/>
    </row>
    <row r="2714" spans="1:15" hidden="1">
      <c r="A2714" s="1"/>
      <c r="B2714" s="197" t="e">
        <f t="shared" ca="1" si="254"/>
        <v>#N/A</v>
      </c>
      <c r="C2714" s="498">
        <v>648</v>
      </c>
      <c r="D2714" s="41" t="e">
        <f>IF($C$1077&gt;0,VLOOKUP($C2714,ENTI!$AL$4:AN$1003,3,FALSE),"")</f>
        <v>#N/A</v>
      </c>
      <c r="E2714" s="41" t="str">
        <f t="shared" si="253"/>
        <v/>
      </c>
      <c r="F2714" s="200"/>
      <c r="G2714" s="178" t="e">
        <f>IF($C$1077&gt;0,VLOOKUP($C2714,ENTI!$AL$4:AP$1003,5,FALSE),"")</f>
        <v>#N/A</v>
      </c>
      <c r="H2714" s="179" t="e">
        <f>IF($C$1077&gt;0,VLOOKUP($C2714,ENTI!$AL$4:AQ$1003,6,FALSE),"")</f>
        <v>#N/A</v>
      </c>
      <c r="I2714" s="187"/>
      <c r="J2714" s="140" t="e">
        <f ca="1">VLOOKUP(D2714,$F$1081:$I$4183,4,FALSE)+COUNTIF(E$1081:E2713,E2714)</f>
        <v>#N/A</v>
      </c>
      <c r="K2714" s="1"/>
      <c r="L2714" s="156"/>
      <c r="M2714" s="1"/>
      <c r="N2714" s="1"/>
      <c r="O2714" s="1"/>
    </row>
    <row r="2715" spans="1:15" hidden="1">
      <c r="A2715" s="1"/>
      <c r="B2715" s="197" t="e">
        <f t="shared" ca="1" si="254"/>
        <v>#N/A</v>
      </c>
      <c r="C2715" s="498">
        <v>649</v>
      </c>
      <c r="D2715" s="41" t="e">
        <f>IF($C$1077&gt;0,VLOOKUP($C2715,ENTI!$AL$4:AN$1003,3,FALSE),"")</f>
        <v>#N/A</v>
      </c>
      <c r="E2715" s="41" t="str">
        <f t="shared" si="253"/>
        <v/>
      </c>
      <c r="F2715" s="200"/>
      <c r="G2715" s="178" t="e">
        <f>IF($C$1077&gt;0,VLOOKUP($C2715,ENTI!$AL$4:AP$1003,5,FALSE),"")</f>
        <v>#N/A</v>
      </c>
      <c r="H2715" s="179" t="e">
        <f>IF($C$1077&gt;0,VLOOKUP($C2715,ENTI!$AL$4:AQ$1003,6,FALSE),"")</f>
        <v>#N/A</v>
      </c>
      <c r="I2715" s="187"/>
      <c r="J2715" s="140" t="e">
        <f ca="1">VLOOKUP(D2715,$F$1081:$I$4183,4,FALSE)+COUNTIF(E$1081:E2714,E2715)</f>
        <v>#N/A</v>
      </c>
      <c r="K2715" s="1"/>
      <c r="L2715" s="156"/>
      <c r="M2715" s="1"/>
      <c r="N2715" s="1"/>
      <c r="O2715" s="1"/>
    </row>
    <row r="2716" spans="1:15" hidden="1">
      <c r="A2716" s="1"/>
      <c r="B2716" s="197" t="e">
        <f t="shared" ca="1" si="254"/>
        <v>#N/A</v>
      </c>
      <c r="C2716" s="498">
        <v>650</v>
      </c>
      <c r="D2716" s="41" t="e">
        <f>IF($C$1077&gt;0,VLOOKUP($C2716,ENTI!$AL$4:AN$1003,3,FALSE),"")</f>
        <v>#N/A</v>
      </c>
      <c r="E2716" s="41" t="str">
        <f t="shared" si="253"/>
        <v/>
      </c>
      <c r="F2716" s="200"/>
      <c r="G2716" s="178" t="e">
        <f>IF($C$1077&gt;0,VLOOKUP($C2716,ENTI!$AL$4:AP$1003,5,FALSE),"")</f>
        <v>#N/A</v>
      </c>
      <c r="H2716" s="179" t="e">
        <f>IF($C$1077&gt;0,VLOOKUP($C2716,ENTI!$AL$4:AQ$1003,6,FALSE),"")</f>
        <v>#N/A</v>
      </c>
      <c r="I2716" s="187"/>
      <c r="J2716" s="140" t="e">
        <f ca="1">VLOOKUP(D2716,$F$1081:$I$4183,4,FALSE)+COUNTIF(E$1081:E2715,E2716)</f>
        <v>#N/A</v>
      </c>
      <c r="K2716" s="1"/>
      <c r="L2716" s="156"/>
      <c r="M2716" s="1"/>
      <c r="N2716" s="1"/>
      <c r="O2716" s="1"/>
    </row>
    <row r="2717" spans="1:15" hidden="1">
      <c r="A2717" s="1"/>
      <c r="B2717" s="197" t="e">
        <f t="shared" ca="1" si="254"/>
        <v>#N/A</v>
      </c>
      <c r="C2717" s="498">
        <v>651</v>
      </c>
      <c r="D2717" s="41" t="e">
        <f>IF($C$1077&gt;0,VLOOKUP($C2717,ENTI!$AL$4:AN$1003,3,FALSE),"")</f>
        <v>#N/A</v>
      </c>
      <c r="E2717" s="41" t="str">
        <f t="shared" si="253"/>
        <v/>
      </c>
      <c r="F2717" s="200"/>
      <c r="G2717" s="178" t="e">
        <f>IF($C$1077&gt;0,VLOOKUP($C2717,ENTI!$AL$4:AP$1003,5,FALSE),"")</f>
        <v>#N/A</v>
      </c>
      <c r="H2717" s="179" t="e">
        <f>IF($C$1077&gt;0,VLOOKUP($C2717,ENTI!$AL$4:AQ$1003,6,FALSE),"")</f>
        <v>#N/A</v>
      </c>
      <c r="I2717" s="187"/>
      <c r="J2717" s="140" t="e">
        <f ca="1">VLOOKUP(D2717,$F$1081:$I$4183,4,FALSE)+COUNTIF(E$1081:E2716,E2717)</f>
        <v>#N/A</v>
      </c>
      <c r="K2717" s="1"/>
      <c r="L2717" s="156"/>
      <c r="M2717" s="1"/>
      <c r="N2717" s="1"/>
      <c r="O2717" s="1"/>
    </row>
    <row r="2718" spans="1:15" hidden="1">
      <c r="A2718" s="1"/>
      <c r="B2718" s="197" t="e">
        <f t="shared" ca="1" si="254"/>
        <v>#N/A</v>
      </c>
      <c r="C2718" s="498">
        <v>652</v>
      </c>
      <c r="D2718" s="41" t="e">
        <f>IF($C$1077&gt;0,VLOOKUP($C2718,ENTI!$AL$4:AN$1003,3,FALSE),"")</f>
        <v>#N/A</v>
      </c>
      <c r="E2718" s="41" t="str">
        <f t="shared" si="253"/>
        <v/>
      </c>
      <c r="F2718" s="200"/>
      <c r="G2718" s="178" t="e">
        <f>IF($C$1077&gt;0,VLOOKUP($C2718,ENTI!$AL$4:AP$1003,5,FALSE),"")</f>
        <v>#N/A</v>
      </c>
      <c r="H2718" s="179" t="e">
        <f>IF($C$1077&gt;0,VLOOKUP($C2718,ENTI!$AL$4:AQ$1003,6,FALSE),"")</f>
        <v>#N/A</v>
      </c>
      <c r="I2718" s="187"/>
      <c r="J2718" s="140" t="e">
        <f ca="1">VLOOKUP(D2718,$F$1081:$I$4183,4,FALSE)+COUNTIF(E$1081:E2717,E2718)</f>
        <v>#N/A</v>
      </c>
      <c r="K2718" s="1"/>
      <c r="L2718" s="156"/>
      <c r="M2718" s="1"/>
      <c r="N2718" s="1"/>
      <c r="O2718" s="1"/>
    </row>
    <row r="2719" spans="1:15" hidden="1">
      <c r="A2719" s="1"/>
      <c r="B2719" s="197" t="e">
        <f t="shared" ca="1" si="254"/>
        <v>#N/A</v>
      </c>
      <c r="C2719" s="498">
        <v>653</v>
      </c>
      <c r="D2719" s="41" t="e">
        <f>IF($C$1077&gt;0,VLOOKUP($C2719,ENTI!$AL$4:AN$1003,3,FALSE),"")</f>
        <v>#N/A</v>
      </c>
      <c r="E2719" s="41" t="str">
        <f t="shared" si="253"/>
        <v/>
      </c>
      <c r="F2719" s="200"/>
      <c r="G2719" s="178" t="e">
        <f>IF($C$1077&gt;0,VLOOKUP($C2719,ENTI!$AL$4:AP$1003,5,FALSE),"")</f>
        <v>#N/A</v>
      </c>
      <c r="H2719" s="179" t="e">
        <f>IF($C$1077&gt;0,VLOOKUP($C2719,ENTI!$AL$4:AQ$1003,6,FALSE),"")</f>
        <v>#N/A</v>
      </c>
      <c r="I2719" s="187"/>
      <c r="J2719" s="140" t="e">
        <f ca="1">VLOOKUP(D2719,$F$1081:$I$4183,4,FALSE)+COUNTIF(E$1081:E2718,E2719)</f>
        <v>#N/A</v>
      </c>
      <c r="K2719" s="1"/>
      <c r="L2719" s="156"/>
      <c r="M2719" s="1"/>
      <c r="N2719" s="1"/>
      <c r="O2719" s="1"/>
    </row>
    <row r="2720" spans="1:15" hidden="1">
      <c r="A2720" s="1"/>
      <c r="B2720" s="197" t="e">
        <f t="shared" ca="1" si="254"/>
        <v>#N/A</v>
      </c>
      <c r="C2720" s="498">
        <v>654</v>
      </c>
      <c r="D2720" s="41" t="e">
        <f>IF($C$1077&gt;0,VLOOKUP($C2720,ENTI!$AL$4:AN$1003,3,FALSE),"")</f>
        <v>#N/A</v>
      </c>
      <c r="E2720" s="41" t="str">
        <f t="shared" si="253"/>
        <v/>
      </c>
      <c r="F2720" s="200"/>
      <c r="G2720" s="178" t="e">
        <f>IF($C$1077&gt;0,VLOOKUP($C2720,ENTI!$AL$4:AP$1003,5,FALSE),"")</f>
        <v>#N/A</v>
      </c>
      <c r="H2720" s="179" t="e">
        <f>IF($C$1077&gt;0,VLOOKUP($C2720,ENTI!$AL$4:AQ$1003,6,FALSE),"")</f>
        <v>#N/A</v>
      </c>
      <c r="I2720" s="187"/>
      <c r="J2720" s="140" t="e">
        <f ca="1">VLOOKUP(D2720,$F$1081:$I$4183,4,FALSE)+COUNTIF(E$1081:E2719,E2720)</f>
        <v>#N/A</v>
      </c>
      <c r="K2720" s="1"/>
      <c r="L2720" s="156"/>
      <c r="M2720" s="1"/>
      <c r="N2720" s="1"/>
      <c r="O2720" s="1"/>
    </row>
    <row r="2721" spans="1:15" hidden="1">
      <c r="A2721" s="1"/>
      <c r="B2721" s="197" t="e">
        <f t="shared" ca="1" si="254"/>
        <v>#N/A</v>
      </c>
      <c r="C2721" s="498">
        <v>655</v>
      </c>
      <c r="D2721" s="41" t="e">
        <f>IF($C$1077&gt;0,VLOOKUP($C2721,ENTI!$AL$4:AN$1003,3,FALSE),"")</f>
        <v>#N/A</v>
      </c>
      <c r="E2721" s="41" t="str">
        <f t="shared" si="253"/>
        <v/>
      </c>
      <c r="F2721" s="200"/>
      <c r="G2721" s="178" t="e">
        <f>IF($C$1077&gt;0,VLOOKUP($C2721,ENTI!$AL$4:AP$1003,5,FALSE),"")</f>
        <v>#N/A</v>
      </c>
      <c r="H2721" s="179" t="e">
        <f>IF($C$1077&gt;0,VLOOKUP($C2721,ENTI!$AL$4:AQ$1003,6,FALSE),"")</f>
        <v>#N/A</v>
      </c>
      <c r="I2721" s="187"/>
      <c r="J2721" s="140" t="e">
        <f ca="1">VLOOKUP(D2721,$F$1081:$I$4183,4,FALSE)+COUNTIF(E$1081:E2720,E2721)</f>
        <v>#N/A</v>
      </c>
      <c r="K2721" s="1"/>
      <c r="L2721" s="156"/>
      <c r="M2721" s="1"/>
      <c r="N2721" s="1"/>
      <c r="O2721" s="1"/>
    </row>
    <row r="2722" spans="1:15" hidden="1">
      <c r="A2722" s="1"/>
      <c r="B2722" s="197" t="e">
        <f t="shared" ca="1" si="254"/>
        <v>#N/A</v>
      </c>
      <c r="C2722" s="498">
        <v>656</v>
      </c>
      <c r="D2722" s="41" t="e">
        <f>IF($C$1077&gt;0,VLOOKUP($C2722,ENTI!$AL$4:AN$1003,3,FALSE),"")</f>
        <v>#N/A</v>
      </c>
      <c r="E2722" s="41" t="str">
        <f t="shared" si="253"/>
        <v/>
      </c>
      <c r="F2722" s="200"/>
      <c r="G2722" s="178" t="e">
        <f>IF($C$1077&gt;0,VLOOKUP($C2722,ENTI!$AL$4:AP$1003,5,FALSE),"")</f>
        <v>#N/A</v>
      </c>
      <c r="H2722" s="179" t="e">
        <f>IF($C$1077&gt;0,VLOOKUP($C2722,ENTI!$AL$4:AQ$1003,6,FALSE),"")</f>
        <v>#N/A</v>
      </c>
      <c r="I2722" s="187"/>
      <c r="J2722" s="140" t="e">
        <f ca="1">VLOOKUP(D2722,$F$1081:$I$4183,4,FALSE)+COUNTIF(E$1081:E2721,E2722)</f>
        <v>#N/A</v>
      </c>
      <c r="K2722" s="1"/>
      <c r="L2722" s="156"/>
      <c r="M2722" s="1"/>
      <c r="N2722" s="1"/>
      <c r="O2722" s="1"/>
    </row>
    <row r="2723" spans="1:15" hidden="1">
      <c r="A2723" s="1"/>
      <c r="B2723" s="197" t="e">
        <f t="shared" ca="1" si="254"/>
        <v>#N/A</v>
      </c>
      <c r="C2723" s="498">
        <v>657</v>
      </c>
      <c r="D2723" s="41" t="e">
        <f>IF($C$1077&gt;0,VLOOKUP($C2723,ENTI!$AL$4:AN$1003,3,FALSE),"")</f>
        <v>#N/A</v>
      </c>
      <c r="E2723" s="41" t="str">
        <f t="shared" si="253"/>
        <v/>
      </c>
      <c r="F2723" s="200"/>
      <c r="G2723" s="178" t="e">
        <f>IF($C$1077&gt;0,VLOOKUP($C2723,ENTI!$AL$4:AP$1003,5,FALSE),"")</f>
        <v>#N/A</v>
      </c>
      <c r="H2723" s="179" t="e">
        <f>IF($C$1077&gt;0,VLOOKUP($C2723,ENTI!$AL$4:AQ$1003,6,FALSE),"")</f>
        <v>#N/A</v>
      </c>
      <c r="I2723" s="187"/>
      <c r="J2723" s="140" t="e">
        <f ca="1">VLOOKUP(D2723,$F$1081:$I$4183,4,FALSE)+COUNTIF(E$1081:E2722,E2723)</f>
        <v>#N/A</v>
      </c>
      <c r="K2723" s="1"/>
      <c r="L2723" s="156"/>
      <c r="M2723" s="1"/>
      <c r="N2723" s="1"/>
      <c r="O2723" s="1"/>
    </row>
    <row r="2724" spans="1:15" hidden="1">
      <c r="A2724" s="1"/>
      <c r="B2724" s="197" t="e">
        <f t="shared" ca="1" si="254"/>
        <v>#N/A</v>
      </c>
      <c r="C2724" s="498">
        <v>658</v>
      </c>
      <c r="D2724" s="41" t="e">
        <f>IF($C$1077&gt;0,VLOOKUP($C2724,ENTI!$AL$4:AN$1003,3,FALSE),"")</f>
        <v>#N/A</v>
      </c>
      <c r="E2724" s="41" t="str">
        <f t="shared" si="253"/>
        <v/>
      </c>
      <c r="F2724" s="200"/>
      <c r="G2724" s="178" t="e">
        <f>IF($C$1077&gt;0,VLOOKUP($C2724,ENTI!$AL$4:AP$1003,5,FALSE),"")</f>
        <v>#N/A</v>
      </c>
      <c r="H2724" s="179" t="e">
        <f>IF($C$1077&gt;0,VLOOKUP($C2724,ENTI!$AL$4:AQ$1003,6,FALSE),"")</f>
        <v>#N/A</v>
      </c>
      <c r="I2724" s="187"/>
      <c r="J2724" s="140" t="e">
        <f ca="1">VLOOKUP(D2724,$F$1081:$I$4183,4,FALSE)+COUNTIF(E$1081:E2723,E2724)</f>
        <v>#N/A</v>
      </c>
      <c r="K2724" s="1"/>
      <c r="L2724" s="156"/>
      <c r="M2724" s="1"/>
      <c r="N2724" s="1"/>
      <c r="O2724" s="1"/>
    </row>
    <row r="2725" spans="1:15" hidden="1">
      <c r="A2725" s="1"/>
      <c r="B2725" s="197" t="e">
        <f t="shared" ca="1" si="254"/>
        <v>#N/A</v>
      </c>
      <c r="C2725" s="498">
        <v>659</v>
      </c>
      <c r="D2725" s="41" t="e">
        <f>IF($C$1077&gt;0,VLOOKUP($C2725,ENTI!$AL$4:AN$1003,3,FALSE),"")</f>
        <v>#N/A</v>
      </c>
      <c r="E2725" s="41" t="str">
        <f t="shared" si="253"/>
        <v/>
      </c>
      <c r="F2725" s="200"/>
      <c r="G2725" s="178" t="e">
        <f>IF($C$1077&gt;0,VLOOKUP($C2725,ENTI!$AL$4:AP$1003,5,FALSE),"")</f>
        <v>#N/A</v>
      </c>
      <c r="H2725" s="179" t="e">
        <f>IF($C$1077&gt;0,VLOOKUP($C2725,ENTI!$AL$4:AQ$1003,6,FALSE),"")</f>
        <v>#N/A</v>
      </c>
      <c r="I2725" s="187"/>
      <c r="J2725" s="140" t="e">
        <f ca="1">VLOOKUP(D2725,$F$1081:$I$4183,4,FALSE)+COUNTIF(E$1081:E2724,E2725)</f>
        <v>#N/A</v>
      </c>
      <c r="K2725" s="1"/>
      <c r="L2725" s="156"/>
      <c r="M2725" s="1"/>
      <c r="N2725" s="1"/>
      <c r="O2725" s="1"/>
    </row>
    <row r="2726" spans="1:15" hidden="1">
      <c r="A2726" s="1"/>
      <c r="B2726" s="197" t="e">
        <f t="shared" ca="1" si="254"/>
        <v>#N/A</v>
      </c>
      <c r="C2726" s="498">
        <v>660</v>
      </c>
      <c r="D2726" s="41" t="e">
        <f>IF($C$1077&gt;0,VLOOKUP($C2726,ENTI!$AL$4:AN$1003,3,FALSE),"")</f>
        <v>#N/A</v>
      </c>
      <c r="E2726" s="41" t="str">
        <f t="shared" si="253"/>
        <v/>
      </c>
      <c r="F2726" s="200"/>
      <c r="G2726" s="178" t="e">
        <f>IF($C$1077&gt;0,VLOOKUP($C2726,ENTI!$AL$4:AP$1003,5,FALSE),"")</f>
        <v>#N/A</v>
      </c>
      <c r="H2726" s="179" t="e">
        <f>IF($C$1077&gt;0,VLOOKUP($C2726,ENTI!$AL$4:AQ$1003,6,FALSE),"")</f>
        <v>#N/A</v>
      </c>
      <c r="I2726" s="187"/>
      <c r="J2726" s="140" t="e">
        <f ca="1">VLOOKUP(D2726,$F$1081:$I$4183,4,FALSE)+COUNTIF(E$1081:E2725,E2726)</f>
        <v>#N/A</v>
      </c>
      <c r="K2726" s="1"/>
      <c r="L2726" s="156"/>
      <c r="M2726" s="1"/>
      <c r="N2726" s="1"/>
      <c r="O2726" s="1"/>
    </row>
    <row r="2727" spans="1:15" hidden="1">
      <c r="A2727" s="1"/>
      <c r="B2727" s="197" t="e">
        <f t="shared" ca="1" si="254"/>
        <v>#N/A</v>
      </c>
      <c r="C2727" s="498">
        <v>661</v>
      </c>
      <c r="D2727" s="41" t="e">
        <f>IF($C$1077&gt;0,VLOOKUP($C2727,ENTI!$AL$4:AN$1003,3,FALSE),"")</f>
        <v>#N/A</v>
      </c>
      <c r="E2727" s="41" t="str">
        <f t="shared" si="253"/>
        <v/>
      </c>
      <c r="F2727" s="200"/>
      <c r="G2727" s="178" t="e">
        <f>IF($C$1077&gt;0,VLOOKUP($C2727,ENTI!$AL$4:AP$1003,5,FALSE),"")</f>
        <v>#N/A</v>
      </c>
      <c r="H2727" s="179" t="e">
        <f>IF($C$1077&gt;0,VLOOKUP($C2727,ENTI!$AL$4:AQ$1003,6,FALSE),"")</f>
        <v>#N/A</v>
      </c>
      <c r="I2727" s="187"/>
      <c r="J2727" s="140" t="e">
        <f ca="1">VLOOKUP(D2727,$F$1081:$I$4183,4,FALSE)+COUNTIF(E$1081:E2726,E2727)</f>
        <v>#N/A</v>
      </c>
      <c r="K2727" s="1"/>
      <c r="L2727" s="156"/>
      <c r="M2727" s="1"/>
      <c r="N2727" s="1"/>
      <c r="O2727" s="1"/>
    </row>
    <row r="2728" spans="1:15" hidden="1">
      <c r="A2728" s="1"/>
      <c r="B2728" s="197" t="e">
        <f t="shared" ca="1" si="254"/>
        <v>#N/A</v>
      </c>
      <c r="C2728" s="498">
        <v>662</v>
      </c>
      <c r="D2728" s="41" t="e">
        <f>IF($C$1077&gt;0,VLOOKUP($C2728,ENTI!$AL$4:AN$1003,3,FALSE),"")</f>
        <v>#N/A</v>
      </c>
      <c r="E2728" s="41" t="str">
        <f t="shared" si="253"/>
        <v/>
      </c>
      <c r="F2728" s="200"/>
      <c r="G2728" s="178" t="e">
        <f>IF($C$1077&gt;0,VLOOKUP($C2728,ENTI!$AL$4:AP$1003,5,FALSE),"")</f>
        <v>#N/A</v>
      </c>
      <c r="H2728" s="179" t="e">
        <f>IF($C$1077&gt;0,VLOOKUP($C2728,ENTI!$AL$4:AQ$1003,6,FALSE),"")</f>
        <v>#N/A</v>
      </c>
      <c r="I2728" s="187"/>
      <c r="J2728" s="140" t="e">
        <f ca="1">VLOOKUP(D2728,$F$1081:$I$4183,4,FALSE)+COUNTIF(E$1081:E2727,E2728)</f>
        <v>#N/A</v>
      </c>
      <c r="K2728" s="1"/>
      <c r="L2728" s="156"/>
      <c r="M2728" s="1"/>
      <c r="N2728" s="1"/>
      <c r="O2728" s="1"/>
    </row>
    <row r="2729" spans="1:15" hidden="1">
      <c r="A2729" s="1"/>
      <c r="B2729" s="197" t="e">
        <f t="shared" ca="1" si="254"/>
        <v>#N/A</v>
      </c>
      <c r="C2729" s="498">
        <v>663</v>
      </c>
      <c r="D2729" s="41" t="e">
        <f>IF($C$1077&gt;0,VLOOKUP($C2729,ENTI!$AL$4:AN$1003,3,FALSE),"")</f>
        <v>#N/A</v>
      </c>
      <c r="E2729" s="41" t="str">
        <f t="shared" si="253"/>
        <v/>
      </c>
      <c r="F2729" s="200"/>
      <c r="G2729" s="178" t="e">
        <f>IF($C$1077&gt;0,VLOOKUP($C2729,ENTI!$AL$4:AP$1003,5,FALSE),"")</f>
        <v>#N/A</v>
      </c>
      <c r="H2729" s="179" t="e">
        <f>IF($C$1077&gt;0,VLOOKUP($C2729,ENTI!$AL$4:AQ$1003,6,FALSE),"")</f>
        <v>#N/A</v>
      </c>
      <c r="I2729" s="187"/>
      <c r="J2729" s="140" t="e">
        <f ca="1">VLOOKUP(D2729,$F$1081:$I$4183,4,FALSE)+COUNTIF(E$1081:E2728,E2729)</f>
        <v>#N/A</v>
      </c>
      <c r="K2729" s="1"/>
      <c r="L2729" s="156"/>
      <c r="M2729" s="1"/>
      <c r="N2729" s="1"/>
      <c r="O2729" s="1"/>
    </row>
    <row r="2730" spans="1:15" hidden="1">
      <c r="A2730" s="1"/>
      <c r="B2730" s="197" t="e">
        <f t="shared" ca="1" si="254"/>
        <v>#N/A</v>
      </c>
      <c r="C2730" s="498">
        <v>664</v>
      </c>
      <c r="D2730" s="41" t="e">
        <f>IF($C$1077&gt;0,VLOOKUP($C2730,ENTI!$AL$4:AN$1003,3,FALSE),"")</f>
        <v>#N/A</v>
      </c>
      <c r="E2730" s="41" t="str">
        <f t="shared" si="253"/>
        <v/>
      </c>
      <c r="F2730" s="200"/>
      <c r="G2730" s="178" t="e">
        <f>IF($C$1077&gt;0,VLOOKUP($C2730,ENTI!$AL$4:AP$1003,5,FALSE),"")</f>
        <v>#N/A</v>
      </c>
      <c r="H2730" s="179" t="e">
        <f>IF($C$1077&gt;0,VLOOKUP($C2730,ENTI!$AL$4:AQ$1003,6,FALSE),"")</f>
        <v>#N/A</v>
      </c>
      <c r="I2730" s="187"/>
      <c r="J2730" s="140" t="e">
        <f ca="1">VLOOKUP(D2730,$F$1081:$I$4183,4,FALSE)+COUNTIF(E$1081:E2729,E2730)</f>
        <v>#N/A</v>
      </c>
      <c r="K2730" s="1"/>
      <c r="L2730" s="156"/>
      <c r="M2730" s="1"/>
      <c r="N2730" s="1"/>
      <c r="O2730" s="1"/>
    </row>
    <row r="2731" spans="1:15" hidden="1">
      <c r="A2731" s="1"/>
      <c r="B2731" s="197" t="e">
        <f t="shared" ca="1" si="254"/>
        <v>#N/A</v>
      </c>
      <c r="C2731" s="498">
        <v>665</v>
      </c>
      <c r="D2731" s="41" t="e">
        <f>IF($C$1077&gt;0,VLOOKUP($C2731,ENTI!$AL$4:AN$1003,3,FALSE),"")</f>
        <v>#N/A</v>
      </c>
      <c r="E2731" s="41" t="str">
        <f t="shared" si="253"/>
        <v/>
      </c>
      <c r="F2731" s="200"/>
      <c r="G2731" s="178" t="e">
        <f>IF($C$1077&gt;0,VLOOKUP($C2731,ENTI!$AL$4:AP$1003,5,FALSE),"")</f>
        <v>#N/A</v>
      </c>
      <c r="H2731" s="179" t="e">
        <f>IF($C$1077&gt;0,VLOOKUP($C2731,ENTI!$AL$4:AQ$1003,6,FALSE),"")</f>
        <v>#N/A</v>
      </c>
      <c r="I2731" s="187"/>
      <c r="J2731" s="140" t="e">
        <f ca="1">VLOOKUP(D2731,$F$1081:$I$4183,4,FALSE)+COUNTIF(E$1081:E2730,E2731)</f>
        <v>#N/A</v>
      </c>
      <c r="K2731" s="1"/>
      <c r="L2731" s="156"/>
      <c r="M2731" s="1"/>
      <c r="N2731" s="1"/>
      <c r="O2731" s="1"/>
    </row>
    <row r="2732" spans="1:15" hidden="1">
      <c r="A2732" s="1"/>
      <c r="B2732" s="197" t="e">
        <f t="shared" ca="1" si="254"/>
        <v>#N/A</v>
      </c>
      <c r="C2732" s="498">
        <v>666</v>
      </c>
      <c r="D2732" s="41" t="e">
        <f>IF($C$1077&gt;0,VLOOKUP($C2732,ENTI!$AL$4:AN$1003,3,FALSE),"")</f>
        <v>#N/A</v>
      </c>
      <c r="E2732" s="41" t="str">
        <f t="shared" si="253"/>
        <v/>
      </c>
      <c r="F2732" s="200"/>
      <c r="G2732" s="178" t="e">
        <f>IF($C$1077&gt;0,VLOOKUP($C2732,ENTI!$AL$4:AP$1003,5,FALSE),"")</f>
        <v>#N/A</v>
      </c>
      <c r="H2732" s="179" t="e">
        <f>IF($C$1077&gt;0,VLOOKUP($C2732,ENTI!$AL$4:AQ$1003,6,FALSE),"")</f>
        <v>#N/A</v>
      </c>
      <c r="I2732" s="187"/>
      <c r="J2732" s="140" t="e">
        <f ca="1">VLOOKUP(D2732,$F$1081:$I$4183,4,FALSE)+COUNTIF(E$1081:E2731,E2732)</f>
        <v>#N/A</v>
      </c>
      <c r="K2732" s="1"/>
      <c r="L2732" s="156"/>
      <c r="M2732" s="1"/>
      <c r="N2732" s="1"/>
      <c r="O2732" s="1"/>
    </row>
    <row r="2733" spans="1:15" hidden="1">
      <c r="A2733" s="1"/>
      <c r="B2733" s="197" t="e">
        <f t="shared" ca="1" si="254"/>
        <v>#N/A</v>
      </c>
      <c r="C2733" s="498">
        <v>667</v>
      </c>
      <c r="D2733" s="41" t="e">
        <f>IF($C$1077&gt;0,VLOOKUP($C2733,ENTI!$AL$4:AN$1003,3,FALSE),"")</f>
        <v>#N/A</v>
      </c>
      <c r="E2733" s="41" t="str">
        <f t="shared" si="253"/>
        <v/>
      </c>
      <c r="F2733" s="200"/>
      <c r="G2733" s="178" t="e">
        <f>IF($C$1077&gt;0,VLOOKUP($C2733,ENTI!$AL$4:AP$1003,5,FALSE),"")</f>
        <v>#N/A</v>
      </c>
      <c r="H2733" s="179" t="e">
        <f>IF($C$1077&gt;0,VLOOKUP($C2733,ENTI!$AL$4:AQ$1003,6,FALSE),"")</f>
        <v>#N/A</v>
      </c>
      <c r="I2733" s="187"/>
      <c r="J2733" s="140" t="e">
        <f ca="1">VLOOKUP(D2733,$F$1081:$I$4183,4,FALSE)+COUNTIF(E$1081:E2732,E2733)</f>
        <v>#N/A</v>
      </c>
      <c r="K2733" s="1"/>
      <c r="L2733" s="156"/>
      <c r="M2733" s="1"/>
      <c r="N2733" s="1"/>
      <c r="O2733" s="1"/>
    </row>
    <row r="2734" spans="1:15" hidden="1">
      <c r="A2734" s="1"/>
      <c r="B2734" s="197" t="e">
        <f t="shared" ca="1" si="254"/>
        <v>#N/A</v>
      </c>
      <c r="C2734" s="498">
        <v>668</v>
      </c>
      <c r="D2734" s="41" t="e">
        <f>IF($C$1077&gt;0,VLOOKUP($C2734,ENTI!$AL$4:AN$1003,3,FALSE),"")</f>
        <v>#N/A</v>
      </c>
      <c r="E2734" s="41" t="str">
        <f t="shared" si="253"/>
        <v/>
      </c>
      <c r="F2734" s="200"/>
      <c r="G2734" s="178" t="e">
        <f>IF($C$1077&gt;0,VLOOKUP($C2734,ENTI!$AL$4:AP$1003,5,FALSE),"")</f>
        <v>#N/A</v>
      </c>
      <c r="H2734" s="179" t="e">
        <f>IF($C$1077&gt;0,VLOOKUP($C2734,ENTI!$AL$4:AQ$1003,6,FALSE),"")</f>
        <v>#N/A</v>
      </c>
      <c r="I2734" s="187"/>
      <c r="J2734" s="140" t="e">
        <f ca="1">VLOOKUP(D2734,$F$1081:$I$4183,4,FALSE)+COUNTIF(E$1081:E2733,E2734)</f>
        <v>#N/A</v>
      </c>
      <c r="K2734" s="1"/>
      <c r="L2734" s="156"/>
      <c r="M2734" s="1"/>
      <c r="N2734" s="1"/>
      <c r="O2734" s="1"/>
    </row>
    <row r="2735" spans="1:15" hidden="1">
      <c r="A2735" s="1"/>
      <c r="B2735" s="197" t="e">
        <f t="shared" ca="1" si="254"/>
        <v>#N/A</v>
      </c>
      <c r="C2735" s="498">
        <v>669</v>
      </c>
      <c r="D2735" s="41" t="e">
        <f>IF($C$1077&gt;0,VLOOKUP($C2735,ENTI!$AL$4:AN$1003,3,FALSE),"")</f>
        <v>#N/A</v>
      </c>
      <c r="E2735" s="41" t="str">
        <f t="shared" si="253"/>
        <v/>
      </c>
      <c r="F2735" s="200"/>
      <c r="G2735" s="178" t="e">
        <f>IF($C$1077&gt;0,VLOOKUP($C2735,ENTI!$AL$4:AP$1003,5,FALSE),"")</f>
        <v>#N/A</v>
      </c>
      <c r="H2735" s="179" t="e">
        <f>IF($C$1077&gt;0,VLOOKUP($C2735,ENTI!$AL$4:AQ$1003,6,FALSE),"")</f>
        <v>#N/A</v>
      </c>
      <c r="I2735" s="187"/>
      <c r="J2735" s="140" t="e">
        <f ca="1">VLOOKUP(D2735,$F$1081:$I$4183,4,FALSE)+COUNTIF(E$1081:E2734,E2735)</f>
        <v>#N/A</v>
      </c>
      <c r="K2735" s="1"/>
      <c r="L2735" s="156"/>
      <c r="M2735" s="1"/>
      <c r="N2735" s="1"/>
      <c r="O2735" s="1"/>
    </row>
    <row r="2736" spans="1:15" hidden="1">
      <c r="A2736" s="1"/>
      <c r="B2736" s="197" t="e">
        <f t="shared" ca="1" si="254"/>
        <v>#N/A</v>
      </c>
      <c r="C2736" s="498">
        <v>670</v>
      </c>
      <c r="D2736" s="41" t="e">
        <f>IF($C$1077&gt;0,VLOOKUP($C2736,ENTI!$AL$4:AN$1003,3,FALSE),"")</f>
        <v>#N/A</v>
      </c>
      <c r="E2736" s="41" t="str">
        <f t="shared" si="253"/>
        <v/>
      </c>
      <c r="F2736" s="200"/>
      <c r="G2736" s="178" t="e">
        <f>IF($C$1077&gt;0,VLOOKUP($C2736,ENTI!$AL$4:AP$1003,5,FALSE),"")</f>
        <v>#N/A</v>
      </c>
      <c r="H2736" s="179" t="e">
        <f>IF($C$1077&gt;0,VLOOKUP($C2736,ENTI!$AL$4:AQ$1003,6,FALSE),"")</f>
        <v>#N/A</v>
      </c>
      <c r="I2736" s="187"/>
      <c r="J2736" s="140" t="e">
        <f ca="1">VLOOKUP(D2736,$F$1081:$I$4183,4,FALSE)+COUNTIF(E$1081:E2735,E2736)</f>
        <v>#N/A</v>
      </c>
      <c r="K2736" s="1"/>
      <c r="L2736" s="156"/>
      <c r="M2736" s="1"/>
      <c r="N2736" s="1"/>
      <c r="O2736" s="1"/>
    </row>
    <row r="2737" spans="1:15" hidden="1">
      <c r="A2737" s="1"/>
      <c r="B2737" s="197" t="e">
        <f t="shared" ca="1" si="254"/>
        <v>#N/A</v>
      </c>
      <c r="C2737" s="498">
        <v>671</v>
      </c>
      <c r="D2737" s="41" t="e">
        <f>IF($C$1077&gt;0,VLOOKUP($C2737,ENTI!$AL$4:AN$1003,3,FALSE),"")</f>
        <v>#N/A</v>
      </c>
      <c r="E2737" s="41" t="str">
        <f t="shared" si="253"/>
        <v/>
      </c>
      <c r="F2737" s="200"/>
      <c r="G2737" s="178" t="e">
        <f>IF($C$1077&gt;0,VLOOKUP($C2737,ENTI!$AL$4:AP$1003,5,FALSE),"")</f>
        <v>#N/A</v>
      </c>
      <c r="H2737" s="179" t="e">
        <f>IF($C$1077&gt;0,VLOOKUP($C2737,ENTI!$AL$4:AQ$1003,6,FALSE),"")</f>
        <v>#N/A</v>
      </c>
      <c r="I2737" s="187"/>
      <c r="J2737" s="140" t="e">
        <f ca="1">VLOOKUP(D2737,$F$1081:$I$4183,4,FALSE)+COUNTIF(E$1081:E2736,E2737)</f>
        <v>#N/A</v>
      </c>
      <c r="K2737" s="1"/>
      <c r="L2737" s="156"/>
      <c r="M2737" s="1"/>
      <c r="N2737" s="1"/>
      <c r="O2737" s="1"/>
    </row>
    <row r="2738" spans="1:15" hidden="1">
      <c r="A2738" s="1"/>
      <c r="B2738" s="197" t="e">
        <f t="shared" ca="1" si="254"/>
        <v>#N/A</v>
      </c>
      <c r="C2738" s="498">
        <v>672</v>
      </c>
      <c r="D2738" s="41" t="e">
        <f>IF($C$1077&gt;0,VLOOKUP($C2738,ENTI!$AL$4:AN$1003,3,FALSE),"")</f>
        <v>#N/A</v>
      </c>
      <c r="E2738" s="41" t="str">
        <f t="shared" si="253"/>
        <v/>
      </c>
      <c r="F2738" s="200"/>
      <c r="G2738" s="178" t="e">
        <f>IF($C$1077&gt;0,VLOOKUP($C2738,ENTI!$AL$4:AP$1003,5,FALSE),"")</f>
        <v>#N/A</v>
      </c>
      <c r="H2738" s="179" t="e">
        <f>IF($C$1077&gt;0,VLOOKUP($C2738,ENTI!$AL$4:AQ$1003,6,FALSE),"")</f>
        <v>#N/A</v>
      </c>
      <c r="I2738" s="187"/>
      <c r="J2738" s="140" t="e">
        <f ca="1">VLOOKUP(D2738,$F$1081:$I$4183,4,FALSE)+COUNTIF(E$1081:E2737,E2738)</f>
        <v>#N/A</v>
      </c>
      <c r="K2738" s="1"/>
      <c r="L2738" s="156"/>
      <c r="M2738" s="1"/>
      <c r="N2738" s="1"/>
      <c r="O2738" s="1"/>
    </row>
    <row r="2739" spans="1:15" hidden="1">
      <c r="A2739" s="1"/>
      <c r="B2739" s="197" t="e">
        <f t="shared" ca="1" si="254"/>
        <v>#N/A</v>
      </c>
      <c r="C2739" s="498">
        <v>673</v>
      </c>
      <c r="D2739" s="41" t="e">
        <f>IF($C$1077&gt;0,VLOOKUP($C2739,ENTI!$AL$4:AN$1003,3,FALSE),"")</f>
        <v>#N/A</v>
      </c>
      <c r="E2739" s="41" t="str">
        <f t="shared" si="253"/>
        <v/>
      </c>
      <c r="F2739" s="200"/>
      <c r="G2739" s="178" t="e">
        <f>IF($C$1077&gt;0,VLOOKUP($C2739,ENTI!$AL$4:AP$1003,5,FALSE),"")</f>
        <v>#N/A</v>
      </c>
      <c r="H2739" s="179" t="e">
        <f>IF($C$1077&gt;0,VLOOKUP($C2739,ENTI!$AL$4:AQ$1003,6,FALSE),"")</f>
        <v>#N/A</v>
      </c>
      <c r="I2739" s="187"/>
      <c r="J2739" s="140" t="e">
        <f ca="1">VLOOKUP(D2739,$F$1081:$I$4183,4,FALSE)+COUNTIF(E$1081:E2738,E2739)</f>
        <v>#N/A</v>
      </c>
      <c r="K2739" s="1"/>
      <c r="L2739" s="156"/>
      <c r="M2739" s="1"/>
      <c r="N2739" s="1"/>
      <c r="O2739" s="1"/>
    </row>
    <row r="2740" spans="1:15" hidden="1">
      <c r="A2740" s="1"/>
      <c r="B2740" s="197" t="e">
        <f t="shared" ca="1" si="254"/>
        <v>#N/A</v>
      </c>
      <c r="C2740" s="498">
        <v>674</v>
      </c>
      <c r="D2740" s="41" t="e">
        <f>IF($C$1077&gt;0,VLOOKUP($C2740,ENTI!$AL$4:AN$1003,3,FALSE),"")</f>
        <v>#N/A</v>
      </c>
      <c r="E2740" s="41" t="str">
        <f t="shared" si="253"/>
        <v/>
      </c>
      <c r="F2740" s="200"/>
      <c r="G2740" s="178" t="e">
        <f>IF($C$1077&gt;0,VLOOKUP($C2740,ENTI!$AL$4:AP$1003,5,FALSE),"")</f>
        <v>#N/A</v>
      </c>
      <c r="H2740" s="179" t="e">
        <f>IF($C$1077&gt;0,VLOOKUP($C2740,ENTI!$AL$4:AQ$1003,6,FALSE),"")</f>
        <v>#N/A</v>
      </c>
      <c r="I2740" s="187"/>
      <c r="J2740" s="140" t="e">
        <f ca="1">VLOOKUP(D2740,$F$1081:$I$4183,4,FALSE)+COUNTIF(E$1081:E2739,E2740)</f>
        <v>#N/A</v>
      </c>
      <c r="K2740" s="1"/>
      <c r="L2740" s="156"/>
      <c r="M2740" s="1"/>
      <c r="N2740" s="1"/>
      <c r="O2740" s="1"/>
    </row>
    <row r="2741" spans="1:15" hidden="1">
      <c r="A2741" s="1"/>
      <c r="B2741" s="197" t="e">
        <f t="shared" ca="1" si="254"/>
        <v>#N/A</v>
      </c>
      <c r="C2741" s="498">
        <v>675</v>
      </c>
      <c r="D2741" s="41" t="e">
        <f>IF($C$1077&gt;0,VLOOKUP($C2741,ENTI!$AL$4:AN$1003,3,FALSE),"")</f>
        <v>#N/A</v>
      </c>
      <c r="E2741" s="41" t="str">
        <f t="shared" si="253"/>
        <v/>
      </c>
      <c r="F2741" s="200"/>
      <c r="G2741" s="178" t="e">
        <f>IF($C$1077&gt;0,VLOOKUP($C2741,ENTI!$AL$4:AP$1003,5,FALSE),"")</f>
        <v>#N/A</v>
      </c>
      <c r="H2741" s="179" t="e">
        <f>IF($C$1077&gt;0,VLOOKUP($C2741,ENTI!$AL$4:AQ$1003,6,FALSE),"")</f>
        <v>#N/A</v>
      </c>
      <c r="I2741" s="187"/>
      <c r="J2741" s="140" t="e">
        <f ca="1">VLOOKUP(D2741,$F$1081:$I$4183,4,FALSE)+COUNTIF(E$1081:E2740,E2741)</f>
        <v>#N/A</v>
      </c>
      <c r="K2741" s="1"/>
      <c r="L2741" s="156"/>
      <c r="M2741" s="1"/>
      <c r="N2741" s="1"/>
      <c r="O2741" s="1"/>
    </row>
    <row r="2742" spans="1:15" hidden="1">
      <c r="A2742" s="1"/>
      <c r="B2742" s="197" t="e">
        <f t="shared" ca="1" si="254"/>
        <v>#N/A</v>
      </c>
      <c r="C2742" s="498">
        <v>676</v>
      </c>
      <c r="D2742" s="41" t="e">
        <f>IF($C$1077&gt;0,VLOOKUP($C2742,ENTI!$AL$4:AN$1003,3,FALSE),"")</f>
        <v>#N/A</v>
      </c>
      <c r="E2742" s="41" t="str">
        <f t="shared" si="253"/>
        <v/>
      </c>
      <c r="F2742" s="200"/>
      <c r="G2742" s="178" t="e">
        <f>IF($C$1077&gt;0,VLOOKUP($C2742,ENTI!$AL$4:AP$1003,5,FALSE),"")</f>
        <v>#N/A</v>
      </c>
      <c r="H2742" s="179" t="e">
        <f>IF($C$1077&gt;0,VLOOKUP($C2742,ENTI!$AL$4:AQ$1003,6,FALSE),"")</f>
        <v>#N/A</v>
      </c>
      <c r="I2742" s="187"/>
      <c r="J2742" s="140" t="e">
        <f ca="1">VLOOKUP(D2742,$F$1081:$I$4183,4,FALSE)+COUNTIF(E$1081:E2741,E2742)</f>
        <v>#N/A</v>
      </c>
      <c r="K2742" s="1"/>
      <c r="L2742" s="156"/>
      <c r="M2742" s="1"/>
      <c r="N2742" s="1"/>
      <c r="O2742" s="1"/>
    </row>
    <row r="2743" spans="1:15" hidden="1">
      <c r="A2743" s="1"/>
      <c r="B2743" s="197" t="e">
        <f t="shared" ca="1" si="254"/>
        <v>#N/A</v>
      </c>
      <c r="C2743" s="498">
        <v>677</v>
      </c>
      <c r="D2743" s="41" t="e">
        <f>IF($C$1077&gt;0,VLOOKUP($C2743,ENTI!$AL$4:AN$1003,3,FALSE),"")</f>
        <v>#N/A</v>
      </c>
      <c r="E2743" s="41" t="str">
        <f t="shared" si="253"/>
        <v/>
      </c>
      <c r="F2743" s="200"/>
      <c r="G2743" s="178" t="e">
        <f>IF($C$1077&gt;0,VLOOKUP($C2743,ENTI!$AL$4:AP$1003,5,FALSE),"")</f>
        <v>#N/A</v>
      </c>
      <c r="H2743" s="179" t="e">
        <f>IF($C$1077&gt;0,VLOOKUP($C2743,ENTI!$AL$4:AQ$1003,6,FALSE),"")</f>
        <v>#N/A</v>
      </c>
      <c r="I2743" s="187"/>
      <c r="J2743" s="140" t="e">
        <f ca="1">VLOOKUP(D2743,$F$1081:$I$4183,4,FALSE)+COUNTIF(E$1081:E2742,E2743)</f>
        <v>#N/A</v>
      </c>
      <c r="K2743" s="1"/>
      <c r="L2743" s="156"/>
      <c r="M2743" s="1"/>
      <c r="N2743" s="1"/>
      <c r="O2743" s="1"/>
    </row>
    <row r="2744" spans="1:15" hidden="1">
      <c r="A2744" s="1"/>
      <c r="B2744" s="197" t="e">
        <f t="shared" ca="1" si="254"/>
        <v>#N/A</v>
      </c>
      <c r="C2744" s="498">
        <v>678</v>
      </c>
      <c r="D2744" s="41" t="e">
        <f>IF($C$1077&gt;0,VLOOKUP($C2744,ENTI!$AL$4:AN$1003,3,FALSE),"")</f>
        <v>#N/A</v>
      </c>
      <c r="E2744" s="41" t="str">
        <f t="shared" si="253"/>
        <v/>
      </c>
      <c r="F2744" s="200"/>
      <c r="G2744" s="178" t="e">
        <f>IF($C$1077&gt;0,VLOOKUP($C2744,ENTI!$AL$4:AP$1003,5,FALSE),"")</f>
        <v>#N/A</v>
      </c>
      <c r="H2744" s="179" t="e">
        <f>IF($C$1077&gt;0,VLOOKUP($C2744,ENTI!$AL$4:AQ$1003,6,FALSE),"")</f>
        <v>#N/A</v>
      </c>
      <c r="I2744" s="187"/>
      <c r="J2744" s="140" t="e">
        <f ca="1">VLOOKUP(D2744,$F$1081:$I$4183,4,FALSE)+COUNTIF(E$1081:E2743,E2744)</f>
        <v>#N/A</v>
      </c>
      <c r="K2744" s="1"/>
      <c r="L2744" s="156"/>
      <c r="M2744" s="1"/>
      <c r="N2744" s="1"/>
      <c r="O2744" s="1"/>
    </row>
    <row r="2745" spans="1:15" hidden="1">
      <c r="A2745" s="1"/>
      <c r="B2745" s="197" t="e">
        <f t="shared" ca="1" si="254"/>
        <v>#N/A</v>
      </c>
      <c r="C2745" s="498">
        <v>679</v>
      </c>
      <c r="D2745" s="41" t="e">
        <f>IF($C$1077&gt;0,VLOOKUP($C2745,ENTI!$AL$4:AN$1003,3,FALSE),"")</f>
        <v>#N/A</v>
      </c>
      <c r="E2745" s="41" t="str">
        <f t="shared" si="253"/>
        <v/>
      </c>
      <c r="F2745" s="200"/>
      <c r="G2745" s="178" t="e">
        <f>IF($C$1077&gt;0,VLOOKUP($C2745,ENTI!$AL$4:AP$1003,5,FALSE),"")</f>
        <v>#N/A</v>
      </c>
      <c r="H2745" s="179" t="e">
        <f>IF($C$1077&gt;0,VLOOKUP($C2745,ENTI!$AL$4:AQ$1003,6,FALSE),"")</f>
        <v>#N/A</v>
      </c>
      <c r="I2745" s="187"/>
      <c r="J2745" s="140" t="e">
        <f ca="1">VLOOKUP(D2745,$F$1081:$I$4183,4,FALSE)+COUNTIF(E$1081:E2744,E2745)</f>
        <v>#N/A</v>
      </c>
      <c r="K2745" s="1"/>
      <c r="L2745" s="156"/>
      <c r="M2745" s="1"/>
      <c r="N2745" s="1"/>
      <c r="O2745" s="1"/>
    </row>
    <row r="2746" spans="1:15" hidden="1">
      <c r="A2746" s="1"/>
      <c r="B2746" s="197" t="e">
        <f t="shared" ca="1" si="254"/>
        <v>#N/A</v>
      </c>
      <c r="C2746" s="498">
        <v>680</v>
      </c>
      <c r="D2746" s="41" t="e">
        <f>IF($C$1077&gt;0,VLOOKUP($C2746,ENTI!$AL$4:AN$1003,3,FALSE),"")</f>
        <v>#N/A</v>
      </c>
      <c r="E2746" s="41" t="str">
        <f t="shared" si="253"/>
        <v/>
      </c>
      <c r="F2746" s="200"/>
      <c r="G2746" s="178" t="e">
        <f>IF($C$1077&gt;0,VLOOKUP($C2746,ENTI!$AL$4:AP$1003,5,FALSE),"")</f>
        <v>#N/A</v>
      </c>
      <c r="H2746" s="179" t="e">
        <f>IF($C$1077&gt;0,VLOOKUP($C2746,ENTI!$AL$4:AQ$1003,6,FALSE),"")</f>
        <v>#N/A</v>
      </c>
      <c r="I2746" s="187"/>
      <c r="J2746" s="140" t="e">
        <f ca="1">VLOOKUP(D2746,$F$1081:$I$4183,4,FALSE)+COUNTIF(E$1081:E2745,E2746)</f>
        <v>#N/A</v>
      </c>
      <c r="K2746" s="1"/>
      <c r="L2746" s="156"/>
      <c r="M2746" s="1"/>
      <c r="N2746" s="1"/>
      <c r="O2746" s="1"/>
    </row>
    <row r="2747" spans="1:15" hidden="1">
      <c r="A2747" s="1"/>
      <c r="B2747" s="197" t="e">
        <f t="shared" ca="1" si="254"/>
        <v>#N/A</v>
      </c>
      <c r="C2747" s="498">
        <v>681</v>
      </c>
      <c r="D2747" s="41" t="e">
        <f>IF($C$1077&gt;0,VLOOKUP($C2747,ENTI!$AL$4:AN$1003,3,FALSE),"")</f>
        <v>#N/A</v>
      </c>
      <c r="E2747" s="41" t="str">
        <f t="shared" si="253"/>
        <v/>
      </c>
      <c r="F2747" s="200"/>
      <c r="G2747" s="178" t="e">
        <f>IF($C$1077&gt;0,VLOOKUP($C2747,ENTI!$AL$4:AP$1003,5,FALSE),"")</f>
        <v>#N/A</v>
      </c>
      <c r="H2747" s="179" t="e">
        <f>IF($C$1077&gt;0,VLOOKUP($C2747,ENTI!$AL$4:AQ$1003,6,FALSE),"")</f>
        <v>#N/A</v>
      </c>
      <c r="I2747" s="187"/>
      <c r="J2747" s="140" t="e">
        <f ca="1">VLOOKUP(D2747,$F$1081:$I$4183,4,FALSE)+COUNTIF(E$1081:E2746,E2747)</f>
        <v>#N/A</v>
      </c>
      <c r="K2747" s="1"/>
      <c r="L2747" s="156"/>
      <c r="M2747" s="1"/>
      <c r="N2747" s="1"/>
      <c r="O2747" s="1"/>
    </row>
    <row r="2748" spans="1:15" hidden="1">
      <c r="A2748" s="1"/>
      <c r="B2748" s="197" t="e">
        <f t="shared" ca="1" si="254"/>
        <v>#N/A</v>
      </c>
      <c r="C2748" s="498">
        <v>682</v>
      </c>
      <c r="D2748" s="41" t="e">
        <f>IF($C$1077&gt;0,VLOOKUP($C2748,ENTI!$AL$4:AN$1003,3,FALSE),"")</f>
        <v>#N/A</v>
      </c>
      <c r="E2748" s="41" t="str">
        <f t="shared" si="253"/>
        <v/>
      </c>
      <c r="F2748" s="200"/>
      <c r="G2748" s="178" t="e">
        <f>IF($C$1077&gt;0,VLOOKUP($C2748,ENTI!$AL$4:AP$1003,5,FALSE),"")</f>
        <v>#N/A</v>
      </c>
      <c r="H2748" s="179" t="e">
        <f>IF($C$1077&gt;0,VLOOKUP($C2748,ENTI!$AL$4:AQ$1003,6,FALSE),"")</f>
        <v>#N/A</v>
      </c>
      <c r="I2748" s="187"/>
      <c r="J2748" s="140" t="e">
        <f ca="1">VLOOKUP(D2748,$F$1081:$I$4183,4,FALSE)+COUNTIF(E$1081:E2747,E2748)</f>
        <v>#N/A</v>
      </c>
      <c r="K2748" s="1"/>
      <c r="L2748" s="156"/>
      <c r="M2748" s="1"/>
      <c r="N2748" s="1"/>
      <c r="O2748" s="1"/>
    </row>
    <row r="2749" spans="1:15" hidden="1">
      <c r="A2749" s="1"/>
      <c r="B2749" s="197" t="e">
        <f t="shared" ca="1" si="254"/>
        <v>#N/A</v>
      </c>
      <c r="C2749" s="498">
        <v>683</v>
      </c>
      <c r="D2749" s="41" t="e">
        <f>IF($C$1077&gt;0,VLOOKUP($C2749,ENTI!$AL$4:AN$1003,3,FALSE),"")</f>
        <v>#N/A</v>
      </c>
      <c r="E2749" s="41" t="str">
        <f t="shared" si="253"/>
        <v/>
      </c>
      <c r="F2749" s="200"/>
      <c r="G2749" s="178" t="e">
        <f>IF($C$1077&gt;0,VLOOKUP($C2749,ENTI!$AL$4:AP$1003,5,FALSE),"")</f>
        <v>#N/A</v>
      </c>
      <c r="H2749" s="179" t="e">
        <f>IF($C$1077&gt;0,VLOOKUP($C2749,ENTI!$AL$4:AQ$1003,6,FALSE),"")</f>
        <v>#N/A</v>
      </c>
      <c r="I2749" s="187"/>
      <c r="J2749" s="140" t="e">
        <f ca="1">VLOOKUP(D2749,$F$1081:$I$4183,4,FALSE)+COUNTIF(E$1081:E2748,E2749)</f>
        <v>#N/A</v>
      </c>
      <c r="K2749" s="1"/>
      <c r="L2749" s="156"/>
      <c r="M2749" s="1"/>
      <c r="N2749" s="1"/>
      <c r="O2749" s="1"/>
    </row>
    <row r="2750" spans="1:15" hidden="1">
      <c r="A2750" s="1"/>
      <c r="B2750" s="197" t="e">
        <f t="shared" ca="1" si="254"/>
        <v>#N/A</v>
      </c>
      <c r="C2750" s="498">
        <v>684</v>
      </c>
      <c r="D2750" s="41" t="e">
        <f>IF($C$1077&gt;0,VLOOKUP($C2750,ENTI!$AL$4:AN$1003,3,FALSE),"")</f>
        <v>#N/A</v>
      </c>
      <c r="E2750" s="41" t="str">
        <f t="shared" si="253"/>
        <v/>
      </c>
      <c r="F2750" s="200"/>
      <c r="G2750" s="178" t="e">
        <f>IF($C$1077&gt;0,VLOOKUP($C2750,ENTI!$AL$4:AP$1003,5,FALSE),"")</f>
        <v>#N/A</v>
      </c>
      <c r="H2750" s="179" t="e">
        <f>IF($C$1077&gt;0,VLOOKUP($C2750,ENTI!$AL$4:AQ$1003,6,FALSE),"")</f>
        <v>#N/A</v>
      </c>
      <c r="I2750" s="187"/>
      <c r="J2750" s="140" t="e">
        <f ca="1">VLOOKUP(D2750,$F$1081:$I$4183,4,FALSE)+COUNTIF(E$1081:E2749,E2750)</f>
        <v>#N/A</v>
      </c>
      <c r="K2750" s="1"/>
      <c r="L2750" s="156"/>
      <c r="M2750" s="1"/>
      <c r="N2750" s="1"/>
      <c r="O2750" s="1"/>
    </row>
    <row r="2751" spans="1:15" hidden="1">
      <c r="A2751" s="1"/>
      <c r="B2751" s="197" t="e">
        <f t="shared" ca="1" si="254"/>
        <v>#N/A</v>
      </c>
      <c r="C2751" s="498">
        <v>685</v>
      </c>
      <c r="D2751" s="41" t="e">
        <f>IF($C$1077&gt;0,VLOOKUP($C2751,ENTI!$AL$4:AN$1003,3,FALSE),"")</f>
        <v>#N/A</v>
      </c>
      <c r="E2751" s="41" t="str">
        <f t="shared" si="253"/>
        <v/>
      </c>
      <c r="F2751" s="200"/>
      <c r="G2751" s="178" t="e">
        <f>IF($C$1077&gt;0,VLOOKUP($C2751,ENTI!$AL$4:AP$1003,5,FALSE),"")</f>
        <v>#N/A</v>
      </c>
      <c r="H2751" s="179" t="e">
        <f>IF($C$1077&gt;0,VLOOKUP($C2751,ENTI!$AL$4:AQ$1003,6,FALSE),"")</f>
        <v>#N/A</v>
      </c>
      <c r="I2751" s="187"/>
      <c r="J2751" s="140" t="e">
        <f ca="1">VLOOKUP(D2751,$F$1081:$I$4183,4,FALSE)+COUNTIF(E$1081:E2750,E2751)</f>
        <v>#N/A</v>
      </c>
      <c r="K2751" s="1"/>
      <c r="L2751" s="156"/>
      <c r="M2751" s="1"/>
      <c r="N2751" s="1"/>
      <c r="O2751" s="1"/>
    </row>
    <row r="2752" spans="1:15" hidden="1">
      <c r="A2752" s="1"/>
      <c r="B2752" s="197" t="e">
        <f t="shared" ca="1" si="254"/>
        <v>#N/A</v>
      </c>
      <c r="C2752" s="498">
        <v>686</v>
      </c>
      <c r="D2752" s="41" t="e">
        <f>IF($C$1077&gt;0,VLOOKUP($C2752,ENTI!$AL$4:AN$1003,3,FALSE),"")</f>
        <v>#N/A</v>
      </c>
      <c r="E2752" s="41" t="str">
        <f t="shared" si="253"/>
        <v/>
      </c>
      <c r="F2752" s="200"/>
      <c r="G2752" s="178" t="e">
        <f>IF($C$1077&gt;0,VLOOKUP($C2752,ENTI!$AL$4:AP$1003,5,FALSE),"")</f>
        <v>#N/A</v>
      </c>
      <c r="H2752" s="179" t="e">
        <f>IF($C$1077&gt;0,VLOOKUP($C2752,ENTI!$AL$4:AQ$1003,6,FALSE),"")</f>
        <v>#N/A</v>
      </c>
      <c r="I2752" s="187"/>
      <c r="J2752" s="140" t="e">
        <f ca="1">VLOOKUP(D2752,$F$1081:$I$4183,4,FALSE)+COUNTIF(E$1081:E2751,E2752)</f>
        <v>#N/A</v>
      </c>
      <c r="K2752" s="1"/>
      <c r="L2752" s="156"/>
      <c r="M2752" s="1"/>
      <c r="N2752" s="1"/>
      <c r="O2752" s="1"/>
    </row>
    <row r="2753" spans="1:15" hidden="1">
      <c r="A2753" s="1"/>
      <c r="B2753" s="197" t="e">
        <f t="shared" ca="1" si="254"/>
        <v>#N/A</v>
      </c>
      <c r="C2753" s="498">
        <v>687</v>
      </c>
      <c r="D2753" s="41" t="e">
        <f>IF($C$1077&gt;0,VLOOKUP($C2753,ENTI!$AL$4:AN$1003,3,FALSE),"")</f>
        <v>#N/A</v>
      </c>
      <c r="E2753" s="41" t="str">
        <f t="shared" si="253"/>
        <v/>
      </c>
      <c r="F2753" s="200"/>
      <c r="G2753" s="178" t="e">
        <f>IF($C$1077&gt;0,VLOOKUP($C2753,ENTI!$AL$4:AP$1003,5,FALSE),"")</f>
        <v>#N/A</v>
      </c>
      <c r="H2753" s="179" t="e">
        <f>IF($C$1077&gt;0,VLOOKUP($C2753,ENTI!$AL$4:AQ$1003,6,FALSE),"")</f>
        <v>#N/A</v>
      </c>
      <c r="I2753" s="187"/>
      <c r="J2753" s="140" t="e">
        <f ca="1">VLOOKUP(D2753,$F$1081:$I$4183,4,FALSE)+COUNTIF(E$1081:E2752,E2753)</f>
        <v>#N/A</v>
      </c>
      <c r="K2753" s="1"/>
      <c r="L2753" s="156"/>
      <c r="M2753" s="1"/>
      <c r="N2753" s="1"/>
      <c r="O2753" s="1"/>
    </row>
    <row r="2754" spans="1:15" hidden="1">
      <c r="A2754" s="1"/>
      <c r="B2754" s="197" t="e">
        <f t="shared" ca="1" si="254"/>
        <v>#N/A</v>
      </c>
      <c r="C2754" s="498">
        <v>688</v>
      </c>
      <c r="D2754" s="41" t="e">
        <f>IF($C$1077&gt;0,VLOOKUP($C2754,ENTI!$AL$4:AN$1003,3,FALSE),"")</f>
        <v>#N/A</v>
      </c>
      <c r="E2754" s="41" t="str">
        <f t="shared" si="253"/>
        <v/>
      </c>
      <c r="F2754" s="200"/>
      <c r="G2754" s="178" t="e">
        <f>IF($C$1077&gt;0,VLOOKUP($C2754,ENTI!$AL$4:AP$1003,5,FALSE),"")</f>
        <v>#N/A</v>
      </c>
      <c r="H2754" s="179" t="e">
        <f>IF($C$1077&gt;0,VLOOKUP($C2754,ENTI!$AL$4:AQ$1003,6,FALSE),"")</f>
        <v>#N/A</v>
      </c>
      <c r="I2754" s="187"/>
      <c r="J2754" s="140" t="e">
        <f ca="1">VLOOKUP(D2754,$F$1081:$I$4183,4,FALSE)+COUNTIF(E$1081:E2753,E2754)</f>
        <v>#N/A</v>
      </c>
      <c r="K2754" s="1"/>
      <c r="L2754" s="156"/>
      <c r="M2754" s="1"/>
      <c r="N2754" s="1"/>
      <c r="O2754" s="1"/>
    </row>
    <row r="2755" spans="1:15" hidden="1">
      <c r="A2755" s="1"/>
      <c r="B2755" s="197" t="e">
        <f t="shared" ca="1" si="254"/>
        <v>#N/A</v>
      </c>
      <c r="C2755" s="498">
        <v>689</v>
      </c>
      <c r="D2755" s="41" t="e">
        <f>IF($C$1077&gt;0,VLOOKUP($C2755,ENTI!$AL$4:AN$1003,3,FALSE),"")</f>
        <v>#N/A</v>
      </c>
      <c r="E2755" s="41" t="str">
        <f t="shared" si="253"/>
        <v/>
      </c>
      <c r="F2755" s="200"/>
      <c r="G2755" s="178" t="e">
        <f>IF($C$1077&gt;0,VLOOKUP($C2755,ENTI!$AL$4:AP$1003,5,FALSE),"")</f>
        <v>#N/A</v>
      </c>
      <c r="H2755" s="179" t="e">
        <f>IF($C$1077&gt;0,VLOOKUP($C2755,ENTI!$AL$4:AQ$1003,6,FALSE),"")</f>
        <v>#N/A</v>
      </c>
      <c r="I2755" s="187"/>
      <c r="J2755" s="140" t="e">
        <f ca="1">VLOOKUP(D2755,$F$1081:$I$4183,4,FALSE)+COUNTIF(E$1081:E2754,E2755)</f>
        <v>#N/A</v>
      </c>
      <c r="K2755" s="1"/>
      <c r="L2755" s="156"/>
      <c r="M2755" s="1"/>
      <c r="N2755" s="1"/>
      <c r="O2755" s="1"/>
    </row>
    <row r="2756" spans="1:15" hidden="1">
      <c r="A2756" s="1"/>
      <c r="B2756" s="197" t="e">
        <f t="shared" ca="1" si="254"/>
        <v>#N/A</v>
      </c>
      <c r="C2756" s="498">
        <v>690</v>
      </c>
      <c r="D2756" s="41" t="e">
        <f>IF($C$1077&gt;0,VLOOKUP($C2756,ENTI!$AL$4:AN$1003,3,FALSE),"")</f>
        <v>#N/A</v>
      </c>
      <c r="E2756" s="41" t="str">
        <f t="shared" si="253"/>
        <v/>
      </c>
      <c r="F2756" s="200"/>
      <c r="G2756" s="178" t="e">
        <f>IF($C$1077&gt;0,VLOOKUP($C2756,ENTI!$AL$4:AP$1003,5,FALSE),"")</f>
        <v>#N/A</v>
      </c>
      <c r="H2756" s="179" t="e">
        <f>IF($C$1077&gt;0,VLOOKUP($C2756,ENTI!$AL$4:AQ$1003,6,FALSE),"")</f>
        <v>#N/A</v>
      </c>
      <c r="I2756" s="187"/>
      <c r="J2756" s="140" t="e">
        <f ca="1">VLOOKUP(D2756,$F$1081:$I$4183,4,FALSE)+COUNTIF(E$1081:E2755,E2756)</f>
        <v>#N/A</v>
      </c>
      <c r="K2756" s="1"/>
      <c r="L2756" s="156"/>
      <c r="M2756" s="1"/>
      <c r="N2756" s="1"/>
      <c r="O2756" s="1"/>
    </row>
    <row r="2757" spans="1:15" hidden="1">
      <c r="A2757" s="1"/>
      <c r="B2757" s="197" t="e">
        <f t="shared" ca="1" si="254"/>
        <v>#N/A</v>
      </c>
      <c r="C2757" s="498">
        <v>691</v>
      </c>
      <c r="D2757" s="41" t="e">
        <f>IF($C$1077&gt;0,VLOOKUP($C2757,ENTI!$AL$4:AN$1003,3,FALSE),"")</f>
        <v>#N/A</v>
      </c>
      <c r="E2757" s="41" t="str">
        <f t="shared" si="253"/>
        <v/>
      </c>
      <c r="F2757" s="200"/>
      <c r="G2757" s="178" t="e">
        <f>IF($C$1077&gt;0,VLOOKUP($C2757,ENTI!$AL$4:AP$1003,5,FALSE),"")</f>
        <v>#N/A</v>
      </c>
      <c r="H2757" s="179" t="e">
        <f>IF($C$1077&gt;0,VLOOKUP($C2757,ENTI!$AL$4:AQ$1003,6,FALSE),"")</f>
        <v>#N/A</v>
      </c>
      <c r="I2757" s="187"/>
      <c r="J2757" s="140" t="e">
        <f ca="1">VLOOKUP(D2757,$F$1081:$I$4183,4,FALSE)+COUNTIF(E$1081:E2756,E2757)</f>
        <v>#N/A</v>
      </c>
      <c r="K2757" s="1"/>
      <c r="L2757" s="156"/>
      <c r="M2757" s="1"/>
      <c r="N2757" s="1"/>
      <c r="O2757" s="1"/>
    </row>
    <row r="2758" spans="1:15" hidden="1">
      <c r="A2758" s="1"/>
      <c r="B2758" s="197" t="e">
        <f t="shared" ca="1" si="254"/>
        <v>#N/A</v>
      </c>
      <c r="C2758" s="498">
        <v>692</v>
      </c>
      <c r="D2758" s="41" t="e">
        <f>IF($C$1077&gt;0,VLOOKUP($C2758,ENTI!$AL$4:AN$1003,3,FALSE),"")</f>
        <v>#N/A</v>
      </c>
      <c r="E2758" s="41" t="str">
        <f t="shared" si="253"/>
        <v/>
      </c>
      <c r="F2758" s="200"/>
      <c r="G2758" s="178" t="e">
        <f>IF($C$1077&gt;0,VLOOKUP($C2758,ENTI!$AL$4:AP$1003,5,FALSE),"")</f>
        <v>#N/A</v>
      </c>
      <c r="H2758" s="179" t="e">
        <f>IF($C$1077&gt;0,VLOOKUP($C2758,ENTI!$AL$4:AQ$1003,6,FALSE),"")</f>
        <v>#N/A</v>
      </c>
      <c r="I2758" s="187"/>
      <c r="J2758" s="140" t="e">
        <f ca="1">VLOOKUP(D2758,$F$1081:$I$4183,4,FALSE)+COUNTIF(E$1081:E2757,E2758)</f>
        <v>#N/A</v>
      </c>
      <c r="K2758" s="1"/>
      <c r="L2758" s="156"/>
      <c r="M2758" s="1"/>
      <c r="N2758" s="1"/>
      <c r="O2758" s="1"/>
    </row>
    <row r="2759" spans="1:15" hidden="1">
      <c r="A2759" s="1"/>
      <c r="B2759" s="197" t="e">
        <f t="shared" ca="1" si="254"/>
        <v>#N/A</v>
      </c>
      <c r="C2759" s="498">
        <v>693</v>
      </c>
      <c r="D2759" s="41" t="e">
        <f>IF($C$1077&gt;0,VLOOKUP($C2759,ENTI!$AL$4:AN$1003,3,FALSE),"")</f>
        <v>#N/A</v>
      </c>
      <c r="E2759" s="41" t="str">
        <f t="shared" si="253"/>
        <v/>
      </c>
      <c r="F2759" s="200"/>
      <c r="G2759" s="178" t="e">
        <f>IF($C$1077&gt;0,VLOOKUP($C2759,ENTI!$AL$4:AP$1003,5,FALSE),"")</f>
        <v>#N/A</v>
      </c>
      <c r="H2759" s="179" t="e">
        <f>IF($C$1077&gt;0,VLOOKUP($C2759,ENTI!$AL$4:AQ$1003,6,FALSE),"")</f>
        <v>#N/A</v>
      </c>
      <c r="I2759" s="187"/>
      <c r="J2759" s="140" t="e">
        <f ca="1">VLOOKUP(D2759,$F$1081:$I$4183,4,FALSE)+COUNTIF(E$1081:E2758,E2759)</f>
        <v>#N/A</v>
      </c>
      <c r="K2759" s="1"/>
      <c r="L2759" s="156"/>
      <c r="M2759" s="1"/>
      <c r="N2759" s="1"/>
      <c r="O2759" s="1"/>
    </row>
    <row r="2760" spans="1:15" hidden="1">
      <c r="A2760" s="1"/>
      <c r="B2760" s="197" t="e">
        <f t="shared" ca="1" si="254"/>
        <v>#N/A</v>
      </c>
      <c r="C2760" s="498">
        <v>694</v>
      </c>
      <c r="D2760" s="41" t="e">
        <f>IF($C$1077&gt;0,VLOOKUP($C2760,ENTI!$AL$4:AN$1003,3,FALSE),"")</f>
        <v>#N/A</v>
      </c>
      <c r="E2760" s="41" t="str">
        <f t="shared" si="253"/>
        <v/>
      </c>
      <c r="F2760" s="200"/>
      <c r="G2760" s="178" t="e">
        <f>IF($C$1077&gt;0,VLOOKUP($C2760,ENTI!$AL$4:AP$1003,5,FALSE),"")</f>
        <v>#N/A</v>
      </c>
      <c r="H2760" s="179" t="e">
        <f>IF($C$1077&gt;0,VLOOKUP($C2760,ENTI!$AL$4:AQ$1003,6,FALSE),"")</f>
        <v>#N/A</v>
      </c>
      <c r="I2760" s="187"/>
      <c r="J2760" s="140" t="e">
        <f ca="1">VLOOKUP(D2760,$F$1081:$I$4183,4,FALSE)+COUNTIF(E$1081:E2759,E2760)</f>
        <v>#N/A</v>
      </c>
      <c r="K2760" s="1"/>
      <c r="L2760" s="156"/>
      <c r="M2760" s="1"/>
      <c r="N2760" s="1"/>
      <c r="O2760" s="1"/>
    </row>
    <row r="2761" spans="1:15" hidden="1">
      <c r="A2761" s="1"/>
      <c r="B2761" s="197" t="e">
        <f t="shared" ca="1" si="254"/>
        <v>#N/A</v>
      </c>
      <c r="C2761" s="498">
        <v>695</v>
      </c>
      <c r="D2761" s="41" t="e">
        <f>IF($C$1077&gt;0,VLOOKUP($C2761,ENTI!$AL$4:AN$1003,3,FALSE),"")</f>
        <v>#N/A</v>
      </c>
      <c r="E2761" s="41" t="str">
        <f t="shared" si="253"/>
        <v/>
      </c>
      <c r="F2761" s="200"/>
      <c r="G2761" s="178" t="e">
        <f>IF($C$1077&gt;0,VLOOKUP($C2761,ENTI!$AL$4:AP$1003,5,FALSE),"")</f>
        <v>#N/A</v>
      </c>
      <c r="H2761" s="179" t="e">
        <f>IF($C$1077&gt;0,VLOOKUP($C2761,ENTI!$AL$4:AQ$1003,6,FALSE),"")</f>
        <v>#N/A</v>
      </c>
      <c r="I2761" s="187"/>
      <c r="J2761" s="140" t="e">
        <f ca="1">VLOOKUP(D2761,$F$1081:$I$4183,4,FALSE)+COUNTIF(E$1081:E2760,E2761)</f>
        <v>#N/A</v>
      </c>
      <c r="K2761" s="1"/>
      <c r="L2761" s="156"/>
      <c r="M2761" s="1"/>
      <c r="N2761" s="1"/>
      <c r="O2761" s="1"/>
    </row>
    <row r="2762" spans="1:15" hidden="1">
      <c r="A2762" s="1"/>
      <c r="B2762" s="197" t="e">
        <f t="shared" ca="1" si="254"/>
        <v>#N/A</v>
      </c>
      <c r="C2762" s="498">
        <v>696</v>
      </c>
      <c r="D2762" s="41" t="e">
        <f>IF($C$1077&gt;0,VLOOKUP($C2762,ENTI!$AL$4:AN$1003,3,FALSE),"")</f>
        <v>#N/A</v>
      </c>
      <c r="E2762" s="41" t="str">
        <f t="shared" si="253"/>
        <v/>
      </c>
      <c r="F2762" s="200"/>
      <c r="G2762" s="178" t="e">
        <f>IF($C$1077&gt;0,VLOOKUP($C2762,ENTI!$AL$4:AP$1003,5,FALSE),"")</f>
        <v>#N/A</v>
      </c>
      <c r="H2762" s="179" t="e">
        <f>IF($C$1077&gt;0,VLOOKUP($C2762,ENTI!$AL$4:AQ$1003,6,FALSE),"")</f>
        <v>#N/A</v>
      </c>
      <c r="I2762" s="187"/>
      <c r="J2762" s="140" t="e">
        <f ca="1">VLOOKUP(D2762,$F$1081:$I$4183,4,FALSE)+COUNTIF(E$1081:E2761,E2762)</f>
        <v>#N/A</v>
      </c>
      <c r="K2762" s="1"/>
      <c r="L2762" s="156"/>
      <c r="M2762" s="1"/>
      <c r="N2762" s="1"/>
      <c r="O2762" s="1"/>
    </row>
    <row r="2763" spans="1:15" hidden="1">
      <c r="A2763" s="1"/>
      <c r="B2763" s="197" t="e">
        <f t="shared" ca="1" si="254"/>
        <v>#N/A</v>
      </c>
      <c r="C2763" s="498">
        <v>697</v>
      </c>
      <c r="D2763" s="41" t="e">
        <f>IF($C$1077&gt;0,VLOOKUP($C2763,ENTI!$AL$4:AN$1003,3,FALSE),"")</f>
        <v>#N/A</v>
      </c>
      <c r="E2763" s="41" t="str">
        <f t="shared" si="253"/>
        <v/>
      </c>
      <c r="F2763" s="200"/>
      <c r="G2763" s="178" t="e">
        <f>IF($C$1077&gt;0,VLOOKUP($C2763,ENTI!$AL$4:AP$1003,5,FALSE),"")</f>
        <v>#N/A</v>
      </c>
      <c r="H2763" s="179" t="e">
        <f>IF($C$1077&gt;0,VLOOKUP($C2763,ENTI!$AL$4:AQ$1003,6,FALSE),"")</f>
        <v>#N/A</v>
      </c>
      <c r="I2763" s="187"/>
      <c r="J2763" s="140" t="e">
        <f ca="1">VLOOKUP(D2763,$F$1081:$I$4183,4,FALSE)+COUNTIF(E$1081:E2762,E2763)</f>
        <v>#N/A</v>
      </c>
      <c r="K2763" s="1"/>
      <c r="L2763" s="156"/>
      <c r="M2763" s="1"/>
      <c r="N2763" s="1"/>
      <c r="O2763" s="1"/>
    </row>
    <row r="2764" spans="1:15" hidden="1">
      <c r="A2764" s="1"/>
      <c r="B2764" s="197" t="e">
        <f t="shared" ca="1" si="254"/>
        <v>#N/A</v>
      </c>
      <c r="C2764" s="498">
        <v>698</v>
      </c>
      <c r="D2764" s="41" t="e">
        <f>IF($C$1077&gt;0,VLOOKUP($C2764,ENTI!$AL$4:AN$1003,3,FALSE),"")</f>
        <v>#N/A</v>
      </c>
      <c r="E2764" s="41" t="str">
        <f t="shared" si="253"/>
        <v/>
      </c>
      <c r="F2764" s="200"/>
      <c r="G2764" s="178" t="e">
        <f>IF($C$1077&gt;0,VLOOKUP($C2764,ENTI!$AL$4:AP$1003,5,FALSE),"")</f>
        <v>#N/A</v>
      </c>
      <c r="H2764" s="179" t="e">
        <f>IF($C$1077&gt;0,VLOOKUP($C2764,ENTI!$AL$4:AQ$1003,6,FALSE),"")</f>
        <v>#N/A</v>
      </c>
      <c r="I2764" s="187"/>
      <c r="J2764" s="140" t="e">
        <f ca="1">VLOOKUP(D2764,$F$1081:$I$4183,4,FALSE)+COUNTIF(E$1081:E2763,E2764)</f>
        <v>#N/A</v>
      </c>
      <c r="K2764" s="1"/>
      <c r="L2764" s="156"/>
      <c r="M2764" s="1"/>
      <c r="N2764" s="1"/>
      <c r="O2764" s="1"/>
    </row>
    <row r="2765" spans="1:15" hidden="1">
      <c r="A2765" s="1"/>
      <c r="B2765" s="197" t="e">
        <f t="shared" ca="1" si="254"/>
        <v>#N/A</v>
      </c>
      <c r="C2765" s="498">
        <v>699</v>
      </c>
      <c r="D2765" s="41" t="e">
        <f>IF($C$1077&gt;0,VLOOKUP($C2765,ENTI!$AL$4:AN$1003,3,FALSE),"")</f>
        <v>#N/A</v>
      </c>
      <c r="E2765" s="41" t="str">
        <f t="shared" si="253"/>
        <v/>
      </c>
      <c r="F2765" s="200"/>
      <c r="G2765" s="178" t="e">
        <f>IF($C$1077&gt;0,VLOOKUP($C2765,ENTI!$AL$4:AP$1003,5,FALSE),"")</f>
        <v>#N/A</v>
      </c>
      <c r="H2765" s="179" t="e">
        <f>IF($C$1077&gt;0,VLOOKUP($C2765,ENTI!$AL$4:AQ$1003,6,FALSE),"")</f>
        <v>#N/A</v>
      </c>
      <c r="I2765" s="187"/>
      <c r="J2765" s="140" t="e">
        <f ca="1">VLOOKUP(D2765,$F$1081:$I$4183,4,FALSE)+COUNTIF(E$1081:E2764,E2765)</f>
        <v>#N/A</v>
      </c>
      <c r="K2765" s="1"/>
      <c r="L2765" s="156"/>
      <c r="M2765" s="1"/>
      <c r="N2765" s="1"/>
      <c r="O2765" s="1"/>
    </row>
    <row r="2766" spans="1:15" hidden="1">
      <c r="A2766" s="1"/>
      <c r="B2766" s="197" t="e">
        <f t="shared" ca="1" si="254"/>
        <v>#N/A</v>
      </c>
      <c r="C2766" s="498">
        <v>700</v>
      </c>
      <c r="D2766" s="41" t="e">
        <f>IF($C$1077&gt;0,VLOOKUP($C2766,ENTI!$AL$4:AN$1003,3,FALSE),"")</f>
        <v>#N/A</v>
      </c>
      <c r="E2766" s="41" t="str">
        <f t="shared" si="253"/>
        <v/>
      </c>
      <c r="F2766" s="200"/>
      <c r="G2766" s="178" t="e">
        <f>IF($C$1077&gt;0,VLOOKUP($C2766,ENTI!$AL$4:AP$1003,5,FALSE),"")</f>
        <v>#N/A</v>
      </c>
      <c r="H2766" s="179" t="e">
        <f>IF($C$1077&gt;0,VLOOKUP($C2766,ENTI!$AL$4:AQ$1003,6,FALSE),"")</f>
        <v>#N/A</v>
      </c>
      <c r="I2766" s="187"/>
      <c r="J2766" s="140" t="e">
        <f ca="1">VLOOKUP(D2766,$F$1081:$I$4183,4,FALSE)+COUNTIF(E$1081:E2765,E2766)</f>
        <v>#N/A</v>
      </c>
      <c r="K2766" s="1"/>
      <c r="L2766" s="156"/>
      <c r="M2766" s="1"/>
      <c r="N2766" s="1"/>
      <c r="O2766" s="1"/>
    </row>
    <row r="2767" spans="1:15" hidden="1">
      <c r="A2767" s="1"/>
      <c r="B2767" s="197" t="e">
        <f t="shared" ca="1" si="254"/>
        <v>#N/A</v>
      </c>
      <c r="C2767" s="498">
        <v>701</v>
      </c>
      <c r="D2767" s="41" t="e">
        <f>IF($C$1077&gt;0,VLOOKUP($C2767,ENTI!$AL$4:AN$1003,3,FALSE),"")</f>
        <v>#N/A</v>
      </c>
      <c r="E2767" s="41" t="str">
        <f t="shared" ref="E2767:E2830" si="255">IF(ISERROR(D2767),"",D2767)</f>
        <v/>
      </c>
      <c r="F2767" s="200"/>
      <c r="G2767" s="178" t="e">
        <f>IF($C$1077&gt;0,VLOOKUP($C2767,ENTI!$AL$4:AP$1003,5,FALSE),"")</f>
        <v>#N/A</v>
      </c>
      <c r="H2767" s="179" t="e">
        <f>IF($C$1077&gt;0,VLOOKUP($C2767,ENTI!$AL$4:AQ$1003,6,FALSE),"")</f>
        <v>#N/A</v>
      </c>
      <c r="I2767" s="187"/>
      <c r="J2767" s="140" t="e">
        <f ca="1">VLOOKUP(D2767,$F$1081:$I$4183,4,FALSE)+COUNTIF(E$1081:E2766,E2767)</f>
        <v>#N/A</v>
      </c>
      <c r="K2767" s="1"/>
      <c r="L2767" s="156"/>
      <c r="M2767" s="1"/>
      <c r="N2767" s="1"/>
      <c r="O2767" s="1"/>
    </row>
    <row r="2768" spans="1:15" hidden="1">
      <c r="A2768" s="1"/>
      <c r="B2768" s="197" t="e">
        <f t="shared" ca="1" si="254"/>
        <v>#N/A</v>
      </c>
      <c r="C2768" s="498">
        <v>702</v>
      </c>
      <c r="D2768" s="41" t="e">
        <f>IF($C$1077&gt;0,VLOOKUP($C2768,ENTI!$AL$4:AN$1003,3,FALSE),"")</f>
        <v>#N/A</v>
      </c>
      <c r="E2768" s="41" t="str">
        <f t="shared" si="255"/>
        <v/>
      </c>
      <c r="F2768" s="200"/>
      <c r="G2768" s="178" t="e">
        <f>IF($C$1077&gt;0,VLOOKUP($C2768,ENTI!$AL$4:AP$1003,5,FALSE),"")</f>
        <v>#N/A</v>
      </c>
      <c r="H2768" s="179" t="e">
        <f>IF($C$1077&gt;0,VLOOKUP($C2768,ENTI!$AL$4:AQ$1003,6,FALSE),"")</f>
        <v>#N/A</v>
      </c>
      <c r="I2768" s="187"/>
      <c r="J2768" s="140" t="e">
        <f ca="1">VLOOKUP(D2768,$F$1081:$I$4183,4,FALSE)+COUNTIF(E$1081:E2767,E2768)</f>
        <v>#N/A</v>
      </c>
      <c r="K2768" s="1"/>
      <c r="L2768" s="156"/>
      <c r="M2768" s="1"/>
      <c r="N2768" s="1"/>
      <c r="O2768" s="1"/>
    </row>
    <row r="2769" spans="1:15" hidden="1">
      <c r="A2769" s="1"/>
      <c r="B2769" s="197" t="e">
        <f t="shared" ca="1" si="254"/>
        <v>#N/A</v>
      </c>
      <c r="C2769" s="498">
        <v>703</v>
      </c>
      <c r="D2769" s="41" t="e">
        <f>IF($C$1077&gt;0,VLOOKUP($C2769,ENTI!$AL$4:AN$1003,3,FALSE),"")</f>
        <v>#N/A</v>
      </c>
      <c r="E2769" s="41" t="str">
        <f t="shared" si="255"/>
        <v/>
      </c>
      <c r="F2769" s="200"/>
      <c r="G2769" s="178" t="e">
        <f>IF($C$1077&gt;0,VLOOKUP($C2769,ENTI!$AL$4:AP$1003,5,FALSE),"")</f>
        <v>#N/A</v>
      </c>
      <c r="H2769" s="179" t="e">
        <f>IF($C$1077&gt;0,VLOOKUP($C2769,ENTI!$AL$4:AQ$1003,6,FALSE),"")</f>
        <v>#N/A</v>
      </c>
      <c r="I2769" s="187"/>
      <c r="J2769" s="140" t="e">
        <f ca="1">VLOOKUP(D2769,$F$1081:$I$4183,4,FALSE)+COUNTIF(E$1081:E2768,E2769)</f>
        <v>#N/A</v>
      </c>
      <c r="K2769" s="1"/>
      <c r="L2769" s="156"/>
      <c r="M2769" s="1"/>
      <c r="N2769" s="1"/>
      <c r="O2769" s="1"/>
    </row>
    <row r="2770" spans="1:15" hidden="1">
      <c r="A2770" s="1"/>
      <c r="B2770" s="197" t="e">
        <f t="shared" ca="1" si="254"/>
        <v>#N/A</v>
      </c>
      <c r="C2770" s="498">
        <v>704</v>
      </c>
      <c r="D2770" s="41" t="e">
        <f>IF($C$1077&gt;0,VLOOKUP($C2770,ENTI!$AL$4:AN$1003,3,FALSE),"")</f>
        <v>#N/A</v>
      </c>
      <c r="E2770" s="41" t="str">
        <f t="shared" si="255"/>
        <v/>
      </c>
      <c r="F2770" s="200"/>
      <c r="G2770" s="178" t="e">
        <f>IF($C$1077&gt;0,VLOOKUP($C2770,ENTI!$AL$4:AP$1003,5,FALSE),"")</f>
        <v>#N/A</v>
      </c>
      <c r="H2770" s="179" t="e">
        <f>IF($C$1077&gt;0,VLOOKUP($C2770,ENTI!$AL$4:AQ$1003,6,FALSE),"")</f>
        <v>#N/A</v>
      </c>
      <c r="I2770" s="187"/>
      <c r="J2770" s="140" t="e">
        <f ca="1">VLOOKUP(D2770,$F$1081:$I$4183,4,FALSE)+COUNTIF(E$1081:E2769,E2770)</f>
        <v>#N/A</v>
      </c>
      <c r="K2770" s="1"/>
      <c r="L2770" s="156"/>
      <c r="M2770" s="1"/>
      <c r="N2770" s="1"/>
      <c r="O2770" s="1"/>
    </row>
    <row r="2771" spans="1:15" hidden="1">
      <c r="A2771" s="1"/>
      <c r="B2771" s="197" t="e">
        <f t="shared" ca="1" si="254"/>
        <v>#N/A</v>
      </c>
      <c r="C2771" s="498">
        <v>705</v>
      </c>
      <c r="D2771" s="41" t="e">
        <f>IF($C$1077&gt;0,VLOOKUP($C2771,ENTI!$AL$4:AN$1003,3,FALSE),"")</f>
        <v>#N/A</v>
      </c>
      <c r="E2771" s="41" t="str">
        <f t="shared" si="255"/>
        <v/>
      </c>
      <c r="F2771" s="200"/>
      <c r="G2771" s="178" t="e">
        <f>IF($C$1077&gt;0,VLOOKUP($C2771,ENTI!$AL$4:AP$1003,5,FALSE),"")</f>
        <v>#N/A</v>
      </c>
      <c r="H2771" s="179" t="e">
        <f>IF($C$1077&gt;0,VLOOKUP($C2771,ENTI!$AL$4:AQ$1003,6,FALSE),"")</f>
        <v>#N/A</v>
      </c>
      <c r="I2771" s="187"/>
      <c r="J2771" s="140" t="e">
        <f ca="1">VLOOKUP(D2771,$F$1081:$I$4183,4,FALSE)+COUNTIF(E$1081:E2770,E2771)</f>
        <v>#N/A</v>
      </c>
      <c r="K2771" s="1"/>
      <c r="L2771" s="156"/>
      <c r="M2771" s="1"/>
      <c r="N2771" s="1"/>
      <c r="O2771" s="1"/>
    </row>
    <row r="2772" spans="1:15" hidden="1">
      <c r="A2772" s="1"/>
      <c r="B2772" s="197" t="e">
        <f t="shared" ca="1" si="254"/>
        <v>#N/A</v>
      </c>
      <c r="C2772" s="498">
        <v>706</v>
      </c>
      <c r="D2772" s="41" t="e">
        <f>IF($C$1077&gt;0,VLOOKUP($C2772,ENTI!$AL$4:AN$1003,3,FALSE),"")</f>
        <v>#N/A</v>
      </c>
      <c r="E2772" s="41" t="str">
        <f t="shared" si="255"/>
        <v/>
      </c>
      <c r="F2772" s="200"/>
      <c r="G2772" s="178" t="e">
        <f>IF($C$1077&gt;0,VLOOKUP($C2772,ENTI!$AL$4:AP$1003,5,FALSE),"")</f>
        <v>#N/A</v>
      </c>
      <c r="H2772" s="179" t="e">
        <f>IF($C$1077&gt;0,VLOOKUP($C2772,ENTI!$AL$4:AQ$1003,6,FALSE),"")</f>
        <v>#N/A</v>
      </c>
      <c r="I2772" s="187"/>
      <c r="J2772" s="140" t="e">
        <f ca="1">VLOOKUP(D2772,$F$1081:$I$4183,4,FALSE)+COUNTIF(E$1081:E2771,E2772)</f>
        <v>#N/A</v>
      </c>
      <c r="K2772" s="1"/>
      <c r="L2772" s="156"/>
      <c r="M2772" s="1"/>
      <c r="N2772" s="1"/>
      <c r="O2772" s="1"/>
    </row>
    <row r="2773" spans="1:15" hidden="1">
      <c r="A2773" s="1"/>
      <c r="B2773" s="197" t="e">
        <f t="shared" ca="1" si="254"/>
        <v>#N/A</v>
      </c>
      <c r="C2773" s="498">
        <v>707</v>
      </c>
      <c r="D2773" s="41" t="e">
        <f>IF($C$1077&gt;0,VLOOKUP($C2773,ENTI!$AL$4:AN$1003,3,FALSE),"")</f>
        <v>#N/A</v>
      </c>
      <c r="E2773" s="41" t="str">
        <f t="shared" si="255"/>
        <v/>
      </c>
      <c r="F2773" s="200"/>
      <c r="G2773" s="178" t="e">
        <f>IF($C$1077&gt;0,VLOOKUP($C2773,ENTI!$AL$4:AP$1003,5,FALSE),"")</f>
        <v>#N/A</v>
      </c>
      <c r="H2773" s="179" t="e">
        <f>IF($C$1077&gt;0,VLOOKUP($C2773,ENTI!$AL$4:AQ$1003,6,FALSE),"")</f>
        <v>#N/A</v>
      </c>
      <c r="I2773" s="187"/>
      <c r="J2773" s="140" t="e">
        <f ca="1">VLOOKUP(D2773,$F$1081:$I$4183,4,FALSE)+COUNTIF(E$1081:E2772,E2773)</f>
        <v>#N/A</v>
      </c>
      <c r="K2773" s="1"/>
      <c r="L2773" s="156"/>
      <c r="M2773" s="1"/>
      <c r="N2773" s="1"/>
      <c r="O2773" s="1"/>
    </row>
    <row r="2774" spans="1:15" hidden="1">
      <c r="A2774" s="1"/>
      <c r="B2774" s="197" t="e">
        <f t="shared" ca="1" si="254"/>
        <v>#N/A</v>
      </c>
      <c r="C2774" s="498">
        <v>708</v>
      </c>
      <c r="D2774" s="41" t="e">
        <f>IF($C$1077&gt;0,VLOOKUP($C2774,ENTI!$AL$4:AN$1003,3,FALSE),"")</f>
        <v>#N/A</v>
      </c>
      <c r="E2774" s="41" t="str">
        <f t="shared" si="255"/>
        <v/>
      </c>
      <c r="F2774" s="200"/>
      <c r="G2774" s="178" t="e">
        <f>IF($C$1077&gt;0,VLOOKUP($C2774,ENTI!$AL$4:AP$1003,5,FALSE),"")</f>
        <v>#N/A</v>
      </c>
      <c r="H2774" s="179" t="e">
        <f>IF($C$1077&gt;0,VLOOKUP($C2774,ENTI!$AL$4:AQ$1003,6,FALSE),"")</f>
        <v>#N/A</v>
      </c>
      <c r="I2774" s="187"/>
      <c r="J2774" s="140" t="e">
        <f ca="1">VLOOKUP(D2774,$F$1081:$I$4183,4,FALSE)+COUNTIF(E$1081:E2773,E2774)</f>
        <v>#N/A</v>
      </c>
      <c r="K2774" s="1"/>
      <c r="L2774" s="156"/>
      <c r="M2774" s="1"/>
      <c r="N2774" s="1"/>
      <c r="O2774" s="1"/>
    </row>
    <row r="2775" spans="1:15" hidden="1">
      <c r="A2775" s="1"/>
      <c r="B2775" s="197" t="e">
        <f t="shared" ca="1" si="254"/>
        <v>#N/A</v>
      </c>
      <c r="C2775" s="498">
        <v>709</v>
      </c>
      <c r="D2775" s="41" t="e">
        <f>IF($C$1077&gt;0,VLOOKUP($C2775,ENTI!$AL$4:AN$1003,3,FALSE),"")</f>
        <v>#N/A</v>
      </c>
      <c r="E2775" s="41" t="str">
        <f t="shared" si="255"/>
        <v/>
      </c>
      <c r="F2775" s="200"/>
      <c r="G2775" s="178" t="e">
        <f>IF($C$1077&gt;0,VLOOKUP($C2775,ENTI!$AL$4:AP$1003,5,FALSE),"")</f>
        <v>#N/A</v>
      </c>
      <c r="H2775" s="179" t="e">
        <f>IF($C$1077&gt;0,VLOOKUP($C2775,ENTI!$AL$4:AQ$1003,6,FALSE),"")</f>
        <v>#N/A</v>
      </c>
      <c r="I2775" s="187"/>
      <c r="J2775" s="140" t="e">
        <f ca="1">VLOOKUP(D2775,$F$1081:$I$4183,4,FALSE)+COUNTIF(E$1081:E2774,E2775)</f>
        <v>#N/A</v>
      </c>
      <c r="K2775" s="1"/>
      <c r="L2775" s="156"/>
      <c r="M2775" s="1"/>
      <c r="N2775" s="1"/>
      <c r="O2775" s="1"/>
    </row>
    <row r="2776" spans="1:15" hidden="1">
      <c r="A2776" s="1"/>
      <c r="B2776" s="197" t="e">
        <f t="shared" ca="1" si="254"/>
        <v>#N/A</v>
      </c>
      <c r="C2776" s="498">
        <v>710</v>
      </c>
      <c r="D2776" s="41" t="e">
        <f>IF($C$1077&gt;0,VLOOKUP($C2776,ENTI!$AL$4:AN$1003,3,FALSE),"")</f>
        <v>#N/A</v>
      </c>
      <c r="E2776" s="41" t="str">
        <f t="shared" si="255"/>
        <v/>
      </c>
      <c r="F2776" s="200"/>
      <c r="G2776" s="178" t="e">
        <f>IF($C$1077&gt;0,VLOOKUP($C2776,ENTI!$AL$4:AP$1003,5,FALSE),"")</f>
        <v>#N/A</v>
      </c>
      <c r="H2776" s="179" t="e">
        <f>IF($C$1077&gt;0,VLOOKUP($C2776,ENTI!$AL$4:AQ$1003,6,FALSE),"")</f>
        <v>#N/A</v>
      </c>
      <c r="I2776" s="187"/>
      <c r="J2776" s="140" t="e">
        <f ca="1">VLOOKUP(D2776,$F$1081:$I$4183,4,FALSE)+COUNTIF(E$1081:E2775,E2776)</f>
        <v>#N/A</v>
      </c>
      <c r="K2776" s="1"/>
      <c r="L2776" s="156"/>
      <c r="M2776" s="1"/>
      <c r="N2776" s="1"/>
      <c r="O2776" s="1"/>
    </row>
    <row r="2777" spans="1:15" hidden="1">
      <c r="A2777" s="1"/>
      <c r="B2777" s="197" t="e">
        <f t="shared" ref="B2777:B2840" ca="1" si="256">IF(OR(C$1075&gt;0,C$1077&gt;0,C$1073&gt;0,C$1071&gt;0),J2777+1,J2777)</f>
        <v>#N/A</v>
      </c>
      <c r="C2777" s="498">
        <v>711</v>
      </c>
      <c r="D2777" s="41" t="e">
        <f>IF($C$1077&gt;0,VLOOKUP($C2777,ENTI!$AL$4:AN$1003,3,FALSE),"")</f>
        <v>#N/A</v>
      </c>
      <c r="E2777" s="41" t="str">
        <f t="shared" si="255"/>
        <v/>
      </c>
      <c r="F2777" s="200"/>
      <c r="G2777" s="178" t="e">
        <f>IF($C$1077&gt;0,VLOOKUP($C2777,ENTI!$AL$4:AP$1003,5,FALSE),"")</f>
        <v>#N/A</v>
      </c>
      <c r="H2777" s="179" t="e">
        <f>IF($C$1077&gt;0,VLOOKUP($C2777,ENTI!$AL$4:AQ$1003,6,FALSE),"")</f>
        <v>#N/A</v>
      </c>
      <c r="I2777" s="187"/>
      <c r="J2777" s="140" t="e">
        <f ca="1">VLOOKUP(D2777,$F$1081:$I$4183,4,FALSE)+COUNTIF(E$1081:E2776,E2777)</f>
        <v>#N/A</v>
      </c>
      <c r="K2777" s="1"/>
      <c r="L2777" s="156"/>
      <c r="M2777" s="1"/>
      <c r="N2777" s="1"/>
      <c r="O2777" s="1"/>
    </row>
    <row r="2778" spans="1:15" hidden="1">
      <c r="A2778" s="1"/>
      <c r="B2778" s="197" t="e">
        <f t="shared" ca="1" si="256"/>
        <v>#N/A</v>
      </c>
      <c r="C2778" s="498">
        <v>712</v>
      </c>
      <c r="D2778" s="41" t="e">
        <f>IF($C$1077&gt;0,VLOOKUP($C2778,ENTI!$AL$4:AN$1003,3,FALSE),"")</f>
        <v>#N/A</v>
      </c>
      <c r="E2778" s="41" t="str">
        <f t="shared" si="255"/>
        <v/>
      </c>
      <c r="F2778" s="200"/>
      <c r="G2778" s="178" t="e">
        <f>IF($C$1077&gt;0,VLOOKUP($C2778,ENTI!$AL$4:AP$1003,5,FALSE),"")</f>
        <v>#N/A</v>
      </c>
      <c r="H2778" s="179" t="e">
        <f>IF($C$1077&gt;0,VLOOKUP($C2778,ENTI!$AL$4:AQ$1003,6,FALSE),"")</f>
        <v>#N/A</v>
      </c>
      <c r="I2778" s="187"/>
      <c r="J2778" s="140" t="e">
        <f ca="1">VLOOKUP(D2778,$F$1081:$I$4183,4,FALSE)+COUNTIF(E$1081:E2777,E2778)</f>
        <v>#N/A</v>
      </c>
      <c r="K2778" s="1"/>
      <c r="L2778" s="156"/>
      <c r="M2778" s="1"/>
      <c r="N2778" s="1"/>
      <c r="O2778" s="1"/>
    </row>
    <row r="2779" spans="1:15" hidden="1">
      <c r="A2779" s="1"/>
      <c r="B2779" s="197" t="e">
        <f t="shared" ca="1" si="256"/>
        <v>#N/A</v>
      </c>
      <c r="C2779" s="498">
        <v>713</v>
      </c>
      <c r="D2779" s="41" t="e">
        <f>IF($C$1077&gt;0,VLOOKUP($C2779,ENTI!$AL$4:AN$1003,3,FALSE),"")</f>
        <v>#N/A</v>
      </c>
      <c r="E2779" s="41" t="str">
        <f t="shared" si="255"/>
        <v/>
      </c>
      <c r="F2779" s="200"/>
      <c r="G2779" s="178" t="e">
        <f>IF($C$1077&gt;0,VLOOKUP($C2779,ENTI!$AL$4:AP$1003,5,FALSE),"")</f>
        <v>#N/A</v>
      </c>
      <c r="H2779" s="179" t="e">
        <f>IF($C$1077&gt;0,VLOOKUP($C2779,ENTI!$AL$4:AQ$1003,6,FALSE),"")</f>
        <v>#N/A</v>
      </c>
      <c r="I2779" s="187"/>
      <c r="J2779" s="140" t="e">
        <f ca="1">VLOOKUP(D2779,$F$1081:$I$4183,4,FALSE)+COUNTIF(E$1081:E2778,E2779)</f>
        <v>#N/A</v>
      </c>
      <c r="K2779" s="1"/>
      <c r="L2779" s="156"/>
      <c r="M2779" s="1"/>
      <c r="N2779" s="1"/>
      <c r="O2779" s="1"/>
    </row>
    <row r="2780" spans="1:15" hidden="1">
      <c r="A2780" s="1"/>
      <c r="B2780" s="197" t="e">
        <f t="shared" ca="1" si="256"/>
        <v>#N/A</v>
      </c>
      <c r="C2780" s="498">
        <v>714</v>
      </c>
      <c r="D2780" s="41" t="e">
        <f>IF($C$1077&gt;0,VLOOKUP($C2780,ENTI!$AL$4:AN$1003,3,FALSE),"")</f>
        <v>#N/A</v>
      </c>
      <c r="E2780" s="41" t="str">
        <f t="shared" si="255"/>
        <v/>
      </c>
      <c r="F2780" s="200"/>
      <c r="G2780" s="178" t="e">
        <f>IF($C$1077&gt;0,VLOOKUP($C2780,ENTI!$AL$4:AP$1003,5,FALSE),"")</f>
        <v>#N/A</v>
      </c>
      <c r="H2780" s="179" t="e">
        <f>IF($C$1077&gt;0,VLOOKUP($C2780,ENTI!$AL$4:AQ$1003,6,FALSE),"")</f>
        <v>#N/A</v>
      </c>
      <c r="I2780" s="187"/>
      <c r="J2780" s="140" t="e">
        <f ca="1">VLOOKUP(D2780,$F$1081:$I$4183,4,FALSE)+COUNTIF(E$1081:E2779,E2780)</f>
        <v>#N/A</v>
      </c>
      <c r="K2780" s="1"/>
      <c r="L2780" s="156"/>
      <c r="M2780" s="1"/>
      <c r="N2780" s="1"/>
      <c r="O2780" s="1"/>
    </row>
    <row r="2781" spans="1:15" hidden="1">
      <c r="A2781" s="1"/>
      <c r="B2781" s="197" t="e">
        <f t="shared" ca="1" si="256"/>
        <v>#N/A</v>
      </c>
      <c r="C2781" s="498">
        <v>715</v>
      </c>
      <c r="D2781" s="41" t="e">
        <f>IF($C$1077&gt;0,VLOOKUP($C2781,ENTI!$AL$4:AN$1003,3,FALSE),"")</f>
        <v>#N/A</v>
      </c>
      <c r="E2781" s="41" t="str">
        <f t="shared" si="255"/>
        <v/>
      </c>
      <c r="F2781" s="200"/>
      <c r="G2781" s="178" t="e">
        <f>IF($C$1077&gt;0,VLOOKUP($C2781,ENTI!$AL$4:AP$1003,5,FALSE),"")</f>
        <v>#N/A</v>
      </c>
      <c r="H2781" s="179" t="e">
        <f>IF($C$1077&gt;0,VLOOKUP($C2781,ENTI!$AL$4:AQ$1003,6,FALSE),"")</f>
        <v>#N/A</v>
      </c>
      <c r="I2781" s="187"/>
      <c r="J2781" s="140" t="e">
        <f ca="1">VLOOKUP(D2781,$F$1081:$I$4183,4,FALSE)+COUNTIF(E$1081:E2780,E2781)</f>
        <v>#N/A</v>
      </c>
      <c r="K2781" s="1"/>
      <c r="L2781" s="156"/>
      <c r="M2781" s="1"/>
      <c r="N2781" s="1"/>
      <c r="O2781" s="1"/>
    </row>
    <row r="2782" spans="1:15" hidden="1">
      <c r="A2782" s="1"/>
      <c r="B2782" s="197" t="e">
        <f t="shared" ca="1" si="256"/>
        <v>#N/A</v>
      </c>
      <c r="C2782" s="498">
        <v>716</v>
      </c>
      <c r="D2782" s="41" t="e">
        <f>IF($C$1077&gt;0,VLOOKUP($C2782,ENTI!$AL$4:AN$1003,3,FALSE),"")</f>
        <v>#N/A</v>
      </c>
      <c r="E2782" s="41" t="str">
        <f t="shared" si="255"/>
        <v/>
      </c>
      <c r="F2782" s="200"/>
      <c r="G2782" s="178" t="e">
        <f>IF($C$1077&gt;0,VLOOKUP($C2782,ENTI!$AL$4:AP$1003,5,FALSE),"")</f>
        <v>#N/A</v>
      </c>
      <c r="H2782" s="179" t="e">
        <f>IF($C$1077&gt;0,VLOOKUP($C2782,ENTI!$AL$4:AQ$1003,6,FALSE),"")</f>
        <v>#N/A</v>
      </c>
      <c r="I2782" s="187"/>
      <c r="J2782" s="140" t="e">
        <f ca="1">VLOOKUP(D2782,$F$1081:$I$4183,4,FALSE)+COUNTIF(E$1081:E2781,E2782)</f>
        <v>#N/A</v>
      </c>
      <c r="K2782" s="1"/>
      <c r="L2782" s="156"/>
      <c r="M2782" s="1"/>
      <c r="N2782" s="1"/>
      <c r="O2782" s="1"/>
    </row>
    <row r="2783" spans="1:15" hidden="1">
      <c r="A2783" s="1"/>
      <c r="B2783" s="197" t="e">
        <f t="shared" ca="1" si="256"/>
        <v>#N/A</v>
      </c>
      <c r="C2783" s="498">
        <v>717</v>
      </c>
      <c r="D2783" s="41" t="e">
        <f>IF($C$1077&gt;0,VLOOKUP($C2783,ENTI!$AL$4:AN$1003,3,FALSE),"")</f>
        <v>#N/A</v>
      </c>
      <c r="E2783" s="41" t="str">
        <f t="shared" si="255"/>
        <v/>
      </c>
      <c r="F2783" s="200"/>
      <c r="G2783" s="178" t="e">
        <f>IF($C$1077&gt;0,VLOOKUP($C2783,ENTI!$AL$4:AP$1003,5,FALSE),"")</f>
        <v>#N/A</v>
      </c>
      <c r="H2783" s="179" t="e">
        <f>IF($C$1077&gt;0,VLOOKUP($C2783,ENTI!$AL$4:AQ$1003,6,FALSE),"")</f>
        <v>#N/A</v>
      </c>
      <c r="I2783" s="187"/>
      <c r="J2783" s="140" t="e">
        <f ca="1">VLOOKUP(D2783,$F$1081:$I$4183,4,FALSE)+COUNTIF(E$1081:E2782,E2783)</f>
        <v>#N/A</v>
      </c>
      <c r="K2783" s="1"/>
      <c r="L2783" s="156"/>
      <c r="M2783" s="1"/>
      <c r="N2783" s="1"/>
      <c r="O2783" s="1"/>
    </row>
    <row r="2784" spans="1:15" hidden="1">
      <c r="A2784" s="1"/>
      <c r="B2784" s="197" t="e">
        <f t="shared" ca="1" si="256"/>
        <v>#N/A</v>
      </c>
      <c r="C2784" s="498">
        <v>718</v>
      </c>
      <c r="D2784" s="41" t="e">
        <f>IF($C$1077&gt;0,VLOOKUP($C2784,ENTI!$AL$4:AN$1003,3,FALSE),"")</f>
        <v>#N/A</v>
      </c>
      <c r="E2784" s="41" t="str">
        <f t="shared" si="255"/>
        <v/>
      </c>
      <c r="F2784" s="200"/>
      <c r="G2784" s="178" t="e">
        <f>IF($C$1077&gt;0,VLOOKUP($C2784,ENTI!$AL$4:AP$1003,5,FALSE),"")</f>
        <v>#N/A</v>
      </c>
      <c r="H2784" s="179" t="e">
        <f>IF($C$1077&gt;0,VLOOKUP($C2784,ENTI!$AL$4:AQ$1003,6,FALSE),"")</f>
        <v>#N/A</v>
      </c>
      <c r="I2784" s="187"/>
      <c r="J2784" s="140" t="e">
        <f ca="1">VLOOKUP(D2784,$F$1081:$I$4183,4,FALSE)+COUNTIF(E$1081:E2783,E2784)</f>
        <v>#N/A</v>
      </c>
      <c r="K2784" s="1"/>
      <c r="L2784" s="156"/>
      <c r="M2784" s="1"/>
      <c r="N2784" s="1"/>
      <c r="O2784" s="1"/>
    </row>
    <row r="2785" spans="1:15" hidden="1">
      <c r="A2785" s="1"/>
      <c r="B2785" s="197" t="e">
        <f t="shared" ca="1" si="256"/>
        <v>#N/A</v>
      </c>
      <c r="C2785" s="498">
        <v>719</v>
      </c>
      <c r="D2785" s="41" t="e">
        <f>IF($C$1077&gt;0,VLOOKUP($C2785,ENTI!$AL$4:AN$1003,3,FALSE),"")</f>
        <v>#N/A</v>
      </c>
      <c r="E2785" s="41" t="str">
        <f t="shared" si="255"/>
        <v/>
      </c>
      <c r="F2785" s="200"/>
      <c r="G2785" s="178" t="e">
        <f>IF($C$1077&gt;0,VLOOKUP($C2785,ENTI!$AL$4:AP$1003,5,FALSE),"")</f>
        <v>#N/A</v>
      </c>
      <c r="H2785" s="179" t="e">
        <f>IF($C$1077&gt;0,VLOOKUP($C2785,ENTI!$AL$4:AQ$1003,6,FALSE),"")</f>
        <v>#N/A</v>
      </c>
      <c r="I2785" s="187"/>
      <c r="J2785" s="140" t="e">
        <f ca="1">VLOOKUP(D2785,$F$1081:$I$4183,4,FALSE)+COUNTIF(E$1081:E2784,E2785)</f>
        <v>#N/A</v>
      </c>
      <c r="K2785" s="1"/>
      <c r="L2785" s="156"/>
      <c r="M2785" s="1"/>
      <c r="N2785" s="1"/>
      <c r="O2785" s="1"/>
    </row>
    <row r="2786" spans="1:15" hidden="1">
      <c r="A2786" s="1"/>
      <c r="B2786" s="197" t="e">
        <f t="shared" ca="1" si="256"/>
        <v>#N/A</v>
      </c>
      <c r="C2786" s="498">
        <v>720</v>
      </c>
      <c r="D2786" s="41" t="e">
        <f>IF($C$1077&gt;0,VLOOKUP($C2786,ENTI!$AL$4:AN$1003,3,FALSE),"")</f>
        <v>#N/A</v>
      </c>
      <c r="E2786" s="41" t="str">
        <f t="shared" si="255"/>
        <v/>
      </c>
      <c r="F2786" s="200"/>
      <c r="G2786" s="178" t="e">
        <f>IF($C$1077&gt;0,VLOOKUP($C2786,ENTI!$AL$4:AP$1003,5,FALSE),"")</f>
        <v>#N/A</v>
      </c>
      <c r="H2786" s="179" t="e">
        <f>IF($C$1077&gt;0,VLOOKUP($C2786,ENTI!$AL$4:AQ$1003,6,FALSE),"")</f>
        <v>#N/A</v>
      </c>
      <c r="I2786" s="187"/>
      <c r="J2786" s="140" t="e">
        <f ca="1">VLOOKUP(D2786,$F$1081:$I$4183,4,FALSE)+COUNTIF(E$1081:E2785,E2786)</f>
        <v>#N/A</v>
      </c>
      <c r="K2786" s="1"/>
      <c r="L2786" s="156"/>
      <c r="M2786" s="1"/>
      <c r="N2786" s="1"/>
      <c r="O2786" s="1"/>
    </row>
    <row r="2787" spans="1:15" hidden="1">
      <c r="A2787" s="1"/>
      <c r="B2787" s="197" t="e">
        <f t="shared" ca="1" si="256"/>
        <v>#N/A</v>
      </c>
      <c r="C2787" s="498">
        <v>721</v>
      </c>
      <c r="D2787" s="41" t="e">
        <f>IF($C$1077&gt;0,VLOOKUP($C2787,ENTI!$AL$4:AN$1003,3,FALSE),"")</f>
        <v>#N/A</v>
      </c>
      <c r="E2787" s="41" t="str">
        <f t="shared" si="255"/>
        <v/>
      </c>
      <c r="F2787" s="200"/>
      <c r="G2787" s="178" t="e">
        <f>IF($C$1077&gt;0,VLOOKUP($C2787,ENTI!$AL$4:AP$1003,5,FALSE),"")</f>
        <v>#N/A</v>
      </c>
      <c r="H2787" s="179" t="e">
        <f>IF($C$1077&gt;0,VLOOKUP($C2787,ENTI!$AL$4:AQ$1003,6,FALSE),"")</f>
        <v>#N/A</v>
      </c>
      <c r="I2787" s="187"/>
      <c r="J2787" s="140" t="e">
        <f ca="1">VLOOKUP(D2787,$F$1081:$I$4183,4,FALSE)+COUNTIF(E$1081:E2786,E2787)</f>
        <v>#N/A</v>
      </c>
      <c r="K2787" s="1"/>
      <c r="L2787" s="156"/>
      <c r="M2787" s="1"/>
      <c r="N2787" s="1"/>
      <c r="O2787" s="1"/>
    </row>
    <row r="2788" spans="1:15" hidden="1">
      <c r="A2788" s="1"/>
      <c r="B2788" s="197" t="e">
        <f t="shared" ca="1" si="256"/>
        <v>#N/A</v>
      </c>
      <c r="C2788" s="498">
        <v>722</v>
      </c>
      <c r="D2788" s="41" t="e">
        <f>IF($C$1077&gt;0,VLOOKUP($C2788,ENTI!$AL$4:AN$1003,3,FALSE),"")</f>
        <v>#N/A</v>
      </c>
      <c r="E2788" s="41" t="str">
        <f t="shared" si="255"/>
        <v/>
      </c>
      <c r="F2788" s="200"/>
      <c r="G2788" s="178" t="e">
        <f>IF($C$1077&gt;0,VLOOKUP($C2788,ENTI!$AL$4:AP$1003,5,FALSE),"")</f>
        <v>#N/A</v>
      </c>
      <c r="H2788" s="179" t="e">
        <f>IF($C$1077&gt;0,VLOOKUP($C2788,ENTI!$AL$4:AQ$1003,6,FALSE),"")</f>
        <v>#N/A</v>
      </c>
      <c r="I2788" s="187"/>
      <c r="J2788" s="140" t="e">
        <f ca="1">VLOOKUP(D2788,$F$1081:$I$4183,4,FALSE)+COUNTIF(E$1081:E2787,E2788)</f>
        <v>#N/A</v>
      </c>
      <c r="K2788" s="1"/>
      <c r="L2788" s="156"/>
      <c r="M2788" s="1"/>
      <c r="N2788" s="1"/>
      <c r="O2788" s="1"/>
    </row>
    <row r="2789" spans="1:15" hidden="1">
      <c r="A2789" s="1"/>
      <c r="B2789" s="197" t="e">
        <f t="shared" ca="1" si="256"/>
        <v>#N/A</v>
      </c>
      <c r="C2789" s="498">
        <v>723</v>
      </c>
      <c r="D2789" s="41" t="e">
        <f>IF($C$1077&gt;0,VLOOKUP($C2789,ENTI!$AL$4:AN$1003,3,FALSE),"")</f>
        <v>#N/A</v>
      </c>
      <c r="E2789" s="41" t="str">
        <f t="shared" si="255"/>
        <v/>
      </c>
      <c r="F2789" s="200"/>
      <c r="G2789" s="178" t="e">
        <f>IF($C$1077&gt;0,VLOOKUP($C2789,ENTI!$AL$4:AP$1003,5,FALSE),"")</f>
        <v>#N/A</v>
      </c>
      <c r="H2789" s="179" t="e">
        <f>IF($C$1077&gt;0,VLOOKUP($C2789,ENTI!$AL$4:AQ$1003,6,FALSE),"")</f>
        <v>#N/A</v>
      </c>
      <c r="I2789" s="187"/>
      <c r="J2789" s="140" t="e">
        <f ca="1">VLOOKUP(D2789,$F$1081:$I$4183,4,FALSE)+COUNTIF(E$1081:E2788,E2789)</f>
        <v>#N/A</v>
      </c>
      <c r="K2789" s="1"/>
      <c r="L2789" s="156"/>
      <c r="M2789" s="1"/>
      <c r="N2789" s="1"/>
      <c r="O2789" s="1"/>
    </row>
    <row r="2790" spans="1:15" hidden="1">
      <c r="A2790" s="1"/>
      <c r="B2790" s="197" t="e">
        <f t="shared" ca="1" si="256"/>
        <v>#N/A</v>
      </c>
      <c r="C2790" s="498">
        <v>724</v>
      </c>
      <c r="D2790" s="41" t="e">
        <f>IF($C$1077&gt;0,VLOOKUP($C2790,ENTI!$AL$4:AN$1003,3,FALSE),"")</f>
        <v>#N/A</v>
      </c>
      <c r="E2790" s="41" t="str">
        <f t="shared" si="255"/>
        <v/>
      </c>
      <c r="F2790" s="200"/>
      <c r="G2790" s="178" t="e">
        <f>IF($C$1077&gt;0,VLOOKUP($C2790,ENTI!$AL$4:AP$1003,5,FALSE),"")</f>
        <v>#N/A</v>
      </c>
      <c r="H2790" s="179" t="e">
        <f>IF($C$1077&gt;0,VLOOKUP($C2790,ENTI!$AL$4:AQ$1003,6,FALSE),"")</f>
        <v>#N/A</v>
      </c>
      <c r="I2790" s="187"/>
      <c r="J2790" s="140" t="e">
        <f ca="1">VLOOKUP(D2790,$F$1081:$I$4183,4,FALSE)+COUNTIF(E$1081:E2789,E2790)</f>
        <v>#N/A</v>
      </c>
      <c r="K2790" s="1"/>
      <c r="L2790" s="156"/>
      <c r="M2790" s="1"/>
      <c r="N2790" s="1"/>
      <c r="O2790" s="1"/>
    </row>
    <row r="2791" spans="1:15" hidden="1">
      <c r="A2791" s="1"/>
      <c r="B2791" s="197" t="e">
        <f t="shared" ca="1" si="256"/>
        <v>#N/A</v>
      </c>
      <c r="C2791" s="498">
        <v>725</v>
      </c>
      <c r="D2791" s="41" t="e">
        <f>IF($C$1077&gt;0,VLOOKUP($C2791,ENTI!$AL$4:AN$1003,3,FALSE),"")</f>
        <v>#N/A</v>
      </c>
      <c r="E2791" s="41" t="str">
        <f t="shared" si="255"/>
        <v/>
      </c>
      <c r="F2791" s="200"/>
      <c r="G2791" s="178" t="e">
        <f>IF($C$1077&gt;0,VLOOKUP($C2791,ENTI!$AL$4:AP$1003,5,FALSE),"")</f>
        <v>#N/A</v>
      </c>
      <c r="H2791" s="179" t="e">
        <f>IF($C$1077&gt;0,VLOOKUP($C2791,ENTI!$AL$4:AQ$1003,6,FALSE),"")</f>
        <v>#N/A</v>
      </c>
      <c r="I2791" s="187"/>
      <c r="J2791" s="140" t="e">
        <f ca="1">VLOOKUP(D2791,$F$1081:$I$4183,4,FALSE)+COUNTIF(E$1081:E2790,E2791)</f>
        <v>#N/A</v>
      </c>
      <c r="K2791" s="1"/>
      <c r="L2791" s="156"/>
      <c r="M2791" s="1"/>
      <c r="N2791" s="1"/>
      <c r="O2791" s="1"/>
    </row>
    <row r="2792" spans="1:15" hidden="1">
      <c r="A2792" s="1"/>
      <c r="B2792" s="197" t="e">
        <f t="shared" ca="1" si="256"/>
        <v>#N/A</v>
      </c>
      <c r="C2792" s="498">
        <v>726</v>
      </c>
      <c r="D2792" s="41" t="e">
        <f>IF($C$1077&gt;0,VLOOKUP($C2792,ENTI!$AL$4:AN$1003,3,FALSE),"")</f>
        <v>#N/A</v>
      </c>
      <c r="E2792" s="41" t="str">
        <f t="shared" si="255"/>
        <v/>
      </c>
      <c r="F2792" s="200"/>
      <c r="G2792" s="178" t="e">
        <f>IF($C$1077&gt;0,VLOOKUP($C2792,ENTI!$AL$4:AP$1003,5,FALSE),"")</f>
        <v>#N/A</v>
      </c>
      <c r="H2792" s="179" t="e">
        <f>IF($C$1077&gt;0,VLOOKUP($C2792,ENTI!$AL$4:AQ$1003,6,FALSE),"")</f>
        <v>#N/A</v>
      </c>
      <c r="I2792" s="187"/>
      <c r="J2792" s="140" t="e">
        <f ca="1">VLOOKUP(D2792,$F$1081:$I$4183,4,FALSE)+COUNTIF(E$1081:E2791,E2792)</f>
        <v>#N/A</v>
      </c>
      <c r="K2792" s="1"/>
      <c r="L2792" s="156"/>
      <c r="M2792" s="1"/>
      <c r="N2792" s="1"/>
      <c r="O2792" s="1"/>
    </row>
    <row r="2793" spans="1:15" hidden="1">
      <c r="A2793" s="1"/>
      <c r="B2793" s="197" t="e">
        <f t="shared" ca="1" si="256"/>
        <v>#N/A</v>
      </c>
      <c r="C2793" s="498">
        <v>727</v>
      </c>
      <c r="D2793" s="41" t="e">
        <f>IF($C$1077&gt;0,VLOOKUP($C2793,ENTI!$AL$4:AN$1003,3,FALSE),"")</f>
        <v>#N/A</v>
      </c>
      <c r="E2793" s="41" t="str">
        <f t="shared" si="255"/>
        <v/>
      </c>
      <c r="F2793" s="200"/>
      <c r="G2793" s="178" t="e">
        <f>IF($C$1077&gt;0,VLOOKUP($C2793,ENTI!$AL$4:AP$1003,5,FALSE),"")</f>
        <v>#N/A</v>
      </c>
      <c r="H2793" s="179" t="e">
        <f>IF($C$1077&gt;0,VLOOKUP($C2793,ENTI!$AL$4:AQ$1003,6,FALSE),"")</f>
        <v>#N/A</v>
      </c>
      <c r="I2793" s="187"/>
      <c r="J2793" s="140" t="e">
        <f ca="1">VLOOKUP(D2793,$F$1081:$I$4183,4,FALSE)+COUNTIF(E$1081:E2792,E2793)</f>
        <v>#N/A</v>
      </c>
      <c r="K2793" s="1"/>
      <c r="L2793" s="156"/>
      <c r="M2793" s="1"/>
      <c r="N2793" s="1"/>
      <c r="O2793" s="1"/>
    </row>
    <row r="2794" spans="1:15" hidden="1">
      <c r="A2794" s="1"/>
      <c r="B2794" s="197" t="e">
        <f t="shared" ca="1" si="256"/>
        <v>#N/A</v>
      </c>
      <c r="C2794" s="498">
        <v>728</v>
      </c>
      <c r="D2794" s="41" t="e">
        <f>IF($C$1077&gt;0,VLOOKUP($C2794,ENTI!$AL$4:AN$1003,3,FALSE),"")</f>
        <v>#N/A</v>
      </c>
      <c r="E2794" s="41" t="str">
        <f t="shared" si="255"/>
        <v/>
      </c>
      <c r="F2794" s="200"/>
      <c r="G2794" s="178" t="e">
        <f>IF($C$1077&gt;0,VLOOKUP($C2794,ENTI!$AL$4:AP$1003,5,FALSE),"")</f>
        <v>#N/A</v>
      </c>
      <c r="H2794" s="179" t="e">
        <f>IF($C$1077&gt;0,VLOOKUP($C2794,ENTI!$AL$4:AQ$1003,6,FALSE),"")</f>
        <v>#N/A</v>
      </c>
      <c r="I2794" s="187"/>
      <c r="J2794" s="140" t="e">
        <f ca="1">VLOOKUP(D2794,$F$1081:$I$4183,4,FALSE)+COUNTIF(E$1081:E2793,E2794)</f>
        <v>#N/A</v>
      </c>
      <c r="K2794" s="1"/>
      <c r="L2794" s="156"/>
      <c r="M2794" s="1"/>
      <c r="N2794" s="1"/>
      <c r="O2794" s="1"/>
    </row>
    <row r="2795" spans="1:15" hidden="1">
      <c r="A2795" s="1"/>
      <c r="B2795" s="197" t="e">
        <f t="shared" ca="1" si="256"/>
        <v>#N/A</v>
      </c>
      <c r="C2795" s="498">
        <v>729</v>
      </c>
      <c r="D2795" s="41" t="e">
        <f>IF($C$1077&gt;0,VLOOKUP($C2795,ENTI!$AL$4:AN$1003,3,FALSE),"")</f>
        <v>#N/A</v>
      </c>
      <c r="E2795" s="41" t="str">
        <f t="shared" si="255"/>
        <v/>
      </c>
      <c r="F2795" s="200"/>
      <c r="G2795" s="178" t="e">
        <f>IF($C$1077&gt;0,VLOOKUP($C2795,ENTI!$AL$4:AP$1003,5,FALSE),"")</f>
        <v>#N/A</v>
      </c>
      <c r="H2795" s="179" t="e">
        <f>IF($C$1077&gt;0,VLOOKUP($C2795,ENTI!$AL$4:AQ$1003,6,FALSE),"")</f>
        <v>#N/A</v>
      </c>
      <c r="I2795" s="187"/>
      <c r="J2795" s="140" t="e">
        <f ca="1">VLOOKUP(D2795,$F$1081:$I$4183,4,FALSE)+COUNTIF(E$1081:E2794,E2795)</f>
        <v>#N/A</v>
      </c>
      <c r="K2795" s="1"/>
      <c r="L2795" s="156"/>
      <c r="M2795" s="1"/>
      <c r="N2795" s="1"/>
      <c r="O2795" s="1"/>
    </row>
    <row r="2796" spans="1:15" hidden="1">
      <c r="A2796" s="1"/>
      <c r="B2796" s="197" t="e">
        <f t="shared" ca="1" si="256"/>
        <v>#N/A</v>
      </c>
      <c r="C2796" s="498">
        <v>730</v>
      </c>
      <c r="D2796" s="41" t="e">
        <f>IF($C$1077&gt;0,VLOOKUP($C2796,ENTI!$AL$4:AN$1003,3,FALSE),"")</f>
        <v>#N/A</v>
      </c>
      <c r="E2796" s="41" t="str">
        <f t="shared" si="255"/>
        <v/>
      </c>
      <c r="F2796" s="200"/>
      <c r="G2796" s="178" t="e">
        <f>IF($C$1077&gt;0,VLOOKUP($C2796,ENTI!$AL$4:AP$1003,5,FALSE),"")</f>
        <v>#N/A</v>
      </c>
      <c r="H2796" s="179" t="e">
        <f>IF($C$1077&gt;0,VLOOKUP($C2796,ENTI!$AL$4:AQ$1003,6,FALSE),"")</f>
        <v>#N/A</v>
      </c>
      <c r="I2796" s="187"/>
      <c r="J2796" s="140" t="e">
        <f ca="1">VLOOKUP(D2796,$F$1081:$I$4183,4,FALSE)+COUNTIF(E$1081:E2795,E2796)</f>
        <v>#N/A</v>
      </c>
      <c r="K2796" s="1"/>
      <c r="L2796" s="156"/>
      <c r="M2796" s="1"/>
      <c r="N2796" s="1"/>
      <c r="O2796" s="1"/>
    </row>
    <row r="2797" spans="1:15" hidden="1">
      <c r="A2797" s="1"/>
      <c r="B2797" s="197" t="e">
        <f t="shared" ca="1" si="256"/>
        <v>#N/A</v>
      </c>
      <c r="C2797" s="498">
        <v>731</v>
      </c>
      <c r="D2797" s="41" t="e">
        <f>IF($C$1077&gt;0,VLOOKUP($C2797,ENTI!$AL$4:AN$1003,3,FALSE),"")</f>
        <v>#N/A</v>
      </c>
      <c r="E2797" s="41" t="str">
        <f t="shared" si="255"/>
        <v/>
      </c>
      <c r="F2797" s="200"/>
      <c r="G2797" s="178" t="e">
        <f>IF($C$1077&gt;0,VLOOKUP($C2797,ENTI!$AL$4:AP$1003,5,FALSE),"")</f>
        <v>#N/A</v>
      </c>
      <c r="H2797" s="179" t="e">
        <f>IF($C$1077&gt;0,VLOOKUP($C2797,ENTI!$AL$4:AQ$1003,6,FALSE),"")</f>
        <v>#N/A</v>
      </c>
      <c r="I2797" s="187"/>
      <c r="J2797" s="140" t="e">
        <f ca="1">VLOOKUP(D2797,$F$1081:$I$4183,4,FALSE)+COUNTIF(E$1081:E2796,E2797)</f>
        <v>#N/A</v>
      </c>
      <c r="K2797" s="1"/>
      <c r="L2797" s="156"/>
      <c r="M2797" s="1"/>
      <c r="N2797" s="1"/>
      <c r="O2797" s="1"/>
    </row>
    <row r="2798" spans="1:15" hidden="1">
      <c r="A2798" s="1"/>
      <c r="B2798" s="197" t="e">
        <f t="shared" ca="1" si="256"/>
        <v>#N/A</v>
      </c>
      <c r="C2798" s="498">
        <v>732</v>
      </c>
      <c r="D2798" s="41" t="e">
        <f>IF($C$1077&gt;0,VLOOKUP($C2798,ENTI!$AL$4:AN$1003,3,FALSE),"")</f>
        <v>#N/A</v>
      </c>
      <c r="E2798" s="41" t="str">
        <f t="shared" si="255"/>
        <v/>
      </c>
      <c r="F2798" s="200"/>
      <c r="G2798" s="178" t="e">
        <f>IF($C$1077&gt;0,VLOOKUP($C2798,ENTI!$AL$4:AP$1003,5,FALSE),"")</f>
        <v>#N/A</v>
      </c>
      <c r="H2798" s="179" t="e">
        <f>IF($C$1077&gt;0,VLOOKUP($C2798,ENTI!$AL$4:AQ$1003,6,FALSE),"")</f>
        <v>#N/A</v>
      </c>
      <c r="I2798" s="187"/>
      <c r="J2798" s="140" t="e">
        <f ca="1">VLOOKUP(D2798,$F$1081:$I$4183,4,FALSE)+COUNTIF(E$1081:E2797,E2798)</f>
        <v>#N/A</v>
      </c>
      <c r="K2798" s="1"/>
      <c r="L2798" s="156"/>
      <c r="M2798" s="1"/>
      <c r="N2798" s="1"/>
      <c r="O2798" s="1"/>
    </row>
    <row r="2799" spans="1:15" hidden="1">
      <c r="A2799" s="1"/>
      <c r="B2799" s="197" t="e">
        <f t="shared" ca="1" si="256"/>
        <v>#N/A</v>
      </c>
      <c r="C2799" s="498">
        <v>733</v>
      </c>
      <c r="D2799" s="41" t="e">
        <f>IF($C$1077&gt;0,VLOOKUP($C2799,ENTI!$AL$4:AN$1003,3,FALSE),"")</f>
        <v>#N/A</v>
      </c>
      <c r="E2799" s="41" t="str">
        <f t="shared" si="255"/>
        <v/>
      </c>
      <c r="F2799" s="200"/>
      <c r="G2799" s="178" t="e">
        <f>IF($C$1077&gt;0,VLOOKUP($C2799,ENTI!$AL$4:AP$1003,5,FALSE),"")</f>
        <v>#N/A</v>
      </c>
      <c r="H2799" s="179" t="e">
        <f>IF($C$1077&gt;0,VLOOKUP($C2799,ENTI!$AL$4:AQ$1003,6,FALSE),"")</f>
        <v>#N/A</v>
      </c>
      <c r="I2799" s="187"/>
      <c r="J2799" s="140" t="e">
        <f ca="1">VLOOKUP(D2799,$F$1081:$I$4183,4,FALSE)+COUNTIF(E$1081:E2798,E2799)</f>
        <v>#N/A</v>
      </c>
      <c r="K2799" s="1"/>
      <c r="L2799" s="156"/>
      <c r="M2799" s="1"/>
      <c r="N2799" s="1"/>
      <c r="O2799" s="1"/>
    </row>
    <row r="2800" spans="1:15" hidden="1">
      <c r="A2800" s="1"/>
      <c r="B2800" s="197" t="e">
        <f t="shared" ca="1" si="256"/>
        <v>#N/A</v>
      </c>
      <c r="C2800" s="498">
        <v>734</v>
      </c>
      <c r="D2800" s="41" t="e">
        <f>IF($C$1077&gt;0,VLOOKUP($C2800,ENTI!$AL$4:AN$1003,3,FALSE),"")</f>
        <v>#N/A</v>
      </c>
      <c r="E2800" s="41" t="str">
        <f t="shared" si="255"/>
        <v/>
      </c>
      <c r="F2800" s="200"/>
      <c r="G2800" s="178" t="e">
        <f>IF($C$1077&gt;0,VLOOKUP($C2800,ENTI!$AL$4:AP$1003,5,FALSE),"")</f>
        <v>#N/A</v>
      </c>
      <c r="H2800" s="179" t="e">
        <f>IF($C$1077&gt;0,VLOOKUP($C2800,ENTI!$AL$4:AQ$1003,6,FALSE),"")</f>
        <v>#N/A</v>
      </c>
      <c r="I2800" s="187"/>
      <c r="J2800" s="140" t="e">
        <f ca="1">VLOOKUP(D2800,$F$1081:$I$4183,4,FALSE)+COUNTIF(E$1081:E2799,E2800)</f>
        <v>#N/A</v>
      </c>
      <c r="K2800" s="1"/>
      <c r="L2800" s="156"/>
      <c r="M2800" s="1"/>
      <c r="N2800" s="1"/>
      <c r="O2800" s="1"/>
    </row>
    <row r="2801" spans="1:15" hidden="1">
      <c r="A2801" s="1"/>
      <c r="B2801" s="197" t="e">
        <f t="shared" ca="1" si="256"/>
        <v>#N/A</v>
      </c>
      <c r="C2801" s="498">
        <v>735</v>
      </c>
      <c r="D2801" s="41" t="e">
        <f>IF($C$1077&gt;0,VLOOKUP($C2801,ENTI!$AL$4:AN$1003,3,FALSE),"")</f>
        <v>#N/A</v>
      </c>
      <c r="E2801" s="41" t="str">
        <f t="shared" si="255"/>
        <v/>
      </c>
      <c r="F2801" s="200"/>
      <c r="G2801" s="178" t="e">
        <f>IF($C$1077&gt;0,VLOOKUP($C2801,ENTI!$AL$4:AP$1003,5,FALSE),"")</f>
        <v>#N/A</v>
      </c>
      <c r="H2801" s="179" t="e">
        <f>IF($C$1077&gt;0,VLOOKUP($C2801,ENTI!$AL$4:AQ$1003,6,FALSE),"")</f>
        <v>#N/A</v>
      </c>
      <c r="I2801" s="187"/>
      <c r="J2801" s="140" t="e">
        <f ca="1">VLOOKUP(D2801,$F$1081:$I$4183,4,FALSE)+COUNTIF(E$1081:E2800,E2801)</f>
        <v>#N/A</v>
      </c>
      <c r="K2801" s="1"/>
      <c r="L2801" s="156"/>
      <c r="M2801" s="1"/>
      <c r="N2801" s="1"/>
      <c r="O2801" s="1"/>
    </row>
    <row r="2802" spans="1:15" hidden="1">
      <c r="A2802" s="1"/>
      <c r="B2802" s="197" t="e">
        <f t="shared" ca="1" si="256"/>
        <v>#N/A</v>
      </c>
      <c r="C2802" s="498">
        <v>736</v>
      </c>
      <c r="D2802" s="41" t="e">
        <f>IF($C$1077&gt;0,VLOOKUP($C2802,ENTI!$AL$4:AN$1003,3,FALSE),"")</f>
        <v>#N/A</v>
      </c>
      <c r="E2802" s="41" t="str">
        <f t="shared" si="255"/>
        <v/>
      </c>
      <c r="F2802" s="200"/>
      <c r="G2802" s="178" t="e">
        <f>IF($C$1077&gt;0,VLOOKUP($C2802,ENTI!$AL$4:AP$1003,5,FALSE),"")</f>
        <v>#N/A</v>
      </c>
      <c r="H2802" s="179" t="e">
        <f>IF($C$1077&gt;0,VLOOKUP($C2802,ENTI!$AL$4:AQ$1003,6,FALSE),"")</f>
        <v>#N/A</v>
      </c>
      <c r="I2802" s="187"/>
      <c r="J2802" s="140" t="e">
        <f ca="1">VLOOKUP(D2802,$F$1081:$I$4183,4,FALSE)+COUNTIF(E$1081:E2801,E2802)</f>
        <v>#N/A</v>
      </c>
      <c r="K2802" s="1"/>
      <c r="L2802" s="156"/>
      <c r="M2802" s="1"/>
      <c r="N2802" s="1"/>
      <c r="O2802" s="1"/>
    </row>
    <row r="2803" spans="1:15" hidden="1">
      <c r="A2803" s="1"/>
      <c r="B2803" s="197" t="e">
        <f t="shared" ca="1" si="256"/>
        <v>#N/A</v>
      </c>
      <c r="C2803" s="498">
        <v>737</v>
      </c>
      <c r="D2803" s="41" t="e">
        <f>IF($C$1077&gt;0,VLOOKUP($C2803,ENTI!$AL$4:AN$1003,3,FALSE),"")</f>
        <v>#N/A</v>
      </c>
      <c r="E2803" s="41" t="str">
        <f t="shared" si="255"/>
        <v/>
      </c>
      <c r="F2803" s="200"/>
      <c r="G2803" s="178" t="e">
        <f>IF($C$1077&gt;0,VLOOKUP($C2803,ENTI!$AL$4:AP$1003,5,FALSE),"")</f>
        <v>#N/A</v>
      </c>
      <c r="H2803" s="179" t="e">
        <f>IF($C$1077&gt;0,VLOOKUP($C2803,ENTI!$AL$4:AQ$1003,6,FALSE),"")</f>
        <v>#N/A</v>
      </c>
      <c r="I2803" s="187"/>
      <c r="J2803" s="140" t="e">
        <f ca="1">VLOOKUP(D2803,$F$1081:$I$4183,4,FALSE)+COUNTIF(E$1081:E2802,E2803)</f>
        <v>#N/A</v>
      </c>
      <c r="K2803" s="1"/>
      <c r="L2803" s="156"/>
      <c r="M2803" s="1"/>
      <c r="N2803" s="1"/>
      <c r="O2803" s="1"/>
    </row>
    <row r="2804" spans="1:15" hidden="1">
      <c r="A2804" s="1"/>
      <c r="B2804" s="197" t="e">
        <f t="shared" ca="1" si="256"/>
        <v>#N/A</v>
      </c>
      <c r="C2804" s="498">
        <v>738</v>
      </c>
      <c r="D2804" s="41" t="e">
        <f>IF($C$1077&gt;0,VLOOKUP($C2804,ENTI!$AL$4:AN$1003,3,FALSE),"")</f>
        <v>#N/A</v>
      </c>
      <c r="E2804" s="41" t="str">
        <f t="shared" si="255"/>
        <v/>
      </c>
      <c r="F2804" s="200"/>
      <c r="G2804" s="178" t="e">
        <f>IF($C$1077&gt;0,VLOOKUP($C2804,ENTI!$AL$4:AP$1003,5,FALSE),"")</f>
        <v>#N/A</v>
      </c>
      <c r="H2804" s="179" t="e">
        <f>IF($C$1077&gt;0,VLOOKUP($C2804,ENTI!$AL$4:AQ$1003,6,FALSE),"")</f>
        <v>#N/A</v>
      </c>
      <c r="I2804" s="187"/>
      <c r="J2804" s="140" t="e">
        <f ca="1">VLOOKUP(D2804,$F$1081:$I$4183,4,FALSE)+COUNTIF(E$1081:E2803,E2804)</f>
        <v>#N/A</v>
      </c>
      <c r="K2804" s="1"/>
      <c r="L2804" s="156"/>
      <c r="M2804" s="1"/>
      <c r="N2804" s="1"/>
      <c r="O2804" s="1"/>
    </row>
    <row r="2805" spans="1:15" hidden="1">
      <c r="A2805" s="1"/>
      <c r="B2805" s="197" t="e">
        <f t="shared" ca="1" si="256"/>
        <v>#N/A</v>
      </c>
      <c r="C2805" s="498">
        <v>739</v>
      </c>
      <c r="D2805" s="41" t="e">
        <f>IF($C$1077&gt;0,VLOOKUP($C2805,ENTI!$AL$4:AN$1003,3,FALSE),"")</f>
        <v>#N/A</v>
      </c>
      <c r="E2805" s="41" t="str">
        <f t="shared" si="255"/>
        <v/>
      </c>
      <c r="F2805" s="200"/>
      <c r="G2805" s="178" t="e">
        <f>IF($C$1077&gt;0,VLOOKUP($C2805,ENTI!$AL$4:AP$1003,5,FALSE),"")</f>
        <v>#N/A</v>
      </c>
      <c r="H2805" s="179" t="e">
        <f>IF($C$1077&gt;0,VLOOKUP($C2805,ENTI!$AL$4:AQ$1003,6,FALSE),"")</f>
        <v>#N/A</v>
      </c>
      <c r="I2805" s="187"/>
      <c r="J2805" s="140" t="e">
        <f ca="1">VLOOKUP(D2805,$F$1081:$I$4183,4,FALSE)+COUNTIF(E$1081:E2804,E2805)</f>
        <v>#N/A</v>
      </c>
      <c r="K2805" s="1"/>
      <c r="L2805" s="156"/>
      <c r="M2805" s="1"/>
      <c r="N2805" s="1"/>
      <c r="O2805" s="1"/>
    </row>
    <row r="2806" spans="1:15" hidden="1">
      <c r="A2806" s="1"/>
      <c r="B2806" s="197" t="e">
        <f t="shared" ca="1" si="256"/>
        <v>#N/A</v>
      </c>
      <c r="C2806" s="498">
        <v>740</v>
      </c>
      <c r="D2806" s="41" t="e">
        <f>IF($C$1077&gt;0,VLOOKUP($C2806,ENTI!$AL$4:AN$1003,3,FALSE),"")</f>
        <v>#N/A</v>
      </c>
      <c r="E2806" s="41" t="str">
        <f t="shared" si="255"/>
        <v/>
      </c>
      <c r="F2806" s="200"/>
      <c r="G2806" s="178" t="e">
        <f>IF($C$1077&gt;0,VLOOKUP($C2806,ENTI!$AL$4:AP$1003,5,FALSE),"")</f>
        <v>#N/A</v>
      </c>
      <c r="H2806" s="179" t="e">
        <f>IF($C$1077&gt;0,VLOOKUP($C2806,ENTI!$AL$4:AQ$1003,6,FALSE),"")</f>
        <v>#N/A</v>
      </c>
      <c r="I2806" s="187"/>
      <c r="J2806" s="140" t="e">
        <f ca="1">VLOOKUP(D2806,$F$1081:$I$4183,4,FALSE)+COUNTIF(E$1081:E2805,E2806)</f>
        <v>#N/A</v>
      </c>
      <c r="K2806" s="1"/>
      <c r="L2806" s="156"/>
      <c r="M2806" s="1"/>
      <c r="N2806" s="1"/>
      <c r="O2806" s="1"/>
    </row>
    <row r="2807" spans="1:15" hidden="1">
      <c r="A2807" s="1"/>
      <c r="B2807" s="197" t="e">
        <f t="shared" ca="1" si="256"/>
        <v>#N/A</v>
      </c>
      <c r="C2807" s="498">
        <v>741</v>
      </c>
      <c r="D2807" s="41" t="e">
        <f>IF($C$1077&gt;0,VLOOKUP($C2807,ENTI!$AL$4:AN$1003,3,FALSE),"")</f>
        <v>#N/A</v>
      </c>
      <c r="E2807" s="41" t="str">
        <f t="shared" si="255"/>
        <v/>
      </c>
      <c r="F2807" s="200"/>
      <c r="G2807" s="178" t="e">
        <f>IF($C$1077&gt;0,VLOOKUP($C2807,ENTI!$AL$4:AP$1003,5,FALSE),"")</f>
        <v>#N/A</v>
      </c>
      <c r="H2807" s="179" t="e">
        <f>IF($C$1077&gt;0,VLOOKUP($C2807,ENTI!$AL$4:AQ$1003,6,FALSE),"")</f>
        <v>#N/A</v>
      </c>
      <c r="I2807" s="187"/>
      <c r="J2807" s="140" t="e">
        <f ca="1">VLOOKUP(D2807,$F$1081:$I$4183,4,FALSE)+COUNTIF(E$1081:E2806,E2807)</f>
        <v>#N/A</v>
      </c>
      <c r="K2807" s="1"/>
      <c r="L2807" s="156"/>
      <c r="M2807" s="1"/>
      <c r="N2807" s="1"/>
      <c r="O2807" s="1"/>
    </row>
    <row r="2808" spans="1:15" hidden="1">
      <c r="A2808" s="1"/>
      <c r="B2808" s="197" t="e">
        <f t="shared" ca="1" si="256"/>
        <v>#N/A</v>
      </c>
      <c r="C2808" s="498">
        <v>742</v>
      </c>
      <c r="D2808" s="41" t="e">
        <f>IF($C$1077&gt;0,VLOOKUP($C2808,ENTI!$AL$4:AN$1003,3,FALSE),"")</f>
        <v>#N/A</v>
      </c>
      <c r="E2808" s="41" t="str">
        <f t="shared" si="255"/>
        <v/>
      </c>
      <c r="F2808" s="200"/>
      <c r="G2808" s="178" t="e">
        <f>IF($C$1077&gt;0,VLOOKUP($C2808,ENTI!$AL$4:AP$1003,5,FALSE),"")</f>
        <v>#N/A</v>
      </c>
      <c r="H2808" s="179" t="e">
        <f>IF($C$1077&gt;0,VLOOKUP($C2808,ENTI!$AL$4:AQ$1003,6,FALSE),"")</f>
        <v>#N/A</v>
      </c>
      <c r="I2808" s="187"/>
      <c r="J2808" s="140" t="e">
        <f ca="1">VLOOKUP(D2808,$F$1081:$I$4183,4,FALSE)+COUNTIF(E$1081:E2807,E2808)</f>
        <v>#N/A</v>
      </c>
      <c r="K2808" s="1"/>
      <c r="L2808" s="156"/>
      <c r="M2808" s="1"/>
      <c r="N2808" s="1"/>
      <c r="O2808" s="1"/>
    </row>
    <row r="2809" spans="1:15" hidden="1">
      <c r="A2809" s="1"/>
      <c r="B2809" s="197" t="e">
        <f t="shared" ca="1" si="256"/>
        <v>#N/A</v>
      </c>
      <c r="C2809" s="498">
        <v>743</v>
      </c>
      <c r="D2809" s="41" t="e">
        <f>IF($C$1077&gt;0,VLOOKUP($C2809,ENTI!$AL$4:AN$1003,3,FALSE),"")</f>
        <v>#N/A</v>
      </c>
      <c r="E2809" s="41" t="str">
        <f t="shared" si="255"/>
        <v/>
      </c>
      <c r="F2809" s="200"/>
      <c r="G2809" s="178" t="e">
        <f>IF($C$1077&gt;0,VLOOKUP($C2809,ENTI!$AL$4:AP$1003,5,FALSE),"")</f>
        <v>#N/A</v>
      </c>
      <c r="H2809" s="179" t="e">
        <f>IF($C$1077&gt;0,VLOOKUP($C2809,ENTI!$AL$4:AQ$1003,6,FALSE),"")</f>
        <v>#N/A</v>
      </c>
      <c r="I2809" s="187"/>
      <c r="J2809" s="140" t="e">
        <f ca="1">VLOOKUP(D2809,$F$1081:$I$4183,4,FALSE)+COUNTIF(E$1081:E2808,E2809)</f>
        <v>#N/A</v>
      </c>
      <c r="K2809" s="1"/>
      <c r="L2809" s="156"/>
      <c r="M2809" s="1"/>
      <c r="N2809" s="1"/>
      <c r="O2809" s="1"/>
    </row>
    <row r="2810" spans="1:15" hidden="1">
      <c r="A2810" s="1"/>
      <c r="B2810" s="197" t="e">
        <f t="shared" ca="1" si="256"/>
        <v>#N/A</v>
      </c>
      <c r="C2810" s="498">
        <v>744</v>
      </c>
      <c r="D2810" s="41" t="e">
        <f>IF($C$1077&gt;0,VLOOKUP($C2810,ENTI!$AL$4:AN$1003,3,FALSE),"")</f>
        <v>#N/A</v>
      </c>
      <c r="E2810" s="41" t="str">
        <f t="shared" si="255"/>
        <v/>
      </c>
      <c r="F2810" s="200"/>
      <c r="G2810" s="178" t="e">
        <f>IF($C$1077&gt;0,VLOOKUP($C2810,ENTI!$AL$4:AP$1003,5,FALSE),"")</f>
        <v>#N/A</v>
      </c>
      <c r="H2810" s="179" t="e">
        <f>IF($C$1077&gt;0,VLOOKUP($C2810,ENTI!$AL$4:AQ$1003,6,FALSE),"")</f>
        <v>#N/A</v>
      </c>
      <c r="I2810" s="187"/>
      <c r="J2810" s="140" t="e">
        <f ca="1">VLOOKUP(D2810,$F$1081:$I$4183,4,FALSE)+COUNTIF(E$1081:E2809,E2810)</f>
        <v>#N/A</v>
      </c>
      <c r="K2810" s="1"/>
      <c r="L2810" s="156"/>
      <c r="M2810" s="1"/>
      <c r="N2810" s="1"/>
      <c r="O2810" s="1"/>
    </row>
    <row r="2811" spans="1:15" hidden="1">
      <c r="A2811" s="1"/>
      <c r="B2811" s="197" t="e">
        <f t="shared" ca="1" si="256"/>
        <v>#N/A</v>
      </c>
      <c r="C2811" s="498">
        <v>745</v>
      </c>
      <c r="D2811" s="41" t="e">
        <f>IF($C$1077&gt;0,VLOOKUP($C2811,ENTI!$AL$4:AN$1003,3,FALSE),"")</f>
        <v>#N/A</v>
      </c>
      <c r="E2811" s="41" t="str">
        <f t="shared" si="255"/>
        <v/>
      </c>
      <c r="F2811" s="200"/>
      <c r="G2811" s="178" t="e">
        <f>IF($C$1077&gt;0,VLOOKUP($C2811,ENTI!$AL$4:AP$1003,5,FALSE),"")</f>
        <v>#N/A</v>
      </c>
      <c r="H2811" s="179" t="e">
        <f>IF($C$1077&gt;0,VLOOKUP($C2811,ENTI!$AL$4:AQ$1003,6,FALSE),"")</f>
        <v>#N/A</v>
      </c>
      <c r="I2811" s="187"/>
      <c r="J2811" s="140" t="e">
        <f ca="1">VLOOKUP(D2811,$F$1081:$I$4183,4,FALSE)+COUNTIF(E$1081:E2810,E2811)</f>
        <v>#N/A</v>
      </c>
      <c r="K2811" s="1"/>
      <c r="L2811" s="156"/>
      <c r="M2811" s="1"/>
      <c r="N2811" s="1"/>
      <c r="O2811" s="1"/>
    </row>
    <row r="2812" spans="1:15" hidden="1">
      <c r="A2812" s="1"/>
      <c r="B2812" s="197" t="e">
        <f t="shared" ca="1" si="256"/>
        <v>#N/A</v>
      </c>
      <c r="C2812" s="498">
        <v>746</v>
      </c>
      <c r="D2812" s="41" t="e">
        <f>IF($C$1077&gt;0,VLOOKUP($C2812,ENTI!$AL$4:AN$1003,3,FALSE),"")</f>
        <v>#N/A</v>
      </c>
      <c r="E2812" s="41" t="str">
        <f t="shared" si="255"/>
        <v/>
      </c>
      <c r="F2812" s="200"/>
      <c r="G2812" s="178" t="e">
        <f>IF($C$1077&gt;0,VLOOKUP($C2812,ENTI!$AL$4:AP$1003,5,FALSE),"")</f>
        <v>#N/A</v>
      </c>
      <c r="H2812" s="179" t="e">
        <f>IF($C$1077&gt;0,VLOOKUP($C2812,ENTI!$AL$4:AQ$1003,6,FALSE),"")</f>
        <v>#N/A</v>
      </c>
      <c r="I2812" s="187"/>
      <c r="J2812" s="140" t="e">
        <f ca="1">VLOOKUP(D2812,$F$1081:$I$4183,4,FALSE)+COUNTIF(E$1081:E2811,E2812)</f>
        <v>#N/A</v>
      </c>
      <c r="K2812" s="1"/>
      <c r="L2812" s="156"/>
      <c r="M2812" s="1"/>
      <c r="N2812" s="1"/>
      <c r="O2812" s="1"/>
    </row>
    <row r="2813" spans="1:15" hidden="1">
      <c r="A2813" s="1"/>
      <c r="B2813" s="197" t="e">
        <f t="shared" ca="1" si="256"/>
        <v>#N/A</v>
      </c>
      <c r="C2813" s="498">
        <v>747</v>
      </c>
      <c r="D2813" s="41" t="e">
        <f>IF($C$1077&gt;0,VLOOKUP($C2813,ENTI!$AL$4:AN$1003,3,FALSE),"")</f>
        <v>#N/A</v>
      </c>
      <c r="E2813" s="41" t="str">
        <f t="shared" si="255"/>
        <v/>
      </c>
      <c r="F2813" s="200"/>
      <c r="G2813" s="178" t="e">
        <f>IF($C$1077&gt;0,VLOOKUP($C2813,ENTI!$AL$4:AP$1003,5,FALSE),"")</f>
        <v>#N/A</v>
      </c>
      <c r="H2813" s="179" t="e">
        <f>IF($C$1077&gt;0,VLOOKUP($C2813,ENTI!$AL$4:AQ$1003,6,FALSE),"")</f>
        <v>#N/A</v>
      </c>
      <c r="I2813" s="187"/>
      <c r="J2813" s="140" t="e">
        <f ca="1">VLOOKUP(D2813,$F$1081:$I$4183,4,FALSE)+COUNTIF(E$1081:E2812,E2813)</f>
        <v>#N/A</v>
      </c>
      <c r="K2813" s="1"/>
      <c r="L2813" s="156"/>
      <c r="M2813" s="1"/>
      <c r="N2813" s="1"/>
      <c r="O2813" s="1"/>
    </row>
    <row r="2814" spans="1:15" hidden="1">
      <c r="A2814" s="1"/>
      <c r="B2814" s="197" t="e">
        <f t="shared" ca="1" si="256"/>
        <v>#N/A</v>
      </c>
      <c r="C2814" s="498">
        <v>748</v>
      </c>
      <c r="D2814" s="41" t="e">
        <f>IF($C$1077&gt;0,VLOOKUP($C2814,ENTI!$AL$4:AN$1003,3,FALSE),"")</f>
        <v>#N/A</v>
      </c>
      <c r="E2814" s="41" t="str">
        <f t="shared" si="255"/>
        <v/>
      </c>
      <c r="F2814" s="200"/>
      <c r="G2814" s="178" t="e">
        <f>IF($C$1077&gt;0,VLOOKUP($C2814,ENTI!$AL$4:AP$1003,5,FALSE),"")</f>
        <v>#N/A</v>
      </c>
      <c r="H2814" s="179" t="e">
        <f>IF($C$1077&gt;0,VLOOKUP($C2814,ENTI!$AL$4:AQ$1003,6,FALSE),"")</f>
        <v>#N/A</v>
      </c>
      <c r="I2814" s="187"/>
      <c r="J2814" s="140" t="e">
        <f ca="1">VLOOKUP(D2814,$F$1081:$I$4183,4,FALSE)+COUNTIF(E$1081:E2813,E2814)</f>
        <v>#N/A</v>
      </c>
      <c r="K2814" s="1"/>
      <c r="L2814" s="156"/>
      <c r="M2814" s="1"/>
      <c r="N2814" s="1"/>
      <c r="O2814" s="1"/>
    </row>
    <row r="2815" spans="1:15" hidden="1">
      <c r="A2815" s="1"/>
      <c r="B2815" s="197" t="e">
        <f t="shared" ca="1" si="256"/>
        <v>#N/A</v>
      </c>
      <c r="C2815" s="498">
        <v>749</v>
      </c>
      <c r="D2815" s="41" t="e">
        <f>IF($C$1077&gt;0,VLOOKUP($C2815,ENTI!$AL$4:AN$1003,3,FALSE),"")</f>
        <v>#N/A</v>
      </c>
      <c r="E2815" s="41" t="str">
        <f t="shared" si="255"/>
        <v/>
      </c>
      <c r="F2815" s="200"/>
      <c r="G2815" s="178" t="e">
        <f>IF($C$1077&gt;0,VLOOKUP($C2815,ENTI!$AL$4:AP$1003,5,FALSE),"")</f>
        <v>#N/A</v>
      </c>
      <c r="H2815" s="179" t="e">
        <f>IF($C$1077&gt;0,VLOOKUP($C2815,ENTI!$AL$4:AQ$1003,6,FALSE),"")</f>
        <v>#N/A</v>
      </c>
      <c r="I2815" s="187"/>
      <c r="J2815" s="140" t="e">
        <f ca="1">VLOOKUP(D2815,$F$1081:$I$4183,4,FALSE)+COUNTIF(E$1081:E2814,E2815)</f>
        <v>#N/A</v>
      </c>
      <c r="K2815" s="1"/>
      <c r="L2815" s="156"/>
      <c r="M2815" s="1"/>
      <c r="N2815" s="1"/>
      <c r="O2815" s="1"/>
    </row>
    <row r="2816" spans="1:15" hidden="1">
      <c r="A2816" s="1"/>
      <c r="B2816" s="197" t="e">
        <f t="shared" ca="1" si="256"/>
        <v>#N/A</v>
      </c>
      <c r="C2816" s="498">
        <v>750</v>
      </c>
      <c r="D2816" s="41" t="e">
        <f>IF($C$1077&gt;0,VLOOKUP($C2816,ENTI!$AL$4:AN$1003,3,FALSE),"")</f>
        <v>#N/A</v>
      </c>
      <c r="E2816" s="41" t="str">
        <f t="shared" si="255"/>
        <v/>
      </c>
      <c r="F2816" s="200"/>
      <c r="G2816" s="178" t="e">
        <f>IF($C$1077&gt;0,VLOOKUP($C2816,ENTI!$AL$4:AP$1003,5,FALSE),"")</f>
        <v>#N/A</v>
      </c>
      <c r="H2816" s="179" t="e">
        <f>IF($C$1077&gt;0,VLOOKUP($C2816,ENTI!$AL$4:AQ$1003,6,FALSE),"")</f>
        <v>#N/A</v>
      </c>
      <c r="I2816" s="187"/>
      <c r="J2816" s="140" t="e">
        <f ca="1">VLOOKUP(D2816,$F$1081:$I$4183,4,FALSE)+COUNTIF(E$1081:E2815,E2816)</f>
        <v>#N/A</v>
      </c>
      <c r="K2816" s="1"/>
      <c r="L2816" s="156"/>
      <c r="M2816" s="1"/>
      <c r="N2816" s="1"/>
      <c r="O2816" s="1"/>
    </row>
    <row r="2817" spans="1:15" hidden="1">
      <c r="A2817" s="1"/>
      <c r="B2817" s="197" t="e">
        <f t="shared" ca="1" si="256"/>
        <v>#N/A</v>
      </c>
      <c r="C2817" s="498">
        <v>751</v>
      </c>
      <c r="D2817" s="41" t="e">
        <f>IF($C$1077&gt;0,VLOOKUP($C2817,ENTI!$AL$4:AN$1003,3,FALSE),"")</f>
        <v>#N/A</v>
      </c>
      <c r="E2817" s="41" t="str">
        <f t="shared" si="255"/>
        <v/>
      </c>
      <c r="F2817" s="200"/>
      <c r="G2817" s="178" t="e">
        <f>IF($C$1077&gt;0,VLOOKUP($C2817,ENTI!$AL$4:AP$1003,5,FALSE),"")</f>
        <v>#N/A</v>
      </c>
      <c r="H2817" s="179" t="e">
        <f>IF($C$1077&gt;0,VLOOKUP($C2817,ENTI!$AL$4:AQ$1003,6,FALSE),"")</f>
        <v>#N/A</v>
      </c>
      <c r="I2817" s="187"/>
      <c r="J2817" s="140" t="e">
        <f ca="1">VLOOKUP(D2817,$F$1081:$I$4183,4,FALSE)+COUNTIF(E$1081:E2816,E2817)</f>
        <v>#N/A</v>
      </c>
      <c r="K2817" s="1"/>
      <c r="L2817" s="156"/>
      <c r="M2817" s="1"/>
      <c r="N2817" s="1"/>
      <c r="O2817" s="1"/>
    </row>
    <row r="2818" spans="1:15" hidden="1">
      <c r="A2818" s="1"/>
      <c r="B2818" s="197" t="e">
        <f t="shared" ca="1" si="256"/>
        <v>#N/A</v>
      </c>
      <c r="C2818" s="498">
        <v>752</v>
      </c>
      <c r="D2818" s="41" t="e">
        <f>IF($C$1077&gt;0,VLOOKUP($C2818,ENTI!$AL$4:AN$1003,3,FALSE),"")</f>
        <v>#N/A</v>
      </c>
      <c r="E2818" s="41" t="str">
        <f t="shared" si="255"/>
        <v/>
      </c>
      <c r="F2818" s="200"/>
      <c r="G2818" s="178" t="e">
        <f>IF($C$1077&gt;0,VLOOKUP($C2818,ENTI!$AL$4:AP$1003,5,FALSE),"")</f>
        <v>#N/A</v>
      </c>
      <c r="H2818" s="179" t="e">
        <f>IF($C$1077&gt;0,VLOOKUP($C2818,ENTI!$AL$4:AQ$1003,6,FALSE),"")</f>
        <v>#N/A</v>
      </c>
      <c r="I2818" s="187"/>
      <c r="J2818" s="140" t="e">
        <f ca="1">VLOOKUP(D2818,$F$1081:$I$4183,4,FALSE)+COUNTIF(E$1081:E2817,E2818)</f>
        <v>#N/A</v>
      </c>
      <c r="K2818" s="1"/>
      <c r="L2818" s="156"/>
      <c r="M2818" s="1"/>
      <c r="N2818" s="1"/>
      <c r="O2818" s="1"/>
    </row>
    <row r="2819" spans="1:15" hidden="1">
      <c r="A2819" s="1"/>
      <c r="B2819" s="197" t="e">
        <f t="shared" ca="1" si="256"/>
        <v>#N/A</v>
      </c>
      <c r="C2819" s="498">
        <v>753</v>
      </c>
      <c r="D2819" s="41" t="e">
        <f>IF($C$1077&gt;0,VLOOKUP($C2819,ENTI!$AL$4:AN$1003,3,FALSE),"")</f>
        <v>#N/A</v>
      </c>
      <c r="E2819" s="41" t="str">
        <f t="shared" si="255"/>
        <v/>
      </c>
      <c r="F2819" s="200"/>
      <c r="G2819" s="178" t="e">
        <f>IF($C$1077&gt;0,VLOOKUP($C2819,ENTI!$AL$4:AP$1003,5,FALSE),"")</f>
        <v>#N/A</v>
      </c>
      <c r="H2819" s="179" t="e">
        <f>IF($C$1077&gt;0,VLOOKUP($C2819,ENTI!$AL$4:AQ$1003,6,FALSE),"")</f>
        <v>#N/A</v>
      </c>
      <c r="I2819" s="187"/>
      <c r="J2819" s="140" t="e">
        <f ca="1">VLOOKUP(D2819,$F$1081:$I$4183,4,FALSE)+COUNTIF(E$1081:E2818,E2819)</f>
        <v>#N/A</v>
      </c>
      <c r="K2819" s="1"/>
      <c r="L2819" s="156"/>
      <c r="M2819" s="1"/>
      <c r="N2819" s="1"/>
      <c r="O2819" s="1"/>
    </row>
    <row r="2820" spans="1:15" hidden="1">
      <c r="A2820" s="1"/>
      <c r="B2820" s="197" t="e">
        <f t="shared" ca="1" si="256"/>
        <v>#N/A</v>
      </c>
      <c r="C2820" s="498">
        <v>754</v>
      </c>
      <c r="D2820" s="41" t="e">
        <f>IF($C$1077&gt;0,VLOOKUP($C2820,ENTI!$AL$4:AN$1003,3,FALSE),"")</f>
        <v>#N/A</v>
      </c>
      <c r="E2820" s="41" t="str">
        <f t="shared" si="255"/>
        <v/>
      </c>
      <c r="F2820" s="200"/>
      <c r="G2820" s="178" t="e">
        <f>IF($C$1077&gt;0,VLOOKUP($C2820,ENTI!$AL$4:AP$1003,5,FALSE),"")</f>
        <v>#N/A</v>
      </c>
      <c r="H2820" s="179" t="e">
        <f>IF($C$1077&gt;0,VLOOKUP($C2820,ENTI!$AL$4:AQ$1003,6,FALSE),"")</f>
        <v>#N/A</v>
      </c>
      <c r="I2820" s="187"/>
      <c r="J2820" s="140" t="e">
        <f ca="1">VLOOKUP(D2820,$F$1081:$I$4183,4,FALSE)+COUNTIF(E$1081:E2819,E2820)</f>
        <v>#N/A</v>
      </c>
      <c r="K2820" s="1"/>
      <c r="L2820" s="156"/>
      <c r="M2820" s="1"/>
      <c r="N2820" s="1"/>
      <c r="O2820" s="1"/>
    </row>
    <row r="2821" spans="1:15" hidden="1">
      <c r="A2821" s="1"/>
      <c r="B2821" s="197" t="e">
        <f t="shared" ca="1" si="256"/>
        <v>#N/A</v>
      </c>
      <c r="C2821" s="498">
        <v>755</v>
      </c>
      <c r="D2821" s="41" t="e">
        <f>IF($C$1077&gt;0,VLOOKUP($C2821,ENTI!$AL$4:AN$1003,3,FALSE),"")</f>
        <v>#N/A</v>
      </c>
      <c r="E2821" s="41" t="str">
        <f t="shared" si="255"/>
        <v/>
      </c>
      <c r="F2821" s="200"/>
      <c r="G2821" s="178" t="e">
        <f>IF($C$1077&gt;0,VLOOKUP($C2821,ENTI!$AL$4:AP$1003,5,FALSE),"")</f>
        <v>#N/A</v>
      </c>
      <c r="H2821" s="179" t="e">
        <f>IF($C$1077&gt;0,VLOOKUP($C2821,ENTI!$AL$4:AQ$1003,6,FALSE),"")</f>
        <v>#N/A</v>
      </c>
      <c r="I2821" s="187"/>
      <c r="J2821" s="140" t="e">
        <f ca="1">VLOOKUP(D2821,$F$1081:$I$4183,4,FALSE)+COUNTIF(E$1081:E2820,E2821)</f>
        <v>#N/A</v>
      </c>
      <c r="K2821" s="1"/>
      <c r="L2821" s="156"/>
      <c r="M2821" s="1"/>
      <c r="N2821" s="1"/>
      <c r="O2821" s="1"/>
    </row>
    <row r="2822" spans="1:15" hidden="1">
      <c r="A2822" s="1"/>
      <c r="B2822" s="197" t="e">
        <f t="shared" ca="1" si="256"/>
        <v>#N/A</v>
      </c>
      <c r="C2822" s="498">
        <v>756</v>
      </c>
      <c r="D2822" s="41" t="e">
        <f>IF($C$1077&gt;0,VLOOKUP($C2822,ENTI!$AL$4:AN$1003,3,FALSE),"")</f>
        <v>#N/A</v>
      </c>
      <c r="E2822" s="41" t="str">
        <f t="shared" si="255"/>
        <v/>
      </c>
      <c r="F2822" s="200"/>
      <c r="G2822" s="178" t="e">
        <f>IF($C$1077&gt;0,VLOOKUP($C2822,ENTI!$AL$4:AP$1003,5,FALSE),"")</f>
        <v>#N/A</v>
      </c>
      <c r="H2822" s="179" t="e">
        <f>IF($C$1077&gt;0,VLOOKUP($C2822,ENTI!$AL$4:AQ$1003,6,FALSE),"")</f>
        <v>#N/A</v>
      </c>
      <c r="I2822" s="187"/>
      <c r="J2822" s="140" t="e">
        <f ca="1">VLOOKUP(D2822,$F$1081:$I$4183,4,FALSE)+COUNTIF(E$1081:E2821,E2822)</f>
        <v>#N/A</v>
      </c>
      <c r="K2822" s="1"/>
      <c r="L2822" s="156"/>
      <c r="M2822" s="1"/>
      <c r="N2822" s="1"/>
      <c r="O2822" s="1"/>
    </row>
    <row r="2823" spans="1:15" hidden="1">
      <c r="A2823" s="1"/>
      <c r="B2823" s="197" t="e">
        <f t="shared" ca="1" si="256"/>
        <v>#N/A</v>
      </c>
      <c r="C2823" s="498">
        <v>757</v>
      </c>
      <c r="D2823" s="41" t="e">
        <f>IF($C$1077&gt;0,VLOOKUP($C2823,ENTI!$AL$4:AN$1003,3,FALSE),"")</f>
        <v>#N/A</v>
      </c>
      <c r="E2823" s="41" t="str">
        <f t="shared" si="255"/>
        <v/>
      </c>
      <c r="F2823" s="200"/>
      <c r="G2823" s="178" t="e">
        <f>IF($C$1077&gt;0,VLOOKUP($C2823,ENTI!$AL$4:AP$1003,5,FALSE),"")</f>
        <v>#N/A</v>
      </c>
      <c r="H2823" s="179" t="e">
        <f>IF($C$1077&gt;0,VLOOKUP($C2823,ENTI!$AL$4:AQ$1003,6,FALSE),"")</f>
        <v>#N/A</v>
      </c>
      <c r="I2823" s="187"/>
      <c r="J2823" s="140" t="e">
        <f ca="1">VLOOKUP(D2823,$F$1081:$I$4183,4,FALSE)+COUNTIF(E$1081:E2822,E2823)</f>
        <v>#N/A</v>
      </c>
      <c r="K2823" s="1"/>
      <c r="L2823" s="156"/>
      <c r="M2823" s="1"/>
      <c r="N2823" s="1"/>
      <c r="O2823" s="1"/>
    </row>
    <row r="2824" spans="1:15" hidden="1">
      <c r="A2824" s="1"/>
      <c r="B2824" s="197" t="e">
        <f t="shared" ca="1" si="256"/>
        <v>#N/A</v>
      </c>
      <c r="C2824" s="498">
        <v>758</v>
      </c>
      <c r="D2824" s="41" t="e">
        <f>IF($C$1077&gt;0,VLOOKUP($C2824,ENTI!$AL$4:AN$1003,3,FALSE),"")</f>
        <v>#N/A</v>
      </c>
      <c r="E2824" s="41" t="str">
        <f t="shared" si="255"/>
        <v/>
      </c>
      <c r="F2824" s="200"/>
      <c r="G2824" s="178" t="e">
        <f>IF($C$1077&gt;0,VLOOKUP($C2824,ENTI!$AL$4:AP$1003,5,FALSE),"")</f>
        <v>#N/A</v>
      </c>
      <c r="H2824" s="179" t="e">
        <f>IF($C$1077&gt;0,VLOOKUP($C2824,ENTI!$AL$4:AQ$1003,6,FALSE),"")</f>
        <v>#N/A</v>
      </c>
      <c r="I2824" s="187"/>
      <c r="J2824" s="140" t="e">
        <f ca="1">VLOOKUP(D2824,$F$1081:$I$4183,4,FALSE)+COUNTIF(E$1081:E2823,E2824)</f>
        <v>#N/A</v>
      </c>
      <c r="K2824" s="1"/>
      <c r="L2824" s="156"/>
      <c r="M2824" s="1"/>
      <c r="N2824" s="1"/>
      <c r="O2824" s="1"/>
    </row>
    <row r="2825" spans="1:15" hidden="1">
      <c r="A2825" s="1"/>
      <c r="B2825" s="197" t="e">
        <f t="shared" ca="1" si="256"/>
        <v>#N/A</v>
      </c>
      <c r="C2825" s="498">
        <v>759</v>
      </c>
      <c r="D2825" s="41" t="e">
        <f>IF($C$1077&gt;0,VLOOKUP($C2825,ENTI!$AL$4:AN$1003,3,FALSE),"")</f>
        <v>#N/A</v>
      </c>
      <c r="E2825" s="41" t="str">
        <f t="shared" si="255"/>
        <v/>
      </c>
      <c r="F2825" s="200"/>
      <c r="G2825" s="178" t="e">
        <f>IF($C$1077&gt;0,VLOOKUP($C2825,ENTI!$AL$4:AP$1003,5,FALSE),"")</f>
        <v>#N/A</v>
      </c>
      <c r="H2825" s="179" t="e">
        <f>IF($C$1077&gt;0,VLOOKUP($C2825,ENTI!$AL$4:AQ$1003,6,FALSE),"")</f>
        <v>#N/A</v>
      </c>
      <c r="I2825" s="187"/>
      <c r="J2825" s="140" t="e">
        <f ca="1">VLOOKUP(D2825,$F$1081:$I$4183,4,FALSE)+COUNTIF(E$1081:E2824,E2825)</f>
        <v>#N/A</v>
      </c>
      <c r="K2825" s="1"/>
      <c r="L2825" s="156"/>
      <c r="M2825" s="1"/>
      <c r="N2825" s="1"/>
      <c r="O2825" s="1"/>
    </row>
    <row r="2826" spans="1:15" hidden="1">
      <c r="A2826" s="1"/>
      <c r="B2826" s="197" t="e">
        <f t="shared" ca="1" si="256"/>
        <v>#N/A</v>
      </c>
      <c r="C2826" s="498">
        <v>760</v>
      </c>
      <c r="D2826" s="41" t="e">
        <f>IF($C$1077&gt;0,VLOOKUP($C2826,ENTI!$AL$4:AN$1003,3,FALSE),"")</f>
        <v>#N/A</v>
      </c>
      <c r="E2826" s="41" t="str">
        <f t="shared" si="255"/>
        <v/>
      </c>
      <c r="F2826" s="200"/>
      <c r="G2826" s="178" t="e">
        <f>IF($C$1077&gt;0,VLOOKUP($C2826,ENTI!$AL$4:AP$1003,5,FALSE),"")</f>
        <v>#N/A</v>
      </c>
      <c r="H2826" s="179" t="e">
        <f>IF($C$1077&gt;0,VLOOKUP($C2826,ENTI!$AL$4:AQ$1003,6,FALSE),"")</f>
        <v>#N/A</v>
      </c>
      <c r="I2826" s="187"/>
      <c r="J2826" s="140" t="e">
        <f ca="1">VLOOKUP(D2826,$F$1081:$I$4183,4,FALSE)+COUNTIF(E$1081:E2825,E2826)</f>
        <v>#N/A</v>
      </c>
      <c r="K2826" s="1"/>
      <c r="L2826" s="156"/>
      <c r="M2826" s="1"/>
      <c r="N2826" s="1"/>
      <c r="O2826" s="1"/>
    </row>
    <row r="2827" spans="1:15" hidden="1">
      <c r="A2827" s="1"/>
      <c r="B2827" s="197" t="e">
        <f t="shared" ca="1" si="256"/>
        <v>#N/A</v>
      </c>
      <c r="C2827" s="498">
        <v>761</v>
      </c>
      <c r="D2827" s="41" t="e">
        <f>IF($C$1077&gt;0,VLOOKUP($C2827,ENTI!$AL$4:AN$1003,3,FALSE),"")</f>
        <v>#N/A</v>
      </c>
      <c r="E2827" s="41" t="str">
        <f t="shared" si="255"/>
        <v/>
      </c>
      <c r="F2827" s="200"/>
      <c r="G2827" s="178" t="e">
        <f>IF($C$1077&gt;0,VLOOKUP($C2827,ENTI!$AL$4:AP$1003,5,FALSE),"")</f>
        <v>#N/A</v>
      </c>
      <c r="H2827" s="179" t="e">
        <f>IF($C$1077&gt;0,VLOOKUP($C2827,ENTI!$AL$4:AQ$1003,6,FALSE),"")</f>
        <v>#N/A</v>
      </c>
      <c r="I2827" s="187"/>
      <c r="J2827" s="140" t="e">
        <f ca="1">VLOOKUP(D2827,$F$1081:$I$4183,4,FALSE)+COUNTIF(E$1081:E2826,E2827)</f>
        <v>#N/A</v>
      </c>
      <c r="K2827" s="1"/>
      <c r="L2827" s="156"/>
      <c r="M2827" s="1"/>
      <c r="N2827" s="1"/>
      <c r="O2827" s="1"/>
    </row>
    <row r="2828" spans="1:15" hidden="1">
      <c r="A2828" s="1"/>
      <c r="B2828" s="197" t="e">
        <f t="shared" ca="1" si="256"/>
        <v>#N/A</v>
      </c>
      <c r="C2828" s="498">
        <v>762</v>
      </c>
      <c r="D2828" s="41" t="e">
        <f>IF($C$1077&gt;0,VLOOKUP($C2828,ENTI!$AL$4:AN$1003,3,FALSE),"")</f>
        <v>#N/A</v>
      </c>
      <c r="E2828" s="41" t="str">
        <f t="shared" si="255"/>
        <v/>
      </c>
      <c r="F2828" s="200"/>
      <c r="G2828" s="178" t="e">
        <f>IF($C$1077&gt;0,VLOOKUP($C2828,ENTI!$AL$4:AP$1003,5,FALSE),"")</f>
        <v>#N/A</v>
      </c>
      <c r="H2828" s="179" t="e">
        <f>IF($C$1077&gt;0,VLOOKUP($C2828,ENTI!$AL$4:AQ$1003,6,FALSE),"")</f>
        <v>#N/A</v>
      </c>
      <c r="I2828" s="187"/>
      <c r="J2828" s="140" t="e">
        <f ca="1">VLOOKUP(D2828,$F$1081:$I$4183,4,FALSE)+COUNTIF(E$1081:E2827,E2828)</f>
        <v>#N/A</v>
      </c>
      <c r="K2828" s="1"/>
      <c r="L2828" s="156"/>
      <c r="M2828" s="1"/>
      <c r="N2828" s="1"/>
      <c r="O2828" s="1"/>
    </row>
    <row r="2829" spans="1:15" hidden="1">
      <c r="A2829" s="1"/>
      <c r="B2829" s="197" t="e">
        <f t="shared" ca="1" si="256"/>
        <v>#N/A</v>
      </c>
      <c r="C2829" s="498">
        <v>763</v>
      </c>
      <c r="D2829" s="41" t="e">
        <f>IF($C$1077&gt;0,VLOOKUP($C2829,ENTI!$AL$4:AN$1003,3,FALSE),"")</f>
        <v>#N/A</v>
      </c>
      <c r="E2829" s="41" t="str">
        <f t="shared" si="255"/>
        <v/>
      </c>
      <c r="F2829" s="200"/>
      <c r="G2829" s="178" t="e">
        <f>IF($C$1077&gt;0,VLOOKUP($C2829,ENTI!$AL$4:AP$1003,5,FALSE),"")</f>
        <v>#N/A</v>
      </c>
      <c r="H2829" s="179" t="e">
        <f>IF($C$1077&gt;0,VLOOKUP($C2829,ENTI!$AL$4:AQ$1003,6,FALSE),"")</f>
        <v>#N/A</v>
      </c>
      <c r="I2829" s="187"/>
      <c r="J2829" s="140" t="e">
        <f ca="1">VLOOKUP(D2829,$F$1081:$I$4183,4,FALSE)+COUNTIF(E$1081:E2828,E2829)</f>
        <v>#N/A</v>
      </c>
      <c r="K2829" s="1"/>
      <c r="L2829" s="156"/>
      <c r="M2829" s="1"/>
      <c r="N2829" s="1"/>
      <c r="O2829" s="1"/>
    </row>
    <row r="2830" spans="1:15" hidden="1">
      <c r="A2830" s="1"/>
      <c r="B2830" s="197" t="e">
        <f t="shared" ca="1" si="256"/>
        <v>#N/A</v>
      </c>
      <c r="C2830" s="498">
        <v>764</v>
      </c>
      <c r="D2830" s="41" t="e">
        <f>IF($C$1077&gt;0,VLOOKUP($C2830,ENTI!$AL$4:AN$1003,3,FALSE),"")</f>
        <v>#N/A</v>
      </c>
      <c r="E2830" s="41" t="str">
        <f t="shared" si="255"/>
        <v/>
      </c>
      <c r="F2830" s="200"/>
      <c r="G2830" s="178" t="e">
        <f>IF($C$1077&gt;0,VLOOKUP($C2830,ENTI!$AL$4:AP$1003,5,FALSE),"")</f>
        <v>#N/A</v>
      </c>
      <c r="H2830" s="179" t="e">
        <f>IF($C$1077&gt;0,VLOOKUP($C2830,ENTI!$AL$4:AQ$1003,6,FALSE),"")</f>
        <v>#N/A</v>
      </c>
      <c r="I2830" s="187"/>
      <c r="J2830" s="140" t="e">
        <f ca="1">VLOOKUP(D2830,$F$1081:$I$4183,4,FALSE)+COUNTIF(E$1081:E2829,E2830)</f>
        <v>#N/A</v>
      </c>
      <c r="K2830" s="1"/>
      <c r="L2830" s="156"/>
      <c r="M2830" s="1"/>
      <c r="N2830" s="1"/>
      <c r="O2830" s="1"/>
    </row>
    <row r="2831" spans="1:15" hidden="1">
      <c r="A2831" s="1"/>
      <c r="B2831" s="197" t="e">
        <f t="shared" ca="1" si="256"/>
        <v>#N/A</v>
      </c>
      <c r="C2831" s="498">
        <v>765</v>
      </c>
      <c r="D2831" s="41" t="e">
        <f>IF($C$1077&gt;0,VLOOKUP($C2831,ENTI!$AL$4:AN$1003,3,FALSE),"")</f>
        <v>#N/A</v>
      </c>
      <c r="E2831" s="41" t="str">
        <f t="shared" ref="E2831:E2894" si="257">IF(ISERROR(D2831),"",D2831)</f>
        <v/>
      </c>
      <c r="F2831" s="200"/>
      <c r="G2831" s="178" t="e">
        <f>IF($C$1077&gt;0,VLOOKUP($C2831,ENTI!$AL$4:AP$1003,5,FALSE),"")</f>
        <v>#N/A</v>
      </c>
      <c r="H2831" s="179" t="e">
        <f>IF($C$1077&gt;0,VLOOKUP($C2831,ENTI!$AL$4:AQ$1003,6,FALSE),"")</f>
        <v>#N/A</v>
      </c>
      <c r="I2831" s="187"/>
      <c r="J2831" s="140" t="e">
        <f ca="1">VLOOKUP(D2831,$F$1081:$I$4183,4,FALSE)+COUNTIF(E$1081:E2830,E2831)</f>
        <v>#N/A</v>
      </c>
      <c r="K2831" s="1"/>
      <c r="L2831" s="156"/>
      <c r="M2831" s="1"/>
      <c r="N2831" s="1"/>
      <c r="O2831" s="1"/>
    </row>
    <row r="2832" spans="1:15" hidden="1">
      <c r="A2832" s="1"/>
      <c r="B2832" s="197" t="e">
        <f t="shared" ca="1" si="256"/>
        <v>#N/A</v>
      </c>
      <c r="C2832" s="498">
        <v>766</v>
      </c>
      <c r="D2832" s="41" t="e">
        <f>IF($C$1077&gt;0,VLOOKUP($C2832,ENTI!$AL$4:AN$1003,3,FALSE),"")</f>
        <v>#N/A</v>
      </c>
      <c r="E2832" s="41" t="str">
        <f t="shared" si="257"/>
        <v/>
      </c>
      <c r="F2832" s="200"/>
      <c r="G2832" s="178" t="e">
        <f>IF($C$1077&gt;0,VLOOKUP($C2832,ENTI!$AL$4:AP$1003,5,FALSE),"")</f>
        <v>#N/A</v>
      </c>
      <c r="H2832" s="179" t="e">
        <f>IF($C$1077&gt;0,VLOOKUP($C2832,ENTI!$AL$4:AQ$1003,6,FALSE),"")</f>
        <v>#N/A</v>
      </c>
      <c r="I2832" s="187"/>
      <c r="J2832" s="140" t="e">
        <f ca="1">VLOOKUP(D2832,$F$1081:$I$4183,4,FALSE)+COUNTIF(E$1081:E2831,E2832)</f>
        <v>#N/A</v>
      </c>
      <c r="K2832" s="1"/>
      <c r="L2832" s="156"/>
      <c r="M2832" s="1"/>
      <c r="N2832" s="1"/>
      <c r="O2832" s="1"/>
    </row>
    <row r="2833" spans="1:15" hidden="1">
      <c r="A2833" s="1"/>
      <c r="B2833" s="197" t="e">
        <f t="shared" ca="1" si="256"/>
        <v>#N/A</v>
      </c>
      <c r="C2833" s="498">
        <v>767</v>
      </c>
      <c r="D2833" s="41" t="e">
        <f>IF($C$1077&gt;0,VLOOKUP($C2833,ENTI!$AL$4:AN$1003,3,FALSE),"")</f>
        <v>#N/A</v>
      </c>
      <c r="E2833" s="41" t="str">
        <f t="shared" si="257"/>
        <v/>
      </c>
      <c r="F2833" s="200"/>
      <c r="G2833" s="178" t="e">
        <f>IF($C$1077&gt;0,VLOOKUP($C2833,ENTI!$AL$4:AP$1003,5,FALSE),"")</f>
        <v>#N/A</v>
      </c>
      <c r="H2833" s="179" t="e">
        <f>IF($C$1077&gt;0,VLOOKUP($C2833,ENTI!$AL$4:AQ$1003,6,FALSE),"")</f>
        <v>#N/A</v>
      </c>
      <c r="I2833" s="187"/>
      <c r="J2833" s="140" t="e">
        <f ca="1">VLOOKUP(D2833,$F$1081:$I$4183,4,FALSE)+COUNTIF(E$1081:E2832,E2833)</f>
        <v>#N/A</v>
      </c>
      <c r="K2833" s="1"/>
      <c r="L2833" s="156"/>
      <c r="M2833" s="1"/>
      <c r="N2833" s="1"/>
      <c r="O2833" s="1"/>
    </row>
    <row r="2834" spans="1:15" hidden="1">
      <c r="A2834" s="1"/>
      <c r="B2834" s="197" t="e">
        <f t="shared" ca="1" si="256"/>
        <v>#N/A</v>
      </c>
      <c r="C2834" s="498">
        <v>768</v>
      </c>
      <c r="D2834" s="41" t="e">
        <f>IF($C$1077&gt;0,VLOOKUP($C2834,ENTI!$AL$4:AN$1003,3,FALSE),"")</f>
        <v>#N/A</v>
      </c>
      <c r="E2834" s="41" t="str">
        <f t="shared" si="257"/>
        <v/>
      </c>
      <c r="F2834" s="200"/>
      <c r="G2834" s="178" t="e">
        <f>IF($C$1077&gt;0,VLOOKUP($C2834,ENTI!$AL$4:AP$1003,5,FALSE),"")</f>
        <v>#N/A</v>
      </c>
      <c r="H2834" s="179" t="e">
        <f>IF($C$1077&gt;0,VLOOKUP($C2834,ENTI!$AL$4:AQ$1003,6,FALSE),"")</f>
        <v>#N/A</v>
      </c>
      <c r="I2834" s="187"/>
      <c r="J2834" s="140" t="e">
        <f ca="1">VLOOKUP(D2834,$F$1081:$I$4183,4,FALSE)+COUNTIF(E$1081:E2833,E2834)</f>
        <v>#N/A</v>
      </c>
      <c r="K2834" s="1"/>
      <c r="L2834" s="156"/>
      <c r="M2834" s="1"/>
      <c r="N2834" s="1"/>
      <c r="O2834" s="1"/>
    </row>
    <row r="2835" spans="1:15" hidden="1">
      <c r="A2835" s="1"/>
      <c r="B2835" s="197" t="e">
        <f t="shared" ca="1" si="256"/>
        <v>#N/A</v>
      </c>
      <c r="C2835" s="498">
        <v>769</v>
      </c>
      <c r="D2835" s="41" t="e">
        <f>IF($C$1077&gt;0,VLOOKUP($C2835,ENTI!$AL$4:AN$1003,3,FALSE),"")</f>
        <v>#N/A</v>
      </c>
      <c r="E2835" s="41" t="str">
        <f t="shared" si="257"/>
        <v/>
      </c>
      <c r="F2835" s="200"/>
      <c r="G2835" s="178" t="e">
        <f>IF($C$1077&gt;0,VLOOKUP($C2835,ENTI!$AL$4:AP$1003,5,FALSE),"")</f>
        <v>#N/A</v>
      </c>
      <c r="H2835" s="179" t="e">
        <f>IF($C$1077&gt;0,VLOOKUP($C2835,ENTI!$AL$4:AQ$1003,6,FALSE),"")</f>
        <v>#N/A</v>
      </c>
      <c r="I2835" s="187"/>
      <c r="J2835" s="140" t="e">
        <f ca="1">VLOOKUP(D2835,$F$1081:$I$4183,4,FALSE)+COUNTIF(E$1081:E2834,E2835)</f>
        <v>#N/A</v>
      </c>
      <c r="K2835" s="1"/>
      <c r="L2835" s="156"/>
      <c r="M2835" s="1"/>
      <c r="N2835" s="1"/>
      <c r="O2835" s="1"/>
    </row>
    <row r="2836" spans="1:15" hidden="1">
      <c r="A2836" s="1"/>
      <c r="B2836" s="197" t="e">
        <f t="shared" ca="1" si="256"/>
        <v>#N/A</v>
      </c>
      <c r="C2836" s="498">
        <v>770</v>
      </c>
      <c r="D2836" s="41" t="e">
        <f>IF($C$1077&gt;0,VLOOKUP($C2836,ENTI!$AL$4:AN$1003,3,FALSE),"")</f>
        <v>#N/A</v>
      </c>
      <c r="E2836" s="41" t="str">
        <f t="shared" si="257"/>
        <v/>
      </c>
      <c r="F2836" s="200"/>
      <c r="G2836" s="178" t="e">
        <f>IF($C$1077&gt;0,VLOOKUP($C2836,ENTI!$AL$4:AP$1003,5,FALSE),"")</f>
        <v>#N/A</v>
      </c>
      <c r="H2836" s="179" t="e">
        <f>IF($C$1077&gt;0,VLOOKUP($C2836,ENTI!$AL$4:AQ$1003,6,FALSE),"")</f>
        <v>#N/A</v>
      </c>
      <c r="I2836" s="187"/>
      <c r="J2836" s="140" t="e">
        <f ca="1">VLOOKUP(D2836,$F$1081:$I$4183,4,FALSE)+COUNTIF(E$1081:E2835,E2836)</f>
        <v>#N/A</v>
      </c>
      <c r="K2836" s="1"/>
      <c r="L2836" s="156"/>
      <c r="M2836" s="1"/>
      <c r="N2836" s="1"/>
      <c r="O2836" s="1"/>
    </row>
    <row r="2837" spans="1:15" hidden="1">
      <c r="A2837" s="1"/>
      <c r="B2837" s="197" t="e">
        <f t="shared" ca="1" si="256"/>
        <v>#N/A</v>
      </c>
      <c r="C2837" s="498">
        <v>771</v>
      </c>
      <c r="D2837" s="41" t="e">
        <f>IF($C$1077&gt;0,VLOOKUP($C2837,ENTI!$AL$4:AN$1003,3,FALSE),"")</f>
        <v>#N/A</v>
      </c>
      <c r="E2837" s="41" t="str">
        <f t="shared" si="257"/>
        <v/>
      </c>
      <c r="F2837" s="200"/>
      <c r="G2837" s="178" t="e">
        <f>IF($C$1077&gt;0,VLOOKUP($C2837,ENTI!$AL$4:AP$1003,5,FALSE),"")</f>
        <v>#N/A</v>
      </c>
      <c r="H2837" s="179" t="e">
        <f>IF($C$1077&gt;0,VLOOKUP($C2837,ENTI!$AL$4:AQ$1003,6,FALSE),"")</f>
        <v>#N/A</v>
      </c>
      <c r="I2837" s="187"/>
      <c r="J2837" s="140" t="e">
        <f ca="1">VLOOKUP(D2837,$F$1081:$I$4183,4,FALSE)+COUNTIF(E$1081:E2836,E2837)</f>
        <v>#N/A</v>
      </c>
      <c r="K2837" s="1"/>
      <c r="L2837" s="156"/>
      <c r="M2837" s="1"/>
      <c r="N2837" s="1"/>
      <c r="O2837" s="1"/>
    </row>
    <row r="2838" spans="1:15" hidden="1">
      <c r="A2838" s="1"/>
      <c r="B2838" s="197" t="e">
        <f t="shared" ca="1" si="256"/>
        <v>#N/A</v>
      </c>
      <c r="C2838" s="498">
        <v>772</v>
      </c>
      <c r="D2838" s="41" t="e">
        <f>IF($C$1077&gt;0,VLOOKUP($C2838,ENTI!$AL$4:AN$1003,3,FALSE),"")</f>
        <v>#N/A</v>
      </c>
      <c r="E2838" s="41" t="str">
        <f t="shared" si="257"/>
        <v/>
      </c>
      <c r="F2838" s="200"/>
      <c r="G2838" s="178" t="e">
        <f>IF($C$1077&gt;0,VLOOKUP($C2838,ENTI!$AL$4:AP$1003,5,FALSE),"")</f>
        <v>#N/A</v>
      </c>
      <c r="H2838" s="179" t="e">
        <f>IF($C$1077&gt;0,VLOOKUP($C2838,ENTI!$AL$4:AQ$1003,6,FALSE),"")</f>
        <v>#N/A</v>
      </c>
      <c r="I2838" s="187"/>
      <c r="J2838" s="140" t="e">
        <f ca="1">VLOOKUP(D2838,$F$1081:$I$4183,4,FALSE)+COUNTIF(E$1081:E2837,E2838)</f>
        <v>#N/A</v>
      </c>
      <c r="K2838" s="1"/>
      <c r="L2838" s="156"/>
      <c r="M2838" s="1"/>
      <c r="N2838" s="1"/>
      <c r="O2838" s="1"/>
    </row>
    <row r="2839" spans="1:15" hidden="1">
      <c r="A2839" s="1"/>
      <c r="B2839" s="197" t="e">
        <f t="shared" ca="1" si="256"/>
        <v>#N/A</v>
      </c>
      <c r="C2839" s="498">
        <v>773</v>
      </c>
      <c r="D2839" s="41" t="e">
        <f>IF($C$1077&gt;0,VLOOKUP($C2839,ENTI!$AL$4:AN$1003,3,FALSE),"")</f>
        <v>#N/A</v>
      </c>
      <c r="E2839" s="41" t="str">
        <f t="shared" si="257"/>
        <v/>
      </c>
      <c r="F2839" s="200"/>
      <c r="G2839" s="178" t="e">
        <f>IF($C$1077&gt;0,VLOOKUP($C2839,ENTI!$AL$4:AP$1003,5,FALSE),"")</f>
        <v>#N/A</v>
      </c>
      <c r="H2839" s="179" t="e">
        <f>IF($C$1077&gt;0,VLOOKUP($C2839,ENTI!$AL$4:AQ$1003,6,FALSE),"")</f>
        <v>#N/A</v>
      </c>
      <c r="I2839" s="187"/>
      <c r="J2839" s="140" t="e">
        <f ca="1">VLOOKUP(D2839,$F$1081:$I$4183,4,FALSE)+COUNTIF(E$1081:E2838,E2839)</f>
        <v>#N/A</v>
      </c>
      <c r="K2839" s="1"/>
      <c r="L2839" s="156"/>
      <c r="M2839" s="1"/>
      <c r="N2839" s="1"/>
      <c r="O2839" s="1"/>
    </row>
    <row r="2840" spans="1:15" hidden="1">
      <c r="A2840" s="1"/>
      <c r="B2840" s="197" t="e">
        <f t="shared" ca="1" si="256"/>
        <v>#N/A</v>
      </c>
      <c r="C2840" s="498">
        <v>774</v>
      </c>
      <c r="D2840" s="41" t="e">
        <f>IF($C$1077&gt;0,VLOOKUP($C2840,ENTI!$AL$4:AN$1003,3,FALSE),"")</f>
        <v>#N/A</v>
      </c>
      <c r="E2840" s="41" t="str">
        <f t="shared" si="257"/>
        <v/>
      </c>
      <c r="F2840" s="200"/>
      <c r="G2840" s="178" t="e">
        <f>IF($C$1077&gt;0,VLOOKUP($C2840,ENTI!$AL$4:AP$1003,5,FALSE),"")</f>
        <v>#N/A</v>
      </c>
      <c r="H2840" s="179" t="e">
        <f>IF($C$1077&gt;0,VLOOKUP($C2840,ENTI!$AL$4:AQ$1003,6,FALSE),"")</f>
        <v>#N/A</v>
      </c>
      <c r="I2840" s="187"/>
      <c r="J2840" s="140" t="e">
        <f ca="1">VLOOKUP(D2840,$F$1081:$I$4183,4,FALSE)+COUNTIF(E$1081:E2839,E2840)</f>
        <v>#N/A</v>
      </c>
      <c r="K2840" s="1"/>
      <c r="L2840" s="156"/>
      <c r="M2840" s="1"/>
      <c r="N2840" s="1"/>
      <c r="O2840" s="1"/>
    </row>
    <row r="2841" spans="1:15" hidden="1">
      <c r="A2841" s="1"/>
      <c r="B2841" s="197" t="e">
        <f t="shared" ref="B2841:B2904" ca="1" si="258">IF(OR(C$1075&gt;0,C$1077&gt;0,C$1073&gt;0,C$1071&gt;0),J2841+1,J2841)</f>
        <v>#N/A</v>
      </c>
      <c r="C2841" s="498">
        <v>775</v>
      </c>
      <c r="D2841" s="41" t="e">
        <f>IF($C$1077&gt;0,VLOOKUP($C2841,ENTI!$AL$4:AN$1003,3,FALSE),"")</f>
        <v>#N/A</v>
      </c>
      <c r="E2841" s="41" t="str">
        <f t="shared" si="257"/>
        <v/>
      </c>
      <c r="F2841" s="200"/>
      <c r="G2841" s="178" t="e">
        <f>IF($C$1077&gt;0,VLOOKUP($C2841,ENTI!$AL$4:AP$1003,5,FALSE),"")</f>
        <v>#N/A</v>
      </c>
      <c r="H2841" s="179" t="e">
        <f>IF($C$1077&gt;0,VLOOKUP($C2841,ENTI!$AL$4:AQ$1003,6,FALSE),"")</f>
        <v>#N/A</v>
      </c>
      <c r="I2841" s="187"/>
      <c r="J2841" s="140" t="e">
        <f ca="1">VLOOKUP(D2841,$F$1081:$I$4183,4,FALSE)+COUNTIF(E$1081:E2840,E2841)</f>
        <v>#N/A</v>
      </c>
      <c r="K2841" s="1"/>
      <c r="L2841" s="156"/>
      <c r="M2841" s="1"/>
      <c r="N2841" s="1"/>
      <c r="O2841" s="1"/>
    </row>
    <row r="2842" spans="1:15" hidden="1">
      <c r="A2842" s="1"/>
      <c r="B2842" s="197" t="e">
        <f t="shared" ca="1" si="258"/>
        <v>#N/A</v>
      </c>
      <c r="C2842" s="498">
        <v>776</v>
      </c>
      <c r="D2842" s="41" t="e">
        <f>IF($C$1077&gt;0,VLOOKUP($C2842,ENTI!$AL$4:AN$1003,3,FALSE),"")</f>
        <v>#N/A</v>
      </c>
      <c r="E2842" s="41" t="str">
        <f t="shared" si="257"/>
        <v/>
      </c>
      <c r="F2842" s="200"/>
      <c r="G2842" s="178" t="e">
        <f>IF($C$1077&gt;0,VLOOKUP($C2842,ENTI!$AL$4:AP$1003,5,FALSE),"")</f>
        <v>#N/A</v>
      </c>
      <c r="H2842" s="179" t="e">
        <f>IF($C$1077&gt;0,VLOOKUP($C2842,ENTI!$AL$4:AQ$1003,6,FALSE),"")</f>
        <v>#N/A</v>
      </c>
      <c r="I2842" s="187"/>
      <c r="J2842" s="140" t="e">
        <f ca="1">VLOOKUP(D2842,$F$1081:$I$4183,4,FALSE)+COUNTIF(E$1081:E2841,E2842)</f>
        <v>#N/A</v>
      </c>
      <c r="K2842" s="1"/>
      <c r="L2842" s="156"/>
      <c r="M2842" s="1"/>
      <c r="N2842" s="1"/>
      <c r="O2842" s="1"/>
    </row>
    <row r="2843" spans="1:15" hidden="1">
      <c r="A2843" s="1"/>
      <c r="B2843" s="197" t="e">
        <f t="shared" ca="1" si="258"/>
        <v>#N/A</v>
      </c>
      <c r="C2843" s="498">
        <v>777</v>
      </c>
      <c r="D2843" s="41" t="e">
        <f>IF($C$1077&gt;0,VLOOKUP($C2843,ENTI!$AL$4:AN$1003,3,FALSE),"")</f>
        <v>#N/A</v>
      </c>
      <c r="E2843" s="41" t="str">
        <f t="shared" si="257"/>
        <v/>
      </c>
      <c r="F2843" s="200"/>
      <c r="G2843" s="178" t="e">
        <f>IF($C$1077&gt;0,VLOOKUP($C2843,ENTI!$AL$4:AP$1003,5,FALSE),"")</f>
        <v>#N/A</v>
      </c>
      <c r="H2843" s="179" t="e">
        <f>IF($C$1077&gt;0,VLOOKUP($C2843,ENTI!$AL$4:AQ$1003,6,FALSE),"")</f>
        <v>#N/A</v>
      </c>
      <c r="I2843" s="187"/>
      <c r="J2843" s="140" t="e">
        <f ca="1">VLOOKUP(D2843,$F$1081:$I$4183,4,FALSE)+COUNTIF(E$1081:E2842,E2843)</f>
        <v>#N/A</v>
      </c>
      <c r="K2843" s="1"/>
      <c r="L2843" s="156"/>
      <c r="M2843" s="1"/>
      <c r="N2843" s="1"/>
      <c r="O2843" s="1"/>
    </row>
    <row r="2844" spans="1:15" hidden="1">
      <c r="A2844" s="1"/>
      <c r="B2844" s="197" t="e">
        <f t="shared" ca="1" si="258"/>
        <v>#N/A</v>
      </c>
      <c r="C2844" s="498">
        <v>778</v>
      </c>
      <c r="D2844" s="41" t="e">
        <f>IF($C$1077&gt;0,VLOOKUP($C2844,ENTI!$AL$4:AN$1003,3,FALSE),"")</f>
        <v>#N/A</v>
      </c>
      <c r="E2844" s="41" t="str">
        <f t="shared" si="257"/>
        <v/>
      </c>
      <c r="F2844" s="200"/>
      <c r="G2844" s="178" t="e">
        <f>IF($C$1077&gt;0,VLOOKUP($C2844,ENTI!$AL$4:AP$1003,5,FALSE),"")</f>
        <v>#N/A</v>
      </c>
      <c r="H2844" s="179" t="e">
        <f>IF($C$1077&gt;0,VLOOKUP($C2844,ENTI!$AL$4:AQ$1003,6,FALSE),"")</f>
        <v>#N/A</v>
      </c>
      <c r="I2844" s="187"/>
      <c r="J2844" s="140" t="e">
        <f ca="1">VLOOKUP(D2844,$F$1081:$I$4183,4,FALSE)+COUNTIF(E$1081:E2843,E2844)</f>
        <v>#N/A</v>
      </c>
      <c r="K2844" s="1"/>
      <c r="L2844" s="156"/>
      <c r="M2844" s="1"/>
      <c r="N2844" s="1"/>
      <c r="O2844" s="1"/>
    </row>
    <row r="2845" spans="1:15" hidden="1">
      <c r="A2845" s="1"/>
      <c r="B2845" s="197" t="e">
        <f t="shared" ca="1" si="258"/>
        <v>#N/A</v>
      </c>
      <c r="C2845" s="498">
        <v>779</v>
      </c>
      <c r="D2845" s="41" t="e">
        <f>IF($C$1077&gt;0,VLOOKUP($C2845,ENTI!$AL$4:AN$1003,3,FALSE),"")</f>
        <v>#N/A</v>
      </c>
      <c r="E2845" s="41" t="str">
        <f t="shared" si="257"/>
        <v/>
      </c>
      <c r="F2845" s="200"/>
      <c r="G2845" s="178" t="e">
        <f>IF($C$1077&gt;0,VLOOKUP($C2845,ENTI!$AL$4:AP$1003,5,FALSE),"")</f>
        <v>#N/A</v>
      </c>
      <c r="H2845" s="179" t="e">
        <f>IF($C$1077&gt;0,VLOOKUP($C2845,ENTI!$AL$4:AQ$1003,6,FALSE),"")</f>
        <v>#N/A</v>
      </c>
      <c r="I2845" s="187"/>
      <c r="J2845" s="140" t="e">
        <f ca="1">VLOOKUP(D2845,$F$1081:$I$4183,4,FALSE)+COUNTIF(E$1081:E2844,E2845)</f>
        <v>#N/A</v>
      </c>
      <c r="K2845" s="1"/>
      <c r="L2845" s="156"/>
      <c r="M2845" s="1"/>
      <c r="N2845" s="1"/>
      <c r="O2845" s="1"/>
    </row>
    <row r="2846" spans="1:15" hidden="1">
      <c r="A2846" s="1"/>
      <c r="B2846" s="197" t="e">
        <f t="shared" ca="1" si="258"/>
        <v>#N/A</v>
      </c>
      <c r="C2846" s="498">
        <v>780</v>
      </c>
      <c r="D2846" s="41" t="e">
        <f>IF($C$1077&gt;0,VLOOKUP($C2846,ENTI!$AL$4:AN$1003,3,FALSE),"")</f>
        <v>#N/A</v>
      </c>
      <c r="E2846" s="41" t="str">
        <f t="shared" si="257"/>
        <v/>
      </c>
      <c r="F2846" s="200"/>
      <c r="G2846" s="178" t="e">
        <f>IF($C$1077&gt;0,VLOOKUP($C2846,ENTI!$AL$4:AP$1003,5,FALSE),"")</f>
        <v>#N/A</v>
      </c>
      <c r="H2846" s="179" t="e">
        <f>IF($C$1077&gt;0,VLOOKUP($C2846,ENTI!$AL$4:AQ$1003,6,FALSE),"")</f>
        <v>#N/A</v>
      </c>
      <c r="I2846" s="187"/>
      <c r="J2846" s="140" t="e">
        <f ca="1">VLOOKUP(D2846,$F$1081:$I$4183,4,FALSE)+COUNTIF(E$1081:E2845,E2846)</f>
        <v>#N/A</v>
      </c>
      <c r="K2846" s="1"/>
      <c r="L2846" s="156"/>
      <c r="M2846" s="1"/>
      <c r="N2846" s="1"/>
      <c r="O2846" s="1"/>
    </row>
    <row r="2847" spans="1:15" hidden="1">
      <c r="A2847" s="1"/>
      <c r="B2847" s="197" t="e">
        <f t="shared" ca="1" si="258"/>
        <v>#N/A</v>
      </c>
      <c r="C2847" s="498">
        <v>781</v>
      </c>
      <c r="D2847" s="41" t="e">
        <f>IF($C$1077&gt;0,VLOOKUP($C2847,ENTI!$AL$4:AN$1003,3,FALSE),"")</f>
        <v>#N/A</v>
      </c>
      <c r="E2847" s="41" t="str">
        <f t="shared" si="257"/>
        <v/>
      </c>
      <c r="F2847" s="200"/>
      <c r="G2847" s="178" t="e">
        <f>IF($C$1077&gt;0,VLOOKUP($C2847,ENTI!$AL$4:AP$1003,5,FALSE),"")</f>
        <v>#N/A</v>
      </c>
      <c r="H2847" s="179" t="e">
        <f>IF($C$1077&gt;0,VLOOKUP($C2847,ENTI!$AL$4:AQ$1003,6,FALSE),"")</f>
        <v>#N/A</v>
      </c>
      <c r="I2847" s="187"/>
      <c r="J2847" s="140" t="e">
        <f ca="1">VLOOKUP(D2847,$F$1081:$I$4183,4,FALSE)+COUNTIF(E$1081:E2846,E2847)</f>
        <v>#N/A</v>
      </c>
      <c r="K2847" s="1"/>
      <c r="L2847" s="156"/>
      <c r="M2847" s="1"/>
      <c r="N2847" s="1"/>
      <c r="O2847" s="1"/>
    </row>
    <row r="2848" spans="1:15" hidden="1">
      <c r="A2848" s="1"/>
      <c r="B2848" s="197" t="e">
        <f t="shared" ca="1" si="258"/>
        <v>#N/A</v>
      </c>
      <c r="C2848" s="498">
        <v>782</v>
      </c>
      <c r="D2848" s="41" t="e">
        <f>IF($C$1077&gt;0,VLOOKUP($C2848,ENTI!$AL$4:AN$1003,3,FALSE),"")</f>
        <v>#N/A</v>
      </c>
      <c r="E2848" s="41" t="str">
        <f t="shared" si="257"/>
        <v/>
      </c>
      <c r="F2848" s="200"/>
      <c r="G2848" s="178" t="e">
        <f>IF($C$1077&gt;0,VLOOKUP($C2848,ENTI!$AL$4:AP$1003,5,FALSE),"")</f>
        <v>#N/A</v>
      </c>
      <c r="H2848" s="179" t="e">
        <f>IF($C$1077&gt;0,VLOOKUP($C2848,ENTI!$AL$4:AQ$1003,6,FALSE),"")</f>
        <v>#N/A</v>
      </c>
      <c r="I2848" s="187"/>
      <c r="J2848" s="140" t="e">
        <f ca="1">VLOOKUP(D2848,$F$1081:$I$4183,4,FALSE)+COUNTIF(E$1081:E2847,E2848)</f>
        <v>#N/A</v>
      </c>
      <c r="K2848" s="1"/>
      <c r="L2848" s="156"/>
      <c r="M2848" s="1"/>
      <c r="N2848" s="1"/>
      <c r="O2848" s="1"/>
    </row>
    <row r="2849" spans="1:15" hidden="1">
      <c r="A2849" s="1"/>
      <c r="B2849" s="197" t="e">
        <f t="shared" ca="1" si="258"/>
        <v>#N/A</v>
      </c>
      <c r="C2849" s="498">
        <v>783</v>
      </c>
      <c r="D2849" s="41" t="e">
        <f>IF($C$1077&gt;0,VLOOKUP($C2849,ENTI!$AL$4:AN$1003,3,FALSE),"")</f>
        <v>#N/A</v>
      </c>
      <c r="E2849" s="41" t="str">
        <f t="shared" si="257"/>
        <v/>
      </c>
      <c r="F2849" s="200"/>
      <c r="G2849" s="178" t="e">
        <f>IF($C$1077&gt;0,VLOOKUP($C2849,ENTI!$AL$4:AP$1003,5,FALSE),"")</f>
        <v>#N/A</v>
      </c>
      <c r="H2849" s="179" t="e">
        <f>IF($C$1077&gt;0,VLOOKUP($C2849,ENTI!$AL$4:AQ$1003,6,FALSE),"")</f>
        <v>#N/A</v>
      </c>
      <c r="I2849" s="187"/>
      <c r="J2849" s="140" t="e">
        <f ca="1">VLOOKUP(D2849,$F$1081:$I$4183,4,FALSE)+COUNTIF(E$1081:E2848,E2849)</f>
        <v>#N/A</v>
      </c>
      <c r="K2849" s="1"/>
      <c r="L2849" s="156"/>
      <c r="M2849" s="1"/>
      <c r="N2849" s="1"/>
      <c r="O2849" s="1"/>
    </row>
    <row r="2850" spans="1:15" hidden="1">
      <c r="A2850" s="1"/>
      <c r="B2850" s="197" t="e">
        <f t="shared" ca="1" si="258"/>
        <v>#N/A</v>
      </c>
      <c r="C2850" s="498">
        <v>784</v>
      </c>
      <c r="D2850" s="41" t="e">
        <f>IF($C$1077&gt;0,VLOOKUP($C2850,ENTI!$AL$4:AN$1003,3,FALSE),"")</f>
        <v>#N/A</v>
      </c>
      <c r="E2850" s="41" t="str">
        <f t="shared" si="257"/>
        <v/>
      </c>
      <c r="F2850" s="200"/>
      <c r="G2850" s="178" t="e">
        <f>IF($C$1077&gt;0,VLOOKUP($C2850,ENTI!$AL$4:AP$1003,5,FALSE),"")</f>
        <v>#N/A</v>
      </c>
      <c r="H2850" s="179" t="e">
        <f>IF($C$1077&gt;0,VLOOKUP($C2850,ENTI!$AL$4:AQ$1003,6,FALSE),"")</f>
        <v>#N/A</v>
      </c>
      <c r="I2850" s="187"/>
      <c r="J2850" s="140" t="e">
        <f ca="1">VLOOKUP(D2850,$F$1081:$I$4183,4,FALSE)+COUNTIF(E$1081:E2849,E2850)</f>
        <v>#N/A</v>
      </c>
      <c r="K2850" s="1"/>
      <c r="L2850" s="156"/>
      <c r="M2850" s="1"/>
      <c r="N2850" s="1"/>
      <c r="O2850" s="1"/>
    </row>
    <row r="2851" spans="1:15" hidden="1">
      <c r="A2851" s="1"/>
      <c r="B2851" s="197" t="e">
        <f t="shared" ca="1" si="258"/>
        <v>#N/A</v>
      </c>
      <c r="C2851" s="498">
        <v>785</v>
      </c>
      <c r="D2851" s="41" t="e">
        <f>IF($C$1077&gt;0,VLOOKUP($C2851,ENTI!$AL$4:AN$1003,3,FALSE),"")</f>
        <v>#N/A</v>
      </c>
      <c r="E2851" s="41" t="str">
        <f t="shared" si="257"/>
        <v/>
      </c>
      <c r="F2851" s="200"/>
      <c r="G2851" s="178" t="e">
        <f>IF($C$1077&gt;0,VLOOKUP($C2851,ENTI!$AL$4:AP$1003,5,FALSE),"")</f>
        <v>#N/A</v>
      </c>
      <c r="H2851" s="179" t="e">
        <f>IF($C$1077&gt;0,VLOOKUP($C2851,ENTI!$AL$4:AQ$1003,6,FALSE),"")</f>
        <v>#N/A</v>
      </c>
      <c r="I2851" s="187"/>
      <c r="J2851" s="140" t="e">
        <f ca="1">VLOOKUP(D2851,$F$1081:$I$4183,4,FALSE)+COUNTIF(E$1081:E2850,E2851)</f>
        <v>#N/A</v>
      </c>
      <c r="K2851" s="1"/>
      <c r="L2851" s="156"/>
      <c r="M2851" s="1"/>
      <c r="N2851" s="1"/>
      <c r="O2851" s="1"/>
    </row>
    <row r="2852" spans="1:15" hidden="1">
      <c r="A2852" s="1"/>
      <c r="B2852" s="197" t="e">
        <f t="shared" ca="1" si="258"/>
        <v>#N/A</v>
      </c>
      <c r="C2852" s="498">
        <v>786</v>
      </c>
      <c r="D2852" s="41" t="e">
        <f>IF($C$1077&gt;0,VLOOKUP($C2852,ENTI!$AL$4:AN$1003,3,FALSE),"")</f>
        <v>#N/A</v>
      </c>
      <c r="E2852" s="41" t="str">
        <f t="shared" si="257"/>
        <v/>
      </c>
      <c r="F2852" s="200"/>
      <c r="G2852" s="178" t="e">
        <f>IF($C$1077&gt;0,VLOOKUP($C2852,ENTI!$AL$4:AP$1003,5,FALSE),"")</f>
        <v>#N/A</v>
      </c>
      <c r="H2852" s="179" t="e">
        <f>IF($C$1077&gt;0,VLOOKUP($C2852,ENTI!$AL$4:AQ$1003,6,FALSE),"")</f>
        <v>#N/A</v>
      </c>
      <c r="I2852" s="187"/>
      <c r="J2852" s="140" t="e">
        <f ca="1">VLOOKUP(D2852,$F$1081:$I$4183,4,FALSE)+COUNTIF(E$1081:E2851,E2852)</f>
        <v>#N/A</v>
      </c>
      <c r="K2852" s="1"/>
      <c r="L2852" s="156"/>
      <c r="M2852" s="1"/>
      <c r="N2852" s="1"/>
      <c r="O2852" s="1"/>
    </row>
    <row r="2853" spans="1:15" hidden="1">
      <c r="A2853" s="1"/>
      <c r="B2853" s="197" t="e">
        <f t="shared" ca="1" si="258"/>
        <v>#N/A</v>
      </c>
      <c r="C2853" s="498">
        <v>787</v>
      </c>
      <c r="D2853" s="41" t="e">
        <f>IF($C$1077&gt;0,VLOOKUP($C2853,ENTI!$AL$4:AN$1003,3,FALSE),"")</f>
        <v>#N/A</v>
      </c>
      <c r="E2853" s="41" t="str">
        <f t="shared" si="257"/>
        <v/>
      </c>
      <c r="F2853" s="200"/>
      <c r="G2853" s="178" t="e">
        <f>IF($C$1077&gt;0,VLOOKUP($C2853,ENTI!$AL$4:AP$1003,5,FALSE),"")</f>
        <v>#N/A</v>
      </c>
      <c r="H2853" s="179" t="e">
        <f>IF($C$1077&gt;0,VLOOKUP($C2853,ENTI!$AL$4:AQ$1003,6,FALSE),"")</f>
        <v>#N/A</v>
      </c>
      <c r="I2853" s="187"/>
      <c r="J2853" s="140" t="e">
        <f ca="1">VLOOKUP(D2853,$F$1081:$I$4183,4,FALSE)+COUNTIF(E$1081:E2852,E2853)</f>
        <v>#N/A</v>
      </c>
      <c r="K2853" s="1"/>
      <c r="L2853" s="156"/>
      <c r="M2853" s="1"/>
      <c r="N2853" s="1"/>
      <c r="O2853" s="1"/>
    </row>
    <row r="2854" spans="1:15" hidden="1">
      <c r="A2854" s="1"/>
      <c r="B2854" s="197" t="e">
        <f t="shared" ca="1" si="258"/>
        <v>#N/A</v>
      </c>
      <c r="C2854" s="498">
        <v>788</v>
      </c>
      <c r="D2854" s="41" t="e">
        <f>IF($C$1077&gt;0,VLOOKUP($C2854,ENTI!$AL$4:AN$1003,3,FALSE),"")</f>
        <v>#N/A</v>
      </c>
      <c r="E2854" s="41" t="str">
        <f t="shared" si="257"/>
        <v/>
      </c>
      <c r="F2854" s="200"/>
      <c r="G2854" s="178" t="e">
        <f>IF($C$1077&gt;0,VLOOKUP($C2854,ENTI!$AL$4:AP$1003,5,FALSE),"")</f>
        <v>#N/A</v>
      </c>
      <c r="H2854" s="179" t="e">
        <f>IF($C$1077&gt;0,VLOOKUP($C2854,ENTI!$AL$4:AQ$1003,6,FALSE),"")</f>
        <v>#N/A</v>
      </c>
      <c r="I2854" s="187"/>
      <c r="J2854" s="140" t="e">
        <f ca="1">VLOOKUP(D2854,$F$1081:$I$4183,4,FALSE)+COUNTIF(E$1081:E2853,E2854)</f>
        <v>#N/A</v>
      </c>
      <c r="K2854" s="1"/>
      <c r="L2854" s="156"/>
      <c r="M2854" s="1"/>
      <c r="N2854" s="1"/>
      <c r="O2854" s="1"/>
    </row>
    <row r="2855" spans="1:15" hidden="1">
      <c r="A2855" s="1"/>
      <c r="B2855" s="197" t="e">
        <f t="shared" ca="1" si="258"/>
        <v>#N/A</v>
      </c>
      <c r="C2855" s="498">
        <v>789</v>
      </c>
      <c r="D2855" s="41" t="e">
        <f>IF($C$1077&gt;0,VLOOKUP($C2855,ENTI!$AL$4:AN$1003,3,FALSE),"")</f>
        <v>#N/A</v>
      </c>
      <c r="E2855" s="41" t="str">
        <f t="shared" si="257"/>
        <v/>
      </c>
      <c r="F2855" s="200"/>
      <c r="G2855" s="178" t="e">
        <f>IF($C$1077&gt;0,VLOOKUP($C2855,ENTI!$AL$4:AP$1003,5,FALSE),"")</f>
        <v>#N/A</v>
      </c>
      <c r="H2855" s="179" t="e">
        <f>IF($C$1077&gt;0,VLOOKUP($C2855,ENTI!$AL$4:AQ$1003,6,FALSE),"")</f>
        <v>#N/A</v>
      </c>
      <c r="I2855" s="187"/>
      <c r="J2855" s="140" t="e">
        <f ca="1">VLOOKUP(D2855,$F$1081:$I$4183,4,FALSE)+COUNTIF(E$1081:E2854,E2855)</f>
        <v>#N/A</v>
      </c>
      <c r="K2855" s="1"/>
      <c r="L2855" s="156"/>
      <c r="M2855" s="1"/>
      <c r="N2855" s="1"/>
      <c r="O2855" s="1"/>
    </row>
    <row r="2856" spans="1:15" hidden="1">
      <c r="A2856" s="1"/>
      <c r="B2856" s="197" t="e">
        <f t="shared" ca="1" si="258"/>
        <v>#N/A</v>
      </c>
      <c r="C2856" s="498">
        <v>790</v>
      </c>
      <c r="D2856" s="41" t="e">
        <f>IF($C$1077&gt;0,VLOOKUP($C2856,ENTI!$AL$4:AN$1003,3,FALSE),"")</f>
        <v>#N/A</v>
      </c>
      <c r="E2856" s="41" t="str">
        <f t="shared" si="257"/>
        <v/>
      </c>
      <c r="F2856" s="200"/>
      <c r="G2856" s="178" t="e">
        <f>IF($C$1077&gt;0,VLOOKUP($C2856,ENTI!$AL$4:AP$1003,5,FALSE),"")</f>
        <v>#N/A</v>
      </c>
      <c r="H2856" s="179" t="e">
        <f>IF($C$1077&gt;0,VLOOKUP($C2856,ENTI!$AL$4:AQ$1003,6,FALSE),"")</f>
        <v>#N/A</v>
      </c>
      <c r="I2856" s="187"/>
      <c r="J2856" s="140" t="e">
        <f ca="1">VLOOKUP(D2856,$F$1081:$I$4183,4,FALSE)+COUNTIF(E$1081:E2855,E2856)</f>
        <v>#N/A</v>
      </c>
      <c r="K2856" s="1"/>
      <c r="L2856" s="156"/>
      <c r="M2856" s="1"/>
      <c r="N2856" s="1"/>
      <c r="O2856" s="1"/>
    </row>
    <row r="2857" spans="1:15" hidden="1">
      <c r="A2857" s="1"/>
      <c r="B2857" s="197" t="e">
        <f t="shared" ca="1" si="258"/>
        <v>#N/A</v>
      </c>
      <c r="C2857" s="498">
        <v>791</v>
      </c>
      <c r="D2857" s="41" t="e">
        <f>IF($C$1077&gt;0,VLOOKUP($C2857,ENTI!$AL$4:AN$1003,3,FALSE),"")</f>
        <v>#N/A</v>
      </c>
      <c r="E2857" s="41" t="str">
        <f t="shared" si="257"/>
        <v/>
      </c>
      <c r="F2857" s="200"/>
      <c r="G2857" s="178" t="e">
        <f>IF($C$1077&gt;0,VLOOKUP($C2857,ENTI!$AL$4:AP$1003,5,FALSE),"")</f>
        <v>#N/A</v>
      </c>
      <c r="H2857" s="179" t="e">
        <f>IF($C$1077&gt;0,VLOOKUP($C2857,ENTI!$AL$4:AQ$1003,6,FALSE),"")</f>
        <v>#N/A</v>
      </c>
      <c r="I2857" s="187"/>
      <c r="J2857" s="140" t="e">
        <f ca="1">VLOOKUP(D2857,$F$1081:$I$4183,4,FALSE)+COUNTIF(E$1081:E2856,E2857)</f>
        <v>#N/A</v>
      </c>
      <c r="K2857" s="1"/>
      <c r="L2857" s="156"/>
      <c r="M2857" s="1"/>
      <c r="N2857" s="1"/>
      <c r="O2857" s="1"/>
    </row>
    <row r="2858" spans="1:15" hidden="1">
      <c r="A2858" s="1"/>
      <c r="B2858" s="197" t="e">
        <f t="shared" ca="1" si="258"/>
        <v>#N/A</v>
      </c>
      <c r="C2858" s="498">
        <v>792</v>
      </c>
      <c r="D2858" s="41" t="e">
        <f>IF($C$1077&gt;0,VLOOKUP($C2858,ENTI!$AL$4:AN$1003,3,FALSE),"")</f>
        <v>#N/A</v>
      </c>
      <c r="E2858" s="41" t="str">
        <f t="shared" si="257"/>
        <v/>
      </c>
      <c r="F2858" s="200"/>
      <c r="G2858" s="178" t="e">
        <f>IF($C$1077&gt;0,VLOOKUP($C2858,ENTI!$AL$4:AP$1003,5,FALSE),"")</f>
        <v>#N/A</v>
      </c>
      <c r="H2858" s="179" t="e">
        <f>IF($C$1077&gt;0,VLOOKUP($C2858,ENTI!$AL$4:AQ$1003,6,FALSE),"")</f>
        <v>#N/A</v>
      </c>
      <c r="I2858" s="187"/>
      <c r="J2858" s="140" t="e">
        <f ca="1">VLOOKUP(D2858,$F$1081:$I$4183,4,FALSE)+COUNTIF(E$1081:E2857,E2858)</f>
        <v>#N/A</v>
      </c>
      <c r="K2858" s="1"/>
      <c r="L2858" s="156"/>
      <c r="M2858" s="1"/>
      <c r="N2858" s="1"/>
      <c r="O2858" s="1"/>
    </row>
    <row r="2859" spans="1:15" hidden="1">
      <c r="A2859" s="1"/>
      <c r="B2859" s="197" t="e">
        <f t="shared" ca="1" si="258"/>
        <v>#N/A</v>
      </c>
      <c r="C2859" s="498">
        <v>793</v>
      </c>
      <c r="D2859" s="41" t="e">
        <f>IF($C$1077&gt;0,VLOOKUP($C2859,ENTI!$AL$4:AN$1003,3,FALSE),"")</f>
        <v>#N/A</v>
      </c>
      <c r="E2859" s="41" t="str">
        <f t="shared" si="257"/>
        <v/>
      </c>
      <c r="F2859" s="200"/>
      <c r="G2859" s="178" t="e">
        <f>IF($C$1077&gt;0,VLOOKUP($C2859,ENTI!$AL$4:AP$1003,5,FALSE),"")</f>
        <v>#N/A</v>
      </c>
      <c r="H2859" s="179" t="e">
        <f>IF($C$1077&gt;0,VLOOKUP($C2859,ENTI!$AL$4:AQ$1003,6,FALSE),"")</f>
        <v>#N/A</v>
      </c>
      <c r="I2859" s="187"/>
      <c r="J2859" s="140" t="e">
        <f ca="1">VLOOKUP(D2859,$F$1081:$I$4183,4,FALSE)+COUNTIF(E$1081:E2858,E2859)</f>
        <v>#N/A</v>
      </c>
      <c r="K2859" s="1"/>
      <c r="L2859" s="156"/>
      <c r="M2859" s="1"/>
      <c r="N2859" s="1"/>
      <c r="O2859" s="1"/>
    </row>
    <row r="2860" spans="1:15" hidden="1">
      <c r="A2860" s="1"/>
      <c r="B2860" s="197" t="e">
        <f t="shared" ca="1" si="258"/>
        <v>#N/A</v>
      </c>
      <c r="C2860" s="498">
        <v>794</v>
      </c>
      <c r="D2860" s="41" t="e">
        <f>IF($C$1077&gt;0,VLOOKUP($C2860,ENTI!$AL$4:AN$1003,3,FALSE),"")</f>
        <v>#N/A</v>
      </c>
      <c r="E2860" s="41" t="str">
        <f t="shared" si="257"/>
        <v/>
      </c>
      <c r="F2860" s="200"/>
      <c r="G2860" s="178" t="e">
        <f>IF($C$1077&gt;0,VLOOKUP($C2860,ENTI!$AL$4:AP$1003,5,FALSE),"")</f>
        <v>#N/A</v>
      </c>
      <c r="H2860" s="179" t="e">
        <f>IF($C$1077&gt;0,VLOOKUP($C2860,ENTI!$AL$4:AQ$1003,6,FALSE),"")</f>
        <v>#N/A</v>
      </c>
      <c r="I2860" s="187"/>
      <c r="J2860" s="140" t="e">
        <f ca="1">VLOOKUP(D2860,$F$1081:$I$4183,4,FALSE)+COUNTIF(E$1081:E2859,E2860)</f>
        <v>#N/A</v>
      </c>
      <c r="K2860" s="1"/>
      <c r="L2860" s="156"/>
      <c r="M2860" s="1"/>
      <c r="N2860" s="1"/>
      <c r="O2860" s="1"/>
    </row>
    <row r="2861" spans="1:15" hidden="1">
      <c r="A2861" s="1"/>
      <c r="B2861" s="197" t="e">
        <f t="shared" ca="1" si="258"/>
        <v>#N/A</v>
      </c>
      <c r="C2861" s="498">
        <v>795</v>
      </c>
      <c r="D2861" s="41" t="e">
        <f>IF($C$1077&gt;0,VLOOKUP($C2861,ENTI!$AL$4:AN$1003,3,FALSE),"")</f>
        <v>#N/A</v>
      </c>
      <c r="E2861" s="41" t="str">
        <f t="shared" si="257"/>
        <v/>
      </c>
      <c r="F2861" s="200"/>
      <c r="G2861" s="178" t="e">
        <f>IF($C$1077&gt;0,VLOOKUP($C2861,ENTI!$AL$4:AP$1003,5,FALSE),"")</f>
        <v>#N/A</v>
      </c>
      <c r="H2861" s="179" t="e">
        <f>IF($C$1077&gt;0,VLOOKUP($C2861,ENTI!$AL$4:AQ$1003,6,FALSE),"")</f>
        <v>#N/A</v>
      </c>
      <c r="I2861" s="187"/>
      <c r="J2861" s="140" t="e">
        <f ca="1">VLOOKUP(D2861,$F$1081:$I$4183,4,FALSE)+COUNTIF(E$1081:E2860,E2861)</f>
        <v>#N/A</v>
      </c>
      <c r="K2861" s="1"/>
      <c r="L2861" s="156"/>
      <c r="M2861" s="1"/>
      <c r="N2861" s="1"/>
      <c r="O2861" s="1"/>
    </row>
    <row r="2862" spans="1:15" hidden="1">
      <c r="A2862" s="1"/>
      <c r="B2862" s="197" t="e">
        <f t="shared" ca="1" si="258"/>
        <v>#N/A</v>
      </c>
      <c r="C2862" s="498">
        <v>796</v>
      </c>
      <c r="D2862" s="41" t="e">
        <f>IF($C$1077&gt;0,VLOOKUP($C2862,ENTI!$AL$4:AN$1003,3,FALSE),"")</f>
        <v>#N/A</v>
      </c>
      <c r="E2862" s="41" t="str">
        <f t="shared" si="257"/>
        <v/>
      </c>
      <c r="F2862" s="200"/>
      <c r="G2862" s="178" t="e">
        <f>IF($C$1077&gt;0,VLOOKUP($C2862,ENTI!$AL$4:AP$1003,5,FALSE),"")</f>
        <v>#N/A</v>
      </c>
      <c r="H2862" s="179" t="e">
        <f>IF($C$1077&gt;0,VLOOKUP($C2862,ENTI!$AL$4:AQ$1003,6,FALSE),"")</f>
        <v>#N/A</v>
      </c>
      <c r="I2862" s="187"/>
      <c r="J2862" s="140" t="e">
        <f ca="1">VLOOKUP(D2862,$F$1081:$I$4183,4,FALSE)+COUNTIF(E$1081:E2861,E2862)</f>
        <v>#N/A</v>
      </c>
      <c r="K2862" s="1"/>
      <c r="L2862" s="156"/>
      <c r="M2862" s="1"/>
      <c r="N2862" s="1"/>
      <c r="O2862" s="1"/>
    </row>
    <row r="2863" spans="1:15" hidden="1">
      <c r="A2863" s="1"/>
      <c r="B2863" s="197" t="e">
        <f t="shared" ca="1" si="258"/>
        <v>#N/A</v>
      </c>
      <c r="C2863" s="498">
        <v>797</v>
      </c>
      <c r="D2863" s="41" t="e">
        <f>IF($C$1077&gt;0,VLOOKUP($C2863,ENTI!$AL$4:AN$1003,3,FALSE),"")</f>
        <v>#N/A</v>
      </c>
      <c r="E2863" s="41" t="str">
        <f t="shared" si="257"/>
        <v/>
      </c>
      <c r="F2863" s="200"/>
      <c r="G2863" s="178" t="e">
        <f>IF($C$1077&gt;0,VLOOKUP($C2863,ENTI!$AL$4:AP$1003,5,FALSE),"")</f>
        <v>#N/A</v>
      </c>
      <c r="H2863" s="179" t="e">
        <f>IF($C$1077&gt;0,VLOOKUP($C2863,ENTI!$AL$4:AQ$1003,6,FALSE),"")</f>
        <v>#N/A</v>
      </c>
      <c r="I2863" s="187"/>
      <c r="J2863" s="140" t="e">
        <f ca="1">VLOOKUP(D2863,$F$1081:$I$4183,4,FALSE)+COUNTIF(E$1081:E2862,E2863)</f>
        <v>#N/A</v>
      </c>
      <c r="K2863" s="1"/>
      <c r="L2863" s="156"/>
      <c r="M2863" s="1"/>
      <c r="N2863" s="1"/>
      <c r="O2863" s="1"/>
    </row>
    <row r="2864" spans="1:15" hidden="1">
      <c r="A2864" s="1"/>
      <c r="B2864" s="197" t="e">
        <f t="shared" ca="1" si="258"/>
        <v>#N/A</v>
      </c>
      <c r="C2864" s="498">
        <v>798</v>
      </c>
      <c r="D2864" s="41" t="e">
        <f>IF($C$1077&gt;0,VLOOKUP($C2864,ENTI!$AL$4:AN$1003,3,FALSE),"")</f>
        <v>#N/A</v>
      </c>
      <c r="E2864" s="41" t="str">
        <f t="shared" si="257"/>
        <v/>
      </c>
      <c r="F2864" s="200"/>
      <c r="G2864" s="178" t="e">
        <f>IF($C$1077&gt;0,VLOOKUP($C2864,ENTI!$AL$4:AP$1003,5,FALSE),"")</f>
        <v>#N/A</v>
      </c>
      <c r="H2864" s="179" t="e">
        <f>IF($C$1077&gt;0,VLOOKUP($C2864,ENTI!$AL$4:AQ$1003,6,FALSE),"")</f>
        <v>#N/A</v>
      </c>
      <c r="I2864" s="187"/>
      <c r="J2864" s="140" t="e">
        <f ca="1">VLOOKUP(D2864,$F$1081:$I$4183,4,FALSE)+COUNTIF(E$1081:E2863,E2864)</f>
        <v>#N/A</v>
      </c>
      <c r="K2864" s="1"/>
      <c r="L2864" s="156"/>
      <c r="M2864" s="1"/>
      <c r="N2864" s="1"/>
      <c r="O2864" s="1"/>
    </row>
    <row r="2865" spans="1:15" hidden="1">
      <c r="A2865" s="1"/>
      <c r="B2865" s="197" t="e">
        <f t="shared" ca="1" si="258"/>
        <v>#N/A</v>
      </c>
      <c r="C2865" s="498">
        <v>799</v>
      </c>
      <c r="D2865" s="41" t="e">
        <f>IF($C$1077&gt;0,VLOOKUP($C2865,ENTI!$AL$4:AN$1003,3,FALSE),"")</f>
        <v>#N/A</v>
      </c>
      <c r="E2865" s="41" t="str">
        <f t="shared" si="257"/>
        <v/>
      </c>
      <c r="F2865" s="200"/>
      <c r="G2865" s="178" t="e">
        <f>IF($C$1077&gt;0,VLOOKUP($C2865,ENTI!$AL$4:AP$1003,5,FALSE),"")</f>
        <v>#N/A</v>
      </c>
      <c r="H2865" s="179" t="e">
        <f>IF($C$1077&gt;0,VLOOKUP($C2865,ENTI!$AL$4:AQ$1003,6,FALSE),"")</f>
        <v>#N/A</v>
      </c>
      <c r="I2865" s="187"/>
      <c r="J2865" s="140" t="e">
        <f ca="1">VLOOKUP(D2865,$F$1081:$I$4183,4,FALSE)+COUNTIF(E$1081:E2864,E2865)</f>
        <v>#N/A</v>
      </c>
      <c r="K2865" s="1"/>
      <c r="L2865" s="156"/>
      <c r="M2865" s="1"/>
      <c r="N2865" s="1"/>
      <c r="O2865" s="1"/>
    </row>
    <row r="2866" spans="1:15" hidden="1">
      <c r="A2866" s="1"/>
      <c r="B2866" s="197" t="e">
        <f t="shared" ca="1" si="258"/>
        <v>#N/A</v>
      </c>
      <c r="C2866" s="498">
        <v>800</v>
      </c>
      <c r="D2866" s="41" t="e">
        <f>IF($C$1077&gt;0,VLOOKUP($C2866,ENTI!$AL$4:AN$1003,3,FALSE),"")</f>
        <v>#N/A</v>
      </c>
      <c r="E2866" s="41" t="str">
        <f t="shared" si="257"/>
        <v/>
      </c>
      <c r="F2866" s="200"/>
      <c r="G2866" s="178" t="e">
        <f>IF($C$1077&gt;0,VLOOKUP($C2866,ENTI!$AL$4:AP$1003,5,FALSE),"")</f>
        <v>#N/A</v>
      </c>
      <c r="H2866" s="179" t="e">
        <f>IF($C$1077&gt;0,VLOOKUP($C2866,ENTI!$AL$4:AQ$1003,6,FALSE),"")</f>
        <v>#N/A</v>
      </c>
      <c r="I2866" s="187"/>
      <c r="J2866" s="140" t="e">
        <f ca="1">VLOOKUP(D2866,$F$1081:$I$4183,4,FALSE)+COUNTIF(E$1081:E2865,E2866)</f>
        <v>#N/A</v>
      </c>
      <c r="K2866" s="1"/>
      <c r="L2866" s="156"/>
      <c r="M2866" s="1"/>
      <c r="N2866" s="1"/>
      <c r="O2866" s="1"/>
    </row>
    <row r="2867" spans="1:15" hidden="1">
      <c r="A2867" s="1"/>
      <c r="B2867" s="197" t="e">
        <f t="shared" ca="1" si="258"/>
        <v>#N/A</v>
      </c>
      <c r="C2867" s="498">
        <v>801</v>
      </c>
      <c r="D2867" s="41" t="e">
        <f>IF($C$1077&gt;0,VLOOKUP($C2867,ENTI!$AL$4:AN$1003,3,FALSE),"")</f>
        <v>#N/A</v>
      </c>
      <c r="E2867" s="41" t="str">
        <f t="shared" si="257"/>
        <v/>
      </c>
      <c r="F2867" s="200"/>
      <c r="G2867" s="178" t="e">
        <f>IF($C$1077&gt;0,VLOOKUP($C2867,ENTI!$AL$4:AP$1003,5,FALSE),"")</f>
        <v>#N/A</v>
      </c>
      <c r="H2867" s="179" t="e">
        <f>IF($C$1077&gt;0,VLOOKUP($C2867,ENTI!$AL$4:AQ$1003,6,FALSE),"")</f>
        <v>#N/A</v>
      </c>
      <c r="I2867" s="187"/>
      <c r="J2867" s="140" t="e">
        <f ca="1">VLOOKUP(D2867,$F$1081:$I$4183,4,FALSE)+COUNTIF(E$1081:E2866,E2867)</f>
        <v>#N/A</v>
      </c>
      <c r="K2867" s="1"/>
      <c r="L2867" s="156"/>
      <c r="M2867" s="1"/>
      <c r="N2867" s="1"/>
      <c r="O2867" s="1"/>
    </row>
    <row r="2868" spans="1:15" hidden="1">
      <c r="A2868" s="1"/>
      <c r="B2868" s="197" t="e">
        <f t="shared" ca="1" si="258"/>
        <v>#N/A</v>
      </c>
      <c r="C2868" s="498">
        <v>802</v>
      </c>
      <c r="D2868" s="41" t="e">
        <f>IF($C$1077&gt;0,VLOOKUP($C2868,ENTI!$AL$4:AN$1003,3,FALSE),"")</f>
        <v>#N/A</v>
      </c>
      <c r="E2868" s="41" t="str">
        <f t="shared" si="257"/>
        <v/>
      </c>
      <c r="F2868" s="200"/>
      <c r="G2868" s="178" t="e">
        <f>IF($C$1077&gt;0,VLOOKUP($C2868,ENTI!$AL$4:AP$1003,5,FALSE),"")</f>
        <v>#N/A</v>
      </c>
      <c r="H2868" s="179" t="e">
        <f>IF($C$1077&gt;0,VLOOKUP($C2868,ENTI!$AL$4:AQ$1003,6,FALSE),"")</f>
        <v>#N/A</v>
      </c>
      <c r="I2868" s="187"/>
      <c r="J2868" s="140" t="e">
        <f ca="1">VLOOKUP(D2868,$F$1081:$I$4183,4,FALSE)+COUNTIF(E$1081:E2867,E2868)</f>
        <v>#N/A</v>
      </c>
      <c r="K2868" s="1"/>
      <c r="L2868" s="156"/>
      <c r="M2868" s="1"/>
      <c r="N2868" s="1"/>
      <c r="O2868" s="1"/>
    </row>
    <row r="2869" spans="1:15" hidden="1">
      <c r="A2869" s="1"/>
      <c r="B2869" s="197" t="e">
        <f t="shared" ca="1" si="258"/>
        <v>#N/A</v>
      </c>
      <c r="C2869" s="498">
        <v>803</v>
      </c>
      <c r="D2869" s="41" t="e">
        <f>IF($C$1077&gt;0,VLOOKUP($C2869,ENTI!$AL$4:AN$1003,3,FALSE),"")</f>
        <v>#N/A</v>
      </c>
      <c r="E2869" s="41" t="str">
        <f t="shared" si="257"/>
        <v/>
      </c>
      <c r="F2869" s="200"/>
      <c r="G2869" s="178" t="e">
        <f>IF($C$1077&gt;0,VLOOKUP($C2869,ENTI!$AL$4:AP$1003,5,FALSE),"")</f>
        <v>#N/A</v>
      </c>
      <c r="H2869" s="179" t="e">
        <f>IF($C$1077&gt;0,VLOOKUP($C2869,ENTI!$AL$4:AQ$1003,6,FALSE),"")</f>
        <v>#N/A</v>
      </c>
      <c r="I2869" s="187"/>
      <c r="J2869" s="140" t="e">
        <f ca="1">VLOOKUP(D2869,$F$1081:$I$4183,4,FALSE)+COUNTIF(E$1081:E2868,E2869)</f>
        <v>#N/A</v>
      </c>
      <c r="K2869" s="1"/>
      <c r="L2869" s="156"/>
      <c r="M2869" s="1"/>
      <c r="N2869" s="1"/>
      <c r="O2869" s="1"/>
    </row>
    <row r="2870" spans="1:15" hidden="1">
      <c r="A2870" s="1"/>
      <c r="B2870" s="197" t="e">
        <f t="shared" ca="1" si="258"/>
        <v>#N/A</v>
      </c>
      <c r="C2870" s="498">
        <v>804</v>
      </c>
      <c r="D2870" s="41" t="e">
        <f>IF($C$1077&gt;0,VLOOKUP($C2870,ENTI!$AL$4:AN$1003,3,FALSE),"")</f>
        <v>#N/A</v>
      </c>
      <c r="E2870" s="41" t="str">
        <f t="shared" si="257"/>
        <v/>
      </c>
      <c r="F2870" s="200"/>
      <c r="G2870" s="178" t="e">
        <f>IF($C$1077&gt;0,VLOOKUP($C2870,ENTI!$AL$4:AP$1003,5,FALSE),"")</f>
        <v>#N/A</v>
      </c>
      <c r="H2870" s="179" t="e">
        <f>IF($C$1077&gt;0,VLOOKUP($C2870,ENTI!$AL$4:AQ$1003,6,FALSE),"")</f>
        <v>#N/A</v>
      </c>
      <c r="I2870" s="187"/>
      <c r="J2870" s="140" t="e">
        <f ca="1">VLOOKUP(D2870,$F$1081:$I$4183,4,FALSE)+COUNTIF(E$1081:E2869,E2870)</f>
        <v>#N/A</v>
      </c>
      <c r="K2870" s="1"/>
      <c r="L2870" s="156"/>
      <c r="M2870" s="1"/>
      <c r="N2870" s="1"/>
      <c r="O2870" s="1"/>
    </row>
    <row r="2871" spans="1:15" hidden="1">
      <c r="A2871" s="1"/>
      <c r="B2871" s="197" t="e">
        <f t="shared" ca="1" si="258"/>
        <v>#N/A</v>
      </c>
      <c r="C2871" s="498">
        <v>805</v>
      </c>
      <c r="D2871" s="41" t="e">
        <f>IF($C$1077&gt;0,VLOOKUP($C2871,ENTI!$AL$4:AN$1003,3,FALSE),"")</f>
        <v>#N/A</v>
      </c>
      <c r="E2871" s="41" t="str">
        <f t="shared" si="257"/>
        <v/>
      </c>
      <c r="F2871" s="200"/>
      <c r="G2871" s="178" t="e">
        <f>IF($C$1077&gt;0,VLOOKUP($C2871,ENTI!$AL$4:AP$1003,5,FALSE),"")</f>
        <v>#N/A</v>
      </c>
      <c r="H2871" s="179" t="e">
        <f>IF($C$1077&gt;0,VLOOKUP($C2871,ENTI!$AL$4:AQ$1003,6,FALSE),"")</f>
        <v>#N/A</v>
      </c>
      <c r="I2871" s="187"/>
      <c r="J2871" s="140" t="e">
        <f ca="1">VLOOKUP(D2871,$F$1081:$I$4183,4,FALSE)+COUNTIF(E$1081:E2870,E2871)</f>
        <v>#N/A</v>
      </c>
      <c r="K2871" s="1"/>
      <c r="L2871" s="156"/>
      <c r="M2871" s="1"/>
      <c r="N2871" s="1"/>
      <c r="O2871" s="1"/>
    </row>
    <row r="2872" spans="1:15" hidden="1">
      <c r="A2872" s="1"/>
      <c r="B2872" s="197" t="e">
        <f t="shared" ca="1" si="258"/>
        <v>#N/A</v>
      </c>
      <c r="C2872" s="498">
        <v>806</v>
      </c>
      <c r="D2872" s="41" t="e">
        <f>IF($C$1077&gt;0,VLOOKUP($C2872,ENTI!$AL$4:AN$1003,3,FALSE),"")</f>
        <v>#N/A</v>
      </c>
      <c r="E2872" s="41" t="str">
        <f t="shared" si="257"/>
        <v/>
      </c>
      <c r="F2872" s="200"/>
      <c r="G2872" s="178" t="e">
        <f>IF($C$1077&gt;0,VLOOKUP($C2872,ENTI!$AL$4:AP$1003,5,FALSE),"")</f>
        <v>#N/A</v>
      </c>
      <c r="H2872" s="179" t="e">
        <f>IF($C$1077&gt;0,VLOOKUP($C2872,ENTI!$AL$4:AQ$1003,6,FALSE),"")</f>
        <v>#N/A</v>
      </c>
      <c r="I2872" s="187"/>
      <c r="J2872" s="140" t="e">
        <f ca="1">VLOOKUP(D2872,$F$1081:$I$4183,4,FALSE)+COUNTIF(E$1081:E2871,E2872)</f>
        <v>#N/A</v>
      </c>
      <c r="K2872" s="1"/>
      <c r="L2872" s="156"/>
      <c r="M2872" s="1"/>
      <c r="N2872" s="1"/>
      <c r="O2872" s="1"/>
    </row>
    <row r="2873" spans="1:15" hidden="1">
      <c r="A2873" s="1"/>
      <c r="B2873" s="197" t="e">
        <f t="shared" ca="1" si="258"/>
        <v>#N/A</v>
      </c>
      <c r="C2873" s="498">
        <v>807</v>
      </c>
      <c r="D2873" s="41" t="e">
        <f>IF($C$1077&gt;0,VLOOKUP($C2873,ENTI!$AL$4:AN$1003,3,FALSE),"")</f>
        <v>#N/A</v>
      </c>
      <c r="E2873" s="41" t="str">
        <f t="shared" si="257"/>
        <v/>
      </c>
      <c r="F2873" s="200"/>
      <c r="G2873" s="178" t="e">
        <f>IF($C$1077&gt;0,VLOOKUP($C2873,ENTI!$AL$4:AP$1003,5,FALSE),"")</f>
        <v>#N/A</v>
      </c>
      <c r="H2873" s="179" t="e">
        <f>IF($C$1077&gt;0,VLOOKUP($C2873,ENTI!$AL$4:AQ$1003,6,FALSE),"")</f>
        <v>#N/A</v>
      </c>
      <c r="I2873" s="187"/>
      <c r="J2873" s="140" t="e">
        <f ca="1">VLOOKUP(D2873,$F$1081:$I$4183,4,FALSE)+COUNTIF(E$1081:E2872,E2873)</f>
        <v>#N/A</v>
      </c>
      <c r="K2873" s="1"/>
      <c r="L2873" s="156"/>
      <c r="M2873" s="1"/>
      <c r="N2873" s="1"/>
      <c r="O2873" s="1"/>
    </row>
    <row r="2874" spans="1:15" hidden="1">
      <c r="A2874" s="1"/>
      <c r="B2874" s="197" t="e">
        <f t="shared" ca="1" si="258"/>
        <v>#N/A</v>
      </c>
      <c r="C2874" s="498">
        <v>808</v>
      </c>
      <c r="D2874" s="41" t="e">
        <f>IF($C$1077&gt;0,VLOOKUP($C2874,ENTI!$AL$4:AN$1003,3,FALSE),"")</f>
        <v>#N/A</v>
      </c>
      <c r="E2874" s="41" t="str">
        <f t="shared" si="257"/>
        <v/>
      </c>
      <c r="F2874" s="200"/>
      <c r="G2874" s="178" t="e">
        <f>IF($C$1077&gt;0,VLOOKUP($C2874,ENTI!$AL$4:AP$1003,5,FALSE),"")</f>
        <v>#N/A</v>
      </c>
      <c r="H2874" s="179" t="e">
        <f>IF($C$1077&gt;0,VLOOKUP($C2874,ENTI!$AL$4:AQ$1003,6,FALSE),"")</f>
        <v>#N/A</v>
      </c>
      <c r="I2874" s="187"/>
      <c r="J2874" s="140" t="e">
        <f ca="1">VLOOKUP(D2874,$F$1081:$I$4183,4,FALSE)+COUNTIF(E$1081:E2873,E2874)</f>
        <v>#N/A</v>
      </c>
      <c r="K2874" s="1"/>
      <c r="L2874" s="156"/>
      <c r="M2874" s="1"/>
      <c r="N2874" s="1"/>
      <c r="O2874" s="1"/>
    </row>
    <row r="2875" spans="1:15" hidden="1">
      <c r="A2875" s="1"/>
      <c r="B2875" s="197" t="e">
        <f t="shared" ca="1" si="258"/>
        <v>#N/A</v>
      </c>
      <c r="C2875" s="498">
        <v>809</v>
      </c>
      <c r="D2875" s="41" t="e">
        <f>IF($C$1077&gt;0,VLOOKUP($C2875,ENTI!$AL$4:AN$1003,3,FALSE),"")</f>
        <v>#N/A</v>
      </c>
      <c r="E2875" s="41" t="str">
        <f t="shared" si="257"/>
        <v/>
      </c>
      <c r="F2875" s="200"/>
      <c r="G2875" s="178" t="e">
        <f>IF($C$1077&gt;0,VLOOKUP($C2875,ENTI!$AL$4:AP$1003,5,FALSE),"")</f>
        <v>#N/A</v>
      </c>
      <c r="H2875" s="179" t="e">
        <f>IF($C$1077&gt;0,VLOOKUP($C2875,ENTI!$AL$4:AQ$1003,6,FALSE),"")</f>
        <v>#N/A</v>
      </c>
      <c r="I2875" s="187"/>
      <c r="J2875" s="140" t="e">
        <f ca="1">VLOOKUP(D2875,$F$1081:$I$4183,4,FALSE)+COUNTIF(E$1081:E2874,E2875)</f>
        <v>#N/A</v>
      </c>
      <c r="K2875" s="1"/>
      <c r="L2875" s="156"/>
      <c r="M2875" s="1"/>
      <c r="N2875" s="1"/>
      <c r="O2875" s="1"/>
    </row>
    <row r="2876" spans="1:15" hidden="1">
      <c r="A2876" s="1"/>
      <c r="B2876" s="197" t="e">
        <f t="shared" ca="1" si="258"/>
        <v>#N/A</v>
      </c>
      <c r="C2876" s="498">
        <v>810</v>
      </c>
      <c r="D2876" s="41" t="e">
        <f>IF($C$1077&gt;0,VLOOKUP($C2876,ENTI!$AL$4:AN$1003,3,FALSE),"")</f>
        <v>#N/A</v>
      </c>
      <c r="E2876" s="41" t="str">
        <f t="shared" si="257"/>
        <v/>
      </c>
      <c r="F2876" s="200"/>
      <c r="G2876" s="178" t="e">
        <f>IF($C$1077&gt;0,VLOOKUP($C2876,ENTI!$AL$4:AP$1003,5,FALSE),"")</f>
        <v>#N/A</v>
      </c>
      <c r="H2876" s="179" t="e">
        <f>IF($C$1077&gt;0,VLOOKUP($C2876,ENTI!$AL$4:AQ$1003,6,FALSE),"")</f>
        <v>#N/A</v>
      </c>
      <c r="I2876" s="187"/>
      <c r="J2876" s="140" t="e">
        <f ca="1">VLOOKUP(D2876,$F$1081:$I$4183,4,FALSE)+COUNTIF(E$1081:E2875,E2876)</f>
        <v>#N/A</v>
      </c>
      <c r="K2876" s="1"/>
      <c r="L2876" s="156"/>
      <c r="M2876" s="1"/>
      <c r="N2876" s="1"/>
      <c r="O2876" s="1"/>
    </row>
    <row r="2877" spans="1:15" hidden="1">
      <c r="A2877" s="1"/>
      <c r="B2877" s="197" t="e">
        <f t="shared" ca="1" si="258"/>
        <v>#N/A</v>
      </c>
      <c r="C2877" s="498">
        <v>811</v>
      </c>
      <c r="D2877" s="41" t="e">
        <f>IF($C$1077&gt;0,VLOOKUP($C2877,ENTI!$AL$4:AN$1003,3,FALSE),"")</f>
        <v>#N/A</v>
      </c>
      <c r="E2877" s="41" t="str">
        <f t="shared" si="257"/>
        <v/>
      </c>
      <c r="F2877" s="200"/>
      <c r="G2877" s="178" t="e">
        <f>IF($C$1077&gt;0,VLOOKUP($C2877,ENTI!$AL$4:AP$1003,5,FALSE),"")</f>
        <v>#N/A</v>
      </c>
      <c r="H2877" s="179" t="e">
        <f>IF($C$1077&gt;0,VLOOKUP($C2877,ENTI!$AL$4:AQ$1003,6,FALSE),"")</f>
        <v>#N/A</v>
      </c>
      <c r="I2877" s="187"/>
      <c r="J2877" s="140" t="e">
        <f ca="1">VLOOKUP(D2877,$F$1081:$I$4183,4,FALSE)+COUNTIF(E$1081:E2876,E2877)</f>
        <v>#N/A</v>
      </c>
      <c r="K2877" s="1"/>
      <c r="L2877" s="156"/>
      <c r="M2877" s="1"/>
      <c r="N2877" s="1"/>
      <c r="O2877" s="1"/>
    </row>
    <row r="2878" spans="1:15" hidden="1">
      <c r="A2878" s="1"/>
      <c r="B2878" s="197" t="e">
        <f t="shared" ca="1" si="258"/>
        <v>#N/A</v>
      </c>
      <c r="C2878" s="498">
        <v>812</v>
      </c>
      <c r="D2878" s="41" t="e">
        <f>IF($C$1077&gt;0,VLOOKUP($C2878,ENTI!$AL$4:AN$1003,3,FALSE),"")</f>
        <v>#N/A</v>
      </c>
      <c r="E2878" s="41" t="str">
        <f t="shared" si="257"/>
        <v/>
      </c>
      <c r="F2878" s="200"/>
      <c r="G2878" s="178" t="e">
        <f>IF($C$1077&gt;0,VLOOKUP($C2878,ENTI!$AL$4:AP$1003,5,FALSE),"")</f>
        <v>#N/A</v>
      </c>
      <c r="H2878" s="179" t="e">
        <f>IF($C$1077&gt;0,VLOOKUP($C2878,ENTI!$AL$4:AQ$1003,6,FALSE),"")</f>
        <v>#N/A</v>
      </c>
      <c r="I2878" s="187"/>
      <c r="J2878" s="140" t="e">
        <f ca="1">VLOOKUP(D2878,$F$1081:$I$4183,4,FALSE)+COUNTIF(E$1081:E2877,E2878)</f>
        <v>#N/A</v>
      </c>
      <c r="K2878" s="1"/>
      <c r="L2878" s="156"/>
      <c r="M2878" s="1"/>
      <c r="N2878" s="1"/>
      <c r="O2878" s="1"/>
    </row>
    <row r="2879" spans="1:15" hidden="1">
      <c r="A2879" s="1"/>
      <c r="B2879" s="197" t="e">
        <f t="shared" ca="1" si="258"/>
        <v>#N/A</v>
      </c>
      <c r="C2879" s="498">
        <v>813</v>
      </c>
      <c r="D2879" s="41" t="e">
        <f>IF($C$1077&gt;0,VLOOKUP($C2879,ENTI!$AL$4:AN$1003,3,FALSE),"")</f>
        <v>#N/A</v>
      </c>
      <c r="E2879" s="41" t="str">
        <f t="shared" si="257"/>
        <v/>
      </c>
      <c r="F2879" s="200"/>
      <c r="G2879" s="178" t="e">
        <f>IF($C$1077&gt;0,VLOOKUP($C2879,ENTI!$AL$4:AP$1003,5,FALSE),"")</f>
        <v>#N/A</v>
      </c>
      <c r="H2879" s="179" t="e">
        <f>IF($C$1077&gt;0,VLOOKUP($C2879,ENTI!$AL$4:AQ$1003,6,FALSE),"")</f>
        <v>#N/A</v>
      </c>
      <c r="I2879" s="187"/>
      <c r="J2879" s="140" t="e">
        <f ca="1">VLOOKUP(D2879,$F$1081:$I$4183,4,FALSE)+COUNTIF(E$1081:E2878,E2879)</f>
        <v>#N/A</v>
      </c>
      <c r="K2879" s="1"/>
      <c r="L2879" s="156"/>
      <c r="M2879" s="1"/>
      <c r="N2879" s="1"/>
      <c r="O2879" s="1"/>
    </row>
    <row r="2880" spans="1:15" hidden="1">
      <c r="A2880" s="1"/>
      <c r="B2880" s="197" t="e">
        <f t="shared" ca="1" si="258"/>
        <v>#N/A</v>
      </c>
      <c r="C2880" s="498">
        <v>814</v>
      </c>
      <c r="D2880" s="41" t="e">
        <f>IF($C$1077&gt;0,VLOOKUP($C2880,ENTI!$AL$4:AN$1003,3,FALSE),"")</f>
        <v>#N/A</v>
      </c>
      <c r="E2880" s="41" t="str">
        <f t="shared" si="257"/>
        <v/>
      </c>
      <c r="F2880" s="200"/>
      <c r="G2880" s="178" t="e">
        <f>IF($C$1077&gt;0,VLOOKUP($C2880,ENTI!$AL$4:AP$1003,5,FALSE),"")</f>
        <v>#N/A</v>
      </c>
      <c r="H2880" s="179" t="e">
        <f>IF($C$1077&gt;0,VLOOKUP($C2880,ENTI!$AL$4:AQ$1003,6,FALSE),"")</f>
        <v>#N/A</v>
      </c>
      <c r="I2880" s="187"/>
      <c r="J2880" s="140" t="e">
        <f ca="1">VLOOKUP(D2880,$F$1081:$I$4183,4,FALSE)+COUNTIF(E$1081:E2879,E2880)</f>
        <v>#N/A</v>
      </c>
      <c r="K2880" s="1"/>
      <c r="L2880" s="156"/>
      <c r="M2880" s="1"/>
      <c r="N2880" s="1"/>
      <c r="O2880" s="1"/>
    </row>
    <row r="2881" spans="1:15" hidden="1">
      <c r="A2881" s="1"/>
      <c r="B2881" s="197" t="e">
        <f t="shared" ca="1" si="258"/>
        <v>#N/A</v>
      </c>
      <c r="C2881" s="498">
        <v>815</v>
      </c>
      <c r="D2881" s="41" t="e">
        <f>IF($C$1077&gt;0,VLOOKUP($C2881,ENTI!$AL$4:AN$1003,3,FALSE),"")</f>
        <v>#N/A</v>
      </c>
      <c r="E2881" s="41" t="str">
        <f t="shared" si="257"/>
        <v/>
      </c>
      <c r="F2881" s="200"/>
      <c r="G2881" s="178" t="e">
        <f>IF($C$1077&gt;0,VLOOKUP($C2881,ENTI!$AL$4:AP$1003,5,FALSE),"")</f>
        <v>#N/A</v>
      </c>
      <c r="H2881" s="179" t="e">
        <f>IF($C$1077&gt;0,VLOOKUP($C2881,ENTI!$AL$4:AQ$1003,6,FALSE),"")</f>
        <v>#N/A</v>
      </c>
      <c r="I2881" s="187"/>
      <c r="J2881" s="140" t="e">
        <f ca="1">VLOOKUP(D2881,$F$1081:$I$4183,4,FALSE)+COUNTIF(E$1081:E2880,E2881)</f>
        <v>#N/A</v>
      </c>
      <c r="K2881" s="1"/>
      <c r="L2881" s="156"/>
      <c r="M2881" s="1"/>
      <c r="N2881" s="1"/>
      <c r="O2881" s="1"/>
    </row>
    <row r="2882" spans="1:15" hidden="1">
      <c r="A2882" s="1"/>
      <c r="B2882" s="197" t="e">
        <f t="shared" ca="1" si="258"/>
        <v>#N/A</v>
      </c>
      <c r="C2882" s="498">
        <v>816</v>
      </c>
      <c r="D2882" s="41" t="e">
        <f>IF($C$1077&gt;0,VLOOKUP($C2882,ENTI!$AL$4:AN$1003,3,FALSE),"")</f>
        <v>#N/A</v>
      </c>
      <c r="E2882" s="41" t="str">
        <f t="shared" si="257"/>
        <v/>
      </c>
      <c r="F2882" s="200"/>
      <c r="G2882" s="178" t="e">
        <f>IF($C$1077&gt;0,VLOOKUP($C2882,ENTI!$AL$4:AP$1003,5,FALSE),"")</f>
        <v>#N/A</v>
      </c>
      <c r="H2882" s="179" t="e">
        <f>IF($C$1077&gt;0,VLOOKUP($C2882,ENTI!$AL$4:AQ$1003,6,FALSE),"")</f>
        <v>#N/A</v>
      </c>
      <c r="I2882" s="187"/>
      <c r="J2882" s="140" t="e">
        <f ca="1">VLOOKUP(D2882,$F$1081:$I$4183,4,FALSE)+COUNTIF(E$1081:E2881,E2882)</f>
        <v>#N/A</v>
      </c>
      <c r="K2882" s="1"/>
      <c r="L2882" s="156"/>
      <c r="M2882" s="1"/>
      <c r="N2882" s="1"/>
      <c r="O2882" s="1"/>
    </row>
    <row r="2883" spans="1:15" hidden="1">
      <c r="A2883" s="1"/>
      <c r="B2883" s="197" t="e">
        <f t="shared" ca="1" si="258"/>
        <v>#N/A</v>
      </c>
      <c r="C2883" s="498">
        <v>817</v>
      </c>
      <c r="D2883" s="41" t="e">
        <f>IF($C$1077&gt;0,VLOOKUP($C2883,ENTI!$AL$4:AN$1003,3,FALSE),"")</f>
        <v>#N/A</v>
      </c>
      <c r="E2883" s="41" t="str">
        <f t="shared" si="257"/>
        <v/>
      </c>
      <c r="F2883" s="200"/>
      <c r="G2883" s="178" t="e">
        <f>IF($C$1077&gt;0,VLOOKUP($C2883,ENTI!$AL$4:AP$1003,5,FALSE),"")</f>
        <v>#N/A</v>
      </c>
      <c r="H2883" s="179" t="e">
        <f>IF($C$1077&gt;0,VLOOKUP($C2883,ENTI!$AL$4:AQ$1003,6,FALSE),"")</f>
        <v>#N/A</v>
      </c>
      <c r="I2883" s="187"/>
      <c r="J2883" s="140" t="e">
        <f ca="1">VLOOKUP(D2883,$F$1081:$I$4183,4,FALSE)+COUNTIF(E$1081:E2882,E2883)</f>
        <v>#N/A</v>
      </c>
      <c r="K2883" s="1"/>
      <c r="L2883" s="156"/>
      <c r="M2883" s="1"/>
      <c r="N2883" s="1"/>
      <c r="O2883" s="1"/>
    </row>
    <row r="2884" spans="1:15" hidden="1">
      <c r="A2884" s="1"/>
      <c r="B2884" s="197" t="e">
        <f t="shared" ca="1" si="258"/>
        <v>#N/A</v>
      </c>
      <c r="C2884" s="498">
        <v>818</v>
      </c>
      <c r="D2884" s="41" t="e">
        <f>IF($C$1077&gt;0,VLOOKUP($C2884,ENTI!$AL$4:AN$1003,3,FALSE),"")</f>
        <v>#N/A</v>
      </c>
      <c r="E2884" s="41" t="str">
        <f t="shared" si="257"/>
        <v/>
      </c>
      <c r="F2884" s="200"/>
      <c r="G2884" s="178" t="e">
        <f>IF($C$1077&gt;0,VLOOKUP($C2884,ENTI!$AL$4:AP$1003,5,FALSE),"")</f>
        <v>#N/A</v>
      </c>
      <c r="H2884" s="179" t="e">
        <f>IF($C$1077&gt;0,VLOOKUP($C2884,ENTI!$AL$4:AQ$1003,6,FALSE),"")</f>
        <v>#N/A</v>
      </c>
      <c r="I2884" s="187"/>
      <c r="J2884" s="140" t="e">
        <f ca="1">VLOOKUP(D2884,$F$1081:$I$4183,4,FALSE)+COUNTIF(E$1081:E2883,E2884)</f>
        <v>#N/A</v>
      </c>
      <c r="K2884" s="1"/>
      <c r="L2884" s="156"/>
      <c r="M2884" s="1"/>
      <c r="N2884" s="1"/>
      <c r="O2884" s="1"/>
    </row>
    <row r="2885" spans="1:15" hidden="1">
      <c r="A2885" s="1"/>
      <c r="B2885" s="197" t="e">
        <f t="shared" ca="1" si="258"/>
        <v>#N/A</v>
      </c>
      <c r="C2885" s="498">
        <v>819</v>
      </c>
      <c r="D2885" s="41" t="e">
        <f>IF($C$1077&gt;0,VLOOKUP($C2885,ENTI!$AL$4:AN$1003,3,FALSE),"")</f>
        <v>#N/A</v>
      </c>
      <c r="E2885" s="41" t="str">
        <f t="shared" si="257"/>
        <v/>
      </c>
      <c r="F2885" s="200"/>
      <c r="G2885" s="178" t="e">
        <f>IF($C$1077&gt;0,VLOOKUP($C2885,ENTI!$AL$4:AP$1003,5,FALSE),"")</f>
        <v>#N/A</v>
      </c>
      <c r="H2885" s="179" t="e">
        <f>IF($C$1077&gt;0,VLOOKUP($C2885,ENTI!$AL$4:AQ$1003,6,FALSE),"")</f>
        <v>#N/A</v>
      </c>
      <c r="I2885" s="187"/>
      <c r="J2885" s="140" t="e">
        <f ca="1">VLOOKUP(D2885,$F$1081:$I$4183,4,FALSE)+COUNTIF(E$1081:E2884,E2885)</f>
        <v>#N/A</v>
      </c>
      <c r="K2885" s="1"/>
      <c r="L2885" s="156"/>
      <c r="M2885" s="1"/>
      <c r="N2885" s="1"/>
      <c r="O2885" s="1"/>
    </row>
    <row r="2886" spans="1:15" hidden="1">
      <c r="A2886" s="1"/>
      <c r="B2886" s="197" t="e">
        <f t="shared" ca="1" si="258"/>
        <v>#N/A</v>
      </c>
      <c r="C2886" s="498">
        <v>820</v>
      </c>
      <c r="D2886" s="41" t="e">
        <f>IF($C$1077&gt;0,VLOOKUP($C2886,ENTI!$AL$4:AN$1003,3,FALSE),"")</f>
        <v>#N/A</v>
      </c>
      <c r="E2886" s="41" t="str">
        <f t="shared" si="257"/>
        <v/>
      </c>
      <c r="F2886" s="200"/>
      <c r="G2886" s="178" t="e">
        <f>IF($C$1077&gt;0,VLOOKUP($C2886,ENTI!$AL$4:AP$1003,5,FALSE),"")</f>
        <v>#N/A</v>
      </c>
      <c r="H2886" s="179" t="e">
        <f>IF($C$1077&gt;0,VLOOKUP($C2886,ENTI!$AL$4:AQ$1003,6,FALSE),"")</f>
        <v>#N/A</v>
      </c>
      <c r="I2886" s="187"/>
      <c r="J2886" s="140" t="e">
        <f ca="1">VLOOKUP(D2886,$F$1081:$I$4183,4,FALSE)+COUNTIF(E$1081:E2885,E2886)</f>
        <v>#N/A</v>
      </c>
      <c r="K2886" s="1"/>
      <c r="L2886" s="156"/>
      <c r="M2886" s="1"/>
      <c r="N2886" s="1"/>
      <c r="O2886" s="1"/>
    </row>
    <row r="2887" spans="1:15" hidden="1">
      <c r="A2887" s="1"/>
      <c r="B2887" s="197" t="e">
        <f t="shared" ca="1" si="258"/>
        <v>#N/A</v>
      </c>
      <c r="C2887" s="498">
        <v>821</v>
      </c>
      <c r="D2887" s="41" t="e">
        <f>IF($C$1077&gt;0,VLOOKUP($C2887,ENTI!$AL$4:AN$1003,3,FALSE),"")</f>
        <v>#N/A</v>
      </c>
      <c r="E2887" s="41" t="str">
        <f t="shared" si="257"/>
        <v/>
      </c>
      <c r="F2887" s="200"/>
      <c r="G2887" s="178" t="e">
        <f>IF($C$1077&gt;0,VLOOKUP($C2887,ENTI!$AL$4:AP$1003,5,FALSE),"")</f>
        <v>#N/A</v>
      </c>
      <c r="H2887" s="179" t="e">
        <f>IF($C$1077&gt;0,VLOOKUP($C2887,ENTI!$AL$4:AQ$1003,6,FALSE),"")</f>
        <v>#N/A</v>
      </c>
      <c r="I2887" s="187"/>
      <c r="J2887" s="140" t="e">
        <f ca="1">VLOOKUP(D2887,$F$1081:$I$4183,4,FALSE)+COUNTIF(E$1081:E2886,E2887)</f>
        <v>#N/A</v>
      </c>
      <c r="K2887" s="1"/>
      <c r="L2887" s="156"/>
      <c r="M2887" s="1"/>
      <c r="N2887" s="1"/>
      <c r="O2887" s="1"/>
    </row>
    <row r="2888" spans="1:15" hidden="1">
      <c r="A2888" s="1"/>
      <c r="B2888" s="197" t="e">
        <f t="shared" ca="1" si="258"/>
        <v>#N/A</v>
      </c>
      <c r="C2888" s="498">
        <v>822</v>
      </c>
      <c r="D2888" s="41" t="e">
        <f>IF($C$1077&gt;0,VLOOKUP($C2888,ENTI!$AL$4:AN$1003,3,FALSE),"")</f>
        <v>#N/A</v>
      </c>
      <c r="E2888" s="41" t="str">
        <f t="shared" si="257"/>
        <v/>
      </c>
      <c r="F2888" s="200"/>
      <c r="G2888" s="178" t="e">
        <f>IF($C$1077&gt;0,VLOOKUP($C2888,ENTI!$AL$4:AP$1003,5,FALSE),"")</f>
        <v>#N/A</v>
      </c>
      <c r="H2888" s="179" t="e">
        <f>IF($C$1077&gt;0,VLOOKUP($C2888,ENTI!$AL$4:AQ$1003,6,FALSE),"")</f>
        <v>#N/A</v>
      </c>
      <c r="I2888" s="187"/>
      <c r="J2888" s="140" t="e">
        <f ca="1">VLOOKUP(D2888,$F$1081:$I$4183,4,FALSE)+COUNTIF(E$1081:E2887,E2888)</f>
        <v>#N/A</v>
      </c>
      <c r="K2888" s="1"/>
      <c r="L2888" s="156"/>
      <c r="M2888" s="1"/>
      <c r="N2888" s="1"/>
      <c r="O2888" s="1"/>
    </row>
    <row r="2889" spans="1:15" hidden="1">
      <c r="A2889" s="1"/>
      <c r="B2889" s="197" t="e">
        <f t="shared" ca="1" si="258"/>
        <v>#N/A</v>
      </c>
      <c r="C2889" s="498">
        <v>823</v>
      </c>
      <c r="D2889" s="41" t="e">
        <f>IF($C$1077&gt;0,VLOOKUP($C2889,ENTI!$AL$4:AN$1003,3,FALSE),"")</f>
        <v>#N/A</v>
      </c>
      <c r="E2889" s="41" t="str">
        <f t="shared" si="257"/>
        <v/>
      </c>
      <c r="F2889" s="200"/>
      <c r="G2889" s="178" t="e">
        <f>IF($C$1077&gt;0,VLOOKUP($C2889,ENTI!$AL$4:AP$1003,5,FALSE),"")</f>
        <v>#N/A</v>
      </c>
      <c r="H2889" s="179" t="e">
        <f>IF($C$1077&gt;0,VLOOKUP($C2889,ENTI!$AL$4:AQ$1003,6,FALSE),"")</f>
        <v>#N/A</v>
      </c>
      <c r="I2889" s="187"/>
      <c r="J2889" s="140" t="e">
        <f ca="1">VLOOKUP(D2889,$F$1081:$I$4183,4,FALSE)+COUNTIF(E$1081:E2888,E2889)</f>
        <v>#N/A</v>
      </c>
      <c r="K2889" s="1"/>
      <c r="L2889" s="156"/>
      <c r="M2889" s="1"/>
      <c r="N2889" s="1"/>
      <c r="O2889" s="1"/>
    </row>
    <row r="2890" spans="1:15" hidden="1">
      <c r="A2890" s="1"/>
      <c r="B2890" s="197" t="e">
        <f t="shared" ca="1" si="258"/>
        <v>#N/A</v>
      </c>
      <c r="C2890" s="498">
        <v>824</v>
      </c>
      <c r="D2890" s="41" t="e">
        <f>IF($C$1077&gt;0,VLOOKUP($C2890,ENTI!$AL$4:AN$1003,3,FALSE),"")</f>
        <v>#N/A</v>
      </c>
      <c r="E2890" s="41" t="str">
        <f t="shared" si="257"/>
        <v/>
      </c>
      <c r="F2890" s="200"/>
      <c r="G2890" s="178" t="e">
        <f>IF($C$1077&gt;0,VLOOKUP($C2890,ENTI!$AL$4:AP$1003,5,FALSE),"")</f>
        <v>#N/A</v>
      </c>
      <c r="H2890" s="179" t="e">
        <f>IF($C$1077&gt;0,VLOOKUP($C2890,ENTI!$AL$4:AQ$1003,6,FALSE),"")</f>
        <v>#N/A</v>
      </c>
      <c r="I2890" s="187"/>
      <c r="J2890" s="140" t="e">
        <f ca="1">VLOOKUP(D2890,$F$1081:$I$4183,4,FALSE)+COUNTIF(E$1081:E2889,E2890)</f>
        <v>#N/A</v>
      </c>
      <c r="K2890" s="1"/>
      <c r="L2890" s="156"/>
      <c r="M2890" s="1"/>
      <c r="N2890" s="1"/>
      <c r="O2890" s="1"/>
    </row>
    <row r="2891" spans="1:15" hidden="1">
      <c r="A2891" s="1"/>
      <c r="B2891" s="197" t="e">
        <f t="shared" ca="1" si="258"/>
        <v>#N/A</v>
      </c>
      <c r="C2891" s="498">
        <v>825</v>
      </c>
      <c r="D2891" s="41" t="e">
        <f>IF($C$1077&gt;0,VLOOKUP($C2891,ENTI!$AL$4:AN$1003,3,FALSE),"")</f>
        <v>#N/A</v>
      </c>
      <c r="E2891" s="41" t="str">
        <f t="shared" si="257"/>
        <v/>
      </c>
      <c r="F2891" s="200"/>
      <c r="G2891" s="178" t="e">
        <f>IF($C$1077&gt;0,VLOOKUP($C2891,ENTI!$AL$4:AP$1003,5,FALSE),"")</f>
        <v>#N/A</v>
      </c>
      <c r="H2891" s="179" t="e">
        <f>IF($C$1077&gt;0,VLOOKUP($C2891,ENTI!$AL$4:AQ$1003,6,FALSE),"")</f>
        <v>#N/A</v>
      </c>
      <c r="I2891" s="187"/>
      <c r="J2891" s="140" t="e">
        <f ca="1">VLOOKUP(D2891,$F$1081:$I$4183,4,FALSE)+COUNTIF(E$1081:E2890,E2891)</f>
        <v>#N/A</v>
      </c>
      <c r="K2891" s="1"/>
      <c r="L2891" s="156"/>
      <c r="M2891" s="1"/>
      <c r="N2891" s="1"/>
      <c r="O2891" s="1"/>
    </row>
    <row r="2892" spans="1:15" hidden="1">
      <c r="A2892" s="1"/>
      <c r="B2892" s="197" t="e">
        <f t="shared" ca="1" si="258"/>
        <v>#N/A</v>
      </c>
      <c r="C2892" s="498">
        <v>826</v>
      </c>
      <c r="D2892" s="41" t="e">
        <f>IF($C$1077&gt;0,VLOOKUP($C2892,ENTI!$AL$4:AN$1003,3,FALSE),"")</f>
        <v>#N/A</v>
      </c>
      <c r="E2892" s="41" t="str">
        <f t="shared" si="257"/>
        <v/>
      </c>
      <c r="F2892" s="200"/>
      <c r="G2892" s="178" t="e">
        <f>IF($C$1077&gt;0,VLOOKUP($C2892,ENTI!$AL$4:AP$1003,5,FALSE),"")</f>
        <v>#N/A</v>
      </c>
      <c r="H2892" s="179" t="e">
        <f>IF($C$1077&gt;0,VLOOKUP($C2892,ENTI!$AL$4:AQ$1003,6,FALSE),"")</f>
        <v>#N/A</v>
      </c>
      <c r="I2892" s="187"/>
      <c r="J2892" s="140" t="e">
        <f ca="1">VLOOKUP(D2892,$F$1081:$I$4183,4,FALSE)+COUNTIF(E$1081:E2891,E2892)</f>
        <v>#N/A</v>
      </c>
      <c r="K2892" s="1"/>
      <c r="L2892" s="156"/>
      <c r="M2892" s="1"/>
      <c r="N2892" s="1"/>
      <c r="O2892" s="1"/>
    </row>
    <row r="2893" spans="1:15" hidden="1">
      <c r="A2893" s="1"/>
      <c r="B2893" s="197" t="e">
        <f t="shared" ca="1" si="258"/>
        <v>#N/A</v>
      </c>
      <c r="C2893" s="498">
        <v>827</v>
      </c>
      <c r="D2893" s="41" t="e">
        <f>IF($C$1077&gt;0,VLOOKUP($C2893,ENTI!$AL$4:AN$1003,3,FALSE),"")</f>
        <v>#N/A</v>
      </c>
      <c r="E2893" s="41" t="str">
        <f t="shared" si="257"/>
        <v/>
      </c>
      <c r="F2893" s="200"/>
      <c r="G2893" s="178" t="e">
        <f>IF($C$1077&gt;0,VLOOKUP($C2893,ENTI!$AL$4:AP$1003,5,FALSE),"")</f>
        <v>#N/A</v>
      </c>
      <c r="H2893" s="179" t="e">
        <f>IF($C$1077&gt;0,VLOOKUP($C2893,ENTI!$AL$4:AQ$1003,6,FALSE),"")</f>
        <v>#N/A</v>
      </c>
      <c r="I2893" s="187"/>
      <c r="J2893" s="140" t="e">
        <f ca="1">VLOOKUP(D2893,$F$1081:$I$4183,4,FALSE)+COUNTIF(E$1081:E2892,E2893)</f>
        <v>#N/A</v>
      </c>
      <c r="K2893" s="1"/>
      <c r="L2893" s="156"/>
      <c r="M2893" s="1"/>
      <c r="N2893" s="1"/>
      <c r="O2893" s="1"/>
    </row>
    <row r="2894" spans="1:15" hidden="1">
      <c r="A2894" s="1"/>
      <c r="B2894" s="197" t="e">
        <f t="shared" ca="1" si="258"/>
        <v>#N/A</v>
      </c>
      <c r="C2894" s="498">
        <v>828</v>
      </c>
      <c r="D2894" s="41" t="e">
        <f>IF($C$1077&gt;0,VLOOKUP($C2894,ENTI!$AL$4:AN$1003,3,FALSE),"")</f>
        <v>#N/A</v>
      </c>
      <c r="E2894" s="41" t="str">
        <f t="shared" si="257"/>
        <v/>
      </c>
      <c r="F2894" s="200"/>
      <c r="G2894" s="178" t="e">
        <f>IF($C$1077&gt;0,VLOOKUP($C2894,ENTI!$AL$4:AP$1003,5,FALSE),"")</f>
        <v>#N/A</v>
      </c>
      <c r="H2894" s="179" t="e">
        <f>IF($C$1077&gt;0,VLOOKUP($C2894,ENTI!$AL$4:AQ$1003,6,FALSE),"")</f>
        <v>#N/A</v>
      </c>
      <c r="I2894" s="187"/>
      <c r="J2894" s="140" t="e">
        <f ca="1">VLOOKUP(D2894,$F$1081:$I$4183,4,FALSE)+COUNTIF(E$1081:E2893,E2894)</f>
        <v>#N/A</v>
      </c>
      <c r="K2894" s="1"/>
      <c r="L2894" s="156"/>
      <c r="M2894" s="1"/>
      <c r="N2894" s="1"/>
      <c r="O2894" s="1"/>
    </row>
    <row r="2895" spans="1:15" hidden="1">
      <c r="A2895" s="1"/>
      <c r="B2895" s="197" t="e">
        <f t="shared" ca="1" si="258"/>
        <v>#N/A</v>
      </c>
      <c r="C2895" s="498">
        <v>829</v>
      </c>
      <c r="D2895" s="41" t="e">
        <f>IF($C$1077&gt;0,VLOOKUP($C2895,ENTI!$AL$4:AN$1003,3,FALSE),"")</f>
        <v>#N/A</v>
      </c>
      <c r="E2895" s="41" t="str">
        <f t="shared" ref="E2895:E2958" si="259">IF(ISERROR(D2895),"",D2895)</f>
        <v/>
      </c>
      <c r="F2895" s="200"/>
      <c r="G2895" s="178" t="e">
        <f>IF($C$1077&gt;0,VLOOKUP($C2895,ENTI!$AL$4:AP$1003,5,FALSE),"")</f>
        <v>#N/A</v>
      </c>
      <c r="H2895" s="179" t="e">
        <f>IF($C$1077&gt;0,VLOOKUP($C2895,ENTI!$AL$4:AQ$1003,6,FALSE),"")</f>
        <v>#N/A</v>
      </c>
      <c r="I2895" s="187"/>
      <c r="J2895" s="140" t="e">
        <f ca="1">VLOOKUP(D2895,$F$1081:$I$4183,4,FALSE)+COUNTIF(E$1081:E2894,E2895)</f>
        <v>#N/A</v>
      </c>
      <c r="K2895" s="1"/>
      <c r="L2895" s="156"/>
      <c r="M2895" s="1"/>
      <c r="N2895" s="1"/>
      <c r="O2895" s="1"/>
    </row>
    <row r="2896" spans="1:15" hidden="1">
      <c r="A2896" s="1"/>
      <c r="B2896" s="197" t="e">
        <f t="shared" ca="1" si="258"/>
        <v>#N/A</v>
      </c>
      <c r="C2896" s="498">
        <v>830</v>
      </c>
      <c r="D2896" s="41" t="e">
        <f>IF($C$1077&gt;0,VLOOKUP($C2896,ENTI!$AL$4:AN$1003,3,FALSE),"")</f>
        <v>#N/A</v>
      </c>
      <c r="E2896" s="41" t="str">
        <f t="shared" si="259"/>
        <v/>
      </c>
      <c r="F2896" s="200"/>
      <c r="G2896" s="178" t="e">
        <f>IF($C$1077&gt;0,VLOOKUP($C2896,ENTI!$AL$4:AP$1003,5,FALSE),"")</f>
        <v>#N/A</v>
      </c>
      <c r="H2896" s="179" t="e">
        <f>IF($C$1077&gt;0,VLOOKUP($C2896,ENTI!$AL$4:AQ$1003,6,FALSE),"")</f>
        <v>#N/A</v>
      </c>
      <c r="I2896" s="187"/>
      <c r="J2896" s="140" t="e">
        <f ca="1">VLOOKUP(D2896,$F$1081:$I$4183,4,FALSE)+COUNTIF(E$1081:E2895,E2896)</f>
        <v>#N/A</v>
      </c>
      <c r="K2896" s="1"/>
      <c r="L2896" s="156"/>
      <c r="M2896" s="1"/>
      <c r="N2896" s="1"/>
      <c r="O2896" s="1"/>
    </row>
    <row r="2897" spans="1:15" hidden="1">
      <c r="A2897" s="1"/>
      <c r="B2897" s="197" t="e">
        <f t="shared" ca="1" si="258"/>
        <v>#N/A</v>
      </c>
      <c r="C2897" s="498">
        <v>831</v>
      </c>
      <c r="D2897" s="41" t="e">
        <f>IF($C$1077&gt;0,VLOOKUP($C2897,ENTI!$AL$4:AN$1003,3,FALSE),"")</f>
        <v>#N/A</v>
      </c>
      <c r="E2897" s="41" t="str">
        <f t="shared" si="259"/>
        <v/>
      </c>
      <c r="F2897" s="200"/>
      <c r="G2897" s="178" t="e">
        <f>IF($C$1077&gt;0,VLOOKUP($C2897,ENTI!$AL$4:AP$1003,5,FALSE),"")</f>
        <v>#N/A</v>
      </c>
      <c r="H2897" s="179" t="e">
        <f>IF($C$1077&gt;0,VLOOKUP($C2897,ENTI!$AL$4:AQ$1003,6,FALSE),"")</f>
        <v>#N/A</v>
      </c>
      <c r="I2897" s="187"/>
      <c r="J2897" s="140" t="e">
        <f ca="1">VLOOKUP(D2897,$F$1081:$I$4183,4,FALSE)+COUNTIF(E$1081:E2896,E2897)</f>
        <v>#N/A</v>
      </c>
      <c r="K2897" s="1"/>
      <c r="L2897" s="156"/>
      <c r="M2897" s="1"/>
      <c r="N2897" s="1"/>
      <c r="O2897" s="1"/>
    </row>
    <row r="2898" spans="1:15" hidden="1">
      <c r="A2898" s="1"/>
      <c r="B2898" s="197" t="e">
        <f t="shared" ca="1" si="258"/>
        <v>#N/A</v>
      </c>
      <c r="C2898" s="498">
        <v>832</v>
      </c>
      <c r="D2898" s="41" t="e">
        <f>IF($C$1077&gt;0,VLOOKUP($C2898,ENTI!$AL$4:AN$1003,3,FALSE),"")</f>
        <v>#N/A</v>
      </c>
      <c r="E2898" s="41" t="str">
        <f t="shared" si="259"/>
        <v/>
      </c>
      <c r="F2898" s="200"/>
      <c r="G2898" s="178" t="e">
        <f>IF($C$1077&gt;0,VLOOKUP($C2898,ENTI!$AL$4:AP$1003,5,FALSE),"")</f>
        <v>#N/A</v>
      </c>
      <c r="H2898" s="179" t="e">
        <f>IF($C$1077&gt;0,VLOOKUP($C2898,ENTI!$AL$4:AQ$1003,6,FALSE),"")</f>
        <v>#N/A</v>
      </c>
      <c r="I2898" s="187"/>
      <c r="J2898" s="140" t="e">
        <f ca="1">VLOOKUP(D2898,$F$1081:$I$4183,4,FALSE)+COUNTIF(E$1081:E2897,E2898)</f>
        <v>#N/A</v>
      </c>
      <c r="K2898" s="1"/>
      <c r="L2898" s="156"/>
      <c r="M2898" s="1"/>
      <c r="N2898" s="1"/>
      <c r="O2898" s="1"/>
    </row>
    <row r="2899" spans="1:15" hidden="1">
      <c r="A2899" s="1"/>
      <c r="B2899" s="197" t="e">
        <f t="shared" ca="1" si="258"/>
        <v>#N/A</v>
      </c>
      <c r="C2899" s="498">
        <v>833</v>
      </c>
      <c r="D2899" s="41" t="e">
        <f>IF($C$1077&gt;0,VLOOKUP($C2899,ENTI!$AL$4:AN$1003,3,FALSE),"")</f>
        <v>#N/A</v>
      </c>
      <c r="E2899" s="41" t="str">
        <f t="shared" si="259"/>
        <v/>
      </c>
      <c r="F2899" s="200"/>
      <c r="G2899" s="178" t="e">
        <f>IF($C$1077&gt;0,VLOOKUP($C2899,ENTI!$AL$4:AP$1003,5,FALSE),"")</f>
        <v>#N/A</v>
      </c>
      <c r="H2899" s="179" t="e">
        <f>IF($C$1077&gt;0,VLOOKUP($C2899,ENTI!$AL$4:AQ$1003,6,FALSE),"")</f>
        <v>#N/A</v>
      </c>
      <c r="I2899" s="187"/>
      <c r="J2899" s="140" t="e">
        <f ca="1">VLOOKUP(D2899,$F$1081:$I$4183,4,FALSE)+COUNTIF(E$1081:E2898,E2899)</f>
        <v>#N/A</v>
      </c>
      <c r="K2899" s="1"/>
      <c r="L2899" s="156"/>
      <c r="M2899" s="1"/>
      <c r="N2899" s="1"/>
      <c r="O2899" s="1"/>
    </row>
    <row r="2900" spans="1:15" hidden="1">
      <c r="A2900" s="1"/>
      <c r="B2900" s="197" t="e">
        <f t="shared" ca="1" si="258"/>
        <v>#N/A</v>
      </c>
      <c r="C2900" s="498">
        <v>834</v>
      </c>
      <c r="D2900" s="41" t="e">
        <f>IF($C$1077&gt;0,VLOOKUP($C2900,ENTI!$AL$4:AN$1003,3,FALSE),"")</f>
        <v>#N/A</v>
      </c>
      <c r="E2900" s="41" t="str">
        <f t="shared" si="259"/>
        <v/>
      </c>
      <c r="F2900" s="200"/>
      <c r="G2900" s="178" t="e">
        <f>IF($C$1077&gt;0,VLOOKUP($C2900,ENTI!$AL$4:AP$1003,5,FALSE),"")</f>
        <v>#N/A</v>
      </c>
      <c r="H2900" s="179" t="e">
        <f>IF($C$1077&gt;0,VLOOKUP($C2900,ENTI!$AL$4:AQ$1003,6,FALSE),"")</f>
        <v>#N/A</v>
      </c>
      <c r="I2900" s="187"/>
      <c r="J2900" s="140" t="e">
        <f ca="1">VLOOKUP(D2900,$F$1081:$I$4183,4,FALSE)+COUNTIF(E$1081:E2899,E2900)</f>
        <v>#N/A</v>
      </c>
      <c r="K2900" s="1"/>
      <c r="L2900" s="156"/>
      <c r="M2900" s="1"/>
      <c r="N2900" s="1"/>
      <c r="O2900" s="1"/>
    </row>
    <row r="2901" spans="1:15" hidden="1">
      <c r="A2901" s="1"/>
      <c r="B2901" s="197" t="e">
        <f t="shared" ca="1" si="258"/>
        <v>#N/A</v>
      </c>
      <c r="C2901" s="498">
        <v>835</v>
      </c>
      <c r="D2901" s="41" t="e">
        <f>IF($C$1077&gt;0,VLOOKUP($C2901,ENTI!$AL$4:AN$1003,3,FALSE),"")</f>
        <v>#N/A</v>
      </c>
      <c r="E2901" s="41" t="str">
        <f t="shared" si="259"/>
        <v/>
      </c>
      <c r="F2901" s="200"/>
      <c r="G2901" s="178" t="e">
        <f>IF($C$1077&gt;0,VLOOKUP($C2901,ENTI!$AL$4:AP$1003,5,FALSE),"")</f>
        <v>#N/A</v>
      </c>
      <c r="H2901" s="179" t="e">
        <f>IF($C$1077&gt;0,VLOOKUP($C2901,ENTI!$AL$4:AQ$1003,6,FALSE),"")</f>
        <v>#N/A</v>
      </c>
      <c r="I2901" s="187"/>
      <c r="J2901" s="140" t="e">
        <f ca="1">VLOOKUP(D2901,$F$1081:$I$4183,4,FALSE)+COUNTIF(E$1081:E2900,E2901)</f>
        <v>#N/A</v>
      </c>
      <c r="K2901" s="1"/>
      <c r="L2901" s="156"/>
      <c r="M2901" s="1"/>
      <c r="N2901" s="1"/>
      <c r="O2901" s="1"/>
    </row>
    <row r="2902" spans="1:15" hidden="1">
      <c r="A2902" s="1"/>
      <c r="B2902" s="197" t="e">
        <f t="shared" ca="1" si="258"/>
        <v>#N/A</v>
      </c>
      <c r="C2902" s="498">
        <v>836</v>
      </c>
      <c r="D2902" s="41" t="e">
        <f>IF($C$1077&gt;0,VLOOKUP($C2902,ENTI!$AL$4:AN$1003,3,FALSE),"")</f>
        <v>#N/A</v>
      </c>
      <c r="E2902" s="41" t="str">
        <f t="shared" si="259"/>
        <v/>
      </c>
      <c r="F2902" s="200"/>
      <c r="G2902" s="178" t="e">
        <f>IF($C$1077&gt;0,VLOOKUP($C2902,ENTI!$AL$4:AP$1003,5,FALSE),"")</f>
        <v>#N/A</v>
      </c>
      <c r="H2902" s="179" t="e">
        <f>IF($C$1077&gt;0,VLOOKUP($C2902,ENTI!$AL$4:AQ$1003,6,FALSE),"")</f>
        <v>#N/A</v>
      </c>
      <c r="I2902" s="187"/>
      <c r="J2902" s="140" t="e">
        <f ca="1">VLOOKUP(D2902,$F$1081:$I$4183,4,FALSE)+COUNTIF(E$1081:E2901,E2902)</f>
        <v>#N/A</v>
      </c>
      <c r="K2902" s="1"/>
      <c r="L2902" s="156"/>
      <c r="M2902" s="1"/>
      <c r="N2902" s="1"/>
      <c r="O2902" s="1"/>
    </row>
    <row r="2903" spans="1:15" hidden="1">
      <c r="A2903" s="1"/>
      <c r="B2903" s="197" t="e">
        <f t="shared" ca="1" si="258"/>
        <v>#N/A</v>
      </c>
      <c r="C2903" s="498">
        <v>837</v>
      </c>
      <c r="D2903" s="41" t="e">
        <f>IF($C$1077&gt;0,VLOOKUP($C2903,ENTI!$AL$4:AN$1003,3,FALSE),"")</f>
        <v>#N/A</v>
      </c>
      <c r="E2903" s="41" t="str">
        <f t="shared" si="259"/>
        <v/>
      </c>
      <c r="F2903" s="200"/>
      <c r="G2903" s="178" t="e">
        <f>IF($C$1077&gt;0,VLOOKUP($C2903,ENTI!$AL$4:AP$1003,5,FALSE),"")</f>
        <v>#N/A</v>
      </c>
      <c r="H2903" s="179" t="e">
        <f>IF($C$1077&gt;0,VLOOKUP($C2903,ENTI!$AL$4:AQ$1003,6,FALSE),"")</f>
        <v>#N/A</v>
      </c>
      <c r="I2903" s="187"/>
      <c r="J2903" s="140" t="e">
        <f ca="1">VLOOKUP(D2903,$F$1081:$I$4183,4,FALSE)+COUNTIF(E$1081:E2902,E2903)</f>
        <v>#N/A</v>
      </c>
      <c r="K2903" s="1"/>
      <c r="L2903" s="156"/>
      <c r="M2903" s="1"/>
      <c r="N2903" s="1"/>
      <c r="O2903" s="1"/>
    </row>
    <row r="2904" spans="1:15" hidden="1">
      <c r="A2904" s="1"/>
      <c r="B2904" s="197" t="e">
        <f t="shared" ca="1" si="258"/>
        <v>#N/A</v>
      </c>
      <c r="C2904" s="498">
        <v>838</v>
      </c>
      <c r="D2904" s="41" t="e">
        <f>IF($C$1077&gt;0,VLOOKUP($C2904,ENTI!$AL$4:AN$1003,3,FALSE),"")</f>
        <v>#N/A</v>
      </c>
      <c r="E2904" s="41" t="str">
        <f t="shared" si="259"/>
        <v/>
      </c>
      <c r="F2904" s="200"/>
      <c r="G2904" s="178" t="e">
        <f>IF($C$1077&gt;0,VLOOKUP($C2904,ENTI!$AL$4:AP$1003,5,FALSE),"")</f>
        <v>#N/A</v>
      </c>
      <c r="H2904" s="179" t="e">
        <f>IF($C$1077&gt;0,VLOOKUP($C2904,ENTI!$AL$4:AQ$1003,6,FALSE),"")</f>
        <v>#N/A</v>
      </c>
      <c r="I2904" s="187"/>
      <c r="J2904" s="140" t="e">
        <f ca="1">VLOOKUP(D2904,$F$1081:$I$4183,4,FALSE)+COUNTIF(E$1081:E2903,E2904)</f>
        <v>#N/A</v>
      </c>
      <c r="K2904" s="1"/>
      <c r="L2904" s="156"/>
      <c r="M2904" s="1"/>
      <c r="N2904" s="1"/>
      <c r="O2904" s="1"/>
    </row>
    <row r="2905" spans="1:15" hidden="1">
      <c r="A2905" s="1"/>
      <c r="B2905" s="197" t="e">
        <f t="shared" ref="B2905:B2968" ca="1" si="260">IF(OR(C$1075&gt;0,C$1077&gt;0,C$1073&gt;0,C$1071&gt;0),J2905+1,J2905)</f>
        <v>#N/A</v>
      </c>
      <c r="C2905" s="498">
        <v>839</v>
      </c>
      <c r="D2905" s="41" t="e">
        <f>IF($C$1077&gt;0,VLOOKUP($C2905,ENTI!$AL$4:AN$1003,3,FALSE),"")</f>
        <v>#N/A</v>
      </c>
      <c r="E2905" s="41" t="str">
        <f t="shared" si="259"/>
        <v/>
      </c>
      <c r="F2905" s="200"/>
      <c r="G2905" s="178" t="e">
        <f>IF($C$1077&gt;0,VLOOKUP($C2905,ENTI!$AL$4:AP$1003,5,FALSE),"")</f>
        <v>#N/A</v>
      </c>
      <c r="H2905" s="179" t="e">
        <f>IF($C$1077&gt;0,VLOOKUP($C2905,ENTI!$AL$4:AQ$1003,6,FALSE),"")</f>
        <v>#N/A</v>
      </c>
      <c r="I2905" s="187"/>
      <c r="J2905" s="140" t="e">
        <f ca="1">VLOOKUP(D2905,$F$1081:$I$4183,4,FALSE)+COUNTIF(E$1081:E2904,E2905)</f>
        <v>#N/A</v>
      </c>
      <c r="K2905" s="1"/>
      <c r="L2905" s="156"/>
      <c r="M2905" s="1"/>
      <c r="N2905" s="1"/>
      <c r="O2905" s="1"/>
    </row>
    <row r="2906" spans="1:15" hidden="1">
      <c r="A2906" s="1"/>
      <c r="B2906" s="197" t="e">
        <f t="shared" ca="1" si="260"/>
        <v>#N/A</v>
      </c>
      <c r="C2906" s="498">
        <v>840</v>
      </c>
      <c r="D2906" s="41" t="e">
        <f>IF($C$1077&gt;0,VLOOKUP($C2906,ENTI!$AL$4:AN$1003,3,FALSE),"")</f>
        <v>#N/A</v>
      </c>
      <c r="E2906" s="41" t="str">
        <f t="shared" si="259"/>
        <v/>
      </c>
      <c r="F2906" s="200"/>
      <c r="G2906" s="178" t="e">
        <f>IF($C$1077&gt;0,VLOOKUP($C2906,ENTI!$AL$4:AP$1003,5,FALSE),"")</f>
        <v>#N/A</v>
      </c>
      <c r="H2906" s="179" t="e">
        <f>IF($C$1077&gt;0,VLOOKUP($C2906,ENTI!$AL$4:AQ$1003,6,FALSE),"")</f>
        <v>#N/A</v>
      </c>
      <c r="I2906" s="187"/>
      <c r="J2906" s="140" t="e">
        <f ca="1">VLOOKUP(D2906,$F$1081:$I$4183,4,FALSE)+COUNTIF(E$1081:E2905,E2906)</f>
        <v>#N/A</v>
      </c>
      <c r="K2906" s="1"/>
      <c r="L2906" s="156"/>
      <c r="M2906" s="1"/>
      <c r="N2906" s="1"/>
      <c r="O2906" s="1"/>
    </row>
    <row r="2907" spans="1:15" hidden="1">
      <c r="A2907" s="1"/>
      <c r="B2907" s="197" t="e">
        <f t="shared" ca="1" si="260"/>
        <v>#N/A</v>
      </c>
      <c r="C2907" s="498">
        <v>841</v>
      </c>
      <c r="D2907" s="41" t="e">
        <f>IF($C$1077&gt;0,VLOOKUP($C2907,ENTI!$AL$4:AN$1003,3,FALSE),"")</f>
        <v>#N/A</v>
      </c>
      <c r="E2907" s="41" t="str">
        <f t="shared" si="259"/>
        <v/>
      </c>
      <c r="F2907" s="200"/>
      <c r="G2907" s="178" t="e">
        <f>IF($C$1077&gt;0,VLOOKUP($C2907,ENTI!$AL$4:AP$1003,5,FALSE),"")</f>
        <v>#N/A</v>
      </c>
      <c r="H2907" s="179" t="e">
        <f>IF($C$1077&gt;0,VLOOKUP($C2907,ENTI!$AL$4:AQ$1003,6,FALSE),"")</f>
        <v>#N/A</v>
      </c>
      <c r="I2907" s="187"/>
      <c r="J2907" s="140" t="e">
        <f ca="1">VLOOKUP(D2907,$F$1081:$I$4183,4,FALSE)+COUNTIF(E$1081:E2906,E2907)</f>
        <v>#N/A</v>
      </c>
      <c r="K2907" s="1"/>
      <c r="L2907" s="156"/>
      <c r="M2907" s="1"/>
      <c r="N2907" s="1"/>
      <c r="O2907" s="1"/>
    </row>
    <row r="2908" spans="1:15" hidden="1">
      <c r="A2908" s="1"/>
      <c r="B2908" s="197" t="e">
        <f t="shared" ca="1" si="260"/>
        <v>#N/A</v>
      </c>
      <c r="C2908" s="498">
        <v>842</v>
      </c>
      <c r="D2908" s="41" t="e">
        <f>IF($C$1077&gt;0,VLOOKUP($C2908,ENTI!$AL$4:AN$1003,3,FALSE),"")</f>
        <v>#N/A</v>
      </c>
      <c r="E2908" s="41" t="str">
        <f t="shared" si="259"/>
        <v/>
      </c>
      <c r="F2908" s="200"/>
      <c r="G2908" s="178" t="e">
        <f>IF($C$1077&gt;0,VLOOKUP($C2908,ENTI!$AL$4:AP$1003,5,FALSE),"")</f>
        <v>#N/A</v>
      </c>
      <c r="H2908" s="179" t="e">
        <f>IF($C$1077&gt;0,VLOOKUP($C2908,ENTI!$AL$4:AQ$1003,6,FALSE),"")</f>
        <v>#N/A</v>
      </c>
      <c r="I2908" s="187"/>
      <c r="J2908" s="140" t="e">
        <f ca="1">VLOOKUP(D2908,$F$1081:$I$4183,4,FALSE)+COUNTIF(E$1081:E2907,E2908)</f>
        <v>#N/A</v>
      </c>
      <c r="K2908" s="1"/>
      <c r="L2908" s="156"/>
      <c r="M2908" s="1"/>
      <c r="N2908" s="1"/>
      <c r="O2908" s="1"/>
    </row>
    <row r="2909" spans="1:15" hidden="1">
      <c r="A2909" s="1"/>
      <c r="B2909" s="197" t="e">
        <f t="shared" ca="1" si="260"/>
        <v>#N/A</v>
      </c>
      <c r="C2909" s="498">
        <v>843</v>
      </c>
      <c r="D2909" s="41" t="e">
        <f>IF($C$1077&gt;0,VLOOKUP($C2909,ENTI!$AL$4:AN$1003,3,FALSE),"")</f>
        <v>#N/A</v>
      </c>
      <c r="E2909" s="41" t="str">
        <f t="shared" si="259"/>
        <v/>
      </c>
      <c r="F2909" s="200"/>
      <c r="G2909" s="178" t="e">
        <f>IF($C$1077&gt;0,VLOOKUP($C2909,ENTI!$AL$4:AP$1003,5,FALSE),"")</f>
        <v>#N/A</v>
      </c>
      <c r="H2909" s="179" t="e">
        <f>IF($C$1077&gt;0,VLOOKUP($C2909,ENTI!$AL$4:AQ$1003,6,FALSE),"")</f>
        <v>#N/A</v>
      </c>
      <c r="I2909" s="187"/>
      <c r="J2909" s="140" t="e">
        <f ca="1">VLOOKUP(D2909,$F$1081:$I$4183,4,FALSE)+COUNTIF(E$1081:E2908,E2909)</f>
        <v>#N/A</v>
      </c>
      <c r="K2909" s="1"/>
      <c r="L2909" s="156"/>
      <c r="M2909" s="1"/>
      <c r="N2909" s="1"/>
      <c r="O2909" s="1"/>
    </row>
    <row r="2910" spans="1:15" hidden="1">
      <c r="A2910" s="1"/>
      <c r="B2910" s="197" t="e">
        <f t="shared" ca="1" si="260"/>
        <v>#N/A</v>
      </c>
      <c r="C2910" s="498">
        <v>844</v>
      </c>
      <c r="D2910" s="41" t="e">
        <f>IF($C$1077&gt;0,VLOOKUP($C2910,ENTI!$AL$4:AN$1003,3,FALSE),"")</f>
        <v>#N/A</v>
      </c>
      <c r="E2910" s="41" t="str">
        <f t="shared" si="259"/>
        <v/>
      </c>
      <c r="F2910" s="200"/>
      <c r="G2910" s="178" t="e">
        <f>IF($C$1077&gt;0,VLOOKUP($C2910,ENTI!$AL$4:AP$1003,5,FALSE),"")</f>
        <v>#N/A</v>
      </c>
      <c r="H2910" s="179" t="e">
        <f>IF($C$1077&gt;0,VLOOKUP($C2910,ENTI!$AL$4:AQ$1003,6,FALSE),"")</f>
        <v>#N/A</v>
      </c>
      <c r="I2910" s="187"/>
      <c r="J2910" s="140" t="e">
        <f ca="1">VLOOKUP(D2910,$F$1081:$I$4183,4,FALSE)+COUNTIF(E$1081:E2909,E2910)</f>
        <v>#N/A</v>
      </c>
      <c r="K2910" s="1"/>
      <c r="L2910" s="156"/>
      <c r="M2910" s="1"/>
      <c r="N2910" s="1"/>
      <c r="O2910" s="1"/>
    </row>
    <row r="2911" spans="1:15" hidden="1">
      <c r="A2911" s="1"/>
      <c r="B2911" s="197" t="e">
        <f t="shared" ca="1" si="260"/>
        <v>#N/A</v>
      </c>
      <c r="C2911" s="498">
        <v>845</v>
      </c>
      <c r="D2911" s="41" t="e">
        <f>IF($C$1077&gt;0,VLOOKUP($C2911,ENTI!$AL$4:AN$1003,3,FALSE),"")</f>
        <v>#N/A</v>
      </c>
      <c r="E2911" s="41" t="str">
        <f t="shared" si="259"/>
        <v/>
      </c>
      <c r="F2911" s="200"/>
      <c r="G2911" s="178" t="e">
        <f>IF($C$1077&gt;0,VLOOKUP($C2911,ENTI!$AL$4:AP$1003,5,FALSE),"")</f>
        <v>#N/A</v>
      </c>
      <c r="H2911" s="179" t="e">
        <f>IF($C$1077&gt;0,VLOOKUP($C2911,ENTI!$AL$4:AQ$1003,6,FALSE),"")</f>
        <v>#N/A</v>
      </c>
      <c r="I2911" s="187"/>
      <c r="J2911" s="140" t="e">
        <f ca="1">VLOOKUP(D2911,$F$1081:$I$4183,4,FALSE)+COUNTIF(E$1081:E2910,E2911)</f>
        <v>#N/A</v>
      </c>
      <c r="K2911" s="1"/>
      <c r="L2911" s="156"/>
      <c r="M2911" s="1"/>
      <c r="N2911" s="1"/>
      <c r="O2911" s="1"/>
    </row>
    <row r="2912" spans="1:15" hidden="1">
      <c r="A2912" s="1"/>
      <c r="B2912" s="197" t="e">
        <f t="shared" ca="1" si="260"/>
        <v>#N/A</v>
      </c>
      <c r="C2912" s="498">
        <v>846</v>
      </c>
      <c r="D2912" s="41" t="e">
        <f>IF($C$1077&gt;0,VLOOKUP($C2912,ENTI!$AL$4:AN$1003,3,FALSE),"")</f>
        <v>#N/A</v>
      </c>
      <c r="E2912" s="41" t="str">
        <f t="shared" si="259"/>
        <v/>
      </c>
      <c r="F2912" s="200"/>
      <c r="G2912" s="178" t="e">
        <f>IF($C$1077&gt;0,VLOOKUP($C2912,ENTI!$AL$4:AP$1003,5,FALSE),"")</f>
        <v>#N/A</v>
      </c>
      <c r="H2912" s="179" t="e">
        <f>IF($C$1077&gt;0,VLOOKUP($C2912,ENTI!$AL$4:AQ$1003,6,FALSE),"")</f>
        <v>#N/A</v>
      </c>
      <c r="I2912" s="187"/>
      <c r="J2912" s="140" t="e">
        <f ca="1">VLOOKUP(D2912,$F$1081:$I$4183,4,FALSE)+COUNTIF(E$1081:E2911,E2912)</f>
        <v>#N/A</v>
      </c>
      <c r="K2912" s="1"/>
      <c r="L2912" s="156"/>
      <c r="M2912" s="1"/>
      <c r="N2912" s="1"/>
      <c r="O2912" s="1"/>
    </row>
    <row r="2913" spans="1:15" hidden="1">
      <c r="A2913" s="1"/>
      <c r="B2913" s="197" t="e">
        <f t="shared" ca="1" si="260"/>
        <v>#N/A</v>
      </c>
      <c r="C2913" s="498">
        <v>847</v>
      </c>
      <c r="D2913" s="41" t="e">
        <f>IF($C$1077&gt;0,VLOOKUP($C2913,ENTI!$AL$4:AN$1003,3,FALSE),"")</f>
        <v>#N/A</v>
      </c>
      <c r="E2913" s="41" t="str">
        <f t="shared" si="259"/>
        <v/>
      </c>
      <c r="F2913" s="200"/>
      <c r="G2913" s="178" t="e">
        <f>IF($C$1077&gt;0,VLOOKUP($C2913,ENTI!$AL$4:AP$1003,5,FALSE),"")</f>
        <v>#N/A</v>
      </c>
      <c r="H2913" s="179" t="e">
        <f>IF($C$1077&gt;0,VLOOKUP($C2913,ENTI!$AL$4:AQ$1003,6,FALSE),"")</f>
        <v>#N/A</v>
      </c>
      <c r="I2913" s="187"/>
      <c r="J2913" s="140" t="e">
        <f ca="1">VLOOKUP(D2913,$F$1081:$I$4183,4,FALSE)+COUNTIF(E$1081:E2912,E2913)</f>
        <v>#N/A</v>
      </c>
      <c r="K2913" s="1"/>
      <c r="L2913" s="156"/>
      <c r="M2913" s="1"/>
      <c r="N2913" s="1"/>
      <c r="O2913" s="1"/>
    </row>
    <row r="2914" spans="1:15" hidden="1">
      <c r="A2914" s="1"/>
      <c r="B2914" s="197" t="e">
        <f t="shared" ca="1" si="260"/>
        <v>#N/A</v>
      </c>
      <c r="C2914" s="498">
        <v>848</v>
      </c>
      <c r="D2914" s="41" t="e">
        <f>IF($C$1077&gt;0,VLOOKUP($C2914,ENTI!$AL$4:AN$1003,3,FALSE),"")</f>
        <v>#N/A</v>
      </c>
      <c r="E2914" s="41" t="str">
        <f t="shared" si="259"/>
        <v/>
      </c>
      <c r="F2914" s="200"/>
      <c r="G2914" s="178" t="e">
        <f>IF($C$1077&gt;0,VLOOKUP($C2914,ENTI!$AL$4:AP$1003,5,FALSE),"")</f>
        <v>#N/A</v>
      </c>
      <c r="H2914" s="179" t="e">
        <f>IF($C$1077&gt;0,VLOOKUP($C2914,ENTI!$AL$4:AQ$1003,6,FALSE),"")</f>
        <v>#N/A</v>
      </c>
      <c r="I2914" s="187"/>
      <c r="J2914" s="140" t="e">
        <f ca="1">VLOOKUP(D2914,$F$1081:$I$4183,4,FALSE)+COUNTIF(E$1081:E2913,E2914)</f>
        <v>#N/A</v>
      </c>
      <c r="K2914" s="1"/>
      <c r="L2914" s="156"/>
      <c r="M2914" s="1"/>
      <c r="N2914" s="1"/>
      <c r="O2914" s="1"/>
    </row>
    <row r="2915" spans="1:15" hidden="1">
      <c r="A2915" s="1"/>
      <c r="B2915" s="197" t="e">
        <f t="shared" ca="1" si="260"/>
        <v>#N/A</v>
      </c>
      <c r="C2915" s="498">
        <v>849</v>
      </c>
      <c r="D2915" s="41" t="e">
        <f>IF($C$1077&gt;0,VLOOKUP($C2915,ENTI!$AL$4:AN$1003,3,FALSE),"")</f>
        <v>#N/A</v>
      </c>
      <c r="E2915" s="41" t="str">
        <f t="shared" si="259"/>
        <v/>
      </c>
      <c r="F2915" s="200"/>
      <c r="G2915" s="178" t="e">
        <f>IF($C$1077&gt;0,VLOOKUP($C2915,ENTI!$AL$4:AP$1003,5,FALSE),"")</f>
        <v>#N/A</v>
      </c>
      <c r="H2915" s="179" t="e">
        <f>IF($C$1077&gt;0,VLOOKUP($C2915,ENTI!$AL$4:AQ$1003,6,FALSE),"")</f>
        <v>#N/A</v>
      </c>
      <c r="I2915" s="187"/>
      <c r="J2915" s="140" t="e">
        <f ca="1">VLOOKUP(D2915,$F$1081:$I$4183,4,FALSE)+COUNTIF(E$1081:E2914,E2915)</f>
        <v>#N/A</v>
      </c>
      <c r="K2915" s="1"/>
      <c r="L2915" s="156"/>
      <c r="M2915" s="1"/>
      <c r="N2915" s="1"/>
      <c r="O2915" s="1"/>
    </row>
    <row r="2916" spans="1:15" hidden="1">
      <c r="A2916" s="1"/>
      <c r="B2916" s="197" t="e">
        <f t="shared" ca="1" si="260"/>
        <v>#N/A</v>
      </c>
      <c r="C2916" s="498">
        <v>850</v>
      </c>
      <c r="D2916" s="41" t="e">
        <f>IF($C$1077&gt;0,VLOOKUP($C2916,ENTI!$AL$4:AN$1003,3,FALSE),"")</f>
        <v>#N/A</v>
      </c>
      <c r="E2916" s="41" t="str">
        <f t="shared" si="259"/>
        <v/>
      </c>
      <c r="F2916" s="200"/>
      <c r="G2916" s="178" t="e">
        <f>IF($C$1077&gt;0,VLOOKUP($C2916,ENTI!$AL$4:AP$1003,5,FALSE),"")</f>
        <v>#N/A</v>
      </c>
      <c r="H2916" s="179" t="e">
        <f>IF($C$1077&gt;0,VLOOKUP($C2916,ENTI!$AL$4:AQ$1003,6,FALSE),"")</f>
        <v>#N/A</v>
      </c>
      <c r="I2916" s="187"/>
      <c r="J2916" s="140" t="e">
        <f ca="1">VLOOKUP(D2916,$F$1081:$I$4183,4,FALSE)+COUNTIF(E$1081:E2915,E2916)</f>
        <v>#N/A</v>
      </c>
      <c r="K2916" s="1"/>
      <c r="L2916" s="156"/>
      <c r="M2916" s="1"/>
      <c r="N2916" s="1"/>
      <c r="O2916" s="1"/>
    </row>
    <row r="2917" spans="1:15" hidden="1">
      <c r="A2917" s="1"/>
      <c r="B2917" s="197" t="e">
        <f t="shared" ca="1" si="260"/>
        <v>#N/A</v>
      </c>
      <c r="C2917" s="498">
        <v>851</v>
      </c>
      <c r="D2917" s="41" t="e">
        <f>IF($C$1077&gt;0,VLOOKUP($C2917,ENTI!$AL$4:AN$1003,3,FALSE),"")</f>
        <v>#N/A</v>
      </c>
      <c r="E2917" s="41" t="str">
        <f t="shared" si="259"/>
        <v/>
      </c>
      <c r="F2917" s="200"/>
      <c r="G2917" s="178" t="e">
        <f>IF($C$1077&gt;0,VLOOKUP($C2917,ENTI!$AL$4:AP$1003,5,FALSE),"")</f>
        <v>#N/A</v>
      </c>
      <c r="H2917" s="179" t="e">
        <f>IF($C$1077&gt;0,VLOOKUP($C2917,ENTI!$AL$4:AQ$1003,6,FALSE),"")</f>
        <v>#N/A</v>
      </c>
      <c r="I2917" s="187"/>
      <c r="J2917" s="140" t="e">
        <f ca="1">VLOOKUP(D2917,$F$1081:$I$4183,4,FALSE)+COUNTIF(E$1081:E2916,E2917)</f>
        <v>#N/A</v>
      </c>
      <c r="K2917" s="1"/>
      <c r="L2917" s="156"/>
      <c r="M2917" s="1"/>
      <c r="N2917" s="1"/>
      <c r="O2917" s="1"/>
    </row>
    <row r="2918" spans="1:15" hidden="1">
      <c r="A2918" s="1"/>
      <c r="B2918" s="197" t="e">
        <f t="shared" ca="1" si="260"/>
        <v>#N/A</v>
      </c>
      <c r="C2918" s="498">
        <v>852</v>
      </c>
      <c r="D2918" s="41" t="e">
        <f>IF($C$1077&gt;0,VLOOKUP($C2918,ENTI!$AL$4:AN$1003,3,FALSE),"")</f>
        <v>#N/A</v>
      </c>
      <c r="E2918" s="41" t="str">
        <f t="shared" si="259"/>
        <v/>
      </c>
      <c r="F2918" s="200"/>
      <c r="G2918" s="178" t="e">
        <f>IF($C$1077&gt;0,VLOOKUP($C2918,ENTI!$AL$4:AP$1003,5,FALSE),"")</f>
        <v>#N/A</v>
      </c>
      <c r="H2918" s="179" t="e">
        <f>IF($C$1077&gt;0,VLOOKUP($C2918,ENTI!$AL$4:AQ$1003,6,FALSE),"")</f>
        <v>#N/A</v>
      </c>
      <c r="I2918" s="187"/>
      <c r="J2918" s="140" t="e">
        <f ca="1">VLOOKUP(D2918,$F$1081:$I$4183,4,FALSE)+COUNTIF(E$1081:E2917,E2918)</f>
        <v>#N/A</v>
      </c>
      <c r="K2918" s="1"/>
      <c r="L2918" s="156"/>
      <c r="M2918" s="1"/>
      <c r="N2918" s="1"/>
      <c r="O2918" s="1"/>
    </row>
    <row r="2919" spans="1:15" hidden="1">
      <c r="A2919" s="1"/>
      <c r="B2919" s="197" t="e">
        <f t="shared" ca="1" si="260"/>
        <v>#N/A</v>
      </c>
      <c r="C2919" s="498">
        <v>853</v>
      </c>
      <c r="D2919" s="41" t="e">
        <f>IF($C$1077&gt;0,VLOOKUP($C2919,ENTI!$AL$4:AN$1003,3,FALSE),"")</f>
        <v>#N/A</v>
      </c>
      <c r="E2919" s="41" t="str">
        <f t="shared" si="259"/>
        <v/>
      </c>
      <c r="F2919" s="200"/>
      <c r="G2919" s="178" t="e">
        <f>IF($C$1077&gt;0,VLOOKUP($C2919,ENTI!$AL$4:AP$1003,5,FALSE),"")</f>
        <v>#N/A</v>
      </c>
      <c r="H2919" s="179" t="e">
        <f>IF($C$1077&gt;0,VLOOKUP($C2919,ENTI!$AL$4:AQ$1003,6,FALSE),"")</f>
        <v>#N/A</v>
      </c>
      <c r="I2919" s="187"/>
      <c r="J2919" s="140" t="e">
        <f ca="1">VLOOKUP(D2919,$F$1081:$I$4183,4,FALSE)+COUNTIF(E$1081:E2918,E2919)</f>
        <v>#N/A</v>
      </c>
      <c r="K2919" s="1"/>
      <c r="L2919" s="156"/>
      <c r="M2919" s="1"/>
      <c r="N2919" s="1"/>
      <c r="O2919" s="1"/>
    </row>
    <row r="2920" spans="1:15" hidden="1">
      <c r="A2920" s="1"/>
      <c r="B2920" s="197" t="e">
        <f t="shared" ca="1" si="260"/>
        <v>#N/A</v>
      </c>
      <c r="C2920" s="498">
        <v>854</v>
      </c>
      <c r="D2920" s="41" t="e">
        <f>IF($C$1077&gt;0,VLOOKUP($C2920,ENTI!$AL$4:AN$1003,3,FALSE),"")</f>
        <v>#N/A</v>
      </c>
      <c r="E2920" s="41" t="str">
        <f t="shared" si="259"/>
        <v/>
      </c>
      <c r="F2920" s="200"/>
      <c r="G2920" s="178" t="e">
        <f>IF($C$1077&gt;0,VLOOKUP($C2920,ENTI!$AL$4:AP$1003,5,FALSE),"")</f>
        <v>#N/A</v>
      </c>
      <c r="H2920" s="179" t="e">
        <f>IF($C$1077&gt;0,VLOOKUP($C2920,ENTI!$AL$4:AQ$1003,6,FALSE),"")</f>
        <v>#N/A</v>
      </c>
      <c r="I2920" s="187"/>
      <c r="J2920" s="140" t="e">
        <f ca="1">VLOOKUP(D2920,$F$1081:$I$4183,4,FALSE)+COUNTIF(E$1081:E2919,E2920)</f>
        <v>#N/A</v>
      </c>
      <c r="K2920" s="1"/>
      <c r="L2920" s="156"/>
      <c r="M2920" s="1"/>
      <c r="N2920" s="1"/>
      <c r="O2920" s="1"/>
    </row>
    <row r="2921" spans="1:15" hidden="1">
      <c r="A2921" s="1"/>
      <c r="B2921" s="197" t="e">
        <f t="shared" ca="1" si="260"/>
        <v>#N/A</v>
      </c>
      <c r="C2921" s="498">
        <v>855</v>
      </c>
      <c r="D2921" s="41" t="e">
        <f>IF($C$1077&gt;0,VLOOKUP($C2921,ENTI!$AL$4:AN$1003,3,FALSE),"")</f>
        <v>#N/A</v>
      </c>
      <c r="E2921" s="41" t="str">
        <f t="shared" si="259"/>
        <v/>
      </c>
      <c r="F2921" s="200"/>
      <c r="G2921" s="178" t="e">
        <f>IF($C$1077&gt;0,VLOOKUP($C2921,ENTI!$AL$4:AP$1003,5,FALSE),"")</f>
        <v>#N/A</v>
      </c>
      <c r="H2921" s="179" t="e">
        <f>IF($C$1077&gt;0,VLOOKUP($C2921,ENTI!$AL$4:AQ$1003,6,FALSE),"")</f>
        <v>#N/A</v>
      </c>
      <c r="I2921" s="187"/>
      <c r="J2921" s="140" t="e">
        <f ca="1">VLOOKUP(D2921,$F$1081:$I$4183,4,FALSE)+COUNTIF(E$1081:E2920,E2921)</f>
        <v>#N/A</v>
      </c>
      <c r="K2921" s="1"/>
      <c r="L2921" s="156"/>
      <c r="M2921" s="1"/>
      <c r="N2921" s="1"/>
      <c r="O2921" s="1"/>
    </row>
    <row r="2922" spans="1:15" hidden="1">
      <c r="A2922" s="1"/>
      <c r="B2922" s="197" t="e">
        <f t="shared" ca="1" si="260"/>
        <v>#N/A</v>
      </c>
      <c r="C2922" s="498">
        <v>856</v>
      </c>
      <c r="D2922" s="41" t="e">
        <f>IF($C$1077&gt;0,VLOOKUP($C2922,ENTI!$AL$4:AN$1003,3,FALSE),"")</f>
        <v>#N/A</v>
      </c>
      <c r="E2922" s="41" t="str">
        <f t="shared" si="259"/>
        <v/>
      </c>
      <c r="F2922" s="200"/>
      <c r="G2922" s="178" t="e">
        <f>IF($C$1077&gt;0,VLOOKUP($C2922,ENTI!$AL$4:AP$1003,5,FALSE),"")</f>
        <v>#N/A</v>
      </c>
      <c r="H2922" s="179" t="e">
        <f>IF($C$1077&gt;0,VLOOKUP($C2922,ENTI!$AL$4:AQ$1003,6,FALSE),"")</f>
        <v>#N/A</v>
      </c>
      <c r="I2922" s="187"/>
      <c r="J2922" s="140" t="e">
        <f ca="1">VLOOKUP(D2922,$F$1081:$I$4183,4,FALSE)+COUNTIF(E$1081:E2921,E2922)</f>
        <v>#N/A</v>
      </c>
      <c r="K2922" s="1"/>
      <c r="L2922" s="156"/>
      <c r="M2922" s="1"/>
      <c r="N2922" s="1"/>
      <c r="O2922" s="1"/>
    </row>
    <row r="2923" spans="1:15" hidden="1">
      <c r="A2923" s="1"/>
      <c r="B2923" s="197" t="e">
        <f t="shared" ca="1" si="260"/>
        <v>#N/A</v>
      </c>
      <c r="C2923" s="498">
        <v>857</v>
      </c>
      <c r="D2923" s="41" t="e">
        <f>IF($C$1077&gt;0,VLOOKUP($C2923,ENTI!$AL$4:AN$1003,3,FALSE),"")</f>
        <v>#N/A</v>
      </c>
      <c r="E2923" s="41" t="str">
        <f t="shared" si="259"/>
        <v/>
      </c>
      <c r="F2923" s="200"/>
      <c r="G2923" s="178" t="e">
        <f>IF($C$1077&gt;0,VLOOKUP($C2923,ENTI!$AL$4:AP$1003,5,FALSE),"")</f>
        <v>#N/A</v>
      </c>
      <c r="H2923" s="179" t="e">
        <f>IF($C$1077&gt;0,VLOOKUP($C2923,ENTI!$AL$4:AQ$1003,6,FALSE),"")</f>
        <v>#N/A</v>
      </c>
      <c r="I2923" s="187"/>
      <c r="J2923" s="140" t="e">
        <f ca="1">VLOOKUP(D2923,$F$1081:$I$4183,4,FALSE)+COUNTIF(E$1081:E2922,E2923)</f>
        <v>#N/A</v>
      </c>
      <c r="K2923" s="1"/>
      <c r="L2923" s="156"/>
      <c r="M2923" s="1"/>
      <c r="N2923" s="1"/>
      <c r="O2923" s="1"/>
    </row>
    <row r="2924" spans="1:15" hidden="1">
      <c r="A2924" s="1"/>
      <c r="B2924" s="197" t="e">
        <f t="shared" ca="1" si="260"/>
        <v>#N/A</v>
      </c>
      <c r="C2924" s="498">
        <v>858</v>
      </c>
      <c r="D2924" s="41" t="e">
        <f>IF($C$1077&gt;0,VLOOKUP($C2924,ENTI!$AL$4:AN$1003,3,FALSE),"")</f>
        <v>#N/A</v>
      </c>
      <c r="E2924" s="41" t="str">
        <f t="shared" si="259"/>
        <v/>
      </c>
      <c r="F2924" s="200"/>
      <c r="G2924" s="178" t="e">
        <f>IF($C$1077&gt;0,VLOOKUP($C2924,ENTI!$AL$4:AP$1003,5,FALSE),"")</f>
        <v>#N/A</v>
      </c>
      <c r="H2924" s="179" t="e">
        <f>IF($C$1077&gt;0,VLOOKUP($C2924,ENTI!$AL$4:AQ$1003,6,FALSE),"")</f>
        <v>#N/A</v>
      </c>
      <c r="I2924" s="187"/>
      <c r="J2924" s="140" t="e">
        <f ca="1">VLOOKUP(D2924,$F$1081:$I$4183,4,FALSE)+COUNTIF(E$1081:E2923,E2924)</f>
        <v>#N/A</v>
      </c>
      <c r="K2924" s="1"/>
      <c r="L2924" s="156"/>
      <c r="M2924" s="1"/>
      <c r="N2924" s="1"/>
      <c r="O2924" s="1"/>
    </row>
    <row r="2925" spans="1:15" hidden="1">
      <c r="A2925" s="1"/>
      <c r="B2925" s="197" t="e">
        <f t="shared" ca="1" si="260"/>
        <v>#N/A</v>
      </c>
      <c r="C2925" s="498">
        <v>859</v>
      </c>
      <c r="D2925" s="41" t="e">
        <f>IF($C$1077&gt;0,VLOOKUP($C2925,ENTI!$AL$4:AN$1003,3,FALSE),"")</f>
        <v>#N/A</v>
      </c>
      <c r="E2925" s="41" t="str">
        <f t="shared" si="259"/>
        <v/>
      </c>
      <c r="F2925" s="200"/>
      <c r="G2925" s="178" t="e">
        <f>IF($C$1077&gt;0,VLOOKUP($C2925,ENTI!$AL$4:AP$1003,5,FALSE),"")</f>
        <v>#N/A</v>
      </c>
      <c r="H2925" s="179" t="e">
        <f>IF($C$1077&gt;0,VLOOKUP($C2925,ENTI!$AL$4:AQ$1003,6,FALSE),"")</f>
        <v>#N/A</v>
      </c>
      <c r="I2925" s="187"/>
      <c r="J2925" s="140" t="e">
        <f ca="1">VLOOKUP(D2925,$F$1081:$I$4183,4,FALSE)+COUNTIF(E$1081:E2924,E2925)</f>
        <v>#N/A</v>
      </c>
      <c r="K2925" s="1"/>
      <c r="L2925" s="156"/>
      <c r="M2925" s="1"/>
      <c r="N2925" s="1"/>
      <c r="O2925" s="1"/>
    </row>
    <row r="2926" spans="1:15" hidden="1">
      <c r="A2926" s="1"/>
      <c r="B2926" s="197" t="e">
        <f t="shared" ca="1" si="260"/>
        <v>#N/A</v>
      </c>
      <c r="C2926" s="498">
        <v>860</v>
      </c>
      <c r="D2926" s="41" t="e">
        <f>IF($C$1077&gt;0,VLOOKUP($C2926,ENTI!$AL$4:AN$1003,3,FALSE),"")</f>
        <v>#N/A</v>
      </c>
      <c r="E2926" s="41" t="str">
        <f t="shared" si="259"/>
        <v/>
      </c>
      <c r="F2926" s="200"/>
      <c r="G2926" s="178" t="e">
        <f>IF($C$1077&gt;0,VLOOKUP($C2926,ENTI!$AL$4:AP$1003,5,FALSE),"")</f>
        <v>#N/A</v>
      </c>
      <c r="H2926" s="179" t="e">
        <f>IF($C$1077&gt;0,VLOOKUP($C2926,ENTI!$AL$4:AQ$1003,6,FALSE),"")</f>
        <v>#N/A</v>
      </c>
      <c r="I2926" s="187"/>
      <c r="J2926" s="140" t="e">
        <f ca="1">VLOOKUP(D2926,$F$1081:$I$4183,4,FALSE)+COUNTIF(E$1081:E2925,E2926)</f>
        <v>#N/A</v>
      </c>
      <c r="K2926" s="1"/>
      <c r="L2926" s="156"/>
      <c r="M2926" s="1"/>
      <c r="N2926" s="1"/>
      <c r="O2926" s="1"/>
    </row>
    <row r="2927" spans="1:15" hidden="1">
      <c r="A2927" s="1"/>
      <c r="B2927" s="197" t="e">
        <f t="shared" ca="1" si="260"/>
        <v>#N/A</v>
      </c>
      <c r="C2927" s="498">
        <v>861</v>
      </c>
      <c r="D2927" s="41" t="e">
        <f>IF($C$1077&gt;0,VLOOKUP($C2927,ENTI!$AL$4:AN$1003,3,FALSE),"")</f>
        <v>#N/A</v>
      </c>
      <c r="E2927" s="41" t="str">
        <f t="shared" si="259"/>
        <v/>
      </c>
      <c r="F2927" s="200"/>
      <c r="G2927" s="178" t="e">
        <f>IF($C$1077&gt;0,VLOOKUP($C2927,ENTI!$AL$4:AP$1003,5,FALSE),"")</f>
        <v>#N/A</v>
      </c>
      <c r="H2927" s="179" t="e">
        <f>IF($C$1077&gt;0,VLOOKUP($C2927,ENTI!$AL$4:AQ$1003,6,FALSE),"")</f>
        <v>#N/A</v>
      </c>
      <c r="I2927" s="187"/>
      <c r="J2927" s="140" t="e">
        <f ca="1">VLOOKUP(D2927,$F$1081:$I$4183,4,FALSE)+COUNTIF(E$1081:E2926,E2927)</f>
        <v>#N/A</v>
      </c>
      <c r="K2927" s="1"/>
      <c r="L2927" s="156"/>
      <c r="M2927" s="1"/>
      <c r="N2927" s="1"/>
      <c r="O2927" s="1"/>
    </row>
    <row r="2928" spans="1:15" hidden="1">
      <c r="A2928" s="1"/>
      <c r="B2928" s="197" t="e">
        <f t="shared" ca="1" si="260"/>
        <v>#N/A</v>
      </c>
      <c r="C2928" s="498">
        <v>862</v>
      </c>
      <c r="D2928" s="41" t="e">
        <f>IF($C$1077&gt;0,VLOOKUP($C2928,ENTI!$AL$4:AN$1003,3,FALSE),"")</f>
        <v>#N/A</v>
      </c>
      <c r="E2928" s="41" t="str">
        <f t="shared" si="259"/>
        <v/>
      </c>
      <c r="F2928" s="200"/>
      <c r="G2928" s="178" t="e">
        <f>IF($C$1077&gt;0,VLOOKUP($C2928,ENTI!$AL$4:AP$1003,5,FALSE),"")</f>
        <v>#N/A</v>
      </c>
      <c r="H2928" s="179" t="e">
        <f>IF($C$1077&gt;0,VLOOKUP($C2928,ENTI!$AL$4:AQ$1003,6,FALSE),"")</f>
        <v>#N/A</v>
      </c>
      <c r="I2928" s="187"/>
      <c r="J2928" s="140" t="e">
        <f ca="1">VLOOKUP(D2928,$F$1081:$I$4183,4,FALSE)+COUNTIF(E$1081:E2927,E2928)</f>
        <v>#N/A</v>
      </c>
      <c r="K2928" s="1"/>
      <c r="L2928" s="156"/>
      <c r="M2928" s="1"/>
      <c r="N2928" s="1"/>
      <c r="O2928" s="1"/>
    </row>
    <row r="2929" spans="1:15" hidden="1">
      <c r="A2929" s="1"/>
      <c r="B2929" s="197" t="e">
        <f t="shared" ca="1" si="260"/>
        <v>#N/A</v>
      </c>
      <c r="C2929" s="498">
        <v>863</v>
      </c>
      <c r="D2929" s="41" t="e">
        <f>IF($C$1077&gt;0,VLOOKUP($C2929,ENTI!$AL$4:AN$1003,3,FALSE),"")</f>
        <v>#N/A</v>
      </c>
      <c r="E2929" s="41" t="str">
        <f t="shared" si="259"/>
        <v/>
      </c>
      <c r="F2929" s="200"/>
      <c r="G2929" s="178" t="e">
        <f>IF($C$1077&gt;0,VLOOKUP($C2929,ENTI!$AL$4:AP$1003,5,FALSE),"")</f>
        <v>#N/A</v>
      </c>
      <c r="H2929" s="179" t="e">
        <f>IF($C$1077&gt;0,VLOOKUP($C2929,ENTI!$AL$4:AQ$1003,6,FALSE),"")</f>
        <v>#N/A</v>
      </c>
      <c r="I2929" s="187"/>
      <c r="J2929" s="140" t="e">
        <f ca="1">VLOOKUP(D2929,$F$1081:$I$4183,4,FALSE)+COUNTIF(E$1081:E2928,E2929)</f>
        <v>#N/A</v>
      </c>
      <c r="K2929" s="1"/>
      <c r="L2929" s="156"/>
      <c r="M2929" s="1"/>
      <c r="N2929" s="1"/>
      <c r="O2929" s="1"/>
    </row>
    <row r="2930" spans="1:15" hidden="1">
      <c r="A2930" s="1"/>
      <c r="B2930" s="197" t="e">
        <f t="shared" ca="1" si="260"/>
        <v>#N/A</v>
      </c>
      <c r="C2930" s="498">
        <v>864</v>
      </c>
      <c r="D2930" s="41" t="e">
        <f>IF($C$1077&gt;0,VLOOKUP($C2930,ENTI!$AL$4:AN$1003,3,FALSE),"")</f>
        <v>#N/A</v>
      </c>
      <c r="E2930" s="41" t="str">
        <f t="shared" si="259"/>
        <v/>
      </c>
      <c r="F2930" s="200"/>
      <c r="G2930" s="178" t="e">
        <f>IF($C$1077&gt;0,VLOOKUP($C2930,ENTI!$AL$4:AP$1003,5,FALSE),"")</f>
        <v>#N/A</v>
      </c>
      <c r="H2930" s="179" t="e">
        <f>IF($C$1077&gt;0,VLOOKUP($C2930,ENTI!$AL$4:AQ$1003,6,FALSE),"")</f>
        <v>#N/A</v>
      </c>
      <c r="I2930" s="187"/>
      <c r="J2930" s="140" t="e">
        <f ca="1">VLOOKUP(D2930,$F$1081:$I$4183,4,FALSE)+COUNTIF(E$1081:E2929,E2930)</f>
        <v>#N/A</v>
      </c>
      <c r="K2930" s="1"/>
      <c r="L2930" s="156"/>
      <c r="M2930" s="1"/>
      <c r="N2930" s="1"/>
      <c r="O2930" s="1"/>
    </row>
    <row r="2931" spans="1:15" hidden="1">
      <c r="A2931" s="1"/>
      <c r="B2931" s="197" t="e">
        <f t="shared" ca="1" si="260"/>
        <v>#N/A</v>
      </c>
      <c r="C2931" s="498">
        <v>865</v>
      </c>
      <c r="D2931" s="41" t="e">
        <f>IF($C$1077&gt;0,VLOOKUP($C2931,ENTI!$AL$4:AN$1003,3,FALSE),"")</f>
        <v>#N/A</v>
      </c>
      <c r="E2931" s="41" t="str">
        <f t="shared" si="259"/>
        <v/>
      </c>
      <c r="F2931" s="200"/>
      <c r="G2931" s="178" t="e">
        <f>IF($C$1077&gt;0,VLOOKUP($C2931,ENTI!$AL$4:AP$1003,5,FALSE),"")</f>
        <v>#N/A</v>
      </c>
      <c r="H2931" s="179" t="e">
        <f>IF($C$1077&gt;0,VLOOKUP($C2931,ENTI!$AL$4:AQ$1003,6,FALSE),"")</f>
        <v>#N/A</v>
      </c>
      <c r="I2931" s="187"/>
      <c r="J2931" s="140" t="e">
        <f ca="1">VLOOKUP(D2931,$F$1081:$I$4183,4,FALSE)+COUNTIF(E$1081:E2930,E2931)</f>
        <v>#N/A</v>
      </c>
      <c r="K2931" s="1"/>
      <c r="L2931" s="156"/>
      <c r="M2931" s="1"/>
      <c r="N2931" s="1"/>
      <c r="O2931" s="1"/>
    </row>
    <row r="2932" spans="1:15" hidden="1">
      <c r="A2932" s="1"/>
      <c r="B2932" s="197" t="e">
        <f t="shared" ca="1" si="260"/>
        <v>#N/A</v>
      </c>
      <c r="C2932" s="498">
        <v>866</v>
      </c>
      <c r="D2932" s="41" t="e">
        <f>IF($C$1077&gt;0,VLOOKUP($C2932,ENTI!$AL$4:AN$1003,3,FALSE),"")</f>
        <v>#N/A</v>
      </c>
      <c r="E2932" s="41" t="str">
        <f t="shared" si="259"/>
        <v/>
      </c>
      <c r="F2932" s="200"/>
      <c r="G2932" s="178" t="e">
        <f>IF($C$1077&gt;0,VLOOKUP($C2932,ENTI!$AL$4:AP$1003,5,FALSE),"")</f>
        <v>#N/A</v>
      </c>
      <c r="H2932" s="179" t="e">
        <f>IF($C$1077&gt;0,VLOOKUP($C2932,ENTI!$AL$4:AQ$1003,6,FALSE),"")</f>
        <v>#N/A</v>
      </c>
      <c r="I2932" s="187"/>
      <c r="J2932" s="140" t="e">
        <f ca="1">VLOOKUP(D2932,$F$1081:$I$4183,4,FALSE)+COUNTIF(E$1081:E2931,E2932)</f>
        <v>#N/A</v>
      </c>
      <c r="K2932" s="1"/>
      <c r="L2932" s="156"/>
      <c r="M2932" s="1"/>
      <c r="N2932" s="1"/>
      <c r="O2932" s="1"/>
    </row>
    <row r="2933" spans="1:15" hidden="1">
      <c r="A2933" s="1"/>
      <c r="B2933" s="197" t="e">
        <f t="shared" ca="1" si="260"/>
        <v>#N/A</v>
      </c>
      <c r="C2933" s="498">
        <v>867</v>
      </c>
      <c r="D2933" s="41" t="e">
        <f>IF($C$1077&gt;0,VLOOKUP($C2933,ENTI!$AL$4:AN$1003,3,FALSE),"")</f>
        <v>#N/A</v>
      </c>
      <c r="E2933" s="41" t="str">
        <f t="shared" si="259"/>
        <v/>
      </c>
      <c r="F2933" s="200"/>
      <c r="G2933" s="178" t="e">
        <f>IF($C$1077&gt;0,VLOOKUP($C2933,ENTI!$AL$4:AP$1003,5,FALSE),"")</f>
        <v>#N/A</v>
      </c>
      <c r="H2933" s="179" t="e">
        <f>IF($C$1077&gt;0,VLOOKUP($C2933,ENTI!$AL$4:AQ$1003,6,FALSE),"")</f>
        <v>#N/A</v>
      </c>
      <c r="I2933" s="187"/>
      <c r="J2933" s="140" t="e">
        <f ca="1">VLOOKUP(D2933,$F$1081:$I$4183,4,FALSE)+COUNTIF(E$1081:E2932,E2933)</f>
        <v>#N/A</v>
      </c>
      <c r="K2933" s="1"/>
      <c r="L2933" s="156"/>
      <c r="M2933" s="1"/>
      <c r="N2933" s="1"/>
      <c r="O2933" s="1"/>
    </row>
    <row r="2934" spans="1:15" hidden="1">
      <c r="A2934" s="1"/>
      <c r="B2934" s="197" t="e">
        <f t="shared" ca="1" si="260"/>
        <v>#N/A</v>
      </c>
      <c r="C2934" s="498">
        <v>868</v>
      </c>
      <c r="D2934" s="41" t="e">
        <f>IF($C$1077&gt;0,VLOOKUP($C2934,ENTI!$AL$4:AN$1003,3,FALSE),"")</f>
        <v>#N/A</v>
      </c>
      <c r="E2934" s="41" t="str">
        <f t="shared" si="259"/>
        <v/>
      </c>
      <c r="F2934" s="200"/>
      <c r="G2934" s="178" t="e">
        <f>IF($C$1077&gt;0,VLOOKUP($C2934,ENTI!$AL$4:AP$1003,5,FALSE),"")</f>
        <v>#N/A</v>
      </c>
      <c r="H2934" s="179" t="e">
        <f>IF($C$1077&gt;0,VLOOKUP($C2934,ENTI!$AL$4:AQ$1003,6,FALSE),"")</f>
        <v>#N/A</v>
      </c>
      <c r="I2934" s="187"/>
      <c r="J2934" s="140" t="e">
        <f ca="1">VLOOKUP(D2934,$F$1081:$I$4183,4,FALSE)+COUNTIF(E$1081:E2933,E2934)</f>
        <v>#N/A</v>
      </c>
      <c r="K2934" s="1"/>
      <c r="L2934" s="156"/>
      <c r="M2934" s="1"/>
      <c r="N2934" s="1"/>
      <c r="O2934" s="1"/>
    </row>
    <row r="2935" spans="1:15" hidden="1">
      <c r="A2935" s="1"/>
      <c r="B2935" s="197" t="e">
        <f t="shared" ca="1" si="260"/>
        <v>#N/A</v>
      </c>
      <c r="C2935" s="498">
        <v>869</v>
      </c>
      <c r="D2935" s="41" t="e">
        <f>IF($C$1077&gt;0,VLOOKUP($C2935,ENTI!$AL$4:AN$1003,3,FALSE),"")</f>
        <v>#N/A</v>
      </c>
      <c r="E2935" s="41" t="str">
        <f t="shared" si="259"/>
        <v/>
      </c>
      <c r="F2935" s="200"/>
      <c r="G2935" s="178" t="e">
        <f>IF($C$1077&gt;0,VLOOKUP($C2935,ENTI!$AL$4:AP$1003,5,FALSE),"")</f>
        <v>#N/A</v>
      </c>
      <c r="H2935" s="179" t="e">
        <f>IF($C$1077&gt;0,VLOOKUP($C2935,ENTI!$AL$4:AQ$1003,6,FALSE),"")</f>
        <v>#N/A</v>
      </c>
      <c r="I2935" s="187"/>
      <c r="J2935" s="140" t="e">
        <f ca="1">VLOOKUP(D2935,$F$1081:$I$4183,4,FALSE)+COUNTIF(E$1081:E2934,E2935)</f>
        <v>#N/A</v>
      </c>
      <c r="K2935" s="1"/>
      <c r="L2935" s="156"/>
      <c r="M2935" s="1"/>
      <c r="N2935" s="1"/>
      <c r="O2935" s="1"/>
    </row>
    <row r="2936" spans="1:15" hidden="1">
      <c r="A2936" s="1"/>
      <c r="B2936" s="197" t="e">
        <f t="shared" ca="1" si="260"/>
        <v>#N/A</v>
      </c>
      <c r="C2936" s="498">
        <v>870</v>
      </c>
      <c r="D2936" s="41" t="e">
        <f>IF($C$1077&gt;0,VLOOKUP($C2936,ENTI!$AL$4:AN$1003,3,FALSE),"")</f>
        <v>#N/A</v>
      </c>
      <c r="E2936" s="41" t="str">
        <f t="shared" si="259"/>
        <v/>
      </c>
      <c r="F2936" s="200"/>
      <c r="G2936" s="178" t="e">
        <f>IF($C$1077&gt;0,VLOOKUP($C2936,ENTI!$AL$4:AP$1003,5,FALSE),"")</f>
        <v>#N/A</v>
      </c>
      <c r="H2936" s="179" t="e">
        <f>IF($C$1077&gt;0,VLOOKUP($C2936,ENTI!$AL$4:AQ$1003,6,FALSE),"")</f>
        <v>#N/A</v>
      </c>
      <c r="I2936" s="187"/>
      <c r="J2936" s="140" t="e">
        <f ca="1">VLOOKUP(D2936,$F$1081:$I$4183,4,FALSE)+COUNTIF(E$1081:E2935,E2936)</f>
        <v>#N/A</v>
      </c>
      <c r="K2936" s="1"/>
      <c r="L2936" s="156"/>
      <c r="M2936" s="1"/>
      <c r="N2936" s="1"/>
      <c r="O2936" s="1"/>
    </row>
    <row r="2937" spans="1:15" hidden="1">
      <c r="A2937" s="1"/>
      <c r="B2937" s="197" t="e">
        <f t="shared" ca="1" si="260"/>
        <v>#N/A</v>
      </c>
      <c r="C2937" s="498">
        <v>871</v>
      </c>
      <c r="D2937" s="41" t="e">
        <f>IF($C$1077&gt;0,VLOOKUP($C2937,ENTI!$AL$4:AN$1003,3,FALSE),"")</f>
        <v>#N/A</v>
      </c>
      <c r="E2937" s="41" t="str">
        <f t="shared" si="259"/>
        <v/>
      </c>
      <c r="F2937" s="200"/>
      <c r="G2937" s="178" t="e">
        <f>IF($C$1077&gt;0,VLOOKUP($C2937,ENTI!$AL$4:AP$1003,5,FALSE),"")</f>
        <v>#N/A</v>
      </c>
      <c r="H2937" s="179" t="e">
        <f>IF($C$1077&gt;0,VLOOKUP($C2937,ENTI!$AL$4:AQ$1003,6,FALSE),"")</f>
        <v>#N/A</v>
      </c>
      <c r="I2937" s="187"/>
      <c r="J2937" s="140" t="e">
        <f ca="1">VLOOKUP(D2937,$F$1081:$I$4183,4,FALSE)+COUNTIF(E$1081:E2936,E2937)</f>
        <v>#N/A</v>
      </c>
      <c r="K2937" s="1"/>
      <c r="L2937" s="156"/>
      <c r="M2937" s="1"/>
      <c r="N2937" s="1"/>
      <c r="O2937" s="1"/>
    </row>
    <row r="2938" spans="1:15" hidden="1">
      <c r="A2938" s="1"/>
      <c r="B2938" s="197" t="e">
        <f t="shared" ca="1" si="260"/>
        <v>#N/A</v>
      </c>
      <c r="C2938" s="498">
        <v>872</v>
      </c>
      <c r="D2938" s="41" t="e">
        <f>IF($C$1077&gt;0,VLOOKUP($C2938,ENTI!$AL$4:AN$1003,3,FALSE),"")</f>
        <v>#N/A</v>
      </c>
      <c r="E2938" s="41" t="str">
        <f t="shared" si="259"/>
        <v/>
      </c>
      <c r="F2938" s="200"/>
      <c r="G2938" s="178" t="e">
        <f>IF($C$1077&gt;0,VLOOKUP($C2938,ENTI!$AL$4:AP$1003,5,FALSE),"")</f>
        <v>#N/A</v>
      </c>
      <c r="H2938" s="179" t="e">
        <f>IF($C$1077&gt;0,VLOOKUP($C2938,ENTI!$AL$4:AQ$1003,6,FALSE),"")</f>
        <v>#N/A</v>
      </c>
      <c r="I2938" s="187"/>
      <c r="J2938" s="140" t="e">
        <f ca="1">VLOOKUP(D2938,$F$1081:$I$4183,4,FALSE)+COUNTIF(E$1081:E2937,E2938)</f>
        <v>#N/A</v>
      </c>
      <c r="K2938" s="1"/>
      <c r="L2938" s="156"/>
      <c r="M2938" s="1"/>
      <c r="N2938" s="1"/>
      <c r="O2938" s="1"/>
    </row>
    <row r="2939" spans="1:15" hidden="1">
      <c r="A2939" s="1"/>
      <c r="B2939" s="197" t="e">
        <f t="shared" ca="1" si="260"/>
        <v>#N/A</v>
      </c>
      <c r="C2939" s="498">
        <v>873</v>
      </c>
      <c r="D2939" s="41" t="e">
        <f>IF($C$1077&gt;0,VLOOKUP($C2939,ENTI!$AL$4:AN$1003,3,FALSE),"")</f>
        <v>#N/A</v>
      </c>
      <c r="E2939" s="41" t="str">
        <f t="shared" si="259"/>
        <v/>
      </c>
      <c r="F2939" s="200"/>
      <c r="G2939" s="178" t="e">
        <f>IF($C$1077&gt;0,VLOOKUP($C2939,ENTI!$AL$4:AP$1003,5,FALSE),"")</f>
        <v>#N/A</v>
      </c>
      <c r="H2939" s="179" t="e">
        <f>IF($C$1077&gt;0,VLOOKUP($C2939,ENTI!$AL$4:AQ$1003,6,FALSE),"")</f>
        <v>#N/A</v>
      </c>
      <c r="I2939" s="187"/>
      <c r="J2939" s="140" t="e">
        <f ca="1">VLOOKUP(D2939,$F$1081:$I$4183,4,FALSE)+COUNTIF(E$1081:E2938,E2939)</f>
        <v>#N/A</v>
      </c>
      <c r="K2939" s="1"/>
      <c r="L2939" s="156"/>
      <c r="M2939" s="1"/>
      <c r="N2939" s="1"/>
      <c r="O2939" s="1"/>
    </row>
    <row r="2940" spans="1:15" hidden="1">
      <c r="A2940" s="1"/>
      <c r="B2940" s="197" t="e">
        <f t="shared" ca="1" si="260"/>
        <v>#N/A</v>
      </c>
      <c r="C2940" s="498">
        <v>874</v>
      </c>
      <c r="D2940" s="41" t="e">
        <f>IF($C$1077&gt;0,VLOOKUP($C2940,ENTI!$AL$4:AN$1003,3,FALSE),"")</f>
        <v>#N/A</v>
      </c>
      <c r="E2940" s="41" t="str">
        <f t="shared" si="259"/>
        <v/>
      </c>
      <c r="F2940" s="200"/>
      <c r="G2940" s="178" t="e">
        <f>IF($C$1077&gt;0,VLOOKUP($C2940,ENTI!$AL$4:AP$1003,5,FALSE),"")</f>
        <v>#N/A</v>
      </c>
      <c r="H2940" s="179" t="e">
        <f>IF($C$1077&gt;0,VLOOKUP($C2940,ENTI!$AL$4:AQ$1003,6,FALSE),"")</f>
        <v>#N/A</v>
      </c>
      <c r="I2940" s="187"/>
      <c r="J2940" s="140" t="e">
        <f ca="1">VLOOKUP(D2940,$F$1081:$I$4183,4,FALSE)+COUNTIF(E$1081:E2939,E2940)</f>
        <v>#N/A</v>
      </c>
      <c r="K2940" s="1"/>
      <c r="L2940" s="156"/>
      <c r="M2940" s="1"/>
      <c r="N2940" s="1"/>
      <c r="O2940" s="1"/>
    </row>
    <row r="2941" spans="1:15" hidden="1">
      <c r="A2941" s="1"/>
      <c r="B2941" s="197" t="e">
        <f t="shared" ca="1" si="260"/>
        <v>#N/A</v>
      </c>
      <c r="C2941" s="498">
        <v>875</v>
      </c>
      <c r="D2941" s="41" t="e">
        <f>IF($C$1077&gt;0,VLOOKUP($C2941,ENTI!$AL$4:AN$1003,3,FALSE),"")</f>
        <v>#N/A</v>
      </c>
      <c r="E2941" s="41" t="str">
        <f t="shared" si="259"/>
        <v/>
      </c>
      <c r="F2941" s="200"/>
      <c r="G2941" s="178" t="e">
        <f>IF($C$1077&gt;0,VLOOKUP($C2941,ENTI!$AL$4:AP$1003,5,FALSE),"")</f>
        <v>#N/A</v>
      </c>
      <c r="H2941" s="179" t="e">
        <f>IF($C$1077&gt;0,VLOOKUP($C2941,ENTI!$AL$4:AQ$1003,6,FALSE),"")</f>
        <v>#N/A</v>
      </c>
      <c r="I2941" s="187"/>
      <c r="J2941" s="140" t="e">
        <f ca="1">VLOOKUP(D2941,$F$1081:$I$4183,4,FALSE)+COUNTIF(E$1081:E2940,E2941)</f>
        <v>#N/A</v>
      </c>
      <c r="K2941" s="1"/>
      <c r="L2941" s="156"/>
      <c r="M2941" s="1"/>
      <c r="N2941" s="1"/>
      <c r="O2941" s="1"/>
    </row>
    <row r="2942" spans="1:15" hidden="1">
      <c r="A2942" s="1"/>
      <c r="B2942" s="197" t="e">
        <f t="shared" ca="1" si="260"/>
        <v>#N/A</v>
      </c>
      <c r="C2942" s="498">
        <v>876</v>
      </c>
      <c r="D2942" s="41" t="e">
        <f>IF($C$1077&gt;0,VLOOKUP($C2942,ENTI!$AL$4:AN$1003,3,FALSE),"")</f>
        <v>#N/A</v>
      </c>
      <c r="E2942" s="41" t="str">
        <f t="shared" si="259"/>
        <v/>
      </c>
      <c r="F2942" s="200"/>
      <c r="G2942" s="178" t="e">
        <f>IF($C$1077&gt;0,VLOOKUP($C2942,ENTI!$AL$4:AP$1003,5,FALSE),"")</f>
        <v>#N/A</v>
      </c>
      <c r="H2942" s="179" t="e">
        <f>IF($C$1077&gt;0,VLOOKUP($C2942,ENTI!$AL$4:AQ$1003,6,FALSE),"")</f>
        <v>#N/A</v>
      </c>
      <c r="I2942" s="187"/>
      <c r="J2942" s="140" t="e">
        <f ca="1">VLOOKUP(D2942,$F$1081:$I$4183,4,FALSE)+COUNTIF(E$1081:E2941,E2942)</f>
        <v>#N/A</v>
      </c>
      <c r="K2942" s="1"/>
      <c r="L2942" s="156"/>
      <c r="M2942" s="1"/>
      <c r="N2942" s="1"/>
      <c r="O2942" s="1"/>
    </row>
    <row r="2943" spans="1:15" hidden="1">
      <c r="A2943" s="1"/>
      <c r="B2943" s="197" t="e">
        <f t="shared" ca="1" si="260"/>
        <v>#N/A</v>
      </c>
      <c r="C2943" s="498">
        <v>877</v>
      </c>
      <c r="D2943" s="41" t="e">
        <f>IF($C$1077&gt;0,VLOOKUP($C2943,ENTI!$AL$4:AN$1003,3,FALSE),"")</f>
        <v>#N/A</v>
      </c>
      <c r="E2943" s="41" t="str">
        <f t="shared" si="259"/>
        <v/>
      </c>
      <c r="F2943" s="200"/>
      <c r="G2943" s="178" t="e">
        <f>IF($C$1077&gt;0,VLOOKUP($C2943,ENTI!$AL$4:AP$1003,5,FALSE),"")</f>
        <v>#N/A</v>
      </c>
      <c r="H2943" s="179" t="e">
        <f>IF($C$1077&gt;0,VLOOKUP($C2943,ENTI!$AL$4:AQ$1003,6,FALSE),"")</f>
        <v>#N/A</v>
      </c>
      <c r="I2943" s="187"/>
      <c r="J2943" s="140" t="e">
        <f ca="1">VLOOKUP(D2943,$F$1081:$I$4183,4,FALSE)+COUNTIF(E$1081:E2942,E2943)</f>
        <v>#N/A</v>
      </c>
      <c r="K2943" s="1"/>
      <c r="L2943" s="156"/>
      <c r="M2943" s="1"/>
      <c r="N2943" s="1"/>
      <c r="O2943" s="1"/>
    </row>
    <row r="2944" spans="1:15" hidden="1">
      <c r="A2944" s="1"/>
      <c r="B2944" s="197" t="e">
        <f t="shared" ca="1" si="260"/>
        <v>#N/A</v>
      </c>
      <c r="C2944" s="498">
        <v>878</v>
      </c>
      <c r="D2944" s="41" t="e">
        <f>IF($C$1077&gt;0,VLOOKUP($C2944,ENTI!$AL$4:AN$1003,3,FALSE),"")</f>
        <v>#N/A</v>
      </c>
      <c r="E2944" s="41" t="str">
        <f t="shared" si="259"/>
        <v/>
      </c>
      <c r="F2944" s="200"/>
      <c r="G2944" s="178" t="e">
        <f>IF($C$1077&gt;0,VLOOKUP($C2944,ENTI!$AL$4:AP$1003,5,FALSE),"")</f>
        <v>#N/A</v>
      </c>
      <c r="H2944" s="179" t="e">
        <f>IF($C$1077&gt;0,VLOOKUP($C2944,ENTI!$AL$4:AQ$1003,6,FALSE),"")</f>
        <v>#N/A</v>
      </c>
      <c r="I2944" s="187"/>
      <c r="J2944" s="140" t="e">
        <f ca="1">VLOOKUP(D2944,$F$1081:$I$4183,4,FALSE)+COUNTIF(E$1081:E2943,E2944)</f>
        <v>#N/A</v>
      </c>
      <c r="K2944" s="1"/>
      <c r="L2944" s="156"/>
      <c r="M2944" s="1"/>
      <c r="N2944" s="1"/>
      <c r="O2944" s="1"/>
    </row>
    <row r="2945" spans="1:15" hidden="1">
      <c r="A2945" s="1"/>
      <c r="B2945" s="197" t="e">
        <f t="shared" ca="1" si="260"/>
        <v>#N/A</v>
      </c>
      <c r="C2945" s="498">
        <v>879</v>
      </c>
      <c r="D2945" s="41" t="e">
        <f>IF($C$1077&gt;0,VLOOKUP($C2945,ENTI!$AL$4:AN$1003,3,FALSE),"")</f>
        <v>#N/A</v>
      </c>
      <c r="E2945" s="41" t="str">
        <f t="shared" si="259"/>
        <v/>
      </c>
      <c r="F2945" s="200"/>
      <c r="G2945" s="178" t="e">
        <f>IF($C$1077&gt;0,VLOOKUP($C2945,ENTI!$AL$4:AP$1003,5,FALSE),"")</f>
        <v>#N/A</v>
      </c>
      <c r="H2945" s="179" t="e">
        <f>IF($C$1077&gt;0,VLOOKUP($C2945,ENTI!$AL$4:AQ$1003,6,FALSE),"")</f>
        <v>#N/A</v>
      </c>
      <c r="I2945" s="187"/>
      <c r="J2945" s="140" t="e">
        <f ca="1">VLOOKUP(D2945,$F$1081:$I$4183,4,FALSE)+COUNTIF(E$1081:E2944,E2945)</f>
        <v>#N/A</v>
      </c>
      <c r="K2945" s="1"/>
      <c r="L2945" s="156"/>
      <c r="M2945" s="1"/>
      <c r="N2945" s="1"/>
      <c r="O2945" s="1"/>
    </row>
    <row r="2946" spans="1:15" hidden="1">
      <c r="A2946" s="1"/>
      <c r="B2946" s="197" t="e">
        <f t="shared" ca="1" si="260"/>
        <v>#N/A</v>
      </c>
      <c r="C2946" s="498">
        <v>880</v>
      </c>
      <c r="D2946" s="41" t="e">
        <f>IF($C$1077&gt;0,VLOOKUP($C2946,ENTI!$AL$4:AN$1003,3,FALSE),"")</f>
        <v>#N/A</v>
      </c>
      <c r="E2946" s="41" t="str">
        <f t="shared" si="259"/>
        <v/>
      </c>
      <c r="F2946" s="200"/>
      <c r="G2946" s="178" t="e">
        <f>IF($C$1077&gt;0,VLOOKUP($C2946,ENTI!$AL$4:AP$1003,5,FALSE),"")</f>
        <v>#N/A</v>
      </c>
      <c r="H2946" s="179" t="e">
        <f>IF($C$1077&gt;0,VLOOKUP($C2946,ENTI!$AL$4:AQ$1003,6,FALSE),"")</f>
        <v>#N/A</v>
      </c>
      <c r="I2946" s="187"/>
      <c r="J2946" s="140" t="e">
        <f ca="1">VLOOKUP(D2946,$F$1081:$I$4183,4,FALSE)+COUNTIF(E$1081:E2945,E2946)</f>
        <v>#N/A</v>
      </c>
      <c r="K2946" s="1"/>
      <c r="L2946" s="156"/>
      <c r="M2946" s="1"/>
      <c r="N2946" s="1"/>
      <c r="O2946" s="1"/>
    </row>
    <row r="2947" spans="1:15" hidden="1">
      <c r="A2947" s="1"/>
      <c r="B2947" s="197" t="e">
        <f t="shared" ca="1" si="260"/>
        <v>#N/A</v>
      </c>
      <c r="C2947" s="498">
        <v>881</v>
      </c>
      <c r="D2947" s="41" t="e">
        <f>IF($C$1077&gt;0,VLOOKUP($C2947,ENTI!$AL$4:AN$1003,3,FALSE),"")</f>
        <v>#N/A</v>
      </c>
      <c r="E2947" s="41" t="str">
        <f t="shared" si="259"/>
        <v/>
      </c>
      <c r="F2947" s="200"/>
      <c r="G2947" s="178" t="e">
        <f>IF($C$1077&gt;0,VLOOKUP($C2947,ENTI!$AL$4:AP$1003,5,FALSE),"")</f>
        <v>#N/A</v>
      </c>
      <c r="H2947" s="179" t="e">
        <f>IF($C$1077&gt;0,VLOOKUP($C2947,ENTI!$AL$4:AQ$1003,6,FALSE),"")</f>
        <v>#N/A</v>
      </c>
      <c r="I2947" s="187"/>
      <c r="J2947" s="140" t="e">
        <f ca="1">VLOOKUP(D2947,$F$1081:$I$4183,4,FALSE)+COUNTIF(E$1081:E2946,E2947)</f>
        <v>#N/A</v>
      </c>
      <c r="K2947" s="1"/>
      <c r="L2947" s="156"/>
      <c r="M2947" s="1"/>
      <c r="N2947" s="1"/>
      <c r="O2947" s="1"/>
    </row>
    <row r="2948" spans="1:15" hidden="1">
      <c r="A2948" s="1"/>
      <c r="B2948" s="197" t="e">
        <f t="shared" ca="1" si="260"/>
        <v>#N/A</v>
      </c>
      <c r="C2948" s="498">
        <v>882</v>
      </c>
      <c r="D2948" s="41" t="e">
        <f>IF($C$1077&gt;0,VLOOKUP($C2948,ENTI!$AL$4:AN$1003,3,FALSE),"")</f>
        <v>#N/A</v>
      </c>
      <c r="E2948" s="41" t="str">
        <f t="shared" si="259"/>
        <v/>
      </c>
      <c r="F2948" s="200"/>
      <c r="G2948" s="178" t="e">
        <f>IF($C$1077&gt;0,VLOOKUP($C2948,ENTI!$AL$4:AP$1003,5,FALSE),"")</f>
        <v>#N/A</v>
      </c>
      <c r="H2948" s="179" t="e">
        <f>IF($C$1077&gt;0,VLOOKUP($C2948,ENTI!$AL$4:AQ$1003,6,FALSE),"")</f>
        <v>#N/A</v>
      </c>
      <c r="I2948" s="187"/>
      <c r="J2948" s="140" t="e">
        <f ca="1">VLOOKUP(D2948,$F$1081:$I$4183,4,FALSE)+COUNTIF(E$1081:E2947,E2948)</f>
        <v>#N/A</v>
      </c>
      <c r="K2948" s="1"/>
      <c r="L2948" s="156"/>
      <c r="M2948" s="1"/>
      <c r="N2948" s="1"/>
      <c r="O2948" s="1"/>
    </row>
    <row r="2949" spans="1:15" hidden="1">
      <c r="A2949" s="1"/>
      <c r="B2949" s="197" t="e">
        <f t="shared" ca="1" si="260"/>
        <v>#N/A</v>
      </c>
      <c r="C2949" s="498">
        <v>883</v>
      </c>
      <c r="D2949" s="41" t="e">
        <f>IF($C$1077&gt;0,VLOOKUP($C2949,ENTI!$AL$4:AN$1003,3,FALSE),"")</f>
        <v>#N/A</v>
      </c>
      <c r="E2949" s="41" t="str">
        <f t="shared" si="259"/>
        <v/>
      </c>
      <c r="F2949" s="200"/>
      <c r="G2949" s="178" t="e">
        <f>IF($C$1077&gt;0,VLOOKUP($C2949,ENTI!$AL$4:AP$1003,5,FALSE),"")</f>
        <v>#N/A</v>
      </c>
      <c r="H2949" s="179" t="e">
        <f>IF($C$1077&gt;0,VLOOKUP($C2949,ENTI!$AL$4:AQ$1003,6,FALSE),"")</f>
        <v>#N/A</v>
      </c>
      <c r="I2949" s="187"/>
      <c r="J2949" s="140" t="e">
        <f ca="1">VLOOKUP(D2949,$F$1081:$I$4183,4,FALSE)+COUNTIF(E$1081:E2948,E2949)</f>
        <v>#N/A</v>
      </c>
      <c r="K2949" s="1"/>
      <c r="L2949" s="156"/>
      <c r="M2949" s="1"/>
      <c r="N2949" s="1"/>
      <c r="O2949" s="1"/>
    </row>
    <row r="2950" spans="1:15" hidden="1">
      <c r="A2950" s="1"/>
      <c r="B2950" s="197" t="e">
        <f t="shared" ca="1" si="260"/>
        <v>#N/A</v>
      </c>
      <c r="C2950" s="498">
        <v>884</v>
      </c>
      <c r="D2950" s="41" t="e">
        <f>IF($C$1077&gt;0,VLOOKUP($C2950,ENTI!$AL$4:AN$1003,3,FALSE),"")</f>
        <v>#N/A</v>
      </c>
      <c r="E2950" s="41" t="str">
        <f t="shared" si="259"/>
        <v/>
      </c>
      <c r="F2950" s="200"/>
      <c r="G2950" s="178" t="e">
        <f>IF($C$1077&gt;0,VLOOKUP($C2950,ENTI!$AL$4:AP$1003,5,FALSE),"")</f>
        <v>#N/A</v>
      </c>
      <c r="H2950" s="179" t="e">
        <f>IF($C$1077&gt;0,VLOOKUP($C2950,ENTI!$AL$4:AQ$1003,6,FALSE),"")</f>
        <v>#N/A</v>
      </c>
      <c r="I2950" s="187"/>
      <c r="J2950" s="140" t="e">
        <f ca="1">VLOOKUP(D2950,$F$1081:$I$4183,4,FALSE)+COUNTIF(E$1081:E2949,E2950)</f>
        <v>#N/A</v>
      </c>
      <c r="K2950" s="1"/>
      <c r="L2950" s="156"/>
      <c r="M2950" s="1"/>
      <c r="N2950" s="1"/>
      <c r="O2950" s="1"/>
    </row>
    <row r="2951" spans="1:15" hidden="1">
      <c r="A2951" s="1"/>
      <c r="B2951" s="197" t="e">
        <f t="shared" ca="1" si="260"/>
        <v>#N/A</v>
      </c>
      <c r="C2951" s="498">
        <v>885</v>
      </c>
      <c r="D2951" s="41" t="e">
        <f>IF($C$1077&gt;0,VLOOKUP($C2951,ENTI!$AL$4:AN$1003,3,FALSE),"")</f>
        <v>#N/A</v>
      </c>
      <c r="E2951" s="41" t="str">
        <f t="shared" si="259"/>
        <v/>
      </c>
      <c r="F2951" s="200"/>
      <c r="G2951" s="178" t="e">
        <f>IF($C$1077&gt;0,VLOOKUP($C2951,ENTI!$AL$4:AP$1003,5,FALSE),"")</f>
        <v>#N/A</v>
      </c>
      <c r="H2951" s="179" t="e">
        <f>IF($C$1077&gt;0,VLOOKUP($C2951,ENTI!$AL$4:AQ$1003,6,FALSE),"")</f>
        <v>#N/A</v>
      </c>
      <c r="I2951" s="187"/>
      <c r="J2951" s="140" t="e">
        <f ca="1">VLOOKUP(D2951,$F$1081:$I$4183,4,FALSE)+COUNTIF(E$1081:E2950,E2951)</f>
        <v>#N/A</v>
      </c>
      <c r="K2951" s="1"/>
      <c r="L2951" s="156"/>
      <c r="M2951" s="1"/>
      <c r="N2951" s="1"/>
      <c r="O2951" s="1"/>
    </row>
    <row r="2952" spans="1:15" hidden="1">
      <c r="A2952" s="1"/>
      <c r="B2952" s="197" t="e">
        <f t="shared" ca="1" si="260"/>
        <v>#N/A</v>
      </c>
      <c r="C2952" s="498">
        <v>886</v>
      </c>
      <c r="D2952" s="41" t="e">
        <f>IF($C$1077&gt;0,VLOOKUP($C2952,ENTI!$AL$4:AN$1003,3,FALSE),"")</f>
        <v>#N/A</v>
      </c>
      <c r="E2952" s="41" t="str">
        <f t="shared" si="259"/>
        <v/>
      </c>
      <c r="F2952" s="200"/>
      <c r="G2952" s="178" t="e">
        <f>IF($C$1077&gt;0,VLOOKUP($C2952,ENTI!$AL$4:AP$1003,5,FALSE),"")</f>
        <v>#N/A</v>
      </c>
      <c r="H2952" s="179" t="e">
        <f>IF($C$1077&gt;0,VLOOKUP($C2952,ENTI!$AL$4:AQ$1003,6,FALSE),"")</f>
        <v>#N/A</v>
      </c>
      <c r="I2952" s="187"/>
      <c r="J2952" s="140" t="e">
        <f ca="1">VLOOKUP(D2952,$F$1081:$I$4183,4,FALSE)+COUNTIF(E$1081:E2951,E2952)</f>
        <v>#N/A</v>
      </c>
      <c r="K2952" s="1"/>
      <c r="L2952" s="156"/>
      <c r="M2952" s="1"/>
      <c r="N2952" s="1"/>
      <c r="O2952" s="1"/>
    </row>
    <row r="2953" spans="1:15" hidden="1">
      <c r="A2953" s="1"/>
      <c r="B2953" s="197" t="e">
        <f t="shared" ca="1" si="260"/>
        <v>#N/A</v>
      </c>
      <c r="C2953" s="498">
        <v>887</v>
      </c>
      <c r="D2953" s="41" t="e">
        <f>IF($C$1077&gt;0,VLOOKUP($C2953,ENTI!$AL$4:AN$1003,3,FALSE),"")</f>
        <v>#N/A</v>
      </c>
      <c r="E2953" s="41" t="str">
        <f t="shared" si="259"/>
        <v/>
      </c>
      <c r="F2953" s="200"/>
      <c r="G2953" s="178" t="e">
        <f>IF($C$1077&gt;0,VLOOKUP($C2953,ENTI!$AL$4:AP$1003,5,FALSE),"")</f>
        <v>#N/A</v>
      </c>
      <c r="H2953" s="179" t="e">
        <f>IF($C$1077&gt;0,VLOOKUP($C2953,ENTI!$AL$4:AQ$1003,6,FALSE),"")</f>
        <v>#N/A</v>
      </c>
      <c r="I2953" s="187"/>
      <c r="J2953" s="140" t="e">
        <f ca="1">VLOOKUP(D2953,$F$1081:$I$4183,4,FALSE)+COUNTIF(E$1081:E2952,E2953)</f>
        <v>#N/A</v>
      </c>
      <c r="K2953" s="1"/>
      <c r="L2953" s="156"/>
      <c r="M2953" s="1"/>
      <c r="N2953" s="1"/>
      <c r="O2953" s="1"/>
    </row>
    <row r="2954" spans="1:15" hidden="1">
      <c r="A2954" s="1"/>
      <c r="B2954" s="197" t="e">
        <f t="shared" ca="1" si="260"/>
        <v>#N/A</v>
      </c>
      <c r="C2954" s="498">
        <v>888</v>
      </c>
      <c r="D2954" s="41" t="e">
        <f>IF($C$1077&gt;0,VLOOKUP($C2954,ENTI!$AL$4:AN$1003,3,FALSE),"")</f>
        <v>#N/A</v>
      </c>
      <c r="E2954" s="41" t="str">
        <f t="shared" si="259"/>
        <v/>
      </c>
      <c r="F2954" s="200"/>
      <c r="G2954" s="178" t="e">
        <f>IF($C$1077&gt;0,VLOOKUP($C2954,ENTI!$AL$4:AP$1003,5,FALSE),"")</f>
        <v>#N/A</v>
      </c>
      <c r="H2954" s="179" t="e">
        <f>IF($C$1077&gt;0,VLOOKUP($C2954,ENTI!$AL$4:AQ$1003,6,FALSE),"")</f>
        <v>#N/A</v>
      </c>
      <c r="I2954" s="187"/>
      <c r="J2954" s="140" t="e">
        <f ca="1">VLOOKUP(D2954,$F$1081:$I$4183,4,FALSE)+COUNTIF(E$1081:E2953,E2954)</f>
        <v>#N/A</v>
      </c>
      <c r="K2954" s="1"/>
      <c r="L2954" s="156"/>
      <c r="M2954" s="1"/>
      <c r="N2954" s="1"/>
      <c r="O2954" s="1"/>
    </row>
    <row r="2955" spans="1:15" hidden="1">
      <c r="A2955" s="1"/>
      <c r="B2955" s="197" t="e">
        <f t="shared" ca="1" si="260"/>
        <v>#N/A</v>
      </c>
      <c r="C2955" s="498">
        <v>889</v>
      </c>
      <c r="D2955" s="41" t="e">
        <f>IF($C$1077&gt;0,VLOOKUP($C2955,ENTI!$AL$4:AN$1003,3,FALSE),"")</f>
        <v>#N/A</v>
      </c>
      <c r="E2955" s="41" t="str">
        <f t="shared" si="259"/>
        <v/>
      </c>
      <c r="F2955" s="200"/>
      <c r="G2955" s="178" t="e">
        <f>IF($C$1077&gt;0,VLOOKUP($C2955,ENTI!$AL$4:AP$1003,5,FALSE),"")</f>
        <v>#N/A</v>
      </c>
      <c r="H2955" s="179" t="e">
        <f>IF($C$1077&gt;0,VLOOKUP($C2955,ENTI!$AL$4:AQ$1003,6,FALSE),"")</f>
        <v>#N/A</v>
      </c>
      <c r="I2955" s="187"/>
      <c r="J2955" s="140" t="e">
        <f ca="1">VLOOKUP(D2955,$F$1081:$I$4183,4,FALSE)+COUNTIF(E$1081:E2954,E2955)</f>
        <v>#N/A</v>
      </c>
      <c r="K2955" s="1"/>
      <c r="L2955" s="156"/>
      <c r="M2955" s="1"/>
      <c r="N2955" s="1"/>
      <c r="O2955" s="1"/>
    </row>
    <row r="2956" spans="1:15" hidden="1">
      <c r="A2956" s="1"/>
      <c r="B2956" s="197" t="e">
        <f t="shared" ca="1" si="260"/>
        <v>#N/A</v>
      </c>
      <c r="C2956" s="498">
        <v>890</v>
      </c>
      <c r="D2956" s="41" t="e">
        <f>IF($C$1077&gt;0,VLOOKUP($C2956,ENTI!$AL$4:AN$1003,3,FALSE),"")</f>
        <v>#N/A</v>
      </c>
      <c r="E2956" s="41" t="str">
        <f t="shared" si="259"/>
        <v/>
      </c>
      <c r="F2956" s="200"/>
      <c r="G2956" s="178" t="e">
        <f>IF($C$1077&gt;0,VLOOKUP($C2956,ENTI!$AL$4:AP$1003,5,FALSE),"")</f>
        <v>#N/A</v>
      </c>
      <c r="H2956" s="179" t="e">
        <f>IF($C$1077&gt;0,VLOOKUP($C2956,ENTI!$AL$4:AQ$1003,6,FALSE),"")</f>
        <v>#N/A</v>
      </c>
      <c r="I2956" s="187"/>
      <c r="J2956" s="140" t="e">
        <f ca="1">VLOOKUP(D2956,$F$1081:$I$4183,4,FALSE)+COUNTIF(E$1081:E2955,E2956)</f>
        <v>#N/A</v>
      </c>
      <c r="K2956" s="1"/>
      <c r="L2956" s="156"/>
      <c r="M2956" s="1"/>
      <c r="N2956" s="1"/>
      <c r="O2956" s="1"/>
    </row>
    <row r="2957" spans="1:15" hidden="1">
      <c r="A2957" s="1"/>
      <c r="B2957" s="197" t="e">
        <f t="shared" ca="1" si="260"/>
        <v>#N/A</v>
      </c>
      <c r="C2957" s="498">
        <v>891</v>
      </c>
      <c r="D2957" s="41" t="e">
        <f>IF($C$1077&gt;0,VLOOKUP($C2957,ENTI!$AL$4:AN$1003,3,FALSE),"")</f>
        <v>#N/A</v>
      </c>
      <c r="E2957" s="41" t="str">
        <f t="shared" si="259"/>
        <v/>
      </c>
      <c r="F2957" s="200"/>
      <c r="G2957" s="178" t="e">
        <f>IF($C$1077&gt;0,VLOOKUP($C2957,ENTI!$AL$4:AP$1003,5,FALSE),"")</f>
        <v>#N/A</v>
      </c>
      <c r="H2957" s="179" t="e">
        <f>IF($C$1077&gt;0,VLOOKUP($C2957,ENTI!$AL$4:AQ$1003,6,FALSE),"")</f>
        <v>#N/A</v>
      </c>
      <c r="I2957" s="187"/>
      <c r="J2957" s="140" t="e">
        <f ca="1">VLOOKUP(D2957,$F$1081:$I$4183,4,FALSE)+COUNTIF(E$1081:E2956,E2957)</f>
        <v>#N/A</v>
      </c>
      <c r="K2957" s="1"/>
      <c r="L2957" s="156"/>
      <c r="M2957" s="1"/>
      <c r="N2957" s="1"/>
      <c r="O2957" s="1"/>
    </row>
    <row r="2958" spans="1:15" hidden="1">
      <c r="A2958" s="1"/>
      <c r="B2958" s="197" t="e">
        <f t="shared" ca="1" si="260"/>
        <v>#N/A</v>
      </c>
      <c r="C2958" s="498">
        <v>892</v>
      </c>
      <c r="D2958" s="41" t="e">
        <f>IF($C$1077&gt;0,VLOOKUP($C2958,ENTI!$AL$4:AN$1003,3,FALSE),"")</f>
        <v>#N/A</v>
      </c>
      <c r="E2958" s="41" t="str">
        <f t="shared" si="259"/>
        <v/>
      </c>
      <c r="F2958" s="200"/>
      <c r="G2958" s="178" t="e">
        <f>IF($C$1077&gt;0,VLOOKUP($C2958,ENTI!$AL$4:AP$1003,5,FALSE),"")</f>
        <v>#N/A</v>
      </c>
      <c r="H2958" s="179" t="e">
        <f>IF($C$1077&gt;0,VLOOKUP($C2958,ENTI!$AL$4:AQ$1003,6,FALSE),"")</f>
        <v>#N/A</v>
      </c>
      <c r="I2958" s="187"/>
      <c r="J2958" s="140" t="e">
        <f ca="1">VLOOKUP(D2958,$F$1081:$I$4183,4,FALSE)+COUNTIF(E$1081:E2957,E2958)</f>
        <v>#N/A</v>
      </c>
      <c r="K2958" s="1"/>
      <c r="L2958" s="156"/>
      <c r="M2958" s="1"/>
      <c r="N2958" s="1"/>
      <c r="O2958" s="1"/>
    </row>
    <row r="2959" spans="1:15" hidden="1">
      <c r="A2959" s="1"/>
      <c r="B2959" s="197" t="e">
        <f t="shared" ca="1" si="260"/>
        <v>#N/A</v>
      </c>
      <c r="C2959" s="498">
        <v>893</v>
      </c>
      <c r="D2959" s="41" t="e">
        <f>IF($C$1077&gt;0,VLOOKUP($C2959,ENTI!$AL$4:AN$1003,3,FALSE),"")</f>
        <v>#N/A</v>
      </c>
      <c r="E2959" s="41" t="str">
        <f t="shared" ref="E2959:E3022" si="261">IF(ISERROR(D2959),"",D2959)</f>
        <v/>
      </c>
      <c r="F2959" s="200"/>
      <c r="G2959" s="178" t="e">
        <f>IF($C$1077&gt;0,VLOOKUP($C2959,ENTI!$AL$4:AP$1003,5,FALSE),"")</f>
        <v>#N/A</v>
      </c>
      <c r="H2959" s="179" t="e">
        <f>IF($C$1077&gt;0,VLOOKUP($C2959,ENTI!$AL$4:AQ$1003,6,FALSE),"")</f>
        <v>#N/A</v>
      </c>
      <c r="I2959" s="187"/>
      <c r="J2959" s="140" t="e">
        <f ca="1">VLOOKUP(D2959,$F$1081:$I$4183,4,FALSE)+COUNTIF(E$1081:E2958,E2959)</f>
        <v>#N/A</v>
      </c>
      <c r="K2959" s="1"/>
      <c r="L2959" s="156"/>
      <c r="M2959" s="1"/>
      <c r="N2959" s="1"/>
      <c r="O2959" s="1"/>
    </row>
    <row r="2960" spans="1:15" hidden="1">
      <c r="A2960" s="1"/>
      <c r="B2960" s="197" t="e">
        <f t="shared" ca="1" si="260"/>
        <v>#N/A</v>
      </c>
      <c r="C2960" s="498">
        <v>894</v>
      </c>
      <c r="D2960" s="41" t="e">
        <f>IF($C$1077&gt;0,VLOOKUP($C2960,ENTI!$AL$4:AN$1003,3,FALSE),"")</f>
        <v>#N/A</v>
      </c>
      <c r="E2960" s="41" t="str">
        <f t="shared" si="261"/>
        <v/>
      </c>
      <c r="F2960" s="200"/>
      <c r="G2960" s="178" t="e">
        <f>IF($C$1077&gt;0,VLOOKUP($C2960,ENTI!$AL$4:AP$1003,5,FALSE),"")</f>
        <v>#N/A</v>
      </c>
      <c r="H2960" s="179" t="e">
        <f>IF($C$1077&gt;0,VLOOKUP($C2960,ENTI!$AL$4:AQ$1003,6,FALSE),"")</f>
        <v>#N/A</v>
      </c>
      <c r="I2960" s="187"/>
      <c r="J2960" s="140" t="e">
        <f ca="1">VLOOKUP(D2960,$F$1081:$I$4183,4,FALSE)+COUNTIF(E$1081:E2959,E2960)</f>
        <v>#N/A</v>
      </c>
      <c r="K2960" s="1"/>
      <c r="L2960" s="156"/>
      <c r="M2960" s="1"/>
      <c r="N2960" s="1"/>
      <c r="O2960" s="1"/>
    </row>
    <row r="2961" spans="1:15" hidden="1">
      <c r="A2961" s="1"/>
      <c r="B2961" s="197" t="e">
        <f t="shared" ca="1" si="260"/>
        <v>#N/A</v>
      </c>
      <c r="C2961" s="498">
        <v>895</v>
      </c>
      <c r="D2961" s="41" t="e">
        <f>IF($C$1077&gt;0,VLOOKUP($C2961,ENTI!$AL$4:AN$1003,3,FALSE),"")</f>
        <v>#N/A</v>
      </c>
      <c r="E2961" s="41" t="str">
        <f t="shared" si="261"/>
        <v/>
      </c>
      <c r="F2961" s="200"/>
      <c r="G2961" s="178" t="e">
        <f>IF($C$1077&gt;0,VLOOKUP($C2961,ENTI!$AL$4:AP$1003,5,FALSE),"")</f>
        <v>#N/A</v>
      </c>
      <c r="H2961" s="179" t="e">
        <f>IF($C$1077&gt;0,VLOOKUP($C2961,ENTI!$AL$4:AQ$1003,6,FALSE),"")</f>
        <v>#N/A</v>
      </c>
      <c r="I2961" s="187"/>
      <c r="J2961" s="140" t="e">
        <f ca="1">VLOOKUP(D2961,$F$1081:$I$4183,4,FALSE)+COUNTIF(E$1081:E2960,E2961)</f>
        <v>#N/A</v>
      </c>
      <c r="K2961" s="1"/>
      <c r="L2961" s="156"/>
      <c r="M2961" s="1"/>
      <c r="N2961" s="1"/>
      <c r="O2961" s="1"/>
    </row>
    <row r="2962" spans="1:15" hidden="1">
      <c r="A2962" s="1"/>
      <c r="B2962" s="197" t="e">
        <f t="shared" ca="1" si="260"/>
        <v>#N/A</v>
      </c>
      <c r="C2962" s="498">
        <v>896</v>
      </c>
      <c r="D2962" s="41" t="e">
        <f>IF($C$1077&gt;0,VLOOKUP($C2962,ENTI!$AL$4:AN$1003,3,FALSE),"")</f>
        <v>#N/A</v>
      </c>
      <c r="E2962" s="41" t="str">
        <f t="shared" si="261"/>
        <v/>
      </c>
      <c r="F2962" s="200"/>
      <c r="G2962" s="178" t="e">
        <f>IF($C$1077&gt;0,VLOOKUP($C2962,ENTI!$AL$4:AP$1003,5,FALSE),"")</f>
        <v>#N/A</v>
      </c>
      <c r="H2962" s="179" t="e">
        <f>IF($C$1077&gt;0,VLOOKUP($C2962,ENTI!$AL$4:AQ$1003,6,FALSE),"")</f>
        <v>#N/A</v>
      </c>
      <c r="I2962" s="187"/>
      <c r="J2962" s="140" t="e">
        <f ca="1">VLOOKUP(D2962,$F$1081:$I$4183,4,FALSE)+COUNTIF(E$1081:E2961,E2962)</f>
        <v>#N/A</v>
      </c>
      <c r="K2962" s="1"/>
      <c r="L2962" s="156"/>
      <c r="M2962" s="1"/>
      <c r="N2962" s="1"/>
      <c r="O2962" s="1"/>
    </row>
    <row r="2963" spans="1:15" hidden="1">
      <c r="A2963" s="1"/>
      <c r="B2963" s="197" t="e">
        <f t="shared" ca="1" si="260"/>
        <v>#N/A</v>
      </c>
      <c r="C2963" s="498">
        <v>897</v>
      </c>
      <c r="D2963" s="41" t="e">
        <f>IF($C$1077&gt;0,VLOOKUP($C2963,ENTI!$AL$4:AN$1003,3,FALSE),"")</f>
        <v>#N/A</v>
      </c>
      <c r="E2963" s="41" t="str">
        <f t="shared" si="261"/>
        <v/>
      </c>
      <c r="F2963" s="200"/>
      <c r="G2963" s="178" t="e">
        <f>IF($C$1077&gt;0,VLOOKUP($C2963,ENTI!$AL$4:AP$1003,5,FALSE),"")</f>
        <v>#N/A</v>
      </c>
      <c r="H2963" s="179" t="e">
        <f>IF($C$1077&gt;0,VLOOKUP($C2963,ENTI!$AL$4:AQ$1003,6,FALSE),"")</f>
        <v>#N/A</v>
      </c>
      <c r="I2963" s="187"/>
      <c r="J2963" s="140" t="e">
        <f ca="1">VLOOKUP(D2963,$F$1081:$I$4183,4,FALSE)+COUNTIF(E$1081:E2962,E2963)</f>
        <v>#N/A</v>
      </c>
      <c r="K2963" s="1"/>
      <c r="L2963" s="156"/>
      <c r="M2963" s="1"/>
      <c r="N2963" s="1"/>
      <c r="O2963" s="1"/>
    </row>
    <row r="2964" spans="1:15" hidden="1">
      <c r="A2964" s="1"/>
      <c r="B2964" s="197" t="e">
        <f t="shared" ca="1" si="260"/>
        <v>#N/A</v>
      </c>
      <c r="C2964" s="498">
        <v>898</v>
      </c>
      <c r="D2964" s="41" t="e">
        <f>IF($C$1077&gt;0,VLOOKUP($C2964,ENTI!$AL$4:AN$1003,3,FALSE),"")</f>
        <v>#N/A</v>
      </c>
      <c r="E2964" s="41" t="str">
        <f t="shared" si="261"/>
        <v/>
      </c>
      <c r="F2964" s="200"/>
      <c r="G2964" s="178" t="e">
        <f>IF($C$1077&gt;0,VLOOKUP($C2964,ENTI!$AL$4:AP$1003,5,FALSE),"")</f>
        <v>#N/A</v>
      </c>
      <c r="H2964" s="179" t="e">
        <f>IF($C$1077&gt;0,VLOOKUP($C2964,ENTI!$AL$4:AQ$1003,6,FALSE),"")</f>
        <v>#N/A</v>
      </c>
      <c r="I2964" s="187"/>
      <c r="J2964" s="140" t="e">
        <f ca="1">VLOOKUP(D2964,$F$1081:$I$4183,4,FALSE)+COUNTIF(E$1081:E2963,E2964)</f>
        <v>#N/A</v>
      </c>
      <c r="K2964" s="1"/>
      <c r="L2964" s="156"/>
      <c r="M2964" s="1"/>
      <c r="N2964" s="1"/>
      <c r="O2964" s="1"/>
    </row>
    <row r="2965" spans="1:15" hidden="1">
      <c r="A2965" s="1"/>
      <c r="B2965" s="197" t="e">
        <f t="shared" ca="1" si="260"/>
        <v>#N/A</v>
      </c>
      <c r="C2965" s="498">
        <v>899</v>
      </c>
      <c r="D2965" s="41" t="e">
        <f>IF($C$1077&gt;0,VLOOKUP($C2965,ENTI!$AL$4:AN$1003,3,FALSE),"")</f>
        <v>#N/A</v>
      </c>
      <c r="E2965" s="41" t="str">
        <f t="shared" si="261"/>
        <v/>
      </c>
      <c r="F2965" s="200"/>
      <c r="G2965" s="178" t="e">
        <f>IF($C$1077&gt;0,VLOOKUP($C2965,ENTI!$AL$4:AP$1003,5,FALSE),"")</f>
        <v>#N/A</v>
      </c>
      <c r="H2965" s="179" t="e">
        <f>IF($C$1077&gt;0,VLOOKUP($C2965,ENTI!$AL$4:AQ$1003,6,FALSE),"")</f>
        <v>#N/A</v>
      </c>
      <c r="I2965" s="187"/>
      <c r="J2965" s="140" t="e">
        <f ca="1">VLOOKUP(D2965,$F$1081:$I$4183,4,FALSE)+COUNTIF(E$1081:E2964,E2965)</f>
        <v>#N/A</v>
      </c>
      <c r="K2965" s="1"/>
      <c r="L2965" s="156"/>
      <c r="M2965" s="1"/>
      <c r="N2965" s="1"/>
      <c r="O2965" s="1"/>
    </row>
    <row r="2966" spans="1:15" hidden="1">
      <c r="A2966" s="1"/>
      <c r="B2966" s="197" t="e">
        <f t="shared" ca="1" si="260"/>
        <v>#N/A</v>
      </c>
      <c r="C2966" s="498">
        <v>900</v>
      </c>
      <c r="D2966" s="41" t="e">
        <f>IF($C$1077&gt;0,VLOOKUP($C2966,ENTI!$AL$4:AN$1003,3,FALSE),"")</f>
        <v>#N/A</v>
      </c>
      <c r="E2966" s="41" t="str">
        <f t="shared" si="261"/>
        <v/>
      </c>
      <c r="F2966" s="200"/>
      <c r="G2966" s="178" t="e">
        <f>IF($C$1077&gt;0,VLOOKUP($C2966,ENTI!$AL$4:AP$1003,5,FALSE),"")</f>
        <v>#N/A</v>
      </c>
      <c r="H2966" s="179" t="e">
        <f>IF($C$1077&gt;0,VLOOKUP($C2966,ENTI!$AL$4:AQ$1003,6,FALSE),"")</f>
        <v>#N/A</v>
      </c>
      <c r="I2966" s="187"/>
      <c r="J2966" s="140" t="e">
        <f ca="1">VLOOKUP(D2966,$F$1081:$I$4183,4,FALSE)+COUNTIF(E$1081:E2965,E2966)</f>
        <v>#N/A</v>
      </c>
      <c r="K2966" s="1"/>
      <c r="L2966" s="156"/>
      <c r="M2966" s="1"/>
      <c r="N2966" s="1"/>
      <c r="O2966" s="1"/>
    </row>
    <row r="2967" spans="1:15" hidden="1">
      <c r="A2967" s="1"/>
      <c r="B2967" s="197" t="e">
        <f t="shared" ca="1" si="260"/>
        <v>#N/A</v>
      </c>
      <c r="C2967" s="498">
        <v>901</v>
      </c>
      <c r="D2967" s="41" t="e">
        <f>IF($C$1077&gt;0,VLOOKUP($C2967,ENTI!$AL$4:AN$1003,3,FALSE),"")</f>
        <v>#N/A</v>
      </c>
      <c r="E2967" s="41" t="str">
        <f t="shared" si="261"/>
        <v/>
      </c>
      <c r="F2967" s="200"/>
      <c r="G2967" s="178" t="e">
        <f>IF($C$1077&gt;0,VLOOKUP($C2967,ENTI!$AL$4:AP$1003,5,FALSE),"")</f>
        <v>#N/A</v>
      </c>
      <c r="H2967" s="179" t="e">
        <f>IF($C$1077&gt;0,VLOOKUP($C2967,ENTI!$AL$4:AQ$1003,6,FALSE),"")</f>
        <v>#N/A</v>
      </c>
      <c r="I2967" s="187"/>
      <c r="J2967" s="140" t="e">
        <f ca="1">VLOOKUP(D2967,$F$1081:$I$4183,4,FALSE)+COUNTIF(E$1081:E2966,E2967)</f>
        <v>#N/A</v>
      </c>
      <c r="K2967" s="1"/>
      <c r="L2967" s="156"/>
      <c r="M2967" s="1"/>
      <c r="N2967" s="1"/>
      <c r="O2967" s="1"/>
    </row>
    <row r="2968" spans="1:15" hidden="1">
      <c r="A2968" s="1"/>
      <c r="B2968" s="197" t="e">
        <f t="shared" ca="1" si="260"/>
        <v>#N/A</v>
      </c>
      <c r="C2968" s="498">
        <v>902</v>
      </c>
      <c r="D2968" s="41" t="e">
        <f>IF($C$1077&gt;0,VLOOKUP($C2968,ENTI!$AL$4:AN$1003,3,FALSE),"")</f>
        <v>#N/A</v>
      </c>
      <c r="E2968" s="41" t="str">
        <f t="shared" si="261"/>
        <v/>
      </c>
      <c r="F2968" s="200"/>
      <c r="G2968" s="178" t="e">
        <f>IF($C$1077&gt;0,VLOOKUP($C2968,ENTI!$AL$4:AP$1003,5,FALSE),"")</f>
        <v>#N/A</v>
      </c>
      <c r="H2968" s="179" t="e">
        <f>IF($C$1077&gt;0,VLOOKUP($C2968,ENTI!$AL$4:AQ$1003,6,FALSE),"")</f>
        <v>#N/A</v>
      </c>
      <c r="I2968" s="187"/>
      <c r="J2968" s="140" t="e">
        <f ca="1">VLOOKUP(D2968,$F$1081:$I$4183,4,FALSE)+COUNTIF(E$1081:E2967,E2968)</f>
        <v>#N/A</v>
      </c>
      <c r="K2968" s="1"/>
      <c r="L2968" s="156"/>
      <c r="M2968" s="1"/>
      <c r="N2968" s="1"/>
      <c r="O2968" s="1"/>
    </row>
    <row r="2969" spans="1:15" hidden="1">
      <c r="A2969" s="1"/>
      <c r="B2969" s="197" t="e">
        <f t="shared" ref="B2969:B3032" ca="1" si="262">IF(OR(C$1075&gt;0,C$1077&gt;0,C$1073&gt;0,C$1071&gt;0),J2969+1,J2969)</f>
        <v>#N/A</v>
      </c>
      <c r="C2969" s="498">
        <v>903</v>
      </c>
      <c r="D2969" s="41" t="e">
        <f>IF($C$1077&gt;0,VLOOKUP($C2969,ENTI!$AL$4:AN$1003,3,FALSE),"")</f>
        <v>#N/A</v>
      </c>
      <c r="E2969" s="41" t="str">
        <f t="shared" si="261"/>
        <v/>
      </c>
      <c r="F2969" s="200"/>
      <c r="G2969" s="178" t="e">
        <f>IF($C$1077&gt;0,VLOOKUP($C2969,ENTI!$AL$4:AP$1003,5,FALSE),"")</f>
        <v>#N/A</v>
      </c>
      <c r="H2969" s="179" t="e">
        <f>IF($C$1077&gt;0,VLOOKUP($C2969,ENTI!$AL$4:AQ$1003,6,FALSE),"")</f>
        <v>#N/A</v>
      </c>
      <c r="I2969" s="187"/>
      <c r="J2969" s="140" t="e">
        <f ca="1">VLOOKUP(D2969,$F$1081:$I$4183,4,FALSE)+COUNTIF(E$1081:E2968,E2969)</f>
        <v>#N/A</v>
      </c>
      <c r="K2969" s="1"/>
      <c r="L2969" s="156"/>
      <c r="M2969" s="1"/>
      <c r="N2969" s="1"/>
      <c r="O2969" s="1"/>
    </row>
    <row r="2970" spans="1:15" hidden="1">
      <c r="A2970" s="1"/>
      <c r="B2970" s="197" t="e">
        <f t="shared" ca="1" si="262"/>
        <v>#N/A</v>
      </c>
      <c r="C2970" s="498">
        <v>904</v>
      </c>
      <c r="D2970" s="41" t="e">
        <f>IF($C$1077&gt;0,VLOOKUP($C2970,ENTI!$AL$4:AN$1003,3,FALSE),"")</f>
        <v>#N/A</v>
      </c>
      <c r="E2970" s="41" t="str">
        <f t="shared" si="261"/>
        <v/>
      </c>
      <c r="F2970" s="200"/>
      <c r="G2970" s="178" t="e">
        <f>IF($C$1077&gt;0,VLOOKUP($C2970,ENTI!$AL$4:AP$1003,5,FALSE),"")</f>
        <v>#N/A</v>
      </c>
      <c r="H2970" s="179" t="e">
        <f>IF($C$1077&gt;0,VLOOKUP($C2970,ENTI!$AL$4:AQ$1003,6,FALSE),"")</f>
        <v>#N/A</v>
      </c>
      <c r="I2970" s="187"/>
      <c r="J2970" s="140" t="e">
        <f ca="1">VLOOKUP(D2970,$F$1081:$I$4183,4,FALSE)+COUNTIF(E$1081:E2969,E2970)</f>
        <v>#N/A</v>
      </c>
      <c r="K2970" s="1"/>
      <c r="L2970" s="156"/>
      <c r="M2970" s="1"/>
      <c r="N2970" s="1"/>
      <c r="O2970" s="1"/>
    </row>
    <row r="2971" spans="1:15" hidden="1">
      <c r="A2971" s="1"/>
      <c r="B2971" s="197" t="e">
        <f t="shared" ca="1" si="262"/>
        <v>#N/A</v>
      </c>
      <c r="C2971" s="498">
        <v>905</v>
      </c>
      <c r="D2971" s="41" t="e">
        <f>IF($C$1077&gt;0,VLOOKUP($C2971,ENTI!$AL$4:AN$1003,3,FALSE),"")</f>
        <v>#N/A</v>
      </c>
      <c r="E2971" s="41" t="str">
        <f t="shared" si="261"/>
        <v/>
      </c>
      <c r="F2971" s="200"/>
      <c r="G2971" s="178" t="e">
        <f>IF($C$1077&gt;0,VLOOKUP($C2971,ENTI!$AL$4:AP$1003,5,FALSE),"")</f>
        <v>#N/A</v>
      </c>
      <c r="H2971" s="179" t="e">
        <f>IF($C$1077&gt;0,VLOOKUP($C2971,ENTI!$AL$4:AQ$1003,6,FALSE),"")</f>
        <v>#N/A</v>
      </c>
      <c r="I2971" s="187"/>
      <c r="J2971" s="140" t="e">
        <f ca="1">VLOOKUP(D2971,$F$1081:$I$4183,4,FALSE)+COUNTIF(E$1081:E2970,E2971)</f>
        <v>#N/A</v>
      </c>
      <c r="K2971" s="1"/>
      <c r="L2971" s="156"/>
      <c r="M2971" s="1"/>
      <c r="N2971" s="1"/>
      <c r="O2971" s="1"/>
    </row>
    <row r="2972" spans="1:15" hidden="1">
      <c r="A2972" s="1"/>
      <c r="B2972" s="197" t="e">
        <f t="shared" ca="1" si="262"/>
        <v>#N/A</v>
      </c>
      <c r="C2972" s="498">
        <v>906</v>
      </c>
      <c r="D2972" s="41" t="e">
        <f>IF($C$1077&gt;0,VLOOKUP($C2972,ENTI!$AL$4:AN$1003,3,FALSE),"")</f>
        <v>#N/A</v>
      </c>
      <c r="E2972" s="41" t="str">
        <f t="shared" si="261"/>
        <v/>
      </c>
      <c r="F2972" s="200"/>
      <c r="G2972" s="178" t="e">
        <f>IF($C$1077&gt;0,VLOOKUP($C2972,ENTI!$AL$4:AP$1003,5,FALSE),"")</f>
        <v>#N/A</v>
      </c>
      <c r="H2972" s="179" t="e">
        <f>IF($C$1077&gt;0,VLOOKUP($C2972,ENTI!$AL$4:AQ$1003,6,FALSE),"")</f>
        <v>#N/A</v>
      </c>
      <c r="I2972" s="187"/>
      <c r="J2972" s="140" t="e">
        <f ca="1">VLOOKUP(D2972,$F$1081:$I$4183,4,FALSE)+COUNTIF(E$1081:E2971,E2972)</f>
        <v>#N/A</v>
      </c>
      <c r="K2972" s="1"/>
      <c r="L2972" s="156"/>
      <c r="M2972" s="1"/>
      <c r="N2972" s="1"/>
      <c r="O2972" s="1"/>
    </row>
    <row r="2973" spans="1:15" hidden="1">
      <c r="A2973" s="1"/>
      <c r="B2973" s="197" t="e">
        <f t="shared" ca="1" si="262"/>
        <v>#N/A</v>
      </c>
      <c r="C2973" s="498">
        <v>907</v>
      </c>
      <c r="D2973" s="41" t="e">
        <f>IF($C$1077&gt;0,VLOOKUP($C2973,ENTI!$AL$4:AN$1003,3,FALSE),"")</f>
        <v>#N/A</v>
      </c>
      <c r="E2973" s="41" t="str">
        <f t="shared" si="261"/>
        <v/>
      </c>
      <c r="F2973" s="200"/>
      <c r="G2973" s="178" t="e">
        <f>IF($C$1077&gt;0,VLOOKUP($C2973,ENTI!$AL$4:AP$1003,5,FALSE),"")</f>
        <v>#N/A</v>
      </c>
      <c r="H2973" s="179" t="e">
        <f>IF($C$1077&gt;0,VLOOKUP($C2973,ENTI!$AL$4:AQ$1003,6,FALSE),"")</f>
        <v>#N/A</v>
      </c>
      <c r="I2973" s="187"/>
      <c r="J2973" s="140" t="e">
        <f ca="1">VLOOKUP(D2973,$F$1081:$I$4183,4,FALSE)+COUNTIF(E$1081:E2972,E2973)</f>
        <v>#N/A</v>
      </c>
      <c r="K2973" s="1"/>
      <c r="L2973" s="156"/>
      <c r="M2973" s="1"/>
      <c r="N2973" s="1"/>
      <c r="O2973" s="1"/>
    </row>
    <row r="2974" spans="1:15" hidden="1">
      <c r="A2974" s="1"/>
      <c r="B2974" s="197" t="e">
        <f t="shared" ca="1" si="262"/>
        <v>#N/A</v>
      </c>
      <c r="C2974" s="498">
        <v>908</v>
      </c>
      <c r="D2974" s="41" t="e">
        <f>IF($C$1077&gt;0,VLOOKUP($C2974,ENTI!$AL$4:AN$1003,3,FALSE),"")</f>
        <v>#N/A</v>
      </c>
      <c r="E2974" s="41" t="str">
        <f t="shared" si="261"/>
        <v/>
      </c>
      <c r="F2974" s="200"/>
      <c r="G2974" s="178" t="e">
        <f>IF($C$1077&gt;0,VLOOKUP($C2974,ENTI!$AL$4:AP$1003,5,FALSE),"")</f>
        <v>#N/A</v>
      </c>
      <c r="H2974" s="179" t="e">
        <f>IF($C$1077&gt;0,VLOOKUP($C2974,ENTI!$AL$4:AQ$1003,6,FALSE),"")</f>
        <v>#N/A</v>
      </c>
      <c r="I2974" s="187"/>
      <c r="J2974" s="140" t="e">
        <f ca="1">VLOOKUP(D2974,$F$1081:$I$4183,4,FALSE)+COUNTIF(E$1081:E2973,E2974)</f>
        <v>#N/A</v>
      </c>
      <c r="K2974" s="1"/>
      <c r="L2974" s="156"/>
      <c r="M2974" s="1"/>
      <c r="N2974" s="1"/>
      <c r="O2974" s="1"/>
    </row>
    <row r="2975" spans="1:15" hidden="1">
      <c r="A2975" s="1"/>
      <c r="B2975" s="197" t="e">
        <f t="shared" ca="1" si="262"/>
        <v>#N/A</v>
      </c>
      <c r="C2975" s="498">
        <v>909</v>
      </c>
      <c r="D2975" s="41" t="e">
        <f>IF($C$1077&gt;0,VLOOKUP($C2975,ENTI!$AL$4:AN$1003,3,FALSE),"")</f>
        <v>#N/A</v>
      </c>
      <c r="E2975" s="41" t="str">
        <f t="shared" si="261"/>
        <v/>
      </c>
      <c r="F2975" s="200"/>
      <c r="G2975" s="178" t="e">
        <f>IF($C$1077&gt;0,VLOOKUP($C2975,ENTI!$AL$4:AP$1003,5,FALSE),"")</f>
        <v>#N/A</v>
      </c>
      <c r="H2975" s="179" t="e">
        <f>IF($C$1077&gt;0,VLOOKUP($C2975,ENTI!$AL$4:AQ$1003,6,FALSE),"")</f>
        <v>#N/A</v>
      </c>
      <c r="I2975" s="187"/>
      <c r="J2975" s="140" t="e">
        <f ca="1">VLOOKUP(D2975,$F$1081:$I$4183,4,FALSE)+COUNTIF(E$1081:E2974,E2975)</f>
        <v>#N/A</v>
      </c>
      <c r="K2975" s="1"/>
      <c r="L2975" s="156"/>
      <c r="M2975" s="1"/>
      <c r="N2975" s="1"/>
      <c r="O2975" s="1"/>
    </row>
    <row r="2976" spans="1:15" hidden="1">
      <c r="A2976" s="1"/>
      <c r="B2976" s="197" t="e">
        <f t="shared" ca="1" si="262"/>
        <v>#N/A</v>
      </c>
      <c r="C2976" s="498">
        <v>910</v>
      </c>
      <c r="D2976" s="41" t="e">
        <f>IF($C$1077&gt;0,VLOOKUP($C2976,ENTI!$AL$4:AN$1003,3,FALSE),"")</f>
        <v>#N/A</v>
      </c>
      <c r="E2976" s="41" t="str">
        <f t="shared" si="261"/>
        <v/>
      </c>
      <c r="F2976" s="200"/>
      <c r="G2976" s="178" t="e">
        <f>IF($C$1077&gt;0,VLOOKUP($C2976,ENTI!$AL$4:AP$1003,5,FALSE),"")</f>
        <v>#N/A</v>
      </c>
      <c r="H2976" s="179" t="e">
        <f>IF($C$1077&gt;0,VLOOKUP($C2976,ENTI!$AL$4:AQ$1003,6,FALSE),"")</f>
        <v>#N/A</v>
      </c>
      <c r="I2976" s="187"/>
      <c r="J2976" s="140" t="e">
        <f ca="1">VLOOKUP(D2976,$F$1081:$I$4183,4,FALSE)+COUNTIF(E$1081:E2975,E2976)</f>
        <v>#N/A</v>
      </c>
      <c r="K2976" s="1"/>
      <c r="L2976" s="156"/>
      <c r="M2976" s="1"/>
      <c r="N2976" s="1"/>
      <c r="O2976" s="1"/>
    </row>
    <row r="2977" spans="1:15" hidden="1">
      <c r="A2977" s="1"/>
      <c r="B2977" s="197" t="e">
        <f t="shared" ca="1" si="262"/>
        <v>#N/A</v>
      </c>
      <c r="C2977" s="498">
        <v>911</v>
      </c>
      <c r="D2977" s="41" t="e">
        <f>IF($C$1077&gt;0,VLOOKUP($C2977,ENTI!$AL$4:AN$1003,3,FALSE),"")</f>
        <v>#N/A</v>
      </c>
      <c r="E2977" s="41" t="str">
        <f t="shared" si="261"/>
        <v/>
      </c>
      <c r="F2977" s="200"/>
      <c r="G2977" s="178" t="e">
        <f>IF($C$1077&gt;0,VLOOKUP($C2977,ENTI!$AL$4:AP$1003,5,FALSE),"")</f>
        <v>#N/A</v>
      </c>
      <c r="H2977" s="179" t="e">
        <f>IF($C$1077&gt;0,VLOOKUP($C2977,ENTI!$AL$4:AQ$1003,6,FALSE),"")</f>
        <v>#N/A</v>
      </c>
      <c r="I2977" s="187"/>
      <c r="J2977" s="140" t="e">
        <f ca="1">VLOOKUP(D2977,$F$1081:$I$4183,4,FALSE)+COUNTIF(E$1081:E2976,E2977)</f>
        <v>#N/A</v>
      </c>
      <c r="K2977" s="1"/>
      <c r="L2977" s="156"/>
      <c r="M2977" s="1"/>
      <c r="N2977" s="1"/>
      <c r="O2977" s="1"/>
    </row>
    <row r="2978" spans="1:15" hidden="1">
      <c r="A2978" s="1"/>
      <c r="B2978" s="197" t="e">
        <f t="shared" ca="1" si="262"/>
        <v>#N/A</v>
      </c>
      <c r="C2978" s="498">
        <v>912</v>
      </c>
      <c r="D2978" s="41" t="e">
        <f>IF($C$1077&gt;0,VLOOKUP($C2978,ENTI!$AL$4:AN$1003,3,FALSE),"")</f>
        <v>#N/A</v>
      </c>
      <c r="E2978" s="41" t="str">
        <f t="shared" si="261"/>
        <v/>
      </c>
      <c r="F2978" s="200"/>
      <c r="G2978" s="178" t="e">
        <f>IF($C$1077&gt;0,VLOOKUP($C2978,ENTI!$AL$4:AP$1003,5,FALSE),"")</f>
        <v>#N/A</v>
      </c>
      <c r="H2978" s="179" t="e">
        <f>IF($C$1077&gt;0,VLOOKUP($C2978,ENTI!$AL$4:AQ$1003,6,FALSE),"")</f>
        <v>#N/A</v>
      </c>
      <c r="I2978" s="187"/>
      <c r="J2978" s="140" t="e">
        <f ca="1">VLOOKUP(D2978,$F$1081:$I$4183,4,FALSE)+COUNTIF(E$1081:E2977,E2978)</f>
        <v>#N/A</v>
      </c>
      <c r="K2978" s="1"/>
      <c r="L2978" s="156"/>
      <c r="M2978" s="1"/>
      <c r="N2978" s="1"/>
      <c r="O2978" s="1"/>
    </row>
    <row r="2979" spans="1:15" hidden="1">
      <c r="A2979" s="1"/>
      <c r="B2979" s="197" t="e">
        <f t="shared" ca="1" si="262"/>
        <v>#N/A</v>
      </c>
      <c r="C2979" s="498">
        <v>913</v>
      </c>
      <c r="D2979" s="41" t="e">
        <f>IF($C$1077&gt;0,VLOOKUP($C2979,ENTI!$AL$4:AN$1003,3,FALSE),"")</f>
        <v>#N/A</v>
      </c>
      <c r="E2979" s="41" t="str">
        <f t="shared" si="261"/>
        <v/>
      </c>
      <c r="F2979" s="200"/>
      <c r="G2979" s="178" t="e">
        <f>IF($C$1077&gt;0,VLOOKUP($C2979,ENTI!$AL$4:AP$1003,5,FALSE),"")</f>
        <v>#N/A</v>
      </c>
      <c r="H2979" s="179" t="e">
        <f>IF($C$1077&gt;0,VLOOKUP($C2979,ENTI!$AL$4:AQ$1003,6,FALSE),"")</f>
        <v>#N/A</v>
      </c>
      <c r="I2979" s="187"/>
      <c r="J2979" s="140" t="e">
        <f ca="1">VLOOKUP(D2979,$F$1081:$I$4183,4,FALSE)+COUNTIF(E$1081:E2978,E2979)</f>
        <v>#N/A</v>
      </c>
      <c r="K2979" s="1"/>
      <c r="L2979" s="156"/>
      <c r="M2979" s="1"/>
      <c r="N2979" s="1"/>
      <c r="O2979" s="1"/>
    </row>
    <row r="2980" spans="1:15" hidden="1">
      <c r="A2980" s="1"/>
      <c r="B2980" s="197" t="e">
        <f t="shared" ca="1" si="262"/>
        <v>#N/A</v>
      </c>
      <c r="C2980" s="498">
        <v>914</v>
      </c>
      <c r="D2980" s="41" t="e">
        <f>IF($C$1077&gt;0,VLOOKUP($C2980,ENTI!$AL$4:AN$1003,3,FALSE),"")</f>
        <v>#N/A</v>
      </c>
      <c r="E2980" s="41" t="str">
        <f t="shared" si="261"/>
        <v/>
      </c>
      <c r="F2980" s="200"/>
      <c r="G2980" s="178" t="e">
        <f>IF($C$1077&gt;0,VLOOKUP($C2980,ENTI!$AL$4:AP$1003,5,FALSE),"")</f>
        <v>#N/A</v>
      </c>
      <c r="H2980" s="179" t="e">
        <f>IF($C$1077&gt;0,VLOOKUP($C2980,ENTI!$AL$4:AQ$1003,6,FALSE),"")</f>
        <v>#N/A</v>
      </c>
      <c r="I2980" s="187"/>
      <c r="J2980" s="140" t="e">
        <f ca="1">VLOOKUP(D2980,$F$1081:$I$4183,4,FALSE)+COUNTIF(E$1081:E2979,E2980)</f>
        <v>#N/A</v>
      </c>
      <c r="K2980" s="1"/>
      <c r="L2980" s="156"/>
      <c r="M2980" s="1"/>
      <c r="N2980" s="1"/>
      <c r="O2980" s="1"/>
    </row>
    <row r="2981" spans="1:15" hidden="1">
      <c r="A2981" s="1"/>
      <c r="B2981" s="197" t="e">
        <f t="shared" ca="1" si="262"/>
        <v>#N/A</v>
      </c>
      <c r="C2981" s="498">
        <v>915</v>
      </c>
      <c r="D2981" s="41" t="e">
        <f>IF($C$1077&gt;0,VLOOKUP($C2981,ENTI!$AL$4:AN$1003,3,FALSE),"")</f>
        <v>#N/A</v>
      </c>
      <c r="E2981" s="41" t="str">
        <f t="shared" si="261"/>
        <v/>
      </c>
      <c r="F2981" s="200"/>
      <c r="G2981" s="178" t="e">
        <f>IF($C$1077&gt;0,VLOOKUP($C2981,ENTI!$AL$4:AP$1003,5,FALSE),"")</f>
        <v>#N/A</v>
      </c>
      <c r="H2981" s="179" t="e">
        <f>IF($C$1077&gt;0,VLOOKUP($C2981,ENTI!$AL$4:AQ$1003,6,FALSE),"")</f>
        <v>#N/A</v>
      </c>
      <c r="I2981" s="187"/>
      <c r="J2981" s="140" t="e">
        <f ca="1">VLOOKUP(D2981,$F$1081:$I$4183,4,FALSE)+COUNTIF(E$1081:E2980,E2981)</f>
        <v>#N/A</v>
      </c>
      <c r="K2981" s="1"/>
      <c r="L2981" s="156"/>
      <c r="M2981" s="1"/>
      <c r="N2981" s="1"/>
      <c r="O2981" s="1"/>
    </row>
    <row r="2982" spans="1:15" hidden="1">
      <c r="A2982" s="1"/>
      <c r="B2982" s="197" t="e">
        <f t="shared" ca="1" si="262"/>
        <v>#N/A</v>
      </c>
      <c r="C2982" s="498">
        <v>916</v>
      </c>
      <c r="D2982" s="41" t="e">
        <f>IF($C$1077&gt;0,VLOOKUP($C2982,ENTI!$AL$4:AN$1003,3,FALSE),"")</f>
        <v>#N/A</v>
      </c>
      <c r="E2982" s="41" t="str">
        <f t="shared" si="261"/>
        <v/>
      </c>
      <c r="F2982" s="200"/>
      <c r="G2982" s="178" t="e">
        <f>IF($C$1077&gt;0,VLOOKUP($C2982,ENTI!$AL$4:AP$1003,5,FALSE),"")</f>
        <v>#N/A</v>
      </c>
      <c r="H2982" s="179" t="e">
        <f>IF($C$1077&gt;0,VLOOKUP($C2982,ENTI!$AL$4:AQ$1003,6,FALSE),"")</f>
        <v>#N/A</v>
      </c>
      <c r="I2982" s="187"/>
      <c r="J2982" s="140" t="e">
        <f ca="1">VLOOKUP(D2982,$F$1081:$I$4183,4,FALSE)+COUNTIF(E$1081:E2981,E2982)</f>
        <v>#N/A</v>
      </c>
      <c r="K2982" s="1"/>
      <c r="L2982" s="156"/>
      <c r="M2982" s="1"/>
      <c r="N2982" s="1"/>
      <c r="O2982" s="1"/>
    </row>
    <row r="2983" spans="1:15" hidden="1">
      <c r="A2983" s="1"/>
      <c r="B2983" s="197" t="e">
        <f t="shared" ca="1" si="262"/>
        <v>#N/A</v>
      </c>
      <c r="C2983" s="498">
        <v>917</v>
      </c>
      <c r="D2983" s="41" t="e">
        <f>IF($C$1077&gt;0,VLOOKUP($C2983,ENTI!$AL$4:AN$1003,3,FALSE),"")</f>
        <v>#N/A</v>
      </c>
      <c r="E2983" s="41" t="str">
        <f t="shared" si="261"/>
        <v/>
      </c>
      <c r="F2983" s="200"/>
      <c r="G2983" s="178" t="e">
        <f>IF($C$1077&gt;0,VLOOKUP($C2983,ENTI!$AL$4:AP$1003,5,FALSE),"")</f>
        <v>#N/A</v>
      </c>
      <c r="H2983" s="179" t="e">
        <f>IF($C$1077&gt;0,VLOOKUP($C2983,ENTI!$AL$4:AQ$1003,6,FALSE),"")</f>
        <v>#N/A</v>
      </c>
      <c r="I2983" s="187"/>
      <c r="J2983" s="140" t="e">
        <f ca="1">VLOOKUP(D2983,$F$1081:$I$4183,4,FALSE)+COUNTIF(E$1081:E2982,E2983)</f>
        <v>#N/A</v>
      </c>
      <c r="K2983" s="1"/>
      <c r="L2983" s="156"/>
      <c r="M2983" s="1"/>
      <c r="N2983" s="1"/>
      <c r="O2983" s="1"/>
    </row>
    <row r="2984" spans="1:15" hidden="1">
      <c r="A2984" s="1"/>
      <c r="B2984" s="197" t="e">
        <f t="shared" ca="1" si="262"/>
        <v>#N/A</v>
      </c>
      <c r="C2984" s="498">
        <v>918</v>
      </c>
      <c r="D2984" s="41" t="e">
        <f>IF($C$1077&gt;0,VLOOKUP($C2984,ENTI!$AL$4:AN$1003,3,FALSE),"")</f>
        <v>#N/A</v>
      </c>
      <c r="E2984" s="41" t="str">
        <f t="shared" si="261"/>
        <v/>
      </c>
      <c r="F2984" s="200"/>
      <c r="G2984" s="178" t="e">
        <f>IF($C$1077&gt;0,VLOOKUP($C2984,ENTI!$AL$4:AP$1003,5,FALSE),"")</f>
        <v>#N/A</v>
      </c>
      <c r="H2984" s="179" t="e">
        <f>IF($C$1077&gt;0,VLOOKUP($C2984,ENTI!$AL$4:AQ$1003,6,FALSE),"")</f>
        <v>#N/A</v>
      </c>
      <c r="I2984" s="187"/>
      <c r="J2984" s="140" t="e">
        <f ca="1">VLOOKUP(D2984,$F$1081:$I$4183,4,FALSE)+COUNTIF(E$1081:E2983,E2984)</f>
        <v>#N/A</v>
      </c>
      <c r="K2984" s="1"/>
      <c r="L2984" s="156"/>
      <c r="M2984" s="1"/>
      <c r="N2984" s="1"/>
      <c r="O2984" s="1"/>
    </row>
    <row r="2985" spans="1:15" hidden="1">
      <c r="A2985" s="1"/>
      <c r="B2985" s="197" t="e">
        <f t="shared" ca="1" si="262"/>
        <v>#N/A</v>
      </c>
      <c r="C2985" s="498">
        <v>919</v>
      </c>
      <c r="D2985" s="41" t="e">
        <f>IF($C$1077&gt;0,VLOOKUP($C2985,ENTI!$AL$4:AN$1003,3,FALSE),"")</f>
        <v>#N/A</v>
      </c>
      <c r="E2985" s="41" t="str">
        <f t="shared" si="261"/>
        <v/>
      </c>
      <c r="F2985" s="200"/>
      <c r="G2985" s="178" t="e">
        <f>IF($C$1077&gt;0,VLOOKUP($C2985,ENTI!$AL$4:AP$1003,5,FALSE),"")</f>
        <v>#N/A</v>
      </c>
      <c r="H2985" s="179" t="e">
        <f>IF($C$1077&gt;0,VLOOKUP($C2985,ENTI!$AL$4:AQ$1003,6,FALSE),"")</f>
        <v>#N/A</v>
      </c>
      <c r="I2985" s="187"/>
      <c r="J2985" s="140" t="e">
        <f ca="1">VLOOKUP(D2985,$F$1081:$I$4183,4,FALSE)+COUNTIF(E$1081:E2984,E2985)</f>
        <v>#N/A</v>
      </c>
      <c r="K2985" s="1"/>
      <c r="L2985" s="156"/>
      <c r="M2985" s="1"/>
      <c r="N2985" s="1"/>
      <c r="O2985" s="1"/>
    </row>
    <row r="2986" spans="1:15" hidden="1">
      <c r="A2986" s="1"/>
      <c r="B2986" s="197" t="e">
        <f t="shared" ca="1" si="262"/>
        <v>#N/A</v>
      </c>
      <c r="C2986" s="498">
        <v>920</v>
      </c>
      <c r="D2986" s="41" t="e">
        <f>IF($C$1077&gt;0,VLOOKUP($C2986,ENTI!$AL$4:AN$1003,3,FALSE),"")</f>
        <v>#N/A</v>
      </c>
      <c r="E2986" s="41" t="str">
        <f t="shared" si="261"/>
        <v/>
      </c>
      <c r="F2986" s="200"/>
      <c r="G2986" s="178" t="e">
        <f>IF($C$1077&gt;0,VLOOKUP($C2986,ENTI!$AL$4:AP$1003,5,FALSE),"")</f>
        <v>#N/A</v>
      </c>
      <c r="H2986" s="179" t="e">
        <f>IF($C$1077&gt;0,VLOOKUP($C2986,ENTI!$AL$4:AQ$1003,6,FALSE),"")</f>
        <v>#N/A</v>
      </c>
      <c r="I2986" s="187"/>
      <c r="J2986" s="140" t="e">
        <f ca="1">VLOOKUP(D2986,$F$1081:$I$4183,4,FALSE)+COUNTIF(E$1081:E2985,E2986)</f>
        <v>#N/A</v>
      </c>
      <c r="K2986" s="1"/>
      <c r="L2986" s="156"/>
      <c r="M2986" s="1"/>
      <c r="N2986" s="1"/>
      <c r="O2986" s="1"/>
    </row>
    <row r="2987" spans="1:15" hidden="1">
      <c r="A2987" s="1"/>
      <c r="B2987" s="197" t="e">
        <f t="shared" ca="1" si="262"/>
        <v>#N/A</v>
      </c>
      <c r="C2987" s="498">
        <v>921</v>
      </c>
      <c r="D2987" s="41" t="e">
        <f>IF($C$1077&gt;0,VLOOKUP($C2987,ENTI!$AL$4:AN$1003,3,FALSE),"")</f>
        <v>#N/A</v>
      </c>
      <c r="E2987" s="41" t="str">
        <f t="shared" si="261"/>
        <v/>
      </c>
      <c r="F2987" s="200"/>
      <c r="G2987" s="178" t="e">
        <f>IF($C$1077&gt;0,VLOOKUP($C2987,ENTI!$AL$4:AP$1003,5,FALSE),"")</f>
        <v>#N/A</v>
      </c>
      <c r="H2987" s="179" t="e">
        <f>IF($C$1077&gt;0,VLOOKUP($C2987,ENTI!$AL$4:AQ$1003,6,FALSE),"")</f>
        <v>#N/A</v>
      </c>
      <c r="I2987" s="187"/>
      <c r="J2987" s="140" t="e">
        <f ca="1">VLOOKUP(D2987,$F$1081:$I$4183,4,FALSE)+COUNTIF(E$1081:E2986,E2987)</f>
        <v>#N/A</v>
      </c>
      <c r="K2987" s="1"/>
      <c r="L2987" s="156"/>
      <c r="M2987" s="1"/>
      <c r="N2987" s="1"/>
      <c r="O2987" s="1"/>
    </row>
    <row r="2988" spans="1:15" hidden="1">
      <c r="A2988" s="1"/>
      <c r="B2988" s="197" t="e">
        <f t="shared" ca="1" si="262"/>
        <v>#N/A</v>
      </c>
      <c r="C2988" s="498">
        <v>922</v>
      </c>
      <c r="D2988" s="41" t="e">
        <f>IF($C$1077&gt;0,VLOOKUP($C2988,ENTI!$AL$4:AN$1003,3,FALSE),"")</f>
        <v>#N/A</v>
      </c>
      <c r="E2988" s="41" t="str">
        <f t="shared" si="261"/>
        <v/>
      </c>
      <c r="F2988" s="200"/>
      <c r="G2988" s="178" t="e">
        <f>IF($C$1077&gt;0,VLOOKUP($C2988,ENTI!$AL$4:AP$1003,5,FALSE),"")</f>
        <v>#N/A</v>
      </c>
      <c r="H2988" s="179" t="e">
        <f>IF($C$1077&gt;0,VLOOKUP($C2988,ENTI!$AL$4:AQ$1003,6,FALSE),"")</f>
        <v>#N/A</v>
      </c>
      <c r="I2988" s="187"/>
      <c r="J2988" s="140" t="e">
        <f ca="1">VLOOKUP(D2988,$F$1081:$I$4183,4,FALSE)+COUNTIF(E$1081:E2987,E2988)</f>
        <v>#N/A</v>
      </c>
      <c r="K2988" s="1"/>
      <c r="L2988" s="156"/>
      <c r="M2988" s="1"/>
      <c r="N2988" s="1"/>
      <c r="O2988" s="1"/>
    </row>
    <row r="2989" spans="1:15" hidden="1">
      <c r="A2989" s="1"/>
      <c r="B2989" s="197" t="e">
        <f t="shared" ca="1" si="262"/>
        <v>#N/A</v>
      </c>
      <c r="C2989" s="498">
        <v>923</v>
      </c>
      <c r="D2989" s="41" t="e">
        <f>IF($C$1077&gt;0,VLOOKUP($C2989,ENTI!$AL$4:AN$1003,3,FALSE),"")</f>
        <v>#N/A</v>
      </c>
      <c r="E2989" s="41" t="str">
        <f t="shared" si="261"/>
        <v/>
      </c>
      <c r="F2989" s="200"/>
      <c r="G2989" s="178" t="e">
        <f>IF($C$1077&gt;0,VLOOKUP($C2989,ENTI!$AL$4:AP$1003,5,FALSE),"")</f>
        <v>#N/A</v>
      </c>
      <c r="H2989" s="179" t="e">
        <f>IF($C$1077&gt;0,VLOOKUP($C2989,ENTI!$AL$4:AQ$1003,6,FALSE),"")</f>
        <v>#N/A</v>
      </c>
      <c r="I2989" s="187"/>
      <c r="J2989" s="140" t="e">
        <f ca="1">VLOOKUP(D2989,$F$1081:$I$4183,4,FALSE)+COUNTIF(E$1081:E2988,E2989)</f>
        <v>#N/A</v>
      </c>
      <c r="K2989" s="1"/>
      <c r="L2989" s="156"/>
      <c r="M2989" s="1"/>
      <c r="N2989" s="1"/>
      <c r="O2989" s="1"/>
    </row>
    <row r="2990" spans="1:15" hidden="1">
      <c r="A2990" s="1"/>
      <c r="B2990" s="197" t="e">
        <f t="shared" ca="1" si="262"/>
        <v>#N/A</v>
      </c>
      <c r="C2990" s="498">
        <v>924</v>
      </c>
      <c r="D2990" s="41" t="e">
        <f>IF($C$1077&gt;0,VLOOKUP($C2990,ENTI!$AL$4:AN$1003,3,FALSE),"")</f>
        <v>#N/A</v>
      </c>
      <c r="E2990" s="41" t="str">
        <f t="shared" si="261"/>
        <v/>
      </c>
      <c r="F2990" s="200"/>
      <c r="G2990" s="178" t="e">
        <f>IF($C$1077&gt;0,VLOOKUP($C2990,ENTI!$AL$4:AP$1003,5,FALSE),"")</f>
        <v>#N/A</v>
      </c>
      <c r="H2990" s="179" t="e">
        <f>IF($C$1077&gt;0,VLOOKUP($C2990,ENTI!$AL$4:AQ$1003,6,FALSE),"")</f>
        <v>#N/A</v>
      </c>
      <c r="I2990" s="187"/>
      <c r="J2990" s="140" t="e">
        <f ca="1">VLOOKUP(D2990,$F$1081:$I$4183,4,FALSE)+COUNTIF(E$1081:E2989,E2990)</f>
        <v>#N/A</v>
      </c>
      <c r="K2990" s="1"/>
      <c r="L2990" s="156"/>
      <c r="M2990" s="1"/>
      <c r="N2990" s="1"/>
      <c r="O2990" s="1"/>
    </row>
    <row r="2991" spans="1:15" hidden="1">
      <c r="A2991" s="1"/>
      <c r="B2991" s="197" t="e">
        <f t="shared" ca="1" si="262"/>
        <v>#N/A</v>
      </c>
      <c r="C2991" s="498">
        <v>925</v>
      </c>
      <c r="D2991" s="41" t="e">
        <f>IF($C$1077&gt;0,VLOOKUP($C2991,ENTI!$AL$4:AN$1003,3,FALSE),"")</f>
        <v>#N/A</v>
      </c>
      <c r="E2991" s="41" t="str">
        <f t="shared" si="261"/>
        <v/>
      </c>
      <c r="F2991" s="200"/>
      <c r="G2991" s="178" t="e">
        <f>IF($C$1077&gt;0,VLOOKUP($C2991,ENTI!$AL$4:AP$1003,5,FALSE),"")</f>
        <v>#N/A</v>
      </c>
      <c r="H2991" s="179" t="e">
        <f>IF($C$1077&gt;0,VLOOKUP($C2991,ENTI!$AL$4:AQ$1003,6,FALSE),"")</f>
        <v>#N/A</v>
      </c>
      <c r="I2991" s="187"/>
      <c r="J2991" s="140" t="e">
        <f ca="1">VLOOKUP(D2991,$F$1081:$I$4183,4,FALSE)+COUNTIF(E$1081:E2990,E2991)</f>
        <v>#N/A</v>
      </c>
      <c r="K2991" s="1"/>
      <c r="L2991" s="156"/>
      <c r="M2991" s="1"/>
      <c r="N2991" s="1"/>
      <c r="O2991" s="1"/>
    </row>
    <row r="2992" spans="1:15" hidden="1">
      <c r="A2992" s="1"/>
      <c r="B2992" s="197" t="e">
        <f t="shared" ca="1" si="262"/>
        <v>#N/A</v>
      </c>
      <c r="C2992" s="498">
        <v>926</v>
      </c>
      <c r="D2992" s="41" t="e">
        <f>IF($C$1077&gt;0,VLOOKUP($C2992,ENTI!$AL$4:AN$1003,3,FALSE),"")</f>
        <v>#N/A</v>
      </c>
      <c r="E2992" s="41" t="str">
        <f t="shared" si="261"/>
        <v/>
      </c>
      <c r="F2992" s="200"/>
      <c r="G2992" s="178" t="e">
        <f>IF($C$1077&gt;0,VLOOKUP($C2992,ENTI!$AL$4:AP$1003,5,FALSE),"")</f>
        <v>#N/A</v>
      </c>
      <c r="H2992" s="179" t="e">
        <f>IF($C$1077&gt;0,VLOOKUP($C2992,ENTI!$AL$4:AQ$1003,6,FALSE),"")</f>
        <v>#N/A</v>
      </c>
      <c r="I2992" s="187"/>
      <c r="J2992" s="140" t="e">
        <f ca="1">VLOOKUP(D2992,$F$1081:$I$4183,4,FALSE)+COUNTIF(E$1081:E2991,E2992)</f>
        <v>#N/A</v>
      </c>
      <c r="K2992" s="1"/>
      <c r="L2992" s="156"/>
      <c r="M2992" s="1"/>
      <c r="N2992" s="1"/>
      <c r="O2992" s="1"/>
    </row>
    <row r="2993" spans="1:15" hidden="1">
      <c r="A2993" s="1"/>
      <c r="B2993" s="197" t="e">
        <f t="shared" ca="1" si="262"/>
        <v>#N/A</v>
      </c>
      <c r="C2993" s="498">
        <v>927</v>
      </c>
      <c r="D2993" s="41" t="e">
        <f>IF($C$1077&gt;0,VLOOKUP($C2993,ENTI!$AL$4:AN$1003,3,FALSE),"")</f>
        <v>#N/A</v>
      </c>
      <c r="E2993" s="41" t="str">
        <f t="shared" si="261"/>
        <v/>
      </c>
      <c r="F2993" s="200"/>
      <c r="G2993" s="178" t="e">
        <f>IF($C$1077&gt;0,VLOOKUP($C2993,ENTI!$AL$4:AP$1003,5,FALSE),"")</f>
        <v>#N/A</v>
      </c>
      <c r="H2993" s="179" t="e">
        <f>IF($C$1077&gt;0,VLOOKUP($C2993,ENTI!$AL$4:AQ$1003,6,FALSE),"")</f>
        <v>#N/A</v>
      </c>
      <c r="I2993" s="187"/>
      <c r="J2993" s="140" t="e">
        <f ca="1">VLOOKUP(D2993,$F$1081:$I$4183,4,FALSE)+COUNTIF(E$1081:E2992,E2993)</f>
        <v>#N/A</v>
      </c>
      <c r="K2993" s="1"/>
      <c r="L2993" s="156"/>
      <c r="M2993" s="1"/>
      <c r="N2993" s="1"/>
      <c r="O2993" s="1"/>
    </row>
    <row r="2994" spans="1:15" hidden="1">
      <c r="A2994" s="1"/>
      <c r="B2994" s="197" t="e">
        <f t="shared" ca="1" si="262"/>
        <v>#N/A</v>
      </c>
      <c r="C2994" s="498">
        <v>928</v>
      </c>
      <c r="D2994" s="41" t="e">
        <f>IF($C$1077&gt;0,VLOOKUP($C2994,ENTI!$AL$4:AN$1003,3,FALSE),"")</f>
        <v>#N/A</v>
      </c>
      <c r="E2994" s="41" t="str">
        <f t="shared" si="261"/>
        <v/>
      </c>
      <c r="F2994" s="200"/>
      <c r="G2994" s="178" t="e">
        <f>IF($C$1077&gt;0,VLOOKUP($C2994,ENTI!$AL$4:AP$1003,5,FALSE),"")</f>
        <v>#N/A</v>
      </c>
      <c r="H2994" s="179" t="e">
        <f>IF($C$1077&gt;0,VLOOKUP($C2994,ENTI!$AL$4:AQ$1003,6,FALSE),"")</f>
        <v>#N/A</v>
      </c>
      <c r="I2994" s="187"/>
      <c r="J2994" s="140" t="e">
        <f ca="1">VLOOKUP(D2994,$F$1081:$I$4183,4,FALSE)+COUNTIF(E$1081:E2993,E2994)</f>
        <v>#N/A</v>
      </c>
      <c r="K2994" s="1"/>
      <c r="L2994" s="156"/>
      <c r="M2994" s="1"/>
      <c r="N2994" s="1"/>
      <c r="O2994" s="1"/>
    </row>
    <row r="2995" spans="1:15" hidden="1">
      <c r="A2995" s="1"/>
      <c r="B2995" s="197" t="e">
        <f t="shared" ca="1" si="262"/>
        <v>#N/A</v>
      </c>
      <c r="C2995" s="498">
        <v>929</v>
      </c>
      <c r="D2995" s="41" t="e">
        <f>IF($C$1077&gt;0,VLOOKUP($C2995,ENTI!$AL$4:AN$1003,3,FALSE),"")</f>
        <v>#N/A</v>
      </c>
      <c r="E2995" s="41" t="str">
        <f t="shared" si="261"/>
        <v/>
      </c>
      <c r="F2995" s="200"/>
      <c r="G2995" s="178" t="e">
        <f>IF($C$1077&gt;0,VLOOKUP($C2995,ENTI!$AL$4:AP$1003,5,FALSE),"")</f>
        <v>#N/A</v>
      </c>
      <c r="H2995" s="179" t="e">
        <f>IF($C$1077&gt;0,VLOOKUP($C2995,ENTI!$AL$4:AQ$1003,6,FALSE),"")</f>
        <v>#N/A</v>
      </c>
      <c r="I2995" s="187"/>
      <c r="J2995" s="140" t="e">
        <f ca="1">VLOOKUP(D2995,$F$1081:$I$4183,4,FALSE)+COUNTIF(E$1081:E2994,E2995)</f>
        <v>#N/A</v>
      </c>
      <c r="K2995" s="1"/>
      <c r="L2995" s="156"/>
      <c r="M2995" s="1"/>
      <c r="N2995" s="1"/>
      <c r="O2995" s="1"/>
    </row>
    <row r="2996" spans="1:15" hidden="1">
      <c r="A2996" s="1"/>
      <c r="B2996" s="197" t="e">
        <f t="shared" ca="1" si="262"/>
        <v>#N/A</v>
      </c>
      <c r="C2996" s="498">
        <v>930</v>
      </c>
      <c r="D2996" s="41" t="e">
        <f>IF($C$1077&gt;0,VLOOKUP($C2996,ENTI!$AL$4:AN$1003,3,FALSE),"")</f>
        <v>#N/A</v>
      </c>
      <c r="E2996" s="41" t="str">
        <f t="shared" si="261"/>
        <v/>
      </c>
      <c r="F2996" s="200"/>
      <c r="G2996" s="178" t="e">
        <f>IF($C$1077&gt;0,VLOOKUP($C2996,ENTI!$AL$4:AP$1003,5,FALSE),"")</f>
        <v>#N/A</v>
      </c>
      <c r="H2996" s="179" t="e">
        <f>IF($C$1077&gt;0,VLOOKUP($C2996,ENTI!$AL$4:AQ$1003,6,FALSE),"")</f>
        <v>#N/A</v>
      </c>
      <c r="I2996" s="187"/>
      <c r="J2996" s="140" t="e">
        <f ca="1">VLOOKUP(D2996,$F$1081:$I$4183,4,FALSE)+COUNTIF(E$1081:E2995,E2996)</f>
        <v>#N/A</v>
      </c>
      <c r="K2996" s="1"/>
      <c r="L2996" s="156"/>
      <c r="M2996" s="1"/>
      <c r="N2996" s="1"/>
      <c r="O2996" s="1"/>
    </row>
    <row r="2997" spans="1:15" hidden="1">
      <c r="A2997" s="1"/>
      <c r="B2997" s="197" t="e">
        <f t="shared" ca="1" si="262"/>
        <v>#N/A</v>
      </c>
      <c r="C2997" s="498">
        <v>931</v>
      </c>
      <c r="D2997" s="41" t="e">
        <f>IF($C$1077&gt;0,VLOOKUP($C2997,ENTI!$AL$4:AN$1003,3,FALSE),"")</f>
        <v>#N/A</v>
      </c>
      <c r="E2997" s="41" t="str">
        <f t="shared" si="261"/>
        <v/>
      </c>
      <c r="F2997" s="200"/>
      <c r="G2997" s="178" t="e">
        <f>IF($C$1077&gt;0,VLOOKUP($C2997,ENTI!$AL$4:AP$1003,5,FALSE),"")</f>
        <v>#N/A</v>
      </c>
      <c r="H2997" s="179" t="e">
        <f>IF($C$1077&gt;0,VLOOKUP($C2997,ENTI!$AL$4:AQ$1003,6,FALSE),"")</f>
        <v>#N/A</v>
      </c>
      <c r="I2997" s="187"/>
      <c r="J2997" s="140" t="e">
        <f ca="1">VLOOKUP(D2997,$F$1081:$I$4183,4,FALSE)+COUNTIF(E$1081:E2996,E2997)</f>
        <v>#N/A</v>
      </c>
      <c r="K2997" s="1"/>
      <c r="L2997" s="156"/>
      <c r="M2997" s="1"/>
      <c r="N2997" s="1"/>
      <c r="O2997" s="1"/>
    </row>
    <row r="2998" spans="1:15" hidden="1">
      <c r="A2998" s="1"/>
      <c r="B2998" s="197" t="e">
        <f t="shared" ca="1" si="262"/>
        <v>#N/A</v>
      </c>
      <c r="C2998" s="498">
        <v>932</v>
      </c>
      <c r="D2998" s="41" t="e">
        <f>IF($C$1077&gt;0,VLOOKUP($C2998,ENTI!$AL$4:AN$1003,3,FALSE),"")</f>
        <v>#N/A</v>
      </c>
      <c r="E2998" s="41" t="str">
        <f t="shared" si="261"/>
        <v/>
      </c>
      <c r="F2998" s="200"/>
      <c r="G2998" s="178" t="e">
        <f>IF($C$1077&gt;0,VLOOKUP($C2998,ENTI!$AL$4:AP$1003,5,FALSE),"")</f>
        <v>#N/A</v>
      </c>
      <c r="H2998" s="179" t="e">
        <f>IF($C$1077&gt;0,VLOOKUP($C2998,ENTI!$AL$4:AQ$1003,6,FALSE),"")</f>
        <v>#N/A</v>
      </c>
      <c r="I2998" s="187"/>
      <c r="J2998" s="140" t="e">
        <f ca="1">VLOOKUP(D2998,$F$1081:$I$4183,4,FALSE)+COUNTIF(E$1081:E2997,E2998)</f>
        <v>#N/A</v>
      </c>
      <c r="K2998" s="1"/>
      <c r="L2998" s="156"/>
      <c r="M2998" s="1"/>
      <c r="N2998" s="1"/>
      <c r="O2998" s="1"/>
    </row>
    <row r="2999" spans="1:15" hidden="1">
      <c r="A2999" s="1"/>
      <c r="B2999" s="197" t="e">
        <f t="shared" ca="1" si="262"/>
        <v>#N/A</v>
      </c>
      <c r="C2999" s="498">
        <v>933</v>
      </c>
      <c r="D2999" s="41" t="e">
        <f>IF($C$1077&gt;0,VLOOKUP($C2999,ENTI!$AL$4:AN$1003,3,FALSE),"")</f>
        <v>#N/A</v>
      </c>
      <c r="E2999" s="41" t="str">
        <f t="shared" si="261"/>
        <v/>
      </c>
      <c r="F2999" s="200"/>
      <c r="G2999" s="178" t="e">
        <f>IF($C$1077&gt;0,VLOOKUP($C2999,ENTI!$AL$4:AP$1003,5,FALSE),"")</f>
        <v>#N/A</v>
      </c>
      <c r="H2999" s="179" t="e">
        <f>IF($C$1077&gt;0,VLOOKUP($C2999,ENTI!$AL$4:AQ$1003,6,FALSE),"")</f>
        <v>#N/A</v>
      </c>
      <c r="I2999" s="187"/>
      <c r="J2999" s="140" t="e">
        <f ca="1">VLOOKUP(D2999,$F$1081:$I$4183,4,FALSE)+COUNTIF(E$1081:E2998,E2999)</f>
        <v>#N/A</v>
      </c>
      <c r="K2999" s="1"/>
      <c r="L2999" s="156"/>
      <c r="M2999" s="1"/>
      <c r="N2999" s="1"/>
      <c r="O2999" s="1"/>
    </row>
    <row r="3000" spans="1:15" hidden="1">
      <c r="A3000" s="1"/>
      <c r="B3000" s="197" t="e">
        <f t="shared" ca="1" si="262"/>
        <v>#N/A</v>
      </c>
      <c r="C3000" s="498">
        <v>934</v>
      </c>
      <c r="D3000" s="41" t="e">
        <f>IF($C$1077&gt;0,VLOOKUP($C3000,ENTI!$AL$4:AN$1003,3,FALSE),"")</f>
        <v>#N/A</v>
      </c>
      <c r="E3000" s="41" t="str">
        <f t="shared" si="261"/>
        <v/>
      </c>
      <c r="F3000" s="200"/>
      <c r="G3000" s="178" t="e">
        <f>IF($C$1077&gt;0,VLOOKUP($C3000,ENTI!$AL$4:AP$1003,5,FALSE),"")</f>
        <v>#N/A</v>
      </c>
      <c r="H3000" s="179" t="e">
        <f>IF($C$1077&gt;0,VLOOKUP($C3000,ENTI!$AL$4:AQ$1003,6,FALSE),"")</f>
        <v>#N/A</v>
      </c>
      <c r="I3000" s="187"/>
      <c r="J3000" s="140" t="e">
        <f ca="1">VLOOKUP(D3000,$F$1081:$I$4183,4,FALSE)+COUNTIF(E$1081:E2999,E3000)</f>
        <v>#N/A</v>
      </c>
      <c r="K3000" s="1"/>
      <c r="L3000" s="156"/>
      <c r="M3000" s="1"/>
      <c r="N3000" s="1"/>
      <c r="O3000" s="1"/>
    </row>
    <row r="3001" spans="1:15" hidden="1">
      <c r="A3001" s="1"/>
      <c r="B3001" s="197" t="e">
        <f t="shared" ca="1" si="262"/>
        <v>#N/A</v>
      </c>
      <c r="C3001" s="498">
        <v>935</v>
      </c>
      <c r="D3001" s="41" t="e">
        <f>IF($C$1077&gt;0,VLOOKUP($C3001,ENTI!$AL$4:AN$1003,3,FALSE),"")</f>
        <v>#N/A</v>
      </c>
      <c r="E3001" s="41" t="str">
        <f t="shared" si="261"/>
        <v/>
      </c>
      <c r="F3001" s="200"/>
      <c r="G3001" s="178" t="e">
        <f>IF($C$1077&gt;0,VLOOKUP($C3001,ENTI!$AL$4:AP$1003,5,FALSE),"")</f>
        <v>#N/A</v>
      </c>
      <c r="H3001" s="179" t="e">
        <f>IF($C$1077&gt;0,VLOOKUP($C3001,ENTI!$AL$4:AQ$1003,6,FALSE),"")</f>
        <v>#N/A</v>
      </c>
      <c r="I3001" s="187"/>
      <c r="J3001" s="140" t="e">
        <f ca="1">VLOOKUP(D3001,$F$1081:$I$4183,4,FALSE)+COUNTIF(E$1081:E3000,E3001)</f>
        <v>#N/A</v>
      </c>
      <c r="K3001" s="1"/>
      <c r="L3001" s="156"/>
      <c r="M3001" s="1"/>
      <c r="N3001" s="1"/>
      <c r="O3001" s="1"/>
    </row>
    <row r="3002" spans="1:15" hidden="1">
      <c r="A3002" s="1"/>
      <c r="B3002" s="197" t="e">
        <f t="shared" ca="1" si="262"/>
        <v>#N/A</v>
      </c>
      <c r="C3002" s="498">
        <v>936</v>
      </c>
      <c r="D3002" s="41" t="e">
        <f>IF($C$1077&gt;0,VLOOKUP($C3002,ENTI!$AL$4:AN$1003,3,FALSE),"")</f>
        <v>#N/A</v>
      </c>
      <c r="E3002" s="41" t="str">
        <f t="shared" si="261"/>
        <v/>
      </c>
      <c r="F3002" s="200"/>
      <c r="G3002" s="178" t="e">
        <f>IF($C$1077&gt;0,VLOOKUP($C3002,ENTI!$AL$4:AP$1003,5,FALSE),"")</f>
        <v>#N/A</v>
      </c>
      <c r="H3002" s="179" t="e">
        <f>IF($C$1077&gt;0,VLOOKUP($C3002,ENTI!$AL$4:AQ$1003,6,FALSE),"")</f>
        <v>#N/A</v>
      </c>
      <c r="I3002" s="187"/>
      <c r="J3002" s="140" t="e">
        <f ca="1">VLOOKUP(D3002,$F$1081:$I$4183,4,FALSE)+COUNTIF(E$1081:E3001,E3002)</f>
        <v>#N/A</v>
      </c>
      <c r="K3002" s="1"/>
      <c r="L3002" s="156"/>
      <c r="M3002" s="1"/>
      <c r="N3002" s="1"/>
      <c r="O3002" s="1"/>
    </row>
    <row r="3003" spans="1:15" hidden="1">
      <c r="A3003" s="1"/>
      <c r="B3003" s="197" t="e">
        <f t="shared" ca="1" si="262"/>
        <v>#N/A</v>
      </c>
      <c r="C3003" s="498">
        <v>937</v>
      </c>
      <c r="D3003" s="41" t="e">
        <f>IF($C$1077&gt;0,VLOOKUP($C3003,ENTI!$AL$4:AN$1003,3,FALSE),"")</f>
        <v>#N/A</v>
      </c>
      <c r="E3003" s="41" t="str">
        <f t="shared" si="261"/>
        <v/>
      </c>
      <c r="F3003" s="200"/>
      <c r="G3003" s="178" t="e">
        <f>IF($C$1077&gt;0,VLOOKUP($C3003,ENTI!$AL$4:AP$1003,5,FALSE),"")</f>
        <v>#N/A</v>
      </c>
      <c r="H3003" s="179" t="e">
        <f>IF($C$1077&gt;0,VLOOKUP($C3003,ENTI!$AL$4:AQ$1003,6,FALSE),"")</f>
        <v>#N/A</v>
      </c>
      <c r="I3003" s="187"/>
      <c r="J3003" s="140" t="e">
        <f ca="1">VLOOKUP(D3003,$F$1081:$I$4183,4,FALSE)+COUNTIF(E$1081:E3002,E3003)</f>
        <v>#N/A</v>
      </c>
      <c r="K3003" s="1"/>
      <c r="L3003" s="156"/>
      <c r="M3003" s="1"/>
      <c r="N3003" s="1"/>
      <c r="O3003" s="1"/>
    </row>
    <row r="3004" spans="1:15" hidden="1">
      <c r="A3004" s="1"/>
      <c r="B3004" s="197" t="e">
        <f t="shared" ca="1" si="262"/>
        <v>#N/A</v>
      </c>
      <c r="C3004" s="498">
        <v>938</v>
      </c>
      <c r="D3004" s="41" t="e">
        <f>IF($C$1077&gt;0,VLOOKUP($C3004,ENTI!$AL$4:AN$1003,3,FALSE),"")</f>
        <v>#N/A</v>
      </c>
      <c r="E3004" s="41" t="str">
        <f t="shared" si="261"/>
        <v/>
      </c>
      <c r="F3004" s="200"/>
      <c r="G3004" s="178" t="e">
        <f>IF($C$1077&gt;0,VLOOKUP($C3004,ENTI!$AL$4:AP$1003,5,FALSE),"")</f>
        <v>#N/A</v>
      </c>
      <c r="H3004" s="179" t="e">
        <f>IF($C$1077&gt;0,VLOOKUP($C3004,ENTI!$AL$4:AQ$1003,6,FALSE),"")</f>
        <v>#N/A</v>
      </c>
      <c r="I3004" s="187"/>
      <c r="J3004" s="140" t="e">
        <f ca="1">VLOOKUP(D3004,$F$1081:$I$4183,4,FALSE)+COUNTIF(E$1081:E3003,E3004)</f>
        <v>#N/A</v>
      </c>
      <c r="K3004" s="1"/>
      <c r="L3004" s="156"/>
      <c r="M3004" s="1"/>
      <c r="N3004" s="1"/>
      <c r="O3004" s="1"/>
    </row>
    <row r="3005" spans="1:15" hidden="1">
      <c r="A3005" s="1"/>
      <c r="B3005" s="197" t="e">
        <f t="shared" ca="1" si="262"/>
        <v>#N/A</v>
      </c>
      <c r="C3005" s="498">
        <v>939</v>
      </c>
      <c r="D3005" s="41" t="e">
        <f>IF($C$1077&gt;0,VLOOKUP($C3005,ENTI!$AL$4:AN$1003,3,FALSE),"")</f>
        <v>#N/A</v>
      </c>
      <c r="E3005" s="41" t="str">
        <f t="shared" si="261"/>
        <v/>
      </c>
      <c r="F3005" s="200"/>
      <c r="G3005" s="178" t="e">
        <f>IF($C$1077&gt;0,VLOOKUP($C3005,ENTI!$AL$4:AP$1003,5,FALSE),"")</f>
        <v>#N/A</v>
      </c>
      <c r="H3005" s="179" t="e">
        <f>IF($C$1077&gt;0,VLOOKUP($C3005,ENTI!$AL$4:AQ$1003,6,FALSE),"")</f>
        <v>#N/A</v>
      </c>
      <c r="I3005" s="187"/>
      <c r="J3005" s="140" t="e">
        <f ca="1">VLOOKUP(D3005,$F$1081:$I$4183,4,FALSE)+COUNTIF(E$1081:E3004,E3005)</f>
        <v>#N/A</v>
      </c>
      <c r="K3005" s="1"/>
      <c r="L3005" s="156"/>
      <c r="M3005" s="1"/>
      <c r="N3005" s="1"/>
      <c r="O3005" s="1"/>
    </row>
    <row r="3006" spans="1:15" hidden="1">
      <c r="A3006" s="1"/>
      <c r="B3006" s="197" t="e">
        <f t="shared" ca="1" si="262"/>
        <v>#N/A</v>
      </c>
      <c r="C3006" s="498">
        <v>940</v>
      </c>
      <c r="D3006" s="41" t="e">
        <f>IF($C$1077&gt;0,VLOOKUP($C3006,ENTI!$AL$4:AN$1003,3,FALSE),"")</f>
        <v>#N/A</v>
      </c>
      <c r="E3006" s="41" t="str">
        <f t="shared" si="261"/>
        <v/>
      </c>
      <c r="F3006" s="200"/>
      <c r="G3006" s="178" t="e">
        <f>IF($C$1077&gt;0,VLOOKUP($C3006,ENTI!$AL$4:AP$1003,5,FALSE),"")</f>
        <v>#N/A</v>
      </c>
      <c r="H3006" s="179" t="e">
        <f>IF($C$1077&gt;0,VLOOKUP($C3006,ENTI!$AL$4:AQ$1003,6,FALSE),"")</f>
        <v>#N/A</v>
      </c>
      <c r="I3006" s="187"/>
      <c r="J3006" s="140" t="e">
        <f ca="1">VLOOKUP(D3006,$F$1081:$I$4183,4,FALSE)+COUNTIF(E$1081:E3005,E3006)</f>
        <v>#N/A</v>
      </c>
      <c r="K3006" s="1"/>
      <c r="L3006" s="156"/>
      <c r="M3006" s="1"/>
      <c r="N3006" s="1"/>
      <c r="O3006" s="1"/>
    </row>
    <row r="3007" spans="1:15" hidden="1">
      <c r="A3007" s="1"/>
      <c r="B3007" s="197" t="e">
        <f t="shared" ca="1" si="262"/>
        <v>#N/A</v>
      </c>
      <c r="C3007" s="498">
        <v>941</v>
      </c>
      <c r="D3007" s="41" t="e">
        <f>IF($C$1077&gt;0,VLOOKUP($C3007,ENTI!$AL$4:AN$1003,3,FALSE),"")</f>
        <v>#N/A</v>
      </c>
      <c r="E3007" s="41" t="str">
        <f t="shared" si="261"/>
        <v/>
      </c>
      <c r="F3007" s="200"/>
      <c r="G3007" s="178" t="e">
        <f>IF($C$1077&gt;0,VLOOKUP($C3007,ENTI!$AL$4:AP$1003,5,FALSE),"")</f>
        <v>#N/A</v>
      </c>
      <c r="H3007" s="179" t="e">
        <f>IF($C$1077&gt;0,VLOOKUP($C3007,ENTI!$AL$4:AQ$1003,6,FALSE),"")</f>
        <v>#N/A</v>
      </c>
      <c r="I3007" s="187"/>
      <c r="J3007" s="140" t="e">
        <f ca="1">VLOOKUP(D3007,$F$1081:$I$4183,4,FALSE)+COUNTIF(E$1081:E3006,E3007)</f>
        <v>#N/A</v>
      </c>
      <c r="K3007" s="1"/>
      <c r="L3007" s="156"/>
      <c r="M3007" s="1"/>
      <c r="N3007" s="1"/>
      <c r="O3007" s="1"/>
    </row>
    <row r="3008" spans="1:15" hidden="1">
      <c r="A3008" s="1"/>
      <c r="B3008" s="197" t="e">
        <f t="shared" ca="1" si="262"/>
        <v>#N/A</v>
      </c>
      <c r="C3008" s="498">
        <v>942</v>
      </c>
      <c r="D3008" s="41" t="e">
        <f>IF($C$1077&gt;0,VLOOKUP($C3008,ENTI!$AL$4:AN$1003,3,FALSE),"")</f>
        <v>#N/A</v>
      </c>
      <c r="E3008" s="41" t="str">
        <f t="shared" si="261"/>
        <v/>
      </c>
      <c r="F3008" s="200"/>
      <c r="G3008" s="178" t="e">
        <f>IF($C$1077&gt;0,VLOOKUP($C3008,ENTI!$AL$4:AP$1003,5,FALSE),"")</f>
        <v>#N/A</v>
      </c>
      <c r="H3008" s="179" t="e">
        <f>IF($C$1077&gt;0,VLOOKUP($C3008,ENTI!$AL$4:AQ$1003,6,FALSE),"")</f>
        <v>#N/A</v>
      </c>
      <c r="I3008" s="187"/>
      <c r="J3008" s="140" t="e">
        <f ca="1">VLOOKUP(D3008,$F$1081:$I$4183,4,FALSE)+COUNTIF(E$1081:E3007,E3008)</f>
        <v>#N/A</v>
      </c>
      <c r="K3008" s="1"/>
      <c r="L3008" s="156"/>
      <c r="M3008" s="1"/>
      <c r="N3008" s="1"/>
      <c r="O3008" s="1"/>
    </row>
    <row r="3009" spans="1:15" hidden="1">
      <c r="A3009" s="1"/>
      <c r="B3009" s="197" t="e">
        <f t="shared" ca="1" si="262"/>
        <v>#N/A</v>
      </c>
      <c r="C3009" s="498">
        <v>943</v>
      </c>
      <c r="D3009" s="41" t="e">
        <f>IF($C$1077&gt;0,VLOOKUP($C3009,ENTI!$AL$4:AN$1003,3,FALSE),"")</f>
        <v>#N/A</v>
      </c>
      <c r="E3009" s="41" t="str">
        <f t="shared" si="261"/>
        <v/>
      </c>
      <c r="F3009" s="200"/>
      <c r="G3009" s="178" t="e">
        <f>IF($C$1077&gt;0,VLOOKUP($C3009,ENTI!$AL$4:AP$1003,5,FALSE),"")</f>
        <v>#N/A</v>
      </c>
      <c r="H3009" s="179" t="e">
        <f>IF($C$1077&gt;0,VLOOKUP($C3009,ENTI!$AL$4:AQ$1003,6,FALSE),"")</f>
        <v>#N/A</v>
      </c>
      <c r="I3009" s="187"/>
      <c r="J3009" s="140" t="e">
        <f ca="1">VLOOKUP(D3009,$F$1081:$I$4183,4,FALSE)+COUNTIF(E$1081:E3008,E3009)</f>
        <v>#N/A</v>
      </c>
      <c r="K3009" s="1"/>
      <c r="L3009" s="156"/>
      <c r="M3009" s="1"/>
      <c r="N3009" s="1"/>
      <c r="O3009" s="1"/>
    </row>
    <row r="3010" spans="1:15" hidden="1">
      <c r="A3010" s="1"/>
      <c r="B3010" s="197" t="e">
        <f t="shared" ca="1" si="262"/>
        <v>#N/A</v>
      </c>
      <c r="C3010" s="498">
        <v>944</v>
      </c>
      <c r="D3010" s="41" t="e">
        <f>IF($C$1077&gt;0,VLOOKUP($C3010,ENTI!$AL$4:AN$1003,3,FALSE),"")</f>
        <v>#N/A</v>
      </c>
      <c r="E3010" s="41" t="str">
        <f t="shared" si="261"/>
        <v/>
      </c>
      <c r="F3010" s="200"/>
      <c r="G3010" s="178" t="e">
        <f>IF($C$1077&gt;0,VLOOKUP($C3010,ENTI!$AL$4:AP$1003,5,FALSE),"")</f>
        <v>#N/A</v>
      </c>
      <c r="H3010" s="179" t="e">
        <f>IF($C$1077&gt;0,VLOOKUP($C3010,ENTI!$AL$4:AQ$1003,6,FALSE),"")</f>
        <v>#N/A</v>
      </c>
      <c r="I3010" s="187"/>
      <c r="J3010" s="140" t="e">
        <f ca="1">VLOOKUP(D3010,$F$1081:$I$4183,4,FALSE)+COUNTIF(E$1081:E3009,E3010)</f>
        <v>#N/A</v>
      </c>
      <c r="K3010" s="1"/>
      <c r="L3010" s="156"/>
      <c r="M3010" s="1"/>
      <c r="N3010" s="1"/>
      <c r="O3010" s="1"/>
    </row>
    <row r="3011" spans="1:15" hidden="1">
      <c r="A3011" s="1"/>
      <c r="B3011" s="197" t="e">
        <f t="shared" ca="1" si="262"/>
        <v>#N/A</v>
      </c>
      <c r="C3011" s="498">
        <v>945</v>
      </c>
      <c r="D3011" s="41" t="e">
        <f>IF($C$1077&gt;0,VLOOKUP($C3011,ENTI!$AL$4:AN$1003,3,FALSE),"")</f>
        <v>#N/A</v>
      </c>
      <c r="E3011" s="41" t="str">
        <f t="shared" si="261"/>
        <v/>
      </c>
      <c r="F3011" s="200"/>
      <c r="G3011" s="178" t="e">
        <f>IF($C$1077&gt;0,VLOOKUP($C3011,ENTI!$AL$4:AP$1003,5,FALSE),"")</f>
        <v>#N/A</v>
      </c>
      <c r="H3011" s="179" t="e">
        <f>IF($C$1077&gt;0,VLOOKUP($C3011,ENTI!$AL$4:AQ$1003,6,FALSE),"")</f>
        <v>#N/A</v>
      </c>
      <c r="I3011" s="187"/>
      <c r="J3011" s="140" t="e">
        <f ca="1">VLOOKUP(D3011,$F$1081:$I$4183,4,FALSE)+COUNTIF(E$1081:E3010,E3011)</f>
        <v>#N/A</v>
      </c>
      <c r="K3011" s="1"/>
      <c r="L3011" s="156"/>
      <c r="M3011" s="1"/>
      <c r="N3011" s="1"/>
      <c r="O3011" s="1"/>
    </row>
    <row r="3012" spans="1:15" hidden="1">
      <c r="A3012" s="1"/>
      <c r="B3012" s="197" t="e">
        <f t="shared" ca="1" si="262"/>
        <v>#N/A</v>
      </c>
      <c r="C3012" s="498">
        <v>946</v>
      </c>
      <c r="D3012" s="41" t="e">
        <f>IF($C$1077&gt;0,VLOOKUP($C3012,ENTI!$AL$4:AN$1003,3,FALSE),"")</f>
        <v>#N/A</v>
      </c>
      <c r="E3012" s="41" t="str">
        <f t="shared" si="261"/>
        <v/>
      </c>
      <c r="F3012" s="200"/>
      <c r="G3012" s="178" t="e">
        <f>IF($C$1077&gt;0,VLOOKUP($C3012,ENTI!$AL$4:AP$1003,5,FALSE),"")</f>
        <v>#N/A</v>
      </c>
      <c r="H3012" s="179" t="e">
        <f>IF($C$1077&gt;0,VLOOKUP($C3012,ENTI!$AL$4:AQ$1003,6,FALSE),"")</f>
        <v>#N/A</v>
      </c>
      <c r="I3012" s="187"/>
      <c r="J3012" s="140" t="e">
        <f ca="1">VLOOKUP(D3012,$F$1081:$I$4183,4,FALSE)+COUNTIF(E$1081:E3011,E3012)</f>
        <v>#N/A</v>
      </c>
      <c r="K3012" s="1"/>
      <c r="L3012" s="156"/>
      <c r="M3012" s="1"/>
      <c r="N3012" s="1"/>
      <c r="O3012" s="1"/>
    </row>
    <row r="3013" spans="1:15" hidden="1">
      <c r="A3013" s="1"/>
      <c r="B3013" s="197" t="e">
        <f t="shared" ca="1" si="262"/>
        <v>#N/A</v>
      </c>
      <c r="C3013" s="498">
        <v>947</v>
      </c>
      <c r="D3013" s="41" t="e">
        <f>IF($C$1077&gt;0,VLOOKUP($C3013,ENTI!$AL$4:AN$1003,3,FALSE),"")</f>
        <v>#N/A</v>
      </c>
      <c r="E3013" s="41" t="str">
        <f t="shared" si="261"/>
        <v/>
      </c>
      <c r="F3013" s="200"/>
      <c r="G3013" s="178" t="e">
        <f>IF($C$1077&gt;0,VLOOKUP($C3013,ENTI!$AL$4:AP$1003,5,FALSE),"")</f>
        <v>#N/A</v>
      </c>
      <c r="H3013" s="179" t="e">
        <f>IF($C$1077&gt;0,VLOOKUP($C3013,ENTI!$AL$4:AQ$1003,6,FALSE),"")</f>
        <v>#N/A</v>
      </c>
      <c r="I3013" s="187"/>
      <c r="J3013" s="140" t="e">
        <f ca="1">VLOOKUP(D3013,$F$1081:$I$4183,4,FALSE)+COUNTIF(E$1081:E3012,E3013)</f>
        <v>#N/A</v>
      </c>
      <c r="K3013" s="1"/>
      <c r="L3013" s="156"/>
      <c r="M3013" s="1"/>
      <c r="N3013" s="1"/>
      <c r="O3013" s="1"/>
    </row>
    <row r="3014" spans="1:15" hidden="1">
      <c r="A3014" s="1"/>
      <c r="B3014" s="197" t="e">
        <f t="shared" ca="1" si="262"/>
        <v>#N/A</v>
      </c>
      <c r="C3014" s="498">
        <v>948</v>
      </c>
      <c r="D3014" s="41" t="e">
        <f>IF($C$1077&gt;0,VLOOKUP($C3014,ENTI!$AL$4:AN$1003,3,FALSE),"")</f>
        <v>#N/A</v>
      </c>
      <c r="E3014" s="41" t="str">
        <f t="shared" si="261"/>
        <v/>
      </c>
      <c r="F3014" s="200"/>
      <c r="G3014" s="178" t="e">
        <f>IF($C$1077&gt;0,VLOOKUP($C3014,ENTI!$AL$4:AP$1003,5,FALSE),"")</f>
        <v>#N/A</v>
      </c>
      <c r="H3014" s="179" t="e">
        <f>IF($C$1077&gt;0,VLOOKUP($C3014,ENTI!$AL$4:AQ$1003,6,FALSE),"")</f>
        <v>#N/A</v>
      </c>
      <c r="I3014" s="187"/>
      <c r="J3014" s="140" t="e">
        <f ca="1">VLOOKUP(D3014,$F$1081:$I$4183,4,FALSE)+COUNTIF(E$1081:E3013,E3014)</f>
        <v>#N/A</v>
      </c>
      <c r="K3014" s="1"/>
      <c r="L3014" s="156"/>
      <c r="M3014" s="1"/>
      <c r="N3014" s="1"/>
      <c r="O3014" s="1"/>
    </row>
    <row r="3015" spans="1:15" hidden="1">
      <c r="A3015" s="1"/>
      <c r="B3015" s="197" t="e">
        <f t="shared" ca="1" si="262"/>
        <v>#N/A</v>
      </c>
      <c r="C3015" s="498">
        <v>949</v>
      </c>
      <c r="D3015" s="41" t="e">
        <f>IF($C$1077&gt;0,VLOOKUP($C3015,ENTI!$AL$4:AN$1003,3,FALSE),"")</f>
        <v>#N/A</v>
      </c>
      <c r="E3015" s="41" t="str">
        <f t="shared" si="261"/>
        <v/>
      </c>
      <c r="F3015" s="200"/>
      <c r="G3015" s="178" t="e">
        <f>IF($C$1077&gt;0,VLOOKUP($C3015,ENTI!$AL$4:AP$1003,5,FALSE),"")</f>
        <v>#N/A</v>
      </c>
      <c r="H3015" s="179" t="e">
        <f>IF($C$1077&gt;0,VLOOKUP($C3015,ENTI!$AL$4:AQ$1003,6,FALSE),"")</f>
        <v>#N/A</v>
      </c>
      <c r="I3015" s="187"/>
      <c r="J3015" s="140" t="e">
        <f ca="1">VLOOKUP(D3015,$F$1081:$I$4183,4,FALSE)+COUNTIF(E$1081:E3014,E3015)</f>
        <v>#N/A</v>
      </c>
      <c r="K3015" s="1"/>
      <c r="L3015" s="156"/>
      <c r="M3015" s="1"/>
      <c r="N3015" s="1"/>
      <c r="O3015" s="1"/>
    </row>
    <row r="3016" spans="1:15" hidden="1">
      <c r="A3016" s="1"/>
      <c r="B3016" s="197" t="e">
        <f t="shared" ca="1" si="262"/>
        <v>#N/A</v>
      </c>
      <c r="C3016" s="498">
        <v>950</v>
      </c>
      <c r="D3016" s="41" t="e">
        <f>IF($C$1077&gt;0,VLOOKUP($C3016,ENTI!$AL$4:AN$1003,3,FALSE),"")</f>
        <v>#N/A</v>
      </c>
      <c r="E3016" s="41" t="str">
        <f t="shared" si="261"/>
        <v/>
      </c>
      <c r="F3016" s="200"/>
      <c r="G3016" s="178" t="e">
        <f>IF($C$1077&gt;0,VLOOKUP($C3016,ENTI!$AL$4:AP$1003,5,FALSE),"")</f>
        <v>#N/A</v>
      </c>
      <c r="H3016" s="179" t="e">
        <f>IF($C$1077&gt;0,VLOOKUP($C3016,ENTI!$AL$4:AQ$1003,6,FALSE),"")</f>
        <v>#N/A</v>
      </c>
      <c r="I3016" s="187"/>
      <c r="J3016" s="140" t="e">
        <f ca="1">VLOOKUP(D3016,$F$1081:$I$4183,4,FALSE)+COUNTIF(E$1081:E3015,E3016)</f>
        <v>#N/A</v>
      </c>
      <c r="K3016" s="1"/>
      <c r="L3016" s="156"/>
      <c r="M3016" s="1"/>
      <c r="N3016" s="1"/>
      <c r="O3016" s="1"/>
    </row>
    <row r="3017" spans="1:15" hidden="1">
      <c r="A3017" s="1"/>
      <c r="B3017" s="197" t="e">
        <f t="shared" ca="1" si="262"/>
        <v>#N/A</v>
      </c>
      <c r="C3017" s="498">
        <v>951</v>
      </c>
      <c r="D3017" s="41" t="e">
        <f>IF($C$1077&gt;0,VLOOKUP($C3017,ENTI!$AL$4:AN$1003,3,FALSE),"")</f>
        <v>#N/A</v>
      </c>
      <c r="E3017" s="41" t="str">
        <f t="shared" si="261"/>
        <v/>
      </c>
      <c r="F3017" s="200"/>
      <c r="G3017" s="178" t="e">
        <f>IF($C$1077&gt;0,VLOOKUP($C3017,ENTI!$AL$4:AP$1003,5,FALSE),"")</f>
        <v>#N/A</v>
      </c>
      <c r="H3017" s="179" t="e">
        <f>IF($C$1077&gt;0,VLOOKUP($C3017,ENTI!$AL$4:AQ$1003,6,FALSE),"")</f>
        <v>#N/A</v>
      </c>
      <c r="I3017" s="187"/>
      <c r="J3017" s="140" t="e">
        <f ca="1">VLOOKUP(D3017,$F$1081:$I$4183,4,FALSE)+COUNTIF(E$1081:E3016,E3017)</f>
        <v>#N/A</v>
      </c>
      <c r="K3017" s="1"/>
      <c r="L3017" s="156"/>
      <c r="M3017" s="1"/>
      <c r="N3017" s="1"/>
      <c r="O3017" s="1"/>
    </row>
    <row r="3018" spans="1:15" hidden="1">
      <c r="A3018" s="1"/>
      <c r="B3018" s="197" t="e">
        <f t="shared" ca="1" si="262"/>
        <v>#N/A</v>
      </c>
      <c r="C3018" s="498">
        <v>952</v>
      </c>
      <c r="D3018" s="41" t="e">
        <f>IF($C$1077&gt;0,VLOOKUP($C3018,ENTI!$AL$4:AN$1003,3,FALSE),"")</f>
        <v>#N/A</v>
      </c>
      <c r="E3018" s="41" t="str">
        <f t="shared" si="261"/>
        <v/>
      </c>
      <c r="F3018" s="200"/>
      <c r="G3018" s="178" t="e">
        <f>IF($C$1077&gt;0,VLOOKUP($C3018,ENTI!$AL$4:AP$1003,5,FALSE),"")</f>
        <v>#N/A</v>
      </c>
      <c r="H3018" s="179" t="e">
        <f>IF($C$1077&gt;0,VLOOKUP($C3018,ENTI!$AL$4:AQ$1003,6,FALSE),"")</f>
        <v>#N/A</v>
      </c>
      <c r="I3018" s="187"/>
      <c r="J3018" s="140" t="e">
        <f ca="1">VLOOKUP(D3018,$F$1081:$I$4183,4,FALSE)+COUNTIF(E$1081:E3017,E3018)</f>
        <v>#N/A</v>
      </c>
      <c r="K3018" s="1"/>
      <c r="L3018" s="156"/>
      <c r="M3018" s="1"/>
      <c r="N3018" s="1"/>
      <c r="O3018" s="1"/>
    </row>
    <row r="3019" spans="1:15" hidden="1">
      <c r="A3019" s="1"/>
      <c r="B3019" s="197" t="e">
        <f t="shared" ca="1" si="262"/>
        <v>#N/A</v>
      </c>
      <c r="C3019" s="498">
        <v>953</v>
      </c>
      <c r="D3019" s="41" t="e">
        <f>IF($C$1077&gt;0,VLOOKUP($C3019,ENTI!$AL$4:AN$1003,3,FALSE),"")</f>
        <v>#N/A</v>
      </c>
      <c r="E3019" s="41" t="str">
        <f t="shared" si="261"/>
        <v/>
      </c>
      <c r="F3019" s="200"/>
      <c r="G3019" s="178" t="e">
        <f>IF($C$1077&gt;0,VLOOKUP($C3019,ENTI!$AL$4:AP$1003,5,FALSE),"")</f>
        <v>#N/A</v>
      </c>
      <c r="H3019" s="179" t="e">
        <f>IF($C$1077&gt;0,VLOOKUP($C3019,ENTI!$AL$4:AQ$1003,6,FALSE),"")</f>
        <v>#N/A</v>
      </c>
      <c r="I3019" s="187"/>
      <c r="J3019" s="140" t="e">
        <f ca="1">VLOOKUP(D3019,$F$1081:$I$4183,4,FALSE)+COUNTIF(E$1081:E3018,E3019)</f>
        <v>#N/A</v>
      </c>
      <c r="K3019" s="1"/>
      <c r="L3019" s="156"/>
      <c r="M3019" s="1"/>
      <c r="N3019" s="1"/>
      <c r="O3019" s="1"/>
    </row>
    <row r="3020" spans="1:15" hidden="1">
      <c r="A3020" s="1"/>
      <c r="B3020" s="197" t="e">
        <f t="shared" ca="1" si="262"/>
        <v>#N/A</v>
      </c>
      <c r="C3020" s="498">
        <v>954</v>
      </c>
      <c r="D3020" s="41" t="e">
        <f>IF($C$1077&gt;0,VLOOKUP($C3020,ENTI!$AL$4:AN$1003,3,FALSE),"")</f>
        <v>#N/A</v>
      </c>
      <c r="E3020" s="41" t="str">
        <f t="shared" si="261"/>
        <v/>
      </c>
      <c r="F3020" s="200"/>
      <c r="G3020" s="178" t="e">
        <f>IF($C$1077&gt;0,VLOOKUP($C3020,ENTI!$AL$4:AP$1003,5,FALSE),"")</f>
        <v>#N/A</v>
      </c>
      <c r="H3020" s="179" t="e">
        <f>IF($C$1077&gt;0,VLOOKUP($C3020,ENTI!$AL$4:AQ$1003,6,FALSE),"")</f>
        <v>#N/A</v>
      </c>
      <c r="I3020" s="187"/>
      <c r="J3020" s="140" t="e">
        <f ca="1">VLOOKUP(D3020,$F$1081:$I$4183,4,FALSE)+COUNTIF(E$1081:E3019,E3020)</f>
        <v>#N/A</v>
      </c>
      <c r="K3020" s="1"/>
      <c r="L3020" s="156"/>
      <c r="M3020" s="1"/>
      <c r="N3020" s="1"/>
      <c r="O3020" s="1"/>
    </row>
    <row r="3021" spans="1:15" hidden="1">
      <c r="A3021" s="1"/>
      <c r="B3021" s="197" t="e">
        <f t="shared" ca="1" si="262"/>
        <v>#N/A</v>
      </c>
      <c r="C3021" s="498">
        <v>955</v>
      </c>
      <c r="D3021" s="41" t="e">
        <f>IF($C$1077&gt;0,VLOOKUP($C3021,ENTI!$AL$4:AN$1003,3,FALSE),"")</f>
        <v>#N/A</v>
      </c>
      <c r="E3021" s="41" t="str">
        <f t="shared" si="261"/>
        <v/>
      </c>
      <c r="F3021" s="200"/>
      <c r="G3021" s="178" t="e">
        <f>IF($C$1077&gt;0,VLOOKUP($C3021,ENTI!$AL$4:AP$1003,5,FALSE),"")</f>
        <v>#N/A</v>
      </c>
      <c r="H3021" s="179" t="e">
        <f>IF($C$1077&gt;0,VLOOKUP($C3021,ENTI!$AL$4:AQ$1003,6,FALSE),"")</f>
        <v>#N/A</v>
      </c>
      <c r="I3021" s="187"/>
      <c r="J3021" s="140" t="e">
        <f ca="1">VLOOKUP(D3021,$F$1081:$I$4183,4,FALSE)+COUNTIF(E$1081:E3020,E3021)</f>
        <v>#N/A</v>
      </c>
      <c r="K3021" s="1"/>
      <c r="L3021" s="156"/>
      <c r="M3021" s="1"/>
      <c r="N3021" s="1"/>
      <c r="O3021" s="1"/>
    </row>
    <row r="3022" spans="1:15" hidden="1">
      <c r="A3022" s="1"/>
      <c r="B3022" s="197" t="e">
        <f t="shared" ca="1" si="262"/>
        <v>#N/A</v>
      </c>
      <c r="C3022" s="498">
        <v>956</v>
      </c>
      <c r="D3022" s="41" t="e">
        <f>IF($C$1077&gt;0,VLOOKUP($C3022,ENTI!$AL$4:AN$1003,3,FALSE),"")</f>
        <v>#N/A</v>
      </c>
      <c r="E3022" s="41" t="str">
        <f t="shared" si="261"/>
        <v/>
      </c>
      <c r="F3022" s="200"/>
      <c r="G3022" s="178" t="e">
        <f>IF($C$1077&gt;0,VLOOKUP($C3022,ENTI!$AL$4:AP$1003,5,FALSE),"")</f>
        <v>#N/A</v>
      </c>
      <c r="H3022" s="179" t="e">
        <f>IF($C$1077&gt;0,VLOOKUP($C3022,ENTI!$AL$4:AQ$1003,6,FALSE),"")</f>
        <v>#N/A</v>
      </c>
      <c r="I3022" s="187"/>
      <c r="J3022" s="140" t="e">
        <f ca="1">VLOOKUP(D3022,$F$1081:$I$4183,4,FALSE)+COUNTIF(E$1081:E3021,E3022)</f>
        <v>#N/A</v>
      </c>
      <c r="K3022" s="1"/>
      <c r="L3022" s="156"/>
      <c r="M3022" s="1"/>
      <c r="N3022" s="1"/>
      <c r="O3022" s="1"/>
    </row>
    <row r="3023" spans="1:15" hidden="1">
      <c r="A3023" s="1"/>
      <c r="B3023" s="197" t="e">
        <f t="shared" ca="1" si="262"/>
        <v>#N/A</v>
      </c>
      <c r="C3023" s="498">
        <v>957</v>
      </c>
      <c r="D3023" s="41" t="e">
        <f>IF($C$1077&gt;0,VLOOKUP($C3023,ENTI!$AL$4:AN$1003,3,FALSE),"")</f>
        <v>#N/A</v>
      </c>
      <c r="E3023" s="41" t="str">
        <f t="shared" ref="E3023:E3065" si="263">IF(ISERROR(D3023),"",D3023)</f>
        <v/>
      </c>
      <c r="F3023" s="200"/>
      <c r="G3023" s="178" t="e">
        <f>IF($C$1077&gt;0,VLOOKUP($C3023,ENTI!$AL$4:AP$1003,5,FALSE),"")</f>
        <v>#N/A</v>
      </c>
      <c r="H3023" s="179" t="e">
        <f>IF($C$1077&gt;0,VLOOKUP($C3023,ENTI!$AL$4:AQ$1003,6,FALSE),"")</f>
        <v>#N/A</v>
      </c>
      <c r="I3023" s="187"/>
      <c r="J3023" s="140" t="e">
        <f ca="1">VLOOKUP(D3023,$F$1081:$I$4183,4,FALSE)+COUNTIF(E$1081:E3022,E3023)</f>
        <v>#N/A</v>
      </c>
      <c r="K3023" s="1"/>
      <c r="L3023" s="156"/>
      <c r="M3023" s="1"/>
      <c r="N3023" s="1"/>
      <c r="O3023" s="1"/>
    </row>
    <row r="3024" spans="1:15" hidden="1">
      <c r="A3024" s="1"/>
      <c r="B3024" s="197" t="e">
        <f t="shared" ca="1" si="262"/>
        <v>#N/A</v>
      </c>
      <c r="C3024" s="498">
        <v>958</v>
      </c>
      <c r="D3024" s="41" t="e">
        <f>IF($C$1077&gt;0,VLOOKUP($C3024,ENTI!$AL$4:AN$1003,3,FALSE),"")</f>
        <v>#N/A</v>
      </c>
      <c r="E3024" s="41" t="str">
        <f t="shared" si="263"/>
        <v/>
      </c>
      <c r="F3024" s="200"/>
      <c r="G3024" s="178" t="e">
        <f>IF($C$1077&gt;0,VLOOKUP($C3024,ENTI!$AL$4:AP$1003,5,FALSE),"")</f>
        <v>#N/A</v>
      </c>
      <c r="H3024" s="179" t="e">
        <f>IF($C$1077&gt;0,VLOOKUP($C3024,ENTI!$AL$4:AQ$1003,6,FALSE),"")</f>
        <v>#N/A</v>
      </c>
      <c r="I3024" s="187"/>
      <c r="J3024" s="140" t="e">
        <f ca="1">VLOOKUP(D3024,$F$1081:$I$4183,4,FALSE)+COUNTIF(E$1081:E3023,E3024)</f>
        <v>#N/A</v>
      </c>
      <c r="K3024" s="1"/>
      <c r="L3024" s="156"/>
      <c r="M3024" s="1"/>
      <c r="N3024" s="1"/>
      <c r="O3024" s="1"/>
    </row>
    <row r="3025" spans="1:15" hidden="1">
      <c r="A3025" s="1"/>
      <c r="B3025" s="197" t="e">
        <f t="shared" ca="1" si="262"/>
        <v>#N/A</v>
      </c>
      <c r="C3025" s="498">
        <v>959</v>
      </c>
      <c r="D3025" s="41" t="e">
        <f>IF($C$1077&gt;0,VLOOKUP($C3025,ENTI!$AL$4:AN$1003,3,FALSE),"")</f>
        <v>#N/A</v>
      </c>
      <c r="E3025" s="41" t="str">
        <f t="shared" si="263"/>
        <v/>
      </c>
      <c r="F3025" s="200"/>
      <c r="G3025" s="178" t="e">
        <f>IF($C$1077&gt;0,VLOOKUP($C3025,ENTI!$AL$4:AP$1003,5,FALSE),"")</f>
        <v>#N/A</v>
      </c>
      <c r="H3025" s="179" t="e">
        <f>IF($C$1077&gt;0,VLOOKUP($C3025,ENTI!$AL$4:AQ$1003,6,FALSE),"")</f>
        <v>#N/A</v>
      </c>
      <c r="I3025" s="187"/>
      <c r="J3025" s="140" t="e">
        <f ca="1">VLOOKUP(D3025,$F$1081:$I$4183,4,FALSE)+COUNTIF(E$1081:E3024,E3025)</f>
        <v>#N/A</v>
      </c>
      <c r="K3025" s="1"/>
      <c r="L3025" s="156"/>
      <c r="M3025" s="1"/>
      <c r="N3025" s="1"/>
      <c r="O3025" s="1"/>
    </row>
    <row r="3026" spans="1:15" hidden="1">
      <c r="A3026" s="1"/>
      <c r="B3026" s="197" t="e">
        <f t="shared" ca="1" si="262"/>
        <v>#N/A</v>
      </c>
      <c r="C3026" s="498">
        <v>960</v>
      </c>
      <c r="D3026" s="41" t="e">
        <f>IF($C$1077&gt;0,VLOOKUP($C3026,ENTI!$AL$4:AN$1003,3,FALSE),"")</f>
        <v>#N/A</v>
      </c>
      <c r="E3026" s="41" t="str">
        <f t="shared" si="263"/>
        <v/>
      </c>
      <c r="F3026" s="200"/>
      <c r="G3026" s="178" t="e">
        <f>IF($C$1077&gt;0,VLOOKUP($C3026,ENTI!$AL$4:AP$1003,5,FALSE),"")</f>
        <v>#N/A</v>
      </c>
      <c r="H3026" s="179" t="e">
        <f>IF($C$1077&gt;0,VLOOKUP($C3026,ENTI!$AL$4:AQ$1003,6,FALSE),"")</f>
        <v>#N/A</v>
      </c>
      <c r="I3026" s="187"/>
      <c r="J3026" s="140" t="e">
        <f ca="1">VLOOKUP(D3026,$F$1081:$I$4183,4,FALSE)+COUNTIF(E$1081:E3025,E3026)</f>
        <v>#N/A</v>
      </c>
      <c r="K3026" s="1"/>
      <c r="L3026" s="156"/>
      <c r="M3026" s="1"/>
      <c r="N3026" s="1"/>
      <c r="O3026" s="1"/>
    </row>
    <row r="3027" spans="1:15" hidden="1">
      <c r="A3027" s="1"/>
      <c r="B3027" s="197" t="e">
        <f t="shared" ca="1" si="262"/>
        <v>#N/A</v>
      </c>
      <c r="C3027" s="498">
        <v>961</v>
      </c>
      <c r="D3027" s="41" t="e">
        <f>IF($C$1077&gt;0,VLOOKUP($C3027,ENTI!$AL$4:AN$1003,3,FALSE),"")</f>
        <v>#N/A</v>
      </c>
      <c r="E3027" s="41" t="str">
        <f t="shared" si="263"/>
        <v/>
      </c>
      <c r="F3027" s="200"/>
      <c r="G3027" s="178" t="e">
        <f>IF($C$1077&gt;0,VLOOKUP($C3027,ENTI!$AL$4:AP$1003,5,FALSE),"")</f>
        <v>#N/A</v>
      </c>
      <c r="H3027" s="179" t="e">
        <f>IF($C$1077&gt;0,VLOOKUP($C3027,ENTI!$AL$4:AQ$1003,6,FALSE),"")</f>
        <v>#N/A</v>
      </c>
      <c r="I3027" s="187"/>
      <c r="J3027" s="140" t="e">
        <f ca="1">VLOOKUP(D3027,$F$1081:$I$4183,4,FALSE)+COUNTIF(E$1081:E3026,E3027)</f>
        <v>#N/A</v>
      </c>
      <c r="K3027" s="1"/>
      <c r="L3027" s="156"/>
      <c r="M3027" s="1"/>
      <c r="N3027" s="1"/>
      <c r="O3027" s="1"/>
    </row>
    <row r="3028" spans="1:15" hidden="1">
      <c r="A3028" s="1"/>
      <c r="B3028" s="197" t="e">
        <f t="shared" ca="1" si="262"/>
        <v>#N/A</v>
      </c>
      <c r="C3028" s="498">
        <v>962</v>
      </c>
      <c r="D3028" s="41" t="e">
        <f>IF($C$1077&gt;0,VLOOKUP($C3028,ENTI!$AL$4:AN$1003,3,FALSE),"")</f>
        <v>#N/A</v>
      </c>
      <c r="E3028" s="41" t="str">
        <f t="shared" si="263"/>
        <v/>
      </c>
      <c r="F3028" s="200"/>
      <c r="G3028" s="178" t="e">
        <f>IF($C$1077&gt;0,VLOOKUP($C3028,ENTI!$AL$4:AP$1003,5,FALSE),"")</f>
        <v>#N/A</v>
      </c>
      <c r="H3028" s="179" t="e">
        <f>IF($C$1077&gt;0,VLOOKUP($C3028,ENTI!$AL$4:AQ$1003,6,FALSE),"")</f>
        <v>#N/A</v>
      </c>
      <c r="I3028" s="187"/>
      <c r="J3028" s="140" t="e">
        <f ca="1">VLOOKUP(D3028,$F$1081:$I$4183,4,FALSE)+COUNTIF(E$1081:E3027,E3028)</f>
        <v>#N/A</v>
      </c>
      <c r="K3028" s="1"/>
      <c r="L3028" s="156"/>
      <c r="M3028" s="1"/>
      <c r="N3028" s="1"/>
      <c r="O3028" s="1"/>
    </row>
    <row r="3029" spans="1:15" hidden="1">
      <c r="A3029" s="1"/>
      <c r="B3029" s="197" t="e">
        <f t="shared" ca="1" si="262"/>
        <v>#N/A</v>
      </c>
      <c r="C3029" s="498">
        <v>963</v>
      </c>
      <c r="D3029" s="41" t="e">
        <f>IF($C$1077&gt;0,VLOOKUP($C3029,ENTI!$AL$4:AN$1003,3,FALSE),"")</f>
        <v>#N/A</v>
      </c>
      <c r="E3029" s="41" t="str">
        <f t="shared" si="263"/>
        <v/>
      </c>
      <c r="F3029" s="200"/>
      <c r="G3029" s="178" t="e">
        <f>IF($C$1077&gt;0,VLOOKUP($C3029,ENTI!$AL$4:AP$1003,5,FALSE),"")</f>
        <v>#N/A</v>
      </c>
      <c r="H3029" s="179" t="e">
        <f>IF($C$1077&gt;0,VLOOKUP($C3029,ENTI!$AL$4:AQ$1003,6,FALSE),"")</f>
        <v>#N/A</v>
      </c>
      <c r="I3029" s="187"/>
      <c r="J3029" s="140" t="e">
        <f ca="1">VLOOKUP(D3029,$F$1081:$I$4183,4,FALSE)+COUNTIF(E$1081:E3028,E3029)</f>
        <v>#N/A</v>
      </c>
      <c r="K3029" s="1"/>
      <c r="L3029" s="156"/>
      <c r="M3029" s="1"/>
      <c r="N3029" s="1"/>
      <c r="O3029" s="1"/>
    </row>
    <row r="3030" spans="1:15" hidden="1">
      <c r="A3030" s="1"/>
      <c r="B3030" s="197" t="e">
        <f t="shared" ca="1" si="262"/>
        <v>#N/A</v>
      </c>
      <c r="C3030" s="498">
        <v>964</v>
      </c>
      <c r="D3030" s="41" t="e">
        <f>IF($C$1077&gt;0,VLOOKUP($C3030,ENTI!$AL$4:AN$1003,3,FALSE),"")</f>
        <v>#N/A</v>
      </c>
      <c r="E3030" s="41" t="str">
        <f t="shared" si="263"/>
        <v/>
      </c>
      <c r="F3030" s="200"/>
      <c r="G3030" s="178" t="e">
        <f>IF($C$1077&gt;0,VLOOKUP($C3030,ENTI!$AL$4:AP$1003,5,FALSE),"")</f>
        <v>#N/A</v>
      </c>
      <c r="H3030" s="179" t="e">
        <f>IF($C$1077&gt;0,VLOOKUP($C3030,ENTI!$AL$4:AQ$1003,6,FALSE),"")</f>
        <v>#N/A</v>
      </c>
      <c r="I3030" s="187"/>
      <c r="J3030" s="140" t="e">
        <f ca="1">VLOOKUP(D3030,$F$1081:$I$4183,4,FALSE)+COUNTIF(E$1081:E3029,E3030)</f>
        <v>#N/A</v>
      </c>
      <c r="K3030" s="1"/>
      <c r="L3030" s="156"/>
      <c r="M3030" s="1"/>
      <c r="N3030" s="1"/>
      <c r="O3030" s="1"/>
    </row>
    <row r="3031" spans="1:15" hidden="1">
      <c r="A3031" s="1"/>
      <c r="B3031" s="197" t="e">
        <f t="shared" ca="1" si="262"/>
        <v>#N/A</v>
      </c>
      <c r="C3031" s="498">
        <v>965</v>
      </c>
      <c r="D3031" s="41" t="e">
        <f>IF($C$1077&gt;0,VLOOKUP($C3031,ENTI!$AL$4:AN$1003,3,FALSE),"")</f>
        <v>#N/A</v>
      </c>
      <c r="E3031" s="41" t="str">
        <f t="shared" si="263"/>
        <v/>
      </c>
      <c r="F3031" s="200"/>
      <c r="G3031" s="178" t="e">
        <f>IF($C$1077&gt;0,VLOOKUP($C3031,ENTI!$AL$4:AP$1003,5,FALSE),"")</f>
        <v>#N/A</v>
      </c>
      <c r="H3031" s="179" t="e">
        <f>IF($C$1077&gt;0,VLOOKUP($C3031,ENTI!$AL$4:AQ$1003,6,FALSE),"")</f>
        <v>#N/A</v>
      </c>
      <c r="I3031" s="187"/>
      <c r="J3031" s="140" t="e">
        <f ca="1">VLOOKUP(D3031,$F$1081:$I$4183,4,FALSE)+COUNTIF(E$1081:E3030,E3031)</f>
        <v>#N/A</v>
      </c>
      <c r="K3031" s="1"/>
      <c r="L3031" s="156"/>
      <c r="M3031" s="1"/>
      <c r="N3031" s="1"/>
      <c r="O3031" s="1"/>
    </row>
    <row r="3032" spans="1:15" hidden="1">
      <c r="A3032" s="1"/>
      <c r="B3032" s="197" t="e">
        <f t="shared" ca="1" si="262"/>
        <v>#N/A</v>
      </c>
      <c r="C3032" s="498">
        <v>966</v>
      </c>
      <c r="D3032" s="41" t="e">
        <f>IF($C$1077&gt;0,VLOOKUP($C3032,ENTI!$AL$4:AN$1003,3,FALSE),"")</f>
        <v>#N/A</v>
      </c>
      <c r="E3032" s="41" t="str">
        <f t="shared" si="263"/>
        <v/>
      </c>
      <c r="F3032" s="200"/>
      <c r="G3032" s="178" t="e">
        <f>IF($C$1077&gt;0,VLOOKUP($C3032,ENTI!$AL$4:AP$1003,5,FALSE),"")</f>
        <v>#N/A</v>
      </c>
      <c r="H3032" s="179" t="e">
        <f>IF($C$1077&gt;0,VLOOKUP($C3032,ENTI!$AL$4:AQ$1003,6,FALSE),"")</f>
        <v>#N/A</v>
      </c>
      <c r="I3032" s="187"/>
      <c r="J3032" s="140" t="e">
        <f ca="1">VLOOKUP(D3032,$F$1081:$I$4183,4,FALSE)+COUNTIF(E$1081:E3031,E3032)</f>
        <v>#N/A</v>
      </c>
      <c r="K3032" s="1"/>
      <c r="L3032" s="156"/>
      <c r="M3032" s="1"/>
      <c r="N3032" s="1"/>
      <c r="O3032" s="1"/>
    </row>
    <row r="3033" spans="1:15" hidden="1">
      <c r="A3033" s="1"/>
      <c r="B3033" s="197" t="e">
        <f t="shared" ref="B3033:B3065" ca="1" si="264">IF(OR(C$1075&gt;0,C$1077&gt;0,C$1073&gt;0,C$1071&gt;0),J3033+1,J3033)</f>
        <v>#N/A</v>
      </c>
      <c r="C3033" s="498">
        <v>967</v>
      </c>
      <c r="D3033" s="41" t="e">
        <f>IF($C$1077&gt;0,VLOOKUP($C3033,ENTI!$AL$4:AN$1003,3,FALSE),"")</f>
        <v>#N/A</v>
      </c>
      <c r="E3033" s="41" t="str">
        <f t="shared" si="263"/>
        <v/>
      </c>
      <c r="F3033" s="200"/>
      <c r="G3033" s="178" t="e">
        <f>IF($C$1077&gt;0,VLOOKUP($C3033,ENTI!$AL$4:AP$1003,5,FALSE),"")</f>
        <v>#N/A</v>
      </c>
      <c r="H3033" s="179" t="e">
        <f>IF($C$1077&gt;0,VLOOKUP($C3033,ENTI!$AL$4:AQ$1003,6,FALSE),"")</f>
        <v>#N/A</v>
      </c>
      <c r="I3033" s="187"/>
      <c r="J3033" s="140" t="e">
        <f ca="1">VLOOKUP(D3033,$F$1081:$I$4183,4,FALSE)+COUNTIF(E$1081:E3032,E3033)</f>
        <v>#N/A</v>
      </c>
      <c r="K3033" s="1"/>
      <c r="L3033" s="156"/>
      <c r="M3033" s="1"/>
      <c r="N3033" s="1"/>
      <c r="O3033" s="1"/>
    </row>
    <row r="3034" spans="1:15" hidden="1">
      <c r="A3034" s="1"/>
      <c r="B3034" s="197" t="e">
        <f t="shared" ca="1" si="264"/>
        <v>#N/A</v>
      </c>
      <c r="C3034" s="498">
        <v>968</v>
      </c>
      <c r="D3034" s="41" t="e">
        <f>IF($C$1077&gt;0,VLOOKUP($C3034,ENTI!$AL$4:AN$1003,3,FALSE),"")</f>
        <v>#N/A</v>
      </c>
      <c r="E3034" s="41" t="str">
        <f t="shared" si="263"/>
        <v/>
      </c>
      <c r="F3034" s="200"/>
      <c r="G3034" s="178" t="e">
        <f>IF($C$1077&gt;0,VLOOKUP($C3034,ENTI!$AL$4:AP$1003,5,FALSE),"")</f>
        <v>#N/A</v>
      </c>
      <c r="H3034" s="179" t="e">
        <f>IF($C$1077&gt;0,VLOOKUP($C3034,ENTI!$AL$4:AQ$1003,6,FALSE),"")</f>
        <v>#N/A</v>
      </c>
      <c r="I3034" s="187"/>
      <c r="J3034" s="140" t="e">
        <f ca="1">VLOOKUP(D3034,$F$1081:$I$4183,4,FALSE)+COUNTIF(E$1081:E3033,E3034)</f>
        <v>#N/A</v>
      </c>
      <c r="K3034" s="1"/>
      <c r="L3034" s="156"/>
      <c r="M3034" s="1"/>
      <c r="N3034" s="1"/>
      <c r="O3034" s="1"/>
    </row>
    <row r="3035" spans="1:15" hidden="1">
      <c r="A3035" s="1"/>
      <c r="B3035" s="197" t="e">
        <f t="shared" ca="1" si="264"/>
        <v>#N/A</v>
      </c>
      <c r="C3035" s="498">
        <v>969</v>
      </c>
      <c r="D3035" s="41" t="e">
        <f>IF($C$1077&gt;0,VLOOKUP($C3035,ENTI!$AL$4:AN$1003,3,FALSE),"")</f>
        <v>#N/A</v>
      </c>
      <c r="E3035" s="41" t="str">
        <f t="shared" si="263"/>
        <v/>
      </c>
      <c r="F3035" s="200"/>
      <c r="G3035" s="178" t="e">
        <f>IF($C$1077&gt;0,VLOOKUP($C3035,ENTI!$AL$4:AP$1003,5,FALSE),"")</f>
        <v>#N/A</v>
      </c>
      <c r="H3035" s="179" t="e">
        <f>IF($C$1077&gt;0,VLOOKUP($C3035,ENTI!$AL$4:AQ$1003,6,FALSE),"")</f>
        <v>#N/A</v>
      </c>
      <c r="I3035" s="187"/>
      <c r="J3035" s="140" t="e">
        <f ca="1">VLOOKUP(D3035,$F$1081:$I$4183,4,FALSE)+COUNTIF(E$1081:E3034,E3035)</f>
        <v>#N/A</v>
      </c>
      <c r="K3035" s="1"/>
      <c r="L3035" s="156"/>
      <c r="M3035" s="1"/>
      <c r="N3035" s="1"/>
      <c r="O3035" s="1"/>
    </row>
    <row r="3036" spans="1:15" hidden="1">
      <c r="A3036" s="1"/>
      <c r="B3036" s="197" t="e">
        <f t="shared" ca="1" si="264"/>
        <v>#N/A</v>
      </c>
      <c r="C3036" s="498">
        <v>970</v>
      </c>
      <c r="D3036" s="41" t="e">
        <f>IF($C$1077&gt;0,VLOOKUP($C3036,ENTI!$AL$4:AN$1003,3,FALSE),"")</f>
        <v>#N/A</v>
      </c>
      <c r="E3036" s="41" t="str">
        <f t="shared" si="263"/>
        <v/>
      </c>
      <c r="F3036" s="200"/>
      <c r="G3036" s="178" t="e">
        <f>IF($C$1077&gt;0,VLOOKUP($C3036,ENTI!$AL$4:AP$1003,5,FALSE),"")</f>
        <v>#N/A</v>
      </c>
      <c r="H3036" s="179" t="e">
        <f>IF($C$1077&gt;0,VLOOKUP($C3036,ENTI!$AL$4:AQ$1003,6,FALSE),"")</f>
        <v>#N/A</v>
      </c>
      <c r="I3036" s="187"/>
      <c r="J3036" s="140" t="e">
        <f ca="1">VLOOKUP(D3036,$F$1081:$I$4183,4,FALSE)+COUNTIF(E$1081:E3035,E3036)</f>
        <v>#N/A</v>
      </c>
      <c r="K3036" s="1"/>
      <c r="L3036" s="156"/>
      <c r="M3036" s="1"/>
      <c r="N3036" s="1"/>
      <c r="O3036" s="1"/>
    </row>
    <row r="3037" spans="1:15" hidden="1">
      <c r="A3037" s="1"/>
      <c r="B3037" s="197" t="e">
        <f t="shared" ca="1" si="264"/>
        <v>#N/A</v>
      </c>
      <c r="C3037" s="498">
        <v>971</v>
      </c>
      <c r="D3037" s="41" t="e">
        <f>IF($C$1077&gt;0,VLOOKUP($C3037,ENTI!$AL$4:AN$1003,3,FALSE),"")</f>
        <v>#N/A</v>
      </c>
      <c r="E3037" s="41" t="str">
        <f t="shared" si="263"/>
        <v/>
      </c>
      <c r="F3037" s="200"/>
      <c r="G3037" s="178" t="e">
        <f>IF($C$1077&gt;0,VLOOKUP($C3037,ENTI!$AL$4:AP$1003,5,FALSE),"")</f>
        <v>#N/A</v>
      </c>
      <c r="H3037" s="179" t="e">
        <f>IF($C$1077&gt;0,VLOOKUP($C3037,ENTI!$AL$4:AQ$1003,6,FALSE),"")</f>
        <v>#N/A</v>
      </c>
      <c r="I3037" s="187"/>
      <c r="J3037" s="140" t="e">
        <f ca="1">VLOOKUP(D3037,$F$1081:$I$4183,4,FALSE)+COUNTIF(E$1081:E3036,E3037)</f>
        <v>#N/A</v>
      </c>
      <c r="K3037" s="1"/>
      <c r="L3037" s="156"/>
      <c r="M3037" s="1"/>
      <c r="N3037" s="1"/>
      <c r="O3037" s="1"/>
    </row>
    <row r="3038" spans="1:15" hidden="1">
      <c r="A3038" s="1"/>
      <c r="B3038" s="197" t="e">
        <f t="shared" ca="1" si="264"/>
        <v>#N/A</v>
      </c>
      <c r="C3038" s="498">
        <v>972</v>
      </c>
      <c r="D3038" s="41" t="e">
        <f>IF($C$1077&gt;0,VLOOKUP($C3038,ENTI!$AL$4:AN$1003,3,FALSE),"")</f>
        <v>#N/A</v>
      </c>
      <c r="E3038" s="41" t="str">
        <f t="shared" si="263"/>
        <v/>
      </c>
      <c r="F3038" s="200"/>
      <c r="G3038" s="178" t="e">
        <f>IF($C$1077&gt;0,VLOOKUP($C3038,ENTI!$AL$4:AP$1003,5,FALSE),"")</f>
        <v>#N/A</v>
      </c>
      <c r="H3038" s="179" t="e">
        <f>IF($C$1077&gt;0,VLOOKUP($C3038,ENTI!$AL$4:AQ$1003,6,FALSE),"")</f>
        <v>#N/A</v>
      </c>
      <c r="I3038" s="187"/>
      <c r="J3038" s="140" t="e">
        <f ca="1">VLOOKUP(D3038,$F$1081:$I$4183,4,FALSE)+COUNTIF(E$1081:E3037,E3038)</f>
        <v>#N/A</v>
      </c>
      <c r="K3038" s="1"/>
      <c r="L3038" s="156"/>
      <c r="M3038" s="1"/>
      <c r="N3038" s="1"/>
      <c r="O3038" s="1"/>
    </row>
    <row r="3039" spans="1:15" hidden="1">
      <c r="A3039" s="1"/>
      <c r="B3039" s="197" t="e">
        <f t="shared" ca="1" si="264"/>
        <v>#N/A</v>
      </c>
      <c r="C3039" s="498">
        <v>973</v>
      </c>
      <c r="D3039" s="41" t="e">
        <f>IF($C$1077&gt;0,VLOOKUP($C3039,ENTI!$AL$4:AN$1003,3,FALSE),"")</f>
        <v>#N/A</v>
      </c>
      <c r="E3039" s="41" t="str">
        <f t="shared" si="263"/>
        <v/>
      </c>
      <c r="F3039" s="200"/>
      <c r="G3039" s="178" t="e">
        <f>IF($C$1077&gt;0,VLOOKUP($C3039,ENTI!$AL$4:AP$1003,5,FALSE),"")</f>
        <v>#N/A</v>
      </c>
      <c r="H3039" s="179" t="e">
        <f>IF($C$1077&gt;0,VLOOKUP($C3039,ENTI!$AL$4:AQ$1003,6,FALSE),"")</f>
        <v>#N/A</v>
      </c>
      <c r="I3039" s="187"/>
      <c r="J3039" s="140" t="e">
        <f ca="1">VLOOKUP(D3039,$F$1081:$I$4183,4,FALSE)+COUNTIF(E$1081:E3038,E3039)</f>
        <v>#N/A</v>
      </c>
      <c r="K3039" s="1"/>
      <c r="L3039" s="156"/>
      <c r="M3039" s="1"/>
      <c r="N3039" s="1"/>
      <c r="O3039" s="1"/>
    </row>
    <row r="3040" spans="1:15" hidden="1">
      <c r="A3040" s="1"/>
      <c r="B3040" s="197" t="e">
        <f t="shared" ca="1" si="264"/>
        <v>#N/A</v>
      </c>
      <c r="C3040" s="498">
        <v>974</v>
      </c>
      <c r="D3040" s="41" t="e">
        <f>IF($C$1077&gt;0,VLOOKUP($C3040,ENTI!$AL$4:AN$1003,3,FALSE),"")</f>
        <v>#N/A</v>
      </c>
      <c r="E3040" s="41" t="str">
        <f t="shared" si="263"/>
        <v/>
      </c>
      <c r="F3040" s="200"/>
      <c r="G3040" s="178" t="e">
        <f>IF($C$1077&gt;0,VLOOKUP($C3040,ENTI!$AL$4:AP$1003,5,FALSE),"")</f>
        <v>#N/A</v>
      </c>
      <c r="H3040" s="179" t="e">
        <f>IF($C$1077&gt;0,VLOOKUP($C3040,ENTI!$AL$4:AQ$1003,6,FALSE),"")</f>
        <v>#N/A</v>
      </c>
      <c r="I3040" s="187"/>
      <c r="J3040" s="140" t="e">
        <f ca="1">VLOOKUP(D3040,$F$1081:$I$4183,4,FALSE)+COUNTIF(E$1081:E3039,E3040)</f>
        <v>#N/A</v>
      </c>
      <c r="K3040" s="1"/>
      <c r="L3040" s="156"/>
      <c r="M3040" s="1"/>
      <c r="N3040" s="1"/>
      <c r="O3040" s="1"/>
    </row>
    <row r="3041" spans="1:15" hidden="1">
      <c r="A3041" s="1"/>
      <c r="B3041" s="197" t="e">
        <f t="shared" ca="1" si="264"/>
        <v>#N/A</v>
      </c>
      <c r="C3041" s="498">
        <v>975</v>
      </c>
      <c r="D3041" s="41" t="e">
        <f>IF($C$1077&gt;0,VLOOKUP($C3041,ENTI!$AL$4:AN$1003,3,FALSE),"")</f>
        <v>#N/A</v>
      </c>
      <c r="E3041" s="41" t="str">
        <f t="shared" si="263"/>
        <v/>
      </c>
      <c r="F3041" s="200"/>
      <c r="G3041" s="178" t="e">
        <f>IF($C$1077&gt;0,VLOOKUP($C3041,ENTI!$AL$4:AP$1003,5,FALSE),"")</f>
        <v>#N/A</v>
      </c>
      <c r="H3041" s="179" t="e">
        <f>IF($C$1077&gt;0,VLOOKUP($C3041,ENTI!$AL$4:AQ$1003,6,FALSE),"")</f>
        <v>#N/A</v>
      </c>
      <c r="I3041" s="187"/>
      <c r="J3041" s="140" t="e">
        <f ca="1">VLOOKUP(D3041,$F$1081:$I$4183,4,FALSE)+COUNTIF(E$1081:E3040,E3041)</f>
        <v>#N/A</v>
      </c>
      <c r="K3041" s="1"/>
      <c r="L3041" s="156"/>
      <c r="M3041" s="1"/>
      <c r="N3041" s="1"/>
      <c r="O3041" s="1"/>
    </row>
    <row r="3042" spans="1:15" hidden="1">
      <c r="A3042" s="1"/>
      <c r="B3042" s="197" t="e">
        <f t="shared" ca="1" si="264"/>
        <v>#N/A</v>
      </c>
      <c r="C3042" s="498">
        <v>976</v>
      </c>
      <c r="D3042" s="41" t="e">
        <f>IF($C$1077&gt;0,VLOOKUP($C3042,ENTI!$AL$4:AN$1003,3,FALSE),"")</f>
        <v>#N/A</v>
      </c>
      <c r="E3042" s="41" t="str">
        <f t="shared" si="263"/>
        <v/>
      </c>
      <c r="F3042" s="200"/>
      <c r="G3042" s="178" t="e">
        <f>IF($C$1077&gt;0,VLOOKUP($C3042,ENTI!$AL$4:AP$1003,5,FALSE),"")</f>
        <v>#N/A</v>
      </c>
      <c r="H3042" s="179" t="e">
        <f>IF($C$1077&gt;0,VLOOKUP($C3042,ENTI!$AL$4:AQ$1003,6,FALSE),"")</f>
        <v>#N/A</v>
      </c>
      <c r="I3042" s="187"/>
      <c r="J3042" s="140" t="e">
        <f ca="1">VLOOKUP(D3042,$F$1081:$I$4183,4,FALSE)+COUNTIF(E$1081:E3041,E3042)</f>
        <v>#N/A</v>
      </c>
      <c r="K3042" s="1"/>
      <c r="L3042" s="156"/>
      <c r="M3042" s="1"/>
      <c r="N3042" s="1"/>
      <c r="O3042" s="1"/>
    </row>
    <row r="3043" spans="1:15" hidden="1">
      <c r="A3043" s="1"/>
      <c r="B3043" s="197" t="e">
        <f t="shared" ca="1" si="264"/>
        <v>#N/A</v>
      </c>
      <c r="C3043" s="498">
        <v>977</v>
      </c>
      <c r="D3043" s="41" t="e">
        <f>IF($C$1077&gt;0,VLOOKUP($C3043,ENTI!$AL$4:AN$1003,3,FALSE),"")</f>
        <v>#N/A</v>
      </c>
      <c r="E3043" s="41" t="str">
        <f t="shared" si="263"/>
        <v/>
      </c>
      <c r="F3043" s="200"/>
      <c r="G3043" s="178" t="e">
        <f>IF($C$1077&gt;0,VLOOKUP($C3043,ENTI!$AL$4:AP$1003,5,FALSE),"")</f>
        <v>#N/A</v>
      </c>
      <c r="H3043" s="179" t="e">
        <f>IF($C$1077&gt;0,VLOOKUP($C3043,ENTI!$AL$4:AQ$1003,6,FALSE),"")</f>
        <v>#N/A</v>
      </c>
      <c r="I3043" s="187"/>
      <c r="J3043" s="140" t="e">
        <f ca="1">VLOOKUP(D3043,$F$1081:$I$4183,4,FALSE)+COUNTIF(E$1081:E3042,E3043)</f>
        <v>#N/A</v>
      </c>
      <c r="K3043" s="1"/>
      <c r="L3043" s="156"/>
      <c r="M3043" s="1"/>
      <c r="N3043" s="1"/>
      <c r="O3043" s="1"/>
    </row>
    <row r="3044" spans="1:15" hidden="1">
      <c r="A3044" s="1"/>
      <c r="B3044" s="197" t="e">
        <f t="shared" ca="1" si="264"/>
        <v>#N/A</v>
      </c>
      <c r="C3044" s="498">
        <v>978</v>
      </c>
      <c r="D3044" s="41" t="e">
        <f>IF($C$1077&gt;0,VLOOKUP($C3044,ENTI!$AL$4:AN$1003,3,FALSE),"")</f>
        <v>#N/A</v>
      </c>
      <c r="E3044" s="41" t="str">
        <f t="shared" si="263"/>
        <v/>
      </c>
      <c r="F3044" s="200"/>
      <c r="G3044" s="178" t="e">
        <f>IF($C$1077&gt;0,VLOOKUP($C3044,ENTI!$AL$4:AP$1003,5,FALSE),"")</f>
        <v>#N/A</v>
      </c>
      <c r="H3044" s="179" t="e">
        <f>IF($C$1077&gt;0,VLOOKUP($C3044,ENTI!$AL$4:AQ$1003,6,FALSE),"")</f>
        <v>#N/A</v>
      </c>
      <c r="I3044" s="187"/>
      <c r="J3044" s="140" t="e">
        <f ca="1">VLOOKUP(D3044,$F$1081:$I$4183,4,FALSE)+COUNTIF(E$1081:E3043,E3044)</f>
        <v>#N/A</v>
      </c>
      <c r="K3044" s="1"/>
      <c r="L3044" s="156"/>
      <c r="M3044" s="1"/>
      <c r="N3044" s="1"/>
      <c r="O3044" s="1"/>
    </row>
    <row r="3045" spans="1:15" hidden="1">
      <c r="A3045" s="1"/>
      <c r="B3045" s="197" t="e">
        <f t="shared" ca="1" si="264"/>
        <v>#N/A</v>
      </c>
      <c r="C3045" s="498">
        <v>979</v>
      </c>
      <c r="D3045" s="41" t="e">
        <f>IF($C$1077&gt;0,VLOOKUP($C3045,ENTI!$AL$4:AN$1003,3,FALSE),"")</f>
        <v>#N/A</v>
      </c>
      <c r="E3045" s="41" t="str">
        <f t="shared" si="263"/>
        <v/>
      </c>
      <c r="F3045" s="200"/>
      <c r="G3045" s="178" t="e">
        <f>IF($C$1077&gt;0,VLOOKUP($C3045,ENTI!$AL$4:AP$1003,5,FALSE),"")</f>
        <v>#N/A</v>
      </c>
      <c r="H3045" s="179" t="e">
        <f>IF($C$1077&gt;0,VLOOKUP($C3045,ENTI!$AL$4:AQ$1003,6,FALSE),"")</f>
        <v>#N/A</v>
      </c>
      <c r="I3045" s="187"/>
      <c r="J3045" s="140" t="e">
        <f ca="1">VLOOKUP(D3045,$F$1081:$I$4183,4,FALSE)+COUNTIF(E$1081:E3044,E3045)</f>
        <v>#N/A</v>
      </c>
      <c r="K3045" s="1"/>
      <c r="L3045" s="156"/>
      <c r="M3045" s="1"/>
      <c r="N3045" s="1"/>
      <c r="O3045" s="1"/>
    </row>
    <row r="3046" spans="1:15" hidden="1">
      <c r="A3046" s="1"/>
      <c r="B3046" s="197" t="e">
        <f t="shared" ca="1" si="264"/>
        <v>#N/A</v>
      </c>
      <c r="C3046" s="498">
        <v>980</v>
      </c>
      <c r="D3046" s="41" t="e">
        <f>IF($C$1077&gt;0,VLOOKUP($C3046,ENTI!$AL$4:AN$1003,3,FALSE),"")</f>
        <v>#N/A</v>
      </c>
      <c r="E3046" s="41" t="str">
        <f t="shared" si="263"/>
        <v/>
      </c>
      <c r="F3046" s="200"/>
      <c r="G3046" s="178" t="e">
        <f>IF($C$1077&gt;0,VLOOKUP($C3046,ENTI!$AL$4:AP$1003,5,FALSE),"")</f>
        <v>#N/A</v>
      </c>
      <c r="H3046" s="179" t="e">
        <f>IF($C$1077&gt;0,VLOOKUP($C3046,ENTI!$AL$4:AQ$1003,6,FALSE),"")</f>
        <v>#N/A</v>
      </c>
      <c r="I3046" s="187"/>
      <c r="J3046" s="140" t="e">
        <f ca="1">VLOOKUP(D3046,$F$1081:$I$4183,4,FALSE)+COUNTIF(E$1081:E3045,E3046)</f>
        <v>#N/A</v>
      </c>
      <c r="K3046" s="1"/>
      <c r="L3046" s="156"/>
      <c r="M3046" s="1"/>
      <c r="N3046" s="1"/>
      <c r="O3046" s="1"/>
    </row>
    <row r="3047" spans="1:15" hidden="1">
      <c r="A3047" s="1"/>
      <c r="B3047" s="197" t="e">
        <f t="shared" ca="1" si="264"/>
        <v>#N/A</v>
      </c>
      <c r="C3047" s="498">
        <v>981</v>
      </c>
      <c r="D3047" s="41" t="e">
        <f>IF($C$1077&gt;0,VLOOKUP($C3047,ENTI!$AL$4:AN$1003,3,FALSE),"")</f>
        <v>#N/A</v>
      </c>
      <c r="E3047" s="41" t="str">
        <f t="shared" si="263"/>
        <v/>
      </c>
      <c r="F3047" s="200"/>
      <c r="G3047" s="178" t="e">
        <f>IF($C$1077&gt;0,VLOOKUP($C3047,ENTI!$AL$4:AP$1003,5,FALSE),"")</f>
        <v>#N/A</v>
      </c>
      <c r="H3047" s="179" t="e">
        <f>IF($C$1077&gt;0,VLOOKUP($C3047,ENTI!$AL$4:AQ$1003,6,FALSE),"")</f>
        <v>#N/A</v>
      </c>
      <c r="I3047" s="187"/>
      <c r="J3047" s="140" t="e">
        <f ca="1">VLOOKUP(D3047,$F$1081:$I$4183,4,FALSE)+COUNTIF(E$1081:E3046,E3047)</f>
        <v>#N/A</v>
      </c>
      <c r="K3047" s="1"/>
      <c r="L3047" s="156"/>
      <c r="M3047" s="1"/>
      <c r="N3047" s="1"/>
      <c r="O3047" s="1"/>
    </row>
    <row r="3048" spans="1:15" hidden="1">
      <c r="A3048" s="1"/>
      <c r="B3048" s="197" t="e">
        <f t="shared" ca="1" si="264"/>
        <v>#N/A</v>
      </c>
      <c r="C3048" s="498">
        <v>982</v>
      </c>
      <c r="D3048" s="41" t="e">
        <f>IF($C$1077&gt;0,VLOOKUP($C3048,ENTI!$AL$4:AN$1003,3,FALSE),"")</f>
        <v>#N/A</v>
      </c>
      <c r="E3048" s="41" t="str">
        <f t="shared" si="263"/>
        <v/>
      </c>
      <c r="F3048" s="200"/>
      <c r="G3048" s="178" t="e">
        <f>IF($C$1077&gt;0,VLOOKUP($C3048,ENTI!$AL$4:AP$1003,5,FALSE),"")</f>
        <v>#N/A</v>
      </c>
      <c r="H3048" s="179" t="e">
        <f>IF($C$1077&gt;0,VLOOKUP($C3048,ENTI!$AL$4:AQ$1003,6,FALSE),"")</f>
        <v>#N/A</v>
      </c>
      <c r="I3048" s="187"/>
      <c r="J3048" s="140" t="e">
        <f ca="1">VLOOKUP(D3048,$F$1081:$I$4183,4,FALSE)+COUNTIF(E$1081:E3047,E3048)</f>
        <v>#N/A</v>
      </c>
      <c r="K3048" s="1"/>
      <c r="L3048" s="156"/>
      <c r="M3048" s="1"/>
      <c r="N3048" s="1"/>
      <c r="O3048" s="1"/>
    </row>
    <row r="3049" spans="1:15" hidden="1">
      <c r="A3049" s="1"/>
      <c r="B3049" s="197" t="e">
        <f t="shared" ca="1" si="264"/>
        <v>#N/A</v>
      </c>
      <c r="C3049" s="498">
        <v>983</v>
      </c>
      <c r="D3049" s="41" t="e">
        <f>IF($C$1077&gt;0,VLOOKUP($C3049,ENTI!$AL$4:AN$1003,3,FALSE),"")</f>
        <v>#N/A</v>
      </c>
      <c r="E3049" s="41" t="str">
        <f t="shared" si="263"/>
        <v/>
      </c>
      <c r="F3049" s="200"/>
      <c r="G3049" s="178" t="e">
        <f>IF($C$1077&gt;0,VLOOKUP($C3049,ENTI!$AL$4:AP$1003,5,FALSE),"")</f>
        <v>#N/A</v>
      </c>
      <c r="H3049" s="179" t="e">
        <f>IF($C$1077&gt;0,VLOOKUP($C3049,ENTI!$AL$4:AQ$1003,6,FALSE),"")</f>
        <v>#N/A</v>
      </c>
      <c r="I3049" s="187"/>
      <c r="J3049" s="140" t="e">
        <f ca="1">VLOOKUP(D3049,$F$1081:$I$4183,4,FALSE)+COUNTIF(E$1081:E3048,E3049)</f>
        <v>#N/A</v>
      </c>
      <c r="K3049" s="1"/>
      <c r="L3049" s="156"/>
      <c r="M3049" s="1"/>
      <c r="N3049" s="1"/>
      <c r="O3049" s="1"/>
    </row>
    <row r="3050" spans="1:15" hidden="1">
      <c r="A3050" s="1"/>
      <c r="B3050" s="197" t="e">
        <f t="shared" ca="1" si="264"/>
        <v>#N/A</v>
      </c>
      <c r="C3050" s="498">
        <v>984</v>
      </c>
      <c r="D3050" s="41" t="e">
        <f>IF($C$1077&gt;0,VLOOKUP($C3050,ENTI!$AL$4:AN$1003,3,FALSE),"")</f>
        <v>#N/A</v>
      </c>
      <c r="E3050" s="41" t="str">
        <f t="shared" si="263"/>
        <v/>
      </c>
      <c r="F3050" s="200"/>
      <c r="G3050" s="178" t="e">
        <f>IF($C$1077&gt;0,VLOOKUP($C3050,ENTI!$AL$4:AP$1003,5,FALSE),"")</f>
        <v>#N/A</v>
      </c>
      <c r="H3050" s="179" t="e">
        <f>IF($C$1077&gt;0,VLOOKUP($C3050,ENTI!$AL$4:AQ$1003,6,FALSE),"")</f>
        <v>#N/A</v>
      </c>
      <c r="I3050" s="187"/>
      <c r="J3050" s="140" t="e">
        <f ca="1">VLOOKUP(D3050,$F$1081:$I$4183,4,FALSE)+COUNTIF(E$1081:E3049,E3050)</f>
        <v>#N/A</v>
      </c>
      <c r="K3050" s="1"/>
      <c r="L3050" s="156"/>
      <c r="M3050" s="1"/>
      <c r="N3050" s="1"/>
      <c r="O3050" s="1"/>
    </row>
    <row r="3051" spans="1:15" hidden="1">
      <c r="A3051" s="1"/>
      <c r="B3051" s="197" t="e">
        <f t="shared" ca="1" si="264"/>
        <v>#N/A</v>
      </c>
      <c r="C3051" s="498">
        <v>985</v>
      </c>
      <c r="D3051" s="41" t="e">
        <f>IF($C$1077&gt;0,VLOOKUP($C3051,ENTI!$AL$4:AN$1003,3,FALSE),"")</f>
        <v>#N/A</v>
      </c>
      <c r="E3051" s="41" t="str">
        <f t="shared" si="263"/>
        <v/>
      </c>
      <c r="F3051" s="200"/>
      <c r="G3051" s="178" t="e">
        <f>IF($C$1077&gt;0,VLOOKUP($C3051,ENTI!$AL$4:AP$1003,5,FALSE),"")</f>
        <v>#N/A</v>
      </c>
      <c r="H3051" s="179" t="e">
        <f>IF($C$1077&gt;0,VLOOKUP($C3051,ENTI!$AL$4:AQ$1003,6,FALSE),"")</f>
        <v>#N/A</v>
      </c>
      <c r="I3051" s="187"/>
      <c r="J3051" s="140" t="e">
        <f ca="1">VLOOKUP(D3051,$F$1081:$I$4183,4,FALSE)+COUNTIF(E$1081:E3050,E3051)</f>
        <v>#N/A</v>
      </c>
      <c r="K3051" s="1"/>
      <c r="L3051" s="156"/>
      <c r="M3051" s="1"/>
      <c r="N3051" s="1"/>
      <c r="O3051" s="1"/>
    </row>
    <row r="3052" spans="1:15" hidden="1">
      <c r="A3052" s="1"/>
      <c r="B3052" s="197" t="e">
        <f t="shared" ca="1" si="264"/>
        <v>#N/A</v>
      </c>
      <c r="C3052" s="498">
        <v>986</v>
      </c>
      <c r="D3052" s="41" t="e">
        <f>IF($C$1077&gt;0,VLOOKUP($C3052,ENTI!$AL$4:AN$1003,3,FALSE),"")</f>
        <v>#N/A</v>
      </c>
      <c r="E3052" s="41" t="str">
        <f t="shared" si="263"/>
        <v/>
      </c>
      <c r="F3052" s="200"/>
      <c r="G3052" s="178" t="e">
        <f>IF($C$1077&gt;0,VLOOKUP($C3052,ENTI!$AL$4:AP$1003,5,FALSE),"")</f>
        <v>#N/A</v>
      </c>
      <c r="H3052" s="179" t="e">
        <f>IF($C$1077&gt;0,VLOOKUP($C3052,ENTI!$AL$4:AQ$1003,6,FALSE),"")</f>
        <v>#N/A</v>
      </c>
      <c r="I3052" s="187"/>
      <c r="J3052" s="140" t="e">
        <f ca="1">VLOOKUP(D3052,$F$1081:$I$4183,4,FALSE)+COUNTIF(E$1081:E3051,E3052)</f>
        <v>#N/A</v>
      </c>
      <c r="K3052" s="1"/>
      <c r="L3052" s="156"/>
      <c r="M3052" s="1"/>
      <c r="N3052" s="1"/>
      <c r="O3052" s="1"/>
    </row>
    <row r="3053" spans="1:15" hidden="1">
      <c r="A3053" s="1"/>
      <c r="B3053" s="197" t="e">
        <f t="shared" ca="1" si="264"/>
        <v>#N/A</v>
      </c>
      <c r="C3053" s="498">
        <v>987</v>
      </c>
      <c r="D3053" s="41" t="e">
        <f>IF($C$1077&gt;0,VLOOKUP($C3053,ENTI!$AL$4:AN$1003,3,FALSE),"")</f>
        <v>#N/A</v>
      </c>
      <c r="E3053" s="41" t="str">
        <f t="shared" si="263"/>
        <v/>
      </c>
      <c r="F3053" s="200"/>
      <c r="G3053" s="178" t="e">
        <f>IF($C$1077&gt;0,VLOOKUP($C3053,ENTI!$AL$4:AP$1003,5,FALSE),"")</f>
        <v>#N/A</v>
      </c>
      <c r="H3053" s="179" t="e">
        <f>IF($C$1077&gt;0,VLOOKUP($C3053,ENTI!$AL$4:AQ$1003,6,FALSE),"")</f>
        <v>#N/A</v>
      </c>
      <c r="I3053" s="187"/>
      <c r="J3053" s="140" t="e">
        <f ca="1">VLOOKUP(D3053,$F$1081:$I$4183,4,FALSE)+COUNTIF(E$1081:E3052,E3053)</f>
        <v>#N/A</v>
      </c>
      <c r="K3053" s="1"/>
      <c r="L3053" s="156"/>
      <c r="M3053" s="1"/>
      <c r="N3053" s="1"/>
      <c r="O3053" s="1"/>
    </row>
    <row r="3054" spans="1:15" hidden="1">
      <c r="A3054" s="1"/>
      <c r="B3054" s="197" t="e">
        <f t="shared" ca="1" si="264"/>
        <v>#N/A</v>
      </c>
      <c r="C3054" s="498">
        <v>988</v>
      </c>
      <c r="D3054" s="41" t="e">
        <f>IF($C$1077&gt;0,VLOOKUP($C3054,ENTI!$AL$4:AN$1003,3,FALSE),"")</f>
        <v>#N/A</v>
      </c>
      <c r="E3054" s="41" t="str">
        <f t="shared" si="263"/>
        <v/>
      </c>
      <c r="F3054" s="200"/>
      <c r="G3054" s="178" t="e">
        <f>IF($C$1077&gt;0,VLOOKUP($C3054,ENTI!$AL$4:AP$1003,5,FALSE),"")</f>
        <v>#N/A</v>
      </c>
      <c r="H3054" s="179" t="e">
        <f>IF($C$1077&gt;0,VLOOKUP($C3054,ENTI!$AL$4:AQ$1003,6,FALSE),"")</f>
        <v>#N/A</v>
      </c>
      <c r="I3054" s="187"/>
      <c r="J3054" s="140" t="e">
        <f ca="1">VLOOKUP(D3054,$F$1081:$I$4183,4,FALSE)+COUNTIF(E$1081:E3053,E3054)</f>
        <v>#N/A</v>
      </c>
      <c r="K3054" s="1"/>
      <c r="L3054" s="156"/>
      <c r="M3054" s="1"/>
      <c r="N3054" s="1"/>
      <c r="O3054" s="1"/>
    </row>
    <row r="3055" spans="1:15" hidden="1">
      <c r="A3055" s="1"/>
      <c r="B3055" s="197" t="e">
        <f t="shared" ca="1" si="264"/>
        <v>#N/A</v>
      </c>
      <c r="C3055" s="498">
        <v>989</v>
      </c>
      <c r="D3055" s="41" t="e">
        <f>IF($C$1077&gt;0,VLOOKUP($C3055,ENTI!$AL$4:AN$1003,3,FALSE),"")</f>
        <v>#N/A</v>
      </c>
      <c r="E3055" s="41" t="str">
        <f t="shared" si="263"/>
        <v/>
      </c>
      <c r="F3055" s="200"/>
      <c r="G3055" s="178" t="e">
        <f>IF($C$1077&gt;0,VLOOKUP($C3055,ENTI!$AL$4:AP$1003,5,FALSE),"")</f>
        <v>#N/A</v>
      </c>
      <c r="H3055" s="179" t="e">
        <f>IF($C$1077&gt;0,VLOOKUP($C3055,ENTI!$AL$4:AQ$1003,6,FALSE),"")</f>
        <v>#N/A</v>
      </c>
      <c r="I3055" s="187"/>
      <c r="J3055" s="140" t="e">
        <f ca="1">VLOOKUP(D3055,$F$1081:$I$4183,4,FALSE)+COUNTIF(E$1081:E3054,E3055)</f>
        <v>#N/A</v>
      </c>
      <c r="K3055" s="1"/>
      <c r="L3055" s="156"/>
      <c r="M3055" s="1"/>
      <c r="N3055" s="1"/>
      <c r="O3055" s="1"/>
    </row>
    <row r="3056" spans="1:15" hidden="1">
      <c r="A3056" s="1"/>
      <c r="B3056" s="197" t="e">
        <f t="shared" ca="1" si="264"/>
        <v>#N/A</v>
      </c>
      <c r="C3056" s="498">
        <v>990</v>
      </c>
      <c r="D3056" s="41" t="e">
        <f>IF($C$1077&gt;0,VLOOKUP($C3056,ENTI!$AL$4:AN$1003,3,FALSE),"")</f>
        <v>#N/A</v>
      </c>
      <c r="E3056" s="41" t="str">
        <f t="shared" si="263"/>
        <v/>
      </c>
      <c r="F3056" s="200"/>
      <c r="G3056" s="178" t="e">
        <f>IF($C$1077&gt;0,VLOOKUP($C3056,ENTI!$AL$4:AP$1003,5,FALSE),"")</f>
        <v>#N/A</v>
      </c>
      <c r="H3056" s="179" t="e">
        <f>IF($C$1077&gt;0,VLOOKUP($C3056,ENTI!$AL$4:AQ$1003,6,FALSE),"")</f>
        <v>#N/A</v>
      </c>
      <c r="I3056" s="187"/>
      <c r="J3056" s="140" t="e">
        <f ca="1">VLOOKUP(D3056,$F$1081:$I$4183,4,FALSE)+COUNTIF(E$1081:E3055,E3056)</f>
        <v>#N/A</v>
      </c>
      <c r="K3056" s="1"/>
      <c r="L3056" s="156"/>
      <c r="M3056" s="1"/>
      <c r="N3056" s="1"/>
      <c r="O3056" s="1"/>
    </row>
    <row r="3057" spans="1:15" hidden="1">
      <c r="A3057" s="1"/>
      <c r="B3057" s="197" t="e">
        <f t="shared" ca="1" si="264"/>
        <v>#N/A</v>
      </c>
      <c r="C3057" s="498">
        <v>991</v>
      </c>
      <c r="D3057" s="41" t="e">
        <f>IF($C$1077&gt;0,VLOOKUP($C3057,ENTI!$AL$4:AN$1003,3,FALSE),"")</f>
        <v>#N/A</v>
      </c>
      <c r="E3057" s="41" t="str">
        <f t="shared" si="263"/>
        <v/>
      </c>
      <c r="F3057" s="200"/>
      <c r="G3057" s="178" t="e">
        <f>IF($C$1077&gt;0,VLOOKUP($C3057,ENTI!$AL$4:AP$1003,5,FALSE),"")</f>
        <v>#N/A</v>
      </c>
      <c r="H3057" s="179" t="e">
        <f>IF($C$1077&gt;0,VLOOKUP($C3057,ENTI!$AL$4:AQ$1003,6,FALSE),"")</f>
        <v>#N/A</v>
      </c>
      <c r="I3057" s="187"/>
      <c r="J3057" s="140" t="e">
        <f ca="1">VLOOKUP(D3057,$F$1081:$I$4183,4,FALSE)+COUNTIF(E$1081:E3056,E3057)</f>
        <v>#N/A</v>
      </c>
      <c r="K3057" s="1"/>
      <c r="L3057" s="156"/>
      <c r="M3057" s="1"/>
      <c r="N3057" s="1"/>
      <c r="O3057" s="1"/>
    </row>
    <row r="3058" spans="1:15" hidden="1">
      <c r="A3058" s="1"/>
      <c r="B3058" s="197" t="e">
        <f t="shared" ca="1" si="264"/>
        <v>#N/A</v>
      </c>
      <c r="C3058" s="498">
        <v>992</v>
      </c>
      <c r="D3058" s="41" t="e">
        <f>IF($C$1077&gt;0,VLOOKUP($C3058,ENTI!$AL$4:AN$1003,3,FALSE),"")</f>
        <v>#N/A</v>
      </c>
      <c r="E3058" s="41" t="str">
        <f t="shared" si="263"/>
        <v/>
      </c>
      <c r="F3058" s="200"/>
      <c r="G3058" s="178" t="e">
        <f>IF($C$1077&gt;0,VLOOKUP($C3058,ENTI!$AL$4:AP$1003,5,FALSE),"")</f>
        <v>#N/A</v>
      </c>
      <c r="H3058" s="179" t="e">
        <f>IF($C$1077&gt;0,VLOOKUP($C3058,ENTI!$AL$4:AQ$1003,6,FALSE),"")</f>
        <v>#N/A</v>
      </c>
      <c r="I3058" s="187"/>
      <c r="J3058" s="140" t="e">
        <f ca="1">VLOOKUP(D3058,$F$1081:$I$4183,4,FALSE)+COUNTIF(E$1081:E3057,E3058)</f>
        <v>#N/A</v>
      </c>
      <c r="K3058" s="1"/>
      <c r="L3058" s="156"/>
      <c r="M3058" s="1"/>
      <c r="N3058" s="1"/>
      <c r="O3058" s="1"/>
    </row>
    <row r="3059" spans="1:15" hidden="1">
      <c r="A3059" s="1"/>
      <c r="B3059" s="197" t="e">
        <f t="shared" ca="1" si="264"/>
        <v>#N/A</v>
      </c>
      <c r="C3059" s="498">
        <v>993</v>
      </c>
      <c r="D3059" s="41" t="e">
        <f>IF($C$1077&gt;0,VLOOKUP($C3059,ENTI!$AL$4:AN$1003,3,FALSE),"")</f>
        <v>#N/A</v>
      </c>
      <c r="E3059" s="41" t="str">
        <f t="shared" si="263"/>
        <v/>
      </c>
      <c r="F3059" s="200"/>
      <c r="G3059" s="178" t="e">
        <f>IF($C$1077&gt;0,VLOOKUP($C3059,ENTI!$AL$4:AP$1003,5,FALSE),"")</f>
        <v>#N/A</v>
      </c>
      <c r="H3059" s="179" t="e">
        <f>IF($C$1077&gt;0,VLOOKUP($C3059,ENTI!$AL$4:AQ$1003,6,FALSE),"")</f>
        <v>#N/A</v>
      </c>
      <c r="I3059" s="187"/>
      <c r="J3059" s="140" t="e">
        <f ca="1">VLOOKUP(D3059,$F$1081:$I$4183,4,FALSE)+COUNTIF(E$1081:E3058,E3059)</f>
        <v>#N/A</v>
      </c>
      <c r="K3059" s="1"/>
      <c r="L3059" s="156"/>
      <c r="M3059" s="1"/>
      <c r="N3059" s="1"/>
      <c r="O3059" s="1"/>
    </row>
    <row r="3060" spans="1:15" hidden="1">
      <c r="A3060" s="1"/>
      <c r="B3060" s="197" t="e">
        <f t="shared" ca="1" si="264"/>
        <v>#N/A</v>
      </c>
      <c r="C3060" s="498">
        <v>994</v>
      </c>
      <c r="D3060" s="41" t="e">
        <f>IF($C$1077&gt;0,VLOOKUP($C3060,ENTI!$AL$4:AN$1003,3,FALSE),"")</f>
        <v>#N/A</v>
      </c>
      <c r="E3060" s="41" t="str">
        <f t="shared" si="263"/>
        <v/>
      </c>
      <c r="F3060" s="200"/>
      <c r="G3060" s="178" t="e">
        <f>IF($C$1077&gt;0,VLOOKUP($C3060,ENTI!$AL$4:AP$1003,5,FALSE),"")</f>
        <v>#N/A</v>
      </c>
      <c r="H3060" s="179" t="e">
        <f>IF($C$1077&gt;0,VLOOKUP($C3060,ENTI!$AL$4:AQ$1003,6,FALSE),"")</f>
        <v>#N/A</v>
      </c>
      <c r="I3060" s="187"/>
      <c r="J3060" s="140" t="e">
        <f ca="1">VLOOKUP(D3060,$F$1081:$I$4183,4,FALSE)+COUNTIF(E$1081:E3059,E3060)</f>
        <v>#N/A</v>
      </c>
      <c r="K3060" s="1"/>
      <c r="L3060" s="156"/>
      <c r="M3060" s="1"/>
      <c r="N3060" s="1"/>
      <c r="O3060" s="1"/>
    </row>
    <row r="3061" spans="1:15" hidden="1">
      <c r="A3061" s="1"/>
      <c r="B3061" s="197" t="e">
        <f t="shared" ca="1" si="264"/>
        <v>#N/A</v>
      </c>
      <c r="C3061" s="498">
        <v>995</v>
      </c>
      <c r="D3061" s="41" t="e">
        <f>IF($C$1077&gt;0,VLOOKUP($C3061,ENTI!$AL$4:AN$1003,3,FALSE),"")</f>
        <v>#N/A</v>
      </c>
      <c r="E3061" s="41" t="str">
        <f t="shared" si="263"/>
        <v/>
      </c>
      <c r="F3061" s="200"/>
      <c r="G3061" s="178" t="e">
        <f>IF($C$1077&gt;0,VLOOKUP($C3061,ENTI!$AL$4:AP$1003,5,FALSE),"")</f>
        <v>#N/A</v>
      </c>
      <c r="H3061" s="179" t="e">
        <f>IF($C$1077&gt;0,VLOOKUP($C3061,ENTI!$AL$4:AQ$1003,6,FALSE),"")</f>
        <v>#N/A</v>
      </c>
      <c r="I3061" s="187"/>
      <c r="J3061" s="140" t="e">
        <f ca="1">VLOOKUP(D3061,$F$1081:$I$4183,4,FALSE)+COUNTIF(E$1081:E3060,E3061)</f>
        <v>#N/A</v>
      </c>
      <c r="K3061" s="1"/>
      <c r="L3061" s="156"/>
      <c r="M3061" s="1"/>
      <c r="N3061" s="1"/>
      <c r="O3061" s="1"/>
    </row>
    <row r="3062" spans="1:15" hidden="1">
      <c r="A3062" s="1"/>
      <c r="B3062" s="197" t="e">
        <f t="shared" ca="1" si="264"/>
        <v>#N/A</v>
      </c>
      <c r="C3062" s="498">
        <v>996</v>
      </c>
      <c r="D3062" s="41" t="e">
        <f>IF($C$1077&gt;0,VLOOKUP($C3062,ENTI!$AL$4:AN$1003,3,FALSE),"")</f>
        <v>#N/A</v>
      </c>
      <c r="E3062" s="41" t="str">
        <f t="shared" si="263"/>
        <v/>
      </c>
      <c r="F3062" s="200"/>
      <c r="G3062" s="178" t="e">
        <f>IF($C$1077&gt;0,VLOOKUP($C3062,ENTI!$AL$4:AP$1003,5,FALSE),"")</f>
        <v>#N/A</v>
      </c>
      <c r="H3062" s="179" t="e">
        <f>IF($C$1077&gt;0,VLOOKUP($C3062,ENTI!$AL$4:AQ$1003,6,FALSE),"")</f>
        <v>#N/A</v>
      </c>
      <c r="I3062" s="187"/>
      <c r="J3062" s="140" t="e">
        <f ca="1">VLOOKUP(D3062,$F$1081:$I$4183,4,FALSE)+COUNTIF(E$1081:E3061,E3062)</f>
        <v>#N/A</v>
      </c>
      <c r="K3062" s="1"/>
      <c r="L3062" s="156"/>
      <c r="M3062" s="1"/>
      <c r="N3062" s="1"/>
      <c r="O3062" s="1"/>
    </row>
    <row r="3063" spans="1:15" hidden="1">
      <c r="A3063" s="1"/>
      <c r="B3063" s="197" t="e">
        <f t="shared" ca="1" si="264"/>
        <v>#N/A</v>
      </c>
      <c r="C3063" s="498">
        <v>997</v>
      </c>
      <c r="D3063" s="41" t="e">
        <f>IF($C$1077&gt;0,VLOOKUP($C3063,ENTI!$AL$4:AN$1003,3,FALSE),"")</f>
        <v>#N/A</v>
      </c>
      <c r="E3063" s="41" t="str">
        <f t="shared" si="263"/>
        <v/>
      </c>
      <c r="F3063" s="200"/>
      <c r="G3063" s="178" t="e">
        <f>IF($C$1077&gt;0,VLOOKUP($C3063,ENTI!$AL$4:AP$1003,5,FALSE),"")</f>
        <v>#N/A</v>
      </c>
      <c r="H3063" s="179" t="e">
        <f>IF($C$1077&gt;0,VLOOKUP($C3063,ENTI!$AL$4:AQ$1003,6,FALSE),"")</f>
        <v>#N/A</v>
      </c>
      <c r="I3063" s="187"/>
      <c r="J3063" s="140" t="e">
        <f ca="1">VLOOKUP(D3063,$F$1081:$I$4183,4,FALSE)+COUNTIF(E$1081:E3062,E3063)</f>
        <v>#N/A</v>
      </c>
      <c r="K3063" s="1"/>
      <c r="L3063" s="156"/>
      <c r="M3063" s="1"/>
      <c r="N3063" s="1"/>
      <c r="O3063" s="1"/>
    </row>
    <row r="3064" spans="1:15" hidden="1">
      <c r="A3064" s="1"/>
      <c r="B3064" s="197" t="e">
        <f t="shared" ca="1" si="264"/>
        <v>#N/A</v>
      </c>
      <c r="C3064" s="498">
        <v>998</v>
      </c>
      <c r="D3064" s="41" t="e">
        <f>IF($C$1077&gt;0,VLOOKUP($C3064,ENTI!$AL$4:AN$1003,3,FALSE),"")</f>
        <v>#N/A</v>
      </c>
      <c r="E3064" s="41" t="str">
        <f t="shared" si="263"/>
        <v/>
      </c>
      <c r="F3064" s="200"/>
      <c r="G3064" s="178" t="e">
        <f>IF($C$1077&gt;0,VLOOKUP($C3064,ENTI!$AL$4:AP$1003,5,FALSE),"")</f>
        <v>#N/A</v>
      </c>
      <c r="H3064" s="179" t="e">
        <f>IF($C$1077&gt;0,VLOOKUP($C3064,ENTI!$AL$4:AQ$1003,6,FALSE),"")</f>
        <v>#N/A</v>
      </c>
      <c r="I3064" s="187"/>
      <c r="J3064" s="140" t="e">
        <f ca="1">VLOOKUP(D3064,$F$1081:$I$4183,4,FALSE)+COUNTIF(E$1081:E3063,E3064)</f>
        <v>#N/A</v>
      </c>
      <c r="K3064" s="1"/>
      <c r="L3064" s="156"/>
      <c r="M3064" s="1"/>
      <c r="N3064" s="1"/>
      <c r="O3064" s="1"/>
    </row>
    <row r="3065" spans="1:15" hidden="1">
      <c r="A3065" s="1"/>
      <c r="B3065" s="197" t="e">
        <f t="shared" ca="1" si="264"/>
        <v>#N/A</v>
      </c>
      <c r="C3065" s="498">
        <v>999</v>
      </c>
      <c r="D3065" s="41" t="e">
        <f>IF($C$1077&gt;0,VLOOKUP($C3065,ENTI!$AL$4:AN$1003,3,FALSE),"")</f>
        <v>#N/A</v>
      </c>
      <c r="E3065" s="41" t="str">
        <f t="shared" si="263"/>
        <v/>
      </c>
      <c r="F3065" s="200"/>
      <c r="G3065" s="178" t="e">
        <f>IF($C$1077&gt;0,VLOOKUP($C3065,ENTI!$AL$4:AP$1003,5,FALSE),"")</f>
        <v>#N/A</v>
      </c>
      <c r="H3065" s="179" t="e">
        <f>IF($C$1077&gt;0,VLOOKUP($C3065,ENTI!$AL$4:AQ$1003,6,FALSE),"")</f>
        <v>#N/A</v>
      </c>
      <c r="I3065" s="187"/>
      <c r="J3065" s="140" t="e">
        <f ca="1">VLOOKUP(D3065,$F$1081:$I$4183,4,FALSE)+COUNTIF(E$1081:E3064,E3065)</f>
        <v>#N/A</v>
      </c>
      <c r="K3065" s="1"/>
      <c r="L3065" s="156"/>
      <c r="M3065" s="1"/>
      <c r="N3065" s="1"/>
      <c r="O3065" s="1"/>
    </row>
    <row r="3066" spans="1:15" hidden="1">
      <c r="A3066" s="1"/>
      <c r="B3066" s="197" t="e">
        <f t="shared" ref="B3066:B3097" ca="1" si="265">IF(OR(C$1075&gt;0,C$1077&gt;0,C$1073&gt;0,C$1071&gt;0),J3066+1,J3066)</f>
        <v>#N/A</v>
      </c>
      <c r="C3066" s="498">
        <v>1000</v>
      </c>
      <c r="D3066" s="143" t="e">
        <f>IF($C$1077&gt;0,VLOOKUP($C3066,ENTI!$AL$4:AN$1003,3,FALSE),"")</f>
        <v>#N/A</v>
      </c>
      <c r="E3066" s="143" t="str">
        <f t="shared" ref="E3066:E3105" si="266">IF(ISERROR(D3066),"",D3066)</f>
        <v/>
      </c>
      <c r="F3066" s="201"/>
      <c r="G3066" s="188" t="e">
        <f>IF($C$1077&gt;0,VLOOKUP($C3066,ENTI!$AL$4:AP$1003,5,FALSE),"")</f>
        <v>#N/A</v>
      </c>
      <c r="H3066" s="189" t="e">
        <f>IF($C$1077&gt;0,VLOOKUP($C3066,ENTI!$AL$4:AQ$1003,6,FALSE),"")</f>
        <v>#N/A</v>
      </c>
      <c r="I3066" s="190"/>
      <c r="J3066" s="140" t="e">
        <f ca="1">VLOOKUP(D3066,$F$1081:$I$4183,4,FALSE)+COUNTIF(E$1081:E2265,E3066)</f>
        <v>#N/A</v>
      </c>
      <c r="K3066" s="1"/>
      <c r="L3066" s="156"/>
      <c r="M3066" s="1"/>
      <c r="N3066" s="1"/>
      <c r="O3066" s="1"/>
    </row>
    <row r="3067" spans="1:15" hidden="1">
      <c r="A3067" s="1"/>
      <c r="B3067" s="182" t="e">
        <f t="shared" ca="1" si="265"/>
        <v>#N/A</v>
      </c>
      <c r="C3067" s="499">
        <v>1</v>
      </c>
      <c r="D3067" s="135" t="e">
        <f>IF($C$1078&gt;0,VLOOKUP($C3067,PATRIMONIALE!$AJ$4:$AL$1003,3,FALSE),"")</f>
        <v>#N/A</v>
      </c>
      <c r="E3067" s="135" t="str">
        <f t="shared" si="266"/>
        <v/>
      </c>
      <c r="F3067" s="199"/>
      <c r="G3067" s="136" t="e">
        <f>IF($C$1078&gt;0,VLOOKUP($C3067,PATRIMONIALE!$AJ$4:$AN$1003,5,FALSE),"")</f>
        <v>#N/A</v>
      </c>
      <c r="H3067" s="137" t="e">
        <f>IF($C$1078&gt;0,VLOOKUP($C3067,PATRIMONIALE!$AJ$4:$AO$1003,6,FALSE),"")</f>
        <v>#N/A</v>
      </c>
      <c r="I3067" s="186"/>
      <c r="J3067" s="138" t="e">
        <f ca="1">VLOOKUP(D3067,$F$1081:$I$4183,4,FALSE)+COUNTIF(E$1081:E3066,E3067)</f>
        <v>#N/A</v>
      </c>
      <c r="K3067" s="1"/>
      <c r="L3067" s="103" t="e">
        <f>IF($C$1078&gt;0,VLOOKUP($C3067,PATRIMONIALE!$AJ$4:$AP$1003,7,FALSE),"")</f>
        <v>#N/A</v>
      </c>
      <c r="M3067" s="1"/>
      <c r="N3067" s="1"/>
      <c r="O3067" s="1"/>
    </row>
    <row r="3068" spans="1:15" hidden="1">
      <c r="A3068" s="1"/>
      <c r="B3068" s="182" t="e">
        <f t="shared" ca="1" si="265"/>
        <v>#N/A</v>
      </c>
      <c r="C3068" s="500">
        <v>2</v>
      </c>
      <c r="D3068" s="41" t="e">
        <f>IF($C$1078&gt;0,VLOOKUP($C3068,PATRIMONIALE!$AJ$4:$AL$1003,3,FALSE),"")</f>
        <v>#N/A</v>
      </c>
      <c r="E3068" s="41" t="str">
        <f t="shared" si="266"/>
        <v/>
      </c>
      <c r="F3068" s="200"/>
      <c r="G3068" s="178" t="e">
        <f>IF($C$1078&gt;0,VLOOKUP($C3068,PATRIMONIALE!$AJ$4:$AN$1003,5,FALSE),"")</f>
        <v>#N/A</v>
      </c>
      <c r="H3068" s="179" t="e">
        <f>IF($C$1078&gt;0,VLOOKUP($C3068,PATRIMONIALE!$AJ$4:$AO$1003,6,FALSE),"")</f>
        <v>#N/A</v>
      </c>
      <c r="I3068" s="187"/>
      <c r="J3068" s="140" t="e">
        <f ca="1">VLOOKUP(D3068,$F$1081:$I$4183,4,FALSE)+COUNTIF(E$1081:E3067,E3068)</f>
        <v>#N/A</v>
      </c>
      <c r="K3068" s="1"/>
      <c r="L3068" s="161" t="e">
        <f>IF($C$1078&gt;0,VLOOKUP($C3068,PATRIMONIALE!$AJ$4:$AP$1003,7,FALSE),"")</f>
        <v>#N/A</v>
      </c>
      <c r="M3068" s="1"/>
      <c r="N3068" s="1"/>
      <c r="O3068" s="1"/>
    </row>
    <row r="3069" spans="1:15" hidden="1">
      <c r="A3069" s="1"/>
      <c r="B3069" s="182" t="e">
        <f t="shared" ca="1" si="265"/>
        <v>#N/A</v>
      </c>
      <c r="C3069" s="500">
        <v>3</v>
      </c>
      <c r="D3069" s="41" t="e">
        <f>IF($C$1078&gt;0,VLOOKUP($C3069,PATRIMONIALE!$AJ$4:$AL$1003,3,FALSE),"")</f>
        <v>#N/A</v>
      </c>
      <c r="E3069" s="41" t="str">
        <f t="shared" si="266"/>
        <v/>
      </c>
      <c r="F3069" s="200"/>
      <c r="G3069" s="178" t="e">
        <f>IF($C$1078&gt;0,VLOOKUP($C3069,PATRIMONIALE!$AJ$4:$AN$1003,5,FALSE),"")</f>
        <v>#N/A</v>
      </c>
      <c r="H3069" s="179" t="e">
        <f>IF($C$1078&gt;0,VLOOKUP($C3069,PATRIMONIALE!$AJ$4:$AO$1003,6,FALSE),"")</f>
        <v>#N/A</v>
      </c>
      <c r="I3069" s="187"/>
      <c r="J3069" s="140" t="e">
        <f ca="1">VLOOKUP(D3069,$F$1081:$I$4183,4,FALSE)+COUNTIF(E$1081:E3068,E3069)</f>
        <v>#N/A</v>
      </c>
      <c r="K3069" s="1"/>
      <c r="L3069" s="161" t="e">
        <f>IF($C$1078&gt;0,VLOOKUP($C3069,PATRIMONIALE!$AJ$4:$AP$1003,7,FALSE),"")</f>
        <v>#N/A</v>
      </c>
      <c r="M3069" s="1"/>
      <c r="N3069" s="1"/>
      <c r="O3069" s="1"/>
    </row>
    <row r="3070" spans="1:15" hidden="1">
      <c r="A3070" s="1"/>
      <c r="B3070" s="182" t="e">
        <f t="shared" ca="1" si="265"/>
        <v>#N/A</v>
      </c>
      <c r="C3070" s="500">
        <v>4</v>
      </c>
      <c r="D3070" s="41" t="e">
        <f>IF($C$1078&gt;0,VLOOKUP($C3070,PATRIMONIALE!$AJ$4:$AL$1003,3,FALSE),"")</f>
        <v>#N/A</v>
      </c>
      <c r="E3070" s="41" t="str">
        <f t="shared" si="266"/>
        <v/>
      </c>
      <c r="F3070" s="200"/>
      <c r="G3070" s="178" t="e">
        <f>IF($C$1078&gt;0,VLOOKUP($C3070,PATRIMONIALE!$AJ$4:$AN$1003,5,FALSE),"")</f>
        <v>#N/A</v>
      </c>
      <c r="H3070" s="179" t="e">
        <f>IF($C$1078&gt;0,VLOOKUP($C3070,PATRIMONIALE!$AJ$4:$AO$1003,6,FALSE),"")</f>
        <v>#N/A</v>
      </c>
      <c r="I3070" s="187"/>
      <c r="J3070" s="140" t="e">
        <f ca="1">VLOOKUP(D3070,$F$1081:$I$4183,4,FALSE)+COUNTIF(E$1081:E3069,E3070)</f>
        <v>#N/A</v>
      </c>
      <c r="K3070" s="1"/>
      <c r="L3070" s="161" t="e">
        <f>IF($C$1078&gt;0,VLOOKUP($C3070,PATRIMONIALE!$AJ$4:$AP$1003,7,FALSE),"")</f>
        <v>#N/A</v>
      </c>
      <c r="M3070" s="1"/>
      <c r="N3070" s="1"/>
      <c r="O3070" s="1"/>
    </row>
    <row r="3071" spans="1:15" hidden="1">
      <c r="A3071" s="1"/>
      <c r="B3071" s="182" t="e">
        <f t="shared" ca="1" si="265"/>
        <v>#N/A</v>
      </c>
      <c r="C3071" s="500">
        <v>5</v>
      </c>
      <c r="D3071" s="41" t="e">
        <f>IF($C$1078&gt;0,VLOOKUP($C3071,PATRIMONIALE!$AJ$4:$AL$1003,3,FALSE),"")</f>
        <v>#N/A</v>
      </c>
      <c r="E3071" s="41" t="str">
        <f t="shared" si="266"/>
        <v/>
      </c>
      <c r="F3071" s="200"/>
      <c r="G3071" s="178" t="e">
        <f>IF($C$1078&gt;0,VLOOKUP($C3071,PATRIMONIALE!$AJ$4:$AN$1003,5,FALSE),"")</f>
        <v>#N/A</v>
      </c>
      <c r="H3071" s="179" t="e">
        <f>IF($C$1078&gt;0,VLOOKUP($C3071,PATRIMONIALE!$AJ$4:$AO$1003,6,FALSE),"")</f>
        <v>#N/A</v>
      </c>
      <c r="I3071" s="187"/>
      <c r="J3071" s="140" t="e">
        <f ca="1">VLOOKUP(D3071,$F$1081:$I$4183,4,FALSE)+COUNTIF(E$1081:E3070,E3071)</f>
        <v>#N/A</v>
      </c>
      <c r="K3071" s="1"/>
      <c r="L3071" s="161" t="e">
        <f>IF($C$1078&gt;0,VLOOKUP($C3071,PATRIMONIALE!$AJ$4:$AP$1003,7,FALSE),"")</f>
        <v>#N/A</v>
      </c>
      <c r="M3071" s="1"/>
      <c r="N3071" s="1"/>
      <c r="O3071" s="1"/>
    </row>
    <row r="3072" spans="1:15" hidden="1">
      <c r="A3072" s="1"/>
      <c r="B3072" s="182" t="e">
        <f t="shared" ca="1" si="265"/>
        <v>#N/A</v>
      </c>
      <c r="C3072" s="500">
        <v>6</v>
      </c>
      <c r="D3072" s="41" t="e">
        <f>IF($C$1078&gt;0,VLOOKUP($C3072,PATRIMONIALE!$AJ$4:$AL$1003,3,FALSE),"")</f>
        <v>#N/A</v>
      </c>
      <c r="E3072" s="41" t="str">
        <f t="shared" si="266"/>
        <v/>
      </c>
      <c r="F3072" s="200"/>
      <c r="G3072" s="178" t="e">
        <f>IF($C$1078&gt;0,VLOOKUP($C3072,PATRIMONIALE!$AJ$4:$AN$1003,5,FALSE),"")</f>
        <v>#N/A</v>
      </c>
      <c r="H3072" s="179" t="e">
        <f>IF($C$1078&gt;0,VLOOKUP($C3072,PATRIMONIALE!$AJ$4:$AO$1003,6,FALSE),"")</f>
        <v>#N/A</v>
      </c>
      <c r="I3072" s="187"/>
      <c r="J3072" s="140" t="e">
        <f ca="1">VLOOKUP(D3072,$F$1081:$I$4183,4,FALSE)+COUNTIF(E$1081:E3071,E3072)</f>
        <v>#N/A</v>
      </c>
      <c r="K3072" s="1"/>
      <c r="L3072" s="161" t="e">
        <f>IF($C$1078&gt;0,VLOOKUP($C3072,PATRIMONIALE!$AJ$4:$AP$1003,7,FALSE),"")</f>
        <v>#N/A</v>
      </c>
      <c r="M3072" s="1"/>
      <c r="N3072" s="1"/>
      <c r="O3072" s="1"/>
    </row>
    <row r="3073" spans="1:15" hidden="1">
      <c r="A3073" s="1"/>
      <c r="B3073" s="182" t="e">
        <f t="shared" ca="1" si="265"/>
        <v>#N/A</v>
      </c>
      <c r="C3073" s="500">
        <v>7</v>
      </c>
      <c r="D3073" s="41" t="e">
        <f>IF($C$1078&gt;0,VLOOKUP($C3073,PATRIMONIALE!$AJ$4:$AL$1003,3,FALSE),"")</f>
        <v>#N/A</v>
      </c>
      <c r="E3073" s="41" t="str">
        <f t="shared" si="266"/>
        <v/>
      </c>
      <c r="F3073" s="200"/>
      <c r="G3073" s="178" t="e">
        <f>IF($C$1078&gt;0,VLOOKUP($C3073,PATRIMONIALE!$AJ$4:$AN$1003,5,FALSE),"")</f>
        <v>#N/A</v>
      </c>
      <c r="H3073" s="179" t="e">
        <f>IF($C$1078&gt;0,VLOOKUP($C3073,PATRIMONIALE!$AJ$4:$AO$1003,6,FALSE),"")</f>
        <v>#N/A</v>
      </c>
      <c r="I3073" s="187"/>
      <c r="J3073" s="140" t="e">
        <f ca="1">VLOOKUP(D3073,$F$1081:$I$4183,4,FALSE)+COUNTIF(E$1081:E3072,E3073)</f>
        <v>#N/A</v>
      </c>
      <c r="K3073" s="1"/>
      <c r="L3073" s="161" t="e">
        <f>IF($C$1078&gt;0,VLOOKUP($C3073,PATRIMONIALE!$AJ$4:$AP$1003,7,FALSE),"")</f>
        <v>#N/A</v>
      </c>
      <c r="M3073" s="1"/>
      <c r="N3073" s="1"/>
      <c r="O3073" s="1"/>
    </row>
    <row r="3074" spans="1:15" hidden="1">
      <c r="A3074" s="1"/>
      <c r="B3074" s="182" t="e">
        <f t="shared" ca="1" si="265"/>
        <v>#N/A</v>
      </c>
      <c r="C3074" s="500">
        <v>8</v>
      </c>
      <c r="D3074" s="41" t="e">
        <f>IF($C$1078&gt;0,VLOOKUP($C3074,PATRIMONIALE!$AJ$4:$AL$1003,3,FALSE),"")</f>
        <v>#N/A</v>
      </c>
      <c r="E3074" s="41" t="str">
        <f t="shared" si="266"/>
        <v/>
      </c>
      <c r="F3074" s="200"/>
      <c r="G3074" s="178" t="e">
        <f>IF($C$1078&gt;0,VLOOKUP($C3074,PATRIMONIALE!$AJ$4:$AN$1003,5,FALSE),"")</f>
        <v>#N/A</v>
      </c>
      <c r="H3074" s="179" t="e">
        <f>IF($C$1078&gt;0,VLOOKUP($C3074,PATRIMONIALE!$AJ$4:$AO$1003,6,FALSE),"")</f>
        <v>#N/A</v>
      </c>
      <c r="I3074" s="187"/>
      <c r="J3074" s="140" t="e">
        <f ca="1">VLOOKUP(D3074,$F$1081:$I$4183,4,FALSE)+COUNTIF(E$1081:E3073,E3074)</f>
        <v>#N/A</v>
      </c>
      <c r="K3074" s="1"/>
      <c r="L3074" s="161" t="e">
        <f>IF($C$1078&gt;0,VLOOKUP($C3074,PATRIMONIALE!$AJ$4:$AP$1003,7,FALSE),"")</f>
        <v>#N/A</v>
      </c>
      <c r="M3074" s="1"/>
      <c r="N3074" s="1"/>
      <c r="O3074" s="1"/>
    </row>
    <row r="3075" spans="1:15" hidden="1">
      <c r="A3075" s="1"/>
      <c r="B3075" s="182" t="e">
        <f t="shared" ca="1" si="265"/>
        <v>#N/A</v>
      </c>
      <c r="C3075" s="500">
        <v>9</v>
      </c>
      <c r="D3075" s="41" t="e">
        <f>IF($C$1078&gt;0,VLOOKUP($C3075,PATRIMONIALE!$AJ$4:$AL$1003,3,FALSE),"")</f>
        <v>#N/A</v>
      </c>
      <c r="E3075" s="41" t="str">
        <f t="shared" si="266"/>
        <v/>
      </c>
      <c r="F3075" s="200"/>
      <c r="G3075" s="178" t="e">
        <f>IF($C$1078&gt;0,VLOOKUP($C3075,PATRIMONIALE!$AJ$4:$AN$1003,5,FALSE),"")</f>
        <v>#N/A</v>
      </c>
      <c r="H3075" s="179" t="e">
        <f>IF($C$1078&gt;0,VLOOKUP($C3075,PATRIMONIALE!$AJ$4:$AO$1003,6,FALSE),"")</f>
        <v>#N/A</v>
      </c>
      <c r="I3075" s="187"/>
      <c r="J3075" s="140" t="e">
        <f ca="1">VLOOKUP(D3075,$F$1081:$I$4183,4,FALSE)+COUNTIF(E$1081:E3074,E3075)</f>
        <v>#N/A</v>
      </c>
      <c r="K3075" s="1"/>
      <c r="L3075" s="161" t="e">
        <f>IF($C$1078&gt;0,VLOOKUP($C3075,PATRIMONIALE!$AJ$4:$AP$1003,7,FALSE),"")</f>
        <v>#N/A</v>
      </c>
      <c r="M3075" s="1"/>
      <c r="N3075" s="1"/>
      <c r="O3075" s="1"/>
    </row>
    <row r="3076" spans="1:15" hidden="1">
      <c r="A3076" s="1"/>
      <c r="B3076" s="182" t="e">
        <f t="shared" ca="1" si="265"/>
        <v>#N/A</v>
      </c>
      <c r="C3076" s="500">
        <v>10</v>
      </c>
      <c r="D3076" s="41" t="e">
        <f>IF($C$1078&gt;0,VLOOKUP($C3076,PATRIMONIALE!$AJ$4:$AL$1003,3,FALSE),"")</f>
        <v>#N/A</v>
      </c>
      <c r="E3076" s="41" t="str">
        <f t="shared" si="266"/>
        <v/>
      </c>
      <c r="F3076" s="200"/>
      <c r="G3076" s="178" t="e">
        <f>IF($C$1078&gt;0,VLOOKUP($C3076,PATRIMONIALE!$AJ$4:$AN$1003,5,FALSE),"")</f>
        <v>#N/A</v>
      </c>
      <c r="H3076" s="179" t="e">
        <f>IF($C$1078&gt;0,VLOOKUP($C3076,PATRIMONIALE!$AJ$4:$AO$1003,6,FALSE),"")</f>
        <v>#N/A</v>
      </c>
      <c r="I3076" s="187"/>
      <c r="J3076" s="140" t="e">
        <f ca="1">VLOOKUP(D3076,$F$1081:$I$4183,4,FALSE)+COUNTIF(E$1081:E3075,E3076)</f>
        <v>#N/A</v>
      </c>
      <c r="K3076" s="1"/>
      <c r="L3076" s="161" t="e">
        <f>IF($C$1078&gt;0,VLOOKUP($C3076,PATRIMONIALE!$AJ$4:$AP$1003,7,FALSE),"")</f>
        <v>#N/A</v>
      </c>
      <c r="M3076" s="1"/>
      <c r="N3076" s="1"/>
      <c r="O3076" s="1"/>
    </row>
    <row r="3077" spans="1:15" hidden="1">
      <c r="A3077" s="1"/>
      <c r="B3077" s="182" t="e">
        <f t="shared" ca="1" si="265"/>
        <v>#N/A</v>
      </c>
      <c r="C3077" s="500">
        <v>11</v>
      </c>
      <c r="D3077" s="41" t="e">
        <f>IF($C$1078&gt;0,VLOOKUP($C3077,PATRIMONIALE!$AJ$4:$AL$1003,3,FALSE),"")</f>
        <v>#N/A</v>
      </c>
      <c r="E3077" s="41" t="str">
        <f t="shared" si="266"/>
        <v/>
      </c>
      <c r="F3077" s="200"/>
      <c r="G3077" s="178" t="e">
        <f>IF($C$1078&gt;0,VLOOKUP($C3077,PATRIMONIALE!$AJ$4:$AN$1003,5,FALSE),"")</f>
        <v>#N/A</v>
      </c>
      <c r="H3077" s="179" t="e">
        <f>IF($C$1078&gt;0,VLOOKUP($C3077,PATRIMONIALE!$AJ$4:$AO$1003,6,FALSE),"")</f>
        <v>#N/A</v>
      </c>
      <c r="I3077" s="187"/>
      <c r="J3077" s="140" t="e">
        <f ca="1">VLOOKUP(D3077,$F$1081:$I$4183,4,FALSE)+COUNTIF(E$1081:E3076,E3077)</f>
        <v>#N/A</v>
      </c>
      <c r="K3077" s="1"/>
      <c r="L3077" s="161" t="e">
        <f>IF($C$1078&gt;0,VLOOKUP($C3077,PATRIMONIALE!$AJ$4:$AP$1003,7,FALSE),"")</f>
        <v>#N/A</v>
      </c>
      <c r="M3077" s="1"/>
      <c r="N3077" s="1"/>
      <c r="O3077" s="1"/>
    </row>
    <row r="3078" spans="1:15" hidden="1">
      <c r="A3078" s="1"/>
      <c r="B3078" s="182" t="e">
        <f t="shared" ca="1" si="265"/>
        <v>#N/A</v>
      </c>
      <c r="C3078" s="500">
        <v>12</v>
      </c>
      <c r="D3078" s="41" t="e">
        <f>IF($C$1078&gt;0,VLOOKUP($C3078,PATRIMONIALE!$AJ$4:$AL$1003,3,FALSE),"")</f>
        <v>#N/A</v>
      </c>
      <c r="E3078" s="41" t="str">
        <f t="shared" si="266"/>
        <v/>
      </c>
      <c r="F3078" s="200"/>
      <c r="G3078" s="178" t="e">
        <f>IF($C$1078&gt;0,VLOOKUP($C3078,PATRIMONIALE!$AJ$4:$AN$1003,5,FALSE),"")</f>
        <v>#N/A</v>
      </c>
      <c r="H3078" s="179" t="e">
        <f>IF($C$1078&gt;0,VLOOKUP($C3078,PATRIMONIALE!$AJ$4:$AO$1003,6,FALSE),"")</f>
        <v>#N/A</v>
      </c>
      <c r="I3078" s="187"/>
      <c r="J3078" s="140" t="e">
        <f ca="1">VLOOKUP(D3078,$F$1081:$I$4183,4,FALSE)+COUNTIF(E$1081:E3077,E3078)</f>
        <v>#N/A</v>
      </c>
      <c r="K3078" s="1"/>
      <c r="L3078" s="161" t="e">
        <f>IF($C$1078&gt;0,VLOOKUP($C3078,PATRIMONIALE!$AJ$4:$AP$1003,7,FALSE),"")</f>
        <v>#N/A</v>
      </c>
      <c r="M3078" s="1"/>
      <c r="N3078" s="1"/>
      <c r="O3078" s="1"/>
    </row>
    <row r="3079" spans="1:15" hidden="1">
      <c r="A3079" s="1"/>
      <c r="B3079" s="182">
        <f t="shared" ca="1" si="265"/>
        <v>2</v>
      </c>
      <c r="C3079" s="500">
        <v>13</v>
      </c>
      <c r="D3079" s="41">
        <f>IF($C$1078&gt;0,VLOOKUP($C3079,PATRIMONIALE!$AJ$4:$AL$1003,3,FALSE),"")</f>
        <v>45297</v>
      </c>
      <c r="E3079" s="41">
        <f t="shared" si="266"/>
        <v>45297</v>
      </c>
      <c r="F3079" s="200"/>
      <c r="G3079" s="178" t="str">
        <f>IF($C$1078&gt;0,VLOOKUP($C3079,PATRIMONIALE!$AJ$4:$AN$1003,5,FALSE),"")</f>
        <v>Versato in contanti quota prestabilita GENNAIO</v>
      </c>
      <c r="H3079" s="179">
        <f>IF($C$1078&gt;0,VLOOKUP($C3079,PATRIMONIALE!$AJ$4:$AO$1003,6,FALSE),"")</f>
        <v>100</v>
      </c>
      <c r="I3079" s="187"/>
      <c r="J3079" s="140">
        <f ca="1">VLOOKUP(D3079,$F$1081:$I$4183,4,FALSE)+COUNTIF(E$1081:E3078,E3079)</f>
        <v>1</v>
      </c>
      <c r="K3079" s="1"/>
      <c r="L3079" s="161" t="str">
        <f>IF($C$1078&gt;0,VLOOKUP($C3079,PATRIMONIALE!$AJ$4:$AP$1003,7,FALSE),"")</f>
        <v>Nome ENTE 1</v>
      </c>
      <c r="M3079" s="1"/>
      <c r="N3079" s="1"/>
      <c r="O3079" s="1"/>
    </row>
    <row r="3080" spans="1:15" hidden="1">
      <c r="A3080" s="1"/>
      <c r="B3080" s="182">
        <f t="shared" ca="1" si="265"/>
        <v>4</v>
      </c>
      <c r="C3080" s="500">
        <v>14</v>
      </c>
      <c r="D3080" s="41">
        <f>IF($C$1078&gt;0,VLOOKUP($C3080,PATRIMONIALE!$AJ$4:$AL$1003,3,FALSE),"")</f>
        <v>45310</v>
      </c>
      <c r="E3080" s="41">
        <f t="shared" si="266"/>
        <v>45310</v>
      </c>
      <c r="F3080" s="200"/>
      <c r="G3080" s="178" t="str">
        <f>IF($C$1078&gt;0,VLOOKUP($C3080,PATRIMONIALE!$AJ$4:$AN$1003,5,FALSE),"")</f>
        <v>Versato in contanti acconto GENNAIO</v>
      </c>
      <c r="H3080" s="179">
        <f>IF($C$1078&gt;0,VLOOKUP($C3080,PATRIMONIALE!$AJ$4:$AO$1003,6,FALSE),"")</f>
        <v>50</v>
      </c>
      <c r="I3080" s="187"/>
      <c r="J3080" s="140">
        <f ca="1">VLOOKUP(D3080,$F$1081:$I$4183,4,FALSE)+COUNTIF(E$1081:E3079,E3080)</f>
        <v>3</v>
      </c>
      <c r="K3080" s="1"/>
      <c r="L3080" s="161" t="str">
        <f>IF($C$1078&gt;0,VLOOKUP($C3080,PATRIMONIALE!$AJ$4:$AP$1003,7,FALSE),"")</f>
        <v>Nome ENTE 2</v>
      </c>
      <c r="M3080" s="1"/>
      <c r="N3080" s="1"/>
      <c r="O3080" s="1"/>
    </row>
    <row r="3081" spans="1:15" hidden="1">
      <c r="A3081" s="1"/>
      <c r="B3081" s="182">
        <f t="shared" ca="1" si="265"/>
        <v>5</v>
      </c>
      <c r="C3081" s="500">
        <v>15</v>
      </c>
      <c r="D3081" s="41">
        <f>IF($C$1078&gt;0,VLOOKUP($C3081,PATRIMONIALE!$AJ$4:$AL$1003,3,FALSE),"")</f>
        <v>45323</v>
      </c>
      <c r="E3081" s="41">
        <f t="shared" si="266"/>
        <v>45323</v>
      </c>
      <c r="F3081" s="200"/>
      <c r="G3081" s="178" t="str">
        <f>IF($C$1078&gt;0,VLOOKUP($C3081,PATRIMONIALE!$AJ$4:$AN$1003,5,FALSE),"")</f>
        <v>Ricevuto bonifico quota prestabilita</v>
      </c>
      <c r="H3081" s="179">
        <f>IF($C$1078&gt;0,VLOOKUP($C3081,PATRIMONIALE!$AJ$4:$AO$1003,6,FALSE),"")</f>
        <v>100</v>
      </c>
      <c r="I3081" s="187"/>
      <c r="J3081" s="140">
        <f ca="1">VLOOKUP(D3081,$F$1081:$I$4183,4,FALSE)+COUNTIF(E$1081:E3080,E3081)</f>
        <v>4</v>
      </c>
      <c r="K3081" s="1"/>
      <c r="L3081" s="161" t="str">
        <f>IF($C$1078&gt;0,VLOOKUP($C3081,PATRIMONIALE!$AJ$4:$AP$1003,7,FALSE),"")</f>
        <v>Nome ENTE 3</v>
      </c>
      <c r="M3081" s="1"/>
      <c r="N3081" s="1"/>
      <c r="O3081" s="1"/>
    </row>
    <row r="3082" spans="1:15" hidden="1">
      <c r="A3082" s="1"/>
      <c r="B3082" s="182">
        <f t="shared" ca="1" si="265"/>
        <v>6</v>
      </c>
      <c r="C3082" s="500">
        <v>16</v>
      </c>
      <c r="D3082" s="41">
        <f>IF($C$1078&gt;0,VLOOKUP($C3082,PATRIMONIALE!$AJ$4:$AL$1003,3,FALSE),"")</f>
        <v>45336</v>
      </c>
      <c r="E3082" s="41">
        <f t="shared" si="266"/>
        <v>45336</v>
      </c>
      <c r="F3082" s="200"/>
      <c r="G3082" s="178" t="str">
        <f>IF($C$1078&gt;0,VLOOKUP($C3082,PATRIMONIALE!$AJ$4:$AN$1003,5,FALSE),"")</f>
        <v>Ricevuto bonifico acconto</v>
      </c>
      <c r="H3082" s="179">
        <f>IF($C$1078&gt;0,VLOOKUP($C3082,PATRIMONIALE!$AJ$4:$AO$1003,6,FALSE),"")</f>
        <v>50</v>
      </c>
      <c r="I3082" s="187"/>
      <c r="J3082" s="140">
        <f ca="1">VLOOKUP(D3082,$F$1081:$I$4183,4,FALSE)+COUNTIF(E$1081:E3081,E3082)</f>
        <v>5</v>
      </c>
      <c r="K3082" s="1"/>
      <c r="L3082" s="161" t="str">
        <f>IF($C$1078&gt;0,VLOOKUP($C3082,PATRIMONIALE!$AJ$4:$AP$1003,7,FALSE),"")</f>
        <v>Nome ENTE 4 / sovrascrivi</v>
      </c>
      <c r="M3082" s="1"/>
      <c r="N3082" s="1"/>
      <c r="O3082" s="1"/>
    </row>
    <row r="3083" spans="1:15" hidden="1">
      <c r="A3083" s="1"/>
      <c r="B3083" s="182">
        <f t="shared" ca="1" si="265"/>
        <v>8</v>
      </c>
      <c r="C3083" s="500">
        <v>17</v>
      </c>
      <c r="D3083" s="41">
        <f>IF($C$1078&gt;0,VLOOKUP($C3083,PATRIMONIALE!$AJ$4:$AL$1003,3,FALSE),"")</f>
        <v>45349</v>
      </c>
      <c r="E3083" s="41">
        <f t="shared" si="266"/>
        <v>45349</v>
      </c>
      <c r="F3083" s="200"/>
      <c r="G3083" s="178">
        <f>IF($C$1078&gt;0,VLOOKUP($C3083,PATRIMONIALE!$AJ$4:$AN$1003,5,FALSE),"")</f>
        <v>0</v>
      </c>
      <c r="H3083" s="179">
        <f>IF($C$1078&gt;0,VLOOKUP($C3083,PATRIMONIALE!$AJ$4:$AO$1003,6,FALSE),"")</f>
        <v>100</v>
      </c>
      <c r="I3083" s="187"/>
      <c r="J3083" s="140">
        <f ca="1">VLOOKUP(D3083,$F$1081:$I$4183,4,FALSE)+COUNTIF(E$1081:E3082,E3083)</f>
        <v>7</v>
      </c>
      <c r="K3083" s="1"/>
      <c r="L3083" s="161" t="str">
        <f>IF($C$1078&gt;0,VLOOKUP($C3083,PATRIMONIALE!$AJ$4:$AP$1003,7,FALSE),"")</f>
        <v>Nome ENTE ultimo disponibile</v>
      </c>
      <c r="M3083" s="1"/>
      <c r="N3083" s="1"/>
      <c r="O3083" s="1"/>
    </row>
    <row r="3084" spans="1:15" hidden="1">
      <c r="A3084" s="1"/>
      <c r="B3084" s="182">
        <f t="shared" ca="1" si="265"/>
        <v>12</v>
      </c>
      <c r="C3084" s="500">
        <v>18</v>
      </c>
      <c r="D3084" s="41">
        <f>IF($C$1078&gt;0,VLOOKUP($C3084,PATRIMONIALE!$AJ$4:$AL$1003,3,FALSE),"")</f>
        <v>45401</v>
      </c>
      <c r="E3084" s="41">
        <f t="shared" si="266"/>
        <v>45401</v>
      </c>
      <c r="F3084" s="200"/>
      <c r="G3084" s="178">
        <f>IF($C$1078&gt;0,VLOOKUP($C3084,PATRIMONIALE!$AJ$4:$AN$1003,5,FALSE),"")</f>
        <v>0</v>
      </c>
      <c r="H3084" s="179">
        <f>IF($C$1078&gt;0,VLOOKUP($C3084,PATRIMONIALE!$AJ$4:$AO$1003,6,FALSE),"")</f>
        <v>300</v>
      </c>
      <c r="I3084" s="187"/>
      <c r="J3084" s="140">
        <f ca="1">VLOOKUP(D3084,$F$1081:$I$4183,4,FALSE)+COUNTIF(E$1081:E3083,E3084)</f>
        <v>11</v>
      </c>
      <c r="K3084" s="1"/>
      <c r="L3084" s="161" t="str">
        <f>IF($C$1078&gt;0,VLOOKUP($C3084,PATRIMONIALE!$AJ$4:$AP$1003,7,FALSE),"")</f>
        <v>Nome ENTE 4 / sovrascrivi</v>
      </c>
      <c r="M3084" s="1"/>
      <c r="N3084" s="1"/>
      <c r="O3084" s="1"/>
    </row>
    <row r="3085" spans="1:15" hidden="1">
      <c r="A3085" s="1"/>
      <c r="B3085" s="182">
        <f t="shared" ca="1" si="265"/>
        <v>16</v>
      </c>
      <c r="C3085" s="500">
        <v>19</v>
      </c>
      <c r="D3085" s="41">
        <f>IF($C$1078&gt;0,VLOOKUP($C3085,PATRIMONIALE!$AJ$4:$AL$1003,3,FALSE),"")</f>
        <v>45500</v>
      </c>
      <c r="E3085" s="41">
        <f t="shared" si="266"/>
        <v>45500</v>
      </c>
      <c r="F3085" s="200"/>
      <c r="G3085" s="178">
        <f>IF($C$1078&gt;0,VLOOKUP($C3085,PATRIMONIALE!$AJ$4:$AN$1003,5,FALSE),"")</f>
        <v>0</v>
      </c>
      <c r="H3085" s="179">
        <f>IF($C$1078&gt;0,VLOOKUP($C3085,PATRIMONIALE!$AJ$4:$AO$1003,6,FALSE),"")</f>
        <v>100</v>
      </c>
      <c r="I3085" s="187"/>
      <c r="J3085" s="140">
        <f ca="1">VLOOKUP(D3085,$F$1081:$I$4183,4,FALSE)+COUNTIF(E$1081:E3084,E3085)</f>
        <v>15</v>
      </c>
      <c r="K3085" s="1"/>
      <c r="L3085" s="161" t="str">
        <f>IF($C$1078&gt;0,VLOOKUP($C3085,PATRIMONIALE!$AJ$4:$AP$1003,7,FALSE),"")</f>
        <v>Nome ENTE 2</v>
      </c>
      <c r="M3085" s="1"/>
      <c r="N3085" s="1"/>
      <c r="O3085" s="1"/>
    </row>
    <row r="3086" spans="1:15" hidden="1">
      <c r="A3086" s="1"/>
      <c r="B3086" s="182">
        <f t="shared" ca="1" si="265"/>
        <v>17</v>
      </c>
      <c r="C3086" s="500">
        <v>20</v>
      </c>
      <c r="D3086" s="41">
        <f>IF($C$1078&gt;0,VLOOKUP($C3086,PATRIMONIALE!$AJ$4:$AL$1003,3,FALSE),"")</f>
        <v>45512</v>
      </c>
      <c r="E3086" s="41">
        <f t="shared" si="266"/>
        <v>45512</v>
      </c>
      <c r="F3086" s="200"/>
      <c r="G3086" s="178">
        <f>IF($C$1078&gt;0,VLOOKUP($C3086,PATRIMONIALE!$AJ$4:$AN$1003,5,FALSE),"")</f>
        <v>0</v>
      </c>
      <c r="H3086" s="179">
        <f>IF($C$1078&gt;0,VLOOKUP($C3086,PATRIMONIALE!$AJ$4:$AO$1003,6,FALSE),"")</f>
        <v>300</v>
      </c>
      <c r="I3086" s="187"/>
      <c r="J3086" s="140">
        <f ca="1">VLOOKUP(D3086,$F$1081:$I$4183,4,FALSE)+COUNTIF(E$1081:E3085,E3086)</f>
        <v>16</v>
      </c>
      <c r="K3086" s="1"/>
      <c r="L3086" s="161" t="str">
        <f>IF($C$1078&gt;0,VLOOKUP($C3086,PATRIMONIALE!$AJ$4:$AP$1003,7,FALSE),"")</f>
        <v>Nome ENTE 3</v>
      </c>
      <c r="M3086" s="1"/>
      <c r="N3086" s="1"/>
      <c r="O3086" s="1"/>
    </row>
    <row r="3087" spans="1:15" hidden="1">
      <c r="A3087" s="1"/>
      <c r="B3087" s="182">
        <f t="shared" ca="1" si="265"/>
        <v>18</v>
      </c>
      <c r="C3087" s="500">
        <v>21</v>
      </c>
      <c r="D3087" s="41">
        <f>IF($C$1078&gt;0,VLOOKUP($C3087,PATRIMONIALE!$AJ$4:$AL$1003,3,FALSE),"")</f>
        <v>45524</v>
      </c>
      <c r="E3087" s="41">
        <f t="shared" si="266"/>
        <v>45524</v>
      </c>
      <c r="F3087" s="200"/>
      <c r="G3087" s="178">
        <f>IF($C$1078&gt;0,VLOOKUP($C3087,PATRIMONIALE!$AJ$4:$AN$1003,5,FALSE),"")</f>
        <v>0</v>
      </c>
      <c r="H3087" s="179">
        <f>IF($C$1078&gt;0,VLOOKUP($C3087,PATRIMONIALE!$AJ$4:$AO$1003,6,FALSE),"")</f>
        <v>100</v>
      </c>
      <c r="I3087" s="187"/>
      <c r="J3087" s="140">
        <f ca="1">VLOOKUP(D3087,$F$1081:$I$4183,4,FALSE)+COUNTIF(E$1081:E3086,E3087)</f>
        <v>17</v>
      </c>
      <c r="K3087" s="1"/>
      <c r="L3087" s="161" t="str">
        <f>IF($C$1078&gt;0,VLOOKUP($C3087,PATRIMONIALE!$AJ$4:$AP$1003,7,FALSE),"")</f>
        <v>Nome ENTE 4 / sovrascrivi</v>
      </c>
      <c r="M3087" s="1"/>
      <c r="N3087" s="1"/>
      <c r="O3087" s="1"/>
    </row>
    <row r="3088" spans="1:15" hidden="1">
      <c r="A3088" s="1"/>
      <c r="B3088" s="182">
        <f t="shared" ca="1" si="265"/>
        <v>22</v>
      </c>
      <c r="C3088" s="500">
        <v>22</v>
      </c>
      <c r="D3088" s="41">
        <f>IF($C$1078&gt;0,VLOOKUP($C3088,PATRIMONIALE!$AJ$4:$AL$1003,3,FALSE),"")</f>
        <v>45596</v>
      </c>
      <c r="E3088" s="41">
        <f t="shared" si="266"/>
        <v>45596</v>
      </c>
      <c r="F3088" s="200"/>
      <c r="G3088" s="178">
        <f>IF($C$1078&gt;0,VLOOKUP($C3088,PATRIMONIALE!$AJ$4:$AN$1003,5,FALSE),"")</f>
        <v>0</v>
      </c>
      <c r="H3088" s="179">
        <f>IF($C$1078&gt;0,VLOOKUP($C3088,PATRIMONIALE!$AJ$4:$AO$1003,6,FALSE),"")</f>
        <v>100</v>
      </c>
      <c r="I3088" s="187"/>
      <c r="J3088" s="140">
        <f ca="1">VLOOKUP(D3088,$F$1081:$I$4183,4,FALSE)+COUNTIF(E$1081:E3087,E3088)</f>
        <v>21</v>
      </c>
      <c r="K3088" s="1"/>
      <c r="L3088" s="161" t="str">
        <f>IF($C$1078&gt;0,VLOOKUP($C3088,PATRIMONIALE!$AJ$4:$AP$1003,7,FALSE),"")</f>
        <v>Nome ENTE ultimo disponibile</v>
      </c>
      <c r="M3088" s="1"/>
      <c r="N3088" s="1"/>
      <c r="O3088" s="1"/>
    </row>
    <row r="3089" spans="1:15" hidden="1">
      <c r="A3089" s="1"/>
      <c r="B3089" s="182">
        <f t="shared" ca="1" si="265"/>
        <v>24</v>
      </c>
      <c r="C3089" s="500">
        <v>23</v>
      </c>
      <c r="D3089" s="41">
        <f>IF($C$1078&gt;0,VLOOKUP($C3089,PATRIMONIALE!$AJ$4:$AL$1003,3,FALSE),"")</f>
        <v>45608</v>
      </c>
      <c r="E3089" s="41">
        <f t="shared" si="266"/>
        <v>45608</v>
      </c>
      <c r="F3089" s="200"/>
      <c r="G3089" s="178">
        <f>IF($C$1078&gt;0,VLOOKUP($C3089,PATRIMONIALE!$AJ$4:$AN$1003,5,FALSE),"")</f>
        <v>0</v>
      </c>
      <c r="H3089" s="179">
        <f>IF($C$1078&gt;0,VLOOKUP($C3089,PATRIMONIALE!$AJ$4:$AO$1003,6,FALSE),"")</f>
        <v>50</v>
      </c>
      <c r="I3089" s="187"/>
      <c r="J3089" s="140">
        <f ca="1">VLOOKUP(D3089,$F$1081:$I$4183,4,FALSE)+COUNTIF(E$1081:E3088,E3089)</f>
        <v>23</v>
      </c>
      <c r="K3089" s="1"/>
      <c r="L3089" s="161" t="str">
        <f>IF($C$1078&gt;0,VLOOKUP($C3089,PATRIMONIALE!$AJ$4:$AP$1003,7,FALSE),"")</f>
        <v>Nome ENTE 1</v>
      </c>
      <c r="M3089" s="1"/>
      <c r="N3089" s="1"/>
      <c r="O3089" s="1"/>
    </row>
    <row r="3090" spans="1:15" hidden="1">
      <c r="A3090" s="1"/>
      <c r="B3090" s="182">
        <f t="shared" ca="1" si="265"/>
        <v>26</v>
      </c>
      <c r="C3090" s="500">
        <v>24</v>
      </c>
      <c r="D3090" s="41">
        <f>IF($C$1078&gt;0,VLOOKUP($C3090,PATRIMONIALE!$AJ$4:$AL$1003,3,FALSE),"")</f>
        <v>45620</v>
      </c>
      <c r="E3090" s="41">
        <f t="shared" si="266"/>
        <v>45620</v>
      </c>
      <c r="F3090" s="200"/>
      <c r="G3090" s="178">
        <f>IF($C$1078&gt;0,VLOOKUP($C3090,PATRIMONIALE!$AJ$4:$AN$1003,5,FALSE),"")</f>
        <v>0</v>
      </c>
      <c r="H3090" s="179">
        <f>IF($C$1078&gt;0,VLOOKUP($C3090,PATRIMONIALE!$AJ$4:$AO$1003,6,FALSE),"")</f>
        <v>300</v>
      </c>
      <c r="I3090" s="187"/>
      <c r="J3090" s="140">
        <f ca="1">VLOOKUP(D3090,$F$1081:$I$4183,4,FALSE)+COUNTIF(E$1081:E3089,E3090)</f>
        <v>25</v>
      </c>
      <c r="K3090" s="1"/>
      <c r="L3090" s="161" t="str">
        <f>IF($C$1078&gt;0,VLOOKUP($C3090,PATRIMONIALE!$AJ$4:$AP$1003,7,FALSE),"")</f>
        <v>Nome ENTE 2</v>
      </c>
      <c r="M3090" s="1"/>
      <c r="N3090" s="1"/>
      <c r="O3090" s="1"/>
    </row>
    <row r="3091" spans="1:15" hidden="1">
      <c r="A3091" s="1"/>
      <c r="B3091" s="182" t="e">
        <f t="shared" ca="1" si="265"/>
        <v>#N/A</v>
      </c>
      <c r="C3091" s="500">
        <v>25</v>
      </c>
      <c r="D3091" s="41" t="e">
        <f>IF($C$1078&gt;0,VLOOKUP($C3091,PATRIMONIALE!$AJ$4:$AL$1003,3,FALSE),"")</f>
        <v>#N/A</v>
      </c>
      <c r="E3091" s="41" t="str">
        <f t="shared" si="266"/>
        <v/>
      </c>
      <c r="F3091" s="200"/>
      <c r="G3091" s="178" t="e">
        <f>IF($C$1078&gt;0,VLOOKUP($C3091,PATRIMONIALE!$AJ$4:$AN$1003,5,FALSE),"")</f>
        <v>#N/A</v>
      </c>
      <c r="H3091" s="179" t="e">
        <f>IF($C$1078&gt;0,VLOOKUP($C3091,PATRIMONIALE!$AJ$4:$AO$1003,6,FALSE),"")</f>
        <v>#N/A</v>
      </c>
      <c r="I3091" s="187"/>
      <c r="J3091" s="140" t="e">
        <f ca="1">VLOOKUP(D3091,$F$1081:$I$4183,4,FALSE)+COUNTIF(E$1081:E3090,E3091)</f>
        <v>#N/A</v>
      </c>
      <c r="K3091" s="1"/>
      <c r="L3091" s="161" t="e">
        <f>IF($C$1078&gt;0,VLOOKUP($C3091,PATRIMONIALE!$AJ$4:$AP$1003,7,FALSE),"")</f>
        <v>#N/A</v>
      </c>
      <c r="M3091" s="1"/>
      <c r="N3091" s="1"/>
      <c r="O3091" s="1"/>
    </row>
    <row r="3092" spans="1:15" hidden="1">
      <c r="A3092" s="1"/>
      <c r="B3092" s="182" t="e">
        <f t="shared" ca="1" si="265"/>
        <v>#N/A</v>
      </c>
      <c r="C3092" s="500">
        <v>26</v>
      </c>
      <c r="D3092" s="41" t="e">
        <f>IF($C$1078&gt;0,VLOOKUP($C3092,PATRIMONIALE!$AJ$4:$AL$1003,3,FALSE),"")</f>
        <v>#N/A</v>
      </c>
      <c r="E3092" s="41" t="str">
        <f t="shared" si="266"/>
        <v/>
      </c>
      <c r="F3092" s="200"/>
      <c r="G3092" s="178" t="e">
        <f>IF($C$1078&gt;0,VLOOKUP($C3092,PATRIMONIALE!$AJ$4:$AN$1003,5,FALSE),"")</f>
        <v>#N/A</v>
      </c>
      <c r="H3092" s="179" t="e">
        <f>IF($C$1078&gt;0,VLOOKUP($C3092,PATRIMONIALE!$AJ$4:$AO$1003,6,FALSE),"")</f>
        <v>#N/A</v>
      </c>
      <c r="I3092" s="187"/>
      <c r="J3092" s="140" t="e">
        <f ca="1">VLOOKUP(D3092,$F$1081:$I$4183,4,FALSE)+COUNTIF(E$1081:E3091,E3092)</f>
        <v>#N/A</v>
      </c>
      <c r="K3092" s="1"/>
      <c r="L3092" s="161" t="e">
        <f>IF($C$1078&gt;0,VLOOKUP($C3092,PATRIMONIALE!$AJ$4:$AP$1003,7,FALSE),"")</f>
        <v>#N/A</v>
      </c>
      <c r="M3092" s="1"/>
      <c r="N3092" s="1"/>
      <c r="O3092" s="1"/>
    </row>
    <row r="3093" spans="1:15" hidden="1">
      <c r="A3093" s="1"/>
      <c r="B3093" s="182" t="e">
        <f t="shared" ca="1" si="265"/>
        <v>#N/A</v>
      </c>
      <c r="C3093" s="500">
        <v>27</v>
      </c>
      <c r="D3093" s="41" t="e">
        <f>IF($C$1078&gt;0,VLOOKUP($C3093,PATRIMONIALE!$AJ$4:$AL$1003,3,FALSE),"")</f>
        <v>#N/A</v>
      </c>
      <c r="E3093" s="41" t="str">
        <f t="shared" si="266"/>
        <v/>
      </c>
      <c r="F3093" s="200"/>
      <c r="G3093" s="178" t="e">
        <f>IF($C$1078&gt;0,VLOOKUP($C3093,PATRIMONIALE!$AJ$4:$AN$1003,5,FALSE),"")</f>
        <v>#N/A</v>
      </c>
      <c r="H3093" s="179" t="e">
        <f>IF($C$1078&gt;0,VLOOKUP($C3093,PATRIMONIALE!$AJ$4:$AO$1003,6,FALSE),"")</f>
        <v>#N/A</v>
      </c>
      <c r="I3093" s="187"/>
      <c r="J3093" s="140" t="e">
        <f ca="1">VLOOKUP(D3093,$F$1081:$I$4183,4,FALSE)+COUNTIF(E$1081:E3092,E3093)</f>
        <v>#N/A</v>
      </c>
      <c r="K3093" s="1"/>
      <c r="L3093" s="161" t="e">
        <f>IF($C$1078&gt;0,VLOOKUP($C3093,PATRIMONIALE!$AJ$4:$AP$1003,7,FALSE),"")</f>
        <v>#N/A</v>
      </c>
      <c r="M3093" s="1"/>
      <c r="N3093" s="1"/>
      <c r="O3093" s="1"/>
    </row>
    <row r="3094" spans="1:15" hidden="1">
      <c r="A3094" s="1"/>
      <c r="B3094" s="182" t="e">
        <f t="shared" ca="1" si="265"/>
        <v>#N/A</v>
      </c>
      <c r="C3094" s="500">
        <v>28</v>
      </c>
      <c r="D3094" s="41" t="e">
        <f>IF($C$1078&gt;0,VLOOKUP($C3094,PATRIMONIALE!$AJ$4:$AL$1003,3,FALSE),"")</f>
        <v>#N/A</v>
      </c>
      <c r="E3094" s="41" t="str">
        <f t="shared" si="266"/>
        <v/>
      </c>
      <c r="F3094" s="200"/>
      <c r="G3094" s="178" t="e">
        <f>IF($C$1078&gt;0,VLOOKUP($C3094,PATRIMONIALE!$AJ$4:$AN$1003,5,FALSE),"")</f>
        <v>#N/A</v>
      </c>
      <c r="H3094" s="179" t="e">
        <f>IF($C$1078&gt;0,VLOOKUP($C3094,PATRIMONIALE!$AJ$4:$AO$1003,6,FALSE),"")</f>
        <v>#N/A</v>
      </c>
      <c r="I3094" s="187"/>
      <c r="J3094" s="140" t="e">
        <f ca="1">VLOOKUP(D3094,$F$1081:$I$4183,4,FALSE)+COUNTIF(E$1081:E3093,E3094)</f>
        <v>#N/A</v>
      </c>
      <c r="K3094" s="1"/>
      <c r="L3094" s="161" t="e">
        <f>IF($C$1078&gt;0,VLOOKUP($C3094,PATRIMONIALE!$AJ$4:$AP$1003,7,FALSE),"")</f>
        <v>#N/A</v>
      </c>
      <c r="M3094" s="1"/>
      <c r="N3094" s="1"/>
      <c r="O3094" s="1"/>
    </row>
    <row r="3095" spans="1:15" hidden="1">
      <c r="A3095" s="1"/>
      <c r="B3095" s="182" t="e">
        <f t="shared" ca="1" si="265"/>
        <v>#N/A</v>
      </c>
      <c r="C3095" s="500">
        <v>29</v>
      </c>
      <c r="D3095" s="41" t="e">
        <f>IF($C$1078&gt;0,VLOOKUP($C3095,PATRIMONIALE!$AJ$4:$AL$1003,3,FALSE),"")</f>
        <v>#N/A</v>
      </c>
      <c r="E3095" s="41" t="str">
        <f t="shared" si="266"/>
        <v/>
      </c>
      <c r="F3095" s="200"/>
      <c r="G3095" s="178" t="e">
        <f>IF($C$1078&gt;0,VLOOKUP($C3095,PATRIMONIALE!$AJ$4:$AN$1003,5,FALSE),"")</f>
        <v>#N/A</v>
      </c>
      <c r="H3095" s="179" t="e">
        <f>IF($C$1078&gt;0,VLOOKUP($C3095,PATRIMONIALE!$AJ$4:$AO$1003,6,FALSE),"")</f>
        <v>#N/A</v>
      </c>
      <c r="I3095" s="187"/>
      <c r="J3095" s="140" t="e">
        <f ca="1">VLOOKUP(D3095,$F$1081:$I$4183,4,FALSE)+COUNTIF(E$1081:E3094,E3095)</f>
        <v>#N/A</v>
      </c>
      <c r="K3095" s="1"/>
      <c r="L3095" s="161" t="e">
        <f>IF($C$1078&gt;0,VLOOKUP($C3095,PATRIMONIALE!$AJ$4:$AP$1003,7,FALSE),"")</f>
        <v>#N/A</v>
      </c>
      <c r="M3095" s="1"/>
      <c r="N3095" s="1"/>
      <c r="O3095" s="1"/>
    </row>
    <row r="3096" spans="1:15" hidden="1">
      <c r="A3096" s="1"/>
      <c r="B3096" s="182" t="e">
        <f t="shared" ca="1" si="265"/>
        <v>#N/A</v>
      </c>
      <c r="C3096" s="500">
        <v>30</v>
      </c>
      <c r="D3096" s="41" t="e">
        <f>IF($C$1078&gt;0,VLOOKUP($C3096,PATRIMONIALE!$AJ$4:$AL$1003,3,FALSE),"")</f>
        <v>#N/A</v>
      </c>
      <c r="E3096" s="41" t="str">
        <f t="shared" si="266"/>
        <v/>
      </c>
      <c r="F3096" s="200"/>
      <c r="G3096" s="178" t="e">
        <f>IF($C$1078&gt;0,VLOOKUP($C3096,PATRIMONIALE!$AJ$4:$AN$1003,5,FALSE),"")</f>
        <v>#N/A</v>
      </c>
      <c r="H3096" s="179" t="e">
        <f>IF($C$1078&gt;0,VLOOKUP($C3096,PATRIMONIALE!$AJ$4:$AO$1003,6,FALSE),"")</f>
        <v>#N/A</v>
      </c>
      <c r="I3096" s="187"/>
      <c r="J3096" s="140" t="e">
        <f ca="1">VLOOKUP(D3096,$F$1081:$I$4183,4,FALSE)+COUNTIF(E$1081:E3095,E3096)</f>
        <v>#N/A</v>
      </c>
      <c r="K3096" s="1"/>
      <c r="L3096" s="161" t="e">
        <f>IF($C$1078&gt;0,VLOOKUP($C3096,PATRIMONIALE!$AJ$4:$AP$1003,7,FALSE),"")</f>
        <v>#N/A</v>
      </c>
      <c r="M3096" s="1"/>
      <c r="N3096" s="1"/>
      <c r="O3096" s="1"/>
    </row>
    <row r="3097" spans="1:15" hidden="1">
      <c r="A3097" s="1"/>
      <c r="B3097" s="182" t="e">
        <f t="shared" ca="1" si="265"/>
        <v>#N/A</v>
      </c>
      <c r="C3097" s="500">
        <v>31</v>
      </c>
      <c r="D3097" s="41" t="e">
        <f>IF($C$1078&gt;0,VLOOKUP($C3097,PATRIMONIALE!$AJ$4:$AL$1003,3,FALSE),"")</f>
        <v>#N/A</v>
      </c>
      <c r="E3097" s="41" t="str">
        <f t="shared" si="266"/>
        <v/>
      </c>
      <c r="F3097" s="200"/>
      <c r="G3097" s="178" t="e">
        <f>IF($C$1078&gt;0,VLOOKUP($C3097,PATRIMONIALE!$AJ$4:$AN$1003,5,FALSE),"")</f>
        <v>#N/A</v>
      </c>
      <c r="H3097" s="179" t="e">
        <f>IF($C$1078&gt;0,VLOOKUP($C3097,PATRIMONIALE!$AJ$4:$AO$1003,6,FALSE),"")</f>
        <v>#N/A</v>
      </c>
      <c r="I3097" s="187"/>
      <c r="J3097" s="140" t="e">
        <f ca="1">VLOOKUP(D3097,$F$1081:$I$4183,4,FALSE)+COUNTIF(E$1081:E3096,E3097)</f>
        <v>#N/A</v>
      </c>
      <c r="K3097" s="1"/>
      <c r="L3097" s="161" t="e">
        <f>IF($C$1078&gt;0,VLOOKUP($C3097,PATRIMONIALE!$AJ$4:$AP$1003,7,FALSE),"")</f>
        <v>#N/A</v>
      </c>
      <c r="M3097" s="1"/>
      <c r="N3097" s="1"/>
      <c r="O3097" s="1"/>
    </row>
    <row r="3098" spans="1:15" hidden="1">
      <c r="A3098" s="1"/>
      <c r="B3098" s="182" t="e">
        <f t="shared" ref="B3098:B3128" ca="1" si="267">IF(OR(C$1075&gt;0,C$1077&gt;0,C$1073&gt;0,C$1071&gt;0),J3098+1,J3098)</f>
        <v>#N/A</v>
      </c>
      <c r="C3098" s="500">
        <v>32</v>
      </c>
      <c r="D3098" s="41" t="e">
        <f>IF($C$1078&gt;0,VLOOKUP($C3098,PATRIMONIALE!$AJ$4:$AL$1003,3,FALSE),"")</f>
        <v>#N/A</v>
      </c>
      <c r="E3098" s="41" t="str">
        <f t="shared" si="266"/>
        <v/>
      </c>
      <c r="F3098" s="200"/>
      <c r="G3098" s="178" t="e">
        <f>IF($C$1078&gt;0,VLOOKUP($C3098,PATRIMONIALE!$AJ$4:$AN$1003,5,FALSE),"")</f>
        <v>#N/A</v>
      </c>
      <c r="H3098" s="179" t="e">
        <f>IF($C$1078&gt;0,VLOOKUP($C3098,PATRIMONIALE!$AJ$4:$AO$1003,6,FALSE),"")</f>
        <v>#N/A</v>
      </c>
      <c r="I3098" s="187"/>
      <c r="J3098" s="140" t="e">
        <f ca="1">VLOOKUP(D3098,$F$1081:$I$4183,4,FALSE)+COUNTIF(E$1081:E3097,E3098)</f>
        <v>#N/A</v>
      </c>
      <c r="K3098" s="1"/>
      <c r="L3098" s="161" t="e">
        <f>IF($C$1078&gt;0,VLOOKUP($C3098,PATRIMONIALE!$AJ$4:$AP$1003,7,FALSE),"")</f>
        <v>#N/A</v>
      </c>
      <c r="M3098" s="1"/>
      <c r="N3098" s="1"/>
      <c r="O3098" s="1"/>
    </row>
    <row r="3099" spans="1:15" hidden="1">
      <c r="A3099" s="1"/>
      <c r="B3099" s="182" t="e">
        <f t="shared" ca="1" si="267"/>
        <v>#N/A</v>
      </c>
      <c r="C3099" s="500">
        <v>33</v>
      </c>
      <c r="D3099" s="41" t="e">
        <f>IF($C$1078&gt;0,VLOOKUP($C3099,PATRIMONIALE!$AJ$4:$AL$1003,3,FALSE),"")</f>
        <v>#N/A</v>
      </c>
      <c r="E3099" s="41" t="str">
        <f t="shared" si="266"/>
        <v/>
      </c>
      <c r="F3099" s="200"/>
      <c r="G3099" s="178" t="e">
        <f>IF($C$1078&gt;0,VLOOKUP($C3099,PATRIMONIALE!$AJ$4:$AN$1003,5,FALSE),"")</f>
        <v>#N/A</v>
      </c>
      <c r="H3099" s="179" t="e">
        <f>IF($C$1078&gt;0,VLOOKUP($C3099,PATRIMONIALE!$AJ$4:$AO$1003,6,FALSE),"")</f>
        <v>#N/A</v>
      </c>
      <c r="I3099" s="187"/>
      <c r="J3099" s="140" t="e">
        <f ca="1">VLOOKUP(D3099,$F$1081:$I$4183,4,FALSE)+COUNTIF(E$1081:E3098,E3099)</f>
        <v>#N/A</v>
      </c>
      <c r="K3099" s="1"/>
      <c r="L3099" s="161" t="e">
        <f>IF($C$1078&gt;0,VLOOKUP($C3099,PATRIMONIALE!$AJ$4:$AP$1003,7,FALSE),"")</f>
        <v>#N/A</v>
      </c>
      <c r="M3099" s="1"/>
      <c r="N3099" s="1"/>
      <c r="O3099" s="1"/>
    </row>
    <row r="3100" spans="1:15" hidden="1">
      <c r="A3100" s="1"/>
      <c r="B3100" s="182" t="e">
        <f t="shared" ca="1" si="267"/>
        <v>#N/A</v>
      </c>
      <c r="C3100" s="500">
        <v>34</v>
      </c>
      <c r="D3100" s="41" t="e">
        <f>IF($C$1078&gt;0,VLOOKUP($C3100,PATRIMONIALE!$AJ$4:$AL$1003,3,FALSE),"")</f>
        <v>#N/A</v>
      </c>
      <c r="E3100" s="41" t="str">
        <f t="shared" si="266"/>
        <v/>
      </c>
      <c r="F3100" s="200"/>
      <c r="G3100" s="178" t="e">
        <f>IF($C$1078&gt;0,VLOOKUP($C3100,PATRIMONIALE!$AJ$4:$AN$1003,5,FALSE),"")</f>
        <v>#N/A</v>
      </c>
      <c r="H3100" s="179" t="e">
        <f>IF($C$1078&gt;0,VLOOKUP($C3100,PATRIMONIALE!$AJ$4:$AO$1003,6,FALSE),"")</f>
        <v>#N/A</v>
      </c>
      <c r="I3100" s="187"/>
      <c r="J3100" s="140" t="e">
        <f ca="1">VLOOKUP(D3100,$F$1081:$I$4183,4,FALSE)+COUNTIF(E$1081:E3099,E3100)</f>
        <v>#N/A</v>
      </c>
      <c r="K3100" s="1"/>
      <c r="L3100" s="161" t="e">
        <f>IF($C$1078&gt;0,VLOOKUP($C3100,PATRIMONIALE!$AJ$4:$AP$1003,7,FALSE),"")</f>
        <v>#N/A</v>
      </c>
      <c r="M3100" s="1"/>
      <c r="N3100" s="1"/>
      <c r="O3100" s="1"/>
    </row>
    <row r="3101" spans="1:15" hidden="1">
      <c r="A3101" s="1"/>
      <c r="B3101" s="182" t="e">
        <f t="shared" ca="1" si="267"/>
        <v>#N/A</v>
      </c>
      <c r="C3101" s="500">
        <v>35</v>
      </c>
      <c r="D3101" s="41" t="e">
        <f>IF($C$1078&gt;0,VLOOKUP($C3101,PATRIMONIALE!$AJ$4:$AL$1003,3,FALSE),"")</f>
        <v>#N/A</v>
      </c>
      <c r="E3101" s="41" t="str">
        <f t="shared" si="266"/>
        <v/>
      </c>
      <c r="F3101" s="200"/>
      <c r="G3101" s="178" t="e">
        <f>IF($C$1078&gt;0,VLOOKUP($C3101,PATRIMONIALE!$AJ$4:$AN$1003,5,FALSE),"")</f>
        <v>#N/A</v>
      </c>
      <c r="H3101" s="179" t="e">
        <f>IF($C$1078&gt;0,VLOOKUP($C3101,PATRIMONIALE!$AJ$4:$AO$1003,6,FALSE),"")</f>
        <v>#N/A</v>
      </c>
      <c r="I3101" s="187"/>
      <c r="J3101" s="140" t="e">
        <f ca="1">VLOOKUP(D3101,$F$1081:$I$4183,4,FALSE)+COUNTIF(E$1081:E3100,E3101)</f>
        <v>#N/A</v>
      </c>
      <c r="K3101" s="1"/>
      <c r="L3101" s="161" t="e">
        <f>IF($C$1078&gt;0,VLOOKUP($C3101,PATRIMONIALE!$AJ$4:$AP$1003,7,FALSE),"")</f>
        <v>#N/A</v>
      </c>
      <c r="M3101" s="1"/>
      <c r="N3101" s="1"/>
      <c r="O3101" s="1"/>
    </row>
    <row r="3102" spans="1:15" hidden="1">
      <c r="A3102" s="1"/>
      <c r="B3102" s="182" t="e">
        <f t="shared" ca="1" si="267"/>
        <v>#N/A</v>
      </c>
      <c r="C3102" s="500">
        <v>36</v>
      </c>
      <c r="D3102" s="41" t="e">
        <f>IF($C$1078&gt;0,VLOOKUP($C3102,PATRIMONIALE!$AJ$4:$AL$1003,3,FALSE),"")</f>
        <v>#N/A</v>
      </c>
      <c r="E3102" s="41" t="str">
        <f t="shared" si="266"/>
        <v/>
      </c>
      <c r="F3102" s="200"/>
      <c r="G3102" s="178" t="e">
        <f>IF($C$1078&gt;0,VLOOKUP($C3102,PATRIMONIALE!$AJ$4:$AN$1003,5,FALSE),"")</f>
        <v>#N/A</v>
      </c>
      <c r="H3102" s="179" t="e">
        <f>IF($C$1078&gt;0,VLOOKUP($C3102,PATRIMONIALE!$AJ$4:$AO$1003,6,FALSE),"")</f>
        <v>#N/A</v>
      </c>
      <c r="I3102" s="187"/>
      <c r="J3102" s="140" t="e">
        <f ca="1">VLOOKUP(D3102,$F$1081:$I$4183,4,FALSE)+COUNTIF(E$1081:E3101,E3102)</f>
        <v>#N/A</v>
      </c>
      <c r="K3102" s="1"/>
      <c r="L3102" s="161" t="e">
        <f>IF($C$1078&gt;0,VLOOKUP($C3102,PATRIMONIALE!$AJ$4:$AP$1003,7,FALSE),"")</f>
        <v>#N/A</v>
      </c>
      <c r="M3102" s="1"/>
      <c r="N3102" s="1"/>
      <c r="O3102" s="1"/>
    </row>
    <row r="3103" spans="1:15" hidden="1">
      <c r="A3103" s="1"/>
      <c r="B3103" s="182" t="e">
        <f t="shared" ca="1" si="267"/>
        <v>#N/A</v>
      </c>
      <c r="C3103" s="500">
        <v>37</v>
      </c>
      <c r="D3103" s="41" t="e">
        <f>IF($C$1078&gt;0,VLOOKUP($C3103,PATRIMONIALE!$AJ$4:$AL$1003,3,FALSE),"")</f>
        <v>#N/A</v>
      </c>
      <c r="E3103" s="41" t="str">
        <f t="shared" si="266"/>
        <v/>
      </c>
      <c r="F3103" s="200"/>
      <c r="G3103" s="178" t="e">
        <f>IF($C$1078&gt;0,VLOOKUP($C3103,PATRIMONIALE!$AJ$4:$AN$1003,5,FALSE),"")</f>
        <v>#N/A</v>
      </c>
      <c r="H3103" s="179" t="e">
        <f>IF($C$1078&gt;0,VLOOKUP($C3103,PATRIMONIALE!$AJ$4:$AO$1003,6,FALSE),"")</f>
        <v>#N/A</v>
      </c>
      <c r="I3103" s="187"/>
      <c r="J3103" s="140" t="e">
        <f ca="1">VLOOKUP(D3103,$F$1081:$I$4183,4,FALSE)+COUNTIF(E$1081:E3102,E3103)</f>
        <v>#N/A</v>
      </c>
      <c r="K3103" s="1"/>
      <c r="L3103" s="161" t="e">
        <f>IF($C$1078&gt;0,VLOOKUP($C3103,PATRIMONIALE!$AJ$4:$AP$1003,7,FALSE),"")</f>
        <v>#N/A</v>
      </c>
      <c r="M3103" s="1"/>
      <c r="N3103" s="1"/>
      <c r="O3103" s="1"/>
    </row>
    <row r="3104" spans="1:15" hidden="1">
      <c r="A3104" s="1"/>
      <c r="B3104" s="182" t="e">
        <f t="shared" ca="1" si="267"/>
        <v>#N/A</v>
      </c>
      <c r="C3104" s="500">
        <v>38</v>
      </c>
      <c r="D3104" s="41" t="e">
        <f>IF($C$1078&gt;0,VLOOKUP($C3104,PATRIMONIALE!$AJ$4:$AL$1003,3,FALSE),"")</f>
        <v>#N/A</v>
      </c>
      <c r="E3104" s="41" t="str">
        <f t="shared" si="266"/>
        <v/>
      </c>
      <c r="F3104" s="200"/>
      <c r="G3104" s="178" t="e">
        <f>IF($C$1078&gt;0,VLOOKUP($C3104,PATRIMONIALE!$AJ$4:$AN$1003,5,FALSE),"")</f>
        <v>#N/A</v>
      </c>
      <c r="H3104" s="179" t="e">
        <f>IF($C$1078&gt;0,VLOOKUP($C3104,PATRIMONIALE!$AJ$4:$AO$1003,6,FALSE),"")</f>
        <v>#N/A</v>
      </c>
      <c r="I3104" s="187"/>
      <c r="J3104" s="140" t="e">
        <f ca="1">VLOOKUP(D3104,$F$1081:$I$4183,4,FALSE)+COUNTIF(E$1081:E3103,E3104)</f>
        <v>#N/A</v>
      </c>
      <c r="K3104" s="1"/>
      <c r="L3104" s="161" t="e">
        <f>IF($C$1078&gt;0,VLOOKUP($C3104,PATRIMONIALE!$AJ$4:$AP$1003,7,FALSE),"")</f>
        <v>#N/A</v>
      </c>
      <c r="M3104" s="1"/>
      <c r="N3104" s="1"/>
      <c r="O3104" s="1"/>
    </row>
    <row r="3105" spans="1:15" hidden="1">
      <c r="A3105" s="1"/>
      <c r="B3105" s="182" t="e">
        <f t="shared" ca="1" si="267"/>
        <v>#N/A</v>
      </c>
      <c r="C3105" s="500">
        <v>39</v>
      </c>
      <c r="D3105" s="41" t="e">
        <f>IF($C$1078&gt;0,VLOOKUP($C3105,PATRIMONIALE!$AJ$4:$AL$1003,3,FALSE),"")</f>
        <v>#N/A</v>
      </c>
      <c r="E3105" s="41" t="str">
        <f t="shared" si="266"/>
        <v/>
      </c>
      <c r="F3105" s="200"/>
      <c r="G3105" s="178" t="e">
        <f>IF($C$1078&gt;0,VLOOKUP($C3105,PATRIMONIALE!$AJ$4:$AN$1003,5,FALSE),"")</f>
        <v>#N/A</v>
      </c>
      <c r="H3105" s="179" t="e">
        <f>IF($C$1078&gt;0,VLOOKUP($C3105,PATRIMONIALE!$AJ$4:$AO$1003,6,FALSE),"")</f>
        <v>#N/A</v>
      </c>
      <c r="I3105" s="187"/>
      <c r="J3105" s="140" t="e">
        <f ca="1">VLOOKUP(D3105,$F$1081:$I$4183,4,FALSE)+COUNTIF(E$1081:E3104,E3105)</f>
        <v>#N/A</v>
      </c>
      <c r="K3105" s="1"/>
      <c r="L3105" s="161" t="e">
        <f>IF($C$1078&gt;0,VLOOKUP($C3105,PATRIMONIALE!$AJ$4:$AP$1003,7,FALSE),"")</f>
        <v>#N/A</v>
      </c>
      <c r="M3105" s="1"/>
      <c r="N3105" s="1"/>
      <c r="O3105" s="1"/>
    </row>
    <row r="3106" spans="1:15" hidden="1">
      <c r="A3106" s="1"/>
      <c r="B3106" s="182" t="e">
        <f t="shared" ca="1" si="267"/>
        <v>#N/A</v>
      </c>
      <c r="C3106" s="500">
        <v>40</v>
      </c>
      <c r="D3106" s="41" t="e">
        <f>IF($C$1078&gt;0,VLOOKUP($C3106,PATRIMONIALE!$AJ$4:$AL$1003,3,FALSE),"")</f>
        <v>#N/A</v>
      </c>
      <c r="E3106" s="41" t="str">
        <f t="shared" ref="E3106:E3169" si="268">IF(ISERROR(D3106),"",D3106)</f>
        <v/>
      </c>
      <c r="F3106" s="200"/>
      <c r="G3106" s="178" t="e">
        <f>IF($C$1078&gt;0,VLOOKUP($C3106,PATRIMONIALE!$AJ$4:$AN$1003,5,FALSE),"")</f>
        <v>#N/A</v>
      </c>
      <c r="H3106" s="179" t="e">
        <f>IF($C$1078&gt;0,VLOOKUP($C3106,PATRIMONIALE!$AJ$4:$AO$1003,6,FALSE),"")</f>
        <v>#N/A</v>
      </c>
      <c r="I3106" s="187"/>
      <c r="J3106" s="140" t="e">
        <f ca="1">VLOOKUP(D3106,$F$1081:$I$4183,4,FALSE)+COUNTIF(E$1081:E3105,E3106)</f>
        <v>#N/A</v>
      </c>
      <c r="K3106" s="1"/>
      <c r="L3106" s="161" t="e">
        <f>IF($C$1078&gt;0,VLOOKUP($C3106,PATRIMONIALE!$AJ$4:$AP$1003,7,FALSE),"")</f>
        <v>#N/A</v>
      </c>
      <c r="M3106" s="1"/>
      <c r="N3106" s="1"/>
      <c r="O3106" s="1"/>
    </row>
    <row r="3107" spans="1:15" hidden="1">
      <c r="A3107" s="1"/>
      <c r="B3107" s="182" t="e">
        <f t="shared" ca="1" si="267"/>
        <v>#N/A</v>
      </c>
      <c r="C3107" s="500">
        <v>41</v>
      </c>
      <c r="D3107" s="41" t="e">
        <f>IF($C$1078&gt;0,VLOOKUP($C3107,PATRIMONIALE!$AJ$4:$AL$1003,3,FALSE),"")</f>
        <v>#N/A</v>
      </c>
      <c r="E3107" s="41" t="str">
        <f t="shared" si="268"/>
        <v/>
      </c>
      <c r="F3107" s="200"/>
      <c r="G3107" s="178" t="e">
        <f>IF($C$1078&gt;0,VLOOKUP($C3107,PATRIMONIALE!$AJ$4:$AN$1003,5,FALSE),"")</f>
        <v>#N/A</v>
      </c>
      <c r="H3107" s="179" t="e">
        <f>IF($C$1078&gt;0,VLOOKUP($C3107,PATRIMONIALE!$AJ$4:$AO$1003,6,FALSE),"")</f>
        <v>#N/A</v>
      </c>
      <c r="I3107" s="187"/>
      <c r="J3107" s="140" t="e">
        <f ca="1">VLOOKUP(D3107,$F$1081:$I$4183,4,FALSE)+COUNTIF(E$1081:E3106,E3107)</f>
        <v>#N/A</v>
      </c>
      <c r="K3107" s="1"/>
      <c r="L3107" s="161" t="e">
        <f>IF($C$1078&gt;0,VLOOKUP($C3107,PATRIMONIALE!$AJ$4:$AP$1003,7,FALSE),"")</f>
        <v>#N/A</v>
      </c>
      <c r="M3107" s="1"/>
      <c r="N3107" s="1"/>
      <c r="O3107" s="1"/>
    </row>
    <row r="3108" spans="1:15" hidden="1">
      <c r="A3108" s="1"/>
      <c r="B3108" s="182" t="e">
        <f t="shared" ca="1" si="267"/>
        <v>#N/A</v>
      </c>
      <c r="C3108" s="500">
        <v>42</v>
      </c>
      <c r="D3108" s="41" t="e">
        <f>IF($C$1078&gt;0,VLOOKUP($C3108,PATRIMONIALE!$AJ$4:$AL$1003,3,FALSE),"")</f>
        <v>#N/A</v>
      </c>
      <c r="E3108" s="41" t="str">
        <f t="shared" si="268"/>
        <v/>
      </c>
      <c r="F3108" s="200"/>
      <c r="G3108" s="178" t="e">
        <f>IF($C$1078&gt;0,VLOOKUP($C3108,PATRIMONIALE!$AJ$4:$AN$1003,5,FALSE),"")</f>
        <v>#N/A</v>
      </c>
      <c r="H3108" s="179" t="e">
        <f>IF($C$1078&gt;0,VLOOKUP($C3108,PATRIMONIALE!$AJ$4:$AO$1003,6,FALSE),"")</f>
        <v>#N/A</v>
      </c>
      <c r="I3108" s="187"/>
      <c r="J3108" s="140" t="e">
        <f ca="1">VLOOKUP(D3108,$F$1081:$I$4183,4,FALSE)+COUNTIF(E$1081:E3107,E3108)</f>
        <v>#N/A</v>
      </c>
      <c r="K3108" s="1"/>
      <c r="L3108" s="161" t="e">
        <f>IF($C$1078&gt;0,VLOOKUP($C3108,PATRIMONIALE!$AJ$4:$AP$1003,7,FALSE),"")</f>
        <v>#N/A</v>
      </c>
      <c r="M3108" s="1"/>
      <c r="N3108" s="1"/>
      <c r="O3108" s="1"/>
    </row>
    <row r="3109" spans="1:15" hidden="1">
      <c r="A3109" s="1"/>
      <c r="B3109" s="182" t="e">
        <f t="shared" ca="1" si="267"/>
        <v>#N/A</v>
      </c>
      <c r="C3109" s="500">
        <v>43</v>
      </c>
      <c r="D3109" s="41" t="e">
        <f>IF($C$1078&gt;0,VLOOKUP($C3109,PATRIMONIALE!$AJ$4:$AL$1003,3,FALSE),"")</f>
        <v>#N/A</v>
      </c>
      <c r="E3109" s="41" t="str">
        <f t="shared" si="268"/>
        <v/>
      </c>
      <c r="F3109" s="200"/>
      <c r="G3109" s="178" t="e">
        <f>IF($C$1078&gt;0,VLOOKUP($C3109,PATRIMONIALE!$AJ$4:$AN$1003,5,FALSE),"")</f>
        <v>#N/A</v>
      </c>
      <c r="H3109" s="179" t="e">
        <f>IF($C$1078&gt;0,VLOOKUP($C3109,PATRIMONIALE!$AJ$4:$AO$1003,6,FALSE),"")</f>
        <v>#N/A</v>
      </c>
      <c r="I3109" s="187"/>
      <c r="J3109" s="140" t="e">
        <f ca="1">VLOOKUP(D3109,$F$1081:$I$4183,4,FALSE)+COUNTIF(E$1081:E3108,E3109)</f>
        <v>#N/A</v>
      </c>
      <c r="K3109" s="1"/>
      <c r="L3109" s="161" t="e">
        <f>IF($C$1078&gt;0,VLOOKUP($C3109,PATRIMONIALE!$AJ$4:$AP$1003,7,FALSE),"")</f>
        <v>#N/A</v>
      </c>
      <c r="M3109" s="1"/>
      <c r="N3109" s="1"/>
      <c r="O3109" s="1"/>
    </row>
    <row r="3110" spans="1:15" hidden="1">
      <c r="A3110" s="1"/>
      <c r="B3110" s="182" t="e">
        <f t="shared" ca="1" si="267"/>
        <v>#N/A</v>
      </c>
      <c r="C3110" s="500">
        <v>44</v>
      </c>
      <c r="D3110" s="41" t="e">
        <f>IF($C$1078&gt;0,VLOOKUP($C3110,PATRIMONIALE!$AJ$4:$AL$1003,3,FALSE),"")</f>
        <v>#N/A</v>
      </c>
      <c r="E3110" s="41" t="str">
        <f t="shared" si="268"/>
        <v/>
      </c>
      <c r="F3110" s="200"/>
      <c r="G3110" s="178" t="e">
        <f>IF($C$1078&gt;0,VLOOKUP($C3110,PATRIMONIALE!$AJ$4:$AN$1003,5,FALSE),"")</f>
        <v>#N/A</v>
      </c>
      <c r="H3110" s="179" t="e">
        <f>IF($C$1078&gt;0,VLOOKUP($C3110,PATRIMONIALE!$AJ$4:$AO$1003,6,FALSE),"")</f>
        <v>#N/A</v>
      </c>
      <c r="I3110" s="187"/>
      <c r="J3110" s="140" t="e">
        <f ca="1">VLOOKUP(D3110,$F$1081:$I$4183,4,FALSE)+COUNTIF(E$1081:E3109,E3110)</f>
        <v>#N/A</v>
      </c>
      <c r="K3110" s="1"/>
      <c r="L3110" s="161" t="e">
        <f>IF($C$1078&gt;0,VLOOKUP($C3110,PATRIMONIALE!$AJ$4:$AP$1003,7,FALSE),"")</f>
        <v>#N/A</v>
      </c>
      <c r="M3110" s="1"/>
      <c r="N3110" s="1"/>
      <c r="O3110" s="1"/>
    </row>
    <row r="3111" spans="1:15" hidden="1">
      <c r="A3111" s="1"/>
      <c r="B3111" s="182" t="e">
        <f t="shared" ca="1" si="267"/>
        <v>#N/A</v>
      </c>
      <c r="C3111" s="500">
        <v>45</v>
      </c>
      <c r="D3111" s="41" t="e">
        <f>IF($C$1078&gt;0,VLOOKUP($C3111,PATRIMONIALE!$AJ$4:$AL$1003,3,FALSE),"")</f>
        <v>#N/A</v>
      </c>
      <c r="E3111" s="41" t="str">
        <f t="shared" si="268"/>
        <v/>
      </c>
      <c r="F3111" s="200"/>
      <c r="G3111" s="178" t="e">
        <f>IF($C$1078&gt;0,VLOOKUP($C3111,PATRIMONIALE!$AJ$4:$AN$1003,5,FALSE),"")</f>
        <v>#N/A</v>
      </c>
      <c r="H3111" s="179" t="e">
        <f>IF($C$1078&gt;0,VLOOKUP($C3111,PATRIMONIALE!$AJ$4:$AO$1003,6,FALSE),"")</f>
        <v>#N/A</v>
      </c>
      <c r="I3111" s="187"/>
      <c r="J3111" s="140" t="e">
        <f ca="1">VLOOKUP(D3111,$F$1081:$I$4183,4,FALSE)+COUNTIF(E$1081:E3110,E3111)</f>
        <v>#N/A</v>
      </c>
      <c r="K3111" s="1"/>
      <c r="L3111" s="161" t="e">
        <f>IF($C$1078&gt;0,VLOOKUP($C3111,PATRIMONIALE!$AJ$4:$AP$1003,7,FALSE),"")</f>
        <v>#N/A</v>
      </c>
      <c r="M3111" s="1"/>
      <c r="N3111" s="1"/>
      <c r="O3111" s="1"/>
    </row>
    <row r="3112" spans="1:15" hidden="1">
      <c r="A3112" s="1"/>
      <c r="B3112" s="182" t="e">
        <f t="shared" ca="1" si="267"/>
        <v>#N/A</v>
      </c>
      <c r="C3112" s="500">
        <v>46</v>
      </c>
      <c r="D3112" s="41" t="e">
        <f>IF($C$1078&gt;0,VLOOKUP($C3112,PATRIMONIALE!$AJ$4:$AL$1003,3,FALSE),"")</f>
        <v>#N/A</v>
      </c>
      <c r="E3112" s="41" t="str">
        <f t="shared" si="268"/>
        <v/>
      </c>
      <c r="F3112" s="200"/>
      <c r="G3112" s="178" t="e">
        <f>IF($C$1078&gt;0,VLOOKUP($C3112,PATRIMONIALE!$AJ$4:$AN$1003,5,FALSE),"")</f>
        <v>#N/A</v>
      </c>
      <c r="H3112" s="179" t="e">
        <f>IF($C$1078&gt;0,VLOOKUP($C3112,PATRIMONIALE!$AJ$4:$AO$1003,6,FALSE),"")</f>
        <v>#N/A</v>
      </c>
      <c r="I3112" s="187"/>
      <c r="J3112" s="140" t="e">
        <f ca="1">VLOOKUP(D3112,$F$1081:$I$4183,4,FALSE)+COUNTIF(E$1081:E3111,E3112)</f>
        <v>#N/A</v>
      </c>
      <c r="K3112" s="1"/>
      <c r="L3112" s="161" t="e">
        <f>IF($C$1078&gt;0,VLOOKUP($C3112,PATRIMONIALE!$AJ$4:$AP$1003,7,FALSE),"")</f>
        <v>#N/A</v>
      </c>
      <c r="M3112" s="1"/>
      <c r="N3112" s="1"/>
      <c r="O3112" s="1"/>
    </row>
    <row r="3113" spans="1:15" hidden="1">
      <c r="A3113" s="1"/>
      <c r="B3113" s="182" t="e">
        <f t="shared" ca="1" si="267"/>
        <v>#N/A</v>
      </c>
      <c r="C3113" s="500">
        <v>47</v>
      </c>
      <c r="D3113" s="41" t="e">
        <f>IF($C$1078&gt;0,VLOOKUP($C3113,PATRIMONIALE!$AJ$4:$AL$1003,3,FALSE),"")</f>
        <v>#N/A</v>
      </c>
      <c r="E3113" s="41" t="str">
        <f t="shared" si="268"/>
        <v/>
      </c>
      <c r="F3113" s="200"/>
      <c r="G3113" s="178" t="e">
        <f>IF($C$1078&gt;0,VLOOKUP($C3113,PATRIMONIALE!$AJ$4:$AN$1003,5,FALSE),"")</f>
        <v>#N/A</v>
      </c>
      <c r="H3113" s="179" t="e">
        <f>IF($C$1078&gt;0,VLOOKUP($C3113,PATRIMONIALE!$AJ$4:$AO$1003,6,FALSE),"")</f>
        <v>#N/A</v>
      </c>
      <c r="I3113" s="187"/>
      <c r="J3113" s="140" t="e">
        <f ca="1">VLOOKUP(D3113,$F$1081:$I$4183,4,FALSE)+COUNTIF(E$1081:E3112,E3113)</f>
        <v>#N/A</v>
      </c>
      <c r="K3113" s="1"/>
      <c r="L3113" s="161" t="e">
        <f>IF($C$1078&gt;0,VLOOKUP($C3113,PATRIMONIALE!$AJ$4:$AP$1003,7,FALSE),"")</f>
        <v>#N/A</v>
      </c>
      <c r="M3113" s="1"/>
      <c r="N3113" s="1"/>
      <c r="O3113" s="1"/>
    </row>
    <row r="3114" spans="1:15" hidden="1">
      <c r="A3114" s="1"/>
      <c r="B3114" s="182" t="e">
        <f t="shared" ca="1" si="267"/>
        <v>#N/A</v>
      </c>
      <c r="C3114" s="500">
        <v>48</v>
      </c>
      <c r="D3114" s="41" t="e">
        <f>IF($C$1078&gt;0,VLOOKUP($C3114,PATRIMONIALE!$AJ$4:$AL$1003,3,FALSE),"")</f>
        <v>#N/A</v>
      </c>
      <c r="E3114" s="41" t="str">
        <f t="shared" si="268"/>
        <v/>
      </c>
      <c r="F3114" s="200"/>
      <c r="G3114" s="178" t="e">
        <f>IF($C$1078&gt;0,VLOOKUP($C3114,PATRIMONIALE!$AJ$4:$AN$1003,5,FALSE),"")</f>
        <v>#N/A</v>
      </c>
      <c r="H3114" s="179" t="e">
        <f>IF($C$1078&gt;0,VLOOKUP($C3114,PATRIMONIALE!$AJ$4:$AO$1003,6,FALSE),"")</f>
        <v>#N/A</v>
      </c>
      <c r="I3114" s="187"/>
      <c r="J3114" s="140" t="e">
        <f ca="1">VLOOKUP(D3114,$F$1081:$I$4183,4,FALSE)+COUNTIF(E$1081:E3113,E3114)</f>
        <v>#N/A</v>
      </c>
      <c r="K3114" s="1"/>
      <c r="L3114" s="161" t="e">
        <f>IF($C$1078&gt;0,VLOOKUP($C3114,PATRIMONIALE!$AJ$4:$AP$1003,7,FALSE),"")</f>
        <v>#N/A</v>
      </c>
      <c r="M3114" s="1"/>
      <c r="N3114" s="1"/>
      <c r="O3114" s="1"/>
    </row>
    <row r="3115" spans="1:15" hidden="1">
      <c r="A3115" s="1"/>
      <c r="B3115" s="182" t="e">
        <f t="shared" ca="1" si="267"/>
        <v>#N/A</v>
      </c>
      <c r="C3115" s="500">
        <v>49</v>
      </c>
      <c r="D3115" s="41" t="e">
        <f>IF($C$1078&gt;0,VLOOKUP($C3115,PATRIMONIALE!$AJ$4:$AL$1003,3,FALSE),"")</f>
        <v>#N/A</v>
      </c>
      <c r="E3115" s="41" t="str">
        <f t="shared" si="268"/>
        <v/>
      </c>
      <c r="F3115" s="200"/>
      <c r="G3115" s="178" t="e">
        <f>IF($C$1078&gt;0,VLOOKUP($C3115,PATRIMONIALE!$AJ$4:$AN$1003,5,FALSE),"")</f>
        <v>#N/A</v>
      </c>
      <c r="H3115" s="179" t="e">
        <f>IF($C$1078&gt;0,VLOOKUP($C3115,PATRIMONIALE!$AJ$4:$AO$1003,6,FALSE),"")</f>
        <v>#N/A</v>
      </c>
      <c r="I3115" s="187"/>
      <c r="J3115" s="140" t="e">
        <f ca="1">VLOOKUP(D3115,$F$1081:$I$4183,4,FALSE)+COUNTIF(E$1081:E3114,E3115)</f>
        <v>#N/A</v>
      </c>
      <c r="K3115" s="1"/>
      <c r="L3115" s="161" t="e">
        <f>IF($C$1078&gt;0,VLOOKUP($C3115,PATRIMONIALE!$AJ$4:$AP$1003,7,FALSE),"")</f>
        <v>#N/A</v>
      </c>
      <c r="M3115" s="1"/>
      <c r="N3115" s="1"/>
      <c r="O3115" s="1"/>
    </row>
    <row r="3116" spans="1:15" hidden="1">
      <c r="A3116" s="1"/>
      <c r="B3116" s="182" t="e">
        <f t="shared" ca="1" si="267"/>
        <v>#N/A</v>
      </c>
      <c r="C3116" s="500">
        <v>50</v>
      </c>
      <c r="D3116" s="41" t="e">
        <f>IF($C$1078&gt;0,VLOOKUP($C3116,PATRIMONIALE!$AJ$4:$AL$1003,3,FALSE),"")</f>
        <v>#N/A</v>
      </c>
      <c r="E3116" s="41" t="str">
        <f t="shared" si="268"/>
        <v/>
      </c>
      <c r="F3116" s="200"/>
      <c r="G3116" s="178" t="e">
        <f>IF($C$1078&gt;0,VLOOKUP($C3116,PATRIMONIALE!$AJ$4:$AN$1003,5,FALSE),"")</f>
        <v>#N/A</v>
      </c>
      <c r="H3116" s="179" t="e">
        <f>IF($C$1078&gt;0,VLOOKUP($C3116,PATRIMONIALE!$AJ$4:$AO$1003,6,FALSE),"")</f>
        <v>#N/A</v>
      </c>
      <c r="I3116" s="187"/>
      <c r="J3116" s="140" t="e">
        <f ca="1">VLOOKUP(D3116,$F$1081:$I$4183,4,FALSE)+COUNTIF(E$1081:E3115,E3116)</f>
        <v>#N/A</v>
      </c>
      <c r="K3116" s="1"/>
      <c r="L3116" s="161" t="e">
        <f>IF($C$1078&gt;0,VLOOKUP($C3116,PATRIMONIALE!$AJ$4:$AP$1003,7,FALSE),"")</f>
        <v>#N/A</v>
      </c>
      <c r="M3116" s="1"/>
      <c r="N3116" s="1"/>
      <c r="O3116" s="1"/>
    </row>
    <row r="3117" spans="1:15" hidden="1">
      <c r="A3117" s="1"/>
      <c r="B3117" s="182" t="e">
        <f t="shared" ca="1" si="267"/>
        <v>#N/A</v>
      </c>
      <c r="C3117" s="500">
        <v>51</v>
      </c>
      <c r="D3117" s="41" t="e">
        <f>IF($C$1078&gt;0,VLOOKUP($C3117,PATRIMONIALE!$AJ$4:$AL$1003,3,FALSE),"")</f>
        <v>#N/A</v>
      </c>
      <c r="E3117" s="41" t="str">
        <f t="shared" si="268"/>
        <v/>
      </c>
      <c r="F3117" s="200"/>
      <c r="G3117" s="178" t="e">
        <f>IF($C$1078&gt;0,VLOOKUP($C3117,PATRIMONIALE!$AJ$4:$AN$1003,5,FALSE),"")</f>
        <v>#N/A</v>
      </c>
      <c r="H3117" s="179" t="e">
        <f>IF($C$1078&gt;0,VLOOKUP($C3117,PATRIMONIALE!$AJ$4:$AO$1003,6,FALSE),"")</f>
        <v>#N/A</v>
      </c>
      <c r="I3117" s="187"/>
      <c r="J3117" s="140" t="e">
        <f ca="1">VLOOKUP(D3117,$F$1081:$I$4183,4,FALSE)+COUNTIF(E$1081:E3116,E3117)</f>
        <v>#N/A</v>
      </c>
      <c r="K3117" s="1"/>
      <c r="L3117" s="161" t="e">
        <f>IF($C$1078&gt;0,VLOOKUP($C3117,PATRIMONIALE!$AJ$4:$AP$1003,7,FALSE),"")</f>
        <v>#N/A</v>
      </c>
      <c r="M3117" s="1"/>
      <c r="N3117" s="1"/>
      <c r="O3117" s="1"/>
    </row>
    <row r="3118" spans="1:15" hidden="1">
      <c r="A3118" s="1"/>
      <c r="B3118" s="182" t="e">
        <f t="shared" ca="1" si="267"/>
        <v>#N/A</v>
      </c>
      <c r="C3118" s="500">
        <v>52</v>
      </c>
      <c r="D3118" s="41" t="e">
        <f>IF($C$1078&gt;0,VLOOKUP($C3118,PATRIMONIALE!$AJ$4:$AL$1003,3,FALSE),"")</f>
        <v>#N/A</v>
      </c>
      <c r="E3118" s="41" t="str">
        <f t="shared" si="268"/>
        <v/>
      </c>
      <c r="F3118" s="200"/>
      <c r="G3118" s="178" t="e">
        <f>IF($C$1078&gt;0,VLOOKUP($C3118,PATRIMONIALE!$AJ$4:$AN$1003,5,FALSE),"")</f>
        <v>#N/A</v>
      </c>
      <c r="H3118" s="179" t="e">
        <f>IF($C$1078&gt;0,VLOOKUP($C3118,PATRIMONIALE!$AJ$4:$AO$1003,6,FALSE),"")</f>
        <v>#N/A</v>
      </c>
      <c r="I3118" s="187"/>
      <c r="J3118" s="140" t="e">
        <f ca="1">VLOOKUP(D3118,$F$1081:$I$4183,4,FALSE)+COUNTIF(E$1081:E3117,E3118)</f>
        <v>#N/A</v>
      </c>
      <c r="K3118" s="1"/>
      <c r="L3118" s="161" t="e">
        <f>IF($C$1078&gt;0,VLOOKUP($C3118,PATRIMONIALE!$AJ$4:$AP$1003,7,FALSE),"")</f>
        <v>#N/A</v>
      </c>
      <c r="M3118" s="1"/>
      <c r="N3118" s="1"/>
      <c r="O3118" s="1"/>
    </row>
    <row r="3119" spans="1:15" hidden="1">
      <c r="A3119" s="1"/>
      <c r="B3119" s="182" t="e">
        <f t="shared" ca="1" si="267"/>
        <v>#N/A</v>
      </c>
      <c r="C3119" s="500">
        <v>53</v>
      </c>
      <c r="D3119" s="41" t="e">
        <f>IF($C$1078&gt;0,VLOOKUP($C3119,PATRIMONIALE!$AJ$4:$AL$1003,3,FALSE),"")</f>
        <v>#N/A</v>
      </c>
      <c r="E3119" s="41" t="str">
        <f t="shared" si="268"/>
        <v/>
      </c>
      <c r="F3119" s="200"/>
      <c r="G3119" s="178" t="e">
        <f>IF($C$1078&gt;0,VLOOKUP($C3119,PATRIMONIALE!$AJ$4:$AN$1003,5,FALSE),"")</f>
        <v>#N/A</v>
      </c>
      <c r="H3119" s="179" t="e">
        <f>IF($C$1078&gt;0,VLOOKUP($C3119,PATRIMONIALE!$AJ$4:$AO$1003,6,FALSE),"")</f>
        <v>#N/A</v>
      </c>
      <c r="I3119" s="187"/>
      <c r="J3119" s="140" t="e">
        <f ca="1">VLOOKUP(D3119,$F$1081:$I$4183,4,FALSE)+COUNTIF(E$1081:E3118,E3119)</f>
        <v>#N/A</v>
      </c>
      <c r="K3119" s="1"/>
      <c r="L3119" s="161" t="e">
        <f>IF($C$1078&gt;0,VLOOKUP($C3119,PATRIMONIALE!$AJ$4:$AP$1003,7,FALSE),"")</f>
        <v>#N/A</v>
      </c>
      <c r="M3119" s="1"/>
      <c r="N3119" s="1"/>
      <c r="O3119" s="1"/>
    </row>
    <row r="3120" spans="1:15" hidden="1">
      <c r="A3120" s="1"/>
      <c r="B3120" s="182" t="e">
        <f t="shared" ca="1" si="267"/>
        <v>#N/A</v>
      </c>
      <c r="C3120" s="500">
        <v>54</v>
      </c>
      <c r="D3120" s="41" t="e">
        <f>IF($C$1078&gt;0,VLOOKUP($C3120,PATRIMONIALE!$AJ$4:$AL$1003,3,FALSE),"")</f>
        <v>#N/A</v>
      </c>
      <c r="E3120" s="41" t="str">
        <f t="shared" si="268"/>
        <v/>
      </c>
      <c r="F3120" s="200"/>
      <c r="G3120" s="178" t="e">
        <f>IF($C$1078&gt;0,VLOOKUP($C3120,PATRIMONIALE!$AJ$4:$AN$1003,5,FALSE),"")</f>
        <v>#N/A</v>
      </c>
      <c r="H3120" s="179" t="e">
        <f>IF($C$1078&gt;0,VLOOKUP($C3120,PATRIMONIALE!$AJ$4:$AO$1003,6,FALSE),"")</f>
        <v>#N/A</v>
      </c>
      <c r="I3120" s="187"/>
      <c r="J3120" s="140" t="e">
        <f ca="1">VLOOKUP(D3120,$F$1081:$I$4183,4,FALSE)+COUNTIF(E$1081:E3119,E3120)</f>
        <v>#N/A</v>
      </c>
      <c r="K3120" s="1"/>
      <c r="L3120" s="161" t="e">
        <f>IF($C$1078&gt;0,VLOOKUP($C3120,PATRIMONIALE!$AJ$4:$AP$1003,7,FALSE),"")</f>
        <v>#N/A</v>
      </c>
      <c r="M3120" s="1"/>
      <c r="N3120" s="1"/>
      <c r="O3120" s="1"/>
    </row>
    <row r="3121" spans="1:15" hidden="1">
      <c r="A3121" s="1"/>
      <c r="B3121" s="182" t="e">
        <f t="shared" ca="1" si="267"/>
        <v>#N/A</v>
      </c>
      <c r="C3121" s="500">
        <v>55</v>
      </c>
      <c r="D3121" s="41" t="e">
        <f>IF($C$1078&gt;0,VLOOKUP($C3121,PATRIMONIALE!$AJ$4:$AL$1003,3,FALSE),"")</f>
        <v>#N/A</v>
      </c>
      <c r="E3121" s="41" t="str">
        <f t="shared" si="268"/>
        <v/>
      </c>
      <c r="F3121" s="200"/>
      <c r="G3121" s="178" t="e">
        <f>IF($C$1078&gt;0,VLOOKUP($C3121,PATRIMONIALE!$AJ$4:$AN$1003,5,FALSE),"")</f>
        <v>#N/A</v>
      </c>
      <c r="H3121" s="179" t="e">
        <f>IF($C$1078&gt;0,VLOOKUP($C3121,PATRIMONIALE!$AJ$4:$AO$1003,6,FALSE),"")</f>
        <v>#N/A</v>
      </c>
      <c r="I3121" s="187"/>
      <c r="J3121" s="140" t="e">
        <f ca="1">VLOOKUP(D3121,$F$1081:$I$4183,4,FALSE)+COUNTIF(E$1081:E3120,E3121)</f>
        <v>#N/A</v>
      </c>
      <c r="K3121" s="1"/>
      <c r="L3121" s="161" t="e">
        <f>IF($C$1078&gt;0,VLOOKUP($C3121,PATRIMONIALE!$AJ$4:$AP$1003,7,FALSE),"")</f>
        <v>#N/A</v>
      </c>
      <c r="M3121" s="1"/>
      <c r="N3121" s="1"/>
      <c r="O3121" s="1"/>
    </row>
    <row r="3122" spans="1:15" hidden="1">
      <c r="A3122" s="1"/>
      <c r="B3122" s="182" t="e">
        <f t="shared" ca="1" si="267"/>
        <v>#N/A</v>
      </c>
      <c r="C3122" s="500">
        <v>56</v>
      </c>
      <c r="D3122" s="41" t="e">
        <f>IF($C$1078&gt;0,VLOOKUP($C3122,PATRIMONIALE!$AJ$4:$AL$1003,3,FALSE),"")</f>
        <v>#N/A</v>
      </c>
      <c r="E3122" s="41" t="str">
        <f t="shared" si="268"/>
        <v/>
      </c>
      <c r="F3122" s="200"/>
      <c r="G3122" s="178" t="e">
        <f>IF($C$1078&gt;0,VLOOKUP($C3122,PATRIMONIALE!$AJ$4:$AN$1003,5,FALSE),"")</f>
        <v>#N/A</v>
      </c>
      <c r="H3122" s="179" t="e">
        <f>IF($C$1078&gt;0,VLOOKUP($C3122,PATRIMONIALE!$AJ$4:$AO$1003,6,FALSE),"")</f>
        <v>#N/A</v>
      </c>
      <c r="I3122" s="187"/>
      <c r="J3122" s="140" t="e">
        <f ca="1">VLOOKUP(D3122,$F$1081:$I$4183,4,FALSE)+COUNTIF(E$1081:E3121,E3122)</f>
        <v>#N/A</v>
      </c>
      <c r="K3122" s="1"/>
      <c r="L3122" s="161" t="e">
        <f>IF($C$1078&gt;0,VLOOKUP($C3122,PATRIMONIALE!$AJ$4:$AP$1003,7,FALSE),"")</f>
        <v>#N/A</v>
      </c>
      <c r="M3122" s="1"/>
      <c r="N3122" s="1"/>
      <c r="O3122" s="1"/>
    </row>
    <row r="3123" spans="1:15" hidden="1">
      <c r="A3123" s="1"/>
      <c r="B3123" s="182" t="e">
        <f t="shared" ca="1" si="267"/>
        <v>#N/A</v>
      </c>
      <c r="C3123" s="500">
        <v>57</v>
      </c>
      <c r="D3123" s="41" t="e">
        <f>IF($C$1078&gt;0,VLOOKUP($C3123,PATRIMONIALE!$AJ$4:$AL$1003,3,FALSE),"")</f>
        <v>#N/A</v>
      </c>
      <c r="E3123" s="41" t="str">
        <f t="shared" si="268"/>
        <v/>
      </c>
      <c r="F3123" s="200"/>
      <c r="G3123" s="178" t="e">
        <f>IF($C$1078&gt;0,VLOOKUP($C3123,PATRIMONIALE!$AJ$4:$AN$1003,5,FALSE),"")</f>
        <v>#N/A</v>
      </c>
      <c r="H3123" s="179" t="e">
        <f>IF($C$1078&gt;0,VLOOKUP($C3123,PATRIMONIALE!$AJ$4:$AO$1003,6,FALSE),"")</f>
        <v>#N/A</v>
      </c>
      <c r="I3123" s="187"/>
      <c r="J3123" s="140" t="e">
        <f ca="1">VLOOKUP(D3123,$F$1081:$I$4183,4,FALSE)+COUNTIF(E$1081:E3122,E3123)</f>
        <v>#N/A</v>
      </c>
      <c r="K3123" s="1"/>
      <c r="L3123" s="161" t="e">
        <f>IF($C$1078&gt;0,VLOOKUP($C3123,PATRIMONIALE!$AJ$4:$AP$1003,7,FALSE),"")</f>
        <v>#N/A</v>
      </c>
      <c r="M3123" s="1"/>
      <c r="N3123" s="1"/>
      <c r="O3123" s="1"/>
    </row>
    <row r="3124" spans="1:15" hidden="1">
      <c r="A3124" s="1"/>
      <c r="B3124" s="182" t="e">
        <f t="shared" ca="1" si="267"/>
        <v>#N/A</v>
      </c>
      <c r="C3124" s="500">
        <v>58</v>
      </c>
      <c r="D3124" s="41" t="e">
        <f>IF($C$1078&gt;0,VLOOKUP($C3124,PATRIMONIALE!$AJ$4:$AL$1003,3,FALSE),"")</f>
        <v>#N/A</v>
      </c>
      <c r="E3124" s="41" t="str">
        <f t="shared" si="268"/>
        <v/>
      </c>
      <c r="F3124" s="200"/>
      <c r="G3124" s="178" t="e">
        <f>IF($C$1078&gt;0,VLOOKUP($C3124,PATRIMONIALE!$AJ$4:$AN$1003,5,FALSE),"")</f>
        <v>#N/A</v>
      </c>
      <c r="H3124" s="179" t="e">
        <f>IF($C$1078&gt;0,VLOOKUP($C3124,PATRIMONIALE!$AJ$4:$AO$1003,6,FALSE),"")</f>
        <v>#N/A</v>
      </c>
      <c r="I3124" s="187"/>
      <c r="J3124" s="140" t="e">
        <f ca="1">VLOOKUP(D3124,$F$1081:$I$4183,4,FALSE)+COUNTIF(E$1081:E3123,E3124)</f>
        <v>#N/A</v>
      </c>
      <c r="K3124" s="1"/>
      <c r="L3124" s="161" t="e">
        <f>IF($C$1078&gt;0,VLOOKUP($C3124,PATRIMONIALE!$AJ$4:$AP$1003,7,FALSE),"")</f>
        <v>#N/A</v>
      </c>
      <c r="M3124" s="1"/>
      <c r="N3124" s="1"/>
      <c r="O3124" s="1"/>
    </row>
    <row r="3125" spans="1:15" hidden="1">
      <c r="A3125" s="1"/>
      <c r="B3125" s="182" t="e">
        <f t="shared" ca="1" si="267"/>
        <v>#N/A</v>
      </c>
      <c r="C3125" s="500">
        <v>59</v>
      </c>
      <c r="D3125" s="41" t="e">
        <f>IF($C$1078&gt;0,VLOOKUP($C3125,PATRIMONIALE!$AJ$4:$AL$1003,3,FALSE),"")</f>
        <v>#N/A</v>
      </c>
      <c r="E3125" s="41" t="str">
        <f t="shared" si="268"/>
        <v/>
      </c>
      <c r="F3125" s="200"/>
      <c r="G3125" s="178" t="e">
        <f>IF($C$1078&gt;0,VLOOKUP($C3125,PATRIMONIALE!$AJ$4:$AN$1003,5,FALSE),"")</f>
        <v>#N/A</v>
      </c>
      <c r="H3125" s="179" t="e">
        <f>IF($C$1078&gt;0,VLOOKUP($C3125,PATRIMONIALE!$AJ$4:$AO$1003,6,FALSE),"")</f>
        <v>#N/A</v>
      </c>
      <c r="I3125" s="187"/>
      <c r="J3125" s="140" t="e">
        <f ca="1">VLOOKUP(D3125,$F$1081:$I$4183,4,FALSE)+COUNTIF(E$1081:E3124,E3125)</f>
        <v>#N/A</v>
      </c>
      <c r="K3125" s="1"/>
      <c r="L3125" s="161" t="e">
        <f>IF($C$1078&gt;0,VLOOKUP($C3125,PATRIMONIALE!$AJ$4:$AP$1003,7,FALSE),"")</f>
        <v>#N/A</v>
      </c>
      <c r="M3125" s="1"/>
      <c r="N3125" s="1"/>
      <c r="O3125" s="1"/>
    </row>
    <row r="3126" spans="1:15" hidden="1">
      <c r="A3126" s="1"/>
      <c r="B3126" s="182" t="e">
        <f t="shared" ca="1" si="267"/>
        <v>#N/A</v>
      </c>
      <c r="C3126" s="500">
        <v>60</v>
      </c>
      <c r="D3126" s="41" t="e">
        <f>IF($C$1078&gt;0,VLOOKUP($C3126,PATRIMONIALE!$AJ$4:$AL$1003,3,FALSE),"")</f>
        <v>#N/A</v>
      </c>
      <c r="E3126" s="41" t="str">
        <f t="shared" si="268"/>
        <v/>
      </c>
      <c r="F3126" s="200"/>
      <c r="G3126" s="178" t="e">
        <f>IF($C$1078&gt;0,VLOOKUP($C3126,PATRIMONIALE!$AJ$4:$AN$1003,5,FALSE),"")</f>
        <v>#N/A</v>
      </c>
      <c r="H3126" s="179" t="e">
        <f>IF($C$1078&gt;0,VLOOKUP($C3126,PATRIMONIALE!$AJ$4:$AO$1003,6,FALSE),"")</f>
        <v>#N/A</v>
      </c>
      <c r="I3126" s="187"/>
      <c r="J3126" s="140" t="e">
        <f ca="1">VLOOKUP(D3126,$F$1081:$I$4183,4,FALSE)+COUNTIF(E$1081:E3125,E3126)</f>
        <v>#N/A</v>
      </c>
      <c r="K3126" s="1"/>
      <c r="L3126" s="161" t="e">
        <f>IF($C$1078&gt;0,VLOOKUP($C3126,PATRIMONIALE!$AJ$4:$AP$1003,7,FALSE),"")</f>
        <v>#N/A</v>
      </c>
      <c r="M3126" s="1"/>
      <c r="N3126" s="1"/>
      <c r="O3126" s="1"/>
    </row>
    <row r="3127" spans="1:15" hidden="1">
      <c r="A3127" s="1"/>
      <c r="B3127" s="182" t="e">
        <f t="shared" ca="1" si="267"/>
        <v>#N/A</v>
      </c>
      <c r="C3127" s="500">
        <v>61</v>
      </c>
      <c r="D3127" s="41" t="e">
        <f>IF($C$1078&gt;0,VLOOKUP($C3127,PATRIMONIALE!$AJ$4:$AL$1003,3,FALSE),"")</f>
        <v>#N/A</v>
      </c>
      <c r="E3127" s="41" t="str">
        <f t="shared" si="268"/>
        <v/>
      </c>
      <c r="F3127" s="200"/>
      <c r="G3127" s="178" t="e">
        <f>IF($C$1078&gt;0,VLOOKUP($C3127,PATRIMONIALE!$AJ$4:$AN$1003,5,FALSE),"")</f>
        <v>#N/A</v>
      </c>
      <c r="H3127" s="179" t="e">
        <f>IF($C$1078&gt;0,VLOOKUP($C3127,PATRIMONIALE!$AJ$4:$AO$1003,6,FALSE),"")</f>
        <v>#N/A</v>
      </c>
      <c r="I3127" s="187"/>
      <c r="J3127" s="140" t="e">
        <f ca="1">VLOOKUP(D3127,$F$1081:$I$4183,4,FALSE)+COUNTIF(E$1081:E3126,E3127)</f>
        <v>#N/A</v>
      </c>
      <c r="K3127" s="1"/>
      <c r="L3127" s="161" t="e">
        <f>IF($C$1078&gt;0,VLOOKUP($C3127,PATRIMONIALE!$AJ$4:$AP$1003,7,FALSE),"")</f>
        <v>#N/A</v>
      </c>
      <c r="M3127" s="1"/>
      <c r="N3127" s="1"/>
      <c r="O3127" s="1"/>
    </row>
    <row r="3128" spans="1:15" hidden="1">
      <c r="A3128" s="1"/>
      <c r="B3128" s="182" t="e">
        <f t="shared" ca="1" si="267"/>
        <v>#N/A</v>
      </c>
      <c r="C3128" s="500">
        <v>62</v>
      </c>
      <c r="D3128" s="41" t="e">
        <f>IF($C$1078&gt;0,VLOOKUP($C3128,PATRIMONIALE!$AJ$4:$AL$1003,3,FALSE),"")</f>
        <v>#N/A</v>
      </c>
      <c r="E3128" s="41" t="str">
        <f t="shared" si="268"/>
        <v/>
      </c>
      <c r="F3128" s="200"/>
      <c r="G3128" s="178" t="e">
        <f>IF($C$1078&gt;0,VLOOKUP($C3128,PATRIMONIALE!$AJ$4:$AN$1003,5,FALSE),"")</f>
        <v>#N/A</v>
      </c>
      <c r="H3128" s="179" t="e">
        <f>IF($C$1078&gt;0,VLOOKUP($C3128,PATRIMONIALE!$AJ$4:$AO$1003,6,FALSE),"")</f>
        <v>#N/A</v>
      </c>
      <c r="I3128" s="187"/>
      <c r="J3128" s="140" t="e">
        <f ca="1">VLOOKUP(D3128,$F$1081:$I$4183,4,FALSE)+COUNTIF(E$1081:E3127,E3128)</f>
        <v>#N/A</v>
      </c>
      <c r="K3128" s="1"/>
      <c r="L3128" s="161" t="e">
        <f>IF($C$1078&gt;0,VLOOKUP($C3128,PATRIMONIALE!$AJ$4:$AP$1003,7,FALSE),"")</f>
        <v>#N/A</v>
      </c>
      <c r="M3128" s="1"/>
      <c r="N3128" s="1"/>
      <c r="O3128" s="1"/>
    </row>
    <row r="3129" spans="1:15" hidden="1">
      <c r="A3129" s="1"/>
      <c r="B3129" s="182" t="e">
        <f t="shared" ref="B3129:B3192" ca="1" si="269">IF(OR(C$1075&gt;0,C$1077&gt;0,C$1073&gt;0,C$1071&gt;0),J3129+1,J3129)</f>
        <v>#N/A</v>
      </c>
      <c r="C3129" s="500">
        <v>63</v>
      </c>
      <c r="D3129" s="41" t="e">
        <f>IF($C$1078&gt;0,VLOOKUP($C3129,PATRIMONIALE!$AJ$4:$AL$1003,3,FALSE),"")</f>
        <v>#N/A</v>
      </c>
      <c r="E3129" s="41" t="str">
        <f t="shared" si="268"/>
        <v/>
      </c>
      <c r="F3129" s="200"/>
      <c r="G3129" s="178" t="e">
        <f>IF($C$1078&gt;0,VLOOKUP($C3129,PATRIMONIALE!$AJ$4:$AN$1003,5,FALSE),"")</f>
        <v>#N/A</v>
      </c>
      <c r="H3129" s="179" t="e">
        <f>IF($C$1078&gt;0,VLOOKUP($C3129,PATRIMONIALE!$AJ$4:$AO$1003,6,FALSE),"")</f>
        <v>#N/A</v>
      </c>
      <c r="I3129" s="187"/>
      <c r="J3129" s="140" t="e">
        <f ca="1">VLOOKUP(D3129,$F$1081:$I$4183,4,FALSE)+COUNTIF(E$1081:E3128,E3129)</f>
        <v>#N/A</v>
      </c>
      <c r="K3129" s="1"/>
      <c r="L3129" s="161" t="e">
        <f>IF($C$1078&gt;0,VLOOKUP($C3129,PATRIMONIALE!$AJ$4:$AP$1003,7,FALSE),"")</f>
        <v>#N/A</v>
      </c>
      <c r="M3129" s="1"/>
      <c r="N3129" s="1"/>
      <c r="O3129" s="1"/>
    </row>
    <row r="3130" spans="1:15" hidden="1">
      <c r="A3130" s="1"/>
      <c r="B3130" s="182" t="e">
        <f t="shared" ca="1" si="269"/>
        <v>#N/A</v>
      </c>
      <c r="C3130" s="500">
        <v>64</v>
      </c>
      <c r="D3130" s="41" t="e">
        <f>IF($C$1078&gt;0,VLOOKUP($C3130,PATRIMONIALE!$AJ$4:$AL$1003,3,FALSE),"")</f>
        <v>#N/A</v>
      </c>
      <c r="E3130" s="41" t="str">
        <f t="shared" si="268"/>
        <v/>
      </c>
      <c r="F3130" s="200"/>
      <c r="G3130" s="178" t="e">
        <f>IF($C$1078&gt;0,VLOOKUP($C3130,PATRIMONIALE!$AJ$4:$AN$1003,5,FALSE),"")</f>
        <v>#N/A</v>
      </c>
      <c r="H3130" s="179" t="e">
        <f>IF($C$1078&gt;0,VLOOKUP($C3130,PATRIMONIALE!$AJ$4:$AO$1003,6,FALSE),"")</f>
        <v>#N/A</v>
      </c>
      <c r="I3130" s="187"/>
      <c r="J3130" s="140" t="e">
        <f ca="1">VLOOKUP(D3130,$F$1081:$I$4183,4,FALSE)+COUNTIF(E$1081:E3129,E3130)</f>
        <v>#N/A</v>
      </c>
      <c r="K3130" s="1"/>
      <c r="L3130" s="161" t="e">
        <f>IF($C$1078&gt;0,VLOOKUP($C3130,PATRIMONIALE!$AJ$4:$AP$1003,7,FALSE),"")</f>
        <v>#N/A</v>
      </c>
      <c r="M3130" s="1"/>
      <c r="N3130" s="1"/>
      <c r="O3130" s="1"/>
    </row>
    <row r="3131" spans="1:15" hidden="1">
      <c r="A3131" s="1"/>
      <c r="B3131" s="182" t="e">
        <f t="shared" ca="1" si="269"/>
        <v>#N/A</v>
      </c>
      <c r="C3131" s="500">
        <v>65</v>
      </c>
      <c r="D3131" s="41" t="e">
        <f>IF($C$1078&gt;0,VLOOKUP($C3131,PATRIMONIALE!$AJ$4:$AL$1003,3,FALSE),"")</f>
        <v>#N/A</v>
      </c>
      <c r="E3131" s="41" t="str">
        <f t="shared" si="268"/>
        <v/>
      </c>
      <c r="F3131" s="200"/>
      <c r="G3131" s="178" t="e">
        <f>IF($C$1078&gt;0,VLOOKUP($C3131,PATRIMONIALE!$AJ$4:$AN$1003,5,FALSE),"")</f>
        <v>#N/A</v>
      </c>
      <c r="H3131" s="179" t="e">
        <f>IF($C$1078&gt;0,VLOOKUP($C3131,PATRIMONIALE!$AJ$4:$AO$1003,6,FALSE),"")</f>
        <v>#N/A</v>
      </c>
      <c r="I3131" s="187"/>
      <c r="J3131" s="140" t="e">
        <f ca="1">VLOOKUP(D3131,$F$1081:$I$4183,4,FALSE)+COUNTIF(E$1081:E3130,E3131)</f>
        <v>#N/A</v>
      </c>
      <c r="K3131" s="1"/>
      <c r="L3131" s="161" t="e">
        <f>IF($C$1078&gt;0,VLOOKUP($C3131,PATRIMONIALE!$AJ$4:$AP$1003,7,FALSE),"")</f>
        <v>#N/A</v>
      </c>
      <c r="M3131" s="1"/>
      <c r="N3131" s="1"/>
      <c r="O3131" s="1"/>
    </row>
    <row r="3132" spans="1:15" hidden="1">
      <c r="A3132" s="1"/>
      <c r="B3132" s="182" t="e">
        <f t="shared" ca="1" si="269"/>
        <v>#N/A</v>
      </c>
      <c r="C3132" s="500">
        <v>66</v>
      </c>
      <c r="D3132" s="41" t="e">
        <f>IF($C$1078&gt;0,VLOOKUP($C3132,PATRIMONIALE!$AJ$4:$AL$1003,3,FALSE),"")</f>
        <v>#N/A</v>
      </c>
      <c r="E3132" s="41" t="str">
        <f t="shared" si="268"/>
        <v/>
      </c>
      <c r="F3132" s="200"/>
      <c r="G3132" s="178" t="e">
        <f>IF($C$1078&gt;0,VLOOKUP($C3132,PATRIMONIALE!$AJ$4:$AN$1003,5,FALSE),"")</f>
        <v>#N/A</v>
      </c>
      <c r="H3132" s="179" t="e">
        <f>IF($C$1078&gt;0,VLOOKUP($C3132,PATRIMONIALE!$AJ$4:$AO$1003,6,FALSE),"")</f>
        <v>#N/A</v>
      </c>
      <c r="I3132" s="187"/>
      <c r="J3132" s="140" t="e">
        <f ca="1">VLOOKUP(D3132,$F$1081:$I$4183,4,FALSE)+COUNTIF(E$1081:E3131,E3132)</f>
        <v>#N/A</v>
      </c>
      <c r="K3132" s="1"/>
      <c r="L3132" s="161" t="e">
        <f>IF($C$1078&gt;0,VLOOKUP($C3132,PATRIMONIALE!$AJ$4:$AP$1003,7,FALSE),"")</f>
        <v>#N/A</v>
      </c>
      <c r="M3132" s="1"/>
      <c r="N3132" s="1"/>
      <c r="O3132" s="1"/>
    </row>
    <row r="3133" spans="1:15" hidden="1">
      <c r="A3133" s="1"/>
      <c r="B3133" s="182" t="e">
        <f t="shared" ca="1" si="269"/>
        <v>#N/A</v>
      </c>
      <c r="C3133" s="500">
        <v>67</v>
      </c>
      <c r="D3133" s="41" t="e">
        <f>IF($C$1078&gt;0,VLOOKUP($C3133,PATRIMONIALE!$AJ$4:$AL$1003,3,FALSE),"")</f>
        <v>#N/A</v>
      </c>
      <c r="E3133" s="41" t="str">
        <f t="shared" si="268"/>
        <v/>
      </c>
      <c r="F3133" s="200"/>
      <c r="G3133" s="178" t="e">
        <f>IF($C$1078&gt;0,VLOOKUP($C3133,PATRIMONIALE!$AJ$4:$AN$1003,5,FALSE),"")</f>
        <v>#N/A</v>
      </c>
      <c r="H3133" s="179" t="e">
        <f>IF($C$1078&gt;0,VLOOKUP($C3133,PATRIMONIALE!$AJ$4:$AO$1003,6,FALSE),"")</f>
        <v>#N/A</v>
      </c>
      <c r="I3133" s="187"/>
      <c r="J3133" s="140" t="e">
        <f ca="1">VLOOKUP(D3133,$F$1081:$I$4183,4,FALSE)+COUNTIF(E$1081:E3132,E3133)</f>
        <v>#N/A</v>
      </c>
      <c r="K3133" s="1"/>
      <c r="L3133" s="161" t="e">
        <f>IF($C$1078&gt;0,VLOOKUP($C3133,PATRIMONIALE!$AJ$4:$AP$1003,7,FALSE),"")</f>
        <v>#N/A</v>
      </c>
      <c r="M3133" s="1"/>
      <c r="N3133" s="1"/>
      <c r="O3133" s="1"/>
    </row>
    <row r="3134" spans="1:15" hidden="1">
      <c r="A3134" s="1"/>
      <c r="B3134" s="182" t="e">
        <f t="shared" ca="1" si="269"/>
        <v>#N/A</v>
      </c>
      <c r="C3134" s="500">
        <v>68</v>
      </c>
      <c r="D3134" s="41" t="e">
        <f>IF($C$1078&gt;0,VLOOKUP($C3134,PATRIMONIALE!$AJ$4:$AL$1003,3,FALSE),"")</f>
        <v>#N/A</v>
      </c>
      <c r="E3134" s="41" t="str">
        <f t="shared" si="268"/>
        <v/>
      </c>
      <c r="F3134" s="200"/>
      <c r="G3134" s="178" t="e">
        <f>IF($C$1078&gt;0,VLOOKUP($C3134,PATRIMONIALE!$AJ$4:$AN$1003,5,FALSE),"")</f>
        <v>#N/A</v>
      </c>
      <c r="H3134" s="179" t="e">
        <f>IF($C$1078&gt;0,VLOOKUP($C3134,PATRIMONIALE!$AJ$4:$AO$1003,6,FALSE),"")</f>
        <v>#N/A</v>
      </c>
      <c r="I3134" s="187"/>
      <c r="J3134" s="140" t="e">
        <f ca="1">VLOOKUP(D3134,$F$1081:$I$4183,4,FALSE)+COUNTIF(E$1081:E3133,E3134)</f>
        <v>#N/A</v>
      </c>
      <c r="K3134" s="1"/>
      <c r="L3134" s="161" t="e">
        <f>IF($C$1078&gt;0,VLOOKUP($C3134,PATRIMONIALE!$AJ$4:$AP$1003,7,FALSE),"")</f>
        <v>#N/A</v>
      </c>
      <c r="M3134" s="1"/>
      <c r="N3134" s="1"/>
      <c r="O3134" s="1"/>
    </row>
    <row r="3135" spans="1:15" hidden="1">
      <c r="A3135" s="1"/>
      <c r="B3135" s="182" t="e">
        <f t="shared" ca="1" si="269"/>
        <v>#N/A</v>
      </c>
      <c r="C3135" s="500">
        <v>69</v>
      </c>
      <c r="D3135" s="41" t="e">
        <f>IF($C$1078&gt;0,VLOOKUP($C3135,PATRIMONIALE!$AJ$4:$AL$1003,3,FALSE),"")</f>
        <v>#N/A</v>
      </c>
      <c r="E3135" s="41" t="str">
        <f t="shared" si="268"/>
        <v/>
      </c>
      <c r="F3135" s="200"/>
      <c r="G3135" s="178" t="e">
        <f>IF($C$1078&gt;0,VLOOKUP($C3135,PATRIMONIALE!$AJ$4:$AN$1003,5,FALSE),"")</f>
        <v>#N/A</v>
      </c>
      <c r="H3135" s="179" t="e">
        <f>IF($C$1078&gt;0,VLOOKUP($C3135,PATRIMONIALE!$AJ$4:$AO$1003,6,FALSE),"")</f>
        <v>#N/A</v>
      </c>
      <c r="I3135" s="187"/>
      <c r="J3135" s="140" t="e">
        <f ca="1">VLOOKUP(D3135,$F$1081:$I$4183,4,FALSE)+COUNTIF(E$1081:E3134,E3135)</f>
        <v>#N/A</v>
      </c>
      <c r="K3135" s="1"/>
      <c r="L3135" s="161" t="e">
        <f>IF($C$1078&gt;0,VLOOKUP($C3135,PATRIMONIALE!$AJ$4:$AP$1003,7,FALSE),"")</f>
        <v>#N/A</v>
      </c>
      <c r="M3135" s="1"/>
      <c r="N3135" s="1"/>
      <c r="O3135" s="1"/>
    </row>
    <row r="3136" spans="1:15" hidden="1">
      <c r="A3136" s="1"/>
      <c r="B3136" s="182" t="e">
        <f t="shared" ca="1" si="269"/>
        <v>#N/A</v>
      </c>
      <c r="C3136" s="500">
        <v>70</v>
      </c>
      <c r="D3136" s="41" t="e">
        <f>IF($C$1078&gt;0,VLOOKUP($C3136,PATRIMONIALE!$AJ$4:$AL$1003,3,FALSE),"")</f>
        <v>#N/A</v>
      </c>
      <c r="E3136" s="41" t="str">
        <f t="shared" si="268"/>
        <v/>
      </c>
      <c r="F3136" s="200"/>
      <c r="G3136" s="178" t="e">
        <f>IF($C$1078&gt;0,VLOOKUP($C3136,PATRIMONIALE!$AJ$4:$AN$1003,5,FALSE),"")</f>
        <v>#N/A</v>
      </c>
      <c r="H3136" s="179" t="e">
        <f>IF($C$1078&gt;0,VLOOKUP($C3136,PATRIMONIALE!$AJ$4:$AO$1003,6,FALSE),"")</f>
        <v>#N/A</v>
      </c>
      <c r="I3136" s="187"/>
      <c r="J3136" s="140" t="e">
        <f ca="1">VLOOKUP(D3136,$F$1081:$I$4183,4,FALSE)+COUNTIF(E$1081:E3135,E3136)</f>
        <v>#N/A</v>
      </c>
      <c r="K3136" s="1"/>
      <c r="L3136" s="161" t="e">
        <f>IF($C$1078&gt;0,VLOOKUP($C3136,PATRIMONIALE!$AJ$4:$AP$1003,7,FALSE),"")</f>
        <v>#N/A</v>
      </c>
      <c r="M3136" s="1"/>
      <c r="N3136" s="1"/>
      <c r="O3136" s="1"/>
    </row>
    <row r="3137" spans="1:15" hidden="1">
      <c r="A3137" s="1"/>
      <c r="B3137" s="182" t="e">
        <f t="shared" ca="1" si="269"/>
        <v>#N/A</v>
      </c>
      <c r="C3137" s="500">
        <v>71</v>
      </c>
      <c r="D3137" s="41" t="e">
        <f>IF($C$1078&gt;0,VLOOKUP($C3137,PATRIMONIALE!$AJ$4:$AL$1003,3,FALSE),"")</f>
        <v>#N/A</v>
      </c>
      <c r="E3137" s="41" t="str">
        <f t="shared" si="268"/>
        <v/>
      </c>
      <c r="F3137" s="200"/>
      <c r="G3137" s="178" t="e">
        <f>IF($C$1078&gt;0,VLOOKUP($C3137,PATRIMONIALE!$AJ$4:$AN$1003,5,FALSE),"")</f>
        <v>#N/A</v>
      </c>
      <c r="H3137" s="179" t="e">
        <f>IF($C$1078&gt;0,VLOOKUP($C3137,PATRIMONIALE!$AJ$4:$AO$1003,6,FALSE),"")</f>
        <v>#N/A</v>
      </c>
      <c r="I3137" s="187"/>
      <c r="J3137" s="140" t="e">
        <f ca="1">VLOOKUP(D3137,$F$1081:$I$4183,4,FALSE)+COUNTIF(E$1081:E3136,E3137)</f>
        <v>#N/A</v>
      </c>
      <c r="K3137" s="1"/>
      <c r="L3137" s="161" t="e">
        <f>IF($C$1078&gt;0,VLOOKUP($C3137,PATRIMONIALE!$AJ$4:$AP$1003,7,FALSE),"")</f>
        <v>#N/A</v>
      </c>
      <c r="M3137" s="1"/>
      <c r="N3137" s="1"/>
      <c r="O3137" s="1"/>
    </row>
    <row r="3138" spans="1:15" hidden="1">
      <c r="A3138" s="1"/>
      <c r="B3138" s="182" t="e">
        <f t="shared" ca="1" si="269"/>
        <v>#N/A</v>
      </c>
      <c r="C3138" s="500">
        <v>72</v>
      </c>
      <c r="D3138" s="41" t="e">
        <f>IF($C$1078&gt;0,VLOOKUP($C3138,PATRIMONIALE!$AJ$4:$AL$1003,3,FALSE),"")</f>
        <v>#N/A</v>
      </c>
      <c r="E3138" s="41" t="str">
        <f t="shared" si="268"/>
        <v/>
      </c>
      <c r="F3138" s="200"/>
      <c r="G3138" s="178" t="e">
        <f>IF($C$1078&gt;0,VLOOKUP($C3138,PATRIMONIALE!$AJ$4:$AN$1003,5,FALSE),"")</f>
        <v>#N/A</v>
      </c>
      <c r="H3138" s="179" t="e">
        <f>IF($C$1078&gt;0,VLOOKUP($C3138,PATRIMONIALE!$AJ$4:$AO$1003,6,FALSE),"")</f>
        <v>#N/A</v>
      </c>
      <c r="I3138" s="187"/>
      <c r="J3138" s="140" t="e">
        <f ca="1">VLOOKUP(D3138,$F$1081:$I$4183,4,FALSE)+COUNTIF(E$1081:E3137,E3138)</f>
        <v>#N/A</v>
      </c>
      <c r="K3138" s="1"/>
      <c r="L3138" s="161" t="e">
        <f>IF($C$1078&gt;0,VLOOKUP($C3138,PATRIMONIALE!$AJ$4:$AP$1003,7,FALSE),"")</f>
        <v>#N/A</v>
      </c>
      <c r="M3138" s="1"/>
      <c r="N3138" s="1"/>
      <c r="O3138" s="1"/>
    </row>
    <row r="3139" spans="1:15" hidden="1">
      <c r="A3139" s="1"/>
      <c r="B3139" s="182" t="e">
        <f t="shared" ca="1" si="269"/>
        <v>#N/A</v>
      </c>
      <c r="C3139" s="500">
        <v>73</v>
      </c>
      <c r="D3139" s="41" t="e">
        <f>IF($C$1078&gt;0,VLOOKUP($C3139,PATRIMONIALE!$AJ$4:$AL$1003,3,FALSE),"")</f>
        <v>#N/A</v>
      </c>
      <c r="E3139" s="41" t="str">
        <f t="shared" si="268"/>
        <v/>
      </c>
      <c r="F3139" s="200"/>
      <c r="G3139" s="178" t="e">
        <f>IF($C$1078&gt;0,VLOOKUP($C3139,PATRIMONIALE!$AJ$4:$AN$1003,5,FALSE),"")</f>
        <v>#N/A</v>
      </c>
      <c r="H3139" s="179" t="e">
        <f>IF($C$1078&gt;0,VLOOKUP($C3139,PATRIMONIALE!$AJ$4:$AO$1003,6,FALSE),"")</f>
        <v>#N/A</v>
      </c>
      <c r="I3139" s="187"/>
      <c r="J3139" s="140" t="e">
        <f ca="1">VLOOKUP(D3139,$F$1081:$I$4183,4,FALSE)+COUNTIF(E$1081:E3138,E3139)</f>
        <v>#N/A</v>
      </c>
      <c r="K3139" s="1"/>
      <c r="L3139" s="161" t="e">
        <f>IF($C$1078&gt;0,VLOOKUP($C3139,PATRIMONIALE!$AJ$4:$AP$1003,7,FALSE),"")</f>
        <v>#N/A</v>
      </c>
      <c r="M3139" s="1"/>
      <c r="N3139" s="1"/>
      <c r="O3139" s="1"/>
    </row>
    <row r="3140" spans="1:15" hidden="1">
      <c r="A3140" s="1"/>
      <c r="B3140" s="182" t="e">
        <f t="shared" ca="1" si="269"/>
        <v>#N/A</v>
      </c>
      <c r="C3140" s="500">
        <v>74</v>
      </c>
      <c r="D3140" s="41" t="e">
        <f>IF($C$1078&gt;0,VLOOKUP($C3140,PATRIMONIALE!$AJ$4:$AL$1003,3,FALSE),"")</f>
        <v>#N/A</v>
      </c>
      <c r="E3140" s="41" t="str">
        <f t="shared" si="268"/>
        <v/>
      </c>
      <c r="F3140" s="200"/>
      <c r="G3140" s="178" t="e">
        <f>IF($C$1078&gt;0,VLOOKUP($C3140,PATRIMONIALE!$AJ$4:$AN$1003,5,FALSE),"")</f>
        <v>#N/A</v>
      </c>
      <c r="H3140" s="179" t="e">
        <f>IF($C$1078&gt;0,VLOOKUP($C3140,PATRIMONIALE!$AJ$4:$AO$1003,6,FALSE),"")</f>
        <v>#N/A</v>
      </c>
      <c r="I3140" s="187"/>
      <c r="J3140" s="140" t="e">
        <f ca="1">VLOOKUP(D3140,$F$1081:$I$4183,4,FALSE)+COUNTIF(E$1081:E3139,E3140)</f>
        <v>#N/A</v>
      </c>
      <c r="K3140" s="1"/>
      <c r="L3140" s="161" t="e">
        <f>IF($C$1078&gt;0,VLOOKUP($C3140,PATRIMONIALE!$AJ$4:$AP$1003,7,FALSE),"")</f>
        <v>#N/A</v>
      </c>
      <c r="M3140" s="1"/>
      <c r="N3140" s="1"/>
      <c r="O3140" s="1"/>
    </row>
    <row r="3141" spans="1:15" hidden="1">
      <c r="A3141" s="1"/>
      <c r="B3141" s="182" t="e">
        <f t="shared" ca="1" si="269"/>
        <v>#N/A</v>
      </c>
      <c r="C3141" s="500">
        <v>75</v>
      </c>
      <c r="D3141" s="41" t="e">
        <f>IF($C$1078&gt;0,VLOOKUP($C3141,PATRIMONIALE!$AJ$4:$AL$1003,3,FALSE),"")</f>
        <v>#N/A</v>
      </c>
      <c r="E3141" s="41" t="str">
        <f t="shared" si="268"/>
        <v/>
      </c>
      <c r="F3141" s="200"/>
      <c r="G3141" s="178" t="e">
        <f>IF($C$1078&gt;0,VLOOKUP($C3141,PATRIMONIALE!$AJ$4:$AN$1003,5,FALSE),"")</f>
        <v>#N/A</v>
      </c>
      <c r="H3141" s="179" t="e">
        <f>IF($C$1078&gt;0,VLOOKUP($C3141,PATRIMONIALE!$AJ$4:$AO$1003,6,FALSE),"")</f>
        <v>#N/A</v>
      </c>
      <c r="I3141" s="187"/>
      <c r="J3141" s="140" t="e">
        <f ca="1">VLOOKUP(D3141,$F$1081:$I$4183,4,FALSE)+COUNTIF(E$1081:E3140,E3141)</f>
        <v>#N/A</v>
      </c>
      <c r="K3141" s="1"/>
      <c r="L3141" s="161" t="e">
        <f>IF($C$1078&gt;0,VLOOKUP($C3141,PATRIMONIALE!$AJ$4:$AP$1003,7,FALSE),"")</f>
        <v>#N/A</v>
      </c>
      <c r="M3141" s="1"/>
      <c r="N3141" s="1"/>
      <c r="O3141" s="1"/>
    </row>
    <row r="3142" spans="1:15" hidden="1">
      <c r="A3142" s="1"/>
      <c r="B3142" s="182" t="e">
        <f t="shared" ca="1" si="269"/>
        <v>#N/A</v>
      </c>
      <c r="C3142" s="500">
        <v>76</v>
      </c>
      <c r="D3142" s="41" t="e">
        <f>IF($C$1078&gt;0,VLOOKUP($C3142,PATRIMONIALE!$AJ$4:$AL$1003,3,FALSE),"")</f>
        <v>#N/A</v>
      </c>
      <c r="E3142" s="41" t="str">
        <f t="shared" si="268"/>
        <v/>
      </c>
      <c r="F3142" s="200"/>
      <c r="G3142" s="178" t="e">
        <f>IF($C$1078&gt;0,VLOOKUP($C3142,PATRIMONIALE!$AJ$4:$AN$1003,5,FALSE),"")</f>
        <v>#N/A</v>
      </c>
      <c r="H3142" s="179" t="e">
        <f>IF($C$1078&gt;0,VLOOKUP($C3142,PATRIMONIALE!$AJ$4:$AO$1003,6,FALSE),"")</f>
        <v>#N/A</v>
      </c>
      <c r="I3142" s="187"/>
      <c r="J3142" s="140" t="e">
        <f ca="1">VLOOKUP(D3142,$F$1081:$I$4183,4,FALSE)+COUNTIF(E$1081:E3141,E3142)</f>
        <v>#N/A</v>
      </c>
      <c r="K3142" s="1"/>
      <c r="L3142" s="161" t="e">
        <f>IF($C$1078&gt;0,VLOOKUP($C3142,PATRIMONIALE!$AJ$4:$AP$1003,7,FALSE),"")</f>
        <v>#N/A</v>
      </c>
      <c r="M3142" s="1"/>
      <c r="N3142" s="1"/>
      <c r="O3142" s="1"/>
    </row>
    <row r="3143" spans="1:15" hidden="1">
      <c r="A3143" s="1"/>
      <c r="B3143" s="182" t="e">
        <f t="shared" ca="1" si="269"/>
        <v>#N/A</v>
      </c>
      <c r="C3143" s="500">
        <v>77</v>
      </c>
      <c r="D3143" s="41" t="e">
        <f>IF($C$1078&gt;0,VLOOKUP($C3143,PATRIMONIALE!$AJ$4:$AL$1003,3,FALSE),"")</f>
        <v>#N/A</v>
      </c>
      <c r="E3143" s="41" t="str">
        <f t="shared" si="268"/>
        <v/>
      </c>
      <c r="F3143" s="200"/>
      <c r="G3143" s="178" t="e">
        <f>IF($C$1078&gt;0,VLOOKUP($C3143,PATRIMONIALE!$AJ$4:$AN$1003,5,FALSE),"")</f>
        <v>#N/A</v>
      </c>
      <c r="H3143" s="179" t="e">
        <f>IF($C$1078&gt;0,VLOOKUP($C3143,PATRIMONIALE!$AJ$4:$AO$1003,6,FALSE),"")</f>
        <v>#N/A</v>
      </c>
      <c r="I3143" s="187"/>
      <c r="J3143" s="140" t="e">
        <f ca="1">VLOOKUP(D3143,$F$1081:$I$4183,4,FALSE)+COUNTIF(E$1081:E3142,E3143)</f>
        <v>#N/A</v>
      </c>
      <c r="K3143" s="1"/>
      <c r="L3143" s="161" t="e">
        <f>IF($C$1078&gt;0,VLOOKUP($C3143,PATRIMONIALE!$AJ$4:$AP$1003,7,FALSE),"")</f>
        <v>#N/A</v>
      </c>
      <c r="M3143" s="1"/>
      <c r="N3143" s="1"/>
      <c r="O3143" s="1"/>
    </row>
    <row r="3144" spans="1:15" hidden="1">
      <c r="A3144" s="1"/>
      <c r="B3144" s="182" t="e">
        <f t="shared" ca="1" si="269"/>
        <v>#N/A</v>
      </c>
      <c r="C3144" s="500">
        <v>78</v>
      </c>
      <c r="D3144" s="41" t="e">
        <f>IF($C$1078&gt;0,VLOOKUP($C3144,PATRIMONIALE!$AJ$4:$AL$1003,3,FALSE),"")</f>
        <v>#N/A</v>
      </c>
      <c r="E3144" s="41" t="str">
        <f t="shared" si="268"/>
        <v/>
      </c>
      <c r="F3144" s="200"/>
      <c r="G3144" s="178" t="e">
        <f>IF($C$1078&gt;0,VLOOKUP($C3144,PATRIMONIALE!$AJ$4:$AN$1003,5,FALSE),"")</f>
        <v>#N/A</v>
      </c>
      <c r="H3144" s="179" t="e">
        <f>IF($C$1078&gt;0,VLOOKUP($C3144,PATRIMONIALE!$AJ$4:$AO$1003,6,FALSE),"")</f>
        <v>#N/A</v>
      </c>
      <c r="I3144" s="187"/>
      <c r="J3144" s="140" t="e">
        <f ca="1">VLOOKUP(D3144,$F$1081:$I$4183,4,FALSE)+COUNTIF(E$1081:E3143,E3144)</f>
        <v>#N/A</v>
      </c>
      <c r="K3144" s="1"/>
      <c r="L3144" s="161" t="e">
        <f>IF($C$1078&gt;0,VLOOKUP($C3144,PATRIMONIALE!$AJ$4:$AP$1003,7,FALSE),"")</f>
        <v>#N/A</v>
      </c>
      <c r="M3144" s="1"/>
      <c r="N3144" s="1"/>
      <c r="O3144" s="1"/>
    </row>
    <row r="3145" spans="1:15" hidden="1">
      <c r="A3145" s="1"/>
      <c r="B3145" s="182" t="e">
        <f t="shared" ca="1" si="269"/>
        <v>#N/A</v>
      </c>
      <c r="C3145" s="500">
        <v>79</v>
      </c>
      <c r="D3145" s="41" t="e">
        <f>IF($C$1078&gt;0,VLOOKUP($C3145,PATRIMONIALE!$AJ$4:$AL$1003,3,FALSE),"")</f>
        <v>#N/A</v>
      </c>
      <c r="E3145" s="41" t="str">
        <f t="shared" si="268"/>
        <v/>
      </c>
      <c r="F3145" s="200"/>
      <c r="G3145" s="178" t="e">
        <f>IF($C$1078&gt;0,VLOOKUP($C3145,PATRIMONIALE!$AJ$4:$AN$1003,5,FALSE),"")</f>
        <v>#N/A</v>
      </c>
      <c r="H3145" s="179" t="e">
        <f>IF($C$1078&gt;0,VLOOKUP($C3145,PATRIMONIALE!$AJ$4:$AO$1003,6,FALSE),"")</f>
        <v>#N/A</v>
      </c>
      <c r="I3145" s="187"/>
      <c r="J3145" s="140" t="e">
        <f ca="1">VLOOKUP(D3145,$F$1081:$I$4183,4,FALSE)+COUNTIF(E$1081:E3144,E3145)</f>
        <v>#N/A</v>
      </c>
      <c r="K3145" s="1"/>
      <c r="L3145" s="161" t="e">
        <f>IF($C$1078&gt;0,VLOOKUP($C3145,PATRIMONIALE!$AJ$4:$AP$1003,7,FALSE),"")</f>
        <v>#N/A</v>
      </c>
      <c r="M3145" s="1"/>
      <c r="N3145" s="1"/>
      <c r="O3145" s="1"/>
    </row>
    <row r="3146" spans="1:15" hidden="1">
      <c r="A3146" s="1"/>
      <c r="B3146" s="182" t="e">
        <f t="shared" ca="1" si="269"/>
        <v>#N/A</v>
      </c>
      <c r="C3146" s="500">
        <v>80</v>
      </c>
      <c r="D3146" s="41" t="e">
        <f>IF($C$1078&gt;0,VLOOKUP($C3146,PATRIMONIALE!$AJ$4:$AL$1003,3,FALSE),"")</f>
        <v>#N/A</v>
      </c>
      <c r="E3146" s="41" t="str">
        <f t="shared" si="268"/>
        <v/>
      </c>
      <c r="F3146" s="200"/>
      <c r="G3146" s="178" t="e">
        <f>IF($C$1078&gt;0,VLOOKUP($C3146,PATRIMONIALE!$AJ$4:$AN$1003,5,FALSE),"")</f>
        <v>#N/A</v>
      </c>
      <c r="H3146" s="179" t="e">
        <f>IF($C$1078&gt;0,VLOOKUP($C3146,PATRIMONIALE!$AJ$4:$AO$1003,6,FALSE),"")</f>
        <v>#N/A</v>
      </c>
      <c r="I3146" s="187"/>
      <c r="J3146" s="140" t="e">
        <f ca="1">VLOOKUP(D3146,$F$1081:$I$4183,4,FALSE)+COUNTIF(E$1081:E3145,E3146)</f>
        <v>#N/A</v>
      </c>
      <c r="K3146" s="1"/>
      <c r="L3146" s="161" t="e">
        <f>IF($C$1078&gt;0,VLOOKUP($C3146,PATRIMONIALE!$AJ$4:$AP$1003,7,FALSE),"")</f>
        <v>#N/A</v>
      </c>
      <c r="M3146" s="1"/>
      <c r="N3146" s="1"/>
      <c r="O3146" s="1"/>
    </row>
    <row r="3147" spans="1:15" hidden="1">
      <c r="A3147" s="1"/>
      <c r="B3147" s="182" t="e">
        <f t="shared" ca="1" si="269"/>
        <v>#N/A</v>
      </c>
      <c r="C3147" s="500">
        <v>81</v>
      </c>
      <c r="D3147" s="41" t="e">
        <f>IF($C$1078&gt;0,VLOOKUP($C3147,PATRIMONIALE!$AJ$4:$AL$1003,3,FALSE),"")</f>
        <v>#N/A</v>
      </c>
      <c r="E3147" s="41" t="str">
        <f t="shared" si="268"/>
        <v/>
      </c>
      <c r="F3147" s="200"/>
      <c r="G3147" s="178" t="e">
        <f>IF($C$1078&gt;0,VLOOKUP($C3147,PATRIMONIALE!$AJ$4:$AN$1003,5,FALSE),"")</f>
        <v>#N/A</v>
      </c>
      <c r="H3147" s="179" t="e">
        <f>IF($C$1078&gt;0,VLOOKUP($C3147,PATRIMONIALE!$AJ$4:$AO$1003,6,FALSE),"")</f>
        <v>#N/A</v>
      </c>
      <c r="I3147" s="187"/>
      <c r="J3147" s="140" t="e">
        <f ca="1">VLOOKUP(D3147,$F$1081:$I$4183,4,FALSE)+COUNTIF(E$1081:E3146,E3147)</f>
        <v>#N/A</v>
      </c>
      <c r="K3147" s="1"/>
      <c r="L3147" s="161" t="e">
        <f>IF($C$1078&gt;0,VLOOKUP($C3147,PATRIMONIALE!$AJ$4:$AP$1003,7,FALSE),"")</f>
        <v>#N/A</v>
      </c>
      <c r="M3147" s="1"/>
      <c r="N3147" s="1"/>
      <c r="O3147" s="1"/>
    </row>
    <row r="3148" spans="1:15" hidden="1">
      <c r="A3148" s="1"/>
      <c r="B3148" s="182" t="e">
        <f t="shared" ca="1" si="269"/>
        <v>#N/A</v>
      </c>
      <c r="C3148" s="500">
        <v>82</v>
      </c>
      <c r="D3148" s="41" t="e">
        <f>IF($C$1078&gt;0,VLOOKUP($C3148,PATRIMONIALE!$AJ$4:$AL$1003,3,FALSE),"")</f>
        <v>#N/A</v>
      </c>
      <c r="E3148" s="41" t="str">
        <f t="shared" si="268"/>
        <v/>
      </c>
      <c r="F3148" s="200"/>
      <c r="G3148" s="178" t="e">
        <f>IF($C$1078&gt;0,VLOOKUP($C3148,PATRIMONIALE!$AJ$4:$AN$1003,5,FALSE),"")</f>
        <v>#N/A</v>
      </c>
      <c r="H3148" s="179" t="e">
        <f>IF($C$1078&gt;0,VLOOKUP($C3148,PATRIMONIALE!$AJ$4:$AO$1003,6,FALSE),"")</f>
        <v>#N/A</v>
      </c>
      <c r="I3148" s="187"/>
      <c r="J3148" s="140" t="e">
        <f ca="1">VLOOKUP(D3148,$F$1081:$I$4183,4,FALSE)+COUNTIF(E$1081:E3147,E3148)</f>
        <v>#N/A</v>
      </c>
      <c r="K3148" s="1"/>
      <c r="L3148" s="161" t="e">
        <f>IF($C$1078&gt;0,VLOOKUP($C3148,PATRIMONIALE!$AJ$4:$AP$1003,7,FALSE),"")</f>
        <v>#N/A</v>
      </c>
      <c r="M3148" s="1"/>
      <c r="N3148" s="1"/>
      <c r="O3148" s="1"/>
    </row>
    <row r="3149" spans="1:15" hidden="1">
      <c r="A3149" s="1"/>
      <c r="B3149" s="182" t="e">
        <f t="shared" ca="1" si="269"/>
        <v>#N/A</v>
      </c>
      <c r="C3149" s="500">
        <v>83</v>
      </c>
      <c r="D3149" s="41" t="e">
        <f>IF($C$1078&gt;0,VLOOKUP($C3149,PATRIMONIALE!$AJ$4:$AL$1003,3,FALSE),"")</f>
        <v>#N/A</v>
      </c>
      <c r="E3149" s="41" t="str">
        <f t="shared" si="268"/>
        <v/>
      </c>
      <c r="F3149" s="200"/>
      <c r="G3149" s="178" t="e">
        <f>IF($C$1078&gt;0,VLOOKUP($C3149,PATRIMONIALE!$AJ$4:$AN$1003,5,FALSE),"")</f>
        <v>#N/A</v>
      </c>
      <c r="H3149" s="179" t="e">
        <f>IF($C$1078&gt;0,VLOOKUP($C3149,PATRIMONIALE!$AJ$4:$AO$1003,6,FALSE),"")</f>
        <v>#N/A</v>
      </c>
      <c r="I3149" s="187"/>
      <c r="J3149" s="140" t="e">
        <f ca="1">VLOOKUP(D3149,$F$1081:$I$4183,4,FALSE)+COUNTIF(E$1081:E3148,E3149)</f>
        <v>#N/A</v>
      </c>
      <c r="K3149" s="1"/>
      <c r="L3149" s="161" t="e">
        <f>IF($C$1078&gt;0,VLOOKUP($C3149,PATRIMONIALE!$AJ$4:$AP$1003,7,FALSE),"")</f>
        <v>#N/A</v>
      </c>
      <c r="M3149" s="1"/>
      <c r="N3149" s="1"/>
      <c r="O3149" s="1"/>
    </row>
    <row r="3150" spans="1:15" hidden="1">
      <c r="A3150" s="1"/>
      <c r="B3150" s="182" t="e">
        <f t="shared" ca="1" si="269"/>
        <v>#N/A</v>
      </c>
      <c r="C3150" s="500">
        <v>84</v>
      </c>
      <c r="D3150" s="41" t="e">
        <f>IF($C$1078&gt;0,VLOOKUP($C3150,PATRIMONIALE!$AJ$4:$AL$1003,3,FALSE),"")</f>
        <v>#N/A</v>
      </c>
      <c r="E3150" s="41" t="str">
        <f t="shared" si="268"/>
        <v/>
      </c>
      <c r="F3150" s="200"/>
      <c r="G3150" s="178" t="e">
        <f>IF($C$1078&gt;0,VLOOKUP($C3150,PATRIMONIALE!$AJ$4:$AN$1003,5,FALSE),"")</f>
        <v>#N/A</v>
      </c>
      <c r="H3150" s="179" t="e">
        <f>IF($C$1078&gt;0,VLOOKUP($C3150,PATRIMONIALE!$AJ$4:$AO$1003,6,FALSE),"")</f>
        <v>#N/A</v>
      </c>
      <c r="I3150" s="187"/>
      <c r="J3150" s="140" t="e">
        <f ca="1">VLOOKUP(D3150,$F$1081:$I$4183,4,FALSE)+COUNTIF(E$1081:E3149,E3150)</f>
        <v>#N/A</v>
      </c>
      <c r="K3150" s="1"/>
      <c r="L3150" s="161" t="e">
        <f>IF($C$1078&gt;0,VLOOKUP($C3150,PATRIMONIALE!$AJ$4:$AP$1003,7,FALSE),"")</f>
        <v>#N/A</v>
      </c>
      <c r="M3150" s="1"/>
      <c r="N3150" s="1"/>
      <c r="O3150" s="1"/>
    </row>
    <row r="3151" spans="1:15" hidden="1">
      <c r="A3151" s="1"/>
      <c r="B3151" s="182" t="e">
        <f t="shared" ca="1" si="269"/>
        <v>#N/A</v>
      </c>
      <c r="C3151" s="500">
        <v>85</v>
      </c>
      <c r="D3151" s="41" t="e">
        <f>IF($C$1078&gt;0,VLOOKUP($C3151,PATRIMONIALE!$AJ$4:$AL$1003,3,FALSE),"")</f>
        <v>#N/A</v>
      </c>
      <c r="E3151" s="41" t="str">
        <f t="shared" si="268"/>
        <v/>
      </c>
      <c r="F3151" s="200"/>
      <c r="G3151" s="178" t="e">
        <f>IF($C$1078&gt;0,VLOOKUP($C3151,PATRIMONIALE!$AJ$4:$AN$1003,5,FALSE),"")</f>
        <v>#N/A</v>
      </c>
      <c r="H3151" s="179" t="e">
        <f>IF($C$1078&gt;0,VLOOKUP($C3151,PATRIMONIALE!$AJ$4:$AO$1003,6,FALSE),"")</f>
        <v>#N/A</v>
      </c>
      <c r="I3151" s="187"/>
      <c r="J3151" s="140" t="e">
        <f ca="1">VLOOKUP(D3151,$F$1081:$I$4183,4,FALSE)+COUNTIF(E$1081:E3150,E3151)</f>
        <v>#N/A</v>
      </c>
      <c r="K3151" s="1"/>
      <c r="L3151" s="161" t="e">
        <f>IF($C$1078&gt;0,VLOOKUP($C3151,PATRIMONIALE!$AJ$4:$AP$1003,7,FALSE),"")</f>
        <v>#N/A</v>
      </c>
      <c r="M3151" s="1"/>
      <c r="N3151" s="1"/>
      <c r="O3151" s="1"/>
    </row>
    <row r="3152" spans="1:15" hidden="1">
      <c r="A3152" s="1"/>
      <c r="B3152" s="182" t="e">
        <f t="shared" ca="1" si="269"/>
        <v>#N/A</v>
      </c>
      <c r="C3152" s="500">
        <v>86</v>
      </c>
      <c r="D3152" s="41" t="e">
        <f>IF($C$1078&gt;0,VLOOKUP($C3152,PATRIMONIALE!$AJ$4:$AL$1003,3,FALSE),"")</f>
        <v>#N/A</v>
      </c>
      <c r="E3152" s="41" t="str">
        <f t="shared" si="268"/>
        <v/>
      </c>
      <c r="F3152" s="200"/>
      <c r="G3152" s="178" t="e">
        <f>IF($C$1078&gt;0,VLOOKUP($C3152,PATRIMONIALE!$AJ$4:$AN$1003,5,FALSE),"")</f>
        <v>#N/A</v>
      </c>
      <c r="H3152" s="179" t="e">
        <f>IF($C$1078&gt;0,VLOOKUP($C3152,PATRIMONIALE!$AJ$4:$AO$1003,6,FALSE),"")</f>
        <v>#N/A</v>
      </c>
      <c r="I3152" s="187"/>
      <c r="J3152" s="140" t="e">
        <f ca="1">VLOOKUP(D3152,$F$1081:$I$4183,4,FALSE)+COUNTIF(E$1081:E3151,E3152)</f>
        <v>#N/A</v>
      </c>
      <c r="K3152" s="1"/>
      <c r="L3152" s="161" t="e">
        <f>IF($C$1078&gt;0,VLOOKUP($C3152,PATRIMONIALE!$AJ$4:$AP$1003,7,FALSE),"")</f>
        <v>#N/A</v>
      </c>
      <c r="M3152" s="1"/>
      <c r="N3152" s="1"/>
      <c r="O3152" s="1"/>
    </row>
    <row r="3153" spans="1:15" hidden="1">
      <c r="A3153" s="1"/>
      <c r="B3153" s="182" t="e">
        <f t="shared" ca="1" si="269"/>
        <v>#N/A</v>
      </c>
      <c r="C3153" s="500">
        <v>87</v>
      </c>
      <c r="D3153" s="41" t="e">
        <f>IF($C$1078&gt;0,VLOOKUP($C3153,PATRIMONIALE!$AJ$4:$AL$1003,3,FALSE),"")</f>
        <v>#N/A</v>
      </c>
      <c r="E3153" s="41" t="str">
        <f t="shared" si="268"/>
        <v/>
      </c>
      <c r="F3153" s="200"/>
      <c r="G3153" s="178" t="e">
        <f>IF($C$1078&gt;0,VLOOKUP($C3153,PATRIMONIALE!$AJ$4:$AN$1003,5,FALSE),"")</f>
        <v>#N/A</v>
      </c>
      <c r="H3153" s="179" t="e">
        <f>IF($C$1078&gt;0,VLOOKUP($C3153,PATRIMONIALE!$AJ$4:$AO$1003,6,FALSE),"")</f>
        <v>#N/A</v>
      </c>
      <c r="I3153" s="187"/>
      <c r="J3153" s="140" t="e">
        <f ca="1">VLOOKUP(D3153,$F$1081:$I$4183,4,FALSE)+COUNTIF(E$1081:E3152,E3153)</f>
        <v>#N/A</v>
      </c>
      <c r="K3153" s="1"/>
      <c r="L3153" s="161" t="e">
        <f>IF($C$1078&gt;0,VLOOKUP($C3153,PATRIMONIALE!$AJ$4:$AP$1003,7,FALSE),"")</f>
        <v>#N/A</v>
      </c>
      <c r="M3153" s="1"/>
      <c r="N3153" s="1"/>
      <c r="O3153" s="1"/>
    </row>
    <row r="3154" spans="1:15" hidden="1">
      <c r="A3154" s="1"/>
      <c r="B3154" s="182" t="e">
        <f t="shared" ca="1" si="269"/>
        <v>#N/A</v>
      </c>
      <c r="C3154" s="500">
        <v>88</v>
      </c>
      <c r="D3154" s="41" t="e">
        <f>IF($C$1078&gt;0,VLOOKUP($C3154,PATRIMONIALE!$AJ$4:$AL$1003,3,FALSE),"")</f>
        <v>#N/A</v>
      </c>
      <c r="E3154" s="41" t="str">
        <f t="shared" si="268"/>
        <v/>
      </c>
      <c r="F3154" s="200"/>
      <c r="G3154" s="178" t="e">
        <f>IF($C$1078&gt;0,VLOOKUP($C3154,PATRIMONIALE!$AJ$4:$AN$1003,5,FALSE),"")</f>
        <v>#N/A</v>
      </c>
      <c r="H3154" s="179" t="e">
        <f>IF($C$1078&gt;0,VLOOKUP($C3154,PATRIMONIALE!$AJ$4:$AO$1003,6,FALSE),"")</f>
        <v>#N/A</v>
      </c>
      <c r="I3154" s="187"/>
      <c r="J3154" s="140" t="e">
        <f ca="1">VLOOKUP(D3154,$F$1081:$I$4183,4,FALSE)+COUNTIF(E$1081:E3153,E3154)</f>
        <v>#N/A</v>
      </c>
      <c r="K3154" s="1"/>
      <c r="L3154" s="161" t="e">
        <f>IF($C$1078&gt;0,VLOOKUP($C3154,PATRIMONIALE!$AJ$4:$AP$1003,7,FALSE),"")</f>
        <v>#N/A</v>
      </c>
      <c r="M3154" s="1"/>
      <c r="N3154" s="1"/>
      <c r="O3154" s="1"/>
    </row>
    <row r="3155" spans="1:15" hidden="1">
      <c r="A3155" s="1"/>
      <c r="B3155" s="182" t="e">
        <f t="shared" ca="1" si="269"/>
        <v>#N/A</v>
      </c>
      <c r="C3155" s="500">
        <v>89</v>
      </c>
      <c r="D3155" s="41" t="e">
        <f>IF($C$1078&gt;0,VLOOKUP($C3155,PATRIMONIALE!$AJ$4:$AL$1003,3,FALSE),"")</f>
        <v>#N/A</v>
      </c>
      <c r="E3155" s="41" t="str">
        <f t="shared" si="268"/>
        <v/>
      </c>
      <c r="F3155" s="200"/>
      <c r="G3155" s="178" t="e">
        <f>IF($C$1078&gt;0,VLOOKUP($C3155,PATRIMONIALE!$AJ$4:$AN$1003,5,FALSE),"")</f>
        <v>#N/A</v>
      </c>
      <c r="H3155" s="179" t="e">
        <f>IF($C$1078&gt;0,VLOOKUP($C3155,PATRIMONIALE!$AJ$4:$AO$1003,6,FALSE),"")</f>
        <v>#N/A</v>
      </c>
      <c r="I3155" s="187"/>
      <c r="J3155" s="140" t="e">
        <f ca="1">VLOOKUP(D3155,$F$1081:$I$4183,4,FALSE)+COUNTIF(E$1081:E3154,E3155)</f>
        <v>#N/A</v>
      </c>
      <c r="K3155" s="1"/>
      <c r="L3155" s="161" t="e">
        <f>IF($C$1078&gt;0,VLOOKUP($C3155,PATRIMONIALE!$AJ$4:$AP$1003,7,FALSE),"")</f>
        <v>#N/A</v>
      </c>
      <c r="M3155" s="1"/>
      <c r="N3155" s="1"/>
      <c r="O3155" s="1"/>
    </row>
    <row r="3156" spans="1:15" hidden="1">
      <c r="A3156" s="1"/>
      <c r="B3156" s="182" t="e">
        <f t="shared" ca="1" si="269"/>
        <v>#N/A</v>
      </c>
      <c r="C3156" s="500">
        <v>90</v>
      </c>
      <c r="D3156" s="41" t="e">
        <f>IF($C$1078&gt;0,VLOOKUP($C3156,PATRIMONIALE!$AJ$4:$AL$1003,3,FALSE),"")</f>
        <v>#N/A</v>
      </c>
      <c r="E3156" s="41" t="str">
        <f t="shared" si="268"/>
        <v/>
      </c>
      <c r="F3156" s="200"/>
      <c r="G3156" s="178" t="e">
        <f>IF($C$1078&gt;0,VLOOKUP($C3156,PATRIMONIALE!$AJ$4:$AN$1003,5,FALSE),"")</f>
        <v>#N/A</v>
      </c>
      <c r="H3156" s="179" t="e">
        <f>IF($C$1078&gt;0,VLOOKUP($C3156,PATRIMONIALE!$AJ$4:$AO$1003,6,FALSE),"")</f>
        <v>#N/A</v>
      </c>
      <c r="I3156" s="187"/>
      <c r="J3156" s="140" t="e">
        <f ca="1">VLOOKUP(D3156,$F$1081:$I$4183,4,FALSE)+COUNTIF(E$1081:E3155,E3156)</f>
        <v>#N/A</v>
      </c>
      <c r="K3156" s="1"/>
      <c r="L3156" s="161" t="e">
        <f>IF($C$1078&gt;0,VLOOKUP($C3156,PATRIMONIALE!$AJ$4:$AP$1003,7,FALSE),"")</f>
        <v>#N/A</v>
      </c>
      <c r="M3156" s="1"/>
      <c r="N3156" s="1"/>
      <c r="O3156" s="1"/>
    </row>
    <row r="3157" spans="1:15" hidden="1">
      <c r="A3157" s="1"/>
      <c r="B3157" s="182" t="e">
        <f t="shared" ca="1" si="269"/>
        <v>#N/A</v>
      </c>
      <c r="C3157" s="500">
        <v>91</v>
      </c>
      <c r="D3157" s="41" t="e">
        <f>IF($C$1078&gt;0,VLOOKUP($C3157,PATRIMONIALE!$AJ$4:$AL$1003,3,FALSE),"")</f>
        <v>#N/A</v>
      </c>
      <c r="E3157" s="41" t="str">
        <f t="shared" si="268"/>
        <v/>
      </c>
      <c r="F3157" s="200"/>
      <c r="G3157" s="178" t="e">
        <f>IF($C$1078&gt;0,VLOOKUP($C3157,PATRIMONIALE!$AJ$4:$AN$1003,5,FALSE),"")</f>
        <v>#N/A</v>
      </c>
      <c r="H3157" s="179" t="e">
        <f>IF($C$1078&gt;0,VLOOKUP($C3157,PATRIMONIALE!$AJ$4:$AO$1003,6,FALSE),"")</f>
        <v>#N/A</v>
      </c>
      <c r="I3157" s="187"/>
      <c r="J3157" s="140" t="e">
        <f ca="1">VLOOKUP(D3157,$F$1081:$I$4183,4,FALSE)+COUNTIF(E$1081:E3156,E3157)</f>
        <v>#N/A</v>
      </c>
      <c r="K3157" s="1"/>
      <c r="L3157" s="161" t="e">
        <f>IF($C$1078&gt;0,VLOOKUP($C3157,PATRIMONIALE!$AJ$4:$AP$1003,7,FALSE),"")</f>
        <v>#N/A</v>
      </c>
      <c r="M3157" s="1"/>
      <c r="N3157" s="1"/>
      <c r="O3157" s="1"/>
    </row>
    <row r="3158" spans="1:15" hidden="1">
      <c r="A3158" s="1"/>
      <c r="B3158" s="182" t="e">
        <f t="shared" ca="1" si="269"/>
        <v>#N/A</v>
      </c>
      <c r="C3158" s="500">
        <v>92</v>
      </c>
      <c r="D3158" s="41" t="e">
        <f>IF($C$1078&gt;0,VLOOKUP($C3158,PATRIMONIALE!$AJ$4:$AL$1003,3,FALSE),"")</f>
        <v>#N/A</v>
      </c>
      <c r="E3158" s="41" t="str">
        <f t="shared" si="268"/>
        <v/>
      </c>
      <c r="F3158" s="200"/>
      <c r="G3158" s="178" t="e">
        <f>IF($C$1078&gt;0,VLOOKUP($C3158,PATRIMONIALE!$AJ$4:$AN$1003,5,FALSE),"")</f>
        <v>#N/A</v>
      </c>
      <c r="H3158" s="179" t="e">
        <f>IF($C$1078&gt;0,VLOOKUP($C3158,PATRIMONIALE!$AJ$4:$AO$1003,6,FALSE),"")</f>
        <v>#N/A</v>
      </c>
      <c r="I3158" s="187"/>
      <c r="J3158" s="140" t="e">
        <f ca="1">VLOOKUP(D3158,$F$1081:$I$4183,4,FALSE)+COUNTIF(E$1081:E3157,E3158)</f>
        <v>#N/A</v>
      </c>
      <c r="K3158" s="1"/>
      <c r="L3158" s="161" t="e">
        <f>IF($C$1078&gt;0,VLOOKUP($C3158,PATRIMONIALE!$AJ$4:$AP$1003,7,FALSE),"")</f>
        <v>#N/A</v>
      </c>
      <c r="M3158" s="1"/>
      <c r="N3158" s="1"/>
      <c r="O3158" s="1"/>
    </row>
    <row r="3159" spans="1:15" hidden="1">
      <c r="A3159" s="1"/>
      <c r="B3159" s="182" t="e">
        <f t="shared" ca="1" si="269"/>
        <v>#N/A</v>
      </c>
      <c r="C3159" s="500">
        <v>93</v>
      </c>
      <c r="D3159" s="41" t="e">
        <f>IF($C$1078&gt;0,VLOOKUP($C3159,PATRIMONIALE!$AJ$4:$AL$1003,3,FALSE),"")</f>
        <v>#N/A</v>
      </c>
      <c r="E3159" s="41" t="str">
        <f t="shared" si="268"/>
        <v/>
      </c>
      <c r="F3159" s="200"/>
      <c r="G3159" s="178" t="e">
        <f>IF($C$1078&gt;0,VLOOKUP($C3159,PATRIMONIALE!$AJ$4:$AN$1003,5,FALSE),"")</f>
        <v>#N/A</v>
      </c>
      <c r="H3159" s="179" t="e">
        <f>IF($C$1078&gt;0,VLOOKUP($C3159,PATRIMONIALE!$AJ$4:$AO$1003,6,FALSE),"")</f>
        <v>#N/A</v>
      </c>
      <c r="I3159" s="187"/>
      <c r="J3159" s="140" t="e">
        <f ca="1">VLOOKUP(D3159,$F$1081:$I$4183,4,FALSE)+COUNTIF(E$1081:E3158,E3159)</f>
        <v>#N/A</v>
      </c>
      <c r="K3159" s="1"/>
      <c r="L3159" s="161" t="e">
        <f>IF($C$1078&gt;0,VLOOKUP($C3159,PATRIMONIALE!$AJ$4:$AP$1003,7,FALSE),"")</f>
        <v>#N/A</v>
      </c>
      <c r="M3159" s="1"/>
      <c r="N3159" s="1"/>
      <c r="O3159" s="1"/>
    </row>
    <row r="3160" spans="1:15" hidden="1">
      <c r="A3160" s="1"/>
      <c r="B3160" s="182" t="e">
        <f t="shared" ca="1" si="269"/>
        <v>#N/A</v>
      </c>
      <c r="C3160" s="500">
        <v>94</v>
      </c>
      <c r="D3160" s="41" t="e">
        <f>IF($C$1078&gt;0,VLOOKUP($C3160,PATRIMONIALE!$AJ$4:$AL$1003,3,FALSE),"")</f>
        <v>#N/A</v>
      </c>
      <c r="E3160" s="41" t="str">
        <f t="shared" si="268"/>
        <v/>
      </c>
      <c r="F3160" s="200"/>
      <c r="G3160" s="178" t="e">
        <f>IF($C$1078&gt;0,VLOOKUP($C3160,PATRIMONIALE!$AJ$4:$AN$1003,5,FALSE),"")</f>
        <v>#N/A</v>
      </c>
      <c r="H3160" s="179" t="e">
        <f>IF($C$1078&gt;0,VLOOKUP($C3160,PATRIMONIALE!$AJ$4:$AO$1003,6,FALSE),"")</f>
        <v>#N/A</v>
      </c>
      <c r="I3160" s="187"/>
      <c r="J3160" s="140" t="e">
        <f ca="1">VLOOKUP(D3160,$F$1081:$I$4183,4,FALSE)+COUNTIF(E$1081:E3159,E3160)</f>
        <v>#N/A</v>
      </c>
      <c r="K3160" s="1"/>
      <c r="L3160" s="161" t="e">
        <f>IF($C$1078&gt;0,VLOOKUP($C3160,PATRIMONIALE!$AJ$4:$AP$1003,7,FALSE),"")</f>
        <v>#N/A</v>
      </c>
      <c r="M3160" s="1"/>
      <c r="N3160" s="1"/>
      <c r="O3160" s="1"/>
    </row>
    <row r="3161" spans="1:15" hidden="1">
      <c r="A3161" s="1"/>
      <c r="B3161" s="182" t="e">
        <f t="shared" ca="1" si="269"/>
        <v>#N/A</v>
      </c>
      <c r="C3161" s="500">
        <v>95</v>
      </c>
      <c r="D3161" s="41" t="e">
        <f>IF($C$1078&gt;0,VLOOKUP($C3161,PATRIMONIALE!$AJ$4:$AL$1003,3,FALSE),"")</f>
        <v>#N/A</v>
      </c>
      <c r="E3161" s="41" t="str">
        <f t="shared" si="268"/>
        <v/>
      </c>
      <c r="F3161" s="200"/>
      <c r="G3161" s="178" t="e">
        <f>IF($C$1078&gt;0,VLOOKUP($C3161,PATRIMONIALE!$AJ$4:$AN$1003,5,FALSE),"")</f>
        <v>#N/A</v>
      </c>
      <c r="H3161" s="179" t="e">
        <f>IF($C$1078&gt;0,VLOOKUP($C3161,PATRIMONIALE!$AJ$4:$AO$1003,6,FALSE),"")</f>
        <v>#N/A</v>
      </c>
      <c r="I3161" s="187"/>
      <c r="J3161" s="140" t="e">
        <f ca="1">VLOOKUP(D3161,$F$1081:$I$4183,4,FALSE)+COUNTIF(E$1081:E3160,E3161)</f>
        <v>#N/A</v>
      </c>
      <c r="K3161" s="1"/>
      <c r="L3161" s="161" t="e">
        <f>IF($C$1078&gt;0,VLOOKUP($C3161,PATRIMONIALE!$AJ$4:$AP$1003,7,FALSE),"")</f>
        <v>#N/A</v>
      </c>
      <c r="M3161" s="1"/>
      <c r="N3161" s="1"/>
      <c r="O3161" s="1"/>
    </row>
    <row r="3162" spans="1:15" hidden="1">
      <c r="A3162" s="1"/>
      <c r="B3162" s="182" t="e">
        <f t="shared" ca="1" si="269"/>
        <v>#N/A</v>
      </c>
      <c r="C3162" s="500">
        <v>96</v>
      </c>
      <c r="D3162" s="41" t="e">
        <f>IF($C$1078&gt;0,VLOOKUP($C3162,PATRIMONIALE!$AJ$4:$AL$1003,3,FALSE),"")</f>
        <v>#N/A</v>
      </c>
      <c r="E3162" s="41" t="str">
        <f t="shared" si="268"/>
        <v/>
      </c>
      <c r="F3162" s="200"/>
      <c r="G3162" s="178" t="e">
        <f>IF($C$1078&gt;0,VLOOKUP($C3162,PATRIMONIALE!$AJ$4:$AN$1003,5,FALSE),"")</f>
        <v>#N/A</v>
      </c>
      <c r="H3162" s="179" t="e">
        <f>IF($C$1078&gt;0,VLOOKUP($C3162,PATRIMONIALE!$AJ$4:$AO$1003,6,FALSE),"")</f>
        <v>#N/A</v>
      </c>
      <c r="I3162" s="187"/>
      <c r="J3162" s="140" t="e">
        <f ca="1">VLOOKUP(D3162,$F$1081:$I$4183,4,FALSE)+COUNTIF(E$1081:E3161,E3162)</f>
        <v>#N/A</v>
      </c>
      <c r="K3162" s="1"/>
      <c r="L3162" s="161" t="e">
        <f>IF($C$1078&gt;0,VLOOKUP($C3162,PATRIMONIALE!$AJ$4:$AP$1003,7,FALSE),"")</f>
        <v>#N/A</v>
      </c>
      <c r="M3162" s="1"/>
      <c r="N3162" s="1"/>
      <c r="O3162" s="1"/>
    </row>
    <row r="3163" spans="1:15" hidden="1">
      <c r="A3163" s="1"/>
      <c r="B3163" s="182" t="e">
        <f t="shared" ca="1" si="269"/>
        <v>#N/A</v>
      </c>
      <c r="C3163" s="500">
        <v>97</v>
      </c>
      <c r="D3163" s="41" t="e">
        <f>IF($C$1078&gt;0,VLOOKUP($C3163,PATRIMONIALE!$AJ$4:$AL$1003,3,FALSE),"")</f>
        <v>#N/A</v>
      </c>
      <c r="E3163" s="41" t="str">
        <f t="shared" si="268"/>
        <v/>
      </c>
      <c r="F3163" s="200"/>
      <c r="G3163" s="178" t="e">
        <f>IF($C$1078&gt;0,VLOOKUP($C3163,PATRIMONIALE!$AJ$4:$AN$1003,5,FALSE),"")</f>
        <v>#N/A</v>
      </c>
      <c r="H3163" s="179" t="e">
        <f>IF($C$1078&gt;0,VLOOKUP($C3163,PATRIMONIALE!$AJ$4:$AO$1003,6,FALSE),"")</f>
        <v>#N/A</v>
      </c>
      <c r="I3163" s="187"/>
      <c r="J3163" s="140" t="e">
        <f ca="1">VLOOKUP(D3163,$F$1081:$I$4183,4,FALSE)+COUNTIF(E$1081:E3162,E3163)</f>
        <v>#N/A</v>
      </c>
      <c r="K3163" s="1"/>
      <c r="L3163" s="161" t="e">
        <f>IF($C$1078&gt;0,VLOOKUP($C3163,PATRIMONIALE!$AJ$4:$AP$1003,7,FALSE),"")</f>
        <v>#N/A</v>
      </c>
      <c r="M3163" s="1"/>
      <c r="N3163" s="1"/>
      <c r="O3163" s="1"/>
    </row>
    <row r="3164" spans="1:15" hidden="1">
      <c r="A3164" s="1"/>
      <c r="B3164" s="182" t="e">
        <f t="shared" ca="1" si="269"/>
        <v>#N/A</v>
      </c>
      <c r="C3164" s="500">
        <v>98</v>
      </c>
      <c r="D3164" s="41" t="e">
        <f>IF($C$1078&gt;0,VLOOKUP($C3164,PATRIMONIALE!$AJ$4:$AL$1003,3,FALSE),"")</f>
        <v>#N/A</v>
      </c>
      <c r="E3164" s="41" t="str">
        <f t="shared" si="268"/>
        <v/>
      </c>
      <c r="F3164" s="200"/>
      <c r="G3164" s="178" t="e">
        <f>IF($C$1078&gt;0,VLOOKUP($C3164,PATRIMONIALE!$AJ$4:$AN$1003,5,FALSE),"")</f>
        <v>#N/A</v>
      </c>
      <c r="H3164" s="179" t="e">
        <f>IF($C$1078&gt;0,VLOOKUP($C3164,PATRIMONIALE!$AJ$4:$AO$1003,6,FALSE),"")</f>
        <v>#N/A</v>
      </c>
      <c r="I3164" s="187"/>
      <c r="J3164" s="140" t="e">
        <f ca="1">VLOOKUP(D3164,$F$1081:$I$4183,4,FALSE)+COUNTIF(E$1081:E3163,E3164)</f>
        <v>#N/A</v>
      </c>
      <c r="K3164" s="1"/>
      <c r="L3164" s="161" t="e">
        <f>IF($C$1078&gt;0,VLOOKUP($C3164,PATRIMONIALE!$AJ$4:$AP$1003,7,FALSE),"")</f>
        <v>#N/A</v>
      </c>
      <c r="M3164" s="1"/>
      <c r="N3164" s="1"/>
      <c r="O3164" s="1"/>
    </row>
    <row r="3165" spans="1:15" hidden="1">
      <c r="A3165" s="1"/>
      <c r="B3165" s="182" t="e">
        <f t="shared" ca="1" si="269"/>
        <v>#N/A</v>
      </c>
      <c r="C3165" s="500">
        <v>99</v>
      </c>
      <c r="D3165" s="41" t="e">
        <f>IF($C$1078&gt;0,VLOOKUP($C3165,PATRIMONIALE!$AJ$4:$AL$1003,3,FALSE),"")</f>
        <v>#N/A</v>
      </c>
      <c r="E3165" s="41" t="str">
        <f t="shared" si="268"/>
        <v/>
      </c>
      <c r="F3165" s="200"/>
      <c r="G3165" s="178" t="e">
        <f>IF($C$1078&gt;0,VLOOKUP($C3165,PATRIMONIALE!$AJ$4:$AN$1003,5,FALSE),"")</f>
        <v>#N/A</v>
      </c>
      <c r="H3165" s="179" t="e">
        <f>IF($C$1078&gt;0,VLOOKUP($C3165,PATRIMONIALE!$AJ$4:$AO$1003,6,FALSE),"")</f>
        <v>#N/A</v>
      </c>
      <c r="I3165" s="187"/>
      <c r="J3165" s="140" t="e">
        <f ca="1">VLOOKUP(D3165,$F$1081:$I$4183,4,FALSE)+COUNTIF(E$1081:E3164,E3165)</f>
        <v>#N/A</v>
      </c>
      <c r="K3165" s="1"/>
      <c r="L3165" s="161" t="e">
        <f>IF($C$1078&gt;0,VLOOKUP($C3165,PATRIMONIALE!$AJ$4:$AP$1003,7,FALSE),"")</f>
        <v>#N/A</v>
      </c>
      <c r="M3165" s="1"/>
      <c r="N3165" s="1"/>
      <c r="O3165" s="1"/>
    </row>
    <row r="3166" spans="1:15" hidden="1">
      <c r="A3166" s="1"/>
      <c r="B3166" s="182" t="e">
        <f t="shared" ca="1" si="269"/>
        <v>#N/A</v>
      </c>
      <c r="C3166" s="500">
        <v>100</v>
      </c>
      <c r="D3166" s="41" t="e">
        <f>IF($C$1078&gt;0,VLOOKUP($C3166,PATRIMONIALE!$AJ$4:$AL$1003,3,FALSE),"")</f>
        <v>#N/A</v>
      </c>
      <c r="E3166" s="41" t="str">
        <f t="shared" si="268"/>
        <v/>
      </c>
      <c r="F3166" s="200"/>
      <c r="G3166" s="178" t="e">
        <f>IF($C$1078&gt;0,VLOOKUP($C3166,PATRIMONIALE!$AJ$4:$AN$1003,5,FALSE),"")</f>
        <v>#N/A</v>
      </c>
      <c r="H3166" s="179" t="e">
        <f>IF($C$1078&gt;0,VLOOKUP($C3166,PATRIMONIALE!$AJ$4:$AO$1003,6,FALSE),"")</f>
        <v>#N/A</v>
      </c>
      <c r="I3166" s="187"/>
      <c r="J3166" s="140" t="e">
        <f ca="1">VLOOKUP(D3166,$F$1081:$I$4183,4,FALSE)+COUNTIF(E$1081:E3165,E3166)</f>
        <v>#N/A</v>
      </c>
      <c r="K3166" s="1"/>
      <c r="L3166" s="161" t="e">
        <f>IF($C$1078&gt;0,VLOOKUP($C3166,PATRIMONIALE!$AJ$4:$AP$1003,7,FALSE),"")</f>
        <v>#N/A</v>
      </c>
      <c r="M3166" s="1"/>
      <c r="N3166" s="1"/>
      <c r="O3166" s="1"/>
    </row>
    <row r="3167" spans="1:15" hidden="1">
      <c r="A3167" s="1"/>
      <c r="B3167" s="182" t="e">
        <f t="shared" ca="1" si="269"/>
        <v>#N/A</v>
      </c>
      <c r="C3167" s="500">
        <v>101</v>
      </c>
      <c r="D3167" s="41" t="e">
        <f>IF($C$1078&gt;0,VLOOKUP($C3167,PATRIMONIALE!$AJ$4:$AL$1003,3,FALSE),"")</f>
        <v>#N/A</v>
      </c>
      <c r="E3167" s="41" t="str">
        <f t="shared" si="268"/>
        <v/>
      </c>
      <c r="F3167" s="200"/>
      <c r="G3167" s="178" t="e">
        <f>IF($C$1078&gt;0,VLOOKUP($C3167,PATRIMONIALE!$AJ$4:$AN$1003,5,FALSE),"")</f>
        <v>#N/A</v>
      </c>
      <c r="H3167" s="179" t="e">
        <f>IF($C$1078&gt;0,VLOOKUP($C3167,PATRIMONIALE!$AJ$4:$AO$1003,6,FALSE),"")</f>
        <v>#N/A</v>
      </c>
      <c r="I3167" s="187"/>
      <c r="J3167" s="140" t="e">
        <f ca="1">VLOOKUP(D3167,$F$1081:$I$4183,4,FALSE)+COUNTIF(E$1081:E3166,E3167)</f>
        <v>#N/A</v>
      </c>
      <c r="K3167" s="1"/>
      <c r="L3167" s="161" t="e">
        <f>IF($C$1078&gt;0,VLOOKUP($C3167,PATRIMONIALE!$AJ$4:$AP$1003,7,FALSE),"")</f>
        <v>#N/A</v>
      </c>
      <c r="M3167" s="1"/>
      <c r="N3167" s="1"/>
      <c r="O3167" s="1"/>
    </row>
    <row r="3168" spans="1:15" hidden="1">
      <c r="A3168" s="1"/>
      <c r="B3168" s="182" t="e">
        <f t="shared" ca="1" si="269"/>
        <v>#N/A</v>
      </c>
      <c r="C3168" s="500">
        <v>102</v>
      </c>
      <c r="D3168" s="41" t="e">
        <f>IF($C$1078&gt;0,VLOOKUP($C3168,PATRIMONIALE!$AJ$4:$AL$1003,3,FALSE),"")</f>
        <v>#N/A</v>
      </c>
      <c r="E3168" s="41" t="str">
        <f t="shared" si="268"/>
        <v/>
      </c>
      <c r="F3168" s="200"/>
      <c r="G3168" s="178" t="e">
        <f>IF($C$1078&gt;0,VLOOKUP($C3168,PATRIMONIALE!$AJ$4:$AN$1003,5,FALSE),"")</f>
        <v>#N/A</v>
      </c>
      <c r="H3168" s="179" t="e">
        <f>IF($C$1078&gt;0,VLOOKUP($C3168,PATRIMONIALE!$AJ$4:$AO$1003,6,FALSE),"")</f>
        <v>#N/A</v>
      </c>
      <c r="I3168" s="187"/>
      <c r="J3168" s="140" t="e">
        <f ca="1">VLOOKUP(D3168,$F$1081:$I$4183,4,FALSE)+COUNTIF(E$1081:E3167,E3168)</f>
        <v>#N/A</v>
      </c>
      <c r="K3168" s="1"/>
      <c r="L3168" s="161" t="e">
        <f>IF($C$1078&gt;0,VLOOKUP($C3168,PATRIMONIALE!$AJ$4:$AP$1003,7,FALSE),"")</f>
        <v>#N/A</v>
      </c>
      <c r="M3168" s="1"/>
      <c r="N3168" s="1"/>
      <c r="O3168" s="1"/>
    </row>
    <row r="3169" spans="1:15" hidden="1">
      <c r="A3169" s="1"/>
      <c r="B3169" s="182" t="e">
        <f t="shared" ca="1" si="269"/>
        <v>#N/A</v>
      </c>
      <c r="C3169" s="500">
        <v>103</v>
      </c>
      <c r="D3169" s="41" t="e">
        <f>IF($C$1078&gt;0,VLOOKUP($C3169,PATRIMONIALE!$AJ$4:$AL$1003,3,FALSE),"")</f>
        <v>#N/A</v>
      </c>
      <c r="E3169" s="41" t="str">
        <f t="shared" si="268"/>
        <v/>
      </c>
      <c r="F3169" s="200"/>
      <c r="G3169" s="178" t="e">
        <f>IF($C$1078&gt;0,VLOOKUP($C3169,PATRIMONIALE!$AJ$4:$AN$1003,5,FALSE),"")</f>
        <v>#N/A</v>
      </c>
      <c r="H3169" s="179" t="e">
        <f>IF($C$1078&gt;0,VLOOKUP($C3169,PATRIMONIALE!$AJ$4:$AO$1003,6,FALSE),"")</f>
        <v>#N/A</v>
      </c>
      <c r="I3169" s="187"/>
      <c r="J3169" s="140" t="e">
        <f ca="1">VLOOKUP(D3169,$F$1081:$I$4183,4,FALSE)+COUNTIF(E$1081:E3168,E3169)</f>
        <v>#N/A</v>
      </c>
      <c r="K3169" s="1"/>
      <c r="L3169" s="161" t="e">
        <f>IF($C$1078&gt;0,VLOOKUP($C3169,PATRIMONIALE!$AJ$4:$AP$1003,7,FALSE),"")</f>
        <v>#N/A</v>
      </c>
      <c r="M3169" s="1"/>
      <c r="N3169" s="1"/>
      <c r="O3169" s="1"/>
    </row>
    <row r="3170" spans="1:15" hidden="1">
      <c r="A3170" s="1"/>
      <c r="B3170" s="182" t="e">
        <f t="shared" ca="1" si="269"/>
        <v>#N/A</v>
      </c>
      <c r="C3170" s="500">
        <v>104</v>
      </c>
      <c r="D3170" s="41" t="e">
        <f>IF($C$1078&gt;0,VLOOKUP($C3170,PATRIMONIALE!$AJ$4:$AL$1003,3,FALSE),"")</f>
        <v>#N/A</v>
      </c>
      <c r="E3170" s="41" t="str">
        <f t="shared" ref="E3170:E3233" si="270">IF(ISERROR(D3170),"",D3170)</f>
        <v/>
      </c>
      <c r="F3170" s="200"/>
      <c r="G3170" s="178" t="e">
        <f>IF($C$1078&gt;0,VLOOKUP($C3170,PATRIMONIALE!$AJ$4:$AN$1003,5,FALSE),"")</f>
        <v>#N/A</v>
      </c>
      <c r="H3170" s="179" t="e">
        <f>IF($C$1078&gt;0,VLOOKUP($C3170,PATRIMONIALE!$AJ$4:$AO$1003,6,FALSE),"")</f>
        <v>#N/A</v>
      </c>
      <c r="I3170" s="187"/>
      <c r="J3170" s="140" t="e">
        <f ca="1">VLOOKUP(D3170,$F$1081:$I$4183,4,FALSE)+COUNTIF(E$1081:E3169,E3170)</f>
        <v>#N/A</v>
      </c>
      <c r="K3170" s="1"/>
      <c r="L3170" s="161" t="e">
        <f>IF($C$1078&gt;0,VLOOKUP($C3170,PATRIMONIALE!$AJ$4:$AP$1003,7,FALSE),"")</f>
        <v>#N/A</v>
      </c>
      <c r="M3170" s="1"/>
      <c r="N3170" s="1"/>
      <c r="O3170" s="1"/>
    </row>
    <row r="3171" spans="1:15" hidden="1">
      <c r="A3171" s="1"/>
      <c r="B3171" s="182" t="e">
        <f t="shared" ca="1" si="269"/>
        <v>#N/A</v>
      </c>
      <c r="C3171" s="500">
        <v>105</v>
      </c>
      <c r="D3171" s="41" t="e">
        <f>IF($C$1078&gt;0,VLOOKUP($C3171,PATRIMONIALE!$AJ$4:$AL$1003,3,FALSE),"")</f>
        <v>#N/A</v>
      </c>
      <c r="E3171" s="41" t="str">
        <f t="shared" si="270"/>
        <v/>
      </c>
      <c r="F3171" s="200"/>
      <c r="G3171" s="178" t="e">
        <f>IF($C$1078&gt;0,VLOOKUP($C3171,PATRIMONIALE!$AJ$4:$AN$1003,5,FALSE),"")</f>
        <v>#N/A</v>
      </c>
      <c r="H3171" s="179" t="e">
        <f>IF($C$1078&gt;0,VLOOKUP($C3171,PATRIMONIALE!$AJ$4:$AO$1003,6,FALSE),"")</f>
        <v>#N/A</v>
      </c>
      <c r="I3171" s="187"/>
      <c r="J3171" s="140" t="e">
        <f ca="1">VLOOKUP(D3171,$F$1081:$I$4183,4,FALSE)+COUNTIF(E$1081:E3170,E3171)</f>
        <v>#N/A</v>
      </c>
      <c r="K3171" s="1"/>
      <c r="L3171" s="161" t="e">
        <f>IF($C$1078&gt;0,VLOOKUP($C3171,PATRIMONIALE!$AJ$4:$AP$1003,7,FALSE),"")</f>
        <v>#N/A</v>
      </c>
      <c r="M3171" s="1"/>
      <c r="N3171" s="1"/>
      <c r="O3171" s="1"/>
    </row>
    <row r="3172" spans="1:15" hidden="1">
      <c r="A3172" s="1"/>
      <c r="B3172" s="182" t="e">
        <f t="shared" ca="1" si="269"/>
        <v>#N/A</v>
      </c>
      <c r="C3172" s="500">
        <v>106</v>
      </c>
      <c r="D3172" s="41" t="e">
        <f>IF($C$1078&gt;0,VLOOKUP($C3172,PATRIMONIALE!$AJ$4:$AL$1003,3,FALSE),"")</f>
        <v>#N/A</v>
      </c>
      <c r="E3172" s="41" t="str">
        <f t="shared" si="270"/>
        <v/>
      </c>
      <c r="F3172" s="200"/>
      <c r="G3172" s="178" t="e">
        <f>IF($C$1078&gt;0,VLOOKUP($C3172,PATRIMONIALE!$AJ$4:$AN$1003,5,FALSE),"")</f>
        <v>#N/A</v>
      </c>
      <c r="H3172" s="179" t="e">
        <f>IF($C$1078&gt;0,VLOOKUP($C3172,PATRIMONIALE!$AJ$4:$AO$1003,6,FALSE),"")</f>
        <v>#N/A</v>
      </c>
      <c r="I3172" s="187"/>
      <c r="J3172" s="140" t="e">
        <f ca="1">VLOOKUP(D3172,$F$1081:$I$4183,4,FALSE)+COUNTIF(E$1081:E3171,E3172)</f>
        <v>#N/A</v>
      </c>
      <c r="K3172" s="1"/>
      <c r="L3172" s="161" t="e">
        <f>IF($C$1078&gt;0,VLOOKUP($C3172,PATRIMONIALE!$AJ$4:$AP$1003,7,FALSE),"")</f>
        <v>#N/A</v>
      </c>
      <c r="M3172" s="1"/>
      <c r="N3172" s="1"/>
      <c r="O3172" s="1"/>
    </row>
    <row r="3173" spans="1:15" hidden="1">
      <c r="A3173" s="1"/>
      <c r="B3173" s="182" t="e">
        <f t="shared" ca="1" si="269"/>
        <v>#N/A</v>
      </c>
      <c r="C3173" s="500">
        <v>107</v>
      </c>
      <c r="D3173" s="41" t="e">
        <f>IF($C$1078&gt;0,VLOOKUP($C3173,PATRIMONIALE!$AJ$4:$AL$1003,3,FALSE),"")</f>
        <v>#N/A</v>
      </c>
      <c r="E3173" s="41" t="str">
        <f t="shared" si="270"/>
        <v/>
      </c>
      <c r="F3173" s="200"/>
      <c r="G3173" s="178" t="e">
        <f>IF($C$1078&gt;0,VLOOKUP($C3173,PATRIMONIALE!$AJ$4:$AN$1003,5,FALSE),"")</f>
        <v>#N/A</v>
      </c>
      <c r="H3173" s="179" t="e">
        <f>IF($C$1078&gt;0,VLOOKUP($C3173,PATRIMONIALE!$AJ$4:$AO$1003,6,FALSE),"")</f>
        <v>#N/A</v>
      </c>
      <c r="I3173" s="187"/>
      <c r="J3173" s="140" t="e">
        <f ca="1">VLOOKUP(D3173,$F$1081:$I$4183,4,FALSE)+COUNTIF(E$1081:E3172,E3173)</f>
        <v>#N/A</v>
      </c>
      <c r="K3173" s="1"/>
      <c r="L3173" s="161" t="e">
        <f>IF($C$1078&gt;0,VLOOKUP($C3173,PATRIMONIALE!$AJ$4:$AP$1003,7,FALSE),"")</f>
        <v>#N/A</v>
      </c>
      <c r="M3173" s="1"/>
      <c r="N3173" s="1"/>
      <c r="O3173" s="1"/>
    </row>
    <row r="3174" spans="1:15" hidden="1">
      <c r="A3174" s="1"/>
      <c r="B3174" s="182" t="e">
        <f t="shared" ca="1" si="269"/>
        <v>#N/A</v>
      </c>
      <c r="C3174" s="500">
        <v>108</v>
      </c>
      <c r="D3174" s="41" t="e">
        <f>IF($C$1078&gt;0,VLOOKUP($C3174,PATRIMONIALE!$AJ$4:$AL$1003,3,FALSE),"")</f>
        <v>#N/A</v>
      </c>
      <c r="E3174" s="41" t="str">
        <f t="shared" si="270"/>
        <v/>
      </c>
      <c r="F3174" s="200"/>
      <c r="G3174" s="178" t="e">
        <f>IF($C$1078&gt;0,VLOOKUP($C3174,PATRIMONIALE!$AJ$4:$AN$1003,5,FALSE),"")</f>
        <v>#N/A</v>
      </c>
      <c r="H3174" s="179" t="e">
        <f>IF($C$1078&gt;0,VLOOKUP($C3174,PATRIMONIALE!$AJ$4:$AO$1003,6,FALSE),"")</f>
        <v>#N/A</v>
      </c>
      <c r="I3174" s="187"/>
      <c r="J3174" s="140" t="e">
        <f ca="1">VLOOKUP(D3174,$F$1081:$I$4183,4,FALSE)+COUNTIF(E$1081:E3173,E3174)</f>
        <v>#N/A</v>
      </c>
      <c r="K3174" s="1"/>
      <c r="L3174" s="161" t="e">
        <f>IF($C$1078&gt;0,VLOOKUP($C3174,PATRIMONIALE!$AJ$4:$AP$1003,7,FALSE),"")</f>
        <v>#N/A</v>
      </c>
      <c r="M3174" s="1"/>
      <c r="N3174" s="1"/>
      <c r="O3174" s="1"/>
    </row>
    <row r="3175" spans="1:15" hidden="1">
      <c r="A3175" s="1"/>
      <c r="B3175" s="182" t="e">
        <f t="shared" ca="1" si="269"/>
        <v>#N/A</v>
      </c>
      <c r="C3175" s="500">
        <v>109</v>
      </c>
      <c r="D3175" s="41" t="e">
        <f>IF($C$1078&gt;0,VLOOKUP($C3175,PATRIMONIALE!$AJ$4:$AL$1003,3,FALSE),"")</f>
        <v>#N/A</v>
      </c>
      <c r="E3175" s="41" t="str">
        <f t="shared" si="270"/>
        <v/>
      </c>
      <c r="F3175" s="200"/>
      <c r="G3175" s="178" t="e">
        <f>IF($C$1078&gt;0,VLOOKUP($C3175,PATRIMONIALE!$AJ$4:$AN$1003,5,FALSE),"")</f>
        <v>#N/A</v>
      </c>
      <c r="H3175" s="179" t="e">
        <f>IF($C$1078&gt;0,VLOOKUP($C3175,PATRIMONIALE!$AJ$4:$AO$1003,6,FALSE),"")</f>
        <v>#N/A</v>
      </c>
      <c r="I3175" s="187"/>
      <c r="J3175" s="140" t="e">
        <f ca="1">VLOOKUP(D3175,$F$1081:$I$4183,4,FALSE)+COUNTIF(E$1081:E3174,E3175)</f>
        <v>#N/A</v>
      </c>
      <c r="K3175" s="1"/>
      <c r="L3175" s="161" t="e">
        <f>IF($C$1078&gt;0,VLOOKUP($C3175,PATRIMONIALE!$AJ$4:$AP$1003,7,FALSE),"")</f>
        <v>#N/A</v>
      </c>
      <c r="M3175" s="1"/>
      <c r="N3175" s="1"/>
      <c r="O3175" s="1"/>
    </row>
    <row r="3176" spans="1:15" hidden="1">
      <c r="A3176" s="1"/>
      <c r="B3176" s="182" t="e">
        <f t="shared" ca="1" si="269"/>
        <v>#N/A</v>
      </c>
      <c r="C3176" s="500">
        <v>110</v>
      </c>
      <c r="D3176" s="41" t="e">
        <f>IF($C$1078&gt;0,VLOOKUP($C3176,PATRIMONIALE!$AJ$4:$AL$1003,3,FALSE),"")</f>
        <v>#N/A</v>
      </c>
      <c r="E3176" s="41" t="str">
        <f t="shared" si="270"/>
        <v/>
      </c>
      <c r="F3176" s="200"/>
      <c r="G3176" s="178" t="e">
        <f>IF($C$1078&gt;0,VLOOKUP($C3176,PATRIMONIALE!$AJ$4:$AN$1003,5,FALSE),"")</f>
        <v>#N/A</v>
      </c>
      <c r="H3176" s="179" t="e">
        <f>IF($C$1078&gt;0,VLOOKUP($C3176,PATRIMONIALE!$AJ$4:$AO$1003,6,FALSE),"")</f>
        <v>#N/A</v>
      </c>
      <c r="I3176" s="187"/>
      <c r="J3176" s="140" t="e">
        <f ca="1">VLOOKUP(D3176,$F$1081:$I$4183,4,FALSE)+COUNTIF(E$1081:E3175,E3176)</f>
        <v>#N/A</v>
      </c>
      <c r="K3176" s="1"/>
      <c r="L3176" s="161" t="e">
        <f>IF($C$1078&gt;0,VLOOKUP($C3176,PATRIMONIALE!$AJ$4:$AP$1003,7,FALSE),"")</f>
        <v>#N/A</v>
      </c>
      <c r="M3176" s="1"/>
      <c r="N3176" s="1"/>
      <c r="O3176" s="1"/>
    </row>
    <row r="3177" spans="1:15" hidden="1">
      <c r="A3177" s="1"/>
      <c r="B3177" s="182" t="e">
        <f t="shared" ca="1" si="269"/>
        <v>#N/A</v>
      </c>
      <c r="C3177" s="500">
        <v>111</v>
      </c>
      <c r="D3177" s="41" t="e">
        <f>IF($C$1078&gt;0,VLOOKUP($C3177,PATRIMONIALE!$AJ$4:$AL$1003,3,FALSE),"")</f>
        <v>#N/A</v>
      </c>
      <c r="E3177" s="41" t="str">
        <f t="shared" si="270"/>
        <v/>
      </c>
      <c r="F3177" s="200"/>
      <c r="G3177" s="178" t="e">
        <f>IF($C$1078&gt;0,VLOOKUP($C3177,PATRIMONIALE!$AJ$4:$AN$1003,5,FALSE),"")</f>
        <v>#N/A</v>
      </c>
      <c r="H3177" s="179" t="e">
        <f>IF($C$1078&gt;0,VLOOKUP($C3177,PATRIMONIALE!$AJ$4:$AO$1003,6,FALSE),"")</f>
        <v>#N/A</v>
      </c>
      <c r="I3177" s="187"/>
      <c r="J3177" s="140" t="e">
        <f ca="1">VLOOKUP(D3177,$F$1081:$I$4183,4,FALSE)+COUNTIF(E$1081:E3176,E3177)</f>
        <v>#N/A</v>
      </c>
      <c r="K3177" s="1"/>
      <c r="L3177" s="161" t="e">
        <f>IF($C$1078&gt;0,VLOOKUP($C3177,PATRIMONIALE!$AJ$4:$AP$1003,7,FALSE),"")</f>
        <v>#N/A</v>
      </c>
      <c r="M3177" s="1"/>
      <c r="N3177" s="1"/>
      <c r="O3177" s="1"/>
    </row>
    <row r="3178" spans="1:15" hidden="1">
      <c r="A3178" s="1"/>
      <c r="B3178" s="182" t="e">
        <f t="shared" ca="1" si="269"/>
        <v>#N/A</v>
      </c>
      <c r="C3178" s="500">
        <v>112</v>
      </c>
      <c r="D3178" s="41" t="e">
        <f>IF($C$1078&gt;0,VLOOKUP($C3178,PATRIMONIALE!$AJ$4:$AL$1003,3,FALSE),"")</f>
        <v>#N/A</v>
      </c>
      <c r="E3178" s="41" t="str">
        <f t="shared" si="270"/>
        <v/>
      </c>
      <c r="F3178" s="200"/>
      <c r="G3178" s="178" t="e">
        <f>IF($C$1078&gt;0,VLOOKUP($C3178,PATRIMONIALE!$AJ$4:$AN$1003,5,FALSE),"")</f>
        <v>#N/A</v>
      </c>
      <c r="H3178" s="179" t="e">
        <f>IF($C$1078&gt;0,VLOOKUP($C3178,PATRIMONIALE!$AJ$4:$AO$1003,6,FALSE),"")</f>
        <v>#N/A</v>
      </c>
      <c r="I3178" s="187"/>
      <c r="J3178" s="140" t="e">
        <f ca="1">VLOOKUP(D3178,$F$1081:$I$4183,4,FALSE)+COUNTIF(E$1081:E3177,E3178)</f>
        <v>#N/A</v>
      </c>
      <c r="K3178" s="1"/>
      <c r="L3178" s="161" t="e">
        <f>IF($C$1078&gt;0,VLOOKUP($C3178,PATRIMONIALE!$AJ$4:$AP$1003,7,FALSE),"")</f>
        <v>#N/A</v>
      </c>
      <c r="M3178" s="1"/>
      <c r="N3178" s="1"/>
      <c r="O3178" s="1"/>
    </row>
    <row r="3179" spans="1:15" hidden="1">
      <c r="A3179" s="1"/>
      <c r="B3179" s="182" t="e">
        <f t="shared" ca="1" si="269"/>
        <v>#N/A</v>
      </c>
      <c r="C3179" s="500">
        <v>113</v>
      </c>
      <c r="D3179" s="41" t="e">
        <f>IF($C$1078&gt;0,VLOOKUP($C3179,PATRIMONIALE!$AJ$4:$AL$1003,3,FALSE),"")</f>
        <v>#N/A</v>
      </c>
      <c r="E3179" s="41" t="str">
        <f t="shared" si="270"/>
        <v/>
      </c>
      <c r="F3179" s="200"/>
      <c r="G3179" s="178" t="e">
        <f>IF($C$1078&gt;0,VLOOKUP($C3179,PATRIMONIALE!$AJ$4:$AN$1003,5,FALSE),"")</f>
        <v>#N/A</v>
      </c>
      <c r="H3179" s="179" t="e">
        <f>IF($C$1078&gt;0,VLOOKUP($C3179,PATRIMONIALE!$AJ$4:$AO$1003,6,FALSE),"")</f>
        <v>#N/A</v>
      </c>
      <c r="I3179" s="187"/>
      <c r="J3179" s="140" t="e">
        <f ca="1">VLOOKUP(D3179,$F$1081:$I$4183,4,FALSE)+COUNTIF(E$1081:E3178,E3179)</f>
        <v>#N/A</v>
      </c>
      <c r="K3179" s="1"/>
      <c r="L3179" s="161" t="e">
        <f>IF($C$1078&gt;0,VLOOKUP($C3179,PATRIMONIALE!$AJ$4:$AP$1003,7,FALSE),"")</f>
        <v>#N/A</v>
      </c>
      <c r="M3179" s="1"/>
      <c r="N3179" s="1"/>
      <c r="O3179" s="1"/>
    </row>
    <row r="3180" spans="1:15" hidden="1">
      <c r="A3180" s="1"/>
      <c r="B3180" s="182" t="e">
        <f t="shared" ca="1" si="269"/>
        <v>#N/A</v>
      </c>
      <c r="C3180" s="500">
        <v>114</v>
      </c>
      <c r="D3180" s="41" t="e">
        <f>IF($C$1078&gt;0,VLOOKUP($C3180,PATRIMONIALE!$AJ$4:$AL$1003,3,FALSE),"")</f>
        <v>#N/A</v>
      </c>
      <c r="E3180" s="41" t="str">
        <f t="shared" si="270"/>
        <v/>
      </c>
      <c r="F3180" s="200"/>
      <c r="G3180" s="178" t="e">
        <f>IF($C$1078&gt;0,VLOOKUP($C3180,PATRIMONIALE!$AJ$4:$AN$1003,5,FALSE),"")</f>
        <v>#N/A</v>
      </c>
      <c r="H3180" s="179" t="e">
        <f>IF($C$1078&gt;0,VLOOKUP($C3180,PATRIMONIALE!$AJ$4:$AO$1003,6,FALSE),"")</f>
        <v>#N/A</v>
      </c>
      <c r="I3180" s="187"/>
      <c r="J3180" s="140" t="e">
        <f ca="1">VLOOKUP(D3180,$F$1081:$I$4183,4,FALSE)+COUNTIF(E$1081:E3179,E3180)</f>
        <v>#N/A</v>
      </c>
      <c r="K3180" s="1"/>
      <c r="L3180" s="161" t="e">
        <f>IF($C$1078&gt;0,VLOOKUP($C3180,PATRIMONIALE!$AJ$4:$AP$1003,7,FALSE),"")</f>
        <v>#N/A</v>
      </c>
      <c r="M3180" s="1"/>
      <c r="N3180" s="1"/>
      <c r="O3180" s="1"/>
    </row>
    <row r="3181" spans="1:15" hidden="1">
      <c r="A3181" s="1"/>
      <c r="B3181" s="182" t="e">
        <f t="shared" ca="1" si="269"/>
        <v>#N/A</v>
      </c>
      <c r="C3181" s="500">
        <v>115</v>
      </c>
      <c r="D3181" s="41" t="e">
        <f>IF($C$1078&gt;0,VLOOKUP($C3181,PATRIMONIALE!$AJ$4:$AL$1003,3,FALSE),"")</f>
        <v>#N/A</v>
      </c>
      <c r="E3181" s="41" t="str">
        <f t="shared" si="270"/>
        <v/>
      </c>
      <c r="F3181" s="200"/>
      <c r="G3181" s="178" t="e">
        <f>IF($C$1078&gt;0,VLOOKUP($C3181,PATRIMONIALE!$AJ$4:$AN$1003,5,FALSE),"")</f>
        <v>#N/A</v>
      </c>
      <c r="H3181" s="179" t="e">
        <f>IF($C$1078&gt;0,VLOOKUP($C3181,PATRIMONIALE!$AJ$4:$AO$1003,6,FALSE),"")</f>
        <v>#N/A</v>
      </c>
      <c r="I3181" s="187"/>
      <c r="J3181" s="140" t="e">
        <f ca="1">VLOOKUP(D3181,$F$1081:$I$4183,4,FALSE)+COUNTIF(E$1081:E3180,E3181)</f>
        <v>#N/A</v>
      </c>
      <c r="K3181" s="1"/>
      <c r="L3181" s="161" t="e">
        <f>IF($C$1078&gt;0,VLOOKUP($C3181,PATRIMONIALE!$AJ$4:$AP$1003,7,FALSE),"")</f>
        <v>#N/A</v>
      </c>
      <c r="M3181" s="1"/>
      <c r="N3181" s="1"/>
      <c r="O3181" s="1"/>
    </row>
    <row r="3182" spans="1:15" hidden="1">
      <c r="A3182" s="1"/>
      <c r="B3182" s="182" t="e">
        <f t="shared" ca="1" si="269"/>
        <v>#N/A</v>
      </c>
      <c r="C3182" s="500">
        <v>116</v>
      </c>
      <c r="D3182" s="41" t="e">
        <f>IF($C$1078&gt;0,VLOOKUP($C3182,PATRIMONIALE!$AJ$4:$AL$1003,3,FALSE),"")</f>
        <v>#N/A</v>
      </c>
      <c r="E3182" s="41" t="str">
        <f t="shared" si="270"/>
        <v/>
      </c>
      <c r="F3182" s="200"/>
      <c r="G3182" s="178" t="e">
        <f>IF($C$1078&gt;0,VLOOKUP($C3182,PATRIMONIALE!$AJ$4:$AN$1003,5,FALSE),"")</f>
        <v>#N/A</v>
      </c>
      <c r="H3182" s="179" t="e">
        <f>IF($C$1078&gt;0,VLOOKUP($C3182,PATRIMONIALE!$AJ$4:$AO$1003,6,FALSE),"")</f>
        <v>#N/A</v>
      </c>
      <c r="I3182" s="187"/>
      <c r="J3182" s="140" t="e">
        <f ca="1">VLOOKUP(D3182,$F$1081:$I$4183,4,FALSE)+COUNTIF(E$1081:E3181,E3182)</f>
        <v>#N/A</v>
      </c>
      <c r="K3182" s="1"/>
      <c r="L3182" s="161" t="e">
        <f>IF($C$1078&gt;0,VLOOKUP($C3182,PATRIMONIALE!$AJ$4:$AP$1003,7,FALSE),"")</f>
        <v>#N/A</v>
      </c>
      <c r="M3182" s="1"/>
      <c r="N3182" s="1"/>
      <c r="O3182" s="1"/>
    </row>
    <row r="3183" spans="1:15" hidden="1">
      <c r="A3183" s="1"/>
      <c r="B3183" s="182" t="e">
        <f t="shared" ca="1" si="269"/>
        <v>#N/A</v>
      </c>
      <c r="C3183" s="500">
        <v>117</v>
      </c>
      <c r="D3183" s="41" t="e">
        <f>IF($C$1078&gt;0,VLOOKUP($C3183,PATRIMONIALE!$AJ$4:$AL$1003,3,FALSE),"")</f>
        <v>#N/A</v>
      </c>
      <c r="E3183" s="41" t="str">
        <f t="shared" si="270"/>
        <v/>
      </c>
      <c r="F3183" s="200"/>
      <c r="G3183" s="178" t="e">
        <f>IF($C$1078&gt;0,VLOOKUP($C3183,PATRIMONIALE!$AJ$4:$AN$1003,5,FALSE),"")</f>
        <v>#N/A</v>
      </c>
      <c r="H3183" s="179" t="e">
        <f>IF($C$1078&gt;0,VLOOKUP($C3183,PATRIMONIALE!$AJ$4:$AO$1003,6,FALSE),"")</f>
        <v>#N/A</v>
      </c>
      <c r="I3183" s="187"/>
      <c r="J3183" s="140" t="e">
        <f ca="1">VLOOKUP(D3183,$F$1081:$I$4183,4,FALSE)+COUNTIF(E$1081:E3182,E3183)</f>
        <v>#N/A</v>
      </c>
      <c r="K3183" s="1"/>
      <c r="L3183" s="161" t="e">
        <f>IF($C$1078&gt;0,VLOOKUP($C3183,PATRIMONIALE!$AJ$4:$AP$1003,7,FALSE),"")</f>
        <v>#N/A</v>
      </c>
      <c r="M3183" s="1"/>
      <c r="N3183" s="1"/>
      <c r="O3183" s="1"/>
    </row>
    <row r="3184" spans="1:15" hidden="1">
      <c r="A3184" s="1"/>
      <c r="B3184" s="182" t="e">
        <f t="shared" ca="1" si="269"/>
        <v>#N/A</v>
      </c>
      <c r="C3184" s="500">
        <v>118</v>
      </c>
      <c r="D3184" s="41" t="e">
        <f>IF($C$1078&gt;0,VLOOKUP($C3184,PATRIMONIALE!$AJ$4:$AL$1003,3,FALSE),"")</f>
        <v>#N/A</v>
      </c>
      <c r="E3184" s="41" t="str">
        <f t="shared" si="270"/>
        <v/>
      </c>
      <c r="F3184" s="200"/>
      <c r="G3184" s="178" t="e">
        <f>IF($C$1078&gt;0,VLOOKUP($C3184,PATRIMONIALE!$AJ$4:$AN$1003,5,FALSE),"")</f>
        <v>#N/A</v>
      </c>
      <c r="H3184" s="179" t="e">
        <f>IF($C$1078&gt;0,VLOOKUP($C3184,PATRIMONIALE!$AJ$4:$AO$1003,6,FALSE),"")</f>
        <v>#N/A</v>
      </c>
      <c r="I3184" s="187"/>
      <c r="J3184" s="140" t="e">
        <f ca="1">VLOOKUP(D3184,$F$1081:$I$4183,4,FALSE)+COUNTIF(E$1081:E3183,E3184)</f>
        <v>#N/A</v>
      </c>
      <c r="K3184" s="1"/>
      <c r="L3184" s="161" t="e">
        <f>IF($C$1078&gt;0,VLOOKUP($C3184,PATRIMONIALE!$AJ$4:$AP$1003,7,FALSE),"")</f>
        <v>#N/A</v>
      </c>
      <c r="M3184" s="1"/>
      <c r="N3184" s="1"/>
      <c r="O3184" s="1"/>
    </row>
    <row r="3185" spans="1:15" hidden="1">
      <c r="A3185" s="1"/>
      <c r="B3185" s="182" t="e">
        <f t="shared" ca="1" si="269"/>
        <v>#N/A</v>
      </c>
      <c r="C3185" s="500">
        <v>119</v>
      </c>
      <c r="D3185" s="41" t="e">
        <f>IF($C$1078&gt;0,VLOOKUP($C3185,PATRIMONIALE!$AJ$4:$AL$1003,3,FALSE),"")</f>
        <v>#N/A</v>
      </c>
      <c r="E3185" s="41" t="str">
        <f t="shared" si="270"/>
        <v/>
      </c>
      <c r="F3185" s="200"/>
      <c r="G3185" s="178" t="e">
        <f>IF($C$1078&gt;0,VLOOKUP($C3185,PATRIMONIALE!$AJ$4:$AN$1003,5,FALSE),"")</f>
        <v>#N/A</v>
      </c>
      <c r="H3185" s="179" t="e">
        <f>IF($C$1078&gt;0,VLOOKUP($C3185,PATRIMONIALE!$AJ$4:$AO$1003,6,FALSE),"")</f>
        <v>#N/A</v>
      </c>
      <c r="I3185" s="187"/>
      <c r="J3185" s="140" t="e">
        <f ca="1">VLOOKUP(D3185,$F$1081:$I$4183,4,FALSE)+COUNTIF(E$1081:E3184,E3185)</f>
        <v>#N/A</v>
      </c>
      <c r="K3185" s="1"/>
      <c r="L3185" s="161" t="e">
        <f>IF($C$1078&gt;0,VLOOKUP($C3185,PATRIMONIALE!$AJ$4:$AP$1003,7,FALSE),"")</f>
        <v>#N/A</v>
      </c>
      <c r="M3185" s="1"/>
      <c r="N3185" s="1"/>
      <c r="O3185" s="1"/>
    </row>
    <row r="3186" spans="1:15" hidden="1">
      <c r="A3186" s="1"/>
      <c r="B3186" s="182" t="e">
        <f t="shared" ca="1" si="269"/>
        <v>#N/A</v>
      </c>
      <c r="C3186" s="500">
        <v>120</v>
      </c>
      <c r="D3186" s="41" t="e">
        <f>IF($C$1078&gt;0,VLOOKUP($C3186,PATRIMONIALE!$AJ$4:$AL$1003,3,FALSE),"")</f>
        <v>#N/A</v>
      </c>
      <c r="E3186" s="41" t="str">
        <f t="shared" si="270"/>
        <v/>
      </c>
      <c r="F3186" s="200"/>
      <c r="G3186" s="178" t="e">
        <f>IF($C$1078&gt;0,VLOOKUP($C3186,PATRIMONIALE!$AJ$4:$AN$1003,5,FALSE),"")</f>
        <v>#N/A</v>
      </c>
      <c r="H3186" s="179" t="e">
        <f>IF($C$1078&gt;0,VLOOKUP($C3186,PATRIMONIALE!$AJ$4:$AO$1003,6,FALSE),"")</f>
        <v>#N/A</v>
      </c>
      <c r="I3186" s="187"/>
      <c r="J3186" s="140" t="e">
        <f ca="1">VLOOKUP(D3186,$F$1081:$I$4183,4,FALSE)+COUNTIF(E$1081:E3185,E3186)</f>
        <v>#N/A</v>
      </c>
      <c r="K3186" s="1"/>
      <c r="L3186" s="161" t="e">
        <f>IF($C$1078&gt;0,VLOOKUP($C3186,PATRIMONIALE!$AJ$4:$AP$1003,7,FALSE),"")</f>
        <v>#N/A</v>
      </c>
      <c r="M3186" s="1"/>
      <c r="N3186" s="1"/>
      <c r="O3186" s="1"/>
    </row>
    <row r="3187" spans="1:15" hidden="1">
      <c r="A3187" s="1"/>
      <c r="B3187" s="182" t="e">
        <f t="shared" ca="1" si="269"/>
        <v>#N/A</v>
      </c>
      <c r="C3187" s="500">
        <v>121</v>
      </c>
      <c r="D3187" s="41" t="e">
        <f>IF($C$1078&gt;0,VLOOKUP($C3187,PATRIMONIALE!$AJ$4:$AL$1003,3,FALSE),"")</f>
        <v>#N/A</v>
      </c>
      <c r="E3187" s="41" t="str">
        <f t="shared" si="270"/>
        <v/>
      </c>
      <c r="F3187" s="200"/>
      <c r="G3187" s="178" t="e">
        <f>IF($C$1078&gt;0,VLOOKUP($C3187,PATRIMONIALE!$AJ$4:$AN$1003,5,FALSE),"")</f>
        <v>#N/A</v>
      </c>
      <c r="H3187" s="179" t="e">
        <f>IF($C$1078&gt;0,VLOOKUP($C3187,PATRIMONIALE!$AJ$4:$AO$1003,6,FALSE),"")</f>
        <v>#N/A</v>
      </c>
      <c r="I3187" s="187"/>
      <c r="J3187" s="140" t="e">
        <f ca="1">VLOOKUP(D3187,$F$1081:$I$4183,4,FALSE)+COUNTIF(E$1081:E3186,E3187)</f>
        <v>#N/A</v>
      </c>
      <c r="K3187" s="1"/>
      <c r="L3187" s="161" t="e">
        <f>IF($C$1078&gt;0,VLOOKUP($C3187,PATRIMONIALE!$AJ$4:$AP$1003,7,FALSE),"")</f>
        <v>#N/A</v>
      </c>
      <c r="M3187" s="1"/>
      <c r="N3187" s="1"/>
      <c r="O3187" s="1"/>
    </row>
    <row r="3188" spans="1:15" hidden="1">
      <c r="A3188" s="1"/>
      <c r="B3188" s="182" t="e">
        <f t="shared" ca="1" si="269"/>
        <v>#N/A</v>
      </c>
      <c r="C3188" s="500">
        <v>122</v>
      </c>
      <c r="D3188" s="41" t="e">
        <f>IF($C$1078&gt;0,VLOOKUP($C3188,PATRIMONIALE!$AJ$4:$AL$1003,3,FALSE),"")</f>
        <v>#N/A</v>
      </c>
      <c r="E3188" s="41" t="str">
        <f t="shared" si="270"/>
        <v/>
      </c>
      <c r="F3188" s="200"/>
      <c r="G3188" s="178" t="e">
        <f>IF($C$1078&gt;0,VLOOKUP($C3188,PATRIMONIALE!$AJ$4:$AN$1003,5,FALSE),"")</f>
        <v>#N/A</v>
      </c>
      <c r="H3188" s="179" t="e">
        <f>IF($C$1078&gt;0,VLOOKUP($C3188,PATRIMONIALE!$AJ$4:$AO$1003,6,FALSE),"")</f>
        <v>#N/A</v>
      </c>
      <c r="I3188" s="187"/>
      <c r="J3188" s="140" t="e">
        <f ca="1">VLOOKUP(D3188,$F$1081:$I$4183,4,FALSE)+COUNTIF(E$1081:E3187,E3188)</f>
        <v>#N/A</v>
      </c>
      <c r="K3188" s="1"/>
      <c r="L3188" s="161" t="e">
        <f>IF($C$1078&gt;0,VLOOKUP($C3188,PATRIMONIALE!$AJ$4:$AP$1003,7,FALSE),"")</f>
        <v>#N/A</v>
      </c>
      <c r="M3188" s="1"/>
      <c r="N3188" s="1"/>
      <c r="O3188" s="1"/>
    </row>
    <row r="3189" spans="1:15" hidden="1">
      <c r="A3189" s="1"/>
      <c r="B3189" s="182" t="e">
        <f t="shared" ca="1" si="269"/>
        <v>#N/A</v>
      </c>
      <c r="C3189" s="500">
        <v>123</v>
      </c>
      <c r="D3189" s="41" t="e">
        <f>IF($C$1078&gt;0,VLOOKUP($C3189,PATRIMONIALE!$AJ$4:$AL$1003,3,FALSE),"")</f>
        <v>#N/A</v>
      </c>
      <c r="E3189" s="41" t="str">
        <f t="shared" si="270"/>
        <v/>
      </c>
      <c r="F3189" s="200"/>
      <c r="G3189" s="178" t="e">
        <f>IF($C$1078&gt;0,VLOOKUP($C3189,PATRIMONIALE!$AJ$4:$AN$1003,5,FALSE),"")</f>
        <v>#N/A</v>
      </c>
      <c r="H3189" s="179" t="e">
        <f>IF($C$1078&gt;0,VLOOKUP($C3189,PATRIMONIALE!$AJ$4:$AO$1003,6,FALSE),"")</f>
        <v>#N/A</v>
      </c>
      <c r="I3189" s="187"/>
      <c r="J3189" s="140" t="e">
        <f ca="1">VLOOKUP(D3189,$F$1081:$I$4183,4,FALSE)+COUNTIF(E$1081:E3188,E3189)</f>
        <v>#N/A</v>
      </c>
      <c r="K3189" s="1"/>
      <c r="L3189" s="161" t="e">
        <f>IF($C$1078&gt;0,VLOOKUP($C3189,PATRIMONIALE!$AJ$4:$AP$1003,7,FALSE),"")</f>
        <v>#N/A</v>
      </c>
      <c r="M3189" s="1"/>
      <c r="N3189" s="1"/>
      <c r="O3189" s="1"/>
    </row>
    <row r="3190" spans="1:15" hidden="1">
      <c r="A3190" s="1"/>
      <c r="B3190" s="182" t="e">
        <f t="shared" ca="1" si="269"/>
        <v>#N/A</v>
      </c>
      <c r="C3190" s="500">
        <v>124</v>
      </c>
      <c r="D3190" s="41" t="e">
        <f>IF($C$1078&gt;0,VLOOKUP($C3190,PATRIMONIALE!$AJ$4:$AL$1003,3,FALSE),"")</f>
        <v>#N/A</v>
      </c>
      <c r="E3190" s="41" t="str">
        <f t="shared" si="270"/>
        <v/>
      </c>
      <c r="F3190" s="200"/>
      <c r="G3190" s="178" t="e">
        <f>IF($C$1078&gt;0,VLOOKUP($C3190,PATRIMONIALE!$AJ$4:$AN$1003,5,FALSE),"")</f>
        <v>#N/A</v>
      </c>
      <c r="H3190" s="179" t="e">
        <f>IF($C$1078&gt;0,VLOOKUP($C3190,PATRIMONIALE!$AJ$4:$AO$1003,6,FALSE),"")</f>
        <v>#N/A</v>
      </c>
      <c r="I3190" s="187"/>
      <c r="J3190" s="140" t="e">
        <f ca="1">VLOOKUP(D3190,$F$1081:$I$4183,4,FALSE)+COUNTIF(E$1081:E3189,E3190)</f>
        <v>#N/A</v>
      </c>
      <c r="K3190" s="1"/>
      <c r="L3190" s="161" t="e">
        <f>IF($C$1078&gt;0,VLOOKUP($C3190,PATRIMONIALE!$AJ$4:$AP$1003,7,FALSE),"")</f>
        <v>#N/A</v>
      </c>
      <c r="M3190" s="1"/>
      <c r="N3190" s="1"/>
      <c r="O3190" s="1"/>
    </row>
    <row r="3191" spans="1:15" hidden="1">
      <c r="A3191" s="1"/>
      <c r="B3191" s="182" t="e">
        <f t="shared" ca="1" si="269"/>
        <v>#N/A</v>
      </c>
      <c r="C3191" s="500">
        <v>125</v>
      </c>
      <c r="D3191" s="41" t="e">
        <f>IF($C$1078&gt;0,VLOOKUP($C3191,PATRIMONIALE!$AJ$4:$AL$1003,3,FALSE),"")</f>
        <v>#N/A</v>
      </c>
      <c r="E3191" s="41" t="str">
        <f t="shared" si="270"/>
        <v/>
      </c>
      <c r="F3191" s="200"/>
      <c r="G3191" s="178" t="e">
        <f>IF($C$1078&gt;0,VLOOKUP($C3191,PATRIMONIALE!$AJ$4:$AN$1003,5,FALSE),"")</f>
        <v>#N/A</v>
      </c>
      <c r="H3191" s="179" t="e">
        <f>IF($C$1078&gt;0,VLOOKUP($C3191,PATRIMONIALE!$AJ$4:$AO$1003,6,FALSE),"")</f>
        <v>#N/A</v>
      </c>
      <c r="I3191" s="187"/>
      <c r="J3191" s="140" t="e">
        <f ca="1">VLOOKUP(D3191,$F$1081:$I$4183,4,FALSE)+COUNTIF(E$1081:E3190,E3191)</f>
        <v>#N/A</v>
      </c>
      <c r="K3191" s="1"/>
      <c r="L3191" s="161" t="e">
        <f>IF($C$1078&gt;0,VLOOKUP($C3191,PATRIMONIALE!$AJ$4:$AP$1003,7,FALSE),"")</f>
        <v>#N/A</v>
      </c>
      <c r="M3191" s="1"/>
      <c r="N3191" s="1"/>
      <c r="O3191" s="1"/>
    </row>
    <row r="3192" spans="1:15" hidden="1">
      <c r="A3192" s="1"/>
      <c r="B3192" s="182" t="e">
        <f t="shared" ca="1" si="269"/>
        <v>#N/A</v>
      </c>
      <c r="C3192" s="500">
        <v>126</v>
      </c>
      <c r="D3192" s="41" t="e">
        <f>IF($C$1078&gt;0,VLOOKUP($C3192,PATRIMONIALE!$AJ$4:$AL$1003,3,FALSE),"")</f>
        <v>#N/A</v>
      </c>
      <c r="E3192" s="41" t="str">
        <f t="shared" si="270"/>
        <v/>
      </c>
      <c r="F3192" s="200"/>
      <c r="G3192" s="178" t="e">
        <f>IF($C$1078&gt;0,VLOOKUP($C3192,PATRIMONIALE!$AJ$4:$AN$1003,5,FALSE),"")</f>
        <v>#N/A</v>
      </c>
      <c r="H3192" s="179" t="e">
        <f>IF($C$1078&gt;0,VLOOKUP($C3192,PATRIMONIALE!$AJ$4:$AO$1003,6,FALSE),"")</f>
        <v>#N/A</v>
      </c>
      <c r="I3192" s="187"/>
      <c r="J3192" s="140" t="e">
        <f ca="1">VLOOKUP(D3192,$F$1081:$I$4183,4,FALSE)+COUNTIF(E$1081:E3191,E3192)</f>
        <v>#N/A</v>
      </c>
      <c r="K3192" s="1"/>
      <c r="L3192" s="161" t="e">
        <f>IF($C$1078&gt;0,VLOOKUP($C3192,PATRIMONIALE!$AJ$4:$AP$1003,7,FALSE),"")</f>
        <v>#N/A</v>
      </c>
      <c r="M3192" s="1"/>
      <c r="N3192" s="1"/>
      <c r="O3192" s="1"/>
    </row>
    <row r="3193" spans="1:15" hidden="1">
      <c r="A3193" s="1"/>
      <c r="B3193" s="182" t="e">
        <f t="shared" ref="B3193:B3256" ca="1" si="271">IF(OR(C$1075&gt;0,C$1077&gt;0,C$1073&gt;0,C$1071&gt;0),J3193+1,J3193)</f>
        <v>#N/A</v>
      </c>
      <c r="C3193" s="500">
        <v>127</v>
      </c>
      <c r="D3193" s="41" t="e">
        <f>IF($C$1078&gt;0,VLOOKUP($C3193,PATRIMONIALE!$AJ$4:$AL$1003,3,FALSE),"")</f>
        <v>#N/A</v>
      </c>
      <c r="E3193" s="41" t="str">
        <f t="shared" si="270"/>
        <v/>
      </c>
      <c r="F3193" s="200"/>
      <c r="G3193" s="178" t="e">
        <f>IF($C$1078&gt;0,VLOOKUP($C3193,PATRIMONIALE!$AJ$4:$AN$1003,5,FALSE),"")</f>
        <v>#N/A</v>
      </c>
      <c r="H3193" s="179" t="e">
        <f>IF($C$1078&gt;0,VLOOKUP($C3193,PATRIMONIALE!$AJ$4:$AO$1003,6,FALSE),"")</f>
        <v>#N/A</v>
      </c>
      <c r="I3193" s="187"/>
      <c r="J3193" s="140" t="e">
        <f ca="1">VLOOKUP(D3193,$F$1081:$I$4183,4,FALSE)+COUNTIF(E$1081:E3192,E3193)</f>
        <v>#N/A</v>
      </c>
      <c r="K3193" s="1"/>
      <c r="L3193" s="161" t="e">
        <f>IF($C$1078&gt;0,VLOOKUP($C3193,PATRIMONIALE!$AJ$4:$AP$1003,7,FALSE),"")</f>
        <v>#N/A</v>
      </c>
      <c r="M3193" s="1"/>
      <c r="N3193" s="1"/>
      <c r="O3193" s="1"/>
    </row>
    <row r="3194" spans="1:15" hidden="1">
      <c r="A3194" s="1"/>
      <c r="B3194" s="182" t="e">
        <f t="shared" ca="1" si="271"/>
        <v>#N/A</v>
      </c>
      <c r="C3194" s="500">
        <v>128</v>
      </c>
      <c r="D3194" s="41" t="e">
        <f>IF($C$1078&gt;0,VLOOKUP($C3194,PATRIMONIALE!$AJ$4:$AL$1003,3,FALSE),"")</f>
        <v>#N/A</v>
      </c>
      <c r="E3194" s="41" t="str">
        <f t="shared" si="270"/>
        <v/>
      </c>
      <c r="F3194" s="200"/>
      <c r="G3194" s="178" t="e">
        <f>IF($C$1078&gt;0,VLOOKUP($C3194,PATRIMONIALE!$AJ$4:$AN$1003,5,FALSE),"")</f>
        <v>#N/A</v>
      </c>
      <c r="H3194" s="179" t="e">
        <f>IF($C$1078&gt;0,VLOOKUP($C3194,PATRIMONIALE!$AJ$4:$AO$1003,6,FALSE),"")</f>
        <v>#N/A</v>
      </c>
      <c r="I3194" s="187"/>
      <c r="J3194" s="140" t="e">
        <f ca="1">VLOOKUP(D3194,$F$1081:$I$4183,4,FALSE)+COUNTIF(E$1081:E3193,E3194)</f>
        <v>#N/A</v>
      </c>
      <c r="K3194" s="1"/>
      <c r="L3194" s="161" t="e">
        <f>IF($C$1078&gt;0,VLOOKUP($C3194,PATRIMONIALE!$AJ$4:$AP$1003,7,FALSE),"")</f>
        <v>#N/A</v>
      </c>
      <c r="M3194" s="1"/>
      <c r="N3194" s="1"/>
      <c r="O3194" s="1"/>
    </row>
    <row r="3195" spans="1:15" hidden="1">
      <c r="A3195" s="1"/>
      <c r="B3195" s="182" t="e">
        <f t="shared" ca="1" si="271"/>
        <v>#N/A</v>
      </c>
      <c r="C3195" s="500">
        <v>129</v>
      </c>
      <c r="D3195" s="41" t="e">
        <f>IF($C$1078&gt;0,VLOOKUP($C3195,PATRIMONIALE!$AJ$4:$AL$1003,3,FALSE),"")</f>
        <v>#N/A</v>
      </c>
      <c r="E3195" s="41" t="str">
        <f t="shared" si="270"/>
        <v/>
      </c>
      <c r="F3195" s="200"/>
      <c r="G3195" s="178" t="e">
        <f>IF($C$1078&gt;0,VLOOKUP($C3195,PATRIMONIALE!$AJ$4:$AN$1003,5,FALSE),"")</f>
        <v>#N/A</v>
      </c>
      <c r="H3195" s="179" t="e">
        <f>IF($C$1078&gt;0,VLOOKUP($C3195,PATRIMONIALE!$AJ$4:$AO$1003,6,FALSE),"")</f>
        <v>#N/A</v>
      </c>
      <c r="I3195" s="187"/>
      <c r="J3195" s="140" t="e">
        <f ca="1">VLOOKUP(D3195,$F$1081:$I$4183,4,FALSE)+COUNTIF(E$1081:E3194,E3195)</f>
        <v>#N/A</v>
      </c>
      <c r="K3195" s="1"/>
      <c r="L3195" s="161" t="e">
        <f>IF($C$1078&gt;0,VLOOKUP($C3195,PATRIMONIALE!$AJ$4:$AP$1003,7,FALSE),"")</f>
        <v>#N/A</v>
      </c>
      <c r="M3195" s="1"/>
      <c r="N3195" s="1"/>
      <c r="O3195" s="1"/>
    </row>
    <row r="3196" spans="1:15" hidden="1">
      <c r="A3196" s="1"/>
      <c r="B3196" s="182" t="e">
        <f t="shared" ca="1" si="271"/>
        <v>#N/A</v>
      </c>
      <c r="C3196" s="500">
        <v>130</v>
      </c>
      <c r="D3196" s="41" t="e">
        <f>IF($C$1078&gt;0,VLOOKUP($C3196,PATRIMONIALE!$AJ$4:$AL$1003,3,FALSE),"")</f>
        <v>#N/A</v>
      </c>
      <c r="E3196" s="41" t="str">
        <f t="shared" si="270"/>
        <v/>
      </c>
      <c r="F3196" s="200"/>
      <c r="G3196" s="178" t="e">
        <f>IF($C$1078&gt;0,VLOOKUP($C3196,PATRIMONIALE!$AJ$4:$AN$1003,5,FALSE),"")</f>
        <v>#N/A</v>
      </c>
      <c r="H3196" s="179" t="e">
        <f>IF($C$1078&gt;0,VLOOKUP($C3196,PATRIMONIALE!$AJ$4:$AO$1003,6,FALSE),"")</f>
        <v>#N/A</v>
      </c>
      <c r="I3196" s="187"/>
      <c r="J3196" s="140" t="e">
        <f ca="1">VLOOKUP(D3196,$F$1081:$I$4183,4,FALSE)+COUNTIF(E$1081:E3195,E3196)</f>
        <v>#N/A</v>
      </c>
      <c r="K3196" s="1"/>
      <c r="L3196" s="161" t="e">
        <f>IF($C$1078&gt;0,VLOOKUP($C3196,PATRIMONIALE!$AJ$4:$AP$1003,7,FALSE),"")</f>
        <v>#N/A</v>
      </c>
      <c r="M3196" s="1"/>
      <c r="N3196" s="1"/>
      <c r="O3196" s="1"/>
    </row>
    <row r="3197" spans="1:15" hidden="1">
      <c r="A3197" s="1"/>
      <c r="B3197" s="182" t="e">
        <f t="shared" ca="1" si="271"/>
        <v>#N/A</v>
      </c>
      <c r="C3197" s="500">
        <v>131</v>
      </c>
      <c r="D3197" s="41" t="e">
        <f>IF($C$1078&gt;0,VLOOKUP($C3197,PATRIMONIALE!$AJ$4:$AL$1003,3,FALSE),"")</f>
        <v>#N/A</v>
      </c>
      <c r="E3197" s="41" t="str">
        <f t="shared" si="270"/>
        <v/>
      </c>
      <c r="F3197" s="200"/>
      <c r="G3197" s="178" t="e">
        <f>IF($C$1078&gt;0,VLOOKUP($C3197,PATRIMONIALE!$AJ$4:$AN$1003,5,FALSE),"")</f>
        <v>#N/A</v>
      </c>
      <c r="H3197" s="179" t="e">
        <f>IF($C$1078&gt;0,VLOOKUP($C3197,PATRIMONIALE!$AJ$4:$AO$1003,6,FALSE),"")</f>
        <v>#N/A</v>
      </c>
      <c r="I3197" s="187"/>
      <c r="J3197" s="140" t="e">
        <f ca="1">VLOOKUP(D3197,$F$1081:$I$4183,4,FALSE)+COUNTIF(E$1081:E3196,E3197)</f>
        <v>#N/A</v>
      </c>
      <c r="K3197" s="1"/>
      <c r="L3197" s="161" t="e">
        <f>IF($C$1078&gt;0,VLOOKUP($C3197,PATRIMONIALE!$AJ$4:$AP$1003,7,FALSE),"")</f>
        <v>#N/A</v>
      </c>
      <c r="M3197" s="1"/>
      <c r="N3197" s="1"/>
      <c r="O3197" s="1"/>
    </row>
    <row r="3198" spans="1:15" hidden="1">
      <c r="A3198" s="1"/>
      <c r="B3198" s="182" t="e">
        <f t="shared" ca="1" si="271"/>
        <v>#N/A</v>
      </c>
      <c r="C3198" s="500">
        <v>132</v>
      </c>
      <c r="D3198" s="41" t="e">
        <f>IF($C$1078&gt;0,VLOOKUP($C3198,PATRIMONIALE!$AJ$4:$AL$1003,3,FALSE),"")</f>
        <v>#N/A</v>
      </c>
      <c r="E3198" s="41" t="str">
        <f t="shared" si="270"/>
        <v/>
      </c>
      <c r="F3198" s="200"/>
      <c r="G3198" s="178" t="e">
        <f>IF($C$1078&gt;0,VLOOKUP($C3198,PATRIMONIALE!$AJ$4:$AN$1003,5,FALSE),"")</f>
        <v>#N/A</v>
      </c>
      <c r="H3198" s="179" t="e">
        <f>IF($C$1078&gt;0,VLOOKUP($C3198,PATRIMONIALE!$AJ$4:$AO$1003,6,FALSE),"")</f>
        <v>#N/A</v>
      </c>
      <c r="I3198" s="187"/>
      <c r="J3198" s="140" t="e">
        <f ca="1">VLOOKUP(D3198,$F$1081:$I$4183,4,FALSE)+COUNTIF(E$1081:E3197,E3198)</f>
        <v>#N/A</v>
      </c>
      <c r="K3198" s="1"/>
      <c r="L3198" s="161" t="e">
        <f>IF($C$1078&gt;0,VLOOKUP($C3198,PATRIMONIALE!$AJ$4:$AP$1003,7,FALSE),"")</f>
        <v>#N/A</v>
      </c>
      <c r="M3198" s="1"/>
      <c r="N3198" s="1"/>
      <c r="O3198" s="1"/>
    </row>
    <row r="3199" spans="1:15" hidden="1">
      <c r="A3199" s="1"/>
      <c r="B3199" s="182" t="e">
        <f t="shared" ca="1" si="271"/>
        <v>#N/A</v>
      </c>
      <c r="C3199" s="500">
        <v>133</v>
      </c>
      <c r="D3199" s="41" t="e">
        <f>IF($C$1078&gt;0,VLOOKUP($C3199,PATRIMONIALE!$AJ$4:$AL$1003,3,FALSE),"")</f>
        <v>#N/A</v>
      </c>
      <c r="E3199" s="41" t="str">
        <f t="shared" si="270"/>
        <v/>
      </c>
      <c r="F3199" s="200"/>
      <c r="G3199" s="178" t="e">
        <f>IF($C$1078&gt;0,VLOOKUP($C3199,PATRIMONIALE!$AJ$4:$AN$1003,5,FALSE),"")</f>
        <v>#N/A</v>
      </c>
      <c r="H3199" s="179" t="e">
        <f>IF($C$1078&gt;0,VLOOKUP($C3199,PATRIMONIALE!$AJ$4:$AO$1003,6,FALSE),"")</f>
        <v>#N/A</v>
      </c>
      <c r="I3199" s="187"/>
      <c r="J3199" s="140" t="e">
        <f ca="1">VLOOKUP(D3199,$F$1081:$I$4183,4,FALSE)+COUNTIF(E$1081:E3198,E3199)</f>
        <v>#N/A</v>
      </c>
      <c r="K3199" s="1"/>
      <c r="L3199" s="161" t="e">
        <f>IF($C$1078&gt;0,VLOOKUP($C3199,PATRIMONIALE!$AJ$4:$AP$1003,7,FALSE),"")</f>
        <v>#N/A</v>
      </c>
      <c r="M3199" s="1"/>
      <c r="N3199" s="1"/>
      <c r="O3199" s="1"/>
    </row>
    <row r="3200" spans="1:15" hidden="1">
      <c r="A3200" s="1"/>
      <c r="B3200" s="182" t="e">
        <f t="shared" ca="1" si="271"/>
        <v>#N/A</v>
      </c>
      <c r="C3200" s="500">
        <v>134</v>
      </c>
      <c r="D3200" s="41" t="e">
        <f>IF($C$1078&gt;0,VLOOKUP($C3200,PATRIMONIALE!$AJ$4:$AL$1003,3,FALSE),"")</f>
        <v>#N/A</v>
      </c>
      <c r="E3200" s="41" t="str">
        <f t="shared" si="270"/>
        <v/>
      </c>
      <c r="F3200" s="200"/>
      <c r="G3200" s="178" t="e">
        <f>IF($C$1078&gt;0,VLOOKUP($C3200,PATRIMONIALE!$AJ$4:$AN$1003,5,FALSE),"")</f>
        <v>#N/A</v>
      </c>
      <c r="H3200" s="179" t="e">
        <f>IF($C$1078&gt;0,VLOOKUP($C3200,PATRIMONIALE!$AJ$4:$AO$1003,6,FALSE),"")</f>
        <v>#N/A</v>
      </c>
      <c r="I3200" s="187"/>
      <c r="J3200" s="140" t="e">
        <f ca="1">VLOOKUP(D3200,$F$1081:$I$4183,4,FALSE)+COUNTIF(E$1081:E3199,E3200)</f>
        <v>#N/A</v>
      </c>
      <c r="K3200" s="1"/>
      <c r="L3200" s="161" t="e">
        <f>IF($C$1078&gt;0,VLOOKUP($C3200,PATRIMONIALE!$AJ$4:$AP$1003,7,FALSE),"")</f>
        <v>#N/A</v>
      </c>
      <c r="M3200" s="1"/>
      <c r="N3200" s="1"/>
      <c r="O3200" s="1"/>
    </row>
    <row r="3201" spans="1:15" hidden="1">
      <c r="A3201" s="1"/>
      <c r="B3201" s="182" t="e">
        <f t="shared" ca="1" si="271"/>
        <v>#N/A</v>
      </c>
      <c r="C3201" s="500">
        <v>135</v>
      </c>
      <c r="D3201" s="41" t="e">
        <f>IF($C$1078&gt;0,VLOOKUP($C3201,PATRIMONIALE!$AJ$4:$AL$1003,3,FALSE),"")</f>
        <v>#N/A</v>
      </c>
      <c r="E3201" s="41" t="str">
        <f t="shared" si="270"/>
        <v/>
      </c>
      <c r="F3201" s="200"/>
      <c r="G3201" s="178" t="e">
        <f>IF($C$1078&gt;0,VLOOKUP($C3201,PATRIMONIALE!$AJ$4:$AN$1003,5,FALSE),"")</f>
        <v>#N/A</v>
      </c>
      <c r="H3201" s="179" t="e">
        <f>IF($C$1078&gt;0,VLOOKUP($C3201,PATRIMONIALE!$AJ$4:$AO$1003,6,FALSE),"")</f>
        <v>#N/A</v>
      </c>
      <c r="I3201" s="187"/>
      <c r="J3201" s="140" t="e">
        <f ca="1">VLOOKUP(D3201,$F$1081:$I$4183,4,FALSE)+COUNTIF(E$1081:E3200,E3201)</f>
        <v>#N/A</v>
      </c>
      <c r="K3201" s="1"/>
      <c r="L3201" s="161" t="e">
        <f>IF($C$1078&gt;0,VLOOKUP($C3201,PATRIMONIALE!$AJ$4:$AP$1003,7,FALSE),"")</f>
        <v>#N/A</v>
      </c>
      <c r="M3201" s="1"/>
      <c r="N3201" s="1"/>
      <c r="O3201" s="1"/>
    </row>
    <row r="3202" spans="1:15" hidden="1">
      <c r="A3202" s="1"/>
      <c r="B3202" s="182" t="e">
        <f t="shared" ca="1" si="271"/>
        <v>#N/A</v>
      </c>
      <c r="C3202" s="500">
        <v>136</v>
      </c>
      <c r="D3202" s="41" t="e">
        <f>IF($C$1078&gt;0,VLOOKUP($C3202,PATRIMONIALE!$AJ$4:$AL$1003,3,FALSE),"")</f>
        <v>#N/A</v>
      </c>
      <c r="E3202" s="41" t="str">
        <f t="shared" si="270"/>
        <v/>
      </c>
      <c r="F3202" s="200"/>
      <c r="G3202" s="178" t="e">
        <f>IF($C$1078&gt;0,VLOOKUP($C3202,PATRIMONIALE!$AJ$4:$AN$1003,5,FALSE),"")</f>
        <v>#N/A</v>
      </c>
      <c r="H3202" s="179" t="e">
        <f>IF($C$1078&gt;0,VLOOKUP($C3202,PATRIMONIALE!$AJ$4:$AO$1003,6,FALSE),"")</f>
        <v>#N/A</v>
      </c>
      <c r="I3202" s="187"/>
      <c r="J3202" s="140" t="e">
        <f ca="1">VLOOKUP(D3202,$F$1081:$I$4183,4,FALSE)+COUNTIF(E$1081:E3201,E3202)</f>
        <v>#N/A</v>
      </c>
      <c r="K3202" s="1"/>
      <c r="L3202" s="161" t="e">
        <f>IF($C$1078&gt;0,VLOOKUP($C3202,PATRIMONIALE!$AJ$4:$AP$1003,7,FALSE),"")</f>
        <v>#N/A</v>
      </c>
      <c r="M3202" s="1"/>
      <c r="N3202" s="1"/>
      <c r="O3202" s="1"/>
    </row>
    <row r="3203" spans="1:15" hidden="1">
      <c r="A3203" s="1"/>
      <c r="B3203" s="182" t="e">
        <f t="shared" ca="1" si="271"/>
        <v>#N/A</v>
      </c>
      <c r="C3203" s="500">
        <v>137</v>
      </c>
      <c r="D3203" s="41" t="e">
        <f>IF($C$1078&gt;0,VLOOKUP($C3203,PATRIMONIALE!$AJ$4:$AL$1003,3,FALSE),"")</f>
        <v>#N/A</v>
      </c>
      <c r="E3203" s="41" t="str">
        <f t="shared" si="270"/>
        <v/>
      </c>
      <c r="F3203" s="200"/>
      <c r="G3203" s="178" t="e">
        <f>IF($C$1078&gt;0,VLOOKUP($C3203,PATRIMONIALE!$AJ$4:$AN$1003,5,FALSE),"")</f>
        <v>#N/A</v>
      </c>
      <c r="H3203" s="179" t="e">
        <f>IF($C$1078&gt;0,VLOOKUP($C3203,PATRIMONIALE!$AJ$4:$AO$1003,6,FALSE),"")</f>
        <v>#N/A</v>
      </c>
      <c r="I3203" s="187"/>
      <c r="J3203" s="140" t="e">
        <f ca="1">VLOOKUP(D3203,$F$1081:$I$4183,4,FALSE)+COUNTIF(E$1081:E3202,E3203)</f>
        <v>#N/A</v>
      </c>
      <c r="K3203" s="1"/>
      <c r="L3203" s="161" t="e">
        <f>IF($C$1078&gt;0,VLOOKUP($C3203,PATRIMONIALE!$AJ$4:$AP$1003,7,FALSE),"")</f>
        <v>#N/A</v>
      </c>
      <c r="M3203" s="1"/>
      <c r="N3203" s="1"/>
      <c r="O3203" s="1"/>
    </row>
    <row r="3204" spans="1:15" hidden="1">
      <c r="A3204" s="1"/>
      <c r="B3204" s="182" t="e">
        <f t="shared" ca="1" si="271"/>
        <v>#N/A</v>
      </c>
      <c r="C3204" s="500">
        <v>138</v>
      </c>
      <c r="D3204" s="41" t="e">
        <f>IF($C$1078&gt;0,VLOOKUP($C3204,PATRIMONIALE!$AJ$4:$AL$1003,3,FALSE),"")</f>
        <v>#N/A</v>
      </c>
      <c r="E3204" s="41" t="str">
        <f t="shared" si="270"/>
        <v/>
      </c>
      <c r="F3204" s="200"/>
      <c r="G3204" s="178" t="e">
        <f>IF($C$1078&gt;0,VLOOKUP($C3204,PATRIMONIALE!$AJ$4:$AN$1003,5,FALSE),"")</f>
        <v>#N/A</v>
      </c>
      <c r="H3204" s="179" t="e">
        <f>IF($C$1078&gt;0,VLOOKUP($C3204,PATRIMONIALE!$AJ$4:$AO$1003,6,FALSE),"")</f>
        <v>#N/A</v>
      </c>
      <c r="I3204" s="187"/>
      <c r="J3204" s="140" t="e">
        <f ca="1">VLOOKUP(D3204,$F$1081:$I$4183,4,FALSE)+COUNTIF(E$1081:E3203,E3204)</f>
        <v>#N/A</v>
      </c>
      <c r="K3204" s="1"/>
      <c r="L3204" s="161" t="e">
        <f>IF($C$1078&gt;0,VLOOKUP($C3204,PATRIMONIALE!$AJ$4:$AP$1003,7,FALSE),"")</f>
        <v>#N/A</v>
      </c>
      <c r="M3204" s="1"/>
      <c r="N3204" s="1"/>
      <c r="O3204" s="1"/>
    </row>
    <row r="3205" spans="1:15" hidden="1">
      <c r="A3205" s="1"/>
      <c r="B3205" s="182" t="e">
        <f t="shared" ca="1" si="271"/>
        <v>#N/A</v>
      </c>
      <c r="C3205" s="500">
        <v>139</v>
      </c>
      <c r="D3205" s="41" t="e">
        <f>IF($C$1078&gt;0,VLOOKUP($C3205,PATRIMONIALE!$AJ$4:$AL$1003,3,FALSE),"")</f>
        <v>#N/A</v>
      </c>
      <c r="E3205" s="41" t="str">
        <f t="shared" si="270"/>
        <v/>
      </c>
      <c r="F3205" s="200"/>
      <c r="G3205" s="178" t="e">
        <f>IF($C$1078&gt;0,VLOOKUP($C3205,PATRIMONIALE!$AJ$4:$AN$1003,5,FALSE),"")</f>
        <v>#N/A</v>
      </c>
      <c r="H3205" s="179" t="e">
        <f>IF($C$1078&gt;0,VLOOKUP($C3205,PATRIMONIALE!$AJ$4:$AO$1003,6,FALSE),"")</f>
        <v>#N/A</v>
      </c>
      <c r="I3205" s="187"/>
      <c r="J3205" s="140" t="e">
        <f ca="1">VLOOKUP(D3205,$F$1081:$I$4183,4,FALSE)+COUNTIF(E$1081:E3204,E3205)</f>
        <v>#N/A</v>
      </c>
      <c r="K3205" s="1"/>
      <c r="L3205" s="161" t="e">
        <f>IF($C$1078&gt;0,VLOOKUP($C3205,PATRIMONIALE!$AJ$4:$AP$1003,7,FALSE),"")</f>
        <v>#N/A</v>
      </c>
      <c r="M3205" s="1"/>
      <c r="N3205" s="1"/>
      <c r="O3205" s="1"/>
    </row>
    <row r="3206" spans="1:15" hidden="1">
      <c r="A3206" s="1"/>
      <c r="B3206" s="182" t="e">
        <f t="shared" ca="1" si="271"/>
        <v>#N/A</v>
      </c>
      <c r="C3206" s="500">
        <v>140</v>
      </c>
      <c r="D3206" s="41" t="e">
        <f>IF($C$1078&gt;0,VLOOKUP($C3206,PATRIMONIALE!$AJ$4:$AL$1003,3,FALSE),"")</f>
        <v>#N/A</v>
      </c>
      <c r="E3206" s="41" t="str">
        <f t="shared" si="270"/>
        <v/>
      </c>
      <c r="F3206" s="200"/>
      <c r="G3206" s="178" t="e">
        <f>IF($C$1078&gt;0,VLOOKUP($C3206,PATRIMONIALE!$AJ$4:$AN$1003,5,FALSE),"")</f>
        <v>#N/A</v>
      </c>
      <c r="H3206" s="179" t="e">
        <f>IF($C$1078&gt;0,VLOOKUP($C3206,PATRIMONIALE!$AJ$4:$AO$1003,6,FALSE),"")</f>
        <v>#N/A</v>
      </c>
      <c r="I3206" s="187"/>
      <c r="J3206" s="140" t="e">
        <f ca="1">VLOOKUP(D3206,$F$1081:$I$4183,4,FALSE)+COUNTIF(E$1081:E3205,E3206)</f>
        <v>#N/A</v>
      </c>
      <c r="K3206" s="1"/>
      <c r="L3206" s="161" t="e">
        <f>IF($C$1078&gt;0,VLOOKUP($C3206,PATRIMONIALE!$AJ$4:$AP$1003,7,FALSE),"")</f>
        <v>#N/A</v>
      </c>
      <c r="M3206" s="1"/>
      <c r="N3206" s="1"/>
      <c r="O3206" s="1"/>
    </row>
    <row r="3207" spans="1:15" hidden="1">
      <c r="A3207" s="1"/>
      <c r="B3207" s="182" t="e">
        <f t="shared" ca="1" si="271"/>
        <v>#N/A</v>
      </c>
      <c r="C3207" s="500">
        <v>141</v>
      </c>
      <c r="D3207" s="41" t="e">
        <f>IF($C$1078&gt;0,VLOOKUP($C3207,PATRIMONIALE!$AJ$4:$AL$1003,3,FALSE),"")</f>
        <v>#N/A</v>
      </c>
      <c r="E3207" s="41" t="str">
        <f t="shared" si="270"/>
        <v/>
      </c>
      <c r="F3207" s="200"/>
      <c r="G3207" s="178" t="e">
        <f>IF($C$1078&gt;0,VLOOKUP($C3207,PATRIMONIALE!$AJ$4:$AN$1003,5,FALSE),"")</f>
        <v>#N/A</v>
      </c>
      <c r="H3207" s="179" t="e">
        <f>IF($C$1078&gt;0,VLOOKUP($C3207,PATRIMONIALE!$AJ$4:$AO$1003,6,FALSE),"")</f>
        <v>#N/A</v>
      </c>
      <c r="I3207" s="187"/>
      <c r="J3207" s="140" t="e">
        <f ca="1">VLOOKUP(D3207,$F$1081:$I$4183,4,FALSE)+COUNTIF(E$1081:E3206,E3207)</f>
        <v>#N/A</v>
      </c>
      <c r="K3207" s="1"/>
      <c r="L3207" s="161" t="e">
        <f>IF($C$1078&gt;0,VLOOKUP($C3207,PATRIMONIALE!$AJ$4:$AP$1003,7,FALSE),"")</f>
        <v>#N/A</v>
      </c>
      <c r="M3207" s="1"/>
      <c r="N3207" s="1"/>
      <c r="O3207" s="1"/>
    </row>
    <row r="3208" spans="1:15" hidden="1">
      <c r="A3208" s="1"/>
      <c r="B3208" s="182" t="e">
        <f t="shared" ca="1" si="271"/>
        <v>#N/A</v>
      </c>
      <c r="C3208" s="500">
        <v>142</v>
      </c>
      <c r="D3208" s="41" t="e">
        <f>IF($C$1078&gt;0,VLOOKUP($C3208,PATRIMONIALE!$AJ$4:$AL$1003,3,FALSE),"")</f>
        <v>#N/A</v>
      </c>
      <c r="E3208" s="41" t="str">
        <f t="shared" si="270"/>
        <v/>
      </c>
      <c r="F3208" s="200"/>
      <c r="G3208" s="178" t="e">
        <f>IF($C$1078&gt;0,VLOOKUP($C3208,PATRIMONIALE!$AJ$4:$AN$1003,5,FALSE),"")</f>
        <v>#N/A</v>
      </c>
      <c r="H3208" s="179" t="e">
        <f>IF($C$1078&gt;0,VLOOKUP($C3208,PATRIMONIALE!$AJ$4:$AO$1003,6,FALSE),"")</f>
        <v>#N/A</v>
      </c>
      <c r="I3208" s="187"/>
      <c r="J3208" s="140" t="e">
        <f ca="1">VLOOKUP(D3208,$F$1081:$I$4183,4,FALSE)+COUNTIF(E$1081:E3207,E3208)</f>
        <v>#N/A</v>
      </c>
      <c r="K3208" s="1"/>
      <c r="L3208" s="161" t="e">
        <f>IF($C$1078&gt;0,VLOOKUP($C3208,PATRIMONIALE!$AJ$4:$AP$1003,7,FALSE),"")</f>
        <v>#N/A</v>
      </c>
      <c r="M3208" s="1"/>
      <c r="N3208" s="1"/>
      <c r="O3208" s="1"/>
    </row>
    <row r="3209" spans="1:15" hidden="1">
      <c r="A3209" s="1"/>
      <c r="B3209" s="182" t="e">
        <f t="shared" ca="1" si="271"/>
        <v>#N/A</v>
      </c>
      <c r="C3209" s="500">
        <v>143</v>
      </c>
      <c r="D3209" s="41" t="e">
        <f>IF($C$1078&gt;0,VLOOKUP($C3209,PATRIMONIALE!$AJ$4:$AL$1003,3,FALSE),"")</f>
        <v>#N/A</v>
      </c>
      <c r="E3209" s="41" t="str">
        <f t="shared" si="270"/>
        <v/>
      </c>
      <c r="F3209" s="200"/>
      <c r="G3209" s="178" t="e">
        <f>IF($C$1078&gt;0,VLOOKUP($C3209,PATRIMONIALE!$AJ$4:$AN$1003,5,FALSE),"")</f>
        <v>#N/A</v>
      </c>
      <c r="H3209" s="179" t="e">
        <f>IF($C$1078&gt;0,VLOOKUP($C3209,PATRIMONIALE!$AJ$4:$AO$1003,6,FALSE),"")</f>
        <v>#N/A</v>
      </c>
      <c r="I3209" s="187"/>
      <c r="J3209" s="140" t="e">
        <f ca="1">VLOOKUP(D3209,$F$1081:$I$4183,4,FALSE)+COUNTIF(E$1081:E3208,E3209)</f>
        <v>#N/A</v>
      </c>
      <c r="K3209" s="1"/>
      <c r="L3209" s="161" t="e">
        <f>IF($C$1078&gt;0,VLOOKUP($C3209,PATRIMONIALE!$AJ$4:$AP$1003,7,FALSE),"")</f>
        <v>#N/A</v>
      </c>
      <c r="M3209" s="1"/>
      <c r="N3209" s="1"/>
      <c r="O3209" s="1"/>
    </row>
    <row r="3210" spans="1:15" hidden="1">
      <c r="A3210" s="1"/>
      <c r="B3210" s="182" t="e">
        <f t="shared" ca="1" si="271"/>
        <v>#N/A</v>
      </c>
      <c r="C3210" s="500">
        <v>144</v>
      </c>
      <c r="D3210" s="41" t="e">
        <f>IF($C$1078&gt;0,VLOOKUP($C3210,PATRIMONIALE!$AJ$4:$AL$1003,3,FALSE),"")</f>
        <v>#N/A</v>
      </c>
      <c r="E3210" s="41" t="str">
        <f t="shared" si="270"/>
        <v/>
      </c>
      <c r="F3210" s="200"/>
      <c r="G3210" s="178" t="e">
        <f>IF($C$1078&gt;0,VLOOKUP($C3210,PATRIMONIALE!$AJ$4:$AN$1003,5,FALSE),"")</f>
        <v>#N/A</v>
      </c>
      <c r="H3210" s="179" t="e">
        <f>IF($C$1078&gt;0,VLOOKUP($C3210,PATRIMONIALE!$AJ$4:$AO$1003,6,FALSE),"")</f>
        <v>#N/A</v>
      </c>
      <c r="I3210" s="187"/>
      <c r="J3210" s="140" t="e">
        <f ca="1">VLOOKUP(D3210,$F$1081:$I$4183,4,FALSE)+COUNTIF(E$1081:E3209,E3210)</f>
        <v>#N/A</v>
      </c>
      <c r="K3210" s="1"/>
      <c r="L3210" s="161" t="e">
        <f>IF($C$1078&gt;0,VLOOKUP($C3210,PATRIMONIALE!$AJ$4:$AP$1003,7,FALSE),"")</f>
        <v>#N/A</v>
      </c>
      <c r="M3210" s="1"/>
      <c r="N3210" s="1"/>
      <c r="O3210" s="1"/>
    </row>
    <row r="3211" spans="1:15" hidden="1">
      <c r="A3211" s="1"/>
      <c r="B3211" s="182" t="e">
        <f t="shared" ca="1" si="271"/>
        <v>#N/A</v>
      </c>
      <c r="C3211" s="500">
        <v>145</v>
      </c>
      <c r="D3211" s="41" t="e">
        <f>IF($C$1078&gt;0,VLOOKUP($C3211,PATRIMONIALE!$AJ$4:$AL$1003,3,FALSE),"")</f>
        <v>#N/A</v>
      </c>
      <c r="E3211" s="41" t="str">
        <f t="shared" si="270"/>
        <v/>
      </c>
      <c r="F3211" s="200"/>
      <c r="G3211" s="178" t="e">
        <f>IF($C$1078&gt;0,VLOOKUP($C3211,PATRIMONIALE!$AJ$4:$AN$1003,5,FALSE),"")</f>
        <v>#N/A</v>
      </c>
      <c r="H3211" s="179" t="e">
        <f>IF($C$1078&gt;0,VLOOKUP($C3211,PATRIMONIALE!$AJ$4:$AO$1003,6,FALSE),"")</f>
        <v>#N/A</v>
      </c>
      <c r="I3211" s="187"/>
      <c r="J3211" s="140" t="e">
        <f ca="1">VLOOKUP(D3211,$F$1081:$I$4183,4,FALSE)+COUNTIF(E$1081:E3210,E3211)</f>
        <v>#N/A</v>
      </c>
      <c r="K3211" s="1"/>
      <c r="L3211" s="161" t="e">
        <f>IF($C$1078&gt;0,VLOOKUP($C3211,PATRIMONIALE!$AJ$4:$AP$1003,7,FALSE),"")</f>
        <v>#N/A</v>
      </c>
      <c r="M3211" s="1"/>
      <c r="N3211" s="1"/>
      <c r="O3211" s="1"/>
    </row>
    <row r="3212" spans="1:15" hidden="1">
      <c r="A3212" s="1"/>
      <c r="B3212" s="182" t="e">
        <f t="shared" ca="1" si="271"/>
        <v>#N/A</v>
      </c>
      <c r="C3212" s="500">
        <v>146</v>
      </c>
      <c r="D3212" s="41" t="e">
        <f>IF($C$1078&gt;0,VLOOKUP($C3212,PATRIMONIALE!$AJ$4:$AL$1003,3,FALSE),"")</f>
        <v>#N/A</v>
      </c>
      <c r="E3212" s="41" t="str">
        <f t="shared" si="270"/>
        <v/>
      </c>
      <c r="F3212" s="200"/>
      <c r="G3212" s="178" t="e">
        <f>IF($C$1078&gt;0,VLOOKUP($C3212,PATRIMONIALE!$AJ$4:$AN$1003,5,FALSE),"")</f>
        <v>#N/A</v>
      </c>
      <c r="H3212" s="179" t="e">
        <f>IF($C$1078&gt;0,VLOOKUP($C3212,PATRIMONIALE!$AJ$4:$AO$1003,6,FALSE),"")</f>
        <v>#N/A</v>
      </c>
      <c r="I3212" s="187"/>
      <c r="J3212" s="140" t="e">
        <f ca="1">VLOOKUP(D3212,$F$1081:$I$4183,4,FALSE)+COUNTIF(E$1081:E3211,E3212)</f>
        <v>#N/A</v>
      </c>
      <c r="K3212" s="1"/>
      <c r="L3212" s="161" t="e">
        <f>IF($C$1078&gt;0,VLOOKUP($C3212,PATRIMONIALE!$AJ$4:$AP$1003,7,FALSE),"")</f>
        <v>#N/A</v>
      </c>
      <c r="M3212" s="1"/>
      <c r="N3212" s="1"/>
      <c r="O3212" s="1"/>
    </row>
    <row r="3213" spans="1:15" hidden="1">
      <c r="A3213" s="1"/>
      <c r="B3213" s="182" t="e">
        <f t="shared" ca="1" si="271"/>
        <v>#N/A</v>
      </c>
      <c r="C3213" s="500">
        <v>147</v>
      </c>
      <c r="D3213" s="41" t="e">
        <f>IF($C$1078&gt;0,VLOOKUP($C3213,PATRIMONIALE!$AJ$4:$AL$1003,3,FALSE),"")</f>
        <v>#N/A</v>
      </c>
      <c r="E3213" s="41" t="str">
        <f t="shared" si="270"/>
        <v/>
      </c>
      <c r="F3213" s="200"/>
      <c r="G3213" s="178" t="e">
        <f>IF($C$1078&gt;0,VLOOKUP($C3213,PATRIMONIALE!$AJ$4:$AN$1003,5,FALSE),"")</f>
        <v>#N/A</v>
      </c>
      <c r="H3213" s="179" t="e">
        <f>IF($C$1078&gt;0,VLOOKUP($C3213,PATRIMONIALE!$AJ$4:$AO$1003,6,FALSE),"")</f>
        <v>#N/A</v>
      </c>
      <c r="I3213" s="187"/>
      <c r="J3213" s="140" t="e">
        <f ca="1">VLOOKUP(D3213,$F$1081:$I$4183,4,FALSE)+COUNTIF(E$1081:E3212,E3213)</f>
        <v>#N/A</v>
      </c>
      <c r="K3213" s="1"/>
      <c r="L3213" s="161" t="e">
        <f>IF($C$1078&gt;0,VLOOKUP($C3213,PATRIMONIALE!$AJ$4:$AP$1003,7,FALSE),"")</f>
        <v>#N/A</v>
      </c>
      <c r="M3213" s="1"/>
      <c r="N3213" s="1"/>
      <c r="O3213" s="1"/>
    </row>
    <row r="3214" spans="1:15" hidden="1">
      <c r="A3214" s="1"/>
      <c r="B3214" s="182" t="e">
        <f t="shared" ca="1" si="271"/>
        <v>#N/A</v>
      </c>
      <c r="C3214" s="500">
        <v>148</v>
      </c>
      <c r="D3214" s="41" t="e">
        <f>IF($C$1078&gt;0,VLOOKUP($C3214,PATRIMONIALE!$AJ$4:$AL$1003,3,FALSE),"")</f>
        <v>#N/A</v>
      </c>
      <c r="E3214" s="41" t="str">
        <f t="shared" si="270"/>
        <v/>
      </c>
      <c r="F3214" s="200"/>
      <c r="G3214" s="178" t="e">
        <f>IF($C$1078&gt;0,VLOOKUP($C3214,PATRIMONIALE!$AJ$4:$AN$1003,5,FALSE),"")</f>
        <v>#N/A</v>
      </c>
      <c r="H3214" s="179" t="e">
        <f>IF($C$1078&gt;0,VLOOKUP($C3214,PATRIMONIALE!$AJ$4:$AO$1003,6,FALSE),"")</f>
        <v>#N/A</v>
      </c>
      <c r="I3214" s="187"/>
      <c r="J3214" s="140" t="e">
        <f ca="1">VLOOKUP(D3214,$F$1081:$I$4183,4,FALSE)+COUNTIF(E$1081:E3213,E3214)</f>
        <v>#N/A</v>
      </c>
      <c r="K3214" s="1"/>
      <c r="L3214" s="161" t="e">
        <f>IF($C$1078&gt;0,VLOOKUP($C3214,PATRIMONIALE!$AJ$4:$AP$1003,7,FALSE),"")</f>
        <v>#N/A</v>
      </c>
      <c r="M3214" s="1"/>
      <c r="N3214" s="1"/>
      <c r="O3214" s="1"/>
    </row>
    <row r="3215" spans="1:15" hidden="1">
      <c r="A3215" s="1"/>
      <c r="B3215" s="182" t="e">
        <f t="shared" ca="1" si="271"/>
        <v>#N/A</v>
      </c>
      <c r="C3215" s="500">
        <v>149</v>
      </c>
      <c r="D3215" s="41" t="e">
        <f>IF($C$1078&gt;0,VLOOKUP($C3215,PATRIMONIALE!$AJ$4:$AL$1003,3,FALSE),"")</f>
        <v>#N/A</v>
      </c>
      <c r="E3215" s="41" t="str">
        <f t="shared" si="270"/>
        <v/>
      </c>
      <c r="F3215" s="200"/>
      <c r="G3215" s="178" t="e">
        <f>IF($C$1078&gt;0,VLOOKUP($C3215,PATRIMONIALE!$AJ$4:$AN$1003,5,FALSE),"")</f>
        <v>#N/A</v>
      </c>
      <c r="H3215" s="179" t="e">
        <f>IF($C$1078&gt;0,VLOOKUP($C3215,PATRIMONIALE!$AJ$4:$AO$1003,6,FALSE),"")</f>
        <v>#N/A</v>
      </c>
      <c r="I3215" s="187"/>
      <c r="J3215" s="140" t="e">
        <f ca="1">VLOOKUP(D3215,$F$1081:$I$4183,4,FALSE)+COUNTIF(E$1081:E3214,E3215)</f>
        <v>#N/A</v>
      </c>
      <c r="K3215" s="1"/>
      <c r="L3215" s="161" t="e">
        <f>IF($C$1078&gt;0,VLOOKUP($C3215,PATRIMONIALE!$AJ$4:$AP$1003,7,FALSE),"")</f>
        <v>#N/A</v>
      </c>
      <c r="M3215" s="1"/>
      <c r="N3215" s="1"/>
      <c r="O3215" s="1"/>
    </row>
    <row r="3216" spans="1:15" hidden="1">
      <c r="A3216" s="1"/>
      <c r="B3216" s="182" t="e">
        <f t="shared" ca="1" si="271"/>
        <v>#N/A</v>
      </c>
      <c r="C3216" s="500">
        <v>150</v>
      </c>
      <c r="D3216" s="41" t="e">
        <f>IF($C$1078&gt;0,VLOOKUP($C3216,PATRIMONIALE!$AJ$4:$AL$1003,3,FALSE),"")</f>
        <v>#N/A</v>
      </c>
      <c r="E3216" s="41" t="str">
        <f t="shared" si="270"/>
        <v/>
      </c>
      <c r="F3216" s="200"/>
      <c r="G3216" s="178" t="e">
        <f>IF($C$1078&gt;0,VLOOKUP($C3216,PATRIMONIALE!$AJ$4:$AN$1003,5,FALSE),"")</f>
        <v>#N/A</v>
      </c>
      <c r="H3216" s="179" t="e">
        <f>IF($C$1078&gt;0,VLOOKUP($C3216,PATRIMONIALE!$AJ$4:$AO$1003,6,FALSE),"")</f>
        <v>#N/A</v>
      </c>
      <c r="I3216" s="187"/>
      <c r="J3216" s="140" t="e">
        <f ca="1">VLOOKUP(D3216,$F$1081:$I$4183,4,FALSE)+COUNTIF(E$1081:E3215,E3216)</f>
        <v>#N/A</v>
      </c>
      <c r="K3216" s="1"/>
      <c r="L3216" s="161" t="e">
        <f>IF($C$1078&gt;0,VLOOKUP($C3216,PATRIMONIALE!$AJ$4:$AP$1003,7,FALSE),"")</f>
        <v>#N/A</v>
      </c>
      <c r="M3216" s="1"/>
      <c r="N3216" s="1"/>
      <c r="O3216" s="1"/>
    </row>
    <row r="3217" spans="1:15" hidden="1">
      <c r="A3217" s="1"/>
      <c r="B3217" s="182" t="e">
        <f t="shared" ca="1" si="271"/>
        <v>#N/A</v>
      </c>
      <c r="C3217" s="500">
        <v>151</v>
      </c>
      <c r="D3217" s="41" t="e">
        <f>IF($C$1078&gt;0,VLOOKUP($C3217,PATRIMONIALE!$AJ$4:$AL$1003,3,FALSE),"")</f>
        <v>#N/A</v>
      </c>
      <c r="E3217" s="41" t="str">
        <f t="shared" si="270"/>
        <v/>
      </c>
      <c r="F3217" s="200"/>
      <c r="G3217" s="178" t="e">
        <f>IF($C$1078&gt;0,VLOOKUP($C3217,PATRIMONIALE!$AJ$4:$AN$1003,5,FALSE),"")</f>
        <v>#N/A</v>
      </c>
      <c r="H3217" s="179" t="e">
        <f>IF($C$1078&gt;0,VLOOKUP($C3217,PATRIMONIALE!$AJ$4:$AO$1003,6,FALSE),"")</f>
        <v>#N/A</v>
      </c>
      <c r="I3217" s="187"/>
      <c r="J3217" s="140" t="e">
        <f ca="1">VLOOKUP(D3217,$F$1081:$I$4183,4,FALSE)+COUNTIF(E$1081:E3216,E3217)</f>
        <v>#N/A</v>
      </c>
      <c r="K3217" s="1"/>
      <c r="L3217" s="161" t="e">
        <f>IF($C$1078&gt;0,VLOOKUP($C3217,PATRIMONIALE!$AJ$4:$AP$1003,7,FALSE),"")</f>
        <v>#N/A</v>
      </c>
      <c r="M3217" s="1"/>
      <c r="N3217" s="1"/>
      <c r="O3217" s="1"/>
    </row>
    <row r="3218" spans="1:15" hidden="1">
      <c r="A3218" s="1"/>
      <c r="B3218" s="182" t="e">
        <f t="shared" ca="1" si="271"/>
        <v>#N/A</v>
      </c>
      <c r="C3218" s="500">
        <v>152</v>
      </c>
      <c r="D3218" s="41" t="e">
        <f>IF($C$1078&gt;0,VLOOKUP($C3218,PATRIMONIALE!$AJ$4:$AL$1003,3,FALSE),"")</f>
        <v>#N/A</v>
      </c>
      <c r="E3218" s="41" t="str">
        <f t="shared" si="270"/>
        <v/>
      </c>
      <c r="F3218" s="200"/>
      <c r="G3218" s="178" t="e">
        <f>IF($C$1078&gt;0,VLOOKUP($C3218,PATRIMONIALE!$AJ$4:$AN$1003,5,FALSE),"")</f>
        <v>#N/A</v>
      </c>
      <c r="H3218" s="179" t="e">
        <f>IF($C$1078&gt;0,VLOOKUP($C3218,PATRIMONIALE!$AJ$4:$AO$1003,6,FALSE),"")</f>
        <v>#N/A</v>
      </c>
      <c r="I3218" s="187"/>
      <c r="J3218" s="140" t="e">
        <f ca="1">VLOOKUP(D3218,$F$1081:$I$4183,4,FALSE)+COUNTIF(E$1081:E3217,E3218)</f>
        <v>#N/A</v>
      </c>
      <c r="K3218" s="1"/>
      <c r="L3218" s="161" t="e">
        <f>IF($C$1078&gt;0,VLOOKUP($C3218,PATRIMONIALE!$AJ$4:$AP$1003,7,FALSE),"")</f>
        <v>#N/A</v>
      </c>
      <c r="M3218" s="1"/>
      <c r="N3218" s="1"/>
      <c r="O3218" s="1"/>
    </row>
    <row r="3219" spans="1:15" hidden="1">
      <c r="A3219" s="1"/>
      <c r="B3219" s="182" t="e">
        <f t="shared" ca="1" si="271"/>
        <v>#N/A</v>
      </c>
      <c r="C3219" s="500">
        <v>153</v>
      </c>
      <c r="D3219" s="41" t="e">
        <f>IF($C$1078&gt;0,VLOOKUP($C3219,PATRIMONIALE!$AJ$4:$AL$1003,3,FALSE),"")</f>
        <v>#N/A</v>
      </c>
      <c r="E3219" s="41" t="str">
        <f t="shared" si="270"/>
        <v/>
      </c>
      <c r="F3219" s="200"/>
      <c r="G3219" s="178" t="e">
        <f>IF($C$1078&gt;0,VLOOKUP($C3219,PATRIMONIALE!$AJ$4:$AN$1003,5,FALSE),"")</f>
        <v>#N/A</v>
      </c>
      <c r="H3219" s="179" t="e">
        <f>IF($C$1078&gt;0,VLOOKUP($C3219,PATRIMONIALE!$AJ$4:$AO$1003,6,FALSE),"")</f>
        <v>#N/A</v>
      </c>
      <c r="I3219" s="187"/>
      <c r="J3219" s="140" t="e">
        <f ca="1">VLOOKUP(D3219,$F$1081:$I$4183,4,FALSE)+COUNTIF(E$1081:E3218,E3219)</f>
        <v>#N/A</v>
      </c>
      <c r="K3219" s="1"/>
      <c r="L3219" s="161" t="e">
        <f>IF($C$1078&gt;0,VLOOKUP($C3219,PATRIMONIALE!$AJ$4:$AP$1003,7,FALSE),"")</f>
        <v>#N/A</v>
      </c>
      <c r="M3219" s="1"/>
      <c r="N3219" s="1"/>
      <c r="O3219" s="1"/>
    </row>
    <row r="3220" spans="1:15" hidden="1">
      <c r="A3220" s="1"/>
      <c r="B3220" s="182" t="e">
        <f t="shared" ca="1" si="271"/>
        <v>#N/A</v>
      </c>
      <c r="C3220" s="500">
        <v>154</v>
      </c>
      <c r="D3220" s="41" t="e">
        <f>IF($C$1078&gt;0,VLOOKUP($C3220,PATRIMONIALE!$AJ$4:$AL$1003,3,FALSE),"")</f>
        <v>#N/A</v>
      </c>
      <c r="E3220" s="41" t="str">
        <f t="shared" si="270"/>
        <v/>
      </c>
      <c r="F3220" s="200"/>
      <c r="G3220" s="178" t="e">
        <f>IF($C$1078&gt;0,VLOOKUP($C3220,PATRIMONIALE!$AJ$4:$AN$1003,5,FALSE),"")</f>
        <v>#N/A</v>
      </c>
      <c r="H3220" s="179" t="e">
        <f>IF($C$1078&gt;0,VLOOKUP($C3220,PATRIMONIALE!$AJ$4:$AO$1003,6,FALSE),"")</f>
        <v>#N/A</v>
      </c>
      <c r="I3220" s="187"/>
      <c r="J3220" s="140" t="e">
        <f ca="1">VLOOKUP(D3220,$F$1081:$I$4183,4,FALSE)+COUNTIF(E$1081:E3219,E3220)</f>
        <v>#N/A</v>
      </c>
      <c r="K3220" s="1"/>
      <c r="L3220" s="161" t="e">
        <f>IF($C$1078&gt;0,VLOOKUP($C3220,PATRIMONIALE!$AJ$4:$AP$1003,7,FALSE),"")</f>
        <v>#N/A</v>
      </c>
      <c r="M3220" s="1"/>
      <c r="N3220" s="1"/>
      <c r="O3220" s="1"/>
    </row>
    <row r="3221" spans="1:15" hidden="1">
      <c r="A3221" s="1"/>
      <c r="B3221" s="182" t="e">
        <f t="shared" ca="1" si="271"/>
        <v>#N/A</v>
      </c>
      <c r="C3221" s="500">
        <v>155</v>
      </c>
      <c r="D3221" s="41" t="e">
        <f>IF($C$1078&gt;0,VLOOKUP($C3221,PATRIMONIALE!$AJ$4:$AL$1003,3,FALSE),"")</f>
        <v>#N/A</v>
      </c>
      <c r="E3221" s="41" t="str">
        <f t="shared" si="270"/>
        <v/>
      </c>
      <c r="F3221" s="200"/>
      <c r="G3221" s="178" t="e">
        <f>IF($C$1078&gt;0,VLOOKUP($C3221,PATRIMONIALE!$AJ$4:$AN$1003,5,FALSE),"")</f>
        <v>#N/A</v>
      </c>
      <c r="H3221" s="179" t="e">
        <f>IF($C$1078&gt;0,VLOOKUP($C3221,PATRIMONIALE!$AJ$4:$AO$1003,6,FALSE),"")</f>
        <v>#N/A</v>
      </c>
      <c r="I3221" s="187"/>
      <c r="J3221" s="140" t="e">
        <f ca="1">VLOOKUP(D3221,$F$1081:$I$4183,4,FALSE)+COUNTIF(E$1081:E3220,E3221)</f>
        <v>#N/A</v>
      </c>
      <c r="K3221" s="1"/>
      <c r="L3221" s="161" t="e">
        <f>IF($C$1078&gt;0,VLOOKUP($C3221,PATRIMONIALE!$AJ$4:$AP$1003,7,FALSE),"")</f>
        <v>#N/A</v>
      </c>
      <c r="M3221" s="1"/>
      <c r="N3221" s="1"/>
      <c r="O3221" s="1"/>
    </row>
    <row r="3222" spans="1:15" hidden="1">
      <c r="A3222" s="1"/>
      <c r="B3222" s="182" t="e">
        <f t="shared" ca="1" si="271"/>
        <v>#N/A</v>
      </c>
      <c r="C3222" s="500">
        <v>156</v>
      </c>
      <c r="D3222" s="41" t="e">
        <f>IF($C$1078&gt;0,VLOOKUP($C3222,PATRIMONIALE!$AJ$4:$AL$1003,3,FALSE),"")</f>
        <v>#N/A</v>
      </c>
      <c r="E3222" s="41" t="str">
        <f t="shared" si="270"/>
        <v/>
      </c>
      <c r="F3222" s="200"/>
      <c r="G3222" s="178" t="e">
        <f>IF($C$1078&gt;0,VLOOKUP($C3222,PATRIMONIALE!$AJ$4:$AN$1003,5,FALSE),"")</f>
        <v>#N/A</v>
      </c>
      <c r="H3222" s="179" t="e">
        <f>IF($C$1078&gt;0,VLOOKUP($C3222,PATRIMONIALE!$AJ$4:$AO$1003,6,FALSE),"")</f>
        <v>#N/A</v>
      </c>
      <c r="I3222" s="187"/>
      <c r="J3222" s="140" t="e">
        <f ca="1">VLOOKUP(D3222,$F$1081:$I$4183,4,FALSE)+COUNTIF(E$1081:E3221,E3222)</f>
        <v>#N/A</v>
      </c>
      <c r="K3222" s="1"/>
      <c r="L3222" s="161" t="e">
        <f>IF($C$1078&gt;0,VLOOKUP($C3222,PATRIMONIALE!$AJ$4:$AP$1003,7,FALSE),"")</f>
        <v>#N/A</v>
      </c>
      <c r="M3222" s="1"/>
      <c r="N3222" s="1"/>
      <c r="O3222" s="1"/>
    </row>
    <row r="3223" spans="1:15" hidden="1">
      <c r="A3223" s="1"/>
      <c r="B3223" s="182" t="e">
        <f t="shared" ca="1" si="271"/>
        <v>#N/A</v>
      </c>
      <c r="C3223" s="500">
        <v>157</v>
      </c>
      <c r="D3223" s="41" t="e">
        <f>IF($C$1078&gt;0,VLOOKUP($C3223,PATRIMONIALE!$AJ$4:$AL$1003,3,FALSE),"")</f>
        <v>#N/A</v>
      </c>
      <c r="E3223" s="41" t="str">
        <f t="shared" si="270"/>
        <v/>
      </c>
      <c r="F3223" s="200"/>
      <c r="G3223" s="178" t="e">
        <f>IF($C$1078&gt;0,VLOOKUP($C3223,PATRIMONIALE!$AJ$4:$AN$1003,5,FALSE),"")</f>
        <v>#N/A</v>
      </c>
      <c r="H3223" s="179" t="e">
        <f>IF($C$1078&gt;0,VLOOKUP($C3223,PATRIMONIALE!$AJ$4:$AO$1003,6,FALSE),"")</f>
        <v>#N/A</v>
      </c>
      <c r="I3223" s="187"/>
      <c r="J3223" s="140" t="e">
        <f ca="1">VLOOKUP(D3223,$F$1081:$I$4183,4,FALSE)+COUNTIF(E$1081:E3222,E3223)</f>
        <v>#N/A</v>
      </c>
      <c r="K3223" s="1"/>
      <c r="L3223" s="161" t="e">
        <f>IF($C$1078&gt;0,VLOOKUP($C3223,PATRIMONIALE!$AJ$4:$AP$1003,7,FALSE),"")</f>
        <v>#N/A</v>
      </c>
      <c r="M3223" s="1"/>
      <c r="N3223" s="1"/>
      <c r="O3223" s="1"/>
    </row>
    <row r="3224" spans="1:15" hidden="1">
      <c r="A3224" s="1"/>
      <c r="B3224" s="182" t="e">
        <f t="shared" ca="1" si="271"/>
        <v>#N/A</v>
      </c>
      <c r="C3224" s="500">
        <v>158</v>
      </c>
      <c r="D3224" s="41" t="e">
        <f>IF($C$1078&gt;0,VLOOKUP($C3224,PATRIMONIALE!$AJ$4:$AL$1003,3,FALSE),"")</f>
        <v>#N/A</v>
      </c>
      <c r="E3224" s="41" t="str">
        <f t="shared" si="270"/>
        <v/>
      </c>
      <c r="F3224" s="200"/>
      <c r="G3224" s="178" t="e">
        <f>IF($C$1078&gt;0,VLOOKUP($C3224,PATRIMONIALE!$AJ$4:$AN$1003,5,FALSE),"")</f>
        <v>#N/A</v>
      </c>
      <c r="H3224" s="179" t="e">
        <f>IF($C$1078&gt;0,VLOOKUP($C3224,PATRIMONIALE!$AJ$4:$AO$1003,6,FALSE),"")</f>
        <v>#N/A</v>
      </c>
      <c r="I3224" s="187"/>
      <c r="J3224" s="140" t="e">
        <f ca="1">VLOOKUP(D3224,$F$1081:$I$4183,4,FALSE)+COUNTIF(E$1081:E3223,E3224)</f>
        <v>#N/A</v>
      </c>
      <c r="K3224" s="1"/>
      <c r="L3224" s="161" t="e">
        <f>IF($C$1078&gt;0,VLOOKUP($C3224,PATRIMONIALE!$AJ$4:$AP$1003,7,FALSE),"")</f>
        <v>#N/A</v>
      </c>
      <c r="M3224" s="1"/>
      <c r="N3224" s="1"/>
      <c r="O3224" s="1"/>
    </row>
    <row r="3225" spans="1:15" hidden="1">
      <c r="A3225" s="1"/>
      <c r="B3225" s="182" t="e">
        <f t="shared" ca="1" si="271"/>
        <v>#N/A</v>
      </c>
      <c r="C3225" s="500">
        <v>159</v>
      </c>
      <c r="D3225" s="41" t="e">
        <f>IF($C$1078&gt;0,VLOOKUP($C3225,PATRIMONIALE!$AJ$4:$AL$1003,3,FALSE),"")</f>
        <v>#N/A</v>
      </c>
      <c r="E3225" s="41" t="str">
        <f t="shared" si="270"/>
        <v/>
      </c>
      <c r="F3225" s="200"/>
      <c r="G3225" s="178" t="e">
        <f>IF($C$1078&gt;0,VLOOKUP($C3225,PATRIMONIALE!$AJ$4:$AN$1003,5,FALSE),"")</f>
        <v>#N/A</v>
      </c>
      <c r="H3225" s="179" t="e">
        <f>IF($C$1078&gt;0,VLOOKUP($C3225,PATRIMONIALE!$AJ$4:$AO$1003,6,FALSE),"")</f>
        <v>#N/A</v>
      </c>
      <c r="I3225" s="187"/>
      <c r="J3225" s="140" t="e">
        <f ca="1">VLOOKUP(D3225,$F$1081:$I$4183,4,FALSE)+COUNTIF(E$1081:E3224,E3225)</f>
        <v>#N/A</v>
      </c>
      <c r="K3225" s="1"/>
      <c r="L3225" s="161" t="e">
        <f>IF($C$1078&gt;0,VLOOKUP($C3225,PATRIMONIALE!$AJ$4:$AP$1003,7,FALSE),"")</f>
        <v>#N/A</v>
      </c>
      <c r="M3225" s="1"/>
      <c r="N3225" s="1"/>
      <c r="O3225" s="1"/>
    </row>
    <row r="3226" spans="1:15" hidden="1">
      <c r="A3226" s="1"/>
      <c r="B3226" s="182" t="e">
        <f t="shared" ca="1" si="271"/>
        <v>#N/A</v>
      </c>
      <c r="C3226" s="500">
        <v>160</v>
      </c>
      <c r="D3226" s="41" t="e">
        <f>IF($C$1078&gt;0,VLOOKUP($C3226,PATRIMONIALE!$AJ$4:$AL$1003,3,FALSE),"")</f>
        <v>#N/A</v>
      </c>
      <c r="E3226" s="41" t="str">
        <f t="shared" si="270"/>
        <v/>
      </c>
      <c r="F3226" s="200"/>
      <c r="G3226" s="178" t="e">
        <f>IF($C$1078&gt;0,VLOOKUP($C3226,PATRIMONIALE!$AJ$4:$AN$1003,5,FALSE),"")</f>
        <v>#N/A</v>
      </c>
      <c r="H3226" s="179" t="e">
        <f>IF($C$1078&gt;0,VLOOKUP($C3226,PATRIMONIALE!$AJ$4:$AO$1003,6,FALSE),"")</f>
        <v>#N/A</v>
      </c>
      <c r="I3226" s="187"/>
      <c r="J3226" s="140" t="e">
        <f ca="1">VLOOKUP(D3226,$F$1081:$I$4183,4,FALSE)+COUNTIF(E$1081:E3225,E3226)</f>
        <v>#N/A</v>
      </c>
      <c r="K3226" s="1"/>
      <c r="L3226" s="161" t="e">
        <f>IF($C$1078&gt;0,VLOOKUP($C3226,PATRIMONIALE!$AJ$4:$AP$1003,7,FALSE),"")</f>
        <v>#N/A</v>
      </c>
      <c r="M3226" s="1"/>
      <c r="N3226" s="1"/>
      <c r="O3226" s="1"/>
    </row>
    <row r="3227" spans="1:15" hidden="1">
      <c r="A3227" s="1"/>
      <c r="B3227" s="182" t="e">
        <f t="shared" ca="1" si="271"/>
        <v>#N/A</v>
      </c>
      <c r="C3227" s="500">
        <v>161</v>
      </c>
      <c r="D3227" s="41" t="e">
        <f>IF($C$1078&gt;0,VLOOKUP($C3227,PATRIMONIALE!$AJ$4:$AL$1003,3,FALSE),"")</f>
        <v>#N/A</v>
      </c>
      <c r="E3227" s="41" t="str">
        <f t="shared" si="270"/>
        <v/>
      </c>
      <c r="F3227" s="200"/>
      <c r="G3227" s="178" t="e">
        <f>IF($C$1078&gt;0,VLOOKUP($C3227,PATRIMONIALE!$AJ$4:$AN$1003,5,FALSE),"")</f>
        <v>#N/A</v>
      </c>
      <c r="H3227" s="179" t="e">
        <f>IF($C$1078&gt;0,VLOOKUP($C3227,PATRIMONIALE!$AJ$4:$AO$1003,6,FALSE),"")</f>
        <v>#N/A</v>
      </c>
      <c r="I3227" s="187"/>
      <c r="J3227" s="140" t="e">
        <f ca="1">VLOOKUP(D3227,$F$1081:$I$4183,4,FALSE)+COUNTIF(E$1081:E3226,E3227)</f>
        <v>#N/A</v>
      </c>
      <c r="K3227" s="1"/>
      <c r="L3227" s="161" t="e">
        <f>IF($C$1078&gt;0,VLOOKUP($C3227,PATRIMONIALE!$AJ$4:$AP$1003,7,FALSE),"")</f>
        <v>#N/A</v>
      </c>
      <c r="M3227" s="1"/>
      <c r="N3227" s="1"/>
      <c r="O3227" s="1"/>
    </row>
    <row r="3228" spans="1:15" hidden="1">
      <c r="A3228" s="1"/>
      <c r="B3228" s="182" t="e">
        <f t="shared" ca="1" si="271"/>
        <v>#N/A</v>
      </c>
      <c r="C3228" s="500">
        <v>162</v>
      </c>
      <c r="D3228" s="41" t="e">
        <f>IF($C$1078&gt;0,VLOOKUP($C3228,PATRIMONIALE!$AJ$4:$AL$1003,3,FALSE),"")</f>
        <v>#N/A</v>
      </c>
      <c r="E3228" s="41" t="str">
        <f t="shared" si="270"/>
        <v/>
      </c>
      <c r="F3228" s="200"/>
      <c r="G3228" s="178" t="e">
        <f>IF($C$1078&gt;0,VLOOKUP($C3228,PATRIMONIALE!$AJ$4:$AN$1003,5,FALSE),"")</f>
        <v>#N/A</v>
      </c>
      <c r="H3228" s="179" t="e">
        <f>IF($C$1078&gt;0,VLOOKUP($C3228,PATRIMONIALE!$AJ$4:$AO$1003,6,FALSE),"")</f>
        <v>#N/A</v>
      </c>
      <c r="I3228" s="187"/>
      <c r="J3228" s="140" t="e">
        <f ca="1">VLOOKUP(D3228,$F$1081:$I$4183,4,FALSE)+COUNTIF(E$1081:E3227,E3228)</f>
        <v>#N/A</v>
      </c>
      <c r="K3228" s="1"/>
      <c r="L3228" s="161" t="e">
        <f>IF($C$1078&gt;0,VLOOKUP($C3228,PATRIMONIALE!$AJ$4:$AP$1003,7,FALSE),"")</f>
        <v>#N/A</v>
      </c>
      <c r="M3228" s="1"/>
      <c r="N3228" s="1"/>
      <c r="O3228" s="1"/>
    </row>
    <row r="3229" spans="1:15" hidden="1">
      <c r="A3229" s="1"/>
      <c r="B3229" s="182" t="e">
        <f t="shared" ca="1" si="271"/>
        <v>#N/A</v>
      </c>
      <c r="C3229" s="500">
        <v>163</v>
      </c>
      <c r="D3229" s="41" t="e">
        <f>IF($C$1078&gt;0,VLOOKUP($C3229,PATRIMONIALE!$AJ$4:$AL$1003,3,FALSE),"")</f>
        <v>#N/A</v>
      </c>
      <c r="E3229" s="41" t="str">
        <f t="shared" si="270"/>
        <v/>
      </c>
      <c r="F3229" s="200"/>
      <c r="G3229" s="178" t="e">
        <f>IF($C$1078&gt;0,VLOOKUP($C3229,PATRIMONIALE!$AJ$4:$AN$1003,5,FALSE),"")</f>
        <v>#N/A</v>
      </c>
      <c r="H3229" s="179" t="e">
        <f>IF($C$1078&gt;0,VLOOKUP($C3229,PATRIMONIALE!$AJ$4:$AO$1003,6,FALSE),"")</f>
        <v>#N/A</v>
      </c>
      <c r="I3229" s="187"/>
      <c r="J3229" s="140" t="e">
        <f ca="1">VLOOKUP(D3229,$F$1081:$I$4183,4,FALSE)+COUNTIF(E$1081:E3228,E3229)</f>
        <v>#N/A</v>
      </c>
      <c r="K3229" s="1"/>
      <c r="L3229" s="161" t="e">
        <f>IF($C$1078&gt;0,VLOOKUP($C3229,PATRIMONIALE!$AJ$4:$AP$1003,7,FALSE),"")</f>
        <v>#N/A</v>
      </c>
      <c r="M3229" s="1"/>
      <c r="N3229" s="1"/>
      <c r="O3229" s="1"/>
    </row>
    <row r="3230" spans="1:15" hidden="1">
      <c r="A3230" s="1"/>
      <c r="B3230" s="182" t="e">
        <f t="shared" ca="1" si="271"/>
        <v>#N/A</v>
      </c>
      <c r="C3230" s="500">
        <v>164</v>
      </c>
      <c r="D3230" s="41" t="e">
        <f>IF($C$1078&gt;0,VLOOKUP($C3230,PATRIMONIALE!$AJ$4:$AL$1003,3,FALSE),"")</f>
        <v>#N/A</v>
      </c>
      <c r="E3230" s="41" t="str">
        <f t="shared" si="270"/>
        <v/>
      </c>
      <c r="F3230" s="200"/>
      <c r="G3230" s="178" t="e">
        <f>IF($C$1078&gt;0,VLOOKUP($C3230,PATRIMONIALE!$AJ$4:$AN$1003,5,FALSE),"")</f>
        <v>#N/A</v>
      </c>
      <c r="H3230" s="179" t="e">
        <f>IF($C$1078&gt;0,VLOOKUP($C3230,PATRIMONIALE!$AJ$4:$AO$1003,6,FALSE),"")</f>
        <v>#N/A</v>
      </c>
      <c r="I3230" s="187"/>
      <c r="J3230" s="140" t="e">
        <f ca="1">VLOOKUP(D3230,$F$1081:$I$4183,4,FALSE)+COUNTIF(E$1081:E3229,E3230)</f>
        <v>#N/A</v>
      </c>
      <c r="K3230" s="1"/>
      <c r="L3230" s="161" t="e">
        <f>IF($C$1078&gt;0,VLOOKUP($C3230,PATRIMONIALE!$AJ$4:$AP$1003,7,FALSE),"")</f>
        <v>#N/A</v>
      </c>
      <c r="M3230" s="1"/>
      <c r="N3230" s="1"/>
      <c r="O3230" s="1"/>
    </row>
    <row r="3231" spans="1:15" hidden="1">
      <c r="A3231" s="1"/>
      <c r="B3231" s="182" t="e">
        <f t="shared" ca="1" si="271"/>
        <v>#N/A</v>
      </c>
      <c r="C3231" s="500">
        <v>165</v>
      </c>
      <c r="D3231" s="41" t="e">
        <f>IF($C$1078&gt;0,VLOOKUP($C3231,PATRIMONIALE!$AJ$4:$AL$1003,3,FALSE),"")</f>
        <v>#N/A</v>
      </c>
      <c r="E3231" s="41" t="str">
        <f t="shared" si="270"/>
        <v/>
      </c>
      <c r="F3231" s="200"/>
      <c r="G3231" s="178" t="e">
        <f>IF($C$1078&gt;0,VLOOKUP($C3231,PATRIMONIALE!$AJ$4:$AN$1003,5,FALSE),"")</f>
        <v>#N/A</v>
      </c>
      <c r="H3231" s="179" t="e">
        <f>IF($C$1078&gt;0,VLOOKUP($C3231,PATRIMONIALE!$AJ$4:$AO$1003,6,FALSE),"")</f>
        <v>#N/A</v>
      </c>
      <c r="I3231" s="187"/>
      <c r="J3231" s="140" t="e">
        <f ca="1">VLOOKUP(D3231,$F$1081:$I$4183,4,FALSE)+COUNTIF(E$1081:E3230,E3231)</f>
        <v>#N/A</v>
      </c>
      <c r="K3231" s="1"/>
      <c r="L3231" s="161" t="e">
        <f>IF($C$1078&gt;0,VLOOKUP($C3231,PATRIMONIALE!$AJ$4:$AP$1003,7,FALSE),"")</f>
        <v>#N/A</v>
      </c>
      <c r="M3231" s="1"/>
      <c r="N3231" s="1"/>
      <c r="O3231" s="1"/>
    </row>
    <row r="3232" spans="1:15" hidden="1">
      <c r="A3232" s="1"/>
      <c r="B3232" s="182" t="e">
        <f t="shared" ca="1" si="271"/>
        <v>#N/A</v>
      </c>
      <c r="C3232" s="500">
        <v>166</v>
      </c>
      <c r="D3232" s="41" t="e">
        <f>IF($C$1078&gt;0,VLOOKUP($C3232,PATRIMONIALE!$AJ$4:$AL$1003,3,FALSE),"")</f>
        <v>#N/A</v>
      </c>
      <c r="E3232" s="41" t="str">
        <f t="shared" si="270"/>
        <v/>
      </c>
      <c r="F3232" s="200"/>
      <c r="G3232" s="178" t="e">
        <f>IF($C$1078&gt;0,VLOOKUP($C3232,PATRIMONIALE!$AJ$4:$AN$1003,5,FALSE),"")</f>
        <v>#N/A</v>
      </c>
      <c r="H3232" s="179" t="e">
        <f>IF($C$1078&gt;0,VLOOKUP($C3232,PATRIMONIALE!$AJ$4:$AO$1003,6,FALSE),"")</f>
        <v>#N/A</v>
      </c>
      <c r="I3232" s="187"/>
      <c r="J3232" s="140" t="e">
        <f ca="1">VLOOKUP(D3232,$F$1081:$I$4183,4,FALSE)+COUNTIF(E$1081:E3231,E3232)</f>
        <v>#N/A</v>
      </c>
      <c r="K3232" s="1"/>
      <c r="L3232" s="161" t="e">
        <f>IF($C$1078&gt;0,VLOOKUP($C3232,PATRIMONIALE!$AJ$4:$AP$1003,7,FALSE),"")</f>
        <v>#N/A</v>
      </c>
      <c r="M3232" s="1"/>
      <c r="N3232" s="1"/>
      <c r="O3232" s="1"/>
    </row>
    <row r="3233" spans="1:15" hidden="1">
      <c r="A3233" s="1"/>
      <c r="B3233" s="182" t="e">
        <f t="shared" ca="1" si="271"/>
        <v>#N/A</v>
      </c>
      <c r="C3233" s="500">
        <v>167</v>
      </c>
      <c r="D3233" s="41" t="e">
        <f>IF($C$1078&gt;0,VLOOKUP($C3233,PATRIMONIALE!$AJ$4:$AL$1003,3,FALSE),"")</f>
        <v>#N/A</v>
      </c>
      <c r="E3233" s="41" t="str">
        <f t="shared" si="270"/>
        <v/>
      </c>
      <c r="F3233" s="200"/>
      <c r="G3233" s="178" t="e">
        <f>IF($C$1078&gt;0,VLOOKUP($C3233,PATRIMONIALE!$AJ$4:$AN$1003,5,FALSE),"")</f>
        <v>#N/A</v>
      </c>
      <c r="H3233" s="179" t="e">
        <f>IF($C$1078&gt;0,VLOOKUP($C3233,PATRIMONIALE!$AJ$4:$AO$1003,6,FALSE),"")</f>
        <v>#N/A</v>
      </c>
      <c r="I3233" s="187"/>
      <c r="J3233" s="140" t="e">
        <f ca="1">VLOOKUP(D3233,$F$1081:$I$4183,4,FALSE)+COUNTIF(E$1081:E3232,E3233)</f>
        <v>#N/A</v>
      </c>
      <c r="K3233" s="1"/>
      <c r="L3233" s="161" t="e">
        <f>IF($C$1078&gt;0,VLOOKUP($C3233,PATRIMONIALE!$AJ$4:$AP$1003,7,FALSE),"")</f>
        <v>#N/A</v>
      </c>
      <c r="M3233" s="1"/>
      <c r="N3233" s="1"/>
      <c r="O3233" s="1"/>
    </row>
    <row r="3234" spans="1:15" hidden="1">
      <c r="A3234" s="1"/>
      <c r="B3234" s="182" t="e">
        <f t="shared" ca="1" si="271"/>
        <v>#N/A</v>
      </c>
      <c r="C3234" s="500">
        <v>168</v>
      </c>
      <c r="D3234" s="41" t="e">
        <f>IF($C$1078&gt;0,VLOOKUP($C3234,PATRIMONIALE!$AJ$4:$AL$1003,3,FALSE),"")</f>
        <v>#N/A</v>
      </c>
      <c r="E3234" s="41" t="str">
        <f t="shared" ref="E3234:E3297" si="272">IF(ISERROR(D3234),"",D3234)</f>
        <v/>
      </c>
      <c r="F3234" s="200"/>
      <c r="G3234" s="178" t="e">
        <f>IF($C$1078&gt;0,VLOOKUP($C3234,PATRIMONIALE!$AJ$4:$AN$1003,5,FALSE),"")</f>
        <v>#N/A</v>
      </c>
      <c r="H3234" s="179" t="e">
        <f>IF($C$1078&gt;0,VLOOKUP($C3234,PATRIMONIALE!$AJ$4:$AO$1003,6,FALSE),"")</f>
        <v>#N/A</v>
      </c>
      <c r="I3234" s="187"/>
      <c r="J3234" s="140" t="e">
        <f ca="1">VLOOKUP(D3234,$F$1081:$I$4183,4,FALSE)+COUNTIF(E$1081:E3233,E3234)</f>
        <v>#N/A</v>
      </c>
      <c r="K3234" s="1"/>
      <c r="L3234" s="161" t="e">
        <f>IF($C$1078&gt;0,VLOOKUP($C3234,PATRIMONIALE!$AJ$4:$AP$1003,7,FALSE),"")</f>
        <v>#N/A</v>
      </c>
      <c r="M3234" s="1"/>
      <c r="N3234" s="1"/>
      <c r="O3234" s="1"/>
    </row>
    <row r="3235" spans="1:15" hidden="1">
      <c r="A3235" s="1"/>
      <c r="B3235" s="182" t="e">
        <f t="shared" ca="1" si="271"/>
        <v>#N/A</v>
      </c>
      <c r="C3235" s="500">
        <v>169</v>
      </c>
      <c r="D3235" s="41" t="e">
        <f>IF($C$1078&gt;0,VLOOKUP($C3235,PATRIMONIALE!$AJ$4:$AL$1003,3,FALSE),"")</f>
        <v>#N/A</v>
      </c>
      <c r="E3235" s="41" t="str">
        <f t="shared" si="272"/>
        <v/>
      </c>
      <c r="F3235" s="200"/>
      <c r="G3235" s="178" t="e">
        <f>IF($C$1078&gt;0,VLOOKUP($C3235,PATRIMONIALE!$AJ$4:$AN$1003,5,FALSE),"")</f>
        <v>#N/A</v>
      </c>
      <c r="H3235" s="179" t="e">
        <f>IF($C$1078&gt;0,VLOOKUP($C3235,PATRIMONIALE!$AJ$4:$AO$1003,6,FALSE),"")</f>
        <v>#N/A</v>
      </c>
      <c r="I3235" s="187"/>
      <c r="J3235" s="140" t="e">
        <f ca="1">VLOOKUP(D3235,$F$1081:$I$4183,4,FALSE)+COUNTIF(E$1081:E3234,E3235)</f>
        <v>#N/A</v>
      </c>
      <c r="K3235" s="1"/>
      <c r="L3235" s="161" t="e">
        <f>IF($C$1078&gt;0,VLOOKUP($C3235,PATRIMONIALE!$AJ$4:$AP$1003,7,FALSE),"")</f>
        <v>#N/A</v>
      </c>
      <c r="M3235" s="1"/>
      <c r="N3235" s="1"/>
      <c r="O3235" s="1"/>
    </row>
    <row r="3236" spans="1:15" hidden="1">
      <c r="A3236" s="1"/>
      <c r="B3236" s="182" t="e">
        <f t="shared" ca="1" si="271"/>
        <v>#N/A</v>
      </c>
      <c r="C3236" s="500">
        <v>170</v>
      </c>
      <c r="D3236" s="41" t="e">
        <f>IF($C$1078&gt;0,VLOOKUP($C3236,PATRIMONIALE!$AJ$4:$AL$1003,3,FALSE),"")</f>
        <v>#N/A</v>
      </c>
      <c r="E3236" s="41" t="str">
        <f t="shared" si="272"/>
        <v/>
      </c>
      <c r="F3236" s="200"/>
      <c r="G3236" s="178" t="e">
        <f>IF($C$1078&gt;0,VLOOKUP($C3236,PATRIMONIALE!$AJ$4:$AN$1003,5,FALSE),"")</f>
        <v>#N/A</v>
      </c>
      <c r="H3236" s="179" t="e">
        <f>IF($C$1078&gt;0,VLOOKUP($C3236,PATRIMONIALE!$AJ$4:$AO$1003,6,FALSE),"")</f>
        <v>#N/A</v>
      </c>
      <c r="I3236" s="187"/>
      <c r="J3236" s="140" t="e">
        <f ca="1">VLOOKUP(D3236,$F$1081:$I$4183,4,FALSE)+COUNTIF(E$1081:E3235,E3236)</f>
        <v>#N/A</v>
      </c>
      <c r="K3236" s="1"/>
      <c r="L3236" s="161" t="e">
        <f>IF($C$1078&gt;0,VLOOKUP($C3236,PATRIMONIALE!$AJ$4:$AP$1003,7,FALSE),"")</f>
        <v>#N/A</v>
      </c>
      <c r="M3236" s="1"/>
      <c r="N3236" s="1"/>
      <c r="O3236" s="1"/>
    </row>
    <row r="3237" spans="1:15" hidden="1">
      <c r="A3237" s="1"/>
      <c r="B3237" s="182" t="e">
        <f t="shared" ca="1" si="271"/>
        <v>#N/A</v>
      </c>
      <c r="C3237" s="500">
        <v>171</v>
      </c>
      <c r="D3237" s="41" t="e">
        <f>IF($C$1078&gt;0,VLOOKUP($C3237,PATRIMONIALE!$AJ$4:$AL$1003,3,FALSE),"")</f>
        <v>#N/A</v>
      </c>
      <c r="E3237" s="41" t="str">
        <f t="shared" si="272"/>
        <v/>
      </c>
      <c r="F3237" s="200"/>
      <c r="G3237" s="178" t="e">
        <f>IF($C$1078&gt;0,VLOOKUP($C3237,PATRIMONIALE!$AJ$4:$AN$1003,5,FALSE),"")</f>
        <v>#N/A</v>
      </c>
      <c r="H3237" s="179" t="e">
        <f>IF($C$1078&gt;0,VLOOKUP($C3237,PATRIMONIALE!$AJ$4:$AO$1003,6,FALSE),"")</f>
        <v>#N/A</v>
      </c>
      <c r="I3237" s="187"/>
      <c r="J3237" s="140" t="e">
        <f ca="1">VLOOKUP(D3237,$F$1081:$I$4183,4,FALSE)+COUNTIF(E$1081:E3236,E3237)</f>
        <v>#N/A</v>
      </c>
      <c r="K3237" s="1"/>
      <c r="L3237" s="161" t="e">
        <f>IF($C$1078&gt;0,VLOOKUP($C3237,PATRIMONIALE!$AJ$4:$AP$1003,7,FALSE),"")</f>
        <v>#N/A</v>
      </c>
      <c r="M3237" s="1"/>
      <c r="N3237" s="1"/>
      <c r="O3237" s="1"/>
    </row>
    <row r="3238" spans="1:15" hidden="1">
      <c r="A3238" s="1"/>
      <c r="B3238" s="182" t="e">
        <f t="shared" ca="1" si="271"/>
        <v>#N/A</v>
      </c>
      <c r="C3238" s="500">
        <v>172</v>
      </c>
      <c r="D3238" s="41" t="e">
        <f>IF($C$1078&gt;0,VLOOKUP($C3238,PATRIMONIALE!$AJ$4:$AL$1003,3,FALSE),"")</f>
        <v>#N/A</v>
      </c>
      <c r="E3238" s="41" t="str">
        <f t="shared" si="272"/>
        <v/>
      </c>
      <c r="F3238" s="200"/>
      <c r="G3238" s="178" t="e">
        <f>IF($C$1078&gt;0,VLOOKUP($C3238,PATRIMONIALE!$AJ$4:$AN$1003,5,FALSE),"")</f>
        <v>#N/A</v>
      </c>
      <c r="H3238" s="179" t="e">
        <f>IF($C$1078&gt;0,VLOOKUP($C3238,PATRIMONIALE!$AJ$4:$AO$1003,6,FALSE),"")</f>
        <v>#N/A</v>
      </c>
      <c r="I3238" s="187"/>
      <c r="J3238" s="140" t="e">
        <f ca="1">VLOOKUP(D3238,$F$1081:$I$4183,4,FALSE)+COUNTIF(E$1081:E3237,E3238)</f>
        <v>#N/A</v>
      </c>
      <c r="K3238" s="1"/>
      <c r="L3238" s="161" t="e">
        <f>IF($C$1078&gt;0,VLOOKUP($C3238,PATRIMONIALE!$AJ$4:$AP$1003,7,FALSE),"")</f>
        <v>#N/A</v>
      </c>
      <c r="M3238" s="1"/>
      <c r="N3238" s="1"/>
      <c r="O3238" s="1"/>
    </row>
    <row r="3239" spans="1:15" hidden="1">
      <c r="A3239" s="1"/>
      <c r="B3239" s="182" t="e">
        <f t="shared" ca="1" si="271"/>
        <v>#N/A</v>
      </c>
      <c r="C3239" s="500">
        <v>173</v>
      </c>
      <c r="D3239" s="41" t="e">
        <f>IF($C$1078&gt;0,VLOOKUP($C3239,PATRIMONIALE!$AJ$4:$AL$1003,3,FALSE),"")</f>
        <v>#N/A</v>
      </c>
      <c r="E3239" s="41" t="str">
        <f t="shared" si="272"/>
        <v/>
      </c>
      <c r="F3239" s="200"/>
      <c r="G3239" s="178" t="e">
        <f>IF($C$1078&gt;0,VLOOKUP($C3239,PATRIMONIALE!$AJ$4:$AN$1003,5,FALSE),"")</f>
        <v>#N/A</v>
      </c>
      <c r="H3239" s="179" t="e">
        <f>IF($C$1078&gt;0,VLOOKUP($C3239,PATRIMONIALE!$AJ$4:$AO$1003,6,FALSE),"")</f>
        <v>#N/A</v>
      </c>
      <c r="I3239" s="187"/>
      <c r="J3239" s="140" t="e">
        <f ca="1">VLOOKUP(D3239,$F$1081:$I$4183,4,FALSE)+COUNTIF(E$1081:E3238,E3239)</f>
        <v>#N/A</v>
      </c>
      <c r="K3239" s="1"/>
      <c r="L3239" s="161" t="e">
        <f>IF($C$1078&gt;0,VLOOKUP($C3239,PATRIMONIALE!$AJ$4:$AP$1003,7,FALSE),"")</f>
        <v>#N/A</v>
      </c>
      <c r="M3239" s="1"/>
      <c r="N3239" s="1"/>
      <c r="O3239" s="1"/>
    </row>
    <row r="3240" spans="1:15" hidden="1">
      <c r="A3240" s="1"/>
      <c r="B3240" s="182" t="e">
        <f t="shared" ca="1" si="271"/>
        <v>#N/A</v>
      </c>
      <c r="C3240" s="500">
        <v>174</v>
      </c>
      <c r="D3240" s="41" t="e">
        <f>IF($C$1078&gt;0,VLOOKUP($C3240,PATRIMONIALE!$AJ$4:$AL$1003,3,FALSE),"")</f>
        <v>#N/A</v>
      </c>
      <c r="E3240" s="41" t="str">
        <f t="shared" si="272"/>
        <v/>
      </c>
      <c r="F3240" s="200"/>
      <c r="G3240" s="178" t="e">
        <f>IF($C$1078&gt;0,VLOOKUP($C3240,PATRIMONIALE!$AJ$4:$AN$1003,5,FALSE),"")</f>
        <v>#N/A</v>
      </c>
      <c r="H3240" s="179" t="e">
        <f>IF($C$1078&gt;0,VLOOKUP($C3240,PATRIMONIALE!$AJ$4:$AO$1003,6,FALSE),"")</f>
        <v>#N/A</v>
      </c>
      <c r="I3240" s="187"/>
      <c r="J3240" s="140" t="e">
        <f ca="1">VLOOKUP(D3240,$F$1081:$I$4183,4,FALSE)+COUNTIF(E$1081:E3239,E3240)</f>
        <v>#N/A</v>
      </c>
      <c r="K3240" s="1"/>
      <c r="L3240" s="161" t="e">
        <f>IF($C$1078&gt;0,VLOOKUP($C3240,PATRIMONIALE!$AJ$4:$AP$1003,7,FALSE),"")</f>
        <v>#N/A</v>
      </c>
      <c r="M3240" s="1"/>
      <c r="N3240" s="1"/>
      <c r="O3240" s="1"/>
    </row>
    <row r="3241" spans="1:15" hidden="1">
      <c r="A3241" s="1"/>
      <c r="B3241" s="182" t="e">
        <f t="shared" ca="1" si="271"/>
        <v>#N/A</v>
      </c>
      <c r="C3241" s="500">
        <v>175</v>
      </c>
      <c r="D3241" s="41" t="e">
        <f>IF($C$1078&gt;0,VLOOKUP($C3241,PATRIMONIALE!$AJ$4:$AL$1003,3,FALSE),"")</f>
        <v>#N/A</v>
      </c>
      <c r="E3241" s="41" t="str">
        <f t="shared" si="272"/>
        <v/>
      </c>
      <c r="F3241" s="200"/>
      <c r="G3241" s="178" t="e">
        <f>IF($C$1078&gt;0,VLOOKUP($C3241,PATRIMONIALE!$AJ$4:$AN$1003,5,FALSE),"")</f>
        <v>#N/A</v>
      </c>
      <c r="H3241" s="179" t="e">
        <f>IF($C$1078&gt;0,VLOOKUP($C3241,PATRIMONIALE!$AJ$4:$AO$1003,6,FALSE),"")</f>
        <v>#N/A</v>
      </c>
      <c r="I3241" s="187"/>
      <c r="J3241" s="140" t="e">
        <f ca="1">VLOOKUP(D3241,$F$1081:$I$4183,4,FALSE)+COUNTIF(E$1081:E3240,E3241)</f>
        <v>#N/A</v>
      </c>
      <c r="K3241" s="1"/>
      <c r="L3241" s="161" t="e">
        <f>IF($C$1078&gt;0,VLOOKUP($C3241,PATRIMONIALE!$AJ$4:$AP$1003,7,FALSE),"")</f>
        <v>#N/A</v>
      </c>
      <c r="M3241" s="1"/>
      <c r="N3241" s="1"/>
      <c r="O3241" s="1"/>
    </row>
    <row r="3242" spans="1:15" hidden="1">
      <c r="A3242" s="1"/>
      <c r="B3242" s="182" t="e">
        <f t="shared" ca="1" si="271"/>
        <v>#N/A</v>
      </c>
      <c r="C3242" s="500">
        <v>176</v>
      </c>
      <c r="D3242" s="41" t="e">
        <f>IF($C$1078&gt;0,VLOOKUP($C3242,PATRIMONIALE!$AJ$4:$AL$1003,3,FALSE),"")</f>
        <v>#N/A</v>
      </c>
      <c r="E3242" s="41" t="str">
        <f t="shared" si="272"/>
        <v/>
      </c>
      <c r="F3242" s="200"/>
      <c r="G3242" s="178" t="e">
        <f>IF($C$1078&gt;0,VLOOKUP($C3242,PATRIMONIALE!$AJ$4:$AN$1003,5,FALSE),"")</f>
        <v>#N/A</v>
      </c>
      <c r="H3242" s="179" t="e">
        <f>IF($C$1078&gt;0,VLOOKUP($C3242,PATRIMONIALE!$AJ$4:$AO$1003,6,FALSE),"")</f>
        <v>#N/A</v>
      </c>
      <c r="I3242" s="187"/>
      <c r="J3242" s="140" t="e">
        <f ca="1">VLOOKUP(D3242,$F$1081:$I$4183,4,FALSE)+COUNTIF(E$1081:E3241,E3242)</f>
        <v>#N/A</v>
      </c>
      <c r="K3242" s="1"/>
      <c r="L3242" s="161" t="e">
        <f>IF($C$1078&gt;0,VLOOKUP($C3242,PATRIMONIALE!$AJ$4:$AP$1003,7,FALSE),"")</f>
        <v>#N/A</v>
      </c>
      <c r="M3242" s="1"/>
      <c r="N3242" s="1"/>
      <c r="O3242" s="1"/>
    </row>
    <row r="3243" spans="1:15" hidden="1">
      <c r="A3243" s="1"/>
      <c r="B3243" s="182" t="e">
        <f t="shared" ca="1" si="271"/>
        <v>#N/A</v>
      </c>
      <c r="C3243" s="500">
        <v>177</v>
      </c>
      <c r="D3243" s="41" t="e">
        <f>IF($C$1078&gt;0,VLOOKUP($C3243,PATRIMONIALE!$AJ$4:$AL$1003,3,FALSE),"")</f>
        <v>#N/A</v>
      </c>
      <c r="E3243" s="41" t="str">
        <f t="shared" si="272"/>
        <v/>
      </c>
      <c r="F3243" s="200"/>
      <c r="G3243" s="178" t="e">
        <f>IF($C$1078&gt;0,VLOOKUP($C3243,PATRIMONIALE!$AJ$4:$AN$1003,5,FALSE),"")</f>
        <v>#N/A</v>
      </c>
      <c r="H3243" s="179" t="e">
        <f>IF($C$1078&gt;0,VLOOKUP($C3243,PATRIMONIALE!$AJ$4:$AO$1003,6,FALSE),"")</f>
        <v>#N/A</v>
      </c>
      <c r="I3243" s="187"/>
      <c r="J3243" s="140" t="e">
        <f ca="1">VLOOKUP(D3243,$F$1081:$I$4183,4,FALSE)+COUNTIF(E$1081:E3242,E3243)</f>
        <v>#N/A</v>
      </c>
      <c r="K3243" s="1"/>
      <c r="L3243" s="161" t="e">
        <f>IF($C$1078&gt;0,VLOOKUP($C3243,PATRIMONIALE!$AJ$4:$AP$1003,7,FALSE),"")</f>
        <v>#N/A</v>
      </c>
      <c r="M3243" s="1"/>
      <c r="N3243" s="1"/>
      <c r="O3243" s="1"/>
    </row>
    <row r="3244" spans="1:15" hidden="1">
      <c r="A3244" s="1"/>
      <c r="B3244" s="182" t="e">
        <f t="shared" ca="1" si="271"/>
        <v>#N/A</v>
      </c>
      <c r="C3244" s="500">
        <v>178</v>
      </c>
      <c r="D3244" s="41" t="e">
        <f>IF($C$1078&gt;0,VLOOKUP($C3244,PATRIMONIALE!$AJ$4:$AL$1003,3,FALSE),"")</f>
        <v>#N/A</v>
      </c>
      <c r="E3244" s="41" t="str">
        <f t="shared" si="272"/>
        <v/>
      </c>
      <c r="F3244" s="200"/>
      <c r="G3244" s="178" t="e">
        <f>IF($C$1078&gt;0,VLOOKUP($C3244,PATRIMONIALE!$AJ$4:$AN$1003,5,FALSE),"")</f>
        <v>#N/A</v>
      </c>
      <c r="H3244" s="179" t="e">
        <f>IF($C$1078&gt;0,VLOOKUP($C3244,PATRIMONIALE!$AJ$4:$AO$1003,6,FALSE),"")</f>
        <v>#N/A</v>
      </c>
      <c r="I3244" s="187"/>
      <c r="J3244" s="140" t="e">
        <f ca="1">VLOOKUP(D3244,$F$1081:$I$4183,4,FALSE)+COUNTIF(E$1081:E3243,E3244)</f>
        <v>#N/A</v>
      </c>
      <c r="K3244" s="1"/>
      <c r="L3244" s="161" t="e">
        <f>IF($C$1078&gt;0,VLOOKUP($C3244,PATRIMONIALE!$AJ$4:$AP$1003,7,FALSE),"")</f>
        <v>#N/A</v>
      </c>
      <c r="M3244" s="1"/>
      <c r="N3244" s="1"/>
      <c r="O3244" s="1"/>
    </row>
    <row r="3245" spans="1:15" hidden="1">
      <c r="A3245" s="1"/>
      <c r="B3245" s="182" t="e">
        <f t="shared" ca="1" si="271"/>
        <v>#N/A</v>
      </c>
      <c r="C3245" s="500">
        <v>179</v>
      </c>
      <c r="D3245" s="41" t="e">
        <f>IF($C$1078&gt;0,VLOOKUP($C3245,PATRIMONIALE!$AJ$4:$AL$1003,3,FALSE),"")</f>
        <v>#N/A</v>
      </c>
      <c r="E3245" s="41" t="str">
        <f t="shared" si="272"/>
        <v/>
      </c>
      <c r="F3245" s="200"/>
      <c r="G3245" s="178" t="e">
        <f>IF($C$1078&gt;0,VLOOKUP($C3245,PATRIMONIALE!$AJ$4:$AN$1003,5,FALSE),"")</f>
        <v>#N/A</v>
      </c>
      <c r="H3245" s="179" t="e">
        <f>IF($C$1078&gt;0,VLOOKUP($C3245,PATRIMONIALE!$AJ$4:$AO$1003,6,FALSE),"")</f>
        <v>#N/A</v>
      </c>
      <c r="I3245" s="187"/>
      <c r="J3245" s="140" t="e">
        <f ca="1">VLOOKUP(D3245,$F$1081:$I$4183,4,FALSE)+COUNTIF(E$1081:E3244,E3245)</f>
        <v>#N/A</v>
      </c>
      <c r="K3245" s="1"/>
      <c r="L3245" s="161" t="e">
        <f>IF($C$1078&gt;0,VLOOKUP($C3245,PATRIMONIALE!$AJ$4:$AP$1003,7,FALSE),"")</f>
        <v>#N/A</v>
      </c>
      <c r="M3245" s="1"/>
      <c r="N3245" s="1"/>
      <c r="O3245" s="1"/>
    </row>
    <row r="3246" spans="1:15" hidden="1">
      <c r="A3246" s="1"/>
      <c r="B3246" s="182" t="e">
        <f t="shared" ca="1" si="271"/>
        <v>#N/A</v>
      </c>
      <c r="C3246" s="500">
        <v>180</v>
      </c>
      <c r="D3246" s="41" t="e">
        <f>IF($C$1078&gt;0,VLOOKUP($C3246,PATRIMONIALE!$AJ$4:$AL$1003,3,FALSE),"")</f>
        <v>#N/A</v>
      </c>
      <c r="E3246" s="41" t="str">
        <f t="shared" si="272"/>
        <v/>
      </c>
      <c r="F3246" s="200"/>
      <c r="G3246" s="178" t="e">
        <f>IF($C$1078&gt;0,VLOOKUP($C3246,PATRIMONIALE!$AJ$4:$AN$1003,5,FALSE),"")</f>
        <v>#N/A</v>
      </c>
      <c r="H3246" s="179" t="e">
        <f>IF($C$1078&gt;0,VLOOKUP($C3246,PATRIMONIALE!$AJ$4:$AO$1003,6,FALSE),"")</f>
        <v>#N/A</v>
      </c>
      <c r="I3246" s="187"/>
      <c r="J3246" s="140" t="e">
        <f ca="1">VLOOKUP(D3246,$F$1081:$I$4183,4,FALSE)+COUNTIF(E$1081:E3245,E3246)</f>
        <v>#N/A</v>
      </c>
      <c r="K3246" s="1"/>
      <c r="L3246" s="161" t="e">
        <f>IF($C$1078&gt;0,VLOOKUP($C3246,PATRIMONIALE!$AJ$4:$AP$1003,7,FALSE),"")</f>
        <v>#N/A</v>
      </c>
      <c r="M3246" s="1"/>
      <c r="N3246" s="1"/>
      <c r="O3246" s="1"/>
    </row>
    <row r="3247" spans="1:15" hidden="1">
      <c r="A3247" s="1"/>
      <c r="B3247" s="182" t="e">
        <f t="shared" ca="1" si="271"/>
        <v>#N/A</v>
      </c>
      <c r="C3247" s="500">
        <v>181</v>
      </c>
      <c r="D3247" s="41" t="e">
        <f>IF($C$1078&gt;0,VLOOKUP($C3247,PATRIMONIALE!$AJ$4:$AL$1003,3,FALSE),"")</f>
        <v>#N/A</v>
      </c>
      <c r="E3247" s="41" t="str">
        <f t="shared" si="272"/>
        <v/>
      </c>
      <c r="F3247" s="200"/>
      <c r="G3247" s="178" t="e">
        <f>IF($C$1078&gt;0,VLOOKUP($C3247,PATRIMONIALE!$AJ$4:$AN$1003,5,FALSE),"")</f>
        <v>#N/A</v>
      </c>
      <c r="H3247" s="179" t="e">
        <f>IF($C$1078&gt;0,VLOOKUP($C3247,PATRIMONIALE!$AJ$4:$AO$1003,6,FALSE),"")</f>
        <v>#N/A</v>
      </c>
      <c r="I3247" s="187"/>
      <c r="J3247" s="140" t="e">
        <f ca="1">VLOOKUP(D3247,$F$1081:$I$4183,4,FALSE)+COUNTIF(E$1081:E3246,E3247)</f>
        <v>#N/A</v>
      </c>
      <c r="K3247" s="1"/>
      <c r="L3247" s="161" t="e">
        <f>IF($C$1078&gt;0,VLOOKUP($C3247,PATRIMONIALE!$AJ$4:$AP$1003,7,FALSE),"")</f>
        <v>#N/A</v>
      </c>
      <c r="M3247" s="1"/>
      <c r="N3247" s="1"/>
      <c r="O3247" s="1"/>
    </row>
    <row r="3248" spans="1:15" hidden="1">
      <c r="A3248" s="1"/>
      <c r="B3248" s="182" t="e">
        <f t="shared" ca="1" si="271"/>
        <v>#N/A</v>
      </c>
      <c r="C3248" s="500">
        <v>182</v>
      </c>
      <c r="D3248" s="41" t="e">
        <f>IF($C$1078&gt;0,VLOOKUP($C3248,PATRIMONIALE!$AJ$4:$AL$1003,3,FALSE),"")</f>
        <v>#N/A</v>
      </c>
      <c r="E3248" s="41" t="str">
        <f t="shared" si="272"/>
        <v/>
      </c>
      <c r="F3248" s="200"/>
      <c r="G3248" s="178" t="e">
        <f>IF($C$1078&gt;0,VLOOKUP($C3248,PATRIMONIALE!$AJ$4:$AN$1003,5,FALSE),"")</f>
        <v>#N/A</v>
      </c>
      <c r="H3248" s="179" t="e">
        <f>IF($C$1078&gt;0,VLOOKUP($C3248,PATRIMONIALE!$AJ$4:$AO$1003,6,FALSE),"")</f>
        <v>#N/A</v>
      </c>
      <c r="I3248" s="187"/>
      <c r="J3248" s="140" t="e">
        <f ca="1">VLOOKUP(D3248,$F$1081:$I$4183,4,FALSE)+COUNTIF(E$1081:E3247,E3248)</f>
        <v>#N/A</v>
      </c>
      <c r="K3248" s="1"/>
      <c r="L3248" s="161" t="e">
        <f>IF($C$1078&gt;0,VLOOKUP($C3248,PATRIMONIALE!$AJ$4:$AP$1003,7,FALSE),"")</f>
        <v>#N/A</v>
      </c>
      <c r="M3248" s="1"/>
      <c r="N3248" s="1"/>
      <c r="O3248" s="1"/>
    </row>
    <row r="3249" spans="1:15" hidden="1">
      <c r="A3249" s="1"/>
      <c r="B3249" s="182" t="e">
        <f t="shared" ca="1" si="271"/>
        <v>#N/A</v>
      </c>
      <c r="C3249" s="500">
        <v>183</v>
      </c>
      <c r="D3249" s="41" t="e">
        <f>IF($C$1078&gt;0,VLOOKUP($C3249,PATRIMONIALE!$AJ$4:$AL$1003,3,FALSE),"")</f>
        <v>#N/A</v>
      </c>
      <c r="E3249" s="41" t="str">
        <f t="shared" si="272"/>
        <v/>
      </c>
      <c r="F3249" s="200"/>
      <c r="G3249" s="178" t="e">
        <f>IF($C$1078&gt;0,VLOOKUP($C3249,PATRIMONIALE!$AJ$4:$AN$1003,5,FALSE),"")</f>
        <v>#N/A</v>
      </c>
      <c r="H3249" s="179" t="e">
        <f>IF($C$1078&gt;0,VLOOKUP($C3249,PATRIMONIALE!$AJ$4:$AO$1003,6,FALSE),"")</f>
        <v>#N/A</v>
      </c>
      <c r="I3249" s="187"/>
      <c r="J3249" s="140" t="e">
        <f ca="1">VLOOKUP(D3249,$F$1081:$I$4183,4,FALSE)+COUNTIF(E$1081:E3248,E3249)</f>
        <v>#N/A</v>
      </c>
      <c r="K3249" s="1"/>
      <c r="L3249" s="161" t="e">
        <f>IF($C$1078&gt;0,VLOOKUP($C3249,PATRIMONIALE!$AJ$4:$AP$1003,7,FALSE),"")</f>
        <v>#N/A</v>
      </c>
      <c r="M3249" s="1"/>
      <c r="N3249" s="1"/>
      <c r="O3249" s="1"/>
    </row>
    <row r="3250" spans="1:15" hidden="1">
      <c r="A3250" s="1"/>
      <c r="B3250" s="182" t="e">
        <f t="shared" ca="1" si="271"/>
        <v>#N/A</v>
      </c>
      <c r="C3250" s="500">
        <v>184</v>
      </c>
      <c r="D3250" s="41" t="e">
        <f>IF($C$1078&gt;0,VLOOKUP($C3250,PATRIMONIALE!$AJ$4:$AL$1003,3,FALSE),"")</f>
        <v>#N/A</v>
      </c>
      <c r="E3250" s="41" t="str">
        <f t="shared" si="272"/>
        <v/>
      </c>
      <c r="F3250" s="200"/>
      <c r="G3250" s="178" t="e">
        <f>IF($C$1078&gt;0,VLOOKUP($C3250,PATRIMONIALE!$AJ$4:$AN$1003,5,FALSE),"")</f>
        <v>#N/A</v>
      </c>
      <c r="H3250" s="179" t="e">
        <f>IF($C$1078&gt;0,VLOOKUP($C3250,PATRIMONIALE!$AJ$4:$AO$1003,6,FALSE),"")</f>
        <v>#N/A</v>
      </c>
      <c r="I3250" s="187"/>
      <c r="J3250" s="140" t="e">
        <f ca="1">VLOOKUP(D3250,$F$1081:$I$4183,4,FALSE)+COUNTIF(E$1081:E3249,E3250)</f>
        <v>#N/A</v>
      </c>
      <c r="K3250" s="1"/>
      <c r="L3250" s="161" t="e">
        <f>IF($C$1078&gt;0,VLOOKUP($C3250,PATRIMONIALE!$AJ$4:$AP$1003,7,FALSE),"")</f>
        <v>#N/A</v>
      </c>
      <c r="M3250" s="1"/>
      <c r="N3250" s="1"/>
      <c r="O3250" s="1"/>
    </row>
    <row r="3251" spans="1:15" hidden="1">
      <c r="A3251" s="1"/>
      <c r="B3251" s="182" t="e">
        <f t="shared" ca="1" si="271"/>
        <v>#N/A</v>
      </c>
      <c r="C3251" s="500">
        <v>185</v>
      </c>
      <c r="D3251" s="41" t="e">
        <f>IF($C$1078&gt;0,VLOOKUP($C3251,PATRIMONIALE!$AJ$4:$AL$1003,3,FALSE),"")</f>
        <v>#N/A</v>
      </c>
      <c r="E3251" s="41" t="str">
        <f t="shared" si="272"/>
        <v/>
      </c>
      <c r="F3251" s="200"/>
      <c r="G3251" s="178" t="e">
        <f>IF($C$1078&gt;0,VLOOKUP($C3251,PATRIMONIALE!$AJ$4:$AN$1003,5,FALSE),"")</f>
        <v>#N/A</v>
      </c>
      <c r="H3251" s="179" t="e">
        <f>IF($C$1078&gt;0,VLOOKUP($C3251,PATRIMONIALE!$AJ$4:$AO$1003,6,FALSE),"")</f>
        <v>#N/A</v>
      </c>
      <c r="I3251" s="187"/>
      <c r="J3251" s="140" t="e">
        <f ca="1">VLOOKUP(D3251,$F$1081:$I$4183,4,FALSE)+COUNTIF(E$1081:E3250,E3251)</f>
        <v>#N/A</v>
      </c>
      <c r="K3251" s="1"/>
      <c r="L3251" s="161" t="e">
        <f>IF($C$1078&gt;0,VLOOKUP($C3251,PATRIMONIALE!$AJ$4:$AP$1003,7,FALSE),"")</f>
        <v>#N/A</v>
      </c>
      <c r="M3251" s="1"/>
      <c r="N3251" s="1"/>
      <c r="O3251" s="1"/>
    </row>
    <row r="3252" spans="1:15" hidden="1">
      <c r="A3252" s="1"/>
      <c r="B3252" s="182" t="e">
        <f t="shared" ca="1" si="271"/>
        <v>#N/A</v>
      </c>
      <c r="C3252" s="500">
        <v>186</v>
      </c>
      <c r="D3252" s="41" t="e">
        <f>IF($C$1078&gt;0,VLOOKUP($C3252,PATRIMONIALE!$AJ$4:$AL$1003,3,FALSE),"")</f>
        <v>#N/A</v>
      </c>
      <c r="E3252" s="41" t="str">
        <f t="shared" si="272"/>
        <v/>
      </c>
      <c r="F3252" s="200"/>
      <c r="G3252" s="178" t="e">
        <f>IF($C$1078&gt;0,VLOOKUP($C3252,PATRIMONIALE!$AJ$4:$AN$1003,5,FALSE),"")</f>
        <v>#N/A</v>
      </c>
      <c r="H3252" s="179" t="e">
        <f>IF($C$1078&gt;0,VLOOKUP($C3252,PATRIMONIALE!$AJ$4:$AO$1003,6,FALSE),"")</f>
        <v>#N/A</v>
      </c>
      <c r="I3252" s="187"/>
      <c r="J3252" s="140" t="e">
        <f ca="1">VLOOKUP(D3252,$F$1081:$I$4183,4,FALSE)+COUNTIF(E$1081:E3251,E3252)</f>
        <v>#N/A</v>
      </c>
      <c r="K3252" s="1"/>
      <c r="L3252" s="161" t="e">
        <f>IF($C$1078&gt;0,VLOOKUP($C3252,PATRIMONIALE!$AJ$4:$AP$1003,7,FALSE),"")</f>
        <v>#N/A</v>
      </c>
      <c r="M3252" s="1"/>
      <c r="N3252" s="1"/>
      <c r="O3252" s="1"/>
    </row>
    <row r="3253" spans="1:15" hidden="1">
      <c r="A3253" s="1"/>
      <c r="B3253" s="182" t="e">
        <f t="shared" ca="1" si="271"/>
        <v>#N/A</v>
      </c>
      <c r="C3253" s="500">
        <v>187</v>
      </c>
      <c r="D3253" s="41" t="e">
        <f>IF($C$1078&gt;0,VLOOKUP($C3253,PATRIMONIALE!$AJ$4:$AL$1003,3,FALSE),"")</f>
        <v>#N/A</v>
      </c>
      <c r="E3253" s="41" t="str">
        <f t="shared" si="272"/>
        <v/>
      </c>
      <c r="F3253" s="200"/>
      <c r="G3253" s="178" t="e">
        <f>IF($C$1078&gt;0,VLOOKUP($C3253,PATRIMONIALE!$AJ$4:$AN$1003,5,FALSE),"")</f>
        <v>#N/A</v>
      </c>
      <c r="H3253" s="179" t="e">
        <f>IF($C$1078&gt;0,VLOOKUP($C3253,PATRIMONIALE!$AJ$4:$AO$1003,6,FALSE),"")</f>
        <v>#N/A</v>
      </c>
      <c r="I3253" s="187"/>
      <c r="J3253" s="140" t="e">
        <f ca="1">VLOOKUP(D3253,$F$1081:$I$4183,4,FALSE)+COUNTIF(E$1081:E3252,E3253)</f>
        <v>#N/A</v>
      </c>
      <c r="K3253" s="1"/>
      <c r="L3253" s="161" t="e">
        <f>IF($C$1078&gt;0,VLOOKUP($C3253,PATRIMONIALE!$AJ$4:$AP$1003,7,FALSE),"")</f>
        <v>#N/A</v>
      </c>
      <c r="M3253" s="1"/>
      <c r="N3253" s="1"/>
      <c r="O3253" s="1"/>
    </row>
    <row r="3254" spans="1:15" hidden="1">
      <c r="A3254" s="1"/>
      <c r="B3254" s="182" t="e">
        <f t="shared" ca="1" si="271"/>
        <v>#N/A</v>
      </c>
      <c r="C3254" s="500">
        <v>188</v>
      </c>
      <c r="D3254" s="41" t="e">
        <f>IF($C$1078&gt;0,VLOOKUP($C3254,PATRIMONIALE!$AJ$4:$AL$1003,3,FALSE),"")</f>
        <v>#N/A</v>
      </c>
      <c r="E3254" s="41" t="str">
        <f t="shared" si="272"/>
        <v/>
      </c>
      <c r="F3254" s="200"/>
      <c r="G3254" s="178" t="e">
        <f>IF($C$1078&gt;0,VLOOKUP($C3254,PATRIMONIALE!$AJ$4:$AN$1003,5,FALSE),"")</f>
        <v>#N/A</v>
      </c>
      <c r="H3254" s="179" t="e">
        <f>IF($C$1078&gt;0,VLOOKUP($C3254,PATRIMONIALE!$AJ$4:$AO$1003,6,FALSE),"")</f>
        <v>#N/A</v>
      </c>
      <c r="I3254" s="187"/>
      <c r="J3254" s="140" t="e">
        <f ca="1">VLOOKUP(D3254,$F$1081:$I$4183,4,FALSE)+COUNTIF(E$1081:E3253,E3254)</f>
        <v>#N/A</v>
      </c>
      <c r="K3254" s="1"/>
      <c r="L3254" s="161" t="e">
        <f>IF($C$1078&gt;0,VLOOKUP($C3254,PATRIMONIALE!$AJ$4:$AP$1003,7,FALSE),"")</f>
        <v>#N/A</v>
      </c>
      <c r="M3254" s="1"/>
      <c r="N3254" s="1"/>
      <c r="O3254" s="1"/>
    </row>
    <row r="3255" spans="1:15" hidden="1">
      <c r="A3255" s="1"/>
      <c r="B3255" s="182" t="e">
        <f t="shared" ca="1" si="271"/>
        <v>#N/A</v>
      </c>
      <c r="C3255" s="500">
        <v>189</v>
      </c>
      <c r="D3255" s="41" t="e">
        <f>IF($C$1078&gt;0,VLOOKUP($C3255,PATRIMONIALE!$AJ$4:$AL$1003,3,FALSE),"")</f>
        <v>#N/A</v>
      </c>
      <c r="E3255" s="41" t="str">
        <f t="shared" si="272"/>
        <v/>
      </c>
      <c r="F3255" s="200"/>
      <c r="G3255" s="178" t="e">
        <f>IF($C$1078&gt;0,VLOOKUP($C3255,PATRIMONIALE!$AJ$4:$AN$1003,5,FALSE),"")</f>
        <v>#N/A</v>
      </c>
      <c r="H3255" s="179" t="e">
        <f>IF($C$1078&gt;0,VLOOKUP($C3255,PATRIMONIALE!$AJ$4:$AO$1003,6,FALSE),"")</f>
        <v>#N/A</v>
      </c>
      <c r="I3255" s="187"/>
      <c r="J3255" s="140" t="e">
        <f ca="1">VLOOKUP(D3255,$F$1081:$I$4183,4,FALSE)+COUNTIF(E$1081:E3254,E3255)</f>
        <v>#N/A</v>
      </c>
      <c r="K3255" s="1"/>
      <c r="L3255" s="161" t="e">
        <f>IF($C$1078&gt;0,VLOOKUP($C3255,PATRIMONIALE!$AJ$4:$AP$1003,7,FALSE),"")</f>
        <v>#N/A</v>
      </c>
      <c r="M3255" s="1"/>
      <c r="N3255" s="1"/>
      <c r="O3255" s="1"/>
    </row>
    <row r="3256" spans="1:15" hidden="1">
      <c r="A3256" s="1"/>
      <c r="B3256" s="182" t="e">
        <f t="shared" ca="1" si="271"/>
        <v>#N/A</v>
      </c>
      <c r="C3256" s="500">
        <v>190</v>
      </c>
      <c r="D3256" s="41" t="e">
        <f>IF($C$1078&gt;0,VLOOKUP($C3256,PATRIMONIALE!$AJ$4:$AL$1003,3,FALSE),"")</f>
        <v>#N/A</v>
      </c>
      <c r="E3256" s="41" t="str">
        <f t="shared" si="272"/>
        <v/>
      </c>
      <c r="F3256" s="200"/>
      <c r="G3256" s="178" t="e">
        <f>IF($C$1078&gt;0,VLOOKUP($C3256,PATRIMONIALE!$AJ$4:$AN$1003,5,FALSE),"")</f>
        <v>#N/A</v>
      </c>
      <c r="H3256" s="179" t="e">
        <f>IF($C$1078&gt;0,VLOOKUP($C3256,PATRIMONIALE!$AJ$4:$AO$1003,6,FALSE),"")</f>
        <v>#N/A</v>
      </c>
      <c r="I3256" s="187"/>
      <c r="J3256" s="140" t="e">
        <f ca="1">VLOOKUP(D3256,$F$1081:$I$4183,4,FALSE)+COUNTIF(E$1081:E3255,E3256)</f>
        <v>#N/A</v>
      </c>
      <c r="K3256" s="1"/>
      <c r="L3256" s="161" t="e">
        <f>IF($C$1078&gt;0,VLOOKUP($C3256,PATRIMONIALE!$AJ$4:$AP$1003,7,FALSE),"")</f>
        <v>#N/A</v>
      </c>
      <c r="M3256" s="1"/>
      <c r="N3256" s="1"/>
      <c r="O3256" s="1"/>
    </row>
    <row r="3257" spans="1:15" hidden="1">
      <c r="A3257" s="1"/>
      <c r="B3257" s="182" t="e">
        <f t="shared" ref="B3257:B3320" ca="1" si="273">IF(OR(C$1075&gt;0,C$1077&gt;0,C$1073&gt;0,C$1071&gt;0),J3257+1,J3257)</f>
        <v>#N/A</v>
      </c>
      <c r="C3257" s="500">
        <v>191</v>
      </c>
      <c r="D3257" s="41" t="e">
        <f>IF($C$1078&gt;0,VLOOKUP($C3257,PATRIMONIALE!$AJ$4:$AL$1003,3,FALSE),"")</f>
        <v>#N/A</v>
      </c>
      <c r="E3257" s="41" t="str">
        <f t="shared" si="272"/>
        <v/>
      </c>
      <c r="F3257" s="200"/>
      <c r="G3257" s="178" t="e">
        <f>IF($C$1078&gt;0,VLOOKUP($C3257,PATRIMONIALE!$AJ$4:$AN$1003,5,FALSE),"")</f>
        <v>#N/A</v>
      </c>
      <c r="H3257" s="179" t="e">
        <f>IF($C$1078&gt;0,VLOOKUP($C3257,PATRIMONIALE!$AJ$4:$AO$1003,6,FALSE),"")</f>
        <v>#N/A</v>
      </c>
      <c r="I3257" s="187"/>
      <c r="J3257" s="140" t="e">
        <f ca="1">VLOOKUP(D3257,$F$1081:$I$4183,4,FALSE)+COUNTIF(E$1081:E3256,E3257)</f>
        <v>#N/A</v>
      </c>
      <c r="K3257" s="1"/>
      <c r="L3257" s="161" t="e">
        <f>IF($C$1078&gt;0,VLOOKUP($C3257,PATRIMONIALE!$AJ$4:$AP$1003,7,FALSE),"")</f>
        <v>#N/A</v>
      </c>
      <c r="M3257" s="1"/>
      <c r="N3257" s="1"/>
      <c r="O3257" s="1"/>
    </row>
    <row r="3258" spans="1:15" hidden="1">
      <c r="A3258" s="1"/>
      <c r="B3258" s="182" t="e">
        <f t="shared" ca="1" si="273"/>
        <v>#N/A</v>
      </c>
      <c r="C3258" s="500">
        <v>192</v>
      </c>
      <c r="D3258" s="41" t="e">
        <f>IF($C$1078&gt;0,VLOOKUP($C3258,PATRIMONIALE!$AJ$4:$AL$1003,3,FALSE),"")</f>
        <v>#N/A</v>
      </c>
      <c r="E3258" s="41" t="str">
        <f t="shared" si="272"/>
        <v/>
      </c>
      <c r="F3258" s="200"/>
      <c r="G3258" s="178" t="e">
        <f>IF($C$1078&gt;0,VLOOKUP($C3258,PATRIMONIALE!$AJ$4:$AN$1003,5,FALSE),"")</f>
        <v>#N/A</v>
      </c>
      <c r="H3258" s="179" t="e">
        <f>IF($C$1078&gt;0,VLOOKUP($C3258,PATRIMONIALE!$AJ$4:$AO$1003,6,FALSE),"")</f>
        <v>#N/A</v>
      </c>
      <c r="I3258" s="187"/>
      <c r="J3258" s="140" t="e">
        <f ca="1">VLOOKUP(D3258,$F$1081:$I$4183,4,FALSE)+COUNTIF(E$1081:E3257,E3258)</f>
        <v>#N/A</v>
      </c>
      <c r="K3258" s="1"/>
      <c r="L3258" s="161" t="e">
        <f>IF($C$1078&gt;0,VLOOKUP($C3258,PATRIMONIALE!$AJ$4:$AP$1003,7,FALSE),"")</f>
        <v>#N/A</v>
      </c>
      <c r="M3258" s="1"/>
      <c r="N3258" s="1"/>
      <c r="O3258" s="1"/>
    </row>
    <row r="3259" spans="1:15" hidden="1">
      <c r="A3259" s="1"/>
      <c r="B3259" s="182" t="e">
        <f t="shared" ca="1" si="273"/>
        <v>#N/A</v>
      </c>
      <c r="C3259" s="500">
        <v>193</v>
      </c>
      <c r="D3259" s="41" t="e">
        <f>IF($C$1078&gt;0,VLOOKUP($C3259,PATRIMONIALE!$AJ$4:$AL$1003,3,FALSE),"")</f>
        <v>#N/A</v>
      </c>
      <c r="E3259" s="41" t="str">
        <f t="shared" si="272"/>
        <v/>
      </c>
      <c r="F3259" s="200"/>
      <c r="G3259" s="178" t="e">
        <f>IF($C$1078&gt;0,VLOOKUP($C3259,PATRIMONIALE!$AJ$4:$AN$1003,5,FALSE),"")</f>
        <v>#N/A</v>
      </c>
      <c r="H3259" s="179" t="e">
        <f>IF($C$1078&gt;0,VLOOKUP($C3259,PATRIMONIALE!$AJ$4:$AO$1003,6,FALSE),"")</f>
        <v>#N/A</v>
      </c>
      <c r="I3259" s="187"/>
      <c r="J3259" s="140" t="e">
        <f ca="1">VLOOKUP(D3259,$F$1081:$I$4183,4,FALSE)+COUNTIF(E$1081:E3258,E3259)</f>
        <v>#N/A</v>
      </c>
      <c r="K3259" s="1"/>
      <c r="L3259" s="161" t="e">
        <f>IF($C$1078&gt;0,VLOOKUP($C3259,PATRIMONIALE!$AJ$4:$AP$1003,7,FALSE),"")</f>
        <v>#N/A</v>
      </c>
      <c r="M3259" s="1"/>
      <c r="N3259" s="1"/>
      <c r="O3259" s="1"/>
    </row>
    <row r="3260" spans="1:15" hidden="1">
      <c r="A3260" s="1"/>
      <c r="B3260" s="182" t="e">
        <f t="shared" ca="1" si="273"/>
        <v>#N/A</v>
      </c>
      <c r="C3260" s="500">
        <v>194</v>
      </c>
      <c r="D3260" s="41" t="e">
        <f>IF($C$1078&gt;0,VLOOKUP($C3260,PATRIMONIALE!$AJ$4:$AL$1003,3,FALSE),"")</f>
        <v>#N/A</v>
      </c>
      <c r="E3260" s="41" t="str">
        <f t="shared" si="272"/>
        <v/>
      </c>
      <c r="F3260" s="200"/>
      <c r="G3260" s="178" t="e">
        <f>IF($C$1078&gt;0,VLOOKUP($C3260,PATRIMONIALE!$AJ$4:$AN$1003,5,FALSE),"")</f>
        <v>#N/A</v>
      </c>
      <c r="H3260" s="179" t="e">
        <f>IF($C$1078&gt;0,VLOOKUP($C3260,PATRIMONIALE!$AJ$4:$AO$1003,6,FALSE),"")</f>
        <v>#N/A</v>
      </c>
      <c r="I3260" s="187"/>
      <c r="J3260" s="140" t="e">
        <f ca="1">VLOOKUP(D3260,$F$1081:$I$4183,4,FALSE)+COUNTIF(E$1081:E3259,E3260)</f>
        <v>#N/A</v>
      </c>
      <c r="K3260" s="1"/>
      <c r="L3260" s="161" t="e">
        <f>IF($C$1078&gt;0,VLOOKUP($C3260,PATRIMONIALE!$AJ$4:$AP$1003,7,FALSE),"")</f>
        <v>#N/A</v>
      </c>
      <c r="M3260" s="1"/>
      <c r="N3260" s="1"/>
      <c r="O3260" s="1"/>
    </row>
    <row r="3261" spans="1:15" hidden="1">
      <c r="A3261" s="1"/>
      <c r="B3261" s="182" t="e">
        <f t="shared" ca="1" si="273"/>
        <v>#N/A</v>
      </c>
      <c r="C3261" s="500">
        <v>195</v>
      </c>
      <c r="D3261" s="41" t="e">
        <f>IF($C$1078&gt;0,VLOOKUP($C3261,PATRIMONIALE!$AJ$4:$AL$1003,3,FALSE),"")</f>
        <v>#N/A</v>
      </c>
      <c r="E3261" s="41" t="str">
        <f t="shared" si="272"/>
        <v/>
      </c>
      <c r="F3261" s="200"/>
      <c r="G3261" s="178" t="e">
        <f>IF($C$1078&gt;0,VLOOKUP($C3261,PATRIMONIALE!$AJ$4:$AN$1003,5,FALSE),"")</f>
        <v>#N/A</v>
      </c>
      <c r="H3261" s="179" t="e">
        <f>IF($C$1078&gt;0,VLOOKUP($C3261,PATRIMONIALE!$AJ$4:$AO$1003,6,FALSE),"")</f>
        <v>#N/A</v>
      </c>
      <c r="I3261" s="187"/>
      <c r="J3261" s="140" t="e">
        <f ca="1">VLOOKUP(D3261,$F$1081:$I$4183,4,FALSE)+COUNTIF(E$1081:E3260,E3261)</f>
        <v>#N/A</v>
      </c>
      <c r="K3261" s="1"/>
      <c r="L3261" s="161" t="e">
        <f>IF($C$1078&gt;0,VLOOKUP($C3261,PATRIMONIALE!$AJ$4:$AP$1003,7,FALSE),"")</f>
        <v>#N/A</v>
      </c>
      <c r="M3261" s="1"/>
      <c r="N3261" s="1"/>
      <c r="O3261" s="1"/>
    </row>
    <row r="3262" spans="1:15" hidden="1">
      <c r="A3262" s="1"/>
      <c r="B3262" s="182" t="e">
        <f t="shared" ca="1" si="273"/>
        <v>#N/A</v>
      </c>
      <c r="C3262" s="500">
        <v>196</v>
      </c>
      <c r="D3262" s="41" t="e">
        <f>IF($C$1078&gt;0,VLOOKUP($C3262,PATRIMONIALE!$AJ$4:$AL$1003,3,FALSE),"")</f>
        <v>#N/A</v>
      </c>
      <c r="E3262" s="41" t="str">
        <f t="shared" si="272"/>
        <v/>
      </c>
      <c r="F3262" s="200"/>
      <c r="G3262" s="178" t="e">
        <f>IF($C$1078&gt;0,VLOOKUP($C3262,PATRIMONIALE!$AJ$4:$AN$1003,5,FALSE),"")</f>
        <v>#N/A</v>
      </c>
      <c r="H3262" s="179" t="e">
        <f>IF($C$1078&gt;0,VLOOKUP($C3262,PATRIMONIALE!$AJ$4:$AO$1003,6,FALSE),"")</f>
        <v>#N/A</v>
      </c>
      <c r="I3262" s="187"/>
      <c r="J3262" s="140" t="e">
        <f ca="1">VLOOKUP(D3262,$F$1081:$I$4183,4,FALSE)+COUNTIF(E$1081:E3261,E3262)</f>
        <v>#N/A</v>
      </c>
      <c r="K3262" s="1"/>
      <c r="L3262" s="161" t="e">
        <f>IF($C$1078&gt;0,VLOOKUP($C3262,PATRIMONIALE!$AJ$4:$AP$1003,7,FALSE),"")</f>
        <v>#N/A</v>
      </c>
      <c r="M3262" s="1"/>
      <c r="N3262" s="1"/>
      <c r="O3262" s="1"/>
    </row>
    <row r="3263" spans="1:15" hidden="1">
      <c r="A3263" s="1"/>
      <c r="B3263" s="182" t="e">
        <f t="shared" ca="1" si="273"/>
        <v>#N/A</v>
      </c>
      <c r="C3263" s="500">
        <v>197</v>
      </c>
      <c r="D3263" s="41" t="e">
        <f>IF($C$1078&gt;0,VLOOKUP($C3263,PATRIMONIALE!$AJ$4:$AL$1003,3,FALSE),"")</f>
        <v>#N/A</v>
      </c>
      <c r="E3263" s="41" t="str">
        <f t="shared" si="272"/>
        <v/>
      </c>
      <c r="F3263" s="200"/>
      <c r="G3263" s="178" t="e">
        <f>IF($C$1078&gt;0,VLOOKUP($C3263,PATRIMONIALE!$AJ$4:$AN$1003,5,FALSE),"")</f>
        <v>#N/A</v>
      </c>
      <c r="H3263" s="179" t="e">
        <f>IF($C$1078&gt;0,VLOOKUP($C3263,PATRIMONIALE!$AJ$4:$AO$1003,6,FALSE),"")</f>
        <v>#N/A</v>
      </c>
      <c r="I3263" s="187"/>
      <c r="J3263" s="140" t="e">
        <f ca="1">VLOOKUP(D3263,$F$1081:$I$4183,4,FALSE)+COUNTIF(E$1081:E3262,E3263)</f>
        <v>#N/A</v>
      </c>
      <c r="K3263" s="1"/>
      <c r="L3263" s="161" t="e">
        <f>IF($C$1078&gt;0,VLOOKUP($C3263,PATRIMONIALE!$AJ$4:$AP$1003,7,FALSE),"")</f>
        <v>#N/A</v>
      </c>
      <c r="M3263" s="1"/>
      <c r="N3263" s="1"/>
      <c r="O3263" s="1"/>
    </row>
    <row r="3264" spans="1:15" hidden="1">
      <c r="A3264" s="1"/>
      <c r="B3264" s="182" t="e">
        <f t="shared" ca="1" si="273"/>
        <v>#N/A</v>
      </c>
      <c r="C3264" s="500">
        <v>198</v>
      </c>
      <c r="D3264" s="41" t="e">
        <f>IF($C$1078&gt;0,VLOOKUP($C3264,PATRIMONIALE!$AJ$4:$AL$1003,3,FALSE),"")</f>
        <v>#N/A</v>
      </c>
      <c r="E3264" s="41" t="str">
        <f t="shared" si="272"/>
        <v/>
      </c>
      <c r="F3264" s="200"/>
      <c r="G3264" s="178" t="e">
        <f>IF($C$1078&gt;0,VLOOKUP($C3264,PATRIMONIALE!$AJ$4:$AN$1003,5,FALSE),"")</f>
        <v>#N/A</v>
      </c>
      <c r="H3264" s="179" t="e">
        <f>IF($C$1078&gt;0,VLOOKUP($C3264,PATRIMONIALE!$AJ$4:$AO$1003,6,FALSE),"")</f>
        <v>#N/A</v>
      </c>
      <c r="I3264" s="187"/>
      <c r="J3264" s="140" t="e">
        <f ca="1">VLOOKUP(D3264,$F$1081:$I$4183,4,FALSE)+COUNTIF(E$1081:E3263,E3264)</f>
        <v>#N/A</v>
      </c>
      <c r="K3264" s="1"/>
      <c r="L3264" s="161" t="e">
        <f>IF($C$1078&gt;0,VLOOKUP($C3264,PATRIMONIALE!$AJ$4:$AP$1003,7,FALSE),"")</f>
        <v>#N/A</v>
      </c>
      <c r="M3264" s="1"/>
      <c r="N3264" s="1"/>
      <c r="O3264" s="1"/>
    </row>
    <row r="3265" spans="1:15" hidden="1">
      <c r="A3265" s="1"/>
      <c r="B3265" s="182" t="e">
        <f t="shared" ca="1" si="273"/>
        <v>#N/A</v>
      </c>
      <c r="C3265" s="500">
        <v>199</v>
      </c>
      <c r="D3265" s="41" t="e">
        <f>IF($C$1078&gt;0,VLOOKUP($C3265,PATRIMONIALE!$AJ$4:$AL$1003,3,FALSE),"")</f>
        <v>#N/A</v>
      </c>
      <c r="E3265" s="41" t="str">
        <f t="shared" si="272"/>
        <v/>
      </c>
      <c r="F3265" s="200"/>
      <c r="G3265" s="178" t="e">
        <f>IF($C$1078&gt;0,VLOOKUP($C3265,PATRIMONIALE!$AJ$4:$AN$1003,5,FALSE),"")</f>
        <v>#N/A</v>
      </c>
      <c r="H3265" s="179" t="e">
        <f>IF($C$1078&gt;0,VLOOKUP($C3265,PATRIMONIALE!$AJ$4:$AO$1003,6,FALSE),"")</f>
        <v>#N/A</v>
      </c>
      <c r="I3265" s="187"/>
      <c r="J3265" s="140" t="e">
        <f ca="1">VLOOKUP(D3265,$F$1081:$I$4183,4,FALSE)+COUNTIF(E$1081:E3264,E3265)</f>
        <v>#N/A</v>
      </c>
      <c r="K3265" s="1"/>
      <c r="L3265" s="161" t="e">
        <f>IF($C$1078&gt;0,VLOOKUP($C3265,PATRIMONIALE!$AJ$4:$AP$1003,7,FALSE),"")</f>
        <v>#N/A</v>
      </c>
      <c r="M3265" s="1"/>
      <c r="N3265" s="1"/>
      <c r="O3265" s="1"/>
    </row>
    <row r="3266" spans="1:15" hidden="1">
      <c r="A3266" s="1"/>
      <c r="B3266" s="182" t="e">
        <f t="shared" ca="1" si="273"/>
        <v>#N/A</v>
      </c>
      <c r="C3266" s="500">
        <v>200</v>
      </c>
      <c r="D3266" s="41" t="e">
        <f>IF($C$1078&gt;0,VLOOKUP($C3266,PATRIMONIALE!$AJ$4:$AL$1003,3,FALSE),"")</f>
        <v>#N/A</v>
      </c>
      <c r="E3266" s="41" t="str">
        <f t="shared" si="272"/>
        <v/>
      </c>
      <c r="F3266" s="200"/>
      <c r="G3266" s="178" t="e">
        <f>IF($C$1078&gt;0,VLOOKUP($C3266,PATRIMONIALE!$AJ$4:$AN$1003,5,FALSE),"")</f>
        <v>#N/A</v>
      </c>
      <c r="H3266" s="179" t="e">
        <f>IF($C$1078&gt;0,VLOOKUP($C3266,PATRIMONIALE!$AJ$4:$AO$1003,6,FALSE),"")</f>
        <v>#N/A</v>
      </c>
      <c r="I3266" s="187"/>
      <c r="J3266" s="140" t="e">
        <f ca="1">VLOOKUP(D3266,$F$1081:$I$4183,4,FALSE)+COUNTIF(E$1081:E3265,E3266)</f>
        <v>#N/A</v>
      </c>
      <c r="K3266" s="1"/>
      <c r="L3266" s="161" t="e">
        <f>IF($C$1078&gt;0,VLOOKUP($C3266,PATRIMONIALE!$AJ$4:$AP$1003,7,FALSE),"")</f>
        <v>#N/A</v>
      </c>
      <c r="M3266" s="1"/>
      <c r="N3266" s="1"/>
      <c r="O3266" s="1"/>
    </row>
    <row r="3267" spans="1:15" hidden="1">
      <c r="A3267" s="1"/>
      <c r="B3267" s="182" t="e">
        <f t="shared" ca="1" si="273"/>
        <v>#N/A</v>
      </c>
      <c r="C3267" s="500">
        <v>201</v>
      </c>
      <c r="D3267" s="41" t="e">
        <f>IF($C$1078&gt;0,VLOOKUP($C3267,PATRIMONIALE!$AJ$4:$AL$1003,3,FALSE),"")</f>
        <v>#N/A</v>
      </c>
      <c r="E3267" s="41" t="str">
        <f t="shared" si="272"/>
        <v/>
      </c>
      <c r="F3267" s="200"/>
      <c r="G3267" s="178" t="e">
        <f>IF($C$1078&gt;0,VLOOKUP($C3267,PATRIMONIALE!$AJ$4:$AN$1003,5,FALSE),"")</f>
        <v>#N/A</v>
      </c>
      <c r="H3267" s="179" t="e">
        <f>IF($C$1078&gt;0,VLOOKUP($C3267,PATRIMONIALE!$AJ$4:$AO$1003,6,FALSE),"")</f>
        <v>#N/A</v>
      </c>
      <c r="I3267" s="187"/>
      <c r="J3267" s="140" t="e">
        <f ca="1">VLOOKUP(D3267,$F$1081:$I$4183,4,FALSE)+COUNTIF(E$1081:E3266,E3267)</f>
        <v>#N/A</v>
      </c>
      <c r="K3267" s="1"/>
      <c r="L3267" s="161" t="e">
        <f>IF($C$1078&gt;0,VLOOKUP($C3267,PATRIMONIALE!$AJ$4:$AP$1003,7,FALSE),"")</f>
        <v>#N/A</v>
      </c>
      <c r="M3267" s="1"/>
      <c r="N3267" s="1"/>
      <c r="O3267" s="1"/>
    </row>
    <row r="3268" spans="1:15" hidden="1">
      <c r="A3268" s="1"/>
      <c r="B3268" s="182" t="e">
        <f t="shared" ca="1" si="273"/>
        <v>#N/A</v>
      </c>
      <c r="C3268" s="500">
        <v>202</v>
      </c>
      <c r="D3268" s="41" t="e">
        <f>IF($C$1078&gt;0,VLOOKUP($C3268,PATRIMONIALE!$AJ$4:$AL$1003,3,FALSE),"")</f>
        <v>#N/A</v>
      </c>
      <c r="E3268" s="41" t="str">
        <f t="shared" si="272"/>
        <v/>
      </c>
      <c r="F3268" s="200"/>
      <c r="G3268" s="178" t="e">
        <f>IF($C$1078&gt;0,VLOOKUP($C3268,PATRIMONIALE!$AJ$4:$AN$1003,5,FALSE),"")</f>
        <v>#N/A</v>
      </c>
      <c r="H3268" s="179" t="e">
        <f>IF($C$1078&gt;0,VLOOKUP($C3268,PATRIMONIALE!$AJ$4:$AO$1003,6,FALSE),"")</f>
        <v>#N/A</v>
      </c>
      <c r="I3268" s="187"/>
      <c r="J3268" s="140" t="e">
        <f ca="1">VLOOKUP(D3268,$F$1081:$I$4183,4,FALSE)+COUNTIF(E$1081:E3267,E3268)</f>
        <v>#N/A</v>
      </c>
      <c r="K3268" s="1"/>
      <c r="L3268" s="161" t="e">
        <f>IF($C$1078&gt;0,VLOOKUP($C3268,PATRIMONIALE!$AJ$4:$AP$1003,7,FALSE),"")</f>
        <v>#N/A</v>
      </c>
      <c r="M3268" s="1"/>
      <c r="N3268" s="1"/>
      <c r="O3268" s="1"/>
    </row>
    <row r="3269" spans="1:15" hidden="1">
      <c r="A3269" s="1"/>
      <c r="B3269" s="182" t="e">
        <f t="shared" ca="1" si="273"/>
        <v>#N/A</v>
      </c>
      <c r="C3269" s="500">
        <v>203</v>
      </c>
      <c r="D3269" s="41" t="e">
        <f>IF($C$1078&gt;0,VLOOKUP($C3269,PATRIMONIALE!$AJ$4:$AL$1003,3,FALSE),"")</f>
        <v>#N/A</v>
      </c>
      <c r="E3269" s="41" t="str">
        <f t="shared" si="272"/>
        <v/>
      </c>
      <c r="F3269" s="200"/>
      <c r="G3269" s="178" t="e">
        <f>IF($C$1078&gt;0,VLOOKUP($C3269,PATRIMONIALE!$AJ$4:$AN$1003,5,FALSE),"")</f>
        <v>#N/A</v>
      </c>
      <c r="H3269" s="179" t="e">
        <f>IF($C$1078&gt;0,VLOOKUP($C3269,PATRIMONIALE!$AJ$4:$AO$1003,6,FALSE),"")</f>
        <v>#N/A</v>
      </c>
      <c r="I3269" s="187"/>
      <c r="J3269" s="140" t="e">
        <f ca="1">VLOOKUP(D3269,$F$1081:$I$4183,4,FALSE)+COUNTIF(E$1081:E3268,E3269)</f>
        <v>#N/A</v>
      </c>
      <c r="K3269" s="1"/>
      <c r="L3269" s="161" t="e">
        <f>IF($C$1078&gt;0,VLOOKUP($C3269,PATRIMONIALE!$AJ$4:$AP$1003,7,FALSE),"")</f>
        <v>#N/A</v>
      </c>
      <c r="M3269" s="1"/>
      <c r="N3269" s="1"/>
      <c r="O3269" s="1"/>
    </row>
    <row r="3270" spans="1:15" hidden="1">
      <c r="A3270" s="1"/>
      <c r="B3270" s="182" t="e">
        <f t="shared" ca="1" si="273"/>
        <v>#N/A</v>
      </c>
      <c r="C3270" s="500">
        <v>204</v>
      </c>
      <c r="D3270" s="41" t="e">
        <f>IF($C$1078&gt;0,VLOOKUP($C3270,PATRIMONIALE!$AJ$4:$AL$1003,3,FALSE),"")</f>
        <v>#N/A</v>
      </c>
      <c r="E3270" s="41" t="str">
        <f t="shared" si="272"/>
        <v/>
      </c>
      <c r="F3270" s="200"/>
      <c r="G3270" s="178" t="e">
        <f>IF($C$1078&gt;0,VLOOKUP($C3270,PATRIMONIALE!$AJ$4:$AN$1003,5,FALSE),"")</f>
        <v>#N/A</v>
      </c>
      <c r="H3270" s="179" t="e">
        <f>IF($C$1078&gt;0,VLOOKUP($C3270,PATRIMONIALE!$AJ$4:$AO$1003,6,FALSE),"")</f>
        <v>#N/A</v>
      </c>
      <c r="I3270" s="187"/>
      <c r="J3270" s="140" t="e">
        <f ca="1">VLOOKUP(D3270,$F$1081:$I$4183,4,FALSE)+COUNTIF(E$1081:E3269,E3270)</f>
        <v>#N/A</v>
      </c>
      <c r="K3270" s="1"/>
      <c r="L3270" s="161" t="e">
        <f>IF($C$1078&gt;0,VLOOKUP($C3270,PATRIMONIALE!$AJ$4:$AP$1003,7,FALSE),"")</f>
        <v>#N/A</v>
      </c>
      <c r="M3270" s="1"/>
      <c r="N3270" s="1"/>
      <c r="O3270" s="1"/>
    </row>
    <row r="3271" spans="1:15" hidden="1">
      <c r="A3271" s="1"/>
      <c r="B3271" s="182" t="e">
        <f t="shared" ca="1" si="273"/>
        <v>#N/A</v>
      </c>
      <c r="C3271" s="500">
        <v>205</v>
      </c>
      <c r="D3271" s="41" t="e">
        <f>IF($C$1078&gt;0,VLOOKUP($C3271,PATRIMONIALE!$AJ$4:$AL$1003,3,FALSE),"")</f>
        <v>#N/A</v>
      </c>
      <c r="E3271" s="41" t="str">
        <f t="shared" si="272"/>
        <v/>
      </c>
      <c r="F3271" s="200"/>
      <c r="G3271" s="178" t="e">
        <f>IF($C$1078&gt;0,VLOOKUP($C3271,PATRIMONIALE!$AJ$4:$AN$1003,5,FALSE),"")</f>
        <v>#N/A</v>
      </c>
      <c r="H3271" s="179" t="e">
        <f>IF($C$1078&gt;0,VLOOKUP($C3271,PATRIMONIALE!$AJ$4:$AO$1003,6,FALSE),"")</f>
        <v>#N/A</v>
      </c>
      <c r="I3271" s="187"/>
      <c r="J3271" s="140" t="e">
        <f ca="1">VLOOKUP(D3271,$F$1081:$I$4183,4,FALSE)+COUNTIF(E$1081:E3270,E3271)</f>
        <v>#N/A</v>
      </c>
      <c r="K3271" s="1"/>
      <c r="L3271" s="161" t="e">
        <f>IF($C$1078&gt;0,VLOOKUP($C3271,PATRIMONIALE!$AJ$4:$AP$1003,7,FALSE),"")</f>
        <v>#N/A</v>
      </c>
      <c r="M3271" s="1"/>
      <c r="N3271" s="1"/>
      <c r="O3271" s="1"/>
    </row>
    <row r="3272" spans="1:15" hidden="1">
      <c r="A3272" s="1"/>
      <c r="B3272" s="182" t="e">
        <f t="shared" ca="1" si="273"/>
        <v>#N/A</v>
      </c>
      <c r="C3272" s="500">
        <v>206</v>
      </c>
      <c r="D3272" s="41" t="e">
        <f>IF($C$1078&gt;0,VLOOKUP($C3272,PATRIMONIALE!$AJ$4:$AL$1003,3,FALSE),"")</f>
        <v>#N/A</v>
      </c>
      <c r="E3272" s="41" t="str">
        <f t="shared" si="272"/>
        <v/>
      </c>
      <c r="F3272" s="200"/>
      <c r="G3272" s="178" t="e">
        <f>IF($C$1078&gt;0,VLOOKUP($C3272,PATRIMONIALE!$AJ$4:$AN$1003,5,FALSE),"")</f>
        <v>#N/A</v>
      </c>
      <c r="H3272" s="179" t="e">
        <f>IF($C$1078&gt;0,VLOOKUP($C3272,PATRIMONIALE!$AJ$4:$AO$1003,6,FALSE),"")</f>
        <v>#N/A</v>
      </c>
      <c r="I3272" s="187"/>
      <c r="J3272" s="140" t="e">
        <f ca="1">VLOOKUP(D3272,$F$1081:$I$4183,4,FALSE)+COUNTIF(E$1081:E3271,E3272)</f>
        <v>#N/A</v>
      </c>
      <c r="K3272" s="1"/>
      <c r="L3272" s="161" t="e">
        <f>IF($C$1078&gt;0,VLOOKUP($C3272,PATRIMONIALE!$AJ$4:$AP$1003,7,FALSE),"")</f>
        <v>#N/A</v>
      </c>
      <c r="M3272" s="1"/>
      <c r="N3272" s="1"/>
      <c r="O3272" s="1"/>
    </row>
    <row r="3273" spans="1:15" hidden="1">
      <c r="A3273" s="1"/>
      <c r="B3273" s="182" t="e">
        <f t="shared" ca="1" si="273"/>
        <v>#N/A</v>
      </c>
      <c r="C3273" s="500">
        <v>207</v>
      </c>
      <c r="D3273" s="41" t="e">
        <f>IF($C$1078&gt;0,VLOOKUP($C3273,PATRIMONIALE!$AJ$4:$AL$1003,3,FALSE),"")</f>
        <v>#N/A</v>
      </c>
      <c r="E3273" s="41" t="str">
        <f t="shared" si="272"/>
        <v/>
      </c>
      <c r="F3273" s="200"/>
      <c r="G3273" s="178" t="e">
        <f>IF($C$1078&gt;0,VLOOKUP($C3273,PATRIMONIALE!$AJ$4:$AN$1003,5,FALSE),"")</f>
        <v>#N/A</v>
      </c>
      <c r="H3273" s="179" t="e">
        <f>IF($C$1078&gt;0,VLOOKUP($C3273,PATRIMONIALE!$AJ$4:$AO$1003,6,FALSE),"")</f>
        <v>#N/A</v>
      </c>
      <c r="I3273" s="187"/>
      <c r="J3273" s="140" t="e">
        <f ca="1">VLOOKUP(D3273,$F$1081:$I$4183,4,FALSE)+COUNTIF(E$1081:E3272,E3273)</f>
        <v>#N/A</v>
      </c>
      <c r="K3273" s="1"/>
      <c r="L3273" s="161" t="e">
        <f>IF($C$1078&gt;0,VLOOKUP($C3273,PATRIMONIALE!$AJ$4:$AP$1003,7,FALSE),"")</f>
        <v>#N/A</v>
      </c>
      <c r="M3273" s="1"/>
      <c r="N3273" s="1"/>
      <c r="O3273" s="1"/>
    </row>
    <row r="3274" spans="1:15" hidden="1">
      <c r="A3274" s="1"/>
      <c r="B3274" s="182" t="e">
        <f t="shared" ca="1" si="273"/>
        <v>#N/A</v>
      </c>
      <c r="C3274" s="500">
        <v>208</v>
      </c>
      <c r="D3274" s="41" t="e">
        <f>IF($C$1078&gt;0,VLOOKUP($C3274,PATRIMONIALE!$AJ$4:$AL$1003,3,FALSE),"")</f>
        <v>#N/A</v>
      </c>
      <c r="E3274" s="41" t="str">
        <f t="shared" si="272"/>
        <v/>
      </c>
      <c r="F3274" s="200"/>
      <c r="G3274" s="178" t="e">
        <f>IF($C$1078&gt;0,VLOOKUP($C3274,PATRIMONIALE!$AJ$4:$AN$1003,5,FALSE),"")</f>
        <v>#N/A</v>
      </c>
      <c r="H3274" s="179" t="e">
        <f>IF($C$1078&gt;0,VLOOKUP($C3274,PATRIMONIALE!$AJ$4:$AO$1003,6,FALSE),"")</f>
        <v>#N/A</v>
      </c>
      <c r="I3274" s="187"/>
      <c r="J3274" s="140" t="e">
        <f ca="1">VLOOKUP(D3274,$F$1081:$I$4183,4,FALSE)+COUNTIF(E$1081:E3273,E3274)</f>
        <v>#N/A</v>
      </c>
      <c r="K3274" s="1"/>
      <c r="L3274" s="161" t="e">
        <f>IF($C$1078&gt;0,VLOOKUP($C3274,PATRIMONIALE!$AJ$4:$AP$1003,7,FALSE),"")</f>
        <v>#N/A</v>
      </c>
      <c r="M3274" s="1"/>
      <c r="N3274" s="1"/>
      <c r="O3274" s="1"/>
    </row>
    <row r="3275" spans="1:15" hidden="1">
      <c r="A3275" s="1"/>
      <c r="B3275" s="182" t="e">
        <f t="shared" ca="1" si="273"/>
        <v>#N/A</v>
      </c>
      <c r="C3275" s="500">
        <v>209</v>
      </c>
      <c r="D3275" s="41" t="e">
        <f>IF($C$1078&gt;0,VLOOKUP($C3275,PATRIMONIALE!$AJ$4:$AL$1003,3,FALSE),"")</f>
        <v>#N/A</v>
      </c>
      <c r="E3275" s="41" t="str">
        <f t="shared" si="272"/>
        <v/>
      </c>
      <c r="F3275" s="200"/>
      <c r="G3275" s="178" t="e">
        <f>IF($C$1078&gt;0,VLOOKUP($C3275,PATRIMONIALE!$AJ$4:$AN$1003,5,FALSE),"")</f>
        <v>#N/A</v>
      </c>
      <c r="H3275" s="179" t="e">
        <f>IF($C$1078&gt;0,VLOOKUP($C3275,PATRIMONIALE!$AJ$4:$AO$1003,6,FALSE),"")</f>
        <v>#N/A</v>
      </c>
      <c r="I3275" s="187"/>
      <c r="J3275" s="140" t="e">
        <f ca="1">VLOOKUP(D3275,$F$1081:$I$4183,4,FALSE)+COUNTIF(E$1081:E3274,E3275)</f>
        <v>#N/A</v>
      </c>
      <c r="K3275" s="1"/>
      <c r="L3275" s="161" t="e">
        <f>IF($C$1078&gt;0,VLOOKUP($C3275,PATRIMONIALE!$AJ$4:$AP$1003,7,FALSE),"")</f>
        <v>#N/A</v>
      </c>
      <c r="M3275" s="1"/>
      <c r="N3275" s="1"/>
      <c r="O3275" s="1"/>
    </row>
    <row r="3276" spans="1:15" hidden="1">
      <c r="A3276" s="1"/>
      <c r="B3276" s="182" t="e">
        <f t="shared" ca="1" si="273"/>
        <v>#N/A</v>
      </c>
      <c r="C3276" s="500">
        <v>210</v>
      </c>
      <c r="D3276" s="41" t="e">
        <f>IF($C$1078&gt;0,VLOOKUP($C3276,PATRIMONIALE!$AJ$4:$AL$1003,3,FALSE),"")</f>
        <v>#N/A</v>
      </c>
      <c r="E3276" s="41" t="str">
        <f t="shared" si="272"/>
        <v/>
      </c>
      <c r="F3276" s="200"/>
      <c r="G3276" s="178" t="e">
        <f>IF($C$1078&gt;0,VLOOKUP($C3276,PATRIMONIALE!$AJ$4:$AN$1003,5,FALSE),"")</f>
        <v>#N/A</v>
      </c>
      <c r="H3276" s="179" t="e">
        <f>IF($C$1078&gt;0,VLOOKUP($C3276,PATRIMONIALE!$AJ$4:$AO$1003,6,FALSE),"")</f>
        <v>#N/A</v>
      </c>
      <c r="I3276" s="187"/>
      <c r="J3276" s="140" t="e">
        <f ca="1">VLOOKUP(D3276,$F$1081:$I$4183,4,FALSE)+COUNTIF(E$1081:E3275,E3276)</f>
        <v>#N/A</v>
      </c>
      <c r="K3276" s="1"/>
      <c r="L3276" s="161" t="e">
        <f>IF($C$1078&gt;0,VLOOKUP($C3276,PATRIMONIALE!$AJ$4:$AP$1003,7,FALSE),"")</f>
        <v>#N/A</v>
      </c>
      <c r="M3276" s="1"/>
      <c r="N3276" s="1"/>
      <c r="O3276" s="1"/>
    </row>
    <row r="3277" spans="1:15" hidden="1">
      <c r="A3277" s="1"/>
      <c r="B3277" s="182" t="e">
        <f t="shared" ca="1" si="273"/>
        <v>#N/A</v>
      </c>
      <c r="C3277" s="500">
        <v>211</v>
      </c>
      <c r="D3277" s="41" t="e">
        <f>IF($C$1078&gt;0,VLOOKUP($C3277,PATRIMONIALE!$AJ$4:$AL$1003,3,FALSE),"")</f>
        <v>#N/A</v>
      </c>
      <c r="E3277" s="41" t="str">
        <f t="shared" si="272"/>
        <v/>
      </c>
      <c r="F3277" s="200"/>
      <c r="G3277" s="178" t="e">
        <f>IF($C$1078&gt;0,VLOOKUP($C3277,PATRIMONIALE!$AJ$4:$AN$1003,5,FALSE),"")</f>
        <v>#N/A</v>
      </c>
      <c r="H3277" s="179" t="e">
        <f>IF($C$1078&gt;0,VLOOKUP($C3277,PATRIMONIALE!$AJ$4:$AO$1003,6,FALSE),"")</f>
        <v>#N/A</v>
      </c>
      <c r="I3277" s="187"/>
      <c r="J3277" s="140" t="e">
        <f ca="1">VLOOKUP(D3277,$F$1081:$I$4183,4,FALSE)+COUNTIF(E$1081:E3276,E3277)</f>
        <v>#N/A</v>
      </c>
      <c r="K3277" s="1"/>
      <c r="L3277" s="161" t="e">
        <f>IF($C$1078&gt;0,VLOOKUP($C3277,PATRIMONIALE!$AJ$4:$AP$1003,7,FALSE),"")</f>
        <v>#N/A</v>
      </c>
      <c r="M3277" s="1"/>
      <c r="N3277" s="1"/>
      <c r="O3277" s="1"/>
    </row>
    <row r="3278" spans="1:15" hidden="1">
      <c r="A3278" s="1"/>
      <c r="B3278" s="182" t="e">
        <f t="shared" ca="1" si="273"/>
        <v>#N/A</v>
      </c>
      <c r="C3278" s="500">
        <v>212</v>
      </c>
      <c r="D3278" s="41" t="e">
        <f>IF($C$1078&gt;0,VLOOKUP($C3278,PATRIMONIALE!$AJ$4:$AL$1003,3,FALSE),"")</f>
        <v>#N/A</v>
      </c>
      <c r="E3278" s="41" t="str">
        <f t="shared" si="272"/>
        <v/>
      </c>
      <c r="F3278" s="200"/>
      <c r="G3278" s="178" t="e">
        <f>IF($C$1078&gt;0,VLOOKUP($C3278,PATRIMONIALE!$AJ$4:$AN$1003,5,FALSE),"")</f>
        <v>#N/A</v>
      </c>
      <c r="H3278" s="179" t="e">
        <f>IF($C$1078&gt;0,VLOOKUP($C3278,PATRIMONIALE!$AJ$4:$AO$1003,6,FALSE),"")</f>
        <v>#N/A</v>
      </c>
      <c r="I3278" s="187"/>
      <c r="J3278" s="140" t="e">
        <f ca="1">VLOOKUP(D3278,$F$1081:$I$4183,4,FALSE)+COUNTIF(E$1081:E3277,E3278)</f>
        <v>#N/A</v>
      </c>
      <c r="K3278" s="1"/>
      <c r="L3278" s="161" t="e">
        <f>IF($C$1078&gt;0,VLOOKUP($C3278,PATRIMONIALE!$AJ$4:$AP$1003,7,FALSE),"")</f>
        <v>#N/A</v>
      </c>
      <c r="M3278" s="1"/>
      <c r="N3278" s="1"/>
      <c r="O3278" s="1"/>
    </row>
    <row r="3279" spans="1:15" hidden="1">
      <c r="A3279" s="1"/>
      <c r="B3279" s="182" t="e">
        <f t="shared" ca="1" si="273"/>
        <v>#N/A</v>
      </c>
      <c r="C3279" s="500">
        <v>213</v>
      </c>
      <c r="D3279" s="41" t="e">
        <f>IF($C$1078&gt;0,VLOOKUP($C3279,PATRIMONIALE!$AJ$4:$AL$1003,3,FALSE),"")</f>
        <v>#N/A</v>
      </c>
      <c r="E3279" s="41" t="str">
        <f t="shared" si="272"/>
        <v/>
      </c>
      <c r="F3279" s="200"/>
      <c r="G3279" s="178" t="e">
        <f>IF($C$1078&gt;0,VLOOKUP($C3279,PATRIMONIALE!$AJ$4:$AN$1003,5,FALSE),"")</f>
        <v>#N/A</v>
      </c>
      <c r="H3279" s="179" t="e">
        <f>IF($C$1078&gt;0,VLOOKUP($C3279,PATRIMONIALE!$AJ$4:$AO$1003,6,FALSE),"")</f>
        <v>#N/A</v>
      </c>
      <c r="I3279" s="187"/>
      <c r="J3279" s="140" t="e">
        <f ca="1">VLOOKUP(D3279,$F$1081:$I$4183,4,FALSE)+COUNTIF(E$1081:E3278,E3279)</f>
        <v>#N/A</v>
      </c>
      <c r="K3279" s="1"/>
      <c r="L3279" s="161" t="e">
        <f>IF($C$1078&gt;0,VLOOKUP($C3279,PATRIMONIALE!$AJ$4:$AP$1003,7,FALSE),"")</f>
        <v>#N/A</v>
      </c>
      <c r="M3279" s="1"/>
      <c r="N3279" s="1"/>
      <c r="O3279" s="1"/>
    </row>
    <row r="3280" spans="1:15" hidden="1">
      <c r="A3280" s="1"/>
      <c r="B3280" s="182" t="e">
        <f t="shared" ca="1" si="273"/>
        <v>#N/A</v>
      </c>
      <c r="C3280" s="500">
        <v>214</v>
      </c>
      <c r="D3280" s="41" t="e">
        <f>IF($C$1078&gt;0,VLOOKUP($C3280,PATRIMONIALE!$AJ$4:$AL$1003,3,FALSE),"")</f>
        <v>#N/A</v>
      </c>
      <c r="E3280" s="41" t="str">
        <f t="shared" si="272"/>
        <v/>
      </c>
      <c r="F3280" s="200"/>
      <c r="G3280" s="178" t="e">
        <f>IF($C$1078&gt;0,VLOOKUP($C3280,PATRIMONIALE!$AJ$4:$AN$1003,5,FALSE),"")</f>
        <v>#N/A</v>
      </c>
      <c r="H3280" s="179" t="e">
        <f>IF($C$1078&gt;0,VLOOKUP($C3280,PATRIMONIALE!$AJ$4:$AO$1003,6,FALSE),"")</f>
        <v>#N/A</v>
      </c>
      <c r="I3280" s="187"/>
      <c r="J3280" s="140" t="e">
        <f ca="1">VLOOKUP(D3280,$F$1081:$I$4183,4,FALSE)+COUNTIF(E$1081:E3279,E3280)</f>
        <v>#N/A</v>
      </c>
      <c r="K3280" s="1"/>
      <c r="L3280" s="161" t="e">
        <f>IF($C$1078&gt;0,VLOOKUP($C3280,PATRIMONIALE!$AJ$4:$AP$1003,7,FALSE),"")</f>
        <v>#N/A</v>
      </c>
      <c r="M3280" s="1"/>
      <c r="N3280" s="1"/>
      <c r="O3280" s="1"/>
    </row>
    <row r="3281" spans="1:15" hidden="1">
      <c r="A3281" s="1"/>
      <c r="B3281" s="182" t="e">
        <f t="shared" ca="1" si="273"/>
        <v>#N/A</v>
      </c>
      <c r="C3281" s="500">
        <v>215</v>
      </c>
      <c r="D3281" s="41" t="e">
        <f>IF($C$1078&gt;0,VLOOKUP($C3281,PATRIMONIALE!$AJ$4:$AL$1003,3,FALSE),"")</f>
        <v>#N/A</v>
      </c>
      <c r="E3281" s="41" t="str">
        <f t="shared" si="272"/>
        <v/>
      </c>
      <c r="F3281" s="200"/>
      <c r="G3281" s="178" t="e">
        <f>IF($C$1078&gt;0,VLOOKUP($C3281,PATRIMONIALE!$AJ$4:$AN$1003,5,FALSE),"")</f>
        <v>#N/A</v>
      </c>
      <c r="H3281" s="179" t="e">
        <f>IF($C$1078&gt;0,VLOOKUP($C3281,PATRIMONIALE!$AJ$4:$AO$1003,6,FALSE),"")</f>
        <v>#N/A</v>
      </c>
      <c r="I3281" s="187"/>
      <c r="J3281" s="140" t="e">
        <f ca="1">VLOOKUP(D3281,$F$1081:$I$4183,4,FALSE)+COUNTIF(E$1081:E3280,E3281)</f>
        <v>#N/A</v>
      </c>
      <c r="K3281" s="1"/>
      <c r="L3281" s="161" t="e">
        <f>IF($C$1078&gt;0,VLOOKUP($C3281,PATRIMONIALE!$AJ$4:$AP$1003,7,FALSE),"")</f>
        <v>#N/A</v>
      </c>
      <c r="M3281" s="1"/>
      <c r="N3281" s="1"/>
      <c r="O3281" s="1"/>
    </row>
    <row r="3282" spans="1:15" hidden="1">
      <c r="A3282" s="1"/>
      <c r="B3282" s="182" t="e">
        <f t="shared" ca="1" si="273"/>
        <v>#N/A</v>
      </c>
      <c r="C3282" s="500">
        <v>216</v>
      </c>
      <c r="D3282" s="41" t="e">
        <f>IF($C$1078&gt;0,VLOOKUP($C3282,PATRIMONIALE!$AJ$4:$AL$1003,3,FALSE),"")</f>
        <v>#N/A</v>
      </c>
      <c r="E3282" s="41" t="str">
        <f t="shared" si="272"/>
        <v/>
      </c>
      <c r="F3282" s="200"/>
      <c r="G3282" s="178" t="e">
        <f>IF($C$1078&gt;0,VLOOKUP($C3282,PATRIMONIALE!$AJ$4:$AN$1003,5,FALSE),"")</f>
        <v>#N/A</v>
      </c>
      <c r="H3282" s="179" t="e">
        <f>IF($C$1078&gt;0,VLOOKUP($C3282,PATRIMONIALE!$AJ$4:$AO$1003,6,FALSE),"")</f>
        <v>#N/A</v>
      </c>
      <c r="I3282" s="187"/>
      <c r="J3282" s="140" t="e">
        <f ca="1">VLOOKUP(D3282,$F$1081:$I$4183,4,FALSE)+COUNTIF(E$1081:E3281,E3282)</f>
        <v>#N/A</v>
      </c>
      <c r="K3282" s="1"/>
      <c r="L3282" s="161" t="e">
        <f>IF($C$1078&gt;0,VLOOKUP($C3282,PATRIMONIALE!$AJ$4:$AP$1003,7,FALSE),"")</f>
        <v>#N/A</v>
      </c>
      <c r="M3282" s="1"/>
      <c r="N3282" s="1"/>
      <c r="O3282" s="1"/>
    </row>
    <row r="3283" spans="1:15" hidden="1">
      <c r="A3283" s="1"/>
      <c r="B3283" s="182" t="e">
        <f t="shared" ca="1" si="273"/>
        <v>#N/A</v>
      </c>
      <c r="C3283" s="500">
        <v>217</v>
      </c>
      <c r="D3283" s="41" t="e">
        <f>IF($C$1078&gt;0,VLOOKUP($C3283,PATRIMONIALE!$AJ$4:$AL$1003,3,FALSE),"")</f>
        <v>#N/A</v>
      </c>
      <c r="E3283" s="41" t="str">
        <f t="shared" si="272"/>
        <v/>
      </c>
      <c r="F3283" s="200"/>
      <c r="G3283" s="178" t="e">
        <f>IF($C$1078&gt;0,VLOOKUP($C3283,PATRIMONIALE!$AJ$4:$AN$1003,5,FALSE),"")</f>
        <v>#N/A</v>
      </c>
      <c r="H3283" s="179" t="e">
        <f>IF($C$1078&gt;0,VLOOKUP($C3283,PATRIMONIALE!$AJ$4:$AO$1003,6,FALSE),"")</f>
        <v>#N/A</v>
      </c>
      <c r="I3283" s="187"/>
      <c r="J3283" s="140" t="e">
        <f ca="1">VLOOKUP(D3283,$F$1081:$I$4183,4,FALSE)+COUNTIF(E$1081:E3282,E3283)</f>
        <v>#N/A</v>
      </c>
      <c r="K3283" s="1"/>
      <c r="L3283" s="161" t="e">
        <f>IF($C$1078&gt;0,VLOOKUP($C3283,PATRIMONIALE!$AJ$4:$AP$1003,7,FALSE),"")</f>
        <v>#N/A</v>
      </c>
      <c r="M3283" s="1"/>
      <c r="N3283" s="1"/>
      <c r="O3283" s="1"/>
    </row>
    <row r="3284" spans="1:15" hidden="1">
      <c r="A3284" s="1"/>
      <c r="B3284" s="182" t="e">
        <f t="shared" ca="1" si="273"/>
        <v>#N/A</v>
      </c>
      <c r="C3284" s="500">
        <v>218</v>
      </c>
      <c r="D3284" s="41" t="e">
        <f>IF($C$1078&gt;0,VLOOKUP($C3284,PATRIMONIALE!$AJ$4:$AL$1003,3,FALSE),"")</f>
        <v>#N/A</v>
      </c>
      <c r="E3284" s="41" t="str">
        <f t="shared" si="272"/>
        <v/>
      </c>
      <c r="F3284" s="200"/>
      <c r="G3284" s="178" t="e">
        <f>IF($C$1078&gt;0,VLOOKUP($C3284,PATRIMONIALE!$AJ$4:$AN$1003,5,FALSE),"")</f>
        <v>#N/A</v>
      </c>
      <c r="H3284" s="179" t="e">
        <f>IF($C$1078&gt;0,VLOOKUP($C3284,PATRIMONIALE!$AJ$4:$AO$1003,6,FALSE),"")</f>
        <v>#N/A</v>
      </c>
      <c r="I3284" s="187"/>
      <c r="J3284" s="140" t="e">
        <f ca="1">VLOOKUP(D3284,$F$1081:$I$4183,4,FALSE)+COUNTIF(E$1081:E3283,E3284)</f>
        <v>#N/A</v>
      </c>
      <c r="K3284" s="1"/>
      <c r="L3284" s="161" t="e">
        <f>IF($C$1078&gt;0,VLOOKUP($C3284,PATRIMONIALE!$AJ$4:$AP$1003,7,FALSE),"")</f>
        <v>#N/A</v>
      </c>
      <c r="M3284" s="1"/>
      <c r="N3284" s="1"/>
      <c r="O3284" s="1"/>
    </row>
    <row r="3285" spans="1:15" hidden="1">
      <c r="A3285" s="1"/>
      <c r="B3285" s="182" t="e">
        <f t="shared" ca="1" si="273"/>
        <v>#N/A</v>
      </c>
      <c r="C3285" s="500">
        <v>219</v>
      </c>
      <c r="D3285" s="41" t="e">
        <f>IF($C$1078&gt;0,VLOOKUP($C3285,PATRIMONIALE!$AJ$4:$AL$1003,3,FALSE),"")</f>
        <v>#N/A</v>
      </c>
      <c r="E3285" s="41" t="str">
        <f t="shared" si="272"/>
        <v/>
      </c>
      <c r="F3285" s="200"/>
      <c r="G3285" s="178" t="e">
        <f>IF($C$1078&gt;0,VLOOKUP($C3285,PATRIMONIALE!$AJ$4:$AN$1003,5,FALSE),"")</f>
        <v>#N/A</v>
      </c>
      <c r="H3285" s="179" t="e">
        <f>IF($C$1078&gt;0,VLOOKUP($C3285,PATRIMONIALE!$AJ$4:$AO$1003,6,FALSE),"")</f>
        <v>#N/A</v>
      </c>
      <c r="I3285" s="187"/>
      <c r="J3285" s="140" t="e">
        <f ca="1">VLOOKUP(D3285,$F$1081:$I$4183,4,FALSE)+COUNTIF(E$1081:E3284,E3285)</f>
        <v>#N/A</v>
      </c>
      <c r="K3285" s="1"/>
      <c r="L3285" s="161" t="e">
        <f>IF($C$1078&gt;0,VLOOKUP($C3285,PATRIMONIALE!$AJ$4:$AP$1003,7,FALSE),"")</f>
        <v>#N/A</v>
      </c>
      <c r="M3285" s="1"/>
      <c r="N3285" s="1"/>
      <c r="O3285" s="1"/>
    </row>
    <row r="3286" spans="1:15" hidden="1">
      <c r="A3286" s="1"/>
      <c r="B3286" s="182" t="e">
        <f t="shared" ca="1" si="273"/>
        <v>#N/A</v>
      </c>
      <c r="C3286" s="500">
        <v>220</v>
      </c>
      <c r="D3286" s="41" t="e">
        <f>IF($C$1078&gt;0,VLOOKUP($C3286,PATRIMONIALE!$AJ$4:$AL$1003,3,FALSE),"")</f>
        <v>#N/A</v>
      </c>
      <c r="E3286" s="41" t="str">
        <f t="shared" si="272"/>
        <v/>
      </c>
      <c r="F3286" s="200"/>
      <c r="G3286" s="178" t="e">
        <f>IF($C$1078&gt;0,VLOOKUP($C3286,PATRIMONIALE!$AJ$4:$AN$1003,5,FALSE),"")</f>
        <v>#N/A</v>
      </c>
      <c r="H3286" s="179" t="e">
        <f>IF($C$1078&gt;0,VLOOKUP($C3286,PATRIMONIALE!$AJ$4:$AO$1003,6,FALSE),"")</f>
        <v>#N/A</v>
      </c>
      <c r="I3286" s="187"/>
      <c r="J3286" s="140" t="e">
        <f ca="1">VLOOKUP(D3286,$F$1081:$I$4183,4,FALSE)+COUNTIF(E$1081:E3285,E3286)</f>
        <v>#N/A</v>
      </c>
      <c r="K3286" s="1"/>
      <c r="L3286" s="161" t="e">
        <f>IF($C$1078&gt;0,VLOOKUP($C3286,PATRIMONIALE!$AJ$4:$AP$1003,7,FALSE),"")</f>
        <v>#N/A</v>
      </c>
      <c r="M3286" s="1"/>
      <c r="N3286" s="1"/>
      <c r="O3286" s="1"/>
    </row>
    <row r="3287" spans="1:15" hidden="1">
      <c r="A3287" s="1"/>
      <c r="B3287" s="182" t="e">
        <f t="shared" ca="1" si="273"/>
        <v>#N/A</v>
      </c>
      <c r="C3287" s="500">
        <v>221</v>
      </c>
      <c r="D3287" s="41" t="e">
        <f>IF($C$1078&gt;0,VLOOKUP($C3287,PATRIMONIALE!$AJ$4:$AL$1003,3,FALSE),"")</f>
        <v>#N/A</v>
      </c>
      <c r="E3287" s="41" t="str">
        <f t="shared" si="272"/>
        <v/>
      </c>
      <c r="F3287" s="200"/>
      <c r="G3287" s="178" t="e">
        <f>IF($C$1078&gt;0,VLOOKUP($C3287,PATRIMONIALE!$AJ$4:$AN$1003,5,FALSE),"")</f>
        <v>#N/A</v>
      </c>
      <c r="H3287" s="179" t="e">
        <f>IF($C$1078&gt;0,VLOOKUP($C3287,PATRIMONIALE!$AJ$4:$AO$1003,6,FALSE),"")</f>
        <v>#N/A</v>
      </c>
      <c r="I3287" s="187"/>
      <c r="J3287" s="140" t="e">
        <f ca="1">VLOOKUP(D3287,$F$1081:$I$4183,4,FALSE)+COUNTIF(E$1081:E3286,E3287)</f>
        <v>#N/A</v>
      </c>
      <c r="K3287" s="1"/>
      <c r="L3287" s="161" t="e">
        <f>IF($C$1078&gt;0,VLOOKUP($C3287,PATRIMONIALE!$AJ$4:$AP$1003,7,FALSE),"")</f>
        <v>#N/A</v>
      </c>
      <c r="M3287" s="1"/>
      <c r="N3287" s="1"/>
      <c r="O3287" s="1"/>
    </row>
    <row r="3288" spans="1:15" hidden="1">
      <c r="A3288" s="1"/>
      <c r="B3288" s="182" t="e">
        <f t="shared" ca="1" si="273"/>
        <v>#N/A</v>
      </c>
      <c r="C3288" s="500">
        <v>222</v>
      </c>
      <c r="D3288" s="41" t="e">
        <f>IF($C$1078&gt;0,VLOOKUP($C3288,PATRIMONIALE!$AJ$4:$AL$1003,3,FALSE),"")</f>
        <v>#N/A</v>
      </c>
      <c r="E3288" s="41" t="str">
        <f t="shared" si="272"/>
        <v/>
      </c>
      <c r="F3288" s="200"/>
      <c r="G3288" s="178" t="e">
        <f>IF($C$1078&gt;0,VLOOKUP($C3288,PATRIMONIALE!$AJ$4:$AN$1003,5,FALSE),"")</f>
        <v>#N/A</v>
      </c>
      <c r="H3288" s="179" t="e">
        <f>IF($C$1078&gt;0,VLOOKUP($C3288,PATRIMONIALE!$AJ$4:$AO$1003,6,FALSE),"")</f>
        <v>#N/A</v>
      </c>
      <c r="I3288" s="187"/>
      <c r="J3288" s="140" t="e">
        <f ca="1">VLOOKUP(D3288,$F$1081:$I$4183,4,FALSE)+COUNTIF(E$1081:E3287,E3288)</f>
        <v>#N/A</v>
      </c>
      <c r="K3288" s="1"/>
      <c r="L3288" s="161" t="e">
        <f>IF($C$1078&gt;0,VLOOKUP($C3288,PATRIMONIALE!$AJ$4:$AP$1003,7,FALSE),"")</f>
        <v>#N/A</v>
      </c>
      <c r="M3288" s="1"/>
      <c r="N3288" s="1"/>
      <c r="O3288" s="1"/>
    </row>
    <row r="3289" spans="1:15" hidden="1">
      <c r="A3289" s="1"/>
      <c r="B3289" s="182" t="e">
        <f t="shared" ca="1" si="273"/>
        <v>#N/A</v>
      </c>
      <c r="C3289" s="500">
        <v>223</v>
      </c>
      <c r="D3289" s="41" t="e">
        <f>IF($C$1078&gt;0,VLOOKUP($C3289,PATRIMONIALE!$AJ$4:$AL$1003,3,FALSE),"")</f>
        <v>#N/A</v>
      </c>
      <c r="E3289" s="41" t="str">
        <f t="shared" si="272"/>
        <v/>
      </c>
      <c r="F3289" s="200"/>
      <c r="G3289" s="178" t="e">
        <f>IF($C$1078&gt;0,VLOOKUP($C3289,PATRIMONIALE!$AJ$4:$AN$1003,5,FALSE),"")</f>
        <v>#N/A</v>
      </c>
      <c r="H3289" s="179" t="e">
        <f>IF($C$1078&gt;0,VLOOKUP($C3289,PATRIMONIALE!$AJ$4:$AO$1003,6,FALSE),"")</f>
        <v>#N/A</v>
      </c>
      <c r="I3289" s="187"/>
      <c r="J3289" s="140" t="e">
        <f ca="1">VLOOKUP(D3289,$F$1081:$I$4183,4,FALSE)+COUNTIF(E$1081:E3288,E3289)</f>
        <v>#N/A</v>
      </c>
      <c r="K3289" s="1"/>
      <c r="L3289" s="161" t="e">
        <f>IF($C$1078&gt;0,VLOOKUP($C3289,PATRIMONIALE!$AJ$4:$AP$1003,7,FALSE),"")</f>
        <v>#N/A</v>
      </c>
      <c r="M3289" s="1"/>
      <c r="N3289" s="1"/>
      <c r="O3289" s="1"/>
    </row>
    <row r="3290" spans="1:15" hidden="1">
      <c r="A3290" s="1"/>
      <c r="B3290" s="182" t="e">
        <f t="shared" ca="1" si="273"/>
        <v>#N/A</v>
      </c>
      <c r="C3290" s="500">
        <v>224</v>
      </c>
      <c r="D3290" s="41" t="e">
        <f>IF($C$1078&gt;0,VLOOKUP($C3290,PATRIMONIALE!$AJ$4:$AL$1003,3,FALSE),"")</f>
        <v>#N/A</v>
      </c>
      <c r="E3290" s="41" t="str">
        <f t="shared" si="272"/>
        <v/>
      </c>
      <c r="F3290" s="200"/>
      <c r="G3290" s="178" t="e">
        <f>IF($C$1078&gt;0,VLOOKUP($C3290,PATRIMONIALE!$AJ$4:$AN$1003,5,FALSE),"")</f>
        <v>#N/A</v>
      </c>
      <c r="H3290" s="179" t="e">
        <f>IF($C$1078&gt;0,VLOOKUP($C3290,PATRIMONIALE!$AJ$4:$AO$1003,6,FALSE),"")</f>
        <v>#N/A</v>
      </c>
      <c r="I3290" s="187"/>
      <c r="J3290" s="140" t="e">
        <f ca="1">VLOOKUP(D3290,$F$1081:$I$4183,4,FALSE)+COUNTIF(E$1081:E3289,E3290)</f>
        <v>#N/A</v>
      </c>
      <c r="K3290" s="1"/>
      <c r="L3290" s="161" t="e">
        <f>IF($C$1078&gt;0,VLOOKUP($C3290,PATRIMONIALE!$AJ$4:$AP$1003,7,FALSE),"")</f>
        <v>#N/A</v>
      </c>
      <c r="M3290" s="1"/>
      <c r="N3290" s="1"/>
      <c r="O3290" s="1"/>
    </row>
    <row r="3291" spans="1:15" hidden="1">
      <c r="A3291" s="1"/>
      <c r="B3291" s="182" t="e">
        <f t="shared" ca="1" si="273"/>
        <v>#N/A</v>
      </c>
      <c r="C3291" s="500">
        <v>225</v>
      </c>
      <c r="D3291" s="41" t="e">
        <f>IF($C$1078&gt;0,VLOOKUP($C3291,PATRIMONIALE!$AJ$4:$AL$1003,3,FALSE),"")</f>
        <v>#N/A</v>
      </c>
      <c r="E3291" s="41" t="str">
        <f t="shared" si="272"/>
        <v/>
      </c>
      <c r="F3291" s="200"/>
      <c r="G3291" s="178" t="e">
        <f>IF($C$1078&gt;0,VLOOKUP($C3291,PATRIMONIALE!$AJ$4:$AN$1003,5,FALSE),"")</f>
        <v>#N/A</v>
      </c>
      <c r="H3291" s="179" t="e">
        <f>IF($C$1078&gt;0,VLOOKUP($C3291,PATRIMONIALE!$AJ$4:$AO$1003,6,FALSE),"")</f>
        <v>#N/A</v>
      </c>
      <c r="I3291" s="187"/>
      <c r="J3291" s="140" t="e">
        <f ca="1">VLOOKUP(D3291,$F$1081:$I$4183,4,FALSE)+COUNTIF(E$1081:E3290,E3291)</f>
        <v>#N/A</v>
      </c>
      <c r="K3291" s="1"/>
      <c r="L3291" s="161" t="e">
        <f>IF($C$1078&gt;0,VLOOKUP($C3291,PATRIMONIALE!$AJ$4:$AP$1003,7,FALSE),"")</f>
        <v>#N/A</v>
      </c>
      <c r="M3291" s="1"/>
      <c r="N3291" s="1"/>
      <c r="O3291" s="1"/>
    </row>
    <row r="3292" spans="1:15" hidden="1">
      <c r="A3292" s="1"/>
      <c r="B3292" s="182" t="e">
        <f t="shared" ca="1" si="273"/>
        <v>#N/A</v>
      </c>
      <c r="C3292" s="500">
        <v>226</v>
      </c>
      <c r="D3292" s="41" t="e">
        <f>IF($C$1078&gt;0,VLOOKUP($C3292,PATRIMONIALE!$AJ$4:$AL$1003,3,FALSE),"")</f>
        <v>#N/A</v>
      </c>
      <c r="E3292" s="41" t="str">
        <f t="shared" si="272"/>
        <v/>
      </c>
      <c r="F3292" s="200"/>
      <c r="G3292" s="178" t="e">
        <f>IF($C$1078&gt;0,VLOOKUP($C3292,PATRIMONIALE!$AJ$4:$AN$1003,5,FALSE),"")</f>
        <v>#N/A</v>
      </c>
      <c r="H3292" s="179" t="e">
        <f>IF($C$1078&gt;0,VLOOKUP($C3292,PATRIMONIALE!$AJ$4:$AO$1003,6,FALSE),"")</f>
        <v>#N/A</v>
      </c>
      <c r="I3292" s="187"/>
      <c r="J3292" s="140" t="e">
        <f ca="1">VLOOKUP(D3292,$F$1081:$I$4183,4,FALSE)+COUNTIF(E$1081:E3291,E3292)</f>
        <v>#N/A</v>
      </c>
      <c r="K3292" s="1"/>
      <c r="L3292" s="161" t="e">
        <f>IF($C$1078&gt;0,VLOOKUP($C3292,PATRIMONIALE!$AJ$4:$AP$1003,7,FALSE),"")</f>
        <v>#N/A</v>
      </c>
      <c r="M3292" s="1"/>
      <c r="N3292" s="1"/>
      <c r="O3292" s="1"/>
    </row>
    <row r="3293" spans="1:15" hidden="1">
      <c r="A3293" s="1"/>
      <c r="B3293" s="182" t="e">
        <f t="shared" ca="1" si="273"/>
        <v>#N/A</v>
      </c>
      <c r="C3293" s="500">
        <v>227</v>
      </c>
      <c r="D3293" s="41" t="e">
        <f>IF($C$1078&gt;0,VLOOKUP($C3293,PATRIMONIALE!$AJ$4:$AL$1003,3,FALSE),"")</f>
        <v>#N/A</v>
      </c>
      <c r="E3293" s="41" t="str">
        <f t="shared" si="272"/>
        <v/>
      </c>
      <c r="F3293" s="200"/>
      <c r="G3293" s="178" t="e">
        <f>IF($C$1078&gt;0,VLOOKUP($C3293,PATRIMONIALE!$AJ$4:$AN$1003,5,FALSE),"")</f>
        <v>#N/A</v>
      </c>
      <c r="H3293" s="179" t="e">
        <f>IF($C$1078&gt;0,VLOOKUP($C3293,PATRIMONIALE!$AJ$4:$AO$1003,6,FALSE),"")</f>
        <v>#N/A</v>
      </c>
      <c r="I3293" s="187"/>
      <c r="J3293" s="140" t="e">
        <f ca="1">VLOOKUP(D3293,$F$1081:$I$4183,4,FALSE)+COUNTIF(E$1081:E3292,E3293)</f>
        <v>#N/A</v>
      </c>
      <c r="K3293" s="1"/>
      <c r="L3293" s="161" t="e">
        <f>IF($C$1078&gt;0,VLOOKUP($C3293,PATRIMONIALE!$AJ$4:$AP$1003,7,FALSE),"")</f>
        <v>#N/A</v>
      </c>
      <c r="M3293" s="1"/>
      <c r="N3293" s="1"/>
      <c r="O3293" s="1"/>
    </row>
    <row r="3294" spans="1:15" hidden="1">
      <c r="A3294" s="1"/>
      <c r="B3294" s="182" t="e">
        <f t="shared" ca="1" si="273"/>
        <v>#N/A</v>
      </c>
      <c r="C3294" s="500">
        <v>228</v>
      </c>
      <c r="D3294" s="41" t="e">
        <f>IF($C$1078&gt;0,VLOOKUP($C3294,PATRIMONIALE!$AJ$4:$AL$1003,3,FALSE),"")</f>
        <v>#N/A</v>
      </c>
      <c r="E3294" s="41" t="str">
        <f t="shared" si="272"/>
        <v/>
      </c>
      <c r="F3294" s="200"/>
      <c r="G3294" s="178" t="e">
        <f>IF($C$1078&gt;0,VLOOKUP($C3294,PATRIMONIALE!$AJ$4:$AN$1003,5,FALSE),"")</f>
        <v>#N/A</v>
      </c>
      <c r="H3294" s="179" t="e">
        <f>IF($C$1078&gt;0,VLOOKUP($C3294,PATRIMONIALE!$AJ$4:$AO$1003,6,FALSE),"")</f>
        <v>#N/A</v>
      </c>
      <c r="I3294" s="187"/>
      <c r="J3294" s="140" t="e">
        <f ca="1">VLOOKUP(D3294,$F$1081:$I$4183,4,FALSE)+COUNTIF(E$1081:E3293,E3294)</f>
        <v>#N/A</v>
      </c>
      <c r="K3294" s="1"/>
      <c r="L3294" s="161" t="e">
        <f>IF($C$1078&gt;0,VLOOKUP($C3294,PATRIMONIALE!$AJ$4:$AP$1003,7,FALSE),"")</f>
        <v>#N/A</v>
      </c>
      <c r="M3294" s="1"/>
      <c r="N3294" s="1"/>
      <c r="O3294" s="1"/>
    </row>
    <row r="3295" spans="1:15" hidden="1">
      <c r="A3295" s="1"/>
      <c r="B3295" s="182" t="e">
        <f t="shared" ca="1" si="273"/>
        <v>#N/A</v>
      </c>
      <c r="C3295" s="500">
        <v>229</v>
      </c>
      <c r="D3295" s="41" t="e">
        <f>IF($C$1078&gt;0,VLOOKUP($C3295,PATRIMONIALE!$AJ$4:$AL$1003,3,FALSE),"")</f>
        <v>#N/A</v>
      </c>
      <c r="E3295" s="41" t="str">
        <f t="shared" si="272"/>
        <v/>
      </c>
      <c r="F3295" s="200"/>
      <c r="G3295" s="178" t="e">
        <f>IF($C$1078&gt;0,VLOOKUP($C3295,PATRIMONIALE!$AJ$4:$AN$1003,5,FALSE),"")</f>
        <v>#N/A</v>
      </c>
      <c r="H3295" s="179" t="e">
        <f>IF($C$1078&gt;0,VLOOKUP($C3295,PATRIMONIALE!$AJ$4:$AO$1003,6,FALSE),"")</f>
        <v>#N/A</v>
      </c>
      <c r="I3295" s="187"/>
      <c r="J3295" s="140" t="e">
        <f ca="1">VLOOKUP(D3295,$F$1081:$I$4183,4,FALSE)+COUNTIF(E$1081:E3294,E3295)</f>
        <v>#N/A</v>
      </c>
      <c r="K3295" s="1"/>
      <c r="L3295" s="161" t="e">
        <f>IF($C$1078&gt;0,VLOOKUP($C3295,PATRIMONIALE!$AJ$4:$AP$1003,7,FALSE),"")</f>
        <v>#N/A</v>
      </c>
      <c r="M3295" s="1"/>
      <c r="N3295" s="1"/>
      <c r="O3295" s="1"/>
    </row>
    <row r="3296" spans="1:15" hidden="1">
      <c r="A3296" s="1"/>
      <c r="B3296" s="182" t="e">
        <f t="shared" ca="1" si="273"/>
        <v>#N/A</v>
      </c>
      <c r="C3296" s="500">
        <v>230</v>
      </c>
      <c r="D3296" s="41" t="e">
        <f>IF($C$1078&gt;0,VLOOKUP($C3296,PATRIMONIALE!$AJ$4:$AL$1003,3,FALSE),"")</f>
        <v>#N/A</v>
      </c>
      <c r="E3296" s="41" t="str">
        <f t="shared" si="272"/>
        <v/>
      </c>
      <c r="F3296" s="200"/>
      <c r="G3296" s="178" t="e">
        <f>IF($C$1078&gt;0,VLOOKUP($C3296,PATRIMONIALE!$AJ$4:$AN$1003,5,FALSE),"")</f>
        <v>#N/A</v>
      </c>
      <c r="H3296" s="179" t="e">
        <f>IF($C$1078&gt;0,VLOOKUP($C3296,PATRIMONIALE!$AJ$4:$AO$1003,6,FALSE),"")</f>
        <v>#N/A</v>
      </c>
      <c r="I3296" s="187"/>
      <c r="J3296" s="140" t="e">
        <f ca="1">VLOOKUP(D3296,$F$1081:$I$4183,4,FALSE)+COUNTIF(E$1081:E3295,E3296)</f>
        <v>#N/A</v>
      </c>
      <c r="K3296" s="1"/>
      <c r="L3296" s="161" t="e">
        <f>IF($C$1078&gt;0,VLOOKUP($C3296,PATRIMONIALE!$AJ$4:$AP$1003,7,FALSE),"")</f>
        <v>#N/A</v>
      </c>
      <c r="M3296" s="1"/>
      <c r="N3296" s="1"/>
      <c r="O3296" s="1"/>
    </row>
    <row r="3297" spans="1:15" hidden="1">
      <c r="A3297" s="1"/>
      <c r="B3297" s="182" t="e">
        <f t="shared" ca="1" si="273"/>
        <v>#N/A</v>
      </c>
      <c r="C3297" s="500">
        <v>231</v>
      </c>
      <c r="D3297" s="41" t="e">
        <f>IF($C$1078&gt;0,VLOOKUP($C3297,PATRIMONIALE!$AJ$4:$AL$1003,3,FALSE),"")</f>
        <v>#N/A</v>
      </c>
      <c r="E3297" s="41" t="str">
        <f t="shared" si="272"/>
        <v/>
      </c>
      <c r="F3297" s="200"/>
      <c r="G3297" s="178" t="e">
        <f>IF($C$1078&gt;0,VLOOKUP($C3297,PATRIMONIALE!$AJ$4:$AN$1003,5,FALSE),"")</f>
        <v>#N/A</v>
      </c>
      <c r="H3297" s="179" t="e">
        <f>IF($C$1078&gt;0,VLOOKUP($C3297,PATRIMONIALE!$AJ$4:$AO$1003,6,FALSE),"")</f>
        <v>#N/A</v>
      </c>
      <c r="I3297" s="187"/>
      <c r="J3297" s="140" t="e">
        <f ca="1">VLOOKUP(D3297,$F$1081:$I$4183,4,FALSE)+COUNTIF(E$1081:E3296,E3297)</f>
        <v>#N/A</v>
      </c>
      <c r="K3297" s="1"/>
      <c r="L3297" s="161" t="e">
        <f>IF($C$1078&gt;0,VLOOKUP($C3297,PATRIMONIALE!$AJ$4:$AP$1003,7,FALSE),"")</f>
        <v>#N/A</v>
      </c>
      <c r="M3297" s="1"/>
      <c r="N3297" s="1"/>
      <c r="O3297" s="1"/>
    </row>
    <row r="3298" spans="1:15" hidden="1">
      <c r="A3298" s="1"/>
      <c r="B3298" s="182" t="e">
        <f t="shared" ca="1" si="273"/>
        <v>#N/A</v>
      </c>
      <c r="C3298" s="500">
        <v>232</v>
      </c>
      <c r="D3298" s="41" t="e">
        <f>IF($C$1078&gt;0,VLOOKUP($C3298,PATRIMONIALE!$AJ$4:$AL$1003,3,FALSE),"")</f>
        <v>#N/A</v>
      </c>
      <c r="E3298" s="41" t="str">
        <f t="shared" ref="E3298:E3361" si="274">IF(ISERROR(D3298),"",D3298)</f>
        <v/>
      </c>
      <c r="F3298" s="200"/>
      <c r="G3298" s="178" t="e">
        <f>IF($C$1078&gt;0,VLOOKUP($C3298,PATRIMONIALE!$AJ$4:$AN$1003,5,FALSE),"")</f>
        <v>#N/A</v>
      </c>
      <c r="H3298" s="179" t="e">
        <f>IF($C$1078&gt;0,VLOOKUP($C3298,PATRIMONIALE!$AJ$4:$AO$1003,6,FALSE),"")</f>
        <v>#N/A</v>
      </c>
      <c r="I3298" s="187"/>
      <c r="J3298" s="140" t="e">
        <f ca="1">VLOOKUP(D3298,$F$1081:$I$4183,4,FALSE)+COUNTIF(E$1081:E3297,E3298)</f>
        <v>#N/A</v>
      </c>
      <c r="K3298" s="1"/>
      <c r="L3298" s="161" t="e">
        <f>IF($C$1078&gt;0,VLOOKUP($C3298,PATRIMONIALE!$AJ$4:$AP$1003,7,FALSE),"")</f>
        <v>#N/A</v>
      </c>
      <c r="M3298" s="1"/>
      <c r="N3298" s="1"/>
      <c r="O3298" s="1"/>
    </row>
    <row r="3299" spans="1:15" hidden="1">
      <c r="A3299" s="1"/>
      <c r="B3299" s="182" t="e">
        <f t="shared" ca="1" si="273"/>
        <v>#N/A</v>
      </c>
      <c r="C3299" s="500">
        <v>233</v>
      </c>
      <c r="D3299" s="41" t="e">
        <f>IF($C$1078&gt;0,VLOOKUP($C3299,PATRIMONIALE!$AJ$4:$AL$1003,3,FALSE),"")</f>
        <v>#N/A</v>
      </c>
      <c r="E3299" s="41" t="str">
        <f t="shared" si="274"/>
        <v/>
      </c>
      <c r="F3299" s="200"/>
      <c r="G3299" s="178" t="e">
        <f>IF($C$1078&gt;0,VLOOKUP($C3299,PATRIMONIALE!$AJ$4:$AN$1003,5,FALSE),"")</f>
        <v>#N/A</v>
      </c>
      <c r="H3299" s="179" t="e">
        <f>IF($C$1078&gt;0,VLOOKUP($C3299,PATRIMONIALE!$AJ$4:$AO$1003,6,FALSE),"")</f>
        <v>#N/A</v>
      </c>
      <c r="I3299" s="187"/>
      <c r="J3299" s="140" t="e">
        <f ca="1">VLOOKUP(D3299,$F$1081:$I$4183,4,FALSE)+COUNTIF(E$1081:E3298,E3299)</f>
        <v>#N/A</v>
      </c>
      <c r="K3299" s="1"/>
      <c r="L3299" s="161" t="e">
        <f>IF($C$1078&gt;0,VLOOKUP($C3299,PATRIMONIALE!$AJ$4:$AP$1003,7,FALSE),"")</f>
        <v>#N/A</v>
      </c>
      <c r="M3299" s="1"/>
      <c r="N3299" s="1"/>
      <c r="O3299" s="1"/>
    </row>
    <row r="3300" spans="1:15" hidden="1">
      <c r="A3300" s="1"/>
      <c r="B3300" s="182" t="e">
        <f t="shared" ca="1" si="273"/>
        <v>#N/A</v>
      </c>
      <c r="C3300" s="500">
        <v>234</v>
      </c>
      <c r="D3300" s="41" t="e">
        <f>IF($C$1078&gt;0,VLOOKUP($C3300,PATRIMONIALE!$AJ$4:$AL$1003,3,FALSE),"")</f>
        <v>#N/A</v>
      </c>
      <c r="E3300" s="41" t="str">
        <f t="shared" si="274"/>
        <v/>
      </c>
      <c r="F3300" s="200"/>
      <c r="G3300" s="178" t="e">
        <f>IF($C$1078&gt;0,VLOOKUP($C3300,PATRIMONIALE!$AJ$4:$AN$1003,5,FALSE),"")</f>
        <v>#N/A</v>
      </c>
      <c r="H3300" s="179" t="e">
        <f>IF($C$1078&gt;0,VLOOKUP($C3300,PATRIMONIALE!$AJ$4:$AO$1003,6,FALSE),"")</f>
        <v>#N/A</v>
      </c>
      <c r="I3300" s="187"/>
      <c r="J3300" s="140" t="e">
        <f ca="1">VLOOKUP(D3300,$F$1081:$I$4183,4,FALSE)+COUNTIF(E$1081:E3299,E3300)</f>
        <v>#N/A</v>
      </c>
      <c r="K3300" s="1"/>
      <c r="L3300" s="161" t="e">
        <f>IF($C$1078&gt;0,VLOOKUP($C3300,PATRIMONIALE!$AJ$4:$AP$1003,7,FALSE),"")</f>
        <v>#N/A</v>
      </c>
      <c r="M3300" s="1"/>
      <c r="N3300" s="1"/>
      <c r="O3300" s="1"/>
    </row>
    <row r="3301" spans="1:15" hidden="1">
      <c r="A3301" s="1"/>
      <c r="B3301" s="182" t="e">
        <f t="shared" ca="1" si="273"/>
        <v>#N/A</v>
      </c>
      <c r="C3301" s="500">
        <v>235</v>
      </c>
      <c r="D3301" s="41" t="e">
        <f>IF($C$1078&gt;0,VLOOKUP($C3301,PATRIMONIALE!$AJ$4:$AL$1003,3,FALSE),"")</f>
        <v>#N/A</v>
      </c>
      <c r="E3301" s="41" t="str">
        <f t="shared" si="274"/>
        <v/>
      </c>
      <c r="F3301" s="200"/>
      <c r="G3301" s="178" t="e">
        <f>IF($C$1078&gt;0,VLOOKUP($C3301,PATRIMONIALE!$AJ$4:$AN$1003,5,FALSE),"")</f>
        <v>#N/A</v>
      </c>
      <c r="H3301" s="179" t="e">
        <f>IF($C$1078&gt;0,VLOOKUP($C3301,PATRIMONIALE!$AJ$4:$AO$1003,6,FALSE),"")</f>
        <v>#N/A</v>
      </c>
      <c r="I3301" s="187"/>
      <c r="J3301" s="140" t="e">
        <f ca="1">VLOOKUP(D3301,$F$1081:$I$4183,4,FALSE)+COUNTIF(E$1081:E3300,E3301)</f>
        <v>#N/A</v>
      </c>
      <c r="K3301" s="1"/>
      <c r="L3301" s="161" t="e">
        <f>IF($C$1078&gt;0,VLOOKUP($C3301,PATRIMONIALE!$AJ$4:$AP$1003,7,FALSE),"")</f>
        <v>#N/A</v>
      </c>
      <c r="M3301" s="1"/>
      <c r="N3301" s="1"/>
      <c r="O3301" s="1"/>
    </row>
    <row r="3302" spans="1:15" hidden="1">
      <c r="A3302" s="1"/>
      <c r="B3302" s="182" t="e">
        <f t="shared" ca="1" si="273"/>
        <v>#N/A</v>
      </c>
      <c r="C3302" s="500">
        <v>236</v>
      </c>
      <c r="D3302" s="41" t="e">
        <f>IF($C$1078&gt;0,VLOOKUP($C3302,PATRIMONIALE!$AJ$4:$AL$1003,3,FALSE),"")</f>
        <v>#N/A</v>
      </c>
      <c r="E3302" s="41" t="str">
        <f t="shared" si="274"/>
        <v/>
      </c>
      <c r="F3302" s="200"/>
      <c r="G3302" s="178" t="e">
        <f>IF($C$1078&gt;0,VLOOKUP($C3302,PATRIMONIALE!$AJ$4:$AN$1003,5,FALSE),"")</f>
        <v>#N/A</v>
      </c>
      <c r="H3302" s="179" t="e">
        <f>IF($C$1078&gt;0,VLOOKUP($C3302,PATRIMONIALE!$AJ$4:$AO$1003,6,FALSE),"")</f>
        <v>#N/A</v>
      </c>
      <c r="I3302" s="187"/>
      <c r="J3302" s="140" t="e">
        <f ca="1">VLOOKUP(D3302,$F$1081:$I$4183,4,FALSE)+COUNTIF(E$1081:E3301,E3302)</f>
        <v>#N/A</v>
      </c>
      <c r="K3302" s="1"/>
      <c r="L3302" s="161" t="e">
        <f>IF($C$1078&gt;0,VLOOKUP($C3302,PATRIMONIALE!$AJ$4:$AP$1003,7,FALSE),"")</f>
        <v>#N/A</v>
      </c>
      <c r="M3302" s="1"/>
      <c r="N3302" s="1"/>
      <c r="O3302" s="1"/>
    </row>
    <row r="3303" spans="1:15" hidden="1">
      <c r="A3303" s="1"/>
      <c r="B3303" s="182" t="e">
        <f t="shared" ca="1" si="273"/>
        <v>#N/A</v>
      </c>
      <c r="C3303" s="500">
        <v>237</v>
      </c>
      <c r="D3303" s="41" t="e">
        <f>IF($C$1078&gt;0,VLOOKUP($C3303,PATRIMONIALE!$AJ$4:$AL$1003,3,FALSE),"")</f>
        <v>#N/A</v>
      </c>
      <c r="E3303" s="41" t="str">
        <f t="shared" si="274"/>
        <v/>
      </c>
      <c r="F3303" s="200"/>
      <c r="G3303" s="178" t="e">
        <f>IF($C$1078&gt;0,VLOOKUP($C3303,PATRIMONIALE!$AJ$4:$AN$1003,5,FALSE),"")</f>
        <v>#N/A</v>
      </c>
      <c r="H3303" s="179" t="e">
        <f>IF($C$1078&gt;0,VLOOKUP($C3303,PATRIMONIALE!$AJ$4:$AO$1003,6,FALSE),"")</f>
        <v>#N/A</v>
      </c>
      <c r="I3303" s="187"/>
      <c r="J3303" s="140" t="e">
        <f ca="1">VLOOKUP(D3303,$F$1081:$I$4183,4,FALSE)+COUNTIF(E$1081:E3302,E3303)</f>
        <v>#N/A</v>
      </c>
      <c r="K3303" s="1"/>
      <c r="L3303" s="161" t="e">
        <f>IF($C$1078&gt;0,VLOOKUP($C3303,PATRIMONIALE!$AJ$4:$AP$1003,7,FALSE),"")</f>
        <v>#N/A</v>
      </c>
      <c r="M3303" s="1"/>
      <c r="N3303" s="1"/>
      <c r="O3303" s="1"/>
    </row>
    <row r="3304" spans="1:15" hidden="1">
      <c r="A3304" s="1"/>
      <c r="B3304" s="182" t="e">
        <f t="shared" ca="1" si="273"/>
        <v>#N/A</v>
      </c>
      <c r="C3304" s="500">
        <v>238</v>
      </c>
      <c r="D3304" s="41" t="e">
        <f>IF($C$1078&gt;0,VLOOKUP($C3304,PATRIMONIALE!$AJ$4:$AL$1003,3,FALSE),"")</f>
        <v>#N/A</v>
      </c>
      <c r="E3304" s="41" t="str">
        <f t="shared" si="274"/>
        <v/>
      </c>
      <c r="F3304" s="200"/>
      <c r="G3304" s="178" t="e">
        <f>IF($C$1078&gt;0,VLOOKUP($C3304,PATRIMONIALE!$AJ$4:$AN$1003,5,FALSE),"")</f>
        <v>#N/A</v>
      </c>
      <c r="H3304" s="179" t="e">
        <f>IF($C$1078&gt;0,VLOOKUP($C3304,PATRIMONIALE!$AJ$4:$AO$1003,6,FALSE),"")</f>
        <v>#N/A</v>
      </c>
      <c r="I3304" s="187"/>
      <c r="J3304" s="140" t="e">
        <f ca="1">VLOOKUP(D3304,$F$1081:$I$4183,4,FALSE)+COUNTIF(E$1081:E3303,E3304)</f>
        <v>#N/A</v>
      </c>
      <c r="K3304" s="1"/>
      <c r="L3304" s="161" t="e">
        <f>IF($C$1078&gt;0,VLOOKUP($C3304,PATRIMONIALE!$AJ$4:$AP$1003,7,FALSE),"")</f>
        <v>#N/A</v>
      </c>
      <c r="M3304" s="1"/>
      <c r="N3304" s="1"/>
      <c r="O3304" s="1"/>
    </row>
    <row r="3305" spans="1:15" hidden="1">
      <c r="A3305" s="1"/>
      <c r="B3305" s="182" t="e">
        <f t="shared" ca="1" si="273"/>
        <v>#N/A</v>
      </c>
      <c r="C3305" s="500">
        <v>239</v>
      </c>
      <c r="D3305" s="41" t="e">
        <f>IF($C$1078&gt;0,VLOOKUP($C3305,PATRIMONIALE!$AJ$4:$AL$1003,3,FALSE),"")</f>
        <v>#N/A</v>
      </c>
      <c r="E3305" s="41" t="str">
        <f t="shared" si="274"/>
        <v/>
      </c>
      <c r="F3305" s="200"/>
      <c r="G3305" s="178" t="e">
        <f>IF($C$1078&gt;0,VLOOKUP($C3305,PATRIMONIALE!$AJ$4:$AN$1003,5,FALSE),"")</f>
        <v>#N/A</v>
      </c>
      <c r="H3305" s="179" t="e">
        <f>IF($C$1078&gt;0,VLOOKUP($C3305,PATRIMONIALE!$AJ$4:$AO$1003,6,FALSE),"")</f>
        <v>#N/A</v>
      </c>
      <c r="I3305" s="187"/>
      <c r="J3305" s="140" t="e">
        <f ca="1">VLOOKUP(D3305,$F$1081:$I$4183,4,FALSE)+COUNTIF(E$1081:E3304,E3305)</f>
        <v>#N/A</v>
      </c>
      <c r="K3305" s="1"/>
      <c r="L3305" s="161" t="e">
        <f>IF($C$1078&gt;0,VLOOKUP($C3305,PATRIMONIALE!$AJ$4:$AP$1003,7,FALSE),"")</f>
        <v>#N/A</v>
      </c>
      <c r="M3305" s="1"/>
      <c r="N3305" s="1"/>
      <c r="O3305" s="1"/>
    </row>
    <row r="3306" spans="1:15" hidden="1">
      <c r="A3306" s="1"/>
      <c r="B3306" s="182" t="e">
        <f t="shared" ca="1" si="273"/>
        <v>#N/A</v>
      </c>
      <c r="C3306" s="500">
        <v>240</v>
      </c>
      <c r="D3306" s="41" t="e">
        <f>IF($C$1078&gt;0,VLOOKUP($C3306,PATRIMONIALE!$AJ$4:$AL$1003,3,FALSE),"")</f>
        <v>#N/A</v>
      </c>
      <c r="E3306" s="41" t="str">
        <f t="shared" si="274"/>
        <v/>
      </c>
      <c r="F3306" s="200"/>
      <c r="G3306" s="178" t="e">
        <f>IF($C$1078&gt;0,VLOOKUP($C3306,PATRIMONIALE!$AJ$4:$AN$1003,5,FALSE),"")</f>
        <v>#N/A</v>
      </c>
      <c r="H3306" s="179" t="e">
        <f>IF($C$1078&gt;0,VLOOKUP($C3306,PATRIMONIALE!$AJ$4:$AO$1003,6,FALSE),"")</f>
        <v>#N/A</v>
      </c>
      <c r="I3306" s="187"/>
      <c r="J3306" s="140" t="e">
        <f ca="1">VLOOKUP(D3306,$F$1081:$I$4183,4,FALSE)+COUNTIF(E$1081:E3305,E3306)</f>
        <v>#N/A</v>
      </c>
      <c r="K3306" s="1"/>
      <c r="L3306" s="161" t="e">
        <f>IF($C$1078&gt;0,VLOOKUP($C3306,PATRIMONIALE!$AJ$4:$AP$1003,7,FALSE),"")</f>
        <v>#N/A</v>
      </c>
      <c r="M3306" s="1"/>
      <c r="N3306" s="1"/>
      <c r="O3306" s="1"/>
    </row>
    <row r="3307" spans="1:15" hidden="1">
      <c r="A3307" s="1"/>
      <c r="B3307" s="182" t="e">
        <f t="shared" ca="1" si="273"/>
        <v>#N/A</v>
      </c>
      <c r="C3307" s="500">
        <v>241</v>
      </c>
      <c r="D3307" s="41" t="e">
        <f>IF($C$1078&gt;0,VLOOKUP($C3307,PATRIMONIALE!$AJ$4:$AL$1003,3,FALSE),"")</f>
        <v>#N/A</v>
      </c>
      <c r="E3307" s="41" t="str">
        <f t="shared" si="274"/>
        <v/>
      </c>
      <c r="F3307" s="200"/>
      <c r="G3307" s="178" t="e">
        <f>IF($C$1078&gt;0,VLOOKUP($C3307,PATRIMONIALE!$AJ$4:$AN$1003,5,FALSE),"")</f>
        <v>#N/A</v>
      </c>
      <c r="H3307" s="179" t="e">
        <f>IF($C$1078&gt;0,VLOOKUP($C3307,PATRIMONIALE!$AJ$4:$AO$1003,6,FALSE),"")</f>
        <v>#N/A</v>
      </c>
      <c r="I3307" s="187"/>
      <c r="J3307" s="140" t="e">
        <f ca="1">VLOOKUP(D3307,$F$1081:$I$4183,4,FALSE)+COUNTIF(E$1081:E3306,E3307)</f>
        <v>#N/A</v>
      </c>
      <c r="K3307" s="1"/>
      <c r="L3307" s="161" t="e">
        <f>IF($C$1078&gt;0,VLOOKUP($C3307,PATRIMONIALE!$AJ$4:$AP$1003,7,FALSE),"")</f>
        <v>#N/A</v>
      </c>
      <c r="M3307" s="1"/>
      <c r="N3307" s="1"/>
      <c r="O3307" s="1"/>
    </row>
    <row r="3308" spans="1:15" hidden="1">
      <c r="A3308" s="1"/>
      <c r="B3308" s="182" t="e">
        <f t="shared" ca="1" si="273"/>
        <v>#N/A</v>
      </c>
      <c r="C3308" s="500">
        <v>242</v>
      </c>
      <c r="D3308" s="41" t="e">
        <f>IF($C$1078&gt;0,VLOOKUP($C3308,PATRIMONIALE!$AJ$4:$AL$1003,3,FALSE),"")</f>
        <v>#N/A</v>
      </c>
      <c r="E3308" s="41" t="str">
        <f t="shared" si="274"/>
        <v/>
      </c>
      <c r="F3308" s="200"/>
      <c r="G3308" s="178" t="e">
        <f>IF($C$1078&gt;0,VLOOKUP($C3308,PATRIMONIALE!$AJ$4:$AN$1003,5,FALSE),"")</f>
        <v>#N/A</v>
      </c>
      <c r="H3308" s="179" t="e">
        <f>IF($C$1078&gt;0,VLOOKUP($C3308,PATRIMONIALE!$AJ$4:$AO$1003,6,FALSE),"")</f>
        <v>#N/A</v>
      </c>
      <c r="I3308" s="187"/>
      <c r="J3308" s="140" t="e">
        <f ca="1">VLOOKUP(D3308,$F$1081:$I$4183,4,FALSE)+COUNTIF(E$1081:E3307,E3308)</f>
        <v>#N/A</v>
      </c>
      <c r="K3308" s="1"/>
      <c r="L3308" s="161" t="e">
        <f>IF($C$1078&gt;0,VLOOKUP($C3308,PATRIMONIALE!$AJ$4:$AP$1003,7,FALSE),"")</f>
        <v>#N/A</v>
      </c>
      <c r="M3308" s="1"/>
      <c r="N3308" s="1"/>
      <c r="O3308" s="1"/>
    </row>
    <row r="3309" spans="1:15" hidden="1">
      <c r="A3309" s="1"/>
      <c r="B3309" s="182" t="e">
        <f t="shared" ca="1" si="273"/>
        <v>#N/A</v>
      </c>
      <c r="C3309" s="500">
        <v>243</v>
      </c>
      <c r="D3309" s="41" t="e">
        <f>IF($C$1078&gt;0,VLOOKUP($C3309,PATRIMONIALE!$AJ$4:$AL$1003,3,FALSE),"")</f>
        <v>#N/A</v>
      </c>
      <c r="E3309" s="41" t="str">
        <f t="shared" si="274"/>
        <v/>
      </c>
      <c r="F3309" s="200"/>
      <c r="G3309" s="178" t="e">
        <f>IF($C$1078&gt;0,VLOOKUP($C3309,PATRIMONIALE!$AJ$4:$AN$1003,5,FALSE),"")</f>
        <v>#N/A</v>
      </c>
      <c r="H3309" s="179" t="e">
        <f>IF($C$1078&gt;0,VLOOKUP($C3309,PATRIMONIALE!$AJ$4:$AO$1003,6,FALSE),"")</f>
        <v>#N/A</v>
      </c>
      <c r="I3309" s="187"/>
      <c r="J3309" s="140" t="e">
        <f ca="1">VLOOKUP(D3309,$F$1081:$I$4183,4,FALSE)+COUNTIF(E$1081:E3308,E3309)</f>
        <v>#N/A</v>
      </c>
      <c r="K3309" s="1"/>
      <c r="L3309" s="161" t="e">
        <f>IF($C$1078&gt;0,VLOOKUP($C3309,PATRIMONIALE!$AJ$4:$AP$1003,7,FALSE),"")</f>
        <v>#N/A</v>
      </c>
      <c r="M3309" s="1"/>
      <c r="N3309" s="1"/>
      <c r="O3309" s="1"/>
    </row>
    <row r="3310" spans="1:15" hidden="1">
      <c r="A3310" s="1"/>
      <c r="B3310" s="182" t="e">
        <f t="shared" ca="1" si="273"/>
        <v>#N/A</v>
      </c>
      <c r="C3310" s="500">
        <v>244</v>
      </c>
      <c r="D3310" s="41" t="e">
        <f>IF($C$1078&gt;0,VLOOKUP($C3310,PATRIMONIALE!$AJ$4:$AL$1003,3,FALSE),"")</f>
        <v>#N/A</v>
      </c>
      <c r="E3310" s="41" t="str">
        <f t="shared" si="274"/>
        <v/>
      </c>
      <c r="F3310" s="200"/>
      <c r="G3310" s="178" t="e">
        <f>IF($C$1078&gt;0,VLOOKUP($C3310,PATRIMONIALE!$AJ$4:$AN$1003,5,FALSE),"")</f>
        <v>#N/A</v>
      </c>
      <c r="H3310" s="179" t="e">
        <f>IF($C$1078&gt;0,VLOOKUP($C3310,PATRIMONIALE!$AJ$4:$AO$1003,6,FALSE),"")</f>
        <v>#N/A</v>
      </c>
      <c r="I3310" s="187"/>
      <c r="J3310" s="140" t="e">
        <f ca="1">VLOOKUP(D3310,$F$1081:$I$4183,4,FALSE)+COUNTIF(E$1081:E3309,E3310)</f>
        <v>#N/A</v>
      </c>
      <c r="K3310" s="1"/>
      <c r="L3310" s="161" t="e">
        <f>IF($C$1078&gt;0,VLOOKUP($C3310,PATRIMONIALE!$AJ$4:$AP$1003,7,FALSE),"")</f>
        <v>#N/A</v>
      </c>
      <c r="M3310" s="1"/>
      <c r="N3310" s="1"/>
      <c r="O3310" s="1"/>
    </row>
    <row r="3311" spans="1:15" hidden="1">
      <c r="A3311" s="1"/>
      <c r="B3311" s="182" t="e">
        <f t="shared" ca="1" si="273"/>
        <v>#N/A</v>
      </c>
      <c r="C3311" s="500">
        <v>245</v>
      </c>
      <c r="D3311" s="41" t="e">
        <f>IF($C$1078&gt;0,VLOOKUP($C3311,PATRIMONIALE!$AJ$4:$AL$1003,3,FALSE),"")</f>
        <v>#N/A</v>
      </c>
      <c r="E3311" s="41" t="str">
        <f t="shared" si="274"/>
        <v/>
      </c>
      <c r="F3311" s="200"/>
      <c r="G3311" s="178" t="e">
        <f>IF($C$1078&gt;0,VLOOKUP($C3311,PATRIMONIALE!$AJ$4:$AN$1003,5,FALSE),"")</f>
        <v>#N/A</v>
      </c>
      <c r="H3311" s="179" t="e">
        <f>IF($C$1078&gt;0,VLOOKUP($C3311,PATRIMONIALE!$AJ$4:$AO$1003,6,FALSE),"")</f>
        <v>#N/A</v>
      </c>
      <c r="I3311" s="187"/>
      <c r="J3311" s="140" t="e">
        <f ca="1">VLOOKUP(D3311,$F$1081:$I$4183,4,FALSE)+COUNTIF(E$1081:E3310,E3311)</f>
        <v>#N/A</v>
      </c>
      <c r="K3311" s="1"/>
      <c r="L3311" s="161" t="e">
        <f>IF($C$1078&gt;0,VLOOKUP($C3311,PATRIMONIALE!$AJ$4:$AP$1003,7,FALSE),"")</f>
        <v>#N/A</v>
      </c>
      <c r="M3311" s="1"/>
      <c r="N3311" s="1"/>
      <c r="O3311" s="1"/>
    </row>
    <row r="3312" spans="1:15" hidden="1">
      <c r="A3312" s="1"/>
      <c r="B3312" s="182" t="e">
        <f t="shared" ca="1" si="273"/>
        <v>#N/A</v>
      </c>
      <c r="C3312" s="500">
        <v>246</v>
      </c>
      <c r="D3312" s="41" t="e">
        <f>IF($C$1078&gt;0,VLOOKUP($C3312,PATRIMONIALE!$AJ$4:$AL$1003,3,FALSE),"")</f>
        <v>#N/A</v>
      </c>
      <c r="E3312" s="41" t="str">
        <f t="shared" si="274"/>
        <v/>
      </c>
      <c r="F3312" s="200"/>
      <c r="G3312" s="178" t="e">
        <f>IF($C$1078&gt;0,VLOOKUP($C3312,PATRIMONIALE!$AJ$4:$AN$1003,5,FALSE),"")</f>
        <v>#N/A</v>
      </c>
      <c r="H3312" s="179" t="e">
        <f>IF($C$1078&gt;0,VLOOKUP($C3312,PATRIMONIALE!$AJ$4:$AO$1003,6,FALSE),"")</f>
        <v>#N/A</v>
      </c>
      <c r="I3312" s="187"/>
      <c r="J3312" s="140" t="e">
        <f ca="1">VLOOKUP(D3312,$F$1081:$I$4183,4,FALSE)+COUNTIF(E$1081:E3311,E3312)</f>
        <v>#N/A</v>
      </c>
      <c r="K3312" s="1"/>
      <c r="L3312" s="161" t="e">
        <f>IF($C$1078&gt;0,VLOOKUP($C3312,PATRIMONIALE!$AJ$4:$AP$1003,7,FALSE),"")</f>
        <v>#N/A</v>
      </c>
      <c r="M3312" s="1"/>
      <c r="N3312" s="1"/>
      <c r="O3312" s="1"/>
    </row>
    <row r="3313" spans="1:15" hidden="1">
      <c r="A3313" s="1"/>
      <c r="B3313" s="182" t="e">
        <f t="shared" ca="1" si="273"/>
        <v>#N/A</v>
      </c>
      <c r="C3313" s="500">
        <v>247</v>
      </c>
      <c r="D3313" s="41" t="e">
        <f>IF($C$1078&gt;0,VLOOKUP($C3313,PATRIMONIALE!$AJ$4:$AL$1003,3,FALSE),"")</f>
        <v>#N/A</v>
      </c>
      <c r="E3313" s="41" t="str">
        <f t="shared" si="274"/>
        <v/>
      </c>
      <c r="F3313" s="200"/>
      <c r="G3313" s="178" t="e">
        <f>IF($C$1078&gt;0,VLOOKUP($C3313,PATRIMONIALE!$AJ$4:$AN$1003,5,FALSE),"")</f>
        <v>#N/A</v>
      </c>
      <c r="H3313" s="179" t="e">
        <f>IF($C$1078&gt;0,VLOOKUP($C3313,PATRIMONIALE!$AJ$4:$AO$1003,6,FALSE),"")</f>
        <v>#N/A</v>
      </c>
      <c r="I3313" s="187"/>
      <c r="J3313" s="140" t="e">
        <f ca="1">VLOOKUP(D3313,$F$1081:$I$4183,4,FALSE)+COUNTIF(E$1081:E3312,E3313)</f>
        <v>#N/A</v>
      </c>
      <c r="K3313" s="1"/>
      <c r="L3313" s="161" t="e">
        <f>IF($C$1078&gt;0,VLOOKUP($C3313,PATRIMONIALE!$AJ$4:$AP$1003,7,FALSE),"")</f>
        <v>#N/A</v>
      </c>
      <c r="M3313" s="1"/>
      <c r="N3313" s="1"/>
      <c r="O3313" s="1"/>
    </row>
    <row r="3314" spans="1:15" hidden="1">
      <c r="A3314" s="1"/>
      <c r="B3314" s="182" t="e">
        <f t="shared" ca="1" si="273"/>
        <v>#N/A</v>
      </c>
      <c r="C3314" s="500">
        <v>248</v>
      </c>
      <c r="D3314" s="41" t="e">
        <f>IF($C$1078&gt;0,VLOOKUP($C3314,PATRIMONIALE!$AJ$4:$AL$1003,3,FALSE),"")</f>
        <v>#N/A</v>
      </c>
      <c r="E3314" s="41" t="str">
        <f t="shared" si="274"/>
        <v/>
      </c>
      <c r="F3314" s="200"/>
      <c r="G3314" s="178" t="e">
        <f>IF($C$1078&gt;0,VLOOKUP($C3314,PATRIMONIALE!$AJ$4:$AN$1003,5,FALSE),"")</f>
        <v>#N/A</v>
      </c>
      <c r="H3314" s="179" t="e">
        <f>IF($C$1078&gt;0,VLOOKUP($C3314,PATRIMONIALE!$AJ$4:$AO$1003,6,FALSE),"")</f>
        <v>#N/A</v>
      </c>
      <c r="I3314" s="187"/>
      <c r="J3314" s="140" t="e">
        <f ca="1">VLOOKUP(D3314,$F$1081:$I$4183,4,FALSE)+COUNTIF(E$1081:E3313,E3314)</f>
        <v>#N/A</v>
      </c>
      <c r="K3314" s="1"/>
      <c r="L3314" s="161" t="e">
        <f>IF($C$1078&gt;0,VLOOKUP($C3314,PATRIMONIALE!$AJ$4:$AP$1003,7,FALSE),"")</f>
        <v>#N/A</v>
      </c>
      <c r="M3314" s="1"/>
      <c r="N3314" s="1"/>
      <c r="O3314" s="1"/>
    </row>
    <row r="3315" spans="1:15" hidden="1">
      <c r="A3315" s="1"/>
      <c r="B3315" s="182" t="e">
        <f t="shared" ca="1" si="273"/>
        <v>#N/A</v>
      </c>
      <c r="C3315" s="500">
        <v>249</v>
      </c>
      <c r="D3315" s="41" t="e">
        <f>IF($C$1078&gt;0,VLOOKUP($C3315,PATRIMONIALE!$AJ$4:$AL$1003,3,FALSE),"")</f>
        <v>#N/A</v>
      </c>
      <c r="E3315" s="41" t="str">
        <f t="shared" si="274"/>
        <v/>
      </c>
      <c r="F3315" s="200"/>
      <c r="G3315" s="178" t="e">
        <f>IF($C$1078&gt;0,VLOOKUP($C3315,PATRIMONIALE!$AJ$4:$AN$1003,5,FALSE),"")</f>
        <v>#N/A</v>
      </c>
      <c r="H3315" s="179" t="e">
        <f>IF($C$1078&gt;0,VLOOKUP($C3315,PATRIMONIALE!$AJ$4:$AO$1003,6,FALSE),"")</f>
        <v>#N/A</v>
      </c>
      <c r="I3315" s="187"/>
      <c r="J3315" s="140" t="e">
        <f ca="1">VLOOKUP(D3315,$F$1081:$I$4183,4,FALSE)+COUNTIF(E$1081:E3314,E3315)</f>
        <v>#N/A</v>
      </c>
      <c r="K3315" s="1"/>
      <c r="L3315" s="161" t="e">
        <f>IF($C$1078&gt;0,VLOOKUP($C3315,PATRIMONIALE!$AJ$4:$AP$1003,7,FALSE),"")</f>
        <v>#N/A</v>
      </c>
      <c r="M3315" s="1"/>
      <c r="N3315" s="1"/>
      <c r="O3315" s="1"/>
    </row>
    <row r="3316" spans="1:15" hidden="1">
      <c r="A3316" s="1"/>
      <c r="B3316" s="182" t="e">
        <f t="shared" ca="1" si="273"/>
        <v>#N/A</v>
      </c>
      <c r="C3316" s="500">
        <v>250</v>
      </c>
      <c r="D3316" s="41" t="e">
        <f>IF($C$1078&gt;0,VLOOKUP($C3316,PATRIMONIALE!$AJ$4:$AL$1003,3,FALSE),"")</f>
        <v>#N/A</v>
      </c>
      <c r="E3316" s="41" t="str">
        <f t="shared" si="274"/>
        <v/>
      </c>
      <c r="F3316" s="200"/>
      <c r="G3316" s="178" t="e">
        <f>IF($C$1078&gt;0,VLOOKUP($C3316,PATRIMONIALE!$AJ$4:$AN$1003,5,FALSE),"")</f>
        <v>#N/A</v>
      </c>
      <c r="H3316" s="179" t="e">
        <f>IF($C$1078&gt;0,VLOOKUP($C3316,PATRIMONIALE!$AJ$4:$AO$1003,6,FALSE),"")</f>
        <v>#N/A</v>
      </c>
      <c r="I3316" s="187"/>
      <c r="J3316" s="140" t="e">
        <f ca="1">VLOOKUP(D3316,$F$1081:$I$4183,4,FALSE)+COUNTIF(E$1081:E3315,E3316)</f>
        <v>#N/A</v>
      </c>
      <c r="K3316" s="1"/>
      <c r="L3316" s="161" t="e">
        <f>IF($C$1078&gt;0,VLOOKUP($C3316,PATRIMONIALE!$AJ$4:$AP$1003,7,FALSE),"")</f>
        <v>#N/A</v>
      </c>
      <c r="M3316" s="1"/>
      <c r="N3316" s="1"/>
      <c r="O3316" s="1"/>
    </row>
    <row r="3317" spans="1:15" hidden="1">
      <c r="A3317" s="1"/>
      <c r="B3317" s="182" t="e">
        <f t="shared" ca="1" si="273"/>
        <v>#N/A</v>
      </c>
      <c r="C3317" s="500">
        <v>251</v>
      </c>
      <c r="D3317" s="41" t="e">
        <f>IF($C$1078&gt;0,VLOOKUP($C3317,PATRIMONIALE!$AJ$4:$AL$1003,3,FALSE),"")</f>
        <v>#N/A</v>
      </c>
      <c r="E3317" s="41" t="str">
        <f t="shared" si="274"/>
        <v/>
      </c>
      <c r="F3317" s="200"/>
      <c r="G3317" s="178" t="e">
        <f>IF($C$1078&gt;0,VLOOKUP($C3317,PATRIMONIALE!$AJ$4:$AN$1003,5,FALSE),"")</f>
        <v>#N/A</v>
      </c>
      <c r="H3317" s="179" t="e">
        <f>IF($C$1078&gt;0,VLOOKUP($C3317,PATRIMONIALE!$AJ$4:$AO$1003,6,FALSE),"")</f>
        <v>#N/A</v>
      </c>
      <c r="I3317" s="187"/>
      <c r="J3317" s="140" t="e">
        <f ca="1">VLOOKUP(D3317,$F$1081:$I$4183,4,FALSE)+COUNTIF(E$1081:E3316,E3317)</f>
        <v>#N/A</v>
      </c>
      <c r="K3317" s="1"/>
      <c r="L3317" s="161" t="e">
        <f>IF($C$1078&gt;0,VLOOKUP($C3317,PATRIMONIALE!$AJ$4:$AP$1003,7,FALSE),"")</f>
        <v>#N/A</v>
      </c>
      <c r="M3317" s="1"/>
      <c r="N3317" s="1"/>
      <c r="O3317" s="1"/>
    </row>
    <row r="3318" spans="1:15" hidden="1">
      <c r="A3318" s="1"/>
      <c r="B3318" s="182" t="e">
        <f t="shared" ca="1" si="273"/>
        <v>#N/A</v>
      </c>
      <c r="C3318" s="500">
        <v>252</v>
      </c>
      <c r="D3318" s="41" t="e">
        <f>IF($C$1078&gt;0,VLOOKUP($C3318,PATRIMONIALE!$AJ$4:$AL$1003,3,FALSE),"")</f>
        <v>#N/A</v>
      </c>
      <c r="E3318" s="41" t="str">
        <f t="shared" si="274"/>
        <v/>
      </c>
      <c r="F3318" s="200"/>
      <c r="G3318" s="178" t="e">
        <f>IF($C$1078&gt;0,VLOOKUP($C3318,PATRIMONIALE!$AJ$4:$AN$1003,5,FALSE),"")</f>
        <v>#N/A</v>
      </c>
      <c r="H3318" s="179" t="e">
        <f>IF($C$1078&gt;0,VLOOKUP($C3318,PATRIMONIALE!$AJ$4:$AO$1003,6,FALSE),"")</f>
        <v>#N/A</v>
      </c>
      <c r="I3318" s="187"/>
      <c r="J3318" s="140" t="e">
        <f ca="1">VLOOKUP(D3318,$F$1081:$I$4183,4,FALSE)+COUNTIF(E$1081:E3317,E3318)</f>
        <v>#N/A</v>
      </c>
      <c r="K3318" s="1"/>
      <c r="L3318" s="161" t="e">
        <f>IF($C$1078&gt;0,VLOOKUP($C3318,PATRIMONIALE!$AJ$4:$AP$1003,7,FALSE),"")</f>
        <v>#N/A</v>
      </c>
      <c r="M3318" s="1"/>
      <c r="N3318" s="1"/>
      <c r="O3318" s="1"/>
    </row>
    <row r="3319" spans="1:15" hidden="1">
      <c r="A3319" s="1"/>
      <c r="B3319" s="182" t="e">
        <f t="shared" ca="1" si="273"/>
        <v>#N/A</v>
      </c>
      <c r="C3319" s="500">
        <v>253</v>
      </c>
      <c r="D3319" s="41" t="e">
        <f>IF($C$1078&gt;0,VLOOKUP($C3319,PATRIMONIALE!$AJ$4:$AL$1003,3,FALSE),"")</f>
        <v>#N/A</v>
      </c>
      <c r="E3319" s="41" t="str">
        <f t="shared" si="274"/>
        <v/>
      </c>
      <c r="F3319" s="200"/>
      <c r="G3319" s="178" t="e">
        <f>IF($C$1078&gt;0,VLOOKUP($C3319,PATRIMONIALE!$AJ$4:$AN$1003,5,FALSE),"")</f>
        <v>#N/A</v>
      </c>
      <c r="H3319" s="179" t="e">
        <f>IF($C$1078&gt;0,VLOOKUP($C3319,PATRIMONIALE!$AJ$4:$AO$1003,6,FALSE),"")</f>
        <v>#N/A</v>
      </c>
      <c r="I3319" s="187"/>
      <c r="J3319" s="140" t="e">
        <f ca="1">VLOOKUP(D3319,$F$1081:$I$4183,4,FALSE)+COUNTIF(E$1081:E3318,E3319)</f>
        <v>#N/A</v>
      </c>
      <c r="K3319" s="1"/>
      <c r="L3319" s="161" t="e">
        <f>IF($C$1078&gt;0,VLOOKUP($C3319,PATRIMONIALE!$AJ$4:$AP$1003,7,FALSE),"")</f>
        <v>#N/A</v>
      </c>
      <c r="M3319" s="1"/>
      <c r="N3319" s="1"/>
      <c r="O3319" s="1"/>
    </row>
    <row r="3320" spans="1:15" hidden="1">
      <c r="A3320" s="1"/>
      <c r="B3320" s="182" t="e">
        <f t="shared" ca="1" si="273"/>
        <v>#N/A</v>
      </c>
      <c r="C3320" s="500">
        <v>254</v>
      </c>
      <c r="D3320" s="41" t="e">
        <f>IF($C$1078&gt;0,VLOOKUP($C3320,PATRIMONIALE!$AJ$4:$AL$1003,3,FALSE),"")</f>
        <v>#N/A</v>
      </c>
      <c r="E3320" s="41" t="str">
        <f t="shared" si="274"/>
        <v/>
      </c>
      <c r="F3320" s="200"/>
      <c r="G3320" s="178" t="e">
        <f>IF($C$1078&gt;0,VLOOKUP($C3320,PATRIMONIALE!$AJ$4:$AN$1003,5,FALSE),"")</f>
        <v>#N/A</v>
      </c>
      <c r="H3320" s="179" t="e">
        <f>IF($C$1078&gt;0,VLOOKUP($C3320,PATRIMONIALE!$AJ$4:$AO$1003,6,FALSE),"")</f>
        <v>#N/A</v>
      </c>
      <c r="I3320" s="187"/>
      <c r="J3320" s="140" t="e">
        <f ca="1">VLOOKUP(D3320,$F$1081:$I$4183,4,FALSE)+COUNTIF(E$1081:E3319,E3320)</f>
        <v>#N/A</v>
      </c>
      <c r="K3320" s="1"/>
      <c r="L3320" s="161" t="e">
        <f>IF($C$1078&gt;0,VLOOKUP($C3320,PATRIMONIALE!$AJ$4:$AP$1003,7,FALSE),"")</f>
        <v>#N/A</v>
      </c>
      <c r="M3320" s="1"/>
      <c r="N3320" s="1"/>
      <c r="O3320" s="1"/>
    </row>
    <row r="3321" spans="1:15" hidden="1">
      <c r="A3321" s="1"/>
      <c r="B3321" s="182" t="e">
        <f t="shared" ref="B3321:B3384" ca="1" si="275">IF(OR(C$1075&gt;0,C$1077&gt;0,C$1073&gt;0,C$1071&gt;0),J3321+1,J3321)</f>
        <v>#N/A</v>
      </c>
      <c r="C3321" s="500">
        <v>255</v>
      </c>
      <c r="D3321" s="41" t="e">
        <f>IF($C$1078&gt;0,VLOOKUP($C3321,PATRIMONIALE!$AJ$4:$AL$1003,3,FALSE),"")</f>
        <v>#N/A</v>
      </c>
      <c r="E3321" s="41" t="str">
        <f t="shared" si="274"/>
        <v/>
      </c>
      <c r="F3321" s="200"/>
      <c r="G3321" s="178" t="e">
        <f>IF($C$1078&gt;0,VLOOKUP($C3321,PATRIMONIALE!$AJ$4:$AN$1003,5,FALSE),"")</f>
        <v>#N/A</v>
      </c>
      <c r="H3321" s="179" t="e">
        <f>IF($C$1078&gt;0,VLOOKUP($C3321,PATRIMONIALE!$AJ$4:$AO$1003,6,FALSE),"")</f>
        <v>#N/A</v>
      </c>
      <c r="I3321" s="187"/>
      <c r="J3321" s="140" t="e">
        <f ca="1">VLOOKUP(D3321,$F$1081:$I$4183,4,FALSE)+COUNTIF(E$1081:E3320,E3321)</f>
        <v>#N/A</v>
      </c>
      <c r="K3321" s="1"/>
      <c r="L3321" s="161" t="e">
        <f>IF($C$1078&gt;0,VLOOKUP($C3321,PATRIMONIALE!$AJ$4:$AP$1003,7,FALSE),"")</f>
        <v>#N/A</v>
      </c>
      <c r="M3321" s="1"/>
      <c r="N3321" s="1"/>
      <c r="O3321" s="1"/>
    </row>
    <row r="3322" spans="1:15" hidden="1">
      <c r="A3322" s="1"/>
      <c r="B3322" s="182" t="e">
        <f t="shared" ca="1" si="275"/>
        <v>#N/A</v>
      </c>
      <c r="C3322" s="500">
        <v>256</v>
      </c>
      <c r="D3322" s="41" t="e">
        <f>IF($C$1078&gt;0,VLOOKUP($C3322,PATRIMONIALE!$AJ$4:$AL$1003,3,FALSE),"")</f>
        <v>#N/A</v>
      </c>
      <c r="E3322" s="41" t="str">
        <f t="shared" si="274"/>
        <v/>
      </c>
      <c r="F3322" s="200"/>
      <c r="G3322" s="178" t="e">
        <f>IF($C$1078&gt;0,VLOOKUP($C3322,PATRIMONIALE!$AJ$4:$AN$1003,5,FALSE),"")</f>
        <v>#N/A</v>
      </c>
      <c r="H3322" s="179" t="e">
        <f>IF($C$1078&gt;0,VLOOKUP($C3322,PATRIMONIALE!$AJ$4:$AO$1003,6,FALSE),"")</f>
        <v>#N/A</v>
      </c>
      <c r="I3322" s="187"/>
      <c r="J3322" s="140" t="e">
        <f ca="1">VLOOKUP(D3322,$F$1081:$I$4183,4,FALSE)+COUNTIF(E$1081:E3321,E3322)</f>
        <v>#N/A</v>
      </c>
      <c r="K3322" s="1"/>
      <c r="L3322" s="161" t="e">
        <f>IF($C$1078&gt;0,VLOOKUP($C3322,PATRIMONIALE!$AJ$4:$AP$1003,7,FALSE),"")</f>
        <v>#N/A</v>
      </c>
      <c r="M3322" s="1"/>
      <c r="N3322" s="1"/>
      <c r="O3322" s="1"/>
    </row>
    <row r="3323" spans="1:15" hidden="1">
      <c r="A3323" s="1"/>
      <c r="B3323" s="182" t="e">
        <f t="shared" ca="1" si="275"/>
        <v>#N/A</v>
      </c>
      <c r="C3323" s="500">
        <v>257</v>
      </c>
      <c r="D3323" s="41" t="e">
        <f>IF($C$1078&gt;0,VLOOKUP($C3323,PATRIMONIALE!$AJ$4:$AL$1003,3,FALSE),"")</f>
        <v>#N/A</v>
      </c>
      <c r="E3323" s="41" t="str">
        <f t="shared" si="274"/>
        <v/>
      </c>
      <c r="F3323" s="200"/>
      <c r="G3323" s="178" t="e">
        <f>IF($C$1078&gt;0,VLOOKUP($C3323,PATRIMONIALE!$AJ$4:$AN$1003,5,FALSE),"")</f>
        <v>#N/A</v>
      </c>
      <c r="H3323" s="179" t="e">
        <f>IF($C$1078&gt;0,VLOOKUP($C3323,PATRIMONIALE!$AJ$4:$AO$1003,6,FALSE),"")</f>
        <v>#N/A</v>
      </c>
      <c r="I3323" s="187"/>
      <c r="J3323" s="140" t="e">
        <f ca="1">VLOOKUP(D3323,$F$1081:$I$4183,4,FALSE)+COUNTIF(E$1081:E3322,E3323)</f>
        <v>#N/A</v>
      </c>
      <c r="K3323" s="1"/>
      <c r="L3323" s="161" t="e">
        <f>IF($C$1078&gt;0,VLOOKUP($C3323,PATRIMONIALE!$AJ$4:$AP$1003,7,FALSE),"")</f>
        <v>#N/A</v>
      </c>
      <c r="M3323" s="1"/>
      <c r="N3323" s="1"/>
      <c r="O3323" s="1"/>
    </row>
    <row r="3324" spans="1:15" hidden="1">
      <c r="A3324" s="1"/>
      <c r="B3324" s="182" t="e">
        <f t="shared" ca="1" si="275"/>
        <v>#N/A</v>
      </c>
      <c r="C3324" s="500">
        <v>258</v>
      </c>
      <c r="D3324" s="41" t="e">
        <f>IF($C$1078&gt;0,VLOOKUP($C3324,PATRIMONIALE!$AJ$4:$AL$1003,3,FALSE),"")</f>
        <v>#N/A</v>
      </c>
      <c r="E3324" s="41" t="str">
        <f t="shared" si="274"/>
        <v/>
      </c>
      <c r="F3324" s="200"/>
      <c r="G3324" s="178" t="e">
        <f>IF($C$1078&gt;0,VLOOKUP($C3324,PATRIMONIALE!$AJ$4:$AN$1003,5,FALSE),"")</f>
        <v>#N/A</v>
      </c>
      <c r="H3324" s="179" t="e">
        <f>IF($C$1078&gt;0,VLOOKUP($C3324,PATRIMONIALE!$AJ$4:$AO$1003,6,FALSE),"")</f>
        <v>#N/A</v>
      </c>
      <c r="I3324" s="187"/>
      <c r="J3324" s="140" t="e">
        <f ca="1">VLOOKUP(D3324,$F$1081:$I$4183,4,FALSE)+COUNTIF(E$1081:E3323,E3324)</f>
        <v>#N/A</v>
      </c>
      <c r="K3324" s="1"/>
      <c r="L3324" s="161" t="e">
        <f>IF($C$1078&gt;0,VLOOKUP($C3324,PATRIMONIALE!$AJ$4:$AP$1003,7,FALSE),"")</f>
        <v>#N/A</v>
      </c>
      <c r="M3324" s="1"/>
      <c r="N3324" s="1"/>
      <c r="O3324" s="1"/>
    </row>
    <row r="3325" spans="1:15" hidden="1">
      <c r="A3325" s="1"/>
      <c r="B3325" s="182" t="e">
        <f t="shared" ca="1" si="275"/>
        <v>#N/A</v>
      </c>
      <c r="C3325" s="500">
        <v>259</v>
      </c>
      <c r="D3325" s="41" t="e">
        <f>IF($C$1078&gt;0,VLOOKUP($C3325,PATRIMONIALE!$AJ$4:$AL$1003,3,FALSE),"")</f>
        <v>#N/A</v>
      </c>
      <c r="E3325" s="41" t="str">
        <f t="shared" si="274"/>
        <v/>
      </c>
      <c r="F3325" s="200"/>
      <c r="G3325" s="178" t="e">
        <f>IF($C$1078&gt;0,VLOOKUP($C3325,PATRIMONIALE!$AJ$4:$AN$1003,5,FALSE),"")</f>
        <v>#N/A</v>
      </c>
      <c r="H3325" s="179" t="e">
        <f>IF($C$1078&gt;0,VLOOKUP($C3325,PATRIMONIALE!$AJ$4:$AO$1003,6,FALSE),"")</f>
        <v>#N/A</v>
      </c>
      <c r="I3325" s="187"/>
      <c r="J3325" s="140" t="e">
        <f ca="1">VLOOKUP(D3325,$F$1081:$I$4183,4,FALSE)+COUNTIF(E$1081:E3324,E3325)</f>
        <v>#N/A</v>
      </c>
      <c r="K3325" s="1"/>
      <c r="L3325" s="161" t="e">
        <f>IF($C$1078&gt;0,VLOOKUP($C3325,PATRIMONIALE!$AJ$4:$AP$1003,7,FALSE),"")</f>
        <v>#N/A</v>
      </c>
      <c r="M3325" s="1"/>
      <c r="N3325" s="1"/>
      <c r="O3325" s="1"/>
    </row>
    <row r="3326" spans="1:15" hidden="1">
      <c r="A3326" s="1"/>
      <c r="B3326" s="182" t="e">
        <f t="shared" ca="1" si="275"/>
        <v>#N/A</v>
      </c>
      <c r="C3326" s="500">
        <v>260</v>
      </c>
      <c r="D3326" s="41" t="e">
        <f>IF($C$1078&gt;0,VLOOKUP($C3326,PATRIMONIALE!$AJ$4:$AL$1003,3,FALSE),"")</f>
        <v>#N/A</v>
      </c>
      <c r="E3326" s="41" t="str">
        <f t="shared" si="274"/>
        <v/>
      </c>
      <c r="F3326" s="200"/>
      <c r="G3326" s="178" t="e">
        <f>IF($C$1078&gt;0,VLOOKUP($C3326,PATRIMONIALE!$AJ$4:$AN$1003,5,FALSE),"")</f>
        <v>#N/A</v>
      </c>
      <c r="H3326" s="179" t="e">
        <f>IF($C$1078&gt;0,VLOOKUP($C3326,PATRIMONIALE!$AJ$4:$AO$1003,6,FALSE),"")</f>
        <v>#N/A</v>
      </c>
      <c r="I3326" s="187"/>
      <c r="J3326" s="140" t="e">
        <f ca="1">VLOOKUP(D3326,$F$1081:$I$4183,4,FALSE)+COUNTIF(E$1081:E3325,E3326)</f>
        <v>#N/A</v>
      </c>
      <c r="K3326" s="1"/>
      <c r="L3326" s="161" t="e">
        <f>IF($C$1078&gt;0,VLOOKUP($C3326,PATRIMONIALE!$AJ$4:$AP$1003,7,FALSE),"")</f>
        <v>#N/A</v>
      </c>
      <c r="M3326" s="1"/>
      <c r="N3326" s="1"/>
      <c r="O3326" s="1"/>
    </row>
    <row r="3327" spans="1:15" hidden="1">
      <c r="A3327" s="1"/>
      <c r="B3327" s="182" t="e">
        <f t="shared" ca="1" si="275"/>
        <v>#N/A</v>
      </c>
      <c r="C3327" s="500">
        <v>261</v>
      </c>
      <c r="D3327" s="41" t="e">
        <f>IF($C$1078&gt;0,VLOOKUP($C3327,PATRIMONIALE!$AJ$4:$AL$1003,3,FALSE),"")</f>
        <v>#N/A</v>
      </c>
      <c r="E3327" s="41" t="str">
        <f t="shared" si="274"/>
        <v/>
      </c>
      <c r="F3327" s="200"/>
      <c r="G3327" s="178" t="e">
        <f>IF($C$1078&gt;0,VLOOKUP($C3327,PATRIMONIALE!$AJ$4:$AN$1003,5,FALSE),"")</f>
        <v>#N/A</v>
      </c>
      <c r="H3327" s="179" t="e">
        <f>IF($C$1078&gt;0,VLOOKUP($C3327,PATRIMONIALE!$AJ$4:$AO$1003,6,FALSE),"")</f>
        <v>#N/A</v>
      </c>
      <c r="I3327" s="187"/>
      <c r="J3327" s="140" t="e">
        <f ca="1">VLOOKUP(D3327,$F$1081:$I$4183,4,FALSE)+COUNTIF(E$1081:E3326,E3327)</f>
        <v>#N/A</v>
      </c>
      <c r="K3327" s="1"/>
      <c r="L3327" s="161" t="e">
        <f>IF($C$1078&gt;0,VLOOKUP($C3327,PATRIMONIALE!$AJ$4:$AP$1003,7,FALSE),"")</f>
        <v>#N/A</v>
      </c>
      <c r="M3327" s="1"/>
      <c r="N3327" s="1"/>
      <c r="O3327" s="1"/>
    </row>
    <row r="3328" spans="1:15" hidden="1">
      <c r="A3328" s="1"/>
      <c r="B3328" s="182" t="e">
        <f t="shared" ca="1" si="275"/>
        <v>#N/A</v>
      </c>
      <c r="C3328" s="500">
        <v>262</v>
      </c>
      <c r="D3328" s="41" t="e">
        <f>IF($C$1078&gt;0,VLOOKUP($C3328,PATRIMONIALE!$AJ$4:$AL$1003,3,FALSE),"")</f>
        <v>#N/A</v>
      </c>
      <c r="E3328" s="41" t="str">
        <f t="shared" si="274"/>
        <v/>
      </c>
      <c r="F3328" s="200"/>
      <c r="G3328" s="178" t="e">
        <f>IF($C$1078&gt;0,VLOOKUP($C3328,PATRIMONIALE!$AJ$4:$AN$1003,5,FALSE),"")</f>
        <v>#N/A</v>
      </c>
      <c r="H3328" s="179" t="e">
        <f>IF($C$1078&gt;0,VLOOKUP($C3328,PATRIMONIALE!$AJ$4:$AO$1003,6,FALSE),"")</f>
        <v>#N/A</v>
      </c>
      <c r="I3328" s="187"/>
      <c r="J3328" s="140" t="e">
        <f ca="1">VLOOKUP(D3328,$F$1081:$I$4183,4,FALSE)+COUNTIF(E$1081:E3327,E3328)</f>
        <v>#N/A</v>
      </c>
      <c r="K3328" s="1"/>
      <c r="L3328" s="161" t="e">
        <f>IF($C$1078&gt;0,VLOOKUP($C3328,PATRIMONIALE!$AJ$4:$AP$1003,7,FALSE),"")</f>
        <v>#N/A</v>
      </c>
      <c r="M3328" s="1"/>
      <c r="N3328" s="1"/>
      <c r="O3328" s="1"/>
    </row>
    <row r="3329" spans="1:15" hidden="1">
      <c r="A3329" s="1"/>
      <c r="B3329" s="182" t="e">
        <f t="shared" ca="1" si="275"/>
        <v>#N/A</v>
      </c>
      <c r="C3329" s="500">
        <v>263</v>
      </c>
      <c r="D3329" s="41" t="e">
        <f>IF($C$1078&gt;0,VLOOKUP($C3329,PATRIMONIALE!$AJ$4:$AL$1003,3,FALSE),"")</f>
        <v>#N/A</v>
      </c>
      <c r="E3329" s="41" t="str">
        <f t="shared" si="274"/>
        <v/>
      </c>
      <c r="F3329" s="200"/>
      <c r="G3329" s="178" t="e">
        <f>IF($C$1078&gt;0,VLOOKUP($C3329,PATRIMONIALE!$AJ$4:$AN$1003,5,FALSE),"")</f>
        <v>#N/A</v>
      </c>
      <c r="H3329" s="179" t="e">
        <f>IF($C$1078&gt;0,VLOOKUP($C3329,PATRIMONIALE!$AJ$4:$AO$1003,6,FALSE),"")</f>
        <v>#N/A</v>
      </c>
      <c r="I3329" s="187"/>
      <c r="J3329" s="140" t="e">
        <f ca="1">VLOOKUP(D3329,$F$1081:$I$4183,4,FALSE)+COUNTIF(E$1081:E3328,E3329)</f>
        <v>#N/A</v>
      </c>
      <c r="K3329" s="1"/>
      <c r="L3329" s="161" t="e">
        <f>IF($C$1078&gt;0,VLOOKUP($C3329,PATRIMONIALE!$AJ$4:$AP$1003,7,FALSE),"")</f>
        <v>#N/A</v>
      </c>
      <c r="M3329" s="1"/>
      <c r="N3329" s="1"/>
      <c r="O3329" s="1"/>
    </row>
    <row r="3330" spans="1:15" hidden="1">
      <c r="A3330" s="1"/>
      <c r="B3330" s="182" t="e">
        <f t="shared" ca="1" si="275"/>
        <v>#N/A</v>
      </c>
      <c r="C3330" s="500">
        <v>264</v>
      </c>
      <c r="D3330" s="41" t="e">
        <f>IF($C$1078&gt;0,VLOOKUP($C3330,PATRIMONIALE!$AJ$4:$AL$1003,3,FALSE),"")</f>
        <v>#N/A</v>
      </c>
      <c r="E3330" s="41" t="str">
        <f t="shared" si="274"/>
        <v/>
      </c>
      <c r="F3330" s="200"/>
      <c r="G3330" s="178" t="e">
        <f>IF($C$1078&gt;0,VLOOKUP($C3330,PATRIMONIALE!$AJ$4:$AN$1003,5,FALSE),"")</f>
        <v>#N/A</v>
      </c>
      <c r="H3330" s="179" t="e">
        <f>IF($C$1078&gt;0,VLOOKUP($C3330,PATRIMONIALE!$AJ$4:$AO$1003,6,FALSE),"")</f>
        <v>#N/A</v>
      </c>
      <c r="I3330" s="187"/>
      <c r="J3330" s="140" t="e">
        <f ca="1">VLOOKUP(D3330,$F$1081:$I$4183,4,FALSE)+COUNTIF(E$1081:E3329,E3330)</f>
        <v>#N/A</v>
      </c>
      <c r="K3330" s="1"/>
      <c r="L3330" s="161" t="e">
        <f>IF($C$1078&gt;0,VLOOKUP($C3330,PATRIMONIALE!$AJ$4:$AP$1003,7,FALSE),"")</f>
        <v>#N/A</v>
      </c>
      <c r="M3330" s="1"/>
      <c r="N3330" s="1"/>
      <c r="O3330" s="1"/>
    </row>
    <row r="3331" spans="1:15" hidden="1">
      <c r="A3331" s="1"/>
      <c r="B3331" s="182" t="e">
        <f t="shared" ca="1" si="275"/>
        <v>#N/A</v>
      </c>
      <c r="C3331" s="500">
        <v>265</v>
      </c>
      <c r="D3331" s="41" t="e">
        <f>IF($C$1078&gt;0,VLOOKUP($C3331,PATRIMONIALE!$AJ$4:$AL$1003,3,FALSE),"")</f>
        <v>#N/A</v>
      </c>
      <c r="E3331" s="41" t="str">
        <f t="shared" si="274"/>
        <v/>
      </c>
      <c r="F3331" s="200"/>
      <c r="G3331" s="178" t="e">
        <f>IF($C$1078&gt;0,VLOOKUP($C3331,PATRIMONIALE!$AJ$4:$AN$1003,5,FALSE),"")</f>
        <v>#N/A</v>
      </c>
      <c r="H3331" s="179" t="e">
        <f>IF($C$1078&gt;0,VLOOKUP($C3331,PATRIMONIALE!$AJ$4:$AO$1003,6,FALSE),"")</f>
        <v>#N/A</v>
      </c>
      <c r="I3331" s="187"/>
      <c r="J3331" s="140" t="e">
        <f ca="1">VLOOKUP(D3331,$F$1081:$I$4183,4,FALSE)+COUNTIF(E$1081:E3330,E3331)</f>
        <v>#N/A</v>
      </c>
      <c r="K3331" s="1"/>
      <c r="L3331" s="161" t="e">
        <f>IF($C$1078&gt;0,VLOOKUP($C3331,PATRIMONIALE!$AJ$4:$AP$1003,7,FALSE),"")</f>
        <v>#N/A</v>
      </c>
      <c r="M3331" s="1"/>
      <c r="N3331" s="1"/>
      <c r="O3331" s="1"/>
    </row>
    <row r="3332" spans="1:15" hidden="1">
      <c r="A3332" s="1"/>
      <c r="B3332" s="182" t="e">
        <f t="shared" ca="1" si="275"/>
        <v>#N/A</v>
      </c>
      <c r="C3332" s="500">
        <v>266</v>
      </c>
      <c r="D3332" s="41" t="e">
        <f>IF($C$1078&gt;0,VLOOKUP($C3332,PATRIMONIALE!$AJ$4:$AL$1003,3,FALSE),"")</f>
        <v>#N/A</v>
      </c>
      <c r="E3332" s="41" t="str">
        <f t="shared" si="274"/>
        <v/>
      </c>
      <c r="F3332" s="200"/>
      <c r="G3332" s="178" t="e">
        <f>IF($C$1078&gt;0,VLOOKUP($C3332,PATRIMONIALE!$AJ$4:$AN$1003,5,FALSE),"")</f>
        <v>#N/A</v>
      </c>
      <c r="H3332" s="179" t="e">
        <f>IF($C$1078&gt;0,VLOOKUP($C3332,PATRIMONIALE!$AJ$4:$AO$1003,6,FALSE),"")</f>
        <v>#N/A</v>
      </c>
      <c r="I3332" s="187"/>
      <c r="J3332" s="140" t="e">
        <f ca="1">VLOOKUP(D3332,$F$1081:$I$4183,4,FALSE)+COUNTIF(E$1081:E3331,E3332)</f>
        <v>#N/A</v>
      </c>
      <c r="K3332" s="1"/>
      <c r="L3332" s="161" t="e">
        <f>IF($C$1078&gt;0,VLOOKUP($C3332,PATRIMONIALE!$AJ$4:$AP$1003,7,FALSE),"")</f>
        <v>#N/A</v>
      </c>
      <c r="M3332" s="1"/>
      <c r="N3332" s="1"/>
      <c r="O3332" s="1"/>
    </row>
    <row r="3333" spans="1:15" hidden="1">
      <c r="A3333" s="1"/>
      <c r="B3333" s="182" t="e">
        <f t="shared" ca="1" si="275"/>
        <v>#N/A</v>
      </c>
      <c r="C3333" s="500">
        <v>267</v>
      </c>
      <c r="D3333" s="41" t="e">
        <f>IF($C$1078&gt;0,VLOOKUP($C3333,PATRIMONIALE!$AJ$4:$AL$1003,3,FALSE),"")</f>
        <v>#N/A</v>
      </c>
      <c r="E3333" s="41" t="str">
        <f t="shared" si="274"/>
        <v/>
      </c>
      <c r="F3333" s="200"/>
      <c r="G3333" s="178" t="e">
        <f>IF($C$1078&gt;0,VLOOKUP($C3333,PATRIMONIALE!$AJ$4:$AN$1003,5,FALSE),"")</f>
        <v>#N/A</v>
      </c>
      <c r="H3333" s="179" t="e">
        <f>IF($C$1078&gt;0,VLOOKUP($C3333,PATRIMONIALE!$AJ$4:$AO$1003,6,FALSE),"")</f>
        <v>#N/A</v>
      </c>
      <c r="I3333" s="187"/>
      <c r="J3333" s="140" t="e">
        <f ca="1">VLOOKUP(D3333,$F$1081:$I$4183,4,FALSE)+COUNTIF(E$1081:E3332,E3333)</f>
        <v>#N/A</v>
      </c>
      <c r="K3333" s="1"/>
      <c r="L3333" s="161" t="e">
        <f>IF($C$1078&gt;0,VLOOKUP($C3333,PATRIMONIALE!$AJ$4:$AP$1003,7,FALSE),"")</f>
        <v>#N/A</v>
      </c>
      <c r="M3333" s="1"/>
      <c r="N3333" s="1"/>
      <c r="O3333" s="1"/>
    </row>
    <row r="3334" spans="1:15" hidden="1">
      <c r="A3334" s="1"/>
      <c r="B3334" s="182" t="e">
        <f t="shared" ca="1" si="275"/>
        <v>#N/A</v>
      </c>
      <c r="C3334" s="500">
        <v>268</v>
      </c>
      <c r="D3334" s="41" t="e">
        <f>IF($C$1078&gt;0,VLOOKUP($C3334,PATRIMONIALE!$AJ$4:$AL$1003,3,FALSE),"")</f>
        <v>#N/A</v>
      </c>
      <c r="E3334" s="41" t="str">
        <f t="shared" si="274"/>
        <v/>
      </c>
      <c r="F3334" s="200"/>
      <c r="G3334" s="178" t="e">
        <f>IF($C$1078&gt;0,VLOOKUP($C3334,PATRIMONIALE!$AJ$4:$AN$1003,5,FALSE),"")</f>
        <v>#N/A</v>
      </c>
      <c r="H3334" s="179" t="e">
        <f>IF($C$1078&gt;0,VLOOKUP($C3334,PATRIMONIALE!$AJ$4:$AO$1003,6,FALSE),"")</f>
        <v>#N/A</v>
      </c>
      <c r="I3334" s="187"/>
      <c r="J3334" s="140" t="e">
        <f ca="1">VLOOKUP(D3334,$F$1081:$I$4183,4,FALSE)+COUNTIF(E$1081:E3333,E3334)</f>
        <v>#N/A</v>
      </c>
      <c r="K3334" s="1"/>
      <c r="L3334" s="161" t="e">
        <f>IF($C$1078&gt;0,VLOOKUP($C3334,PATRIMONIALE!$AJ$4:$AP$1003,7,FALSE),"")</f>
        <v>#N/A</v>
      </c>
      <c r="M3334" s="1"/>
      <c r="N3334" s="1"/>
      <c r="O3334" s="1"/>
    </row>
    <row r="3335" spans="1:15" hidden="1">
      <c r="A3335" s="1"/>
      <c r="B3335" s="182" t="e">
        <f t="shared" ca="1" si="275"/>
        <v>#N/A</v>
      </c>
      <c r="C3335" s="500">
        <v>269</v>
      </c>
      <c r="D3335" s="41" t="e">
        <f>IF($C$1078&gt;0,VLOOKUP($C3335,PATRIMONIALE!$AJ$4:$AL$1003,3,FALSE),"")</f>
        <v>#N/A</v>
      </c>
      <c r="E3335" s="41" t="str">
        <f t="shared" si="274"/>
        <v/>
      </c>
      <c r="F3335" s="200"/>
      <c r="G3335" s="178" t="e">
        <f>IF($C$1078&gt;0,VLOOKUP($C3335,PATRIMONIALE!$AJ$4:$AN$1003,5,FALSE),"")</f>
        <v>#N/A</v>
      </c>
      <c r="H3335" s="179" t="e">
        <f>IF($C$1078&gt;0,VLOOKUP($C3335,PATRIMONIALE!$AJ$4:$AO$1003,6,FALSE),"")</f>
        <v>#N/A</v>
      </c>
      <c r="I3335" s="187"/>
      <c r="J3335" s="140" t="e">
        <f ca="1">VLOOKUP(D3335,$F$1081:$I$4183,4,FALSE)+COUNTIF(E$1081:E3334,E3335)</f>
        <v>#N/A</v>
      </c>
      <c r="K3335" s="1"/>
      <c r="L3335" s="161" t="e">
        <f>IF($C$1078&gt;0,VLOOKUP($C3335,PATRIMONIALE!$AJ$4:$AP$1003,7,FALSE),"")</f>
        <v>#N/A</v>
      </c>
      <c r="M3335" s="1"/>
      <c r="N3335" s="1"/>
      <c r="O3335" s="1"/>
    </row>
    <row r="3336" spans="1:15" hidden="1">
      <c r="A3336" s="1"/>
      <c r="B3336" s="182" t="e">
        <f t="shared" ca="1" si="275"/>
        <v>#N/A</v>
      </c>
      <c r="C3336" s="500">
        <v>270</v>
      </c>
      <c r="D3336" s="41" t="e">
        <f>IF($C$1078&gt;0,VLOOKUP($C3336,PATRIMONIALE!$AJ$4:$AL$1003,3,FALSE),"")</f>
        <v>#N/A</v>
      </c>
      <c r="E3336" s="41" t="str">
        <f t="shared" si="274"/>
        <v/>
      </c>
      <c r="F3336" s="200"/>
      <c r="G3336" s="178" t="e">
        <f>IF($C$1078&gt;0,VLOOKUP($C3336,PATRIMONIALE!$AJ$4:$AN$1003,5,FALSE),"")</f>
        <v>#N/A</v>
      </c>
      <c r="H3336" s="179" t="e">
        <f>IF($C$1078&gt;0,VLOOKUP($C3336,PATRIMONIALE!$AJ$4:$AO$1003,6,FALSE),"")</f>
        <v>#N/A</v>
      </c>
      <c r="I3336" s="187"/>
      <c r="J3336" s="140" t="e">
        <f ca="1">VLOOKUP(D3336,$F$1081:$I$4183,4,FALSE)+COUNTIF(E$1081:E3335,E3336)</f>
        <v>#N/A</v>
      </c>
      <c r="K3336" s="1"/>
      <c r="L3336" s="161" t="e">
        <f>IF($C$1078&gt;0,VLOOKUP($C3336,PATRIMONIALE!$AJ$4:$AP$1003,7,FALSE),"")</f>
        <v>#N/A</v>
      </c>
      <c r="M3336" s="1"/>
      <c r="N3336" s="1"/>
      <c r="O3336" s="1"/>
    </row>
    <row r="3337" spans="1:15" hidden="1">
      <c r="A3337" s="1"/>
      <c r="B3337" s="182" t="e">
        <f t="shared" ca="1" si="275"/>
        <v>#N/A</v>
      </c>
      <c r="C3337" s="500">
        <v>271</v>
      </c>
      <c r="D3337" s="41" t="e">
        <f>IF($C$1078&gt;0,VLOOKUP($C3337,PATRIMONIALE!$AJ$4:$AL$1003,3,FALSE),"")</f>
        <v>#N/A</v>
      </c>
      <c r="E3337" s="41" t="str">
        <f t="shared" si="274"/>
        <v/>
      </c>
      <c r="F3337" s="200"/>
      <c r="G3337" s="178" t="e">
        <f>IF($C$1078&gt;0,VLOOKUP($C3337,PATRIMONIALE!$AJ$4:$AN$1003,5,FALSE),"")</f>
        <v>#N/A</v>
      </c>
      <c r="H3337" s="179" t="e">
        <f>IF($C$1078&gt;0,VLOOKUP($C3337,PATRIMONIALE!$AJ$4:$AO$1003,6,FALSE),"")</f>
        <v>#N/A</v>
      </c>
      <c r="I3337" s="187"/>
      <c r="J3337" s="140" t="e">
        <f ca="1">VLOOKUP(D3337,$F$1081:$I$4183,4,FALSE)+COUNTIF(E$1081:E3336,E3337)</f>
        <v>#N/A</v>
      </c>
      <c r="K3337" s="1"/>
      <c r="L3337" s="161" t="e">
        <f>IF($C$1078&gt;0,VLOOKUP($C3337,PATRIMONIALE!$AJ$4:$AP$1003,7,FALSE),"")</f>
        <v>#N/A</v>
      </c>
      <c r="M3337" s="1"/>
      <c r="N3337" s="1"/>
      <c r="O3337" s="1"/>
    </row>
    <row r="3338" spans="1:15" hidden="1">
      <c r="A3338" s="1"/>
      <c r="B3338" s="182" t="e">
        <f t="shared" ca="1" si="275"/>
        <v>#N/A</v>
      </c>
      <c r="C3338" s="500">
        <v>272</v>
      </c>
      <c r="D3338" s="41" t="e">
        <f>IF($C$1078&gt;0,VLOOKUP($C3338,PATRIMONIALE!$AJ$4:$AL$1003,3,FALSE),"")</f>
        <v>#N/A</v>
      </c>
      <c r="E3338" s="41" t="str">
        <f t="shared" si="274"/>
        <v/>
      </c>
      <c r="F3338" s="200"/>
      <c r="G3338" s="178" t="e">
        <f>IF($C$1078&gt;0,VLOOKUP($C3338,PATRIMONIALE!$AJ$4:$AN$1003,5,FALSE),"")</f>
        <v>#N/A</v>
      </c>
      <c r="H3338" s="179" t="e">
        <f>IF($C$1078&gt;0,VLOOKUP($C3338,PATRIMONIALE!$AJ$4:$AO$1003,6,FALSE),"")</f>
        <v>#N/A</v>
      </c>
      <c r="I3338" s="187"/>
      <c r="J3338" s="140" t="e">
        <f ca="1">VLOOKUP(D3338,$F$1081:$I$4183,4,FALSE)+COUNTIF(E$1081:E3337,E3338)</f>
        <v>#N/A</v>
      </c>
      <c r="K3338" s="1"/>
      <c r="L3338" s="161" t="e">
        <f>IF($C$1078&gt;0,VLOOKUP($C3338,PATRIMONIALE!$AJ$4:$AP$1003,7,FALSE),"")</f>
        <v>#N/A</v>
      </c>
      <c r="M3338" s="1"/>
      <c r="N3338" s="1"/>
      <c r="O3338" s="1"/>
    </row>
    <row r="3339" spans="1:15" hidden="1">
      <c r="A3339" s="1"/>
      <c r="B3339" s="182" t="e">
        <f t="shared" ca="1" si="275"/>
        <v>#N/A</v>
      </c>
      <c r="C3339" s="500">
        <v>273</v>
      </c>
      <c r="D3339" s="41" t="e">
        <f>IF($C$1078&gt;0,VLOOKUP($C3339,PATRIMONIALE!$AJ$4:$AL$1003,3,FALSE),"")</f>
        <v>#N/A</v>
      </c>
      <c r="E3339" s="41" t="str">
        <f t="shared" si="274"/>
        <v/>
      </c>
      <c r="F3339" s="200"/>
      <c r="G3339" s="178" t="e">
        <f>IF($C$1078&gt;0,VLOOKUP($C3339,PATRIMONIALE!$AJ$4:$AN$1003,5,FALSE),"")</f>
        <v>#N/A</v>
      </c>
      <c r="H3339" s="179" t="e">
        <f>IF($C$1078&gt;0,VLOOKUP($C3339,PATRIMONIALE!$AJ$4:$AO$1003,6,FALSE),"")</f>
        <v>#N/A</v>
      </c>
      <c r="I3339" s="187"/>
      <c r="J3339" s="140" t="e">
        <f ca="1">VLOOKUP(D3339,$F$1081:$I$4183,4,FALSE)+COUNTIF(E$1081:E3338,E3339)</f>
        <v>#N/A</v>
      </c>
      <c r="K3339" s="1"/>
      <c r="L3339" s="161" t="e">
        <f>IF($C$1078&gt;0,VLOOKUP($C3339,PATRIMONIALE!$AJ$4:$AP$1003,7,FALSE),"")</f>
        <v>#N/A</v>
      </c>
      <c r="M3339" s="1"/>
      <c r="N3339" s="1"/>
      <c r="O3339" s="1"/>
    </row>
    <row r="3340" spans="1:15" hidden="1">
      <c r="A3340" s="1"/>
      <c r="B3340" s="182" t="e">
        <f t="shared" ca="1" si="275"/>
        <v>#N/A</v>
      </c>
      <c r="C3340" s="500">
        <v>274</v>
      </c>
      <c r="D3340" s="41" t="e">
        <f>IF($C$1078&gt;0,VLOOKUP($C3340,PATRIMONIALE!$AJ$4:$AL$1003,3,FALSE),"")</f>
        <v>#N/A</v>
      </c>
      <c r="E3340" s="41" t="str">
        <f t="shared" si="274"/>
        <v/>
      </c>
      <c r="F3340" s="200"/>
      <c r="G3340" s="178" t="e">
        <f>IF($C$1078&gt;0,VLOOKUP($C3340,PATRIMONIALE!$AJ$4:$AN$1003,5,FALSE),"")</f>
        <v>#N/A</v>
      </c>
      <c r="H3340" s="179" t="e">
        <f>IF($C$1078&gt;0,VLOOKUP($C3340,PATRIMONIALE!$AJ$4:$AO$1003,6,FALSE),"")</f>
        <v>#N/A</v>
      </c>
      <c r="I3340" s="187"/>
      <c r="J3340" s="140" t="e">
        <f ca="1">VLOOKUP(D3340,$F$1081:$I$4183,4,FALSE)+COUNTIF(E$1081:E3339,E3340)</f>
        <v>#N/A</v>
      </c>
      <c r="K3340" s="1"/>
      <c r="L3340" s="161" t="e">
        <f>IF($C$1078&gt;0,VLOOKUP($C3340,PATRIMONIALE!$AJ$4:$AP$1003,7,FALSE),"")</f>
        <v>#N/A</v>
      </c>
      <c r="M3340" s="1"/>
      <c r="N3340" s="1"/>
      <c r="O3340" s="1"/>
    </row>
    <row r="3341" spans="1:15" hidden="1">
      <c r="A3341" s="1"/>
      <c r="B3341" s="182" t="e">
        <f t="shared" ca="1" si="275"/>
        <v>#N/A</v>
      </c>
      <c r="C3341" s="500">
        <v>275</v>
      </c>
      <c r="D3341" s="41" t="e">
        <f>IF($C$1078&gt;0,VLOOKUP($C3341,PATRIMONIALE!$AJ$4:$AL$1003,3,FALSE),"")</f>
        <v>#N/A</v>
      </c>
      <c r="E3341" s="41" t="str">
        <f t="shared" si="274"/>
        <v/>
      </c>
      <c r="F3341" s="200"/>
      <c r="G3341" s="178" t="e">
        <f>IF($C$1078&gt;0,VLOOKUP($C3341,PATRIMONIALE!$AJ$4:$AN$1003,5,FALSE),"")</f>
        <v>#N/A</v>
      </c>
      <c r="H3341" s="179" t="e">
        <f>IF($C$1078&gt;0,VLOOKUP($C3341,PATRIMONIALE!$AJ$4:$AO$1003,6,FALSE),"")</f>
        <v>#N/A</v>
      </c>
      <c r="I3341" s="187"/>
      <c r="J3341" s="140" t="e">
        <f ca="1">VLOOKUP(D3341,$F$1081:$I$4183,4,FALSE)+COUNTIF(E$1081:E3340,E3341)</f>
        <v>#N/A</v>
      </c>
      <c r="K3341" s="1"/>
      <c r="L3341" s="161" t="e">
        <f>IF($C$1078&gt;0,VLOOKUP($C3341,PATRIMONIALE!$AJ$4:$AP$1003,7,FALSE),"")</f>
        <v>#N/A</v>
      </c>
      <c r="M3341" s="1"/>
      <c r="N3341" s="1"/>
      <c r="O3341" s="1"/>
    </row>
    <row r="3342" spans="1:15" hidden="1">
      <c r="A3342" s="1"/>
      <c r="B3342" s="182" t="e">
        <f t="shared" ca="1" si="275"/>
        <v>#N/A</v>
      </c>
      <c r="C3342" s="500">
        <v>276</v>
      </c>
      <c r="D3342" s="41" t="e">
        <f>IF($C$1078&gt;0,VLOOKUP($C3342,PATRIMONIALE!$AJ$4:$AL$1003,3,FALSE),"")</f>
        <v>#N/A</v>
      </c>
      <c r="E3342" s="41" t="str">
        <f t="shared" si="274"/>
        <v/>
      </c>
      <c r="F3342" s="200"/>
      <c r="G3342" s="178" t="e">
        <f>IF($C$1078&gt;0,VLOOKUP($C3342,PATRIMONIALE!$AJ$4:$AN$1003,5,FALSE),"")</f>
        <v>#N/A</v>
      </c>
      <c r="H3342" s="179" t="e">
        <f>IF($C$1078&gt;0,VLOOKUP($C3342,PATRIMONIALE!$AJ$4:$AO$1003,6,FALSE),"")</f>
        <v>#N/A</v>
      </c>
      <c r="I3342" s="187"/>
      <c r="J3342" s="140" t="e">
        <f ca="1">VLOOKUP(D3342,$F$1081:$I$4183,4,FALSE)+COUNTIF(E$1081:E3341,E3342)</f>
        <v>#N/A</v>
      </c>
      <c r="K3342" s="1"/>
      <c r="L3342" s="161" t="e">
        <f>IF($C$1078&gt;0,VLOOKUP($C3342,PATRIMONIALE!$AJ$4:$AP$1003,7,FALSE),"")</f>
        <v>#N/A</v>
      </c>
      <c r="M3342" s="1"/>
      <c r="N3342" s="1"/>
      <c r="O3342" s="1"/>
    </row>
    <row r="3343" spans="1:15" hidden="1">
      <c r="A3343" s="1"/>
      <c r="B3343" s="182" t="e">
        <f t="shared" ca="1" si="275"/>
        <v>#N/A</v>
      </c>
      <c r="C3343" s="500">
        <v>277</v>
      </c>
      <c r="D3343" s="41" t="e">
        <f>IF($C$1078&gt;0,VLOOKUP($C3343,PATRIMONIALE!$AJ$4:$AL$1003,3,FALSE),"")</f>
        <v>#N/A</v>
      </c>
      <c r="E3343" s="41" t="str">
        <f t="shared" si="274"/>
        <v/>
      </c>
      <c r="F3343" s="200"/>
      <c r="G3343" s="178" t="e">
        <f>IF($C$1078&gt;0,VLOOKUP($C3343,PATRIMONIALE!$AJ$4:$AN$1003,5,FALSE),"")</f>
        <v>#N/A</v>
      </c>
      <c r="H3343" s="179" t="e">
        <f>IF($C$1078&gt;0,VLOOKUP($C3343,PATRIMONIALE!$AJ$4:$AO$1003,6,FALSE),"")</f>
        <v>#N/A</v>
      </c>
      <c r="I3343" s="187"/>
      <c r="J3343" s="140" t="e">
        <f ca="1">VLOOKUP(D3343,$F$1081:$I$4183,4,FALSE)+COUNTIF(E$1081:E3342,E3343)</f>
        <v>#N/A</v>
      </c>
      <c r="K3343" s="1"/>
      <c r="L3343" s="161" t="e">
        <f>IF($C$1078&gt;0,VLOOKUP($C3343,PATRIMONIALE!$AJ$4:$AP$1003,7,FALSE),"")</f>
        <v>#N/A</v>
      </c>
      <c r="M3343" s="1"/>
      <c r="N3343" s="1"/>
      <c r="O3343" s="1"/>
    </row>
    <row r="3344" spans="1:15" hidden="1">
      <c r="A3344" s="1"/>
      <c r="B3344" s="182" t="e">
        <f t="shared" ca="1" si="275"/>
        <v>#N/A</v>
      </c>
      <c r="C3344" s="500">
        <v>278</v>
      </c>
      <c r="D3344" s="41" t="e">
        <f>IF($C$1078&gt;0,VLOOKUP($C3344,PATRIMONIALE!$AJ$4:$AL$1003,3,FALSE),"")</f>
        <v>#N/A</v>
      </c>
      <c r="E3344" s="41" t="str">
        <f t="shared" si="274"/>
        <v/>
      </c>
      <c r="F3344" s="200"/>
      <c r="G3344" s="178" t="e">
        <f>IF($C$1078&gt;0,VLOOKUP($C3344,PATRIMONIALE!$AJ$4:$AN$1003,5,FALSE),"")</f>
        <v>#N/A</v>
      </c>
      <c r="H3344" s="179" t="e">
        <f>IF($C$1078&gt;0,VLOOKUP($C3344,PATRIMONIALE!$AJ$4:$AO$1003,6,FALSE),"")</f>
        <v>#N/A</v>
      </c>
      <c r="I3344" s="187"/>
      <c r="J3344" s="140" t="e">
        <f ca="1">VLOOKUP(D3344,$F$1081:$I$4183,4,FALSE)+COUNTIF(E$1081:E3343,E3344)</f>
        <v>#N/A</v>
      </c>
      <c r="K3344" s="1"/>
      <c r="L3344" s="161" t="e">
        <f>IF($C$1078&gt;0,VLOOKUP($C3344,PATRIMONIALE!$AJ$4:$AP$1003,7,FALSE),"")</f>
        <v>#N/A</v>
      </c>
      <c r="M3344" s="1"/>
      <c r="N3344" s="1"/>
      <c r="O3344" s="1"/>
    </row>
    <row r="3345" spans="1:15" hidden="1">
      <c r="A3345" s="1"/>
      <c r="B3345" s="182" t="e">
        <f t="shared" ca="1" si="275"/>
        <v>#N/A</v>
      </c>
      <c r="C3345" s="500">
        <v>279</v>
      </c>
      <c r="D3345" s="41" t="e">
        <f>IF($C$1078&gt;0,VLOOKUP($C3345,PATRIMONIALE!$AJ$4:$AL$1003,3,FALSE),"")</f>
        <v>#N/A</v>
      </c>
      <c r="E3345" s="41" t="str">
        <f t="shared" si="274"/>
        <v/>
      </c>
      <c r="F3345" s="200"/>
      <c r="G3345" s="178" t="e">
        <f>IF($C$1078&gt;0,VLOOKUP($C3345,PATRIMONIALE!$AJ$4:$AN$1003,5,FALSE),"")</f>
        <v>#N/A</v>
      </c>
      <c r="H3345" s="179" t="e">
        <f>IF($C$1078&gt;0,VLOOKUP($C3345,PATRIMONIALE!$AJ$4:$AO$1003,6,FALSE),"")</f>
        <v>#N/A</v>
      </c>
      <c r="I3345" s="187"/>
      <c r="J3345" s="140" t="e">
        <f ca="1">VLOOKUP(D3345,$F$1081:$I$4183,4,FALSE)+COUNTIF(E$1081:E3344,E3345)</f>
        <v>#N/A</v>
      </c>
      <c r="K3345" s="1"/>
      <c r="L3345" s="161" t="e">
        <f>IF($C$1078&gt;0,VLOOKUP($C3345,PATRIMONIALE!$AJ$4:$AP$1003,7,FALSE),"")</f>
        <v>#N/A</v>
      </c>
      <c r="M3345" s="1"/>
      <c r="N3345" s="1"/>
      <c r="O3345" s="1"/>
    </row>
    <row r="3346" spans="1:15" hidden="1">
      <c r="A3346" s="1"/>
      <c r="B3346" s="182" t="e">
        <f t="shared" ca="1" si="275"/>
        <v>#N/A</v>
      </c>
      <c r="C3346" s="500">
        <v>280</v>
      </c>
      <c r="D3346" s="41" t="e">
        <f>IF($C$1078&gt;0,VLOOKUP($C3346,PATRIMONIALE!$AJ$4:$AL$1003,3,FALSE),"")</f>
        <v>#N/A</v>
      </c>
      <c r="E3346" s="41" t="str">
        <f t="shared" si="274"/>
        <v/>
      </c>
      <c r="F3346" s="200"/>
      <c r="G3346" s="178" t="e">
        <f>IF($C$1078&gt;0,VLOOKUP($C3346,PATRIMONIALE!$AJ$4:$AN$1003,5,FALSE),"")</f>
        <v>#N/A</v>
      </c>
      <c r="H3346" s="179" t="e">
        <f>IF($C$1078&gt;0,VLOOKUP($C3346,PATRIMONIALE!$AJ$4:$AO$1003,6,FALSE),"")</f>
        <v>#N/A</v>
      </c>
      <c r="I3346" s="187"/>
      <c r="J3346" s="140" t="e">
        <f ca="1">VLOOKUP(D3346,$F$1081:$I$4183,4,FALSE)+COUNTIF(E$1081:E3345,E3346)</f>
        <v>#N/A</v>
      </c>
      <c r="K3346" s="1"/>
      <c r="L3346" s="161" t="e">
        <f>IF($C$1078&gt;0,VLOOKUP($C3346,PATRIMONIALE!$AJ$4:$AP$1003,7,FALSE),"")</f>
        <v>#N/A</v>
      </c>
      <c r="M3346" s="1"/>
      <c r="N3346" s="1"/>
      <c r="O3346" s="1"/>
    </row>
    <row r="3347" spans="1:15" hidden="1">
      <c r="A3347" s="1"/>
      <c r="B3347" s="182" t="e">
        <f t="shared" ca="1" si="275"/>
        <v>#N/A</v>
      </c>
      <c r="C3347" s="500">
        <v>281</v>
      </c>
      <c r="D3347" s="41" t="e">
        <f>IF($C$1078&gt;0,VLOOKUP($C3347,PATRIMONIALE!$AJ$4:$AL$1003,3,FALSE),"")</f>
        <v>#N/A</v>
      </c>
      <c r="E3347" s="41" t="str">
        <f t="shared" si="274"/>
        <v/>
      </c>
      <c r="F3347" s="200"/>
      <c r="G3347" s="178" t="e">
        <f>IF($C$1078&gt;0,VLOOKUP($C3347,PATRIMONIALE!$AJ$4:$AN$1003,5,FALSE),"")</f>
        <v>#N/A</v>
      </c>
      <c r="H3347" s="179" t="e">
        <f>IF($C$1078&gt;0,VLOOKUP($C3347,PATRIMONIALE!$AJ$4:$AO$1003,6,FALSE),"")</f>
        <v>#N/A</v>
      </c>
      <c r="I3347" s="187"/>
      <c r="J3347" s="140" t="e">
        <f ca="1">VLOOKUP(D3347,$F$1081:$I$4183,4,FALSE)+COUNTIF(E$1081:E3346,E3347)</f>
        <v>#N/A</v>
      </c>
      <c r="K3347" s="1"/>
      <c r="L3347" s="161" t="e">
        <f>IF($C$1078&gt;0,VLOOKUP($C3347,PATRIMONIALE!$AJ$4:$AP$1003,7,FALSE),"")</f>
        <v>#N/A</v>
      </c>
      <c r="M3347" s="1"/>
      <c r="N3347" s="1"/>
      <c r="O3347" s="1"/>
    </row>
    <row r="3348" spans="1:15" hidden="1">
      <c r="A3348" s="1"/>
      <c r="B3348" s="182" t="e">
        <f t="shared" ca="1" si="275"/>
        <v>#N/A</v>
      </c>
      <c r="C3348" s="500">
        <v>282</v>
      </c>
      <c r="D3348" s="41" t="e">
        <f>IF($C$1078&gt;0,VLOOKUP($C3348,PATRIMONIALE!$AJ$4:$AL$1003,3,FALSE),"")</f>
        <v>#N/A</v>
      </c>
      <c r="E3348" s="41" t="str">
        <f t="shared" si="274"/>
        <v/>
      </c>
      <c r="F3348" s="200"/>
      <c r="G3348" s="178" t="e">
        <f>IF($C$1078&gt;0,VLOOKUP($C3348,PATRIMONIALE!$AJ$4:$AN$1003,5,FALSE),"")</f>
        <v>#N/A</v>
      </c>
      <c r="H3348" s="179" t="e">
        <f>IF($C$1078&gt;0,VLOOKUP($C3348,PATRIMONIALE!$AJ$4:$AO$1003,6,FALSE),"")</f>
        <v>#N/A</v>
      </c>
      <c r="I3348" s="187"/>
      <c r="J3348" s="140" t="e">
        <f ca="1">VLOOKUP(D3348,$F$1081:$I$4183,4,FALSE)+COUNTIF(E$1081:E3347,E3348)</f>
        <v>#N/A</v>
      </c>
      <c r="K3348" s="1"/>
      <c r="L3348" s="161" t="e">
        <f>IF($C$1078&gt;0,VLOOKUP($C3348,PATRIMONIALE!$AJ$4:$AP$1003,7,FALSE),"")</f>
        <v>#N/A</v>
      </c>
      <c r="M3348" s="1"/>
      <c r="N3348" s="1"/>
      <c r="O3348" s="1"/>
    </row>
    <row r="3349" spans="1:15" hidden="1">
      <c r="A3349" s="1"/>
      <c r="B3349" s="182" t="e">
        <f t="shared" ca="1" si="275"/>
        <v>#N/A</v>
      </c>
      <c r="C3349" s="500">
        <v>283</v>
      </c>
      <c r="D3349" s="41" t="e">
        <f>IF($C$1078&gt;0,VLOOKUP($C3349,PATRIMONIALE!$AJ$4:$AL$1003,3,FALSE),"")</f>
        <v>#N/A</v>
      </c>
      <c r="E3349" s="41" t="str">
        <f t="shared" si="274"/>
        <v/>
      </c>
      <c r="F3349" s="200"/>
      <c r="G3349" s="178" t="e">
        <f>IF($C$1078&gt;0,VLOOKUP($C3349,PATRIMONIALE!$AJ$4:$AN$1003,5,FALSE),"")</f>
        <v>#N/A</v>
      </c>
      <c r="H3349" s="179" t="e">
        <f>IF($C$1078&gt;0,VLOOKUP($C3349,PATRIMONIALE!$AJ$4:$AO$1003,6,FALSE),"")</f>
        <v>#N/A</v>
      </c>
      <c r="I3349" s="187"/>
      <c r="J3349" s="140" t="e">
        <f ca="1">VLOOKUP(D3349,$F$1081:$I$4183,4,FALSE)+COUNTIF(E$1081:E3348,E3349)</f>
        <v>#N/A</v>
      </c>
      <c r="K3349" s="1"/>
      <c r="L3349" s="161" t="e">
        <f>IF($C$1078&gt;0,VLOOKUP($C3349,PATRIMONIALE!$AJ$4:$AP$1003,7,FALSE),"")</f>
        <v>#N/A</v>
      </c>
      <c r="M3349" s="1"/>
      <c r="N3349" s="1"/>
      <c r="O3349" s="1"/>
    </row>
    <row r="3350" spans="1:15" hidden="1">
      <c r="A3350" s="1"/>
      <c r="B3350" s="182" t="e">
        <f t="shared" ca="1" si="275"/>
        <v>#N/A</v>
      </c>
      <c r="C3350" s="500">
        <v>284</v>
      </c>
      <c r="D3350" s="41" t="e">
        <f>IF($C$1078&gt;0,VLOOKUP($C3350,PATRIMONIALE!$AJ$4:$AL$1003,3,FALSE),"")</f>
        <v>#N/A</v>
      </c>
      <c r="E3350" s="41" t="str">
        <f t="shared" si="274"/>
        <v/>
      </c>
      <c r="F3350" s="200"/>
      <c r="G3350" s="178" t="e">
        <f>IF($C$1078&gt;0,VLOOKUP($C3350,PATRIMONIALE!$AJ$4:$AN$1003,5,FALSE),"")</f>
        <v>#N/A</v>
      </c>
      <c r="H3350" s="179" t="e">
        <f>IF($C$1078&gt;0,VLOOKUP($C3350,PATRIMONIALE!$AJ$4:$AO$1003,6,FALSE),"")</f>
        <v>#N/A</v>
      </c>
      <c r="I3350" s="187"/>
      <c r="J3350" s="140" t="e">
        <f ca="1">VLOOKUP(D3350,$F$1081:$I$4183,4,FALSE)+COUNTIF(E$1081:E3349,E3350)</f>
        <v>#N/A</v>
      </c>
      <c r="K3350" s="1"/>
      <c r="L3350" s="161" t="e">
        <f>IF($C$1078&gt;0,VLOOKUP($C3350,PATRIMONIALE!$AJ$4:$AP$1003,7,FALSE),"")</f>
        <v>#N/A</v>
      </c>
      <c r="M3350" s="1"/>
      <c r="N3350" s="1"/>
      <c r="O3350" s="1"/>
    </row>
    <row r="3351" spans="1:15" hidden="1">
      <c r="A3351" s="1"/>
      <c r="B3351" s="182" t="e">
        <f t="shared" ca="1" si="275"/>
        <v>#N/A</v>
      </c>
      <c r="C3351" s="500">
        <v>285</v>
      </c>
      <c r="D3351" s="41" t="e">
        <f>IF($C$1078&gt;0,VLOOKUP($C3351,PATRIMONIALE!$AJ$4:$AL$1003,3,FALSE),"")</f>
        <v>#N/A</v>
      </c>
      <c r="E3351" s="41" t="str">
        <f t="shared" si="274"/>
        <v/>
      </c>
      <c r="F3351" s="200"/>
      <c r="G3351" s="178" t="e">
        <f>IF($C$1078&gt;0,VLOOKUP($C3351,PATRIMONIALE!$AJ$4:$AN$1003,5,FALSE),"")</f>
        <v>#N/A</v>
      </c>
      <c r="H3351" s="179" t="e">
        <f>IF($C$1078&gt;0,VLOOKUP($C3351,PATRIMONIALE!$AJ$4:$AO$1003,6,FALSE),"")</f>
        <v>#N/A</v>
      </c>
      <c r="I3351" s="187"/>
      <c r="J3351" s="140" t="e">
        <f ca="1">VLOOKUP(D3351,$F$1081:$I$4183,4,FALSE)+COUNTIF(E$1081:E3350,E3351)</f>
        <v>#N/A</v>
      </c>
      <c r="K3351" s="1"/>
      <c r="L3351" s="161" t="e">
        <f>IF($C$1078&gt;0,VLOOKUP($C3351,PATRIMONIALE!$AJ$4:$AP$1003,7,FALSE),"")</f>
        <v>#N/A</v>
      </c>
      <c r="M3351" s="1"/>
      <c r="N3351" s="1"/>
      <c r="O3351" s="1"/>
    </row>
    <row r="3352" spans="1:15" hidden="1">
      <c r="A3352" s="1"/>
      <c r="B3352" s="182" t="e">
        <f t="shared" ca="1" si="275"/>
        <v>#N/A</v>
      </c>
      <c r="C3352" s="500">
        <v>286</v>
      </c>
      <c r="D3352" s="41" t="e">
        <f>IF($C$1078&gt;0,VLOOKUP($C3352,PATRIMONIALE!$AJ$4:$AL$1003,3,FALSE),"")</f>
        <v>#N/A</v>
      </c>
      <c r="E3352" s="41" t="str">
        <f t="shared" si="274"/>
        <v/>
      </c>
      <c r="F3352" s="200"/>
      <c r="G3352" s="178" t="e">
        <f>IF($C$1078&gt;0,VLOOKUP($C3352,PATRIMONIALE!$AJ$4:$AN$1003,5,FALSE),"")</f>
        <v>#N/A</v>
      </c>
      <c r="H3352" s="179" t="e">
        <f>IF($C$1078&gt;0,VLOOKUP($C3352,PATRIMONIALE!$AJ$4:$AO$1003,6,FALSE),"")</f>
        <v>#N/A</v>
      </c>
      <c r="I3352" s="187"/>
      <c r="J3352" s="140" t="e">
        <f ca="1">VLOOKUP(D3352,$F$1081:$I$4183,4,FALSE)+COUNTIF(E$1081:E3351,E3352)</f>
        <v>#N/A</v>
      </c>
      <c r="K3352" s="1"/>
      <c r="L3352" s="161" t="e">
        <f>IF($C$1078&gt;0,VLOOKUP($C3352,PATRIMONIALE!$AJ$4:$AP$1003,7,FALSE),"")</f>
        <v>#N/A</v>
      </c>
      <c r="M3352" s="1"/>
      <c r="N3352" s="1"/>
      <c r="O3352" s="1"/>
    </row>
    <row r="3353" spans="1:15" hidden="1">
      <c r="A3353" s="1"/>
      <c r="B3353" s="182" t="e">
        <f t="shared" ca="1" si="275"/>
        <v>#N/A</v>
      </c>
      <c r="C3353" s="500">
        <v>287</v>
      </c>
      <c r="D3353" s="41" t="e">
        <f>IF($C$1078&gt;0,VLOOKUP($C3353,PATRIMONIALE!$AJ$4:$AL$1003,3,FALSE),"")</f>
        <v>#N/A</v>
      </c>
      <c r="E3353" s="41" t="str">
        <f t="shared" si="274"/>
        <v/>
      </c>
      <c r="F3353" s="200"/>
      <c r="G3353" s="178" t="e">
        <f>IF($C$1078&gt;0,VLOOKUP($C3353,PATRIMONIALE!$AJ$4:$AN$1003,5,FALSE),"")</f>
        <v>#N/A</v>
      </c>
      <c r="H3353" s="179" t="e">
        <f>IF($C$1078&gt;0,VLOOKUP($C3353,PATRIMONIALE!$AJ$4:$AO$1003,6,FALSE),"")</f>
        <v>#N/A</v>
      </c>
      <c r="I3353" s="187"/>
      <c r="J3353" s="140" t="e">
        <f ca="1">VLOOKUP(D3353,$F$1081:$I$4183,4,FALSE)+COUNTIF(E$1081:E3352,E3353)</f>
        <v>#N/A</v>
      </c>
      <c r="K3353" s="1"/>
      <c r="L3353" s="161" t="e">
        <f>IF($C$1078&gt;0,VLOOKUP($C3353,PATRIMONIALE!$AJ$4:$AP$1003,7,FALSE),"")</f>
        <v>#N/A</v>
      </c>
      <c r="M3353" s="1"/>
      <c r="N3353" s="1"/>
      <c r="O3353" s="1"/>
    </row>
    <row r="3354" spans="1:15" hidden="1">
      <c r="A3354" s="1"/>
      <c r="B3354" s="182" t="e">
        <f t="shared" ca="1" si="275"/>
        <v>#N/A</v>
      </c>
      <c r="C3354" s="500">
        <v>288</v>
      </c>
      <c r="D3354" s="41" t="e">
        <f>IF($C$1078&gt;0,VLOOKUP($C3354,PATRIMONIALE!$AJ$4:$AL$1003,3,FALSE),"")</f>
        <v>#N/A</v>
      </c>
      <c r="E3354" s="41" t="str">
        <f t="shared" si="274"/>
        <v/>
      </c>
      <c r="F3354" s="200"/>
      <c r="G3354" s="178" t="e">
        <f>IF($C$1078&gt;0,VLOOKUP($C3354,PATRIMONIALE!$AJ$4:$AN$1003,5,FALSE),"")</f>
        <v>#N/A</v>
      </c>
      <c r="H3354" s="179" t="e">
        <f>IF($C$1078&gt;0,VLOOKUP($C3354,PATRIMONIALE!$AJ$4:$AO$1003,6,FALSE),"")</f>
        <v>#N/A</v>
      </c>
      <c r="I3354" s="187"/>
      <c r="J3354" s="140" t="e">
        <f ca="1">VLOOKUP(D3354,$F$1081:$I$4183,4,FALSE)+COUNTIF(E$1081:E3353,E3354)</f>
        <v>#N/A</v>
      </c>
      <c r="K3354" s="1"/>
      <c r="L3354" s="161" t="e">
        <f>IF($C$1078&gt;0,VLOOKUP($C3354,PATRIMONIALE!$AJ$4:$AP$1003,7,FALSE),"")</f>
        <v>#N/A</v>
      </c>
      <c r="M3354" s="1"/>
      <c r="N3354" s="1"/>
      <c r="O3354" s="1"/>
    </row>
    <row r="3355" spans="1:15" hidden="1">
      <c r="A3355" s="1"/>
      <c r="B3355" s="182" t="e">
        <f t="shared" ca="1" si="275"/>
        <v>#N/A</v>
      </c>
      <c r="C3355" s="500">
        <v>289</v>
      </c>
      <c r="D3355" s="41" t="e">
        <f>IF($C$1078&gt;0,VLOOKUP($C3355,PATRIMONIALE!$AJ$4:$AL$1003,3,FALSE),"")</f>
        <v>#N/A</v>
      </c>
      <c r="E3355" s="41" t="str">
        <f t="shared" si="274"/>
        <v/>
      </c>
      <c r="F3355" s="200"/>
      <c r="G3355" s="178" t="e">
        <f>IF($C$1078&gt;0,VLOOKUP($C3355,PATRIMONIALE!$AJ$4:$AN$1003,5,FALSE),"")</f>
        <v>#N/A</v>
      </c>
      <c r="H3355" s="179" t="e">
        <f>IF($C$1078&gt;0,VLOOKUP($C3355,PATRIMONIALE!$AJ$4:$AO$1003,6,FALSE),"")</f>
        <v>#N/A</v>
      </c>
      <c r="I3355" s="187"/>
      <c r="J3355" s="140" t="e">
        <f ca="1">VLOOKUP(D3355,$F$1081:$I$4183,4,FALSE)+COUNTIF(E$1081:E3354,E3355)</f>
        <v>#N/A</v>
      </c>
      <c r="K3355" s="1"/>
      <c r="L3355" s="161" t="e">
        <f>IF($C$1078&gt;0,VLOOKUP($C3355,PATRIMONIALE!$AJ$4:$AP$1003,7,FALSE),"")</f>
        <v>#N/A</v>
      </c>
      <c r="M3355" s="1"/>
      <c r="N3355" s="1"/>
      <c r="O3355" s="1"/>
    </row>
    <row r="3356" spans="1:15" hidden="1">
      <c r="A3356" s="1"/>
      <c r="B3356" s="182" t="e">
        <f t="shared" ca="1" si="275"/>
        <v>#N/A</v>
      </c>
      <c r="C3356" s="500">
        <v>290</v>
      </c>
      <c r="D3356" s="41" t="e">
        <f>IF($C$1078&gt;0,VLOOKUP($C3356,PATRIMONIALE!$AJ$4:$AL$1003,3,FALSE),"")</f>
        <v>#N/A</v>
      </c>
      <c r="E3356" s="41" t="str">
        <f t="shared" si="274"/>
        <v/>
      </c>
      <c r="F3356" s="200"/>
      <c r="G3356" s="178" t="e">
        <f>IF($C$1078&gt;0,VLOOKUP($C3356,PATRIMONIALE!$AJ$4:$AN$1003,5,FALSE),"")</f>
        <v>#N/A</v>
      </c>
      <c r="H3356" s="179" t="e">
        <f>IF($C$1078&gt;0,VLOOKUP($C3356,PATRIMONIALE!$AJ$4:$AO$1003,6,FALSE),"")</f>
        <v>#N/A</v>
      </c>
      <c r="I3356" s="187"/>
      <c r="J3356" s="140" t="e">
        <f ca="1">VLOOKUP(D3356,$F$1081:$I$4183,4,FALSE)+COUNTIF(E$1081:E3355,E3356)</f>
        <v>#N/A</v>
      </c>
      <c r="K3356" s="1"/>
      <c r="L3356" s="161" t="e">
        <f>IF($C$1078&gt;0,VLOOKUP($C3356,PATRIMONIALE!$AJ$4:$AP$1003,7,FALSE),"")</f>
        <v>#N/A</v>
      </c>
      <c r="M3356" s="1"/>
      <c r="N3356" s="1"/>
      <c r="O3356" s="1"/>
    </row>
    <row r="3357" spans="1:15" hidden="1">
      <c r="A3357" s="1"/>
      <c r="B3357" s="182" t="e">
        <f t="shared" ca="1" si="275"/>
        <v>#N/A</v>
      </c>
      <c r="C3357" s="500">
        <v>291</v>
      </c>
      <c r="D3357" s="41" t="e">
        <f>IF($C$1078&gt;0,VLOOKUP($C3357,PATRIMONIALE!$AJ$4:$AL$1003,3,FALSE),"")</f>
        <v>#N/A</v>
      </c>
      <c r="E3357" s="41" t="str">
        <f t="shared" si="274"/>
        <v/>
      </c>
      <c r="F3357" s="200"/>
      <c r="G3357" s="178" t="e">
        <f>IF($C$1078&gt;0,VLOOKUP($C3357,PATRIMONIALE!$AJ$4:$AN$1003,5,FALSE),"")</f>
        <v>#N/A</v>
      </c>
      <c r="H3357" s="179" t="e">
        <f>IF($C$1078&gt;0,VLOOKUP($C3357,PATRIMONIALE!$AJ$4:$AO$1003,6,FALSE),"")</f>
        <v>#N/A</v>
      </c>
      <c r="I3357" s="187"/>
      <c r="J3357" s="140" t="e">
        <f ca="1">VLOOKUP(D3357,$F$1081:$I$4183,4,FALSE)+COUNTIF(E$1081:E3356,E3357)</f>
        <v>#N/A</v>
      </c>
      <c r="K3357" s="1"/>
      <c r="L3357" s="161" t="e">
        <f>IF($C$1078&gt;0,VLOOKUP($C3357,PATRIMONIALE!$AJ$4:$AP$1003,7,FALSE),"")</f>
        <v>#N/A</v>
      </c>
      <c r="M3357" s="1"/>
      <c r="N3357" s="1"/>
      <c r="O3357" s="1"/>
    </row>
    <row r="3358" spans="1:15" hidden="1">
      <c r="A3358" s="1"/>
      <c r="B3358" s="182" t="e">
        <f t="shared" ca="1" si="275"/>
        <v>#N/A</v>
      </c>
      <c r="C3358" s="500">
        <v>292</v>
      </c>
      <c r="D3358" s="41" t="e">
        <f>IF($C$1078&gt;0,VLOOKUP($C3358,PATRIMONIALE!$AJ$4:$AL$1003,3,FALSE),"")</f>
        <v>#N/A</v>
      </c>
      <c r="E3358" s="41" t="str">
        <f t="shared" si="274"/>
        <v/>
      </c>
      <c r="F3358" s="200"/>
      <c r="G3358" s="178" t="e">
        <f>IF($C$1078&gt;0,VLOOKUP($C3358,PATRIMONIALE!$AJ$4:$AN$1003,5,FALSE),"")</f>
        <v>#N/A</v>
      </c>
      <c r="H3358" s="179" t="e">
        <f>IF($C$1078&gt;0,VLOOKUP($C3358,PATRIMONIALE!$AJ$4:$AO$1003,6,FALSE),"")</f>
        <v>#N/A</v>
      </c>
      <c r="I3358" s="187"/>
      <c r="J3358" s="140" t="e">
        <f ca="1">VLOOKUP(D3358,$F$1081:$I$4183,4,FALSE)+COUNTIF(E$1081:E3357,E3358)</f>
        <v>#N/A</v>
      </c>
      <c r="K3358" s="1"/>
      <c r="L3358" s="161" t="e">
        <f>IF($C$1078&gt;0,VLOOKUP($C3358,PATRIMONIALE!$AJ$4:$AP$1003,7,FALSE),"")</f>
        <v>#N/A</v>
      </c>
      <c r="M3358" s="1"/>
      <c r="N3358" s="1"/>
      <c r="O3358" s="1"/>
    </row>
    <row r="3359" spans="1:15" hidden="1">
      <c r="A3359" s="1"/>
      <c r="B3359" s="182" t="e">
        <f t="shared" ca="1" si="275"/>
        <v>#N/A</v>
      </c>
      <c r="C3359" s="500">
        <v>293</v>
      </c>
      <c r="D3359" s="41" t="e">
        <f>IF($C$1078&gt;0,VLOOKUP($C3359,PATRIMONIALE!$AJ$4:$AL$1003,3,FALSE),"")</f>
        <v>#N/A</v>
      </c>
      <c r="E3359" s="41" t="str">
        <f t="shared" si="274"/>
        <v/>
      </c>
      <c r="F3359" s="200"/>
      <c r="G3359" s="178" t="e">
        <f>IF($C$1078&gt;0,VLOOKUP($C3359,PATRIMONIALE!$AJ$4:$AN$1003,5,FALSE),"")</f>
        <v>#N/A</v>
      </c>
      <c r="H3359" s="179" t="e">
        <f>IF($C$1078&gt;0,VLOOKUP($C3359,PATRIMONIALE!$AJ$4:$AO$1003,6,FALSE),"")</f>
        <v>#N/A</v>
      </c>
      <c r="I3359" s="187"/>
      <c r="J3359" s="140" t="e">
        <f ca="1">VLOOKUP(D3359,$F$1081:$I$4183,4,FALSE)+COUNTIF(E$1081:E3358,E3359)</f>
        <v>#N/A</v>
      </c>
      <c r="K3359" s="1"/>
      <c r="L3359" s="161" t="e">
        <f>IF($C$1078&gt;0,VLOOKUP($C3359,PATRIMONIALE!$AJ$4:$AP$1003,7,FALSE),"")</f>
        <v>#N/A</v>
      </c>
      <c r="M3359" s="1"/>
      <c r="N3359" s="1"/>
      <c r="O3359" s="1"/>
    </row>
    <row r="3360" spans="1:15" hidden="1">
      <c r="A3360" s="1"/>
      <c r="B3360" s="182" t="e">
        <f t="shared" ca="1" si="275"/>
        <v>#N/A</v>
      </c>
      <c r="C3360" s="500">
        <v>294</v>
      </c>
      <c r="D3360" s="41" t="e">
        <f>IF($C$1078&gt;0,VLOOKUP($C3360,PATRIMONIALE!$AJ$4:$AL$1003,3,FALSE),"")</f>
        <v>#N/A</v>
      </c>
      <c r="E3360" s="41" t="str">
        <f t="shared" si="274"/>
        <v/>
      </c>
      <c r="F3360" s="200"/>
      <c r="G3360" s="178" t="e">
        <f>IF($C$1078&gt;0,VLOOKUP($C3360,PATRIMONIALE!$AJ$4:$AN$1003,5,FALSE),"")</f>
        <v>#N/A</v>
      </c>
      <c r="H3360" s="179" t="e">
        <f>IF($C$1078&gt;0,VLOOKUP($C3360,PATRIMONIALE!$AJ$4:$AO$1003,6,FALSE),"")</f>
        <v>#N/A</v>
      </c>
      <c r="I3360" s="187"/>
      <c r="J3360" s="140" t="e">
        <f ca="1">VLOOKUP(D3360,$F$1081:$I$4183,4,FALSE)+COUNTIF(E$1081:E3359,E3360)</f>
        <v>#N/A</v>
      </c>
      <c r="K3360" s="1"/>
      <c r="L3360" s="161" t="e">
        <f>IF($C$1078&gt;0,VLOOKUP($C3360,PATRIMONIALE!$AJ$4:$AP$1003,7,FALSE),"")</f>
        <v>#N/A</v>
      </c>
      <c r="M3360" s="1"/>
      <c r="N3360" s="1"/>
      <c r="O3360" s="1"/>
    </row>
    <row r="3361" spans="1:15" hidden="1">
      <c r="A3361" s="1"/>
      <c r="B3361" s="182" t="e">
        <f t="shared" ca="1" si="275"/>
        <v>#N/A</v>
      </c>
      <c r="C3361" s="500">
        <v>295</v>
      </c>
      <c r="D3361" s="41" t="e">
        <f>IF($C$1078&gt;0,VLOOKUP($C3361,PATRIMONIALE!$AJ$4:$AL$1003,3,FALSE),"")</f>
        <v>#N/A</v>
      </c>
      <c r="E3361" s="41" t="str">
        <f t="shared" si="274"/>
        <v/>
      </c>
      <c r="F3361" s="200"/>
      <c r="G3361" s="178" t="e">
        <f>IF($C$1078&gt;0,VLOOKUP($C3361,PATRIMONIALE!$AJ$4:$AN$1003,5,FALSE),"")</f>
        <v>#N/A</v>
      </c>
      <c r="H3361" s="179" t="e">
        <f>IF($C$1078&gt;0,VLOOKUP($C3361,PATRIMONIALE!$AJ$4:$AO$1003,6,FALSE),"")</f>
        <v>#N/A</v>
      </c>
      <c r="I3361" s="187"/>
      <c r="J3361" s="140" t="e">
        <f ca="1">VLOOKUP(D3361,$F$1081:$I$4183,4,FALSE)+COUNTIF(E$1081:E3360,E3361)</f>
        <v>#N/A</v>
      </c>
      <c r="K3361" s="1"/>
      <c r="L3361" s="161" t="e">
        <f>IF($C$1078&gt;0,VLOOKUP($C3361,PATRIMONIALE!$AJ$4:$AP$1003,7,FALSE),"")</f>
        <v>#N/A</v>
      </c>
      <c r="M3361" s="1"/>
      <c r="N3361" s="1"/>
      <c r="O3361" s="1"/>
    </row>
    <row r="3362" spans="1:15" hidden="1">
      <c r="A3362" s="1"/>
      <c r="B3362" s="182" t="e">
        <f t="shared" ca="1" si="275"/>
        <v>#N/A</v>
      </c>
      <c r="C3362" s="500">
        <v>296</v>
      </c>
      <c r="D3362" s="41" t="e">
        <f>IF($C$1078&gt;0,VLOOKUP($C3362,PATRIMONIALE!$AJ$4:$AL$1003,3,FALSE),"")</f>
        <v>#N/A</v>
      </c>
      <c r="E3362" s="41" t="str">
        <f t="shared" ref="E3362:E3425" si="276">IF(ISERROR(D3362),"",D3362)</f>
        <v/>
      </c>
      <c r="F3362" s="200"/>
      <c r="G3362" s="178" t="e">
        <f>IF($C$1078&gt;0,VLOOKUP($C3362,PATRIMONIALE!$AJ$4:$AN$1003,5,FALSE),"")</f>
        <v>#N/A</v>
      </c>
      <c r="H3362" s="179" t="e">
        <f>IF($C$1078&gt;0,VLOOKUP($C3362,PATRIMONIALE!$AJ$4:$AO$1003,6,FALSE),"")</f>
        <v>#N/A</v>
      </c>
      <c r="I3362" s="187"/>
      <c r="J3362" s="140" t="e">
        <f ca="1">VLOOKUP(D3362,$F$1081:$I$4183,4,FALSE)+COUNTIF(E$1081:E3361,E3362)</f>
        <v>#N/A</v>
      </c>
      <c r="K3362" s="1"/>
      <c r="L3362" s="161" t="e">
        <f>IF($C$1078&gt;0,VLOOKUP($C3362,PATRIMONIALE!$AJ$4:$AP$1003,7,FALSE),"")</f>
        <v>#N/A</v>
      </c>
      <c r="M3362" s="1"/>
      <c r="N3362" s="1"/>
      <c r="O3362" s="1"/>
    </row>
    <row r="3363" spans="1:15" hidden="1">
      <c r="A3363" s="1"/>
      <c r="B3363" s="182" t="e">
        <f t="shared" ca="1" si="275"/>
        <v>#N/A</v>
      </c>
      <c r="C3363" s="500">
        <v>297</v>
      </c>
      <c r="D3363" s="41" t="e">
        <f>IF($C$1078&gt;0,VLOOKUP($C3363,PATRIMONIALE!$AJ$4:$AL$1003,3,FALSE),"")</f>
        <v>#N/A</v>
      </c>
      <c r="E3363" s="41" t="str">
        <f t="shared" si="276"/>
        <v/>
      </c>
      <c r="F3363" s="200"/>
      <c r="G3363" s="178" t="e">
        <f>IF($C$1078&gt;0,VLOOKUP($C3363,PATRIMONIALE!$AJ$4:$AN$1003,5,FALSE),"")</f>
        <v>#N/A</v>
      </c>
      <c r="H3363" s="179" t="e">
        <f>IF($C$1078&gt;0,VLOOKUP($C3363,PATRIMONIALE!$AJ$4:$AO$1003,6,FALSE),"")</f>
        <v>#N/A</v>
      </c>
      <c r="I3363" s="187"/>
      <c r="J3363" s="140" t="e">
        <f ca="1">VLOOKUP(D3363,$F$1081:$I$4183,4,FALSE)+COUNTIF(E$1081:E3362,E3363)</f>
        <v>#N/A</v>
      </c>
      <c r="K3363" s="1"/>
      <c r="L3363" s="161" t="e">
        <f>IF($C$1078&gt;0,VLOOKUP($C3363,PATRIMONIALE!$AJ$4:$AP$1003,7,FALSE),"")</f>
        <v>#N/A</v>
      </c>
      <c r="M3363" s="1"/>
      <c r="N3363" s="1"/>
      <c r="O3363" s="1"/>
    </row>
    <row r="3364" spans="1:15" hidden="1">
      <c r="A3364" s="1"/>
      <c r="B3364" s="182" t="e">
        <f t="shared" ca="1" si="275"/>
        <v>#N/A</v>
      </c>
      <c r="C3364" s="500">
        <v>298</v>
      </c>
      <c r="D3364" s="41" t="e">
        <f>IF($C$1078&gt;0,VLOOKUP($C3364,PATRIMONIALE!$AJ$4:$AL$1003,3,FALSE),"")</f>
        <v>#N/A</v>
      </c>
      <c r="E3364" s="41" t="str">
        <f t="shared" si="276"/>
        <v/>
      </c>
      <c r="F3364" s="200"/>
      <c r="G3364" s="178" t="e">
        <f>IF($C$1078&gt;0,VLOOKUP($C3364,PATRIMONIALE!$AJ$4:$AN$1003,5,FALSE),"")</f>
        <v>#N/A</v>
      </c>
      <c r="H3364" s="179" t="e">
        <f>IF($C$1078&gt;0,VLOOKUP($C3364,PATRIMONIALE!$AJ$4:$AO$1003,6,FALSE),"")</f>
        <v>#N/A</v>
      </c>
      <c r="I3364" s="187"/>
      <c r="J3364" s="140" t="e">
        <f ca="1">VLOOKUP(D3364,$F$1081:$I$4183,4,FALSE)+COUNTIF(E$1081:E3363,E3364)</f>
        <v>#N/A</v>
      </c>
      <c r="K3364" s="1"/>
      <c r="L3364" s="161" t="e">
        <f>IF($C$1078&gt;0,VLOOKUP($C3364,PATRIMONIALE!$AJ$4:$AP$1003,7,FALSE),"")</f>
        <v>#N/A</v>
      </c>
      <c r="M3364" s="1"/>
      <c r="N3364" s="1"/>
      <c r="O3364" s="1"/>
    </row>
    <row r="3365" spans="1:15" hidden="1">
      <c r="A3365" s="1"/>
      <c r="B3365" s="182" t="e">
        <f t="shared" ca="1" si="275"/>
        <v>#N/A</v>
      </c>
      <c r="C3365" s="500">
        <v>299</v>
      </c>
      <c r="D3365" s="41" t="e">
        <f>IF($C$1078&gt;0,VLOOKUP($C3365,PATRIMONIALE!$AJ$4:$AL$1003,3,FALSE),"")</f>
        <v>#N/A</v>
      </c>
      <c r="E3365" s="41" t="str">
        <f t="shared" si="276"/>
        <v/>
      </c>
      <c r="F3365" s="200"/>
      <c r="G3365" s="178" t="e">
        <f>IF($C$1078&gt;0,VLOOKUP($C3365,PATRIMONIALE!$AJ$4:$AN$1003,5,FALSE),"")</f>
        <v>#N/A</v>
      </c>
      <c r="H3365" s="179" t="e">
        <f>IF($C$1078&gt;0,VLOOKUP($C3365,PATRIMONIALE!$AJ$4:$AO$1003,6,FALSE),"")</f>
        <v>#N/A</v>
      </c>
      <c r="I3365" s="187"/>
      <c r="J3365" s="140" t="e">
        <f ca="1">VLOOKUP(D3365,$F$1081:$I$4183,4,FALSE)+COUNTIF(E$1081:E3364,E3365)</f>
        <v>#N/A</v>
      </c>
      <c r="K3365" s="1"/>
      <c r="L3365" s="161" t="e">
        <f>IF($C$1078&gt;0,VLOOKUP($C3365,PATRIMONIALE!$AJ$4:$AP$1003,7,FALSE),"")</f>
        <v>#N/A</v>
      </c>
      <c r="M3365" s="1"/>
      <c r="N3365" s="1"/>
      <c r="O3365" s="1"/>
    </row>
    <row r="3366" spans="1:15" hidden="1">
      <c r="A3366" s="1"/>
      <c r="B3366" s="182" t="e">
        <f t="shared" ca="1" si="275"/>
        <v>#N/A</v>
      </c>
      <c r="C3366" s="500">
        <v>300</v>
      </c>
      <c r="D3366" s="41" t="e">
        <f>IF($C$1078&gt;0,VLOOKUP($C3366,PATRIMONIALE!$AJ$4:$AL$1003,3,FALSE),"")</f>
        <v>#N/A</v>
      </c>
      <c r="E3366" s="41" t="str">
        <f t="shared" si="276"/>
        <v/>
      </c>
      <c r="F3366" s="200"/>
      <c r="G3366" s="178" t="e">
        <f>IF($C$1078&gt;0,VLOOKUP($C3366,PATRIMONIALE!$AJ$4:$AN$1003,5,FALSE),"")</f>
        <v>#N/A</v>
      </c>
      <c r="H3366" s="179" t="e">
        <f>IF($C$1078&gt;0,VLOOKUP($C3366,PATRIMONIALE!$AJ$4:$AO$1003,6,FALSE),"")</f>
        <v>#N/A</v>
      </c>
      <c r="I3366" s="187"/>
      <c r="J3366" s="140" t="e">
        <f ca="1">VLOOKUP(D3366,$F$1081:$I$4183,4,FALSE)+COUNTIF(E$1081:E3365,E3366)</f>
        <v>#N/A</v>
      </c>
      <c r="K3366" s="1"/>
      <c r="L3366" s="161" t="e">
        <f>IF($C$1078&gt;0,VLOOKUP($C3366,PATRIMONIALE!$AJ$4:$AP$1003,7,FALSE),"")</f>
        <v>#N/A</v>
      </c>
      <c r="M3366" s="1"/>
      <c r="N3366" s="1"/>
      <c r="O3366" s="1"/>
    </row>
    <row r="3367" spans="1:15" hidden="1">
      <c r="A3367" s="1"/>
      <c r="B3367" s="182" t="e">
        <f t="shared" ca="1" si="275"/>
        <v>#N/A</v>
      </c>
      <c r="C3367" s="500">
        <v>301</v>
      </c>
      <c r="D3367" s="41" t="e">
        <f>IF($C$1078&gt;0,VLOOKUP($C3367,PATRIMONIALE!$AJ$4:$AL$1003,3,FALSE),"")</f>
        <v>#N/A</v>
      </c>
      <c r="E3367" s="41" t="str">
        <f t="shared" si="276"/>
        <v/>
      </c>
      <c r="F3367" s="200"/>
      <c r="G3367" s="178" t="e">
        <f>IF($C$1078&gt;0,VLOOKUP($C3367,PATRIMONIALE!$AJ$4:$AN$1003,5,FALSE),"")</f>
        <v>#N/A</v>
      </c>
      <c r="H3367" s="179" t="e">
        <f>IF($C$1078&gt;0,VLOOKUP($C3367,PATRIMONIALE!$AJ$4:$AO$1003,6,FALSE),"")</f>
        <v>#N/A</v>
      </c>
      <c r="I3367" s="187"/>
      <c r="J3367" s="140" t="e">
        <f ca="1">VLOOKUP(D3367,$F$1081:$I$4183,4,FALSE)+COUNTIF(E$1081:E3366,E3367)</f>
        <v>#N/A</v>
      </c>
      <c r="K3367" s="1"/>
      <c r="L3367" s="161" t="e">
        <f>IF($C$1078&gt;0,VLOOKUP($C3367,PATRIMONIALE!$AJ$4:$AP$1003,7,FALSE),"")</f>
        <v>#N/A</v>
      </c>
      <c r="M3367" s="1"/>
      <c r="N3367" s="1"/>
      <c r="O3367" s="1"/>
    </row>
    <row r="3368" spans="1:15" hidden="1">
      <c r="A3368" s="1"/>
      <c r="B3368" s="182" t="e">
        <f t="shared" ca="1" si="275"/>
        <v>#N/A</v>
      </c>
      <c r="C3368" s="500">
        <v>302</v>
      </c>
      <c r="D3368" s="41" t="e">
        <f>IF($C$1078&gt;0,VLOOKUP($C3368,PATRIMONIALE!$AJ$4:$AL$1003,3,FALSE),"")</f>
        <v>#N/A</v>
      </c>
      <c r="E3368" s="41" t="str">
        <f t="shared" si="276"/>
        <v/>
      </c>
      <c r="F3368" s="200"/>
      <c r="G3368" s="178" t="e">
        <f>IF($C$1078&gt;0,VLOOKUP($C3368,PATRIMONIALE!$AJ$4:$AN$1003,5,FALSE),"")</f>
        <v>#N/A</v>
      </c>
      <c r="H3368" s="179" t="e">
        <f>IF($C$1078&gt;0,VLOOKUP($C3368,PATRIMONIALE!$AJ$4:$AO$1003,6,FALSE),"")</f>
        <v>#N/A</v>
      </c>
      <c r="I3368" s="187"/>
      <c r="J3368" s="140" t="e">
        <f ca="1">VLOOKUP(D3368,$F$1081:$I$4183,4,FALSE)+COUNTIF(E$1081:E3367,E3368)</f>
        <v>#N/A</v>
      </c>
      <c r="K3368" s="1"/>
      <c r="L3368" s="161" t="e">
        <f>IF($C$1078&gt;0,VLOOKUP($C3368,PATRIMONIALE!$AJ$4:$AP$1003,7,FALSE),"")</f>
        <v>#N/A</v>
      </c>
      <c r="M3368" s="1"/>
      <c r="N3368" s="1"/>
      <c r="O3368" s="1"/>
    </row>
    <row r="3369" spans="1:15" hidden="1">
      <c r="A3369" s="1"/>
      <c r="B3369" s="182" t="e">
        <f t="shared" ca="1" si="275"/>
        <v>#N/A</v>
      </c>
      <c r="C3369" s="500">
        <v>303</v>
      </c>
      <c r="D3369" s="41" t="e">
        <f>IF($C$1078&gt;0,VLOOKUP($C3369,PATRIMONIALE!$AJ$4:$AL$1003,3,FALSE),"")</f>
        <v>#N/A</v>
      </c>
      <c r="E3369" s="41" t="str">
        <f t="shared" si="276"/>
        <v/>
      </c>
      <c r="F3369" s="200"/>
      <c r="G3369" s="178" t="e">
        <f>IF($C$1078&gt;0,VLOOKUP($C3369,PATRIMONIALE!$AJ$4:$AN$1003,5,FALSE),"")</f>
        <v>#N/A</v>
      </c>
      <c r="H3369" s="179" t="e">
        <f>IF($C$1078&gt;0,VLOOKUP($C3369,PATRIMONIALE!$AJ$4:$AO$1003,6,FALSE),"")</f>
        <v>#N/A</v>
      </c>
      <c r="I3369" s="187"/>
      <c r="J3369" s="140" t="e">
        <f ca="1">VLOOKUP(D3369,$F$1081:$I$4183,4,FALSE)+COUNTIF(E$1081:E3368,E3369)</f>
        <v>#N/A</v>
      </c>
      <c r="K3369" s="1"/>
      <c r="L3369" s="161" t="e">
        <f>IF($C$1078&gt;0,VLOOKUP($C3369,PATRIMONIALE!$AJ$4:$AP$1003,7,FALSE),"")</f>
        <v>#N/A</v>
      </c>
      <c r="M3369" s="1"/>
      <c r="N3369" s="1"/>
      <c r="O3369" s="1"/>
    </row>
    <row r="3370" spans="1:15" hidden="1">
      <c r="A3370" s="1"/>
      <c r="B3370" s="182" t="e">
        <f t="shared" ca="1" si="275"/>
        <v>#N/A</v>
      </c>
      <c r="C3370" s="500">
        <v>304</v>
      </c>
      <c r="D3370" s="41" t="e">
        <f>IF($C$1078&gt;0,VLOOKUP($C3370,PATRIMONIALE!$AJ$4:$AL$1003,3,FALSE),"")</f>
        <v>#N/A</v>
      </c>
      <c r="E3370" s="41" t="str">
        <f t="shared" si="276"/>
        <v/>
      </c>
      <c r="F3370" s="200"/>
      <c r="G3370" s="178" t="e">
        <f>IF($C$1078&gt;0,VLOOKUP($C3370,PATRIMONIALE!$AJ$4:$AN$1003,5,FALSE),"")</f>
        <v>#N/A</v>
      </c>
      <c r="H3370" s="179" t="e">
        <f>IF($C$1078&gt;0,VLOOKUP($C3370,PATRIMONIALE!$AJ$4:$AO$1003,6,FALSE),"")</f>
        <v>#N/A</v>
      </c>
      <c r="I3370" s="187"/>
      <c r="J3370" s="140" t="e">
        <f ca="1">VLOOKUP(D3370,$F$1081:$I$4183,4,FALSE)+COUNTIF(E$1081:E3369,E3370)</f>
        <v>#N/A</v>
      </c>
      <c r="K3370" s="1"/>
      <c r="L3370" s="161" t="e">
        <f>IF($C$1078&gt;0,VLOOKUP($C3370,PATRIMONIALE!$AJ$4:$AP$1003,7,FALSE),"")</f>
        <v>#N/A</v>
      </c>
      <c r="M3370" s="1"/>
      <c r="N3370" s="1"/>
      <c r="O3370" s="1"/>
    </row>
    <row r="3371" spans="1:15" hidden="1">
      <c r="A3371" s="1"/>
      <c r="B3371" s="182" t="e">
        <f t="shared" ca="1" si="275"/>
        <v>#N/A</v>
      </c>
      <c r="C3371" s="500">
        <v>305</v>
      </c>
      <c r="D3371" s="41" t="e">
        <f>IF($C$1078&gt;0,VLOOKUP($C3371,PATRIMONIALE!$AJ$4:$AL$1003,3,FALSE),"")</f>
        <v>#N/A</v>
      </c>
      <c r="E3371" s="41" t="str">
        <f t="shared" si="276"/>
        <v/>
      </c>
      <c r="F3371" s="200"/>
      <c r="G3371" s="178" t="e">
        <f>IF($C$1078&gt;0,VLOOKUP($C3371,PATRIMONIALE!$AJ$4:$AN$1003,5,FALSE),"")</f>
        <v>#N/A</v>
      </c>
      <c r="H3371" s="179" t="e">
        <f>IF($C$1078&gt;0,VLOOKUP($C3371,PATRIMONIALE!$AJ$4:$AO$1003,6,FALSE),"")</f>
        <v>#N/A</v>
      </c>
      <c r="I3371" s="187"/>
      <c r="J3371" s="140" t="e">
        <f ca="1">VLOOKUP(D3371,$F$1081:$I$4183,4,FALSE)+COUNTIF(E$1081:E3370,E3371)</f>
        <v>#N/A</v>
      </c>
      <c r="K3371" s="1"/>
      <c r="L3371" s="161" t="e">
        <f>IF($C$1078&gt;0,VLOOKUP($C3371,PATRIMONIALE!$AJ$4:$AP$1003,7,FALSE),"")</f>
        <v>#N/A</v>
      </c>
      <c r="M3371" s="1"/>
      <c r="N3371" s="1"/>
      <c r="O3371" s="1"/>
    </row>
    <row r="3372" spans="1:15" hidden="1">
      <c r="A3372" s="1"/>
      <c r="B3372" s="182" t="e">
        <f t="shared" ca="1" si="275"/>
        <v>#N/A</v>
      </c>
      <c r="C3372" s="500">
        <v>306</v>
      </c>
      <c r="D3372" s="41" t="e">
        <f>IF($C$1078&gt;0,VLOOKUP($C3372,PATRIMONIALE!$AJ$4:$AL$1003,3,FALSE),"")</f>
        <v>#N/A</v>
      </c>
      <c r="E3372" s="41" t="str">
        <f t="shared" si="276"/>
        <v/>
      </c>
      <c r="F3372" s="200"/>
      <c r="G3372" s="178" t="e">
        <f>IF($C$1078&gt;0,VLOOKUP($C3372,PATRIMONIALE!$AJ$4:$AN$1003,5,FALSE),"")</f>
        <v>#N/A</v>
      </c>
      <c r="H3372" s="179" t="e">
        <f>IF($C$1078&gt;0,VLOOKUP($C3372,PATRIMONIALE!$AJ$4:$AO$1003,6,FALSE),"")</f>
        <v>#N/A</v>
      </c>
      <c r="I3372" s="187"/>
      <c r="J3372" s="140" t="e">
        <f ca="1">VLOOKUP(D3372,$F$1081:$I$4183,4,FALSE)+COUNTIF(E$1081:E3371,E3372)</f>
        <v>#N/A</v>
      </c>
      <c r="K3372" s="1"/>
      <c r="L3372" s="161" t="e">
        <f>IF($C$1078&gt;0,VLOOKUP($C3372,PATRIMONIALE!$AJ$4:$AP$1003,7,FALSE),"")</f>
        <v>#N/A</v>
      </c>
      <c r="M3372" s="1"/>
      <c r="N3372" s="1"/>
      <c r="O3372" s="1"/>
    </row>
    <row r="3373" spans="1:15" hidden="1">
      <c r="A3373" s="1"/>
      <c r="B3373" s="182" t="e">
        <f t="shared" ca="1" si="275"/>
        <v>#N/A</v>
      </c>
      <c r="C3373" s="500">
        <v>307</v>
      </c>
      <c r="D3373" s="41" t="e">
        <f>IF($C$1078&gt;0,VLOOKUP($C3373,PATRIMONIALE!$AJ$4:$AL$1003,3,FALSE),"")</f>
        <v>#N/A</v>
      </c>
      <c r="E3373" s="41" t="str">
        <f t="shared" si="276"/>
        <v/>
      </c>
      <c r="F3373" s="200"/>
      <c r="G3373" s="178" t="e">
        <f>IF($C$1078&gt;0,VLOOKUP($C3373,PATRIMONIALE!$AJ$4:$AN$1003,5,FALSE),"")</f>
        <v>#N/A</v>
      </c>
      <c r="H3373" s="179" t="e">
        <f>IF($C$1078&gt;0,VLOOKUP($C3373,PATRIMONIALE!$AJ$4:$AO$1003,6,FALSE),"")</f>
        <v>#N/A</v>
      </c>
      <c r="I3373" s="187"/>
      <c r="J3373" s="140" t="e">
        <f ca="1">VLOOKUP(D3373,$F$1081:$I$4183,4,FALSE)+COUNTIF(E$1081:E3372,E3373)</f>
        <v>#N/A</v>
      </c>
      <c r="K3373" s="1"/>
      <c r="L3373" s="161" t="e">
        <f>IF($C$1078&gt;0,VLOOKUP($C3373,PATRIMONIALE!$AJ$4:$AP$1003,7,FALSE),"")</f>
        <v>#N/A</v>
      </c>
      <c r="M3373" s="1"/>
      <c r="N3373" s="1"/>
      <c r="O3373" s="1"/>
    </row>
    <row r="3374" spans="1:15" hidden="1">
      <c r="A3374" s="1"/>
      <c r="B3374" s="182" t="e">
        <f t="shared" ca="1" si="275"/>
        <v>#N/A</v>
      </c>
      <c r="C3374" s="500">
        <v>308</v>
      </c>
      <c r="D3374" s="41" t="e">
        <f>IF($C$1078&gt;0,VLOOKUP($C3374,PATRIMONIALE!$AJ$4:$AL$1003,3,FALSE),"")</f>
        <v>#N/A</v>
      </c>
      <c r="E3374" s="41" t="str">
        <f t="shared" si="276"/>
        <v/>
      </c>
      <c r="F3374" s="200"/>
      <c r="G3374" s="178" t="e">
        <f>IF($C$1078&gt;0,VLOOKUP($C3374,PATRIMONIALE!$AJ$4:$AN$1003,5,FALSE),"")</f>
        <v>#N/A</v>
      </c>
      <c r="H3374" s="179" t="e">
        <f>IF($C$1078&gt;0,VLOOKUP($C3374,PATRIMONIALE!$AJ$4:$AO$1003,6,FALSE),"")</f>
        <v>#N/A</v>
      </c>
      <c r="I3374" s="187"/>
      <c r="J3374" s="140" t="e">
        <f ca="1">VLOOKUP(D3374,$F$1081:$I$4183,4,FALSE)+COUNTIF(E$1081:E3373,E3374)</f>
        <v>#N/A</v>
      </c>
      <c r="K3374" s="1"/>
      <c r="L3374" s="161" t="e">
        <f>IF($C$1078&gt;0,VLOOKUP($C3374,PATRIMONIALE!$AJ$4:$AP$1003,7,FALSE),"")</f>
        <v>#N/A</v>
      </c>
      <c r="M3374" s="1"/>
      <c r="N3374" s="1"/>
      <c r="O3374" s="1"/>
    </row>
    <row r="3375" spans="1:15" hidden="1">
      <c r="A3375" s="1"/>
      <c r="B3375" s="182" t="e">
        <f t="shared" ca="1" si="275"/>
        <v>#N/A</v>
      </c>
      <c r="C3375" s="500">
        <v>309</v>
      </c>
      <c r="D3375" s="41" t="e">
        <f>IF($C$1078&gt;0,VLOOKUP($C3375,PATRIMONIALE!$AJ$4:$AL$1003,3,FALSE),"")</f>
        <v>#N/A</v>
      </c>
      <c r="E3375" s="41" t="str">
        <f t="shared" si="276"/>
        <v/>
      </c>
      <c r="F3375" s="200"/>
      <c r="G3375" s="178" t="e">
        <f>IF($C$1078&gt;0,VLOOKUP($C3375,PATRIMONIALE!$AJ$4:$AN$1003,5,FALSE),"")</f>
        <v>#N/A</v>
      </c>
      <c r="H3375" s="179" t="e">
        <f>IF($C$1078&gt;0,VLOOKUP($C3375,PATRIMONIALE!$AJ$4:$AO$1003,6,FALSE),"")</f>
        <v>#N/A</v>
      </c>
      <c r="I3375" s="187"/>
      <c r="J3375" s="140" t="e">
        <f ca="1">VLOOKUP(D3375,$F$1081:$I$4183,4,FALSE)+COUNTIF(E$1081:E3374,E3375)</f>
        <v>#N/A</v>
      </c>
      <c r="K3375" s="1"/>
      <c r="L3375" s="161" t="e">
        <f>IF($C$1078&gt;0,VLOOKUP($C3375,PATRIMONIALE!$AJ$4:$AP$1003,7,FALSE),"")</f>
        <v>#N/A</v>
      </c>
      <c r="M3375" s="1"/>
      <c r="N3375" s="1"/>
      <c r="O3375" s="1"/>
    </row>
    <row r="3376" spans="1:15" hidden="1">
      <c r="A3376" s="1"/>
      <c r="B3376" s="182" t="e">
        <f t="shared" ca="1" si="275"/>
        <v>#N/A</v>
      </c>
      <c r="C3376" s="500">
        <v>310</v>
      </c>
      <c r="D3376" s="41" t="e">
        <f>IF($C$1078&gt;0,VLOOKUP($C3376,PATRIMONIALE!$AJ$4:$AL$1003,3,FALSE),"")</f>
        <v>#N/A</v>
      </c>
      <c r="E3376" s="41" t="str">
        <f t="shared" si="276"/>
        <v/>
      </c>
      <c r="F3376" s="200"/>
      <c r="G3376" s="178" t="e">
        <f>IF($C$1078&gt;0,VLOOKUP($C3376,PATRIMONIALE!$AJ$4:$AN$1003,5,FALSE),"")</f>
        <v>#N/A</v>
      </c>
      <c r="H3376" s="179" t="e">
        <f>IF($C$1078&gt;0,VLOOKUP($C3376,PATRIMONIALE!$AJ$4:$AO$1003,6,FALSE),"")</f>
        <v>#N/A</v>
      </c>
      <c r="I3376" s="187"/>
      <c r="J3376" s="140" t="e">
        <f ca="1">VLOOKUP(D3376,$F$1081:$I$4183,4,FALSE)+COUNTIF(E$1081:E3375,E3376)</f>
        <v>#N/A</v>
      </c>
      <c r="K3376" s="1"/>
      <c r="L3376" s="161" t="e">
        <f>IF($C$1078&gt;0,VLOOKUP($C3376,PATRIMONIALE!$AJ$4:$AP$1003,7,FALSE),"")</f>
        <v>#N/A</v>
      </c>
      <c r="M3376" s="1"/>
      <c r="N3376" s="1"/>
      <c r="O3376" s="1"/>
    </row>
    <row r="3377" spans="1:15" hidden="1">
      <c r="A3377" s="1"/>
      <c r="B3377" s="182" t="e">
        <f t="shared" ca="1" si="275"/>
        <v>#N/A</v>
      </c>
      <c r="C3377" s="500">
        <v>311</v>
      </c>
      <c r="D3377" s="41" t="e">
        <f>IF($C$1078&gt;0,VLOOKUP($C3377,PATRIMONIALE!$AJ$4:$AL$1003,3,FALSE),"")</f>
        <v>#N/A</v>
      </c>
      <c r="E3377" s="41" t="str">
        <f t="shared" si="276"/>
        <v/>
      </c>
      <c r="F3377" s="200"/>
      <c r="G3377" s="178" t="e">
        <f>IF($C$1078&gt;0,VLOOKUP($C3377,PATRIMONIALE!$AJ$4:$AN$1003,5,FALSE),"")</f>
        <v>#N/A</v>
      </c>
      <c r="H3377" s="179" t="e">
        <f>IF($C$1078&gt;0,VLOOKUP($C3377,PATRIMONIALE!$AJ$4:$AO$1003,6,FALSE),"")</f>
        <v>#N/A</v>
      </c>
      <c r="I3377" s="187"/>
      <c r="J3377" s="140" t="e">
        <f ca="1">VLOOKUP(D3377,$F$1081:$I$4183,4,FALSE)+COUNTIF(E$1081:E3376,E3377)</f>
        <v>#N/A</v>
      </c>
      <c r="K3377" s="1"/>
      <c r="L3377" s="161" t="e">
        <f>IF($C$1078&gt;0,VLOOKUP($C3377,PATRIMONIALE!$AJ$4:$AP$1003,7,FALSE),"")</f>
        <v>#N/A</v>
      </c>
      <c r="M3377" s="1"/>
      <c r="N3377" s="1"/>
      <c r="O3377" s="1"/>
    </row>
    <row r="3378" spans="1:15" hidden="1">
      <c r="A3378" s="1"/>
      <c r="B3378" s="182" t="e">
        <f t="shared" ca="1" si="275"/>
        <v>#N/A</v>
      </c>
      <c r="C3378" s="500">
        <v>312</v>
      </c>
      <c r="D3378" s="41" t="e">
        <f>IF($C$1078&gt;0,VLOOKUP($C3378,PATRIMONIALE!$AJ$4:$AL$1003,3,FALSE),"")</f>
        <v>#N/A</v>
      </c>
      <c r="E3378" s="41" t="str">
        <f t="shared" si="276"/>
        <v/>
      </c>
      <c r="F3378" s="200"/>
      <c r="G3378" s="178" t="e">
        <f>IF($C$1078&gt;0,VLOOKUP($C3378,PATRIMONIALE!$AJ$4:$AN$1003,5,FALSE),"")</f>
        <v>#N/A</v>
      </c>
      <c r="H3378" s="179" t="e">
        <f>IF($C$1078&gt;0,VLOOKUP($C3378,PATRIMONIALE!$AJ$4:$AO$1003,6,FALSE),"")</f>
        <v>#N/A</v>
      </c>
      <c r="I3378" s="187"/>
      <c r="J3378" s="140" t="e">
        <f ca="1">VLOOKUP(D3378,$F$1081:$I$4183,4,FALSE)+COUNTIF(E$1081:E3377,E3378)</f>
        <v>#N/A</v>
      </c>
      <c r="K3378" s="1"/>
      <c r="L3378" s="161" t="e">
        <f>IF($C$1078&gt;0,VLOOKUP($C3378,PATRIMONIALE!$AJ$4:$AP$1003,7,FALSE),"")</f>
        <v>#N/A</v>
      </c>
      <c r="M3378" s="1"/>
      <c r="N3378" s="1"/>
      <c r="O3378" s="1"/>
    </row>
    <row r="3379" spans="1:15" hidden="1">
      <c r="A3379" s="1"/>
      <c r="B3379" s="182" t="e">
        <f t="shared" ca="1" si="275"/>
        <v>#N/A</v>
      </c>
      <c r="C3379" s="500">
        <v>313</v>
      </c>
      <c r="D3379" s="41" t="e">
        <f>IF($C$1078&gt;0,VLOOKUP($C3379,PATRIMONIALE!$AJ$4:$AL$1003,3,FALSE),"")</f>
        <v>#N/A</v>
      </c>
      <c r="E3379" s="41" t="str">
        <f t="shared" si="276"/>
        <v/>
      </c>
      <c r="F3379" s="200"/>
      <c r="G3379" s="178" t="e">
        <f>IF($C$1078&gt;0,VLOOKUP($C3379,PATRIMONIALE!$AJ$4:$AN$1003,5,FALSE),"")</f>
        <v>#N/A</v>
      </c>
      <c r="H3379" s="179" t="e">
        <f>IF($C$1078&gt;0,VLOOKUP($C3379,PATRIMONIALE!$AJ$4:$AO$1003,6,FALSE),"")</f>
        <v>#N/A</v>
      </c>
      <c r="I3379" s="187"/>
      <c r="J3379" s="140" t="e">
        <f ca="1">VLOOKUP(D3379,$F$1081:$I$4183,4,FALSE)+COUNTIF(E$1081:E3378,E3379)</f>
        <v>#N/A</v>
      </c>
      <c r="K3379" s="1"/>
      <c r="L3379" s="161" t="e">
        <f>IF($C$1078&gt;0,VLOOKUP($C3379,PATRIMONIALE!$AJ$4:$AP$1003,7,FALSE),"")</f>
        <v>#N/A</v>
      </c>
      <c r="M3379" s="1"/>
      <c r="N3379" s="1"/>
      <c r="O3379" s="1"/>
    </row>
    <row r="3380" spans="1:15" hidden="1">
      <c r="A3380" s="1"/>
      <c r="B3380" s="182" t="e">
        <f t="shared" ca="1" si="275"/>
        <v>#N/A</v>
      </c>
      <c r="C3380" s="500">
        <v>314</v>
      </c>
      <c r="D3380" s="41" t="e">
        <f>IF($C$1078&gt;0,VLOOKUP($C3380,PATRIMONIALE!$AJ$4:$AL$1003,3,FALSE),"")</f>
        <v>#N/A</v>
      </c>
      <c r="E3380" s="41" t="str">
        <f t="shared" si="276"/>
        <v/>
      </c>
      <c r="F3380" s="200"/>
      <c r="G3380" s="178" t="e">
        <f>IF($C$1078&gt;0,VLOOKUP($C3380,PATRIMONIALE!$AJ$4:$AN$1003,5,FALSE),"")</f>
        <v>#N/A</v>
      </c>
      <c r="H3380" s="179" t="e">
        <f>IF($C$1078&gt;0,VLOOKUP($C3380,PATRIMONIALE!$AJ$4:$AO$1003,6,FALSE),"")</f>
        <v>#N/A</v>
      </c>
      <c r="I3380" s="187"/>
      <c r="J3380" s="140" t="e">
        <f ca="1">VLOOKUP(D3380,$F$1081:$I$4183,4,FALSE)+COUNTIF(E$1081:E3379,E3380)</f>
        <v>#N/A</v>
      </c>
      <c r="K3380" s="1"/>
      <c r="L3380" s="161" t="e">
        <f>IF($C$1078&gt;0,VLOOKUP($C3380,PATRIMONIALE!$AJ$4:$AP$1003,7,FALSE),"")</f>
        <v>#N/A</v>
      </c>
      <c r="M3380" s="1"/>
      <c r="N3380" s="1"/>
      <c r="O3380" s="1"/>
    </row>
    <row r="3381" spans="1:15" hidden="1">
      <c r="A3381" s="1"/>
      <c r="B3381" s="182" t="e">
        <f t="shared" ca="1" si="275"/>
        <v>#N/A</v>
      </c>
      <c r="C3381" s="500">
        <v>315</v>
      </c>
      <c r="D3381" s="41" t="e">
        <f>IF($C$1078&gt;0,VLOOKUP($C3381,PATRIMONIALE!$AJ$4:$AL$1003,3,FALSE),"")</f>
        <v>#N/A</v>
      </c>
      <c r="E3381" s="41" t="str">
        <f t="shared" si="276"/>
        <v/>
      </c>
      <c r="F3381" s="200"/>
      <c r="G3381" s="178" t="e">
        <f>IF($C$1078&gt;0,VLOOKUP($C3381,PATRIMONIALE!$AJ$4:$AN$1003,5,FALSE),"")</f>
        <v>#N/A</v>
      </c>
      <c r="H3381" s="179" t="e">
        <f>IF($C$1078&gt;0,VLOOKUP($C3381,PATRIMONIALE!$AJ$4:$AO$1003,6,FALSE),"")</f>
        <v>#N/A</v>
      </c>
      <c r="I3381" s="187"/>
      <c r="J3381" s="140" t="e">
        <f ca="1">VLOOKUP(D3381,$F$1081:$I$4183,4,FALSE)+COUNTIF(E$1081:E3380,E3381)</f>
        <v>#N/A</v>
      </c>
      <c r="K3381" s="1"/>
      <c r="L3381" s="161" t="e">
        <f>IF($C$1078&gt;0,VLOOKUP($C3381,PATRIMONIALE!$AJ$4:$AP$1003,7,FALSE),"")</f>
        <v>#N/A</v>
      </c>
      <c r="M3381" s="1"/>
      <c r="N3381" s="1"/>
      <c r="O3381" s="1"/>
    </row>
    <row r="3382" spans="1:15" hidden="1">
      <c r="A3382" s="1"/>
      <c r="B3382" s="182" t="e">
        <f t="shared" ca="1" si="275"/>
        <v>#N/A</v>
      </c>
      <c r="C3382" s="500">
        <v>316</v>
      </c>
      <c r="D3382" s="41" t="e">
        <f>IF($C$1078&gt;0,VLOOKUP($C3382,PATRIMONIALE!$AJ$4:$AL$1003,3,FALSE),"")</f>
        <v>#N/A</v>
      </c>
      <c r="E3382" s="41" t="str">
        <f t="shared" si="276"/>
        <v/>
      </c>
      <c r="F3382" s="200"/>
      <c r="G3382" s="178" t="e">
        <f>IF($C$1078&gt;0,VLOOKUP($C3382,PATRIMONIALE!$AJ$4:$AN$1003,5,FALSE),"")</f>
        <v>#N/A</v>
      </c>
      <c r="H3382" s="179" t="e">
        <f>IF($C$1078&gt;0,VLOOKUP($C3382,PATRIMONIALE!$AJ$4:$AO$1003,6,FALSE),"")</f>
        <v>#N/A</v>
      </c>
      <c r="I3382" s="187"/>
      <c r="J3382" s="140" t="e">
        <f ca="1">VLOOKUP(D3382,$F$1081:$I$4183,4,FALSE)+COUNTIF(E$1081:E3381,E3382)</f>
        <v>#N/A</v>
      </c>
      <c r="K3382" s="1"/>
      <c r="L3382" s="161" t="e">
        <f>IF($C$1078&gt;0,VLOOKUP($C3382,PATRIMONIALE!$AJ$4:$AP$1003,7,FALSE),"")</f>
        <v>#N/A</v>
      </c>
      <c r="M3382" s="1"/>
      <c r="N3382" s="1"/>
      <c r="O3382" s="1"/>
    </row>
    <row r="3383" spans="1:15" hidden="1">
      <c r="A3383" s="1"/>
      <c r="B3383" s="182" t="e">
        <f t="shared" ca="1" si="275"/>
        <v>#N/A</v>
      </c>
      <c r="C3383" s="500">
        <v>317</v>
      </c>
      <c r="D3383" s="41" t="e">
        <f>IF($C$1078&gt;0,VLOOKUP($C3383,PATRIMONIALE!$AJ$4:$AL$1003,3,FALSE),"")</f>
        <v>#N/A</v>
      </c>
      <c r="E3383" s="41" t="str">
        <f t="shared" si="276"/>
        <v/>
      </c>
      <c r="F3383" s="200"/>
      <c r="G3383" s="178" t="e">
        <f>IF($C$1078&gt;0,VLOOKUP($C3383,PATRIMONIALE!$AJ$4:$AN$1003,5,FALSE),"")</f>
        <v>#N/A</v>
      </c>
      <c r="H3383" s="179" t="e">
        <f>IF($C$1078&gt;0,VLOOKUP($C3383,PATRIMONIALE!$AJ$4:$AO$1003,6,FALSE),"")</f>
        <v>#N/A</v>
      </c>
      <c r="I3383" s="187"/>
      <c r="J3383" s="140" t="e">
        <f ca="1">VLOOKUP(D3383,$F$1081:$I$4183,4,FALSE)+COUNTIF(E$1081:E3382,E3383)</f>
        <v>#N/A</v>
      </c>
      <c r="K3383" s="1"/>
      <c r="L3383" s="161" t="e">
        <f>IF($C$1078&gt;0,VLOOKUP($C3383,PATRIMONIALE!$AJ$4:$AP$1003,7,FALSE),"")</f>
        <v>#N/A</v>
      </c>
      <c r="M3383" s="1"/>
      <c r="N3383" s="1"/>
      <c r="O3383" s="1"/>
    </row>
    <row r="3384" spans="1:15" hidden="1">
      <c r="A3384" s="1"/>
      <c r="B3384" s="182" t="e">
        <f t="shared" ca="1" si="275"/>
        <v>#N/A</v>
      </c>
      <c r="C3384" s="500">
        <v>318</v>
      </c>
      <c r="D3384" s="41" t="e">
        <f>IF($C$1078&gt;0,VLOOKUP($C3384,PATRIMONIALE!$AJ$4:$AL$1003,3,FALSE),"")</f>
        <v>#N/A</v>
      </c>
      <c r="E3384" s="41" t="str">
        <f t="shared" si="276"/>
        <v/>
      </c>
      <c r="F3384" s="200"/>
      <c r="G3384" s="178" t="e">
        <f>IF($C$1078&gt;0,VLOOKUP($C3384,PATRIMONIALE!$AJ$4:$AN$1003,5,FALSE),"")</f>
        <v>#N/A</v>
      </c>
      <c r="H3384" s="179" t="e">
        <f>IF($C$1078&gt;0,VLOOKUP($C3384,PATRIMONIALE!$AJ$4:$AO$1003,6,FALSE),"")</f>
        <v>#N/A</v>
      </c>
      <c r="I3384" s="187"/>
      <c r="J3384" s="140" t="e">
        <f ca="1">VLOOKUP(D3384,$F$1081:$I$4183,4,FALSE)+COUNTIF(E$1081:E3383,E3384)</f>
        <v>#N/A</v>
      </c>
      <c r="K3384" s="1"/>
      <c r="L3384" s="161" t="e">
        <f>IF($C$1078&gt;0,VLOOKUP($C3384,PATRIMONIALE!$AJ$4:$AP$1003,7,FALSE),"")</f>
        <v>#N/A</v>
      </c>
      <c r="M3384" s="1"/>
      <c r="N3384" s="1"/>
      <c r="O3384" s="1"/>
    </row>
    <row r="3385" spans="1:15" hidden="1">
      <c r="A3385" s="1"/>
      <c r="B3385" s="182" t="e">
        <f t="shared" ref="B3385:B3448" ca="1" si="277">IF(OR(C$1075&gt;0,C$1077&gt;0,C$1073&gt;0,C$1071&gt;0),J3385+1,J3385)</f>
        <v>#N/A</v>
      </c>
      <c r="C3385" s="500">
        <v>319</v>
      </c>
      <c r="D3385" s="41" t="e">
        <f>IF($C$1078&gt;0,VLOOKUP($C3385,PATRIMONIALE!$AJ$4:$AL$1003,3,FALSE),"")</f>
        <v>#N/A</v>
      </c>
      <c r="E3385" s="41" t="str">
        <f t="shared" si="276"/>
        <v/>
      </c>
      <c r="F3385" s="200"/>
      <c r="G3385" s="178" t="e">
        <f>IF($C$1078&gt;0,VLOOKUP($C3385,PATRIMONIALE!$AJ$4:$AN$1003,5,FALSE),"")</f>
        <v>#N/A</v>
      </c>
      <c r="H3385" s="179" t="e">
        <f>IF($C$1078&gt;0,VLOOKUP($C3385,PATRIMONIALE!$AJ$4:$AO$1003,6,FALSE),"")</f>
        <v>#N/A</v>
      </c>
      <c r="I3385" s="187"/>
      <c r="J3385" s="140" t="e">
        <f ca="1">VLOOKUP(D3385,$F$1081:$I$4183,4,FALSE)+COUNTIF(E$1081:E3384,E3385)</f>
        <v>#N/A</v>
      </c>
      <c r="K3385" s="1"/>
      <c r="L3385" s="161" t="e">
        <f>IF($C$1078&gt;0,VLOOKUP($C3385,PATRIMONIALE!$AJ$4:$AP$1003,7,FALSE),"")</f>
        <v>#N/A</v>
      </c>
      <c r="M3385" s="1"/>
      <c r="N3385" s="1"/>
      <c r="O3385" s="1"/>
    </row>
    <row r="3386" spans="1:15" hidden="1">
      <c r="A3386" s="1"/>
      <c r="B3386" s="182" t="e">
        <f t="shared" ca="1" si="277"/>
        <v>#N/A</v>
      </c>
      <c r="C3386" s="500">
        <v>320</v>
      </c>
      <c r="D3386" s="41" t="e">
        <f>IF($C$1078&gt;0,VLOOKUP($C3386,PATRIMONIALE!$AJ$4:$AL$1003,3,FALSE),"")</f>
        <v>#N/A</v>
      </c>
      <c r="E3386" s="41" t="str">
        <f t="shared" si="276"/>
        <v/>
      </c>
      <c r="F3386" s="200"/>
      <c r="G3386" s="178" t="e">
        <f>IF($C$1078&gt;0,VLOOKUP($C3386,PATRIMONIALE!$AJ$4:$AN$1003,5,FALSE),"")</f>
        <v>#N/A</v>
      </c>
      <c r="H3386" s="179" t="e">
        <f>IF($C$1078&gt;0,VLOOKUP($C3386,PATRIMONIALE!$AJ$4:$AO$1003,6,FALSE),"")</f>
        <v>#N/A</v>
      </c>
      <c r="I3386" s="187"/>
      <c r="J3386" s="140" t="e">
        <f ca="1">VLOOKUP(D3386,$F$1081:$I$4183,4,FALSE)+COUNTIF(E$1081:E3385,E3386)</f>
        <v>#N/A</v>
      </c>
      <c r="K3386" s="1"/>
      <c r="L3386" s="161" t="e">
        <f>IF($C$1078&gt;0,VLOOKUP($C3386,PATRIMONIALE!$AJ$4:$AP$1003,7,FALSE),"")</f>
        <v>#N/A</v>
      </c>
      <c r="M3386" s="1"/>
      <c r="N3386" s="1"/>
      <c r="O3386" s="1"/>
    </row>
    <row r="3387" spans="1:15" hidden="1">
      <c r="A3387" s="1"/>
      <c r="B3387" s="182" t="e">
        <f t="shared" ca="1" si="277"/>
        <v>#N/A</v>
      </c>
      <c r="C3387" s="500">
        <v>321</v>
      </c>
      <c r="D3387" s="41" t="e">
        <f>IF($C$1078&gt;0,VLOOKUP($C3387,PATRIMONIALE!$AJ$4:$AL$1003,3,FALSE),"")</f>
        <v>#N/A</v>
      </c>
      <c r="E3387" s="41" t="str">
        <f t="shared" si="276"/>
        <v/>
      </c>
      <c r="F3387" s="200"/>
      <c r="G3387" s="178" t="e">
        <f>IF($C$1078&gt;0,VLOOKUP($C3387,PATRIMONIALE!$AJ$4:$AN$1003,5,FALSE),"")</f>
        <v>#N/A</v>
      </c>
      <c r="H3387" s="179" t="e">
        <f>IF($C$1078&gt;0,VLOOKUP($C3387,PATRIMONIALE!$AJ$4:$AO$1003,6,FALSE),"")</f>
        <v>#N/A</v>
      </c>
      <c r="I3387" s="187"/>
      <c r="J3387" s="140" t="e">
        <f ca="1">VLOOKUP(D3387,$F$1081:$I$4183,4,FALSE)+COUNTIF(E$1081:E3386,E3387)</f>
        <v>#N/A</v>
      </c>
      <c r="K3387" s="1"/>
      <c r="L3387" s="161" t="e">
        <f>IF($C$1078&gt;0,VLOOKUP($C3387,PATRIMONIALE!$AJ$4:$AP$1003,7,FALSE),"")</f>
        <v>#N/A</v>
      </c>
      <c r="M3387" s="1"/>
      <c r="N3387" s="1"/>
      <c r="O3387" s="1"/>
    </row>
    <row r="3388" spans="1:15" hidden="1">
      <c r="A3388" s="1"/>
      <c r="B3388" s="182" t="e">
        <f t="shared" ca="1" si="277"/>
        <v>#N/A</v>
      </c>
      <c r="C3388" s="500">
        <v>322</v>
      </c>
      <c r="D3388" s="41" t="e">
        <f>IF($C$1078&gt;0,VLOOKUP($C3388,PATRIMONIALE!$AJ$4:$AL$1003,3,FALSE),"")</f>
        <v>#N/A</v>
      </c>
      <c r="E3388" s="41" t="str">
        <f t="shared" si="276"/>
        <v/>
      </c>
      <c r="F3388" s="200"/>
      <c r="G3388" s="178" t="e">
        <f>IF($C$1078&gt;0,VLOOKUP($C3388,PATRIMONIALE!$AJ$4:$AN$1003,5,FALSE),"")</f>
        <v>#N/A</v>
      </c>
      <c r="H3388" s="179" t="e">
        <f>IF($C$1078&gt;0,VLOOKUP($C3388,PATRIMONIALE!$AJ$4:$AO$1003,6,FALSE),"")</f>
        <v>#N/A</v>
      </c>
      <c r="I3388" s="187"/>
      <c r="J3388" s="140" t="e">
        <f ca="1">VLOOKUP(D3388,$F$1081:$I$4183,4,FALSE)+COUNTIF(E$1081:E3387,E3388)</f>
        <v>#N/A</v>
      </c>
      <c r="K3388" s="1"/>
      <c r="L3388" s="161" t="e">
        <f>IF($C$1078&gt;0,VLOOKUP($C3388,PATRIMONIALE!$AJ$4:$AP$1003,7,FALSE),"")</f>
        <v>#N/A</v>
      </c>
      <c r="M3388" s="1"/>
      <c r="N3388" s="1"/>
      <c r="O3388" s="1"/>
    </row>
    <row r="3389" spans="1:15" hidden="1">
      <c r="A3389" s="1"/>
      <c r="B3389" s="182" t="e">
        <f t="shared" ca="1" si="277"/>
        <v>#N/A</v>
      </c>
      <c r="C3389" s="500">
        <v>323</v>
      </c>
      <c r="D3389" s="41" t="e">
        <f>IF($C$1078&gt;0,VLOOKUP($C3389,PATRIMONIALE!$AJ$4:$AL$1003,3,FALSE),"")</f>
        <v>#N/A</v>
      </c>
      <c r="E3389" s="41" t="str">
        <f t="shared" si="276"/>
        <v/>
      </c>
      <c r="F3389" s="200"/>
      <c r="G3389" s="178" t="e">
        <f>IF($C$1078&gt;0,VLOOKUP($C3389,PATRIMONIALE!$AJ$4:$AN$1003,5,FALSE),"")</f>
        <v>#N/A</v>
      </c>
      <c r="H3389" s="179" t="e">
        <f>IF($C$1078&gt;0,VLOOKUP($C3389,PATRIMONIALE!$AJ$4:$AO$1003,6,FALSE),"")</f>
        <v>#N/A</v>
      </c>
      <c r="I3389" s="187"/>
      <c r="J3389" s="140" t="e">
        <f ca="1">VLOOKUP(D3389,$F$1081:$I$4183,4,FALSE)+COUNTIF(E$1081:E3388,E3389)</f>
        <v>#N/A</v>
      </c>
      <c r="K3389" s="1"/>
      <c r="L3389" s="161" t="e">
        <f>IF($C$1078&gt;0,VLOOKUP($C3389,PATRIMONIALE!$AJ$4:$AP$1003,7,FALSE),"")</f>
        <v>#N/A</v>
      </c>
      <c r="M3389" s="1"/>
      <c r="N3389" s="1"/>
      <c r="O3389" s="1"/>
    </row>
    <row r="3390" spans="1:15" hidden="1">
      <c r="A3390" s="1"/>
      <c r="B3390" s="182" t="e">
        <f t="shared" ca="1" si="277"/>
        <v>#N/A</v>
      </c>
      <c r="C3390" s="500">
        <v>324</v>
      </c>
      <c r="D3390" s="41" t="e">
        <f>IF($C$1078&gt;0,VLOOKUP($C3390,PATRIMONIALE!$AJ$4:$AL$1003,3,FALSE),"")</f>
        <v>#N/A</v>
      </c>
      <c r="E3390" s="41" t="str">
        <f t="shared" si="276"/>
        <v/>
      </c>
      <c r="F3390" s="200"/>
      <c r="G3390" s="178" t="e">
        <f>IF($C$1078&gt;0,VLOOKUP($C3390,PATRIMONIALE!$AJ$4:$AN$1003,5,FALSE),"")</f>
        <v>#N/A</v>
      </c>
      <c r="H3390" s="179" t="e">
        <f>IF($C$1078&gt;0,VLOOKUP($C3390,PATRIMONIALE!$AJ$4:$AO$1003,6,FALSE),"")</f>
        <v>#N/A</v>
      </c>
      <c r="I3390" s="187"/>
      <c r="J3390" s="140" t="e">
        <f ca="1">VLOOKUP(D3390,$F$1081:$I$4183,4,FALSE)+COUNTIF(E$1081:E3389,E3390)</f>
        <v>#N/A</v>
      </c>
      <c r="K3390" s="1"/>
      <c r="L3390" s="161" t="e">
        <f>IF($C$1078&gt;0,VLOOKUP($C3390,PATRIMONIALE!$AJ$4:$AP$1003,7,FALSE),"")</f>
        <v>#N/A</v>
      </c>
      <c r="M3390" s="1"/>
      <c r="N3390" s="1"/>
      <c r="O3390" s="1"/>
    </row>
    <row r="3391" spans="1:15" hidden="1">
      <c r="A3391" s="1"/>
      <c r="B3391" s="182" t="e">
        <f t="shared" ca="1" si="277"/>
        <v>#N/A</v>
      </c>
      <c r="C3391" s="500">
        <v>325</v>
      </c>
      <c r="D3391" s="41" t="e">
        <f>IF($C$1078&gt;0,VLOOKUP($C3391,PATRIMONIALE!$AJ$4:$AL$1003,3,FALSE),"")</f>
        <v>#N/A</v>
      </c>
      <c r="E3391" s="41" t="str">
        <f t="shared" si="276"/>
        <v/>
      </c>
      <c r="F3391" s="200"/>
      <c r="G3391" s="178" t="e">
        <f>IF($C$1078&gt;0,VLOOKUP($C3391,PATRIMONIALE!$AJ$4:$AN$1003,5,FALSE),"")</f>
        <v>#N/A</v>
      </c>
      <c r="H3391" s="179" t="e">
        <f>IF($C$1078&gt;0,VLOOKUP($C3391,PATRIMONIALE!$AJ$4:$AO$1003,6,FALSE),"")</f>
        <v>#N/A</v>
      </c>
      <c r="I3391" s="187"/>
      <c r="J3391" s="140" t="e">
        <f ca="1">VLOOKUP(D3391,$F$1081:$I$4183,4,FALSE)+COUNTIF(E$1081:E3390,E3391)</f>
        <v>#N/A</v>
      </c>
      <c r="K3391" s="1"/>
      <c r="L3391" s="161" t="e">
        <f>IF($C$1078&gt;0,VLOOKUP($C3391,PATRIMONIALE!$AJ$4:$AP$1003,7,FALSE),"")</f>
        <v>#N/A</v>
      </c>
      <c r="M3391" s="1"/>
      <c r="N3391" s="1"/>
      <c r="O3391" s="1"/>
    </row>
    <row r="3392" spans="1:15" hidden="1">
      <c r="A3392" s="1"/>
      <c r="B3392" s="182" t="e">
        <f t="shared" ca="1" si="277"/>
        <v>#N/A</v>
      </c>
      <c r="C3392" s="500">
        <v>326</v>
      </c>
      <c r="D3392" s="41" t="e">
        <f>IF($C$1078&gt;0,VLOOKUP($C3392,PATRIMONIALE!$AJ$4:$AL$1003,3,FALSE),"")</f>
        <v>#N/A</v>
      </c>
      <c r="E3392" s="41" t="str">
        <f t="shared" si="276"/>
        <v/>
      </c>
      <c r="F3392" s="200"/>
      <c r="G3392" s="178" t="e">
        <f>IF($C$1078&gt;0,VLOOKUP($C3392,PATRIMONIALE!$AJ$4:$AN$1003,5,FALSE),"")</f>
        <v>#N/A</v>
      </c>
      <c r="H3392" s="179" t="e">
        <f>IF($C$1078&gt;0,VLOOKUP($C3392,PATRIMONIALE!$AJ$4:$AO$1003,6,FALSE),"")</f>
        <v>#N/A</v>
      </c>
      <c r="I3392" s="187"/>
      <c r="J3392" s="140" t="e">
        <f ca="1">VLOOKUP(D3392,$F$1081:$I$4183,4,FALSE)+COUNTIF(E$1081:E3391,E3392)</f>
        <v>#N/A</v>
      </c>
      <c r="K3392" s="1"/>
      <c r="L3392" s="161" t="e">
        <f>IF($C$1078&gt;0,VLOOKUP($C3392,PATRIMONIALE!$AJ$4:$AP$1003,7,FALSE),"")</f>
        <v>#N/A</v>
      </c>
      <c r="M3392" s="1"/>
      <c r="N3392" s="1"/>
      <c r="O3392" s="1"/>
    </row>
    <row r="3393" spans="1:15" hidden="1">
      <c r="A3393" s="1"/>
      <c r="B3393" s="182" t="e">
        <f t="shared" ca="1" si="277"/>
        <v>#N/A</v>
      </c>
      <c r="C3393" s="500">
        <v>327</v>
      </c>
      <c r="D3393" s="41" t="e">
        <f>IF($C$1078&gt;0,VLOOKUP($C3393,PATRIMONIALE!$AJ$4:$AL$1003,3,FALSE),"")</f>
        <v>#N/A</v>
      </c>
      <c r="E3393" s="41" t="str">
        <f t="shared" si="276"/>
        <v/>
      </c>
      <c r="F3393" s="200"/>
      <c r="G3393" s="178" t="e">
        <f>IF($C$1078&gt;0,VLOOKUP($C3393,PATRIMONIALE!$AJ$4:$AN$1003,5,FALSE),"")</f>
        <v>#N/A</v>
      </c>
      <c r="H3393" s="179" t="e">
        <f>IF($C$1078&gt;0,VLOOKUP($C3393,PATRIMONIALE!$AJ$4:$AO$1003,6,FALSE),"")</f>
        <v>#N/A</v>
      </c>
      <c r="I3393" s="187"/>
      <c r="J3393" s="140" t="e">
        <f ca="1">VLOOKUP(D3393,$F$1081:$I$4183,4,FALSE)+COUNTIF(E$1081:E3392,E3393)</f>
        <v>#N/A</v>
      </c>
      <c r="K3393" s="1"/>
      <c r="L3393" s="161" t="e">
        <f>IF($C$1078&gt;0,VLOOKUP($C3393,PATRIMONIALE!$AJ$4:$AP$1003,7,FALSE),"")</f>
        <v>#N/A</v>
      </c>
      <c r="M3393" s="1"/>
      <c r="N3393" s="1"/>
      <c r="O3393" s="1"/>
    </row>
    <row r="3394" spans="1:15" hidden="1">
      <c r="A3394" s="1"/>
      <c r="B3394" s="182" t="e">
        <f t="shared" ca="1" si="277"/>
        <v>#N/A</v>
      </c>
      <c r="C3394" s="500">
        <v>328</v>
      </c>
      <c r="D3394" s="41" t="e">
        <f>IF($C$1078&gt;0,VLOOKUP($C3394,PATRIMONIALE!$AJ$4:$AL$1003,3,FALSE),"")</f>
        <v>#N/A</v>
      </c>
      <c r="E3394" s="41" t="str">
        <f t="shared" si="276"/>
        <v/>
      </c>
      <c r="F3394" s="200"/>
      <c r="G3394" s="178" t="e">
        <f>IF($C$1078&gt;0,VLOOKUP($C3394,PATRIMONIALE!$AJ$4:$AN$1003,5,FALSE),"")</f>
        <v>#N/A</v>
      </c>
      <c r="H3394" s="179" t="e">
        <f>IF($C$1078&gt;0,VLOOKUP($C3394,PATRIMONIALE!$AJ$4:$AO$1003,6,FALSE),"")</f>
        <v>#N/A</v>
      </c>
      <c r="I3394" s="187"/>
      <c r="J3394" s="140" t="e">
        <f ca="1">VLOOKUP(D3394,$F$1081:$I$4183,4,FALSE)+COUNTIF(E$1081:E3393,E3394)</f>
        <v>#N/A</v>
      </c>
      <c r="K3394" s="1"/>
      <c r="L3394" s="161" t="e">
        <f>IF($C$1078&gt;0,VLOOKUP($C3394,PATRIMONIALE!$AJ$4:$AP$1003,7,FALSE),"")</f>
        <v>#N/A</v>
      </c>
      <c r="M3394" s="1"/>
      <c r="N3394" s="1"/>
      <c r="O3394" s="1"/>
    </row>
    <row r="3395" spans="1:15" hidden="1">
      <c r="A3395" s="1"/>
      <c r="B3395" s="182" t="e">
        <f t="shared" ca="1" si="277"/>
        <v>#N/A</v>
      </c>
      <c r="C3395" s="500">
        <v>329</v>
      </c>
      <c r="D3395" s="41" t="e">
        <f>IF($C$1078&gt;0,VLOOKUP($C3395,PATRIMONIALE!$AJ$4:$AL$1003,3,FALSE),"")</f>
        <v>#N/A</v>
      </c>
      <c r="E3395" s="41" t="str">
        <f t="shared" si="276"/>
        <v/>
      </c>
      <c r="F3395" s="200"/>
      <c r="G3395" s="178" t="e">
        <f>IF($C$1078&gt;0,VLOOKUP($C3395,PATRIMONIALE!$AJ$4:$AN$1003,5,FALSE),"")</f>
        <v>#N/A</v>
      </c>
      <c r="H3395" s="179" t="e">
        <f>IF($C$1078&gt;0,VLOOKUP($C3395,PATRIMONIALE!$AJ$4:$AO$1003,6,FALSE),"")</f>
        <v>#N/A</v>
      </c>
      <c r="I3395" s="187"/>
      <c r="J3395" s="140" t="e">
        <f ca="1">VLOOKUP(D3395,$F$1081:$I$4183,4,FALSE)+COUNTIF(E$1081:E3394,E3395)</f>
        <v>#N/A</v>
      </c>
      <c r="K3395" s="1"/>
      <c r="L3395" s="161" t="e">
        <f>IF($C$1078&gt;0,VLOOKUP($C3395,PATRIMONIALE!$AJ$4:$AP$1003,7,FALSE),"")</f>
        <v>#N/A</v>
      </c>
      <c r="M3395" s="1"/>
      <c r="N3395" s="1"/>
      <c r="O3395" s="1"/>
    </row>
    <row r="3396" spans="1:15" hidden="1">
      <c r="A3396" s="1"/>
      <c r="B3396" s="182" t="e">
        <f t="shared" ca="1" si="277"/>
        <v>#N/A</v>
      </c>
      <c r="C3396" s="500">
        <v>330</v>
      </c>
      <c r="D3396" s="41" t="e">
        <f>IF($C$1078&gt;0,VLOOKUP($C3396,PATRIMONIALE!$AJ$4:$AL$1003,3,FALSE),"")</f>
        <v>#N/A</v>
      </c>
      <c r="E3396" s="41" t="str">
        <f t="shared" si="276"/>
        <v/>
      </c>
      <c r="F3396" s="200"/>
      <c r="G3396" s="178" t="e">
        <f>IF($C$1078&gt;0,VLOOKUP($C3396,PATRIMONIALE!$AJ$4:$AN$1003,5,FALSE),"")</f>
        <v>#N/A</v>
      </c>
      <c r="H3396" s="179" t="e">
        <f>IF($C$1078&gt;0,VLOOKUP($C3396,PATRIMONIALE!$AJ$4:$AO$1003,6,FALSE),"")</f>
        <v>#N/A</v>
      </c>
      <c r="I3396" s="187"/>
      <c r="J3396" s="140" t="e">
        <f ca="1">VLOOKUP(D3396,$F$1081:$I$4183,4,FALSE)+COUNTIF(E$1081:E3395,E3396)</f>
        <v>#N/A</v>
      </c>
      <c r="K3396" s="1"/>
      <c r="L3396" s="161" t="e">
        <f>IF($C$1078&gt;0,VLOOKUP($C3396,PATRIMONIALE!$AJ$4:$AP$1003,7,FALSE),"")</f>
        <v>#N/A</v>
      </c>
      <c r="M3396" s="1"/>
      <c r="N3396" s="1"/>
      <c r="O3396" s="1"/>
    </row>
    <row r="3397" spans="1:15" hidden="1">
      <c r="A3397" s="1"/>
      <c r="B3397" s="182" t="e">
        <f t="shared" ca="1" si="277"/>
        <v>#N/A</v>
      </c>
      <c r="C3397" s="500">
        <v>331</v>
      </c>
      <c r="D3397" s="41" t="e">
        <f>IF($C$1078&gt;0,VLOOKUP($C3397,PATRIMONIALE!$AJ$4:$AL$1003,3,FALSE),"")</f>
        <v>#N/A</v>
      </c>
      <c r="E3397" s="41" t="str">
        <f t="shared" si="276"/>
        <v/>
      </c>
      <c r="F3397" s="200"/>
      <c r="G3397" s="178" t="e">
        <f>IF($C$1078&gt;0,VLOOKUP($C3397,PATRIMONIALE!$AJ$4:$AN$1003,5,FALSE),"")</f>
        <v>#N/A</v>
      </c>
      <c r="H3397" s="179" t="e">
        <f>IF($C$1078&gt;0,VLOOKUP($C3397,PATRIMONIALE!$AJ$4:$AO$1003,6,FALSE),"")</f>
        <v>#N/A</v>
      </c>
      <c r="I3397" s="187"/>
      <c r="J3397" s="140" t="e">
        <f ca="1">VLOOKUP(D3397,$F$1081:$I$4183,4,FALSE)+COUNTIF(E$1081:E3396,E3397)</f>
        <v>#N/A</v>
      </c>
      <c r="K3397" s="1"/>
      <c r="L3397" s="161" t="e">
        <f>IF($C$1078&gt;0,VLOOKUP($C3397,PATRIMONIALE!$AJ$4:$AP$1003,7,FALSE),"")</f>
        <v>#N/A</v>
      </c>
      <c r="M3397" s="1"/>
      <c r="N3397" s="1"/>
      <c r="O3397" s="1"/>
    </row>
    <row r="3398" spans="1:15" hidden="1">
      <c r="A3398" s="1"/>
      <c r="B3398" s="182" t="e">
        <f t="shared" ca="1" si="277"/>
        <v>#N/A</v>
      </c>
      <c r="C3398" s="500">
        <v>332</v>
      </c>
      <c r="D3398" s="41" t="e">
        <f>IF($C$1078&gt;0,VLOOKUP($C3398,PATRIMONIALE!$AJ$4:$AL$1003,3,FALSE),"")</f>
        <v>#N/A</v>
      </c>
      <c r="E3398" s="41" t="str">
        <f t="shared" si="276"/>
        <v/>
      </c>
      <c r="F3398" s="200"/>
      <c r="G3398" s="178" t="e">
        <f>IF($C$1078&gt;0,VLOOKUP($C3398,PATRIMONIALE!$AJ$4:$AN$1003,5,FALSE),"")</f>
        <v>#N/A</v>
      </c>
      <c r="H3398" s="179" t="e">
        <f>IF($C$1078&gt;0,VLOOKUP($C3398,PATRIMONIALE!$AJ$4:$AO$1003,6,FALSE),"")</f>
        <v>#N/A</v>
      </c>
      <c r="I3398" s="187"/>
      <c r="J3398" s="140" t="e">
        <f ca="1">VLOOKUP(D3398,$F$1081:$I$4183,4,FALSE)+COUNTIF(E$1081:E3397,E3398)</f>
        <v>#N/A</v>
      </c>
      <c r="K3398" s="1"/>
      <c r="L3398" s="161" t="e">
        <f>IF($C$1078&gt;0,VLOOKUP($C3398,PATRIMONIALE!$AJ$4:$AP$1003,7,FALSE),"")</f>
        <v>#N/A</v>
      </c>
      <c r="M3398" s="1"/>
      <c r="N3398" s="1"/>
      <c r="O3398" s="1"/>
    </row>
    <row r="3399" spans="1:15" hidden="1">
      <c r="A3399" s="1"/>
      <c r="B3399" s="182" t="e">
        <f t="shared" ca="1" si="277"/>
        <v>#N/A</v>
      </c>
      <c r="C3399" s="500">
        <v>333</v>
      </c>
      <c r="D3399" s="41" t="e">
        <f>IF($C$1078&gt;0,VLOOKUP($C3399,PATRIMONIALE!$AJ$4:$AL$1003,3,FALSE),"")</f>
        <v>#N/A</v>
      </c>
      <c r="E3399" s="41" t="str">
        <f t="shared" si="276"/>
        <v/>
      </c>
      <c r="F3399" s="200"/>
      <c r="G3399" s="178" t="e">
        <f>IF($C$1078&gt;0,VLOOKUP($C3399,PATRIMONIALE!$AJ$4:$AN$1003,5,FALSE),"")</f>
        <v>#N/A</v>
      </c>
      <c r="H3399" s="179" t="e">
        <f>IF($C$1078&gt;0,VLOOKUP($C3399,PATRIMONIALE!$AJ$4:$AO$1003,6,FALSE),"")</f>
        <v>#N/A</v>
      </c>
      <c r="I3399" s="187"/>
      <c r="J3399" s="140" t="e">
        <f ca="1">VLOOKUP(D3399,$F$1081:$I$4183,4,FALSE)+COUNTIF(E$1081:E3398,E3399)</f>
        <v>#N/A</v>
      </c>
      <c r="K3399" s="1"/>
      <c r="L3399" s="161" t="e">
        <f>IF($C$1078&gt;0,VLOOKUP($C3399,PATRIMONIALE!$AJ$4:$AP$1003,7,FALSE),"")</f>
        <v>#N/A</v>
      </c>
      <c r="M3399" s="1"/>
      <c r="N3399" s="1"/>
      <c r="O3399" s="1"/>
    </row>
    <row r="3400" spans="1:15" hidden="1">
      <c r="A3400" s="1"/>
      <c r="B3400" s="182" t="e">
        <f t="shared" ca="1" si="277"/>
        <v>#N/A</v>
      </c>
      <c r="C3400" s="500">
        <v>334</v>
      </c>
      <c r="D3400" s="41" t="e">
        <f>IF($C$1078&gt;0,VLOOKUP($C3400,PATRIMONIALE!$AJ$4:$AL$1003,3,FALSE),"")</f>
        <v>#N/A</v>
      </c>
      <c r="E3400" s="41" t="str">
        <f t="shared" si="276"/>
        <v/>
      </c>
      <c r="F3400" s="200"/>
      <c r="G3400" s="178" t="e">
        <f>IF($C$1078&gt;0,VLOOKUP($C3400,PATRIMONIALE!$AJ$4:$AN$1003,5,FALSE),"")</f>
        <v>#N/A</v>
      </c>
      <c r="H3400" s="179" t="e">
        <f>IF($C$1078&gt;0,VLOOKUP($C3400,PATRIMONIALE!$AJ$4:$AO$1003,6,FALSE),"")</f>
        <v>#N/A</v>
      </c>
      <c r="I3400" s="187"/>
      <c r="J3400" s="140" t="e">
        <f ca="1">VLOOKUP(D3400,$F$1081:$I$4183,4,FALSE)+COUNTIF(E$1081:E3399,E3400)</f>
        <v>#N/A</v>
      </c>
      <c r="K3400" s="1"/>
      <c r="L3400" s="161" t="e">
        <f>IF($C$1078&gt;0,VLOOKUP($C3400,PATRIMONIALE!$AJ$4:$AP$1003,7,FALSE),"")</f>
        <v>#N/A</v>
      </c>
      <c r="M3400" s="1"/>
      <c r="N3400" s="1"/>
      <c r="O3400" s="1"/>
    </row>
    <row r="3401" spans="1:15" hidden="1">
      <c r="A3401" s="1"/>
      <c r="B3401" s="182" t="e">
        <f t="shared" ca="1" si="277"/>
        <v>#N/A</v>
      </c>
      <c r="C3401" s="500">
        <v>335</v>
      </c>
      <c r="D3401" s="41" t="e">
        <f>IF($C$1078&gt;0,VLOOKUP($C3401,PATRIMONIALE!$AJ$4:$AL$1003,3,FALSE),"")</f>
        <v>#N/A</v>
      </c>
      <c r="E3401" s="41" t="str">
        <f t="shared" si="276"/>
        <v/>
      </c>
      <c r="F3401" s="200"/>
      <c r="G3401" s="178" t="e">
        <f>IF($C$1078&gt;0,VLOOKUP($C3401,PATRIMONIALE!$AJ$4:$AN$1003,5,FALSE),"")</f>
        <v>#N/A</v>
      </c>
      <c r="H3401" s="179" t="e">
        <f>IF($C$1078&gt;0,VLOOKUP($C3401,PATRIMONIALE!$AJ$4:$AO$1003,6,FALSE),"")</f>
        <v>#N/A</v>
      </c>
      <c r="I3401" s="187"/>
      <c r="J3401" s="140" t="e">
        <f ca="1">VLOOKUP(D3401,$F$1081:$I$4183,4,FALSE)+COUNTIF(E$1081:E3400,E3401)</f>
        <v>#N/A</v>
      </c>
      <c r="K3401" s="1"/>
      <c r="L3401" s="161" t="e">
        <f>IF($C$1078&gt;0,VLOOKUP($C3401,PATRIMONIALE!$AJ$4:$AP$1003,7,FALSE),"")</f>
        <v>#N/A</v>
      </c>
      <c r="M3401" s="1"/>
      <c r="N3401" s="1"/>
      <c r="O3401" s="1"/>
    </row>
    <row r="3402" spans="1:15" hidden="1">
      <c r="A3402" s="1"/>
      <c r="B3402" s="182" t="e">
        <f t="shared" ca="1" si="277"/>
        <v>#N/A</v>
      </c>
      <c r="C3402" s="500">
        <v>336</v>
      </c>
      <c r="D3402" s="41" t="e">
        <f>IF($C$1078&gt;0,VLOOKUP($C3402,PATRIMONIALE!$AJ$4:$AL$1003,3,FALSE),"")</f>
        <v>#N/A</v>
      </c>
      <c r="E3402" s="41" t="str">
        <f t="shared" si="276"/>
        <v/>
      </c>
      <c r="F3402" s="200"/>
      <c r="G3402" s="178" t="e">
        <f>IF($C$1078&gt;0,VLOOKUP($C3402,PATRIMONIALE!$AJ$4:$AN$1003,5,FALSE),"")</f>
        <v>#N/A</v>
      </c>
      <c r="H3402" s="179" t="e">
        <f>IF($C$1078&gt;0,VLOOKUP($C3402,PATRIMONIALE!$AJ$4:$AO$1003,6,FALSE),"")</f>
        <v>#N/A</v>
      </c>
      <c r="I3402" s="187"/>
      <c r="J3402" s="140" t="e">
        <f ca="1">VLOOKUP(D3402,$F$1081:$I$4183,4,FALSE)+COUNTIF(E$1081:E3401,E3402)</f>
        <v>#N/A</v>
      </c>
      <c r="K3402" s="1"/>
      <c r="L3402" s="161" t="e">
        <f>IF($C$1078&gt;0,VLOOKUP($C3402,PATRIMONIALE!$AJ$4:$AP$1003,7,FALSE),"")</f>
        <v>#N/A</v>
      </c>
      <c r="M3402" s="1"/>
      <c r="N3402" s="1"/>
      <c r="O3402" s="1"/>
    </row>
    <row r="3403" spans="1:15" hidden="1">
      <c r="A3403" s="1"/>
      <c r="B3403" s="182" t="e">
        <f t="shared" ca="1" si="277"/>
        <v>#N/A</v>
      </c>
      <c r="C3403" s="500">
        <v>337</v>
      </c>
      <c r="D3403" s="41" t="e">
        <f>IF($C$1078&gt;0,VLOOKUP($C3403,PATRIMONIALE!$AJ$4:$AL$1003,3,FALSE),"")</f>
        <v>#N/A</v>
      </c>
      <c r="E3403" s="41" t="str">
        <f t="shared" si="276"/>
        <v/>
      </c>
      <c r="F3403" s="200"/>
      <c r="G3403" s="178" t="e">
        <f>IF($C$1078&gt;0,VLOOKUP($C3403,PATRIMONIALE!$AJ$4:$AN$1003,5,FALSE),"")</f>
        <v>#N/A</v>
      </c>
      <c r="H3403" s="179" t="e">
        <f>IF($C$1078&gt;0,VLOOKUP($C3403,PATRIMONIALE!$AJ$4:$AO$1003,6,FALSE),"")</f>
        <v>#N/A</v>
      </c>
      <c r="I3403" s="187"/>
      <c r="J3403" s="140" t="e">
        <f ca="1">VLOOKUP(D3403,$F$1081:$I$4183,4,FALSE)+COUNTIF(E$1081:E3402,E3403)</f>
        <v>#N/A</v>
      </c>
      <c r="K3403" s="1"/>
      <c r="L3403" s="161" t="e">
        <f>IF($C$1078&gt;0,VLOOKUP($C3403,PATRIMONIALE!$AJ$4:$AP$1003,7,FALSE),"")</f>
        <v>#N/A</v>
      </c>
      <c r="M3403" s="1"/>
      <c r="N3403" s="1"/>
      <c r="O3403" s="1"/>
    </row>
    <row r="3404" spans="1:15" hidden="1">
      <c r="A3404" s="1"/>
      <c r="B3404" s="182" t="e">
        <f t="shared" ca="1" si="277"/>
        <v>#N/A</v>
      </c>
      <c r="C3404" s="500">
        <v>338</v>
      </c>
      <c r="D3404" s="41" t="e">
        <f>IF($C$1078&gt;0,VLOOKUP($C3404,PATRIMONIALE!$AJ$4:$AL$1003,3,FALSE),"")</f>
        <v>#N/A</v>
      </c>
      <c r="E3404" s="41" t="str">
        <f t="shared" si="276"/>
        <v/>
      </c>
      <c r="F3404" s="200"/>
      <c r="G3404" s="178" t="e">
        <f>IF($C$1078&gt;0,VLOOKUP($C3404,PATRIMONIALE!$AJ$4:$AN$1003,5,FALSE),"")</f>
        <v>#N/A</v>
      </c>
      <c r="H3404" s="179" t="e">
        <f>IF($C$1078&gt;0,VLOOKUP($C3404,PATRIMONIALE!$AJ$4:$AO$1003,6,FALSE),"")</f>
        <v>#N/A</v>
      </c>
      <c r="I3404" s="187"/>
      <c r="J3404" s="140" t="e">
        <f ca="1">VLOOKUP(D3404,$F$1081:$I$4183,4,FALSE)+COUNTIF(E$1081:E3403,E3404)</f>
        <v>#N/A</v>
      </c>
      <c r="K3404" s="1"/>
      <c r="L3404" s="161" t="e">
        <f>IF($C$1078&gt;0,VLOOKUP($C3404,PATRIMONIALE!$AJ$4:$AP$1003,7,FALSE),"")</f>
        <v>#N/A</v>
      </c>
      <c r="M3404" s="1"/>
      <c r="N3404" s="1"/>
      <c r="O3404" s="1"/>
    </row>
    <row r="3405" spans="1:15" hidden="1">
      <c r="A3405" s="1"/>
      <c r="B3405" s="182" t="e">
        <f t="shared" ca="1" si="277"/>
        <v>#N/A</v>
      </c>
      <c r="C3405" s="500">
        <v>339</v>
      </c>
      <c r="D3405" s="41" t="e">
        <f>IF($C$1078&gt;0,VLOOKUP($C3405,PATRIMONIALE!$AJ$4:$AL$1003,3,FALSE),"")</f>
        <v>#N/A</v>
      </c>
      <c r="E3405" s="41" t="str">
        <f t="shared" si="276"/>
        <v/>
      </c>
      <c r="F3405" s="200"/>
      <c r="G3405" s="178" t="e">
        <f>IF($C$1078&gt;0,VLOOKUP($C3405,PATRIMONIALE!$AJ$4:$AN$1003,5,FALSE),"")</f>
        <v>#N/A</v>
      </c>
      <c r="H3405" s="179" t="e">
        <f>IF($C$1078&gt;0,VLOOKUP($C3405,PATRIMONIALE!$AJ$4:$AO$1003,6,FALSE),"")</f>
        <v>#N/A</v>
      </c>
      <c r="I3405" s="187"/>
      <c r="J3405" s="140" t="e">
        <f ca="1">VLOOKUP(D3405,$F$1081:$I$4183,4,FALSE)+COUNTIF(E$1081:E3404,E3405)</f>
        <v>#N/A</v>
      </c>
      <c r="K3405" s="1"/>
      <c r="L3405" s="161" t="e">
        <f>IF($C$1078&gt;0,VLOOKUP($C3405,PATRIMONIALE!$AJ$4:$AP$1003,7,FALSE),"")</f>
        <v>#N/A</v>
      </c>
      <c r="M3405" s="1"/>
      <c r="N3405" s="1"/>
      <c r="O3405" s="1"/>
    </row>
    <row r="3406" spans="1:15" hidden="1">
      <c r="A3406" s="1"/>
      <c r="B3406" s="182" t="e">
        <f t="shared" ca="1" si="277"/>
        <v>#N/A</v>
      </c>
      <c r="C3406" s="500">
        <v>340</v>
      </c>
      <c r="D3406" s="41" t="e">
        <f>IF($C$1078&gt;0,VLOOKUP($C3406,PATRIMONIALE!$AJ$4:$AL$1003,3,FALSE),"")</f>
        <v>#N/A</v>
      </c>
      <c r="E3406" s="41" t="str">
        <f t="shared" si="276"/>
        <v/>
      </c>
      <c r="F3406" s="200"/>
      <c r="G3406" s="178" t="e">
        <f>IF($C$1078&gt;0,VLOOKUP($C3406,PATRIMONIALE!$AJ$4:$AN$1003,5,FALSE),"")</f>
        <v>#N/A</v>
      </c>
      <c r="H3406" s="179" t="e">
        <f>IF($C$1078&gt;0,VLOOKUP($C3406,PATRIMONIALE!$AJ$4:$AO$1003,6,FALSE),"")</f>
        <v>#N/A</v>
      </c>
      <c r="I3406" s="187"/>
      <c r="J3406" s="140" t="e">
        <f ca="1">VLOOKUP(D3406,$F$1081:$I$4183,4,FALSE)+COUNTIF(E$1081:E3405,E3406)</f>
        <v>#N/A</v>
      </c>
      <c r="K3406" s="1"/>
      <c r="L3406" s="161" t="e">
        <f>IF($C$1078&gt;0,VLOOKUP($C3406,PATRIMONIALE!$AJ$4:$AP$1003,7,FALSE),"")</f>
        <v>#N/A</v>
      </c>
      <c r="M3406" s="1"/>
      <c r="N3406" s="1"/>
      <c r="O3406" s="1"/>
    </row>
    <row r="3407" spans="1:15" hidden="1">
      <c r="A3407" s="1"/>
      <c r="B3407" s="182" t="e">
        <f t="shared" ca="1" si="277"/>
        <v>#N/A</v>
      </c>
      <c r="C3407" s="500">
        <v>341</v>
      </c>
      <c r="D3407" s="41" t="e">
        <f>IF($C$1078&gt;0,VLOOKUP($C3407,PATRIMONIALE!$AJ$4:$AL$1003,3,FALSE),"")</f>
        <v>#N/A</v>
      </c>
      <c r="E3407" s="41" t="str">
        <f t="shared" si="276"/>
        <v/>
      </c>
      <c r="F3407" s="200"/>
      <c r="G3407" s="178" t="e">
        <f>IF($C$1078&gt;0,VLOOKUP($C3407,PATRIMONIALE!$AJ$4:$AN$1003,5,FALSE),"")</f>
        <v>#N/A</v>
      </c>
      <c r="H3407" s="179" t="e">
        <f>IF($C$1078&gt;0,VLOOKUP($C3407,PATRIMONIALE!$AJ$4:$AO$1003,6,FALSE),"")</f>
        <v>#N/A</v>
      </c>
      <c r="I3407" s="187"/>
      <c r="J3407" s="140" t="e">
        <f ca="1">VLOOKUP(D3407,$F$1081:$I$4183,4,FALSE)+COUNTIF(E$1081:E3406,E3407)</f>
        <v>#N/A</v>
      </c>
      <c r="K3407" s="1"/>
      <c r="L3407" s="161" t="e">
        <f>IF($C$1078&gt;0,VLOOKUP($C3407,PATRIMONIALE!$AJ$4:$AP$1003,7,FALSE),"")</f>
        <v>#N/A</v>
      </c>
      <c r="M3407" s="1"/>
      <c r="N3407" s="1"/>
      <c r="O3407" s="1"/>
    </row>
    <row r="3408" spans="1:15" hidden="1">
      <c r="A3408" s="1"/>
      <c r="B3408" s="182" t="e">
        <f t="shared" ca="1" si="277"/>
        <v>#N/A</v>
      </c>
      <c r="C3408" s="500">
        <v>342</v>
      </c>
      <c r="D3408" s="41" t="e">
        <f>IF($C$1078&gt;0,VLOOKUP($C3408,PATRIMONIALE!$AJ$4:$AL$1003,3,FALSE),"")</f>
        <v>#N/A</v>
      </c>
      <c r="E3408" s="41" t="str">
        <f t="shared" si="276"/>
        <v/>
      </c>
      <c r="F3408" s="200"/>
      <c r="G3408" s="178" t="e">
        <f>IF($C$1078&gt;0,VLOOKUP($C3408,PATRIMONIALE!$AJ$4:$AN$1003,5,FALSE),"")</f>
        <v>#N/A</v>
      </c>
      <c r="H3408" s="179" t="e">
        <f>IF($C$1078&gt;0,VLOOKUP($C3408,PATRIMONIALE!$AJ$4:$AO$1003,6,FALSE),"")</f>
        <v>#N/A</v>
      </c>
      <c r="I3408" s="187"/>
      <c r="J3408" s="140" t="e">
        <f ca="1">VLOOKUP(D3408,$F$1081:$I$4183,4,FALSE)+COUNTIF(E$1081:E3407,E3408)</f>
        <v>#N/A</v>
      </c>
      <c r="K3408" s="1"/>
      <c r="L3408" s="161" t="e">
        <f>IF($C$1078&gt;0,VLOOKUP($C3408,PATRIMONIALE!$AJ$4:$AP$1003,7,FALSE),"")</f>
        <v>#N/A</v>
      </c>
      <c r="M3408" s="1"/>
      <c r="N3408" s="1"/>
      <c r="O3408" s="1"/>
    </row>
    <row r="3409" spans="1:15" hidden="1">
      <c r="A3409" s="1"/>
      <c r="B3409" s="182" t="e">
        <f t="shared" ca="1" si="277"/>
        <v>#N/A</v>
      </c>
      <c r="C3409" s="500">
        <v>343</v>
      </c>
      <c r="D3409" s="41" t="e">
        <f>IF($C$1078&gt;0,VLOOKUP($C3409,PATRIMONIALE!$AJ$4:$AL$1003,3,FALSE),"")</f>
        <v>#N/A</v>
      </c>
      <c r="E3409" s="41" t="str">
        <f t="shared" si="276"/>
        <v/>
      </c>
      <c r="F3409" s="200"/>
      <c r="G3409" s="178" t="e">
        <f>IF($C$1078&gt;0,VLOOKUP($C3409,PATRIMONIALE!$AJ$4:$AN$1003,5,FALSE),"")</f>
        <v>#N/A</v>
      </c>
      <c r="H3409" s="179" t="e">
        <f>IF($C$1078&gt;0,VLOOKUP($C3409,PATRIMONIALE!$AJ$4:$AO$1003,6,FALSE),"")</f>
        <v>#N/A</v>
      </c>
      <c r="I3409" s="187"/>
      <c r="J3409" s="140" t="e">
        <f ca="1">VLOOKUP(D3409,$F$1081:$I$4183,4,FALSE)+COUNTIF(E$1081:E3408,E3409)</f>
        <v>#N/A</v>
      </c>
      <c r="K3409" s="1"/>
      <c r="L3409" s="161" t="e">
        <f>IF($C$1078&gt;0,VLOOKUP($C3409,PATRIMONIALE!$AJ$4:$AP$1003,7,FALSE),"")</f>
        <v>#N/A</v>
      </c>
      <c r="M3409" s="1"/>
      <c r="N3409" s="1"/>
      <c r="O3409" s="1"/>
    </row>
    <row r="3410" spans="1:15" hidden="1">
      <c r="A3410" s="1"/>
      <c r="B3410" s="182" t="e">
        <f t="shared" ca="1" si="277"/>
        <v>#N/A</v>
      </c>
      <c r="C3410" s="500">
        <v>344</v>
      </c>
      <c r="D3410" s="41" t="e">
        <f>IF($C$1078&gt;0,VLOOKUP($C3410,PATRIMONIALE!$AJ$4:$AL$1003,3,FALSE),"")</f>
        <v>#N/A</v>
      </c>
      <c r="E3410" s="41" t="str">
        <f t="shared" si="276"/>
        <v/>
      </c>
      <c r="F3410" s="200"/>
      <c r="G3410" s="178" t="e">
        <f>IF($C$1078&gt;0,VLOOKUP($C3410,PATRIMONIALE!$AJ$4:$AN$1003,5,FALSE),"")</f>
        <v>#N/A</v>
      </c>
      <c r="H3410" s="179" t="e">
        <f>IF($C$1078&gt;0,VLOOKUP($C3410,PATRIMONIALE!$AJ$4:$AO$1003,6,FALSE),"")</f>
        <v>#N/A</v>
      </c>
      <c r="I3410" s="187"/>
      <c r="J3410" s="140" t="e">
        <f ca="1">VLOOKUP(D3410,$F$1081:$I$4183,4,FALSE)+COUNTIF(E$1081:E3409,E3410)</f>
        <v>#N/A</v>
      </c>
      <c r="K3410" s="1"/>
      <c r="L3410" s="161" t="e">
        <f>IF($C$1078&gt;0,VLOOKUP($C3410,PATRIMONIALE!$AJ$4:$AP$1003,7,FALSE),"")</f>
        <v>#N/A</v>
      </c>
      <c r="M3410" s="1"/>
      <c r="N3410" s="1"/>
      <c r="O3410" s="1"/>
    </row>
    <row r="3411" spans="1:15" hidden="1">
      <c r="A3411" s="1"/>
      <c r="B3411" s="182" t="e">
        <f t="shared" ca="1" si="277"/>
        <v>#N/A</v>
      </c>
      <c r="C3411" s="500">
        <v>345</v>
      </c>
      <c r="D3411" s="41" t="e">
        <f>IF($C$1078&gt;0,VLOOKUP($C3411,PATRIMONIALE!$AJ$4:$AL$1003,3,FALSE),"")</f>
        <v>#N/A</v>
      </c>
      <c r="E3411" s="41" t="str">
        <f t="shared" si="276"/>
        <v/>
      </c>
      <c r="F3411" s="200"/>
      <c r="G3411" s="178" t="e">
        <f>IF($C$1078&gt;0,VLOOKUP($C3411,PATRIMONIALE!$AJ$4:$AN$1003,5,FALSE),"")</f>
        <v>#N/A</v>
      </c>
      <c r="H3411" s="179" t="e">
        <f>IF($C$1078&gt;0,VLOOKUP($C3411,PATRIMONIALE!$AJ$4:$AO$1003,6,FALSE),"")</f>
        <v>#N/A</v>
      </c>
      <c r="I3411" s="187"/>
      <c r="J3411" s="140" t="e">
        <f ca="1">VLOOKUP(D3411,$F$1081:$I$4183,4,FALSE)+COUNTIF(E$1081:E3410,E3411)</f>
        <v>#N/A</v>
      </c>
      <c r="K3411" s="1"/>
      <c r="L3411" s="161" t="e">
        <f>IF($C$1078&gt;0,VLOOKUP($C3411,PATRIMONIALE!$AJ$4:$AP$1003,7,FALSE),"")</f>
        <v>#N/A</v>
      </c>
      <c r="M3411" s="1"/>
      <c r="N3411" s="1"/>
      <c r="O3411" s="1"/>
    </row>
    <row r="3412" spans="1:15" hidden="1">
      <c r="A3412" s="1"/>
      <c r="B3412" s="182" t="e">
        <f t="shared" ca="1" si="277"/>
        <v>#N/A</v>
      </c>
      <c r="C3412" s="500">
        <v>346</v>
      </c>
      <c r="D3412" s="41" t="e">
        <f>IF($C$1078&gt;0,VLOOKUP($C3412,PATRIMONIALE!$AJ$4:$AL$1003,3,FALSE),"")</f>
        <v>#N/A</v>
      </c>
      <c r="E3412" s="41" t="str">
        <f t="shared" si="276"/>
        <v/>
      </c>
      <c r="F3412" s="200"/>
      <c r="G3412" s="178" t="e">
        <f>IF($C$1078&gt;0,VLOOKUP($C3412,PATRIMONIALE!$AJ$4:$AN$1003,5,FALSE),"")</f>
        <v>#N/A</v>
      </c>
      <c r="H3412" s="179" t="e">
        <f>IF($C$1078&gt;0,VLOOKUP($C3412,PATRIMONIALE!$AJ$4:$AO$1003,6,FALSE),"")</f>
        <v>#N/A</v>
      </c>
      <c r="I3412" s="187"/>
      <c r="J3412" s="140" t="e">
        <f ca="1">VLOOKUP(D3412,$F$1081:$I$4183,4,FALSE)+COUNTIF(E$1081:E3411,E3412)</f>
        <v>#N/A</v>
      </c>
      <c r="K3412" s="1"/>
      <c r="L3412" s="161" t="e">
        <f>IF($C$1078&gt;0,VLOOKUP($C3412,PATRIMONIALE!$AJ$4:$AP$1003,7,FALSE),"")</f>
        <v>#N/A</v>
      </c>
      <c r="M3412" s="1"/>
      <c r="N3412" s="1"/>
      <c r="O3412" s="1"/>
    </row>
    <row r="3413" spans="1:15" hidden="1">
      <c r="A3413" s="1"/>
      <c r="B3413" s="182" t="e">
        <f t="shared" ca="1" si="277"/>
        <v>#N/A</v>
      </c>
      <c r="C3413" s="500">
        <v>347</v>
      </c>
      <c r="D3413" s="41" t="e">
        <f>IF($C$1078&gt;0,VLOOKUP($C3413,PATRIMONIALE!$AJ$4:$AL$1003,3,FALSE),"")</f>
        <v>#N/A</v>
      </c>
      <c r="E3413" s="41" t="str">
        <f t="shared" si="276"/>
        <v/>
      </c>
      <c r="F3413" s="200"/>
      <c r="G3413" s="178" t="e">
        <f>IF($C$1078&gt;0,VLOOKUP($C3413,PATRIMONIALE!$AJ$4:$AN$1003,5,FALSE),"")</f>
        <v>#N/A</v>
      </c>
      <c r="H3413" s="179" t="e">
        <f>IF($C$1078&gt;0,VLOOKUP($C3413,PATRIMONIALE!$AJ$4:$AO$1003,6,FALSE),"")</f>
        <v>#N/A</v>
      </c>
      <c r="I3413" s="187"/>
      <c r="J3413" s="140" t="e">
        <f ca="1">VLOOKUP(D3413,$F$1081:$I$4183,4,FALSE)+COUNTIF(E$1081:E3412,E3413)</f>
        <v>#N/A</v>
      </c>
      <c r="K3413" s="1"/>
      <c r="L3413" s="161" t="e">
        <f>IF($C$1078&gt;0,VLOOKUP($C3413,PATRIMONIALE!$AJ$4:$AP$1003,7,FALSE),"")</f>
        <v>#N/A</v>
      </c>
      <c r="M3413" s="1"/>
      <c r="N3413" s="1"/>
      <c r="O3413" s="1"/>
    </row>
    <row r="3414" spans="1:15" hidden="1">
      <c r="A3414" s="1"/>
      <c r="B3414" s="182" t="e">
        <f t="shared" ca="1" si="277"/>
        <v>#N/A</v>
      </c>
      <c r="C3414" s="500">
        <v>348</v>
      </c>
      <c r="D3414" s="41" t="e">
        <f>IF($C$1078&gt;0,VLOOKUP($C3414,PATRIMONIALE!$AJ$4:$AL$1003,3,FALSE),"")</f>
        <v>#N/A</v>
      </c>
      <c r="E3414" s="41" t="str">
        <f t="shared" si="276"/>
        <v/>
      </c>
      <c r="F3414" s="200"/>
      <c r="G3414" s="178" t="e">
        <f>IF($C$1078&gt;0,VLOOKUP($C3414,PATRIMONIALE!$AJ$4:$AN$1003,5,FALSE),"")</f>
        <v>#N/A</v>
      </c>
      <c r="H3414" s="179" t="e">
        <f>IF($C$1078&gt;0,VLOOKUP($C3414,PATRIMONIALE!$AJ$4:$AO$1003,6,FALSE),"")</f>
        <v>#N/A</v>
      </c>
      <c r="I3414" s="187"/>
      <c r="J3414" s="140" t="e">
        <f ca="1">VLOOKUP(D3414,$F$1081:$I$4183,4,FALSE)+COUNTIF(E$1081:E3413,E3414)</f>
        <v>#N/A</v>
      </c>
      <c r="K3414" s="1"/>
      <c r="L3414" s="161" t="e">
        <f>IF($C$1078&gt;0,VLOOKUP($C3414,PATRIMONIALE!$AJ$4:$AP$1003,7,FALSE),"")</f>
        <v>#N/A</v>
      </c>
      <c r="M3414" s="1"/>
      <c r="N3414" s="1"/>
      <c r="O3414" s="1"/>
    </row>
    <row r="3415" spans="1:15" hidden="1">
      <c r="A3415" s="1"/>
      <c r="B3415" s="182" t="e">
        <f t="shared" ca="1" si="277"/>
        <v>#N/A</v>
      </c>
      <c r="C3415" s="500">
        <v>349</v>
      </c>
      <c r="D3415" s="41" t="e">
        <f>IF($C$1078&gt;0,VLOOKUP($C3415,PATRIMONIALE!$AJ$4:$AL$1003,3,FALSE),"")</f>
        <v>#N/A</v>
      </c>
      <c r="E3415" s="41" t="str">
        <f t="shared" si="276"/>
        <v/>
      </c>
      <c r="F3415" s="200"/>
      <c r="G3415" s="178" t="e">
        <f>IF($C$1078&gt;0,VLOOKUP($C3415,PATRIMONIALE!$AJ$4:$AN$1003,5,FALSE),"")</f>
        <v>#N/A</v>
      </c>
      <c r="H3415" s="179" t="e">
        <f>IF($C$1078&gt;0,VLOOKUP($C3415,PATRIMONIALE!$AJ$4:$AO$1003,6,FALSE),"")</f>
        <v>#N/A</v>
      </c>
      <c r="I3415" s="187"/>
      <c r="J3415" s="140" t="e">
        <f ca="1">VLOOKUP(D3415,$F$1081:$I$4183,4,FALSE)+COUNTIF(E$1081:E3414,E3415)</f>
        <v>#N/A</v>
      </c>
      <c r="K3415" s="1"/>
      <c r="L3415" s="161" t="e">
        <f>IF($C$1078&gt;0,VLOOKUP($C3415,PATRIMONIALE!$AJ$4:$AP$1003,7,FALSE),"")</f>
        <v>#N/A</v>
      </c>
      <c r="M3415" s="1"/>
      <c r="N3415" s="1"/>
      <c r="O3415" s="1"/>
    </row>
    <row r="3416" spans="1:15" hidden="1">
      <c r="A3416" s="1"/>
      <c r="B3416" s="182" t="e">
        <f t="shared" ca="1" si="277"/>
        <v>#N/A</v>
      </c>
      <c r="C3416" s="500">
        <v>350</v>
      </c>
      <c r="D3416" s="41" t="e">
        <f>IF($C$1078&gt;0,VLOOKUP($C3416,PATRIMONIALE!$AJ$4:$AL$1003,3,FALSE),"")</f>
        <v>#N/A</v>
      </c>
      <c r="E3416" s="41" t="str">
        <f t="shared" si="276"/>
        <v/>
      </c>
      <c r="F3416" s="200"/>
      <c r="G3416" s="178" t="e">
        <f>IF($C$1078&gt;0,VLOOKUP($C3416,PATRIMONIALE!$AJ$4:$AN$1003,5,FALSE),"")</f>
        <v>#N/A</v>
      </c>
      <c r="H3416" s="179" t="e">
        <f>IF($C$1078&gt;0,VLOOKUP($C3416,PATRIMONIALE!$AJ$4:$AO$1003,6,FALSE),"")</f>
        <v>#N/A</v>
      </c>
      <c r="I3416" s="187"/>
      <c r="J3416" s="140" t="e">
        <f ca="1">VLOOKUP(D3416,$F$1081:$I$4183,4,FALSE)+COUNTIF(E$1081:E3415,E3416)</f>
        <v>#N/A</v>
      </c>
      <c r="K3416" s="1"/>
      <c r="L3416" s="161" t="e">
        <f>IF($C$1078&gt;0,VLOOKUP($C3416,PATRIMONIALE!$AJ$4:$AP$1003,7,FALSE),"")</f>
        <v>#N/A</v>
      </c>
      <c r="M3416" s="1"/>
      <c r="N3416" s="1"/>
      <c r="O3416" s="1"/>
    </row>
    <row r="3417" spans="1:15" hidden="1">
      <c r="A3417" s="1"/>
      <c r="B3417" s="182" t="e">
        <f t="shared" ca="1" si="277"/>
        <v>#N/A</v>
      </c>
      <c r="C3417" s="500">
        <v>351</v>
      </c>
      <c r="D3417" s="41" t="e">
        <f>IF($C$1078&gt;0,VLOOKUP($C3417,PATRIMONIALE!$AJ$4:$AL$1003,3,FALSE),"")</f>
        <v>#N/A</v>
      </c>
      <c r="E3417" s="41" t="str">
        <f t="shared" si="276"/>
        <v/>
      </c>
      <c r="F3417" s="200"/>
      <c r="G3417" s="178" t="e">
        <f>IF($C$1078&gt;0,VLOOKUP($C3417,PATRIMONIALE!$AJ$4:$AN$1003,5,FALSE),"")</f>
        <v>#N/A</v>
      </c>
      <c r="H3417" s="179" t="e">
        <f>IF($C$1078&gt;0,VLOOKUP($C3417,PATRIMONIALE!$AJ$4:$AO$1003,6,FALSE),"")</f>
        <v>#N/A</v>
      </c>
      <c r="I3417" s="187"/>
      <c r="J3417" s="140" t="e">
        <f ca="1">VLOOKUP(D3417,$F$1081:$I$4183,4,FALSE)+COUNTIF(E$1081:E3416,E3417)</f>
        <v>#N/A</v>
      </c>
      <c r="K3417" s="1"/>
      <c r="L3417" s="161" t="e">
        <f>IF($C$1078&gt;0,VLOOKUP($C3417,PATRIMONIALE!$AJ$4:$AP$1003,7,FALSE),"")</f>
        <v>#N/A</v>
      </c>
      <c r="M3417" s="1"/>
      <c r="N3417" s="1"/>
      <c r="O3417" s="1"/>
    </row>
    <row r="3418" spans="1:15" hidden="1">
      <c r="A3418" s="1"/>
      <c r="B3418" s="182" t="e">
        <f t="shared" ca="1" si="277"/>
        <v>#N/A</v>
      </c>
      <c r="C3418" s="500">
        <v>352</v>
      </c>
      <c r="D3418" s="41" t="e">
        <f>IF($C$1078&gt;0,VLOOKUP($C3418,PATRIMONIALE!$AJ$4:$AL$1003,3,FALSE),"")</f>
        <v>#N/A</v>
      </c>
      <c r="E3418" s="41" t="str">
        <f t="shared" si="276"/>
        <v/>
      </c>
      <c r="F3418" s="200"/>
      <c r="G3418" s="178" t="e">
        <f>IF($C$1078&gt;0,VLOOKUP($C3418,PATRIMONIALE!$AJ$4:$AN$1003,5,FALSE),"")</f>
        <v>#N/A</v>
      </c>
      <c r="H3418" s="179" t="e">
        <f>IF($C$1078&gt;0,VLOOKUP($C3418,PATRIMONIALE!$AJ$4:$AO$1003,6,FALSE),"")</f>
        <v>#N/A</v>
      </c>
      <c r="I3418" s="187"/>
      <c r="J3418" s="140" t="e">
        <f ca="1">VLOOKUP(D3418,$F$1081:$I$4183,4,FALSE)+COUNTIF(E$1081:E3417,E3418)</f>
        <v>#N/A</v>
      </c>
      <c r="K3418" s="1"/>
      <c r="L3418" s="161" t="e">
        <f>IF($C$1078&gt;0,VLOOKUP($C3418,PATRIMONIALE!$AJ$4:$AP$1003,7,FALSE),"")</f>
        <v>#N/A</v>
      </c>
      <c r="M3418" s="1"/>
      <c r="N3418" s="1"/>
      <c r="O3418" s="1"/>
    </row>
    <row r="3419" spans="1:15" hidden="1">
      <c r="A3419" s="1"/>
      <c r="B3419" s="182" t="e">
        <f t="shared" ca="1" si="277"/>
        <v>#N/A</v>
      </c>
      <c r="C3419" s="500">
        <v>353</v>
      </c>
      <c r="D3419" s="41" t="e">
        <f>IF($C$1078&gt;0,VLOOKUP($C3419,PATRIMONIALE!$AJ$4:$AL$1003,3,FALSE),"")</f>
        <v>#N/A</v>
      </c>
      <c r="E3419" s="41" t="str">
        <f t="shared" si="276"/>
        <v/>
      </c>
      <c r="F3419" s="200"/>
      <c r="G3419" s="178" t="e">
        <f>IF($C$1078&gt;0,VLOOKUP($C3419,PATRIMONIALE!$AJ$4:$AN$1003,5,FALSE),"")</f>
        <v>#N/A</v>
      </c>
      <c r="H3419" s="179" t="e">
        <f>IF($C$1078&gt;0,VLOOKUP($C3419,PATRIMONIALE!$AJ$4:$AO$1003,6,FALSE),"")</f>
        <v>#N/A</v>
      </c>
      <c r="I3419" s="187"/>
      <c r="J3419" s="140" t="e">
        <f ca="1">VLOOKUP(D3419,$F$1081:$I$4183,4,FALSE)+COUNTIF(E$1081:E3418,E3419)</f>
        <v>#N/A</v>
      </c>
      <c r="K3419" s="1"/>
      <c r="L3419" s="161" t="e">
        <f>IF($C$1078&gt;0,VLOOKUP($C3419,PATRIMONIALE!$AJ$4:$AP$1003,7,FALSE),"")</f>
        <v>#N/A</v>
      </c>
      <c r="M3419" s="1"/>
      <c r="N3419" s="1"/>
      <c r="O3419" s="1"/>
    </row>
    <row r="3420" spans="1:15" hidden="1">
      <c r="A3420" s="1"/>
      <c r="B3420" s="182" t="e">
        <f t="shared" ca="1" si="277"/>
        <v>#N/A</v>
      </c>
      <c r="C3420" s="500">
        <v>354</v>
      </c>
      <c r="D3420" s="41" t="e">
        <f>IF($C$1078&gt;0,VLOOKUP($C3420,PATRIMONIALE!$AJ$4:$AL$1003,3,FALSE),"")</f>
        <v>#N/A</v>
      </c>
      <c r="E3420" s="41" t="str">
        <f t="shared" si="276"/>
        <v/>
      </c>
      <c r="F3420" s="200"/>
      <c r="G3420" s="178" t="e">
        <f>IF($C$1078&gt;0,VLOOKUP($C3420,PATRIMONIALE!$AJ$4:$AN$1003,5,FALSE),"")</f>
        <v>#N/A</v>
      </c>
      <c r="H3420" s="179" t="e">
        <f>IF($C$1078&gt;0,VLOOKUP($C3420,PATRIMONIALE!$AJ$4:$AO$1003,6,FALSE),"")</f>
        <v>#N/A</v>
      </c>
      <c r="I3420" s="187"/>
      <c r="J3420" s="140" t="e">
        <f ca="1">VLOOKUP(D3420,$F$1081:$I$4183,4,FALSE)+COUNTIF(E$1081:E3419,E3420)</f>
        <v>#N/A</v>
      </c>
      <c r="K3420" s="1"/>
      <c r="L3420" s="161" t="e">
        <f>IF($C$1078&gt;0,VLOOKUP($C3420,PATRIMONIALE!$AJ$4:$AP$1003,7,FALSE),"")</f>
        <v>#N/A</v>
      </c>
      <c r="M3420" s="1"/>
      <c r="N3420" s="1"/>
      <c r="O3420" s="1"/>
    </row>
    <row r="3421" spans="1:15" hidden="1">
      <c r="A3421" s="1"/>
      <c r="B3421" s="182" t="e">
        <f t="shared" ca="1" si="277"/>
        <v>#N/A</v>
      </c>
      <c r="C3421" s="500">
        <v>355</v>
      </c>
      <c r="D3421" s="41" t="e">
        <f>IF($C$1078&gt;0,VLOOKUP($C3421,PATRIMONIALE!$AJ$4:$AL$1003,3,FALSE),"")</f>
        <v>#N/A</v>
      </c>
      <c r="E3421" s="41" t="str">
        <f t="shared" si="276"/>
        <v/>
      </c>
      <c r="F3421" s="200"/>
      <c r="G3421" s="178" t="e">
        <f>IF($C$1078&gt;0,VLOOKUP($C3421,PATRIMONIALE!$AJ$4:$AN$1003,5,FALSE),"")</f>
        <v>#N/A</v>
      </c>
      <c r="H3421" s="179" t="e">
        <f>IF($C$1078&gt;0,VLOOKUP($C3421,PATRIMONIALE!$AJ$4:$AO$1003,6,FALSE),"")</f>
        <v>#N/A</v>
      </c>
      <c r="I3421" s="187"/>
      <c r="J3421" s="140" t="e">
        <f ca="1">VLOOKUP(D3421,$F$1081:$I$4183,4,FALSE)+COUNTIF(E$1081:E3420,E3421)</f>
        <v>#N/A</v>
      </c>
      <c r="K3421" s="1"/>
      <c r="L3421" s="161" t="e">
        <f>IF($C$1078&gt;0,VLOOKUP($C3421,PATRIMONIALE!$AJ$4:$AP$1003,7,FALSE),"")</f>
        <v>#N/A</v>
      </c>
      <c r="M3421" s="1"/>
      <c r="N3421" s="1"/>
      <c r="O3421" s="1"/>
    </row>
    <row r="3422" spans="1:15" hidden="1">
      <c r="A3422" s="1"/>
      <c r="B3422" s="182" t="e">
        <f t="shared" ca="1" si="277"/>
        <v>#N/A</v>
      </c>
      <c r="C3422" s="500">
        <v>356</v>
      </c>
      <c r="D3422" s="41" t="e">
        <f>IF($C$1078&gt;0,VLOOKUP($C3422,PATRIMONIALE!$AJ$4:$AL$1003,3,FALSE),"")</f>
        <v>#N/A</v>
      </c>
      <c r="E3422" s="41" t="str">
        <f t="shared" si="276"/>
        <v/>
      </c>
      <c r="F3422" s="200"/>
      <c r="G3422" s="178" t="e">
        <f>IF($C$1078&gt;0,VLOOKUP($C3422,PATRIMONIALE!$AJ$4:$AN$1003,5,FALSE),"")</f>
        <v>#N/A</v>
      </c>
      <c r="H3422" s="179" t="e">
        <f>IF($C$1078&gt;0,VLOOKUP($C3422,PATRIMONIALE!$AJ$4:$AO$1003,6,FALSE),"")</f>
        <v>#N/A</v>
      </c>
      <c r="I3422" s="187"/>
      <c r="J3422" s="140" t="e">
        <f ca="1">VLOOKUP(D3422,$F$1081:$I$4183,4,FALSE)+COUNTIF(E$1081:E3421,E3422)</f>
        <v>#N/A</v>
      </c>
      <c r="K3422" s="1"/>
      <c r="L3422" s="161" t="e">
        <f>IF($C$1078&gt;0,VLOOKUP($C3422,PATRIMONIALE!$AJ$4:$AP$1003,7,FALSE),"")</f>
        <v>#N/A</v>
      </c>
      <c r="M3422" s="1"/>
      <c r="N3422" s="1"/>
      <c r="O3422" s="1"/>
    </row>
    <row r="3423" spans="1:15" hidden="1">
      <c r="A3423" s="1"/>
      <c r="B3423" s="182" t="e">
        <f t="shared" ca="1" si="277"/>
        <v>#N/A</v>
      </c>
      <c r="C3423" s="500">
        <v>357</v>
      </c>
      <c r="D3423" s="41" t="e">
        <f>IF($C$1078&gt;0,VLOOKUP($C3423,PATRIMONIALE!$AJ$4:$AL$1003,3,FALSE),"")</f>
        <v>#N/A</v>
      </c>
      <c r="E3423" s="41" t="str">
        <f t="shared" si="276"/>
        <v/>
      </c>
      <c r="F3423" s="200"/>
      <c r="G3423" s="178" t="e">
        <f>IF($C$1078&gt;0,VLOOKUP($C3423,PATRIMONIALE!$AJ$4:$AN$1003,5,FALSE),"")</f>
        <v>#N/A</v>
      </c>
      <c r="H3423" s="179" t="e">
        <f>IF($C$1078&gt;0,VLOOKUP($C3423,PATRIMONIALE!$AJ$4:$AO$1003,6,FALSE),"")</f>
        <v>#N/A</v>
      </c>
      <c r="I3423" s="187"/>
      <c r="J3423" s="140" t="e">
        <f ca="1">VLOOKUP(D3423,$F$1081:$I$4183,4,FALSE)+COUNTIF(E$1081:E3422,E3423)</f>
        <v>#N/A</v>
      </c>
      <c r="K3423" s="1"/>
      <c r="L3423" s="161" t="e">
        <f>IF($C$1078&gt;0,VLOOKUP($C3423,PATRIMONIALE!$AJ$4:$AP$1003,7,FALSE),"")</f>
        <v>#N/A</v>
      </c>
      <c r="M3423" s="1"/>
      <c r="N3423" s="1"/>
      <c r="O3423" s="1"/>
    </row>
    <row r="3424" spans="1:15" hidden="1">
      <c r="A3424" s="1"/>
      <c r="B3424" s="182" t="e">
        <f t="shared" ca="1" si="277"/>
        <v>#N/A</v>
      </c>
      <c r="C3424" s="500">
        <v>358</v>
      </c>
      <c r="D3424" s="41" t="e">
        <f>IF($C$1078&gt;0,VLOOKUP($C3424,PATRIMONIALE!$AJ$4:$AL$1003,3,FALSE),"")</f>
        <v>#N/A</v>
      </c>
      <c r="E3424" s="41" t="str">
        <f t="shared" si="276"/>
        <v/>
      </c>
      <c r="F3424" s="200"/>
      <c r="G3424" s="178" t="e">
        <f>IF($C$1078&gt;0,VLOOKUP($C3424,PATRIMONIALE!$AJ$4:$AN$1003,5,FALSE),"")</f>
        <v>#N/A</v>
      </c>
      <c r="H3424" s="179" t="e">
        <f>IF($C$1078&gt;0,VLOOKUP($C3424,PATRIMONIALE!$AJ$4:$AO$1003,6,FALSE),"")</f>
        <v>#N/A</v>
      </c>
      <c r="I3424" s="187"/>
      <c r="J3424" s="140" t="e">
        <f ca="1">VLOOKUP(D3424,$F$1081:$I$4183,4,FALSE)+COUNTIF(E$1081:E3423,E3424)</f>
        <v>#N/A</v>
      </c>
      <c r="K3424" s="1"/>
      <c r="L3424" s="161" t="e">
        <f>IF($C$1078&gt;0,VLOOKUP($C3424,PATRIMONIALE!$AJ$4:$AP$1003,7,FALSE),"")</f>
        <v>#N/A</v>
      </c>
      <c r="M3424" s="1"/>
      <c r="N3424" s="1"/>
      <c r="O3424" s="1"/>
    </row>
    <row r="3425" spans="1:15" hidden="1">
      <c r="A3425" s="1"/>
      <c r="B3425" s="182" t="e">
        <f t="shared" ca="1" si="277"/>
        <v>#N/A</v>
      </c>
      <c r="C3425" s="500">
        <v>359</v>
      </c>
      <c r="D3425" s="41" t="e">
        <f>IF($C$1078&gt;0,VLOOKUP($C3425,PATRIMONIALE!$AJ$4:$AL$1003,3,FALSE),"")</f>
        <v>#N/A</v>
      </c>
      <c r="E3425" s="41" t="str">
        <f t="shared" si="276"/>
        <v/>
      </c>
      <c r="F3425" s="200"/>
      <c r="G3425" s="178" t="e">
        <f>IF($C$1078&gt;0,VLOOKUP($C3425,PATRIMONIALE!$AJ$4:$AN$1003,5,FALSE),"")</f>
        <v>#N/A</v>
      </c>
      <c r="H3425" s="179" t="e">
        <f>IF($C$1078&gt;0,VLOOKUP($C3425,PATRIMONIALE!$AJ$4:$AO$1003,6,FALSE),"")</f>
        <v>#N/A</v>
      </c>
      <c r="I3425" s="187"/>
      <c r="J3425" s="140" t="e">
        <f ca="1">VLOOKUP(D3425,$F$1081:$I$4183,4,FALSE)+COUNTIF(E$1081:E3424,E3425)</f>
        <v>#N/A</v>
      </c>
      <c r="K3425" s="1"/>
      <c r="L3425" s="161" t="e">
        <f>IF($C$1078&gt;0,VLOOKUP($C3425,PATRIMONIALE!$AJ$4:$AP$1003,7,FALSE),"")</f>
        <v>#N/A</v>
      </c>
      <c r="M3425" s="1"/>
      <c r="N3425" s="1"/>
      <c r="O3425" s="1"/>
    </row>
    <row r="3426" spans="1:15" hidden="1">
      <c r="A3426" s="1"/>
      <c r="B3426" s="182" t="e">
        <f t="shared" ca="1" si="277"/>
        <v>#N/A</v>
      </c>
      <c r="C3426" s="500">
        <v>360</v>
      </c>
      <c r="D3426" s="41" t="e">
        <f>IF($C$1078&gt;0,VLOOKUP($C3426,PATRIMONIALE!$AJ$4:$AL$1003,3,FALSE),"")</f>
        <v>#N/A</v>
      </c>
      <c r="E3426" s="41" t="str">
        <f t="shared" ref="E3426:E3456" si="278">IF(ISERROR(D3426),"",D3426)</f>
        <v/>
      </c>
      <c r="F3426" s="200"/>
      <c r="G3426" s="178" t="e">
        <f>IF($C$1078&gt;0,VLOOKUP($C3426,PATRIMONIALE!$AJ$4:$AN$1003,5,FALSE),"")</f>
        <v>#N/A</v>
      </c>
      <c r="H3426" s="179" t="e">
        <f>IF($C$1078&gt;0,VLOOKUP($C3426,PATRIMONIALE!$AJ$4:$AO$1003,6,FALSE),"")</f>
        <v>#N/A</v>
      </c>
      <c r="I3426" s="187"/>
      <c r="J3426" s="140" t="e">
        <f ca="1">VLOOKUP(D3426,$F$1081:$I$4183,4,FALSE)+COUNTIF(E$1081:E3425,E3426)</f>
        <v>#N/A</v>
      </c>
      <c r="K3426" s="1"/>
      <c r="L3426" s="161" t="e">
        <f>IF($C$1078&gt;0,VLOOKUP($C3426,PATRIMONIALE!$AJ$4:$AP$1003,7,FALSE),"")</f>
        <v>#N/A</v>
      </c>
      <c r="M3426" s="1"/>
      <c r="N3426" s="1"/>
      <c r="O3426" s="1"/>
    </row>
    <row r="3427" spans="1:15" hidden="1">
      <c r="A3427" s="1"/>
      <c r="B3427" s="182" t="e">
        <f t="shared" ca="1" si="277"/>
        <v>#N/A</v>
      </c>
      <c r="C3427" s="500">
        <v>361</v>
      </c>
      <c r="D3427" s="41" t="e">
        <f>IF($C$1078&gt;0,VLOOKUP($C3427,PATRIMONIALE!$AJ$4:$AL$1003,3,FALSE),"")</f>
        <v>#N/A</v>
      </c>
      <c r="E3427" s="41" t="str">
        <f t="shared" si="278"/>
        <v/>
      </c>
      <c r="F3427" s="200"/>
      <c r="G3427" s="178" t="e">
        <f>IF($C$1078&gt;0,VLOOKUP($C3427,PATRIMONIALE!$AJ$4:$AN$1003,5,FALSE),"")</f>
        <v>#N/A</v>
      </c>
      <c r="H3427" s="179" t="e">
        <f>IF($C$1078&gt;0,VLOOKUP($C3427,PATRIMONIALE!$AJ$4:$AO$1003,6,FALSE),"")</f>
        <v>#N/A</v>
      </c>
      <c r="I3427" s="187"/>
      <c r="J3427" s="140" t="e">
        <f ca="1">VLOOKUP(D3427,$F$1081:$I$4183,4,FALSE)+COUNTIF(E$1081:E3426,E3427)</f>
        <v>#N/A</v>
      </c>
      <c r="K3427" s="1"/>
      <c r="L3427" s="161" t="e">
        <f>IF($C$1078&gt;0,VLOOKUP($C3427,PATRIMONIALE!$AJ$4:$AP$1003,7,FALSE),"")</f>
        <v>#N/A</v>
      </c>
      <c r="M3427" s="1"/>
      <c r="N3427" s="1"/>
      <c r="O3427" s="1"/>
    </row>
    <row r="3428" spans="1:15" hidden="1">
      <c r="A3428" s="1"/>
      <c r="B3428" s="182" t="e">
        <f t="shared" ca="1" si="277"/>
        <v>#N/A</v>
      </c>
      <c r="C3428" s="500">
        <v>362</v>
      </c>
      <c r="D3428" s="41" t="e">
        <f>IF($C$1078&gt;0,VLOOKUP($C3428,PATRIMONIALE!$AJ$4:$AL$1003,3,FALSE),"")</f>
        <v>#N/A</v>
      </c>
      <c r="E3428" s="41" t="str">
        <f t="shared" si="278"/>
        <v/>
      </c>
      <c r="F3428" s="200"/>
      <c r="G3428" s="178" t="e">
        <f>IF($C$1078&gt;0,VLOOKUP($C3428,PATRIMONIALE!$AJ$4:$AN$1003,5,FALSE),"")</f>
        <v>#N/A</v>
      </c>
      <c r="H3428" s="179" t="e">
        <f>IF($C$1078&gt;0,VLOOKUP($C3428,PATRIMONIALE!$AJ$4:$AO$1003,6,FALSE),"")</f>
        <v>#N/A</v>
      </c>
      <c r="I3428" s="187"/>
      <c r="J3428" s="140" t="e">
        <f ca="1">VLOOKUP(D3428,$F$1081:$I$4183,4,FALSE)+COUNTIF(E$1081:E3427,E3428)</f>
        <v>#N/A</v>
      </c>
      <c r="K3428" s="1"/>
      <c r="L3428" s="161" t="e">
        <f>IF($C$1078&gt;0,VLOOKUP($C3428,PATRIMONIALE!$AJ$4:$AP$1003,7,FALSE),"")</f>
        <v>#N/A</v>
      </c>
      <c r="M3428" s="1"/>
      <c r="N3428" s="1"/>
      <c r="O3428" s="1"/>
    </row>
    <row r="3429" spans="1:15" hidden="1">
      <c r="A3429" s="1"/>
      <c r="B3429" s="182" t="e">
        <f t="shared" ca="1" si="277"/>
        <v>#N/A</v>
      </c>
      <c r="C3429" s="500">
        <v>363</v>
      </c>
      <c r="D3429" s="41" t="e">
        <f>IF($C$1078&gt;0,VLOOKUP($C3429,PATRIMONIALE!$AJ$4:$AL$1003,3,FALSE),"")</f>
        <v>#N/A</v>
      </c>
      <c r="E3429" s="41" t="str">
        <f t="shared" si="278"/>
        <v/>
      </c>
      <c r="F3429" s="200"/>
      <c r="G3429" s="178" t="e">
        <f>IF($C$1078&gt;0,VLOOKUP($C3429,PATRIMONIALE!$AJ$4:$AN$1003,5,FALSE),"")</f>
        <v>#N/A</v>
      </c>
      <c r="H3429" s="179" t="e">
        <f>IF($C$1078&gt;0,VLOOKUP($C3429,PATRIMONIALE!$AJ$4:$AO$1003,6,FALSE),"")</f>
        <v>#N/A</v>
      </c>
      <c r="I3429" s="187"/>
      <c r="J3429" s="140" t="e">
        <f ca="1">VLOOKUP(D3429,$F$1081:$I$4183,4,FALSE)+COUNTIF(E$1081:E3428,E3429)</f>
        <v>#N/A</v>
      </c>
      <c r="K3429" s="1"/>
      <c r="L3429" s="161" t="e">
        <f>IF($C$1078&gt;0,VLOOKUP($C3429,PATRIMONIALE!$AJ$4:$AP$1003,7,FALSE),"")</f>
        <v>#N/A</v>
      </c>
      <c r="M3429" s="1"/>
      <c r="N3429" s="1"/>
      <c r="O3429" s="1"/>
    </row>
    <row r="3430" spans="1:15" hidden="1">
      <c r="A3430" s="1"/>
      <c r="B3430" s="182" t="e">
        <f t="shared" ca="1" si="277"/>
        <v>#N/A</v>
      </c>
      <c r="C3430" s="500">
        <v>364</v>
      </c>
      <c r="D3430" s="41" t="e">
        <f>IF($C$1078&gt;0,VLOOKUP($C3430,PATRIMONIALE!$AJ$4:$AL$1003,3,FALSE),"")</f>
        <v>#N/A</v>
      </c>
      <c r="E3430" s="41" t="str">
        <f t="shared" si="278"/>
        <v/>
      </c>
      <c r="F3430" s="200"/>
      <c r="G3430" s="178" t="e">
        <f>IF($C$1078&gt;0,VLOOKUP($C3430,PATRIMONIALE!$AJ$4:$AN$1003,5,FALSE),"")</f>
        <v>#N/A</v>
      </c>
      <c r="H3430" s="179" t="e">
        <f>IF($C$1078&gt;0,VLOOKUP($C3430,PATRIMONIALE!$AJ$4:$AO$1003,6,FALSE),"")</f>
        <v>#N/A</v>
      </c>
      <c r="I3430" s="187"/>
      <c r="J3430" s="140" t="e">
        <f ca="1">VLOOKUP(D3430,$F$1081:$I$4183,4,FALSE)+COUNTIF(E$1081:E3429,E3430)</f>
        <v>#N/A</v>
      </c>
      <c r="K3430" s="1"/>
      <c r="L3430" s="161" t="e">
        <f>IF($C$1078&gt;0,VLOOKUP($C3430,PATRIMONIALE!$AJ$4:$AP$1003,7,FALSE),"")</f>
        <v>#N/A</v>
      </c>
      <c r="M3430" s="1"/>
      <c r="N3430" s="1"/>
      <c r="O3430" s="1"/>
    </row>
    <row r="3431" spans="1:15" hidden="1">
      <c r="A3431" s="1"/>
      <c r="B3431" s="182" t="e">
        <f t="shared" ca="1" si="277"/>
        <v>#N/A</v>
      </c>
      <c r="C3431" s="500">
        <v>365</v>
      </c>
      <c r="D3431" s="41" t="e">
        <f>IF($C$1078&gt;0,VLOOKUP($C3431,PATRIMONIALE!$AJ$4:$AL$1003,3,FALSE),"")</f>
        <v>#N/A</v>
      </c>
      <c r="E3431" s="41" t="str">
        <f t="shared" si="278"/>
        <v/>
      </c>
      <c r="F3431" s="200"/>
      <c r="G3431" s="178" t="e">
        <f>IF($C$1078&gt;0,VLOOKUP($C3431,PATRIMONIALE!$AJ$4:$AN$1003,5,FALSE),"")</f>
        <v>#N/A</v>
      </c>
      <c r="H3431" s="179" t="e">
        <f>IF($C$1078&gt;0,VLOOKUP($C3431,PATRIMONIALE!$AJ$4:$AO$1003,6,FALSE),"")</f>
        <v>#N/A</v>
      </c>
      <c r="I3431" s="187"/>
      <c r="J3431" s="140" t="e">
        <f ca="1">VLOOKUP(D3431,$F$1081:$I$4183,4,FALSE)+COUNTIF(E$1081:E3430,E3431)</f>
        <v>#N/A</v>
      </c>
      <c r="K3431" s="1"/>
      <c r="L3431" s="161" t="e">
        <f>IF($C$1078&gt;0,VLOOKUP($C3431,PATRIMONIALE!$AJ$4:$AP$1003,7,FALSE),"")</f>
        <v>#N/A</v>
      </c>
      <c r="M3431" s="1"/>
      <c r="N3431" s="1"/>
      <c r="O3431" s="1"/>
    </row>
    <row r="3432" spans="1:15" hidden="1">
      <c r="A3432" s="1"/>
      <c r="B3432" s="182" t="e">
        <f t="shared" ca="1" si="277"/>
        <v>#N/A</v>
      </c>
      <c r="C3432" s="500">
        <v>366</v>
      </c>
      <c r="D3432" s="41" t="e">
        <f>IF($C$1078&gt;0,VLOOKUP($C3432,PATRIMONIALE!$AJ$4:$AL$1003,3,FALSE),"")</f>
        <v>#N/A</v>
      </c>
      <c r="E3432" s="41" t="str">
        <f t="shared" si="278"/>
        <v/>
      </c>
      <c r="F3432" s="200"/>
      <c r="G3432" s="178" t="e">
        <f>IF($C$1078&gt;0,VLOOKUP($C3432,PATRIMONIALE!$AJ$4:$AN$1003,5,FALSE),"")</f>
        <v>#N/A</v>
      </c>
      <c r="H3432" s="179" t="e">
        <f>IF($C$1078&gt;0,VLOOKUP($C3432,PATRIMONIALE!$AJ$4:$AO$1003,6,FALSE),"")</f>
        <v>#N/A</v>
      </c>
      <c r="I3432" s="187"/>
      <c r="J3432" s="140" t="e">
        <f ca="1">VLOOKUP(D3432,$F$1081:$I$4183,4,FALSE)+COUNTIF(E$1081:E3431,E3432)</f>
        <v>#N/A</v>
      </c>
      <c r="K3432" s="1"/>
      <c r="L3432" s="161" t="e">
        <f>IF($C$1078&gt;0,VLOOKUP($C3432,PATRIMONIALE!$AJ$4:$AP$1003,7,FALSE),"")</f>
        <v>#N/A</v>
      </c>
      <c r="M3432" s="1"/>
      <c r="N3432" s="1"/>
      <c r="O3432" s="1"/>
    </row>
    <row r="3433" spans="1:15" hidden="1">
      <c r="A3433" s="1"/>
      <c r="B3433" s="182" t="e">
        <f t="shared" ca="1" si="277"/>
        <v>#N/A</v>
      </c>
      <c r="C3433" s="500">
        <v>367</v>
      </c>
      <c r="D3433" s="41" t="e">
        <f>IF($C$1078&gt;0,VLOOKUP($C3433,PATRIMONIALE!$AJ$4:$AL$1003,3,FALSE),"")</f>
        <v>#N/A</v>
      </c>
      <c r="E3433" s="41" t="str">
        <f t="shared" si="278"/>
        <v/>
      </c>
      <c r="F3433" s="200"/>
      <c r="G3433" s="178" t="e">
        <f>IF($C$1078&gt;0,VLOOKUP($C3433,PATRIMONIALE!$AJ$4:$AN$1003,5,FALSE),"")</f>
        <v>#N/A</v>
      </c>
      <c r="H3433" s="179" t="e">
        <f>IF($C$1078&gt;0,VLOOKUP($C3433,PATRIMONIALE!$AJ$4:$AO$1003,6,FALSE),"")</f>
        <v>#N/A</v>
      </c>
      <c r="I3433" s="187"/>
      <c r="J3433" s="140" t="e">
        <f ca="1">VLOOKUP(D3433,$F$1081:$I$4183,4,FALSE)+COUNTIF(E$1081:E3432,E3433)</f>
        <v>#N/A</v>
      </c>
      <c r="K3433" s="1"/>
      <c r="L3433" s="161" t="e">
        <f>IF($C$1078&gt;0,VLOOKUP($C3433,PATRIMONIALE!$AJ$4:$AP$1003,7,FALSE),"")</f>
        <v>#N/A</v>
      </c>
      <c r="M3433" s="1"/>
      <c r="N3433" s="1"/>
      <c r="O3433" s="1"/>
    </row>
    <row r="3434" spans="1:15" hidden="1">
      <c r="A3434" s="1"/>
      <c r="B3434" s="182" t="e">
        <f t="shared" ca="1" si="277"/>
        <v>#N/A</v>
      </c>
      <c r="C3434" s="500">
        <v>368</v>
      </c>
      <c r="D3434" s="41" t="e">
        <f>IF($C$1078&gt;0,VLOOKUP($C3434,PATRIMONIALE!$AJ$4:$AL$1003,3,FALSE),"")</f>
        <v>#N/A</v>
      </c>
      <c r="E3434" s="41" t="str">
        <f t="shared" si="278"/>
        <v/>
      </c>
      <c r="F3434" s="200"/>
      <c r="G3434" s="178" t="e">
        <f>IF($C$1078&gt;0,VLOOKUP($C3434,PATRIMONIALE!$AJ$4:$AN$1003,5,FALSE),"")</f>
        <v>#N/A</v>
      </c>
      <c r="H3434" s="179" t="e">
        <f>IF($C$1078&gt;0,VLOOKUP($C3434,PATRIMONIALE!$AJ$4:$AO$1003,6,FALSE),"")</f>
        <v>#N/A</v>
      </c>
      <c r="I3434" s="187"/>
      <c r="J3434" s="140" t="e">
        <f ca="1">VLOOKUP(D3434,$F$1081:$I$4183,4,FALSE)+COUNTIF(E$1081:E3433,E3434)</f>
        <v>#N/A</v>
      </c>
      <c r="K3434" s="1"/>
      <c r="L3434" s="161" t="e">
        <f>IF($C$1078&gt;0,VLOOKUP($C3434,PATRIMONIALE!$AJ$4:$AP$1003,7,FALSE),"")</f>
        <v>#N/A</v>
      </c>
      <c r="M3434" s="1"/>
      <c r="N3434" s="1"/>
      <c r="O3434" s="1"/>
    </row>
    <row r="3435" spans="1:15" hidden="1">
      <c r="A3435" s="1"/>
      <c r="B3435" s="182" t="e">
        <f t="shared" ca="1" si="277"/>
        <v>#N/A</v>
      </c>
      <c r="C3435" s="500">
        <v>369</v>
      </c>
      <c r="D3435" s="41" t="e">
        <f>IF($C$1078&gt;0,VLOOKUP($C3435,PATRIMONIALE!$AJ$4:$AL$1003,3,FALSE),"")</f>
        <v>#N/A</v>
      </c>
      <c r="E3435" s="41" t="str">
        <f t="shared" si="278"/>
        <v/>
      </c>
      <c r="F3435" s="200"/>
      <c r="G3435" s="178" t="e">
        <f>IF($C$1078&gt;0,VLOOKUP($C3435,PATRIMONIALE!$AJ$4:$AN$1003,5,FALSE),"")</f>
        <v>#N/A</v>
      </c>
      <c r="H3435" s="179" t="e">
        <f>IF($C$1078&gt;0,VLOOKUP($C3435,PATRIMONIALE!$AJ$4:$AO$1003,6,FALSE),"")</f>
        <v>#N/A</v>
      </c>
      <c r="I3435" s="187"/>
      <c r="J3435" s="140" t="e">
        <f ca="1">VLOOKUP(D3435,$F$1081:$I$4183,4,FALSE)+COUNTIF(E$1081:E3434,E3435)</f>
        <v>#N/A</v>
      </c>
      <c r="K3435" s="1"/>
      <c r="L3435" s="161" t="e">
        <f>IF($C$1078&gt;0,VLOOKUP($C3435,PATRIMONIALE!$AJ$4:$AP$1003,7,FALSE),"")</f>
        <v>#N/A</v>
      </c>
      <c r="M3435" s="1"/>
      <c r="N3435" s="1"/>
      <c r="O3435" s="1"/>
    </row>
    <row r="3436" spans="1:15" hidden="1">
      <c r="A3436" s="1"/>
      <c r="B3436" s="182" t="e">
        <f t="shared" ca="1" si="277"/>
        <v>#N/A</v>
      </c>
      <c r="C3436" s="500">
        <v>370</v>
      </c>
      <c r="D3436" s="41" t="e">
        <f>IF($C$1078&gt;0,VLOOKUP($C3436,PATRIMONIALE!$AJ$4:$AL$1003,3,FALSE),"")</f>
        <v>#N/A</v>
      </c>
      <c r="E3436" s="41" t="str">
        <f t="shared" si="278"/>
        <v/>
      </c>
      <c r="F3436" s="200"/>
      <c r="G3436" s="178" t="e">
        <f>IF($C$1078&gt;0,VLOOKUP($C3436,PATRIMONIALE!$AJ$4:$AN$1003,5,FALSE),"")</f>
        <v>#N/A</v>
      </c>
      <c r="H3436" s="179" t="e">
        <f>IF($C$1078&gt;0,VLOOKUP($C3436,PATRIMONIALE!$AJ$4:$AO$1003,6,FALSE),"")</f>
        <v>#N/A</v>
      </c>
      <c r="I3436" s="187"/>
      <c r="J3436" s="140" t="e">
        <f ca="1">VLOOKUP(D3436,$F$1081:$I$4183,4,FALSE)+COUNTIF(E$1081:E3435,E3436)</f>
        <v>#N/A</v>
      </c>
      <c r="K3436" s="1"/>
      <c r="L3436" s="161" t="e">
        <f>IF($C$1078&gt;0,VLOOKUP($C3436,PATRIMONIALE!$AJ$4:$AP$1003,7,FALSE),"")</f>
        <v>#N/A</v>
      </c>
      <c r="M3436" s="1"/>
      <c r="N3436" s="1"/>
      <c r="O3436" s="1"/>
    </row>
    <row r="3437" spans="1:15" hidden="1">
      <c r="A3437" s="1"/>
      <c r="B3437" s="182" t="e">
        <f t="shared" ca="1" si="277"/>
        <v>#N/A</v>
      </c>
      <c r="C3437" s="500">
        <v>371</v>
      </c>
      <c r="D3437" s="41" t="e">
        <f>IF($C$1078&gt;0,VLOOKUP($C3437,PATRIMONIALE!$AJ$4:$AL$1003,3,FALSE),"")</f>
        <v>#N/A</v>
      </c>
      <c r="E3437" s="41" t="str">
        <f t="shared" si="278"/>
        <v/>
      </c>
      <c r="F3437" s="200"/>
      <c r="G3437" s="178" t="e">
        <f>IF($C$1078&gt;0,VLOOKUP($C3437,PATRIMONIALE!$AJ$4:$AN$1003,5,FALSE),"")</f>
        <v>#N/A</v>
      </c>
      <c r="H3437" s="179" t="e">
        <f>IF($C$1078&gt;0,VLOOKUP($C3437,PATRIMONIALE!$AJ$4:$AO$1003,6,FALSE),"")</f>
        <v>#N/A</v>
      </c>
      <c r="I3437" s="187"/>
      <c r="J3437" s="140" t="e">
        <f ca="1">VLOOKUP(D3437,$F$1081:$I$4183,4,FALSE)+COUNTIF(E$1081:E3436,E3437)</f>
        <v>#N/A</v>
      </c>
      <c r="K3437" s="1"/>
      <c r="L3437" s="161" t="e">
        <f>IF($C$1078&gt;0,VLOOKUP($C3437,PATRIMONIALE!$AJ$4:$AP$1003,7,FALSE),"")</f>
        <v>#N/A</v>
      </c>
      <c r="M3437" s="1"/>
      <c r="N3437" s="1"/>
      <c r="O3437" s="1"/>
    </row>
    <row r="3438" spans="1:15" hidden="1">
      <c r="A3438" s="1"/>
      <c r="B3438" s="182" t="e">
        <f t="shared" ca="1" si="277"/>
        <v>#N/A</v>
      </c>
      <c r="C3438" s="500">
        <v>372</v>
      </c>
      <c r="D3438" s="41" t="e">
        <f>IF($C$1078&gt;0,VLOOKUP($C3438,PATRIMONIALE!$AJ$4:$AL$1003,3,FALSE),"")</f>
        <v>#N/A</v>
      </c>
      <c r="E3438" s="41" t="str">
        <f t="shared" si="278"/>
        <v/>
      </c>
      <c r="F3438" s="200"/>
      <c r="G3438" s="178" t="e">
        <f>IF($C$1078&gt;0,VLOOKUP($C3438,PATRIMONIALE!$AJ$4:$AN$1003,5,FALSE),"")</f>
        <v>#N/A</v>
      </c>
      <c r="H3438" s="179" t="e">
        <f>IF($C$1078&gt;0,VLOOKUP($C3438,PATRIMONIALE!$AJ$4:$AO$1003,6,FALSE),"")</f>
        <v>#N/A</v>
      </c>
      <c r="I3438" s="187"/>
      <c r="J3438" s="140" t="e">
        <f ca="1">VLOOKUP(D3438,$F$1081:$I$4183,4,FALSE)+COUNTIF(E$1081:E3437,E3438)</f>
        <v>#N/A</v>
      </c>
      <c r="K3438" s="1"/>
      <c r="L3438" s="161" t="e">
        <f>IF($C$1078&gt;0,VLOOKUP($C3438,PATRIMONIALE!$AJ$4:$AP$1003,7,FALSE),"")</f>
        <v>#N/A</v>
      </c>
      <c r="M3438" s="1"/>
      <c r="N3438" s="1"/>
      <c r="O3438" s="1"/>
    </row>
    <row r="3439" spans="1:15" hidden="1">
      <c r="A3439" s="1"/>
      <c r="B3439" s="182" t="e">
        <f t="shared" ca="1" si="277"/>
        <v>#N/A</v>
      </c>
      <c r="C3439" s="500">
        <v>373</v>
      </c>
      <c r="D3439" s="41" t="e">
        <f>IF($C$1078&gt;0,VLOOKUP($C3439,PATRIMONIALE!$AJ$4:$AL$1003,3,FALSE),"")</f>
        <v>#N/A</v>
      </c>
      <c r="E3439" s="41" t="str">
        <f t="shared" si="278"/>
        <v/>
      </c>
      <c r="F3439" s="200"/>
      <c r="G3439" s="178" t="e">
        <f>IF($C$1078&gt;0,VLOOKUP($C3439,PATRIMONIALE!$AJ$4:$AN$1003,5,FALSE),"")</f>
        <v>#N/A</v>
      </c>
      <c r="H3439" s="179" t="e">
        <f>IF($C$1078&gt;0,VLOOKUP($C3439,PATRIMONIALE!$AJ$4:$AO$1003,6,FALSE),"")</f>
        <v>#N/A</v>
      </c>
      <c r="I3439" s="187"/>
      <c r="J3439" s="140" t="e">
        <f ca="1">VLOOKUP(D3439,$F$1081:$I$4183,4,FALSE)+COUNTIF(E$1081:E3438,E3439)</f>
        <v>#N/A</v>
      </c>
      <c r="K3439" s="1"/>
      <c r="L3439" s="161" t="e">
        <f>IF($C$1078&gt;0,VLOOKUP($C3439,PATRIMONIALE!$AJ$4:$AP$1003,7,FALSE),"")</f>
        <v>#N/A</v>
      </c>
      <c r="M3439" s="1"/>
      <c r="N3439" s="1"/>
      <c r="O3439" s="1"/>
    </row>
    <row r="3440" spans="1:15" hidden="1">
      <c r="A3440" s="1"/>
      <c r="B3440" s="182" t="e">
        <f t="shared" ca="1" si="277"/>
        <v>#N/A</v>
      </c>
      <c r="C3440" s="500">
        <v>374</v>
      </c>
      <c r="D3440" s="41" t="e">
        <f>IF($C$1078&gt;0,VLOOKUP($C3440,PATRIMONIALE!$AJ$4:$AL$1003,3,FALSE),"")</f>
        <v>#N/A</v>
      </c>
      <c r="E3440" s="41" t="str">
        <f t="shared" si="278"/>
        <v/>
      </c>
      <c r="F3440" s="200"/>
      <c r="G3440" s="178" t="e">
        <f>IF($C$1078&gt;0,VLOOKUP($C3440,PATRIMONIALE!$AJ$4:$AN$1003,5,FALSE),"")</f>
        <v>#N/A</v>
      </c>
      <c r="H3440" s="179" t="e">
        <f>IF($C$1078&gt;0,VLOOKUP($C3440,PATRIMONIALE!$AJ$4:$AO$1003,6,FALSE),"")</f>
        <v>#N/A</v>
      </c>
      <c r="I3440" s="187"/>
      <c r="J3440" s="140" t="e">
        <f ca="1">VLOOKUP(D3440,$F$1081:$I$4183,4,FALSE)+COUNTIF(E$1081:E3439,E3440)</f>
        <v>#N/A</v>
      </c>
      <c r="K3440" s="1"/>
      <c r="L3440" s="161" t="e">
        <f>IF($C$1078&gt;0,VLOOKUP($C3440,PATRIMONIALE!$AJ$4:$AP$1003,7,FALSE),"")</f>
        <v>#N/A</v>
      </c>
      <c r="M3440" s="1"/>
      <c r="N3440" s="1"/>
      <c r="O3440" s="1"/>
    </row>
    <row r="3441" spans="1:15" hidden="1">
      <c r="A3441" s="1"/>
      <c r="B3441" s="182" t="e">
        <f t="shared" ca="1" si="277"/>
        <v>#N/A</v>
      </c>
      <c r="C3441" s="500">
        <v>375</v>
      </c>
      <c r="D3441" s="41" t="e">
        <f>IF($C$1078&gt;0,VLOOKUP($C3441,PATRIMONIALE!$AJ$4:$AL$1003,3,FALSE),"")</f>
        <v>#N/A</v>
      </c>
      <c r="E3441" s="41" t="str">
        <f t="shared" si="278"/>
        <v/>
      </c>
      <c r="F3441" s="200"/>
      <c r="G3441" s="178" t="e">
        <f>IF($C$1078&gt;0,VLOOKUP($C3441,PATRIMONIALE!$AJ$4:$AN$1003,5,FALSE),"")</f>
        <v>#N/A</v>
      </c>
      <c r="H3441" s="179" t="e">
        <f>IF($C$1078&gt;0,VLOOKUP($C3441,PATRIMONIALE!$AJ$4:$AO$1003,6,FALSE),"")</f>
        <v>#N/A</v>
      </c>
      <c r="I3441" s="187"/>
      <c r="J3441" s="140" t="e">
        <f ca="1">VLOOKUP(D3441,$F$1081:$I$4183,4,FALSE)+COUNTIF(E$1081:E3440,E3441)</f>
        <v>#N/A</v>
      </c>
      <c r="K3441" s="1"/>
      <c r="L3441" s="161" t="e">
        <f>IF($C$1078&gt;0,VLOOKUP($C3441,PATRIMONIALE!$AJ$4:$AP$1003,7,FALSE),"")</f>
        <v>#N/A</v>
      </c>
      <c r="M3441" s="1"/>
      <c r="N3441" s="1"/>
      <c r="O3441" s="1"/>
    </row>
    <row r="3442" spans="1:15" hidden="1">
      <c r="A3442" s="1"/>
      <c r="B3442" s="182" t="e">
        <f t="shared" ca="1" si="277"/>
        <v>#N/A</v>
      </c>
      <c r="C3442" s="500">
        <v>376</v>
      </c>
      <c r="D3442" s="41" t="e">
        <f>IF($C$1078&gt;0,VLOOKUP($C3442,PATRIMONIALE!$AJ$4:$AL$1003,3,FALSE),"")</f>
        <v>#N/A</v>
      </c>
      <c r="E3442" s="41" t="str">
        <f t="shared" si="278"/>
        <v/>
      </c>
      <c r="F3442" s="200"/>
      <c r="G3442" s="178" t="e">
        <f>IF($C$1078&gt;0,VLOOKUP($C3442,PATRIMONIALE!$AJ$4:$AN$1003,5,FALSE),"")</f>
        <v>#N/A</v>
      </c>
      <c r="H3442" s="179" t="e">
        <f>IF($C$1078&gt;0,VLOOKUP($C3442,PATRIMONIALE!$AJ$4:$AO$1003,6,FALSE),"")</f>
        <v>#N/A</v>
      </c>
      <c r="I3442" s="187"/>
      <c r="J3442" s="140" t="e">
        <f ca="1">VLOOKUP(D3442,$F$1081:$I$4183,4,FALSE)+COUNTIF(E$1081:E3441,E3442)</f>
        <v>#N/A</v>
      </c>
      <c r="K3442" s="1"/>
      <c r="L3442" s="161" t="e">
        <f>IF($C$1078&gt;0,VLOOKUP($C3442,PATRIMONIALE!$AJ$4:$AP$1003,7,FALSE),"")</f>
        <v>#N/A</v>
      </c>
      <c r="M3442" s="1"/>
      <c r="N3442" s="1"/>
      <c r="O3442" s="1"/>
    </row>
    <row r="3443" spans="1:15" hidden="1">
      <c r="A3443" s="1"/>
      <c r="B3443" s="182" t="e">
        <f t="shared" ca="1" si="277"/>
        <v>#N/A</v>
      </c>
      <c r="C3443" s="500">
        <v>377</v>
      </c>
      <c r="D3443" s="41" t="e">
        <f>IF($C$1078&gt;0,VLOOKUP($C3443,PATRIMONIALE!$AJ$4:$AL$1003,3,FALSE),"")</f>
        <v>#N/A</v>
      </c>
      <c r="E3443" s="41" t="str">
        <f t="shared" si="278"/>
        <v/>
      </c>
      <c r="F3443" s="200"/>
      <c r="G3443" s="178" t="e">
        <f>IF($C$1078&gt;0,VLOOKUP($C3443,PATRIMONIALE!$AJ$4:$AN$1003,5,FALSE),"")</f>
        <v>#N/A</v>
      </c>
      <c r="H3443" s="179" t="e">
        <f>IF($C$1078&gt;0,VLOOKUP($C3443,PATRIMONIALE!$AJ$4:$AO$1003,6,FALSE),"")</f>
        <v>#N/A</v>
      </c>
      <c r="I3443" s="187"/>
      <c r="J3443" s="140" t="e">
        <f ca="1">VLOOKUP(D3443,$F$1081:$I$4183,4,FALSE)+COUNTIF(E$1081:E3442,E3443)</f>
        <v>#N/A</v>
      </c>
      <c r="K3443" s="1"/>
      <c r="L3443" s="161" t="e">
        <f>IF($C$1078&gt;0,VLOOKUP($C3443,PATRIMONIALE!$AJ$4:$AP$1003,7,FALSE),"")</f>
        <v>#N/A</v>
      </c>
      <c r="M3443" s="1"/>
      <c r="N3443" s="1"/>
      <c r="O3443" s="1"/>
    </row>
    <row r="3444" spans="1:15" hidden="1">
      <c r="A3444" s="1"/>
      <c r="B3444" s="182" t="e">
        <f t="shared" ca="1" si="277"/>
        <v>#N/A</v>
      </c>
      <c r="C3444" s="500">
        <v>378</v>
      </c>
      <c r="D3444" s="41" t="e">
        <f>IF($C$1078&gt;0,VLOOKUP($C3444,PATRIMONIALE!$AJ$4:$AL$1003,3,FALSE),"")</f>
        <v>#N/A</v>
      </c>
      <c r="E3444" s="41" t="str">
        <f t="shared" si="278"/>
        <v/>
      </c>
      <c r="F3444" s="200"/>
      <c r="G3444" s="178" t="e">
        <f>IF($C$1078&gt;0,VLOOKUP($C3444,PATRIMONIALE!$AJ$4:$AN$1003,5,FALSE),"")</f>
        <v>#N/A</v>
      </c>
      <c r="H3444" s="179" t="e">
        <f>IF($C$1078&gt;0,VLOOKUP($C3444,PATRIMONIALE!$AJ$4:$AO$1003,6,FALSE),"")</f>
        <v>#N/A</v>
      </c>
      <c r="I3444" s="187"/>
      <c r="J3444" s="140" t="e">
        <f ca="1">VLOOKUP(D3444,$F$1081:$I$4183,4,FALSE)+COUNTIF(E$1081:E3443,E3444)</f>
        <v>#N/A</v>
      </c>
      <c r="K3444" s="1"/>
      <c r="L3444" s="161" t="e">
        <f>IF($C$1078&gt;0,VLOOKUP($C3444,PATRIMONIALE!$AJ$4:$AP$1003,7,FALSE),"")</f>
        <v>#N/A</v>
      </c>
      <c r="M3444" s="1"/>
      <c r="N3444" s="1"/>
      <c r="O3444" s="1"/>
    </row>
    <row r="3445" spans="1:15" hidden="1">
      <c r="A3445" s="1"/>
      <c r="B3445" s="182" t="e">
        <f t="shared" ca="1" si="277"/>
        <v>#N/A</v>
      </c>
      <c r="C3445" s="500">
        <v>379</v>
      </c>
      <c r="D3445" s="41" t="e">
        <f>IF($C$1078&gt;0,VLOOKUP($C3445,PATRIMONIALE!$AJ$4:$AL$1003,3,FALSE),"")</f>
        <v>#N/A</v>
      </c>
      <c r="E3445" s="41" t="str">
        <f t="shared" si="278"/>
        <v/>
      </c>
      <c r="F3445" s="200"/>
      <c r="G3445" s="178" t="e">
        <f>IF($C$1078&gt;0,VLOOKUP($C3445,PATRIMONIALE!$AJ$4:$AN$1003,5,FALSE),"")</f>
        <v>#N/A</v>
      </c>
      <c r="H3445" s="179" t="e">
        <f>IF($C$1078&gt;0,VLOOKUP($C3445,PATRIMONIALE!$AJ$4:$AO$1003,6,FALSE),"")</f>
        <v>#N/A</v>
      </c>
      <c r="I3445" s="187"/>
      <c r="J3445" s="140" t="e">
        <f ca="1">VLOOKUP(D3445,$F$1081:$I$4183,4,FALSE)+COUNTIF(E$1081:E3444,E3445)</f>
        <v>#N/A</v>
      </c>
      <c r="K3445" s="1"/>
      <c r="L3445" s="161" t="e">
        <f>IF($C$1078&gt;0,VLOOKUP($C3445,PATRIMONIALE!$AJ$4:$AP$1003,7,FALSE),"")</f>
        <v>#N/A</v>
      </c>
      <c r="M3445" s="1"/>
      <c r="N3445" s="1"/>
      <c r="O3445" s="1"/>
    </row>
    <row r="3446" spans="1:15" hidden="1">
      <c r="A3446" s="1"/>
      <c r="B3446" s="182" t="e">
        <f t="shared" ca="1" si="277"/>
        <v>#N/A</v>
      </c>
      <c r="C3446" s="500">
        <v>380</v>
      </c>
      <c r="D3446" s="41" t="e">
        <f>IF($C$1078&gt;0,VLOOKUP($C3446,PATRIMONIALE!$AJ$4:$AL$1003,3,FALSE),"")</f>
        <v>#N/A</v>
      </c>
      <c r="E3446" s="41" t="str">
        <f t="shared" si="278"/>
        <v/>
      </c>
      <c r="F3446" s="200"/>
      <c r="G3446" s="178" t="e">
        <f>IF($C$1078&gt;0,VLOOKUP($C3446,PATRIMONIALE!$AJ$4:$AN$1003,5,FALSE),"")</f>
        <v>#N/A</v>
      </c>
      <c r="H3446" s="179" t="e">
        <f>IF($C$1078&gt;0,VLOOKUP($C3446,PATRIMONIALE!$AJ$4:$AO$1003,6,FALSE),"")</f>
        <v>#N/A</v>
      </c>
      <c r="I3446" s="187"/>
      <c r="J3446" s="140" t="e">
        <f ca="1">VLOOKUP(D3446,$F$1081:$I$4183,4,FALSE)+COUNTIF(E$1081:E3445,E3446)</f>
        <v>#N/A</v>
      </c>
      <c r="K3446" s="1"/>
      <c r="L3446" s="161" t="e">
        <f>IF($C$1078&gt;0,VLOOKUP($C3446,PATRIMONIALE!$AJ$4:$AP$1003,7,FALSE),"")</f>
        <v>#N/A</v>
      </c>
      <c r="M3446" s="1"/>
      <c r="N3446" s="1"/>
      <c r="O3446" s="1"/>
    </row>
    <row r="3447" spans="1:15" hidden="1">
      <c r="A3447" s="1"/>
      <c r="B3447" s="182" t="e">
        <f t="shared" ca="1" si="277"/>
        <v>#N/A</v>
      </c>
      <c r="C3447" s="500">
        <v>381</v>
      </c>
      <c r="D3447" s="41" t="e">
        <f>IF($C$1078&gt;0,VLOOKUP($C3447,PATRIMONIALE!$AJ$4:$AL$1003,3,FALSE),"")</f>
        <v>#N/A</v>
      </c>
      <c r="E3447" s="41" t="str">
        <f t="shared" si="278"/>
        <v/>
      </c>
      <c r="F3447" s="200"/>
      <c r="G3447" s="178" t="e">
        <f>IF($C$1078&gt;0,VLOOKUP($C3447,PATRIMONIALE!$AJ$4:$AN$1003,5,FALSE),"")</f>
        <v>#N/A</v>
      </c>
      <c r="H3447" s="179" t="e">
        <f>IF($C$1078&gt;0,VLOOKUP($C3447,PATRIMONIALE!$AJ$4:$AO$1003,6,FALSE),"")</f>
        <v>#N/A</v>
      </c>
      <c r="I3447" s="187"/>
      <c r="J3447" s="140" t="e">
        <f ca="1">VLOOKUP(D3447,$F$1081:$I$4183,4,FALSE)+COUNTIF(E$1081:E3446,E3447)</f>
        <v>#N/A</v>
      </c>
      <c r="K3447" s="1"/>
      <c r="L3447" s="161" t="e">
        <f>IF($C$1078&gt;0,VLOOKUP($C3447,PATRIMONIALE!$AJ$4:$AP$1003,7,FALSE),"")</f>
        <v>#N/A</v>
      </c>
      <c r="M3447" s="1"/>
      <c r="N3447" s="1"/>
      <c r="O3447" s="1"/>
    </row>
    <row r="3448" spans="1:15" hidden="1">
      <c r="A3448" s="1"/>
      <c r="B3448" s="182" t="e">
        <f t="shared" ca="1" si="277"/>
        <v>#N/A</v>
      </c>
      <c r="C3448" s="500">
        <v>382</v>
      </c>
      <c r="D3448" s="41" t="e">
        <f>IF($C$1078&gt;0,VLOOKUP($C3448,PATRIMONIALE!$AJ$4:$AL$1003,3,FALSE),"")</f>
        <v>#N/A</v>
      </c>
      <c r="E3448" s="41" t="str">
        <f t="shared" si="278"/>
        <v/>
      </c>
      <c r="F3448" s="200"/>
      <c r="G3448" s="178" t="e">
        <f>IF($C$1078&gt;0,VLOOKUP($C3448,PATRIMONIALE!$AJ$4:$AN$1003,5,FALSE),"")</f>
        <v>#N/A</v>
      </c>
      <c r="H3448" s="179" t="e">
        <f>IF($C$1078&gt;0,VLOOKUP($C3448,PATRIMONIALE!$AJ$4:$AO$1003,6,FALSE),"")</f>
        <v>#N/A</v>
      </c>
      <c r="I3448" s="187"/>
      <c r="J3448" s="140" t="e">
        <f ca="1">VLOOKUP(D3448,$F$1081:$I$4183,4,FALSE)+COUNTIF(E$1081:E3447,E3448)</f>
        <v>#N/A</v>
      </c>
      <c r="K3448" s="1"/>
      <c r="L3448" s="161" t="e">
        <f>IF($C$1078&gt;0,VLOOKUP($C3448,PATRIMONIALE!$AJ$4:$AP$1003,7,FALSE),"")</f>
        <v>#N/A</v>
      </c>
      <c r="M3448" s="1"/>
      <c r="N3448" s="1"/>
      <c r="O3448" s="1"/>
    </row>
    <row r="3449" spans="1:15" hidden="1">
      <c r="A3449" s="1"/>
      <c r="B3449" s="182" t="e">
        <f t="shared" ref="B3449:B3510" ca="1" si="279">IF(OR(C$1075&gt;0,C$1077&gt;0,C$1073&gt;0,C$1071&gt;0),J3449+1,J3449)</f>
        <v>#N/A</v>
      </c>
      <c r="C3449" s="500">
        <v>383</v>
      </c>
      <c r="D3449" s="41" t="e">
        <f>IF($C$1078&gt;0,VLOOKUP($C3449,PATRIMONIALE!$AJ$4:$AL$1003,3,FALSE),"")</f>
        <v>#N/A</v>
      </c>
      <c r="E3449" s="41" t="str">
        <f t="shared" si="278"/>
        <v/>
      </c>
      <c r="F3449" s="200"/>
      <c r="G3449" s="178" t="e">
        <f>IF($C$1078&gt;0,VLOOKUP($C3449,PATRIMONIALE!$AJ$4:$AN$1003,5,FALSE),"")</f>
        <v>#N/A</v>
      </c>
      <c r="H3449" s="179" t="e">
        <f>IF($C$1078&gt;0,VLOOKUP($C3449,PATRIMONIALE!$AJ$4:$AO$1003,6,FALSE),"")</f>
        <v>#N/A</v>
      </c>
      <c r="I3449" s="187"/>
      <c r="J3449" s="140" t="e">
        <f ca="1">VLOOKUP(D3449,$F$1081:$I$4183,4,FALSE)+COUNTIF(E$1081:E3448,E3449)</f>
        <v>#N/A</v>
      </c>
      <c r="K3449" s="1"/>
      <c r="L3449" s="161" t="e">
        <f>IF($C$1078&gt;0,VLOOKUP($C3449,PATRIMONIALE!$AJ$4:$AP$1003,7,FALSE),"")</f>
        <v>#N/A</v>
      </c>
      <c r="M3449" s="1"/>
      <c r="N3449" s="1"/>
      <c r="O3449" s="1"/>
    </row>
    <row r="3450" spans="1:15" hidden="1">
      <c r="A3450" s="1"/>
      <c r="B3450" s="182" t="e">
        <f t="shared" ca="1" si="279"/>
        <v>#N/A</v>
      </c>
      <c r="C3450" s="500">
        <v>384</v>
      </c>
      <c r="D3450" s="41" t="e">
        <f>IF($C$1078&gt;0,VLOOKUP($C3450,PATRIMONIALE!$AJ$4:$AL$1003,3,FALSE),"")</f>
        <v>#N/A</v>
      </c>
      <c r="E3450" s="41" t="str">
        <f t="shared" si="278"/>
        <v/>
      </c>
      <c r="F3450" s="200"/>
      <c r="G3450" s="178" t="e">
        <f>IF($C$1078&gt;0,VLOOKUP($C3450,PATRIMONIALE!$AJ$4:$AN$1003,5,FALSE),"")</f>
        <v>#N/A</v>
      </c>
      <c r="H3450" s="179" t="e">
        <f>IF($C$1078&gt;0,VLOOKUP($C3450,PATRIMONIALE!$AJ$4:$AO$1003,6,FALSE),"")</f>
        <v>#N/A</v>
      </c>
      <c r="I3450" s="187"/>
      <c r="J3450" s="140" t="e">
        <f ca="1">VLOOKUP(D3450,$F$1081:$I$4183,4,FALSE)+COUNTIF(E$1081:E3449,E3450)</f>
        <v>#N/A</v>
      </c>
      <c r="K3450" s="1"/>
      <c r="L3450" s="161" t="e">
        <f>IF($C$1078&gt;0,VLOOKUP($C3450,PATRIMONIALE!$AJ$4:$AP$1003,7,FALSE),"")</f>
        <v>#N/A</v>
      </c>
      <c r="M3450" s="1"/>
      <c r="N3450" s="1"/>
      <c r="O3450" s="1"/>
    </row>
    <row r="3451" spans="1:15" hidden="1">
      <c r="A3451" s="1"/>
      <c r="B3451" s="182" t="e">
        <f t="shared" ca="1" si="279"/>
        <v>#N/A</v>
      </c>
      <c r="C3451" s="500">
        <v>385</v>
      </c>
      <c r="D3451" s="41" t="e">
        <f>IF($C$1078&gt;0,VLOOKUP($C3451,PATRIMONIALE!$AJ$4:$AL$1003,3,FALSE),"")</f>
        <v>#N/A</v>
      </c>
      <c r="E3451" s="41" t="str">
        <f t="shared" si="278"/>
        <v/>
      </c>
      <c r="F3451" s="200"/>
      <c r="G3451" s="178" t="e">
        <f>IF($C$1078&gt;0,VLOOKUP($C3451,PATRIMONIALE!$AJ$4:$AN$1003,5,FALSE),"")</f>
        <v>#N/A</v>
      </c>
      <c r="H3451" s="179" t="e">
        <f>IF($C$1078&gt;0,VLOOKUP($C3451,PATRIMONIALE!$AJ$4:$AO$1003,6,FALSE),"")</f>
        <v>#N/A</v>
      </c>
      <c r="I3451" s="187"/>
      <c r="J3451" s="140" t="e">
        <f ca="1">VLOOKUP(D3451,$F$1081:$I$4183,4,FALSE)+COUNTIF(E$1081:E3450,E3451)</f>
        <v>#N/A</v>
      </c>
      <c r="K3451" s="1"/>
      <c r="L3451" s="161" t="e">
        <f>IF($C$1078&gt;0,VLOOKUP($C3451,PATRIMONIALE!$AJ$4:$AP$1003,7,FALSE),"")</f>
        <v>#N/A</v>
      </c>
      <c r="M3451" s="1"/>
      <c r="N3451" s="1"/>
      <c r="O3451" s="1"/>
    </row>
    <row r="3452" spans="1:15" hidden="1">
      <c r="A3452" s="1"/>
      <c r="B3452" s="182" t="e">
        <f t="shared" ca="1" si="279"/>
        <v>#N/A</v>
      </c>
      <c r="C3452" s="500">
        <v>386</v>
      </c>
      <c r="D3452" s="41" t="e">
        <f>IF($C$1078&gt;0,VLOOKUP($C3452,PATRIMONIALE!$AJ$4:$AL$1003,3,FALSE),"")</f>
        <v>#N/A</v>
      </c>
      <c r="E3452" s="41" t="str">
        <f t="shared" si="278"/>
        <v/>
      </c>
      <c r="F3452" s="200"/>
      <c r="G3452" s="178" t="e">
        <f>IF($C$1078&gt;0,VLOOKUP($C3452,PATRIMONIALE!$AJ$4:$AN$1003,5,FALSE),"")</f>
        <v>#N/A</v>
      </c>
      <c r="H3452" s="179" t="e">
        <f>IF($C$1078&gt;0,VLOOKUP($C3452,PATRIMONIALE!$AJ$4:$AO$1003,6,FALSE),"")</f>
        <v>#N/A</v>
      </c>
      <c r="I3452" s="187"/>
      <c r="J3452" s="140" t="e">
        <f ca="1">VLOOKUP(D3452,$F$1081:$I$4183,4,FALSE)+COUNTIF(E$1081:E3451,E3452)</f>
        <v>#N/A</v>
      </c>
      <c r="K3452" s="1"/>
      <c r="L3452" s="161" t="e">
        <f>IF($C$1078&gt;0,VLOOKUP($C3452,PATRIMONIALE!$AJ$4:$AP$1003,7,FALSE),"")</f>
        <v>#N/A</v>
      </c>
      <c r="M3452" s="1"/>
      <c r="N3452" s="1"/>
      <c r="O3452" s="1"/>
    </row>
    <row r="3453" spans="1:15" hidden="1">
      <c r="A3453" s="1"/>
      <c r="B3453" s="182" t="e">
        <f t="shared" ca="1" si="279"/>
        <v>#N/A</v>
      </c>
      <c r="C3453" s="500">
        <v>387</v>
      </c>
      <c r="D3453" s="41" t="e">
        <f>IF($C$1078&gt;0,VLOOKUP($C3453,PATRIMONIALE!$AJ$4:$AL$1003,3,FALSE),"")</f>
        <v>#N/A</v>
      </c>
      <c r="E3453" s="41" t="str">
        <f t="shared" si="278"/>
        <v/>
      </c>
      <c r="F3453" s="200"/>
      <c r="G3453" s="178" t="e">
        <f>IF($C$1078&gt;0,VLOOKUP($C3453,PATRIMONIALE!$AJ$4:$AN$1003,5,FALSE),"")</f>
        <v>#N/A</v>
      </c>
      <c r="H3453" s="179" t="e">
        <f>IF($C$1078&gt;0,VLOOKUP($C3453,PATRIMONIALE!$AJ$4:$AO$1003,6,FALSE),"")</f>
        <v>#N/A</v>
      </c>
      <c r="I3453" s="187"/>
      <c r="J3453" s="140" t="e">
        <f ca="1">VLOOKUP(D3453,$F$1081:$I$4183,4,FALSE)+COUNTIF(E$1081:E3452,E3453)</f>
        <v>#N/A</v>
      </c>
      <c r="K3453" s="1"/>
      <c r="L3453" s="161" t="e">
        <f>IF($C$1078&gt;0,VLOOKUP($C3453,PATRIMONIALE!$AJ$4:$AP$1003,7,FALSE),"")</f>
        <v>#N/A</v>
      </c>
      <c r="M3453" s="1"/>
      <c r="N3453" s="1"/>
      <c r="O3453" s="1"/>
    </row>
    <row r="3454" spans="1:15" hidden="1">
      <c r="A3454" s="1"/>
      <c r="B3454" s="182" t="e">
        <f t="shared" ca="1" si="279"/>
        <v>#N/A</v>
      </c>
      <c r="C3454" s="500">
        <v>388</v>
      </c>
      <c r="D3454" s="41" t="e">
        <f>IF($C$1078&gt;0,VLOOKUP($C3454,PATRIMONIALE!$AJ$4:$AL$1003,3,FALSE),"")</f>
        <v>#N/A</v>
      </c>
      <c r="E3454" s="41" t="str">
        <f t="shared" si="278"/>
        <v/>
      </c>
      <c r="F3454" s="200"/>
      <c r="G3454" s="178" t="e">
        <f>IF($C$1078&gt;0,VLOOKUP($C3454,PATRIMONIALE!$AJ$4:$AN$1003,5,FALSE),"")</f>
        <v>#N/A</v>
      </c>
      <c r="H3454" s="179" t="e">
        <f>IF($C$1078&gt;0,VLOOKUP($C3454,PATRIMONIALE!$AJ$4:$AO$1003,6,FALSE),"")</f>
        <v>#N/A</v>
      </c>
      <c r="I3454" s="187"/>
      <c r="J3454" s="140" t="e">
        <f ca="1">VLOOKUP(D3454,$F$1081:$I$4183,4,FALSE)+COUNTIF(E$1081:E3453,E3454)</f>
        <v>#N/A</v>
      </c>
      <c r="K3454" s="1"/>
      <c r="L3454" s="161" t="e">
        <f>IF($C$1078&gt;0,VLOOKUP($C3454,PATRIMONIALE!$AJ$4:$AP$1003,7,FALSE),"")</f>
        <v>#N/A</v>
      </c>
      <c r="M3454" s="1"/>
      <c r="N3454" s="1"/>
      <c r="O3454" s="1"/>
    </row>
    <row r="3455" spans="1:15" hidden="1">
      <c r="A3455" s="1"/>
      <c r="B3455" s="182" t="e">
        <f t="shared" ca="1" si="279"/>
        <v>#N/A</v>
      </c>
      <c r="C3455" s="500">
        <v>389</v>
      </c>
      <c r="D3455" s="41" t="e">
        <f>IF($C$1078&gt;0,VLOOKUP($C3455,PATRIMONIALE!$AJ$4:$AL$1003,3,FALSE),"")</f>
        <v>#N/A</v>
      </c>
      <c r="E3455" s="41" t="str">
        <f t="shared" si="278"/>
        <v/>
      </c>
      <c r="F3455" s="200"/>
      <c r="G3455" s="178" t="e">
        <f>IF($C$1078&gt;0,VLOOKUP($C3455,PATRIMONIALE!$AJ$4:$AN$1003,5,FALSE),"")</f>
        <v>#N/A</v>
      </c>
      <c r="H3455" s="179" t="e">
        <f>IF($C$1078&gt;0,VLOOKUP($C3455,PATRIMONIALE!$AJ$4:$AO$1003,6,FALSE),"")</f>
        <v>#N/A</v>
      </c>
      <c r="I3455" s="187"/>
      <c r="J3455" s="140" t="e">
        <f ca="1">VLOOKUP(D3455,$F$1081:$I$4183,4,FALSE)+COUNTIF(E$1081:E3454,E3455)</f>
        <v>#N/A</v>
      </c>
      <c r="K3455" s="1"/>
      <c r="L3455" s="161" t="e">
        <f>IF($C$1078&gt;0,VLOOKUP($C3455,PATRIMONIALE!$AJ$4:$AP$1003,7,FALSE),"")</f>
        <v>#N/A</v>
      </c>
      <c r="M3455" s="1"/>
      <c r="N3455" s="1"/>
      <c r="O3455" s="1"/>
    </row>
    <row r="3456" spans="1:15" hidden="1">
      <c r="A3456" s="1"/>
      <c r="B3456" s="182" t="e">
        <f t="shared" ca="1" si="279"/>
        <v>#N/A</v>
      </c>
      <c r="C3456" s="500">
        <v>390</v>
      </c>
      <c r="D3456" s="41" t="e">
        <f>IF($C$1078&gt;0,VLOOKUP($C3456,PATRIMONIALE!$AJ$4:$AL$1003,3,FALSE),"")</f>
        <v>#N/A</v>
      </c>
      <c r="E3456" s="41" t="str">
        <f t="shared" si="278"/>
        <v/>
      </c>
      <c r="F3456" s="200"/>
      <c r="G3456" s="178" t="e">
        <f>IF($C$1078&gt;0,VLOOKUP($C3456,PATRIMONIALE!$AJ$4:$AN$1003,5,FALSE),"")</f>
        <v>#N/A</v>
      </c>
      <c r="H3456" s="179" t="e">
        <f>IF($C$1078&gt;0,VLOOKUP($C3456,PATRIMONIALE!$AJ$4:$AO$1003,6,FALSE),"")</f>
        <v>#N/A</v>
      </c>
      <c r="I3456" s="187"/>
      <c r="J3456" s="140" t="e">
        <f ca="1">VLOOKUP(D3456,$F$1081:$I$4183,4,FALSE)+COUNTIF(E$1081:E3455,E3456)</f>
        <v>#N/A</v>
      </c>
      <c r="K3456" s="1"/>
      <c r="L3456" s="161" t="e">
        <f>IF($C$1078&gt;0,VLOOKUP($C3456,PATRIMONIALE!$AJ$4:$AP$1003,7,FALSE),"")</f>
        <v>#N/A</v>
      </c>
      <c r="M3456" s="1"/>
      <c r="N3456" s="1"/>
      <c r="O3456" s="1"/>
    </row>
    <row r="3457" spans="1:15" hidden="1">
      <c r="A3457" s="1"/>
      <c r="B3457" s="182" t="e">
        <f t="shared" ca="1" si="279"/>
        <v>#N/A</v>
      </c>
      <c r="C3457" s="500">
        <v>391</v>
      </c>
      <c r="D3457" s="41" t="e">
        <f>IF($C$1078&gt;0,VLOOKUP($C3457,PATRIMONIALE!$AJ$4:$AL$1003,3,FALSE),"")</f>
        <v>#N/A</v>
      </c>
      <c r="E3457" s="41" t="str">
        <f t="shared" ref="E3457:E3520" si="280">IF(ISERROR(D3457),"",D3457)</f>
        <v/>
      </c>
      <c r="F3457" s="200"/>
      <c r="G3457" s="178" t="e">
        <f>IF($C$1078&gt;0,VLOOKUP($C3457,PATRIMONIALE!$AJ$4:$AN$1003,5,FALSE),"")</f>
        <v>#N/A</v>
      </c>
      <c r="H3457" s="179" t="e">
        <f>IF($C$1078&gt;0,VLOOKUP($C3457,PATRIMONIALE!$AJ$4:$AO$1003,6,FALSE),"")</f>
        <v>#N/A</v>
      </c>
      <c r="I3457" s="187"/>
      <c r="J3457" s="140" t="e">
        <f ca="1">VLOOKUP(D3457,$F$1081:$I$4183,4,FALSE)+COUNTIF(E$1081:E3456,E3457)</f>
        <v>#N/A</v>
      </c>
      <c r="K3457" s="1"/>
      <c r="L3457" s="161" t="e">
        <f>IF($C$1078&gt;0,VLOOKUP($C3457,PATRIMONIALE!$AJ$4:$AP$1003,7,FALSE),"")</f>
        <v>#N/A</v>
      </c>
      <c r="M3457" s="1"/>
      <c r="N3457" s="1"/>
      <c r="O3457" s="1"/>
    </row>
    <row r="3458" spans="1:15" hidden="1">
      <c r="A3458" s="1"/>
      <c r="B3458" s="182" t="e">
        <f t="shared" ca="1" si="279"/>
        <v>#N/A</v>
      </c>
      <c r="C3458" s="500">
        <v>392</v>
      </c>
      <c r="D3458" s="41" t="e">
        <f>IF($C$1078&gt;0,VLOOKUP($C3458,PATRIMONIALE!$AJ$4:$AL$1003,3,FALSE),"")</f>
        <v>#N/A</v>
      </c>
      <c r="E3458" s="41" t="str">
        <f t="shared" si="280"/>
        <v/>
      </c>
      <c r="F3458" s="200"/>
      <c r="G3458" s="178" t="e">
        <f>IF($C$1078&gt;0,VLOOKUP($C3458,PATRIMONIALE!$AJ$4:$AN$1003,5,FALSE),"")</f>
        <v>#N/A</v>
      </c>
      <c r="H3458" s="179" t="e">
        <f>IF($C$1078&gt;0,VLOOKUP($C3458,PATRIMONIALE!$AJ$4:$AO$1003,6,FALSE),"")</f>
        <v>#N/A</v>
      </c>
      <c r="I3458" s="187"/>
      <c r="J3458" s="140" t="e">
        <f ca="1">VLOOKUP(D3458,$F$1081:$I$4183,4,FALSE)+COUNTIF(E$1081:E3457,E3458)</f>
        <v>#N/A</v>
      </c>
      <c r="K3458" s="1"/>
      <c r="L3458" s="161" t="e">
        <f>IF($C$1078&gt;0,VLOOKUP($C3458,PATRIMONIALE!$AJ$4:$AP$1003,7,FALSE),"")</f>
        <v>#N/A</v>
      </c>
      <c r="M3458" s="1"/>
      <c r="N3458" s="1"/>
      <c r="O3458" s="1"/>
    </row>
    <row r="3459" spans="1:15" hidden="1">
      <c r="A3459" s="1"/>
      <c r="B3459" s="182" t="e">
        <f t="shared" ca="1" si="279"/>
        <v>#N/A</v>
      </c>
      <c r="C3459" s="500">
        <v>393</v>
      </c>
      <c r="D3459" s="41" t="e">
        <f>IF($C$1078&gt;0,VLOOKUP($C3459,PATRIMONIALE!$AJ$4:$AL$1003,3,FALSE),"")</f>
        <v>#N/A</v>
      </c>
      <c r="E3459" s="41" t="str">
        <f t="shared" si="280"/>
        <v/>
      </c>
      <c r="F3459" s="200"/>
      <c r="G3459" s="178" t="e">
        <f>IF($C$1078&gt;0,VLOOKUP($C3459,PATRIMONIALE!$AJ$4:$AN$1003,5,FALSE),"")</f>
        <v>#N/A</v>
      </c>
      <c r="H3459" s="179" t="e">
        <f>IF($C$1078&gt;0,VLOOKUP($C3459,PATRIMONIALE!$AJ$4:$AO$1003,6,FALSE),"")</f>
        <v>#N/A</v>
      </c>
      <c r="I3459" s="187"/>
      <c r="J3459" s="140" t="e">
        <f ca="1">VLOOKUP(D3459,$F$1081:$I$4183,4,FALSE)+COUNTIF(E$1081:E3458,E3459)</f>
        <v>#N/A</v>
      </c>
      <c r="K3459" s="1"/>
      <c r="L3459" s="161" t="e">
        <f>IF($C$1078&gt;0,VLOOKUP($C3459,PATRIMONIALE!$AJ$4:$AP$1003,7,FALSE),"")</f>
        <v>#N/A</v>
      </c>
      <c r="M3459" s="1"/>
      <c r="N3459" s="1"/>
      <c r="O3459" s="1"/>
    </row>
    <row r="3460" spans="1:15" hidden="1">
      <c r="A3460" s="1"/>
      <c r="B3460" s="182" t="e">
        <f t="shared" ca="1" si="279"/>
        <v>#N/A</v>
      </c>
      <c r="C3460" s="500">
        <v>394</v>
      </c>
      <c r="D3460" s="41" t="e">
        <f>IF($C$1078&gt;0,VLOOKUP($C3460,PATRIMONIALE!$AJ$4:$AL$1003,3,FALSE),"")</f>
        <v>#N/A</v>
      </c>
      <c r="E3460" s="41" t="str">
        <f t="shared" si="280"/>
        <v/>
      </c>
      <c r="F3460" s="200"/>
      <c r="G3460" s="178" t="e">
        <f>IF($C$1078&gt;0,VLOOKUP($C3460,PATRIMONIALE!$AJ$4:$AN$1003,5,FALSE),"")</f>
        <v>#N/A</v>
      </c>
      <c r="H3460" s="179" t="e">
        <f>IF($C$1078&gt;0,VLOOKUP($C3460,PATRIMONIALE!$AJ$4:$AO$1003,6,FALSE),"")</f>
        <v>#N/A</v>
      </c>
      <c r="I3460" s="187"/>
      <c r="J3460" s="140" t="e">
        <f ca="1">VLOOKUP(D3460,$F$1081:$I$4183,4,FALSE)+COUNTIF(E$1081:E3459,E3460)</f>
        <v>#N/A</v>
      </c>
      <c r="K3460" s="1"/>
      <c r="L3460" s="161" t="e">
        <f>IF($C$1078&gt;0,VLOOKUP($C3460,PATRIMONIALE!$AJ$4:$AP$1003,7,FALSE),"")</f>
        <v>#N/A</v>
      </c>
      <c r="M3460" s="1"/>
      <c r="N3460" s="1"/>
      <c r="O3460" s="1"/>
    </row>
    <row r="3461" spans="1:15" hidden="1">
      <c r="A3461" s="1"/>
      <c r="B3461" s="182" t="e">
        <f t="shared" ca="1" si="279"/>
        <v>#N/A</v>
      </c>
      <c r="C3461" s="500">
        <v>395</v>
      </c>
      <c r="D3461" s="41" t="e">
        <f>IF($C$1078&gt;0,VLOOKUP($C3461,PATRIMONIALE!$AJ$4:$AL$1003,3,FALSE),"")</f>
        <v>#N/A</v>
      </c>
      <c r="E3461" s="41" t="str">
        <f t="shared" si="280"/>
        <v/>
      </c>
      <c r="F3461" s="200"/>
      <c r="G3461" s="178" t="e">
        <f>IF($C$1078&gt;0,VLOOKUP($C3461,PATRIMONIALE!$AJ$4:$AN$1003,5,FALSE),"")</f>
        <v>#N/A</v>
      </c>
      <c r="H3461" s="179" t="e">
        <f>IF($C$1078&gt;0,VLOOKUP($C3461,PATRIMONIALE!$AJ$4:$AO$1003,6,FALSE),"")</f>
        <v>#N/A</v>
      </c>
      <c r="I3461" s="187"/>
      <c r="J3461" s="140" t="e">
        <f ca="1">VLOOKUP(D3461,$F$1081:$I$4183,4,FALSE)+COUNTIF(E$1081:E3460,E3461)</f>
        <v>#N/A</v>
      </c>
      <c r="K3461" s="1"/>
      <c r="L3461" s="161" t="e">
        <f>IF($C$1078&gt;0,VLOOKUP($C3461,PATRIMONIALE!$AJ$4:$AP$1003,7,FALSE),"")</f>
        <v>#N/A</v>
      </c>
      <c r="M3461" s="1"/>
      <c r="N3461" s="1"/>
      <c r="O3461" s="1"/>
    </row>
    <row r="3462" spans="1:15" hidden="1">
      <c r="A3462" s="1"/>
      <c r="B3462" s="182" t="e">
        <f t="shared" ca="1" si="279"/>
        <v>#N/A</v>
      </c>
      <c r="C3462" s="500">
        <v>396</v>
      </c>
      <c r="D3462" s="41" t="e">
        <f>IF($C$1078&gt;0,VLOOKUP($C3462,PATRIMONIALE!$AJ$4:$AL$1003,3,FALSE),"")</f>
        <v>#N/A</v>
      </c>
      <c r="E3462" s="41" t="str">
        <f t="shared" si="280"/>
        <v/>
      </c>
      <c r="F3462" s="200"/>
      <c r="G3462" s="178" t="e">
        <f>IF($C$1078&gt;0,VLOOKUP($C3462,PATRIMONIALE!$AJ$4:$AN$1003,5,FALSE),"")</f>
        <v>#N/A</v>
      </c>
      <c r="H3462" s="179" t="e">
        <f>IF($C$1078&gt;0,VLOOKUP($C3462,PATRIMONIALE!$AJ$4:$AO$1003,6,FALSE),"")</f>
        <v>#N/A</v>
      </c>
      <c r="I3462" s="187"/>
      <c r="J3462" s="140" t="e">
        <f ca="1">VLOOKUP(D3462,$F$1081:$I$4183,4,FALSE)+COUNTIF(E$1081:E3461,E3462)</f>
        <v>#N/A</v>
      </c>
      <c r="K3462" s="1"/>
      <c r="L3462" s="161" t="e">
        <f>IF($C$1078&gt;0,VLOOKUP($C3462,PATRIMONIALE!$AJ$4:$AP$1003,7,FALSE),"")</f>
        <v>#N/A</v>
      </c>
      <c r="M3462" s="1"/>
      <c r="N3462" s="1"/>
      <c r="O3462" s="1"/>
    </row>
    <row r="3463" spans="1:15" hidden="1">
      <c r="A3463" s="1"/>
      <c r="B3463" s="182" t="e">
        <f t="shared" ca="1" si="279"/>
        <v>#N/A</v>
      </c>
      <c r="C3463" s="500">
        <v>397</v>
      </c>
      <c r="D3463" s="41" t="e">
        <f>IF($C$1078&gt;0,VLOOKUP($C3463,PATRIMONIALE!$AJ$4:$AL$1003,3,FALSE),"")</f>
        <v>#N/A</v>
      </c>
      <c r="E3463" s="41" t="str">
        <f t="shared" si="280"/>
        <v/>
      </c>
      <c r="F3463" s="200"/>
      <c r="G3463" s="178" t="e">
        <f>IF($C$1078&gt;0,VLOOKUP($C3463,PATRIMONIALE!$AJ$4:$AN$1003,5,FALSE),"")</f>
        <v>#N/A</v>
      </c>
      <c r="H3463" s="179" t="e">
        <f>IF($C$1078&gt;0,VLOOKUP($C3463,PATRIMONIALE!$AJ$4:$AO$1003,6,FALSE),"")</f>
        <v>#N/A</v>
      </c>
      <c r="I3463" s="187"/>
      <c r="J3463" s="140" t="e">
        <f ca="1">VLOOKUP(D3463,$F$1081:$I$4183,4,FALSE)+COUNTIF(E$1081:E3462,E3463)</f>
        <v>#N/A</v>
      </c>
      <c r="K3463" s="1"/>
      <c r="L3463" s="161" t="e">
        <f>IF($C$1078&gt;0,VLOOKUP($C3463,PATRIMONIALE!$AJ$4:$AP$1003,7,FALSE),"")</f>
        <v>#N/A</v>
      </c>
      <c r="M3463" s="1"/>
      <c r="N3463" s="1"/>
      <c r="O3463" s="1"/>
    </row>
    <row r="3464" spans="1:15" hidden="1">
      <c r="A3464" s="1"/>
      <c r="B3464" s="182" t="e">
        <f t="shared" ca="1" si="279"/>
        <v>#N/A</v>
      </c>
      <c r="C3464" s="500">
        <v>398</v>
      </c>
      <c r="D3464" s="41" t="e">
        <f>IF($C$1078&gt;0,VLOOKUP($C3464,PATRIMONIALE!$AJ$4:$AL$1003,3,FALSE),"")</f>
        <v>#N/A</v>
      </c>
      <c r="E3464" s="41" t="str">
        <f t="shared" si="280"/>
        <v/>
      </c>
      <c r="F3464" s="200"/>
      <c r="G3464" s="178" t="e">
        <f>IF($C$1078&gt;0,VLOOKUP($C3464,PATRIMONIALE!$AJ$4:$AN$1003,5,FALSE),"")</f>
        <v>#N/A</v>
      </c>
      <c r="H3464" s="179" t="e">
        <f>IF($C$1078&gt;0,VLOOKUP($C3464,PATRIMONIALE!$AJ$4:$AO$1003,6,FALSE),"")</f>
        <v>#N/A</v>
      </c>
      <c r="I3464" s="187"/>
      <c r="J3464" s="140" t="e">
        <f ca="1">VLOOKUP(D3464,$F$1081:$I$4183,4,FALSE)+COUNTIF(E$1081:E3463,E3464)</f>
        <v>#N/A</v>
      </c>
      <c r="K3464" s="1"/>
      <c r="L3464" s="161" t="e">
        <f>IF($C$1078&gt;0,VLOOKUP($C3464,PATRIMONIALE!$AJ$4:$AP$1003,7,FALSE),"")</f>
        <v>#N/A</v>
      </c>
      <c r="M3464" s="1"/>
      <c r="N3464" s="1"/>
      <c r="O3464" s="1"/>
    </row>
    <row r="3465" spans="1:15" hidden="1">
      <c r="A3465" s="1"/>
      <c r="B3465" s="182" t="e">
        <f t="shared" ca="1" si="279"/>
        <v>#N/A</v>
      </c>
      <c r="C3465" s="500">
        <v>399</v>
      </c>
      <c r="D3465" s="41" t="e">
        <f>IF($C$1078&gt;0,VLOOKUP($C3465,PATRIMONIALE!$AJ$4:$AL$1003,3,FALSE),"")</f>
        <v>#N/A</v>
      </c>
      <c r="E3465" s="41" t="str">
        <f t="shared" si="280"/>
        <v/>
      </c>
      <c r="F3465" s="200"/>
      <c r="G3465" s="178" t="e">
        <f>IF($C$1078&gt;0,VLOOKUP($C3465,PATRIMONIALE!$AJ$4:$AN$1003,5,FALSE),"")</f>
        <v>#N/A</v>
      </c>
      <c r="H3465" s="179" t="e">
        <f>IF($C$1078&gt;0,VLOOKUP($C3465,PATRIMONIALE!$AJ$4:$AO$1003,6,FALSE),"")</f>
        <v>#N/A</v>
      </c>
      <c r="I3465" s="187"/>
      <c r="J3465" s="140" t="e">
        <f ca="1">VLOOKUP(D3465,$F$1081:$I$4183,4,FALSE)+COUNTIF(E$1081:E3464,E3465)</f>
        <v>#N/A</v>
      </c>
      <c r="K3465" s="1"/>
      <c r="L3465" s="161" t="e">
        <f>IF($C$1078&gt;0,VLOOKUP($C3465,PATRIMONIALE!$AJ$4:$AP$1003,7,FALSE),"")</f>
        <v>#N/A</v>
      </c>
      <c r="M3465" s="1"/>
      <c r="N3465" s="1"/>
      <c r="O3465" s="1"/>
    </row>
    <row r="3466" spans="1:15" hidden="1">
      <c r="A3466" s="1"/>
      <c r="B3466" s="182" t="e">
        <f t="shared" ca="1" si="279"/>
        <v>#N/A</v>
      </c>
      <c r="C3466" s="500">
        <v>400</v>
      </c>
      <c r="D3466" s="41" t="e">
        <f>IF($C$1078&gt;0,VLOOKUP($C3466,PATRIMONIALE!$AJ$4:$AL$1003,3,FALSE),"")</f>
        <v>#N/A</v>
      </c>
      <c r="E3466" s="41" t="str">
        <f t="shared" si="280"/>
        <v/>
      </c>
      <c r="F3466" s="200"/>
      <c r="G3466" s="178" t="e">
        <f>IF($C$1078&gt;0,VLOOKUP($C3466,PATRIMONIALE!$AJ$4:$AN$1003,5,FALSE),"")</f>
        <v>#N/A</v>
      </c>
      <c r="H3466" s="179" t="e">
        <f>IF($C$1078&gt;0,VLOOKUP($C3466,PATRIMONIALE!$AJ$4:$AO$1003,6,FALSE),"")</f>
        <v>#N/A</v>
      </c>
      <c r="I3466" s="187"/>
      <c r="J3466" s="140" t="e">
        <f ca="1">VLOOKUP(D3466,$F$1081:$I$4183,4,FALSE)+COUNTIF(E$1081:E3465,E3466)</f>
        <v>#N/A</v>
      </c>
      <c r="K3466" s="1"/>
      <c r="L3466" s="161" t="e">
        <f>IF($C$1078&gt;0,VLOOKUP($C3466,PATRIMONIALE!$AJ$4:$AP$1003,7,FALSE),"")</f>
        <v>#N/A</v>
      </c>
      <c r="M3466" s="1"/>
      <c r="N3466" s="1"/>
      <c r="O3466" s="1"/>
    </row>
    <row r="3467" spans="1:15" hidden="1">
      <c r="A3467" s="1"/>
      <c r="B3467" s="182" t="e">
        <f t="shared" ca="1" si="279"/>
        <v>#N/A</v>
      </c>
      <c r="C3467" s="500">
        <v>401</v>
      </c>
      <c r="D3467" s="41" t="e">
        <f>IF($C$1078&gt;0,VLOOKUP($C3467,PATRIMONIALE!$AJ$4:$AL$1003,3,FALSE),"")</f>
        <v>#N/A</v>
      </c>
      <c r="E3467" s="41" t="str">
        <f t="shared" si="280"/>
        <v/>
      </c>
      <c r="F3467" s="200"/>
      <c r="G3467" s="178" t="e">
        <f>IF($C$1078&gt;0,VLOOKUP($C3467,PATRIMONIALE!$AJ$4:$AN$1003,5,FALSE),"")</f>
        <v>#N/A</v>
      </c>
      <c r="H3467" s="179" t="e">
        <f>IF($C$1078&gt;0,VLOOKUP($C3467,PATRIMONIALE!$AJ$4:$AO$1003,6,FALSE),"")</f>
        <v>#N/A</v>
      </c>
      <c r="I3467" s="187"/>
      <c r="J3467" s="140" t="e">
        <f ca="1">VLOOKUP(D3467,$F$1081:$I$4183,4,FALSE)+COUNTIF(E$1081:E3466,E3467)</f>
        <v>#N/A</v>
      </c>
      <c r="K3467" s="1"/>
      <c r="L3467" s="161" t="e">
        <f>IF($C$1078&gt;0,VLOOKUP($C3467,PATRIMONIALE!$AJ$4:$AP$1003,7,FALSE),"")</f>
        <v>#N/A</v>
      </c>
      <c r="M3467" s="1"/>
      <c r="N3467" s="1"/>
      <c r="O3467" s="1"/>
    </row>
    <row r="3468" spans="1:15" hidden="1">
      <c r="A3468" s="1"/>
      <c r="B3468" s="182" t="e">
        <f t="shared" ca="1" si="279"/>
        <v>#N/A</v>
      </c>
      <c r="C3468" s="500">
        <v>402</v>
      </c>
      <c r="D3468" s="41" t="e">
        <f>IF($C$1078&gt;0,VLOOKUP($C3468,PATRIMONIALE!$AJ$4:$AL$1003,3,FALSE),"")</f>
        <v>#N/A</v>
      </c>
      <c r="E3468" s="41" t="str">
        <f t="shared" si="280"/>
        <v/>
      </c>
      <c r="F3468" s="200"/>
      <c r="G3468" s="178" t="e">
        <f>IF($C$1078&gt;0,VLOOKUP($C3468,PATRIMONIALE!$AJ$4:$AN$1003,5,FALSE),"")</f>
        <v>#N/A</v>
      </c>
      <c r="H3468" s="179" t="e">
        <f>IF($C$1078&gt;0,VLOOKUP($C3468,PATRIMONIALE!$AJ$4:$AO$1003,6,FALSE),"")</f>
        <v>#N/A</v>
      </c>
      <c r="I3468" s="187"/>
      <c r="J3468" s="140" t="e">
        <f ca="1">VLOOKUP(D3468,$F$1081:$I$4183,4,FALSE)+COUNTIF(E$1081:E3467,E3468)</f>
        <v>#N/A</v>
      </c>
      <c r="K3468" s="1"/>
      <c r="L3468" s="161" t="e">
        <f>IF($C$1078&gt;0,VLOOKUP($C3468,PATRIMONIALE!$AJ$4:$AP$1003,7,FALSE),"")</f>
        <v>#N/A</v>
      </c>
      <c r="M3468" s="1"/>
      <c r="N3468" s="1"/>
      <c r="O3468" s="1"/>
    </row>
    <row r="3469" spans="1:15" hidden="1">
      <c r="A3469" s="1"/>
      <c r="B3469" s="182" t="e">
        <f t="shared" ca="1" si="279"/>
        <v>#N/A</v>
      </c>
      <c r="C3469" s="500">
        <v>403</v>
      </c>
      <c r="D3469" s="41" t="e">
        <f>IF($C$1078&gt;0,VLOOKUP($C3469,PATRIMONIALE!$AJ$4:$AL$1003,3,FALSE),"")</f>
        <v>#N/A</v>
      </c>
      <c r="E3469" s="41" t="str">
        <f t="shared" si="280"/>
        <v/>
      </c>
      <c r="F3469" s="200"/>
      <c r="G3469" s="178" t="e">
        <f>IF($C$1078&gt;0,VLOOKUP($C3469,PATRIMONIALE!$AJ$4:$AN$1003,5,FALSE),"")</f>
        <v>#N/A</v>
      </c>
      <c r="H3469" s="179" t="e">
        <f>IF($C$1078&gt;0,VLOOKUP($C3469,PATRIMONIALE!$AJ$4:$AO$1003,6,FALSE),"")</f>
        <v>#N/A</v>
      </c>
      <c r="I3469" s="187"/>
      <c r="J3469" s="140" t="e">
        <f ca="1">VLOOKUP(D3469,$F$1081:$I$4183,4,FALSE)+COUNTIF(E$1081:E3468,E3469)</f>
        <v>#N/A</v>
      </c>
      <c r="K3469" s="1"/>
      <c r="L3469" s="161" t="e">
        <f>IF($C$1078&gt;0,VLOOKUP($C3469,PATRIMONIALE!$AJ$4:$AP$1003,7,FALSE),"")</f>
        <v>#N/A</v>
      </c>
      <c r="M3469" s="1"/>
      <c r="N3469" s="1"/>
      <c r="O3469" s="1"/>
    </row>
    <row r="3470" spans="1:15" hidden="1">
      <c r="A3470" s="1"/>
      <c r="B3470" s="182" t="e">
        <f t="shared" ca="1" si="279"/>
        <v>#N/A</v>
      </c>
      <c r="C3470" s="500">
        <v>404</v>
      </c>
      <c r="D3470" s="41" t="e">
        <f>IF($C$1078&gt;0,VLOOKUP($C3470,PATRIMONIALE!$AJ$4:$AL$1003,3,FALSE),"")</f>
        <v>#N/A</v>
      </c>
      <c r="E3470" s="41" t="str">
        <f t="shared" si="280"/>
        <v/>
      </c>
      <c r="F3470" s="200"/>
      <c r="G3470" s="178" t="e">
        <f>IF($C$1078&gt;0,VLOOKUP($C3470,PATRIMONIALE!$AJ$4:$AN$1003,5,FALSE),"")</f>
        <v>#N/A</v>
      </c>
      <c r="H3470" s="179" t="e">
        <f>IF($C$1078&gt;0,VLOOKUP($C3470,PATRIMONIALE!$AJ$4:$AO$1003,6,FALSE),"")</f>
        <v>#N/A</v>
      </c>
      <c r="I3470" s="187"/>
      <c r="J3470" s="140" t="e">
        <f ca="1">VLOOKUP(D3470,$F$1081:$I$4183,4,FALSE)+COUNTIF(E$1081:E3469,E3470)</f>
        <v>#N/A</v>
      </c>
      <c r="K3470" s="1"/>
      <c r="L3470" s="161" t="e">
        <f>IF($C$1078&gt;0,VLOOKUP($C3470,PATRIMONIALE!$AJ$4:$AP$1003,7,FALSE),"")</f>
        <v>#N/A</v>
      </c>
      <c r="M3470" s="1"/>
      <c r="N3470" s="1"/>
      <c r="O3470" s="1"/>
    </row>
    <row r="3471" spans="1:15" hidden="1">
      <c r="A3471" s="1"/>
      <c r="B3471" s="182" t="e">
        <f t="shared" ca="1" si="279"/>
        <v>#N/A</v>
      </c>
      <c r="C3471" s="500">
        <v>405</v>
      </c>
      <c r="D3471" s="41" t="e">
        <f>IF($C$1078&gt;0,VLOOKUP($C3471,PATRIMONIALE!$AJ$4:$AL$1003,3,FALSE),"")</f>
        <v>#N/A</v>
      </c>
      <c r="E3471" s="41" t="str">
        <f t="shared" si="280"/>
        <v/>
      </c>
      <c r="F3471" s="200"/>
      <c r="G3471" s="178" t="e">
        <f>IF($C$1078&gt;0,VLOOKUP($C3471,PATRIMONIALE!$AJ$4:$AN$1003,5,FALSE),"")</f>
        <v>#N/A</v>
      </c>
      <c r="H3471" s="179" t="e">
        <f>IF($C$1078&gt;0,VLOOKUP($C3471,PATRIMONIALE!$AJ$4:$AO$1003,6,FALSE),"")</f>
        <v>#N/A</v>
      </c>
      <c r="I3471" s="187"/>
      <c r="J3471" s="140" t="e">
        <f ca="1">VLOOKUP(D3471,$F$1081:$I$4183,4,FALSE)+COUNTIF(E$1081:E3470,E3471)</f>
        <v>#N/A</v>
      </c>
      <c r="K3471" s="1"/>
      <c r="L3471" s="161" t="e">
        <f>IF($C$1078&gt;0,VLOOKUP($C3471,PATRIMONIALE!$AJ$4:$AP$1003,7,FALSE),"")</f>
        <v>#N/A</v>
      </c>
      <c r="M3471" s="1"/>
      <c r="N3471" s="1"/>
      <c r="O3471" s="1"/>
    </row>
    <row r="3472" spans="1:15" hidden="1">
      <c r="A3472" s="1"/>
      <c r="B3472" s="182" t="e">
        <f t="shared" ca="1" si="279"/>
        <v>#N/A</v>
      </c>
      <c r="C3472" s="500">
        <v>406</v>
      </c>
      <c r="D3472" s="41" t="e">
        <f>IF($C$1078&gt;0,VLOOKUP($C3472,PATRIMONIALE!$AJ$4:$AL$1003,3,FALSE),"")</f>
        <v>#N/A</v>
      </c>
      <c r="E3472" s="41" t="str">
        <f t="shared" si="280"/>
        <v/>
      </c>
      <c r="F3472" s="200"/>
      <c r="G3472" s="178" t="e">
        <f>IF($C$1078&gt;0,VLOOKUP($C3472,PATRIMONIALE!$AJ$4:$AN$1003,5,FALSE),"")</f>
        <v>#N/A</v>
      </c>
      <c r="H3472" s="179" t="e">
        <f>IF($C$1078&gt;0,VLOOKUP($C3472,PATRIMONIALE!$AJ$4:$AO$1003,6,FALSE),"")</f>
        <v>#N/A</v>
      </c>
      <c r="I3472" s="187"/>
      <c r="J3472" s="140" t="e">
        <f ca="1">VLOOKUP(D3472,$F$1081:$I$4183,4,FALSE)+COUNTIF(E$1081:E3471,E3472)</f>
        <v>#N/A</v>
      </c>
      <c r="K3472" s="1"/>
      <c r="L3472" s="161" t="e">
        <f>IF($C$1078&gt;0,VLOOKUP($C3472,PATRIMONIALE!$AJ$4:$AP$1003,7,FALSE),"")</f>
        <v>#N/A</v>
      </c>
      <c r="M3472" s="1"/>
      <c r="N3472" s="1"/>
      <c r="O3472" s="1"/>
    </row>
    <row r="3473" spans="1:15" hidden="1">
      <c r="A3473" s="1"/>
      <c r="B3473" s="182" t="e">
        <f t="shared" ca="1" si="279"/>
        <v>#N/A</v>
      </c>
      <c r="C3473" s="500">
        <v>407</v>
      </c>
      <c r="D3473" s="41" t="e">
        <f>IF($C$1078&gt;0,VLOOKUP($C3473,PATRIMONIALE!$AJ$4:$AL$1003,3,FALSE),"")</f>
        <v>#N/A</v>
      </c>
      <c r="E3473" s="41" t="str">
        <f t="shared" si="280"/>
        <v/>
      </c>
      <c r="F3473" s="200"/>
      <c r="G3473" s="178" t="e">
        <f>IF($C$1078&gt;0,VLOOKUP($C3473,PATRIMONIALE!$AJ$4:$AN$1003,5,FALSE),"")</f>
        <v>#N/A</v>
      </c>
      <c r="H3473" s="179" t="e">
        <f>IF($C$1078&gt;0,VLOOKUP($C3473,PATRIMONIALE!$AJ$4:$AO$1003,6,FALSE),"")</f>
        <v>#N/A</v>
      </c>
      <c r="I3473" s="187"/>
      <c r="J3473" s="140" t="e">
        <f ca="1">VLOOKUP(D3473,$F$1081:$I$4183,4,FALSE)+COUNTIF(E$1081:E3472,E3473)</f>
        <v>#N/A</v>
      </c>
      <c r="K3473" s="1"/>
      <c r="L3473" s="161" t="e">
        <f>IF($C$1078&gt;0,VLOOKUP($C3473,PATRIMONIALE!$AJ$4:$AP$1003,7,FALSE),"")</f>
        <v>#N/A</v>
      </c>
      <c r="M3473" s="1"/>
      <c r="N3473" s="1"/>
      <c r="O3473" s="1"/>
    </row>
    <row r="3474" spans="1:15" hidden="1">
      <c r="A3474" s="1"/>
      <c r="B3474" s="182" t="e">
        <f t="shared" ca="1" si="279"/>
        <v>#N/A</v>
      </c>
      <c r="C3474" s="500">
        <v>408</v>
      </c>
      <c r="D3474" s="41" t="e">
        <f>IF($C$1078&gt;0,VLOOKUP($C3474,PATRIMONIALE!$AJ$4:$AL$1003,3,FALSE),"")</f>
        <v>#N/A</v>
      </c>
      <c r="E3474" s="41" t="str">
        <f t="shared" si="280"/>
        <v/>
      </c>
      <c r="F3474" s="200"/>
      <c r="G3474" s="178" t="e">
        <f>IF($C$1078&gt;0,VLOOKUP($C3474,PATRIMONIALE!$AJ$4:$AN$1003,5,FALSE),"")</f>
        <v>#N/A</v>
      </c>
      <c r="H3474" s="179" t="e">
        <f>IF($C$1078&gt;0,VLOOKUP($C3474,PATRIMONIALE!$AJ$4:$AO$1003,6,FALSE),"")</f>
        <v>#N/A</v>
      </c>
      <c r="I3474" s="187"/>
      <c r="J3474" s="140" t="e">
        <f ca="1">VLOOKUP(D3474,$F$1081:$I$4183,4,FALSE)+COUNTIF(E$1081:E3473,E3474)</f>
        <v>#N/A</v>
      </c>
      <c r="K3474" s="1"/>
      <c r="L3474" s="161" t="e">
        <f>IF($C$1078&gt;0,VLOOKUP($C3474,PATRIMONIALE!$AJ$4:$AP$1003,7,FALSE),"")</f>
        <v>#N/A</v>
      </c>
      <c r="M3474" s="1"/>
      <c r="N3474" s="1"/>
      <c r="O3474" s="1"/>
    </row>
    <row r="3475" spans="1:15" hidden="1">
      <c r="A3475" s="1"/>
      <c r="B3475" s="182" t="e">
        <f t="shared" ca="1" si="279"/>
        <v>#N/A</v>
      </c>
      <c r="C3475" s="500">
        <v>409</v>
      </c>
      <c r="D3475" s="41" t="e">
        <f>IF($C$1078&gt;0,VLOOKUP($C3475,PATRIMONIALE!$AJ$4:$AL$1003,3,FALSE),"")</f>
        <v>#N/A</v>
      </c>
      <c r="E3475" s="41" t="str">
        <f t="shared" si="280"/>
        <v/>
      </c>
      <c r="F3475" s="200"/>
      <c r="G3475" s="178" t="e">
        <f>IF($C$1078&gt;0,VLOOKUP($C3475,PATRIMONIALE!$AJ$4:$AN$1003,5,FALSE),"")</f>
        <v>#N/A</v>
      </c>
      <c r="H3475" s="179" t="e">
        <f>IF($C$1078&gt;0,VLOOKUP($C3475,PATRIMONIALE!$AJ$4:$AO$1003,6,FALSE),"")</f>
        <v>#N/A</v>
      </c>
      <c r="I3475" s="187"/>
      <c r="J3475" s="140" t="e">
        <f ca="1">VLOOKUP(D3475,$F$1081:$I$4183,4,FALSE)+COUNTIF(E$1081:E3474,E3475)</f>
        <v>#N/A</v>
      </c>
      <c r="K3475" s="1"/>
      <c r="L3475" s="161" t="e">
        <f>IF($C$1078&gt;0,VLOOKUP($C3475,PATRIMONIALE!$AJ$4:$AP$1003,7,FALSE),"")</f>
        <v>#N/A</v>
      </c>
      <c r="M3475" s="1"/>
      <c r="N3475" s="1"/>
      <c r="O3475" s="1"/>
    </row>
    <row r="3476" spans="1:15" hidden="1">
      <c r="A3476" s="1"/>
      <c r="B3476" s="182" t="e">
        <f t="shared" ca="1" si="279"/>
        <v>#N/A</v>
      </c>
      <c r="C3476" s="500">
        <v>410</v>
      </c>
      <c r="D3476" s="41" t="e">
        <f>IF($C$1078&gt;0,VLOOKUP($C3476,PATRIMONIALE!$AJ$4:$AL$1003,3,FALSE),"")</f>
        <v>#N/A</v>
      </c>
      <c r="E3476" s="41" t="str">
        <f t="shared" si="280"/>
        <v/>
      </c>
      <c r="F3476" s="200"/>
      <c r="G3476" s="178" t="e">
        <f>IF($C$1078&gt;0,VLOOKUP($C3476,PATRIMONIALE!$AJ$4:$AN$1003,5,FALSE),"")</f>
        <v>#N/A</v>
      </c>
      <c r="H3476" s="179" t="e">
        <f>IF($C$1078&gt;0,VLOOKUP($C3476,PATRIMONIALE!$AJ$4:$AO$1003,6,FALSE),"")</f>
        <v>#N/A</v>
      </c>
      <c r="I3476" s="187"/>
      <c r="J3476" s="140" t="e">
        <f ca="1">VLOOKUP(D3476,$F$1081:$I$4183,4,FALSE)+COUNTIF(E$1081:E3475,E3476)</f>
        <v>#N/A</v>
      </c>
      <c r="K3476" s="1"/>
      <c r="L3476" s="161" t="e">
        <f>IF($C$1078&gt;0,VLOOKUP($C3476,PATRIMONIALE!$AJ$4:$AP$1003,7,FALSE),"")</f>
        <v>#N/A</v>
      </c>
      <c r="M3476" s="1"/>
      <c r="N3476" s="1"/>
      <c r="O3476" s="1"/>
    </row>
    <row r="3477" spans="1:15" hidden="1">
      <c r="A3477" s="1"/>
      <c r="B3477" s="182" t="e">
        <f t="shared" ca="1" si="279"/>
        <v>#N/A</v>
      </c>
      <c r="C3477" s="500">
        <v>411</v>
      </c>
      <c r="D3477" s="41" t="e">
        <f>IF($C$1078&gt;0,VLOOKUP($C3477,PATRIMONIALE!$AJ$4:$AL$1003,3,FALSE),"")</f>
        <v>#N/A</v>
      </c>
      <c r="E3477" s="41" t="str">
        <f t="shared" si="280"/>
        <v/>
      </c>
      <c r="F3477" s="200"/>
      <c r="G3477" s="178" t="e">
        <f>IF($C$1078&gt;0,VLOOKUP($C3477,PATRIMONIALE!$AJ$4:$AN$1003,5,FALSE),"")</f>
        <v>#N/A</v>
      </c>
      <c r="H3477" s="179" t="e">
        <f>IF($C$1078&gt;0,VLOOKUP($C3477,PATRIMONIALE!$AJ$4:$AO$1003,6,FALSE),"")</f>
        <v>#N/A</v>
      </c>
      <c r="I3477" s="187"/>
      <c r="J3477" s="140" t="e">
        <f ca="1">VLOOKUP(D3477,$F$1081:$I$4183,4,FALSE)+COUNTIF(E$1081:E3476,E3477)</f>
        <v>#N/A</v>
      </c>
      <c r="K3477" s="1"/>
      <c r="L3477" s="161" t="e">
        <f>IF($C$1078&gt;0,VLOOKUP($C3477,PATRIMONIALE!$AJ$4:$AP$1003,7,FALSE),"")</f>
        <v>#N/A</v>
      </c>
      <c r="M3477" s="1"/>
      <c r="N3477" s="1"/>
      <c r="O3477" s="1"/>
    </row>
    <row r="3478" spans="1:15" hidden="1">
      <c r="A3478" s="1"/>
      <c r="B3478" s="182" t="e">
        <f t="shared" ca="1" si="279"/>
        <v>#N/A</v>
      </c>
      <c r="C3478" s="500">
        <v>412</v>
      </c>
      <c r="D3478" s="41" t="e">
        <f>IF($C$1078&gt;0,VLOOKUP($C3478,PATRIMONIALE!$AJ$4:$AL$1003,3,FALSE),"")</f>
        <v>#N/A</v>
      </c>
      <c r="E3478" s="41" t="str">
        <f t="shared" si="280"/>
        <v/>
      </c>
      <c r="F3478" s="200"/>
      <c r="G3478" s="178" t="e">
        <f>IF($C$1078&gt;0,VLOOKUP($C3478,PATRIMONIALE!$AJ$4:$AN$1003,5,FALSE),"")</f>
        <v>#N/A</v>
      </c>
      <c r="H3478" s="179" t="e">
        <f>IF($C$1078&gt;0,VLOOKUP($C3478,PATRIMONIALE!$AJ$4:$AO$1003,6,FALSE),"")</f>
        <v>#N/A</v>
      </c>
      <c r="I3478" s="187"/>
      <c r="J3478" s="140" t="e">
        <f ca="1">VLOOKUP(D3478,$F$1081:$I$4183,4,FALSE)+COUNTIF(E$1081:E3477,E3478)</f>
        <v>#N/A</v>
      </c>
      <c r="K3478" s="1"/>
      <c r="L3478" s="161" t="e">
        <f>IF($C$1078&gt;0,VLOOKUP($C3478,PATRIMONIALE!$AJ$4:$AP$1003,7,FALSE),"")</f>
        <v>#N/A</v>
      </c>
      <c r="M3478" s="1"/>
      <c r="N3478" s="1"/>
      <c r="O3478" s="1"/>
    </row>
    <row r="3479" spans="1:15" hidden="1">
      <c r="A3479" s="1"/>
      <c r="B3479" s="182" t="e">
        <f t="shared" ca="1" si="279"/>
        <v>#N/A</v>
      </c>
      <c r="C3479" s="500">
        <v>413</v>
      </c>
      <c r="D3479" s="41" t="e">
        <f>IF($C$1078&gt;0,VLOOKUP($C3479,PATRIMONIALE!$AJ$4:$AL$1003,3,FALSE),"")</f>
        <v>#N/A</v>
      </c>
      <c r="E3479" s="41" t="str">
        <f t="shared" si="280"/>
        <v/>
      </c>
      <c r="F3479" s="200"/>
      <c r="G3479" s="178" t="e">
        <f>IF($C$1078&gt;0,VLOOKUP($C3479,PATRIMONIALE!$AJ$4:$AN$1003,5,FALSE),"")</f>
        <v>#N/A</v>
      </c>
      <c r="H3479" s="179" t="e">
        <f>IF($C$1078&gt;0,VLOOKUP($C3479,PATRIMONIALE!$AJ$4:$AO$1003,6,FALSE),"")</f>
        <v>#N/A</v>
      </c>
      <c r="I3479" s="187"/>
      <c r="J3479" s="140" t="e">
        <f ca="1">VLOOKUP(D3479,$F$1081:$I$4183,4,FALSE)+COUNTIF(E$1081:E3478,E3479)</f>
        <v>#N/A</v>
      </c>
      <c r="K3479" s="1"/>
      <c r="L3479" s="161" t="e">
        <f>IF($C$1078&gt;0,VLOOKUP($C3479,PATRIMONIALE!$AJ$4:$AP$1003,7,FALSE),"")</f>
        <v>#N/A</v>
      </c>
      <c r="M3479" s="1"/>
      <c r="N3479" s="1"/>
      <c r="O3479" s="1"/>
    </row>
    <row r="3480" spans="1:15" hidden="1">
      <c r="A3480" s="1"/>
      <c r="B3480" s="182" t="e">
        <f t="shared" ca="1" si="279"/>
        <v>#N/A</v>
      </c>
      <c r="C3480" s="500">
        <v>414</v>
      </c>
      <c r="D3480" s="41" t="e">
        <f>IF($C$1078&gt;0,VLOOKUP($C3480,PATRIMONIALE!$AJ$4:$AL$1003,3,FALSE),"")</f>
        <v>#N/A</v>
      </c>
      <c r="E3480" s="41" t="str">
        <f t="shared" si="280"/>
        <v/>
      </c>
      <c r="F3480" s="200"/>
      <c r="G3480" s="178" t="e">
        <f>IF($C$1078&gt;0,VLOOKUP($C3480,PATRIMONIALE!$AJ$4:$AN$1003,5,FALSE),"")</f>
        <v>#N/A</v>
      </c>
      <c r="H3480" s="179" t="e">
        <f>IF($C$1078&gt;0,VLOOKUP($C3480,PATRIMONIALE!$AJ$4:$AO$1003,6,FALSE),"")</f>
        <v>#N/A</v>
      </c>
      <c r="I3480" s="187"/>
      <c r="J3480" s="140" t="e">
        <f ca="1">VLOOKUP(D3480,$F$1081:$I$4183,4,FALSE)+COUNTIF(E$1081:E3479,E3480)</f>
        <v>#N/A</v>
      </c>
      <c r="K3480" s="1"/>
      <c r="L3480" s="161" t="e">
        <f>IF($C$1078&gt;0,VLOOKUP($C3480,PATRIMONIALE!$AJ$4:$AP$1003,7,FALSE),"")</f>
        <v>#N/A</v>
      </c>
      <c r="M3480" s="1"/>
      <c r="N3480" s="1"/>
      <c r="O3480" s="1"/>
    </row>
    <row r="3481" spans="1:15" hidden="1">
      <c r="A3481" s="1"/>
      <c r="B3481" s="182" t="e">
        <f t="shared" ca="1" si="279"/>
        <v>#N/A</v>
      </c>
      <c r="C3481" s="500">
        <v>415</v>
      </c>
      <c r="D3481" s="41" t="e">
        <f>IF($C$1078&gt;0,VLOOKUP($C3481,PATRIMONIALE!$AJ$4:$AL$1003,3,FALSE),"")</f>
        <v>#N/A</v>
      </c>
      <c r="E3481" s="41" t="str">
        <f t="shared" si="280"/>
        <v/>
      </c>
      <c r="F3481" s="200"/>
      <c r="G3481" s="178" t="e">
        <f>IF($C$1078&gt;0,VLOOKUP($C3481,PATRIMONIALE!$AJ$4:$AN$1003,5,FALSE),"")</f>
        <v>#N/A</v>
      </c>
      <c r="H3481" s="179" t="e">
        <f>IF($C$1078&gt;0,VLOOKUP($C3481,PATRIMONIALE!$AJ$4:$AO$1003,6,FALSE),"")</f>
        <v>#N/A</v>
      </c>
      <c r="I3481" s="187"/>
      <c r="J3481" s="140" t="e">
        <f ca="1">VLOOKUP(D3481,$F$1081:$I$4183,4,FALSE)+COUNTIF(E$1081:E3480,E3481)</f>
        <v>#N/A</v>
      </c>
      <c r="K3481" s="1"/>
      <c r="L3481" s="161" t="e">
        <f>IF($C$1078&gt;0,VLOOKUP($C3481,PATRIMONIALE!$AJ$4:$AP$1003,7,FALSE),"")</f>
        <v>#N/A</v>
      </c>
      <c r="M3481" s="1"/>
      <c r="N3481" s="1"/>
      <c r="O3481" s="1"/>
    </row>
    <row r="3482" spans="1:15" hidden="1">
      <c r="A3482" s="1"/>
      <c r="B3482" s="182" t="e">
        <f t="shared" ca="1" si="279"/>
        <v>#N/A</v>
      </c>
      <c r="C3482" s="500">
        <v>416</v>
      </c>
      <c r="D3482" s="41" t="e">
        <f>IF($C$1078&gt;0,VLOOKUP($C3482,PATRIMONIALE!$AJ$4:$AL$1003,3,FALSE),"")</f>
        <v>#N/A</v>
      </c>
      <c r="E3482" s="41" t="str">
        <f t="shared" si="280"/>
        <v/>
      </c>
      <c r="F3482" s="200"/>
      <c r="G3482" s="178" t="e">
        <f>IF($C$1078&gt;0,VLOOKUP($C3482,PATRIMONIALE!$AJ$4:$AN$1003,5,FALSE),"")</f>
        <v>#N/A</v>
      </c>
      <c r="H3482" s="179" t="e">
        <f>IF($C$1078&gt;0,VLOOKUP($C3482,PATRIMONIALE!$AJ$4:$AO$1003,6,FALSE),"")</f>
        <v>#N/A</v>
      </c>
      <c r="I3482" s="187"/>
      <c r="J3482" s="140" t="e">
        <f ca="1">VLOOKUP(D3482,$F$1081:$I$4183,4,FALSE)+COUNTIF(E$1081:E3481,E3482)</f>
        <v>#N/A</v>
      </c>
      <c r="K3482" s="1"/>
      <c r="L3482" s="161" t="e">
        <f>IF($C$1078&gt;0,VLOOKUP($C3482,PATRIMONIALE!$AJ$4:$AP$1003,7,FALSE),"")</f>
        <v>#N/A</v>
      </c>
      <c r="M3482" s="1"/>
      <c r="N3482" s="1"/>
      <c r="O3482" s="1"/>
    </row>
    <row r="3483" spans="1:15" hidden="1">
      <c r="A3483" s="1"/>
      <c r="B3483" s="182" t="e">
        <f t="shared" ca="1" si="279"/>
        <v>#N/A</v>
      </c>
      <c r="C3483" s="500">
        <v>417</v>
      </c>
      <c r="D3483" s="41" t="e">
        <f>IF($C$1078&gt;0,VLOOKUP($C3483,PATRIMONIALE!$AJ$4:$AL$1003,3,FALSE),"")</f>
        <v>#N/A</v>
      </c>
      <c r="E3483" s="41" t="str">
        <f t="shared" si="280"/>
        <v/>
      </c>
      <c r="F3483" s="200"/>
      <c r="G3483" s="178" t="e">
        <f>IF($C$1078&gt;0,VLOOKUP($C3483,PATRIMONIALE!$AJ$4:$AN$1003,5,FALSE),"")</f>
        <v>#N/A</v>
      </c>
      <c r="H3483" s="179" t="e">
        <f>IF($C$1078&gt;0,VLOOKUP($C3483,PATRIMONIALE!$AJ$4:$AO$1003,6,FALSE),"")</f>
        <v>#N/A</v>
      </c>
      <c r="I3483" s="187"/>
      <c r="J3483" s="140" t="e">
        <f ca="1">VLOOKUP(D3483,$F$1081:$I$4183,4,FALSE)+COUNTIF(E$1081:E3482,E3483)</f>
        <v>#N/A</v>
      </c>
      <c r="K3483" s="1"/>
      <c r="L3483" s="161" t="e">
        <f>IF($C$1078&gt;0,VLOOKUP($C3483,PATRIMONIALE!$AJ$4:$AP$1003,7,FALSE),"")</f>
        <v>#N/A</v>
      </c>
      <c r="M3483" s="1"/>
      <c r="N3483" s="1"/>
      <c r="O3483" s="1"/>
    </row>
    <row r="3484" spans="1:15" hidden="1">
      <c r="A3484" s="1"/>
      <c r="B3484" s="182" t="e">
        <f t="shared" ca="1" si="279"/>
        <v>#N/A</v>
      </c>
      <c r="C3484" s="500">
        <v>418</v>
      </c>
      <c r="D3484" s="41" t="e">
        <f>IF($C$1078&gt;0,VLOOKUP($C3484,PATRIMONIALE!$AJ$4:$AL$1003,3,FALSE),"")</f>
        <v>#N/A</v>
      </c>
      <c r="E3484" s="41" t="str">
        <f t="shared" si="280"/>
        <v/>
      </c>
      <c r="F3484" s="200"/>
      <c r="G3484" s="178" t="e">
        <f>IF($C$1078&gt;0,VLOOKUP($C3484,PATRIMONIALE!$AJ$4:$AN$1003,5,FALSE),"")</f>
        <v>#N/A</v>
      </c>
      <c r="H3484" s="179" t="e">
        <f>IF($C$1078&gt;0,VLOOKUP($C3484,PATRIMONIALE!$AJ$4:$AO$1003,6,FALSE),"")</f>
        <v>#N/A</v>
      </c>
      <c r="I3484" s="187"/>
      <c r="J3484" s="140" t="e">
        <f ca="1">VLOOKUP(D3484,$F$1081:$I$4183,4,FALSE)+COUNTIF(E$1081:E3483,E3484)</f>
        <v>#N/A</v>
      </c>
      <c r="K3484" s="1"/>
      <c r="L3484" s="161" t="e">
        <f>IF($C$1078&gt;0,VLOOKUP($C3484,PATRIMONIALE!$AJ$4:$AP$1003,7,FALSE),"")</f>
        <v>#N/A</v>
      </c>
      <c r="M3484" s="1"/>
      <c r="N3484" s="1"/>
      <c r="O3484" s="1"/>
    </row>
    <row r="3485" spans="1:15" hidden="1">
      <c r="A3485" s="1"/>
      <c r="B3485" s="182" t="e">
        <f t="shared" ca="1" si="279"/>
        <v>#N/A</v>
      </c>
      <c r="C3485" s="500">
        <v>419</v>
      </c>
      <c r="D3485" s="41" t="e">
        <f>IF($C$1078&gt;0,VLOOKUP($C3485,PATRIMONIALE!$AJ$4:$AL$1003,3,FALSE),"")</f>
        <v>#N/A</v>
      </c>
      <c r="E3485" s="41" t="str">
        <f t="shared" si="280"/>
        <v/>
      </c>
      <c r="F3485" s="200"/>
      <c r="G3485" s="178" t="e">
        <f>IF($C$1078&gt;0,VLOOKUP($C3485,PATRIMONIALE!$AJ$4:$AN$1003,5,FALSE),"")</f>
        <v>#N/A</v>
      </c>
      <c r="H3485" s="179" t="e">
        <f>IF($C$1078&gt;0,VLOOKUP($C3485,PATRIMONIALE!$AJ$4:$AO$1003,6,FALSE),"")</f>
        <v>#N/A</v>
      </c>
      <c r="I3485" s="187"/>
      <c r="J3485" s="140" t="e">
        <f ca="1">VLOOKUP(D3485,$F$1081:$I$4183,4,FALSE)+COUNTIF(E$1081:E3484,E3485)</f>
        <v>#N/A</v>
      </c>
      <c r="K3485" s="1"/>
      <c r="L3485" s="161" t="e">
        <f>IF($C$1078&gt;0,VLOOKUP($C3485,PATRIMONIALE!$AJ$4:$AP$1003,7,FALSE),"")</f>
        <v>#N/A</v>
      </c>
      <c r="M3485" s="1"/>
      <c r="N3485" s="1"/>
      <c r="O3485" s="1"/>
    </row>
    <row r="3486" spans="1:15" hidden="1">
      <c r="A3486" s="1"/>
      <c r="B3486" s="182" t="e">
        <f t="shared" ca="1" si="279"/>
        <v>#N/A</v>
      </c>
      <c r="C3486" s="500">
        <v>420</v>
      </c>
      <c r="D3486" s="41" t="e">
        <f>IF($C$1078&gt;0,VLOOKUP($C3486,PATRIMONIALE!$AJ$4:$AL$1003,3,FALSE),"")</f>
        <v>#N/A</v>
      </c>
      <c r="E3486" s="41" t="str">
        <f t="shared" si="280"/>
        <v/>
      </c>
      <c r="F3486" s="200"/>
      <c r="G3486" s="178" t="e">
        <f>IF($C$1078&gt;0,VLOOKUP($C3486,PATRIMONIALE!$AJ$4:$AN$1003,5,FALSE),"")</f>
        <v>#N/A</v>
      </c>
      <c r="H3486" s="179" t="e">
        <f>IF($C$1078&gt;0,VLOOKUP($C3486,PATRIMONIALE!$AJ$4:$AO$1003,6,FALSE),"")</f>
        <v>#N/A</v>
      </c>
      <c r="I3486" s="187"/>
      <c r="J3486" s="140" t="e">
        <f ca="1">VLOOKUP(D3486,$F$1081:$I$4183,4,FALSE)+COUNTIF(E$1081:E3485,E3486)</f>
        <v>#N/A</v>
      </c>
      <c r="K3486" s="1"/>
      <c r="L3486" s="161" t="e">
        <f>IF($C$1078&gt;0,VLOOKUP($C3486,PATRIMONIALE!$AJ$4:$AP$1003,7,FALSE),"")</f>
        <v>#N/A</v>
      </c>
      <c r="M3486" s="1"/>
      <c r="N3486" s="1"/>
      <c r="O3486" s="1"/>
    </row>
    <row r="3487" spans="1:15" hidden="1">
      <c r="A3487" s="1"/>
      <c r="B3487" s="182" t="e">
        <f t="shared" ca="1" si="279"/>
        <v>#N/A</v>
      </c>
      <c r="C3487" s="500">
        <v>421</v>
      </c>
      <c r="D3487" s="41" t="e">
        <f>IF($C$1078&gt;0,VLOOKUP($C3487,PATRIMONIALE!$AJ$4:$AL$1003,3,FALSE),"")</f>
        <v>#N/A</v>
      </c>
      <c r="E3487" s="41" t="str">
        <f t="shared" si="280"/>
        <v/>
      </c>
      <c r="F3487" s="200"/>
      <c r="G3487" s="178" t="e">
        <f>IF($C$1078&gt;0,VLOOKUP($C3487,PATRIMONIALE!$AJ$4:$AN$1003,5,FALSE),"")</f>
        <v>#N/A</v>
      </c>
      <c r="H3487" s="179" t="e">
        <f>IF($C$1078&gt;0,VLOOKUP($C3487,PATRIMONIALE!$AJ$4:$AO$1003,6,FALSE),"")</f>
        <v>#N/A</v>
      </c>
      <c r="I3487" s="187"/>
      <c r="J3487" s="140" t="e">
        <f ca="1">VLOOKUP(D3487,$F$1081:$I$4183,4,FALSE)+COUNTIF(E$1081:E3486,E3487)</f>
        <v>#N/A</v>
      </c>
      <c r="K3487" s="1"/>
      <c r="L3487" s="161" t="e">
        <f>IF($C$1078&gt;0,VLOOKUP($C3487,PATRIMONIALE!$AJ$4:$AP$1003,7,FALSE),"")</f>
        <v>#N/A</v>
      </c>
      <c r="M3487" s="1"/>
      <c r="N3487" s="1"/>
      <c r="O3487" s="1"/>
    </row>
    <row r="3488" spans="1:15" hidden="1">
      <c r="A3488" s="1"/>
      <c r="B3488" s="182" t="e">
        <f t="shared" ca="1" si="279"/>
        <v>#N/A</v>
      </c>
      <c r="C3488" s="500">
        <v>422</v>
      </c>
      <c r="D3488" s="41" t="e">
        <f>IF($C$1078&gt;0,VLOOKUP($C3488,PATRIMONIALE!$AJ$4:$AL$1003,3,FALSE),"")</f>
        <v>#N/A</v>
      </c>
      <c r="E3488" s="41" t="str">
        <f t="shared" si="280"/>
        <v/>
      </c>
      <c r="F3488" s="200"/>
      <c r="G3488" s="178" t="e">
        <f>IF($C$1078&gt;0,VLOOKUP($C3488,PATRIMONIALE!$AJ$4:$AN$1003,5,FALSE),"")</f>
        <v>#N/A</v>
      </c>
      <c r="H3488" s="179" t="e">
        <f>IF($C$1078&gt;0,VLOOKUP($C3488,PATRIMONIALE!$AJ$4:$AO$1003,6,FALSE),"")</f>
        <v>#N/A</v>
      </c>
      <c r="I3488" s="187"/>
      <c r="J3488" s="140" t="e">
        <f ca="1">VLOOKUP(D3488,$F$1081:$I$4183,4,FALSE)+COUNTIF(E$1081:E3487,E3488)</f>
        <v>#N/A</v>
      </c>
      <c r="K3488" s="1"/>
      <c r="L3488" s="161" t="e">
        <f>IF($C$1078&gt;0,VLOOKUP($C3488,PATRIMONIALE!$AJ$4:$AP$1003,7,FALSE),"")</f>
        <v>#N/A</v>
      </c>
      <c r="M3488" s="1"/>
      <c r="N3488" s="1"/>
      <c r="O3488" s="1"/>
    </row>
    <row r="3489" spans="1:15" hidden="1">
      <c r="A3489" s="1"/>
      <c r="B3489" s="182" t="e">
        <f t="shared" ca="1" si="279"/>
        <v>#N/A</v>
      </c>
      <c r="C3489" s="500">
        <v>423</v>
      </c>
      <c r="D3489" s="41" t="e">
        <f>IF($C$1078&gt;0,VLOOKUP($C3489,PATRIMONIALE!$AJ$4:$AL$1003,3,FALSE),"")</f>
        <v>#N/A</v>
      </c>
      <c r="E3489" s="41" t="str">
        <f t="shared" si="280"/>
        <v/>
      </c>
      <c r="F3489" s="200"/>
      <c r="G3489" s="178" t="e">
        <f>IF($C$1078&gt;0,VLOOKUP($C3489,PATRIMONIALE!$AJ$4:$AN$1003,5,FALSE),"")</f>
        <v>#N/A</v>
      </c>
      <c r="H3489" s="179" t="e">
        <f>IF($C$1078&gt;0,VLOOKUP($C3489,PATRIMONIALE!$AJ$4:$AO$1003,6,FALSE),"")</f>
        <v>#N/A</v>
      </c>
      <c r="I3489" s="187"/>
      <c r="J3489" s="140" t="e">
        <f ca="1">VLOOKUP(D3489,$F$1081:$I$4183,4,FALSE)+COUNTIF(E$1081:E3488,E3489)</f>
        <v>#N/A</v>
      </c>
      <c r="K3489" s="1"/>
      <c r="L3489" s="161" t="e">
        <f>IF($C$1078&gt;0,VLOOKUP($C3489,PATRIMONIALE!$AJ$4:$AP$1003,7,FALSE),"")</f>
        <v>#N/A</v>
      </c>
      <c r="M3489" s="1"/>
      <c r="N3489" s="1"/>
      <c r="O3489" s="1"/>
    </row>
    <row r="3490" spans="1:15" hidden="1">
      <c r="A3490" s="1"/>
      <c r="B3490" s="182" t="e">
        <f t="shared" ca="1" si="279"/>
        <v>#N/A</v>
      </c>
      <c r="C3490" s="500">
        <v>424</v>
      </c>
      <c r="D3490" s="41" t="e">
        <f>IF($C$1078&gt;0,VLOOKUP($C3490,PATRIMONIALE!$AJ$4:$AL$1003,3,FALSE),"")</f>
        <v>#N/A</v>
      </c>
      <c r="E3490" s="41" t="str">
        <f t="shared" si="280"/>
        <v/>
      </c>
      <c r="F3490" s="200"/>
      <c r="G3490" s="178" t="e">
        <f>IF($C$1078&gt;0,VLOOKUP($C3490,PATRIMONIALE!$AJ$4:$AN$1003,5,FALSE),"")</f>
        <v>#N/A</v>
      </c>
      <c r="H3490" s="179" t="e">
        <f>IF($C$1078&gt;0,VLOOKUP($C3490,PATRIMONIALE!$AJ$4:$AO$1003,6,FALSE),"")</f>
        <v>#N/A</v>
      </c>
      <c r="I3490" s="187"/>
      <c r="J3490" s="140" t="e">
        <f ca="1">VLOOKUP(D3490,$F$1081:$I$4183,4,FALSE)+COUNTIF(E$1081:E3489,E3490)</f>
        <v>#N/A</v>
      </c>
      <c r="K3490" s="1"/>
      <c r="L3490" s="161" t="e">
        <f>IF($C$1078&gt;0,VLOOKUP($C3490,PATRIMONIALE!$AJ$4:$AP$1003,7,FALSE),"")</f>
        <v>#N/A</v>
      </c>
      <c r="M3490" s="1"/>
      <c r="N3490" s="1"/>
      <c r="O3490" s="1"/>
    </row>
    <row r="3491" spans="1:15" hidden="1">
      <c r="A3491" s="1"/>
      <c r="B3491" s="182" t="e">
        <f t="shared" ca="1" si="279"/>
        <v>#N/A</v>
      </c>
      <c r="C3491" s="500">
        <v>425</v>
      </c>
      <c r="D3491" s="41" t="e">
        <f>IF($C$1078&gt;0,VLOOKUP($C3491,PATRIMONIALE!$AJ$4:$AL$1003,3,FALSE),"")</f>
        <v>#N/A</v>
      </c>
      <c r="E3491" s="41" t="str">
        <f t="shared" si="280"/>
        <v/>
      </c>
      <c r="F3491" s="200"/>
      <c r="G3491" s="178" t="e">
        <f>IF($C$1078&gt;0,VLOOKUP($C3491,PATRIMONIALE!$AJ$4:$AN$1003,5,FALSE),"")</f>
        <v>#N/A</v>
      </c>
      <c r="H3491" s="179" t="e">
        <f>IF($C$1078&gt;0,VLOOKUP($C3491,PATRIMONIALE!$AJ$4:$AO$1003,6,FALSE),"")</f>
        <v>#N/A</v>
      </c>
      <c r="I3491" s="187"/>
      <c r="J3491" s="140" t="e">
        <f ca="1">VLOOKUP(D3491,$F$1081:$I$4183,4,FALSE)+COUNTIF(E$1081:E3490,E3491)</f>
        <v>#N/A</v>
      </c>
      <c r="K3491" s="1"/>
      <c r="L3491" s="161" t="e">
        <f>IF($C$1078&gt;0,VLOOKUP($C3491,PATRIMONIALE!$AJ$4:$AP$1003,7,FALSE),"")</f>
        <v>#N/A</v>
      </c>
      <c r="M3491" s="1"/>
      <c r="N3491" s="1"/>
      <c r="O3491" s="1"/>
    </row>
    <row r="3492" spans="1:15" hidden="1">
      <c r="A3492" s="1"/>
      <c r="B3492" s="182" t="e">
        <f t="shared" ca="1" si="279"/>
        <v>#N/A</v>
      </c>
      <c r="C3492" s="500">
        <v>426</v>
      </c>
      <c r="D3492" s="41" t="e">
        <f>IF($C$1078&gt;0,VLOOKUP($C3492,PATRIMONIALE!$AJ$4:$AL$1003,3,FALSE),"")</f>
        <v>#N/A</v>
      </c>
      <c r="E3492" s="41" t="str">
        <f t="shared" si="280"/>
        <v/>
      </c>
      <c r="F3492" s="200"/>
      <c r="G3492" s="178" t="e">
        <f>IF($C$1078&gt;0,VLOOKUP($C3492,PATRIMONIALE!$AJ$4:$AN$1003,5,FALSE),"")</f>
        <v>#N/A</v>
      </c>
      <c r="H3492" s="179" t="e">
        <f>IF($C$1078&gt;0,VLOOKUP($C3492,PATRIMONIALE!$AJ$4:$AO$1003,6,FALSE),"")</f>
        <v>#N/A</v>
      </c>
      <c r="I3492" s="187"/>
      <c r="J3492" s="140" t="e">
        <f ca="1">VLOOKUP(D3492,$F$1081:$I$4183,4,FALSE)+COUNTIF(E$1081:E3491,E3492)</f>
        <v>#N/A</v>
      </c>
      <c r="K3492" s="1"/>
      <c r="L3492" s="161" t="e">
        <f>IF($C$1078&gt;0,VLOOKUP($C3492,PATRIMONIALE!$AJ$4:$AP$1003,7,FALSE),"")</f>
        <v>#N/A</v>
      </c>
      <c r="M3492" s="1"/>
      <c r="N3492" s="1"/>
      <c r="O3492" s="1"/>
    </row>
    <row r="3493" spans="1:15" hidden="1">
      <c r="A3493" s="1"/>
      <c r="B3493" s="182" t="e">
        <f t="shared" ca="1" si="279"/>
        <v>#N/A</v>
      </c>
      <c r="C3493" s="500">
        <v>427</v>
      </c>
      <c r="D3493" s="41" t="e">
        <f>IF($C$1078&gt;0,VLOOKUP($C3493,PATRIMONIALE!$AJ$4:$AL$1003,3,FALSE),"")</f>
        <v>#N/A</v>
      </c>
      <c r="E3493" s="41" t="str">
        <f t="shared" si="280"/>
        <v/>
      </c>
      <c r="F3493" s="200"/>
      <c r="G3493" s="178" t="e">
        <f>IF($C$1078&gt;0,VLOOKUP($C3493,PATRIMONIALE!$AJ$4:$AN$1003,5,FALSE),"")</f>
        <v>#N/A</v>
      </c>
      <c r="H3493" s="179" t="e">
        <f>IF($C$1078&gt;0,VLOOKUP($C3493,PATRIMONIALE!$AJ$4:$AO$1003,6,FALSE),"")</f>
        <v>#N/A</v>
      </c>
      <c r="I3493" s="187"/>
      <c r="J3493" s="140" t="e">
        <f ca="1">VLOOKUP(D3493,$F$1081:$I$4183,4,FALSE)+COUNTIF(E$1081:E3492,E3493)</f>
        <v>#N/A</v>
      </c>
      <c r="K3493" s="1"/>
      <c r="L3493" s="161" t="e">
        <f>IF($C$1078&gt;0,VLOOKUP($C3493,PATRIMONIALE!$AJ$4:$AP$1003,7,FALSE),"")</f>
        <v>#N/A</v>
      </c>
      <c r="M3493" s="1"/>
      <c r="N3493" s="1"/>
      <c r="O3493" s="1"/>
    </row>
    <row r="3494" spans="1:15" hidden="1">
      <c r="A3494" s="1"/>
      <c r="B3494" s="182" t="e">
        <f t="shared" ca="1" si="279"/>
        <v>#N/A</v>
      </c>
      <c r="C3494" s="500">
        <v>428</v>
      </c>
      <c r="D3494" s="41" t="e">
        <f>IF($C$1078&gt;0,VLOOKUP($C3494,PATRIMONIALE!$AJ$4:$AL$1003,3,FALSE),"")</f>
        <v>#N/A</v>
      </c>
      <c r="E3494" s="41" t="str">
        <f t="shared" si="280"/>
        <v/>
      </c>
      <c r="F3494" s="200"/>
      <c r="G3494" s="178" t="e">
        <f>IF($C$1078&gt;0,VLOOKUP($C3494,PATRIMONIALE!$AJ$4:$AN$1003,5,FALSE),"")</f>
        <v>#N/A</v>
      </c>
      <c r="H3494" s="179" t="e">
        <f>IF($C$1078&gt;0,VLOOKUP($C3494,PATRIMONIALE!$AJ$4:$AO$1003,6,FALSE),"")</f>
        <v>#N/A</v>
      </c>
      <c r="I3494" s="187"/>
      <c r="J3494" s="140" t="e">
        <f ca="1">VLOOKUP(D3494,$F$1081:$I$4183,4,FALSE)+COUNTIF(E$1081:E3493,E3494)</f>
        <v>#N/A</v>
      </c>
      <c r="K3494" s="1"/>
      <c r="L3494" s="161" t="e">
        <f>IF($C$1078&gt;0,VLOOKUP($C3494,PATRIMONIALE!$AJ$4:$AP$1003,7,FALSE),"")</f>
        <v>#N/A</v>
      </c>
      <c r="M3494" s="1"/>
      <c r="N3494" s="1"/>
      <c r="O3494" s="1"/>
    </row>
    <row r="3495" spans="1:15" hidden="1">
      <c r="A3495" s="1"/>
      <c r="B3495" s="182" t="e">
        <f t="shared" ca="1" si="279"/>
        <v>#N/A</v>
      </c>
      <c r="C3495" s="500">
        <v>429</v>
      </c>
      <c r="D3495" s="41" t="e">
        <f>IF($C$1078&gt;0,VLOOKUP($C3495,PATRIMONIALE!$AJ$4:$AL$1003,3,FALSE),"")</f>
        <v>#N/A</v>
      </c>
      <c r="E3495" s="41" t="str">
        <f t="shared" si="280"/>
        <v/>
      </c>
      <c r="F3495" s="200"/>
      <c r="G3495" s="178" t="e">
        <f>IF($C$1078&gt;0,VLOOKUP($C3495,PATRIMONIALE!$AJ$4:$AN$1003,5,FALSE),"")</f>
        <v>#N/A</v>
      </c>
      <c r="H3495" s="179" t="e">
        <f>IF($C$1078&gt;0,VLOOKUP($C3495,PATRIMONIALE!$AJ$4:$AO$1003,6,FALSE),"")</f>
        <v>#N/A</v>
      </c>
      <c r="I3495" s="187"/>
      <c r="J3495" s="140" t="e">
        <f ca="1">VLOOKUP(D3495,$F$1081:$I$4183,4,FALSE)+COUNTIF(E$1081:E3494,E3495)</f>
        <v>#N/A</v>
      </c>
      <c r="K3495" s="1"/>
      <c r="L3495" s="161" t="e">
        <f>IF($C$1078&gt;0,VLOOKUP($C3495,PATRIMONIALE!$AJ$4:$AP$1003,7,FALSE),"")</f>
        <v>#N/A</v>
      </c>
      <c r="M3495" s="1"/>
      <c r="N3495" s="1"/>
      <c r="O3495" s="1"/>
    </row>
    <row r="3496" spans="1:15" hidden="1">
      <c r="A3496" s="1"/>
      <c r="B3496" s="182" t="e">
        <f t="shared" ca="1" si="279"/>
        <v>#N/A</v>
      </c>
      <c r="C3496" s="500">
        <v>430</v>
      </c>
      <c r="D3496" s="41" t="e">
        <f>IF($C$1078&gt;0,VLOOKUP($C3496,PATRIMONIALE!$AJ$4:$AL$1003,3,FALSE),"")</f>
        <v>#N/A</v>
      </c>
      <c r="E3496" s="41" t="str">
        <f t="shared" si="280"/>
        <v/>
      </c>
      <c r="F3496" s="200"/>
      <c r="G3496" s="178" t="e">
        <f>IF($C$1078&gt;0,VLOOKUP($C3496,PATRIMONIALE!$AJ$4:$AN$1003,5,FALSE),"")</f>
        <v>#N/A</v>
      </c>
      <c r="H3496" s="179" t="e">
        <f>IF($C$1078&gt;0,VLOOKUP($C3496,PATRIMONIALE!$AJ$4:$AO$1003,6,FALSE),"")</f>
        <v>#N/A</v>
      </c>
      <c r="I3496" s="187"/>
      <c r="J3496" s="140" t="e">
        <f ca="1">VLOOKUP(D3496,$F$1081:$I$4183,4,FALSE)+COUNTIF(E$1081:E3495,E3496)</f>
        <v>#N/A</v>
      </c>
      <c r="K3496" s="1"/>
      <c r="L3496" s="161" t="e">
        <f>IF($C$1078&gt;0,VLOOKUP($C3496,PATRIMONIALE!$AJ$4:$AP$1003,7,FALSE),"")</f>
        <v>#N/A</v>
      </c>
      <c r="M3496" s="1"/>
      <c r="N3496" s="1"/>
      <c r="O3496" s="1"/>
    </row>
    <row r="3497" spans="1:15" hidden="1">
      <c r="A3497" s="1"/>
      <c r="B3497" s="182" t="e">
        <f t="shared" ca="1" si="279"/>
        <v>#N/A</v>
      </c>
      <c r="C3497" s="500">
        <v>431</v>
      </c>
      <c r="D3497" s="41" t="e">
        <f>IF($C$1078&gt;0,VLOOKUP($C3497,PATRIMONIALE!$AJ$4:$AL$1003,3,FALSE),"")</f>
        <v>#N/A</v>
      </c>
      <c r="E3497" s="41" t="str">
        <f t="shared" si="280"/>
        <v/>
      </c>
      <c r="F3497" s="200"/>
      <c r="G3497" s="178" t="e">
        <f>IF($C$1078&gt;0,VLOOKUP($C3497,PATRIMONIALE!$AJ$4:$AN$1003,5,FALSE),"")</f>
        <v>#N/A</v>
      </c>
      <c r="H3497" s="179" t="e">
        <f>IF($C$1078&gt;0,VLOOKUP($C3497,PATRIMONIALE!$AJ$4:$AO$1003,6,FALSE),"")</f>
        <v>#N/A</v>
      </c>
      <c r="I3497" s="187"/>
      <c r="J3497" s="140" t="e">
        <f ca="1">VLOOKUP(D3497,$F$1081:$I$4183,4,FALSE)+COUNTIF(E$1081:E3496,E3497)</f>
        <v>#N/A</v>
      </c>
      <c r="K3497" s="1"/>
      <c r="L3497" s="161" t="e">
        <f>IF($C$1078&gt;0,VLOOKUP($C3497,PATRIMONIALE!$AJ$4:$AP$1003,7,FALSE),"")</f>
        <v>#N/A</v>
      </c>
      <c r="M3497" s="1"/>
      <c r="N3497" s="1"/>
      <c r="O3497" s="1"/>
    </row>
    <row r="3498" spans="1:15" hidden="1">
      <c r="A3498" s="1"/>
      <c r="B3498" s="182" t="e">
        <f t="shared" ca="1" si="279"/>
        <v>#N/A</v>
      </c>
      <c r="C3498" s="500">
        <v>432</v>
      </c>
      <c r="D3498" s="41" t="e">
        <f>IF($C$1078&gt;0,VLOOKUP($C3498,PATRIMONIALE!$AJ$4:$AL$1003,3,FALSE),"")</f>
        <v>#N/A</v>
      </c>
      <c r="E3498" s="41" t="str">
        <f t="shared" si="280"/>
        <v/>
      </c>
      <c r="F3498" s="200"/>
      <c r="G3498" s="178" t="e">
        <f>IF($C$1078&gt;0,VLOOKUP($C3498,PATRIMONIALE!$AJ$4:$AN$1003,5,FALSE),"")</f>
        <v>#N/A</v>
      </c>
      <c r="H3498" s="179" t="e">
        <f>IF($C$1078&gt;0,VLOOKUP($C3498,PATRIMONIALE!$AJ$4:$AO$1003,6,FALSE),"")</f>
        <v>#N/A</v>
      </c>
      <c r="I3498" s="187"/>
      <c r="J3498" s="140" t="e">
        <f ca="1">VLOOKUP(D3498,$F$1081:$I$4183,4,FALSE)+COUNTIF(E$1081:E3497,E3498)</f>
        <v>#N/A</v>
      </c>
      <c r="K3498" s="1"/>
      <c r="L3498" s="161" t="e">
        <f>IF($C$1078&gt;0,VLOOKUP($C3498,PATRIMONIALE!$AJ$4:$AP$1003,7,FALSE),"")</f>
        <v>#N/A</v>
      </c>
      <c r="M3498" s="1"/>
      <c r="N3498" s="1"/>
      <c r="O3498" s="1"/>
    </row>
    <row r="3499" spans="1:15" hidden="1">
      <c r="A3499" s="1"/>
      <c r="B3499" s="182" t="e">
        <f t="shared" ca="1" si="279"/>
        <v>#N/A</v>
      </c>
      <c r="C3499" s="500">
        <v>433</v>
      </c>
      <c r="D3499" s="41" t="e">
        <f>IF($C$1078&gt;0,VLOOKUP($C3499,PATRIMONIALE!$AJ$4:$AL$1003,3,FALSE),"")</f>
        <v>#N/A</v>
      </c>
      <c r="E3499" s="41" t="str">
        <f t="shared" si="280"/>
        <v/>
      </c>
      <c r="F3499" s="200"/>
      <c r="G3499" s="178" t="e">
        <f>IF($C$1078&gt;0,VLOOKUP($C3499,PATRIMONIALE!$AJ$4:$AN$1003,5,FALSE),"")</f>
        <v>#N/A</v>
      </c>
      <c r="H3499" s="179" t="e">
        <f>IF($C$1078&gt;0,VLOOKUP($C3499,PATRIMONIALE!$AJ$4:$AO$1003,6,FALSE),"")</f>
        <v>#N/A</v>
      </c>
      <c r="I3499" s="187"/>
      <c r="J3499" s="140" t="e">
        <f ca="1">VLOOKUP(D3499,$F$1081:$I$4183,4,FALSE)+COUNTIF(E$1081:E3498,E3499)</f>
        <v>#N/A</v>
      </c>
      <c r="K3499" s="1"/>
      <c r="L3499" s="161" t="e">
        <f>IF($C$1078&gt;0,VLOOKUP($C3499,PATRIMONIALE!$AJ$4:$AP$1003,7,FALSE),"")</f>
        <v>#N/A</v>
      </c>
      <c r="M3499" s="1"/>
      <c r="N3499" s="1"/>
      <c r="O3499" s="1"/>
    </row>
    <row r="3500" spans="1:15" hidden="1">
      <c r="A3500" s="1"/>
      <c r="B3500" s="182" t="e">
        <f t="shared" ca="1" si="279"/>
        <v>#N/A</v>
      </c>
      <c r="C3500" s="500">
        <v>434</v>
      </c>
      <c r="D3500" s="41" t="e">
        <f>IF($C$1078&gt;0,VLOOKUP($C3500,PATRIMONIALE!$AJ$4:$AL$1003,3,FALSE),"")</f>
        <v>#N/A</v>
      </c>
      <c r="E3500" s="41" t="str">
        <f t="shared" si="280"/>
        <v/>
      </c>
      <c r="F3500" s="200"/>
      <c r="G3500" s="178" t="e">
        <f>IF($C$1078&gt;0,VLOOKUP($C3500,PATRIMONIALE!$AJ$4:$AN$1003,5,FALSE),"")</f>
        <v>#N/A</v>
      </c>
      <c r="H3500" s="179" t="e">
        <f>IF($C$1078&gt;0,VLOOKUP($C3500,PATRIMONIALE!$AJ$4:$AO$1003,6,FALSE),"")</f>
        <v>#N/A</v>
      </c>
      <c r="I3500" s="187"/>
      <c r="J3500" s="140" t="e">
        <f ca="1">VLOOKUP(D3500,$F$1081:$I$4183,4,FALSE)+COUNTIF(E$1081:E3499,E3500)</f>
        <v>#N/A</v>
      </c>
      <c r="K3500" s="1"/>
      <c r="L3500" s="161" t="e">
        <f>IF($C$1078&gt;0,VLOOKUP($C3500,PATRIMONIALE!$AJ$4:$AP$1003,7,FALSE),"")</f>
        <v>#N/A</v>
      </c>
      <c r="M3500" s="1"/>
      <c r="N3500" s="1"/>
      <c r="O3500" s="1"/>
    </row>
    <row r="3501" spans="1:15" hidden="1">
      <c r="A3501" s="1"/>
      <c r="B3501" s="182" t="e">
        <f t="shared" ca="1" si="279"/>
        <v>#N/A</v>
      </c>
      <c r="C3501" s="500">
        <v>435</v>
      </c>
      <c r="D3501" s="41" t="e">
        <f>IF($C$1078&gt;0,VLOOKUP($C3501,PATRIMONIALE!$AJ$4:$AL$1003,3,FALSE),"")</f>
        <v>#N/A</v>
      </c>
      <c r="E3501" s="41" t="str">
        <f t="shared" si="280"/>
        <v/>
      </c>
      <c r="F3501" s="200"/>
      <c r="G3501" s="178" t="e">
        <f>IF($C$1078&gt;0,VLOOKUP($C3501,PATRIMONIALE!$AJ$4:$AN$1003,5,FALSE),"")</f>
        <v>#N/A</v>
      </c>
      <c r="H3501" s="179" t="e">
        <f>IF($C$1078&gt;0,VLOOKUP($C3501,PATRIMONIALE!$AJ$4:$AO$1003,6,FALSE),"")</f>
        <v>#N/A</v>
      </c>
      <c r="I3501" s="187"/>
      <c r="J3501" s="140" t="e">
        <f ca="1">VLOOKUP(D3501,$F$1081:$I$4183,4,FALSE)+COUNTIF(E$1081:E3500,E3501)</f>
        <v>#N/A</v>
      </c>
      <c r="K3501" s="1"/>
      <c r="L3501" s="161" t="e">
        <f>IF($C$1078&gt;0,VLOOKUP($C3501,PATRIMONIALE!$AJ$4:$AP$1003,7,FALSE),"")</f>
        <v>#N/A</v>
      </c>
      <c r="M3501" s="1"/>
      <c r="N3501" s="1"/>
      <c r="O3501" s="1"/>
    </row>
    <row r="3502" spans="1:15" hidden="1">
      <c r="A3502" s="1"/>
      <c r="B3502" s="182" t="e">
        <f t="shared" ca="1" si="279"/>
        <v>#N/A</v>
      </c>
      <c r="C3502" s="500">
        <v>436</v>
      </c>
      <c r="D3502" s="41" t="e">
        <f>IF($C$1078&gt;0,VLOOKUP($C3502,PATRIMONIALE!$AJ$4:$AL$1003,3,FALSE),"")</f>
        <v>#N/A</v>
      </c>
      <c r="E3502" s="41" t="str">
        <f t="shared" si="280"/>
        <v/>
      </c>
      <c r="F3502" s="200"/>
      <c r="G3502" s="178" t="e">
        <f>IF($C$1078&gt;0,VLOOKUP($C3502,PATRIMONIALE!$AJ$4:$AN$1003,5,FALSE),"")</f>
        <v>#N/A</v>
      </c>
      <c r="H3502" s="179" t="e">
        <f>IF($C$1078&gt;0,VLOOKUP($C3502,PATRIMONIALE!$AJ$4:$AO$1003,6,FALSE),"")</f>
        <v>#N/A</v>
      </c>
      <c r="I3502" s="187"/>
      <c r="J3502" s="140" t="e">
        <f ca="1">VLOOKUP(D3502,$F$1081:$I$4183,4,FALSE)+COUNTIF(E$1081:E3501,E3502)</f>
        <v>#N/A</v>
      </c>
      <c r="K3502" s="1"/>
      <c r="L3502" s="161" t="e">
        <f>IF($C$1078&gt;0,VLOOKUP($C3502,PATRIMONIALE!$AJ$4:$AP$1003,7,FALSE),"")</f>
        <v>#N/A</v>
      </c>
      <c r="M3502" s="1"/>
      <c r="N3502" s="1"/>
      <c r="O3502" s="1"/>
    </row>
    <row r="3503" spans="1:15" hidden="1">
      <c r="A3503" s="1"/>
      <c r="B3503" s="182" t="e">
        <f t="shared" ca="1" si="279"/>
        <v>#N/A</v>
      </c>
      <c r="C3503" s="500">
        <v>437</v>
      </c>
      <c r="D3503" s="41" t="e">
        <f>IF($C$1078&gt;0,VLOOKUP($C3503,PATRIMONIALE!$AJ$4:$AL$1003,3,FALSE),"")</f>
        <v>#N/A</v>
      </c>
      <c r="E3503" s="41" t="str">
        <f t="shared" si="280"/>
        <v/>
      </c>
      <c r="F3503" s="200"/>
      <c r="G3503" s="178" t="e">
        <f>IF($C$1078&gt;0,VLOOKUP($C3503,PATRIMONIALE!$AJ$4:$AN$1003,5,FALSE),"")</f>
        <v>#N/A</v>
      </c>
      <c r="H3503" s="179" t="e">
        <f>IF($C$1078&gt;0,VLOOKUP($C3503,PATRIMONIALE!$AJ$4:$AO$1003,6,FALSE),"")</f>
        <v>#N/A</v>
      </c>
      <c r="I3503" s="187"/>
      <c r="J3503" s="140" t="e">
        <f ca="1">VLOOKUP(D3503,$F$1081:$I$4183,4,FALSE)+COUNTIF(E$1081:E3502,E3503)</f>
        <v>#N/A</v>
      </c>
      <c r="K3503" s="1"/>
      <c r="L3503" s="161" t="e">
        <f>IF($C$1078&gt;0,VLOOKUP($C3503,PATRIMONIALE!$AJ$4:$AP$1003,7,FALSE),"")</f>
        <v>#N/A</v>
      </c>
      <c r="M3503" s="1"/>
      <c r="N3503" s="1"/>
      <c r="O3503" s="1"/>
    </row>
    <row r="3504" spans="1:15" hidden="1">
      <c r="A3504" s="1"/>
      <c r="B3504" s="182" t="e">
        <f t="shared" ca="1" si="279"/>
        <v>#N/A</v>
      </c>
      <c r="C3504" s="500">
        <v>438</v>
      </c>
      <c r="D3504" s="41" t="e">
        <f>IF($C$1078&gt;0,VLOOKUP($C3504,PATRIMONIALE!$AJ$4:$AL$1003,3,FALSE),"")</f>
        <v>#N/A</v>
      </c>
      <c r="E3504" s="41" t="str">
        <f t="shared" si="280"/>
        <v/>
      </c>
      <c r="F3504" s="200"/>
      <c r="G3504" s="178" t="e">
        <f>IF($C$1078&gt;0,VLOOKUP($C3504,PATRIMONIALE!$AJ$4:$AN$1003,5,FALSE),"")</f>
        <v>#N/A</v>
      </c>
      <c r="H3504" s="179" t="e">
        <f>IF($C$1078&gt;0,VLOOKUP($C3504,PATRIMONIALE!$AJ$4:$AO$1003,6,FALSE),"")</f>
        <v>#N/A</v>
      </c>
      <c r="I3504" s="187"/>
      <c r="J3504" s="140" t="e">
        <f ca="1">VLOOKUP(D3504,$F$1081:$I$4183,4,FALSE)+COUNTIF(E$1081:E3503,E3504)</f>
        <v>#N/A</v>
      </c>
      <c r="K3504" s="1"/>
      <c r="L3504" s="161" t="e">
        <f>IF($C$1078&gt;0,VLOOKUP($C3504,PATRIMONIALE!$AJ$4:$AP$1003,7,FALSE),"")</f>
        <v>#N/A</v>
      </c>
      <c r="M3504" s="1"/>
      <c r="N3504" s="1"/>
      <c r="O3504" s="1"/>
    </row>
    <row r="3505" spans="1:15" hidden="1">
      <c r="A3505" s="1"/>
      <c r="B3505" s="182" t="e">
        <f t="shared" ca="1" si="279"/>
        <v>#N/A</v>
      </c>
      <c r="C3505" s="500">
        <v>439</v>
      </c>
      <c r="D3505" s="41" t="e">
        <f>IF($C$1078&gt;0,VLOOKUP($C3505,PATRIMONIALE!$AJ$4:$AL$1003,3,FALSE),"")</f>
        <v>#N/A</v>
      </c>
      <c r="E3505" s="41" t="str">
        <f t="shared" si="280"/>
        <v/>
      </c>
      <c r="F3505" s="200"/>
      <c r="G3505" s="178" t="e">
        <f>IF($C$1078&gt;0,VLOOKUP($C3505,PATRIMONIALE!$AJ$4:$AN$1003,5,FALSE),"")</f>
        <v>#N/A</v>
      </c>
      <c r="H3505" s="179" t="e">
        <f>IF($C$1078&gt;0,VLOOKUP($C3505,PATRIMONIALE!$AJ$4:$AO$1003,6,FALSE),"")</f>
        <v>#N/A</v>
      </c>
      <c r="I3505" s="187"/>
      <c r="J3505" s="140" t="e">
        <f ca="1">VLOOKUP(D3505,$F$1081:$I$4183,4,FALSE)+COUNTIF(E$1081:E3504,E3505)</f>
        <v>#N/A</v>
      </c>
      <c r="K3505" s="1"/>
      <c r="L3505" s="161" t="e">
        <f>IF($C$1078&gt;0,VLOOKUP($C3505,PATRIMONIALE!$AJ$4:$AP$1003,7,FALSE),"")</f>
        <v>#N/A</v>
      </c>
      <c r="M3505" s="1"/>
      <c r="N3505" s="1"/>
      <c r="O3505" s="1"/>
    </row>
    <row r="3506" spans="1:15" hidden="1">
      <c r="A3506" s="1"/>
      <c r="B3506" s="182" t="e">
        <f t="shared" ca="1" si="279"/>
        <v>#N/A</v>
      </c>
      <c r="C3506" s="500">
        <v>440</v>
      </c>
      <c r="D3506" s="41" t="e">
        <f>IF($C$1078&gt;0,VLOOKUP($C3506,PATRIMONIALE!$AJ$4:$AL$1003,3,FALSE),"")</f>
        <v>#N/A</v>
      </c>
      <c r="E3506" s="41" t="str">
        <f t="shared" si="280"/>
        <v/>
      </c>
      <c r="F3506" s="200"/>
      <c r="G3506" s="178" t="e">
        <f>IF($C$1078&gt;0,VLOOKUP($C3506,PATRIMONIALE!$AJ$4:$AN$1003,5,FALSE),"")</f>
        <v>#N/A</v>
      </c>
      <c r="H3506" s="179" t="e">
        <f>IF($C$1078&gt;0,VLOOKUP($C3506,PATRIMONIALE!$AJ$4:$AO$1003,6,FALSE),"")</f>
        <v>#N/A</v>
      </c>
      <c r="I3506" s="187"/>
      <c r="J3506" s="140" t="e">
        <f ca="1">VLOOKUP(D3506,$F$1081:$I$4183,4,FALSE)+COUNTIF(E$1081:E3505,E3506)</f>
        <v>#N/A</v>
      </c>
      <c r="K3506" s="1"/>
      <c r="L3506" s="161" t="e">
        <f>IF($C$1078&gt;0,VLOOKUP($C3506,PATRIMONIALE!$AJ$4:$AP$1003,7,FALSE),"")</f>
        <v>#N/A</v>
      </c>
      <c r="M3506" s="1"/>
      <c r="N3506" s="1"/>
      <c r="O3506" s="1"/>
    </row>
    <row r="3507" spans="1:15" hidden="1">
      <c r="A3507" s="1"/>
      <c r="B3507" s="182" t="e">
        <f t="shared" ca="1" si="279"/>
        <v>#N/A</v>
      </c>
      <c r="C3507" s="500">
        <v>441</v>
      </c>
      <c r="D3507" s="41" t="e">
        <f>IF($C$1078&gt;0,VLOOKUP($C3507,PATRIMONIALE!$AJ$4:$AL$1003,3,FALSE),"")</f>
        <v>#N/A</v>
      </c>
      <c r="E3507" s="41" t="str">
        <f t="shared" si="280"/>
        <v/>
      </c>
      <c r="F3507" s="200"/>
      <c r="G3507" s="178" t="e">
        <f>IF($C$1078&gt;0,VLOOKUP($C3507,PATRIMONIALE!$AJ$4:$AN$1003,5,FALSE),"")</f>
        <v>#N/A</v>
      </c>
      <c r="H3507" s="179" t="e">
        <f>IF($C$1078&gt;0,VLOOKUP($C3507,PATRIMONIALE!$AJ$4:$AO$1003,6,FALSE),"")</f>
        <v>#N/A</v>
      </c>
      <c r="I3507" s="187"/>
      <c r="J3507" s="140" t="e">
        <f ca="1">VLOOKUP(D3507,$F$1081:$I$4183,4,FALSE)+COUNTIF(E$1081:E3506,E3507)</f>
        <v>#N/A</v>
      </c>
      <c r="K3507" s="1"/>
      <c r="L3507" s="161" t="e">
        <f>IF($C$1078&gt;0,VLOOKUP($C3507,PATRIMONIALE!$AJ$4:$AP$1003,7,FALSE),"")</f>
        <v>#N/A</v>
      </c>
      <c r="M3507" s="1"/>
      <c r="N3507" s="1"/>
      <c r="O3507" s="1"/>
    </row>
    <row r="3508" spans="1:15" hidden="1">
      <c r="A3508" s="1"/>
      <c r="B3508" s="182" t="e">
        <f t="shared" ca="1" si="279"/>
        <v>#N/A</v>
      </c>
      <c r="C3508" s="500">
        <v>442</v>
      </c>
      <c r="D3508" s="41" t="e">
        <f>IF($C$1078&gt;0,VLOOKUP($C3508,PATRIMONIALE!$AJ$4:$AL$1003,3,FALSE),"")</f>
        <v>#N/A</v>
      </c>
      <c r="E3508" s="41" t="str">
        <f t="shared" si="280"/>
        <v/>
      </c>
      <c r="F3508" s="200"/>
      <c r="G3508" s="178" t="e">
        <f>IF($C$1078&gt;0,VLOOKUP($C3508,PATRIMONIALE!$AJ$4:$AN$1003,5,FALSE),"")</f>
        <v>#N/A</v>
      </c>
      <c r="H3508" s="179" t="e">
        <f>IF($C$1078&gt;0,VLOOKUP($C3508,PATRIMONIALE!$AJ$4:$AO$1003,6,FALSE),"")</f>
        <v>#N/A</v>
      </c>
      <c r="I3508" s="187"/>
      <c r="J3508" s="140" t="e">
        <f ca="1">VLOOKUP(D3508,$F$1081:$I$4183,4,FALSE)+COUNTIF(E$1081:E3507,E3508)</f>
        <v>#N/A</v>
      </c>
      <c r="K3508" s="1"/>
      <c r="L3508" s="161" t="e">
        <f>IF($C$1078&gt;0,VLOOKUP($C3508,PATRIMONIALE!$AJ$4:$AP$1003,7,FALSE),"")</f>
        <v>#N/A</v>
      </c>
      <c r="M3508" s="1"/>
      <c r="N3508" s="1"/>
      <c r="O3508" s="1"/>
    </row>
    <row r="3509" spans="1:15" hidden="1">
      <c r="A3509" s="1"/>
      <c r="B3509" s="182" t="e">
        <f t="shared" ca="1" si="279"/>
        <v>#N/A</v>
      </c>
      <c r="C3509" s="500">
        <v>443</v>
      </c>
      <c r="D3509" s="41" t="e">
        <f>IF($C$1078&gt;0,VLOOKUP($C3509,PATRIMONIALE!$AJ$4:$AL$1003,3,FALSE),"")</f>
        <v>#N/A</v>
      </c>
      <c r="E3509" s="41" t="str">
        <f t="shared" si="280"/>
        <v/>
      </c>
      <c r="F3509" s="200"/>
      <c r="G3509" s="178" t="e">
        <f>IF($C$1078&gt;0,VLOOKUP($C3509,PATRIMONIALE!$AJ$4:$AN$1003,5,FALSE),"")</f>
        <v>#N/A</v>
      </c>
      <c r="H3509" s="179" t="e">
        <f>IF($C$1078&gt;0,VLOOKUP($C3509,PATRIMONIALE!$AJ$4:$AO$1003,6,FALSE),"")</f>
        <v>#N/A</v>
      </c>
      <c r="I3509" s="187"/>
      <c r="J3509" s="140" t="e">
        <f ca="1">VLOOKUP(D3509,$F$1081:$I$4183,4,FALSE)+COUNTIF(E$1081:E3508,E3509)</f>
        <v>#N/A</v>
      </c>
      <c r="K3509" s="1"/>
      <c r="L3509" s="161" t="e">
        <f>IF($C$1078&gt;0,VLOOKUP($C3509,PATRIMONIALE!$AJ$4:$AP$1003,7,FALSE),"")</f>
        <v>#N/A</v>
      </c>
      <c r="M3509" s="1"/>
      <c r="N3509" s="1"/>
      <c r="O3509" s="1"/>
    </row>
    <row r="3510" spans="1:15" hidden="1">
      <c r="A3510" s="1"/>
      <c r="B3510" s="182" t="e">
        <f t="shared" ca="1" si="279"/>
        <v>#N/A</v>
      </c>
      <c r="C3510" s="500">
        <v>444</v>
      </c>
      <c r="D3510" s="41" t="e">
        <f>IF($C$1078&gt;0,VLOOKUP($C3510,PATRIMONIALE!$AJ$4:$AL$1003,3,FALSE),"")</f>
        <v>#N/A</v>
      </c>
      <c r="E3510" s="41" t="str">
        <f t="shared" si="280"/>
        <v/>
      </c>
      <c r="F3510" s="200"/>
      <c r="G3510" s="178" t="e">
        <f>IF($C$1078&gt;0,VLOOKUP($C3510,PATRIMONIALE!$AJ$4:$AN$1003,5,FALSE),"")</f>
        <v>#N/A</v>
      </c>
      <c r="H3510" s="179" t="e">
        <f>IF($C$1078&gt;0,VLOOKUP($C3510,PATRIMONIALE!$AJ$4:$AO$1003,6,FALSE),"")</f>
        <v>#N/A</v>
      </c>
      <c r="I3510" s="187"/>
      <c r="J3510" s="140" t="e">
        <f ca="1">VLOOKUP(D3510,$F$1081:$I$4183,4,FALSE)+COUNTIF(E$1081:E3509,E3510)</f>
        <v>#N/A</v>
      </c>
      <c r="K3510" s="1"/>
      <c r="L3510" s="161" t="e">
        <f>IF($C$1078&gt;0,VLOOKUP($C3510,PATRIMONIALE!$AJ$4:$AP$1003,7,FALSE),"")</f>
        <v>#N/A</v>
      </c>
      <c r="M3510" s="1"/>
      <c r="N3510" s="1"/>
      <c r="O3510" s="1"/>
    </row>
    <row r="3511" spans="1:15" hidden="1">
      <c r="A3511" s="1"/>
      <c r="B3511" s="182" t="e">
        <f t="shared" ref="B3511:B3574" ca="1" si="281">IF(OR(C$1075&gt;0,C$1077&gt;0,C$1073&gt;0,C$1071&gt;0),J3511+1,J3511)</f>
        <v>#N/A</v>
      </c>
      <c r="C3511" s="500">
        <v>445</v>
      </c>
      <c r="D3511" s="41" t="e">
        <f>IF($C$1078&gt;0,VLOOKUP($C3511,PATRIMONIALE!$AJ$4:$AL$1003,3,FALSE),"")</f>
        <v>#N/A</v>
      </c>
      <c r="E3511" s="41" t="str">
        <f t="shared" si="280"/>
        <v/>
      </c>
      <c r="F3511" s="200"/>
      <c r="G3511" s="178" t="e">
        <f>IF($C$1078&gt;0,VLOOKUP($C3511,PATRIMONIALE!$AJ$4:$AN$1003,5,FALSE),"")</f>
        <v>#N/A</v>
      </c>
      <c r="H3511" s="179" t="e">
        <f>IF($C$1078&gt;0,VLOOKUP($C3511,PATRIMONIALE!$AJ$4:$AO$1003,6,FALSE),"")</f>
        <v>#N/A</v>
      </c>
      <c r="I3511" s="187"/>
      <c r="J3511" s="140" t="e">
        <f ca="1">VLOOKUP(D3511,$F$1081:$I$4183,4,FALSE)+COUNTIF(E$1081:E3510,E3511)</f>
        <v>#N/A</v>
      </c>
      <c r="K3511" s="1"/>
      <c r="L3511" s="161" t="e">
        <f>IF($C$1078&gt;0,VLOOKUP($C3511,PATRIMONIALE!$AJ$4:$AP$1003,7,FALSE),"")</f>
        <v>#N/A</v>
      </c>
      <c r="M3511" s="1"/>
      <c r="N3511" s="1"/>
      <c r="O3511" s="1"/>
    </row>
    <row r="3512" spans="1:15" hidden="1">
      <c r="A3512" s="1"/>
      <c r="B3512" s="182" t="e">
        <f t="shared" ca="1" si="281"/>
        <v>#N/A</v>
      </c>
      <c r="C3512" s="500">
        <v>446</v>
      </c>
      <c r="D3512" s="41" t="e">
        <f>IF($C$1078&gt;0,VLOOKUP($C3512,PATRIMONIALE!$AJ$4:$AL$1003,3,FALSE),"")</f>
        <v>#N/A</v>
      </c>
      <c r="E3512" s="41" t="str">
        <f t="shared" si="280"/>
        <v/>
      </c>
      <c r="F3512" s="200"/>
      <c r="G3512" s="178" t="e">
        <f>IF($C$1078&gt;0,VLOOKUP($C3512,PATRIMONIALE!$AJ$4:$AN$1003,5,FALSE),"")</f>
        <v>#N/A</v>
      </c>
      <c r="H3512" s="179" t="e">
        <f>IF($C$1078&gt;0,VLOOKUP($C3512,PATRIMONIALE!$AJ$4:$AO$1003,6,FALSE),"")</f>
        <v>#N/A</v>
      </c>
      <c r="I3512" s="187"/>
      <c r="J3512" s="140" t="e">
        <f ca="1">VLOOKUP(D3512,$F$1081:$I$4183,4,FALSE)+COUNTIF(E$1081:E3511,E3512)</f>
        <v>#N/A</v>
      </c>
      <c r="K3512" s="1"/>
      <c r="L3512" s="161" t="e">
        <f>IF($C$1078&gt;0,VLOOKUP($C3512,PATRIMONIALE!$AJ$4:$AP$1003,7,FALSE),"")</f>
        <v>#N/A</v>
      </c>
      <c r="M3512" s="1"/>
      <c r="N3512" s="1"/>
      <c r="O3512" s="1"/>
    </row>
    <row r="3513" spans="1:15" hidden="1">
      <c r="A3513" s="1"/>
      <c r="B3513" s="182" t="e">
        <f t="shared" ca="1" si="281"/>
        <v>#N/A</v>
      </c>
      <c r="C3513" s="500">
        <v>447</v>
      </c>
      <c r="D3513" s="41" t="e">
        <f>IF($C$1078&gt;0,VLOOKUP($C3513,PATRIMONIALE!$AJ$4:$AL$1003,3,FALSE),"")</f>
        <v>#N/A</v>
      </c>
      <c r="E3513" s="41" t="str">
        <f t="shared" si="280"/>
        <v/>
      </c>
      <c r="F3513" s="200"/>
      <c r="G3513" s="178" t="e">
        <f>IF($C$1078&gt;0,VLOOKUP($C3513,PATRIMONIALE!$AJ$4:$AN$1003,5,FALSE),"")</f>
        <v>#N/A</v>
      </c>
      <c r="H3513" s="179" t="e">
        <f>IF($C$1078&gt;0,VLOOKUP($C3513,PATRIMONIALE!$AJ$4:$AO$1003,6,FALSE),"")</f>
        <v>#N/A</v>
      </c>
      <c r="I3513" s="187"/>
      <c r="J3513" s="140" t="e">
        <f ca="1">VLOOKUP(D3513,$F$1081:$I$4183,4,FALSE)+COUNTIF(E$1081:E3512,E3513)</f>
        <v>#N/A</v>
      </c>
      <c r="K3513" s="1"/>
      <c r="L3513" s="161" t="e">
        <f>IF($C$1078&gt;0,VLOOKUP($C3513,PATRIMONIALE!$AJ$4:$AP$1003,7,FALSE),"")</f>
        <v>#N/A</v>
      </c>
      <c r="M3513" s="1"/>
      <c r="N3513" s="1"/>
      <c r="O3513" s="1"/>
    </row>
    <row r="3514" spans="1:15" hidden="1">
      <c r="A3514" s="1"/>
      <c r="B3514" s="182" t="e">
        <f t="shared" ca="1" si="281"/>
        <v>#N/A</v>
      </c>
      <c r="C3514" s="500">
        <v>448</v>
      </c>
      <c r="D3514" s="41" t="e">
        <f>IF($C$1078&gt;0,VLOOKUP($C3514,PATRIMONIALE!$AJ$4:$AL$1003,3,FALSE),"")</f>
        <v>#N/A</v>
      </c>
      <c r="E3514" s="41" t="str">
        <f t="shared" si="280"/>
        <v/>
      </c>
      <c r="F3514" s="200"/>
      <c r="G3514" s="178" t="e">
        <f>IF($C$1078&gt;0,VLOOKUP($C3514,PATRIMONIALE!$AJ$4:$AN$1003,5,FALSE),"")</f>
        <v>#N/A</v>
      </c>
      <c r="H3514" s="179" t="e">
        <f>IF($C$1078&gt;0,VLOOKUP($C3514,PATRIMONIALE!$AJ$4:$AO$1003,6,FALSE),"")</f>
        <v>#N/A</v>
      </c>
      <c r="I3514" s="187"/>
      <c r="J3514" s="140" t="e">
        <f ca="1">VLOOKUP(D3514,$F$1081:$I$4183,4,FALSE)+COUNTIF(E$1081:E3513,E3514)</f>
        <v>#N/A</v>
      </c>
      <c r="K3514" s="1"/>
      <c r="L3514" s="161" t="e">
        <f>IF($C$1078&gt;0,VLOOKUP($C3514,PATRIMONIALE!$AJ$4:$AP$1003,7,FALSE),"")</f>
        <v>#N/A</v>
      </c>
      <c r="M3514" s="1"/>
      <c r="N3514" s="1"/>
      <c r="O3514" s="1"/>
    </row>
    <row r="3515" spans="1:15" hidden="1">
      <c r="A3515" s="1"/>
      <c r="B3515" s="182" t="e">
        <f t="shared" ca="1" si="281"/>
        <v>#N/A</v>
      </c>
      <c r="C3515" s="500">
        <v>449</v>
      </c>
      <c r="D3515" s="41" t="e">
        <f>IF($C$1078&gt;0,VLOOKUP($C3515,PATRIMONIALE!$AJ$4:$AL$1003,3,FALSE),"")</f>
        <v>#N/A</v>
      </c>
      <c r="E3515" s="41" t="str">
        <f t="shared" si="280"/>
        <v/>
      </c>
      <c r="F3515" s="200"/>
      <c r="G3515" s="178" t="e">
        <f>IF($C$1078&gt;0,VLOOKUP($C3515,PATRIMONIALE!$AJ$4:$AN$1003,5,FALSE),"")</f>
        <v>#N/A</v>
      </c>
      <c r="H3515" s="179" t="e">
        <f>IF($C$1078&gt;0,VLOOKUP($C3515,PATRIMONIALE!$AJ$4:$AO$1003,6,FALSE),"")</f>
        <v>#N/A</v>
      </c>
      <c r="I3515" s="187"/>
      <c r="J3515" s="140" t="e">
        <f ca="1">VLOOKUP(D3515,$F$1081:$I$4183,4,FALSE)+COUNTIF(E$1081:E3514,E3515)</f>
        <v>#N/A</v>
      </c>
      <c r="K3515" s="1"/>
      <c r="L3515" s="161" t="e">
        <f>IF($C$1078&gt;0,VLOOKUP($C3515,PATRIMONIALE!$AJ$4:$AP$1003,7,FALSE),"")</f>
        <v>#N/A</v>
      </c>
      <c r="M3515" s="1"/>
      <c r="N3515" s="1"/>
      <c r="O3515" s="1"/>
    </row>
    <row r="3516" spans="1:15" hidden="1">
      <c r="A3516" s="1"/>
      <c r="B3516" s="182" t="e">
        <f t="shared" ca="1" si="281"/>
        <v>#N/A</v>
      </c>
      <c r="C3516" s="500">
        <v>450</v>
      </c>
      <c r="D3516" s="41" t="e">
        <f>IF($C$1078&gt;0,VLOOKUP($C3516,PATRIMONIALE!$AJ$4:$AL$1003,3,FALSE),"")</f>
        <v>#N/A</v>
      </c>
      <c r="E3516" s="41" t="str">
        <f t="shared" si="280"/>
        <v/>
      </c>
      <c r="F3516" s="200"/>
      <c r="G3516" s="178" t="e">
        <f>IF($C$1078&gt;0,VLOOKUP($C3516,PATRIMONIALE!$AJ$4:$AN$1003,5,FALSE),"")</f>
        <v>#N/A</v>
      </c>
      <c r="H3516" s="179" t="e">
        <f>IF($C$1078&gt;0,VLOOKUP($C3516,PATRIMONIALE!$AJ$4:$AO$1003,6,FALSE),"")</f>
        <v>#N/A</v>
      </c>
      <c r="I3516" s="187"/>
      <c r="J3516" s="140" t="e">
        <f ca="1">VLOOKUP(D3516,$F$1081:$I$4183,4,FALSE)+COUNTIF(E$1081:E3515,E3516)</f>
        <v>#N/A</v>
      </c>
      <c r="K3516" s="1"/>
      <c r="L3516" s="161" t="e">
        <f>IF($C$1078&gt;0,VLOOKUP($C3516,PATRIMONIALE!$AJ$4:$AP$1003,7,FALSE),"")</f>
        <v>#N/A</v>
      </c>
      <c r="M3516" s="1"/>
      <c r="N3516" s="1"/>
      <c r="O3516" s="1"/>
    </row>
    <row r="3517" spans="1:15" hidden="1">
      <c r="A3517" s="1"/>
      <c r="B3517" s="182" t="e">
        <f t="shared" ca="1" si="281"/>
        <v>#N/A</v>
      </c>
      <c r="C3517" s="500">
        <v>451</v>
      </c>
      <c r="D3517" s="41" t="e">
        <f>IF($C$1078&gt;0,VLOOKUP($C3517,PATRIMONIALE!$AJ$4:$AL$1003,3,FALSE),"")</f>
        <v>#N/A</v>
      </c>
      <c r="E3517" s="41" t="str">
        <f t="shared" si="280"/>
        <v/>
      </c>
      <c r="F3517" s="200"/>
      <c r="G3517" s="178" t="e">
        <f>IF($C$1078&gt;0,VLOOKUP($C3517,PATRIMONIALE!$AJ$4:$AN$1003,5,FALSE),"")</f>
        <v>#N/A</v>
      </c>
      <c r="H3517" s="179" t="e">
        <f>IF($C$1078&gt;0,VLOOKUP($C3517,PATRIMONIALE!$AJ$4:$AO$1003,6,FALSE),"")</f>
        <v>#N/A</v>
      </c>
      <c r="I3517" s="187"/>
      <c r="J3517" s="140" t="e">
        <f ca="1">VLOOKUP(D3517,$F$1081:$I$4183,4,FALSE)+COUNTIF(E$1081:E3516,E3517)</f>
        <v>#N/A</v>
      </c>
      <c r="K3517" s="1"/>
      <c r="L3517" s="161" t="e">
        <f>IF($C$1078&gt;0,VLOOKUP($C3517,PATRIMONIALE!$AJ$4:$AP$1003,7,FALSE),"")</f>
        <v>#N/A</v>
      </c>
      <c r="M3517" s="1"/>
      <c r="N3517" s="1"/>
      <c r="O3517" s="1"/>
    </row>
    <row r="3518" spans="1:15" hidden="1">
      <c r="A3518" s="1"/>
      <c r="B3518" s="182" t="e">
        <f t="shared" ca="1" si="281"/>
        <v>#N/A</v>
      </c>
      <c r="C3518" s="500">
        <v>452</v>
      </c>
      <c r="D3518" s="41" t="e">
        <f>IF($C$1078&gt;0,VLOOKUP($C3518,PATRIMONIALE!$AJ$4:$AL$1003,3,FALSE),"")</f>
        <v>#N/A</v>
      </c>
      <c r="E3518" s="41" t="str">
        <f t="shared" si="280"/>
        <v/>
      </c>
      <c r="F3518" s="200"/>
      <c r="G3518" s="178" t="e">
        <f>IF($C$1078&gt;0,VLOOKUP($C3518,PATRIMONIALE!$AJ$4:$AN$1003,5,FALSE),"")</f>
        <v>#N/A</v>
      </c>
      <c r="H3518" s="179" t="e">
        <f>IF($C$1078&gt;0,VLOOKUP($C3518,PATRIMONIALE!$AJ$4:$AO$1003,6,FALSE),"")</f>
        <v>#N/A</v>
      </c>
      <c r="I3518" s="187"/>
      <c r="J3518" s="140" t="e">
        <f ca="1">VLOOKUP(D3518,$F$1081:$I$4183,4,FALSE)+COUNTIF(E$1081:E3517,E3518)</f>
        <v>#N/A</v>
      </c>
      <c r="K3518" s="1"/>
      <c r="L3518" s="161" t="e">
        <f>IF($C$1078&gt;0,VLOOKUP($C3518,PATRIMONIALE!$AJ$4:$AP$1003,7,FALSE),"")</f>
        <v>#N/A</v>
      </c>
      <c r="M3518" s="1"/>
      <c r="N3518" s="1"/>
      <c r="O3518" s="1"/>
    </row>
    <row r="3519" spans="1:15" hidden="1">
      <c r="A3519" s="1"/>
      <c r="B3519" s="182" t="e">
        <f t="shared" ca="1" si="281"/>
        <v>#N/A</v>
      </c>
      <c r="C3519" s="500">
        <v>453</v>
      </c>
      <c r="D3519" s="41" t="e">
        <f>IF($C$1078&gt;0,VLOOKUP($C3519,PATRIMONIALE!$AJ$4:$AL$1003,3,FALSE),"")</f>
        <v>#N/A</v>
      </c>
      <c r="E3519" s="41" t="str">
        <f t="shared" si="280"/>
        <v/>
      </c>
      <c r="F3519" s="200"/>
      <c r="G3519" s="178" t="e">
        <f>IF($C$1078&gt;0,VLOOKUP($C3519,PATRIMONIALE!$AJ$4:$AN$1003,5,FALSE),"")</f>
        <v>#N/A</v>
      </c>
      <c r="H3519" s="179" t="e">
        <f>IF($C$1078&gt;0,VLOOKUP($C3519,PATRIMONIALE!$AJ$4:$AO$1003,6,FALSE),"")</f>
        <v>#N/A</v>
      </c>
      <c r="I3519" s="187"/>
      <c r="J3519" s="140" t="e">
        <f ca="1">VLOOKUP(D3519,$F$1081:$I$4183,4,FALSE)+COUNTIF(E$1081:E3518,E3519)</f>
        <v>#N/A</v>
      </c>
      <c r="K3519" s="1"/>
      <c r="L3519" s="161" t="e">
        <f>IF($C$1078&gt;0,VLOOKUP($C3519,PATRIMONIALE!$AJ$4:$AP$1003,7,FALSE),"")</f>
        <v>#N/A</v>
      </c>
      <c r="M3519" s="1"/>
      <c r="N3519" s="1"/>
      <c r="O3519" s="1"/>
    </row>
    <row r="3520" spans="1:15" hidden="1">
      <c r="A3520" s="1"/>
      <c r="B3520" s="182" t="e">
        <f t="shared" ca="1" si="281"/>
        <v>#N/A</v>
      </c>
      <c r="C3520" s="500">
        <v>454</v>
      </c>
      <c r="D3520" s="41" t="e">
        <f>IF($C$1078&gt;0,VLOOKUP($C3520,PATRIMONIALE!$AJ$4:$AL$1003,3,FALSE),"")</f>
        <v>#N/A</v>
      </c>
      <c r="E3520" s="41" t="str">
        <f t="shared" si="280"/>
        <v/>
      </c>
      <c r="F3520" s="200"/>
      <c r="G3520" s="178" t="e">
        <f>IF($C$1078&gt;0,VLOOKUP($C3520,PATRIMONIALE!$AJ$4:$AN$1003,5,FALSE),"")</f>
        <v>#N/A</v>
      </c>
      <c r="H3520" s="179" t="e">
        <f>IF($C$1078&gt;0,VLOOKUP($C3520,PATRIMONIALE!$AJ$4:$AO$1003,6,FALSE),"")</f>
        <v>#N/A</v>
      </c>
      <c r="I3520" s="187"/>
      <c r="J3520" s="140" t="e">
        <f ca="1">VLOOKUP(D3520,$F$1081:$I$4183,4,FALSE)+COUNTIF(E$1081:E3519,E3520)</f>
        <v>#N/A</v>
      </c>
      <c r="K3520" s="1"/>
      <c r="L3520" s="161" t="e">
        <f>IF($C$1078&gt;0,VLOOKUP($C3520,PATRIMONIALE!$AJ$4:$AP$1003,7,FALSE),"")</f>
        <v>#N/A</v>
      </c>
      <c r="M3520" s="1"/>
      <c r="N3520" s="1"/>
      <c r="O3520" s="1"/>
    </row>
    <row r="3521" spans="1:15" hidden="1">
      <c r="A3521" s="1"/>
      <c r="B3521" s="182" t="e">
        <f t="shared" ca="1" si="281"/>
        <v>#N/A</v>
      </c>
      <c r="C3521" s="500">
        <v>455</v>
      </c>
      <c r="D3521" s="41" t="e">
        <f>IF($C$1078&gt;0,VLOOKUP($C3521,PATRIMONIALE!$AJ$4:$AL$1003,3,FALSE),"")</f>
        <v>#N/A</v>
      </c>
      <c r="E3521" s="41" t="str">
        <f t="shared" ref="E3521:E3584" si="282">IF(ISERROR(D3521),"",D3521)</f>
        <v/>
      </c>
      <c r="F3521" s="200"/>
      <c r="G3521" s="178" t="e">
        <f>IF($C$1078&gt;0,VLOOKUP($C3521,PATRIMONIALE!$AJ$4:$AN$1003,5,FALSE),"")</f>
        <v>#N/A</v>
      </c>
      <c r="H3521" s="179" t="e">
        <f>IF($C$1078&gt;0,VLOOKUP($C3521,PATRIMONIALE!$AJ$4:$AO$1003,6,FALSE),"")</f>
        <v>#N/A</v>
      </c>
      <c r="I3521" s="187"/>
      <c r="J3521" s="140" t="e">
        <f ca="1">VLOOKUP(D3521,$F$1081:$I$4183,4,FALSE)+COUNTIF(E$1081:E3520,E3521)</f>
        <v>#N/A</v>
      </c>
      <c r="K3521" s="1"/>
      <c r="L3521" s="161" t="e">
        <f>IF($C$1078&gt;0,VLOOKUP($C3521,PATRIMONIALE!$AJ$4:$AP$1003,7,FALSE),"")</f>
        <v>#N/A</v>
      </c>
      <c r="M3521" s="1"/>
      <c r="N3521" s="1"/>
      <c r="O3521" s="1"/>
    </row>
    <row r="3522" spans="1:15" hidden="1">
      <c r="A3522" s="1"/>
      <c r="B3522" s="182" t="e">
        <f t="shared" ca="1" si="281"/>
        <v>#N/A</v>
      </c>
      <c r="C3522" s="500">
        <v>456</v>
      </c>
      <c r="D3522" s="41" t="e">
        <f>IF($C$1078&gt;0,VLOOKUP($C3522,PATRIMONIALE!$AJ$4:$AL$1003,3,FALSE),"")</f>
        <v>#N/A</v>
      </c>
      <c r="E3522" s="41" t="str">
        <f t="shared" si="282"/>
        <v/>
      </c>
      <c r="F3522" s="200"/>
      <c r="G3522" s="178" t="e">
        <f>IF($C$1078&gt;0,VLOOKUP($C3522,PATRIMONIALE!$AJ$4:$AN$1003,5,FALSE),"")</f>
        <v>#N/A</v>
      </c>
      <c r="H3522" s="179" t="e">
        <f>IF($C$1078&gt;0,VLOOKUP($C3522,PATRIMONIALE!$AJ$4:$AO$1003,6,FALSE),"")</f>
        <v>#N/A</v>
      </c>
      <c r="I3522" s="187"/>
      <c r="J3522" s="140" t="e">
        <f ca="1">VLOOKUP(D3522,$F$1081:$I$4183,4,FALSE)+COUNTIF(E$1081:E3521,E3522)</f>
        <v>#N/A</v>
      </c>
      <c r="K3522" s="1"/>
      <c r="L3522" s="161" t="e">
        <f>IF($C$1078&gt;0,VLOOKUP($C3522,PATRIMONIALE!$AJ$4:$AP$1003,7,FALSE),"")</f>
        <v>#N/A</v>
      </c>
      <c r="M3522" s="1"/>
      <c r="N3522" s="1"/>
      <c r="O3522" s="1"/>
    </row>
    <row r="3523" spans="1:15" hidden="1">
      <c r="A3523" s="1"/>
      <c r="B3523" s="182" t="e">
        <f t="shared" ca="1" si="281"/>
        <v>#N/A</v>
      </c>
      <c r="C3523" s="500">
        <v>457</v>
      </c>
      <c r="D3523" s="41" t="e">
        <f>IF($C$1078&gt;0,VLOOKUP($C3523,PATRIMONIALE!$AJ$4:$AL$1003,3,FALSE),"")</f>
        <v>#N/A</v>
      </c>
      <c r="E3523" s="41" t="str">
        <f t="shared" si="282"/>
        <v/>
      </c>
      <c r="F3523" s="200"/>
      <c r="G3523" s="178" t="e">
        <f>IF($C$1078&gt;0,VLOOKUP($C3523,PATRIMONIALE!$AJ$4:$AN$1003,5,FALSE),"")</f>
        <v>#N/A</v>
      </c>
      <c r="H3523" s="179" t="e">
        <f>IF($C$1078&gt;0,VLOOKUP($C3523,PATRIMONIALE!$AJ$4:$AO$1003,6,FALSE),"")</f>
        <v>#N/A</v>
      </c>
      <c r="I3523" s="187"/>
      <c r="J3523" s="140" t="e">
        <f ca="1">VLOOKUP(D3523,$F$1081:$I$4183,4,FALSE)+COUNTIF(E$1081:E3522,E3523)</f>
        <v>#N/A</v>
      </c>
      <c r="K3523" s="1"/>
      <c r="L3523" s="161" t="e">
        <f>IF($C$1078&gt;0,VLOOKUP($C3523,PATRIMONIALE!$AJ$4:$AP$1003,7,FALSE),"")</f>
        <v>#N/A</v>
      </c>
      <c r="M3523" s="1"/>
      <c r="N3523" s="1"/>
      <c r="O3523" s="1"/>
    </row>
    <row r="3524" spans="1:15" hidden="1">
      <c r="A3524" s="1"/>
      <c r="B3524" s="182" t="e">
        <f t="shared" ca="1" si="281"/>
        <v>#N/A</v>
      </c>
      <c r="C3524" s="500">
        <v>458</v>
      </c>
      <c r="D3524" s="41" t="e">
        <f>IF($C$1078&gt;0,VLOOKUP($C3524,PATRIMONIALE!$AJ$4:$AL$1003,3,FALSE),"")</f>
        <v>#N/A</v>
      </c>
      <c r="E3524" s="41" t="str">
        <f t="shared" si="282"/>
        <v/>
      </c>
      <c r="F3524" s="200"/>
      <c r="G3524" s="178" t="e">
        <f>IF($C$1078&gt;0,VLOOKUP($C3524,PATRIMONIALE!$AJ$4:$AN$1003,5,FALSE),"")</f>
        <v>#N/A</v>
      </c>
      <c r="H3524" s="179" t="e">
        <f>IF($C$1078&gt;0,VLOOKUP($C3524,PATRIMONIALE!$AJ$4:$AO$1003,6,FALSE),"")</f>
        <v>#N/A</v>
      </c>
      <c r="I3524" s="187"/>
      <c r="J3524" s="140" t="e">
        <f ca="1">VLOOKUP(D3524,$F$1081:$I$4183,4,FALSE)+COUNTIF(E$1081:E3523,E3524)</f>
        <v>#N/A</v>
      </c>
      <c r="K3524" s="1"/>
      <c r="L3524" s="161" t="e">
        <f>IF($C$1078&gt;0,VLOOKUP($C3524,PATRIMONIALE!$AJ$4:$AP$1003,7,FALSE),"")</f>
        <v>#N/A</v>
      </c>
      <c r="M3524" s="1"/>
      <c r="N3524" s="1"/>
      <c r="O3524" s="1"/>
    </row>
    <row r="3525" spans="1:15" hidden="1">
      <c r="A3525" s="1"/>
      <c r="B3525" s="182" t="e">
        <f t="shared" ca="1" si="281"/>
        <v>#N/A</v>
      </c>
      <c r="C3525" s="500">
        <v>459</v>
      </c>
      <c r="D3525" s="41" t="e">
        <f>IF($C$1078&gt;0,VLOOKUP($C3525,PATRIMONIALE!$AJ$4:$AL$1003,3,FALSE),"")</f>
        <v>#N/A</v>
      </c>
      <c r="E3525" s="41" t="str">
        <f t="shared" si="282"/>
        <v/>
      </c>
      <c r="F3525" s="200"/>
      <c r="G3525" s="178" t="e">
        <f>IF($C$1078&gt;0,VLOOKUP($C3525,PATRIMONIALE!$AJ$4:$AN$1003,5,FALSE),"")</f>
        <v>#N/A</v>
      </c>
      <c r="H3525" s="179" t="e">
        <f>IF($C$1078&gt;0,VLOOKUP($C3525,PATRIMONIALE!$AJ$4:$AO$1003,6,FALSE),"")</f>
        <v>#N/A</v>
      </c>
      <c r="I3525" s="187"/>
      <c r="J3525" s="140" t="e">
        <f ca="1">VLOOKUP(D3525,$F$1081:$I$4183,4,FALSE)+COUNTIF(E$1081:E3524,E3525)</f>
        <v>#N/A</v>
      </c>
      <c r="K3525" s="1"/>
      <c r="L3525" s="161" t="e">
        <f>IF($C$1078&gt;0,VLOOKUP($C3525,PATRIMONIALE!$AJ$4:$AP$1003,7,FALSE),"")</f>
        <v>#N/A</v>
      </c>
      <c r="M3525" s="1"/>
      <c r="N3525" s="1"/>
      <c r="O3525" s="1"/>
    </row>
    <row r="3526" spans="1:15" hidden="1">
      <c r="A3526" s="1"/>
      <c r="B3526" s="182" t="e">
        <f t="shared" ca="1" si="281"/>
        <v>#N/A</v>
      </c>
      <c r="C3526" s="500">
        <v>460</v>
      </c>
      <c r="D3526" s="41" t="e">
        <f>IF($C$1078&gt;0,VLOOKUP($C3526,PATRIMONIALE!$AJ$4:$AL$1003,3,FALSE),"")</f>
        <v>#N/A</v>
      </c>
      <c r="E3526" s="41" t="str">
        <f t="shared" si="282"/>
        <v/>
      </c>
      <c r="F3526" s="200"/>
      <c r="G3526" s="178" t="e">
        <f>IF($C$1078&gt;0,VLOOKUP($C3526,PATRIMONIALE!$AJ$4:$AN$1003,5,FALSE),"")</f>
        <v>#N/A</v>
      </c>
      <c r="H3526" s="179" t="e">
        <f>IF($C$1078&gt;0,VLOOKUP($C3526,PATRIMONIALE!$AJ$4:$AO$1003,6,FALSE),"")</f>
        <v>#N/A</v>
      </c>
      <c r="I3526" s="187"/>
      <c r="J3526" s="140" t="e">
        <f ca="1">VLOOKUP(D3526,$F$1081:$I$4183,4,FALSE)+COUNTIF(E$1081:E3525,E3526)</f>
        <v>#N/A</v>
      </c>
      <c r="K3526" s="1"/>
      <c r="L3526" s="161" t="e">
        <f>IF($C$1078&gt;0,VLOOKUP($C3526,PATRIMONIALE!$AJ$4:$AP$1003,7,FALSE),"")</f>
        <v>#N/A</v>
      </c>
      <c r="M3526" s="1"/>
      <c r="N3526" s="1"/>
      <c r="O3526" s="1"/>
    </row>
    <row r="3527" spans="1:15" hidden="1">
      <c r="A3527" s="1"/>
      <c r="B3527" s="182" t="e">
        <f t="shared" ca="1" si="281"/>
        <v>#N/A</v>
      </c>
      <c r="C3527" s="500">
        <v>461</v>
      </c>
      <c r="D3527" s="41" t="e">
        <f>IF($C$1078&gt;0,VLOOKUP($C3527,PATRIMONIALE!$AJ$4:$AL$1003,3,FALSE),"")</f>
        <v>#N/A</v>
      </c>
      <c r="E3527" s="41" t="str">
        <f t="shared" si="282"/>
        <v/>
      </c>
      <c r="F3527" s="200"/>
      <c r="G3527" s="178" t="e">
        <f>IF($C$1078&gt;0,VLOOKUP($C3527,PATRIMONIALE!$AJ$4:$AN$1003,5,FALSE),"")</f>
        <v>#N/A</v>
      </c>
      <c r="H3527" s="179" t="e">
        <f>IF($C$1078&gt;0,VLOOKUP($C3527,PATRIMONIALE!$AJ$4:$AO$1003,6,FALSE),"")</f>
        <v>#N/A</v>
      </c>
      <c r="I3527" s="187"/>
      <c r="J3527" s="140" t="e">
        <f ca="1">VLOOKUP(D3527,$F$1081:$I$4183,4,FALSE)+COUNTIF(E$1081:E3526,E3527)</f>
        <v>#N/A</v>
      </c>
      <c r="K3527" s="1"/>
      <c r="L3527" s="161" t="e">
        <f>IF($C$1078&gt;0,VLOOKUP($C3527,PATRIMONIALE!$AJ$4:$AP$1003,7,FALSE),"")</f>
        <v>#N/A</v>
      </c>
      <c r="M3527" s="1"/>
      <c r="N3527" s="1"/>
      <c r="O3527" s="1"/>
    </row>
    <row r="3528" spans="1:15" hidden="1">
      <c r="A3528" s="1"/>
      <c r="B3528" s="182" t="e">
        <f t="shared" ca="1" si="281"/>
        <v>#N/A</v>
      </c>
      <c r="C3528" s="500">
        <v>462</v>
      </c>
      <c r="D3528" s="41" t="e">
        <f>IF($C$1078&gt;0,VLOOKUP($C3528,PATRIMONIALE!$AJ$4:$AL$1003,3,FALSE),"")</f>
        <v>#N/A</v>
      </c>
      <c r="E3528" s="41" t="str">
        <f t="shared" si="282"/>
        <v/>
      </c>
      <c r="F3528" s="200"/>
      <c r="G3528" s="178" t="e">
        <f>IF($C$1078&gt;0,VLOOKUP($C3528,PATRIMONIALE!$AJ$4:$AN$1003,5,FALSE),"")</f>
        <v>#N/A</v>
      </c>
      <c r="H3528" s="179" t="e">
        <f>IF($C$1078&gt;0,VLOOKUP($C3528,PATRIMONIALE!$AJ$4:$AO$1003,6,FALSE),"")</f>
        <v>#N/A</v>
      </c>
      <c r="I3528" s="187"/>
      <c r="J3528" s="140" t="e">
        <f ca="1">VLOOKUP(D3528,$F$1081:$I$4183,4,FALSE)+COUNTIF(E$1081:E3527,E3528)</f>
        <v>#N/A</v>
      </c>
      <c r="K3528" s="1"/>
      <c r="L3528" s="161" t="e">
        <f>IF($C$1078&gt;0,VLOOKUP($C3528,PATRIMONIALE!$AJ$4:$AP$1003,7,FALSE),"")</f>
        <v>#N/A</v>
      </c>
      <c r="M3528" s="1"/>
      <c r="N3528" s="1"/>
      <c r="O3528" s="1"/>
    </row>
    <row r="3529" spans="1:15" hidden="1">
      <c r="A3529" s="1"/>
      <c r="B3529" s="182" t="e">
        <f t="shared" ca="1" si="281"/>
        <v>#N/A</v>
      </c>
      <c r="C3529" s="500">
        <v>463</v>
      </c>
      <c r="D3529" s="41" t="e">
        <f>IF($C$1078&gt;0,VLOOKUP($C3529,PATRIMONIALE!$AJ$4:$AL$1003,3,FALSE),"")</f>
        <v>#N/A</v>
      </c>
      <c r="E3529" s="41" t="str">
        <f t="shared" si="282"/>
        <v/>
      </c>
      <c r="F3529" s="200"/>
      <c r="G3529" s="178" t="e">
        <f>IF($C$1078&gt;0,VLOOKUP($C3529,PATRIMONIALE!$AJ$4:$AN$1003,5,FALSE),"")</f>
        <v>#N/A</v>
      </c>
      <c r="H3529" s="179" t="e">
        <f>IF($C$1078&gt;0,VLOOKUP($C3529,PATRIMONIALE!$AJ$4:$AO$1003,6,FALSE),"")</f>
        <v>#N/A</v>
      </c>
      <c r="I3529" s="187"/>
      <c r="J3529" s="140" t="e">
        <f ca="1">VLOOKUP(D3529,$F$1081:$I$4183,4,FALSE)+COUNTIF(E$1081:E3528,E3529)</f>
        <v>#N/A</v>
      </c>
      <c r="K3529" s="1"/>
      <c r="L3529" s="161" t="e">
        <f>IF($C$1078&gt;0,VLOOKUP($C3529,PATRIMONIALE!$AJ$4:$AP$1003,7,FALSE),"")</f>
        <v>#N/A</v>
      </c>
      <c r="M3529" s="1"/>
      <c r="N3529" s="1"/>
      <c r="O3529" s="1"/>
    </row>
    <row r="3530" spans="1:15" hidden="1">
      <c r="A3530" s="1"/>
      <c r="B3530" s="182" t="e">
        <f t="shared" ca="1" si="281"/>
        <v>#N/A</v>
      </c>
      <c r="C3530" s="500">
        <v>464</v>
      </c>
      <c r="D3530" s="41" t="e">
        <f>IF($C$1078&gt;0,VLOOKUP($C3530,PATRIMONIALE!$AJ$4:$AL$1003,3,FALSE),"")</f>
        <v>#N/A</v>
      </c>
      <c r="E3530" s="41" t="str">
        <f t="shared" si="282"/>
        <v/>
      </c>
      <c r="F3530" s="200"/>
      <c r="G3530" s="178" t="e">
        <f>IF($C$1078&gt;0,VLOOKUP($C3530,PATRIMONIALE!$AJ$4:$AN$1003,5,FALSE),"")</f>
        <v>#N/A</v>
      </c>
      <c r="H3530" s="179" t="e">
        <f>IF($C$1078&gt;0,VLOOKUP($C3530,PATRIMONIALE!$AJ$4:$AO$1003,6,FALSE),"")</f>
        <v>#N/A</v>
      </c>
      <c r="I3530" s="187"/>
      <c r="J3530" s="140" t="e">
        <f ca="1">VLOOKUP(D3530,$F$1081:$I$4183,4,FALSE)+COUNTIF(E$1081:E3529,E3530)</f>
        <v>#N/A</v>
      </c>
      <c r="K3530" s="1"/>
      <c r="L3530" s="161" t="e">
        <f>IF($C$1078&gt;0,VLOOKUP($C3530,PATRIMONIALE!$AJ$4:$AP$1003,7,FALSE),"")</f>
        <v>#N/A</v>
      </c>
      <c r="M3530" s="1"/>
      <c r="N3530" s="1"/>
      <c r="O3530" s="1"/>
    </row>
    <row r="3531" spans="1:15" hidden="1">
      <c r="A3531" s="1"/>
      <c r="B3531" s="182" t="e">
        <f t="shared" ca="1" si="281"/>
        <v>#N/A</v>
      </c>
      <c r="C3531" s="500">
        <v>465</v>
      </c>
      <c r="D3531" s="41" t="e">
        <f>IF($C$1078&gt;0,VLOOKUP($C3531,PATRIMONIALE!$AJ$4:$AL$1003,3,FALSE),"")</f>
        <v>#N/A</v>
      </c>
      <c r="E3531" s="41" t="str">
        <f t="shared" si="282"/>
        <v/>
      </c>
      <c r="F3531" s="200"/>
      <c r="G3531" s="178" t="e">
        <f>IF($C$1078&gt;0,VLOOKUP($C3531,PATRIMONIALE!$AJ$4:$AN$1003,5,FALSE),"")</f>
        <v>#N/A</v>
      </c>
      <c r="H3531" s="179" t="e">
        <f>IF($C$1078&gt;0,VLOOKUP($C3531,PATRIMONIALE!$AJ$4:$AO$1003,6,FALSE),"")</f>
        <v>#N/A</v>
      </c>
      <c r="I3531" s="187"/>
      <c r="J3531" s="140" t="e">
        <f ca="1">VLOOKUP(D3531,$F$1081:$I$4183,4,FALSE)+COUNTIF(E$1081:E3530,E3531)</f>
        <v>#N/A</v>
      </c>
      <c r="K3531" s="1"/>
      <c r="L3531" s="161" t="e">
        <f>IF($C$1078&gt;0,VLOOKUP($C3531,PATRIMONIALE!$AJ$4:$AP$1003,7,FALSE),"")</f>
        <v>#N/A</v>
      </c>
      <c r="M3531" s="1"/>
      <c r="N3531" s="1"/>
      <c r="O3531" s="1"/>
    </row>
    <row r="3532" spans="1:15" hidden="1">
      <c r="A3532" s="1"/>
      <c r="B3532" s="182" t="e">
        <f t="shared" ca="1" si="281"/>
        <v>#N/A</v>
      </c>
      <c r="C3532" s="500">
        <v>466</v>
      </c>
      <c r="D3532" s="41" t="e">
        <f>IF($C$1078&gt;0,VLOOKUP($C3532,PATRIMONIALE!$AJ$4:$AL$1003,3,FALSE),"")</f>
        <v>#N/A</v>
      </c>
      <c r="E3532" s="41" t="str">
        <f t="shared" si="282"/>
        <v/>
      </c>
      <c r="F3532" s="200"/>
      <c r="G3532" s="178" t="e">
        <f>IF($C$1078&gt;0,VLOOKUP($C3532,PATRIMONIALE!$AJ$4:$AN$1003,5,FALSE),"")</f>
        <v>#N/A</v>
      </c>
      <c r="H3532" s="179" t="e">
        <f>IF($C$1078&gt;0,VLOOKUP($C3532,PATRIMONIALE!$AJ$4:$AO$1003,6,FALSE),"")</f>
        <v>#N/A</v>
      </c>
      <c r="I3532" s="187"/>
      <c r="J3532" s="140" t="e">
        <f ca="1">VLOOKUP(D3532,$F$1081:$I$4183,4,FALSE)+COUNTIF(E$1081:E3531,E3532)</f>
        <v>#N/A</v>
      </c>
      <c r="K3532" s="1"/>
      <c r="L3532" s="161" t="e">
        <f>IF($C$1078&gt;0,VLOOKUP($C3532,PATRIMONIALE!$AJ$4:$AP$1003,7,FALSE),"")</f>
        <v>#N/A</v>
      </c>
      <c r="M3532" s="1"/>
      <c r="N3532" s="1"/>
      <c r="O3532" s="1"/>
    </row>
    <row r="3533" spans="1:15" hidden="1">
      <c r="A3533" s="1"/>
      <c r="B3533" s="182" t="e">
        <f t="shared" ca="1" si="281"/>
        <v>#N/A</v>
      </c>
      <c r="C3533" s="500">
        <v>467</v>
      </c>
      <c r="D3533" s="41" t="e">
        <f>IF($C$1078&gt;0,VLOOKUP($C3533,PATRIMONIALE!$AJ$4:$AL$1003,3,FALSE),"")</f>
        <v>#N/A</v>
      </c>
      <c r="E3533" s="41" t="str">
        <f t="shared" si="282"/>
        <v/>
      </c>
      <c r="F3533" s="200"/>
      <c r="G3533" s="178" t="e">
        <f>IF($C$1078&gt;0,VLOOKUP($C3533,PATRIMONIALE!$AJ$4:$AN$1003,5,FALSE),"")</f>
        <v>#N/A</v>
      </c>
      <c r="H3533" s="179" t="e">
        <f>IF($C$1078&gt;0,VLOOKUP($C3533,PATRIMONIALE!$AJ$4:$AO$1003,6,FALSE),"")</f>
        <v>#N/A</v>
      </c>
      <c r="I3533" s="187"/>
      <c r="J3533" s="140" t="e">
        <f ca="1">VLOOKUP(D3533,$F$1081:$I$4183,4,FALSE)+COUNTIF(E$1081:E3532,E3533)</f>
        <v>#N/A</v>
      </c>
      <c r="K3533" s="1"/>
      <c r="L3533" s="161" t="e">
        <f>IF($C$1078&gt;0,VLOOKUP($C3533,PATRIMONIALE!$AJ$4:$AP$1003,7,FALSE),"")</f>
        <v>#N/A</v>
      </c>
      <c r="M3533" s="1"/>
      <c r="N3533" s="1"/>
      <c r="O3533" s="1"/>
    </row>
    <row r="3534" spans="1:15" hidden="1">
      <c r="A3534" s="1"/>
      <c r="B3534" s="182" t="e">
        <f t="shared" ca="1" si="281"/>
        <v>#N/A</v>
      </c>
      <c r="C3534" s="500">
        <v>468</v>
      </c>
      <c r="D3534" s="41" t="e">
        <f>IF($C$1078&gt;0,VLOOKUP($C3534,PATRIMONIALE!$AJ$4:$AL$1003,3,FALSE),"")</f>
        <v>#N/A</v>
      </c>
      <c r="E3534" s="41" t="str">
        <f t="shared" si="282"/>
        <v/>
      </c>
      <c r="F3534" s="200"/>
      <c r="G3534" s="178" t="e">
        <f>IF($C$1078&gt;0,VLOOKUP($C3534,PATRIMONIALE!$AJ$4:$AN$1003,5,FALSE),"")</f>
        <v>#N/A</v>
      </c>
      <c r="H3534" s="179" t="e">
        <f>IF($C$1078&gt;0,VLOOKUP($C3534,PATRIMONIALE!$AJ$4:$AO$1003,6,FALSE),"")</f>
        <v>#N/A</v>
      </c>
      <c r="I3534" s="187"/>
      <c r="J3534" s="140" t="e">
        <f ca="1">VLOOKUP(D3534,$F$1081:$I$4183,4,FALSE)+COUNTIF(E$1081:E3533,E3534)</f>
        <v>#N/A</v>
      </c>
      <c r="K3534" s="1"/>
      <c r="L3534" s="161" t="e">
        <f>IF($C$1078&gt;0,VLOOKUP($C3534,PATRIMONIALE!$AJ$4:$AP$1003,7,FALSE),"")</f>
        <v>#N/A</v>
      </c>
      <c r="M3534" s="1"/>
      <c r="N3534" s="1"/>
      <c r="O3534" s="1"/>
    </row>
    <row r="3535" spans="1:15" hidden="1">
      <c r="A3535" s="1"/>
      <c r="B3535" s="182" t="e">
        <f t="shared" ca="1" si="281"/>
        <v>#N/A</v>
      </c>
      <c r="C3535" s="500">
        <v>469</v>
      </c>
      <c r="D3535" s="41" t="e">
        <f>IF($C$1078&gt;0,VLOOKUP($C3535,PATRIMONIALE!$AJ$4:$AL$1003,3,FALSE),"")</f>
        <v>#N/A</v>
      </c>
      <c r="E3535" s="41" t="str">
        <f t="shared" si="282"/>
        <v/>
      </c>
      <c r="F3535" s="200"/>
      <c r="G3535" s="178" t="e">
        <f>IF($C$1078&gt;0,VLOOKUP($C3535,PATRIMONIALE!$AJ$4:$AN$1003,5,FALSE),"")</f>
        <v>#N/A</v>
      </c>
      <c r="H3535" s="179" t="e">
        <f>IF($C$1078&gt;0,VLOOKUP($C3535,PATRIMONIALE!$AJ$4:$AO$1003,6,FALSE),"")</f>
        <v>#N/A</v>
      </c>
      <c r="I3535" s="187"/>
      <c r="J3535" s="140" t="e">
        <f ca="1">VLOOKUP(D3535,$F$1081:$I$4183,4,FALSE)+COUNTIF(E$1081:E3534,E3535)</f>
        <v>#N/A</v>
      </c>
      <c r="K3535" s="1"/>
      <c r="L3535" s="161" t="e">
        <f>IF($C$1078&gt;0,VLOOKUP($C3535,PATRIMONIALE!$AJ$4:$AP$1003,7,FALSE),"")</f>
        <v>#N/A</v>
      </c>
      <c r="M3535" s="1"/>
      <c r="N3535" s="1"/>
      <c r="O3535" s="1"/>
    </row>
    <row r="3536" spans="1:15" hidden="1">
      <c r="A3536" s="1"/>
      <c r="B3536" s="182" t="e">
        <f t="shared" ca="1" si="281"/>
        <v>#N/A</v>
      </c>
      <c r="C3536" s="500">
        <v>470</v>
      </c>
      <c r="D3536" s="41" t="e">
        <f>IF($C$1078&gt;0,VLOOKUP($C3536,PATRIMONIALE!$AJ$4:$AL$1003,3,FALSE),"")</f>
        <v>#N/A</v>
      </c>
      <c r="E3536" s="41" t="str">
        <f t="shared" si="282"/>
        <v/>
      </c>
      <c r="F3536" s="200"/>
      <c r="G3536" s="178" t="e">
        <f>IF($C$1078&gt;0,VLOOKUP($C3536,PATRIMONIALE!$AJ$4:$AN$1003,5,FALSE),"")</f>
        <v>#N/A</v>
      </c>
      <c r="H3536" s="179" t="e">
        <f>IF($C$1078&gt;0,VLOOKUP($C3536,PATRIMONIALE!$AJ$4:$AO$1003,6,FALSE),"")</f>
        <v>#N/A</v>
      </c>
      <c r="I3536" s="187"/>
      <c r="J3536" s="140" t="e">
        <f ca="1">VLOOKUP(D3536,$F$1081:$I$4183,4,FALSE)+COUNTIF(E$1081:E3535,E3536)</f>
        <v>#N/A</v>
      </c>
      <c r="K3536" s="1"/>
      <c r="L3536" s="161" t="e">
        <f>IF($C$1078&gt;0,VLOOKUP($C3536,PATRIMONIALE!$AJ$4:$AP$1003,7,FALSE),"")</f>
        <v>#N/A</v>
      </c>
      <c r="M3536" s="1"/>
      <c r="N3536" s="1"/>
      <c r="O3536" s="1"/>
    </row>
    <row r="3537" spans="1:15" hidden="1">
      <c r="A3537" s="1"/>
      <c r="B3537" s="182" t="e">
        <f t="shared" ca="1" si="281"/>
        <v>#N/A</v>
      </c>
      <c r="C3537" s="500">
        <v>471</v>
      </c>
      <c r="D3537" s="41" t="e">
        <f>IF($C$1078&gt;0,VLOOKUP($C3537,PATRIMONIALE!$AJ$4:$AL$1003,3,FALSE),"")</f>
        <v>#N/A</v>
      </c>
      <c r="E3537" s="41" t="str">
        <f t="shared" si="282"/>
        <v/>
      </c>
      <c r="F3537" s="200"/>
      <c r="G3537" s="178" t="e">
        <f>IF($C$1078&gt;0,VLOOKUP($C3537,PATRIMONIALE!$AJ$4:$AN$1003,5,FALSE),"")</f>
        <v>#N/A</v>
      </c>
      <c r="H3537" s="179" t="e">
        <f>IF($C$1078&gt;0,VLOOKUP($C3537,PATRIMONIALE!$AJ$4:$AO$1003,6,FALSE),"")</f>
        <v>#N/A</v>
      </c>
      <c r="I3537" s="187"/>
      <c r="J3537" s="140" t="e">
        <f ca="1">VLOOKUP(D3537,$F$1081:$I$4183,4,FALSE)+COUNTIF(E$1081:E3536,E3537)</f>
        <v>#N/A</v>
      </c>
      <c r="K3537" s="1"/>
      <c r="L3537" s="161" t="e">
        <f>IF($C$1078&gt;0,VLOOKUP($C3537,PATRIMONIALE!$AJ$4:$AP$1003,7,FALSE),"")</f>
        <v>#N/A</v>
      </c>
      <c r="M3537" s="1"/>
      <c r="N3537" s="1"/>
      <c r="O3537" s="1"/>
    </row>
    <row r="3538" spans="1:15" hidden="1">
      <c r="A3538" s="1"/>
      <c r="B3538" s="182" t="e">
        <f t="shared" ca="1" si="281"/>
        <v>#N/A</v>
      </c>
      <c r="C3538" s="500">
        <v>472</v>
      </c>
      <c r="D3538" s="41" t="e">
        <f>IF($C$1078&gt;0,VLOOKUP($C3538,PATRIMONIALE!$AJ$4:$AL$1003,3,FALSE),"")</f>
        <v>#N/A</v>
      </c>
      <c r="E3538" s="41" t="str">
        <f t="shared" si="282"/>
        <v/>
      </c>
      <c r="F3538" s="200"/>
      <c r="G3538" s="178" t="e">
        <f>IF($C$1078&gt;0,VLOOKUP($C3538,PATRIMONIALE!$AJ$4:$AN$1003,5,FALSE),"")</f>
        <v>#N/A</v>
      </c>
      <c r="H3538" s="179" t="e">
        <f>IF($C$1078&gt;0,VLOOKUP($C3538,PATRIMONIALE!$AJ$4:$AO$1003,6,FALSE),"")</f>
        <v>#N/A</v>
      </c>
      <c r="I3538" s="187"/>
      <c r="J3538" s="140" t="e">
        <f ca="1">VLOOKUP(D3538,$F$1081:$I$4183,4,FALSE)+COUNTIF(E$1081:E3537,E3538)</f>
        <v>#N/A</v>
      </c>
      <c r="K3538" s="1"/>
      <c r="L3538" s="161" t="e">
        <f>IF($C$1078&gt;0,VLOOKUP($C3538,PATRIMONIALE!$AJ$4:$AP$1003,7,FALSE),"")</f>
        <v>#N/A</v>
      </c>
      <c r="M3538" s="1"/>
      <c r="N3538" s="1"/>
      <c r="O3538" s="1"/>
    </row>
    <row r="3539" spans="1:15" hidden="1">
      <c r="A3539" s="1"/>
      <c r="B3539" s="182" t="e">
        <f t="shared" ca="1" si="281"/>
        <v>#N/A</v>
      </c>
      <c r="C3539" s="500">
        <v>473</v>
      </c>
      <c r="D3539" s="41" t="e">
        <f>IF($C$1078&gt;0,VLOOKUP($C3539,PATRIMONIALE!$AJ$4:$AL$1003,3,FALSE),"")</f>
        <v>#N/A</v>
      </c>
      <c r="E3539" s="41" t="str">
        <f t="shared" si="282"/>
        <v/>
      </c>
      <c r="F3539" s="200"/>
      <c r="G3539" s="178" t="e">
        <f>IF($C$1078&gt;0,VLOOKUP($C3539,PATRIMONIALE!$AJ$4:$AN$1003,5,FALSE),"")</f>
        <v>#N/A</v>
      </c>
      <c r="H3539" s="179" t="e">
        <f>IF($C$1078&gt;0,VLOOKUP($C3539,PATRIMONIALE!$AJ$4:$AO$1003,6,FALSE),"")</f>
        <v>#N/A</v>
      </c>
      <c r="I3539" s="187"/>
      <c r="J3539" s="140" t="e">
        <f ca="1">VLOOKUP(D3539,$F$1081:$I$4183,4,FALSE)+COUNTIF(E$1081:E3538,E3539)</f>
        <v>#N/A</v>
      </c>
      <c r="K3539" s="1"/>
      <c r="L3539" s="161" t="e">
        <f>IF($C$1078&gt;0,VLOOKUP($C3539,PATRIMONIALE!$AJ$4:$AP$1003,7,FALSE),"")</f>
        <v>#N/A</v>
      </c>
      <c r="M3539" s="1"/>
      <c r="N3539" s="1"/>
      <c r="O3539" s="1"/>
    </row>
    <row r="3540" spans="1:15" hidden="1">
      <c r="A3540" s="1"/>
      <c r="B3540" s="182" t="e">
        <f t="shared" ca="1" si="281"/>
        <v>#N/A</v>
      </c>
      <c r="C3540" s="500">
        <v>474</v>
      </c>
      <c r="D3540" s="41" t="e">
        <f>IF($C$1078&gt;0,VLOOKUP($C3540,PATRIMONIALE!$AJ$4:$AL$1003,3,FALSE),"")</f>
        <v>#N/A</v>
      </c>
      <c r="E3540" s="41" t="str">
        <f t="shared" si="282"/>
        <v/>
      </c>
      <c r="F3540" s="200"/>
      <c r="G3540" s="178" t="e">
        <f>IF($C$1078&gt;0,VLOOKUP($C3540,PATRIMONIALE!$AJ$4:$AN$1003,5,FALSE),"")</f>
        <v>#N/A</v>
      </c>
      <c r="H3540" s="179" t="e">
        <f>IF($C$1078&gt;0,VLOOKUP($C3540,PATRIMONIALE!$AJ$4:$AO$1003,6,FALSE),"")</f>
        <v>#N/A</v>
      </c>
      <c r="I3540" s="187"/>
      <c r="J3540" s="140" t="e">
        <f ca="1">VLOOKUP(D3540,$F$1081:$I$4183,4,FALSE)+COUNTIF(E$1081:E3539,E3540)</f>
        <v>#N/A</v>
      </c>
      <c r="K3540" s="1"/>
      <c r="L3540" s="161" t="e">
        <f>IF($C$1078&gt;0,VLOOKUP($C3540,PATRIMONIALE!$AJ$4:$AP$1003,7,FALSE),"")</f>
        <v>#N/A</v>
      </c>
      <c r="M3540" s="1"/>
      <c r="N3540" s="1"/>
      <c r="O3540" s="1"/>
    </row>
    <row r="3541" spans="1:15" hidden="1">
      <c r="A3541" s="1"/>
      <c r="B3541" s="182" t="e">
        <f t="shared" ca="1" si="281"/>
        <v>#N/A</v>
      </c>
      <c r="C3541" s="500">
        <v>475</v>
      </c>
      <c r="D3541" s="41" t="e">
        <f>IF($C$1078&gt;0,VLOOKUP($C3541,PATRIMONIALE!$AJ$4:$AL$1003,3,FALSE),"")</f>
        <v>#N/A</v>
      </c>
      <c r="E3541" s="41" t="str">
        <f t="shared" si="282"/>
        <v/>
      </c>
      <c r="F3541" s="200"/>
      <c r="G3541" s="178" t="e">
        <f>IF($C$1078&gt;0,VLOOKUP($C3541,PATRIMONIALE!$AJ$4:$AN$1003,5,FALSE),"")</f>
        <v>#N/A</v>
      </c>
      <c r="H3541" s="179" t="e">
        <f>IF($C$1078&gt;0,VLOOKUP($C3541,PATRIMONIALE!$AJ$4:$AO$1003,6,FALSE),"")</f>
        <v>#N/A</v>
      </c>
      <c r="I3541" s="187"/>
      <c r="J3541" s="140" t="e">
        <f ca="1">VLOOKUP(D3541,$F$1081:$I$4183,4,FALSE)+COUNTIF(E$1081:E3540,E3541)</f>
        <v>#N/A</v>
      </c>
      <c r="K3541" s="1"/>
      <c r="L3541" s="161" t="e">
        <f>IF($C$1078&gt;0,VLOOKUP($C3541,PATRIMONIALE!$AJ$4:$AP$1003,7,FALSE),"")</f>
        <v>#N/A</v>
      </c>
      <c r="M3541" s="1"/>
      <c r="N3541" s="1"/>
      <c r="O3541" s="1"/>
    </row>
    <row r="3542" spans="1:15" hidden="1">
      <c r="A3542" s="1"/>
      <c r="B3542" s="182" t="e">
        <f t="shared" ca="1" si="281"/>
        <v>#N/A</v>
      </c>
      <c r="C3542" s="500">
        <v>476</v>
      </c>
      <c r="D3542" s="41" t="e">
        <f>IF($C$1078&gt;0,VLOOKUP($C3542,PATRIMONIALE!$AJ$4:$AL$1003,3,FALSE),"")</f>
        <v>#N/A</v>
      </c>
      <c r="E3542" s="41" t="str">
        <f t="shared" si="282"/>
        <v/>
      </c>
      <c r="F3542" s="200"/>
      <c r="G3542" s="178" t="e">
        <f>IF($C$1078&gt;0,VLOOKUP($C3542,PATRIMONIALE!$AJ$4:$AN$1003,5,FALSE),"")</f>
        <v>#N/A</v>
      </c>
      <c r="H3542" s="179" t="e">
        <f>IF($C$1078&gt;0,VLOOKUP($C3542,PATRIMONIALE!$AJ$4:$AO$1003,6,FALSE),"")</f>
        <v>#N/A</v>
      </c>
      <c r="I3542" s="187"/>
      <c r="J3542" s="140" t="e">
        <f ca="1">VLOOKUP(D3542,$F$1081:$I$4183,4,FALSE)+COUNTIF(E$1081:E3541,E3542)</f>
        <v>#N/A</v>
      </c>
      <c r="K3542" s="1"/>
      <c r="L3542" s="161" t="e">
        <f>IF($C$1078&gt;0,VLOOKUP($C3542,PATRIMONIALE!$AJ$4:$AP$1003,7,FALSE),"")</f>
        <v>#N/A</v>
      </c>
      <c r="M3542" s="1"/>
      <c r="N3542" s="1"/>
      <c r="O3542" s="1"/>
    </row>
    <row r="3543" spans="1:15" hidden="1">
      <c r="A3543" s="1"/>
      <c r="B3543" s="182" t="e">
        <f t="shared" ca="1" si="281"/>
        <v>#N/A</v>
      </c>
      <c r="C3543" s="500">
        <v>477</v>
      </c>
      <c r="D3543" s="41" t="e">
        <f>IF($C$1078&gt;0,VLOOKUP($C3543,PATRIMONIALE!$AJ$4:$AL$1003,3,FALSE),"")</f>
        <v>#N/A</v>
      </c>
      <c r="E3543" s="41" t="str">
        <f t="shared" si="282"/>
        <v/>
      </c>
      <c r="F3543" s="200"/>
      <c r="G3543" s="178" t="e">
        <f>IF($C$1078&gt;0,VLOOKUP($C3543,PATRIMONIALE!$AJ$4:$AN$1003,5,FALSE),"")</f>
        <v>#N/A</v>
      </c>
      <c r="H3543" s="179" t="e">
        <f>IF($C$1078&gt;0,VLOOKUP($C3543,PATRIMONIALE!$AJ$4:$AO$1003,6,FALSE),"")</f>
        <v>#N/A</v>
      </c>
      <c r="I3543" s="187"/>
      <c r="J3543" s="140" t="e">
        <f ca="1">VLOOKUP(D3543,$F$1081:$I$4183,4,FALSE)+COUNTIF(E$1081:E3542,E3543)</f>
        <v>#N/A</v>
      </c>
      <c r="K3543" s="1"/>
      <c r="L3543" s="161" t="e">
        <f>IF($C$1078&gt;0,VLOOKUP($C3543,PATRIMONIALE!$AJ$4:$AP$1003,7,FALSE),"")</f>
        <v>#N/A</v>
      </c>
      <c r="M3543" s="1"/>
      <c r="N3543" s="1"/>
      <c r="O3543" s="1"/>
    </row>
    <row r="3544" spans="1:15" hidden="1">
      <c r="A3544" s="1"/>
      <c r="B3544" s="182" t="e">
        <f t="shared" ca="1" si="281"/>
        <v>#N/A</v>
      </c>
      <c r="C3544" s="500">
        <v>478</v>
      </c>
      <c r="D3544" s="41" t="e">
        <f>IF($C$1078&gt;0,VLOOKUP($C3544,PATRIMONIALE!$AJ$4:$AL$1003,3,FALSE),"")</f>
        <v>#N/A</v>
      </c>
      <c r="E3544" s="41" t="str">
        <f t="shared" si="282"/>
        <v/>
      </c>
      <c r="F3544" s="200"/>
      <c r="G3544" s="178" t="e">
        <f>IF($C$1078&gt;0,VLOOKUP($C3544,PATRIMONIALE!$AJ$4:$AN$1003,5,FALSE),"")</f>
        <v>#N/A</v>
      </c>
      <c r="H3544" s="179" t="e">
        <f>IF($C$1078&gt;0,VLOOKUP($C3544,PATRIMONIALE!$AJ$4:$AO$1003,6,FALSE),"")</f>
        <v>#N/A</v>
      </c>
      <c r="I3544" s="187"/>
      <c r="J3544" s="140" t="e">
        <f ca="1">VLOOKUP(D3544,$F$1081:$I$4183,4,FALSE)+COUNTIF(E$1081:E3543,E3544)</f>
        <v>#N/A</v>
      </c>
      <c r="K3544" s="1"/>
      <c r="L3544" s="161" t="e">
        <f>IF($C$1078&gt;0,VLOOKUP($C3544,PATRIMONIALE!$AJ$4:$AP$1003,7,FALSE),"")</f>
        <v>#N/A</v>
      </c>
      <c r="M3544" s="1"/>
      <c r="N3544" s="1"/>
      <c r="O3544" s="1"/>
    </row>
    <row r="3545" spans="1:15" hidden="1">
      <c r="A3545" s="1"/>
      <c r="B3545" s="182" t="e">
        <f t="shared" ca="1" si="281"/>
        <v>#N/A</v>
      </c>
      <c r="C3545" s="500">
        <v>479</v>
      </c>
      <c r="D3545" s="41" t="e">
        <f>IF($C$1078&gt;0,VLOOKUP($C3545,PATRIMONIALE!$AJ$4:$AL$1003,3,FALSE),"")</f>
        <v>#N/A</v>
      </c>
      <c r="E3545" s="41" t="str">
        <f t="shared" si="282"/>
        <v/>
      </c>
      <c r="F3545" s="200"/>
      <c r="G3545" s="178" t="e">
        <f>IF($C$1078&gt;0,VLOOKUP($C3545,PATRIMONIALE!$AJ$4:$AN$1003,5,FALSE),"")</f>
        <v>#N/A</v>
      </c>
      <c r="H3545" s="179" t="e">
        <f>IF($C$1078&gt;0,VLOOKUP($C3545,PATRIMONIALE!$AJ$4:$AO$1003,6,FALSE),"")</f>
        <v>#N/A</v>
      </c>
      <c r="I3545" s="187"/>
      <c r="J3545" s="140" t="e">
        <f ca="1">VLOOKUP(D3545,$F$1081:$I$4183,4,FALSE)+COUNTIF(E$1081:E3544,E3545)</f>
        <v>#N/A</v>
      </c>
      <c r="K3545" s="1"/>
      <c r="L3545" s="161" t="e">
        <f>IF($C$1078&gt;0,VLOOKUP($C3545,PATRIMONIALE!$AJ$4:$AP$1003,7,FALSE),"")</f>
        <v>#N/A</v>
      </c>
      <c r="M3545" s="1"/>
      <c r="N3545" s="1"/>
      <c r="O3545" s="1"/>
    </row>
    <row r="3546" spans="1:15" hidden="1">
      <c r="A3546" s="1"/>
      <c r="B3546" s="182" t="e">
        <f t="shared" ca="1" si="281"/>
        <v>#N/A</v>
      </c>
      <c r="C3546" s="500">
        <v>480</v>
      </c>
      <c r="D3546" s="41" t="e">
        <f>IF($C$1078&gt;0,VLOOKUP($C3546,PATRIMONIALE!$AJ$4:$AL$1003,3,FALSE),"")</f>
        <v>#N/A</v>
      </c>
      <c r="E3546" s="41" t="str">
        <f t="shared" si="282"/>
        <v/>
      </c>
      <c r="F3546" s="200"/>
      <c r="G3546" s="178" t="e">
        <f>IF($C$1078&gt;0,VLOOKUP($C3546,PATRIMONIALE!$AJ$4:$AN$1003,5,FALSE),"")</f>
        <v>#N/A</v>
      </c>
      <c r="H3546" s="179" t="e">
        <f>IF($C$1078&gt;0,VLOOKUP($C3546,PATRIMONIALE!$AJ$4:$AO$1003,6,FALSE),"")</f>
        <v>#N/A</v>
      </c>
      <c r="I3546" s="187"/>
      <c r="J3546" s="140" t="e">
        <f ca="1">VLOOKUP(D3546,$F$1081:$I$4183,4,FALSE)+COUNTIF(E$1081:E3545,E3546)</f>
        <v>#N/A</v>
      </c>
      <c r="K3546" s="1"/>
      <c r="L3546" s="161" t="e">
        <f>IF($C$1078&gt;0,VLOOKUP($C3546,PATRIMONIALE!$AJ$4:$AP$1003,7,FALSE),"")</f>
        <v>#N/A</v>
      </c>
      <c r="M3546" s="1"/>
      <c r="N3546" s="1"/>
      <c r="O3546" s="1"/>
    </row>
    <row r="3547" spans="1:15" hidden="1">
      <c r="A3547" s="1"/>
      <c r="B3547" s="182" t="e">
        <f t="shared" ca="1" si="281"/>
        <v>#N/A</v>
      </c>
      <c r="C3547" s="500">
        <v>481</v>
      </c>
      <c r="D3547" s="41" t="e">
        <f>IF($C$1078&gt;0,VLOOKUP($C3547,PATRIMONIALE!$AJ$4:$AL$1003,3,FALSE),"")</f>
        <v>#N/A</v>
      </c>
      <c r="E3547" s="41" t="str">
        <f t="shared" si="282"/>
        <v/>
      </c>
      <c r="F3547" s="200"/>
      <c r="G3547" s="178" t="e">
        <f>IF($C$1078&gt;0,VLOOKUP($C3547,PATRIMONIALE!$AJ$4:$AN$1003,5,FALSE),"")</f>
        <v>#N/A</v>
      </c>
      <c r="H3547" s="179" t="e">
        <f>IF($C$1078&gt;0,VLOOKUP($C3547,PATRIMONIALE!$AJ$4:$AO$1003,6,FALSE),"")</f>
        <v>#N/A</v>
      </c>
      <c r="I3547" s="187"/>
      <c r="J3547" s="140" t="e">
        <f ca="1">VLOOKUP(D3547,$F$1081:$I$4183,4,FALSE)+COUNTIF(E$1081:E3546,E3547)</f>
        <v>#N/A</v>
      </c>
      <c r="K3547" s="1"/>
      <c r="L3547" s="161" t="e">
        <f>IF($C$1078&gt;0,VLOOKUP($C3547,PATRIMONIALE!$AJ$4:$AP$1003,7,FALSE),"")</f>
        <v>#N/A</v>
      </c>
      <c r="M3547" s="1"/>
      <c r="N3547" s="1"/>
      <c r="O3547" s="1"/>
    </row>
    <row r="3548" spans="1:15" hidden="1">
      <c r="A3548" s="1"/>
      <c r="B3548" s="182" t="e">
        <f t="shared" ca="1" si="281"/>
        <v>#N/A</v>
      </c>
      <c r="C3548" s="500">
        <v>482</v>
      </c>
      <c r="D3548" s="41" t="e">
        <f>IF($C$1078&gt;0,VLOOKUP($C3548,PATRIMONIALE!$AJ$4:$AL$1003,3,FALSE),"")</f>
        <v>#N/A</v>
      </c>
      <c r="E3548" s="41" t="str">
        <f t="shared" si="282"/>
        <v/>
      </c>
      <c r="F3548" s="200"/>
      <c r="G3548" s="178" t="e">
        <f>IF($C$1078&gt;0,VLOOKUP($C3548,PATRIMONIALE!$AJ$4:$AN$1003,5,FALSE),"")</f>
        <v>#N/A</v>
      </c>
      <c r="H3548" s="179" t="e">
        <f>IF($C$1078&gt;0,VLOOKUP($C3548,PATRIMONIALE!$AJ$4:$AO$1003,6,FALSE),"")</f>
        <v>#N/A</v>
      </c>
      <c r="I3548" s="187"/>
      <c r="J3548" s="140" t="e">
        <f ca="1">VLOOKUP(D3548,$F$1081:$I$4183,4,FALSE)+COUNTIF(E$1081:E3547,E3548)</f>
        <v>#N/A</v>
      </c>
      <c r="K3548" s="1"/>
      <c r="L3548" s="161" t="e">
        <f>IF($C$1078&gt;0,VLOOKUP($C3548,PATRIMONIALE!$AJ$4:$AP$1003,7,FALSE),"")</f>
        <v>#N/A</v>
      </c>
      <c r="M3548" s="1"/>
      <c r="N3548" s="1"/>
      <c r="O3548" s="1"/>
    </row>
    <row r="3549" spans="1:15" hidden="1">
      <c r="A3549" s="1"/>
      <c r="B3549" s="182" t="e">
        <f t="shared" ca="1" si="281"/>
        <v>#N/A</v>
      </c>
      <c r="C3549" s="500">
        <v>483</v>
      </c>
      <c r="D3549" s="41" t="e">
        <f>IF($C$1078&gt;0,VLOOKUP($C3549,PATRIMONIALE!$AJ$4:$AL$1003,3,FALSE),"")</f>
        <v>#N/A</v>
      </c>
      <c r="E3549" s="41" t="str">
        <f t="shared" si="282"/>
        <v/>
      </c>
      <c r="F3549" s="200"/>
      <c r="G3549" s="178" t="e">
        <f>IF($C$1078&gt;0,VLOOKUP($C3549,PATRIMONIALE!$AJ$4:$AN$1003,5,FALSE),"")</f>
        <v>#N/A</v>
      </c>
      <c r="H3549" s="179" t="e">
        <f>IF($C$1078&gt;0,VLOOKUP($C3549,PATRIMONIALE!$AJ$4:$AO$1003,6,FALSE),"")</f>
        <v>#N/A</v>
      </c>
      <c r="I3549" s="187"/>
      <c r="J3549" s="140" t="e">
        <f ca="1">VLOOKUP(D3549,$F$1081:$I$4183,4,FALSE)+COUNTIF(E$1081:E3548,E3549)</f>
        <v>#N/A</v>
      </c>
      <c r="K3549" s="1"/>
      <c r="L3549" s="161" t="e">
        <f>IF($C$1078&gt;0,VLOOKUP($C3549,PATRIMONIALE!$AJ$4:$AP$1003,7,FALSE),"")</f>
        <v>#N/A</v>
      </c>
      <c r="M3549" s="1"/>
      <c r="N3549" s="1"/>
      <c r="O3549" s="1"/>
    </row>
    <row r="3550" spans="1:15" hidden="1">
      <c r="A3550" s="1"/>
      <c r="B3550" s="182" t="e">
        <f t="shared" ca="1" si="281"/>
        <v>#N/A</v>
      </c>
      <c r="C3550" s="500">
        <v>484</v>
      </c>
      <c r="D3550" s="41" t="e">
        <f>IF($C$1078&gt;0,VLOOKUP($C3550,PATRIMONIALE!$AJ$4:$AL$1003,3,FALSE),"")</f>
        <v>#N/A</v>
      </c>
      <c r="E3550" s="41" t="str">
        <f t="shared" si="282"/>
        <v/>
      </c>
      <c r="F3550" s="200"/>
      <c r="G3550" s="178" t="e">
        <f>IF($C$1078&gt;0,VLOOKUP($C3550,PATRIMONIALE!$AJ$4:$AN$1003,5,FALSE),"")</f>
        <v>#N/A</v>
      </c>
      <c r="H3550" s="179" t="e">
        <f>IF($C$1078&gt;0,VLOOKUP($C3550,PATRIMONIALE!$AJ$4:$AO$1003,6,FALSE),"")</f>
        <v>#N/A</v>
      </c>
      <c r="I3550" s="187"/>
      <c r="J3550" s="140" t="e">
        <f ca="1">VLOOKUP(D3550,$F$1081:$I$4183,4,FALSE)+COUNTIF(E$1081:E3549,E3550)</f>
        <v>#N/A</v>
      </c>
      <c r="K3550" s="1"/>
      <c r="L3550" s="161" t="e">
        <f>IF($C$1078&gt;0,VLOOKUP($C3550,PATRIMONIALE!$AJ$4:$AP$1003,7,FALSE),"")</f>
        <v>#N/A</v>
      </c>
      <c r="M3550" s="1"/>
      <c r="N3550" s="1"/>
      <c r="O3550" s="1"/>
    </row>
    <row r="3551" spans="1:15" hidden="1">
      <c r="A3551" s="1"/>
      <c r="B3551" s="182" t="e">
        <f t="shared" ca="1" si="281"/>
        <v>#N/A</v>
      </c>
      <c r="C3551" s="500">
        <v>485</v>
      </c>
      <c r="D3551" s="41" t="e">
        <f>IF($C$1078&gt;0,VLOOKUP($C3551,PATRIMONIALE!$AJ$4:$AL$1003,3,FALSE),"")</f>
        <v>#N/A</v>
      </c>
      <c r="E3551" s="41" t="str">
        <f t="shared" si="282"/>
        <v/>
      </c>
      <c r="F3551" s="200"/>
      <c r="G3551" s="178" t="e">
        <f>IF($C$1078&gt;0,VLOOKUP($C3551,PATRIMONIALE!$AJ$4:$AN$1003,5,FALSE),"")</f>
        <v>#N/A</v>
      </c>
      <c r="H3551" s="179" t="e">
        <f>IF($C$1078&gt;0,VLOOKUP($C3551,PATRIMONIALE!$AJ$4:$AO$1003,6,FALSE),"")</f>
        <v>#N/A</v>
      </c>
      <c r="I3551" s="187"/>
      <c r="J3551" s="140" t="e">
        <f ca="1">VLOOKUP(D3551,$F$1081:$I$4183,4,FALSE)+COUNTIF(E$1081:E3550,E3551)</f>
        <v>#N/A</v>
      </c>
      <c r="K3551" s="1"/>
      <c r="L3551" s="161" t="e">
        <f>IF($C$1078&gt;0,VLOOKUP($C3551,PATRIMONIALE!$AJ$4:$AP$1003,7,FALSE),"")</f>
        <v>#N/A</v>
      </c>
      <c r="M3551" s="1"/>
      <c r="N3551" s="1"/>
      <c r="O3551" s="1"/>
    </row>
    <row r="3552" spans="1:15" hidden="1">
      <c r="A3552" s="1"/>
      <c r="B3552" s="182" t="e">
        <f t="shared" ca="1" si="281"/>
        <v>#N/A</v>
      </c>
      <c r="C3552" s="500">
        <v>486</v>
      </c>
      <c r="D3552" s="41" t="e">
        <f>IF($C$1078&gt;0,VLOOKUP($C3552,PATRIMONIALE!$AJ$4:$AL$1003,3,FALSE),"")</f>
        <v>#N/A</v>
      </c>
      <c r="E3552" s="41" t="str">
        <f t="shared" si="282"/>
        <v/>
      </c>
      <c r="F3552" s="200"/>
      <c r="G3552" s="178" t="e">
        <f>IF($C$1078&gt;0,VLOOKUP($C3552,PATRIMONIALE!$AJ$4:$AN$1003,5,FALSE),"")</f>
        <v>#N/A</v>
      </c>
      <c r="H3552" s="179" t="e">
        <f>IF($C$1078&gt;0,VLOOKUP($C3552,PATRIMONIALE!$AJ$4:$AO$1003,6,FALSE),"")</f>
        <v>#N/A</v>
      </c>
      <c r="I3552" s="187"/>
      <c r="J3552" s="140" t="e">
        <f ca="1">VLOOKUP(D3552,$F$1081:$I$4183,4,FALSE)+COUNTIF(E$1081:E3551,E3552)</f>
        <v>#N/A</v>
      </c>
      <c r="K3552" s="1"/>
      <c r="L3552" s="161" t="e">
        <f>IF($C$1078&gt;0,VLOOKUP($C3552,PATRIMONIALE!$AJ$4:$AP$1003,7,FALSE),"")</f>
        <v>#N/A</v>
      </c>
      <c r="M3552" s="1"/>
      <c r="N3552" s="1"/>
      <c r="O3552" s="1"/>
    </row>
    <row r="3553" spans="1:15" hidden="1">
      <c r="A3553" s="1"/>
      <c r="B3553" s="182" t="e">
        <f t="shared" ca="1" si="281"/>
        <v>#N/A</v>
      </c>
      <c r="C3553" s="500">
        <v>487</v>
      </c>
      <c r="D3553" s="41" t="e">
        <f>IF($C$1078&gt;0,VLOOKUP($C3553,PATRIMONIALE!$AJ$4:$AL$1003,3,FALSE),"")</f>
        <v>#N/A</v>
      </c>
      <c r="E3553" s="41" t="str">
        <f t="shared" si="282"/>
        <v/>
      </c>
      <c r="F3553" s="200"/>
      <c r="G3553" s="178" t="e">
        <f>IF($C$1078&gt;0,VLOOKUP($C3553,PATRIMONIALE!$AJ$4:$AN$1003,5,FALSE),"")</f>
        <v>#N/A</v>
      </c>
      <c r="H3553" s="179" t="e">
        <f>IF($C$1078&gt;0,VLOOKUP($C3553,PATRIMONIALE!$AJ$4:$AO$1003,6,FALSE),"")</f>
        <v>#N/A</v>
      </c>
      <c r="I3553" s="187"/>
      <c r="J3553" s="140" t="e">
        <f ca="1">VLOOKUP(D3553,$F$1081:$I$4183,4,FALSE)+COUNTIF(E$1081:E3552,E3553)</f>
        <v>#N/A</v>
      </c>
      <c r="K3553" s="1"/>
      <c r="L3553" s="161" t="e">
        <f>IF($C$1078&gt;0,VLOOKUP($C3553,PATRIMONIALE!$AJ$4:$AP$1003,7,FALSE),"")</f>
        <v>#N/A</v>
      </c>
      <c r="M3553" s="1"/>
      <c r="N3553" s="1"/>
      <c r="O3553" s="1"/>
    </row>
    <row r="3554" spans="1:15" hidden="1">
      <c r="A3554" s="1"/>
      <c r="B3554" s="182" t="e">
        <f t="shared" ca="1" si="281"/>
        <v>#N/A</v>
      </c>
      <c r="C3554" s="500">
        <v>488</v>
      </c>
      <c r="D3554" s="41" t="e">
        <f>IF($C$1078&gt;0,VLOOKUP($C3554,PATRIMONIALE!$AJ$4:$AL$1003,3,FALSE),"")</f>
        <v>#N/A</v>
      </c>
      <c r="E3554" s="41" t="str">
        <f t="shared" si="282"/>
        <v/>
      </c>
      <c r="F3554" s="200"/>
      <c r="G3554" s="178" t="e">
        <f>IF($C$1078&gt;0,VLOOKUP($C3554,PATRIMONIALE!$AJ$4:$AN$1003,5,FALSE),"")</f>
        <v>#N/A</v>
      </c>
      <c r="H3554" s="179" t="e">
        <f>IF($C$1078&gt;0,VLOOKUP($C3554,PATRIMONIALE!$AJ$4:$AO$1003,6,FALSE),"")</f>
        <v>#N/A</v>
      </c>
      <c r="I3554" s="187"/>
      <c r="J3554" s="140" t="e">
        <f ca="1">VLOOKUP(D3554,$F$1081:$I$4183,4,FALSE)+COUNTIF(E$1081:E3553,E3554)</f>
        <v>#N/A</v>
      </c>
      <c r="K3554" s="1"/>
      <c r="L3554" s="161" t="e">
        <f>IF($C$1078&gt;0,VLOOKUP($C3554,PATRIMONIALE!$AJ$4:$AP$1003,7,FALSE),"")</f>
        <v>#N/A</v>
      </c>
      <c r="M3554" s="1"/>
      <c r="N3554" s="1"/>
      <c r="O3554" s="1"/>
    </row>
    <row r="3555" spans="1:15" hidden="1">
      <c r="A3555" s="1"/>
      <c r="B3555" s="182" t="e">
        <f t="shared" ca="1" si="281"/>
        <v>#N/A</v>
      </c>
      <c r="C3555" s="500">
        <v>489</v>
      </c>
      <c r="D3555" s="41" t="e">
        <f>IF($C$1078&gt;0,VLOOKUP($C3555,PATRIMONIALE!$AJ$4:$AL$1003,3,FALSE),"")</f>
        <v>#N/A</v>
      </c>
      <c r="E3555" s="41" t="str">
        <f t="shared" si="282"/>
        <v/>
      </c>
      <c r="F3555" s="200"/>
      <c r="G3555" s="178" t="e">
        <f>IF($C$1078&gt;0,VLOOKUP($C3555,PATRIMONIALE!$AJ$4:$AN$1003,5,FALSE),"")</f>
        <v>#N/A</v>
      </c>
      <c r="H3555" s="179" t="e">
        <f>IF($C$1078&gt;0,VLOOKUP($C3555,PATRIMONIALE!$AJ$4:$AO$1003,6,FALSE),"")</f>
        <v>#N/A</v>
      </c>
      <c r="I3555" s="187"/>
      <c r="J3555" s="140" t="e">
        <f ca="1">VLOOKUP(D3555,$F$1081:$I$4183,4,FALSE)+COUNTIF(E$1081:E3554,E3555)</f>
        <v>#N/A</v>
      </c>
      <c r="K3555" s="1"/>
      <c r="L3555" s="161" t="e">
        <f>IF($C$1078&gt;0,VLOOKUP($C3555,PATRIMONIALE!$AJ$4:$AP$1003,7,FALSE),"")</f>
        <v>#N/A</v>
      </c>
      <c r="M3555" s="1"/>
      <c r="N3555" s="1"/>
      <c r="O3555" s="1"/>
    </row>
    <row r="3556" spans="1:15" hidden="1">
      <c r="A3556" s="1"/>
      <c r="B3556" s="182" t="e">
        <f t="shared" ca="1" si="281"/>
        <v>#N/A</v>
      </c>
      <c r="C3556" s="500">
        <v>490</v>
      </c>
      <c r="D3556" s="41" t="e">
        <f>IF($C$1078&gt;0,VLOOKUP($C3556,PATRIMONIALE!$AJ$4:$AL$1003,3,FALSE),"")</f>
        <v>#N/A</v>
      </c>
      <c r="E3556" s="41" t="str">
        <f t="shared" si="282"/>
        <v/>
      </c>
      <c r="F3556" s="200"/>
      <c r="G3556" s="178" t="e">
        <f>IF($C$1078&gt;0,VLOOKUP($C3556,PATRIMONIALE!$AJ$4:$AN$1003,5,FALSE),"")</f>
        <v>#N/A</v>
      </c>
      <c r="H3556" s="179" t="e">
        <f>IF($C$1078&gt;0,VLOOKUP($C3556,PATRIMONIALE!$AJ$4:$AO$1003,6,FALSE),"")</f>
        <v>#N/A</v>
      </c>
      <c r="I3556" s="187"/>
      <c r="J3556" s="140" t="e">
        <f ca="1">VLOOKUP(D3556,$F$1081:$I$4183,4,FALSE)+COUNTIF(E$1081:E3555,E3556)</f>
        <v>#N/A</v>
      </c>
      <c r="K3556" s="1"/>
      <c r="L3556" s="161" t="e">
        <f>IF($C$1078&gt;0,VLOOKUP($C3556,PATRIMONIALE!$AJ$4:$AP$1003,7,FALSE),"")</f>
        <v>#N/A</v>
      </c>
      <c r="M3556" s="1"/>
      <c r="N3556" s="1"/>
      <c r="O3556" s="1"/>
    </row>
    <row r="3557" spans="1:15" hidden="1">
      <c r="A3557" s="1"/>
      <c r="B3557" s="182" t="e">
        <f t="shared" ca="1" si="281"/>
        <v>#N/A</v>
      </c>
      <c r="C3557" s="500">
        <v>491</v>
      </c>
      <c r="D3557" s="41" t="e">
        <f>IF($C$1078&gt;0,VLOOKUP($C3557,PATRIMONIALE!$AJ$4:$AL$1003,3,FALSE),"")</f>
        <v>#N/A</v>
      </c>
      <c r="E3557" s="41" t="str">
        <f t="shared" si="282"/>
        <v/>
      </c>
      <c r="F3557" s="200"/>
      <c r="G3557" s="178" t="e">
        <f>IF($C$1078&gt;0,VLOOKUP($C3557,PATRIMONIALE!$AJ$4:$AN$1003,5,FALSE),"")</f>
        <v>#N/A</v>
      </c>
      <c r="H3557" s="179" t="e">
        <f>IF($C$1078&gt;0,VLOOKUP($C3557,PATRIMONIALE!$AJ$4:$AO$1003,6,FALSE),"")</f>
        <v>#N/A</v>
      </c>
      <c r="I3557" s="187"/>
      <c r="J3557" s="140" t="e">
        <f ca="1">VLOOKUP(D3557,$F$1081:$I$4183,4,FALSE)+COUNTIF(E$1081:E3556,E3557)</f>
        <v>#N/A</v>
      </c>
      <c r="K3557" s="1"/>
      <c r="L3557" s="161" t="e">
        <f>IF($C$1078&gt;0,VLOOKUP($C3557,PATRIMONIALE!$AJ$4:$AP$1003,7,FALSE),"")</f>
        <v>#N/A</v>
      </c>
      <c r="M3557" s="1"/>
      <c r="N3557" s="1"/>
      <c r="O3557" s="1"/>
    </row>
    <row r="3558" spans="1:15" hidden="1">
      <c r="A3558" s="1"/>
      <c r="B3558" s="182" t="e">
        <f t="shared" ca="1" si="281"/>
        <v>#N/A</v>
      </c>
      <c r="C3558" s="500">
        <v>492</v>
      </c>
      <c r="D3558" s="41" t="e">
        <f>IF($C$1078&gt;0,VLOOKUP($C3558,PATRIMONIALE!$AJ$4:$AL$1003,3,FALSE),"")</f>
        <v>#N/A</v>
      </c>
      <c r="E3558" s="41" t="str">
        <f t="shared" si="282"/>
        <v/>
      </c>
      <c r="F3558" s="200"/>
      <c r="G3558" s="178" t="e">
        <f>IF($C$1078&gt;0,VLOOKUP($C3558,PATRIMONIALE!$AJ$4:$AN$1003,5,FALSE),"")</f>
        <v>#N/A</v>
      </c>
      <c r="H3558" s="179" t="e">
        <f>IF($C$1078&gt;0,VLOOKUP($C3558,PATRIMONIALE!$AJ$4:$AO$1003,6,FALSE),"")</f>
        <v>#N/A</v>
      </c>
      <c r="I3558" s="187"/>
      <c r="J3558" s="140" t="e">
        <f ca="1">VLOOKUP(D3558,$F$1081:$I$4183,4,FALSE)+COUNTIF(E$1081:E3557,E3558)</f>
        <v>#N/A</v>
      </c>
      <c r="K3558" s="1"/>
      <c r="L3558" s="161" t="e">
        <f>IF($C$1078&gt;0,VLOOKUP($C3558,PATRIMONIALE!$AJ$4:$AP$1003,7,FALSE),"")</f>
        <v>#N/A</v>
      </c>
      <c r="M3558" s="1"/>
      <c r="N3558" s="1"/>
      <c r="O3558" s="1"/>
    </row>
    <row r="3559" spans="1:15" hidden="1">
      <c r="A3559" s="1"/>
      <c r="B3559" s="182" t="e">
        <f t="shared" ca="1" si="281"/>
        <v>#N/A</v>
      </c>
      <c r="C3559" s="500">
        <v>493</v>
      </c>
      <c r="D3559" s="41" t="e">
        <f>IF($C$1078&gt;0,VLOOKUP($C3559,PATRIMONIALE!$AJ$4:$AL$1003,3,FALSE),"")</f>
        <v>#N/A</v>
      </c>
      <c r="E3559" s="41" t="str">
        <f t="shared" si="282"/>
        <v/>
      </c>
      <c r="F3559" s="200"/>
      <c r="G3559" s="178" t="e">
        <f>IF($C$1078&gt;0,VLOOKUP($C3559,PATRIMONIALE!$AJ$4:$AN$1003,5,FALSE),"")</f>
        <v>#N/A</v>
      </c>
      <c r="H3559" s="179" t="e">
        <f>IF($C$1078&gt;0,VLOOKUP($C3559,PATRIMONIALE!$AJ$4:$AO$1003,6,FALSE),"")</f>
        <v>#N/A</v>
      </c>
      <c r="I3559" s="187"/>
      <c r="J3559" s="140" t="e">
        <f ca="1">VLOOKUP(D3559,$F$1081:$I$4183,4,FALSE)+COUNTIF(E$1081:E3558,E3559)</f>
        <v>#N/A</v>
      </c>
      <c r="K3559" s="1"/>
      <c r="L3559" s="161" t="e">
        <f>IF($C$1078&gt;0,VLOOKUP($C3559,PATRIMONIALE!$AJ$4:$AP$1003,7,FALSE),"")</f>
        <v>#N/A</v>
      </c>
      <c r="M3559" s="1"/>
      <c r="N3559" s="1"/>
      <c r="O3559" s="1"/>
    </row>
    <row r="3560" spans="1:15" hidden="1">
      <c r="A3560" s="1"/>
      <c r="B3560" s="182" t="e">
        <f t="shared" ca="1" si="281"/>
        <v>#N/A</v>
      </c>
      <c r="C3560" s="500">
        <v>494</v>
      </c>
      <c r="D3560" s="41" t="e">
        <f>IF($C$1078&gt;0,VLOOKUP($C3560,PATRIMONIALE!$AJ$4:$AL$1003,3,FALSE),"")</f>
        <v>#N/A</v>
      </c>
      <c r="E3560" s="41" t="str">
        <f t="shared" si="282"/>
        <v/>
      </c>
      <c r="F3560" s="200"/>
      <c r="G3560" s="178" t="e">
        <f>IF($C$1078&gt;0,VLOOKUP($C3560,PATRIMONIALE!$AJ$4:$AN$1003,5,FALSE),"")</f>
        <v>#N/A</v>
      </c>
      <c r="H3560" s="179" t="e">
        <f>IF($C$1078&gt;0,VLOOKUP($C3560,PATRIMONIALE!$AJ$4:$AO$1003,6,FALSE),"")</f>
        <v>#N/A</v>
      </c>
      <c r="I3560" s="187"/>
      <c r="J3560" s="140" t="e">
        <f ca="1">VLOOKUP(D3560,$F$1081:$I$4183,4,FALSE)+COUNTIF(E$1081:E3559,E3560)</f>
        <v>#N/A</v>
      </c>
      <c r="K3560" s="1"/>
      <c r="L3560" s="161" t="e">
        <f>IF($C$1078&gt;0,VLOOKUP($C3560,PATRIMONIALE!$AJ$4:$AP$1003,7,FALSE),"")</f>
        <v>#N/A</v>
      </c>
      <c r="M3560" s="1"/>
      <c r="N3560" s="1"/>
      <c r="O3560" s="1"/>
    </row>
    <row r="3561" spans="1:15" hidden="1">
      <c r="A3561" s="1"/>
      <c r="B3561" s="182" t="e">
        <f t="shared" ca="1" si="281"/>
        <v>#N/A</v>
      </c>
      <c r="C3561" s="500">
        <v>495</v>
      </c>
      <c r="D3561" s="41" t="e">
        <f>IF($C$1078&gt;0,VLOOKUP($C3561,PATRIMONIALE!$AJ$4:$AL$1003,3,FALSE),"")</f>
        <v>#N/A</v>
      </c>
      <c r="E3561" s="41" t="str">
        <f t="shared" si="282"/>
        <v/>
      </c>
      <c r="F3561" s="200"/>
      <c r="G3561" s="178" t="e">
        <f>IF($C$1078&gt;0,VLOOKUP($C3561,PATRIMONIALE!$AJ$4:$AN$1003,5,FALSE),"")</f>
        <v>#N/A</v>
      </c>
      <c r="H3561" s="179" t="e">
        <f>IF($C$1078&gt;0,VLOOKUP($C3561,PATRIMONIALE!$AJ$4:$AO$1003,6,FALSE),"")</f>
        <v>#N/A</v>
      </c>
      <c r="I3561" s="187"/>
      <c r="J3561" s="140" t="e">
        <f ca="1">VLOOKUP(D3561,$F$1081:$I$4183,4,FALSE)+COUNTIF(E$1081:E3560,E3561)</f>
        <v>#N/A</v>
      </c>
      <c r="K3561" s="1"/>
      <c r="L3561" s="161" t="e">
        <f>IF($C$1078&gt;0,VLOOKUP($C3561,PATRIMONIALE!$AJ$4:$AP$1003,7,FALSE),"")</f>
        <v>#N/A</v>
      </c>
      <c r="M3561" s="1"/>
      <c r="N3561" s="1"/>
      <c r="O3561" s="1"/>
    </row>
    <row r="3562" spans="1:15" hidden="1">
      <c r="A3562" s="1"/>
      <c r="B3562" s="182" t="e">
        <f t="shared" ca="1" si="281"/>
        <v>#N/A</v>
      </c>
      <c r="C3562" s="500">
        <v>496</v>
      </c>
      <c r="D3562" s="41" t="e">
        <f>IF($C$1078&gt;0,VLOOKUP($C3562,PATRIMONIALE!$AJ$4:$AL$1003,3,FALSE),"")</f>
        <v>#N/A</v>
      </c>
      <c r="E3562" s="41" t="str">
        <f t="shared" si="282"/>
        <v/>
      </c>
      <c r="F3562" s="200"/>
      <c r="G3562" s="178" t="e">
        <f>IF($C$1078&gt;0,VLOOKUP($C3562,PATRIMONIALE!$AJ$4:$AN$1003,5,FALSE),"")</f>
        <v>#N/A</v>
      </c>
      <c r="H3562" s="179" t="e">
        <f>IF($C$1078&gt;0,VLOOKUP($C3562,PATRIMONIALE!$AJ$4:$AO$1003,6,FALSE),"")</f>
        <v>#N/A</v>
      </c>
      <c r="I3562" s="187"/>
      <c r="J3562" s="140" t="e">
        <f ca="1">VLOOKUP(D3562,$F$1081:$I$4183,4,FALSE)+COUNTIF(E$1081:E3561,E3562)</f>
        <v>#N/A</v>
      </c>
      <c r="K3562" s="1"/>
      <c r="L3562" s="161" t="e">
        <f>IF($C$1078&gt;0,VLOOKUP($C3562,PATRIMONIALE!$AJ$4:$AP$1003,7,FALSE),"")</f>
        <v>#N/A</v>
      </c>
      <c r="M3562" s="1"/>
      <c r="N3562" s="1"/>
      <c r="O3562" s="1"/>
    </row>
    <row r="3563" spans="1:15" hidden="1">
      <c r="A3563" s="1"/>
      <c r="B3563" s="182" t="e">
        <f t="shared" ca="1" si="281"/>
        <v>#N/A</v>
      </c>
      <c r="C3563" s="500">
        <v>497</v>
      </c>
      <c r="D3563" s="41" t="e">
        <f>IF($C$1078&gt;0,VLOOKUP($C3563,PATRIMONIALE!$AJ$4:$AL$1003,3,FALSE),"")</f>
        <v>#N/A</v>
      </c>
      <c r="E3563" s="41" t="str">
        <f t="shared" si="282"/>
        <v/>
      </c>
      <c r="F3563" s="200"/>
      <c r="G3563" s="178" t="e">
        <f>IF($C$1078&gt;0,VLOOKUP($C3563,PATRIMONIALE!$AJ$4:$AN$1003,5,FALSE),"")</f>
        <v>#N/A</v>
      </c>
      <c r="H3563" s="179" t="e">
        <f>IF($C$1078&gt;0,VLOOKUP($C3563,PATRIMONIALE!$AJ$4:$AO$1003,6,FALSE),"")</f>
        <v>#N/A</v>
      </c>
      <c r="I3563" s="187"/>
      <c r="J3563" s="140" t="e">
        <f ca="1">VLOOKUP(D3563,$F$1081:$I$4183,4,FALSE)+COUNTIF(E$1081:E3562,E3563)</f>
        <v>#N/A</v>
      </c>
      <c r="K3563" s="1"/>
      <c r="L3563" s="161" t="e">
        <f>IF($C$1078&gt;0,VLOOKUP($C3563,PATRIMONIALE!$AJ$4:$AP$1003,7,FALSE),"")</f>
        <v>#N/A</v>
      </c>
      <c r="M3563" s="1"/>
      <c r="N3563" s="1"/>
      <c r="O3563" s="1"/>
    </row>
    <row r="3564" spans="1:15" hidden="1">
      <c r="A3564" s="1"/>
      <c r="B3564" s="182" t="e">
        <f t="shared" ca="1" si="281"/>
        <v>#N/A</v>
      </c>
      <c r="C3564" s="500">
        <v>498</v>
      </c>
      <c r="D3564" s="41" t="e">
        <f>IF($C$1078&gt;0,VLOOKUP($C3564,PATRIMONIALE!$AJ$4:$AL$1003,3,FALSE),"")</f>
        <v>#N/A</v>
      </c>
      <c r="E3564" s="41" t="str">
        <f t="shared" si="282"/>
        <v/>
      </c>
      <c r="F3564" s="200"/>
      <c r="G3564" s="178" t="e">
        <f>IF($C$1078&gt;0,VLOOKUP($C3564,PATRIMONIALE!$AJ$4:$AN$1003,5,FALSE),"")</f>
        <v>#N/A</v>
      </c>
      <c r="H3564" s="179" t="e">
        <f>IF($C$1078&gt;0,VLOOKUP($C3564,PATRIMONIALE!$AJ$4:$AO$1003,6,FALSE),"")</f>
        <v>#N/A</v>
      </c>
      <c r="I3564" s="187"/>
      <c r="J3564" s="140" t="e">
        <f ca="1">VLOOKUP(D3564,$F$1081:$I$4183,4,FALSE)+COUNTIF(E$1081:E3563,E3564)</f>
        <v>#N/A</v>
      </c>
      <c r="K3564" s="1"/>
      <c r="L3564" s="161" t="e">
        <f>IF($C$1078&gt;0,VLOOKUP($C3564,PATRIMONIALE!$AJ$4:$AP$1003,7,FALSE),"")</f>
        <v>#N/A</v>
      </c>
      <c r="M3564" s="1"/>
      <c r="N3564" s="1"/>
      <c r="O3564" s="1"/>
    </row>
    <row r="3565" spans="1:15" hidden="1">
      <c r="A3565" s="1"/>
      <c r="B3565" s="182" t="e">
        <f t="shared" ca="1" si="281"/>
        <v>#N/A</v>
      </c>
      <c r="C3565" s="500">
        <v>499</v>
      </c>
      <c r="D3565" s="41" t="e">
        <f>IF($C$1078&gt;0,VLOOKUP($C3565,PATRIMONIALE!$AJ$4:$AL$1003,3,FALSE),"")</f>
        <v>#N/A</v>
      </c>
      <c r="E3565" s="41" t="str">
        <f t="shared" si="282"/>
        <v/>
      </c>
      <c r="F3565" s="200"/>
      <c r="G3565" s="178" t="e">
        <f>IF($C$1078&gt;0,VLOOKUP($C3565,PATRIMONIALE!$AJ$4:$AN$1003,5,FALSE),"")</f>
        <v>#N/A</v>
      </c>
      <c r="H3565" s="179" t="e">
        <f>IF($C$1078&gt;0,VLOOKUP($C3565,PATRIMONIALE!$AJ$4:$AO$1003,6,FALSE),"")</f>
        <v>#N/A</v>
      </c>
      <c r="I3565" s="187"/>
      <c r="J3565" s="140" t="e">
        <f ca="1">VLOOKUP(D3565,$F$1081:$I$4183,4,FALSE)+COUNTIF(E$1081:E3564,E3565)</f>
        <v>#N/A</v>
      </c>
      <c r="K3565" s="1"/>
      <c r="L3565" s="161" t="e">
        <f>IF($C$1078&gt;0,VLOOKUP($C3565,PATRIMONIALE!$AJ$4:$AP$1003,7,FALSE),"")</f>
        <v>#N/A</v>
      </c>
      <c r="M3565" s="1"/>
      <c r="N3565" s="1"/>
      <c r="O3565" s="1"/>
    </row>
    <row r="3566" spans="1:15" hidden="1">
      <c r="A3566" s="1"/>
      <c r="B3566" s="182" t="e">
        <f t="shared" ca="1" si="281"/>
        <v>#N/A</v>
      </c>
      <c r="C3566" s="500">
        <v>500</v>
      </c>
      <c r="D3566" s="41" t="e">
        <f>IF($C$1078&gt;0,VLOOKUP($C3566,PATRIMONIALE!$AJ$4:$AL$1003,3,FALSE),"")</f>
        <v>#N/A</v>
      </c>
      <c r="E3566" s="41" t="str">
        <f t="shared" si="282"/>
        <v/>
      </c>
      <c r="F3566" s="200"/>
      <c r="G3566" s="178" t="e">
        <f>IF($C$1078&gt;0,VLOOKUP($C3566,PATRIMONIALE!$AJ$4:$AN$1003,5,FALSE),"")</f>
        <v>#N/A</v>
      </c>
      <c r="H3566" s="179" t="e">
        <f>IF($C$1078&gt;0,VLOOKUP($C3566,PATRIMONIALE!$AJ$4:$AO$1003,6,FALSE),"")</f>
        <v>#N/A</v>
      </c>
      <c r="I3566" s="187"/>
      <c r="J3566" s="140" t="e">
        <f ca="1">VLOOKUP(D3566,$F$1081:$I$4183,4,FALSE)+COUNTIF(E$1081:E3565,E3566)</f>
        <v>#N/A</v>
      </c>
      <c r="K3566" s="1"/>
      <c r="L3566" s="161" t="e">
        <f>IF($C$1078&gt;0,VLOOKUP($C3566,PATRIMONIALE!$AJ$4:$AP$1003,7,FALSE),"")</f>
        <v>#N/A</v>
      </c>
      <c r="M3566" s="1"/>
      <c r="N3566" s="1"/>
      <c r="O3566" s="1"/>
    </row>
    <row r="3567" spans="1:15" hidden="1">
      <c r="A3567" s="1"/>
      <c r="B3567" s="182" t="e">
        <f t="shared" ca="1" si="281"/>
        <v>#N/A</v>
      </c>
      <c r="C3567" s="500">
        <v>501</v>
      </c>
      <c r="D3567" s="41" t="e">
        <f>IF($C$1078&gt;0,VLOOKUP($C3567,PATRIMONIALE!$AJ$4:$AL$1003,3,FALSE),"")</f>
        <v>#N/A</v>
      </c>
      <c r="E3567" s="41" t="str">
        <f t="shared" si="282"/>
        <v/>
      </c>
      <c r="F3567" s="200"/>
      <c r="G3567" s="178" t="e">
        <f>IF($C$1078&gt;0,VLOOKUP($C3567,PATRIMONIALE!$AJ$4:$AN$1003,5,FALSE),"")</f>
        <v>#N/A</v>
      </c>
      <c r="H3567" s="179" t="e">
        <f>IF($C$1078&gt;0,VLOOKUP($C3567,PATRIMONIALE!$AJ$4:$AO$1003,6,FALSE),"")</f>
        <v>#N/A</v>
      </c>
      <c r="I3567" s="187"/>
      <c r="J3567" s="140" t="e">
        <f ca="1">VLOOKUP(D3567,$F$1081:$I$4183,4,FALSE)+COUNTIF(E$1081:E3566,E3567)</f>
        <v>#N/A</v>
      </c>
      <c r="K3567" s="1"/>
      <c r="L3567" s="161" t="e">
        <f>IF($C$1078&gt;0,VLOOKUP($C3567,PATRIMONIALE!$AJ$4:$AP$1003,7,FALSE),"")</f>
        <v>#N/A</v>
      </c>
      <c r="M3567" s="1"/>
      <c r="N3567" s="1"/>
      <c r="O3567" s="1"/>
    </row>
    <row r="3568" spans="1:15" hidden="1">
      <c r="A3568" s="1"/>
      <c r="B3568" s="182" t="e">
        <f t="shared" ca="1" si="281"/>
        <v>#N/A</v>
      </c>
      <c r="C3568" s="500">
        <v>502</v>
      </c>
      <c r="D3568" s="41" t="e">
        <f>IF($C$1078&gt;0,VLOOKUP($C3568,PATRIMONIALE!$AJ$4:$AL$1003,3,FALSE),"")</f>
        <v>#N/A</v>
      </c>
      <c r="E3568" s="41" t="str">
        <f t="shared" si="282"/>
        <v/>
      </c>
      <c r="F3568" s="200"/>
      <c r="G3568" s="178" t="e">
        <f>IF($C$1078&gt;0,VLOOKUP($C3568,PATRIMONIALE!$AJ$4:$AN$1003,5,FALSE),"")</f>
        <v>#N/A</v>
      </c>
      <c r="H3568" s="179" t="e">
        <f>IF($C$1078&gt;0,VLOOKUP($C3568,PATRIMONIALE!$AJ$4:$AO$1003,6,FALSE),"")</f>
        <v>#N/A</v>
      </c>
      <c r="I3568" s="187"/>
      <c r="J3568" s="140" t="e">
        <f ca="1">VLOOKUP(D3568,$F$1081:$I$4183,4,FALSE)+COUNTIF(E$1081:E3567,E3568)</f>
        <v>#N/A</v>
      </c>
      <c r="K3568" s="1"/>
      <c r="L3568" s="161" t="e">
        <f>IF($C$1078&gt;0,VLOOKUP($C3568,PATRIMONIALE!$AJ$4:$AP$1003,7,FALSE),"")</f>
        <v>#N/A</v>
      </c>
      <c r="M3568" s="1"/>
      <c r="N3568" s="1"/>
      <c r="O3568" s="1"/>
    </row>
    <row r="3569" spans="1:15" hidden="1">
      <c r="A3569" s="1"/>
      <c r="B3569" s="182" t="e">
        <f t="shared" ca="1" si="281"/>
        <v>#N/A</v>
      </c>
      <c r="C3569" s="500">
        <v>503</v>
      </c>
      <c r="D3569" s="41" t="e">
        <f>IF($C$1078&gt;0,VLOOKUP($C3569,PATRIMONIALE!$AJ$4:$AL$1003,3,FALSE),"")</f>
        <v>#N/A</v>
      </c>
      <c r="E3569" s="41" t="str">
        <f t="shared" si="282"/>
        <v/>
      </c>
      <c r="F3569" s="200"/>
      <c r="G3569" s="178" t="e">
        <f>IF($C$1078&gt;0,VLOOKUP($C3569,PATRIMONIALE!$AJ$4:$AN$1003,5,FALSE),"")</f>
        <v>#N/A</v>
      </c>
      <c r="H3569" s="179" t="e">
        <f>IF($C$1078&gt;0,VLOOKUP($C3569,PATRIMONIALE!$AJ$4:$AO$1003,6,FALSE),"")</f>
        <v>#N/A</v>
      </c>
      <c r="I3569" s="187"/>
      <c r="J3569" s="140" t="e">
        <f ca="1">VLOOKUP(D3569,$F$1081:$I$4183,4,FALSE)+COUNTIF(E$1081:E3568,E3569)</f>
        <v>#N/A</v>
      </c>
      <c r="K3569" s="1"/>
      <c r="L3569" s="161" t="e">
        <f>IF($C$1078&gt;0,VLOOKUP($C3569,PATRIMONIALE!$AJ$4:$AP$1003,7,FALSE),"")</f>
        <v>#N/A</v>
      </c>
      <c r="M3569" s="1"/>
      <c r="N3569" s="1"/>
      <c r="O3569" s="1"/>
    </row>
    <row r="3570" spans="1:15" hidden="1">
      <c r="A3570" s="1"/>
      <c r="B3570" s="182" t="e">
        <f t="shared" ca="1" si="281"/>
        <v>#N/A</v>
      </c>
      <c r="C3570" s="500">
        <v>504</v>
      </c>
      <c r="D3570" s="41" t="e">
        <f>IF($C$1078&gt;0,VLOOKUP($C3570,PATRIMONIALE!$AJ$4:$AL$1003,3,FALSE),"")</f>
        <v>#N/A</v>
      </c>
      <c r="E3570" s="41" t="str">
        <f t="shared" si="282"/>
        <v/>
      </c>
      <c r="F3570" s="200"/>
      <c r="G3570" s="178" t="e">
        <f>IF($C$1078&gt;0,VLOOKUP($C3570,PATRIMONIALE!$AJ$4:$AN$1003,5,FALSE),"")</f>
        <v>#N/A</v>
      </c>
      <c r="H3570" s="179" t="e">
        <f>IF($C$1078&gt;0,VLOOKUP($C3570,PATRIMONIALE!$AJ$4:$AO$1003,6,FALSE),"")</f>
        <v>#N/A</v>
      </c>
      <c r="I3570" s="187"/>
      <c r="J3570" s="140" t="e">
        <f ca="1">VLOOKUP(D3570,$F$1081:$I$4183,4,FALSE)+COUNTIF(E$1081:E3569,E3570)</f>
        <v>#N/A</v>
      </c>
      <c r="K3570" s="1"/>
      <c r="L3570" s="161" t="e">
        <f>IF($C$1078&gt;0,VLOOKUP($C3570,PATRIMONIALE!$AJ$4:$AP$1003,7,FALSE),"")</f>
        <v>#N/A</v>
      </c>
      <c r="M3570" s="1"/>
      <c r="N3570" s="1"/>
      <c r="O3570" s="1"/>
    </row>
    <row r="3571" spans="1:15" hidden="1">
      <c r="A3571" s="1"/>
      <c r="B3571" s="182" t="e">
        <f t="shared" ca="1" si="281"/>
        <v>#N/A</v>
      </c>
      <c r="C3571" s="500">
        <v>505</v>
      </c>
      <c r="D3571" s="41" t="e">
        <f>IF($C$1078&gt;0,VLOOKUP($C3571,PATRIMONIALE!$AJ$4:$AL$1003,3,FALSE),"")</f>
        <v>#N/A</v>
      </c>
      <c r="E3571" s="41" t="str">
        <f t="shared" si="282"/>
        <v/>
      </c>
      <c r="F3571" s="200"/>
      <c r="G3571" s="178" t="e">
        <f>IF($C$1078&gt;0,VLOOKUP($C3571,PATRIMONIALE!$AJ$4:$AN$1003,5,FALSE),"")</f>
        <v>#N/A</v>
      </c>
      <c r="H3571" s="179" t="e">
        <f>IF($C$1078&gt;0,VLOOKUP($C3571,PATRIMONIALE!$AJ$4:$AO$1003,6,FALSE),"")</f>
        <v>#N/A</v>
      </c>
      <c r="I3571" s="187"/>
      <c r="J3571" s="140" t="e">
        <f ca="1">VLOOKUP(D3571,$F$1081:$I$4183,4,FALSE)+COUNTIF(E$1081:E3570,E3571)</f>
        <v>#N/A</v>
      </c>
      <c r="K3571" s="1"/>
      <c r="L3571" s="161" t="e">
        <f>IF($C$1078&gt;0,VLOOKUP($C3571,PATRIMONIALE!$AJ$4:$AP$1003,7,FALSE),"")</f>
        <v>#N/A</v>
      </c>
      <c r="M3571" s="1"/>
      <c r="N3571" s="1"/>
      <c r="O3571" s="1"/>
    </row>
    <row r="3572" spans="1:15" hidden="1">
      <c r="A3572" s="1"/>
      <c r="B3572" s="182" t="e">
        <f t="shared" ca="1" si="281"/>
        <v>#N/A</v>
      </c>
      <c r="C3572" s="500">
        <v>506</v>
      </c>
      <c r="D3572" s="41" t="e">
        <f>IF($C$1078&gt;0,VLOOKUP($C3572,PATRIMONIALE!$AJ$4:$AL$1003,3,FALSE),"")</f>
        <v>#N/A</v>
      </c>
      <c r="E3572" s="41" t="str">
        <f t="shared" si="282"/>
        <v/>
      </c>
      <c r="F3572" s="200"/>
      <c r="G3572" s="178" t="e">
        <f>IF($C$1078&gt;0,VLOOKUP($C3572,PATRIMONIALE!$AJ$4:$AN$1003,5,FALSE),"")</f>
        <v>#N/A</v>
      </c>
      <c r="H3572" s="179" t="e">
        <f>IF($C$1078&gt;0,VLOOKUP($C3572,PATRIMONIALE!$AJ$4:$AO$1003,6,FALSE),"")</f>
        <v>#N/A</v>
      </c>
      <c r="I3572" s="187"/>
      <c r="J3572" s="140" t="e">
        <f ca="1">VLOOKUP(D3572,$F$1081:$I$4183,4,FALSE)+COUNTIF(E$1081:E3571,E3572)</f>
        <v>#N/A</v>
      </c>
      <c r="K3572" s="1"/>
      <c r="L3572" s="161" t="e">
        <f>IF($C$1078&gt;0,VLOOKUP($C3572,PATRIMONIALE!$AJ$4:$AP$1003,7,FALSE),"")</f>
        <v>#N/A</v>
      </c>
      <c r="M3572" s="1"/>
      <c r="N3572" s="1"/>
      <c r="O3572" s="1"/>
    </row>
    <row r="3573" spans="1:15" hidden="1">
      <c r="A3573" s="1"/>
      <c r="B3573" s="182" t="e">
        <f t="shared" ca="1" si="281"/>
        <v>#N/A</v>
      </c>
      <c r="C3573" s="500">
        <v>507</v>
      </c>
      <c r="D3573" s="41" t="e">
        <f>IF($C$1078&gt;0,VLOOKUP($C3573,PATRIMONIALE!$AJ$4:$AL$1003,3,FALSE),"")</f>
        <v>#N/A</v>
      </c>
      <c r="E3573" s="41" t="str">
        <f t="shared" si="282"/>
        <v/>
      </c>
      <c r="F3573" s="200"/>
      <c r="G3573" s="178" t="e">
        <f>IF($C$1078&gt;0,VLOOKUP($C3573,PATRIMONIALE!$AJ$4:$AN$1003,5,FALSE),"")</f>
        <v>#N/A</v>
      </c>
      <c r="H3573" s="179" t="e">
        <f>IF($C$1078&gt;0,VLOOKUP($C3573,PATRIMONIALE!$AJ$4:$AO$1003,6,FALSE),"")</f>
        <v>#N/A</v>
      </c>
      <c r="I3573" s="187"/>
      <c r="J3573" s="140" t="e">
        <f ca="1">VLOOKUP(D3573,$F$1081:$I$4183,4,FALSE)+COUNTIF(E$1081:E3572,E3573)</f>
        <v>#N/A</v>
      </c>
      <c r="K3573" s="1"/>
      <c r="L3573" s="161" t="e">
        <f>IF($C$1078&gt;0,VLOOKUP($C3573,PATRIMONIALE!$AJ$4:$AP$1003,7,FALSE),"")</f>
        <v>#N/A</v>
      </c>
      <c r="M3573" s="1"/>
      <c r="N3573" s="1"/>
      <c r="O3573" s="1"/>
    </row>
    <row r="3574" spans="1:15" hidden="1">
      <c r="A3574" s="1"/>
      <c r="B3574" s="182" t="e">
        <f t="shared" ca="1" si="281"/>
        <v>#N/A</v>
      </c>
      <c r="C3574" s="500">
        <v>508</v>
      </c>
      <c r="D3574" s="41" t="e">
        <f>IF($C$1078&gt;0,VLOOKUP($C3574,PATRIMONIALE!$AJ$4:$AL$1003,3,FALSE),"")</f>
        <v>#N/A</v>
      </c>
      <c r="E3574" s="41" t="str">
        <f t="shared" si="282"/>
        <v/>
      </c>
      <c r="F3574" s="200"/>
      <c r="G3574" s="178" t="e">
        <f>IF($C$1078&gt;0,VLOOKUP($C3574,PATRIMONIALE!$AJ$4:$AN$1003,5,FALSE),"")</f>
        <v>#N/A</v>
      </c>
      <c r="H3574" s="179" t="e">
        <f>IF($C$1078&gt;0,VLOOKUP($C3574,PATRIMONIALE!$AJ$4:$AO$1003,6,FALSE),"")</f>
        <v>#N/A</v>
      </c>
      <c r="I3574" s="187"/>
      <c r="J3574" s="140" t="e">
        <f ca="1">VLOOKUP(D3574,$F$1081:$I$4183,4,FALSE)+COUNTIF(E$1081:E3573,E3574)</f>
        <v>#N/A</v>
      </c>
      <c r="K3574" s="1"/>
      <c r="L3574" s="161" t="e">
        <f>IF($C$1078&gt;0,VLOOKUP($C3574,PATRIMONIALE!$AJ$4:$AP$1003,7,FALSE),"")</f>
        <v>#N/A</v>
      </c>
      <c r="M3574" s="1"/>
      <c r="N3574" s="1"/>
      <c r="O3574" s="1"/>
    </row>
    <row r="3575" spans="1:15" hidden="1">
      <c r="A3575" s="1"/>
      <c r="B3575" s="182" t="e">
        <f t="shared" ref="B3575:B3638" ca="1" si="283">IF(OR(C$1075&gt;0,C$1077&gt;0,C$1073&gt;0,C$1071&gt;0),J3575+1,J3575)</f>
        <v>#N/A</v>
      </c>
      <c r="C3575" s="500">
        <v>509</v>
      </c>
      <c r="D3575" s="41" t="e">
        <f>IF($C$1078&gt;0,VLOOKUP($C3575,PATRIMONIALE!$AJ$4:$AL$1003,3,FALSE),"")</f>
        <v>#N/A</v>
      </c>
      <c r="E3575" s="41" t="str">
        <f t="shared" si="282"/>
        <v/>
      </c>
      <c r="F3575" s="200"/>
      <c r="G3575" s="178" t="e">
        <f>IF($C$1078&gt;0,VLOOKUP($C3575,PATRIMONIALE!$AJ$4:$AN$1003,5,FALSE),"")</f>
        <v>#N/A</v>
      </c>
      <c r="H3575" s="179" t="e">
        <f>IF($C$1078&gt;0,VLOOKUP($C3575,PATRIMONIALE!$AJ$4:$AO$1003,6,FALSE),"")</f>
        <v>#N/A</v>
      </c>
      <c r="I3575" s="187"/>
      <c r="J3575" s="140" t="e">
        <f ca="1">VLOOKUP(D3575,$F$1081:$I$4183,4,FALSE)+COUNTIF(E$1081:E3574,E3575)</f>
        <v>#N/A</v>
      </c>
      <c r="K3575" s="1"/>
      <c r="L3575" s="161" t="e">
        <f>IF($C$1078&gt;0,VLOOKUP($C3575,PATRIMONIALE!$AJ$4:$AP$1003,7,FALSE),"")</f>
        <v>#N/A</v>
      </c>
      <c r="M3575" s="1"/>
      <c r="N3575" s="1"/>
      <c r="O3575" s="1"/>
    </row>
    <row r="3576" spans="1:15" hidden="1">
      <c r="A3576" s="1"/>
      <c r="B3576" s="182" t="e">
        <f t="shared" ca="1" si="283"/>
        <v>#N/A</v>
      </c>
      <c r="C3576" s="500">
        <v>510</v>
      </c>
      <c r="D3576" s="41" t="e">
        <f>IF($C$1078&gt;0,VLOOKUP($C3576,PATRIMONIALE!$AJ$4:$AL$1003,3,FALSE),"")</f>
        <v>#N/A</v>
      </c>
      <c r="E3576" s="41" t="str">
        <f t="shared" si="282"/>
        <v/>
      </c>
      <c r="F3576" s="200"/>
      <c r="G3576" s="178" t="e">
        <f>IF($C$1078&gt;0,VLOOKUP($C3576,PATRIMONIALE!$AJ$4:$AN$1003,5,FALSE),"")</f>
        <v>#N/A</v>
      </c>
      <c r="H3576" s="179" t="e">
        <f>IF($C$1078&gt;0,VLOOKUP($C3576,PATRIMONIALE!$AJ$4:$AO$1003,6,FALSE),"")</f>
        <v>#N/A</v>
      </c>
      <c r="I3576" s="187"/>
      <c r="J3576" s="140" t="e">
        <f ca="1">VLOOKUP(D3576,$F$1081:$I$4183,4,FALSE)+COUNTIF(E$1081:E3575,E3576)</f>
        <v>#N/A</v>
      </c>
      <c r="K3576" s="1"/>
      <c r="L3576" s="161" t="e">
        <f>IF($C$1078&gt;0,VLOOKUP($C3576,PATRIMONIALE!$AJ$4:$AP$1003,7,FALSE),"")</f>
        <v>#N/A</v>
      </c>
      <c r="M3576" s="1"/>
      <c r="N3576" s="1"/>
      <c r="O3576" s="1"/>
    </row>
    <row r="3577" spans="1:15" hidden="1">
      <c r="A3577" s="1"/>
      <c r="B3577" s="182" t="e">
        <f t="shared" ca="1" si="283"/>
        <v>#N/A</v>
      </c>
      <c r="C3577" s="500">
        <v>511</v>
      </c>
      <c r="D3577" s="41" t="e">
        <f>IF($C$1078&gt;0,VLOOKUP($C3577,PATRIMONIALE!$AJ$4:$AL$1003,3,FALSE),"")</f>
        <v>#N/A</v>
      </c>
      <c r="E3577" s="41" t="str">
        <f t="shared" si="282"/>
        <v/>
      </c>
      <c r="F3577" s="200"/>
      <c r="G3577" s="178" t="e">
        <f>IF($C$1078&gt;0,VLOOKUP($C3577,PATRIMONIALE!$AJ$4:$AN$1003,5,FALSE),"")</f>
        <v>#N/A</v>
      </c>
      <c r="H3577" s="179" t="e">
        <f>IF($C$1078&gt;0,VLOOKUP($C3577,PATRIMONIALE!$AJ$4:$AO$1003,6,FALSE),"")</f>
        <v>#N/A</v>
      </c>
      <c r="I3577" s="187"/>
      <c r="J3577" s="140" t="e">
        <f ca="1">VLOOKUP(D3577,$F$1081:$I$4183,4,FALSE)+COUNTIF(E$1081:E3576,E3577)</f>
        <v>#N/A</v>
      </c>
      <c r="K3577" s="1"/>
      <c r="L3577" s="161" t="e">
        <f>IF($C$1078&gt;0,VLOOKUP($C3577,PATRIMONIALE!$AJ$4:$AP$1003,7,FALSE),"")</f>
        <v>#N/A</v>
      </c>
      <c r="M3577" s="1"/>
      <c r="N3577" s="1"/>
      <c r="O3577" s="1"/>
    </row>
    <row r="3578" spans="1:15" hidden="1">
      <c r="A3578" s="1"/>
      <c r="B3578" s="182" t="e">
        <f t="shared" ca="1" si="283"/>
        <v>#N/A</v>
      </c>
      <c r="C3578" s="500">
        <v>512</v>
      </c>
      <c r="D3578" s="41" t="e">
        <f>IF($C$1078&gt;0,VLOOKUP($C3578,PATRIMONIALE!$AJ$4:$AL$1003,3,FALSE),"")</f>
        <v>#N/A</v>
      </c>
      <c r="E3578" s="41" t="str">
        <f t="shared" si="282"/>
        <v/>
      </c>
      <c r="F3578" s="200"/>
      <c r="G3578" s="178" t="e">
        <f>IF($C$1078&gt;0,VLOOKUP($C3578,PATRIMONIALE!$AJ$4:$AN$1003,5,FALSE),"")</f>
        <v>#N/A</v>
      </c>
      <c r="H3578" s="179" t="e">
        <f>IF($C$1078&gt;0,VLOOKUP($C3578,PATRIMONIALE!$AJ$4:$AO$1003,6,FALSE),"")</f>
        <v>#N/A</v>
      </c>
      <c r="I3578" s="187"/>
      <c r="J3578" s="140" t="e">
        <f ca="1">VLOOKUP(D3578,$F$1081:$I$4183,4,FALSE)+COUNTIF(E$1081:E3577,E3578)</f>
        <v>#N/A</v>
      </c>
      <c r="K3578" s="1"/>
      <c r="L3578" s="161" t="e">
        <f>IF($C$1078&gt;0,VLOOKUP($C3578,PATRIMONIALE!$AJ$4:$AP$1003,7,FALSE),"")</f>
        <v>#N/A</v>
      </c>
      <c r="M3578" s="1"/>
      <c r="N3578" s="1"/>
      <c r="O3578" s="1"/>
    </row>
    <row r="3579" spans="1:15" hidden="1">
      <c r="A3579" s="1"/>
      <c r="B3579" s="182" t="e">
        <f t="shared" ca="1" si="283"/>
        <v>#N/A</v>
      </c>
      <c r="C3579" s="500">
        <v>513</v>
      </c>
      <c r="D3579" s="41" t="e">
        <f>IF($C$1078&gt;0,VLOOKUP($C3579,PATRIMONIALE!$AJ$4:$AL$1003,3,FALSE),"")</f>
        <v>#N/A</v>
      </c>
      <c r="E3579" s="41" t="str">
        <f t="shared" si="282"/>
        <v/>
      </c>
      <c r="F3579" s="200"/>
      <c r="G3579" s="178" t="e">
        <f>IF($C$1078&gt;0,VLOOKUP($C3579,PATRIMONIALE!$AJ$4:$AN$1003,5,FALSE),"")</f>
        <v>#N/A</v>
      </c>
      <c r="H3579" s="179" t="e">
        <f>IF($C$1078&gt;0,VLOOKUP($C3579,PATRIMONIALE!$AJ$4:$AO$1003,6,FALSE),"")</f>
        <v>#N/A</v>
      </c>
      <c r="I3579" s="187"/>
      <c r="J3579" s="140" t="e">
        <f ca="1">VLOOKUP(D3579,$F$1081:$I$4183,4,FALSE)+COUNTIF(E$1081:E3578,E3579)</f>
        <v>#N/A</v>
      </c>
      <c r="K3579" s="1"/>
      <c r="L3579" s="161" t="e">
        <f>IF($C$1078&gt;0,VLOOKUP($C3579,PATRIMONIALE!$AJ$4:$AP$1003,7,FALSE),"")</f>
        <v>#N/A</v>
      </c>
      <c r="M3579" s="1"/>
      <c r="N3579" s="1"/>
      <c r="O3579" s="1"/>
    </row>
    <row r="3580" spans="1:15" hidden="1">
      <c r="A3580" s="1"/>
      <c r="B3580" s="182" t="e">
        <f t="shared" ca="1" si="283"/>
        <v>#N/A</v>
      </c>
      <c r="C3580" s="500">
        <v>514</v>
      </c>
      <c r="D3580" s="41" t="e">
        <f>IF($C$1078&gt;0,VLOOKUP($C3580,PATRIMONIALE!$AJ$4:$AL$1003,3,FALSE),"")</f>
        <v>#N/A</v>
      </c>
      <c r="E3580" s="41" t="str">
        <f t="shared" si="282"/>
        <v/>
      </c>
      <c r="F3580" s="200"/>
      <c r="G3580" s="178" t="e">
        <f>IF($C$1078&gt;0,VLOOKUP($C3580,PATRIMONIALE!$AJ$4:$AN$1003,5,FALSE),"")</f>
        <v>#N/A</v>
      </c>
      <c r="H3580" s="179" t="e">
        <f>IF($C$1078&gt;0,VLOOKUP($C3580,PATRIMONIALE!$AJ$4:$AO$1003,6,FALSE),"")</f>
        <v>#N/A</v>
      </c>
      <c r="I3580" s="187"/>
      <c r="J3580" s="140" t="e">
        <f ca="1">VLOOKUP(D3580,$F$1081:$I$4183,4,FALSE)+COUNTIF(E$1081:E3579,E3580)</f>
        <v>#N/A</v>
      </c>
      <c r="K3580" s="1"/>
      <c r="L3580" s="161" t="e">
        <f>IF($C$1078&gt;0,VLOOKUP($C3580,PATRIMONIALE!$AJ$4:$AP$1003,7,FALSE),"")</f>
        <v>#N/A</v>
      </c>
      <c r="M3580" s="1"/>
      <c r="N3580" s="1"/>
      <c r="O3580" s="1"/>
    </row>
    <row r="3581" spans="1:15" hidden="1">
      <c r="A3581" s="1"/>
      <c r="B3581" s="182" t="e">
        <f t="shared" ca="1" si="283"/>
        <v>#N/A</v>
      </c>
      <c r="C3581" s="500">
        <v>515</v>
      </c>
      <c r="D3581" s="41" t="e">
        <f>IF($C$1078&gt;0,VLOOKUP($C3581,PATRIMONIALE!$AJ$4:$AL$1003,3,FALSE),"")</f>
        <v>#N/A</v>
      </c>
      <c r="E3581" s="41" t="str">
        <f t="shared" si="282"/>
        <v/>
      </c>
      <c r="F3581" s="200"/>
      <c r="G3581" s="178" t="e">
        <f>IF($C$1078&gt;0,VLOOKUP($C3581,PATRIMONIALE!$AJ$4:$AN$1003,5,FALSE),"")</f>
        <v>#N/A</v>
      </c>
      <c r="H3581" s="179" t="e">
        <f>IF($C$1078&gt;0,VLOOKUP($C3581,PATRIMONIALE!$AJ$4:$AO$1003,6,FALSE),"")</f>
        <v>#N/A</v>
      </c>
      <c r="I3581" s="187"/>
      <c r="J3581" s="140" t="e">
        <f ca="1">VLOOKUP(D3581,$F$1081:$I$4183,4,FALSE)+COUNTIF(E$1081:E3580,E3581)</f>
        <v>#N/A</v>
      </c>
      <c r="K3581" s="1"/>
      <c r="L3581" s="161" t="e">
        <f>IF($C$1078&gt;0,VLOOKUP($C3581,PATRIMONIALE!$AJ$4:$AP$1003,7,FALSE),"")</f>
        <v>#N/A</v>
      </c>
      <c r="M3581" s="1"/>
      <c r="N3581" s="1"/>
      <c r="O3581" s="1"/>
    </row>
    <row r="3582" spans="1:15" hidden="1">
      <c r="A3582" s="1"/>
      <c r="B3582" s="182" t="e">
        <f t="shared" ca="1" si="283"/>
        <v>#N/A</v>
      </c>
      <c r="C3582" s="500">
        <v>516</v>
      </c>
      <c r="D3582" s="41" t="e">
        <f>IF($C$1078&gt;0,VLOOKUP($C3582,PATRIMONIALE!$AJ$4:$AL$1003,3,FALSE),"")</f>
        <v>#N/A</v>
      </c>
      <c r="E3582" s="41" t="str">
        <f t="shared" si="282"/>
        <v/>
      </c>
      <c r="F3582" s="200"/>
      <c r="G3582" s="178" t="e">
        <f>IF($C$1078&gt;0,VLOOKUP($C3582,PATRIMONIALE!$AJ$4:$AN$1003,5,FALSE),"")</f>
        <v>#N/A</v>
      </c>
      <c r="H3582" s="179" t="e">
        <f>IF($C$1078&gt;0,VLOOKUP($C3582,PATRIMONIALE!$AJ$4:$AO$1003,6,FALSE),"")</f>
        <v>#N/A</v>
      </c>
      <c r="I3582" s="187"/>
      <c r="J3582" s="140" t="e">
        <f ca="1">VLOOKUP(D3582,$F$1081:$I$4183,4,FALSE)+COUNTIF(E$1081:E3581,E3582)</f>
        <v>#N/A</v>
      </c>
      <c r="K3582" s="1"/>
      <c r="L3582" s="161" t="e">
        <f>IF($C$1078&gt;0,VLOOKUP($C3582,PATRIMONIALE!$AJ$4:$AP$1003,7,FALSE),"")</f>
        <v>#N/A</v>
      </c>
      <c r="M3582" s="1"/>
      <c r="N3582" s="1"/>
      <c r="O3582" s="1"/>
    </row>
    <row r="3583" spans="1:15" hidden="1">
      <c r="A3583" s="1"/>
      <c r="B3583" s="182" t="e">
        <f t="shared" ca="1" si="283"/>
        <v>#N/A</v>
      </c>
      <c r="C3583" s="500">
        <v>517</v>
      </c>
      <c r="D3583" s="41" t="e">
        <f>IF($C$1078&gt;0,VLOOKUP($C3583,PATRIMONIALE!$AJ$4:$AL$1003,3,FALSE),"")</f>
        <v>#N/A</v>
      </c>
      <c r="E3583" s="41" t="str">
        <f t="shared" si="282"/>
        <v/>
      </c>
      <c r="F3583" s="200"/>
      <c r="G3583" s="178" t="e">
        <f>IF($C$1078&gt;0,VLOOKUP($C3583,PATRIMONIALE!$AJ$4:$AN$1003,5,FALSE),"")</f>
        <v>#N/A</v>
      </c>
      <c r="H3583" s="179" t="e">
        <f>IF($C$1078&gt;0,VLOOKUP($C3583,PATRIMONIALE!$AJ$4:$AO$1003,6,FALSE),"")</f>
        <v>#N/A</v>
      </c>
      <c r="I3583" s="187"/>
      <c r="J3583" s="140" t="e">
        <f ca="1">VLOOKUP(D3583,$F$1081:$I$4183,4,FALSE)+COUNTIF(E$1081:E3582,E3583)</f>
        <v>#N/A</v>
      </c>
      <c r="K3583" s="1"/>
      <c r="L3583" s="161" t="e">
        <f>IF($C$1078&gt;0,VLOOKUP($C3583,PATRIMONIALE!$AJ$4:$AP$1003,7,FALSE),"")</f>
        <v>#N/A</v>
      </c>
      <c r="M3583" s="1"/>
      <c r="N3583" s="1"/>
      <c r="O3583" s="1"/>
    </row>
    <row r="3584" spans="1:15" hidden="1">
      <c r="A3584" s="1"/>
      <c r="B3584" s="182" t="e">
        <f t="shared" ca="1" si="283"/>
        <v>#N/A</v>
      </c>
      <c r="C3584" s="500">
        <v>518</v>
      </c>
      <c r="D3584" s="41" t="e">
        <f>IF($C$1078&gt;0,VLOOKUP($C3584,PATRIMONIALE!$AJ$4:$AL$1003,3,FALSE),"")</f>
        <v>#N/A</v>
      </c>
      <c r="E3584" s="41" t="str">
        <f t="shared" si="282"/>
        <v/>
      </c>
      <c r="F3584" s="200"/>
      <c r="G3584" s="178" t="e">
        <f>IF($C$1078&gt;0,VLOOKUP($C3584,PATRIMONIALE!$AJ$4:$AN$1003,5,FALSE),"")</f>
        <v>#N/A</v>
      </c>
      <c r="H3584" s="179" t="e">
        <f>IF($C$1078&gt;0,VLOOKUP($C3584,PATRIMONIALE!$AJ$4:$AO$1003,6,FALSE),"")</f>
        <v>#N/A</v>
      </c>
      <c r="I3584" s="187"/>
      <c r="J3584" s="140" t="e">
        <f ca="1">VLOOKUP(D3584,$F$1081:$I$4183,4,FALSE)+COUNTIF(E$1081:E3583,E3584)</f>
        <v>#N/A</v>
      </c>
      <c r="K3584" s="1"/>
      <c r="L3584" s="161" t="e">
        <f>IF($C$1078&gt;0,VLOOKUP($C3584,PATRIMONIALE!$AJ$4:$AP$1003,7,FALSE),"")</f>
        <v>#N/A</v>
      </c>
      <c r="M3584" s="1"/>
      <c r="N3584" s="1"/>
      <c r="O3584" s="1"/>
    </row>
    <row r="3585" spans="1:15" hidden="1">
      <c r="A3585" s="1"/>
      <c r="B3585" s="182" t="e">
        <f t="shared" ca="1" si="283"/>
        <v>#N/A</v>
      </c>
      <c r="C3585" s="500">
        <v>519</v>
      </c>
      <c r="D3585" s="41" t="e">
        <f>IF($C$1078&gt;0,VLOOKUP($C3585,PATRIMONIALE!$AJ$4:$AL$1003,3,FALSE),"")</f>
        <v>#N/A</v>
      </c>
      <c r="E3585" s="41" t="str">
        <f t="shared" ref="E3585:E3648" si="284">IF(ISERROR(D3585),"",D3585)</f>
        <v/>
      </c>
      <c r="F3585" s="200"/>
      <c r="G3585" s="178" t="e">
        <f>IF($C$1078&gt;0,VLOOKUP($C3585,PATRIMONIALE!$AJ$4:$AN$1003,5,FALSE),"")</f>
        <v>#N/A</v>
      </c>
      <c r="H3585" s="179" t="e">
        <f>IF($C$1078&gt;0,VLOOKUP($C3585,PATRIMONIALE!$AJ$4:$AO$1003,6,FALSE),"")</f>
        <v>#N/A</v>
      </c>
      <c r="I3585" s="187"/>
      <c r="J3585" s="140" t="e">
        <f ca="1">VLOOKUP(D3585,$F$1081:$I$4183,4,FALSE)+COUNTIF(E$1081:E3584,E3585)</f>
        <v>#N/A</v>
      </c>
      <c r="K3585" s="1"/>
      <c r="L3585" s="161" t="e">
        <f>IF($C$1078&gt;0,VLOOKUP($C3585,PATRIMONIALE!$AJ$4:$AP$1003,7,FALSE),"")</f>
        <v>#N/A</v>
      </c>
      <c r="M3585" s="1"/>
      <c r="N3585" s="1"/>
      <c r="O3585" s="1"/>
    </row>
    <row r="3586" spans="1:15" hidden="1">
      <c r="A3586" s="1"/>
      <c r="B3586" s="182" t="e">
        <f t="shared" ca="1" si="283"/>
        <v>#N/A</v>
      </c>
      <c r="C3586" s="500">
        <v>520</v>
      </c>
      <c r="D3586" s="41" t="e">
        <f>IF($C$1078&gt;0,VLOOKUP($C3586,PATRIMONIALE!$AJ$4:$AL$1003,3,FALSE),"")</f>
        <v>#N/A</v>
      </c>
      <c r="E3586" s="41" t="str">
        <f t="shared" si="284"/>
        <v/>
      </c>
      <c r="F3586" s="200"/>
      <c r="G3586" s="178" t="e">
        <f>IF($C$1078&gt;0,VLOOKUP($C3586,PATRIMONIALE!$AJ$4:$AN$1003,5,FALSE),"")</f>
        <v>#N/A</v>
      </c>
      <c r="H3586" s="179" t="e">
        <f>IF($C$1078&gt;0,VLOOKUP($C3586,PATRIMONIALE!$AJ$4:$AO$1003,6,FALSE),"")</f>
        <v>#N/A</v>
      </c>
      <c r="I3586" s="187"/>
      <c r="J3586" s="140" t="e">
        <f ca="1">VLOOKUP(D3586,$F$1081:$I$4183,4,FALSE)+COUNTIF(E$1081:E3585,E3586)</f>
        <v>#N/A</v>
      </c>
      <c r="K3586" s="1"/>
      <c r="L3586" s="161" t="e">
        <f>IF($C$1078&gt;0,VLOOKUP($C3586,PATRIMONIALE!$AJ$4:$AP$1003,7,FALSE),"")</f>
        <v>#N/A</v>
      </c>
      <c r="M3586" s="1"/>
      <c r="N3586" s="1"/>
      <c r="O3586" s="1"/>
    </row>
    <row r="3587" spans="1:15" hidden="1">
      <c r="A3587" s="1"/>
      <c r="B3587" s="182" t="e">
        <f t="shared" ca="1" si="283"/>
        <v>#N/A</v>
      </c>
      <c r="C3587" s="500">
        <v>521</v>
      </c>
      <c r="D3587" s="41" t="e">
        <f>IF($C$1078&gt;0,VLOOKUP($C3587,PATRIMONIALE!$AJ$4:$AL$1003,3,FALSE),"")</f>
        <v>#N/A</v>
      </c>
      <c r="E3587" s="41" t="str">
        <f t="shared" si="284"/>
        <v/>
      </c>
      <c r="F3587" s="200"/>
      <c r="G3587" s="178" t="e">
        <f>IF($C$1078&gt;0,VLOOKUP($C3587,PATRIMONIALE!$AJ$4:$AN$1003,5,FALSE),"")</f>
        <v>#N/A</v>
      </c>
      <c r="H3587" s="179" t="e">
        <f>IF($C$1078&gt;0,VLOOKUP($C3587,PATRIMONIALE!$AJ$4:$AO$1003,6,FALSE),"")</f>
        <v>#N/A</v>
      </c>
      <c r="I3587" s="187"/>
      <c r="J3587" s="140" t="e">
        <f ca="1">VLOOKUP(D3587,$F$1081:$I$4183,4,FALSE)+COUNTIF(E$1081:E3586,E3587)</f>
        <v>#N/A</v>
      </c>
      <c r="K3587" s="1"/>
      <c r="L3587" s="161" t="e">
        <f>IF($C$1078&gt;0,VLOOKUP($C3587,PATRIMONIALE!$AJ$4:$AP$1003,7,FALSE),"")</f>
        <v>#N/A</v>
      </c>
      <c r="M3587" s="1"/>
      <c r="N3587" s="1"/>
      <c r="O3587" s="1"/>
    </row>
    <row r="3588" spans="1:15" hidden="1">
      <c r="A3588" s="1"/>
      <c r="B3588" s="182" t="e">
        <f t="shared" ca="1" si="283"/>
        <v>#N/A</v>
      </c>
      <c r="C3588" s="500">
        <v>522</v>
      </c>
      <c r="D3588" s="41" t="e">
        <f>IF($C$1078&gt;0,VLOOKUP($C3588,PATRIMONIALE!$AJ$4:$AL$1003,3,FALSE),"")</f>
        <v>#N/A</v>
      </c>
      <c r="E3588" s="41" t="str">
        <f t="shared" si="284"/>
        <v/>
      </c>
      <c r="F3588" s="200"/>
      <c r="G3588" s="178" t="e">
        <f>IF($C$1078&gt;0,VLOOKUP($C3588,PATRIMONIALE!$AJ$4:$AN$1003,5,FALSE),"")</f>
        <v>#N/A</v>
      </c>
      <c r="H3588" s="179" t="e">
        <f>IF($C$1078&gt;0,VLOOKUP($C3588,PATRIMONIALE!$AJ$4:$AO$1003,6,FALSE),"")</f>
        <v>#N/A</v>
      </c>
      <c r="I3588" s="187"/>
      <c r="J3588" s="140" t="e">
        <f ca="1">VLOOKUP(D3588,$F$1081:$I$4183,4,FALSE)+COUNTIF(E$1081:E3587,E3588)</f>
        <v>#N/A</v>
      </c>
      <c r="K3588" s="1"/>
      <c r="L3588" s="161" t="e">
        <f>IF($C$1078&gt;0,VLOOKUP($C3588,PATRIMONIALE!$AJ$4:$AP$1003,7,FALSE),"")</f>
        <v>#N/A</v>
      </c>
      <c r="M3588" s="1"/>
      <c r="N3588" s="1"/>
      <c r="O3588" s="1"/>
    </row>
    <row r="3589" spans="1:15" hidden="1">
      <c r="A3589" s="1"/>
      <c r="B3589" s="182" t="e">
        <f t="shared" ca="1" si="283"/>
        <v>#N/A</v>
      </c>
      <c r="C3589" s="500">
        <v>523</v>
      </c>
      <c r="D3589" s="41" t="e">
        <f>IF($C$1078&gt;0,VLOOKUP($C3589,PATRIMONIALE!$AJ$4:$AL$1003,3,FALSE),"")</f>
        <v>#N/A</v>
      </c>
      <c r="E3589" s="41" t="str">
        <f t="shared" si="284"/>
        <v/>
      </c>
      <c r="F3589" s="200"/>
      <c r="G3589" s="178" t="e">
        <f>IF($C$1078&gt;0,VLOOKUP($C3589,PATRIMONIALE!$AJ$4:$AN$1003,5,FALSE),"")</f>
        <v>#N/A</v>
      </c>
      <c r="H3589" s="179" t="e">
        <f>IF($C$1078&gt;0,VLOOKUP($C3589,PATRIMONIALE!$AJ$4:$AO$1003,6,FALSE),"")</f>
        <v>#N/A</v>
      </c>
      <c r="I3589" s="187"/>
      <c r="J3589" s="140" t="e">
        <f ca="1">VLOOKUP(D3589,$F$1081:$I$4183,4,FALSE)+COUNTIF(E$1081:E3588,E3589)</f>
        <v>#N/A</v>
      </c>
      <c r="K3589" s="1"/>
      <c r="L3589" s="161" t="e">
        <f>IF($C$1078&gt;0,VLOOKUP($C3589,PATRIMONIALE!$AJ$4:$AP$1003,7,FALSE),"")</f>
        <v>#N/A</v>
      </c>
      <c r="M3589" s="1"/>
      <c r="N3589" s="1"/>
      <c r="O3589" s="1"/>
    </row>
    <row r="3590" spans="1:15" hidden="1">
      <c r="A3590" s="1"/>
      <c r="B3590" s="182" t="e">
        <f t="shared" ca="1" si="283"/>
        <v>#N/A</v>
      </c>
      <c r="C3590" s="500">
        <v>524</v>
      </c>
      <c r="D3590" s="41" t="e">
        <f>IF($C$1078&gt;0,VLOOKUP($C3590,PATRIMONIALE!$AJ$4:$AL$1003,3,FALSE),"")</f>
        <v>#N/A</v>
      </c>
      <c r="E3590" s="41" t="str">
        <f t="shared" si="284"/>
        <v/>
      </c>
      <c r="F3590" s="200"/>
      <c r="G3590" s="178" t="e">
        <f>IF($C$1078&gt;0,VLOOKUP($C3590,PATRIMONIALE!$AJ$4:$AN$1003,5,FALSE),"")</f>
        <v>#N/A</v>
      </c>
      <c r="H3590" s="179" t="e">
        <f>IF($C$1078&gt;0,VLOOKUP($C3590,PATRIMONIALE!$AJ$4:$AO$1003,6,FALSE),"")</f>
        <v>#N/A</v>
      </c>
      <c r="I3590" s="187"/>
      <c r="J3590" s="140" t="e">
        <f ca="1">VLOOKUP(D3590,$F$1081:$I$4183,4,FALSE)+COUNTIF(E$1081:E3589,E3590)</f>
        <v>#N/A</v>
      </c>
      <c r="K3590" s="1"/>
      <c r="L3590" s="161" t="e">
        <f>IF($C$1078&gt;0,VLOOKUP($C3590,PATRIMONIALE!$AJ$4:$AP$1003,7,FALSE),"")</f>
        <v>#N/A</v>
      </c>
      <c r="M3590" s="1"/>
      <c r="N3590" s="1"/>
      <c r="O3590" s="1"/>
    </row>
    <row r="3591" spans="1:15" hidden="1">
      <c r="A3591" s="1"/>
      <c r="B3591" s="182" t="e">
        <f t="shared" ca="1" si="283"/>
        <v>#N/A</v>
      </c>
      <c r="C3591" s="500">
        <v>525</v>
      </c>
      <c r="D3591" s="41" t="e">
        <f>IF($C$1078&gt;0,VLOOKUP($C3591,PATRIMONIALE!$AJ$4:$AL$1003,3,FALSE),"")</f>
        <v>#N/A</v>
      </c>
      <c r="E3591" s="41" t="str">
        <f t="shared" si="284"/>
        <v/>
      </c>
      <c r="F3591" s="200"/>
      <c r="G3591" s="178" t="e">
        <f>IF($C$1078&gt;0,VLOOKUP($C3591,PATRIMONIALE!$AJ$4:$AN$1003,5,FALSE),"")</f>
        <v>#N/A</v>
      </c>
      <c r="H3591" s="179" t="e">
        <f>IF($C$1078&gt;0,VLOOKUP($C3591,PATRIMONIALE!$AJ$4:$AO$1003,6,FALSE),"")</f>
        <v>#N/A</v>
      </c>
      <c r="I3591" s="187"/>
      <c r="J3591" s="140" t="e">
        <f ca="1">VLOOKUP(D3591,$F$1081:$I$4183,4,FALSE)+COUNTIF(E$1081:E3590,E3591)</f>
        <v>#N/A</v>
      </c>
      <c r="K3591" s="1"/>
      <c r="L3591" s="161" t="e">
        <f>IF($C$1078&gt;0,VLOOKUP($C3591,PATRIMONIALE!$AJ$4:$AP$1003,7,FALSE),"")</f>
        <v>#N/A</v>
      </c>
      <c r="M3591" s="1"/>
      <c r="N3591" s="1"/>
      <c r="O3591" s="1"/>
    </row>
    <row r="3592" spans="1:15" hidden="1">
      <c r="A3592" s="1"/>
      <c r="B3592" s="182" t="e">
        <f t="shared" ca="1" si="283"/>
        <v>#N/A</v>
      </c>
      <c r="C3592" s="500">
        <v>526</v>
      </c>
      <c r="D3592" s="41" t="e">
        <f>IF($C$1078&gt;0,VLOOKUP($C3592,PATRIMONIALE!$AJ$4:$AL$1003,3,FALSE),"")</f>
        <v>#N/A</v>
      </c>
      <c r="E3592" s="41" t="str">
        <f t="shared" si="284"/>
        <v/>
      </c>
      <c r="F3592" s="200"/>
      <c r="G3592" s="178" t="e">
        <f>IF($C$1078&gt;0,VLOOKUP($C3592,PATRIMONIALE!$AJ$4:$AN$1003,5,FALSE),"")</f>
        <v>#N/A</v>
      </c>
      <c r="H3592" s="179" t="e">
        <f>IF($C$1078&gt;0,VLOOKUP($C3592,PATRIMONIALE!$AJ$4:$AO$1003,6,FALSE),"")</f>
        <v>#N/A</v>
      </c>
      <c r="I3592" s="187"/>
      <c r="J3592" s="140" t="e">
        <f ca="1">VLOOKUP(D3592,$F$1081:$I$4183,4,FALSE)+COUNTIF(E$1081:E3591,E3592)</f>
        <v>#N/A</v>
      </c>
      <c r="K3592" s="1"/>
      <c r="L3592" s="161" t="e">
        <f>IF($C$1078&gt;0,VLOOKUP($C3592,PATRIMONIALE!$AJ$4:$AP$1003,7,FALSE),"")</f>
        <v>#N/A</v>
      </c>
      <c r="M3592" s="1"/>
      <c r="N3592" s="1"/>
      <c r="O3592" s="1"/>
    </row>
    <row r="3593" spans="1:15" hidden="1">
      <c r="A3593" s="1"/>
      <c r="B3593" s="182" t="e">
        <f t="shared" ca="1" si="283"/>
        <v>#N/A</v>
      </c>
      <c r="C3593" s="500">
        <v>527</v>
      </c>
      <c r="D3593" s="41" t="e">
        <f>IF($C$1078&gt;0,VLOOKUP($C3593,PATRIMONIALE!$AJ$4:$AL$1003,3,FALSE),"")</f>
        <v>#N/A</v>
      </c>
      <c r="E3593" s="41" t="str">
        <f t="shared" si="284"/>
        <v/>
      </c>
      <c r="F3593" s="200"/>
      <c r="G3593" s="178" t="e">
        <f>IF($C$1078&gt;0,VLOOKUP($C3593,PATRIMONIALE!$AJ$4:$AN$1003,5,FALSE),"")</f>
        <v>#N/A</v>
      </c>
      <c r="H3593" s="179" t="e">
        <f>IF($C$1078&gt;0,VLOOKUP($C3593,PATRIMONIALE!$AJ$4:$AO$1003,6,FALSE),"")</f>
        <v>#N/A</v>
      </c>
      <c r="I3593" s="187"/>
      <c r="J3593" s="140" t="e">
        <f ca="1">VLOOKUP(D3593,$F$1081:$I$4183,4,FALSE)+COUNTIF(E$1081:E3592,E3593)</f>
        <v>#N/A</v>
      </c>
      <c r="K3593" s="1"/>
      <c r="L3593" s="161" t="e">
        <f>IF($C$1078&gt;0,VLOOKUP($C3593,PATRIMONIALE!$AJ$4:$AP$1003,7,FALSE),"")</f>
        <v>#N/A</v>
      </c>
      <c r="M3593" s="1"/>
      <c r="N3593" s="1"/>
      <c r="O3593" s="1"/>
    </row>
    <row r="3594" spans="1:15" hidden="1">
      <c r="A3594" s="1"/>
      <c r="B3594" s="182" t="e">
        <f t="shared" ca="1" si="283"/>
        <v>#N/A</v>
      </c>
      <c r="C3594" s="500">
        <v>528</v>
      </c>
      <c r="D3594" s="41" t="e">
        <f>IF($C$1078&gt;0,VLOOKUP($C3594,PATRIMONIALE!$AJ$4:$AL$1003,3,FALSE),"")</f>
        <v>#N/A</v>
      </c>
      <c r="E3594" s="41" t="str">
        <f t="shared" si="284"/>
        <v/>
      </c>
      <c r="F3594" s="200"/>
      <c r="G3594" s="178" t="e">
        <f>IF($C$1078&gt;0,VLOOKUP($C3594,PATRIMONIALE!$AJ$4:$AN$1003,5,FALSE),"")</f>
        <v>#N/A</v>
      </c>
      <c r="H3594" s="179" t="e">
        <f>IF($C$1078&gt;0,VLOOKUP($C3594,PATRIMONIALE!$AJ$4:$AO$1003,6,FALSE),"")</f>
        <v>#N/A</v>
      </c>
      <c r="I3594" s="187"/>
      <c r="J3594" s="140" t="e">
        <f ca="1">VLOOKUP(D3594,$F$1081:$I$4183,4,FALSE)+COUNTIF(E$1081:E3593,E3594)</f>
        <v>#N/A</v>
      </c>
      <c r="K3594" s="1"/>
      <c r="L3594" s="161" t="e">
        <f>IF($C$1078&gt;0,VLOOKUP($C3594,PATRIMONIALE!$AJ$4:$AP$1003,7,FALSE),"")</f>
        <v>#N/A</v>
      </c>
      <c r="M3594" s="1"/>
      <c r="N3594" s="1"/>
      <c r="O3594" s="1"/>
    </row>
    <row r="3595" spans="1:15" hidden="1">
      <c r="A3595" s="1"/>
      <c r="B3595" s="182" t="e">
        <f t="shared" ca="1" si="283"/>
        <v>#N/A</v>
      </c>
      <c r="C3595" s="500">
        <v>529</v>
      </c>
      <c r="D3595" s="41" t="e">
        <f>IF($C$1078&gt;0,VLOOKUP($C3595,PATRIMONIALE!$AJ$4:$AL$1003,3,FALSE),"")</f>
        <v>#N/A</v>
      </c>
      <c r="E3595" s="41" t="str">
        <f t="shared" si="284"/>
        <v/>
      </c>
      <c r="F3595" s="200"/>
      <c r="G3595" s="178" t="e">
        <f>IF($C$1078&gt;0,VLOOKUP($C3595,PATRIMONIALE!$AJ$4:$AN$1003,5,FALSE),"")</f>
        <v>#N/A</v>
      </c>
      <c r="H3595" s="179" t="e">
        <f>IF($C$1078&gt;0,VLOOKUP($C3595,PATRIMONIALE!$AJ$4:$AO$1003,6,FALSE),"")</f>
        <v>#N/A</v>
      </c>
      <c r="I3595" s="187"/>
      <c r="J3595" s="140" t="e">
        <f ca="1">VLOOKUP(D3595,$F$1081:$I$4183,4,FALSE)+COUNTIF(E$1081:E3594,E3595)</f>
        <v>#N/A</v>
      </c>
      <c r="K3595" s="1"/>
      <c r="L3595" s="161" t="e">
        <f>IF($C$1078&gt;0,VLOOKUP($C3595,PATRIMONIALE!$AJ$4:$AP$1003,7,FALSE),"")</f>
        <v>#N/A</v>
      </c>
      <c r="M3595" s="1"/>
      <c r="N3595" s="1"/>
      <c r="O3595" s="1"/>
    </row>
    <row r="3596" spans="1:15" hidden="1">
      <c r="A3596" s="1"/>
      <c r="B3596" s="182" t="e">
        <f t="shared" ca="1" si="283"/>
        <v>#N/A</v>
      </c>
      <c r="C3596" s="500">
        <v>530</v>
      </c>
      <c r="D3596" s="41" t="e">
        <f>IF($C$1078&gt;0,VLOOKUP($C3596,PATRIMONIALE!$AJ$4:$AL$1003,3,FALSE),"")</f>
        <v>#N/A</v>
      </c>
      <c r="E3596" s="41" t="str">
        <f t="shared" si="284"/>
        <v/>
      </c>
      <c r="F3596" s="200"/>
      <c r="G3596" s="178" t="e">
        <f>IF($C$1078&gt;0,VLOOKUP($C3596,PATRIMONIALE!$AJ$4:$AN$1003,5,FALSE),"")</f>
        <v>#N/A</v>
      </c>
      <c r="H3596" s="179" t="e">
        <f>IF($C$1078&gt;0,VLOOKUP($C3596,PATRIMONIALE!$AJ$4:$AO$1003,6,FALSE),"")</f>
        <v>#N/A</v>
      </c>
      <c r="I3596" s="187"/>
      <c r="J3596" s="140" t="e">
        <f ca="1">VLOOKUP(D3596,$F$1081:$I$4183,4,FALSE)+COUNTIF(E$1081:E3595,E3596)</f>
        <v>#N/A</v>
      </c>
      <c r="K3596" s="1"/>
      <c r="L3596" s="161" t="e">
        <f>IF($C$1078&gt;0,VLOOKUP($C3596,PATRIMONIALE!$AJ$4:$AP$1003,7,FALSE),"")</f>
        <v>#N/A</v>
      </c>
      <c r="M3596" s="1"/>
      <c r="N3596" s="1"/>
      <c r="O3596" s="1"/>
    </row>
    <row r="3597" spans="1:15" hidden="1">
      <c r="A3597" s="1"/>
      <c r="B3597" s="182" t="e">
        <f t="shared" ca="1" si="283"/>
        <v>#N/A</v>
      </c>
      <c r="C3597" s="500">
        <v>531</v>
      </c>
      <c r="D3597" s="41" t="e">
        <f>IF($C$1078&gt;0,VLOOKUP($C3597,PATRIMONIALE!$AJ$4:$AL$1003,3,FALSE),"")</f>
        <v>#N/A</v>
      </c>
      <c r="E3597" s="41" t="str">
        <f t="shared" si="284"/>
        <v/>
      </c>
      <c r="F3597" s="200"/>
      <c r="G3597" s="178" t="e">
        <f>IF($C$1078&gt;0,VLOOKUP($C3597,PATRIMONIALE!$AJ$4:$AN$1003,5,FALSE),"")</f>
        <v>#N/A</v>
      </c>
      <c r="H3597" s="179" t="e">
        <f>IF($C$1078&gt;0,VLOOKUP($C3597,PATRIMONIALE!$AJ$4:$AO$1003,6,FALSE),"")</f>
        <v>#N/A</v>
      </c>
      <c r="I3597" s="187"/>
      <c r="J3597" s="140" t="e">
        <f ca="1">VLOOKUP(D3597,$F$1081:$I$4183,4,FALSE)+COUNTIF(E$1081:E3596,E3597)</f>
        <v>#N/A</v>
      </c>
      <c r="K3597" s="1"/>
      <c r="L3597" s="161" t="e">
        <f>IF($C$1078&gt;0,VLOOKUP($C3597,PATRIMONIALE!$AJ$4:$AP$1003,7,FALSE),"")</f>
        <v>#N/A</v>
      </c>
      <c r="M3597" s="1"/>
      <c r="N3597" s="1"/>
      <c r="O3597" s="1"/>
    </row>
    <row r="3598" spans="1:15" hidden="1">
      <c r="A3598" s="1"/>
      <c r="B3598" s="182" t="e">
        <f t="shared" ca="1" si="283"/>
        <v>#N/A</v>
      </c>
      <c r="C3598" s="500">
        <v>532</v>
      </c>
      <c r="D3598" s="41" t="e">
        <f>IF($C$1078&gt;0,VLOOKUP($C3598,PATRIMONIALE!$AJ$4:$AL$1003,3,FALSE),"")</f>
        <v>#N/A</v>
      </c>
      <c r="E3598" s="41" t="str">
        <f t="shared" si="284"/>
        <v/>
      </c>
      <c r="F3598" s="200"/>
      <c r="G3598" s="178" t="e">
        <f>IF($C$1078&gt;0,VLOOKUP($C3598,PATRIMONIALE!$AJ$4:$AN$1003,5,FALSE),"")</f>
        <v>#N/A</v>
      </c>
      <c r="H3598" s="179" t="e">
        <f>IF($C$1078&gt;0,VLOOKUP($C3598,PATRIMONIALE!$AJ$4:$AO$1003,6,FALSE),"")</f>
        <v>#N/A</v>
      </c>
      <c r="I3598" s="187"/>
      <c r="J3598" s="140" t="e">
        <f ca="1">VLOOKUP(D3598,$F$1081:$I$4183,4,FALSE)+COUNTIF(E$1081:E3597,E3598)</f>
        <v>#N/A</v>
      </c>
      <c r="K3598" s="1"/>
      <c r="L3598" s="161" t="e">
        <f>IF($C$1078&gt;0,VLOOKUP($C3598,PATRIMONIALE!$AJ$4:$AP$1003,7,FALSE),"")</f>
        <v>#N/A</v>
      </c>
      <c r="M3598" s="1"/>
      <c r="N3598" s="1"/>
      <c r="O3598" s="1"/>
    </row>
    <row r="3599" spans="1:15" hidden="1">
      <c r="A3599" s="1"/>
      <c r="B3599" s="182" t="e">
        <f t="shared" ca="1" si="283"/>
        <v>#N/A</v>
      </c>
      <c r="C3599" s="500">
        <v>533</v>
      </c>
      <c r="D3599" s="41" t="e">
        <f>IF($C$1078&gt;0,VLOOKUP($C3599,PATRIMONIALE!$AJ$4:$AL$1003,3,FALSE),"")</f>
        <v>#N/A</v>
      </c>
      <c r="E3599" s="41" t="str">
        <f t="shared" si="284"/>
        <v/>
      </c>
      <c r="F3599" s="200"/>
      <c r="G3599" s="178" t="e">
        <f>IF($C$1078&gt;0,VLOOKUP($C3599,PATRIMONIALE!$AJ$4:$AN$1003,5,FALSE),"")</f>
        <v>#N/A</v>
      </c>
      <c r="H3599" s="179" t="e">
        <f>IF($C$1078&gt;0,VLOOKUP($C3599,PATRIMONIALE!$AJ$4:$AO$1003,6,FALSE),"")</f>
        <v>#N/A</v>
      </c>
      <c r="I3599" s="187"/>
      <c r="J3599" s="140" t="e">
        <f ca="1">VLOOKUP(D3599,$F$1081:$I$4183,4,FALSE)+COUNTIF(E$1081:E3598,E3599)</f>
        <v>#N/A</v>
      </c>
      <c r="K3599" s="1"/>
      <c r="L3599" s="161" t="e">
        <f>IF($C$1078&gt;0,VLOOKUP($C3599,PATRIMONIALE!$AJ$4:$AP$1003,7,FALSE),"")</f>
        <v>#N/A</v>
      </c>
      <c r="M3599" s="1"/>
      <c r="N3599" s="1"/>
      <c r="O3599" s="1"/>
    </row>
    <row r="3600" spans="1:15" hidden="1">
      <c r="A3600" s="1"/>
      <c r="B3600" s="182" t="e">
        <f t="shared" ca="1" si="283"/>
        <v>#N/A</v>
      </c>
      <c r="C3600" s="500">
        <v>534</v>
      </c>
      <c r="D3600" s="41" t="e">
        <f>IF($C$1078&gt;0,VLOOKUP($C3600,PATRIMONIALE!$AJ$4:$AL$1003,3,FALSE),"")</f>
        <v>#N/A</v>
      </c>
      <c r="E3600" s="41" t="str">
        <f t="shared" si="284"/>
        <v/>
      </c>
      <c r="F3600" s="200"/>
      <c r="G3600" s="178" t="e">
        <f>IF($C$1078&gt;0,VLOOKUP($C3600,PATRIMONIALE!$AJ$4:$AN$1003,5,FALSE),"")</f>
        <v>#N/A</v>
      </c>
      <c r="H3600" s="179" t="e">
        <f>IF($C$1078&gt;0,VLOOKUP($C3600,PATRIMONIALE!$AJ$4:$AO$1003,6,FALSE),"")</f>
        <v>#N/A</v>
      </c>
      <c r="I3600" s="187"/>
      <c r="J3600" s="140" t="e">
        <f ca="1">VLOOKUP(D3600,$F$1081:$I$4183,4,FALSE)+COUNTIF(E$1081:E3599,E3600)</f>
        <v>#N/A</v>
      </c>
      <c r="K3600" s="1"/>
      <c r="L3600" s="161" t="e">
        <f>IF($C$1078&gt;0,VLOOKUP($C3600,PATRIMONIALE!$AJ$4:$AP$1003,7,FALSE),"")</f>
        <v>#N/A</v>
      </c>
      <c r="M3600" s="1"/>
      <c r="N3600" s="1"/>
      <c r="O3600" s="1"/>
    </row>
    <row r="3601" spans="1:15" hidden="1">
      <c r="A3601" s="1"/>
      <c r="B3601" s="182" t="e">
        <f t="shared" ca="1" si="283"/>
        <v>#N/A</v>
      </c>
      <c r="C3601" s="500">
        <v>535</v>
      </c>
      <c r="D3601" s="41" t="e">
        <f>IF($C$1078&gt;0,VLOOKUP($C3601,PATRIMONIALE!$AJ$4:$AL$1003,3,FALSE),"")</f>
        <v>#N/A</v>
      </c>
      <c r="E3601" s="41" t="str">
        <f t="shared" si="284"/>
        <v/>
      </c>
      <c r="F3601" s="200"/>
      <c r="G3601" s="178" t="e">
        <f>IF($C$1078&gt;0,VLOOKUP($C3601,PATRIMONIALE!$AJ$4:$AN$1003,5,FALSE),"")</f>
        <v>#N/A</v>
      </c>
      <c r="H3601" s="179" t="e">
        <f>IF($C$1078&gt;0,VLOOKUP($C3601,PATRIMONIALE!$AJ$4:$AO$1003,6,FALSE),"")</f>
        <v>#N/A</v>
      </c>
      <c r="I3601" s="187"/>
      <c r="J3601" s="140" t="e">
        <f ca="1">VLOOKUP(D3601,$F$1081:$I$4183,4,FALSE)+COUNTIF(E$1081:E3600,E3601)</f>
        <v>#N/A</v>
      </c>
      <c r="K3601" s="1"/>
      <c r="L3601" s="161" t="e">
        <f>IF($C$1078&gt;0,VLOOKUP($C3601,PATRIMONIALE!$AJ$4:$AP$1003,7,FALSE),"")</f>
        <v>#N/A</v>
      </c>
      <c r="M3601" s="1"/>
      <c r="N3601" s="1"/>
      <c r="O3601" s="1"/>
    </row>
    <row r="3602" spans="1:15" hidden="1">
      <c r="A3602" s="1"/>
      <c r="B3602" s="182" t="e">
        <f t="shared" ca="1" si="283"/>
        <v>#N/A</v>
      </c>
      <c r="C3602" s="500">
        <v>536</v>
      </c>
      <c r="D3602" s="41" t="e">
        <f>IF($C$1078&gt;0,VLOOKUP($C3602,PATRIMONIALE!$AJ$4:$AL$1003,3,FALSE),"")</f>
        <v>#N/A</v>
      </c>
      <c r="E3602" s="41" t="str">
        <f t="shared" si="284"/>
        <v/>
      </c>
      <c r="F3602" s="200"/>
      <c r="G3602" s="178" t="e">
        <f>IF($C$1078&gt;0,VLOOKUP($C3602,PATRIMONIALE!$AJ$4:$AN$1003,5,FALSE),"")</f>
        <v>#N/A</v>
      </c>
      <c r="H3602" s="179" t="e">
        <f>IF($C$1078&gt;0,VLOOKUP($C3602,PATRIMONIALE!$AJ$4:$AO$1003,6,FALSE),"")</f>
        <v>#N/A</v>
      </c>
      <c r="I3602" s="187"/>
      <c r="J3602" s="140" t="e">
        <f ca="1">VLOOKUP(D3602,$F$1081:$I$4183,4,FALSE)+COUNTIF(E$1081:E3601,E3602)</f>
        <v>#N/A</v>
      </c>
      <c r="K3602" s="1"/>
      <c r="L3602" s="161" t="e">
        <f>IF($C$1078&gt;0,VLOOKUP($C3602,PATRIMONIALE!$AJ$4:$AP$1003,7,FALSE),"")</f>
        <v>#N/A</v>
      </c>
      <c r="M3602" s="1"/>
      <c r="N3602" s="1"/>
      <c r="O3602" s="1"/>
    </row>
    <row r="3603" spans="1:15" hidden="1">
      <c r="A3603" s="1"/>
      <c r="B3603" s="182" t="e">
        <f t="shared" ca="1" si="283"/>
        <v>#N/A</v>
      </c>
      <c r="C3603" s="500">
        <v>537</v>
      </c>
      <c r="D3603" s="41" t="e">
        <f>IF($C$1078&gt;0,VLOOKUP($C3603,PATRIMONIALE!$AJ$4:$AL$1003,3,FALSE),"")</f>
        <v>#N/A</v>
      </c>
      <c r="E3603" s="41" t="str">
        <f t="shared" si="284"/>
        <v/>
      </c>
      <c r="F3603" s="200"/>
      <c r="G3603" s="178" t="e">
        <f>IF($C$1078&gt;0,VLOOKUP($C3603,PATRIMONIALE!$AJ$4:$AN$1003,5,FALSE),"")</f>
        <v>#N/A</v>
      </c>
      <c r="H3603" s="179" t="e">
        <f>IF($C$1078&gt;0,VLOOKUP($C3603,PATRIMONIALE!$AJ$4:$AO$1003,6,FALSE),"")</f>
        <v>#N/A</v>
      </c>
      <c r="I3603" s="187"/>
      <c r="J3603" s="140" t="e">
        <f ca="1">VLOOKUP(D3603,$F$1081:$I$4183,4,FALSE)+COUNTIF(E$1081:E3602,E3603)</f>
        <v>#N/A</v>
      </c>
      <c r="K3603" s="1"/>
      <c r="L3603" s="161" t="e">
        <f>IF($C$1078&gt;0,VLOOKUP($C3603,PATRIMONIALE!$AJ$4:$AP$1003,7,FALSE),"")</f>
        <v>#N/A</v>
      </c>
      <c r="M3603" s="1"/>
      <c r="N3603" s="1"/>
      <c r="O3603" s="1"/>
    </row>
    <row r="3604" spans="1:15" hidden="1">
      <c r="A3604" s="1"/>
      <c r="B3604" s="182" t="e">
        <f t="shared" ca="1" si="283"/>
        <v>#N/A</v>
      </c>
      <c r="C3604" s="500">
        <v>538</v>
      </c>
      <c r="D3604" s="41" t="e">
        <f>IF($C$1078&gt;0,VLOOKUP($C3604,PATRIMONIALE!$AJ$4:$AL$1003,3,FALSE),"")</f>
        <v>#N/A</v>
      </c>
      <c r="E3604" s="41" t="str">
        <f t="shared" si="284"/>
        <v/>
      </c>
      <c r="F3604" s="200"/>
      <c r="G3604" s="178" t="e">
        <f>IF($C$1078&gt;0,VLOOKUP($C3604,PATRIMONIALE!$AJ$4:$AN$1003,5,FALSE),"")</f>
        <v>#N/A</v>
      </c>
      <c r="H3604" s="179" t="e">
        <f>IF($C$1078&gt;0,VLOOKUP($C3604,PATRIMONIALE!$AJ$4:$AO$1003,6,FALSE),"")</f>
        <v>#N/A</v>
      </c>
      <c r="I3604" s="187"/>
      <c r="J3604" s="140" t="e">
        <f ca="1">VLOOKUP(D3604,$F$1081:$I$4183,4,FALSE)+COUNTIF(E$1081:E3603,E3604)</f>
        <v>#N/A</v>
      </c>
      <c r="K3604" s="1"/>
      <c r="L3604" s="161" t="e">
        <f>IF($C$1078&gt;0,VLOOKUP($C3604,PATRIMONIALE!$AJ$4:$AP$1003,7,FALSE),"")</f>
        <v>#N/A</v>
      </c>
      <c r="M3604" s="1"/>
      <c r="N3604" s="1"/>
      <c r="O3604" s="1"/>
    </row>
    <row r="3605" spans="1:15" hidden="1">
      <c r="A3605" s="1"/>
      <c r="B3605" s="182" t="e">
        <f t="shared" ca="1" si="283"/>
        <v>#N/A</v>
      </c>
      <c r="C3605" s="500">
        <v>539</v>
      </c>
      <c r="D3605" s="41" t="e">
        <f>IF($C$1078&gt;0,VLOOKUP($C3605,PATRIMONIALE!$AJ$4:$AL$1003,3,FALSE),"")</f>
        <v>#N/A</v>
      </c>
      <c r="E3605" s="41" t="str">
        <f t="shared" si="284"/>
        <v/>
      </c>
      <c r="F3605" s="200"/>
      <c r="G3605" s="178" t="e">
        <f>IF($C$1078&gt;0,VLOOKUP($C3605,PATRIMONIALE!$AJ$4:$AN$1003,5,FALSE),"")</f>
        <v>#N/A</v>
      </c>
      <c r="H3605" s="179" t="e">
        <f>IF($C$1078&gt;0,VLOOKUP($C3605,PATRIMONIALE!$AJ$4:$AO$1003,6,FALSE),"")</f>
        <v>#N/A</v>
      </c>
      <c r="I3605" s="187"/>
      <c r="J3605" s="140" t="e">
        <f ca="1">VLOOKUP(D3605,$F$1081:$I$4183,4,FALSE)+COUNTIF(E$1081:E3604,E3605)</f>
        <v>#N/A</v>
      </c>
      <c r="K3605" s="1"/>
      <c r="L3605" s="161" t="e">
        <f>IF($C$1078&gt;0,VLOOKUP($C3605,PATRIMONIALE!$AJ$4:$AP$1003,7,FALSE),"")</f>
        <v>#N/A</v>
      </c>
      <c r="M3605" s="1"/>
      <c r="N3605" s="1"/>
      <c r="O3605" s="1"/>
    </row>
    <row r="3606" spans="1:15" hidden="1">
      <c r="A3606" s="1"/>
      <c r="B3606" s="182" t="e">
        <f t="shared" ca="1" si="283"/>
        <v>#N/A</v>
      </c>
      <c r="C3606" s="500">
        <v>540</v>
      </c>
      <c r="D3606" s="41" t="e">
        <f>IF($C$1078&gt;0,VLOOKUP($C3606,PATRIMONIALE!$AJ$4:$AL$1003,3,FALSE),"")</f>
        <v>#N/A</v>
      </c>
      <c r="E3606" s="41" t="str">
        <f t="shared" si="284"/>
        <v/>
      </c>
      <c r="F3606" s="200"/>
      <c r="G3606" s="178" t="e">
        <f>IF($C$1078&gt;0,VLOOKUP($C3606,PATRIMONIALE!$AJ$4:$AN$1003,5,FALSE),"")</f>
        <v>#N/A</v>
      </c>
      <c r="H3606" s="179" t="e">
        <f>IF($C$1078&gt;0,VLOOKUP($C3606,PATRIMONIALE!$AJ$4:$AO$1003,6,FALSE),"")</f>
        <v>#N/A</v>
      </c>
      <c r="I3606" s="187"/>
      <c r="J3606" s="140" t="e">
        <f ca="1">VLOOKUP(D3606,$F$1081:$I$4183,4,FALSE)+COUNTIF(E$1081:E3605,E3606)</f>
        <v>#N/A</v>
      </c>
      <c r="K3606" s="1"/>
      <c r="L3606" s="161" t="e">
        <f>IF($C$1078&gt;0,VLOOKUP($C3606,PATRIMONIALE!$AJ$4:$AP$1003,7,FALSE),"")</f>
        <v>#N/A</v>
      </c>
      <c r="M3606" s="1"/>
      <c r="N3606" s="1"/>
      <c r="O3606" s="1"/>
    </row>
    <row r="3607" spans="1:15" hidden="1">
      <c r="A3607" s="1"/>
      <c r="B3607" s="182" t="e">
        <f t="shared" ca="1" si="283"/>
        <v>#N/A</v>
      </c>
      <c r="C3607" s="500">
        <v>541</v>
      </c>
      <c r="D3607" s="41" t="e">
        <f>IF($C$1078&gt;0,VLOOKUP($C3607,PATRIMONIALE!$AJ$4:$AL$1003,3,FALSE),"")</f>
        <v>#N/A</v>
      </c>
      <c r="E3607" s="41" t="str">
        <f t="shared" si="284"/>
        <v/>
      </c>
      <c r="F3607" s="200"/>
      <c r="G3607" s="178" t="e">
        <f>IF($C$1078&gt;0,VLOOKUP($C3607,PATRIMONIALE!$AJ$4:$AN$1003,5,FALSE),"")</f>
        <v>#N/A</v>
      </c>
      <c r="H3607" s="179" t="e">
        <f>IF($C$1078&gt;0,VLOOKUP($C3607,PATRIMONIALE!$AJ$4:$AO$1003,6,FALSE),"")</f>
        <v>#N/A</v>
      </c>
      <c r="I3607" s="187"/>
      <c r="J3607" s="140" t="e">
        <f ca="1">VLOOKUP(D3607,$F$1081:$I$4183,4,FALSE)+COUNTIF(E$1081:E3606,E3607)</f>
        <v>#N/A</v>
      </c>
      <c r="K3607" s="1"/>
      <c r="L3607" s="161" t="e">
        <f>IF($C$1078&gt;0,VLOOKUP($C3607,PATRIMONIALE!$AJ$4:$AP$1003,7,FALSE),"")</f>
        <v>#N/A</v>
      </c>
      <c r="M3607" s="1"/>
      <c r="N3607" s="1"/>
      <c r="O3607" s="1"/>
    </row>
    <row r="3608" spans="1:15" hidden="1">
      <c r="A3608" s="1"/>
      <c r="B3608" s="182" t="e">
        <f t="shared" ca="1" si="283"/>
        <v>#N/A</v>
      </c>
      <c r="C3608" s="500">
        <v>542</v>
      </c>
      <c r="D3608" s="41" t="e">
        <f>IF($C$1078&gt;0,VLOOKUP($C3608,PATRIMONIALE!$AJ$4:$AL$1003,3,FALSE),"")</f>
        <v>#N/A</v>
      </c>
      <c r="E3608" s="41" t="str">
        <f t="shared" si="284"/>
        <v/>
      </c>
      <c r="F3608" s="200"/>
      <c r="G3608" s="178" t="e">
        <f>IF($C$1078&gt;0,VLOOKUP($C3608,PATRIMONIALE!$AJ$4:$AN$1003,5,FALSE),"")</f>
        <v>#N/A</v>
      </c>
      <c r="H3608" s="179" t="e">
        <f>IF($C$1078&gt;0,VLOOKUP($C3608,PATRIMONIALE!$AJ$4:$AO$1003,6,FALSE),"")</f>
        <v>#N/A</v>
      </c>
      <c r="I3608" s="187"/>
      <c r="J3608" s="140" t="e">
        <f ca="1">VLOOKUP(D3608,$F$1081:$I$4183,4,FALSE)+COUNTIF(E$1081:E3607,E3608)</f>
        <v>#N/A</v>
      </c>
      <c r="K3608" s="1"/>
      <c r="L3608" s="161" t="e">
        <f>IF($C$1078&gt;0,VLOOKUP($C3608,PATRIMONIALE!$AJ$4:$AP$1003,7,FALSE),"")</f>
        <v>#N/A</v>
      </c>
      <c r="M3608" s="1"/>
      <c r="N3608" s="1"/>
      <c r="O3608" s="1"/>
    </row>
    <row r="3609" spans="1:15" hidden="1">
      <c r="A3609" s="1"/>
      <c r="B3609" s="182" t="e">
        <f t="shared" ca="1" si="283"/>
        <v>#N/A</v>
      </c>
      <c r="C3609" s="500">
        <v>543</v>
      </c>
      <c r="D3609" s="41" t="e">
        <f>IF($C$1078&gt;0,VLOOKUP($C3609,PATRIMONIALE!$AJ$4:$AL$1003,3,FALSE),"")</f>
        <v>#N/A</v>
      </c>
      <c r="E3609" s="41" t="str">
        <f t="shared" si="284"/>
        <v/>
      </c>
      <c r="F3609" s="200"/>
      <c r="G3609" s="178" t="e">
        <f>IF($C$1078&gt;0,VLOOKUP($C3609,PATRIMONIALE!$AJ$4:$AN$1003,5,FALSE),"")</f>
        <v>#N/A</v>
      </c>
      <c r="H3609" s="179" t="e">
        <f>IF($C$1078&gt;0,VLOOKUP($C3609,PATRIMONIALE!$AJ$4:$AO$1003,6,FALSE),"")</f>
        <v>#N/A</v>
      </c>
      <c r="I3609" s="187"/>
      <c r="J3609" s="140" t="e">
        <f ca="1">VLOOKUP(D3609,$F$1081:$I$4183,4,FALSE)+COUNTIF(E$1081:E3608,E3609)</f>
        <v>#N/A</v>
      </c>
      <c r="K3609" s="1"/>
      <c r="L3609" s="161" t="e">
        <f>IF($C$1078&gt;0,VLOOKUP($C3609,PATRIMONIALE!$AJ$4:$AP$1003,7,FALSE),"")</f>
        <v>#N/A</v>
      </c>
      <c r="M3609" s="1"/>
      <c r="N3609" s="1"/>
      <c r="O3609" s="1"/>
    </row>
    <row r="3610" spans="1:15" hidden="1">
      <c r="A3610" s="1"/>
      <c r="B3610" s="182" t="e">
        <f t="shared" ca="1" si="283"/>
        <v>#N/A</v>
      </c>
      <c r="C3610" s="500">
        <v>544</v>
      </c>
      <c r="D3610" s="41" t="e">
        <f>IF($C$1078&gt;0,VLOOKUP($C3610,PATRIMONIALE!$AJ$4:$AL$1003,3,FALSE),"")</f>
        <v>#N/A</v>
      </c>
      <c r="E3610" s="41" t="str">
        <f t="shared" si="284"/>
        <v/>
      </c>
      <c r="F3610" s="200"/>
      <c r="G3610" s="178" t="e">
        <f>IF($C$1078&gt;0,VLOOKUP($C3610,PATRIMONIALE!$AJ$4:$AN$1003,5,FALSE),"")</f>
        <v>#N/A</v>
      </c>
      <c r="H3610" s="179" t="e">
        <f>IF($C$1078&gt;0,VLOOKUP($C3610,PATRIMONIALE!$AJ$4:$AO$1003,6,FALSE),"")</f>
        <v>#N/A</v>
      </c>
      <c r="I3610" s="187"/>
      <c r="J3610" s="140" t="e">
        <f ca="1">VLOOKUP(D3610,$F$1081:$I$4183,4,FALSE)+COUNTIF(E$1081:E3609,E3610)</f>
        <v>#N/A</v>
      </c>
      <c r="K3610" s="1"/>
      <c r="L3610" s="161" t="e">
        <f>IF($C$1078&gt;0,VLOOKUP($C3610,PATRIMONIALE!$AJ$4:$AP$1003,7,FALSE),"")</f>
        <v>#N/A</v>
      </c>
      <c r="M3610" s="1"/>
      <c r="N3610" s="1"/>
      <c r="O3610" s="1"/>
    </row>
    <row r="3611" spans="1:15" hidden="1">
      <c r="A3611" s="1"/>
      <c r="B3611" s="182" t="e">
        <f t="shared" ca="1" si="283"/>
        <v>#N/A</v>
      </c>
      <c r="C3611" s="500">
        <v>545</v>
      </c>
      <c r="D3611" s="41" t="e">
        <f>IF($C$1078&gt;0,VLOOKUP($C3611,PATRIMONIALE!$AJ$4:$AL$1003,3,FALSE),"")</f>
        <v>#N/A</v>
      </c>
      <c r="E3611" s="41" t="str">
        <f t="shared" si="284"/>
        <v/>
      </c>
      <c r="F3611" s="200"/>
      <c r="G3611" s="178" t="e">
        <f>IF($C$1078&gt;0,VLOOKUP($C3611,PATRIMONIALE!$AJ$4:$AN$1003,5,FALSE),"")</f>
        <v>#N/A</v>
      </c>
      <c r="H3611" s="179" t="e">
        <f>IF($C$1078&gt;0,VLOOKUP($C3611,PATRIMONIALE!$AJ$4:$AO$1003,6,FALSE),"")</f>
        <v>#N/A</v>
      </c>
      <c r="I3611" s="187"/>
      <c r="J3611" s="140" t="e">
        <f ca="1">VLOOKUP(D3611,$F$1081:$I$4183,4,FALSE)+COUNTIF(E$1081:E3610,E3611)</f>
        <v>#N/A</v>
      </c>
      <c r="K3611" s="1"/>
      <c r="L3611" s="161" t="e">
        <f>IF($C$1078&gt;0,VLOOKUP($C3611,PATRIMONIALE!$AJ$4:$AP$1003,7,FALSE),"")</f>
        <v>#N/A</v>
      </c>
      <c r="M3611" s="1"/>
      <c r="N3611" s="1"/>
      <c r="O3611" s="1"/>
    </row>
    <row r="3612" spans="1:15" hidden="1">
      <c r="A3612" s="1"/>
      <c r="B3612" s="182" t="e">
        <f t="shared" ca="1" si="283"/>
        <v>#N/A</v>
      </c>
      <c r="C3612" s="500">
        <v>546</v>
      </c>
      <c r="D3612" s="41" t="e">
        <f>IF($C$1078&gt;0,VLOOKUP($C3612,PATRIMONIALE!$AJ$4:$AL$1003,3,FALSE),"")</f>
        <v>#N/A</v>
      </c>
      <c r="E3612" s="41" t="str">
        <f t="shared" si="284"/>
        <v/>
      </c>
      <c r="F3612" s="200"/>
      <c r="G3612" s="178" t="e">
        <f>IF($C$1078&gt;0,VLOOKUP($C3612,PATRIMONIALE!$AJ$4:$AN$1003,5,FALSE),"")</f>
        <v>#N/A</v>
      </c>
      <c r="H3612" s="179" t="e">
        <f>IF($C$1078&gt;0,VLOOKUP($C3612,PATRIMONIALE!$AJ$4:$AO$1003,6,FALSE),"")</f>
        <v>#N/A</v>
      </c>
      <c r="I3612" s="187"/>
      <c r="J3612" s="140" t="e">
        <f ca="1">VLOOKUP(D3612,$F$1081:$I$4183,4,FALSE)+COUNTIF(E$1081:E3611,E3612)</f>
        <v>#N/A</v>
      </c>
      <c r="K3612" s="1"/>
      <c r="L3612" s="161" t="e">
        <f>IF($C$1078&gt;0,VLOOKUP($C3612,PATRIMONIALE!$AJ$4:$AP$1003,7,FALSE),"")</f>
        <v>#N/A</v>
      </c>
      <c r="M3612" s="1"/>
      <c r="N3612" s="1"/>
      <c r="O3612" s="1"/>
    </row>
    <row r="3613" spans="1:15" hidden="1">
      <c r="A3613" s="1"/>
      <c r="B3613" s="182" t="e">
        <f t="shared" ca="1" si="283"/>
        <v>#N/A</v>
      </c>
      <c r="C3613" s="500">
        <v>547</v>
      </c>
      <c r="D3613" s="41" t="e">
        <f>IF($C$1078&gt;0,VLOOKUP($C3613,PATRIMONIALE!$AJ$4:$AL$1003,3,FALSE),"")</f>
        <v>#N/A</v>
      </c>
      <c r="E3613" s="41" t="str">
        <f t="shared" si="284"/>
        <v/>
      </c>
      <c r="F3613" s="200"/>
      <c r="G3613" s="178" t="e">
        <f>IF($C$1078&gt;0,VLOOKUP($C3613,PATRIMONIALE!$AJ$4:$AN$1003,5,FALSE),"")</f>
        <v>#N/A</v>
      </c>
      <c r="H3613" s="179" t="e">
        <f>IF($C$1078&gt;0,VLOOKUP($C3613,PATRIMONIALE!$AJ$4:$AO$1003,6,FALSE),"")</f>
        <v>#N/A</v>
      </c>
      <c r="I3613" s="187"/>
      <c r="J3613" s="140" t="e">
        <f ca="1">VLOOKUP(D3613,$F$1081:$I$4183,4,FALSE)+COUNTIF(E$1081:E3612,E3613)</f>
        <v>#N/A</v>
      </c>
      <c r="K3613" s="1"/>
      <c r="L3613" s="161" t="e">
        <f>IF($C$1078&gt;0,VLOOKUP($C3613,PATRIMONIALE!$AJ$4:$AP$1003,7,FALSE),"")</f>
        <v>#N/A</v>
      </c>
      <c r="M3613" s="1"/>
      <c r="N3613" s="1"/>
      <c r="O3613" s="1"/>
    </row>
    <row r="3614" spans="1:15" hidden="1">
      <c r="A3614" s="1"/>
      <c r="B3614" s="182" t="e">
        <f t="shared" ca="1" si="283"/>
        <v>#N/A</v>
      </c>
      <c r="C3614" s="500">
        <v>548</v>
      </c>
      <c r="D3614" s="41" t="e">
        <f>IF($C$1078&gt;0,VLOOKUP($C3614,PATRIMONIALE!$AJ$4:$AL$1003,3,FALSE),"")</f>
        <v>#N/A</v>
      </c>
      <c r="E3614" s="41" t="str">
        <f t="shared" si="284"/>
        <v/>
      </c>
      <c r="F3614" s="200"/>
      <c r="G3614" s="178" t="e">
        <f>IF($C$1078&gt;0,VLOOKUP($C3614,PATRIMONIALE!$AJ$4:$AN$1003,5,FALSE),"")</f>
        <v>#N/A</v>
      </c>
      <c r="H3614" s="179" t="e">
        <f>IF($C$1078&gt;0,VLOOKUP($C3614,PATRIMONIALE!$AJ$4:$AO$1003,6,FALSE),"")</f>
        <v>#N/A</v>
      </c>
      <c r="I3614" s="187"/>
      <c r="J3614" s="140" t="e">
        <f ca="1">VLOOKUP(D3614,$F$1081:$I$4183,4,FALSE)+COUNTIF(E$1081:E3613,E3614)</f>
        <v>#N/A</v>
      </c>
      <c r="K3614" s="1"/>
      <c r="L3614" s="161" t="e">
        <f>IF($C$1078&gt;0,VLOOKUP($C3614,PATRIMONIALE!$AJ$4:$AP$1003,7,FALSE),"")</f>
        <v>#N/A</v>
      </c>
      <c r="M3614" s="1"/>
      <c r="N3614" s="1"/>
      <c r="O3614" s="1"/>
    </row>
    <row r="3615" spans="1:15" hidden="1">
      <c r="A3615" s="1"/>
      <c r="B3615" s="182" t="e">
        <f t="shared" ca="1" si="283"/>
        <v>#N/A</v>
      </c>
      <c r="C3615" s="500">
        <v>549</v>
      </c>
      <c r="D3615" s="41" t="e">
        <f>IF($C$1078&gt;0,VLOOKUP($C3615,PATRIMONIALE!$AJ$4:$AL$1003,3,FALSE),"")</f>
        <v>#N/A</v>
      </c>
      <c r="E3615" s="41" t="str">
        <f t="shared" si="284"/>
        <v/>
      </c>
      <c r="F3615" s="200"/>
      <c r="G3615" s="178" t="e">
        <f>IF($C$1078&gt;0,VLOOKUP($C3615,PATRIMONIALE!$AJ$4:$AN$1003,5,FALSE),"")</f>
        <v>#N/A</v>
      </c>
      <c r="H3615" s="179" t="e">
        <f>IF($C$1078&gt;0,VLOOKUP($C3615,PATRIMONIALE!$AJ$4:$AO$1003,6,FALSE),"")</f>
        <v>#N/A</v>
      </c>
      <c r="I3615" s="187"/>
      <c r="J3615" s="140" t="e">
        <f ca="1">VLOOKUP(D3615,$F$1081:$I$4183,4,FALSE)+COUNTIF(E$1081:E3614,E3615)</f>
        <v>#N/A</v>
      </c>
      <c r="K3615" s="1"/>
      <c r="L3615" s="161" t="e">
        <f>IF($C$1078&gt;0,VLOOKUP($C3615,PATRIMONIALE!$AJ$4:$AP$1003,7,FALSE),"")</f>
        <v>#N/A</v>
      </c>
      <c r="M3615" s="1"/>
      <c r="N3615" s="1"/>
      <c r="O3615" s="1"/>
    </row>
    <row r="3616" spans="1:15" hidden="1">
      <c r="A3616" s="1"/>
      <c r="B3616" s="182" t="e">
        <f t="shared" ca="1" si="283"/>
        <v>#N/A</v>
      </c>
      <c r="C3616" s="500">
        <v>550</v>
      </c>
      <c r="D3616" s="41" t="e">
        <f>IF($C$1078&gt;0,VLOOKUP($C3616,PATRIMONIALE!$AJ$4:$AL$1003,3,FALSE),"")</f>
        <v>#N/A</v>
      </c>
      <c r="E3616" s="41" t="str">
        <f t="shared" si="284"/>
        <v/>
      </c>
      <c r="F3616" s="200"/>
      <c r="G3616" s="178" t="e">
        <f>IF($C$1078&gt;0,VLOOKUP($C3616,PATRIMONIALE!$AJ$4:$AN$1003,5,FALSE),"")</f>
        <v>#N/A</v>
      </c>
      <c r="H3616" s="179" t="e">
        <f>IF($C$1078&gt;0,VLOOKUP($C3616,PATRIMONIALE!$AJ$4:$AO$1003,6,FALSE),"")</f>
        <v>#N/A</v>
      </c>
      <c r="I3616" s="187"/>
      <c r="J3616" s="140" t="e">
        <f ca="1">VLOOKUP(D3616,$F$1081:$I$4183,4,FALSE)+COUNTIF(E$1081:E3615,E3616)</f>
        <v>#N/A</v>
      </c>
      <c r="K3616" s="1"/>
      <c r="L3616" s="161" t="e">
        <f>IF($C$1078&gt;0,VLOOKUP($C3616,PATRIMONIALE!$AJ$4:$AP$1003,7,FALSE),"")</f>
        <v>#N/A</v>
      </c>
      <c r="M3616" s="1"/>
      <c r="N3616" s="1"/>
      <c r="O3616" s="1"/>
    </row>
    <row r="3617" spans="1:15" hidden="1">
      <c r="A3617" s="1"/>
      <c r="B3617" s="182" t="e">
        <f t="shared" ca="1" si="283"/>
        <v>#N/A</v>
      </c>
      <c r="C3617" s="500">
        <v>551</v>
      </c>
      <c r="D3617" s="41" t="e">
        <f>IF($C$1078&gt;0,VLOOKUP($C3617,PATRIMONIALE!$AJ$4:$AL$1003,3,FALSE),"")</f>
        <v>#N/A</v>
      </c>
      <c r="E3617" s="41" t="str">
        <f t="shared" si="284"/>
        <v/>
      </c>
      <c r="F3617" s="200"/>
      <c r="G3617" s="178" t="e">
        <f>IF($C$1078&gt;0,VLOOKUP($C3617,PATRIMONIALE!$AJ$4:$AN$1003,5,FALSE),"")</f>
        <v>#N/A</v>
      </c>
      <c r="H3617" s="179" t="e">
        <f>IF($C$1078&gt;0,VLOOKUP($C3617,PATRIMONIALE!$AJ$4:$AO$1003,6,FALSE),"")</f>
        <v>#N/A</v>
      </c>
      <c r="I3617" s="187"/>
      <c r="J3617" s="140" t="e">
        <f ca="1">VLOOKUP(D3617,$F$1081:$I$4183,4,FALSE)+COUNTIF(E$1081:E3616,E3617)</f>
        <v>#N/A</v>
      </c>
      <c r="K3617" s="1"/>
      <c r="L3617" s="161" t="e">
        <f>IF($C$1078&gt;0,VLOOKUP($C3617,PATRIMONIALE!$AJ$4:$AP$1003,7,FALSE),"")</f>
        <v>#N/A</v>
      </c>
      <c r="M3617" s="1"/>
      <c r="N3617" s="1"/>
      <c r="O3617" s="1"/>
    </row>
    <row r="3618" spans="1:15" hidden="1">
      <c r="A3618" s="1"/>
      <c r="B3618" s="182" t="e">
        <f t="shared" ca="1" si="283"/>
        <v>#N/A</v>
      </c>
      <c r="C3618" s="500">
        <v>552</v>
      </c>
      <c r="D3618" s="41" t="e">
        <f>IF($C$1078&gt;0,VLOOKUP($C3618,PATRIMONIALE!$AJ$4:$AL$1003,3,FALSE),"")</f>
        <v>#N/A</v>
      </c>
      <c r="E3618" s="41" t="str">
        <f t="shared" si="284"/>
        <v/>
      </c>
      <c r="F3618" s="200"/>
      <c r="G3618" s="178" t="e">
        <f>IF($C$1078&gt;0,VLOOKUP($C3618,PATRIMONIALE!$AJ$4:$AN$1003,5,FALSE),"")</f>
        <v>#N/A</v>
      </c>
      <c r="H3618" s="179" t="e">
        <f>IF($C$1078&gt;0,VLOOKUP($C3618,PATRIMONIALE!$AJ$4:$AO$1003,6,FALSE),"")</f>
        <v>#N/A</v>
      </c>
      <c r="I3618" s="187"/>
      <c r="J3618" s="140" t="e">
        <f ca="1">VLOOKUP(D3618,$F$1081:$I$4183,4,FALSE)+COUNTIF(E$1081:E3617,E3618)</f>
        <v>#N/A</v>
      </c>
      <c r="K3618" s="1"/>
      <c r="L3618" s="161" t="e">
        <f>IF($C$1078&gt;0,VLOOKUP($C3618,PATRIMONIALE!$AJ$4:$AP$1003,7,FALSE),"")</f>
        <v>#N/A</v>
      </c>
      <c r="M3618" s="1"/>
      <c r="N3618" s="1"/>
      <c r="O3618" s="1"/>
    </row>
    <row r="3619" spans="1:15" hidden="1">
      <c r="A3619" s="1"/>
      <c r="B3619" s="182" t="e">
        <f t="shared" ca="1" si="283"/>
        <v>#N/A</v>
      </c>
      <c r="C3619" s="500">
        <v>553</v>
      </c>
      <c r="D3619" s="41" t="e">
        <f>IF($C$1078&gt;0,VLOOKUP($C3619,PATRIMONIALE!$AJ$4:$AL$1003,3,FALSE),"")</f>
        <v>#N/A</v>
      </c>
      <c r="E3619" s="41" t="str">
        <f t="shared" si="284"/>
        <v/>
      </c>
      <c r="F3619" s="200"/>
      <c r="G3619" s="178" t="e">
        <f>IF($C$1078&gt;0,VLOOKUP($C3619,PATRIMONIALE!$AJ$4:$AN$1003,5,FALSE),"")</f>
        <v>#N/A</v>
      </c>
      <c r="H3619" s="179" t="e">
        <f>IF($C$1078&gt;0,VLOOKUP($C3619,PATRIMONIALE!$AJ$4:$AO$1003,6,FALSE),"")</f>
        <v>#N/A</v>
      </c>
      <c r="I3619" s="187"/>
      <c r="J3619" s="140" t="e">
        <f ca="1">VLOOKUP(D3619,$F$1081:$I$4183,4,FALSE)+COUNTIF(E$1081:E3618,E3619)</f>
        <v>#N/A</v>
      </c>
      <c r="K3619" s="1"/>
      <c r="L3619" s="161" t="e">
        <f>IF($C$1078&gt;0,VLOOKUP($C3619,PATRIMONIALE!$AJ$4:$AP$1003,7,FALSE),"")</f>
        <v>#N/A</v>
      </c>
      <c r="M3619" s="1"/>
      <c r="N3619" s="1"/>
      <c r="O3619" s="1"/>
    </row>
    <row r="3620" spans="1:15" hidden="1">
      <c r="A3620" s="1"/>
      <c r="B3620" s="182" t="e">
        <f t="shared" ca="1" si="283"/>
        <v>#N/A</v>
      </c>
      <c r="C3620" s="500">
        <v>554</v>
      </c>
      <c r="D3620" s="41" t="e">
        <f>IF($C$1078&gt;0,VLOOKUP($C3620,PATRIMONIALE!$AJ$4:$AL$1003,3,FALSE),"")</f>
        <v>#N/A</v>
      </c>
      <c r="E3620" s="41" t="str">
        <f t="shared" si="284"/>
        <v/>
      </c>
      <c r="F3620" s="200"/>
      <c r="G3620" s="178" t="e">
        <f>IF($C$1078&gt;0,VLOOKUP($C3620,PATRIMONIALE!$AJ$4:$AN$1003,5,FALSE),"")</f>
        <v>#N/A</v>
      </c>
      <c r="H3620" s="179" t="e">
        <f>IF($C$1078&gt;0,VLOOKUP($C3620,PATRIMONIALE!$AJ$4:$AO$1003,6,FALSE),"")</f>
        <v>#N/A</v>
      </c>
      <c r="I3620" s="187"/>
      <c r="J3620" s="140" t="e">
        <f ca="1">VLOOKUP(D3620,$F$1081:$I$4183,4,FALSE)+COUNTIF(E$1081:E3619,E3620)</f>
        <v>#N/A</v>
      </c>
      <c r="K3620" s="1"/>
      <c r="L3620" s="161" t="e">
        <f>IF($C$1078&gt;0,VLOOKUP($C3620,PATRIMONIALE!$AJ$4:$AP$1003,7,FALSE),"")</f>
        <v>#N/A</v>
      </c>
      <c r="M3620" s="1"/>
      <c r="N3620" s="1"/>
      <c r="O3620" s="1"/>
    </row>
    <row r="3621" spans="1:15" hidden="1">
      <c r="A3621" s="1"/>
      <c r="B3621" s="182" t="e">
        <f t="shared" ca="1" si="283"/>
        <v>#N/A</v>
      </c>
      <c r="C3621" s="500">
        <v>555</v>
      </c>
      <c r="D3621" s="41" t="e">
        <f>IF($C$1078&gt;0,VLOOKUP($C3621,PATRIMONIALE!$AJ$4:$AL$1003,3,FALSE),"")</f>
        <v>#N/A</v>
      </c>
      <c r="E3621" s="41" t="str">
        <f t="shared" si="284"/>
        <v/>
      </c>
      <c r="F3621" s="200"/>
      <c r="G3621" s="178" t="e">
        <f>IF($C$1078&gt;0,VLOOKUP($C3621,PATRIMONIALE!$AJ$4:$AN$1003,5,FALSE),"")</f>
        <v>#N/A</v>
      </c>
      <c r="H3621" s="179" t="e">
        <f>IF($C$1078&gt;0,VLOOKUP($C3621,PATRIMONIALE!$AJ$4:$AO$1003,6,FALSE),"")</f>
        <v>#N/A</v>
      </c>
      <c r="I3621" s="187"/>
      <c r="J3621" s="140" t="e">
        <f ca="1">VLOOKUP(D3621,$F$1081:$I$4183,4,FALSE)+COUNTIF(E$1081:E3620,E3621)</f>
        <v>#N/A</v>
      </c>
      <c r="K3621" s="1"/>
      <c r="L3621" s="161" t="e">
        <f>IF($C$1078&gt;0,VLOOKUP($C3621,PATRIMONIALE!$AJ$4:$AP$1003,7,FALSE),"")</f>
        <v>#N/A</v>
      </c>
      <c r="M3621" s="1"/>
      <c r="N3621" s="1"/>
      <c r="O3621" s="1"/>
    </row>
    <row r="3622" spans="1:15" hidden="1">
      <c r="A3622" s="1"/>
      <c r="B3622" s="182" t="e">
        <f t="shared" ca="1" si="283"/>
        <v>#N/A</v>
      </c>
      <c r="C3622" s="500">
        <v>556</v>
      </c>
      <c r="D3622" s="41" t="e">
        <f>IF($C$1078&gt;0,VLOOKUP($C3622,PATRIMONIALE!$AJ$4:$AL$1003,3,FALSE),"")</f>
        <v>#N/A</v>
      </c>
      <c r="E3622" s="41" t="str">
        <f t="shared" si="284"/>
        <v/>
      </c>
      <c r="F3622" s="200"/>
      <c r="G3622" s="178" t="e">
        <f>IF($C$1078&gt;0,VLOOKUP($C3622,PATRIMONIALE!$AJ$4:$AN$1003,5,FALSE),"")</f>
        <v>#N/A</v>
      </c>
      <c r="H3622" s="179" t="e">
        <f>IF($C$1078&gt;0,VLOOKUP($C3622,PATRIMONIALE!$AJ$4:$AO$1003,6,FALSE),"")</f>
        <v>#N/A</v>
      </c>
      <c r="I3622" s="187"/>
      <c r="J3622" s="140" t="e">
        <f ca="1">VLOOKUP(D3622,$F$1081:$I$4183,4,FALSE)+COUNTIF(E$1081:E3621,E3622)</f>
        <v>#N/A</v>
      </c>
      <c r="K3622" s="1"/>
      <c r="L3622" s="161" t="e">
        <f>IF($C$1078&gt;0,VLOOKUP($C3622,PATRIMONIALE!$AJ$4:$AP$1003,7,FALSE),"")</f>
        <v>#N/A</v>
      </c>
      <c r="M3622" s="1"/>
      <c r="N3622" s="1"/>
      <c r="O3622" s="1"/>
    </row>
    <row r="3623" spans="1:15" hidden="1">
      <c r="A3623" s="1"/>
      <c r="B3623" s="182" t="e">
        <f t="shared" ca="1" si="283"/>
        <v>#N/A</v>
      </c>
      <c r="C3623" s="500">
        <v>557</v>
      </c>
      <c r="D3623" s="41" t="e">
        <f>IF($C$1078&gt;0,VLOOKUP($C3623,PATRIMONIALE!$AJ$4:$AL$1003,3,FALSE),"")</f>
        <v>#N/A</v>
      </c>
      <c r="E3623" s="41" t="str">
        <f t="shared" si="284"/>
        <v/>
      </c>
      <c r="F3623" s="200"/>
      <c r="G3623" s="178" t="e">
        <f>IF($C$1078&gt;0,VLOOKUP($C3623,PATRIMONIALE!$AJ$4:$AN$1003,5,FALSE),"")</f>
        <v>#N/A</v>
      </c>
      <c r="H3623" s="179" t="e">
        <f>IF($C$1078&gt;0,VLOOKUP($C3623,PATRIMONIALE!$AJ$4:$AO$1003,6,FALSE),"")</f>
        <v>#N/A</v>
      </c>
      <c r="I3623" s="187"/>
      <c r="J3623" s="140" t="e">
        <f ca="1">VLOOKUP(D3623,$F$1081:$I$4183,4,FALSE)+COUNTIF(E$1081:E3622,E3623)</f>
        <v>#N/A</v>
      </c>
      <c r="K3623" s="1"/>
      <c r="L3623" s="161" t="e">
        <f>IF($C$1078&gt;0,VLOOKUP($C3623,PATRIMONIALE!$AJ$4:$AP$1003,7,FALSE),"")</f>
        <v>#N/A</v>
      </c>
      <c r="M3623" s="1"/>
      <c r="N3623" s="1"/>
      <c r="O3623" s="1"/>
    </row>
    <row r="3624" spans="1:15" hidden="1">
      <c r="A3624" s="1"/>
      <c r="B3624" s="182" t="e">
        <f t="shared" ca="1" si="283"/>
        <v>#N/A</v>
      </c>
      <c r="C3624" s="500">
        <v>558</v>
      </c>
      <c r="D3624" s="41" t="e">
        <f>IF($C$1078&gt;0,VLOOKUP($C3624,PATRIMONIALE!$AJ$4:$AL$1003,3,FALSE),"")</f>
        <v>#N/A</v>
      </c>
      <c r="E3624" s="41" t="str">
        <f t="shared" si="284"/>
        <v/>
      </c>
      <c r="F3624" s="200"/>
      <c r="G3624" s="178" t="e">
        <f>IF($C$1078&gt;0,VLOOKUP($C3624,PATRIMONIALE!$AJ$4:$AN$1003,5,FALSE),"")</f>
        <v>#N/A</v>
      </c>
      <c r="H3624" s="179" t="e">
        <f>IF($C$1078&gt;0,VLOOKUP($C3624,PATRIMONIALE!$AJ$4:$AO$1003,6,FALSE),"")</f>
        <v>#N/A</v>
      </c>
      <c r="I3624" s="187"/>
      <c r="J3624" s="140" t="e">
        <f ca="1">VLOOKUP(D3624,$F$1081:$I$4183,4,FALSE)+COUNTIF(E$1081:E3623,E3624)</f>
        <v>#N/A</v>
      </c>
      <c r="K3624" s="1"/>
      <c r="L3624" s="161" t="e">
        <f>IF($C$1078&gt;0,VLOOKUP($C3624,PATRIMONIALE!$AJ$4:$AP$1003,7,FALSE),"")</f>
        <v>#N/A</v>
      </c>
      <c r="M3624" s="1"/>
      <c r="N3624" s="1"/>
      <c r="O3624" s="1"/>
    </row>
    <row r="3625" spans="1:15" hidden="1">
      <c r="A3625" s="1"/>
      <c r="B3625" s="182" t="e">
        <f t="shared" ca="1" si="283"/>
        <v>#N/A</v>
      </c>
      <c r="C3625" s="500">
        <v>559</v>
      </c>
      <c r="D3625" s="41" t="e">
        <f>IF($C$1078&gt;0,VLOOKUP($C3625,PATRIMONIALE!$AJ$4:$AL$1003,3,FALSE),"")</f>
        <v>#N/A</v>
      </c>
      <c r="E3625" s="41" t="str">
        <f t="shared" si="284"/>
        <v/>
      </c>
      <c r="F3625" s="200"/>
      <c r="G3625" s="178" t="e">
        <f>IF($C$1078&gt;0,VLOOKUP($C3625,PATRIMONIALE!$AJ$4:$AN$1003,5,FALSE),"")</f>
        <v>#N/A</v>
      </c>
      <c r="H3625" s="179" t="e">
        <f>IF($C$1078&gt;0,VLOOKUP($C3625,PATRIMONIALE!$AJ$4:$AO$1003,6,FALSE),"")</f>
        <v>#N/A</v>
      </c>
      <c r="I3625" s="187"/>
      <c r="J3625" s="140" t="e">
        <f ca="1">VLOOKUP(D3625,$F$1081:$I$4183,4,FALSE)+COUNTIF(E$1081:E3624,E3625)</f>
        <v>#N/A</v>
      </c>
      <c r="K3625" s="1"/>
      <c r="L3625" s="161" t="e">
        <f>IF($C$1078&gt;0,VLOOKUP($C3625,PATRIMONIALE!$AJ$4:$AP$1003,7,FALSE),"")</f>
        <v>#N/A</v>
      </c>
      <c r="M3625" s="1"/>
      <c r="N3625" s="1"/>
      <c r="O3625" s="1"/>
    </row>
    <row r="3626" spans="1:15" hidden="1">
      <c r="A3626" s="1"/>
      <c r="B3626" s="182" t="e">
        <f t="shared" ca="1" si="283"/>
        <v>#N/A</v>
      </c>
      <c r="C3626" s="500">
        <v>560</v>
      </c>
      <c r="D3626" s="41" t="e">
        <f>IF($C$1078&gt;0,VLOOKUP($C3626,PATRIMONIALE!$AJ$4:$AL$1003,3,FALSE),"")</f>
        <v>#N/A</v>
      </c>
      <c r="E3626" s="41" t="str">
        <f t="shared" si="284"/>
        <v/>
      </c>
      <c r="F3626" s="200"/>
      <c r="G3626" s="178" t="e">
        <f>IF($C$1078&gt;0,VLOOKUP($C3626,PATRIMONIALE!$AJ$4:$AN$1003,5,FALSE),"")</f>
        <v>#N/A</v>
      </c>
      <c r="H3626" s="179" t="e">
        <f>IF($C$1078&gt;0,VLOOKUP($C3626,PATRIMONIALE!$AJ$4:$AO$1003,6,FALSE),"")</f>
        <v>#N/A</v>
      </c>
      <c r="I3626" s="187"/>
      <c r="J3626" s="140" t="e">
        <f ca="1">VLOOKUP(D3626,$F$1081:$I$4183,4,FALSE)+COUNTIF(E$1081:E3625,E3626)</f>
        <v>#N/A</v>
      </c>
      <c r="K3626" s="1"/>
      <c r="L3626" s="161" t="e">
        <f>IF($C$1078&gt;0,VLOOKUP($C3626,PATRIMONIALE!$AJ$4:$AP$1003,7,FALSE),"")</f>
        <v>#N/A</v>
      </c>
      <c r="M3626" s="1"/>
      <c r="N3626" s="1"/>
      <c r="O3626" s="1"/>
    </row>
    <row r="3627" spans="1:15" hidden="1">
      <c r="A3627" s="1"/>
      <c r="B3627" s="182" t="e">
        <f t="shared" ca="1" si="283"/>
        <v>#N/A</v>
      </c>
      <c r="C3627" s="500">
        <v>561</v>
      </c>
      <c r="D3627" s="41" t="e">
        <f>IF($C$1078&gt;0,VLOOKUP($C3627,PATRIMONIALE!$AJ$4:$AL$1003,3,FALSE),"")</f>
        <v>#N/A</v>
      </c>
      <c r="E3627" s="41" t="str">
        <f t="shared" si="284"/>
        <v/>
      </c>
      <c r="F3627" s="200"/>
      <c r="G3627" s="178" t="e">
        <f>IF($C$1078&gt;0,VLOOKUP($C3627,PATRIMONIALE!$AJ$4:$AN$1003,5,FALSE),"")</f>
        <v>#N/A</v>
      </c>
      <c r="H3627" s="179" t="e">
        <f>IF($C$1078&gt;0,VLOOKUP($C3627,PATRIMONIALE!$AJ$4:$AO$1003,6,FALSE),"")</f>
        <v>#N/A</v>
      </c>
      <c r="I3627" s="187"/>
      <c r="J3627" s="140" t="e">
        <f ca="1">VLOOKUP(D3627,$F$1081:$I$4183,4,FALSE)+COUNTIF(E$1081:E3626,E3627)</f>
        <v>#N/A</v>
      </c>
      <c r="K3627" s="1"/>
      <c r="L3627" s="161" t="e">
        <f>IF($C$1078&gt;0,VLOOKUP($C3627,PATRIMONIALE!$AJ$4:$AP$1003,7,FALSE),"")</f>
        <v>#N/A</v>
      </c>
      <c r="M3627" s="1"/>
      <c r="N3627" s="1"/>
      <c r="O3627" s="1"/>
    </row>
    <row r="3628" spans="1:15" hidden="1">
      <c r="A3628" s="1"/>
      <c r="B3628" s="182" t="e">
        <f t="shared" ca="1" si="283"/>
        <v>#N/A</v>
      </c>
      <c r="C3628" s="500">
        <v>562</v>
      </c>
      <c r="D3628" s="41" t="e">
        <f>IF($C$1078&gt;0,VLOOKUP($C3628,PATRIMONIALE!$AJ$4:$AL$1003,3,FALSE),"")</f>
        <v>#N/A</v>
      </c>
      <c r="E3628" s="41" t="str">
        <f t="shared" si="284"/>
        <v/>
      </c>
      <c r="F3628" s="200"/>
      <c r="G3628" s="178" t="e">
        <f>IF($C$1078&gt;0,VLOOKUP($C3628,PATRIMONIALE!$AJ$4:$AN$1003,5,FALSE),"")</f>
        <v>#N/A</v>
      </c>
      <c r="H3628" s="179" t="e">
        <f>IF($C$1078&gt;0,VLOOKUP($C3628,PATRIMONIALE!$AJ$4:$AO$1003,6,FALSE),"")</f>
        <v>#N/A</v>
      </c>
      <c r="I3628" s="187"/>
      <c r="J3628" s="140" t="e">
        <f ca="1">VLOOKUP(D3628,$F$1081:$I$4183,4,FALSE)+COUNTIF(E$1081:E3627,E3628)</f>
        <v>#N/A</v>
      </c>
      <c r="K3628" s="1"/>
      <c r="L3628" s="161" t="e">
        <f>IF($C$1078&gt;0,VLOOKUP($C3628,PATRIMONIALE!$AJ$4:$AP$1003,7,FALSE),"")</f>
        <v>#N/A</v>
      </c>
      <c r="M3628" s="1"/>
      <c r="N3628" s="1"/>
      <c r="O3628" s="1"/>
    </row>
    <row r="3629" spans="1:15" hidden="1">
      <c r="A3629" s="1"/>
      <c r="B3629" s="182" t="e">
        <f t="shared" ca="1" si="283"/>
        <v>#N/A</v>
      </c>
      <c r="C3629" s="500">
        <v>563</v>
      </c>
      <c r="D3629" s="41" t="e">
        <f>IF($C$1078&gt;0,VLOOKUP($C3629,PATRIMONIALE!$AJ$4:$AL$1003,3,FALSE),"")</f>
        <v>#N/A</v>
      </c>
      <c r="E3629" s="41" t="str">
        <f t="shared" si="284"/>
        <v/>
      </c>
      <c r="F3629" s="200"/>
      <c r="G3629" s="178" t="e">
        <f>IF($C$1078&gt;0,VLOOKUP($C3629,PATRIMONIALE!$AJ$4:$AN$1003,5,FALSE),"")</f>
        <v>#N/A</v>
      </c>
      <c r="H3629" s="179" t="e">
        <f>IF($C$1078&gt;0,VLOOKUP($C3629,PATRIMONIALE!$AJ$4:$AO$1003,6,FALSE),"")</f>
        <v>#N/A</v>
      </c>
      <c r="I3629" s="187"/>
      <c r="J3629" s="140" t="e">
        <f ca="1">VLOOKUP(D3629,$F$1081:$I$4183,4,FALSE)+COUNTIF(E$1081:E3628,E3629)</f>
        <v>#N/A</v>
      </c>
      <c r="K3629" s="1"/>
      <c r="L3629" s="161" t="e">
        <f>IF($C$1078&gt;0,VLOOKUP($C3629,PATRIMONIALE!$AJ$4:$AP$1003,7,FALSE),"")</f>
        <v>#N/A</v>
      </c>
      <c r="M3629" s="1"/>
      <c r="N3629" s="1"/>
      <c r="O3629" s="1"/>
    </row>
    <row r="3630" spans="1:15" hidden="1">
      <c r="A3630" s="1"/>
      <c r="B3630" s="182" t="e">
        <f t="shared" ca="1" si="283"/>
        <v>#N/A</v>
      </c>
      <c r="C3630" s="500">
        <v>564</v>
      </c>
      <c r="D3630" s="41" t="e">
        <f>IF($C$1078&gt;0,VLOOKUP($C3630,PATRIMONIALE!$AJ$4:$AL$1003,3,FALSE),"")</f>
        <v>#N/A</v>
      </c>
      <c r="E3630" s="41" t="str">
        <f t="shared" si="284"/>
        <v/>
      </c>
      <c r="F3630" s="200"/>
      <c r="G3630" s="178" t="e">
        <f>IF($C$1078&gt;0,VLOOKUP($C3630,PATRIMONIALE!$AJ$4:$AN$1003,5,FALSE),"")</f>
        <v>#N/A</v>
      </c>
      <c r="H3630" s="179" t="e">
        <f>IF($C$1078&gt;0,VLOOKUP($C3630,PATRIMONIALE!$AJ$4:$AO$1003,6,FALSE),"")</f>
        <v>#N/A</v>
      </c>
      <c r="I3630" s="187"/>
      <c r="J3630" s="140" t="e">
        <f ca="1">VLOOKUP(D3630,$F$1081:$I$4183,4,FALSE)+COUNTIF(E$1081:E3629,E3630)</f>
        <v>#N/A</v>
      </c>
      <c r="K3630" s="1"/>
      <c r="L3630" s="161" t="e">
        <f>IF($C$1078&gt;0,VLOOKUP($C3630,PATRIMONIALE!$AJ$4:$AP$1003,7,FALSE),"")</f>
        <v>#N/A</v>
      </c>
      <c r="M3630" s="1"/>
      <c r="N3630" s="1"/>
      <c r="O3630" s="1"/>
    </row>
    <row r="3631" spans="1:15" hidden="1">
      <c r="A3631" s="1"/>
      <c r="B3631" s="182" t="e">
        <f t="shared" ca="1" si="283"/>
        <v>#N/A</v>
      </c>
      <c r="C3631" s="500">
        <v>565</v>
      </c>
      <c r="D3631" s="41" t="e">
        <f>IF($C$1078&gt;0,VLOOKUP($C3631,PATRIMONIALE!$AJ$4:$AL$1003,3,FALSE),"")</f>
        <v>#N/A</v>
      </c>
      <c r="E3631" s="41" t="str">
        <f t="shared" si="284"/>
        <v/>
      </c>
      <c r="F3631" s="200"/>
      <c r="G3631" s="178" t="e">
        <f>IF($C$1078&gt;0,VLOOKUP($C3631,PATRIMONIALE!$AJ$4:$AN$1003,5,FALSE),"")</f>
        <v>#N/A</v>
      </c>
      <c r="H3631" s="179" t="e">
        <f>IF($C$1078&gt;0,VLOOKUP($C3631,PATRIMONIALE!$AJ$4:$AO$1003,6,FALSE),"")</f>
        <v>#N/A</v>
      </c>
      <c r="I3631" s="187"/>
      <c r="J3631" s="140" t="e">
        <f ca="1">VLOOKUP(D3631,$F$1081:$I$4183,4,FALSE)+COUNTIF(E$1081:E3630,E3631)</f>
        <v>#N/A</v>
      </c>
      <c r="K3631" s="1"/>
      <c r="L3631" s="161" t="e">
        <f>IF($C$1078&gt;0,VLOOKUP($C3631,PATRIMONIALE!$AJ$4:$AP$1003,7,FALSE),"")</f>
        <v>#N/A</v>
      </c>
      <c r="M3631" s="1"/>
      <c r="N3631" s="1"/>
      <c r="O3631" s="1"/>
    </row>
    <row r="3632" spans="1:15" hidden="1">
      <c r="A3632" s="1"/>
      <c r="B3632" s="182" t="e">
        <f t="shared" ca="1" si="283"/>
        <v>#N/A</v>
      </c>
      <c r="C3632" s="500">
        <v>566</v>
      </c>
      <c r="D3632" s="41" t="e">
        <f>IF($C$1078&gt;0,VLOOKUP($C3632,PATRIMONIALE!$AJ$4:$AL$1003,3,FALSE),"")</f>
        <v>#N/A</v>
      </c>
      <c r="E3632" s="41" t="str">
        <f t="shared" si="284"/>
        <v/>
      </c>
      <c r="F3632" s="200"/>
      <c r="G3632" s="178" t="e">
        <f>IF($C$1078&gt;0,VLOOKUP($C3632,PATRIMONIALE!$AJ$4:$AN$1003,5,FALSE),"")</f>
        <v>#N/A</v>
      </c>
      <c r="H3632" s="179" t="e">
        <f>IF($C$1078&gt;0,VLOOKUP($C3632,PATRIMONIALE!$AJ$4:$AO$1003,6,FALSE),"")</f>
        <v>#N/A</v>
      </c>
      <c r="I3632" s="187"/>
      <c r="J3632" s="140" t="e">
        <f ca="1">VLOOKUP(D3632,$F$1081:$I$4183,4,FALSE)+COUNTIF(E$1081:E3631,E3632)</f>
        <v>#N/A</v>
      </c>
      <c r="K3632" s="1"/>
      <c r="L3632" s="161" t="e">
        <f>IF($C$1078&gt;0,VLOOKUP($C3632,PATRIMONIALE!$AJ$4:$AP$1003,7,FALSE),"")</f>
        <v>#N/A</v>
      </c>
      <c r="M3632" s="1"/>
      <c r="N3632" s="1"/>
      <c r="O3632" s="1"/>
    </row>
    <row r="3633" spans="1:15" hidden="1">
      <c r="A3633" s="1"/>
      <c r="B3633" s="182" t="e">
        <f t="shared" ca="1" si="283"/>
        <v>#N/A</v>
      </c>
      <c r="C3633" s="500">
        <v>567</v>
      </c>
      <c r="D3633" s="41" t="e">
        <f>IF($C$1078&gt;0,VLOOKUP($C3633,PATRIMONIALE!$AJ$4:$AL$1003,3,FALSE),"")</f>
        <v>#N/A</v>
      </c>
      <c r="E3633" s="41" t="str">
        <f t="shared" si="284"/>
        <v/>
      </c>
      <c r="F3633" s="200"/>
      <c r="G3633" s="178" t="e">
        <f>IF($C$1078&gt;0,VLOOKUP($C3633,PATRIMONIALE!$AJ$4:$AN$1003,5,FALSE),"")</f>
        <v>#N/A</v>
      </c>
      <c r="H3633" s="179" t="e">
        <f>IF($C$1078&gt;0,VLOOKUP($C3633,PATRIMONIALE!$AJ$4:$AO$1003,6,FALSE),"")</f>
        <v>#N/A</v>
      </c>
      <c r="I3633" s="187"/>
      <c r="J3633" s="140" t="e">
        <f ca="1">VLOOKUP(D3633,$F$1081:$I$4183,4,FALSE)+COUNTIF(E$1081:E3632,E3633)</f>
        <v>#N/A</v>
      </c>
      <c r="K3633" s="1"/>
      <c r="L3633" s="161" t="e">
        <f>IF($C$1078&gt;0,VLOOKUP($C3633,PATRIMONIALE!$AJ$4:$AP$1003,7,FALSE),"")</f>
        <v>#N/A</v>
      </c>
      <c r="M3633" s="1"/>
      <c r="N3633" s="1"/>
      <c r="O3633" s="1"/>
    </row>
    <row r="3634" spans="1:15" hidden="1">
      <c r="A3634" s="1"/>
      <c r="B3634" s="182" t="e">
        <f t="shared" ca="1" si="283"/>
        <v>#N/A</v>
      </c>
      <c r="C3634" s="500">
        <v>568</v>
      </c>
      <c r="D3634" s="41" t="e">
        <f>IF($C$1078&gt;0,VLOOKUP($C3634,PATRIMONIALE!$AJ$4:$AL$1003,3,FALSE),"")</f>
        <v>#N/A</v>
      </c>
      <c r="E3634" s="41" t="str">
        <f t="shared" si="284"/>
        <v/>
      </c>
      <c r="F3634" s="200"/>
      <c r="G3634" s="178" t="e">
        <f>IF($C$1078&gt;0,VLOOKUP($C3634,PATRIMONIALE!$AJ$4:$AN$1003,5,FALSE),"")</f>
        <v>#N/A</v>
      </c>
      <c r="H3634" s="179" t="e">
        <f>IF($C$1078&gt;0,VLOOKUP($C3634,PATRIMONIALE!$AJ$4:$AO$1003,6,FALSE),"")</f>
        <v>#N/A</v>
      </c>
      <c r="I3634" s="187"/>
      <c r="J3634" s="140" t="e">
        <f ca="1">VLOOKUP(D3634,$F$1081:$I$4183,4,FALSE)+COUNTIF(E$1081:E3633,E3634)</f>
        <v>#N/A</v>
      </c>
      <c r="K3634" s="1"/>
      <c r="L3634" s="161" t="e">
        <f>IF($C$1078&gt;0,VLOOKUP($C3634,PATRIMONIALE!$AJ$4:$AP$1003,7,FALSE),"")</f>
        <v>#N/A</v>
      </c>
      <c r="M3634" s="1"/>
      <c r="N3634" s="1"/>
      <c r="O3634" s="1"/>
    </row>
    <row r="3635" spans="1:15" hidden="1">
      <c r="A3635" s="1"/>
      <c r="B3635" s="182" t="e">
        <f t="shared" ca="1" si="283"/>
        <v>#N/A</v>
      </c>
      <c r="C3635" s="500">
        <v>569</v>
      </c>
      <c r="D3635" s="41" t="e">
        <f>IF($C$1078&gt;0,VLOOKUP($C3635,PATRIMONIALE!$AJ$4:$AL$1003,3,FALSE),"")</f>
        <v>#N/A</v>
      </c>
      <c r="E3635" s="41" t="str">
        <f t="shared" si="284"/>
        <v/>
      </c>
      <c r="F3635" s="200"/>
      <c r="G3635" s="178" t="e">
        <f>IF($C$1078&gt;0,VLOOKUP($C3635,PATRIMONIALE!$AJ$4:$AN$1003,5,FALSE),"")</f>
        <v>#N/A</v>
      </c>
      <c r="H3635" s="179" t="e">
        <f>IF($C$1078&gt;0,VLOOKUP($C3635,PATRIMONIALE!$AJ$4:$AO$1003,6,FALSE),"")</f>
        <v>#N/A</v>
      </c>
      <c r="I3635" s="187"/>
      <c r="J3635" s="140" t="e">
        <f ca="1">VLOOKUP(D3635,$F$1081:$I$4183,4,FALSE)+COUNTIF(E$1081:E3634,E3635)</f>
        <v>#N/A</v>
      </c>
      <c r="K3635" s="1"/>
      <c r="L3635" s="161" t="e">
        <f>IF($C$1078&gt;0,VLOOKUP($C3635,PATRIMONIALE!$AJ$4:$AP$1003,7,FALSE),"")</f>
        <v>#N/A</v>
      </c>
      <c r="M3635" s="1"/>
      <c r="N3635" s="1"/>
      <c r="O3635" s="1"/>
    </row>
    <row r="3636" spans="1:15" hidden="1">
      <c r="A3636" s="1"/>
      <c r="B3636" s="182" t="e">
        <f t="shared" ca="1" si="283"/>
        <v>#N/A</v>
      </c>
      <c r="C3636" s="500">
        <v>570</v>
      </c>
      <c r="D3636" s="41" t="e">
        <f>IF($C$1078&gt;0,VLOOKUP($C3636,PATRIMONIALE!$AJ$4:$AL$1003,3,FALSE),"")</f>
        <v>#N/A</v>
      </c>
      <c r="E3636" s="41" t="str">
        <f t="shared" si="284"/>
        <v/>
      </c>
      <c r="F3636" s="200"/>
      <c r="G3636" s="178" t="e">
        <f>IF($C$1078&gt;0,VLOOKUP($C3636,PATRIMONIALE!$AJ$4:$AN$1003,5,FALSE),"")</f>
        <v>#N/A</v>
      </c>
      <c r="H3636" s="179" t="e">
        <f>IF($C$1078&gt;0,VLOOKUP($C3636,PATRIMONIALE!$AJ$4:$AO$1003,6,FALSE),"")</f>
        <v>#N/A</v>
      </c>
      <c r="I3636" s="187"/>
      <c r="J3636" s="140" t="e">
        <f ca="1">VLOOKUP(D3636,$F$1081:$I$4183,4,FALSE)+COUNTIF(E$1081:E3635,E3636)</f>
        <v>#N/A</v>
      </c>
      <c r="K3636" s="1"/>
      <c r="L3636" s="161" t="e">
        <f>IF($C$1078&gt;0,VLOOKUP($C3636,PATRIMONIALE!$AJ$4:$AP$1003,7,FALSE),"")</f>
        <v>#N/A</v>
      </c>
      <c r="M3636" s="1"/>
      <c r="N3636" s="1"/>
      <c r="O3636" s="1"/>
    </row>
    <row r="3637" spans="1:15" hidden="1">
      <c r="A3637" s="1"/>
      <c r="B3637" s="182" t="e">
        <f t="shared" ca="1" si="283"/>
        <v>#N/A</v>
      </c>
      <c r="C3637" s="500">
        <v>571</v>
      </c>
      <c r="D3637" s="41" t="e">
        <f>IF($C$1078&gt;0,VLOOKUP($C3637,PATRIMONIALE!$AJ$4:$AL$1003,3,FALSE),"")</f>
        <v>#N/A</v>
      </c>
      <c r="E3637" s="41" t="str">
        <f t="shared" si="284"/>
        <v/>
      </c>
      <c r="F3637" s="200"/>
      <c r="G3637" s="178" t="e">
        <f>IF($C$1078&gt;0,VLOOKUP($C3637,PATRIMONIALE!$AJ$4:$AN$1003,5,FALSE),"")</f>
        <v>#N/A</v>
      </c>
      <c r="H3637" s="179" t="e">
        <f>IF($C$1078&gt;0,VLOOKUP($C3637,PATRIMONIALE!$AJ$4:$AO$1003,6,FALSE),"")</f>
        <v>#N/A</v>
      </c>
      <c r="I3637" s="187"/>
      <c r="J3637" s="140" t="e">
        <f ca="1">VLOOKUP(D3637,$F$1081:$I$4183,4,FALSE)+COUNTIF(E$1081:E3636,E3637)</f>
        <v>#N/A</v>
      </c>
      <c r="K3637" s="1"/>
      <c r="L3637" s="161" t="e">
        <f>IF($C$1078&gt;0,VLOOKUP($C3637,PATRIMONIALE!$AJ$4:$AP$1003,7,FALSE),"")</f>
        <v>#N/A</v>
      </c>
      <c r="M3637" s="1"/>
      <c r="N3637" s="1"/>
      <c r="O3637" s="1"/>
    </row>
    <row r="3638" spans="1:15" hidden="1">
      <c r="A3638" s="1"/>
      <c r="B3638" s="182" t="e">
        <f t="shared" ca="1" si="283"/>
        <v>#N/A</v>
      </c>
      <c r="C3638" s="500">
        <v>572</v>
      </c>
      <c r="D3638" s="41" t="e">
        <f>IF($C$1078&gt;0,VLOOKUP($C3638,PATRIMONIALE!$AJ$4:$AL$1003,3,FALSE),"")</f>
        <v>#N/A</v>
      </c>
      <c r="E3638" s="41" t="str">
        <f t="shared" si="284"/>
        <v/>
      </c>
      <c r="F3638" s="200"/>
      <c r="G3638" s="178" t="e">
        <f>IF($C$1078&gt;0,VLOOKUP($C3638,PATRIMONIALE!$AJ$4:$AN$1003,5,FALSE),"")</f>
        <v>#N/A</v>
      </c>
      <c r="H3638" s="179" t="e">
        <f>IF($C$1078&gt;0,VLOOKUP($C3638,PATRIMONIALE!$AJ$4:$AO$1003,6,FALSE),"")</f>
        <v>#N/A</v>
      </c>
      <c r="I3638" s="187"/>
      <c r="J3638" s="140" t="e">
        <f ca="1">VLOOKUP(D3638,$F$1081:$I$4183,4,FALSE)+COUNTIF(E$1081:E3637,E3638)</f>
        <v>#N/A</v>
      </c>
      <c r="K3638" s="1"/>
      <c r="L3638" s="161" t="e">
        <f>IF($C$1078&gt;0,VLOOKUP($C3638,PATRIMONIALE!$AJ$4:$AP$1003,7,FALSE),"")</f>
        <v>#N/A</v>
      </c>
      <c r="M3638" s="1"/>
      <c r="N3638" s="1"/>
      <c r="O3638" s="1"/>
    </row>
    <row r="3639" spans="1:15" hidden="1">
      <c r="A3639" s="1"/>
      <c r="B3639" s="182" t="e">
        <f t="shared" ref="B3639:B3702" ca="1" si="285">IF(OR(C$1075&gt;0,C$1077&gt;0,C$1073&gt;0,C$1071&gt;0),J3639+1,J3639)</f>
        <v>#N/A</v>
      </c>
      <c r="C3639" s="500">
        <v>573</v>
      </c>
      <c r="D3639" s="41" t="e">
        <f>IF($C$1078&gt;0,VLOOKUP($C3639,PATRIMONIALE!$AJ$4:$AL$1003,3,FALSE),"")</f>
        <v>#N/A</v>
      </c>
      <c r="E3639" s="41" t="str">
        <f t="shared" si="284"/>
        <v/>
      </c>
      <c r="F3639" s="200"/>
      <c r="G3639" s="178" t="e">
        <f>IF($C$1078&gt;0,VLOOKUP($C3639,PATRIMONIALE!$AJ$4:$AN$1003,5,FALSE),"")</f>
        <v>#N/A</v>
      </c>
      <c r="H3639" s="179" t="e">
        <f>IF($C$1078&gt;0,VLOOKUP($C3639,PATRIMONIALE!$AJ$4:$AO$1003,6,FALSE),"")</f>
        <v>#N/A</v>
      </c>
      <c r="I3639" s="187"/>
      <c r="J3639" s="140" t="e">
        <f ca="1">VLOOKUP(D3639,$F$1081:$I$4183,4,FALSE)+COUNTIF(E$1081:E3638,E3639)</f>
        <v>#N/A</v>
      </c>
      <c r="K3639" s="1"/>
      <c r="L3639" s="161" t="e">
        <f>IF($C$1078&gt;0,VLOOKUP($C3639,PATRIMONIALE!$AJ$4:$AP$1003,7,FALSE),"")</f>
        <v>#N/A</v>
      </c>
      <c r="M3639" s="1"/>
      <c r="N3639" s="1"/>
      <c r="O3639" s="1"/>
    </row>
    <row r="3640" spans="1:15" hidden="1">
      <c r="A3640" s="1"/>
      <c r="B3640" s="182" t="e">
        <f t="shared" ca="1" si="285"/>
        <v>#N/A</v>
      </c>
      <c r="C3640" s="500">
        <v>574</v>
      </c>
      <c r="D3640" s="41" t="e">
        <f>IF($C$1078&gt;0,VLOOKUP($C3640,PATRIMONIALE!$AJ$4:$AL$1003,3,FALSE),"")</f>
        <v>#N/A</v>
      </c>
      <c r="E3640" s="41" t="str">
        <f t="shared" si="284"/>
        <v/>
      </c>
      <c r="F3640" s="200"/>
      <c r="G3640" s="178" t="e">
        <f>IF($C$1078&gt;0,VLOOKUP($C3640,PATRIMONIALE!$AJ$4:$AN$1003,5,FALSE),"")</f>
        <v>#N/A</v>
      </c>
      <c r="H3640" s="179" t="e">
        <f>IF($C$1078&gt;0,VLOOKUP($C3640,PATRIMONIALE!$AJ$4:$AO$1003,6,FALSE),"")</f>
        <v>#N/A</v>
      </c>
      <c r="I3640" s="187"/>
      <c r="J3640" s="140" t="e">
        <f ca="1">VLOOKUP(D3640,$F$1081:$I$4183,4,FALSE)+COUNTIF(E$1081:E3639,E3640)</f>
        <v>#N/A</v>
      </c>
      <c r="K3640" s="1"/>
      <c r="L3640" s="161" t="e">
        <f>IF($C$1078&gt;0,VLOOKUP($C3640,PATRIMONIALE!$AJ$4:$AP$1003,7,FALSE),"")</f>
        <v>#N/A</v>
      </c>
      <c r="M3640" s="1"/>
      <c r="N3640" s="1"/>
      <c r="O3640" s="1"/>
    </row>
    <row r="3641" spans="1:15" hidden="1">
      <c r="A3641" s="1"/>
      <c r="B3641" s="182" t="e">
        <f t="shared" ca="1" si="285"/>
        <v>#N/A</v>
      </c>
      <c r="C3641" s="500">
        <v>575</v>
      </c>
      <c r="D3641" s="41" t="e">
        <f>IF($C$1078&gt;0,VLOOKUP($C3641,PATRIMONIALE!$AJ$4:$AL$1003,3,FALSE),"")</f>
        <v>#N/A</v>
      </c>
      <c r="E3641" s="41" t="str">
        <f t="shared" si="284"/>
        <v/>
      </c>
      <c r="F3641" s="200"/>
      <c r="G3641" s="178" t="e">
        <f>IF($C$1078&gt;0,VLOOKUP($C3641,PATRIMONIALE!$AJ$4:$AN$1003,5,FALSE),"")</f>
        <v>#N/A</v>
      </c>
      <c r="H3641" s="179" t="e">
        <f>IF($C$1078&gt;0,VLOOKUP($C3641,PATRIMONIALE!$AJ$4:$AO$1003,6,FALSE),"")</f>
        <v>#N/A</v>
      </c>
      <c r="I3641" s="187"/>
      <c r="J3641" s="140" t="e">
        <f ca="1">VLOOKUP(D3641,$F$1081:$I$4183,4,FALSE)+COUNTIF(E$1081:E3640,E3641)</f>
        <v>#N/A</v>
      </c>
      <c r="K3641" s="1"/>
      <c r="L3641" s="161" t="e">
        <f>IF($C$1078&gt;0,VLOOKUP($C3641,PATRIMONIALE!$AJ$4:$AP$1003,7,FALSE),"")</f>
        <v>#N/A</v>
      </c>
      <c r="M3641" s="1"/>
      <c r="N3641" s="1"/>
      <c r="O3641" s="1"/>
    </row>
    <row r="3642" spans="1:15" hidden="1">
      <c r="A3642" s="1"/>
      <c r="B3642" s="182" t="e">
        <f t="shared" ca="1" si="285"/>
        <v>#N/A</v>
      </c>
      <c r="C3642" s="500">
        <v>576</v>
      </c>
      <c r="D3642" s="41" t="e">
        <f>IF($C$1078&gt;0,VLOOKUP($C3642,PATRIMONIALE!$AJ$4:$AL$1003,3,FALSE),"")</f>
        <v>#N/A</v>
      </c>
      <c r="E3642" s="41" t="str">
        <f t="shared" si="284"/>
        <v/>
      </c>
      <c r="F3642" s="200"/>
      <c r="G3642" s="178" t="e">
        <f>IF($C$1078&gt;0,VLOOKUP($C3642,PATRIMONIALE!$AJ$4:$AN$1003,5,FALSE),"")</f>
        <v>#N/A</v>
      </c>
      <c r="H3642" s="179" t="e">
        <f>IF($C$1078&gt;0,VLOOKUP($C3642,PATRIMONIALE!$AJ$4:$AO$1003,6,FALSE),"")</f>
        <v>#N/A</v>
      </c>
      <c r="I3642" s="187"/>
      <c r="J3642" s="140" t="e">
        <f ca="1">VLOOKUP(D3642,$F$1081:$I$4183,4,FALSE)+COUNTIF(E$1081:E3641,E3642)</f>
        <v>#N/A</v>
      </c>
      <c r="K3642" s="1"/>
      <c r="L3642" s="161" t="e">
        <f>IF($C$1078&gt;0,VLOOKUP($C3642,PATRIMONIALE!$AJ$4:$AP$1003,7,FALSE),"")</f>
        <v>#N/A</v>
      </c>
      <c r="M3642" s="1"/>
      <c r="N3642" s="1"/>
      <c r="O3642" s="1"/>
    </row>
    <row r="3643" spans="1:15" hidden="1">
      <c r="A3643" s="1"/>
      <c r="B3643" s="182" t="e">
        <f t="shared" ca="1" si="285"/>
        <v>#N/A</v>
      </c>
      <c r="C3643" s="500">
        <v>577</v>
      </c>
      <c r="D3643" s="41" t="e">
        <f>IF($C$1078&gt;0,VLOOKUP($C3643,PATRIMONIALE!$AJ$4:$AL$1003,3,FALSE),"")</f>
        <v>#N/A</v>
      </c>
      <c r="E3643" s="41" t="str">
        <f t="shared" si="284"/>
        <v/>
      </c>
      <c r="F3643" s="200"/>
      <c r="G3643" s="178" t="e">
        <f>IF($C$1078&gt;0,VLOOKUP($C3643,PATRIMONIALE!$AJ$4:$AN$1003,5,FALSE),"")</f>
        <v>#N/A</v>
      </c>
      <c r="H3643" s="179" t="e">
        <f>IF($C$1078&gt;0,VLOOKUP($C3643,PATRIMONIALE!$AJ$4:$AO$1003,6,FALSE),"")</f>
        <v>#N/A</v>
      </c>
      <c r="I3643" s="187"/>
      <c r="J3643" s="140" t="e">
        <f ca="1">VLOOKUP(D3643,$F$1081:$I$4183,4,FALSE)+COUNTIF(E$1081:E3642,E3643)</f>
        <v>#N/A</v>
      </c>
      <c r="K3643" s="1"/>
      <c r="L3643" s="161" t="e">
        <f>IF($C$1078&gt;0,VLOOKUP($C3643,PATRIMONIALE!$AJ$4:$AP$1003,7,FALSE),"")</f>
        <v>#N/A</v>
      </c>
      <c r="M3643" s="1"/>
      <c r="N3643" s="1"/>
      <c r="O3643" s="1"/>
    </row>
    <row r="3644" spans="1:15" hidden="1">
      <c r="A3644" s="1"/>
      <c r="B3644" s="182" t="e">
        <f t="shared" ca="1" si="285"/>
        <v>#N/A</v>
      </c>
      <c r="C3644" s="500">
        <v>578</v>
      </c>
      <c r="D3644" s="41" t="e">
        <f>IF($C$1078&gt;0,VLOOKUP($C3644,PATRIMONIALE!$AJ$4:$AL$1003,3,FALSE),"")</f>
        <v>#N/A</v>
      </c>
      <c r="E3644" s="41" t="str">
        <f t="shared" si="284"/>
        <v/>
      </c>
      <c r="F3644" s="200"/>
      <c r="G3644" s="178" t="e">
        <f>IF($C$1078&gt;0,VLOOKUP($C3644,PATRIMONIALE!$AJ$4:$AN$1003,5,FALSE),"")</f>
        <v>#N/A</v>
      </c>
      <c r="H3644" s="179" t="e">
        <f>IF($C$1078&gt;0,VLOOKUP($C3644,PATRIMONIALE!$AJ$4:$AO$1003,6,FALSE),"")</f>
        <v>#N/A</v>
      </c>
      <c r="I3644" s="187"/>
      <c r="J3644" s="140" t="e">
        <f ca="1">VLOOKUP(D3644,$F$1081:$I$4183,4,FALSE)+COUNTIF(E$1081:E3643,E3644)</f>
        <v>#N/A</v>
      </c>
      <c r="K3644" s="1"/>
      <c r="L3644" s="161" t="e">
        <f>IF($C$1078&gt;0,VLOOKUP($C3644,PATRIMONIALE!$AJ$4:$AP$1003,7,FALSE),"")</f>
        <v>#N/A</v>
      </c>
      <c r="M3644" s="1"/>
      <c r="N3644" s="1"/>
      <c r="O3644" s="1"/>
    </row>
    <row r="3645" spans="1:15" hidden="1">
      <c r="A3645" s="1"/>
      <c r="B3645" s="182" t="e">
        <f t="shared" ca="1" si="285"/>
        <v>#N/A</v>
      </c>
      <c r="C3645" s="500">
        <v>579</v>
      </c>
      <c r="D3645" s="41" t="e">
        <f>IF($C$1078&gt;0,VLOOKUP($C3645,PATRIMONIALE!$AJ$4:$AL$1003,3,FALSE),"")</f>
        <v>#N/A</v>
      </c>
      <c r="E3645" s="41" t="str">
        <f t="shared" si="284"/>
        <v/>
      </c>
      <c r="F3645" s="200"/>
      <c r="G3645" s="178" t="e">
        <f>IF($C$1078&gt;0,VLOOKUP($C3645,PATRIMONIALE!$AJ$4:$AN$1003,5,FALSE),"")</f>
        <v>#N/A</v>
      </c>
      <c r="H3645" s="179" t="e">
        <f>IF($C$1078&gt;0,VLOOKUP($C3645,PATRIMONIALE!$AJ$4:$AO$1003,6,FALSE),"")</f>
        <v>#N/A</v>
      </c>
      <c r="I3645" s="187"/>
      <c r="J3645" s="140" t="e">
        <f ca="1">VLOOKUP(D3645,$F$1081:$I$4183,4,FALSE)+COUNTIF(E$1081:E3644,E3645)</f>
        <v>#N/A</v>
      </c>
      <c r="K3645" s="1"/>
      <c r="L3645" s="161" t="e">
        <f>IF($C$1078&gt;0,VLOOKUP($C3645,PATRIMONIALE!$AJ$4:$AP$1003,7,FALSE),"")</f>
        <v>#N/A</v>
      </c>
      <c r="M3645" s="1"/>
      <c r="N3645" s="1"/>
      <c r="O3645" s="1"/>
    </row>
    <row r="3646" spans="1:15" hidden="1">
      <c r="A3646" s="1"/>
      <c r="B3646" s="182" t="e">
        <f t="shared" ca="1" si="285"/>
        <v>#N/A</v>
      </c>
      <c r="C3646" s="500">
        <v>580</v>
      </c>
      <c r="D3646" s="41" t="e">
        <f>IF($C$1078&gt;0,VLOOKUP($C3646,PATRIMONIALE!$AJ$4:$AL$1003,3,FALSE),"")</f>
        <v>#N/A</v>
      </c>
      <c r="E3646" s="41" t="str">
        <f t="shared" si="284"/>
        <v/>
      </c>
      <c r="F3646" s="200"/>
      <c r="G3646" s="178" t="e">
        <f>IF($C$1078&gt;0,VLOOKUP($C3646,PATRIMONIALE!$AJ$4:$AN$1003,5,FALSE),"")</f>
        <v>#N/A</v>
      </c>
      <c r="H3646" s="179" t="e">
        <f>IF($C$1078&gt;0,VLOOKUP($C3646,PATRIMONIALE!$AJ$4:$AO$1003,6,FALSE),"")</f>
        <v>#N/A</v>
      </c>
      <c r="I3646" s="187"/>
      <c r="J3646" s="140" t="e">
        <f ca="1">VLOOKUP(D3646,$F$1081:$I$4183,4,FALSE)+COUNTIF(E$1081:E3645,E3646)</f>
        <v>#N/A</v>
      </c>
      <c r="K3646" s="1"/>
      <c r="L3646" s="161" t="e">
        <f>IF($C$1078&gt;0,VLOOKUP($C3646,PATRIMONIALE!$AJ$4:$AP$1003,7,FALSE),"")</f>
        <v>#N/A</v>
      </c>
      <c r="M3646" s="1"/>
      <c r="N3646" s="1"/>
      <c r="O3646" s="1"/>
    </row>
    <row r="3647" spans="1:15" hidden="1">
      <c r="A3647" s="1"/>
      <c r="B3647" s="182" t="e">
        <f t="shared" ca="1" si="285"/>
        <v>#N/A</v>
      </c>
      <c r="C3647" s="500">
        <v>581</v>
      </c>
      <c r="D3647" s="41" t="e">
        <f>IF($C$1078&gt;0,VLOOKUP($C3647,PATRIMONIALE!$AJ$4:$AL$1003,3,FALSE),"")</f>
        <v>#N/A</v>
      </c>
      <c r="E3647" s="41" t="str">
        <f t="shared" si="284"/>
        <v/>
      </c>
      <c r="F3647" s="200"/>
      <c r="G3647" s="178" t="e">
        <f>IF($C$1078&gt;0,VLOOKUP($C3647,PATRIMONIALE!$AJ$4:$AN$1003,5,FALSE),"")</f>
        <v>#N/A</v>
      </c>
      <c r="H3647" s="179" t="e">
        <f>IF($C$1078&gt;0,VLOOKUP($C3647,PATRIMONIALE!$AJ$4:$AO$1003,6,FALSE),"")</f>
        <v>#N/A</v>
      </c>
      <c r="I3647" s="187"/>
      <c r="J3647" s="140" t="e">
        <f ca="1">VLOOKUP(D3647,$F$1081:$I$4183,4,FALSE)+COUNTIF(E$1081:E3646,E3647)</f>
        <v>#N/A</v>
      </c>
      <c r="K3647" s="1"/>
      <c r="L3647" s="161" t="e">
        <f>IF($C$1078&gt;0,VLOOKUP($C3647,PATRIMONIALE!$AJ$4:$AP$1003,7,FALSE),"")</f>
        <v>#N/A</v>
      </c>
      <c r="M3647" s="1"/>
      <c r="N3647" s="1"/>
      <c r="O3647" s="1"/>
    </row>
    <row r="3648" spans="1:15" hidden="1">
      <c r="A3648" s="1"/>
      <c r="B3648" s="182" t="e">
        <f t="shared" ca="1" si="285"/>
        <v>#N/A</v>
      </c>
      <c r="C3648" s="500">
        <v>582</v>
      </c>
      <c r="D3648" s="41" t="e">
        <f>IF($C$1078&gt;0,VLOOKUP($C3648,PATRIMONIALE!$AJ$4:$AL$1003,3,FALSE),"")</f>
        <v>#N/A</v>
      </c>
      <c r="E3648" s="41" t="str">
        <f t="shared" si="284"/>
        <v/>
      </c>
      <c r="F3648" s="200"/>
      <c r="G3648" s="178" t="e">
        <f>IF($C$1078&gt;0,VLOOKUP($C3648,PATRIMONIALE!$AJ$4:$AN$1003,5,FALSE),"")</f>
        <v>#N/A</v>
      </c>
      <c r="H3648" s="179" t="e">
        <f>IF($C$1078&gt;0,VLOOKUP($C3648,PATRIMONIALE!$AJ$4:$AO$1003,6,FALSE),"")</f>
        <v>#N/A</v>
      </c>
      <c r="I3648" s="187"/>
      <c r="J3648" s="140" t="e">
        <f ca="1">VLOOKUP(D3648,$F$1081:$I$4183,4,FALSE)+COUNTIF(E$1081:E3647,E3648)</f>
        <v>#N/A</v>
      </c>
      <c r="K3648" s="1"/>
      <c r="L3648" s="161" t="e">
        <f>IF($C$1078&gt;0,VLOOKUP($C3648,PATRIMONIALE!$AJ$4:$AP$1003,7,FALSE),"")</f>
        <v>#N/A</v>
      </c>
      <c r="M3648" s="1"/>
      <c r="N3648" s="1"/>
      <c r="O3648" s="1"/>
    </row>
    <row r="3649" spans="1:15" hidden="1">
      <c r="A3649" s="1"/>
      <c r="B3649" s="182" t="e">
        <f t="shared" ca="1" si="285"/>
        <v>#N/A</v>
      </c>
      <c r="C3649" s="500">
        <v>583</v>
      </c>
      <c r="D3649" s="41" t="e">
        <f>IF($C$1078&gt;0,VLOOKUP($C3649,PATRIMONIALE!$AJ$4:$AL$1003,3,FALSE),"")</f>
        <v>#N/A</v>
      </c>
      <c r="E3649" s="41" t="str">
        <f t="shared" ref="E3649:E3712" si="286">IF(ISERROR(D3649),"",D3649)</f>
        <v/>
      </c>
      <c r="F3649" s="200"/>
      <c r="G3649" s="178" t="e">
        <f>IF($C$1078&gt;0,VLOOKUP($C3649,PATRIMONIALE!$AJ$4:$AN$1003,5,FALSE),"")</f>
        <v>#N/A</v>
      </c>
      <c r="H3649" s="179" t="e">
        <f>IF($C$1078&gt;0,VLOOKUP($C3649,PATRIMONIALE!$AJ$4:$AO$1003,6,FALSE),"")</f>
        <v>#N/A</v>
      </c>
      <c r="I3649" s="187"/>
      <c r="J3649" s="140" t="e">
        <f ca="1">VLOOKUP(D3649,$F$1081:$I$4183,4,FALSE)+COUNTIF(E$1081:E3648,E3649)</f>
        <v>#N/A</v>
      </c>
      <c r="K3649" s="1"/>
      <c r="L3649" s="161" t="e">
        <f>IF($C$1078&gt;0,VLOOKUP($C3649,PATRIMONIALE!$AJ$4:$AP$1003,7,FALSE),"")</f>
        <v>#N/A</v>
      </c>
      <c r="M3649" s="1"/>
      <c r="N3649" s="1"/>
      <c r="O3649" s="1"/>
    </row>
    <row r="3650" spans="1:15" hidden="1">
      <c r="A3650" s="1"/>
      <c r="B3650" s="182" t="e">
        <f t="shared" ca="1" si="285"/>
        <v>#N/A</v>
      </c>
      <c r="C3650" s="500">
        <v>584</v>
      </c>
      <c r="D3650" s="41" t="e">
        <f>IF($C$1078&gt;0,VLOOKUP($C3650,PATRIMONIALE!$AJ$4:$AL$1003,3,FALSE),"")</f>
        <v>#N/A</v>
      </c>
      <c r="E3650" s="41" t="str">
        <f t="shared" si="286"/>
        <v/>
      </c>
      <c r="F3650" s="200"/>
      <c r="G3650" s="178" t="e">
        <f>IF($C$1078&gt;0,VLOOKUP($C3650,PATRIMONIALE!$AJ$4:$AN$1003,5,FALSE),"")</f>
        <v>#N/A</v>
      </c>
      <c r="H3650" s="179" t="e">
        <f>IF($C$1078&gt;0,VLOOKUP($C3650,PATRIMONIALE!$AJ$4:$AO$1003,6,FALSE),"")</f>
        <v>#N/A</v>
      </c>
      <c r="I3650" s="187"/>
      <c r="J3650" s="140" t="e">
        <f ca="1">VLOOKUP(D3650,$F$1081:$I$4183,4,FALSE)+COUNTIF(E$1081:E3649,E3650)</f>
        <v>#N/A</v>
      </c>
      <c r="K3650" s="1"/>
      <c r="L3650" s="161" t="e">
        <f>IF($C$1078&gt;0,VLOOKUP($C3650,PATRIMONIALE!$AJ$4:$AP$1003,7,FALSE),"")</f>
        <v>#N/A</v>
      </c>
      <c r="M3650" s="1"/>
      <c r="N3650" s="1"/>
      <c r="O3650" s="1"/>
    </row>
    <row r="3651" spans="1:15" hidden="1">
      <c r="A3651" s="1"/>
      <c r="B3651" s="182" t="e">
        <f t="shared" ca="1" si="285"/>
        <v>#N/A</v>
      </c>
      <c r="C3651" s="500">
        <v>585</v>
      </c>
      <c r="D3651" s="41" t="e">
        <f>IF($C$1078&gt;0,VLOOKUP($C3651,PATRIMONIALE!$AJ$4:$AL$1003,3,FALSE),"")</f>
        <v>#N/A</v>
      </c>
      <c r="E3651" s="41" t="str">
        <f t="shared" si="286"/>
        <v/>
      </c>
      <c r="F3651" s="200"/>
      <c r="G3651" s="178" t="e">
        <f>IF($C$1078&gt;0,VLOOKUP($C3651,PATRIMONIALE!$AJ$4:$AN$1003,5,FALSE),"")</f>
        <v>#N/A</v>
      </c>
      <c r="H3651" s="179" t="e">
        <f>IF($C$1078&gt;0,VLOOKUP($C3651,PATRIMONIALE!$AJ$4:$AO$1003,6,FALSE),"")</f>
        <v>#N/A</v>
      </c>
      <c r="I3651" s="187"/>
      <c r="J3651" s="140" t="e">
        <f ca="1">VLOOKUP(D3651,$F$1081:$I$4183,4,FALSE)+COUNTIF(E$1081:E3650,E3651)</f>
        <v>#N/A</v>
      </c>
      <c r="K3651" s="1"/>
      <c r="L3651" s="161" t="e">
        <f>IF($C$1078&gt;0,VLOOKUP($C3651,PATRIMONIALE!$AJ$4:$AP$1003,7,FALSE),"")</f>
        <v>#N/A</v>
      </c>
      <c r="M3651" s="1"/>
      <c r="N3651" s="1"/>
      <c r="O3651" s="1"/>
    </row>
    <row r="3652" spans="1:15" hidden="1">
      <c r="A3652" s="1"/>
      <c r="B3652" s="182" t="e">
        <f t="shared" ca="1" si="285"/>
        <v>#N/A</v>
      </c>
      <c r="C3652" s="500">
        <v>586</v>
      </c>
      <c r="D3652" s="41" t="e">
        <f>IF($C$1078&gt;0,VLOOKUP($C3652,PATRIMONIALE!$AJ$4:$AL$1003,3,FALSE),"")</f>
        <v>#N/A</v>
      </c>
      <c r="E3652" s="41" t="str">
        <f t="shared" si="286"/>
        <v/>
      </c>
      <c r="F3652" s="200"/>
      <c r="G3652" s="178" t="e">
        <f>IF($C$1078&gt;0,VLOOKUP($C3652,PATRIMONIALE!$AJ$4:$AN$1003,5,FALSE),"")</f>
        <v>#N/A</v>
      </c>
      <c r="H3652" s="179" t="e">
        <f>IF($C$1078&gt;0,VLOOKUP($C3652,PATRIMONIALE!$AJ$4:$AO$1003,6,FALSE),"")</f>
        <v>#N/A</v>
      </c>
      <c r="I3652" s="187"/>
      <c r="J3652" s="140" t="e">
        <f ca="1">VLOOKUP(D3652,$F$1081:$I$4183,4,FALSE)+COUNTIF(E$1081:E3651,E3652)</f>
        <v>#N/A</v>
      </c>
      <c r="K3652" s="1"/>
      <c r="L3652" s="161" t="e">
        <f>IF($C$1078&gt;0,VLOOKUP($C3652,PATRIMONIALE!$AJ$4:$AP$1003,7,FALSE),"")</f>
        <v>#N/A</v>
      </c>
      <c r="M3652" s="1"/>
      <c r="N3652" s="1"/>
      <c r="O3652" s="1"/>
    </row>
    <row r="3653" spans="1:15" hidden="1">
      <c r="A3653" s="1"/>
      <c r="B3653" s="182" t="e">
        <f t="shared" ca="1" si="285"/>
        <v>#N/A</v>
      </c>
      <c r="C3653" s="500">
        <v>587</v>
      </c>
      <c r="D3653" s="41" t="e">
        <f>IF($C$1078&gt;0,VLOOKUP($C3653,PATRIMONIALE!$AJ$4:$AL$1003,3,FALSE),"")</f>
        <v>#N/A</v>
      </c>
      <c r="E3653" s="41" t="str">
        <f t="shared" si="286"/>
        <v/>
      </c>
      <c r="F3653" s="200"/>
      <c r="G3653" s="178" t="e">
        <f>IF($C$1078&gt;0,VLOOKUP($C3653,PATRIMONIALE!$AJ$4:$AN$1003,5,FALSE),"")</f>
        <v>#N/A</v>
      </c>
      <c r="H3653" s="179" t="e">
        <f>IF($C$1078&gt;0,VLOOKUP($C3653,PATRIMONIALE!$AJ$4:$AO$1003,6,FALSE),"")</f>
        <v>#N/A</v>
      </c>
      <c r="I3653" s="187"/>
      <c r="J3653" s="140" t="e">
        <f ca="1">VLOOKUP(D3653,$F$1081:$I$4183,4,FALSE)+COUNTIF(E$1081:E3652,E3653)</f>
        <v>#N/A</v>
      </c>
      <c r="K3653" s="1"/>
      <c r="L3653" s="161" t="e">
        <f>IF($C$1078&gt;0,VLOOKUP($C3653,PATRIMONIALE!$AJ$4:$AP$1003,7,FALSE),"")</f>
        <v>#N/A</v>
      </c>
      <c r="M3653" s="1"/>
      <c r="N3653" s="1"/>
      <c r="O3653" s="1"/>
    </row>
    <row r="3654" spans="1:15" hidden="1">
      <c r="A3654" s="1"/>
      <c r="B3654" s="182" t="e">
        <f t="shared" ca="1" si="285"/>
        <v>#N/A</v>
      </c>
      <c r="C3654" s="500">
        <v>588</v>
      </c>
      <c r="D3654" s="41" t="e">
        <f>IF($C$1078&gt;0,VLOOKUP($C3654,PATRIMONIALE!$AJ$4:$AL$1003,3,FALSE),"")</f>
        <v>#N/A</v>
      </c>
      <c r="E3654" s="41" t="str">
        <f t="shared" si="286"/>
        <v/>
      </c>
      <c r="F3654" s="200"/>
      <c r="G3654" s="178" t="e">
        <f>IF($C$1078&gt;0,VLOOKUP($C3654,PATRIMONIALE!$AJ$4:$AN$1003,5,FALSE),"")</f>
        <v>#N/A</v>
      </c>
      <c r="H3654" s="179" t="e">
        <f>IF($C$1078&gt;0,VLOOKUP($C3654,PATRIMONIALE!$AJ$4:$AO$1003,6,FALSE),"")</f>
        <v>#N/A</v>
      </c>
      <c r="I3654" s="187"/>
      <c r="J3654" s="140" t="e">
        <f ca="1">VLOOKUP(D3654,$F$1081:$I$4183,4,FALSE)+COUNTIF(E$1081:E3653,E3654)</f>
        <v>#N/A</v>
      </c>
      <c r="K3654" s="1"/>
      <c r="L3654" s="161" t="e">
        <f>IF($C$1078&gt;0,VLOOKUP($C3654,PATRIMONIALE!$AJ$4:$AP$1003,7,FALSE),"")</f>
        <v>#N/A</v>
      </c>
      <c r="M3654" s="1"/>
      <c r="N3654" s="1"/>
      <c r="O3654" s="1"/>
    </row>
    <row r="3655" spans="1:15" hidden="1">
      <c r="A3655" s="1"/>
      <c r="B3655" s="182" t="e">
        <f t="shared" ca="1" si="285"/>
        <v>#N/A</v>
      </c>
      <c r="C3655" s="500">
        <v>589</v>
      </c>
      <c r="D3655" s="41" t="e">
        <f>IF($C$1078&gt;0,VLOOKUP($C3655,PATRIMONIALE!$AJ$4:$AL$1003,3,FALSE),"")</f>
        <v>#N/A</v>
      </c>
      <c r="E3655" s="41" t="str">
        <f t="shared" si="286"/>
        <v/>
      </c>
      <c r="F3655" s="200"/>
      <c r="G3655" s="178" t="e">
        <f>IF($C$1078&gt;0,VLOOKUP($C3655,PATRIMONIALE!$AJ$4:$AN$1003,5,FALSE),"")</f>
        <v>#N/A</v>
      </c>
      <c r="H3655" s="179" t="e">
        <f>IF($C$1078&gt;0,VLOOKUP($C3655,PATRIMONIALE!$AJ$4:$AO$1003,6,FALSE),"")</f>
        <v>#N/A</v>
      </c>
      <c r="I3655" s="187"/>
      <c r="J3655" s="140" t="e">
        <f ca="1">VLOOKUP(D3655,$F$1081:$I$4183,4,FALSE)+COUNTIF(E$1081:E3654,E3655)</f>
        <v>#N/A</v>
      </c>
      <c r="K3655" s="1"/>
      <c r="L3655" s="161" t="e">
        <f>IF($C$1078&gt;0,VLOOKUP($C3655,PATRIMONIALE!$AJ$4:$AP$1003,7,FALSE),"")</f>
        <v>#N/A</v>
      </c>
      <c r="M3655" s="1"/>
      <c r="N3655" s="1"/>
      <c r="O3655" s="1"/>
    </row>
    <row r="3656" spans="1:15" hidden="1">
      <c r="A3656" s="1"/>
      <c r="B3656" s="182" t="e">
        <f t="shared" ca="1" si="285"/>
        <v>#N/A</v>
      </c>
      <c r="C3656" s="500">
        <v>590</v>
      </c>
      <c r="D3656" s="41" t="e">
        <f>IF($C$1078&gt;0,VLOOKUP($C3656,PATRIMONIALE!$AJ$4:$AL$1003,3,FALSE),"")</f>
        <v>#N/A</v>
      </c>
      <c r="E3656" s="41" t="str">
        <f t="shared" si="286"/>
        <v/>
      </c>
      <c r="F3656" s="200"/>
      <c r="G3656" s="178" t="e">
        <f>IF($C$1078&gt;0,VLOOKUP($C3656,PATRIMONIALE!$AJ$4:$AN$1003,5,FALSE),"")</f>
        <v>#N/A</v>
      </c>
      <c r="H3656" s="179" t="e">
        <f>IF($C$1078&gt;0,VLOOKUP($C3656,PATRIMONIALE!$AJ$4:$AO$1003,6,FALSE),"")</f>
        <v>#N/A</v>
      </c>
      <c r="I3656" s="187"/>
      <c r="J3656" s="140" t="e">
        <f ca="1">VLOOKUP(D3656,$F$1081:$I$4183,4,FALSE)+COUNTIF(E$1081:E3655,E3656)</f>
        <v>#N/A</v>
      </c>
      <c r="K3656" s="1"/>
      <c r="L3656" s="161" t="e">
        <f>IF($C$1078&gt;0,VLOOKUP($C3656,PATRIMONIALE!$AJ$4:$AP$1003,7,FALSE),"")</f>
        <v>#N/A</v>
      </c>
      <c r="M3656" s="1"/>
      <c r="N3656" s="1"/>
      <c r="O3656" s="1"/>
    </row>
    <row r="3657" spans="1:15" hidden="1">
      <c r="A3657" s="1"/>
      <c r="B3657" s="182" t="e">
        <f t="shared" ca="1" si="285"/>
        <v>#N/A</v>
      </c>
      <c r="C3657" s="500">
        <v>591</v>
      </c>
      <c r="D3657" s="41" t="e">
        <f>IF($C$1078&gt;0,VLOOKUP($C3657,PATRIMONIALE!$AJ$4:$AL$1003,3,FALSE),"")</f>
        <v>#N/A</v>
      </c>
      <c r="E3657" s="41" t="str">
        <f t="shared" si="286"/>
        <v/>
      </c>
      <c r="F3657" s="200"/>
      <c r="G3657" s="178" t="e">
        <f>IF($C$1078&gt;0,VLOOKUP($C3657,PATRIMONIALE!$AJ$4:$AN$1003,5,FALSE),"")</f>
        <v>#N/A</v>
      </c>
      <c r="H3657" s="179" t="e">
        <f>IF($C$1078&gt;0,VLOOKUP($C3657,PATRIMONIALE!$AJ$4:$AO$1003,6,FALSE),"")</f>
        <v>#N/A</v>
      </c>
      <c r="I3657" s="187"/>
      <c r="J3657" s="140" t="e">
        <f ca="1">VLOOKUP(D3657,$F$1081:$I$4183,4,FALSE)+COUNTIF(E$1081:E3656,E3657)</f>
        <v>#N/A</v>
      </c>
      <c r="K3657" s="1"/>
      <c r="L3657" s="161" t="e">
        <f>IF($C$1078&gt;0,VLOOKUP($C3657,PATRIMONIALE!$AJ$4:$AP$1003,7,FALSE),"")</f>
        <v>#N/A</v>
      </c>
      <c r="M3657" s="1"/>
      <c r="N3657" s="1"/>
      <c r="O3657" s="1"/>
    </row>
    <row r="3658" spans="1:15" hidden="1">
      <c r="A3658" s="1"/>
      <c r="B3658" s="182" t="e">
        <f t="shared" ca="1" si="285"/>
        <v>#N/A</v>
      </c>
      <c r="C3658" s="500">
        <v>592</v>
      </c>
      <c r="D3658" s="41" t="e">
        <f>IF($C$1078&gt;0,VLOOKUP($C3658,PATRIMONIALE!$AJ$4:$AL$1003,3,FALSE),"")</f>
        <v>#N/A</v>
      </c>
      <c r="E3658" s="41" t="str">
        <f t="shared" si="286"/>
        <v/>
      </c>
      <c r="F3658" s="200"/>
      <c r="G3658" s="178" t="e">
        <f>IF($C$1078&gt;0,VLOOKUP($C3658,PATRIMONIALE!$AJ$4:$AN$1003,5,FALSE),"")</f>
        <v>#N/A</v>
      </c>
      <c r="H3658" s="179" t="e">
        <f>IF($C$1078&gt;0,VLOOKUP($C3658,PATRIMONIALE!$AJ$4:$AO$1003,6,FALSE),"")</f>
        <v>#N/A</v>
      </c>
      <c r="I3658" s="187"/>
      <c r="J3658" s="140" t="e">
        <f ca="1">VLOOKUP(D3658,$F$1081:$I$4183,4,FALSE)+COUNTIF(E$1081:E3657,E3658)</f>
        <v>#N/A</v>
      </c>
      <c r="K3658" s="1"/>
      <c r="L3658" s="161" t="e">
        <f>IF($C$1078&gt;0,VLOOKUP($C3658,PATRIMONIALE!$AJ$4:$AP$1003,7,FALSE),"")</f>
        <v>#N/A</v>
      </c>
      <c r="M3658" s="1"/>
      <c r="N3658" s="1"/>
      <c r="O3658" s="1"/>
    </row>
    <row r="3659" spans="1:15" hidden="1">
      <c r="A3659" s="1"/>
      <c r="B3659" s="182" t="e">
        <f t="shared" ca="1" si="285"/>
        <v>#N/A</v>
      </c>
      <c r="C3659" s="500">
        <v>593</v>
      </c>
      <c r="D3659" s="41" t="e">
        <f>IF($C$1078&gt;0,VLOOKUP($C3659,PATRIMONIALE!$AJ$4:$AL$1003,3,FALSE),"")</f>
        <v>#N/A</v>
      </c>
      <c r="E3659" s="41" t="str">
        <f t="shared" si="286"/>
        <v/>
      </c>
      <c r="F3659" s="200"/>
      <c r="G3659" s="178" t="e">
        <f>IF($C$1078&gt;0,VLOOKUP($C3659,PATRIMONIALE!$AJ$4:$AN$1003,5,FALSE),"")</f>
        <v>#N/A</v>
      </c>
      <c r="H3659" s="179" t="e">
        <f>IF($C$1078&gt;0,VLOOKUP($C3659,PATRIMONIALE!$AJ$4:$AO$1003,6,FALSE),"")</f>
        <v>#N/A</v>
      </c>
      <c r="I3659" s="187"/>
      <c r="J3659" s="140" t="e">
        <f ca="1">VLOOKUP(D3659,$F$1081:$I$4183,4,FALSE)+COUNTIF(E$1081:E3658,E3659)</f>
        <v>#N/A</v>
      </c>
      <c r="K3659" s="1"/>
      <c r="L3659" s="161" t="e">
        <f>IF($C$1078&gt;0,VLOOKUP($C3659,PATRIMONIALE!$AJ$4:$AP$1003,7,FALSE),"")</f>
        <v>#N/A</v>
      </c>
      <c r="M3659" s="1"/>
      <c r="N3659" s="1"/>
      <c r="O3659" s="1"/>
    </row>
    <row r="3660" spans="1:15" hidden="1">
      <c r="A3660" s="1"/>
      <c r="B3660" s="182" t="e">
        <f t="shared" ca="1" si="285"/>
        <v>#N/A</v>
      </c>
      <c r="C3660" s="500">
        <v>594</v>
      </c>
      <c r="D3660" s="41" t="e">
        <f>IF($C$1078&gt;0,VLOOKUP($C3660,PATRIMONIALE!$AJ$4:$AL$1003,3,FALSE),"")</f>
        <v>#N/A</v>
      </c>
      <c r="E3660" s="41" t="str">
        <f t="shared" si="286"/>
        <v/>
      </c>
      <c r="F3660" s="200"/>
      <c r="G3660" s="178" t="e">
        <f>IF($C$1078&gt;0,VLOOKUP($C3660,PATRIMONIALE!$AJ$4:$AN$1003,5,FALSE),"")</f>
        <v>#N/A</v>
      </c>
      <c r="H3660" s="179" t="e">
        <f>IF($C$1078&gt;0,VLOOKUP($C3660,PATRIMONIALE!$AJ$4:$AO$1003,6,FALSE),"")</f>
        <v>#N/A</v>
      </c>
      <c r="I3660" s="187"/>
      <c r="J3660" s="140" t="e">
        <f ca="1">VLOOKUP(D3660,$F$1081:$I$4183,4,FALSE)+COUNTIF(E$1081:E3659,E3660)</f>
        <v>#N/A</v>
      </c>
      <c r="K3660" s="1"/>
      <c r="L3660" s="161" t="e">
        <f>IF($C$1078&gt;0,VLOOKUP($C3660,PATRIMONIALE!$AJ$4:$AP$1003,7,FALSE),"")</f>
        <v>#N/A</v>
      </c>
      <c r="M3660" s="1"/>
      <c r="N3660" s="1"/>
      <c r="O3660" s="1"/>
    </row>
    <row r="3661" spans="1:15" hidden="1">
      <c r="A3661" s="1"/>
      <c r="B3661" s="182" t="e">
        <f t="shared" ca="1" si="285"/>
        <v>#N/A</v>
      </c>
      <c r="C3661" s="500">
        <v>595</v>
      </c>
      <c r="D3661" s="41" t="e">
        <f>IF($C$1078&gt;0,VLOOKUP($C3661,PATRIMONIALE!$AJ$4:$AL$1003,3,FALSE),"")</f>
        <v>#N/A</v>
      </c>
      <c r="E3661" s="41" t="str">
        <f t="shared" si="286"/>
        <v/>
      </c>
      <c r="F3661" s="200"/>
      <c r="G3661" s="178" t="e">
        <f>IF($C$1078&gt;0,VLOOKUP($C3661,PATRIMONIALE!$AJ$4:$AN$1003,5,FALSE),"")</f>
        <v>#N/A</v>
      </c>
      <c r="H3661" s="179" t="e">
        <f>IF($C$1078&gt;0,VLOOKUP($C3661,PATRIMONIALE!$AJ$4:$AO$1003,6,FALSE),"")</f>
        <v>#N/A</v>
      </c>
      <c r="I3661" s="187"/>
      <c r="J3661" s="140" t="e">
        <f ca="1">VLOOKUP(D3661,$F$1081:$I$4183,4,FALSE)+COUNTIF(E$1081:E3660,E3661)</f>
        <v>#N/A</v>
      </c>
      <c r="K3661" s="1"/>
      <c r="L3661" s="161" t="e">
        <f>IF($C$1078&gt;0,VLOOKUP($C3661,PATRIMONIALE!$AJ$4:$AP$1003,7,FALSE),"")</f>
        <v>#N/A</v>
      </c>
      <c r="M3661" s="1"/>
      <c r="N3661" s="1"/>
      <c r="O3661" s="1"/>
    </row>
    <row r="3662" spans="1:15" hidden="1">
      <c r="A3662" s="1"/>
      <c r="B3662" s="182" t="e">
        <f t="shared" ca="1" si="285"/>
        <v>#N/A</v>
      </c>
      <c r="C3662" s="500">
        <v>596</v>
      </c>
      <c r="D3662" s="41" t="e">
        <f>IF($C$1078&gt;0,VLOOKUP($C3662,PATRIMONIALE!$AJ$4:$AL$1003,3,FALSE),"")</f>
        <v>#N/A</v>
      </c>
      <c r="E3662" s="41" t="str">
        <f t="shared" si="286"/>
        <v/>
      </c>
      <c r="F3662" s="200"/>
      <c r="G3662" s="178" t="e">
        <f>IF($C$1078&gt;0,VLOOKUP($C3662,PATRIMONIALE!$AJ$4:$AN$1003,5,FALSE),"")</f>
        <v>#N/A</v>
      </c>
      <c r="H3662" s="179" t="e">
        <f>IF($C$1078&gt;0,VLOOKUP($C3662,PATRIMONIALE!$AJ$4:$AO$1003,6,FALSE),"")</f>
        <v>#N/A</v>
      </c>
      <c r="I3662" s="187"/>
      <c r="J3662" s="140" t="e">
        <f ca="1">VLOOKUP(D3662,$F$1081:$I$4183,4,FALSE)+COUNTIF(E$1081:E3661,E3662)</f>
        <v>#N/A</v>
      </c>
      <c r="K3662" s="1"/>
      <c r="L3662" s="161" t="e">
        <f>IF($C$1078&gt;0,VLOOKUP($C3662,PATRIMONIALE!$AJ$4:$AP$1003,7,FALSE),"")</f>
        <v>#N/A</v>
      </c>
      <c r="M3662" s="1"/>
      <c r="N3662" s="1"/>
      <c r="O3662" s="1"/>
    </row>
    <row r="3663" spans="1:15" hidden="1">
      <c r="A3663" s="1"/>
      <c r="B3663" s="182" t="e">
        <f t="shared" ca="1" si="285"/>
        <v>#N/A</v>
      </c>
      <c r="C3663" s="500">
        <v>597</v>
      </c>
      <c r="D3663" s="41" t="e">
        <f>IF($C$1078&gt;0,VLOOKUP($C3663,PATRIMONIALE!$AJ$4:$AL$1003,3,FALSE),"")</f>
        <v>#N/A</v>
      </c>
      <c r="E3663" s="41" t="str">
        <f t="shared" si="286"/>
        <v/>
      </c>
      <c r="F3663" s="200"/>
      <c r="G3663" s="178" t="e">
        <f>IF($C$1078&gt;0,VLOOKUP($C3663,PATRIMONIALE!$AJ$4:$AN$1003,5,FALSE),"")</f>
        <v>#N/A</v>
      </c>
      <c r="H3663" s="179" t="e">
        <f>IF($C$1078&gt;0,VLOOKUP($C3663,PATRIMONIALE!$AJ$4:$AO$1003,6,FALSE),"")</f>
        <v>#N/A</v>
      </c>
      <c r="I3663" s="187"/>
      <c r="J3663" s="140" t="e">
        <f ca="1">VLOOKUP(D3663,$F$1081:$I$4183,4,FALSE)+COUNTIF(E$1081:E3662,E3663)</f>
        <v>#N/A</v>
      </c>
      <c r="K3663" s="1"/>
      <c r="L3663" s="161" t="e">
        <f>IF($C$1078&gt;0,VLOOKUP($C3663,PATRIMONIALE!$AJ$4:$AP$1003,7,FALSE),"")</f>
        <v>#N/A</v>
      </c>
      <c r="M3663" s="1"/>
      <c r="N3663" s="1"/>
      <c r="O3663" s="1"/>
    </row>
    <row r="3664" spans="1:15" hidden="1">
      <c r="A3664" s="1"/>
      <c r="B3664" s="182" t="e">
        <f t="shared" ca="1" si="285"/>
        <v>#N/A</v>
      </c>
      <c r="C3664" s="500">
        <v>598</v>
      </c>
      <c r="D3664" s="41" t="e">
        <f>IF($C$1078&gt;0,VLOOKUP($C3664,PATRIMONIALE!$AJ$4:$AL$1003,3,FALSE),"")</f>
        <v>#N/A</v>
      </c>
      <c r="E3664" s="41" t="str">
        <f t="shared" si="286"/>
        <v/>
      </c>
      <c r="F3664" s="200"/>
      <c r="G3664" s="178" t="e">
        <f>IF($C$1078&gt;0,VLOOKUP($C3664,PATRIMONIALE!$AJ$4:$AN$1003,5,FALSE),"")</f>
        <v>#N/A</v>
      </c>
      <c r="H3664" s="179" t="e">
        <f>IF($C$1078&gt;0,VLOOKUP($C3664,PATRIMONIALE!$AJ$4:$AO$1003,6,FALSE),"")</f>
        <v>#N/A</v>
      </c>
      <c r="I3664" s="187"/>
      <c r="J3664" s="140" t="e">
        <f ca="1">VLOOKUP(D3664,$F$1081:$I$4183,4,FALSE)+COUNTIF(E$1081:E3663,E3664)</f>
        <v>#N/A</v>
      </c>
      <c r="K3664" s="1"/>
      <c r="L3664" s="161" t="e">
        <f>IF($C$1078&gt;0,VLOOKUP($C3664,PATRIMONIALE!$AJ$4:$AP$1003,7,FALSE),"")</f>
        <v>#N/A</v>
      </c>
      <c r="M3664" s="1"/>
      <c r="N3664" s="1"/>
      <c r="O3664" s="1"/>
    </row>
    <row r="3665" spans="1:15" hidden="1">
      <c r="A3665" s="1"/>
      <c r="B3665" s="182" t="e">
        <f t="shared" ca="1" si="285"/>
        <v>#N/A</v>
      </c>
      <c r="C3665" s="500">
        <v>599</v>
      </c>
      <c r="D3665" s="41" t="e">
        <f>IF($C$1078&gt;0,VLOOKUP($C3665,PATRIMONIALE!$AJ$4:$AL$1003,3,FALSE),"")</f>
        <v>#N/A</v>
      </c>
      <c r="E3665" s="41" t="str">
        <f t="shared" si="286"/>
        <v/>
      </c>
      <c r="F3665" s="200"/>
      <c r="G3665" s="178" t="e">
        <f>IF($C$1078&gt;0,VLOOKUP($C3665,PATRIMONIALE!$AJ$4:$AN$1003,5,FALSE),"")</f>
        <v>#N/A</v>
      </c>
      <c r="H3665" s="179" t="e">
        <f>IF($C$1078&gt;0,VLOOKUP($C3665,PATRIMONIALE!$AJ$4:$AO$1003,6,FALSE),"")</f>
        <v>#N/A</v>
      </c>
      <c r="I3665" s="187"/>
      <c r="J3665" s="140" t="e">
        <f ca="1">VLOOKUP(D3665,$F$1081:$I$4183,4,FALSE)+COUNTIF(E$1081:E3664,E3665)</f>
        <v>#N/A</v>
      </c>
      <c r="K3665" s="1"/>
      <c r="L3665" s="161" t="e">
        <f>IF($C$1078&gt;0,VLOOKUP($C3665,PATRIMONIALE!$AJ$4:$AP$1003,7,FALSE),"")</f>
        <v>#N/A</v>
      </c>
      <c r="M3665" s="1"/>
      <c r="N3665" s="1"/>
      <c r="O3665" s="1"/>
    </row>
    <row r="3666" spans="1:15" hidden="1">
      <c r="A3666" s="1"/>
      <c r="B3666" s="182" t="e">
        <f t="shared" ca="1" si="285"/>
        <v>#N/A</v>
      </c>
      <c r="C3666" s="500">
        <v>600</v>
      </c>
      <c r="D3666" s="41" t="e">
        <f>IF($C$1078&gt;0,VLOOKUP($C3666,PATRIMONIALE!$AJ$4:$AL$1003,3,FALSE),"")</f>
        <v>#N/A</v>
      </c>
      <c r="E3666" s="41" t="str">
        <f t="shared" si="286"/>
        <v/>
      </c>
      <c r="F3666" s="200"/>
      <c r="G3666" s="178" t="e">
        <f>IF($C$1078&gt;0,VLOOKUP($C3666,PATRIMONIALE!$AJ$4:$AN$1003,5,FALSE),"")</f>
        <v>#N/A</v>
      </c>
      <c r="H3666" s="179" t="e">
        <f>IF($C$1078&gt;0,VLOOKUP($C3666,PATRIMONIALE!$AJ$4:$AO$1003,6,FALSE),"")</f>
        <v>#N/A</v>
      </c>
      <c r="I3666" s="187"/>
      <c r="J3666" s="140" t="e">
        <f ca="1">VLOOKUP(D3666,$F$1081:$I$4183,4,FALSE)+COUNTIF(E$1081:E3665,E3666)</f>
        <v>#N/A</v>
      </c>
      <c r="K3666" s="1"/>
      <c r="L3666" s="161" t="e">
        <f>IF($C$1078&gt;0,VLOOKUP($C3666,PATRIMONIALE!$AJ$4:$AP$1003,7,FALSE),"")</f>
        <v>#N/A</v>
      </c>
      <c r="M3666" s="1"/>
      <c r="N3666" s="1"/>
      <c r="O3666" s="1"/>
    </row>
    <row r="3667" spans="1:15" hidden="1">
      <c r="A3667" s="1"/>
      <c r="B3667" s="182" t="e">
        <f t="shared" ca="1" si="285"/>
        <v>#N/A</v>
      </c>
      <c r="C3667" s="500">
        <v>601</v>
      </c>
      <c r="D3667" s="41" t="e">
        <f>IF($C$1078&gt;0,VLOOKUP($C3667,PATRIMONIALE!$AJ$4:$AL$1003,3,FALSE),"")</f>
        <v>#N/A</v>
      </c>
      <c r="E3667" s="41" t="str">
        <f t="shared" si="286"/>
        <v/>
      </c>
      <c r="F3667" s="200"/>
      <c r="G3667" s="178" t="e">
        <f>IF($C$1078&gt;0,VLOOKUP($C3667,PATRIMONIALE!$AJ$4:$AN$1003,5,FALSE),"")</f>
        <v>#N/A</v>
      </c>
      <c r="H3667" s="179" t="e">
        <f>IF($C$1078&gt;0,VLOOKUP($C3667,PATRIMONIALE!$AJ$4:$AO$1003,6,FALSE),"")</f>
        <v>#N/A</v>
      </c>
      <c r="I3667" s="187"/>
      <c r="J3667" s="140" t="e">
        <f ca="1">VLOOKUP(D3667,$F$1081:$I$4183,4,FALSE)+COUNTIF(E$1081:E3666,E3667)</f>
        <v>#N/A</v>
      </c>
      <c r="K3667" s="1"/>
      <c r="L3667" s="161" t="e">
        <f>IF($C$1078&gt;0,VLOOKUP($C3667,PATRIMONIALE!$AJ$4:$AP$1003,7,FALSE),"")</f>
        <v>#N/A</v>
      </c>
      <c r="M3667" s="1"/>
      <c r="N3667" s="1"/>
      <c r="O3667" s="1"/>
    </row>
    <row r="3668" spans="1:15" hidden="1">
      <c r="A3668" s="1"/>
      <c r="B3668" s="182" t="e">
        <f t="shared" ca="1" si="285"/>
        <v>#N/A</v>
      </c>
      <c r="C3668" s="500">
        <v>602</v>
      </c>
      <c r="D3668" s="41" t="e">
        <f>IF($C$1078&gt;0,VLOOKUP($C3668,PATRIMONIALE!$AJ$4:$AL$1003,3,FALSE),"")</f>
        <v>#N/A</v>
      </c>
      <c r="E3668" s="41" t="str">
        <f t="shared" si="286"/>
        <v/>
      </c>
      <c r="F3668" s="200"/>
      <c r="G3668" s="178" t="e">
        <f>IF($C$1078&gt;0,VLOOKUP($C3668,PATRIMONIALE!$AJ$4:$AN$1003,5,FALSE),"")</f>
        <v>#N/A</v>
      </c>
      <c r="H3668" s="179" t="e">
        <f>IF($C$1078&gt;0,VLOOKUP($C3668,PATRIMONIALE!$AJ$4:$AO$1003,6,FALSE),"")</f>
        <v>#N/A</v>
      </c>
      <c r="I3668" s="187"/>
      <c r="J3668" s="140" t="e">
        <f ca="1">VLOOKUP(D3668,$F$1081:$I$4183,4,FALSE)+COUNTIF(E$1081:E3667,E3668)</f>
        <v>#N/A</v>
      </c>
      <c r="K3668" s="1"/>
      <c r="L3668" s="161" t="e">
        <f>IF($C$1078&gt;0,VLOOKUP($C3668,PATRIMONIALE!$AJ$4:$AP$1003,7,FALSE),"")</f>
        <v>#N/A</v>
      </c>
      <c r="M3668" s="1"/>
      <c r="N3668" s="1"/>
      <c r="O3668" s="1"/>
    </row>
    <row r="3669" spans="1:15" hidden="1">
      <c r="A3669" s="1"/>
      <c r="B3669" s="182" t="e">
        <f t="shared" ca="1" si="285"/>
        <v>#N/A</v>
      </c>
      <c r="C3669" s="500">
        <v>603</v>
      </c>
      <c r="D3669" s="41" t="e">
        <f>IF($C$1078&gt;0,VLOOKUP($C3669,PATRIMONIALE!$AJ$4:$AL$1003,3,FALSE),"")</f>
        <v>#N/A</v>
      </c>
      <c r="E3669" s="41" t="str">
        <f t="shared" si="286"/>
        <v/>
      </c>
      <c r="F3669" s="200"/>
      <c r="G3669" s="178" t="e">
        <f>IF($C$1078&gt;0,VLOOKUP($C3669,PATRIMONIALE!$AJ$4:$AN$1003,5,FALSE),"")</f>
        <v>#N/A</v>
      </c>
      <c r="H3669" s="179" t="e">
        <f>IF($C$1078&gt;0,VLOOKUP($C3669,PATRIMONIALE!$AJ$4:$AO$1003,6,FALSE),"")</f>
        <v>#N/A</v>
      </c>
      <c r="I3669" s="187"/>
      <c r="J3669" s="140" t="e">
        <f ca="1">VLOOKUP(D3669,$F$1081:$I$4183,4,FALSE)+COUNTIF(E$1081:E3668,E3669)</f>
        <v>#N/A</v>
      </c>
      <c r="K3669" s="1"/>
      <c r="L3669" s="161" t="e">
        <f>IF($C$1078&gt;0,VLOOKUP($C3669,PATRIMONIALE!$AJ$4:$AP$1003,7,FALSE),"")</f>
        <v>#N/A</v>
      </c>
      <c r="M3669" s="1"/>
      <c r="N3669" s="1"/>
      <c r="O3669" s="1"/>
    </row>
    <row r="3670" spans="1:15" hidden="1">
      <c r="A3670" s="1"/>
      <c r="B3670" s="182" t="e">
        <f t="shared" ca="1" si="285"/>
        <v>#N/A</v>
      </c>
      <c r="C3670" s="500">
        <v>604</v>
      </c>
      <c r="D3670" s="41" t="e">
        <f>IF($C$1078&gt;0,VLOOKUP($C3670,PATRIMONIALE!$AJ$4:$AL$1003,3,FALSE),"")</f>
        <v>#N/A</v>
      </c>
      <c r="E3670" s="41" t="str">
        <f t="shared" si="286"/>
        <v/>
      </c>
      <c r="F3670" s="200"/>
      <c r="G3670" s="178" t="e">
        <f>IF($C$1078&gt;0,VLOOKUP($C3670,PATRIMONIALE!$AJ$4:$AN$1003,5,FALSE),"")</f>
        <v>#N/A</v>
      </c>
      <c r="H3670" s="179" t="e">
        <f>IF($C$1078&gt;0,VLOOKUP($C3670,PATRIMONIALE!$AJ$4:$AO$1003,6,FALSE),"")</f>
        <v>#N/A</v>
      </c>
      <c r="I3670" s="187"/>
      <c r="J3670" s="140" t="e">
        <f ca="1">VLOOKUP(D3670,$F$1081:$I$4183,4,FALSE)+COUNTIF(E$1081:E3669,E3670)</f>
        <v>#N/A</v>
      </c>
      <c r="K3670" s="1"/>
      <c r="L3670" s="161" t="e">
        <f>IF($C$1078&gt;0,VLOOKUP($C3670,PATRIMONIALE!$AJ$4:$AP$1003,7,FALSE),"")</f>
        <v>#N/A</v>
      </c>
      <c r="M3670" s="1"/>
      <c r="N3670" s="1"/>
      <c r="O3670" s="1"/>
    </row>
    <row r="3671" spans="1:15" hidden="1">
      <c r="A3671" s="1"/>
      <c r="B3671" s="182" t="e">
        <f t="shared" ca="1" si="285"/>
        <v>#N/A</v>
      </c>
      <c r="C3671" s="500">
        <v>605</v>
      </c>
      <c r="D3671" s="41" t="e">
        <f>IF($C$1078&gt;0,VLOOKUP($C3671,PATRIMONIALE!$AJ$4:$AL$1003,3,FALSE),"")</f>
        <v>#N/A</v>
      </c>
      <c r="E3671" s="41" t="str">
        <f t="shared" si="286"/>
        <v/>
      </c>
      <c r="F3671" s="200"/>
      <c r="G3671" s="178" t="e">
        <f>IF($C$1078&gt;0,VLOOKUP($C3671,PATRIMONIALE!$AJ$4:$AN$1003,5,FALSE),"")</f>
        <v>#N/A</v>
      </c>
      <c r="H3671" s="179" t="e">
        <f>IF($C$1078&gt;0,VLOOKUP($C3671,PATRIMONIALE!$AJ$4:$AO$1003,6,FALSE),"")</f>
        <v>#N/A</v>
      </c>
      <c r="I3671" s="187"/>
      <c r="J3671" s="140" t="e">
        <f ca="1">VLOOKUP(D3671,$F$1081:$I$4183,4,FALSE)+COUNTIF(E$1081:E3670,E3671)</f>
        <v>#N/A</v>
      </c>
      <c r="K3671" s="1"/>
      <c r="L3671" s="161" t="e">
        <f>IF($C$1078&gt;0,VLOOKUP($C3671,PATRIMONIALE!$AJ$4:$AP$1003,7,FALSE),"")</f>
        <v>#N/A</v>
      </c>
      <c r="M3671" s="1"/>
      <c r="N3671" s="1"/>
      <c r="O3671" s="1"/>
    </row>
    <row r="3672" spans="1:15" hidden="1">
      <c r="A3672" s="1"/>
      <c r="B3672" s="182" t="e">
        <f t="shared" ca="1" si="285"/>
        <v>#N/A</v>
      </c>
      <c r="C3672" s="500">
        <v>606</v>
      </c>
      <c r="D3672" s="41" t="e">
        <f>IF($C$1078&gt;0,VLOOKUP($C3672,PATRIMONIALE!$AJ$4:$AL$1003,3,FALSE),"")</f>
        <v>#N/A</v>
      </c>
      <c r="E3672" s="41" t="str">
        <f t="shared" si="286"/>
        <v/>
      </c>
      <c r="F3672" s="200"/>
      <c r="G3672" s="178" t="e">
        <f>IF($C$1078&gt;0,VLOOKUP($C3672,PATRIMONIALE!$AJ$4:$AN$1003,5,FALSE),"")</f>
        <v>#N/A</v>
      </c>
      <c r="H3672" s="179" t="e">
        <f>IF($C$1078&gt;0,VLOOKUP($C3672,PATRIMONIALE!$AJ$4:$AO$1003,6,FALSE),"")</f>
        <v>#N/A</v>
      </c>
      <c r="I3672" s="187"/>
      <c r="J3672" s="140" t="e">
        <f ca="1">VLOOKUP(D3672,$F$1081:$I$4183,4,FALSE)+COUNTIF(E$1081:E3671,E3672)</f>
        <v>#N/A</v>
      </c>
      <c r="K3672" s="1"/>
      <c r="L3672" s="161" t="e">
        <f>IF($C$1078&gt;0,VLOOKUP($C3672,PATRIMONIALE!$AJ$4:$AP$1003,7,FALSE),"")</f>
        <v>#N/A</v>
      </c>
      <c r="M3672" s="1"/>
      <c r="N3672" s="1"/>
      <c r="O3672" s="1"/>
    </row>
    <row r="3673" spans="1:15" hidden="1">
      <c r="A3673" s="1"/>
      <c r="B3673" s="182" t="e">
        <f t="shared" ca="1" si="285"/>
        <v>#N/A</v>
      </c>
      <c r="C3673" s="500">
        <v>607</v>
      </c>
      <c r="D3673" s="41" t="e">
        <f>IF($C$1078&gt;0,VLOOKUP($C3673,PATRIMONIALE!$AJ$4:$AL$1003,3,FALSE),"")</f>
        <v>#N/A</v>
      </c>
      <c r="E3673" s="41" t="str">
        <f t="shared" si="286"/>
        <v/>
      </c>
      <c r="F3673" s="200"/>
      <c r="G3673" s="178" t="e">
        <f>IF($C$1078&gt;0,VLOOKUP($C3673,PATRIMONIALE!$AJ$4:$AN$1003,5,FALSE),"")</f>
        <v>#N/A</v>
      </c>
      <c r="H3673" s="179" t="e">
        <f>IF($C$1078&gt;0,VLOOKUP($C3673,PATRIMONIALE!$AJ$4:$AO$1003,6,FALSE),"")</f>
        <v>#N/A</v>
      </c>
      <c r="I3673" s="187"/>
      <c r="J3673" s="140" t="e">
        <f ca="1">VLOOKUP(D3673,$F$1081:$I$4183,4,FALSE)+COUNTIF(E$1081:E3672,E3673)</f>
        <v>#N/A</v>
      </c>
      <c r="K3673" s="1"/>
      <c r="L3673" s="161" t="e">
        <f>IF($C$1078&gt;0,VLOOKUP($C3673,PATRIMONIALE!$AJ$4:$AP$1003,7,FALSE),"")</f>
        <v>#N/A</v>
      </c>
      <c r="M3673" s="1"/>
      <c r="N3673" s="1"/>
      <c r="O3673" s="1"/>
    </row>
    <row r="3674" spans="1:15" hidden="1">
      <c r="A3674" s="1"/>
      <c r="B3674" s="182" t="e">
        <f t="shared" ca="1" si="285"/>
        <v>#N/A</v>
      </c>
      <c r="C3674" s="500">
        <v>608</v>
      </c>
      <c r="D3674" s="41" t="e">
        <f>IF($C$1078&gt;0,VLOOKUP($C3674,PATRIMONIALE!$AJ$4:$AL$1003,3,FALSE),"")</f>
        <v>#N/A</v>
      </c>
      <c r="E3674" s="41" t="str">
        <f t="shared" si="286"/>
        <v/>
      </c>
      <c r="F3674" s="200"/>
      <c r="G3674" s="178" t="e">
        <f>IF($C$1078&gt;0,VLOOKUP($C3674,PATRIMONIALE!$AJ$4:$AN$1003,5,FALSE),"")</f>
        <v>#N/A</v>
      </c>
      <c r="H3674" s="179" t="e">
        <f>IF($C$1078&gt;0,VLOOKUP($C3674,PATRIMONIALE!$AJ$4:$AO$1003,6,FALSE),"")</f>
        <v>#N/A</v>
      </c>
      <c r="I3674" s="187"/>
      <c r="J3674" s="140" t="e">
        <f ca="1">VLOOKUP(D3674,$F$1081:$I$4183,4,FALSE)+COUNTIF(E$1081:E3673,E3674)</f>
        <v>#N/A</v>
      </c>
      <c r="K3674" s="1"/>
      <c r="L3674" s="161" t="e">
        <f>IF($C$1078&gt;0,VLOOKUP($C3674,PATRIMONIALE!$AJ$4:$AP$1003,7,FALSE),"")</f>
        <v>#N/A</v>
      </c>
      <c r="M3674" s="1"/>
      <c r="N3674" s="1"/>
      <c r="O3674" s="1"/>
    </row>
    <row r="3675" spans="1:15" hidden="1">
      <c r="A3675" s="1"/>
      <c r="B3675" s="182" t="e">
        <f t="shared" ca="1" si="285"/>
        <v>#N/A</v>
      </c>
      <c r="C3675" s="500">
        <v>609</v>
      </c>
      <c r="D3675" s="41" t="e">
        <f>IF($C$1078&gt;0,VLOOKUP($C3675,PATRIMONIALE!$AJ$4:$AL$1003,3,FALSE),"")</f>
        <v>#N/A</v>
      </c>
      <c r="E3675" s="41" t="str">
        <f t="shared" si="286"/>
        <v/>
      </c>
      <c r="F3675" s="200"/>
      <c r="G3675" s="178" t="e">
        <f>IF($C$1078&gt;0,VLOOKUP($C3675,PATRIMONIALE!$AJ$4:$AN$1003,5,FALSE),"")</f>
        <v>#N/A</v>
      </c>
      <c r="H3675" s="179" t="e">
        <f>IF($C$1078&gt;0,VLOOKUP($C3675,PATRIMONIALE!$AJ$4:$AO$1003,6,FALSE),"")</f>
        <v>#N/A</v>
      </c>
      <c r="I3675" s="187"/>
      <c r="J3675" s="140" t="e">
        <f ca="1">VLOOKUP(D3675,$F$1081:$I$4183,4,FALSE)+COUNTIF(E$1081:E3674,E3675)</f>
        <v>#N/A</v>
      </c>
      <c r="K3675" s="1"/>
      <c r="L3675" s="161" t="e">
        <f>IF($C$1078&gt;0,VLOOKUP($C3675,PATRIMONIALE!$AJ$4:$AP$1003,7,FALSE),"")</f>
        <v>#N/A</v>
      </c>
      <c r="M3675" s="1"/>
      <c r="N3675" s="1"/>
      <c r="O3675" s="1"/>
    </row>
    <row r="3676" spans="1:15" hidden="1">
      <c r="A3676" s="1"/>
      <c r="B3676" s="182" t="e">
        <f t="shared" ca="1" si="285"/>
        <v>#N/A</v>
      </c>
      <c r="C3676" s="500">
        <v>610</v>
      </c>
      <c r="D3676" s="41" t="e">
        <f>IF($C$1078&gt;0,VLOOKUP($C3676,PATRIMONIALE!$AJ$4:$AL$1003,3,FALSE),"")</f>
        <v>#N/A</v>
      </c>
      <c r="E3676" s="41" t="str">
        <f t="shared" si="286"/>
        <v/>
      </c>
      <c r="F3676" s="200"/>
      <c r="G3676" s="178" t="e">
        <f>IF($C$1078&gt;0,VLOOKUP($C3676,PATRIMONIALE!$AJ$4:$AN$1003,5,FALSE),"")</f>
        <v>#N/A</v>
      </c>
      <c r="H3676" s="179" t="e">
        <f>IF($C$1078&gt;0,VLOOKUP($C3676,PATRIMONIALE!$AJ$4:$AO$1003,6,FALSE),"")</f>
        <v>#N/A</v>
      </c>
      <c r="I3676" s="187"/>
      <c r="J3676" s="140" t="e">
        <f ca="1">VLOOKUP(D3676,$F$1081:$I$4183,4,FALSE)+COUNTIF(E$1081:E3675,E3676)</f>
        <v>#N/A</v>
      </c>
      <c r="K3676" s="1"/>
      <c r="L3676" s="161" t="e">
        <f>IF($C$1078&gt;0,VLOOKUP($C3676,PATRIMONIALE!$AJ$4:$AP$1003,7,FALSE),"")</f>
        <v>#N/A</v>
      </c>
      <c r="M3676" s="1"/>
      <c r="N3676" s="1"/>
      <c r="O3676" s="1"/>
    </row>
    <row r="3677" spans="1:15" hidden="1">
      <c r="A3677" s="1"/>
      <c r="B3677" s="182" t="e">
        <f t="shared" ca="1" si="285"/>
        <v>#N/A</v>
      </c>
      <c r="C3677" s="500">
        <v>611</v>
      </c>
      <c r="D3677" s="41" t="e">
        <f>IF($C$1078&gt;0,VLOOKUP($C3677,PATRIMONIALE!$AJ$4:$AL$1003,3,FALSE),"")</f>
        <v>#N/A</v>
      </c>
      <c r="E3677" s="41" t="str">
        <f t="shared" si="286"/>
        <v/>
      </c>
      <c r="F3677" s="200"/>
      <c r="G3677" s="178" t="e">
        <f>IF($C$1078&gt;0,VLOOKUP($C3677,PATRIMONIALE!$AJ$4:$AN$1003,5,FALSE),"")</f>
        <v>#N/A</v>
      </c>
      <c r="H3677" s="179" t="e">
        <f>IF($C$1078&gt;0,VLOOKUP($C3677,PATRIMONIALE!$AJ$4:$AO$1003,6,FALSE),"")</f>
        <v>#N/A</v>
      </c>
      <c r="I3677" s="187"/>
      <c r="J3677" s="140" t="e">
        <f ca="1">VLOOKUP(D3677,$F$1081:$I$4183,4,FALSE)+COUNTIF(E$1081:E3676,E3677)</f>
        <v>#N/A</v>
      </c>
      <c r="K3677" s="1"/>
      <c r="L3677" s="161" t="e">
        <f>IF($C$1078&gt;0,VLOOKUP($C3677,PATRIMONIALE!$AJ$4:$AP$1003,7,FALSE),"")</f>
        <v>#N/A</v>
      </c>
      <c r="M3677" s="1"/>
      <c r="N3677" s="1"/>
      <c r="O3677" s="1"/>
    </row>
    <row r="3678" spans="1:15" hidden="1">
      <c r="A3678" s="1"/>
      <c r="B3678" s="182" t="e">
        <f t="shared" ca="1" si="285"/>
        <v>#N/A</v>
      </c>
      <c r="C3678" s="500">
        <v>612</v>
      </c>
      <c r="D3678" s="41" t="e">
        <f>IF($C$1078&gt;0,VLOOKUP($C3678,PATRIMONIALE!$AJ$4:$AL$1003,3,FALSE),"")</f>
        <v>#N/A</v>
      </c>
      <c r="E3678" s="41" t="str">
        <f t="shared" si="286"/>
        <v/>
      </c>
      <c r="F3678" s="200"/>
      <c r="G3678" s="178" t="e">
        <f>IF($C$1078&gt;0,VLOOKUP($C3678,PATRIMONIALE!$AJ$4:$AN$1003,5,FALSE),"")</f>
        <v>#N/A</v>
      </c>
      <c r="H3678" s="179" t="e">
        <f>IF($C$1078&gt;0,VLOOKUP($C3678,PATRIMONIALE!$AJ$4:$AO$1003,6,FALSE),"")</f>
        <v>#N/A</v>
      </c>
      <c r="I3678" s="187"/>
      <c r="J3678" s="140" t="e">
        <f ca="1">VLOOKUP(D3678,$F$1081:$I$4183,4,FALSE)+COUNTIF(E$1081:E3677,E3678)</f>
        <v>#N/A</v>
      </c>
      <c r="K3678" s="1"/>
      <c r="L3678" s="161" t="e">
        <f>IF($C$1078&gt;0,VLOOKUP($C3678,PATRIMONIALE!$AJ$4:$AP$1003,7,FALSE),"")</f>
        <v>#N/A</v>
      </c>
      <c r="M3678" s="1"/>
      <c r="N3678" s="1"/>
      <c r="O3678" s="1"/>
    </row>
    <row r="3679" spans="1:15" hidden="1">
      <c r="A3679" s="1"/>
      <c r="B3679" s="182" t="e">
        <f t="shared" ca="1" si="285"/>
        <v>#N/A</v>
      </c>
      <c r="C3679" s="500">
        <v>613</v>
      </c>
      <c r="D3679" s="41" t="e">
        <f>IF($C$1078&gt;0,VLOOKUP($C3679,PATRIMONIALE!$AJ$4:$AL$1003,3,FALSE),"")</f>
        <v>#N/A</v>
      </c>
      <c r="E3679" s="41" t="str">
        <f t="shared" si="286"/>
        <v/>
      </c>
      <c r="F3679" s="200"/>
      <c r="G3679" s="178" t="e">
        <f>IF($C$1078&gt;0,VLOOKUP($C3679,PATRIMONIALE!$AJ$4:$AN$1003,5,FALSE),"")</f>
        <v>#N/A</v>
      </c>
      <c r="H3679" s="179" t="e">
        <f>IF($C$1078&gt;0,VLOOKUP($C3679,PATRIMONIALE!$AJ$4:$AO$1003,6,FALSE),"")</f>
        <v>#N/A</v>
      </c>
      <c r="I3679" s="187"/>
      <c r="J3679" s="140" t="e">
        <f ca="1">VLOOKUP(D3679,$F$1081:$I$4183,4,FALSE)+COUNTIF(E$1081:E3678,E3679)</f>
        <v>#N/A</v>
      </c>
      <c r="K3679" s="1"/>
      <c r="L3679" s="161" t="e">
        <f>IF($C$1078&gt;0,VLOOKUP($C3679,PATRIMONIALE!$AJ$4:$AP$1003,7,FALSE),"")</f>
        <v>#N/A</v>
      </c>
      <c r="M3679" s="1"/>
      <c r="N3679" s="1"/>
      <c r="O3679" s="1"/>
    </row>
    <row r="3680" spans="1:15" hidden="1">
      <c r="A3680" s="1"/>
      <c r="B3680" s="182" t="e">
        <f t="shared" ca="1" si="285"/>
        <v>#N/A</v>
      </c>
      <c r="C3680" s="500">
        <v>614</v>
      </c>
      <c r="D3680" s="41" t="e">
        <f>IF($C$1078&gt;0,VLOOKUP($C3680,PATRIMONIALE!$AJ$4:$AL$1003,3,FALSE),"")</f>
        <v>#N/A</v>
      </c>
      <c r="E3680" s="41" t="str">
        <f t="shared" si="286"/>
        <v/>
      </c>
      <c r="F3680" s="200"/>
      <c r="G3680" s="178" t="e">
        <f>IF($C$1078&gt;0,VLOOKUP($C3680,PATRIMONIALE!$AJ$4:$AN$1003,5,FALSE),"")</f>
        <v>#N/A</v>
      </c>
      <c r="H3680" s="179" t="e">
        <f>IF($C$1078&gt;0,VLOOKUP($C3680,PATRIMONIALE!$AJ$4:$AO$1003,6,FALSE),"")</f>
        <v>#N/A</v>
      </c>
      <c r="I3680" s="187"/>
      <c r="J3680" s="140" t="e">
        <f ca="1">VLOOKUP(D3680,$F$1081:$I$4183,4,FALSE)+COUNTIF(E$1081:E3679,E3680)</f>
        <v>#N/A</v>
      </c>
      <c r="K3680" s="1"/>
      <c r="L3680" s="161" t="e">
        <f>IF($C$1078&gt;0,VLOOKUP($C3680,PATRIMONIALE!$AJ$4:$AP$1003,7,FALSE),"")</f>
        <v>#N/A</v>
      </c>
      <c r="M3680" s="1"/>
      <c r="N3680" s="1"/>
      <c r="O3680" s="1"/>
    </row>
    <row r="3681" spans="1:15" hidden="1">
      <c r="A3681" s="1"/>
      <c r="B3681" s="182" t="e">
        <f t="shared" ca="1" si="285"/>
        <v>#N/A</v>
      </c>
      <c r="C3681" s="500">
        <v>615</v>
      </c>
      <c r="D3681" s="41" t="e">
        <f>IF($C$1078&gt;0,VLOOKUP($C3681,PATRIMONIALE!$AJ$4:$AL$1003,3,FALSE),"")</f>
        <v>#N/A</v>
      </c>
      <c r="E3681" s="41" t="str">
        <f t="shared" si="286"/>
        <v/>
      </c>
      <c r="F3681" s="200"/>
      <c r="G3681" s="178" t="e">
        <f>IF($C$1078&gt;0,VLOOKUP($C3681,PATRIMONIALE!$AJ$4:$AN$1003,5,FALSE),"")</f>
        <v>#N/A</v>
      </c>
      <c r="H3681" s="179" t="e">
        <f>IF($C$1078&gt;0,VLOOKUP($C3681,PATRIMONIALE!$AJ$4:$AO$1003,6,FALSE),"")</f>
        <v>#N/A</v>
      </c>
      <c r="I3681" s="187"/>
      <c r="J3681" s="140" t="e">
        <f ca="1">VLOOKUP(D3681,$F$1081:$I$4183,4,FALSE)+COUNTIF(E$1081:E3680,E3681)</f>
        <v>#N/A</v>
      </c>
      <c r="K3681" s="1"/>
      <c r="L3681" s="161" t="e">
        <f>IF($C$1078&gt;0,VLOOKUP($C3681,PATRIMONIALE!$AJ$4:$AP$1003,7,FALSE),"")</f>
        <v>#N/A</v>
      </c>
      <c r="M3681" s="1"/>
      <c r="N3681" s="1"/>
      <c r="O3681" s="1"/>
    </row>
    <row r="3682" spans="1:15" hidden="1">
      <c r="A3682" s="1"/>
      <c r="B3682" s="182" t="e">
        <f t="shared" ca="1" si="285"/>
        <v>#N/A</v>
      </c>
      <c r="C3682" s="500">
        <v>616</v>
      </c>
      <c r="D3682" s="41" t="e">
        <f>IF($C$1078&gt;0,VLOOKUP($C3682,PATRIMONIALE!$AJ$4:$AL$1003,3,FALSE),"")</f>
        <v>#N/A</v>
      </c>
      <c r="E3682" s="41" t="str">
        <f t="shared" si="286"/>
        <v/>
      </c>
      <c r="F3682" s="200"/>
      <c r="G3682" s="178" t="e">
        <f>IF($C$1078&gt;0,VLOOKUP($C3682,PATRIMONIALE!$AJ$4:$AN$1003,5,FALSE),"")</f>
        <v>#N/A</v>
      </c>
      <c r="H3682" s="179" t="e">
        <f>IF($C$1078&gt;0,VLOOKUP($C3682,PATRIMONIALE!$AJ$4:$AO$1003,6,FALSE),"")</f>
        <v>#N/A</v>
      </c>
      <c r="I3682" s="187"/>
      <c r="J3682" s="140" t="e">
        <f ca="1">VLOOKUP(D3682,$F$1081:$I$4183,4,FALSE)+COUNTIF(E$1081:E3681,E3682)</f>
        <v>#N/A</v>
      </c>
      <c r="K3682" s="1"/>
      <c r="L3682" s="161" t="e">
        <f>IF($C$1078&gt;0,VLOOKUP($C3682,PATRIMONIALE!$AJ$4:$AP$1003,7,FALSE),"")</f>
        <v>#N/A</v>
      </c>
      <c r="M3682" s="1"/>
      <c r="N3682" s="1"/>
      <c r="O3682" s="1"/>
    </row>
    <row r="3683" spans="1:15" hidden="1">
      <c r="A3683" s="1"/>
      <c r="B3683" s="182" t="e">
        <f t="shared" ca="1" si="285"/>
        <v>#N/A</v>
      </c>
      <c r="C3683" s="500">
        <v>617</v>
      </c>
      <c r="D3683" s="41" t="e">
        <f>IF($C$1078&gt;0,VLOOKUP($C3683,PATRIMONIALE!$AJ$4:$AL$1003,3,FALSE),"")</f>
        <v>#N/A</v>
      </c>
      <c r="E3683" s="41" t="str">
        <f t="shared" si="286"/>
        <v/>
      </c>
      <c r="F3683" s="200"/>
      <c r="G3683" s="178" t="e">
        <f>IF($C$1078&gt;0,VLOOKUP($C3683,PATRIMONIALE!$AJ$4:$AN$1003,5,FALSE),"")</f>
        <v>#N/A</v>
      </c>
      <c r="H3683" s="179" t="e">
        <f>IF($C$1078&gt;0,VLOOKUP($C3683,PATRIMONIALE!$AJ$4:$AO$1003,6,FALSE),"")</f>
        <v>#N/A</v>
      </c>
      <c r="I3683" s="187"/>
      <c r="J3683" s="140" t="e">
        <f ca="1">VLOOKUP(D3683,$F$1081:$I$4183,4,FALSE)+COUNTIF(E$1081:E3682,E3683)</f>
        <v>#N/A</v>
      </c>
      <c r="K3683" s="1"/>
      <c r="L3683" s="161" t="e">
        <f>IF($C$1078&gt;0,VLOOKUP($C3683,PATRIMONIALE!$AJ$4:$AP$1003,7,FALSE),"")</f>
        <v>#N/A</v>
      </c>
      <c r="M3683" s="1"/>
      <c r="N3683" s="1"/>
      <c r="O3683" s="1"/>
    </row>
    <row r="3684" spans="1:15" hidden="1">
      <c r="A3684" s="1"/>
      <c r="B3684" s="182" t="e">
        <f t="shared" ca="1" si="285"/>
        <v>#N/A</v>
      </c>
      <c r="C3684" s="500">
        <v>618</v>
      </c>
      <c r="D3684" s="41" t="e">
        <f>IF($C$1078&gt;0,VLOOKUP($C3684,PATRIMONIALE!$AJ$4:$AL$1003,3,FALSE),"")</f>
        <v>#N/A</v>
      </c>
      <c r="E3684" s="41" t="str">
        <f t="shared" si="286"/>
        <v/>
      </c>
      <c r="F3684" s="200"/>
      <c r="G3684" s="178" t="e">
        <f>IF($C$1078&gt;0,VLOOKUP($C3684,PATRIMONIALE!$AJ$4:$AN$1003,5,FALSE),"")</f>
        <v>#N/A</v>
      </c>
      <c r="H3684" s="179" t="e">
        <f>IF($C$1078&gt;0,VLOOKUP($C3684,PATRIMONIALE!$AJ$4:$AO$1003,6,FALSE),"")</f>
        <v>#N/A</v>
      </c>
      <c r="I3684" s="187"/>
      <c r="J3684" s="140" t="e">
        <f ca="1">VLOOKUP(D3684,$F$1081:$I$4183,4,FALSE)+COUNTIF(E$1081:E3683,E3684)</f>
        <v>#N/A</v>
      </c>
      <c r="K3684" s="1"/>
      <c r="L3684" s="161" t="e">
        <f>IF($C$1078&gt;0,VLOOKUP($C3684,PATRIMONIALE!$AJ$4:$AP$1003,7,FALSE),"")</f>
        <v>#N/A</v>
      </c>
      <c r="M3684" s="1"/>
      <c r="N3684" s="1"/>
      <c r="O3684" s="1"/>
    </row>
    <row r="3685" spans="1:15" hidden="1">
      <c r="A3685" s="1"/>
      <c r="B3685" s="182" t="e">
        <f t="shared" ca="1" si="285"/>
        <v>#N/A</v>
      </c>
      <c r="C3685" s="500">
        <v>619</v>
      </c>
      <c r="D3685" s="41" t="e">
        <f>IF($C$1078&gt;0,VLOOKUP($C3685,PATRIMONIALE!$AJ$4:$AL$1003,3,FALSE),"")</f>
        <v>#N/A</v>
      </c>
      <c r="E3685" s="41" t="str">
        <f t="shared" si="286"/>
        <v/>
      </c>
      <c r="F3685" s="200"/>
      <c r="G3685" s="178" t="e">
        <f>IF($C$1078&gt;0,VLOOKUP($C3685,PATRIMONIALE!$AJ$4:$AN$1003,5,FALSE),"")</f>
        <v>#N/A</v>
      </c>
      <c r="H3685" s="179" t="e">
        <f>IF($C$1078&gt;0,VLOOKUP($C3685,PATRIMONIALE!$AJ$4:$AO$1003,6,FALSE),"")</f>
        <v>#N/A</v>
      </c>
      <c r="I3685" s="187"/>
      <c r="J3685" s="140" t="e">
        <f ca="1">VLOOKUP(D3685,$F$1081:$I$4183,4,FALSE)+COUNTIF(E$1081:E3684,E3685)</f>
        <v>#N/A</v>
      </c>
      <c r="K3685" s="1"/>
      <c r="L3685" s="161" t="e">
        <f>IF($C$1078&gt;0,VLOOKUP($C3685,PATRIMONIALE!$AJ$4:$AP$1003,7,FALSE),"")</f>
        <v>#N/A</v>
      </c>
      <c r="M3685" s="1"/>
      <c r="N3685" s="1"/>
      <c r="O3685" s="1"/>
    </row>
    <row r="3686" spans="1:15" hidden="1">
      <c r="A3686" s="1"/>
      <c r="B3686" s="182" t="e">
        <f t="shared" ca="1" si="285"/>
        <v>#N/A</v>
      </c>
      <c r="C3686" s="500">
        <v>620</v>
      </c>
      <c r="D3686" s="41" t="e">
        <f>IF($C$1078&gt;0,VLOOKUP($C3686,PATRIMONIALE!$AJ$4:$AL$1003,3,FALSE),"")</f>
        <v>#N/A</v>
      </c>
      <c r="E3686" s="41" t="str">
        <f t="shared" si="286"/>
        <v/>
      </c>
      <c r="F3686" s="200"/>
      <c r="G3686" s="178" t="e">
        <f>IF($C$1078&gt;0,VLOOKUP($C3686,PATRIMONIALE!$AJ$4:$AN$1003,5,FALSE),"")</f>
        <v>#N/A</v>
      </c>
      <c r="H3686" s="179" t="e">
        <f>IF($C$1078&gt;0,VLOOKUP($C3686,PATRIMONIALE!$AJ$4:$AO$1003,6,FALSE),"")</f>
        <v>#N/A</v>
      </c>
      <c r="I3686" s="187"/>
      <c r="J3686" s="140" t="e">
        <f ca="1">VLOOKUP(D3686,$F$1081:$I$4183,4,FALSE)+COUNTIF(E$1081:E3685,E3686)</f>
        <v>#N/A</v>
      </c>
      <c r="K3686" s="1"/>
      <c r="L3686" s="161" t="e">
        <f>IF($C$1078&gt;0,VLOOKUP($C3686,PATRIMONIALE!$AJ$4:$AP$1003,7,FALSE),"")</f>
        <v>#N/A</v>
      </c>
      <c r="M3686" s="1"/>
      <c r="N3686" s="1"/>
      <c r="O3686" s="1"/>
    </row>
    <row r="3687" spans="1:15" hidden="1">
      <c r="A3687" s="1"/>
      <c r="B3687" s="182" t="e">
        <f t="shared" ca="1" si="285"/>
        <v>#N/A</v>
      </c>
      <c r="C3687" s="500">
        <v>621</v>
      </c>
      <c r="D3687" s="41" t="e">
        <f>IF($C$1078&gt;0,VLOOKUP($C3687,PATRIMONIALE!$AJ$4:$AL$1003,3,FALSE),"")</f>
        <v>#N/A</v>
      </c>
      <c r="E3687" s="41" t="str">
        <f t="shared" si="286"/>
        <v/>
      </c>
      <c r="F3687" s="200"/>
      <c r="G3687" s="178" t="e">
        <f>IF($C$1078&gt;0,VLOOKUP($C3687,PATRIMONIALE!$AJ$4:$AN$1003,5,FALSE),"")</f>
        <v>#N/A</v>
      </c>
      <c r="H3687" s="179" t="e">
        <f>IF($C$1078&gt;0,VLOOKUP($C3687,PATRIMONIALE!$AJ$4:$AO$1003,6,FALSE),"")</f>
        <v>#N/A</v>
      </c>
      <c r="I3687" s="187"/>
      <c r="J3687" s="140" t="e">
        <f ca="1">VLOOKUP(D3687,$F$1081:$I$4183,4,FALSE)+COUNTIF(E$1081:E3686,E3687)</f>
        <v>#N/A</v>
      </c>
      <c r="K3687" s="1"/>
      <c r="L3687" s="161" t="e">
        <f>IF($C$1078&gt;0,VLOOKUP($C3687,PATRIMONIALE!$AJ$4:$AP$1003,7,FALSE),"")</f>
        <v>#N/A</v>
      </c>
      <c r="M3687" s="1"/>
      <c r="N3687" s="1"/>
      <c r="O3687" s="1"/>
    </row>
    <row r="3688" spans="1:15" hidden="1">
      <c r="A3688" s="1"/>
      <c r="B3688" s="182" t="e">
        <f t="shared" ca="1" si="285"/>
        <v>#N/A</v>
      </c>
      <c r="C3688" s="500">
        <v>622</v>
      </c>
      <c r="D3688" s="41" t="e">
        <f>IF($C$1078&gt;0,VLOOKUP($C3688,PATRIMONIALE!$AJ$4:$AL$1003,3,FALSE),"")</f>
        <v>#N/A</v>
      </c>
      <c r="E3688" s="41" t="str">
        <f t="shared" si="286"/>
        <v/>
      </c>
      <c r="F3688" s="200"/>
      <c r="G3688" s="178" t="e">
        <f>IF($C$1078&gt;0,VLOOKUP($C3688,PATRIMONIALE!$AJ$4:$AN$1003,5,FALSE),"")</f>
        <v>#N/A</v>
      </c>
      <c r="H3688" s="179" t="e">
        <f>IF($C$1078&gt;0,VLOOKUP($C3688,PATRIMONIALE!$AJ$4:$AO$1003,6,FALSE),"")</f>
        <v>#N/A</v>
      </c>
      <c r="I3688" s="187"/>
      <c r="J3688" s="140" t="e">
        <f ca="1">VLOOKUP(D3688,$F$1081:$I$4183,4,FALSE)+COUNTIF(E$1081:E3687,E3688)</f>
        <v>#N/A</v>
      </c>
      <c r="K3688" s="1"/>
      <c r="L3688" s="161" t="e">
        <f>IF($C$1078&gt;0,VLOOKUP($C3688,PATRIMONIALE!$AJ$4:$AP$1003,7,FALSE),"")</f>
        <v>#N/A</v>
      </c>
      <c r="M3688" s="1"/>
      <c r="N3688" s="1"/>
      <c r="O3688" s="1"/>
    </row>
    <row r="3689" spans="1:15" hidden="1">
      <c r="A3689" s="1"/>
      <c r="B3689" s="182" t="e">
        <f t="shared" ca="1" si="285"/>
        <v>#N/A</v>
      </c>
      <c r="C3689" s="500">
        <v>623</v>
      </c>
      <c r="D3689" s="41" t="e">
        <f>IF($C$1078&gt;0,VLOOKUP($C3689,PATRIMONIALE!$AJ$4:$AL$1003,3,FALSE),"")</f>
        <v>#N/A</v>
      </c>
      <c r="E3689" s="41" t="str">
        <f t="shared" si="286"/>
        <v/>
      </c>
      <c r="F3689" s="200"/>
      <c r="G3689" s="178" t="e">
        <f>IF($C$1078&gt;0,VLOOKUP($C3689,PATRIMONIALE!$AJ$4:$AN$1003,5,FALSE),"")</f>
        <v>#N/A</v>
      </c>
      <c r="H3689" s="179" t="e">
        <f>IF($C$1078&gt;0,VLOOKUP($C3689,PATRIMONIALE!$AJ$4:$AO$1003,6,FALSE),"")</f>
        <v>#N/A</v>
      </c>
      <c r="I3689" s="187"/>
      <c r="J3689" s="140" t="e">
        <f ca="1">VLOOKUP(D3689,$F$1081:$I$4183,4,FALSE)+COUNTIF(E$1081:E3688,E3689)</f>
        <v>#N/A</v>
      </c>
      <c r="K3689" s="1"/>
      <c r="L3689" s="161" t="e">
        <f>IF($C$1078&gt;0,VLOOKUP($C3689,PATRIMONIALE!$AJ$4:$AP$1003,7,FALSE),"")</f>
        <v>#N/A</v>
      </c>
      <c r="M3689" s="1"/>
      <c r="N3689" s="1"/>
      <c r="O3689" s="1"/>
    </row>
    <row r="3690" spans="1:15" hidden="1">
      <c r="A3690" s="1"/>
      <c r="B3690" s="182" t="e">
        <f t="shared" ca="1" si="285"/>
        <v>#N/A</v>
      </c>
      <c r="C3690" s="500">
        <v>624</v>
      </c>
      <c r="D3690" s="41" t="e">
        <f>IF($C$1078&gt;0,VLOOKUP($C3690,PATRIMONIALE!$AJ$4:$AL$1003,3,FALSE),"")</f>
        <v>#N/A</v>
      </c>
      <c r="E3690" s="41" t="str">
        <f t="shared" si="286"/>
        <v/>
      </c>
      <c r="F3690" s="200"/>
      <c r="G3690" s="178" t="e">
        <f>IF($C$1078&gt;0,VLOOKUP($C3690,PATRIMONIALE!$AJ$4:$AN$1003,5,FALSE),"")</f>
        <v>#N/A</v>
      </c>
      <c r="H3690" s="179" t="e">
        <f>IF($C$1078&gt;0,VLOOKUP($C3690,PATRIMONIALE!$AJ$4:$AO$1003,6,FALSE),"")</f>
        <v>#N/A</v>
      </c>
      <c r="I3690" s="187"/>
      <c r="J3690" s="140" t="e">
        <f ca="1">VLOOKUP(D3690,$F$1081:$I$4183,4,FALSE)+COUNTIF(E$1081:E3689,E3690)</f>
        <v>#N/A</v>
      </c>
      <c r="K3690" s="1"/>
      <c r="L3690" s="161" t="e">
        <f>IF($C$1078&gt;0,VLOOKUP($C3690,PATRIMONIALE!$AJ$4:$AP$1003,7,FALSE),"")</f>
        <v>#N/A</v>
      </c>
      <c r="M3690" s="1"/>
      <c r="N3690" s="1"/>
      <c r="O3690" s="1"/>
    </row>
    <row r="3691" spans="1:15" hidden="1">
      <c r="A3691" s="1"/>
      <c r="B3691" s="182" t="e">
        <f t="shared" ca="1" si="285"/>
        <v>#N/A</v>
      </c>
      <c r="C3691" s="500">
        <v>625</v>
      </c>
      <c r="D3691" s="41" t="e">
        <f>IF($C$1078&gt;0,VLOOKUP($C3691,PATRIMONIALE!$AJ$4:$AL$1003,3,FALSE),"")</f>
        <v>#N/A</v>
      </c>
      <c r="E3691" s="41" t="str">
        <f t="shared" si="286"/>
        <v/>
      </c>
      <c r="F3691" s="200"/>
      <c r="G3691" s="178" t="e">
        <f>IF($C$1078&gt;0,VLOOKUP($C3691,PATRIMONIALE!$AJ$4:$AN$1003,5,FALSE),"")</f>
        <v>#N/A</v>
      </c>
      <c r="H3691" s="179" t="e">
        <f>IF($C$1078&gt;0,VLOOKUP($C3691,PATRIMONIALE!$AJ$4:$AO$1003,6,FALSE),"")</f>
        <v>#N/A</v>
      </c>
      <c r="I3691" s="187"/>
      <c r="J3691" s="140" t="e">
        <f ca="1">VLOOKUP(D3691,$F$1081:$I$4183,4,FALSE)+COUNTIF(E$1081:E3690,E3691)</f>
        <v>#N/A</v>
      </c>
      <c r="K3691" s="1"/>
      <c r="L3691" s="161" t="e">
        <f>IF($C$1078&gt;0,VLOOKUP($C3691,PATRIMONIALE!$AJ$4:$AP$1003,7,FALSE),"")</f>
        <v>#N/A</v>
      </c>
      <c r="M3691" s="1"/>
      <c r="N3691" s="1"/>
      <c r="O3691" s="1"/>
    </row>
    <row r="3692" spans="1:15" hidden="1">
      <c r="A3692" s="1"/>
      <c r="B3692" s="182" t="e">
        <f t="shared" ca="1" si="285"/>
        <v>#N/A</v>
      </c>
      <c r="C3692" s="500">
        <v>626</v>
      </c>
      <c r="D3692" s="41" t="e">
        <f>IF($C$1078&gt;0,VLOOKUP($C3692,PATRIMONIALE!$AJ$4:$AL$1003,3,FALSE),"")</f>
        <v>#N/A</v>
      </c>
      <c r="E3692" s="41" t="str">
        <f t="shared" si="286"/>
        <v/>
      </c>
      <c r="F3692" s="200"/>
      <c r="G3692" s="178" t="e">
        <f>IF($C$1078&gt;0,VLOOKUP($C3692,PATRIMONIALE!$AJ$4:$AN$1003,5,FALSE),"")</f>
        <v>#N/A</v>
      </c>
      <c r="H3692" s="179" t="e">
        <f>IF($C$1078&gt;0,VLOOKUP($C3692,PATRIMONIALE!$AJ$4:$AO$1003,6,FALSE),"")</f>
        <v>#N/A</v>
      </c>
      <c r="I3692" s="187"/>
      <c r="J3692" s="140" t="e">
        <f ca="1">VLOOKUP(D3692,$F$1081:$I$4183,4,FALSE)+COUNTIF(E$1081:E3691,E3692)</f>
        <v>#N/A</v>
      </c>
      <c r="K3692" s="1"/>
      <c r="L3692" s="161" t="e">
        <f>IF($C$1078&gt;0,VLOOKUP($C3692,PATRIMONIALE!$AJ$4:$AP$1003,7,FALSE),"")</f>
        <v>#N/A</v>
      </c>
      <c r="M3692" s="1"/>
      <c r="N3692" s="1"/>
      <c r="O3692" s="1"/>
    </row>
    <row r="3693" spans="1:15" hidden="1">
      <c r="A3693" s="1"/>
      <c r="B3693" s="182" t="e">
        <f t="shared" ca="1" si="285"/>
        <v>#N/A</v>
      </c>
      <c r="C3693" s="500">
        <v>627</v>
      </c>
      <c r="D3693" s="41" t="e">
        <f>IF($C$1078&gt;0,VLOOKUP($C3693,PATRIMONIALE!$AJ$4:$AL$1003,3,FALSE),"")</f>
        <v>#N/A</v>
      </c>
      <c r="E3693" s="41" t="str">
        <f t="shared" si="286"/>
        <v/>
      </c>
      <c r="F3693" s="200"/>
      <c r="G3693" s="178" t="e">
        <f>IF($C$1078&gt;0,VLOOKUP($C3693,PATRIMONIALE!$AJ$4:$AN$1003,5,FALSE),"")</f>
        <v>#N/A</v>
      </c>
      <c r="H3693" s="179" t="e">
        <f>IF($C$1078&gt;0,VLOOKUP($C3693,PATRIMONIALE!$AJ$4:$AO$1003,6,FALSE),"")</f>
        <v>#N/A</v>
      </c>
      <c r="I3693" s="187"/>
      <c r="J3693" s="140" t="e">
        <f ca="1">VLOOKUP(D3693,$F$1081:$I$4183,4,FALSE)+COUNTIF(E$1081:E3692,E3693)</f>
        <v>#N/A</v>
      </c>
      <c r="K3693" s="1"/>
      <c r="L3693" s="161" t="e">
        <f>IF($C$1078&gt;0,VLOOKUP($C3693,PATRIMONIALE!$AJ$4:$AP$1003,7,FALSE),"")</f>
        <v>#N/A</v>
      </c>
      <c r="M3693" s="1"/>
      <c r="N3693" s="1"/>
      <c r="O3693" s="1"/>
    </row>
    <row r="3694" spans="1:15" hidden="1">
      <c r="A3694" s="1"/>
      <c r="B3694" s="182" t="e">
        <f t="shared" ca="1" si="285"/>
        <v>#N/A</v>
      </c>
      <c r="C3694" s="500">
        <v>628</v>
      </c>
      <c r="D3694" s="41" t="e">
        <f>IF($C$1078&gt;0,VLOOKUP($C3694,PATRIMONIALE!$AJ$4:$AL$1003,3,FALSE),"")</f>
        <v>#N/A</v>
      </c>
      <c r="E3694" s="41" t="str">
        <f t="shared" si="286"/>
        <v/>
      </c>
      <c r="F3694" s="200"/>
      <c r="G3694" s="178" t="e">
        <f>IF($C$1078&gt;0,VLOOKUP($C3694,PATRIMONIALE!$AJ$4:$AN$1003,5,FALSE),"")</f>
        <v>#N/A</v>
      </c>
      <c r="H3694" s="179" t="e">
        <f>IF($C$1078&gt;0,VLOOKUP($C3694,PATRIMONIALE!$AJ$4:$AO$1003,6,FALSE),"")</f>
        <v>#N/A</v>
      </c>
      <c r="I3694" s="187"/>
      <c r="J3694" s="140" t="e">
        <f ca="1">VLOOKUP(D3694,$F$1081:$I$4183,4,FALSE)+COUNTIF(E$1081:E3693,E3694)</f>
        <v>#N/A</v>
      </c>
      <c r="K3694" s="1"/>
      <c r="L3694" s="161" t="e">
        <f>IF($C$1078&gt;0,VLOOKUP($C3694,PATRIMONIALE!$AJ$4:$AP$1003,7,FALSE),"")</f>
        <v>#N/A</v>
      </c>
      <c r="M3694" s="1"/>
      <c r="N3694" s="1"/>
      <c r="O3694" s="1"/>
    </row>
    <row r="3695" spans="1:15" hidden="1">
      <c r="A3695" s="1"/>
      <c r="B3695" s="182" t="e">
        <f t="shared" ca="1" si="285"/>
        <v>#N/A</v>
      </c>
      <c r="C3695" s="500">
        <v>629</v>
      </c>
      <c r="D3695" s="41" t="e">
        <f>IF($C$1078&gt;0,VLOOKUP($C3695,PATRIMONIALE!$AJ$4:$AL$1003,3,FALSE),"")</f>
        <v>#N/A</v>
      </c>
      <c r="E3695" s="41" t="str">
        <f t="shared" si="286"/>
        <v/>
      </c>
      <c r="F3695" s="200"/>
      <c r="G3695" s="178" t="e">
        <f>IF($C$1078&gt;0,VLOOKUP($C3695,PATRIMONIALE!$AJ$4:$AN$1003,5,FALSE),"")</f>
        <v>#N/A</v>
      </c>
      <c r="H3695" s="179" t="e">
        <f>IF($C$1078&gt;0,VLOOKUP($C3695,PATRIMONIALE!$AJ$4:$AO$1003,6,FALSE),"")</f>
        <v>#N/A</v>
      </c>
      <c r="I3695" s="187"/>
      <c r="J3695" s="140" t="e">
        <f ca="1">VLOOKUP(D3695,$F$1081:$I$4183,4,FALSE)+COUNTIF(E$1081:E3694,E3695)</f>
        <v>#N/A</v>
      </c>
      <c r="K3695" s="1"/>
      <c r="L3695" s="161" t="e">
        <f>IF($C$1078&gt;0,VLOOKUP($C3695,PATRIMONIALE!$AJ$4:$AP$1003,7,FALSE),"")</f>
        <v>#N/A</v>
      </c>
      <c r="M3695" s="1"/>
      <c r="N3695" s="1"/>
      <c r="O3695" s="1"/>
    </row>
    <row r="3696" spans="1:15" hidden="1">
      <c r="A3696" s="1"/>
      <c r="B3696" s="182" t="e">
        <f t="shared" ca="1" si="285"/>
        <v>#N/A</v>
      </c>
      <c r="C3696" s="500">
        <v>630</v>
      </c>
      <c r="D3696" s="41" t="e">
        <f>IF($C$1078&gt;0,VLOOKUP($C3696,PATRIMONIALE!$AJ$4:$AL$1003,3,FALSE),"")</f>
        <v>#N/A</v>
      </c>
      <c r="E3696" s="41" t="str">
        <f t="shared" si="286"/>
        <v/>
      </c>
      <c r="F3696" s="200"/>
      <c r="G3696" s="178" t="e">
        <f>IF($C$1078&gt;0,VLOOKUP($C3696,PATRIMONIALE!$AJ$4:$AN$1003,5,FALSE),"")</f>
        <v>#N/A</v>
      </c>
      <c r="H3696" s="179" t="e">
        <f>IF($C$1078&gt;0,VLOOKUP($C3696,PATRIMONIALE!$AJ$4:$AO$1003,6,FALSE),"")</f>
        <v>#N/A</v>
      </c>
      <c r="I3696" s="187"/>
      <c r="J3696" s="140" t="e">
        <f ca="1">VLOOKUP(D3696,$F$1081:$I$4183,4,FALSE)+COUNTIF(E$1081:E3695,E3696)</f>
        <v>#N/A</v>
      </c>
      <c r="K3696" s="1"/>
      <c r="L3696" s="161" t="e">
        <f>IF($C$1078&gt;0,VLOOKUP($C3696,PATRIMONIALE!$AJ$4:$AP$1003,7,FALSE),"")</f>
        <v>#N/A</v>
      </c>
      <c r="M3696" s="1"/>
      <c r="N3696" s="1"/>
      <c r="O3696" s="1"/>
    </row>
    <row r="3697" spans="1:15" hidden="1">
      <c r="A3697" s="1"/>
      <c r="B3697" s="182" t="e">
        <f t="shared" ca="1" si="285"/>
        <v>#N/A</v>
      </c>
      <c r="C3697" s="500">
        <v>631</v>
      </c>
      <c r="D3697" s="41" t="e">
        <f>IF($C$1078&gt;0,VLOOKUP($C3697,PATRIMONIALE!$AJ$4:$AL$1003,3,FALSE),"")</f>
        <v>#N/A</v>
      </c>
      <c r="E3697" s="41" t="str">
        <f t="shared" si="286"/>
        <v/>
      </c>
      <c r="F3697" s="200"/>
      <c r="G3697" s="178" t="e">
        <f>IF($C$1078&gt;0,VLOOKUP($C3697,PATRIMONIALE!$AJ$4:$AN$1003,5,FALSE),"")</f>
        <v>#N/A</v>
      </c>
      <c r="H3697" s="179" t="e">
        <f>IF($C$1078&gt;0,VLOOKUP($C3697,PATRIMONIALE!$AJ$4:$AO$1003,6,FALSE),"")</f>
        <v>#N/A</v>
      </c>
      <c r="I3697" s="187"/>
      <c r="J3697" s="140" t="e">
        <f ca="1">VLOOKUP(D3697,$F$1081:$I$4183,4,FALSE)+COUNTIF(E$1081:E3696,E3697)</f>
        <v>#N/A</v>
      </c>
      <c r="K3697" s="1"/>
      <c r="L3697" s="161" t="e">
        <f>IF($C$1078&gt;0,VLOOKUP($C3697,PATRIMONIALE!$AJ$4:$AP$1003,7,FALSE),"")</f>
        <v>#N/A</v>
      </c>
      <c r="M3697" s="1"/>
      <c r="N3697" s="1"/>
      <c r="O3697" s="1"/>
    </row>
    <row r="3698" spans="1:15" hidden="1">
      <c r="A3698" s="1"/>
      <c r="B3698" s="182" t="e">
        <f t="shared" ca="1" si="285"/>
        <v>#N/A</v>
      </c>
      <c r="C3698" s="500">
        <v>632</v>
      </c>
      <c r="D3698" s="41" t="e">
        <f>IF($C$1078&gt;0,VLOOKUP($C3698,PATRIMONIALE!$AJ$4:$AL$1003,3,FALSE),"")</f>
        <v>#N/A</v>
      </c>
      <c r="E3698" s="41" t="str">
        <f t="shared" si="286"/>
        <v/>
      </c>
      <c r="F3698" s="200"/>
      <c r="G3698" s="178" t="e">
        <f>IF($C$1078&gt;0,VLOOKUP($C3698,PATRIMONIALE!$AJ$4:$AN$1003,5,FALSE),"")</f>
        <v>#N/A</v>
      </c>
      <c r="H3698" s="179" t="e">
        <f>IF($C$1078&gt;0,VLOOKUP($C3698,PATRIMONIALE!$AJ$4:$AO$1003,6,FALSE),"")</f>
        <v>#N/A</v>
      </c>
      <c r="I3698" s="187"/>
      <c r="J3698" s="140" t="e">
        <f ca="1">VLOOKUP(D3698,$F$1081:$I$4183,4,FALSE)+COUNTIF(E$1081:E3697,E3698)</f>
        <v>#N/A</v>
      </c>
      <c r="K3698" s="1"/>
      <c r="L3698" s="161" t="e">
        <f>IF($C$1078&gt;0,VLOOKUP($C3698,PATRIMONIALE!$AJ$4:$AP$1003,7,FALSE),"")</f>
        <v>#N/A</v>
      </c>
      <c r="M3698" s="1"/>
      <c r="N3698" s="1"/>
      <c r="O3698" s="1"/>
    </row>
    <row r="3699" spans="1:15" hidden="1">
      <c r="A3699" s="1"/>
      <c r="B3699" s="182" t="e">
        <f t="shared" ca="1" si="285"/>
        <v>#N/A</v>
      </c>
      <c r="C3699" s="500">
        <v>633</v>
      </c>
      <c r="D3699" s="41" t="e">
        <f>IF($C$1078&gt;0,VLOOKUP($C3699,PATRIMONIALE!$AJ$4:$AL$1003,3,FALSE),"")</f>
        <v>#N/A</v>
      </c>
      <c r="E3699" s="41" t="str">
        <f t="shared" si="286"/>
        <v/>
      </c>
      <c r="F3699" s="200"/>
      <c r="G3699" s="178" t="e">
        <f>IF($C$1078&gt;0,VLOOKUP($C3699,PATRIMONIALE!$AJ$4:$AN$1003,5,FALSE),"")</f>
        <v>#N/A</v>
      </c>
      <c r="H3699" s="179" t="e">
        <f>IF($C$1078&gt;0,VLOOKUP($C3699,PATRIMONIALE!$AJ$4:$AO$1003,6,FALSE),"")</f>
        <v>#N/A</v>
      </c>
      <c r="I3699" s="187"/>
      <c r="J3699" s="140" t="e">
        <f ca="1">VLOOKUP(D3699,$F$1081:$I$4183,4,FALSE)+COUNTIF(E$1081:E3698,E3699)</f>
        <v>#N/A</v>
      </c>
      <c r="K3699" s="1"/>
      <c r="L3699" s="161" t="e">
        <f>IF($C$1078&gt;0,VLOOKUP($C3699,PATRIMONIALE!$AJ$4:$AP$1003,7,FALSE),"")</f>
        <v>#N/A</v>
      </c>
      <c r="M3699" s="1"/>
      <c r="N3699" s="1"/>
      <c r="O3699" s="1"/>
    </row>
    <row r="3700" spans="1:15" hidden="1">
      <c r="A3700" s="1"/>
      <c r="B3700" s="182" t="e">
        <f t="shared" ca="1" si="285"/>
        <v>#N/A</v>
      </c>
      <c r="C3700" s="500">
        <v>634</v>
      </c>
      <c r="D3700" s="41" t="e">
        <f>IF($C$1078&gt;0,VLOOKUP($C3700,PATRIMONIALE!$AJ$4:$AL$1003,3,FALSE),"")</f>
        <v>#N/A</v>
      </c>
      <c r="E3700" s="41" t="str">
        <f t="shared" si="286"/>
        <v/>
      </c>
      <c r="F3700" s="200"/>
      <c r="G3700" s="178" t="e">
        <f>IF($C$1078&gt;0,VLOOKUP($C3700,PATRIMONIALE!$AJ$4:$AN$1003,5,FALSE),"")</f>
        <v>#N/A</v>
      </c>
      <c r="H3700" s="179" t="e">
        <f>IF($C$1078&gt;0,VLOOKUP($C3700,PATRIMONIALE!$AJ$4:$AO$1003,6,FALSE),"")</f>
        <v>#N/A</v>
      </c>
      <c r="I3700" s="187"/>
      <c r="J3700" s="140" t="e">
        <f ca="1">VLOOKUP(D3700,$F$1081:$I$4183,4,FALSE)+COUNTIF(E$1081:E3699,E3700)</f>
        <v>#N/A</v>
      </c>
      <c r="K3700" s="1"/>
      <c r="L3700" s="161" t="e">
        <f>IF($C$1078&gt;0,VLOOKUP($C3700,PATRIMONIALE!$AJ$4:$AP$1003,7,FALSE),"")</f>
        <v>#N/A</v>
      </c>
      <c r="M3700" s="1"/>
      <c r="N3700" s="1"/>
      <c r="O3700" s="1"/>
    </row>
    <row r="3701" spans="1:15" hidden="1">
      <c r="A3701" s="1"/>
      <c r="B3701" s="182" t="e">
        <f t="shared" ca="1" si="285"/>
        <v>#N/A</v>
      </c>
      <c r="C3701" s="500">
        <v>635</v>
      </c>
      <c r="D3701" s="41" t="e">
        <f>IF($C$1078&gt;0,VLOOKUP($C3701,PATRIMONIALE!$AJ$4:$AL$1003,3,FALSE),"")</f>
        <v>#N/A</v>
      </c>
      <c r="E3701" s="41" t="str">
        <f t="shared" si="286"/>
        <v/>
      </c>
      <c r="F3701" s="200"/>
      <c r="G3701" s="178" t="e">
        <f>IF($C$1078&gt;0,VLOOKUP($C3701,PATRIMONIALE!$AJ$4:$AN$1003,5,FALSE),"")</f>
        <v>#N/A</v>
      </c>
      <c r="H3701" s="179" t="e">
        <f>IF($C$1078&gt;0,VLOOKUP($C3701,PATRIMONIALE!$AJ$4:$AO$1003,6,FALSE),"")</f>
        <v>#N/A</v>
      </c>
      <c r="I3701" s="187"/>
      <c r="J3701" s="140" t="e">
        <f ca="1">VLOOKUP(D3701,$F$1081:$I$4183,4,FALSE)+COUNTIF(E$1081:E3700,E3701)</f>
        <v>#N/A</v>
      </c>
      <c r="K3701" s="1"/>
      <c r="L3701" s="161" t="e">
        <f>IF($C$1078&gt;0,VLOOKUP($C3701,PATRIMONIALE!$AJ$4:$AP$1003,7,FALSE),"")</f>
        <v>#N/A</v>
      </c>
      <c r="M3701" s="1"/>
      <c r="N3701" s="1"/>
      <c r="O3701" s="1"/>
    </row>
    <row r="3702" spans="1:15" hidden="1">
      <c r="A3702" s="1"/>
      <c r="B3702" s="182" t="e">
        <f t="shared" ca="1" si="285"/>
        <v>#N/A</v>
      </c>
      <c r="C3702" s="500">
        <v>636</v>
      </c>
      <c r="D3702" s="41" t="e">
        <f>IF($C$1078&gt;0,VLOOKUP($C3702,PATRIMONIALE!$AJ$4:$AL$1003,3,FALSE),"")</f>
        <v>#N/A</v>
      </c>
      <c r="E3702" s="41" t="str">
        <f t="shared" si="286"/>
        <v/>
      </c>
      <c r="F3702" s="200"/>
      <c r="G3702" s="178" t="e">
        <f>IF($C$1078&gt;0,VLOOKUP($C3702,PATRIMONIALE!$AJ$4:$AN$1003,5,FALSE),"")</f>
        <v>#N/A</v>
      </c>
      <c r="H3702" s="179" t="e">
        <f>IF($C$1078&gt;0,VLOOKUP($C3702,PATRIMONIALE!$AJ$4:$AO$1003,6,FALSE),"")</f>
        <v>#N/A</v>
      </c>
      <c r="I3702" s="187"/>
      <c r="J3702" s="140" t="e">
        <f ca="1">VLOOKUP(D3702,$F$1081:$I$4183,4,FALSE)+COUNTIF(E$1081:E3701,E3702)</f>
        <v>#N/A</v>
      </c>
      <c r="K3702" s="1"/>
      <c r="L3702" s="161" t="e">
        <f>IF($C$1078&gt;0,VLOOKUP($C3702,PATRIMONIALE!$AJ$4:$AP$1003,7,FALSE),"")</f>
        <v>#N/A</v>
      </c>
      <c r="M3702" s="1"/>
      <c r="N3702" s="1"/>
      <c r="O3702" s="1"/>
    </row>
    <row r="3703" spans="1:15" hidden="1">
      <c r="A3703" s="1"/>
      <c r="B3703" s="182" t="e">
        <f t="shared" ref="B3703:B3766" ca="1" si="287">IF(OR(C$1075&gt;0,C$1077&gt;0,C$1073&gt;0,C$1071&gt;0),J3703+1,J3703)</f>
        <v>#N/A</v>
      </c>
      <c r="C3703" s="500">
        <v>637</v>
      </c>
      <c r="D3703" s="41" t="e">
        <f>IF($C$1078&gt;0,VLOOKUP($C3703,PATRIMONIALE!$AJ$4:$AL$1003,3,FALSE),"")</f>
        <v>#N/A</v>
      </c>
      <c r="E3703" s="41" t="str">
        <f t="shared" si="286"/>
        <v/>
      </c>
      <c r="F3703" s="200"/>
      <c r="G3703" s="178" t="e">
        <f>IF($C$1078&gt;0,VLOOKUP($C3703,PATRIMONIALE!$AJ$4:$AN$1003,5,FALSE),"")</f>
        <v>#N/A</v>
      </c>
      <c r="H3703" s="179" t="e">
        <f>IF($C$1078&gt;0,VLOOKUP($C3703,PATRIMONIALE!$AJ$4:$AO$1003,6,FALSE),"")</f>
        <v>#N/A</v>
      </c>
      <c r="I3703" s="187"/>
      <c r="J3703" s="140" t="e">
        <f ca="1">VLOOKUP(D3703,$F$1081:$I$4183,4,FALSE)+COUNTIF(E$1081:E3702,E3703)</f>
        <v>#N/A</v>
      </c>
      <c r="K3703" s="1"/>
      <c r="L3703" s="161" t="e">
        <f>IF($C$1078&gt;0,VLOOKUP($C3703,PATRIMONIALE!$AJ$4:$AP$1003,7,FALSE),"")</f>
        <v>#N/A</v>
      </c>
      <c r="M3703" s="1"/>
      <c r="N3703" s="1"/>
      <c r="O3703" s="1"/>
    </row>
    <row r="3704" spans="1:15" hidden="1">
      <c r="A3704" s="1"/>
      <c r="B3704" s="182" t="e">
        <f t="shared" ca="1" si="287"/>
        <v>#N/A</v>
      </c>
      <c r="C3704" s="500">
        <v>638</v>
      </c>
      <c r="D3704" s="41" t="e">
        <f>IF($C$1078&gt;0,VLOOKUP($C3704,PATRIMONIALE!$AJ$4:$AL$1003,3,FALSE),"")</f>
        <v>#N/A</v>
      </c>
      <c r="E3704" s="41" t="str">
        <f t="shared" si="286"/>
        <v/>
      </c>
      <c r="F3704" s="200"/>
      <c r="G3704" s="178" t="e">
        <f>IF($C$1078&gt;0,VLOOKUP($C3704,PATRIMONIALE!$AJ$4:$AN$1003,5,FALSE),"")</f>
        <v>#N/A</v>
      </c>
      <c r="H3704" s="179" t="e">
        <f>IF($C$1078&gt;0,VLOOKUP($C3704,PATRIMONIALE!$AJ$4:$AO$1003,6,FALSE),"")</f>
        <v>#N/A</v>
      </c>
      <c r="I3704" s="187"/>
      <c r="J3704" s="140" t="e">
        <f ca="1">VLOOKUP(D3704,$F$1081:$I$4183,4,FALSE)+COUNTIF(E$1081:E3703,E3704)</f>
        <v>#N/A</v>
      </c>
      <c r="K3704" s="1"/>
      <c r="L3704" s="161" t="e">
        <f>IF($C$1078&gt;0,VLOOKUP($C3704,PATRIMONIALE!$AJ$4:$AP$1003,7,FALSE),"")</f>
        <v>#N/A</v>
      </c>
      <c r="M3704" s="1"/>
      <c r="N3704" s="1"/>
      <c r="O3704" s="1"/>
    </row>
    <row r="3705" spans="1:15" hidden="1">
      <c r="A3705" s="1"/>
      <c r="B3705" s="182" t="e">
        <f t="shared" ca="1" si="287"/>
        <v>#N/A</v>
      </c>
      <c r="C3705" s="500">
        <v>639</v>
      </c>
      <c r="D3705" s="41" t="e">
        <f>IF($C$1078&gt;0,VLOOKUP($C3705,PATRIMONIALE!$AJ$4:$AL$1003,3,FALSE),"")</f>
        <v>#N/A</v>
      </c>
      <c r="E3705" s="41" t="str">
        <f t="shared" si="286"/>
        <v/>
      </c>
      <c r="F3705" s="200"/>
      <c r="G3705" s="178" t="e">
        <f>IF($C$1078&gt;0,VLOOKUP($C3705,PATRIMONIALE!$AJ$4:$AN$1003,5,FALSE),"")</f>
        <v>#N/A</v>
      </c>
      <c r="H3705" s="179" t="e">
        <f>IF($C$1078&gt;0,VLOOKUP($C3705,PATRIMONIALE!$AJ$4:$AO$1003,6,FALSE),"")</f>
        <v>#N/A</v>
      </c>
      <c r="I3705" s="187"/>
      <c r="J3705" s="140" t="e">
        <f ca="1">VLOOKUP(D3705,$F$1081:$I$4183,4,FALSE)+COUNTIF(E$1081:E3704,E3705)</f>
        <v>#N/A</v>
      </c>
      <c r="K3705" s="1"/>
      <c r="L3705" s="161" t="e">
        <f>IF($C$1078&gt;0,VLOOKUP($C3705,PATRIMONIALE!$AJ$4:$AP$1003,7,FALSE),"")</f>
        <v>#N/A</v>
      </c>
      <c r="M3705" s="1"/>
      <c r="N3705" s="1"/>
      <c r="O3705" s="1"/>
    </row>
    <row r="3706" spans="1:15" hidden="1">
      <c r="A3706" s="1"/>
      <c r="B3706" s="182" t="e">
        <f t="shared" ca="1" si="287"/>
        <v>#N/A</v>
      </c>
      <c r="C3706" s="500">
        <v>640</v>
      </c>
      <c r="D3706" s="41" t="e">
        <f>IF($C$1078&gt;0,VLOOKUP($C3706,PATRIMONIALE!$AJ$4:$AL$1003,3,FALSE),"")</f>
        <v>#N/A</v>
      </c>
      <c r="E3706" s="41" t="str">
        <f t="shared" si="286"/>
        <v/>
      </c>
      <c r="F3706" s="200"/>
      <c r="G3706" s="178" t="e">
        <f>IF($C$1078&gt;0,VLOOKUP($C3706,PATRIMONIALE!$AJ$4:$AN$1003,5,FALSE),"")</f>
        <v>#N/A</v>
      </c>
      <c r="H3706" s="179" t="e">
        <f>IF($C$1078&gt;0,VLOOKUP($C3706,PATRIMONIALE!$AJ$4:$AO$1003,6,FALSE),"")</f>
        <v>#N/A</v>
      </c>
      <c r="I3706" s="187"/>
      <c r="J3706" s="140" t="e">
        <f ca="1">VLOOKUP(D3706,$F$1081:$I$4183,4,FALSE)+COUNTIF(E$1081:E3705,E3706)</f>
        <v>#N/A</v>
      </c>
      <c r="K3706" s="1"/>
      <c r="L3706" s="161" t="e">
        <f>IF($C$1078&gt;0,VLOOKUP($C3706,PATRIMONIALE!$AJ$4:$AP$1003,7,FALSE),"")</f>
        <v>#N/A</v>
      </c>
      <c r="M3706" s="1"/>
      <c r="N3706" s="1"/>
      <c r="O3706" s="1"/>
    </row>
    <row r="3707" spans="1:15" hidden="1">
      <c r="A3707" s="1"/>
      <c r="B3707" s="182" t="e">
        <f t="shared" ca="1" si="287"/>
        <v>#N/A</v>
      </c>
      <c r="C3707" s="500">
        <v>641</v>
      </c>
      <c r="D3707" s="41" t="e">
        <f>IF($C$1078&gt;0,VLOOKUP($C3707,PATRIMONIALE!$AJ$4:$AL$1003,3,FALSE),"")</f>
        <v>#N/A</v>
      </c>
      <c r="E3707" s="41" t="str">
        <f t="shared" si="286"/>
        <v/>
      </c>
      <c r="F3707" s="200"/>
      <c r="G3707" s="178" t="e">
        <f>IF($C$1078&gt;0,VLOOKUP($C3707,PATRIMONIALE!$AJ$4:$AN$1003,5,FALSE),"")</f>
        <v>#N/A</v>
      </c>
      <c r="H3707" s="179" t="e">
        <f>IF($C$1078&gt;0,VLOOKUP($C3707,PATRIMONIALE!$AJ$4:$AO$1003,6,FALSE),"")</f>
        <v>#N/A</v>
      </c>
      <c r="I3707" s="187"/>
      <c r="J3707" s="140" t="e">
        <f ca="1">VLOOKUP(D3707,$F$1081:$I$4183,4,FALSE)+COUNTIF(E$1081:E3706,E3707)</f>
        <v>#N/A</v>
      </c>
      <c r="K3707" s="1"/>
      <c r="L3707" s="161" t="e">
        <f>IF($C$1078&gt;0,VLOOKUP($C3707,PATRIMONIALE!$AJ$4:$AP$1003,7,FALSE),"")</f>
        <v>#N/A</v>
      </c>
      <c r="M3707" s="1"/>
      <c r="N3707" s="1"/>
      <c r="O3707" s="1"/>
    </row>
    <row r="3708" spans="1:15" hidden="1">
      <c r="A3708" s="1"/>
      <c r="B3708" s="182" t="e">
        <f t="shared" ca="1" si="287"/>
        <v>#N/A</v>
      </c>
      <c r="C3708" s="500">
        <v>642</v>
      </c>
      <c r="D3708" s="41" t="e">
        <f>IF($C$1078&gt;0,VLOOKUP($C3708,PATRIMONIALE!$AJ$4:$AL$1003,3,FALSE),"")</f>
        <v>#N/A</v>
      </c>
      <c r="E3708" s="41" t="str">
        <f t="shared" si="286"/>
        <v/>
      </c>
      <c r="F3708" s="200"/>
      <c r="G3708" s="178" t="e">
        <f>IF($C$1078&gt;0,VLOOKUP($C3708,PATRIMONIALE!$AJ$4:$AN$1003,5,FALSE),"")</f>
        <v>#N/A</v>
      </c>
      <c r="H3708" s="179" t="e">
        <f>IF($C$1078&gt;0,VLOOKUP($C3708,PATRIMONIALE!$AJ$4:$AO$1003,6,FALSE),"")</f>
        <v>#N/A</v>
      </c>
      <c r="I3708" s="187"/>
      <c r="J3708" s="140" t="e">
        <f ca="1">VLOOKUP(D3708,$F$1081:$I$4183,4,FALSE)+COUNTIF(E$1081:E3707,E3708)</f>
        <v>#N/A</v>
      </c>
      <c r="K3708" s="1"/>
      <c r="L3708" s="161" t="e">
        <f>IF($C$1078&gt;0,VLOOKUP($C3708,PATRIMONIALE!$AJ$4:$AP$1003,7,FALSE),"")</f>
        <v>#N/A</v>
      </c>
      <c r="M3708" s="1"/>
      <c r="N3708" s="1"/>
      <c r="O3708" s="1"/>
    </row>
    <row r="3709" spans="1:15" hidden="1">
      <c r="A3709" s="1"/>
      <c r="B3709" s="182" t="e">
        <f t="shared" ca="1" si="287"/>
        <v>#N/A</v>
      </c>
      <c r="C3709" s="500">
        <v>643</v>
      </c>
      <c r="D3709" s="41" t="e">
        <f>IF($C$1078&gt;0,VLOOKUP($C3709,PATRIMONIALE!$AJ$4:$AL$1003,3,FALSE),"")</f>
        <v>#N/A</v>
      </c>
      <c r="E3709" s="41" t="str">
        <f t="shared" si="286"/>
        <v/>
      </c>
      <c r="F3709" s="200"/>
      <c r="G3709" s="178" t="e">
        <f>IF($C$1078&gt;0,VLOOKUP($C3709,PATRIMONIALE!$AJ$4:$AN$1003,5,FALSE),"")</f>
        <v>#N/A</v>
      </c>
      <c r="H3709" s="179" t="e">
        <f>IF($C$1078&gt;0,VLOOKUP($C3709,PATRIMONIALE!$AJ$4:$AO$1003,6,FALSE),"")</f>
        <v>#N/A</v>
      </c>
      <c r="I3709" s="187"/>
      <c r="J3709" s="140" t="e">
        <f ca="1">VLOOKUP(D3709,$F$1081:$I$4183,4,FALSE)+COUNTIF(E$1081:E3708,E3709)</f>
        <v>#N/A</v>
      </c>
      <c r="K3709" s="1"/>
      <c r="L3709" s="161" t="e">
        <f>IF($C$1078&gt;0,VLOOKUP($C3709,PATRIMONIALE!$AJ$4:$AP$1003,7,FALSE),"")</f>
        <v>#N/A</v>
      </c>
      <c r="M3709" s="1"/>
      <c r="N3709" s="1"/>
      <c r="O3709" s="1"/>
    </row>
    <row r="3710" spans="1:15" hidden="1">
      <c r="A3710" s="1"/>
      <c r="B3710" s="182" t="e">
        <f t="shared" ca="1" si="287"/>
        <v>#N/A</v>
      </c>
      <c r="C3710" s="500">
        <v>644</v>
      </c>
      <c r="D3710" s="41" t="e">
        <f>IF($C$1078&gt;0,VLOOKUP($C3710,PATRIMONIALE!$AJ$4:$AL$1003,3,FALSE),"")</f>
        <v>#N/A</v>
      </c>
      <c r="E3710" s="41" t="str">
        <f t="shared" si="286"/>
        <v/>
      </c>
      <c r="F3710" s="200"/>
      <c r="G3710" s="178" t="e">
        <f>IF($C$1078&gt;0,VLOOKUP($C3710,PATRIMONIALE!$AJ$4:$AN$1003,5,FALSE),"")</f>
        <v>#N/A</v>
      </c>
      <c r="H3710" s="179" t="e">
        <f>IF($C$1078&gt;0,VLOOKUP($C3710,PATRIMONIALE!$AJ$4:$AO$1003,6,FALSE),"")</f>
        <v>#N/A</v>
      </c>
      <c r="I3710" s="187"/>
      <c r="J3710" s="140" t="e">
        <f ca="1">VLOOKUP(D3710,$F$1081:$I$4183,4,FALSE)+COUNTIF(E$1081:E3709,E3710)</f>
        <v>#N/A</v>
      </c>
      <c r="K3710" s="1"/>
      <c r="L3710" s="161" t="e">
        <f>IF($C$1078&gt;0,VLOOKUP($C3710,PATRIMONIALE!$AJ$4:$AP$1003,7,FALSE),"")</f>
        <v>#N/A</v>
      </c>
      <c r="M3710" s="1"/>
      <c r="N3710" s="1"/>
      <c r="O3710" s="1"/>
    </row>
    <row r="3711" spans="1:15" hidden="1">
      <c r="A3711" s="1"/>
      <c r="B3711" s="182" t="e">
        <f t="shared" ca="1" si="287"/>
        <v>#N/A</v>
      </c>
      <c r="C3711" s="500">
        <v>645</v>
      </c>
      <c r="D3711" s="41" t="e">
        <f>IF($C$1078&gt;0,VLOOKUP($C3711,PATRIMONIALE!$AJ$4:$AL$1003,3,FALSE),"")</f>
        <v>#N/A</v>
      </c>
      <c r="E3711" s="41" t="str">
        <f t="shared" si="286"/>
        <v/>
      </c>
      <c r="F3711" s="200"/>
      <c r="G3711" s="178" t="e">
        <f>IF($C$1078&gt;0,VLOOKUP($C3711,PATRIMONIALE!$AJ$4:$AN$1003,5,FALSE),"")</f>
        <v>#N/A</v>
      </c>
      <c r="H3711" s="179" t="e">
        <f>IF($C$1078&gt;0,VLOOKUP($C3711,PATRIMONIALE!$AJ$4:$AO$1003,6,FALSE),"")</f>
        <v>#N/A</v>
      </c>
      <c r="I3711" s="187"/>
      <c r="J3711" s="140" t="e">
        <f ca="1">VLOOKUP(D3711,$F$1081:$I$4183,4,FALSE)+COUNTIF(E$1081:E3710,E3711)</f>
        <v>#N/A</v>
      </c>
      <c r="K3711" s="1"/>
      <c r="L3711" s="161" t="e">
        <f>IF($C$1078&gt;0,VLOOKUP($C3711,PATRIMONIALE!$AJ$4:$AP$1003,7,FALSE),"")</f>
        <v>#N/A</v>
      </c>
      <c r="M3711" s="1"/>
      <c r="N3711" s="1"/>
      <c r="O3711" s="1"/>
    </row>
    <row r="3712" spans="1:15" hidden="1">
      <c r="A3712" s="1"/>
      <c r="B3712" s="182" t="e">
        <f t="shared" ca="1" si="287"/>
        <v>#N/A</v>
      </c>
      <c r="C3712" s="500">
        <v>646</v>
      </c>
      <c r="D3712" s="41" t="e">
        <f>IF($C$1078&gt;0,VLOOKUP($C3712,PATRIMONIALE!$AJ$4:$AL$1003,3,FALSE),"")</f>
        <v>#N/A</v>
      </c>
      <c r="E3712" s="41" t="str">
        <f t="shared" si="286"/>
        <v/>
      </c>
      <c r="F3712" s="200"/>
      <c r="G3712" s="178" t="e">
        <f>IF($C$1078&gt;0,VLOOKUP($C3712,PATRIMONIALE!$AJ$4:$AN$1003,5,FALSE),"")</f>
        <v>#N/A</v>
      </c>
      <c r="H3712" s="179" t="e">
        <f>IF($C$1078&gt;0,VLOOKUP($C3712,PATRIMONIALE!$AJ$4:$AO$1003,6,FALSE),"")</f>
        <v>#N/A</v>
      </c>
      <c r="I3712" s="187"/>
      <c r="J3712" s="140" t="e">
        <f ca="1">VLOOKUP(D3712,$F$1081:$I$4183,4,FALSE)+COUNTIF(E$1081:E3711,E3712)</f>
        <v>#N/A</v>
      </c>
      <c r="K3712" s="1"/>
      <c r="L3712" s="161" t="e">
        <f>IF($C$1078&gt;0,VLOOKUP($C3712,PATRIMONIALE!$AJ$4:$AP$1003,7,FALSE),"")</f>
        <v>#N/A</v>
      </c>
      <c r="M3712" s="1"/>
      <c r="N3712" s="1"/>
      <c r="O3712" s="1"/>
    </row>
    <row r="3713" spans="1:15" hidden="1">
      <c r="A3713" s="1"/>
      <c r="B3713" s="182" t="e">
        <f t="shared" ca="1" si="287"/>
        <v>#N/A</v>
      </c>
      <c r="C3713" s="500">
        <v>647</v>
      </c>
      <c r="D3713" s="41" t="e">
        <f>IF($C$1078&gt;0,VLOOKUP($C3713,PATRIMONIALE!$AJ$4:$AL$1003,3,FALSE),"")</f>
        <v>#N/A</v>
      </c>
      <c r="E3713" s="41" t="str">
        <f t="shared" ref="E3713:E3776" si="288">IF(ISERROR(D3713),"",D3713)</f>
        <v/>
      </c>
      <c r="F3713" s="200"/>
      <c r="G3713" s="178" t="e">
        <f>IF($C$1078&gt;0,VLOOKUP($C3713,PATRIMONIALE!$AJ$4:$AN$1003,5,FALSE),"")</f>
        <v>#N/A</v>
      </c>
      <c r="H3713" s="179" t="e">
        <f>IF($C$1078&gt;0,VLOOKUP($C3713,PATRIMONIALE!$AJ$4:$AO$1003,6,FALSE),"")</f>
        <v>#N/A</v>
      </c>
      <c r="I3713" s="187"/>
      <c r="J3713" s="140" t="e">
        <f ca="1">VLOOKUP(D3713,$F$1081:$I$4183,4,FALSE)+COUNTIF(E$1081:E3712,E3713)</f>
        <v>#N/A</v>
      </c>
      <c r="K3713" s="1"/>
      <c r="L3713" s="161" t="e">
        <f>IF($C$1078&gt;0,VLOOKUP($C3713,PATRIMONIALE!$AJ$4:$AP$1003,7,FALSE),"")</f>
        <v>#N/A</v>
      </c>
      <c r="M3713" s="1"/>
      <c r="N3713" s="1"/>
      <c r="O3713" s="1"/>
    </row>
    <row r="3714" spans="1:15" hidden="1">
      <c r="A3714" s="1"/>
      <c r="B3714" s="182" t="e">
        <f t="shared" ca="1" si="287"/>
        <v>#N/A</v>
      </c>
      <c r="C3714" s="500">
        <v>648</v>
      </c>
      <c r="D3714" s="41" t="e">
        <f>IF($C$1078&gt;0,VLOOKUP($C3714,PATRIMONIALE!$AJ$4:$AL$1003,3,FALSE),"")</f>
        <v>#N/A</v>
      </c>
      <c r="E3714" s="41" t="str">
        <f t="shared" si="288"/>
        <v/>
      </c>
      <c r="F3714" s="200"/>
      <c r="G3714" s="178" t="e">
        <f>IF($C$1078&gt;0,VLOOKUP($C3714,PATRIMONIALE!$AJ$4:$AN$1003,5,FALSE),"")</f>
        <v>#N/A</v>
      </c>
      <c r="H3714" s="179" t="e">
        <f>IF($C$1078&gt;0,VLOOKUP($C3714,PATRIMONIALE!$AJ$4:$AO$1003,6,FALSE),"")</f>
        <v>#N/A</v>
      </c>
      <c r="I3714" s="187"/>
      <c r="J3714" s="140" t="e">
        <f ca="1">VLOOKUP(D3714,$F$1081:$I$4183,4,FALSE)+COUNTIF(E$1081:E3713,E3714)</f>
        <v>#N/A</v>
      </c>
      <c r="K3714" s="1"/>
      <c r="L3714" s="161" t="e">
        <f>IF($C$1078&gt;0,VLOOKUP($C3714,PATRIMONIALE!$AJ$4:$AP$1003,7,FALSE),"")</f>
        <v>#N/A</v>
      </c>
      <c r="M3714" s="1"/>
      <c r="N3714" s="1"/>
      <c r="O3714" s="1"/>
    </row>
    <row r="3715" spans="1:15" hidden="1">
      <c r="A3715" s="1"/>
      <c r="B3715" s="182" t="e">
        <f t="shared" ca="1" si="287"/>
        <v>#N/A</v>
      </c>
      <c r="C3715" s="500">
        <v>649</v>
      </c>
      <c r="D3715" s="41" t="e">
        <f>IF($C$1078&gt;0,VLOOKUP($C3715,PATRIMONIALE!$AJ$4:$AL$1003,3,FALSE),"")</f>
        <v>#N/A</v>
      </c>
      <c r="E3715" s="41" t="str">
        <f t="shared" si="288"/>
        <v/>
      </c>
      <c r="F3715" s="200"/>
      <c r="G3715" s="178" t="e">
        <f>IF($C$1078&gt;0,VLOOKUP($C3715,PATRIMONIALE!$AJ$4:$AN$1003,5,FALSE),"")</f>
        <v>#N/A</v>
      </c>
      <c r="H3715" s="179" t="e">
        <f>IF($C$1078&gt;0,VLOOKUP($C3715,PATRIMONIALE!$AJ$4:$AO$1003,6,FALSE),"")</f>
        <v>#N/A</v>
      </c>
      <c r="I3715" s="187"/>
      <c r="J3715" s="140" t="e">
        <f ca="1">VLOOKUP(D3715,$F$1081:$I$4183,4,FALSE)+COUNTIF(E$1081:E3714,E3715)</f>
        <v>#N/A</v>
      </c>
      <c r="K3715" s="1"/>
      <c r="L3715" s="161" t="e">
        <f>IF($C$1078&gt;0,VLOOKUP($C3715,PATRIMONIALE!$AJ$4:$AP$1003,7,FALSE),"")</f>
        <v>#N/A</v>
      </c>
      <c r="M3715" s="1"/>
      <c r="N3715" s="1"/>
      <c r="O3715" s="1"/>
    </row>
    <row r="3716" spans="1:15" hidden="1">
      <c r="A3716" s="1"/>
      <c r="B3716" s="182" t="e">
        <f t="shared" ca="1" si="287"/>
        <v>#N/A</v>
      </c>
      <c r="C3716" s="500">
        <v>650</v>
      </c>
      <c r="D3716" s="41" t="e">
        <f>IF($C$1078&gt;0,VLOOKUP($C3716,PATRIMONIALE!$AJ$4:$AL$1003,3,FALSE),"")</f>
        <v>#N/A</v>
      </c>
      <c r="E3716" s="41" t="str">
        <f t="shared" si="288"/>
        <v/>
      </c>
      <c r="F3716" s="200"/>
      <c r="G3716" s="178" t="e">
        <f>IF($C$1078&gt;0,VLOOKUP($C3716,PATRIMONIALE!$AJ$4:$AN$1003,5,FALSE),"")</f>
        <v>#N/A</v>
      </c>
      <c r="H3716" s="179" t="e">
        <f>IF($C$1078&gt;0,VLOOKUP($C3716,PATRIMONIALE!$AJ$4:$AO$1003,6,FALSE),"")</f>
        <v>#N/A</v>
      </c>
      <c r="I3716" s="187"/>
      <c r="J3716" s="140" t="e">
        <f ca="1">VLOOKUP(D3716,$F$1081:$I$4183,4,FALSE)+COUNTIF(E$1081:E3715,E3716)</f>
        <v>#N/A</v>
      </c>
      <c r="K3716" s="1"/>
      <c r="L3716" s="161" t="e">
        <f>IF($C$1078&gt;0,VLOOKUP($C3716,PATRIMONIALE!$AJ$4:$AP$1003,7,FALSE),"")</f>
        <v>#N/A</v>
      </c>
      <c r="M3716" s="1"/>
      <c r="N3716" s="1"/>
      <c r="O3716" s="1"/>
    </row>
    <row r="3717" spans="1:15" hidden="1">
      <c r="A3717" s="1"/>
      <c r="B3717" s="182" t="e">
        <f t="shared" ca="1" si="287"/>
        <v>#N/A</v>
      </c>
      <c r="C3717" s="500">
        <v>651</v>
      </c>
      <c r="D3717" s="41" t="e">
        <f>IF($C$1078&gt;0,VLOOKUP($C3717,PATRIMONIALE!$AJ$4:$AL$1003,3,FALSE),"")</f>
        <v>#N/A</v>
      </c>
      <c r="E3717" s="41" t="str">
        <f t="shared" si="288"/>
        <v/>
      </c>
      <c r="F3717" s="200"/>
      <c r="G3717" s="178" t="e">
        <f>IF($C$1078&gt;0,VLOOKUP($C3717,PATRIMONIALE!$AJ$4:$AN$1003,5,FALSE),"")</f>
        <v>#N/A</v>
      </c>
      <c r="H3717" s="179" t="e">
        <f>IF($C$1078&gt;0,VLOOKUP($C3717,PATRIMONIALE!$AJ$4:$AO$1003,6,FALSE),"")</f>
        <v>#N/A</v>
      </c>
      <c r="I3717" s="187"/>
      <c r="J3717" s="140" t="e">
        <f ca="1">VLOOKUP(D3717,$F$1081:$I$4183,4,FALSE)+COUNTIF(E$1081:E3716,E3717)</f>
        <v>#N/A</v>
      </c>
      <c r="K3717" s="1"/>
      <c r="L3717" s="161" t="e">
        <f>IF($C$1078&gt;0,VLOOKUP($C3717,PATRIMONIALE!$AJ$4:$AP$1003,7,FALSE),"")</f>
        <v>#N/A</v>
      </c>
      <c r="M3717" s="1"/>
      <c r="N3717" s="1"/>
      <c r="O3717" s="1"/>
    </row>
    <row r="3718" spans="1:15" hidden="1">
      <c r="A3718" s="1"/>
      <c r="B3718" s="182" t="e">
        <f t="shared" ca="1" si="287"/>
        <v>#N/A</v>
      </c>
      <c r="C3718" s="500">
        <v>652</v>
      </c>
      <c r="D3718" s="41" t="e">
        <f>IF($C$1078&gt;0,VLOOKUP($C3718,PATRIMONIALE!$AJ$4:$AL$1003,3,FALSE),"")</f>
        <v>#N/A</v>
      </c>
      <c r="E3718" s="41" t="str">
        <f t="shared" si="288"/>
        <v/>
      </c>
      <c r="F3718" s="200"/>
      <c r="G3718" s="178" t="e">
        <f>IF($C$1078&gt;0,VLOOKUP($C3718,PATRIMONIALE!$AJ$4:$AN$1003,5,FALSE),"")</f>
        <v>#N/A</v>
      </c>
      <c r="H3718" s="179" t="e">
        <f>IF($C$1078&gt;0,VLOOKUP($C3718,PATRIMONIALE!$AJ$4:$AO$1003,6,FALSE),"")</f>
        <v>#N/A</v>
      </c>
      <c r="I3718" s="187"/>
      <c r="J3718" s="140" t="e">
        <f ca="1">VLOOKUP(D3718,$F$1081:$I$4183,4,FALSE)+COUNTIF(E$1081:E3717,E3718)</f>
        <v>#N/A</v>
      </c>
      <c r="K3718" s="1"/>
      <c r="L3718" s="161" t="e">
        <f>IF($C$1078&gt;0,VLOOKUP($C3718,PATRIMONIALE!$AJ$4:$AP$1003,7,FALSE),"")</f>
        <v>#N/A</v>
      </c>
      <c r="M3718" s="1"/>
      <c r="N3718" s="1"/>
      <c r="O3718" s="1"/>
    </row>
    <row r="3719" spans="1:15" hidden="1">
      <c r="A3719" s="1"/>
      <c r="B3719" s="182" t="e">
        <f t="shared" ca="1" si="287"/>
        <v>#N/A</v>
      </c>
      <c r="C3719" s="500">
        <v>653</v>
      </c>
      <c r="D3719" s="41" t="e">
        <f>IF($C$1078&gt;0,VLOOKUP($C3719,PATRIMONIALE!$AJ$4:$AL$1003,3,FALSE),"")</f>
        <v>#N/A</v>
      </c>
      <c r="E3719" s="41" t="str">
        <f t="shared" si="288"/>
        <v/>
      </c>
      <c r="F3719" s="200"/>
      <c r="G3719" s="178" t="e">
        <f>IF($C$1078&gt;0,VLOOKUP($C3719,PATRIMONIALE!$AJ$4:$AN$1003,5,FALSE),"")</f>
        <v>#N/A</v>
      </c>
      <c r="H3719" s="179" t="e">
        <f>IF($C$1078&gt;0,VLOOKUP($C3719,PATRIMONIALE!$AJ$4:$AO$1003,6,FALSE),"")</f>
        <v>#N/A</v>
      </c>
      <c r="I3719" s="187"/>
      <c r="J3719" s="140" t="e">
        <f ca="1">VLOOKUP(D3719,$F$1081:$I$4183,4,FALSE)+COUNTIF(E$1081:E3718,E3719)</f>
        <v>#N/A</v>
      </c>
      <c r="K3719" s="1"/>
      <c r="L3719" s="161" t="e">
        <f>IF($C$1078&gt;0,VLOOKUP($C3719,PATRIMONIALE!$AJ$4:$AP$1003,7,FALSE),"")</f>
        <v>#N/A</v>
      </c>
      <c r="M3719" s="1"/>
      <c r="N3719" s="1"/>
      <c r="O3719" s="1"/>
    </row>
    <row r="3720" spans="1:15" hidden="1">
      <c r="A3720" s="1"/>
      <c r="B3720" s="182" t="e">
        <f t="shared" ca="1" si="287"/>
        <v>#N/A</v>
      </c>
      <c r="C3720" s="500">
        <v>654</v>
      </c>
      <c r="D3720" s="41" t="e">
        <f>IF($C$1078&gt;0,VLOOKUP($C3720,PATRIMONIALE!$AJ$4:$AL$1003,3,FALSE),"")</f>
        <v>#N/A</v>
      </c>
      <c r="E3720" s="41" t="str">
        <f t="shared" si="288"/>
        <v/>
      </c>
      <c r="F3720" s="200"/>
      <c r="G3720" s="178" t="e">
        <f>IF($C$1078&gt;0,VLOOKUP($C3720,PATRIMONIALE!$AJ$4:$AN$1003,5,FALSE),"")</f>
        <v>#N/A</v>
      </c>
      <c r="H3720" s="179" t="e">
        <f>IF($C$1078&gt;0,VLOOKUP($C3720,PATRIMONIALE!$AJ$4:$AO$1003,6,FALSE),"")</f>
        <v>#N/A</v>
      </c>
      <c r="I3720" s="187"/>
      <c r="J3720" s="140" t="e">
        <f ca="1">VLOOKUP(D3720,$F$1081:$I$4183,4,FALSE)+COUNTIF(E$1081:E3719,E3720)</f>
        <v>#N/A</v>
      </c>
      <c r="K3720" s="1"/>
      <c r="L3720" s="161" t="e">
        <f>IF($C$1078&gt;0,VLOOKUP($C3720,PATRIMONIALE!$AJ$4:$AP$1003,7,FALSE),"")</f>
        <v>#N/A</v>
      </c>
      <c r="M3720" s="1"/>
      <c r="N3720" s="1"/>
      <c r="O3720" s="1"/>
    </row>
    <row r="3721" spans="1:15" hidden="1">
      <c r="A3721" s="1"/>
      <c r="B3721" s="182" t="e">
        <f t="shared" ca="1" si="287"/>
        <v>#N/A</v>
      </c>
      <c r="C3721" s="500">
        <v>655</v>
      </c>
      <c r="D3721" s="41" t="e">
        <f>IF($C$1078&gt;0,VLOOKUP($C3721,PATRIMONIALE!$AJ$4:$AL$1003,3,FALSE),"")</f>
        <v>#N/A</v>
      </c>
      <c r="E3721" s="41" t="str">
        <f t="shared" si="288"/>
        <v/>
      </c>
      <c r="F3721" s="200"/>
      <c r="G3721" s="178" t="e">
        <f>IF($C$1078&gt;0,VLOOKUP($C3721,PATRIMONIALE!$AJ$4:$AN$1003,5,FALSE),"")</f>
        <v>#N/A</v>
      </c>
      <c r="H3721" s="179" t="e">
        <f>IF($C$1078&gt;0,VLOOKUP($C3721,PATRIMONIALE!$AJ$4:$AO$1003,6,FALSE),"")</f>
        <v>#N/A</v>
      </c>
      <c r="I3721" s="187"/>
      <c r="J3721" s="140" t="e">
        <f ca="1">VLOOKUP(D3721,$F$1081:$I$4183,4,FALSE)+COUNTIF(E$1081:E3720,E3721)</f>
        <v>#N/A</v>
      </c>
      <c r="K3721" s="1"/>
      <c r="L3721" s="161" t="e">
        <f>IF($C$1078&gt;0,VLOOKUP($C3721,PATRIMONIALE!$AJ$4:$AP$1003,7,FALSE),"")</f>
        <v>#N/A</v>
      </c>
      <c r="M3721" s="1"/>
      <c r="N3721" s="1"/>
      <c r="O3721" s="1"/>
    </row>
    <row r="3722" spans="1:15" hidden="1">
      <c r="A3722" s="1"/>
      <c r="B3722" s="182" t="e">
        <f t="shared" ca="1" si="287"/>
        <v>#N/A</v>
      </c>
      <c r="C3722" s="500">
        <v>656</v>
      </c>
      <c r="D3722" s="41" t="e">
        <f>IF($C$1078&gt;0,VLOOKUP($C3722,PATRIMONIALE!$AJ$4:$AL$1003,3,FALSE),"")</f>
        <v>#N/A</v>
      </c>
      <c r="E3722" s="41" t="str">
        <f t="shared" si="288"/>
        <v/>
      </c>
      <c r="F3722" s="200"/>
      <c r="G3722" s="178" t="e">
        <f>IF($C$1078&gt;0,VLOOKUP($C3722,PATRIMONIALE!$AJ$4:$AN$1003,5,FALSE),"")</f>
        <v>#N/A</v>
      </c>
      <c r="H3722" s="179" t="e">
        <f>IF($C$1078&gt;0,VLOOKUP($C3722,PATRIMONIALE!$AJ$4:$AO$1003,6,FALSE),"")</f>
        <v>#N/A</v>
      </c>
      <c r="I3722" s="187"/>
      <c r="J3722" s="140" t="e">
        <f ca="1">VLOOKUP(D3722,$F$1081:$I$4183,4,FALSE)+COUNTIF(E$1081:E3721,E3722)</f>
        <v>#N/A</v>
      </c>
      <c r="K3722" s="1"/>
      <c r="L3722" s="161" t="e">
        <f>IF($C$1078&gt;0,VLOOKUP($C3722,PATRIMONIALE!$AJ$4:$AP$1003,7,FALSE),"")</f>
        <v>#N/A</v>
      </c>
      <c r="M3722" s="1"/>
      <c r="N3722" s="1"/>
      <c r="O3722" s="1"/>
    </row>
    <row r="3723" spans="1:15" hidden="1">
      <c r="A3723" s="1"/>
      <c r="B3723" s="182" t="e">
        <f t="shared" ca="1" si="287"/>
        <v>#N/A</v>
      </c>
      <c r="C3723" s="500">
        <v>657</v>
      </c>
      <c r="D3723" s="41" t="e">
        <f>IF($C$1078&gt;0,VLOOKUP($C3723,PATRIMONIALE!$AJ$4:$AL$1003,3,FALSE),"")</f>
        <v>#N/A</v>
      </c>
      <c r="E3723" s="41" t="str">
        <f t="shared" si="288"/>
        <v/>
      </c>
      <c r="F3723" s="200"/>
      <c r="G3723" s="178" t="e">
        <f>IF($C$1078&gt;0,VLOOKUP($C3723,PATRIMONIALE!$AJ$4:$AN$1003,5,FALSE),"")</f>
        <v>#N/A</v>
      </c>
      <c r="H3723" s="179" t="e">
        <f>IF($C$1078&gt;0,VLOOKUP($C3723,PATRIMONIALE!$AJ$4:$AO$1003,6,FALSE),"")</f>
        <v>#N/A</v>
      </c>
      <c r="I3723" s="187"/>
      <c r="J3723" s="140" t="e">
        <f ca="1">VLOOKUP(D3723,$F$1081:$I$4183,4,FALSE)+COUNTIF(E$1081:E3722,E3723)</f>
        <v>#N/A</v>
      </c>
      <c r="K3723" s="1"/>
      <c r="L3723" s="161" t="e">
        <f>IF($C$1078&gt;0,VLOOKUP($C3723,PATRIMONIALE!$AJ$4:$AP$1003,7,FALSE),"")</f>
        <v>#N/A</v>
      </c>
      <c r="M3723" s="1"/>
      <c r="N3723" s="1"/>
      <c r="O3723" s="1"/>
    </row>
    <row r="3724" spans="1:15" hidden="1">
      <c r="A3724" s="1"/>
      <c r="B3724" s="182" t="e">
        <f t="shared" ca="1" si="287"/>
        <v>#N/A</v>
      </c>
      <c r="C3724" s="500">
        <v>658</v>
      </c>
      <c r="D3724" s="41" t="e">
        <f>IF($C$1078&gt;0,VLOOKUP($C3724,PATRIMONIALE!$AJ$4:$AL$1003,3,FALSE),"")</f>
        <v>#N/A</v>
      </c>
      <c r="E3724" s="41" t="str">
        <f t="shared" si="288"/>
        <v/>
      </c>
      <c r="F3724" s="200"/>
      <c r="G3724" s="178" t="e">
        <f>IF($C$1078&gt;0,VLOOKUP($C3724,PATRIMONIALE!$AJ$4:$AN$1003,5,FALSE),"")</f>
        <v>#N/A</v>
      </c>
      <c r="H3724" s="179" t="e">
        <f>IF($C$1078&gt;0,VLOOKUP($C3724,PATRIMONIALE!$AJ$4:$AO$1003,6,FALSE),"")</f>
        <v>#N/A</v>
      </c>
      <c r="I3724" s="187"/>
      <c r="J3724" s="140" t="e">
        <f ca="1">VLOOKUP(D3724,$F$1081:$I$4183,4,FALSE)+COUNTIF(E$1081:E3723,E3724)</f>
        <v>#N/A</v>
      </c>
      <c r="K3724" s="1"/>
      <c r="L3724" s="161" t="e">
        <f>IF($C$1078&gt;0,VLOOKUP($C3724,PATRIMONIALE!$AJ$4:$AP$1003,7,FALSE),"")</f>
        <v>#N/A</v>
      </c>
      <c r="M3724" s="1"/>
      <c r="N3724" s="1"/>
      <c r="O3724" s="1"/>
    </row>
    <row r="3725" spans="1:15" hidden="1">
      <c r="A3725" s="1"/>
      <c r="B3725" s="182" t="e">
        <f t="shared" ca="1" si="287"/>
        <v>#N/A</v>
      </c>
      <c r="C3725" s="500">
        <v>659</v>
      </c>
      <c r="D3725" s="41" t="e">
        <f>IF($C$1078&gt;0,VLOOKUP($C3725,PATRIMONIALE!$AJ$4:$AL$1003,3,FALSE),"")</f>
        <v>#N/A</v>
      </c>
      <c r="E3725" s="41" t="str">
        <f t="shared" si="288"/>
        <v/>
      </c>
      <c r="F3725" s="200"/>
      <c r="G3725" s="178" t="e">
        <f>IF($C$1078&gt;0,VLOOKUP($C3725,PATRIMONIALE!$AJ$4:$AN$1003,5,FALSE),"")</f>
        <v>#N/A</v>
      </c>
      <c r="H3725" s="179" t="e">
        <f>IF($C$1078&gt;0,VLOOKUP($C3725,PATRIMONIALE!$AJ$4:$AO$1003,6,FALSE),"")</f>
        <v>#N/A</v>
      </c>
      <c r="I3725" s="187"/>
      <c r="J3725" s="140" t="e">
        <f ca="1">VLOOKUP(D3725,$F$1081:$I$4183,4,FALSE)+COUNTIF(E$1081:E3724,E3725)</f>
        <v>#N/A</v>
      </c>
      <c r="K3725" s="1"/>
      <c r="L3725" s="161" t="e">
        <f>IF($C$1078&gt;0,VLOOKUP($C3725,PATRIMONIALE!$AJ$4:$AP$1003,7,FALSE),"")</f>
        <v>#N/A</v>
      </c>
      <c r="M3725" s="1"/>
      <c r="N3725" s="1"/>
      <c r="O3725" s="1"/>
    </row>
    <row r="3726" spans="1:15" hidden="1">
      <c r="A3726" s="1"/>
      <c r="B3726" s="182" t="e">
        <f t="shared" ca="1" si="287"/>
        <v>#N/A</v>
      </c>
      <c r="C3726" s="500">
        <v>660</v>
      </c>
      <c r="D3726" s="41" t="e">
        <f>IF($C$1078&gt;0,VLOOKUP($C3726,PATRIMONIALE!$AJ$4:$AL$1003,3,FALSE),"")</f>
        <v>#N/A</v>
      </c>
      <c r="E3726" s="41" t="str">
        <f t="shared" si="288"/>
        <v/>
      </c>
      <c r="F3726" s="200"/>
      <c r="G3726" s="178" t="e">
        <f>IF($C$1078&gt;0,VLOOKUP($C3726,PATRIMONIALE!$AJ$4:$AN$1003,5,FALSE),"")</f>
        <v>#N/A</v>
      </c>
      <c r="H3726" s="179" t="e">
        <f>IF($C$1078&gt;0,VLOOKUP($C3726,PATRIMONIALE!$AJ$4:$AO$1003,6,FALSE),"")</f>
        <v>#N/A</v>
      </c>
      <c r="I3726" s="187"/>
      <c r="J3726" s="140" t="e">
        <f ca="1">VLOOKUP(D3726,$F$1081:$I$4183,4,FALSE)+COUNTIF(E$1081:E3725,E3726)</f>
        <v>#N/A</v>
      </c>
      <c r="K3726" s="1"/>
      <c r="L3726" s="161" t="e">
        <f>IF($C$1078&gt;0,VLOOKUP($C3726,PATRIMONIALE!$AJ$4:$AP$1003,7,FALSE),"")</f>
        <v>#N/A</v>
      </c>
      <c r="M3726" s="1"/>
      <c r="N3726" s="1"/>
      <c r="O3726" s="1"/>
    </row>
    <row r="3727" spans="1:15" hidden="1">
      <c r="A3727" s="1"/>
      <c r="B3727" s="182" t="e">
        <f t="shared" ca="1" si="287"/>
        <v>#N/A</v>
      </c>
      <c r="C3727" s="500">
        <v>661</v>
      </c>
      <c r="D3727" s="41" t="e">
        <f>IF($C$1078&gt;0,VLOOKUP($C3727,PATRIMONIALE!$AJ$4:$AL$1003,3,FALSE),"")</f>
        <v>#N/A</v>
      </c>
      <c r="E3727" s="41" t="str">
        <f t="shared" si="288"/>
        <v/>
      </c>
      <c r="F3727" s="200"/>
      <c r="G3727" s="178" t="e">
        <f>IF($C$1078&gt;0,VLOOKUP($C3727,PATRIMONIALE!$AJ$4:$AN$1003,5,FALSE),"")</f>
        <v>#N/A</v>
      </c>
      <c r="H3727" s="179" t="e">
        <f>IF($C$1078&gt;0,VLOOKUP($C3727,PATRIMONIALE!$AJ$4:$AO$1003,6,FALSE),"")</f>
        <v>#N/A</v>
      </c>
      <c r="I3727" s="187"/>
      <c r="J3727" s="140" t="e">
        <f ca="1">VLOOKUP(D3727,$F$1081:$I$4183,4,FALSE)+COUNTIF(E$1081:E3726,E3727)</f>
        <v>#N/A</v>
      </c>
      <c r="K3727" s="1"/>
      <c r="L3727" s="161" t="e">
        <f>IF($C$1078&gt;0,VLOOKUP($C3727,PATRIMONIALE!$AJ$4:$AP$1003,7,FALSE),"")</f>
        <v>#N/A</v>
      </c>
      <c r="M3727" s="1"/>
      <c r="N3727" s="1"/>
      <c r="O3727" s="1"/>
    </row>
    <row r="3728" spans="1:15" hidden="1">
      <c r="A3728" s="1"/>
      <c r="B3728" s="182" t="e">
        <f t="shared" ca="1" si="287"/>
        <v>#N/A</v>
      </c>
      <c r="C3728" s="500">
        <v>662</v>
      </c>
      <c r="D3728" s="41" t="e">
        <f>IF($C$1078&gt;0,VLOOKUP($C3728,PATRIMONIALE!$AJ$4:$AL$1003,3,FALSE),"")</f>
        <v>#N/A</v>
      </c>
      <c r="E3728" s="41" t="str">
        <f t="shared" si="288"/>
        <v/>
      </c>
      <c r="F3728" s="200"/>
      <c r="G3728" s="178" t="e">
        <f>IF($C$1078&gt;0,VLOOKUP($C3728,PATRIMONIALE!$AJ$4:$AN$1003,5,FALSE),"")</f>
        <v>#N/A</v>
      </c>
      <c r="H3728" s="179" t="e">
        <f>IF($C$1078&gt;0,VLOOKUP($C3728,PATRIMONIALE!$AJ$4:$AO$1003,6,FALSE),"")</f>
        <v>#N/A</v>
      </c>
      <c r="I3728" s="187"/>
      <c r="J3728" s="140" t="e">
        <f ca="1">VLOOKUP(D3728,$F$1081:$I$4183,4,FALSE)+COUNTIF(E$1081:E3727,E3728)</f>
        <v>#N/A</v>
      </c>
      <c r="K3728" s="1"/>
      <c r="L3728" s="161" t="e">
        <f>IF($C$1078&gt;0,VLOOKUP($C3728,PATRIMONIALE!$AJ$4:$AP$1003,7,FALSE),"")</f>
        <v>#N/A</v>
      </c>
      <c r="M3728" s="1"/>
      <c r="N3728" s="1"/>
      <c r="O3728" s="1"/>
    </row>
    <row r="3729" spans="1:15" hidden="1">
      <c r="A3729" s="1"/>
      <c r="B3729" s="182" t="e">
        <f t="shared" ca="1" si="287"/>
        <v>#N/A</v>
      </c>
      <c r="C3729" s="500">
        <v>663</v>
      </c>
      <c r="D3729" s="41" t="e">
        <f>IF($C$1078&gt;0,VLOOKUP($C3729,PATRIMONIALE!$AJ$4:$AL$1003,3,FALSE),"")</f>
        <v>#N/A</v>
      </c>
      <c r="E3729" s="41" t="str">
        <f t="shared" si="288"/>
        <v/>
      </c>
      <c r="F3729" s="200"/>
      <c r="G3729" s="178" t="e">
        <f>IF($C$1078&gt;0,VLOOKUP($C3729,PATRIMONIALE!$AJ$4:$AN$1003,5,FALSE),"")</f>
        <v>#N/A</v>
      </c>
      <c r="H3729" s="179" t="e">
        <f>IF($C$1078&gt;0,VLOOKUP($C3729,PATRIMONIALE!$AJ$4:$AO$1003,6,FALSE),"")</f>
        <v>#N/A</v>
      </c>
      <c r="I3729" s="187"/>
      <c r="J3729" s="140" t="e">
        <f ca="1">VLOOKUP(D3729,$F$1081:$I$4183,4,FALSE)+COUNTIF(E$1081:E3728,E3729)</f>
        <v>#N/A</v>
      </c>
      <c r="K3729" s="1"/>
      <c r="L3729" s="161" t="e">
        <f>IF($C$1078&gt;0,VLOOKUP($C3729,PATRIMONIALE!$AJ$4:$AP$1003,7,FALSE),"")</f>
        <v>#N/A</v>
      </c>
      <c r="M3729" s="1"/>
      <c r="N3729" s="1"/>
      <c r="O3729" s="1"/>
    </row>
    <row r="3730" spans="1:15" hidden="1">
      <c r="A3730" s="1"/>
      <c r="B3730" s="182" t="e">
        <f t="shared" ca="1" si="287"/>
        <v>#N/A</v>
      </c>
      <c r="C3730" s="500">
        <v>664</v>
      </c>
      <c r="D3730" s="41" t="e">
        <f>IF($C$1078&gt;0,VLOOKUP($C3730,PATRIMONIALE!$AJ$4:$AL$1003,3,FALSE),"")</f>
        <v>#N/A</v>
      </c>
      <c r="E3730" s="41" t="str">
        <f t="shared" si="288"/>
        <v/>
      </c>
      <c r="F3730" s="200"/>
      <c r="G3730" s="178" t="e">
        <f>IF($C$1078&gt;0,VLOOKUP($C3730,PATRIMONIALE!$AJ$4:$AN$1003,5,FALSE),"")</f>
        <v>#N/A</v>
      </c>
      <c r="H3730" s="179" t="e">
        <f>IF($C$1078&gt;0,VLOOKUP($C3730,PATRIMONIALE!$AJ$4:$AO$1003,6,FALSE),"")</f>
        <v>#N/A</v>
      </c>
      <c r="I3730" s="187"/>
      <c r="J3730" s="140" t="e">
        <f ca="1">VLOOKUP(D3730,$F$1081:$I$4183,4,FALSE)+COUNTIF(E$1081:E3729,E3730)</f>
        <v>#N/A</v>
      </c>
      <c r="K3730" s="1"/>
      <c r="L3730" s="161" t="e">
        <f>IF($C$1078&gt;0,VLOOKUP($C3730,PATRIMONIALE!$AJ$4:$AP$1003,7,FALSE),"")</f>
        <v>#N/A</v>
      </c>
      <c r="M3730" s="1"/>
      <c r="N3730" s="1"/>
      <c r="O3730" s="1"/>
    </row>
    <row r="3731" spans="1:15" hidden="1">
      <c r="A3731" s="1"/>
      <c r="B3731" s="182" t="e">
        <f t="shared" ca="1" si="287"/>
        <v>#N/A</v>
      </c>
      <c r="C3731" s="500">
        <v>665</v>
      </c>
      <c r="D3731" s="41" t="e">
        <f>IF($C$1078&gt;0,VLOOKUP($C3731,PATRIMONIALE!$AJ$4:$AL$1003,3,FALSE),"")</f>
        <v>#N/A</v>
      </c>
      <c r="E3731" s="41" t="str">
        <f t="shared" si="288"/>
        <v/>
      </c>
      <c r="F3731" s="200"/>
      <c r="G3731" s="178" t="e">
        <f>IF($C$1078&gt;0,VLOOKUP($C3731,PATRIMONIALE!$AJ$4:$AN$1003,5,FALSE),"")</f>
        <v>#N/A</v>
      </c>
      <c r="H3731" s="179" t="e">
        <f>IF($C$1078&gt;0,VLOOKUP($C3731,PATRIMONIALE!$AJ$4:$AO$1003,6,FALSE),"")</f>
        <v>#N/A</v>
      </c>
      <c r="I3731" s="187"/>
      <c r="J3731" s="140" t="e">
        <f ca="1">VLOOKUP(D3731,$F$1081:$I$4183,4,FALSE)+COUNTIF(E$1081:E3730,E3731)</f>
        <v>#N/A</v>
      </c>
      <c r="K3731" s="1"/>
      <c r="L3731" s="161" t="e">
        <f>IF($C$1078&gt;0,VLOOKUP($C3731,PATRIMONIALE!$AJ$4:$AP$1003,7,FALSE),"")</f>
        <v>#N/A</v>
      </c>
      <c r="M3731" s="1"/>
      <c r="N3731" s="1"/>
      <c r="O3731" s="1"/>
    </row>
    <row r="3732" spans="1:15" hidden="1">
      <c r="A3732" s="1"/>
      <c r="B3732" s="182" t="e">
        <f t="shared" ca="1" si="287"/>
        <v>#N/A</v>
      </c>
      <c r="C3732" s="500">
        <v>666</v>
      </c>
      <c r="D3732" s="41" t="e">
        <f>IF($C$1078&gt;0,VLOOKUP($C3732,PATRIMONIALE!$AJ$4:$AL$1003,3,FALSE),"")</f>
        <v>#N/A</v>
      </c>
      <c r="E3732" s="41" t="str">
        <f t="shared" si="288"/>
        <v/>
      </c>
      <c r="F3732" s="200"/>
      <c r="G3732" s="178" t="e">
        <f>IF($C$1078&gt;0,VLOOKUP($C3732,PATRIMONIALE!$AJ$4:$AN$1003,5,FALSE),"")</f>
        <v>#N/A</v>
      </c>
      <c r="H3732" s="179" t="e">
        <f>IF($C$1078&gt;0,VLOOKUP($C3732,PATRIMONIALE!$AJ$4:$AO$1003,6,FALSE),"")</f>
        <v>#N/A</v>
      </c>
      <c r="I3732" s="187"/>
      <c r="J3732" s="140" t="e">
        <f ca="1">VLOOKUP(D3732,$F$1081:$I$4183,4,FALSE)+COUNTIF(E$1081:E3731,E3732)</f>
        <v>#N/A</v>
      </c>
      <c r="K3732" s="1"/>
      <c r="L3732" s="161" t="e">
        <f>IF($C$1078&gt;0,VLOOKUP($C3732,PATRIMONIALE!$AJ$4:$AP$1003,7,FALSE),"")</f>
        <v>#N/A</v>
      </c>
      <c r="M3732" s="1"/>
      <c r="N3732" s="1"/>
      <c r="O3732" s="1"/>
    </row>
    <row r="3733" spans="1:15" hidden="1">
      <c r="A3733" s="1"/>
      <c r="B3733" s="182" t="e">
        <f t="shared" ca="1" si="287"/>
        <v>#N/A</v>
      </c>
      <c r="C3733" s="500">
        <v>667</v>
      </c>
      <c r="D3733" s="41" t="e">
        <f>IF($C$1078&gt;0,VLOOKUP($C3733,PATRIMONIALE!$AJ$4:$AL$1003,3,FALSE),"")</f>
        <v>#N/A</v>
      </c>
      <c r="E3733" s="41" t="str">
        <f t="shared" si="288"/>
        <v/>
      </c>
      <c r="F3733" s="200"/>
      <c r="G3733" s="178" t="e">
        <f>IF($C$1078&gt;0,VLOOKUP($C3733,PATRIMONIALE!$AJ$4:$AN$1003,5,FALSE),"")</f>
        <v>#N/A</v>
      </c>
      <c r="H3733" s="179" t="e">
        <f>IF($C$1078&gt;0,VLOOKUP($C3733,PATRIMONIALE!$AJ$4:$AO$1003,6,FALSE),"")</f>
        <v>#N/A</v>
      </c>
      <c r="I3733" s="187"/>
      <c r="J3733" s="140" t="e">
        <f ca="1">VLOOKUP(D3733,$F$1081:$I$4183,4,FALSE)+COUNTIF(E$1081:E3732,E3733)</f>
        <v>#N/A</v>
      </c>
      <c r="K3733" s="1"/>
      <c r="L3733" s="161" t="e">
        <f>IF($C$1078&gt;0,VLOOKUP($C3733,PATRIMONIALE!$AJ$4:$AP$1003,7,FALSE),"")</f>
        <v>#N/A</v>
      </c>
      <c r="M3733" s="1"/>
      <c r="N3733" s="1"/>
      <c r="O3733" s="1"/>
    </row>
    <row r="3734" spans="1:15" hidden="1">
      <c r="A3734" s="1"/>
      <c r="B3734" s="182" t="e">
        <f t="shared" ca="1" si="287"/>
        <v>#N/A</v>
      </c>
      <c r="C3734" s="500">
        <v>668</v>
      </c>
      <c r="D3734" s="41" t="e">
        <f>IF($C$1078&gt;0,VLOOKUP($C3734,PATRIMONIALE!$AJ$4:$AL$1003,3,FALSE),"")</f>
        <v>#N/A</v>
      </c>
      <c r="E3734" s="41" t="str">
        <f t="shared" si="288"/>
        <v/>
      </c>
      <c r="F3734" s="200"/>
      <c r="G3734" s="178" t="e">
        <f>IF($C$1078&gt;0,VLOOKUP($C3734,PATRIMONIALE!$AJ$4:$AN$1003,5,FALSE),"")</f>
        <v>#N/A</v>
      </c>
      <c r="H3734" s="179" t="e">
        <f>IF($C$1078&gt;0,VLOOKUP($C3734,PATRIMONIALE!$AJ$4:$AO$1003,6,FALSE),"")</f>
        <v>#N/A</v>
      </c>
      <c r="I3734" s="187"/>
      <c r="J3734" s="140" t="e">
        <f ca="1">VLOOKUP(D3734,$F$1081:$I$4183,4,FALSE)+COUNTIF(E$1081:E3733,E3734)</f>
        <v>#N/A</v>
      </c>
      <c r="K3734" s="1"/>
      <c r="L3734" s="161" t="e">
        <f>IF($C$1078&gt;0,VLOOKUP($C3734,PATRIMONIALE!$AJ$4:$AP$1003,7,FALSE),"")</f>
        <v>#N/A</v>
      </c>
      <c r="M3734" s="1"/>
      <c r="N3734" s="1"/>
      <c r="O3734" s="1"/>
    </row>
    <row r="3735" spans="1:15" hidden="1">
      <c r="A3735" s="1"/>
      <c r="B3735" s="182" t="e">
        <f t="shared" ca="1" si="287"/>
        <v>#N/A</v>
      </c>
      <c r="C3735" s="500">
        <v>669</v>
      </c>
      <c r="D3735" s="41" t="e">
        <f>IF($C$1078&gt;0,VLOOKUP($C3735,PATRIMONIALE!$AJ$4:$AL$1003,3,FALSE),"")</f>
        <v>#N/A</v>
      </c>
      <c r="E3735" s="41" t="str">
        <f t="shared" si="288"/>
        <v/>
      </c>
      <c r="F3735" s="200"/>
      <c r="G3735" s="178" t="e">
        <f>IF($C$1078&gt;0,VLOOKUP($C3735,PATRIMONIALE!$AJ$4:$AN$1003,5,FALSE),"")</f>
        <v>#N/A</v>
      </c>
      <c r="H3735" s="179" t="e">
        <f>IF($C$1078&gt;0,VLOOKUP($C3735,PATRIMONIALE!$AJ$4:$AO$1003,6,FALSE),"")</f>
        <v>#N/A</v>
      </c>
      <c r="I3735" s="187"/>
      <c r="J3735" s="140" t="e">
        <f ca="1">VLOOKUP(D3735,$F$1081:$I$4183,4,FALSE)+COUNTIF(E$1081:E3734,E3735)</f>
        <v>#N/A</v>
      </c>
      <c r="K3735" s="1"/>
      <c r="L3735" s="161" t="e">
        <f>IF($C$1078&gt;0,VLOOKUP($C3735,PATRIMONIALE!$AJ$4:$AP$1003,7,FALSE),"")</f>
        <v>#N/A</v>
      </c>
      <c r="M3735" s="1"/>
      <c r="N3735" s="1"/>
      <c r="O3735" s="1"/>
    </row>
    <row r="3736" spans="1:15" hidden="1">
      <c r="A3736" s="1"/>
      <c r="B3736" s="182" t="e">
        <f t="shared" ca="1" si="287"/>
        <v>#N/A</v>
      </c>
      <c r="C3736" s="500">
        <v>670</v>
      </c>
      <c r="D3736" s="41" t="e">
        <f>IF($C$1078&gt;0,VLOOKUP($C3736,PATRIMONIALE!$AJ$4:$AL$1003,3,FALSE),"")</f>
        <v>#N/A</v>
      </c>
      <c r="E3736" s="41" t="str">
        <f t="shared" si="288"/>
        <v/>
      </c>
      <c r="F3736" s="200"/>
      <c r="G3736" s="178" t="e">
        <f>IF($C$1078&gt;0,VLOOKUP($C3736,PATRIMONIALE!$AJ$4:$AN$1003,5,FALSE),"")</f>
        <v>#N/A</v>
      </c>
      <c r="H3736" s="179" t="e">
        <f>IF($C$1078&gt;0,VLOOKUP($C3736,PATRIMONIALE!$AJ$4:$AO$1003,6,FALSE),"")</f>
        <v>#N/A</v>
      </c>
      <c r="I3736" s="187"/>
      <c r="J3736" s="140" t="e">
        <f ca="1">VLOOKUP(D3736,$F$1081:$I$4183,4,FALSE)+COUNTIF(E$1081:E3735,E3736)</f>
        <v>#N/A</v>
      </c>
      <c r="K3736" s="1"/>
      <c r="L3736" s="161" t="e">
        <f>IF($C$1078&gt;0,VLOOKUP($C3736,PATRIMONIALE!$AJ$4:$AP$1003,7,FALSE),"")</f>
        <v>#N/A</v>
      </c>
      <c r="M3736" s="1"/>
      <c r="N3736" s="1"/>
      <c r="O3736" s="1"/>
    </row>
    <row r="3737" spans="1:15" hidden="1">
      <c r="A3737" s="1"/>
      <c r="B3737" s="182" t="e">
        <f t="shared" ca="1" si="287"/>
        <v>#N/A</v>
      </c>
      <c r="C3737" s="500">
        <v>671</v>
      </c>
      <c r="D3737" s="41" t="e">
        <f>IF($C$1078&gt;0,VLOOKUP($C3737,PATRIMONIALE!$AJ$4:$AL$1003,3,FALSE),"")</f>
        <v>#N/A</v>
      </c>
      <c r="E3737" s="41" t="str">
        <f t="shared" si="288"/>
        <v/>
      </c>
      <c r="F3737" s="200"/>
      <c r="G3737" s="178" t="e">
        <f>IF($C$1078&gt;0,VLOOKUP($C3737,PATRIMONIALE!$AJ$4:$AN$1003,5,FALSE),"")</f>
        <v>#N/A</v>
      </c>
      <c r="H3737" s="179" t="e">
        <f>IF($C$1078&gt;0,VLOOKUP($C3737,PATRIMONIALE!$AJ$4:$AO$1003,6,FALSE),"")</f>
        <v>#N/A</v>
      </c>
      <c r="I3737" s="187"/>
      <c r="J3737" s="140" t="e">
        <f ca="1">VLOOKUP(D3737,$F$1081:$I$4183,4,FALSE)+COUNTIF(E$1081:E3736,E3737)</f>
        <v>#N/A</v>
      </c>
      <c r="K3737" s="1"/>
      <c r="L3737" s="161" t="e">
        <f>IF($C$1078&gt;0,VLOOKUP($C3737,PATRIMONIALE!$AJ$4:$AP$1003,7,FALSE),"")</f>
        <v>#N/A</v>
      </c>
      <c r="M3737" s="1"/>
      <c r="N3737" s="1"/>
      <c r="O3737" s="1"/>
    </row>
    <row r="3738" spans="1:15" hidden="1">
      <c r="A3738" s="1"/>
      <c r="B3738" s="182" t="e">
        <f t="shared" ca="1" si="287"/>
        <v>#N/A</v>
      </c>
      <c r="C3738" s="500">
        <v>672</v>
      </c>
      <c r="D3738" s="41" t="e">
        <f>IF($C$1078&gt;0,VLOOKUP($C3738,PATRIMONIALE!$AJ$4:$AL$1003,3,FALSE),"")</f>
        <v>#N/A</v>
      </c>
      <c r="E3738" s="41" t="str">
        <f t="shared" si="288"/>
        <v/>
      </c>
      <c r="F3738" s="200"/>
      <c r="G3738" s="178" t="e">
        <f>IF($C$1078&gt;0,VLOOKUP($C3738,PATRIMONIALE!$AJ$4:$AN$1003,5,FALSE),"")</f>
        <v>#N/A</v>
      </c>
      <c r="H3738" s="179" t="e">
        <f>IF($C$1078&gt;0,VLOOKUP($C3738,PATRIMONIALE!$AJ$4:$AO$1003,6,FALSE),"")</f>
        <v>#N/A</v>
      </c>
      <c r="I3738" s="187"/>
      <c r="J3738" s="140" t="e">
        <f ca="1">VLOOKUP(D3738,$F$1081:$I$4183,4,FALSE)+COUNTIF(E$1081:E3737,E3738)</f>
        <v>#N/A</v>
      </c>
      <c r="K3738" s="1"/>
      <c r="L3738" s="161" t="e">
        <f>IF($C$1078&gt;0,VLOOKUP($C3738,PATRIMONIALE!$AJ$4:$AP$1003,7,FALSE),"")</f>
        <v>#N/A</v>
      </c>
      <c r="M3738" s="1"/>
      <c r="N3738" s="1"/>
      <c r="O3738" s="1"/>
    </row>
    <row r="3739" spans="1:15" hidden="1">
      <c r="A3739" s="1"/>
      <c r="B3739" s="182" t="e">
        <f t="shared" ca="1" si="287"/>
        <v>#N/A</v>
      </c>
      <c r="C3739" s="500">
        <v>673</v>
      </c>
      <c r="D3739" s="41" t="e">
        <f>IF($C$1078&gt;0,VLOOKUP($C3739,PATRIMONIALE!$AJ$4:$AL$1003,3,FALSE),"")</f>
        <v>#N/A</v>
      </c>
      <c r="E3739" s="41" t="str">
        <f t="shared" si="288"/>
        <v/>
      </c>
      <c r="F3739" s="200"/>
      <c r="G3739" s="178" t="e">
        <f>IF($C$1078&gt;0,VLOOKUP($C3739,PATRIMONIALE!$AJ$4:$AN$1003,5,FALSE),"")</f>
        <v>#N/A</v>
      </c>
      <c r="H3739" s="179" t="e">
        <f>IF($C$1078&gt;0,VLOOKUP($C3739,PATRIMONIALE!$AJ$4:$AO$1003,6,FALSE),"")</f>
        <v>#N/A</v>
      </c>
      <c r="I3739" s="187"/>
      <c r="J3739" s="140" t="e">
        <f ca="1">VLOOKUP(D3739,$F$1081:$I$4183,4,FALSE)+COUNTIF(E$1081:E3738,E3739)</f>
        <v>#N/A</v>
      </c>
      <c r="K3739" s="1"/>
      <c r="L3739" s="161" t="e">
        <f>IF($C$1078&gt;0,VLOOKUP($C3739,PATRIMONIALE!$AJ$4:$AP$1003,7,FALSE),"")</f>
        <v>#N/A</v>
      </c>
      <c r="M3739" s="1"/>
      <c r="N3739" s="1"/>
      <c r="O3739" s="1"/>
    </row>
    <row r="3740" spans="1:15" hidden="1">
      <c r="A3740" s="1"/>
      <c r="B3740" s="182" t="e">
        <f t="shared" ca="1" si="287"/>
        <v>#N/A</v>
      </c>
      <c r="C3740" s="500">
        <v>674</v>
      </c>
      <c r="D3740" s="41" t="e">
        <f>IF($C$1078&gt;0,VLOOKUP($C3740,PATRIMONIALE!$AJ$4:$AL$1003,3,FALSE),"")</f>
        <v>#N/A</v>
      </c>
      <c r="E3740" s="41" t="str">
        <f t="shared" si="288"/>
        <v/>
      </c>
      <c r="F3740" s="200"/>
      <c r="G3740" s="178" t="e">
        <f>IF($C$1078&gt;0,VLOOKUP($C3740,PATRIMONIALE!$AJ$4:$AN$1003,5,FALSE),"")</f>
        <v>#N/A</v>
      </c>
      <c r="H3740" s="179" t="e">
        <f>IF($C$1078&gt;0,VLOOKUP($C3740,PATRIMONIALE!$AJ$4:$AO$1003,6,FALSE),"")</f>
        <v>#N/A</v>
      </c>
      <c r="I3740" s="187"/>
      <c r="J3740" s="140" t="e">
        <f ca="1">VLOOKUP(D3740,$F$1081:$I$4183,4,FALSE)+COUNTIF(E$1081:E3739,E3740)</f>
        <v>#N/A</v>
      </c>
      <c r="K3740" s="1"/>
      <c r="L3740" s="161" t="e">
        <f>IF($C$1078&gt;0,VLOOKUP($C3740,PATRIMONIALE!$AJ$4:$AP$1003,7,FALSE),"")</f>
        <v>#N/A</v>
      </c>
      <c r="M3740" s="1"/>
      <c r="N3740" s="1"/>
      <c r="O3740" s="1"/>
    </row>
    <row r="3741" spans="1:15" hidden="1">
      <c r="A3741" s="1"/>
      <c r="B3741" s="182" t="e">
        <f t="shared" ca="1" si="287"/>
        <v>#N/A</v>
      </c>
      <c r="C3741" s="500">
        <v>675</v>
      </c>
      <c r="D3741" s="41" t="e">
        <f>IF($C$1078&gt;0,VLOOKUP($C3741,PATRIMONIALE!$AJ$4:$AL$1003,3,FALSE),"")</f>
        <v>#N/A</v>
      </c>
      <c r="E3741" s="41" t="str">
        <f t="shared" si="288"/>
        <v/>
      </c>
      <c r="F3741" s="200"/>
      <c r="G3741" s="178" t="e">
        <f>IF($C$1078&gt;0,VLOOKUP($C3741,PATRIMONIALE!$AJ$4:$AN$1003,5,FALSE),"")</f>
        <v>#N/A</v>
      </c>
      <c r="H3741" s="179" t="e">
        <f>IF($C$1078&gt;0,VLOOKUP($C3741,PATRIMONIALE!$AJ$4:$AO$1003,6,FALSE),"")</f>
        <v>#N/A</v>
      </c>
      <c r="I3741" s="187"/>
      <c r="J3741" s="140" t="e">
        <f ca="1">VLOOKUP(D3741,$F$1081:$I$4183,4,FALSE)+COUNTIF(E$1081:E3740,E3741)</f>
        <v>#N/A</v>
      </c>
      <c r="K3741" s="1"/>
      <c r="L3741" s="161" t="e">
        <f>IF($C$1078&gt;0,VLOOKUP($C3741,PATRIMONIALE!$AJ$4:$AP$1003,7,FALSE),"")</f>
        <v>#N/A</v>
      </c>
      <c r="M3741" s="1"/>
      <c r="N3741" s="1"/>
      <c r="O3741" s="1"/>
    </row>
    <row r="3742" spans="1:15" hidden="1">
      <c r="A3742" s="1"/>
      <c r="B3742" s="182" t="e">
        <f t="shared" ca="1" si="287"/>
        <v>#N/A</v>
      </c>
      <c r="C3742" s="500">
        <v>676</v>
      </c>
      <c r="D3742" s="41" t="e">
        <f>IF($C$1078&gt;0,VLOOKUP($C3742,PATRIMONIALE!$AJ$4:$AL$1003,3,FALSE),"")</f>
        <v>#N/A</v>
      </c>
      <c r="E3742" s="41" t="str">
        <f t="shared" si="288"/>
        <v/>
      </c>
      <c r="F3742" s="200"/>
      <c r="G3742" s="178" t="e">
        <f>IF($C$1078&gt;0,VLOOKUP($C3742,PATRIMONIALE!$AJ$4:$AN$1003,5,FALSE),"")</f>
        <v>#N/A</v>
      </c>
      <c r="H3742" s="179" t="e">
        <f>IF($C$1078&gt;0,VLOOKUP($C3742,PATRIMONIALE!$AJ$4:$AO$1003,6,FALSE),"")</f>
        <v>#N/A</v>
      </c>
      <c r="I3742" s="187"/>
      <c r="J3742" s="140" t="e">
        <f ca="1">VLOOKUP(D3742,$F$1081:$I$4183,4,FALSE)+COUNTIF(E$1081:E3741,E3742)</f>
        <v>#N/A</v>
      </c>
      <c r="K3742" s="1"/>
      <c r="L3742" s="161" t="e">
        <f>IF($C$1078&gt;0,VLOOKUP($C3742,PATRIMONIALE!$AJ$4:$AP$1003,7,FALSE),"")</f>
        <v>#N/A</v>
      </c>
      <c r="M3742" s="1"/>
      <c r="N3742" s="1"/>
      <c r="O3742" s="1"/>
    </row>
    <row r="3743" spans="1:15" hidden="1">
      <c r="A3743" s="1"/>
      <c r="B3743" s="182" t="e">
        <f t="shared" ca="1" si="287"/>
        <v>#N/A</v>
      </c>
      <c r="C3743" s="500">
        <v>677</v>
      </c>
      <c r="D3743" s="41" t="e">
        <f>IF($C$1078&gt;0,VLOOKUP($C3743,PATRIMONIALE!$AJ$4:$AL$1003,3,FALSE),"")</f>
        <v>#N/A</v>
      </c>
      <c r="E3743" s="41" t="str">
        <f t="shared" si="288"/>
        <v/>
      </c>
      <c r="F3743" s="200"/>
      <c r="G3743" s="178" t="e">
        <f>IF($C$1078&gt;0,VLOOKUP($C3743,PATRIMONIALE!$AJ$4:$AN$1003,5,FALSE),"")</f>
        <v>#N/A</v>
      </c>
      <c r="H3743" s="179" t="e">
        <f>IF($C$1078&gt;0,VLOOKUP($C3743,PATRIMONIALE!$AJ$4:$AO$1003,6,FALSE),"")</f>
        <v>#N/A</v>
      </c>
      <c r="I3743" s="187"/>
      <c r="J3743" s="140" t="e">
        <f ca="1">VLOOKUP(D3743,$F$1081:$I$4183,4,FALSE)+COUNTIF(E$1081:E3742,E3743)</f>
        <v>#N/A</v>
      </c>
      <c r="K3743" s="1"/>
      <c r="L3743" s="161" t="e">
        <f>IF($C$1078&gt;0,VLOOKUP($C3743,PATRIMONIALE!$AJ$4:$AP$1003,7,FALSE),"")</f>
        <v>#N/A</v>
      </c>
      <c r="M3743" s="1"/>
      <c r="N3743" s="1"/>
      <c r="O3743" s="1"/>
    </row>
    <row r="3744" spans="1:15" hidden="1">
      <c r="A3744" s="1"/>
      <c r="B3744" s="182" t="e">
        <f t="shared" ca="1" si="287"/>
        <v>#N/A</v>
      </c>
      <c r="C3744" s="500">
        <v>678</v>
      </c>
      <c r="D3744" s="41" t="e">
        <f>IF($C$1078&gt;0,VLOOKUP($C3744,PATRIMONIALE!$AJ$4:$AL$1003,3,FALSE),"")</f>
        <v>#N/A</v>
      </c>
      <c r="E3744" s="41" t="str">
        <f t="shared" si="288"/>
        <v/>
      </c>
      <c r="F3744" s="200"/>
      <c r="G3744" s="178" t="e">
        <f>IF($C$1078&gt;0,VLOOKUP($C3744,PATRIMONIALE!$AJ$4:$AN$1003,5,FALSE),"")</f>
        <v>#N/A</v>
      </c>
      <c r="H3744" s="179" t="e">
        <f>IF($C$1078&gt;0,VLOOKUP($C3744,PATRIMONIALE!$AJ$4:$AO$1003,6,FALSE),"")</f>
        <v>#N/A</v>
      </c>
      <c r="I3744" s="187"/>
      <c r="J3744" s="140" t="e">
        <f ca="1">VLOOKUP(D3744,$F$1081:$I$4183,4,FALSE)+COUNTIF(E$1081:E3743,E3744)</f>
        <v>#N/A</v>
      </c>
      <c r="K3744" s="1"/>
      <c r="L3744" s="161" t="e">
        <f>IF($C$1078&gt;0,VLOOKUP($C3744,PATRIMONIALE!$AJ$4:$AP$1003,7,FALSE),"")</f>
        <v>#N/A</v>
      </c>
      <c r="M3744" s="1"/>
      <c r="N3744" s="1"/>
      <c r="O3744" s="1"/>
    </row>
    <row r="3745" spans="1:15" hidden="1">
      <c r="A3745" s="1"/>
      <c r="B3745" s="182" t="e">
        <f t="shared" ca="1" si="287"/>
        <v>#N/A</v>
      </c>
      <c r="C3745" s="500">
        <v>679</v>
      </c>
      <c r="D3745" s="41" t="e">
        <f>IF($C$1078&gt;0,VLOOKUP($C3745,PATRIMONIALE!$AJ$4:$AL$1003,3,FALSE),"")</f>
        <v>#N/A</v>
      </c>
      <c r="E3745" s="41" t="str">
        <f t="shared" si="288"/>
        <v/>
      </c>
      <c r="F3745" s="200"/>
      <c r="G3745" s="178" t="e">
        <f>IF($C$1078&gt;0,VLOOKUP($C3745,PATRIMONIALE!$AJ$4:$AN$1003,5,FALSE),"")</f>
        <v>#N/A</v>
      </c>
      <c r="H3745" s="179" t="e">
        <f>IF($C$1078&gt;0,VLOOKUP($C3745,PATRIMONIALE!$AJ$4:$AO$1003,6,FALSE),"")</f>
        <v>#N/A</v>
      </c>
      <c r="I3745" s="187"/>
      <c r="J3745" s="140" t="e">
        <f ca="1">VLOOKUP(D3745,$F$1081:$I$4183,4,FALSE)+COUNTIF(E$1081:E3744,E3745)</f>
        <v>#N/A</v>
      </c>
      <c r="K3745" s="1"/>
      <c r="L3745" s="161" t="e">
        <f>IF($C$1078&gt;0,VLOOKUP($C3745,PATRIMONIALE!$AJ$4:$AP$1003,7,FALSE),"")</f>
        <v>#N/A</v>
      </c>
      <c r="M3745" s="1"/>
      <c r="N3745" s="1"/>
      <c r="O3745" s="1"/>
    </row>
    <row r="3746" spans="1:15" hidden="1">
      <c r="A3746" s="1"/>
      <c r="B3746" s="182" t="e">
        <f t="shared" ca="1" si="287"/>
        <v>#N/A</v>
      </c>
      <c r="C3746" s="500">
        <v>680</v>
      </c>
      <c r="D3746" s="41" t="e">
        <f>IF($C$1078&gt;0,VLOOKUP($C3746,PATRIMONIALE!$AJ$4:$AL$1003,3,FALSE),"")</f>
        <v>#N/A</v>
      </c>
      <c r="E3746" s="41" t="str">
        <f t="shared" si="288"/>
        <v/>
      </c>
      <c r="F3746" s="200"/>
      <c r="G3746" s="178" t="e">
        <f>IF($C$1078&gt;0,VLOOKUP($C3746,PATRIMONIALE!$AJ$4:$AN$1003,5,FALSE),"")</f>
        <v>#N/A</v>
      </c>
      <c r="H3746" s="179" t="e">
        <f>IF($C$1078&gt;0,VLOOKUP($C3746,PATRIMONIALE!$AJ$4:$AO$1003,6,FALSE),"")</f>
        <v>#N/A</v>
      </c>
      <c r="I3746" s="187"/>
      <c r="J3746" s="140" t="e">
        <f ca="1">VLOOKUP(D3746,$F$1081:$I$4183,4,FALSE)+COUNTIF(E$1081:E3745,E3746)</f>
        <v>#N/A</v>
      </c>
      <c r="K3746" s="1"/>
      <c r="L3746" s="161" t="e">
        <f>IF($C$1078&gt;0,VLOOKUP($C3746,PATRIMONIALE!$AJ$4:$AP$1003,7,FALSE),"")</f>
        <v>#N/A</v>
      </c>
      <c r="M3746" s="1"/>
      <c r="N3746" s="1"/>
      <c r="O3746" s="1"/>
    </row>
    <row r="3747" spans="1:15" hidden="1">
      <c r="A3747" s="1"/>
      <c r="B3747" s="182" t="e">
        <f t="shared" ca="1" si="287"/>
        <v>#N/A</v>
      </c>
      <c r="C3747" s="500">
        <v>681</v>
      </c>
      <c r="D3747" s="41" t="e">
        <f>IF($C$1078&gt;0,VLOOKUP($C3747,PATRIMONIALE!$AJ$4:$AL$1003,3,FALSE),"")</f>
        <v>#N/A</v>
      </c>
      <c r="E3747" s="41" t="str">
        <f t="shared" si="288"/>
        <v/>
      </c>
      <c r="F3747" s="200"/>
      <c r="G3747" s="178" t="e">
        <f>IF($C$1078&gt;0,VLOOKUP($C3747,PATRIMONIALE!$AJ$4:$AN$1003,5,FALSE),"")</f>
        <v>#N/A</v>
      </c>
      <c r="H3747" s="179" t="e">
        <f>IF($C$1078&gt;0,VLOOKUP($C3747,PATRIMONIALE!$AJ$4:$AO$1003,6,FALSE),"")</f>
        <v>#N/A</v>
      </c>
      <c r="I3747" s="187"/>
      <c r="J3747" s="140" t="e">
        <f ca="1">VLOOKUP(D3747,$F$1081:$I$4183,4,FALSE)+COUNTIF(E$1081:E3746,E3747)</f>
        <v>#N/A</v>
      </c>
      <c r="K3747" s="1"/>
      <c r="L3747" s="161" t="e">
        <f>IF($C$1078&gt;0,VLOOKUP($C3747,PATRIMONIALE!$AJ$4:$AP$1003,7,FALSE),"")</f>
        <v>#N/A</v>
      </c>
      <c r="M3747" s="1"/>
      <c r="N3747" s="1"/>
      <c r="O3747" s="1"/>
    </row>
    <row r="3748" spans="1:15" hidden="1">
      <c r="A3748" s="1"/>
      <c r="B3748" s="182" t="e">
        <f t="shared" ca="1" si="287"/>
        <v>#N/A</v>
      </c>
      <c r="C3748" s="500">
        <v>682</v>
      </c>
      <c r="D3748" s="41" t="e">
        <f>IF($C$1078&gt;0,VLOOKUP($C3748,PATRIMONIALE!$AJ$4:$AL$1003,3,FALSE),"")</f>
        <v>#N/A</v>
      </c>
      <c r="E3748" s="41" t="str">
        <f t="shared" si="288"/>
        <v/>
      </c>
      <c r="F3748" s="200"/>
      <c r="G3748" s="178" t="e">
        <f>IF($C$1078&gt;0,VLOOKUP($C3748,PATRIMONIALE!$AJ$4:$AN$1003,5,FALSE),"")</f>
        <v>#N/A</v>
      </c>
      <c r="H3748" s="179" t="e">
        <f>IF($C$1078&gt;0,VLOOKUP($C3748,PATRIMONIALE!$AJ$4:$AO$1003,6,FALSE),"")</f>
        <v>#N/A</v>
      </c>
      <c r="I3748" s="187"/>
      <c r="J3748" s="140" t="e">
        <f ca="1">VLOOKUP(D3748,$F$1081:$I$4183,4,FALSE)+COUNTIF(E$1081:E3747,E3748)</f>
        <v>#N/A</v>
      </c>
      <c r="K3748" s="1"/>
      <c r="L3748" s="161" t="e">
        <f>IF($C$1078&gt;0,VLOOKUP($C3748,PATRIMONIALE!$AJ$4:$AP$1003,7,FALSE),"")</f>
        <v>#N/A</v>
      </c>
      <c r="M3748" s="1"/>
      <c r="N3748" s="1"/>
      <c r="O3748" s="1"/>
    </row>
    <row r="3749" spans="1:15" hidden="1">
      <c r="A3749" s="1"/>
      <c r="B3749" s="182" t="e">
        <f t="shared" ca="1" si="287"/>
        <v>#N/A</v>
      </c>
      <c r="C3749" s="500">
        <v>683</v>
      </c>
      <c r="D3749" s="41" t="e">
        <f>IF($C$1078&gt;0,VLOOKUP($C3749,PATRIMONIALE!$AJ$4:$AL$1003,3,FALSE),"")</f>
        <v>#N/A</v>
      </c>
      <c r="E3749" s="41" t="str">
        <f t="shared" si="288"/>
        <v/>
      </c>
      <c r="F3749" s="200"/>
      <c r="G3749" s="178" t="e">
        <f>IF($C$1078&gt;0,VLOOKUP($C3749,PATRIMONIALE!$AJ$4:$AN$1003,5,FALSE),"")</f>
        <v>#N/A</v>
      </c>
      <c r="H3749" s="179" t="e">
        <f>IF($C$1078&gt;0,VLOOKUP($C3749,PATRIMONIALE!$AJ$4:$AO$1003,6,FALSE),"")</f>
        <v>#N/A</v>
      </c>
      <c r="I3749" s="187"/>
      <c r="J3749" s="140" t="e">
        <f ca="1">VLOOKUP(D3749,$F$1081:$I$4183,4,FALSE)+COUNTIF(E$1081:E3748,E3749)</f>
        <v>#N/A</v>
      </c>
      <c r="K3749" s="1"/>
      <c r="L3749" s="161" t="e">
        <f>IF($C$1078&gt;0,VLOOKUP($C3749,PATRIMONIALE!$AJ$4:$AP$1003,7,FALSE),"")</f>
        <v>#N/A</v>
      </c>
      <c r="M3749" s="1"/>
      <c r="N3749" s="1"/>
      <c r="O3749" s="1"/>
    </row>
    <row r="3750" spans="1:15" hidden="1">
      <c r="A3750" s="1"/>
      <c r="B3750" s="182" t="e">
        <f t="shared" ca="1" si="287"/>
        <v>#N/A</v>
      </c>
      <c r="C3750" s="500">
        <v>684</v>
      </c>
      <c r="D3750" s="41" t="e">
        <f>IF($C$1078&gt;0,VLOOKUP($C3750,PATRIMONIALE!$AJ$4:$AL$1003,3,FALSE),"")</f>
        <v>#N/A</v>
      </c>
      <c r="E3750" s="41" t="str">
        <f t="shared" si="288"/>
        <v/>
      </c>
      <c r="F3750" s="200"/>
      <c r="G3750" s="178" t="e">
        <f>IF($C$1078&gt;0,VLOOKUP($C3750,PATRIMONIALE!$AJ$4:$AN$1003,5,FALSE),"")</f>
        <v>#N/A</v>
      </c>
      <c r="H3750" s="179" t="e">
        <f>IF($C$1078&gt;0,VLOOKUP($C3750,PATRIMONIALE!$AJ$4:$AO$1003,6,FALSE),"")</f>
        <v>#N/A</v>
      </c>
      <c r="I3750" s="187"/>
      <c r="J3750" s="140" t="e">
        <f ca="1">VLOOKUP(D3750,$F$1081:$I$4183,4,FALSE)+COUNTIF(E$1081:E3749,E3750)</f>
        <v>#N/A</v>
      </c>
      <c r="K3750" s="1"/>
      <c r="L3750" s="161" t="e">
        <f>IF($C$1078&gt;0,VLOOKUP($C3750,PATRIMONIALE!$AJ$4:$AP$1003,7,FALSE),"")</f>
        <v>#N/A</v>
      </c>
      <c r="M3750" s="1"/>
      <c r="N3750" s="1"/>
      <c r="O3750" s="1"/>
    </row>
    <row r="3751" spans="1:15" hidden="1">
      <c r="A3751" s="1"/>
      <c r="B3751" s="182" t="e">
        <f t="shared" ca="1" si="287"/>
        <v>#N/A</v>
      </c>
      <c r="C3751" s="500">
        <v>685</v>
      </c>
      <c r="D3751" s="41" t="e">
        <f>IF($C$1078&gt;0,VLOOKUP($C3751,PATRIMONIALE!$AJ$4:$AL$1003,3,FALSE),"")</f>
        <v>#N/A</v>
      </c>
      <c r="E3751" s="41" t="str">
        <f t="shared" si="288"/>
        <v/>
      </c>
      <c r="F3751" s="200"/>
      <c r="G3751" s="178" t="e">
        <f>IF($C$1078&gt;0,VLOOKUP($C3751,PATRIMONIALE!$AJ$4:$AN$1003,5,FALSE),"")</f>
        <v>#N/A</v>
      </c>
      <c r="H3751" s="179" t="e">
        <f>IF($C$1078&gt;0,VLOOKUP($C3751,PATRIMONIALE!$AJ$4:$AO$1003,6,FALSE),"")</f>
        <v>#N/A</v>
      </c>
      <c r="I3751" s="187"/>
      <c r="J3751" s="140" t="e">
        <f ca="1">VLOOKUP(D3751,$F$1081:$I$4183,4,FALSE)+COUNTIF(E$1081:E3750,E3751)</f>
        <v>#N/A</v>
      </c>
      <c r="K3751" s="1"/>
      <c r="L3751" s="161" t="e">
        <f>IF($C$1078&gt;0,VLOOKUP($C3751,PATRIMONIALE!$AJ$4:$AP$1003,7,FALSE),"")</f>
        <v>#N/A</v>
      </c>
      <c r="M3751" s="1"/>
      <c r="N3751" s="1"/>
      <c r="O3751" s="1"/>
    </row>
    <row r="3752" spans="1:15" hidden="1">
      <c r="A3752" s="1"/>
      <c r="B3752" s="182" t="e">
        <f t="shared" ca="1" si="287"/>
        <v>#N/A</v>
      </c>
      <c r="C3752" s="500">
        <v>686</v>
      </c>
      <c r="D3752" s="41" t="e">
        <f>IF($C$1078&gt;0,VLOOKUP($C3752,PATRIMONIALE!$AJ$4:$AL$1003,3,FALSE),"")</f>
        <v>#N/A</v>
      </c>
      <c r="E3752" s="41" t="str">
        <f t="shared" si="288"/>
        <v/>
      </c>
      <c r="F3752" s="200"/>
      <c r="G3752" s="178" t="e">
        <f>IF($C$1078&gt;0,VLOOKUP($C3752,PATRIMONIALE!$AJ$4:$AN$1003,5,FALSE),"")</f>
        <v>#N/A</v>
      </c>
      <c r="H3752" s="179" t="e">
        <f>IF($C$1078&gt;0,VLOOKUP($C3752,PATRIMONIALE!$AJ$4:$AO$1003,6,FALSE),"")</f>
        <v>#N/A</v>
      </c>
      <c r="I3752" s="187"/>
      <c r="J3752" s="140" t="e">
        <f ca="1">VLOOKUP(D3752,$F$1081:$I$4183,4,FALSE)+COUNTIF(E$1081:E3751,E3752)</f>
        <v>#N/A</v>
      </c>
      <c r="K3752" s="1"/>
      <c r="L3752" s="161" t="e">
        <f>IF($C$1078&gt;0,VLOOKUP($C3752,PATRIMONIALE!$AJ$4:$AP$1003,7,FALSE),"")</f>
        <v>#N/A</v>
      </c>
      <c r="M3752" s="1"/>
      <c r="N3752" s="1"/>
      <c r="O3752" s="1"/>
    </row>
    <row r="3753" spans="1:15" hidden="1">
      <c r="A3753" s="1"/>
      <c r="B3753" s="182" t="e">
        <f t="shared" ca="1" si="287"/>
        <v>#N/A</v>
      </c>
      <c r="C3753" s="500">
        <v>687</v>
      </c>
      <c r="D3753" s="41" t="e">
        <f>IF($C$1078&gt;0,VLOOKUP($C3753,PATRIMONIALE!$AJ$4:$AL$1003,3,FALSE),"")</f>
        <v>#N/A</v>
      </c>
      <c r="E3753" s="41" t="str">
        <f t="shared" si="288"/>
        <v/>
      </c>
      <c r="F3753" s="200"/>
      <c r="G3753" s="178" t="e">
        <f>IF($C$1078&gt;0,VLOOKUP($C3753,PATRIMONIALE!$AJ$4:$AN$1003,5,FALSE),"")</f>
        <v>#N/A</v>
      </c>
      <c r="H3753" s="179" t="e">
        <f>IF($C$1078&gt;0,VLOOKUP($C3753,PATRIMONIALE!$AJ$4:$AO$1003,6,FALSE),"")</f>
        <v>#N/A</v>
      </c>
      <c r="I3753" s="187"/>
      <c r="J3753" s="140" t="e">
        <f ca="1">VLOOKUP(D3753,$F$1081:$I$4183,4,FALSE)+COUNTIF(E$1081:E3752,E3753)</f>
        <v>#N/A</v>
      </c>
      <c r="K3753" s="1"/>
      <c r="L3753" s="161" t="e">
        <f>IF($C$1078&gt;0,VLOOKUP($C3753,PATRIMONIALE!$AJ$4:$AP$1003,7,FALSE),"")</f>
        <v>#N/A</v>
      </c>
      <c r="M3753" s="1"/>
      <c r="N3753" s="1"/>
      <c r="O3753" s="1"/>
    </row>
    <row r="3754" spans="1:15" hidden="1">
      <c r="A3754" s="1"/>
      <c r="B3754" s="182" t="e">
        <f t="shared" ca="1" si="287"/>
        <v>#N/A</v>
      </c>
      <c r="C3754" s="500">
        <v>688</v>
      </c>
      <c r="D3754" s="41" t="e">
        <f>IF($C$1078&gt;0,VLOOKUP($C3754,PATRIMONIALE!$AJ$4:$AL$1003,3,FALSE),"")</f>
        <v>#N/A</v>
      </c>
      <c r="E3754" s="41" t="str">
        <f t="shared" si="288"/>
        <v/>
      </c>
      <c r="F3754" s="200"/>
      <c r="G3754" s="178" t="e">
        <f>IF($C$1078&gt;0,VLOOKUP($C3754,PATRIMONIALE!$AJ$4:$AN$1003,5,FALSE),"")</f>
        <v>#N/A</v>
      </c>
      <c r="H3754" s="179" t="e">
        <f>IF($C$1078&gt;0,VLOOKUP($C3754,PATRIMONIALE!$AJ$4:$AO$1003,6,FALSE),"")</f>
        <v>#N/A</v>
      </c>
      <c r="I3754" s="187"/>
      <c r="J3754" s="140" t="e">
        <f ca="1">VLOOKUP(D3754,$F$1081:$I$4183,4,FALSE)+COUNTIF(E$1081:E3753,E3754)</f>
        <v>#N/A</v>
      </c>
      <c r="K3754" s="1"/>
      <c r="L3754" s="161" t="e">
        <f>IF($C$1078&gt;0,VLOOKUP($C3754,PATRIMONIALE!$AJ$4:$AP$1003,7,FALSE),"")</f>
        <v>#N/A</v>
      </c>
      <c r="M3754" s="1"/>
      <c r="N3754" s="1"/>
      <c r="O3754" s="1"/>
    </row>
    <row r="3755" spans="1:15" hidden="1">
      <c r="A3755" s="1"/>
      <c r="B3755" s="182" t="e">
        <f t="shared" ca="1" si="287"/>
        <v>#N/A</v>
      </c>
      <c r="C3755" s="500">
        <v>689</v>
      </c>
      <c r="D3755" s="41" t="e">
        <f>IF($C$1078&gt;0,VLOOKUP($C3755,PATRIMONIALE!$AJ$4:$AL$1003,3,FALSE),"")</f>
        <v>#N/A</v>
      </c>
      <c r="E3755" s="41" t="str">
        <f t="shared" si="288"/>
        <v/>
      </c>
      <c r="F3755" s="200"/>
      <c r="G3755" s="178" t="e">
        <f>IF($C$1078&gt;0,VLOOKUP($C3755,PATRIMONIALE!$AJ$4:$AN$1003,5,FALSE),"")</f>
        <v>#N/A</v>
      </c>
      <c r="H3755" s="179" t="e">
        <f>IF($C$1078&gt;0,VLOOKUP($C3755,PATRIMONIALE!$AJ$4:$AO$1003,6,FALSE),"")</f>
        <v>#N/A</v>
      </c>
      <c r="I3755" s="187"/>
      <c r="J3755" s="140" t="e">
        <f ca="1">VLOOKUP(D3755,$F$1081:$I$4183,4,FALSE)+COUNTIF(E$1081:E3754,E3755)</f>
        <v>#N/A</v>
      </c>
      <c r="K3755" s="1"/>
      <c r="L3755" s="161" t="e">
        <f>IF($C$1078&gt;0,VLOOKUP($C3755,PATRIMONIALE!$AJ$4:$AP$1003,7,FALSE),"")</f>
        <v>#N/A</v>
      </c>
      <c r="M3755" s="1"/>
      <c r="N3755" s="1"/>
      <c r="O3755" s="1"/>
    </row>
    <row r="3756" spans="1:15" hidden="1">
      <c r="A3756" s="1"/>
      <c r="B3756" s="182" t="e">
        <f t="shared" ca="1" si="287"/>
        <v>#N/A</v>
      </c>
      <c r="C3756" s="500">
        <v>690</v>
      </c>
      <c r="D3756" s="41" t="e">
        <f>IF($C$1078&gt;0,VLOOKUP($C3756,PATRIMONIALE!$AJ$4:$AL$1003,3,FALSE),"")</f>
        <v>#N/A</v>
      </c>
      <c r="E3756" s="41" t="str">
        <f t="shared" si="288"/>
        <v/>
      </c>
      <c r="F3756" s="200"/>
      <c r="G3756" s="178" t="e">
        <f>IF($C$1078&gt;0,VLOOKUP($C3756,PATRIMONIALE!$AJ$4:$AN$1003,5,FALSE),"")</f>
        <v>#N/A</v>
      </c>
      <c r="H3756" s="179" t="e">
        <f>IF($C$1078&gt;0,VLOOKUP($C3756,PATRIMONIALE!$AJ$4:$AO$1003,6,FALSE),"")</f>
        <v>#N/A</v>
      </c>
      <c r="I3756" s="187"/>
      <c r="J3756" s="140" t="e">
        <f ca="1">VLOOKUP(D3756,$F$1081:$I$4183,4,FALSE)+COUNTIF(E$1081:E3755,E3756)</f>
        <v>#N/A</v>
      </c>
      <c r="K3756" s="1"/>
      <c r="L3756" s="161" t="e">
        <f>IF($C$1078&gt;0,VLOOKUP($C3756,PATRIMONIALE!$AJ$4:$AP$1003,7,FALSE),"")</f>
        <v>#N/A</v>
      </c>
      <c r="M3756" s="1"/>
      <c r="N3756" s="1"/>
      <c r="O3756" s="1"/>
    </row>
    <row r="3757" spans="1:15" hidden="1">
      <c r="A3757" s="1"/>
      <c r="B3757" s="182" t="e">
        <f t="shared" ca="1" si="287"/>
        <v>#N/A</v>
      </c>
      <c r="C3757" s="500">
        <v>691</v>
      </c>
      <c r="D3757" s="41" t="e">
        <f>IF($C$1078&gt;0,VLOOKUP($C3757,PATRIMONIALE!$AJ$4:$AL$1003,3,FALSE),"")</f>
        <v>#N/A</v>
      </c>
      <c r="E3757" s="41" t="str">
        <f t="shared" si="288"/>
        <v/>
      </c>
      <c r="F3757" s="200"/>
      <c r="G3757" s="178" t="e">
        <f>IF($C$1078&gt;0,VLOOKUP($C3757,PATRIMONIALE!$AJ$4:$AN$1003,5,FALSE),"")</f>
        <v>#N/A</v>
      </c>
      <c r="H3757" s="179" t="e">
        <f>IF($C$1078&gt;0,VLOOKUP($C3757,PATRIMONIALE!$AJ$4:$AO$1003,6,FALSE),"")</f>
        <v>#N/A</v>
      </c>
      <c r="I3757" s="187"/>
      <c r="J3757" s="140" t="e">
        <f ca="1">VLOOKUP(D3757,$F$1081:$I$4183,4,FALSE)+COUNTIF(E$1081:E3756,E3757)</f>
        <v>#N/A</v>
      </c>
      <c r="K3757" s="1"/>
      <c r="L3757" s="161" t="e">
        <f>IF($C$1078&gt;0,VLOOKUP($C3757,PATRIMONIALE!$AJ$4:$AP$1003,7,FALSE),"")</f>
        <v>#N/A</v>
      </c>
      <c r="M3757" s="1"/>
      <c r="N3757" s="1"/>
      <c r="O3757" s="1"/>
    </row>
    <row r="3758" spans="1:15" hidden="1">
      <c r="A3758" s="1"/>
      <c r="B3758" s="182" t="e">
        <f t="shared" ca="1" si="287"/>
        <v>#N/A</v>
      </c>
      <c r="C3758" s="500">
        <v>692</v>
      </c>
      <c r="D3758" s="41" t="e">
        <f>IF($C$1078&gt;0,VLOOKUP($C3758,PATRIMONIALE!$AJ$4:$AL$1003,3,FALSE),"")</f>
        <v>#N/A</v>
      </c>
      <c r="E3758" s="41" t="str">
        <f t="shared" si="288"/>
        <v/>
      </c>
      <c r="F3758" s="200"/>
      <c r="G3758" s="178" t="e">
        <f>IF($C$1078&gt;0,VLOOKUP($C3758,PATRIMONIALE!$AJ$4:$AN$1003,5,FALSE),"")</f>
        <v>#N/A</v>
      </c>
      <c r="H3758" s="179" t="e">
        <f>IF($C$1078&gt;0,VLOOKUP($C3758,PATRIMONIALE!$AJ$4:$AO$1003,6,FALSE),"")</f>
        <v>#N/A</v>
      </c>
      <c r="I3758" s="187"/>
      <c r="J3758" s="140" t="e">
        <f ca="1">VLOOKUP(D3758,$F$1081:$I$4183,4,FALSE)+COUNTIF(E$1081:E3757,E3758)</f>
        <v>#N/A</v>
      </c>
      <c r="K3758" s="1"/>
      <c r="L3758" s="161" t="e">
        <f>IF($C$1078&gt;0,VLOOKUP($C3758,PATRIMONIALE!$AJ$4:$AP$1003,7,FALSE),"")</f>
        <v>#N/A</v>
      </c>
      <c r="M3758" s="1"/>
      <c r="N3758" s="1"/>
      <c r="O3758" s="1"/>
    </row>
    <row r="3759" spans="1:15" hidden="1">
      <c r="A3759" s="1"/>
      <c r="B3759" s="182" t="e">
        <f t="shared" ca="1" si="287"/>
        <v>#N/A</v>
      </c>
      <c r="C3759" s="500">
        <v>693</v>
      </c>
      <c r="D3759" s="41" t="e">
        <f>IF($C$1078&gt;0,VLOOKUP($C3759,PATRIMONIALE!$AJ$4:$AL$1003,3,FALSE),"")</f>
        <v>#N/A</v>
      </c>
      <c r="E3759" s="41" t="str">
        <f t="shared" si="288"/>
        <v/>
      </c>
      <c r="F3759" s="200"/>
      <c r="G3759" s="178" t="e">
        <f>IF($C$1078&gt;0,VLOOKUP($C3759,PATRIMONIALE!$AJ$4:$AN$1003,5,FALSE),"")</f>
        <v>#N/A</v>
      </c>
      <c r="H3759" s="179" t="e">
        <f>IF($C$1078&gt;0,VLOOKUP($C3759,PATRIMONIALE!$AJ$4:$AO$1003,6,FALSE),"")</f>
        <v>#N/A</v>
      </c>
      <c r="I3759" s="187"/>
      <c r="J3759" s="140" t="e">
        <f ca="1">VLOOKUP(D3759,$F$1081:$I$4183,4,FALSE)+COUNTIF(E$1081:E3758,E3759)</f>
        <v>#N/A</v>
      </c>
      <c r="K3759" s="1"/>
      <c r="L3759" s="161" t="e">
        <f>IF($C$1078&gt;0,VLOOKUP($C3759,PATRIMONIALE!$AJ$4:$AP$1003,7,FALSE),"")</f>
        <v>#N/A</v>
      </c>
      <c r="M3759" s="1"/>
      <c r="N3759" s="1"/>
      <c r="O3759" s="1"/>
    </row>
    <row r="3760" spans="1:15" hidden="1">
      <c r="A3760" s="1"/>
      <c r="B3760" s="182" t="e">
        <f t="shared" ca="1" si="287"/>
        <v>#N/A</v>
      </c>
      <c r="C3760" s="500">
        <v>694</v>
      </c>
      <c r="D3760" s="41" t="e">
        <f>IF($C$1078&gt;0,VLOOKUP($C3760,PATRIMONIALE!$AJ$4:$AL$1003,3,FALSE),"")</f>
        <v>#N/A</v>
      </c>
      <c r="E3760" s="41" t="str">
        <f t="shared" si="288"/>
        <v/>
      </c>
      <c r="F3760" s="200"/>
      <c r="G3760" s="178" t="e">
        <f>IF($C$1078&gt;0,VLOOKUP($C3760,PATRIMONIALE!$AJ$4:$AN$1003,5,FALSE),"")</f>
        <v>#N/A</v>
      </c>
      <c r="H3760" s="179" t="e">
        <f>IF($C$1078&gt;0,VLOOKUP($C3760,PATRIMONIALE!$AJ$4:$AO$1003,6,FALSE),"")</f>
        <v>#N/A</v>
      </c>
      <c r="I3760" s="187"/>
      <c r="J3760" s="140" t="e">
        <f ca="1">VLOOKUP(D3760,$F$1081:$I$4183,4,FALSE)+COUNTIF(E$1081:E3759,E3760)</f>
        <v>#N/A</v>
      </c>
      <c r="K3760" s="1"/>
      <c r="L3760" s="161" t="e">
        <f>IF($C$1078&gt;0,VLOOKUP($C3760,PATRIMONIALE!$AJ$4:$AP$1003,7,FALSE),"")</f>
        <v>#N/A</v>
      </c>
      <c r="M3760" s="1"/>
      <c r="N3760" s="1"/>
      <c r="O3760" s="1"/>
    </row>
    <row r="3761" spans="1:15" hidden="1">
      <c r="A3761" s="1"/>
      <c r="B3761" s="182" t="e">
        <f t="shared" ca="1" si="287"/>
        <v>#N/A</v>
      </c>
      <c r="C3761" s="500">
        <v>695</v>
      </c>
      <c r="D3761" s="41" t="e">
        <f>IF($C$1078&gt;0,VLOOKUP($C3761,PATRIMONIALE!$AJ$4:$AL$1003,3,FALSE),"")</f>
        <v>#N/A</v>
      </c>
      <c r="E3761" s="41" t="str">
        <f t="shared" si="288"/>
        <v/>
      </c>
      <c r="F3761" s="200"/>
      <c r="G3761" s="178" t="e">
        <f>IF($C$1078&gt;0,VLOOKUP($C3761,PATRIMONIALE!$AJ$4:$AN$1003,5,FALSE),"")</f>
        <v>#N/A</v>
      </c>
      <c r="H3761" s="179" t="e">
        <f>IF($C$1078&gt;0,VLOOKUP($C3761,PATRIMONIALE!$AJ$4:$AO$1003,6,FALSE),"")</f>
        <v>#N/A</v>
      </c>
      <c r="I3761" s="187"/>
      <c r="J3761" s="140" t="e">
        <f ca="1">VLOOKUP(D3761,$F$1081:$I$4183,4,FALSE)+COUNTIF(E$1081:E3760,E3761)</f>
        <v>#N/A</v>
      </c>
      <c r="K3761" s="1"/>
      <c r="L3761" s="161" t="e">
        <f>IF($C$1078&gt;0,VLOOKUP($C3761,PATRIMONIALE!$AJ$4:$AP$1003,7,FALSE),"")</f>
        <v>#N/A</v>
      </c>
      <c r="M3761" s="1"/>
      <c r="N3761" s="1"/>
      <c r="O3761" s="1"/>
    </row>
    <row r="3762" spans="1:15" hidden="1">
      <c r="A3762" s="1"/>
      <c r="B3762" s="182" t="e">
        <f t="shared" ca="1" si="287"/>
        <v>#N/A</v>
      </c>
      <c r="C3762" s="500">
        <v>696</v>
      </c>
      <c r="D3762" s="41" t="e">
        <f>IF($C$1078&gt;0,VLOOKUP($C3762,PATRIMONIALE!$AJ$4:$AL$1003,3,FALSE),"")</f>
        <v>#N/A</v>
      </c>
      <c r="E3762" s="41" t="str">
        <f t="shared" si="288"/>
        <v/>
      </c>
      <c r="F3762" s="200"/>
      <c r="G3762" s="178" t="e">
        <f>IF($C$1078&gt;0,VLOOKUP($C3762,PATRIMONIALE!$AJ$4:$AN$1003,5,FALSE),"")</f>
        <v>#N/A</v>
      </c>
      <c r="H3762" s="179" t="e">
        <f>IF($C$1078&gt;0,VLOOKUP($C3762,PATRIMONIALE!$AJ$4:$AO$1003,6,FALSE),"")</f>
        <v>#N/A</v>
      </c>
      <c r="I3762" s="187"/>
      <c r="J3762" s="140" t="e">
        <f ca="1">VLOOKUP(D3762,$F$1081:$I$4183,4,FALSE)+COUNTIF(E$1081:E3761,E3762)</f>
        <v>#N/A</v>
      </c>
      <c r="K3762" s="1"/>
      <c r="L3762" s="161" t="e">
        <f>IF($C$1078&gt;0,VLOOKUP($C3762,PATRIMONIALE!$AJ$4:$AP$1003,7,FALSE),"")</f>
        <v>#N/A</v>
      </c>
      <c r="M3762" s="1"/>
      <c r="N3762" s="1"/>
      <c r="O3762" s="1"/>
    </row>
    <row r="3763" spans="1:15" hidden="1">
      <c r="A3763" s="1"/>
      <c r="B3763" s="182" t="e">
        <f t="shared" ca="1" si="287"/>
        <v>#N/A</v>
      </c>
      <c r="C3763" s="500">
        <v>697</v>
      </c>
      <c r="D3763" s="41" t="e">
        <f>IF($C$1078&gt;0,VLOOKUP($C3763,PATRIMONIALE!$AJ$4:$AL$1003,3,FALSE),"")</f>
        <v>#N/A</v>
      </c>
      <c r="E3763" s="41" t="str">
        <f t="shared" si="288"/>
        <v/>
      </c>
      <c r="F3763" s="200"/>
      <c r="G3763" s="178" t="e">
        <f>IF($C$1078&gt;0,VLOOKUP($C3763,PATRIMONIALE!$AJ$4:$AN$1003,5,FALSE),"")</f>
        <v>#N/A</v>
      </c>
      <c r="H3763" s="179" t="e">
        <f>IF($C$1078&gt;0,VLOOKUP($C3763,PATRIMONIALE!$AJ$4:$AO$1003,6,FALSE),"")</f>
        <v>#N/A</v>
      </c>
      <c r="I3763" s="187"/>
      <c r="J3763" s="140" t="e">
        <f ca="1">VLOOKUP(D3763,$F$1081:$I$4183,4,FALSE)+COUNTIF(E$1081:E3762,E3763)</f>
        <v>#N/A</v>
      </c>
      <c r="K3763" s="1"/>
      <c r="L3763" s="161" t="e">
        <f>IF($C$1078&gt;0,VLOOKUP($C3763,PATRIMONIALE!$AJ$4:$AP$1003,7,FALSE),"")</f>
        <v>#N/A</v>
      </c>
      <c r="M3763" s="1"/>
      <c r="N3763" s="1"/>
      <c r="O3763" s="1"/>
    </row>
    <row r="3764" spans="1:15" hidden="1">
      <c r="A3764" s="1"/>
      <c r="B3764" s="182" t="e">
        <f t="shared" ca="1" si="287"/>
        <v>#N/A</v>
      </c>
      <c r="C3764" s="500">
        <v>698</v>
      </c>
      <c r="D3764" s="41" t="e">
        <f>IF($C$1078&gt;0,VLOOKUP($C3764,PATRIMONIALE!$AJ$4:$AL$1003,3,FALSE),"")</f>
        <v>#N/A</v>
      </c>
      <c r="E3764" s="41" t="str">
        <f t="shared" si="288"/>
        <v/>
      </c>
      <c r="F3764" s="200"/>
      <c r="G3764" s="178" t="e">
        <f>IF($C$1078&gt;0,VLOOKUP($C3764,PATRIMONIALE!$AJ$4:$AN$1003,5,FALSE),"")</f>
        <v>#N/A</v>
      </c>
      <c r="H3764" s="179" t="e">
        <f>IF($C$1078&gt;0,VLOOKUP($C3764,PATRIMONIALE!$AJ$4:$AO$1003,6,FALSE),"")</f>
        <v>#N/A</v>
      </c>
      <c r="I3764" s="187"/>
      <c r="J3764" s="140" t="e">
        <f ca="1">VLOOKUP(D3764,$F$1081:$I$4183,4,FALSE)+COUNTIF(E$1081:E3763,E3764)</f>
        <v>#N/A</v>
      </c>
      <c r="K3764" s="1"/>
      <c r="L3764" s="161" t="e">
        <f>IF($C$1078&gt;0,VLOOKUP($C3764,PATRIMONIALE!$AJ$4:$AP$1003,7,FALSE),"")</f>
        <v>#N/A</v>
      </c>
      <c r="M3764" s="1"/>
      <c r="N3764" s="1"/>
      <c r="O3764" s="1"/>
    </row>
    <row r="3765" spans="1:15" hidden="1">
      <c r="A3765" s="1"/>
      <c r="B3765" s="182" t="e">
        <f t="shared" ca="1" si="287"/>
        <v>#N/A</v>
      </c>
      <c r="C3765" s="500">
        <v>699</v>
      </c>
      <c r="D3765" s="41" t="e">
        <f>IF($C$1078&gt;0,VLOOKUP($C3765,PATRIMONIALE!$AJ$4:$AL$1003,3,FALSE),"")</f>
        <v>#N/A</v>
      </c>
      <c r="E3765" s="41" t="str">
        <f t="shared" si="288"/>
        <v/>
      </c>
      <c r="F3765" s="200"/>
      <c r="G3765" s="178" t="e">
        <f>IF($C$1078&gt;0,VLOOKUP($C3765,PATRIMONIALE!$AJ$4:$AN$1003,5,FALSE),"")</f>
        <v>#N/A</v>
      </c>
      <c r="H3765" s="179" t="e">
        <f>IF($C$1078&gt;0,VLOOKUP($C3765,PATRIMONIALE!$AJ$4:$AO$1003,6,FALSE),"")</f>
        <v>#N/A</v>
      </c>
      <c r="I3765" s="187"/>
      <c r="J3765" s="140" t="e">
        <f ca="1">VLOOKUP(D3765,$F$1081:$I$4183,4,FALSE)+COUNTIF(E$1081:E3764,E3765)</f>
        <v>#N/A</v>
      </c>
      <c r="K3765" s="1"/>
      <c r="L3765" s="161" t="e">
        <f>IF($C$1078&gt;0,VLOOKUP($C3765,PATRIMONIALE!$AJ$4:$AP$1003,7,FALSE),"")</f>
        <v>#N/A</v>
      </c>
      <c r="M3765" s="1"/>
      <c r="N3765" s="1"/>
      <c r="O3765" s="1"/>
    </row>
    <row r="3766" spans="1:15" hidden="1">
      <c r="A3766" s="1"/>
      <c r="B3766" s="182" t="e">
        <f t="shared" ca="1" si="287"/>
        <v>#N/A</v>
      </c>
      <c r="C3766" s="500">
        <v>700</v>
      </c>
      <c r="D3766" s="41" t="e">
        <f>IF($C$1078&gt;0,VLOOKUP($C3766,PATRIMONIALE!$AJ$4:$AL$1003,3,FALSE),"")</f>
        <v>#N/A</v>
      </c>
      <c r="E3766" s="41" t="str">
        <f t="shared" si="288"/>
        <v/>
      </c>
      <c r="F3766" s="200"/>
      <c r="G3766" s="178" t="e">
        <f>IF($C$1078&gt;0,VLOOKUP($C3766,PATRIMONIALE!$AJ$4:$AN$1003,5,FALSE),"")</f>
        <v>#N/A</v>
      </c>
      <c r="H3766" s="179" t="e">
        <f>IF($C$1078&gt;0,VLOOKUP($C3766,PATRIMONIALE!$AJ$4:$AO$1003,6,FALSE),"")</f>
        <v>#N/A</v>
      </c>
      <c r="I3766" s="187"/>
      <c r="J3766" s="140" t="e">
        <f ca="1">VLOOKUP(D3766,$F$1081:$I$4183,4,FALSE)+COUNTIF(E$1081:E3765,E3766)</f>
        <v>#N/A</v>
      </c>
      <c r="K3766" s="1"/>
      <c r="L3766" s="161" t="e">
        <f>IF($C$1078&gt;0,VLOOKUP($C3766,PATRIMONIALE!$AJ$4:$AP$1003,7,FALSE),"")</f>
        <v>#N/A</v>
      </c>
      <c r="M3766" s="1"/>
      <c r="N3766" s="1"/>
      <c r="O3766" s="1"/>
    </row>
    <row r="3767" spans="1:15" hidden="1">
      <c r="A3767" s="1"/>
      <c r="B3767" s="182" t="e">
        <f t="shared" ref="B3767:B3830" ca="1" si="289">IF(OR(C$1075&gt;0,C$1077&gt;0,C$1073&gt;0,C$1071&gt;0),J3767+1,J3767)</f>
        <v>#N/A</v>
      </c>
      <c r="C3767" s="500">
        <v>701</v>
      </c>
      <c r="D3767" s="41" t="e">
        <f>IF($C$1078&gt;0,VLOOKUP($C3767,PATRIMONIALE!$AJ$4:$AL$1003,3,FALSE),"")</f>
        <v>#N/A</v>
      </c>
      <c r="E3767" s="41" t="str">
        <f t="shared" si="288"/>
        <v/>
      </c>
      <c r="F3767" s="200"/>
      <c r="G3767" s="178" t="e">
        <f>IF($C$1078&gt;0,VLOOKUP($C3767,PATRIMONIALE!$AJ$4:$AN$1003,5,FALSE),"")</f>
        <v>#N/A</v>
      </c>
      <c r="H3767" s="179" t="e">
        <f>IF($C$1078&gt;0,VLOOKUP($C3767,PATRIMONIALE!$AJ$4:$AO$1003,6,FALSE),"")</f>
        <v>#N/A</v>
      </c>
      <c r="I3767" s="187"/>
      <c r="J3767" s="140" t="e">
        <f ca="1">VLOOKUP(D3767,$F$1081:$I$4183,4,FALSE)+COUNTIF(E$1081:E3766,E3767)</f>
        <v>#N/A</v>
      </c>
      <c r="K3767" s="1"/>
      <c r="L3767" s="161" t="e">
        <f>IF($C$1078&gt;0,VLOOKUP($C3767,PATRIMONIALE!$AJ$4:$AP$1003,7,FALSE),"")</f>
        <v>#N/A</v>
      </c>
      <c r="M3767" s="1"/>
      <c r="N3767" s="1"/>
      <c r="O3767" s="1"/>
    </row>
    <row r="3768" spans="1:15" hidden="1">
      <c r="A3768" s="1"/>
      <c r="B3768" s="182" t="e">
        <f t="shared" ca="1" si="289"/>
        <v>#N/A</v>
      </c>
      <c r="C3768" s="500">
        <v>702</v>
      </c>
      <c r="D3768" s="41" t="e">
        <f>IF($C$1078&gt;0,VLOOKUP($C3768,PATRIMONIALE!$AJ$4:$AL$1003,3,FALSE),"")</f>
        <v>#N/A</v>
      </c>
      <c r="E3768" s="41" t="str">
        <f t="shared" si="288"/>
        <v/>
      </c>
      <c r="F3768" s="200"/>
      <c r="G3768" s="178" t="e">
        <f>IF($C$1078&gt;0,VLOOKUP($C3768,PATRIMONIALE!$AJ$4:$AN$1003,5,FALSE),"")</f>
        <v>#N/A</v>
      </c>
      <c r="H3768" s="179" t="e">
        <f>IF($C$1078&gt;0,VLOOKUP($C3768,PATRIMONIALE!$AJ$4:$AO$1003,6,FALSE),"")</f>
        <v>#N/A</v>
      </c>
      <c r="I3768" s="187"/>
      <c r="J3768" s="140" t="e">
        <f ca="1">VLOOKUP(D3768,$F$1081:$I$4183,4,FALSE)+COUNTIF(E$1081:E3767,E3768)</f>
        <v>#N/A</v>
      </c>
      <c r="K3768" s="1"/>
      <c r="L3768" s="161" t="e">
        <f>IF($C$1078&gt;0,VLOOKUP($C3768,PATRIMONIALE!$AJ$4:$AP$1003,7,FALSE),"")</f>
        <v>#N/A</v>
      </c>
      <c r="M3768" s="1"/>
      <c r="N3768" s="1"/>
      <c r="O3768" s="1"/>
    </row>
    <row r="3769" spans="1:15" hidden="1">
      <c r="A3769" s="1"/>
      <c r="B3769" s="182" t="e">
        <f t="shared" ca="1" si="289"/>
        <v>#N/A</v>
      </c>
      <c r="C3769" s="500">
        <v>703</v>
      </c>
      <c r="D3769" s="41" t="e">
        <f>IF($C$1078&gt;0,VLOOKUP($C3769,PATRIMONIALE!$AJ$4:$AL$1003,3,FALSE),"")</f>
        <v>#N/A</v>
      </c>
      <c r="E3769" s="41" t="str">
        <f t="shared" si="288"/>
        <v/>
      </c>
      <c r="F3769" s="200"/>
      <c r="G3769" s="178" t="e">
        <f>IF($C$1078&gt;0,VLOOKUP($C3769,PATRIMONIALE!$AJ$4:$AN$1003,5,FALSE),"")</f>
        <v>#N/A</v>
      </c>
      <c r="H3769" s="179" t="e">
        <f>IF($C$1078&gt;0,VLOOKUP($C3769,PATRIMONIALE!$AJ$4:$AO$1003,6,FALSE),"")</f>
        <v>#N/A</v>
      </c>
      <c r="I3769" s="187"/>
      <c r="J3769" s="140" t="e">
        <f ca="1">VLOOKUP(D3769,$F$1081:$I$4183,4,FALSE)+COUNTIF(E$1081:E3768,E3769)</f>
        <v>#N/A</v>
      </c>
      <c r="K3769" s="1"/>
      <c r="L3769" s="161" t="e">
        <f>IF($C$1078&gt;0,VLOOKUP($C3769,PATRIMONIALE!$AJ$4:$AP$1003,7,FALSE),"")</f>
        <v>#N/A</v>
      </c>
      <c r="M3769" s="1"/>
      <c r="N3769" s="1"/>
      <c r="O3769" s="1"/>
    </row>
    <row r="3770" spans="1:15" hidden="1">
      <c r="A3770" s="1"/>
      <c r="B3770" s="182" t="e">
        <f t="shared" ca="1" si="289"/>
        <v>#N/A</v>
      </c>
      <c r="C3770" s="500">
        <v>704</v>
      </c>
      <c r="D3770" s="41" t="e">
        <f>IF($C$1078&gt;0,VLOOKUP($C3770,PATRIMONIALE!$AJ$4:$AL$1003,3,FALSE),"")</f>
        <v>#N/A</v>
      </c>
      <c r="E3770" s="41" t="str">
        <f t="shared" si="288"/>
        <v/>
      </c>
      <c r="F3770" s="200"/>
      <c r="G3770" s="178" t="e">
        <f>IF($C$1078&gt;0,VLOOKUP($C3770,PATRIMONIALE!$AJ$4:$AN$1003,5,FALSE),"")</f>
        <v>#N/A</v>
      </c>
      <c r="H3770" s="179" t="e">
        <f>IF($C$1078&gt;0,VLOOKUP($C3770,PATRIMONIALE!$AJ$4:$AO$1003,6,FALSE),"")</f>
        <v>#N/A</v>
      </c>
      <c r="I3770" s="187"/>
      <c r="J3770" s="140" t="e">
        <f ca="1">VLOOKUP(D3770,$F$1081:$I$4183,4,FALSE)+COUNTIF(E$1081:E3769,E3770)</f>
        <v>#N/A</v>
      </c>
      <c r="K3770" s="1"/>
      <c r="L3770" s="161" t="e">
        <f>IF($C$1078&gt;0,VLOOKUP($C3770,PATRIMONIALE!$AJ$4:$AP$1003,7,FALSE),"")</f>
        <v>#N/A</v>
      </c>
      <c r="M3770" s="1"/>
      <c r="N3770" s="1"/>
      <c r="O3770" s="1"/>
    </row>
    <row r="3771" spans="1:15" hidden="1">
      <c r="A3771" s="1"/>
      <c r="B3771" s="182" t="e">
        <f t="shared" ca="1" si="289"/>
        <v>#N/A</v>
      </c>
      <c r="C3771" s="500">
        <v>705</v>
      </c>
      <c r="D3771" s="41" t="e">
        <f>IF($C$1078&gt;0,VLOOKUP($C3771,PATRIMONIALE!$AJ$4:$AL$1003,3,FALSE),"")</f>
        <v>#N/A</v>
      </c>
      <c r="E3771" s="41" t="str">
        <f t="shared" si="288"/>
        <v/>
      </c>
      <c r="F3771" s="200"/>
      <c r="G3771" s="178" t="e">
        <f>IF($C$1078&gt;0,VLOOKUP($C3771,PATRIMONIALE!$AJ$4:$AN$1003,5,FALSE),"")</f>
        <v>#N/A</v>
      </c>
      <c r="H3771" s="179" t="e">
        <f>IF($C$1078&gt;0,VLOOKUP($C3771,PATRIMONIALE!$AJ$4:$AO$1003,6,FALSE),"")</f>
        <v>#N/A</v>
      </c>
      <c r="I3771" s="187"/>
      <c r="J3771" s="140" t="e">
        <f ca="1">VLOOKUP(D3771,$F$1081:$I$4183,4,FALSE)+COUNTIF(E$1081:E3770,E3771)</f>
        <v>#N/A</v>
      </c>
      <c r="K3771" s="1"/>
      <c r="L3771" s="161" t="e">
        <f>IF($C$1078&gt;0,VLOOKUP($C3771,PATRIMONIALE!$AJ$4:$AP$1003,7,FALSE),"")</f>
        <v>#N/A</v>
      </c>
      <c r="M3771" s="1"/>
      <c r="N3771" s="1"/>
      <c r="O3771" s="1"/>
    </row>
    <row r="3772" spans="1:15" hidden="1">
      <c r="A3772" s="1"/>
      <c r="B3772" s="182" t="e">
        <f t="shared" ca="1" si="289"/>
        <v>#N/A</v>
      </c>
      <c r="C3772" s="500">
        <v>706</v>
      </c>
      <c r="D3772" s="41" t="e">
        <f>IF($C$1078&gt;0,VLOOKUP($C3772,PATRIMONIALE!$AJ$4:$AL$1003,3,FALSE),"")</f>
        <v>#N/A</v>
      </c>
      <c r="E3772" s="41" t="str">
        <f t="shared" si="288"/>
        <v/>
      </c>
      <c r="F3772" s="200"/>
      <c r="G3772" s="178" t="e">
        <f>IF($C$1078&gt;0,VLOOKUP($C3772,PATRIMONIALE!$AJ$4:$AN$1003,5,FALSE),"")</f>
        <v>#N/A</v>
      </c>
      <c r="H3772" s="179" t="e">
        <f>IF($C$1078&gt;0,VLOOKUP($C3772,PATRIMONIALE!$AJ$4:$AO$1003,6,FALSE),"")</f>
        <v>#N/A</v>
      </c>
      <c r="I3772" s="187"/>
      <c r="J3772" s="140" t="e">
        <f ca="1">VLOOKUP(D3772,$F$1081:$I$4183,4,FALSE)+COUNTIF(E$1081:E3771,E3772)</f>
        <v>#N/A</v>
      </c>
      <c r="K3772" s="1"/>
      <c r="L3772" s="161" t="e">
        <f>IF($C$1078&gt;0,VLOOKUP($C3772,PATRIMONIALE!$AJ$4:$AP$1003,7,FALSE),"")</f>
        <v>#N/A</v>
      </c>
      <c r="M3772" s="1"/>
      <c r="N3772" s="1"/>
      <c r="O3772" s="1"/>
    </row>
    <row r="3773" spans="1:15" hidden="1">
      <c r="A3773" s="1"/>
      <c r="B3773" s="182" t="e">
        <f t="shared" ca="1" si="289"/>
        <v>#N/A</v>
      </c>
      <c r="C3773" s="500">
        <v>707</v>
      </c>
      <c r="D3773" s="41" t="e">
        <f>IF($C$1078&gt;0,VLOOKUP($C3773,PATRIMONIALE!$AJ$4:$AL$1003,3,FALSE),"")</f>
        <v>#N/A</v>
      </c>
      <c r="E3773" s="41" t="str">
        <f t="shared" si="288"/>
        <v/>
      </c>
      <c r="F3773" s="200"/>
      <c r="G3773" s="178" t="e">
        <f>IF($C$1078&gt;0,VLOOKUP($C3773,PATRIMONIALE!$AJ$4:$AN$1003,5,FALSE),"")</f>
        <v>#N/A</v>
      </c>
      <c r="H3773" s="179" t="e">
        <f>IF($C$1078&gt;0,VLOOKUP($C3773,PATRIMONIALE!$AJ$4:$AO$1003,6,FALSE),"")</f>
        <v>#N/A</v>
      </c>
      <c r="I3773" s="187"/>
      <c r="J3773" s="140" t="e">
        <f ca="1">VLOOKUP(D3773,$F$1081:$I$4183,4,FALSE)+COUNTIF(E$1081:E3772,E3773)</f>
        <v>#N/A</v>
      </c>
      <c r="K3773" s="1"/>
      <c r="L3773" s="161" t="e">
        <f>IF($C$1078&gt;0,VLOOKUP($C3773,PATRIMONIALE!$AJ$4:$AP$1003,7,FALSE),"")</f>
        <v>#N/A</v>
      </c>
      <c r="M3773" s="1"/>
      <c r="N3773" s="1"/>
      <c r="O3773" s="1"/>
    </row>
    <row r="3774" spans="1:15" hidden="1">
      <c r="A3774" s="1"/>
      <c r="B3774" s="182" t="e">
        <f t="shared" ca="1" si="289"/>
        <v>#N/A</v>
      </c>
      <c r="C3774" s="500">
        <v>708</v>
      </c>
      <c r="D3774" s="41" t="e">
        <f>IF($C$1078&gt;0,VLOOKUP($C3774,PATRIMONIALE!$AJ$4:$AL$1003,3,FALSE),"")</f>
        <v>#N/A</v>
      </c>
      <c r="E3774" s="41" t="str">
        <f t="shared" si="288"/>
        <v/>
      </c>
      <c r="F3774" s="200"/>
      <c r="G3774" s="178" t="e">
        <f>IF($C$1078&gt;0,VLOOKUP($C3774,PATRIMONIALE!$AJ$4:$AN$1003,5,FALSE),"")</f>
        <v>#N/A</v>
      </c>
      <c r="H3774" s="179" t="e">
        <f>IF($C$1078&gt;0,VLOOKUP($C3774,PATRIMONIALE!$AJ$4:$AO$1003,6,FALSE),"")</f>
        <v>#N/A</v>
      </c>
      <c r="I3774" s="187"/>
      <c r="J3774" s="140" t="e">
        <f ca="1">VLOOKUP(D3774,$F$1081:$I$4183,4,FALSE)+COUNTIF(E$1081:E3773,E3774)</f>
        <v>#N/A</v>
      </c>
      <c r="K3774" s="1"/>
      <c r="L3774" s="161" t="e">
        <f>IF($C$1078&gt;0,VLOOKUP($C3774,PATRIMONIALE!$AJ$4:$AP$1003,7,FALSE),"")</f>
        <v>#N/A</v>
      </c>
      <c r="M3774" s="1"/>
      <c r="N3774" s="1"/>
      <c r="O3774" s="1"/>
    </row>
    <row r="3775" spans="1:15" hidden="1">
      <c r="A3775" s="1"/>
      <c r="B3775" s="182" t="e">
        <f t="shared" ca="1" si="289"/>
        <v>#N/A</v>
      </c>
      <c r="C3775" s="500">
        <v>709</v>
      </c>
      <c r="D3775" s="41" t="e">
        <f>IF($C$1078&gt;0,VLOOKUP($C3775,PATRIMONIALE!$AJ$4:$AL$1003,3,FALSE),"")</f>
        <v>#N/A</v>
      </c>
      <c r="E3775" s="41" t="str">
        <f t="shared" si="288"/>
        <v/>
      </c>
      <c r="F3775" s="200"/>
      <c r="G3775" s="178" t="e">
        <f>IF($C$1078&gt;0,VLOOKUP($C3775,PATRIMONIALE!$AJ$4:$AN$1003,5,FALSE),"")</f>
        <v>#N/A</v>
      </c>
      <c r="H3775" s="179" t="e">
        <f>IF($C$1078&gt;0,VLOOKUP($C3775,PATRIMONIALE!$AJ$4:$AO$1003,6,FALSE),"")</f>
        <v>#N/A</v>
      </c>
      <c r="I3775" s="187"/>
      <c r="J3775" s="140" t="e">
        <f ca="1">VLOOKUP(D3775,$F$1081:$I$4183,4,FALSE)+COUNTIF(E$1081:E3774,E3775)</f>
        <v>#N/A</v>
      </c>
      <c r="K3775" s="1"/>
      <c r="L3775" s="161" t="e">
        <f>IF($C$1078&gt;0,VLOOKUP($C3775,PATRIMONIALE!$AJ$4:$AP$1003,7,FALSE),"")</f>
        <v>#N/A</v>
      </c>
      <c r="M3775" s="1"/>
      <c r="N3775" s="1"/>
      <c r="O3775" s="1"/>
    </row>
    <row r="3776" spans="1:15" hidden="1">
      <c r="A3776" s="1"/>
      <c r="B3776" s="182" t="e">
        <f t="shared" ca="1" si="289"/>
        <v>#N/A</v>
      </c>
      <c r="C3776" s="500">
        <v>710</v>
      </c>
      <c r="D3776" s="41" t="e">
        <f>IF($C$1078&gt;0,VLOOKUP($C3776,PATRIMONIALE!$AJ$4:$AL$1003,3,FALSE),"")</f>
        <v>#N/A</v>
      </c>
      <c r="E3776" s="41" t="str">
        <f t="shared" si="288"/>
        <v/>
      </c>
      <c r="F3776" s="200"/>
      <c r="G3776" s="178" t="e">
        <f>IF($C$1078&gt;0,VLOOKUP($C3776,PATRIMONIALE!$AJ$4:$AN$1003,5,FALSE),"")</f>
        <v>#N/A</v>
      </c>
      <c r="H3776" s="179" t="e">
        <f>IF($C$1078&gt;0,VLOOKUP($C3776,PATRIMONIALE!$AJ$4:$AO$1003,6,FALSE),"")</f>
        <v>#N/A</v>
      </c>
      <c r="I3776" s="187"/>
      <c r="J3776" s="140" t="e">
        <f ca="1">VLOOKUP(D3776,$F$1081:$I$4183,4,FALSE)+COUNTIF(E$1081:E3775,E3776)</f>
        <v>#N/A</v>
      </c>
      <c r="K3776" s="1"/>
      <c r="L3776" s="161" t="e">
        <f>IF($C$1078&gt;0,VLOOKUP($C3776,PATRIMONIALE!$AJ$4:$AP$1003,7,FALSE),"")</f>
        <v>#N/A</v>
      </c>
      <c r="M3776" s="1"/>
      <c r="N3776" s="1"/>
      <c r="O3776" s="1"/>
    </row>
    <row r="3777" spans="1:15" hidden="1">
      <c r="A3777" s="1"/>
      <c r="B3777" s="182" t="e">
        <f t="shared" ca="1" si="289"/>
        <v>#N/A</v>
      </c>
      <c r="C3777" s="500">
        <v>711</v>
      </c>
      <c r="D3777" s="41" t="e">
        <f>IF($C$1078&gt;0,VLOOKUP($C3777,PATRIMONIALE!$AJ$4:$AL$1003,3,FALSE),"")</f>
        <v>#N/A</v>
      </c>
      <c r="E3777" s="41" t="str">
        <f t="shared" ref="E3777:E3840" si="290">IF(ISERROR(D3777),"",D3777)</f>
        <v/>
      </c>
      <c r="F3777" s="200"/>
      <c r="G3777" s="178" t="e">
        <f>IF($C$1078&gt;0,VLOOKUP($C3777,PATRIMONIALE!$AJ$4:$AN$1003,5,FALSE),"")</f>
        <v>#N/A</v>
      </c>
      <c r="H3777" s="179" t="e">
        <f>IF($C$1078&gt;0,VLOOKUP($C3777,PATRIMONIALE!$AJ$4:$AO$1003,6,FALSE),"")</f>
        <v>#N/A</v>
      </c>
      <c r="I3777" s="187"/>
      <c r="J3777" s="140" t="e">
        <f ca="1">VLOOKUP(D3777,$F$1081:$I$4183,4,FALSE)+COUNTIF(E$1081:E3776,E3777)</f>
        <v>#N/A</v>
      </c>
      <c r="K3777" s="1"/>
      <c r="L3777" s="161" t="e">
        <f>IF($C$1078&gt;0,VLOOKUP($C3777,PATRIMONIALE!$AJ$4:$AP$1003,7,FALSE),"")</f>
        <v>#N/A</v>
      </c>
      <c r="M3777" s="1"/>
      <c r="N3777" s="1"/>
      <c r="O3777" s="1"/>
    </row>
    <row r="3778" spans="1:15" hidden="1">
      <c r="A3778" s="1"/>
      <c r="B3778" s="182" t="e">
        <f t="shared" ca="1" si="289"/>
        <v>#N/A</v>
      </c>
      <c r="C3778" s="500">
        <v>712</v>
      </c>
      <c r="D3778" s="41" t="e">
        <f>IF($C$1078&gt;0,VLOOKUP($C3778,PATRIMONIALE!$AJ$4:$AL$1003,3,FALSE),"")</f>
        <v>#N/A</v>
      </c>
      <c r="E3778" s="41" t="str">
        <f t="shared" si="290"/>
        <v/>
      </c>
      <c r="F3778" s="200"/>
      <c r="G3778" s="178" t="e">
        <f>IF($C$1078&gt;0,VLOOKUP($C3778,PATRIMONIALE!$AJ$4:$AN$1003,5,FALSE),"")</f>
        <v>#N/A</v>
      </c>
      <c r="H3778" s="179" t="e">
        <f>IF($C$1078&gt;0,VLOOKUP($C3778,PATRIMONIALE!$AJ$4:$AO$1003,6,FALSE),"")</f>
        <v>#N/A</v>
      </c>
      <c r="I3778" s="187"/>
      <c r="J3778" s="140" t="e">
        <f ca="1">VLOOKUP(D3778,$F$1081:$I$4183,4,FALSE)+COUNTIF(E$1081:E3777,E3778)</f>
        <v>#N/A</v>
      </c>
      <c r="K3778" s="1"/>
      <c r="L3778" s="161" t="e">
        <f>IF($C$1078&gt;0,VLOOKUP($C3778,PATRIMONIALE!$AJ$4:$AP$1003,7,FALSE),"")</f>
        <v>#N/A</v>
      </c>
      <c r="M3778" s="1"/>
      <c r="N3778" s="1"/>
      <c r="O3778" s="1"/>
    </row>
    <row r="3779" spans="1:15" hidden="1">
      <c r="A3779" s="1"/>
      <c r="B3779" s="182" t="e">
        <f t="shared" ca="1" si="289"/>
        <v>#N/A</v>
      </c>
      <c r="C3779" s="500">
        <v>713</v>
      </c>
      <c r="D3779" s="41" t="e">
        <f>IF($C$1078&gt;0,VLOOKUP($C3779,PATRIMONIALE!$AJ$4:$AL$1003,3,FALSE),"")</f>
        <v>#N/A</v>
      </c>
      <c r="E3779" s="41" t="str">
        <f t="shared" si="290"/>
        <v/>
      </c>
      <c r="F3779" s="200"/>
      <c r="G3779" s="178" t="e">
        <f>IF($C$1078&gt;0,VLOOKUP($C3779,PATRIMONIALE!$AJ$4:$AN$1003,5,FALSE),"")</f>
        <v>#N/A</v>
      </c>
      <c r="H3779" s="179" t="e">
        <f>IF($C$1078&gt;0,VLOOKUP($C3779,PATRIMONIALE!$AJ$4:$AO$1003,6,FALSE),"")</f>
        <v>#N/A</v>
      </c>
      <c r="I3779" s="187"/>
      <c r="J3779" s="140" t="e">
        <f ca="1">VLOOKUP(D3779,$F$1081:$I$4183,4,FALSE)+COUNTIF(E$1081:E3778,E3779)</f>
        <v>#N/A</v>
      </c>
      <c r="K3779" s="1"/>
      <c r="L3779" s="161" t="e">
        <f>IF($C$1078&gt;0,VLOOKUP($C3779,PATRIMONIALE!$AJ$4:$AP$1003,7,FALSE),"")</f>
        <v>#N/A</v>
      </c>
      <c r="M3779" s="1"/>
      <c r="N3779" s="1"/>
      <c r="O3779" s="1"/>
    </row>
    <row r="3780" spans="1:15" hidden="1">
      <c r="A3780" s="1"/>
      <c r="B3780" s="182" t="e">
        <f t="shared" ca="1" si="289"/>
        <v>#N/A</v>
      </c>
      <c r="C3780" s="500">
        <v>714</v>
      </c>
      <c r="D3780" s="41" t="e">
        <f>IF($C$1078&gt;0,VLOOKUP($C3780,PATRIMONIALE!$AJ$4:$AL$1003,3,FALSE),"")</f>
        <v>#N/A</v>
      </c>
      <c r="E3780" s="41" t="str">
        <f t="shared" si="290"/>
        <v/>
      </c>
      <c r="F3780" s="200"/>
      <c r="G3780" s="178" t="e">
        <f>IF($C$1078&gt;0,VLOOKUP($C3780,PATRIMONIALE!$AJ$4:$AN$1003,5,FALSE),"")</f>
        <v>#N/A</v>
      </c>
      <c r="H3780" s="179" t="e">
        <f>IF($C$1078&gt;0,VLOOKUP($C3780,PATRIMONIALE!$AJ$4:$AO$1003,6,FALSE),"")</f>
        <v>#N/A</v>
      </c>
      <c r="I3780" s="187"/>
      <c r="J3780" s="140" t="e">
        <f ca="1">VLOOKUP(D3780,$F$1081:$I$4183,4,FALSE)+COUNTIF(E$1081:E3779,E3780)</f>
        <v>#N/A</v>
      </c>
      <c r="K3780" s="1"/>
      <c r="L3780" s="161" t="e">
        <f>IF($C$1078&gt;0,VLOOKUP($C3780,PATRIMONIALE!$AJ$4:$AP$1003,7,FALSE),"")</f>
        <v>#N/A</v>
      </c>
      <c r="M3780" s="1"/>
      <c r="N3780" s="1"/>
      <c r="O3780" s="1"/>
    </row>
    <row r="3781" spans="1:15" hidden="1">
      <c r="A3781" s="1"/>
      <c r="B3781" s="182" t="e">
        <f t="shared" ca="1" si="289"/>
        <v>#N/A</v>
      </c>
      <c r="C3781" s="500">
        <v>715</v>
      </c>
      <c r="D3781" s="41" t="e">
        <f>IF($C$1078&gt;0,VLOOKUP($C3781,PATRIMONIALE!$AJ$4:$AL$1003,3,FALSE),"")</f>
        <v>#N/A</v>
      </c>
      <c r="E3781" s="41" t="str">
        <f t="shared" si="290"/>
        <v/>
      </c>
      <c r="F3781" s="200"/>
      <c r="G3781" s="178" t="e">
        <f>IF($C$1078&gt;0,VLOOKUP($C3781,PATRIMONIALE!$AJ$4:$AN$1003,5,FALSE),"")</f>
        <v>#N/A</v>
      </c>
      <c r="H3781" s="179" t="e">
        <f>IF($C$1078&gt;0,VLOOKUP($C3781,PATRIMONIALE!$AJ$4:$AO$1003,6,FALSE),"")</f>
        <v>#N/A</v>
      </c>
      <c r="I3781" s="187"/>
      <c r="J3781" s="140" t="e">
        <f ca="1">VLOOKUP(D3781,$F$1081:$I$4183,4,FALSE)+COUNTIF(E$1081:E3780,E3781)</f>
        <v>#N/A</v>
      </c>
      <c r="K3781" s="1"/>
      <c r="L3781" s="161" t="e">
        <f>IF($C$1078&gt;0,VLOOKUP($C3781,PATRIMONIALE!$AJ$4:$AP$1003,7,FALSE),"")</f>
        <v>#N/A</v>
      </c>
      <c r="M3781" s="1"/>
      <c r="N3781" s="1"/>
      <c r="O3781" s="1"/>
    </row>
    <row r="3782" spans="1:15" hidden="1">
      <c r="A3782" s="1"/>
      <c r="B3782" s="182" t="e">
        <f t="shared" ca="1" si="289"/>
        <v>#N/A</v>
      </c>
      <c r="C3782" s="500">
        <v>716</v>
      </c>
      <c r="D3782" s="41" t="e">
        <f>IF($C$1078&gt;0,VLOOKUP($C3782,PATRIMONIALE!$AJ$4:$AL$1003,3,FALSE),"")</f>
        <v>#N/A</v>
      </c>
      <c r="E3782" s="41" t="str">
        <f t="shared" si="290"/>
        <v/>
      </c>
      <c r="F3782" s="200"/>
      <c r="G3782" s="178" t="e">
        <f>IF($C$1078&gt;0,VLOOKUP($C3782,PATRIMONIALE!$AJ$4:$AN$1003,5,FALSE),"")</f>
        <v>#N/A</v>
      </c>
      <c r="H3782" s="179" t="e">
        <f>IF($C$1078&gt;0,VLOOKUP($C3782,PATRIMONIALE!$AJ$4:$AO$1003,6,FALSE),"")</f>
        <v>#N/A</v>
      </c>
      <c r="I3782" s="187"/>
      <c r="J3782" s="140" t="e">
        <f ca="1">VLOOKUP(D3782,$F$1081:$I$4183,4,FALSE)+COUNTIF(E$1081:E3781,E3782)</f>
        <v>#N/A</v>
      </c>
      <c r="K3782" s="1"/>
      <c r="L3782" s="161" t="e">
        <f>IF($C$1078&gt;0,VLOOKUP($C3782,PATRIMONIALE!$AJ$4:$AP$1003,7,FALSE),"")</f>
        <v>#N/A</v>
      </c>
      <c r="M3782" s="1"/>
      <c r="N3782" s="1"/>
      <c r="O3782" s="1"/>
    </row>
    <row r="3783" spans="1:15" hidden="1">
      <c r="A3783" s="1"/>
      <c r="B3783" s="182" t="e">
        <f t="shared" ca="1" si="289"/>
        <v>#N/A</v>
      </c>
      <c r="C3783" s="500">
        <v>717</v>
      </c>
      <c r="D3783" s="41" t="e">
        <f>IF($C$1078&gt;0,VLOOKUP($C3783,PATRIMONIALE!$AJ$4:$AL$1003,3,FALSE),"")</f>
        <v>#N/A</v>
      </c>
      <c r="E3783" s="41" t="str">
        <f t="shared" si="290"/>
        <v/>
      </c>
      <c r="F3783" s="200"/>
      <c r="G3783" s="178" t="e">
        <f>IF($C$1078&gt;0,VLOOKUP($C3783,PATRIMONIALE!$AJ$4:$AN$1003,5,FALSE),"")</f>
        <v>#N/A</v>
      </c>
      <c r="H3783" s="179" t="e">
        <f>IF($C$1078&gt;0,VLOOKUP($C3783,PATRIMONIALE!$AJ$4:$AO$1003,6,FALSE),"")</f>
        <v>#N/A</v>
      </c>
      <c r="I3783" s="187"/>
      <c r="J3783" s="140" t="e">
        <f ca="1">VLOOKUP(D3783,$F$1081:$I$4183,4,FALSE)+COUNTIF(E$1081:E3782,E3783)</f>
        <v>#N/A</v>
      </c>
      <c r="K3783" s="1"/>
      <c r="L3783" s="161" t="e">
        <f>IF($C$1078&gt;0,VLOOKUP($C3783,PATRIMONIALE!$AJ$4:$AP$1003,7,FALSE),"")</f>
        <v>#N/A</v>
      </c>
      <c r="M3783" s="1"/>
      <c r="N3783" s="1"/>
      <c r="O3783" s="1"/>
    </row>
    <row r="3784" spans="1:15" hidden="1">
      <c r="A3784" s="1"/>
      <c r="B3784" s="182" t="e">
        <f t="shared" ca="1" si="289"/>
        <v>#N/A</v>
      </c>
      <c r="C3784" s="500">
        <v>718</v>
      </c>
      <c r="D3784" s="41" t="e">
        <f>IF($C$1078&gt;0,VLOOKUP($C3784,PATRIMONIALE!$AJ$4:$AL$1003,3,FALSE),"")</f>
        <v>#N/A</v>
      </c>
      <c r="E3784" s="41" t="str">
        <f t="shared" si="290"/>
        <v/>
      </c>
      <c r="F3784" s="200"/>
      <c r="G3784" s="178" t="e">
        <f>IF($C$1078&gt;0,VLOOKUP($C3784,PATRIMONIALE!$AJ$4:$AN$1003,5,FALSE),"")</f>
        <v>#N/A</v>
      </c>
      <c r="H3784" s="179" t="e">
        <f>IF($C$1078&gt;0,VLOOKUP($C3784,PATRIMONIALE!$AJ$4:$AO$1003,6,FALSE),"")</f>
        <v>#N/A</v>
      </c>
      <c r="I3784" s="187"/>
      <c r="J3784" s="140" t="e">
        <f ca="1">VLOOKUP(D3784,$F$1081:$I$4183,4,FALSE)+COUNTIF(E$1081:E3783,E3784)</f>
        <v>#N/A</v>
      </c>
      <c r="K3784" s="1"/>
      <c r="L3784" s="161" t="e">
        <f>IF($C$1078&gt;0,VLOOKUP($C3784,PATRIMONIALE!$AJ$4:$AP$1003,7,FALSE),"")</f>
        <v>#N/A</v>
      </c>
      <c r="M3784" s="1"/>
      <c r="N3784" s="1"/>
      <c r="O3784" s="1"/>
    </row>
    <row r="3785" spans="1:15" hidden="1">
      <c r="A3785" s="1"/>
      <c r="B3785" s="182" t="e">
        <f t="shared" ca="1" si="289"/>
        <v>#N/A</v>
      </c>
      <c r="C3785" s="500">
        <v>719</v>
      </c>
      <c r="D3785" s="41" t="e">
        <f>IF($C$1078&gt;0,VLOOKUP($C3785,PATRIMONIALE!$AJ$4:$AL$1003,3,FALSE),"")</f>
        <v>#N/A</v>
      </c>
      <c r="E3785" s="41" t="str">
        <f t="shared" si="290"/>
        <v/>
      </c>
      <c r="F3785" s="200"/>
      <c r="G3785" s="178" t="e">
        <f>IF($C$1078&gt;0,VLOOKUP($C3785,PATRIMONIALE!$AJ$4:$AN$1003,5,FALSE),"")</f>
        <v>#N/A</v>
      </c>
      <c r="H3785" s="179" t="e">
        <f>IF($C$1078&gt;0,VLOOKUP($C3785,PATRIMONIALE!$AJ$4:$AO$1003,6,FALSE),"")</f>
        <v>#N/A</v>
      </c>
      <c r="I3785" s="187"/>
      <c r="J3785" s="140" t="e">
        <f ca="1">VLOOKUP(D3785,$F$1081:$I$4183,4,FALSE)+COUNTIF(E$1081:E3784,E3785)</f>
        <v>#N/A</v>
      </c>
      <c r="K3785" s="1"/>
      <c r="L3785" s="161" t="e">
        <f>IF($C$1078&gt;0,VLOOKUP($C3785,PATRIMONIALE!$AJ$4:$AP$1003,7,FALSE),"")</f>
        <v>#N/A</v>
      </c>
      <c r="M3785" s="1"/>
      <c r="N3785" s="1"/>
      <c r="O3785" s="1"/>
    </row>
    <row r="3786" spans="1:15" hidden="1">
      <c r="A3786" s="1"/>
      <c r="B3786" s="182" t="e">
        <f t="shared" ca="1" si="289"/>
        <v>#N/A</v>
      </c>
      <c r="C3786" s="500">
        <v>720</v>
      </c>
      <c r="D3786" s="41" t="e">
        <f>IF($C$1078&gt;0,VLOOKUP($C3786,PATRIMONIALE!$AJ$4:$AL$1003,3,FALSE),"")</f>
        <v>#N/A</v>
      </c>
      <c r="E3786" s="41" t="str">
        <f t="shared" si="290"/>
        <v/>
      </c>
      <c r="F3786" s="200"/>
      <c r="G3786" s="178" t="e">
        <f>IF($C$1078&gt;0,VLOOKUP($C3786,PATRIMONIALE!$AJ$4:$AN$1003,5,FALSE),"")</f>
        <v>#N/A</v>
      </c>
      <c r="H3786" s="179" t="e">
        <f>IF($C$1078&gt;0,VLOOKUP($C3786,PATRIMONIALE!$AJ$4:$AO$1003,6,FALSE),"")</f>
        <v>#N/A</v>
      </c>
      <c r="I3786" s="187"/>
      <c r="J3786" s="140" t="e">
        <f ca="1">VLOOKUP(D3786,$F$1081:$I$4183,4,FALSE)+COUNTIF(E$1081:E3785,E3786)</f>
        <v>#N/A</v>
      </c>
      <c r="K3786" s="1"/>
      <c r="L3786" s="161" t="e">
        <f>IF($C$1078&gt;0,VLOOKUP($C3786,PATRIMONIALE!$AJ$4:$AP$1003,7,FALSE),"")</f>
        <v>#N/A</v>
      </c>
      <c r="M3786" s="1"/>
      <c r="N3786" s="1"/>
      <c r="O3786" s="1"/>
    </row>
    <row r="3787" spans="1:15" hidden="1">
      <c r="A3787" s="1"/>
      <c r="B3787" s="182" t="e">
        <f t="shared" ca="1" si="289"/>
        <v>#N/A</v>
      </c>
      <c r="C3787" s="500">
        <v>721</v>
      </c>
      <c r="D3787" s="41" t="e">
        <f>IF($C$1078&gt;0,VLOOKUP($C3787,PATRIMONIALE!$AJ$4:$AL$1003,3,FALSE),"")</f>
        <v>#N/A</v>
      </c>
      <c r="E3787" s="41" t="str">
        <f t="shared" si="290"/>
        <v/>
      </c>
      <c r="F3787" s="200"/>
      <c r="G3787" s="178" t="e">
        <f>IF($C$1078&gt;0,VLOOKUP($C3787,PATRIMONIALE!$AJ$4:$AN$1003,5,FALSE),"")</f>
        <v>#N/A</v>
      </c>
      <c r="H3787" s="179" t="e">
        <f>IF($C$1078&gt;0,VLOOKUP($C3787,PATRIMONIALE!$AJ$4:$AO$1003,6,FALSE),"")</f>
        <v>#N/A</v>
      </c>
      <c r="I3787" s="187"/>
      <c r="J3787" s="140" t="e">
        <f ca="1">VLOOKUP(D3787,$F$1081:$I$4183,4,FALSE)+COUNTIF(E$1081:E3786,E3787)</f>
        <v>#N/A</v>
      </c>
      <c r="K3787" s="1"/>
      <c r="L3787" s="161" t="e">
        <f>IF($C$1078&gt;0,VLOOKUP($C3787,PATRIMONIALE!$AJ$4:$AP$1003,7,FALSE),"")</f>
        <v>#N/A</v>
      </c>
      <c r="M3787" s="1"/>
      <c r="N3787" s="1"/>
      <c r="O3787" s="1"/>
    </row>
    <row r="3788" spans="1:15" hidden="1">
      <c r="A3788" s="1"/>
      <c r="B3788" s="182" t="e">
        <f t="shared" ca="1" si="289"/>
        <v>#N/A</v>
      </c>
      <c r="C3788" s="500">
        <v>722</v>
      </c>
      <c r="D3788" s="41" t="e">
        <f>IF($C$1078&gt;0,VLOOKUP($C3788,PATRIMONIALE!$AJ$4:$AL$1003,3,FALSE),"")</f>
        <v>#N/A</v>
      </c>
      <c r="E3788" s="41" t="str">
        <f t="shared" si="290"/>
        <v/>
      </c>
      <c r="F3788" s="200"/>
      <c r="G3788" s="178" t="e">
        <f>IF($C$1078&gt;0,VLOOKUP($C3788,PATRIMONIALE!$AJ$4:$AN$1003,5,FALSE),"")</f>
        <v>#N/A</v>
      </c>
      <c r="H3788" s="179" t="e">
        <f>IF($C$1078&gt;0,VLOOKUP($C3788,PATRIMONIALE!$AJ$4:$AO$1003,6,FALSE),"")</f>
        <v>#N/A</v>
      </c>
      <c r="I3788" s="187"/>
      <c r="J3788" s="140" t="e">
        <f ca="1">VLOOKUP(D3788,$F$1081:$I$4183,4,FALSE)+COUNTIF(E$1081:E3787,E3788)</f>
        <v>#N/A</v>
      </c>
      <c r="K3788" s="1"/>
      <c r="L3788" s="161" t="e">
        <f>IF($C$1078&gt;0,VLOOKUP($C3788,PATRIMONIALE!$AJ$4:$AP$1003,7,FALSE),"")</f>
        <v>#N/A</v>
      </c>
      <c r="M3788" s="1"/>
      <c r="N3788" s="1"/>
      <c r="O3788" s="1"/>
    </row>
    <row r="3789" spans="1:15" hidden="1">
      <c r="A3789" s="1"/>
      <c r="B3789" s="182" t="e">
        <f t="shared" ca="1" si="289"/>
        <v>#N/A</v>
      </c>
      <c r="C3789" s="500">
        <v>723</v>
      </c>
      <c r="D3789" s="41" t="e">
        <f>IF($C$1078&gt;0,VLOOKUP($C3789,PATRIMONIALE!$AJ$4:$AL$1003,3,FALSE),"")</f>
        <v>#N/A</v>
      </c>
      <c r="E3789" s="41" t="str">
        <f t="shared" si="290"/>
        <v/>
      </c>
      <c r="F3789" s="200"/>
      <c r="G3789" s="178" t="e">
        <f>IF($C$1078&gt;0,VLOOKUP($C3789,PATRIMONIALE!$AJ$4:$AN$1003,5,FALSE),"")</f>
        <v>#N/A</v>
      </c>
      <c r="H3789" s="179" t="e">
        <f>IF($C$1078&gt;0,VLOOKUP($C3789,PATRIMONIALE!$AJ$4:$AO$1003,6,FALSE),"")</f>
        <v>#N/A</v>
      </c>
      <c r="I3789" s="187"/>
      <c r="J3789" s="140" t="e">
        <f ca="1">VLOOKUP(D3789,$F$1081:$I$4183,4,FALSE)+COUNTIF(E$1081:E3788,E3789)</f>
        <v>#N/A</v>
      </c>
      <c r="K3789" s="1"/>
      <c r="L3789" s="161" t="e">
        <f>IF($C$1078&gt;0,VLOOKUP($C3789,PATRIMONIALE!$AJ$4:$AP$1003,7,FALSE),"")</f>
        <v>#N/A</v>
      </c>
      <c r="M3789" s="1"/>
      <c r="N3789" s="1"/>
      <c r="O3789" s="1"/>
    </row>
    <row r="3790" spans="1:15" hidden="1">
      <c r="A3790" s="1"/>
      <c r="B3790" s="182" t="e">
        <f t="shared" ca="1" si="289"/>
        <v>#N/A</v>
      </c>
      <c r="C3790" s="500">
        <v>724</v>
      </c>
      <c r="D3790" s="41" t="e">
        <f>IF($C$1078&gt;0,VLOOKUP($C3790,PATRIMONIALE!$AJ$4:$AL$1003,3,FALSE),"")</f>
        <v>#N/A</v>
      </c>
      <c r="E3790" s="41" t="str">
        <f t="shared" si="290"/>
        <v/>
      </c>
      <c r="F3790" s="200"/>
      <c r="G3790" s="178" t="e">
        <f>IF($C$1078&gt;0,VLOOKUP($C3790,PATRIMONIALE!$AJ$4:$AN$1003,5,FALSE),"")</f>
        <v>#N/A</v>
      </c>
      <c r="H3790" s="179" t="e">
        <f>IF($C$1078&gt;0,VLOOKUP($C3790,PATRIMONIALE!$AJ$4:$AO$1003,6,FALSE),"")</f>
        <v>#N/A</v>
      </c>
      <c r="I3790" s="187"/>
      <c r="J3790" s="140" t="e">
        <f ca="1">VLOOKUP(D3790,$F$1081:$I$4183,4,FALSE)+COUNTIF(E$1081:E3789,E3790)</f>
        <v>#N/A</v>
      </c>
      <c r="K3790" s="1"/>
      <c r="L3790" s="161" t="e">
        <f>IF($C$1078&gt;0,VLOOKUP($C3790,PATRIMONIALE!$AJ$4:$AP$1003,7,FALSE),"")</f>
        <v>#N/A</v>
      </c>
      <c r="M3790" s="1"/>
      <c r="N3790" s="1"/>
      <c r="O3790" s="1"/>
    </row>
    <row r="3791" spans="1:15" hidden="1">
      <c r="A3791" s="1"/>
      <c r="B3791" s="182" t="e">
        <f t="shared" ca="1" si="289"/>
        <v>#N/A</v>
      </c>
      <c r="C3791" s="500">
        <v>725</v>
      </c>
      <c r="D3791" s="41" t="e">
        <f>IF($C$1078&gt;0,VLOOKUP($C3791,PATRIMONIALE!$AJ$4:$AL$1003,3,FALSE),"")</f>
        <v>#N/A</v>
      </c>
      <c r="E3791" s="41" t="str">
        <f t="shared" si="290"/>
        <v/>
      </c>
      <c r="F3791" s="200"/>
      <c r="G3791" s="178" t="e">
        <f>IF($C$1078&gt;0,VLOOKUP($C3791,PATRIMONIALE!$AJ$4:$AN$1003,5,FALSE),"")</f>
        <v>#N/A</v>
      </c>
      <c r="H3791" s="179" t="e">
        <f>IF($C$1078&gt;0,VLOOKUP($C3791,PATRIMONIALE!$AJ$4:$AO$1003,6,FALSE),"")</f>
        <v>#N/A</v>
      </c>
      <c r="I3791" s="187"/>
      <c r="J3791" s="140" t="e">
        <f ca="1">VLOOKUP(D3791,$F$1081:$I$4183,4,FALSE)+COUNTIF(E$1081:E3790,E3791)</f>
        <v>#N/A</v>
      </c>
      <c r="K3791" s="1"/>
      <c r="L3791" s="161" t="e">
        <f>IF($C$1078&gt;0,VLOOKUP($C3791,PATRIMONIALE!$AJ$4:$AP$1003,7,FALSE),"")</f>
        <v>#N/A</v>
      </c>
      <c r="M3791" s="1"/>
      <c r="N3791" s="1"/>
      <c r="O3791" s="1"/>
    </row>
    <row r="3792" spans="1:15" hidden="1">
      <c r="A3792" s="1"/>
      <c r="B3792" s="182" t="e">
        <f t="shared" ca="1" si="289"/>
        <v>#N/A</v>
      </c>
      <c r="C3792" s="500">
        <v>726</v>
      </c>
      <c r="D3792" s="41" t="e">
        <f>IF($C$1078&gt;0,VLOOKUP($C3792,PATRIMONIALE!$AJ$4:$AL$1003,3,FALSE),"")</f>
        <v>#N/A</v>
      </c>
      <c r="E3792" s="41" t="str">
        <f t="shared" si="290"/>
        <v/>
      </c>
      <c r="F3792" s="200"/>
      <c r="G3792" s="178" t="e">
        <f>IF($C$1078&gt;0,VLOOKUP($C3792,PATRIMONIALE!$AJ$4:$AN$1003,5,FALSE),"")</f>
        <v>#N/A</v>
      </c>
      <c r="H3792" s="179" t="e">
        <f>IF($C$1078&gt;0,VLOOKUP($C3792,PATRIMONIALE!$AJ$4:$AO$1003,6,FALSE),"")</f>
        <v>#N/A</v>
      </c>
      <c r="I3792" s="187"/>
      <c r="J3792" s="140" t="e">
        <f ca="1">VLOOKUP(D3792,$F$1081:$I$4183,4,FALSE)+COUNTIF(E$1081:E3791,E3792)</f>
        <v>#N/A</v>
      </c>
      <c r="K3792" s="1"/>
      <c r="L3792" s="161" t="e">
        <f>IF($C$1078&gt;0,VLOOKUP($C3792,PATRIMONIALE!$AJ$4:$AP$1003,7,FALSE),"")</f>
        <v>#N/A</v>
      </c>
      <c r="M3792" s="1"/>
      <c r="N3792" s="1"/>
      <c r="O3792" s="1"/>
    </row>
    <row r="3793" spans="1:15" hidden="1">
      <c r="A3793" s="1"/>
      <c r="B3793" s="182" t="e">
        <f t="shared" ca="1" si="289"/>
        <v>#N/A</v>
      </c>
      <c r="C3793" s="500">
        <v>727</v>
      </c>
      <c r="D3793" s="41" t="e">
        <f>IF($C$1078&gt;0,VLOOKUP($C3793,PATRIMONIALE!$AJ$4:$AL$1003,3,FALSE),"")</f>
        <v>#N/A</v>
      </c>
      <c r="E3793" s="41" t="str">
        <f t="shared" si="290"/>
        <v/>
      </c>
      <c r="F3793" s="200"/>
      <c r="G3793" s="178" t="e">
        <f>IF($C$1078&gt;0,VLOOKUP($C3793,PATRIMONIALE!$AJ$4:$AN$1003,5,FALSE),"")</f>
        <v>#N/A</v>
      </c>
      <c r="H3793" s="179" t="e">
        <f>IF($C$1078&gt;0,VLOOKUP($C3793,PATRIMONIALE!$AJ$4:$AO$1003,6,FALSE),"")</f>
        <v>#N/A</v>
      </c>
      <c r="I3793" s="187"/>
      <c r="J3793" s="140" t="e">
        <f ca="1">VLOOKUP(D3793,$F$1081:$I$4183,4,FALSE)+COUNTIF(E$1081:E3792,E3793)</f>
        <v>#N/A</v>
      </c>
      <c r="K3793" s="1"/>
      <c r="L3793" s="161" t="e">
        <f>IF($C$1078&gt;0,VLOOKUP($C3793,PATRIMONIALE!$AJ$4:$AP$1003,7,FALSE),"")</f>
        <v>#N/A</v>
      </c>
      <c r="M3793" s="1"/>
      <c r="N3793" s="1"/>
      <c r="O3793" s="1"/>
    </row>
    <row r="3794" spans="1:15" hidden="1">
      <c r="A3794" s="1"/>
      <c r="B3794" s="182" t="e">
        <f t="shared" ca="1" si="289"/>
        <v>#N/A</v>
      </c>
      <c r="C3794" s="500">
        <v>728</v>
      </c>
      <c r="D3794" s="41" t="e">
        <f>IF($C$1078&gt;0,VLOOKUP($C3794,PATRIMONIALE!$AJ$4:$AL$1003,3,FALSE),"")</f>
        <v>#N/A</v>
      </c>
      <c r="E3794" s="41" t="str">
        <f t="shared" si="290"/>
        <v/>
      </c>
      <c r="F3794" s="200"/>
      <c r="G3794" s="178" t="e">
        <f>IF($C$1078&gt;0,VLOOKUP($C3794,PATRIMONIALE!$AJ$4:$AN$1003,5,FALSE),"")</f>
        <v>#N/A</v>
      </c>
      <c r="H3794" s="179" t="e">
        <f>IF($C$1078&gt;0,VLOOKUP($C3794,PATRIMONIALE!$AJ$4:$AO$1003,6,FALSE),"")</f>
        <v>#N/A</v>
      </c>
      <c r="I3794" s="187"/>
      <c r="J3794" s="140" t="e">
        <f ca="1">VLOOKUP(D3794,$F$1081:$I$4183,4,FALSE)+COUNTIF(E$1081:E3793,E3794)</f>
        <v>#N/A</v>
      </c>
      <c r="K3794" s="1"/>
      <c r="L3794" s="161" t="e">
        <f>IF($C$1078&gt;0,VLOOKUP($C3794,PATRIMONIALE!$AJ$4:$AP$1003,7,FALSE),"")</f>
        <v>#N/A</v>
      </c>
      <c r="M3794" s="1"/>
      <c r="N3794" s="1"/>
      <c r="O3794" s="1"/>
    </row>
    <row r="3795" spans="1:15" hidden="1">
      <c r="A3795" s="1"/>
      <c r="B3795" s="182" t="e">
        <f t="shared" ca="1" si="289"/>
        <v>#N/A</v>
      </c>
      <c r="C3795" s="500">
        <v>729</v>
      </c>
      <c r="D3795" s="41" t="e">
        <f>IF($C$1078&gt;0,VLOOKUP($C3795,PATRIMONIALE!$AJ$4:$AL$1003,3,FALSE),"")</f>
        <v>#N/A</v>
      </c>
      <c r="E3795" s="41" t="str">
        <f t="shared" si="290"/>
        <v/>
      </c>
      <c r="F3795" s="200"/>
      <c r="G3795" s="178" t="e">
        <f>IF($C$1078&gt;0,VLOOKUP($C3795,PATRIMONIALE!$AJ$4:$AN$1003,5,FALSE),"")</f>
        <v>#N/A</v>
      </c>
      <c r="H3795" s="179" t="e">
        <f>IF($C$1078&gt;0,VLOOKUP($C3795,PATRIMONIALE!$AJ$4:$AO$1003,6,FALSE),"")</f>
        <v>#N/A</v>
      </c>
      <c r="I3795" s="187"/>
      <c r="J3795" s="140" t="e">
        <f ca="1">VLOOKUP(D3795,$F$1081:$I$4183,4,FALSE)+COUNTIF(E$1081:E3794,E3795)</f>
        <v>#N/A</v>
      </c>
      <c r="K3795" s="1"/>
      <c r="L3795" s="161" t="e">
        <f>IF($C$1078&gt;0,VLOOKUP($C3795,PATRIMONIALE!$AJ$4:$AP$1003,7,FALSE),"")</f>
        <v>#N/A</v>
      </c>
      <c r="M3795" s="1"/>
      <c r="N3795" s="1"/>
      <c r="O3795" s="1"/>
    </row>
    <row r="3796" spans="1:15" hidden="1">
      <c r="A3796" s="1"/>
      <c r="B3796" s="182" t="e">
        <f t="shared" ca="1" si="289"/>
        <v>#N/A</v>
      </c>
      <c r="C3796" s="500">
        <v>730</v>
      </c>
      <c r="D3796" s="41" t="e">
        <f>IF($C$1078&gt;0,VLOOKUP($C3796,PATRIMONIALE!$AJ$4:$AL$1003,3,FALSE),"")</f>
        <v>#N/A</v>
      </c>
      <c r="E3796" s="41" t="str">
        <f t="shared" si="290"/>
        <v/>
      </c>
      <c r="F3796" s="200"/>
      <c r="G3796" s="178" t="e">
        <f>IF($C$1078&gt;0,VLOOKUP($C3796,PATRIMONIALE!$AJ$4:$AN$1003,5,FALSE),"")</f>
        <v>#N/A</v>
      </c>
      <c r="H3796" s="179" t="e">
        <f>IF($C$1078&gt;0,VLOOKUP($C3796,PATRIMONIALE!$AJ$4:$AO$1003,6,FALSE),"")</f>
        <v>#N/A</v>
      </c>
      <c r="I3796" s="187"/>
      <c r="J3796" s="140" t="e">
        <f ca="1">VLOOKUP(D3796,$F$1081:$I$4183,4,FALSE)+COUNTIF(E$1081:E3795,E3796)</f>
        <v>#N/A</v>
      </c>
      <c r="K3796" s="1"/>
      <c r="L3796" s="161" t="e">
        <f>IF($C$1078&gt;0,VLOOKUP($C3796,PATRIMONIALE!$AJ$4:$AP$1003,7,FALSE),"")</f>
        <v>#N/A</v>
      </c>
      <c r="M3796" s="1"/>
      <c r="N3796" s="1"/>
      <c r="O3796" s="1"/>
    </row>
    <row r="3797" spans="1:15" hidden="1">
      <c r="A3797" s="1"/>
      <c r="B3797" s="182" t="e">
        <f t="shared" ca="1" si="289"/>
        <v>#N/A</v>
      </c>
      <c r="C3797" s="500">
        <v>731</v>
      </c>
      <c r="D3797" s="41" t="e">
        <f>IF($C$1078&gt;0,VLOOKUP($C3797,PATRIMONIALE!$AJ$4:$AL$1003,3,FALSE),"")</f>
        <v>#N/A</v>
      </c>
      <c r="E3797" s="41" t="str">
        <f t="shared" si="290"/>
        <v/>
      </c>
      <c r="F3797" s="200"/>
      <c r="G3797" s="178" t="e">
        <f>IF($C$1078&gt;0,VLOOKUP($C3797,PATRIMONIALE!$AJ$4:$AN$1003,5,FALSE),"")</f>
        <v>#N/A</v>
      </c>
      <c r="H3797" s="179" t="e">
        <f>IF($C$1078&gt;0,VLOOKUP($C3797,PATRIMONIALE!$AJ$4:$AO$1003,6,FALSE),"")</f>
        <v>#N/A</v>
      </c>
      <c r="I3797" s="187"/>
      <c r="J3797" s="140" t="e">
        <f ca="1">VLOOKUP(D3797,$F$1081:$I$4183,4,FALSE)+COUNTIF(E$1081:E3796,E3797)</f>
        <v>#N/A</v>
      </c>
      <c r="K3797" s="1"/>
      <c r="L3797" s="161" t="e">
        <f>IF($C$1078&gt;0,VLOOKUP($C3797,PATRIMONIALE!$AJ$4:$AP$1003,7,FALSE),"")</f>
        <v>#N/A</v>
      </c>
      <c r="M3797" s="1"/>
      <c r="N3797" s="1"/>
      <c r="O3797" s="1"/>
    </row>
    <row r="3798" spans="1:15" hidden="1">
      <c r="A3798" s="1"/>
      <c r="B3798" s="182" t="e">
        <f t="shared" ca="1" si="289"/>
        <v>#N/A</v>
      </c>
      <c r="C3798" s="500">
        <v>732</v>
      </c>
      <c r="D3798" s="41" t="e">
        <f>IF($C$1078&gt;0,VLOOKUP($C3798,PATRIMONIALE!$AJ$4:$AL$1003,3,FALSE),"")</f>
        <v>#N/A</v>
      </c>
      <c r="E3798" s="41" t="str">
        <f t="shared" si="290"/>
        <v/>
      </c>
      <c r="F3798" s="200"/>
      <c r="G3798" s="178" t="e">
        <f>IF($C$1078&gt;0,VLOOKUP($C3798,PATRIMONIALE!$AJ$4:$AN$1003,5,FALSE),"")</f>
        <v>#N/A</v>
      </c>
      <c r="H3798" s="179" t="e">
        <f>IF($C$1078&gt;0,VLOOKUP($C3798,PATRIMONIALE!$AJ$4:$AO$1003,6,FALSE),"")</f>
        <v>#N/A</v>
      </c>
      <c r="I3798" s="187"/>
      <c r="J3798" s="140" t="e">
        <f ca="1">VLOOKUP(D3798,$F$1081:$I$4183,4,FALSE)+COUNTIF(E$1081:E3797,E3798)</f>
        <v>#N/A</v>
      </c>
      <c r="K3798" s="1"/>
      <c r="L3798" s="161" t="e">
        <f>IF($C$1078&gt;0,VLOOKUP($C3798,PATRIMONIALE!$AJ$4:$AP$1003,7,FALSE),"")</f>
        <v>#N/A</v>
      </c>
      <c r="M3798" s="1"/>
      <c r="N3798" s="1"/>
      <c r="O3798" s="1"/>
    </row>
    <row r="3799" spans="1:15" hidden="1">
      <c r="A3799" s="1"/>
      <c r="B3799" s="182" t="e">
        <f t="shared" ca="1" si="289"/>
        <v>#N/A</v>
      </c>
      <c r="C3799" s="500">
        <v>733</v>
      </c>
      <c r="D3799" s="41" t="e">
        <f>IF($C$1078&gt;0,VLOOKUP($C3799,PATRIMONIALE!$AJ$4:$AL$1003,3,FALSE),"")</f>
        <v>#N/A</v>
      </c>
      <c r="E3799" s="41" t="str">
        <f t="shared" si="290"/>
        <v/>
      </c>
      <c r="F3799" s="200"/>
      <c r="G3799" s="178" t="e">
        <f>IF($C$1078&gt;0,VLOOKUP($C3799,PATRIMONIALE!$AJ$4:$AN$1003,5,FALSE),"")</f>
        <v>#N/A</v>
      </c>
      <c r="H3799" s="179" t="e">
        <f>IF($C$1078&gt;0,VLOOKUP($C3799,PATRIMONIALE!$AJ$4:$AO$1003,6,FALSE),"")</f>
        <v>#N/A</v>
      </c>
      <c r="I3799" s="187"/>
      <c r="J3799" s="140" t="e">
        <f ca="1">VLOOKUP(D3799,$F$1081:$I$4183,4,FALSE)+COUNTIF(E$1081:E3798,E3799)</f>
        <v>#N/A</v>
      </c>
      <c r="K3799" s="1"/>
      <c r="L3799" s="161" t="e">
        <f>IF($C$1078&gt;0,VLOOKUP($C3799,PATRIMONIALE!$AJ$4:$AP$1003,7,FALSE),"")</f>
        <v>#N/A</v>
      </c>
      <c r="M3799" s="1"/>
      <c r="N3799" s="1"/>
      <c r="O3799" s="1"/>
    </row>
    <row r="3800" spans="1:15" hidden="1">
      <c r="A3800" s="1"/>
      <c r="B3800" s="182" t="e">
        <f t="shared" ca="1" si="289"/>
        <v>#N/A</v>
      </c>
      <c r="C3800" s="500">
        <v>734</v>
      </c>
      <c r="D3800" s="41" t="e">
        <f>IF($C$1078&gt;0,VLOOKUP($C3800,PATRIMONIALE!$AJ$4:$AL$1003,3,FALSE),"")</f>
        <v>#N/A</v>
      </c>
      <c r="E3800" s="41" t="str">
        <f t="shared" si="290"/>
        <v/>
      </c>
      <c r="F3800" s="200"/>
      <c r="G3800" s="178" t="e">
        <f>IF($C$1078&gt;0,VLOOKUP($C3800,PATRIMONIALE!$AJ$4:$AN$1003,5,FALSE),"")</f>
        <v>#N/A</v>
      </c>
      <c r="H3800" s="179" t="e">
        <f>IF($C$1078&gt;0,VLOOKUP($C3800,PATRIMONIALE!$AJ$4:$AO$1003,6,FALSE),"")</f>
        <v>#N/A</v>
      </c>
      <c r="I3800" s="187"/>
      <c r="J3800" s="140" t="e">
        <f ca="1">VLOOKUP(D3800,$F$1081:$I$4183,4,FALSE)+COUNTIF(E$1081:E3799,E3800)</f>
        <v>#N/A</v>
      </c>
      <c r="K3800" s="1"/>
      <c r="L3800" s="161" t="e">
        <f>IF($C$1078&gt;0,VLOOKUP($C3800,PATRIMONIALE!$AJ$4:$AP$1003,7,FALSE),"")</f>
        <v>#N/A</v>
      </c>
      <c r="M3800" s="1"/>
      <c r="N3800" s="1"/>
      <c r="O3800" s="1"/>
    </row>
    <row r="3801" spans="1:15" hidden="1">
      <c r="A3801" s="1"/>
      <c r="B3801" s="182" t="e">
        <f t="shared" ca="1" si="289"/>
        <v>#N/A</v>
      </c>
      <c r="C3801" s="500">
        <v>735</v>
      </c>
      <c r="D3801" s="41" t="e">
        <f>IF($C$1078&gt;0,VLOOKUP($C3801,PATRIMONIALE!$AJ$4:$AL$1003,3,FALSE),"")</f>
        <v>#N/A</v>
      </c>
      <c r="E3801" s="41" t="str">
        <f t="shared" si="290"/>
        <v/>
      </c>
      <c r="F3801" s="200"/>
      <c r="G3801" s="178" t="e">
        <f>IF($C$1078&gt;0,VLOOKUP($C3801,PATRIMONIALE!$AJ$4:$AN$1003,5,FALSE),"")</f>
        <v>#N/A</v>
      </c>
      <c r="H3801" s="179" t="e">
        <f>IF($C$1078&gt;0,VLOOKUP($C3801,PATRIMONIALE!$AJ$4:$AO$1003,6,FALSE),"")</f>
        <v>#N/A</v>
      </c>
      <c r="I3801" s="187"/>
      <c r="J3801" s="140" t="e">
        <f ca="1">VLOOKUP(D3801,$F$1081:$I$4183,4,FALSE)+COUNTIF(E$1081:E3800,E3801)</f>
        <v>#N/A</v>
      </c>
      <c r="K3801" s="1"/>
      <c r="L3801" s="161" t="e">
        <f>IF($C$1078&gt;0,VLOOKUP($C3801,PATRIMONIALE!$AJ$4:$AP$1003,7,FALSE),"")</f>
        <v>#N/A</v>
      </c>
      <c r="M3801" s="1"/>
      <c r="N3801" s="1"/>
      <c r="O3801" s="1"/>
    </row>
    <row r="3802" spans="1:15" hidden="1">
      <c r="A3802" s="1"/>
      <c r="B3802" s="182" t="e">
        <f t="shared" ca="1" si="289"/>
        <v>#N/A</v>
      </c>
      <c r="C3802" s="500">
        <v>736</v>
      </c>
      <c r="D3802" s="41" t="e">
        <f>IF($C$1078&gt;0,VLOOKUP($C3802,PATRIMONIALE!$AJ$4:$AL$1003,3,FALSE),"")</f>
        <v>#N/A</v>
      </c>
      <c r="E3802" s="41" t="str">
        <f t="shared" si="290"/>
        <v/>
      </c>
      <c r="F3802" s="200"/>
      <c r="G3802" s="178" t="e">
        <f>IF($C$1078&gt;0,VLOOKUP($C3802,PATRIMONIALE!$AJ$4:$AN$1003,5,FALSE),"")</f>
        <v>#N/A</v>
      </c>
      <c r="H3802" s="179" t="e">
        <f>IF($C$1078&gt;0,VLOOKUP($C3802,PATRIMONIALE!$AJ$4:$AO$1003,6,FALSE),"")</f>
        <v>#N/A</v>
      </c>
      <c r="I3802" s="187"/>
      <c r="J3802" s="140" t="e">
        <f ca="1">VLOOKUP(D3802,$F$1081:$I$4183,4,FALSE)+COUNTIF(E$1081:E3801,E3802)</f>
        <v>#N/A</v>
      </c>
      <c r="K3802" s="1"/>
      <c r="L3802" s="161" t="e">
        <f>IF($C$1078&gt;0,VLOOKUP($C3802,PATRIMONIALE!$AJ$4:$AP$1003,7,FALSE),"")</f>
        <v>#N/A</v>
      </c>
      <c r="M3802" s="1"/>
      <c r="N3802" s="1"/>
      <c r="O3802" s="1"/>
    </row>
    <row r="3803" spans="1:15" hidden="1">
      <c r="A3803" s="1"/>
      <c r="B3803" s="182" t="e">
        <f t="shared" ca="1" si="289"/>
        <v>#N/A</v>
      </c>
      <c r="C3803" s="500">
        <v>737</v>
      </c>
      <c r="D3803" s="41" t="e">
        <f>IF($C$1078&gt;0,VLOOKUP($C3803,PATRIMONIALE!$AJ$4:$AL$1003,3,FALSE),"")</f>
        <v>#N/A</v>
      </c>
      <c r="E3803" s="41" t="str">
        <f t="shared" si="290"/>
        <v/>
      </c>
      <c r="F3803" s="200"/>
      <c r="G3803" s="178" t="e">
        <f>IF($C$1078&gt;0,VLOOKUP($C3803,PATRIMONIALE!$AJ$4:$AN$1003,5,FALSE),"")</f>
        <v>#N/A</v>
      </c>
      <c r="H3803" s="179" t="e">
        <f>IF($C$1078&gt;0,VLOOKUP($C3803,PATRIMONIALE!$AJ$4:$AO$1003,6,FALSE),"")</f>
        <v>#N/A</v>
      </c>
      <c r="I3803" s="187"/>
      <c r="J3803" s="140" t="e">
        <f ca="1">VLOOKUP(D3803,$F$1081:$I$4183,4,FALSE)+COUNTIF(E$1081:E3802,E3803)</f>
        <v>#N/A</v>
      </c>
      <c r="K3803" s="1"/>
      <c r="L3803" s="161" t="e">
        <f>IF($C$1078&gt;0,VLOOKUP($C3803,PATRIMONIALE!$AJ$4:$AP$1003,7,FALSE),"")</f>
        <v>#N/A</v>
      </c>
      <c r="M3803" s="1"/>
      <c r="N3803" s="1"/>
      <c r="O3803" s="1"/>
    </row>
    <row r="3804" spans="1:15" hidden="1">
      <c r="A3804" s="1"/>
      <c r="B3804" s="182" t="e">
        <f t="shared" ca="1" si="289"/>
        <v>#N/A</v>
      </c>
      <c r="C3804" s="500">
        <v>738</v>
      </c>
      <c r="D3804" s="41" t="e">
        <f>IF($C$1078&gt;0,VLOOKUP($C3804,PATRIMONIALE!$AJ$4:$AL$1003,3,FALSE),"")</f>
        <v>#N/A</v>
      </c>
      <c r="E3804" s="41" t="str">
        <f t="shared" si="290"/>
        <v/>
      </c>
      <c r="F3804" s="200"/>
      <c r="G3804" s="178" t="e">
        <f>IF($C$1078&gt;0,VLOOKUP($C3804,PATRIMONIALE!$AJ$4:$AN$1003,5,FALSE),"")</f>
        <v>#N/A</v>
      </c>
      <c r="H3804" s="179" t="e">
        <f>IF($C$1078&gt;0,VLOOKUP($C3804,PATRIMONIALE!$AJ$4:$AO$1003,6,FALSE),"")</f>
        <v>#N/A</v>
      </c>
      <c r="I3804" s="187"/>
      <c r="J3804" s="140" t="e">
        <f ca="1">VLOOKUP(D3804,$F$1081:$I$4183,4,FALSE)+COUNTIF(E$1081:E3803,E3804)</f>
        <v>#N/A</v>
      </c>
      <c r="K3804" s="1"/>
      <c r="L3804" s="161" t="e">
        <f>IF($C$1078&gt;0,VLOOKUP($C3804,PATRIMONIALE!$AJ$4:$AP$1003,7,FALSE),"")</f>
        <v>#N/A</v>
      </c>
      <c r="M3804" s="1"/>
      <c r="N3804" s="1"/>
      <c r="O3804" s="1"/>
    </row>
    <row r="3805" spans="1:15" hidden="1">
      <c r="A3805" s="1"/>
      <c r="B3805" s="182" t="e">
        <f t="shared" ca="1" si="289"/>
        <v>#N/A</v>
      </c>
      <c r="C3805" s="500">
        <v>739</v>
      </c>
      <c r="D3805" s="41" t="e">
        <f>IF($C$1078&gt;0,VLOOKUP($C3805,PATRIMONIALE!$AJ$4:$AL$1003,3,FALSE),"")</f>
        <v>#N/A</v>
      </c>
      <c r="E3805" s="41" t="str">
        <f t="shared" si="290"/>
        <v/>
      </c>
      <c r="F3805" s="200"/>
      <c r="G3805" s="178" t="e">
        <f>IF($C$1078&gt;0,VLOOKUP($C3805,PATRIMONIALE!$AJ$4:$AN$1003,5,FALSE),"")</f>
        <v>#N/A</v>
      </c>
      <c r="H3805" s="179" t="e">
        <f>IF($C$1078&gt;0,VLOOKUP($C3805,PATRIMONIALE!$AJ$4:$AO$1003,6,FALSE),"")</f>
        <v>#N/A</v>
      </c>
      <c r="I3805" s="187"/>
      <c r="J3805" s="140" t="e">
        <f ca="1">VLOOKUP(D3805,$F$1081:$I$4183,4,FALSE)+COUNTIF(E$1081:E3804,E3805)</f>
        <v>#N/A</v>
      </c>
      <c r="K3805" s="1"/>
      <c r="L3805" s="161" t="e">
        <f>IF($C$1078&gt;0,VLOOKUP($C3805,PATRIMONIALE!$AJ$4:$AP$1003,7,FALSE),"")</f>
        <v>#N/A</v>
      </c>
      <c r="M3805" s="1"/>
      <c r="N3805" s="1"/>
      <c r="O3805" s="1"/>
    </row>
    <row r="3806" spans="1:15" hidden="1">
      <c r="A3806" s="1"/>
      <c r="B3806" s="182" t="e">
        <f t="shared" ca="1" si="289"/>
        <v>#N/A</v>
      </c>
      <c r="C3806" s="500">
        <v>740</v>
      </c>
      <c r="D3806" s="41" t="e">
        <f>IF($C$1078&gt;0,VLOOKUP($C3806,PATRIMONIALE!$AJ$4:$AL$1003,3,FALSE),"")</f>
        <v>#N/A</v>
      </c>
      <c r="E3806" s="41" t="str">
        <f t="shared" si="290"/>
        <v/>
      </c>
      <c r="F3806" s="200"/>
      <c r="G3806" s="178" t="e">
        <f>IF($C$1078&gt;0,VLOOKUP($C3806,PATRIMONIALE!$AJ$4:$AN$1003,5,FALSE),"")</f>
        <v>#N/A</v>
      </c>
      <c r="H3806" s="179" t="e">
        <f>IF($C$1078&gt;0,VLOOKUP($C3806,PATRIMONIALE!$AJ$4:$AO$1003,6,FALSE),"")</f>
        <v>#N/A</v>
      </c>
      <c r="I3806" s="187"/>
      <c r="J3806" s="140" t="e">
        <f ca="1">VLOOKUP(D3806,$F$1081:$I$4183,4,FALSE)+COUNTIF(E$1081:E3805,E3806)</f>
        <v>#N/A</v>
      </c>
      <c r="K3806" s="1"/>
      <c r="L3806" s="161" t="e">
        <f>IF($C$1078&gt;0,VLOOKUP($C3806,PATRIMONIALE!$AJ$4:$AP$1003,7,FALSE),"")</f>
        <v>#N/A</v>
      </c>
      <c r="M3806" s="1"/>
      <c r="N3806" s="1"/>
      <c r="O3806" s="1"/>
    </row>
    <row r="3807" spans="1:15" hidden="1">
      <c r="A3807" s="1"/>
      <c r="B3807" s="182" t="e">
        <f t="shared" ca="1" si="289"/>
        <v>#N/A</v>
      </c>
      <c r="C3807" s="500">
        <v>741</v>
      </c>
      <c r="D3807" s="41" t="e">
        <f>IF($C$1078&gt;0,VLOOKUP($C3807,PATRIMONIALE!$AJ$4:$AL$1003,3,FALSE),"")</f>
        <v>#N/A</v>
      </c>
      <c r="E3807" s="41" t="str">
        <f t="shared" si="290"/>
        <v/>
      </c>
      <c r="F3807" s="200"/>
      <c r="G3807" s="178" t="e">
        <f>IF($C$1078&gt;0,VLOOKUP($C3807,PATRIMONIALE!$AJ$4:$AN$1003,5,FALSE),"")</f>
        <v>#N/A</v>
      </c>
      <c r="H3807" s="179" t="e">
        <f>IF($C$1078&gt;0,VLOOKUP($C3807,PATRIMONIALE!$AJ$4:$AO$1003,6,FALSE),"")</f>
        <v>#N/A</v>
      </c>
      <c r="I3807" s="187"/>
      <c r="J3807" s="140" t="e">
        <f ca="1">VLOOKUP(D3807,$F$1081:$I$4183,4,FALSE)+COUNTIF(E$1081:E3806,E3807)</f>
        <v>#N/A</v>
      </c>
      <c r="K3807" s="1"/>
      <c r="L3807" s="161" t="e">
        <f>IF($C$1078&gt;0,VLOOKUP($C3807,PATRIMONIALE!$AJ$4:$AP$1003,7,FALSE),"")</f>
        <v>#N/A</v>
      </c>
      <c r="M3807" s="1"/>
      <c r="N3807" s="1"/>
      <c r="O3807" s="1"/>
    </row>
    <row r="3808" spans="1:15" hidden="1">
      <c r="A3808" s="1"/>
      <c r="B3808" s="182" t="e">
        <f t="shared" ca="1" si="289"/>
        <v>#N/A</v>
      </c>
      <c r="C3808" s="500">
        <v>742</v>
      </c>
      <c r="D3808" s="41" t="e">
        <f>IF($C$1078&gt;0,VLOOKUP($C3808,PATRIMONIALE!$AJ$4:$AL$1003,3,FALSE),"")</f>
        <v>#N/A</v>
      </c>
      <c r="E3808" s="41" t="str">
        <f t="shared" si="290"/>
        <v/>
      </c>
      <c r="F3808" s="200"/>
      <c r="G3808" s="178" t="e">
        <f>IF($C$1078&gt;0,VLOOKUP($C3808,PATRIMONIALE!$AJ$4:$AN$1003,5,FALSE),"")</f>
        <v>#N/A</v>
      </c>
      <c r="H3808" s="179" t="e">
        <f>IF($C$1078&gt;0,VLOOKUP($C3808,PATRIMONIALE!$AJ$4:$AO$1003,6,FALSE),"")</f>
        <v>#N/A</v>
      </c>
      <c r="I3808" s="187"/>
      <c r="J3808" s="140" t="e">
        <f ca="1">VLOOKUP(D3808,$F$1081:$I$4183,4,FALSE)+COUNTIF(E$1081:E3807,E3808)</f>
        <v>#N/A</v>
      </c>
      <c r="K3808" s="1"/>
      <c r="L3808" s="161" t="e">
        <f>IF($C$1078&gt;0,VLOOKUP($C3808,PATRIMONIALE!$AJ$4:$AP$1003,7,FALSE),"")</f>
        <v>#N/A</v>
      </c>
      <c r="M3808" s="1"/>
      <c r="N3808" s="1"/>
      <c r="O3808" s="1"/>
    </row>
    <row r="3809" spans="1:15" hidden="1">
      <c r="A3809" s="1"/>
      <c r="B3809" s="182" t="e">
        <f t="shared" ca="1" si="289"/>
        <v>#N/A</v>
      </c>
      <c r="C3809" s="500">
        <v>743</v>
      </c>
      <c r="D3809" s="41" t="e">
        <f>IF($C$1078&gt;0,VLOOKUP($C3809,PATRIMONIALE!$AJ$4:$AL$1003,3,FALSE),"")</f>
        <v>#N/A</v>
      </c>
      <c r="E3809" s="41" t="str">
        <f t="shared" si="290"/>
        <v/>
      </c>
      <c r="F3809" s="200"/>
      <c r="G3809" s="178" t="e">
        <f>IF($C$1078&gt;0,VLOOKUP($C3809,PATRIMONIALE!$AJ$4:$AN$1003,5,FALSE),"")</f>
        <v>#N/A</v>
      </c>
      <c r="H3809" s="179" t="e">
        <f>IF($C$1078&gt;0,VLOOKUP($C3809,PATRIMONIALE!$AJ$4:$AO$1003,6,FALSE),"")</f>
        <v>#N/A</v>
      </c>
      <c r="I3809" s="187"/>
      <c r="J3809" s="140" t="e">
        <f ca="1">VLOOKUP(D3809,$F$1081:$I$4183,4,FALSE)+COUNTIF(E$1081:E3808,E3809)</f>
        <v>#N/A</v>
      </c>
      <c r="K3809" s="1"/>
      <c r="L3809" s="161" t="e">
        <f>IF($C$1078&gt;0,VLOOKUP($C3809,PATRIMONIALE!$AJ$4:$AP$1003,7,FALSE),"")</f>
        <v>#N/A</v>
      </c>
      <c r="M3809" s="1"/>
      <c r="N3809" s="1"/>
      <c r="O3809" s="1"/>
    </row>
    <row r="3810" spans="1:15" hidden="1">
      <c r="A3810" s="1"/>
      <c r="B3810" s="182" t="e">
        <f t="shared" ca="1" si="289"/>
        <v>#N/A</v>
      </c>
      <c r="C3810" s="500">
        <v>744</v>
      </c>
      <c r="D3810" s="41" t="e">
        <f>IF($C$1078&gt;0,VLOOKUP($C3810,PATRIMONIALE!$AJ$4:$AL$1003,3,FALSE),"")</f>
        <v>#N/A</v>
      </c>
      <c r="E3810" s="41" t="str">
        <f t="shared" si="290"/>
        <v/>
      </c>
      <c r="F3810" s="200"/>
      <c r="G3810" s="178" t="e">
        <f>IF($C$1078&gt;0,VLOOKUP($C3810,PATRIMONIALE!$AJ$4:$AN$1003,5,FALSE),"")</f>
        <v>#N/A</v>
      </c>
      <c r="H3810" s="179" t="e">
        <f>IF($C$1078&gt;0,VLOOKUP($C3810,PATRIMONIALE!$AJ$4:$AO$1003,6,FALSE),"")</f>
        <v>#N/A</v>
      </c>
      <c r="I3810" s="187"/>
      <c r="J3810" s="140" t="e">
        <f ca="1">VLOOKUP(D3810,$F$1081:$I$4183,4,FALSE)+COUNTIF(E$1081:E3809,E3810)</f>
        <v>#N/A</v>
      </c>
      <c r="K3810" s="1"/>
      <c r="L3810" s="161" t="e">
        <f>IF($C$1078&gt;0,VLOOKUP($C3810,PATRIMONIALE!$AJ$4:$AP$1003,7,FALSE),"")</f>
        <v>#N/A</v>
      </c>
      <c r="M3810" s="1"/>
      <c r="N3810" s="1"/>
      <c r="O3810" s="1"/>
    </row>
    <row r="3811" spans="1:15" hidden="1">
      <c r="A3811" s="1"/>
      <c r="B3811" s="182" t="e">
        <f t="shared" ca="1" si="289"/>
        <v>#N/A</v>
      </c>
      <c r="C3811" s="500">
        <v>745</v>
      </c>
      <c r="D3811" s="41" t="e">
        <f>IF($C$1078&gt;0,VLOOKUP($C3811,PATRIMONIALE!$AJ$4:$AL$1003,3,FALSE),"")</f>
        <v>#N/A</v>
      </c>
      <c r="E3811" s="41" t="str">
        <f t="shared" si="290"/>
        <v/>
      </c>
      <c r="F3811" s="200"/>
      <c r="G3811" s="178" t="e">
        <f>IF($C$1078&gt;0,VLOOKUP($C3811,PATRIMONIALE!$AJ$4:$AN$1003,5,FALSE),"")</f>
        <v>#N/A</v>
      </c>
      <c r="H3811" s="179" t="e">
        <f>IF($C$1078&gt;0,VLOOKUP($C3811,PATRIMONIALE!$AJ$4:$AO$1003,6,FALSE),"")</f>
        <v>#N/A</v>
      </c>
      <c r="I3811" s="187"/>
      <c r="J3811" s="140" t="e">
        <f ca="1">VLOOKUP(D3811,$F$1081:$I$4183,4,FALSE)+COUNTIF(E$1081:E3810,E3811)</f>
        <v>#N/A</v>
      </c>
      <c r="K3811" s="1"/>
      <c r="L3811" s="161" t="e">
        <f>IF($C$1078&gt;0,VLOOKUP($C3811,PATRIMONIALE!$AJ$4:$AP$1003,7,FALSE),"")</f>
        <v>#N/A</v>
      </c>
      <c r="M3811" s="1"/>
      <c r="N3811" s="1"/>
      <c r="O3811" s="1"/>
    </row>
    <row r="3812" spans="1:15" hidden="1">
      <c r="A3812" s="1"/>
      <c r="B3812" s="182" t="e">
        <f t="shared" ca="1" si="289"/>
        <v>#N/A</v>
      </c>
      <c r="C3812" s="500">
        <v>746</v>
      </c>
      <c r="D3812" s="41" t="e">
        <f>IF($C$1078&gt;0,VLOOKUP($C3812,PATRIMONIALE!$AJ$4:$AL$1003,3,FALSE),"")</f>
        <v>#N/A</v>
      </c>
      <c r="E3812" s="41" t="str">
        <f t="shared" si="290"/>
        <v/>
      </c>
      <c r="F3812" s="200"/>
      <c r="G3812" s="178" t="e">
        <f>IF($C$1078&gt;0,VLOOKUP($C3812,PATRIMONIALE!$AJ$4:$AN$1003,5,FALSE),"")</f>
        <v>#N/A</v>
      </c>
      <c r="H3812" s="179" t="e">
        <f>IF($C$1078&gt;0,VLOOKUP($C3812,PATRIMONIALE!$AJ$4:$AO$1003,6,FALSE),"")</f>
        <v>#N/A</v>
      </c>
      <c r="I3812" s="187"/>
      <c r="J3812" s="140" t="e">
        <f ca="1">VLOOKUP(D3812,$F$1081:$I$4183,4,FALSE)+COUNTIF(E$1081:E3811,E3812)</f>
        <v>#N/A</v>
      </c>
      <c r="K3812" s="1"/>
      <c r="L3812" s="161" t="e">
        <f>IF($C$1078&gt;0,VLOOKUP($C3812,PATRIMONIALE!$AJ$4:$AP$1003,7,FALSE),"")</f>
        <v>#N/A</v>
      </c>
      <c r="M3812" s="1"/>
      <c r="N3812" s="1"/>
      <c r="O3812" s="1"/>
    </row>
    <row r="3813" spans="1:15" hidden="1">
      <c r="A3813" s="1"/>
      <c r="B3813" s="182" t="e">
        <f t="shared" ca="1" si="289"/>
        <v>#N/A</v>
      </c>
      <c r="C3813" s="500">
        <v>747</v>
      </c>
      <c r="D3813" s="41" t="e">
        <f>IF($C$1078&gt;0,VLOOKUP($C3813,PATRIMONIALE!$AJ$4:$AL$1003,3,FALSE),"")</f>
        <v>#N/A</v>
      </c>
      <c r="E3813" s="41" t="str">
        <f t="shared" si="290"/>
        <v/>
      </c>
      <c r="F3813" s="200"/>
      <c r="G3813" s="178" t="e">
        <f>IF($C$1078&gt;0,VLOOKUP($C3813,PATRIMONIALE!$AJ$4:$AN$1003,5,FALSE),"")</f>
        <v>#N/A</v>
      </c>
      <c r="H3813" s="179" t="e">
        <f>IF($C$1078&gt;0,VLOOKUP($C3813,PATRIMONIALE!$AJ$4:$AO$1003,6,FALSE),"")</f>
        <v>#N/A</v>
      </c>
      <c r="I3813" s="187"/>
      <c r="J3813" s="140" t="e">
        <f ca="1">VLOOKUP(D3813,$F$1081:$I$4183,4,FALSE)+COUNTIF(E$1081:E3812,E3813)</f>
        <v>#N/A</v>
      </c>
      <c r="K3813" s="1"/>
      <c r="L3813" s="161" t="e">
        <f>IF($C$1078&gt;0,VLOOKUP($C3813,PATRIMONIALE!$AJ$4:$AP$1003,7,FALSE),"")</f>
        <v>#N/A</v>
      </c>
      <c r="M3813" s="1"/>
      <c r="N3813" s="1"/>
      <c r="O3813" s="1"/>
    </row>
    <row r="3814" spans="1:15" hidden="1">
      <c r="A3814" s="1"/>
      <c r="B3814" s="182" t="e">
        <f t="shared" ca="1" si="289"/>
        <v>#N/A</v>
      </c>
      <c r="C3814" s="500">
        <v>748</v>
      </c>
      <c r="D3814" s="41" t="e">
        <f>IF($C$1078&gt;0,VLOOKUP($C3814,PATRIMONIALE!$AJ$4:$AL$1003,3,FALSE),"")</f>
        <v>#N/A</v>
      </c>
      <c r="E3814" s="41" t="str">
        <f t="shared" si="290"/>
        <v/>
      </c>
      <c r="F3814" s="200"/>
      <c r="G3814" s="178" t="e">
        <f>IF($C$1078&gt;0,VLOOKUP($C3814,PATRIMONIALE!$AJ$4:$AN$1003,5,FALSE),"")</f>
        <v>#N/A</v>
      </c>
      <c r="H3814" s="179" t="e">
        <f>IF($C$1078&gt;0,VLOOKUP($C3814,PATRIMONIALE!$AJ$4:$AO$1003,6,FALSE),"")</f>
        <v>#N/A</v>
      </c>
      <c r="I3814" s="187"/>
      <c r="J3814" s="140" t="e">
        <f ca="1">VLOOKUP(D3814,$F$1081:$I$4183,4,FALSE)+COUNTIF(E$1081:E3813,E3814)</f>
        <v>#N/A</v>
      </c>
      <c r="K3814" s="1"/>
      <c r="L3814" s="161" t="e">
        <f>IF($C$1078&gt;0,VLOOKUP($C3814,PATRIMONIALE!$AJ$4:$AP$1003,7,FALSE),"")</f>
        <v>#N/A</v>
      </c>
      <c r="M3814" s="1"/>
      <c r="N3814" s="1"/>
      <c r="O3814" s="1"/>
    </row>
    <row r="3815" spans="1:15" hidden="1">
      <c r="A3815" s="1"/>
      <c r="B3815" s="182" t="e">
        <f t="shared" ca="1" si="289"/>
        <v>#N/A</v>
      </c>
      <c r="C3815" s="500">
        <v>749</v>
      </c>
      <c r="D3815" s="41" t="e">
        <f>IF($C$1078&gt;0,VLOOKUP($C3815,PATRIMONIALE!$AJ$4:$AL$1003,3,FALSE),"")</f>
        <v>#N/A</v>
      </c>
      <c r="E3815" s="41" t="str">
        <f t="shared" si="290"/>
        <v/>
      </c>
      <c r="F3815" s="200"/>
      <c r="G3815" s="178" t="e">
        <f>IF($C$1078&gt;0,VLOOKUP($C3815,PATRIMONIALE!$AJ$4:$AN$1003,5,FALSE),"")</f>
        <v>#N/A</v>
      </c>
      <c r="H3815" s="179" t="e">
        <f>IF($C$1078&gt;0,VLOOKUP($C3815,PATRIMONIALE!$AJ$4:$AO$1003,6,FALSE),"")</f>
        <v>#N/A</v>
      </c>
      <c r="I3815" s="187"/>
      <c r="J3815" s="140" t="e">
        <f ca="1">VLOOKUP(D3815,$F$1081:$I$4183,4,FALSE)+COUNTIF(E$1081:E3814,E3815)</f>
        <v>#N/A</v>
      </c>
      <c r="K3815" s="1"/>
      <c r="L3815" s="161" t="e">
        <f>IF($C$1078&gt;0,VLOOKUP($C3815,PATRIMONIALE!$AJ$4:$AP$1003,7,FALSE),"")</f>
        <v>#N/A</v>
      </c>
      <c r="M3815" s="1"/>
      <c r="N3815" s="1"/>
      <c r="O3815" s="1"/>
    </row>
    <row r="3816" spans="1:15" hidden="1">
      <c r="A3816" s="1"/>
      <c r="B3816" s="182" t="e">
        <f t="shared" ca="1" si="289"/>
        <v>#N/A</v>
      </c>
      <c r="C3816" s="500">
        <v>750</v>
      </c>
      <c r="D3816" s="41" t="e">
        <f>IF($C$1078&gt;0,VLOOKUP($C3816,PATRIMONIALE!$AJ$4:$AL$1003,3,FALSE),"")</f>
        <v>#N/A</v>
      </c>
      <c r="E3816" s="41" t="str">
        <f t="shared" si="290"/>
        <v/>
      </c>
      <c r="F3816" s="200"/>
      <c r="G3816" s="178" t="e">
        <f>IF($C$1078&gt;0,VLOOKUP($C3816,PATRIMONIALE!$AJ$4:$AN$1003,5,FALSE),"")</f>
        <v>#N/A</v>
      </c>
      <c r="H3816" s="179" t="e">
        <f>IF($C$1078&gt;0,VLOOKUP($C3816,PATRIMONIALE!$AJ$4:$AO$1003,6,FALSE),"")</f>
        <v>#N/A</v>
      </c>
      <c r="I3816" s="187"/>
      <c r="J3816" s="140" t="e">
        <f ca="1">VLOOKUP(D3816,$F$1081:$I$4183,4,FALSE)+COUNTIF(E$1081:E3815,E3816)</f>
        <v>#N/A</v>
      </c>
      <c r="K3816" s="1"/>
      <c r="L3816" s="161" t="e">
        <f>IF($C$1078&gt;0,VLOOKUP($C3816,PATRIMONIALE!$AJ$4:$AP$1003,7,FALSE),"")</f>
        <v>#N/A</v>
      </c>
      <c r="M3816" s="1"/>
      <c r="N3816" s="1"/>
      <c r="O3816" s="1"/>
    </row>
    <row r="3817" spans="1:15" hidden="1">
      <c r="A3817" s="1"/>
      <c r="B3817" s="182" t="e">
        <f t="shared" ca="1" si="289"/>
        <v>#N/A</v>
      </c>
      <c r="C3817" s="500">
        <v>751</v>
      </c>
      <c r="D3817" s="41" t="e">
        <f>IF($C$1078&gt;0,VLOOKUP($C3817,PATRIMONIALE!$AJ$4:$AL$1003,3,FALSE),"")</f>
        <v>#N/A</v>
      </c>
      <c r="E3817" s="41" t="str">
        <f t="shared" si="290"/>
        <v/>
      </c>
      <c r="F3817" s="200"/>
      <c r="G3817" s="178" t="e">
        <f>IF($C$1078&gt;0,VLOOKUP($C3817,PATRIMONIALE!$AJ$4:$AN$1003,5,FALSE),"")</f>
        <v>#N/A</v>
      </c>
      <c r="H3817" s="179" t="e">
        <f>IF($C$1078&gt;0,VLOOKUP($C3817,PATRIMONIALE!$AJ$4:$AO$1003,6,FALSE),"")</f>
        <v>#N/A</v>
      </c>
      <c r="I3817" s="187"/>
      <c r="J3817" s="140" t="e">
        <f ca="1">VLOOKUP(D3817,$F$1081:$I$4183,4,FALSE)+COUNTIF(E$1081:E3816,E3817)</f>
        <v>#N/A</v>
      </c>
      <c r="K3817" s="1"/>
      <c r="L3817" s="161" t="e">
        <f>IF($C$1078&gt;0,VLOOKUP($C3817,PATRIMONIALE!$AJ$4:$AP$1003,7,FALSE),"")</f>
        <v>#N/A</v>
      </c>
      <c r="M3817" s="1"/>
      <c r="N3817" s="1"/>
      <c r="O3817" s="1"/>
    </row>
    <row r="3818" spans="1:15" hidden="1">
      <c r="A3818" s="1"/>
      <c r="B3818" s="182" t="e">
        <f t="shared" ca="1" si="289"/>
        <v>#N/A</v>
      </c>
      <c r="C3818" s="500">
        <v>752</v>
      </c>
      <c r="D3818" s="41" t="e">
        <f>IF($C$1078&gt;0,VLOOKUP($C3818,PATRIMONIALE!$AJ$4:$AL$1003,3,FALSE),"")</f>
        <v>#N/A</v>
      </c>
      <c r="E3818" s="41" t="str">
        <f t="shared" si="290"/>
        <v/>
      </c>
      <c r="F3818" s="200"/>
      <c r="G3818" s="178" t="e">
        <f>IF($C$1078&gt;0,VLOOKUP($C3818,PATRIMONIALE!$AJ$4:$AN$1003,5,FALSE),"")</f>
        <v>#N/A</v>
      </c>
      <c r="H3818" s="179" t="e">
        <f>IF($C$1078&gt;0,VLOOKUP($C3818,PATRIMONIALE!$AJ$4:$AO$1003,6,FALSE),"")</f>
        <v>#N/A</v>
      </c>
      <c r="I3818" s="187"/>
      <c r="J3818" s="140" t="e">
        <f ca="1">VLOOKUP(D3818,$F$1081:$I$4183,4,FALSE)+COUNTIF(E$1081:E3817,E3818)</f>
        <v>#N/A</v>
      </c>
      <c r="K3818" s="1"/>
      <c r="L3818" s="161" t="e">
        <f>IF($C$1078&gt;0,VLOOKUP($C3818,PATRIMONIALE!$AJ$4:$AP$1003,7,FALSE),"")</f>
        <v>#N/A</v>
      </c>
      <c r="M3818" s="1"/>
      <c r="N3818" s="1"/>
      <c r="O3818" s="1"/>
    </row>
    <row r="3819" spans="1:15" hidden="1">
      <c r="A3819" s="1"/>
      <c r="B3819" s="182" t="e">
        <f t="shared" ca="1" si="289"/>
        <v>#N/A</v>
      </c>
      <c r="C3819" s="500">
        <v>753</v>
      </c>
      <c r="D3819" s="41" t="e">
        <f>IF($C$1078&gt;0,VLOOKUP($C3819,PATRIMONIALE!$AJ$4:$AL$1003,3,FALSE),"")</f>
        <v>#N/A</v>
      </c>
      <c r="E3819" s="41" t="str">
        <f t="shared" si="290"/>
        <v/>
      </c>
      <c r="F3819" s="200"/>
      <c r="G3819" s="178" t="e">
        <f>IF($C$1078&gt;0,VLOOKUP($C3819,PATRIMONIALE!$AJ$4:$AN$1003,5,FALSE),"")</f>
        <v>#N/A</v>
      </c>
      <c r="H3819" s="179" t="e">
        <f>IF($C$1078&gt;0,VLOOKUP($C3819,PATRIMONIALE!$AJ$4:$AO$1003,6,FALSE),"")</f>
        <v>#N/A</v>
      </c>
      <c r="I3819" s="187"/>
      <c r="J3819" s="140" t="e">
        <f ca="1">VLOOKUP(D3819,$F$1081:$I$4183,4,FALSE)+COUNTIF(E$1081:E3818,E3819)</f>
        <v>#N/A</v>
      </c>
      <c r="K3819" s="1"/>
      <c r="L3819" s="161" t="e">
        <f>IF($C$1078&gt;0,VLOOKUP($C3819,PATRIMONIALE!$AJ$4:$AP$1003,7,FALSE),"")</f>
        <v>#N/A</v>
      </c>
      <c r="M3819" s="1"/>
      <c r="N3819" s="1"/>
      <c r="O3819" s="1"/>
    </row>
    <row r="3820" spans="1:15" hidden="1">
      <c r="A3820" s="1"/>
      <c r="B3820" s="182" t="e">
        <f t="shared" ca="1" si="289"/>
        <v>#N/A</v>
      </c>
      <c r="C3820" s="500">
        <v>754</v>
      </c>
      <c r="D3820" s="41" t="e">
        <f>IF($C$1078&gt;0,VLOOKUP($C3820,PATRIMONIALE!$AJ$4:$AL$1003,3,FALSE),"")</f>
        <v>#N/A</v>
      </c>
      <c r="E3820" s="41" t="str">
        <f t="shared" si="290"/>
        <v/>
      </c>
      <c r="F3820" s="200"/>
      <c r="G3820" s="178" t="e">
        <f>IF($C$1078&gt;0,VLOOKUP($C3820,PATRIMONIALE!$AJ$4:$AN$1003,5,FALSE),"")</f>
        <v>#N/A</v>
      </c>
      <c r="H3820" s="179" t="e">
        <f>IF($C$1078&gt;0,VLOOKUP($C3820,PATRIMONIALE!$AJ$4:$AO$1003,6,FALSE),"")</f>
        <v>#N/A</v>
      </c>
      <c r="I3820" s="187"/>
      <c r="J3820" s="140" t="e">
        <f ca="1">VLOOKUP(D3820,$F$1081:$I$4183,4,FALSE)+COUNTIF(E$1081:E3819,E3820)</f>
        <v>#N/A</v>
      </c>
      <c r="K3820" s="1"/>
      <c r="L3820" s="161" t="e">
        <f>IF($C$1078&gt;0,VLOOKUP($C3820,PATRIMONIALE!$AJ$4:$AP$1003,7,FALSE),"")</f>
        <v>#N/A</v>
      </c>
      <c r="M3820" s="1"/>
      <c r="N3820" s="1"/>
      <c r="O3820" s="1"/>
    </row>
    <row r="3821" spans="1:15" hidden="1">
      <c r="A3821" s="1"/>
      <c r="B3821" s="182" t="e">
        <f t="shared" ca="1" si="289"/>
        <v>#N/A</v>
      </c>
      <c r="C3821" s="500">
        <v>755</v>
      </c>
      <c r="D3821" s="41" t="e">
        <f>IF($C$1078&gt;0,VLOOKUP($C3821,PATRIMONIALE!$AJ$4:$AL$1003,3,FALSE),"")</f>
        <v>#N/A</v>
      </c>
      <c r="E3821" s="41" t="str">
        <f t="shared" si="290"/>
        <v/>
      </c>
      <c r="F3821" s="200"/>
      <c r="G3821" s="178" t="e">
        <f>IF($C$1078&gt;0,VLOOKUP($C3821,PATRIMONIALE!$AJ$4:$AN$1003,5,FALSE),"")</f>
        <v>#N/A</v>
      </c>
      <c r="H3821" s="179" t="e">
        <f>IF($C$1078&gt;0,VLOOKUP($C3821,PATRIMONIALE!$AJ$4:$AO$1003,6,FALSE),"")</f>
        <v>#N/A</v>
      </c>
      <c r="I3821" s="187"/>
      <c r="J3821" s="140" t="e">
        <f ca="1">VLOOKUP(D3821,$F$1081:$I$4183,4,FALSE)+COUNTIF(E$1081:E3820,E3821)</f>
        <v>#N/A</v>
      </c>
      <c r="K3821" s="1"/>
      <c r="L3821" s="161" t="e">
        <f>IF($C$1078&gt;0,VLOOKUP($C3821,PATRIMONIALE!$AJ$4:$AP$1003,7,FALSE),"")</f>
        <v>#N/A</v>
      </c>
      <c r="M3821" s="1"/>
      <c r="N3821" s="1"/>
      <c r="O3821" s="1"/>
    </row>
    <row r="3822" spans="1:15" hidden="1">
      <c r="A3822" s="1"/>
      <c r="B3822" s="182" t="e">
        <f t="shared" ca="1" si="289"/>
        <v>#N/A</v>
      </c>
      <c r="C3822" s="500">
        <v>756</v>
      </c>
      <c r="D3822" s="41" t="e">
        <f>IF($C$1078&gt;0,VLOOKUP($C3822,PATRIMONIALE!$AJ$4:$AL$1003,3,FALSE),"")</f>
        <v>#N/A</v>
      </c>
      <c r="E3822" s="41" t="str">
        <f t="shared" si="290"/>
        <v/>
      </c>
      <c r="F3822" s="200"/>
      <c r="G3822" s="178" t="e">
        <f>IF($C$1078&gt;0,VLOOKUP($C3822,PATRIMONIALE!$AJ$4:$AN$1003,5,FALSE),"")</f>
        <v>#N/A</v>
      </c>
      <c r="H3822" s="179" t="e">
        <f>IF($C$1078&gt;0,VLOOKUP($C3822,PATRIMONIALE!$AJ$4:$AO$1003,6,FALSE),"")</f>
        <v>#N/A</v>
      </c>
      <c r="I3822" s="187"/>
      <c r="J3822" s="140" t="e">
        <f ca="1">VLOOKUP(D3822,$F$1081:$I$4183,4,FALSE)+COUNTIF(E$1081:E3821,E3822)</f>
        <v>#N/A</v>
      </c>
      <c r="K3822" s="1"/>
      <c r="L3822" s="161" t="e">
        <f>IF($C$1078&gt;0,VLOOKUP($C3822,PATRIMONIALE!$AJ$4:$AP$1003,7,FALSE),"")</f>
        <v>#N/A</v>
      </c>
      <c r="M3822" s="1"/>
      <c r="N3822" s="1"/>
      <c r="O3822" s="1"/>
    </row>
    <row r="3823" spans="1:15" hidden="1">
      <c r="A3823" s="1"/>
      <c r="B3823" s="182" t="e">
        <f t="shared" ca="1" si="289"/>
        <v>#N/A</v>
      </c>
      <c r="C3823" s="500">
        <v>757</v>
      </c>
      <c r="D3823" s="41" t="e">
        <f>IF($C$1078&gt;0,VLOOKUP($C3823,PATRIMONIALE!$AJ$4:$AL$1003,3,FALSE),"")</f>
        <v>#N/A</v>
      </c>
      <c r="E3823" s="41" t="str">
        <f t="shared" si="290"/>
        <v/>
      </c>
      <c r="F3823" s="200"/>
      <c r="G3823" s="178" t="e">
        <f>IF($C$1078&gt;0,VLOOKUP($C3823,PATRIMONIALE!$AJ$4:$AN$1003,5,FALSE),"")</f>
        <v>#N/A</v>
      </c>
      <c r="H3823" s="179" t="e">
        <f>IF($C$1078&gt;0,VLOOKUP($C3823,PATRIMONIALE!$AJ$4:$AO$1003,6,FALSE),"")</f>
        <v>#N/A</v>
      </c>
      <c r="I3823" s="187"/>
      <c r="J3823" s="140" t="e">
        <f ca="1">VLOOKUP(D3823,$F$1081:$I$4183,4,FALSE)+COUNTIF(E$1081:E3822,E3823)</f>
        <v>#N/A</v>
      </c>
      <c r="K3823" s="1"/>
      <c r="L3823" s="161" t="e">
        <f>IF($C$1078&gt;0,VLOOKUP($C3823,PATRIMONIALE!$AJ$4:$AP$1003,7,FALSE),"")</f>
        <v>#N/A</v>
      </c>
      <c r="M3823" s="1"/>
      <c r="N3823" s="1"/>
      <c r="O3823" s="1"/>
    </row>
    <row r="3824" spans="1:15" hidden="1">
      <c r="A3824" s="1"/>
      <c r="B3824" s="182" t="e">
        <f t="shared" ca="1" si="289"/>
        <v>#N/A</v>
      </c>
      <c r="C3824" s="500">
        <v>758</v>
      </c>
      <c r="D3824" s="41" t="e">
        <f>IF($C$1078&gt;0,VLOOKUP($C3824,PATRIMONIALE!$AJ$4:$AL$1003,3,FALSE),"")</f>
        <v>#N/A</v>
      </c>
      <c r="E3824" s="41" t="str">
        <f t="shared" si="290"/>
        <v/>
      </c>
      <c r="F3824" s="200"/>
      <c r="G3824" s="178" t="e">
        <f>IF($C$1078&gt;0,VLOOKUP($C3824,PATRIMONIALE!$AJ$4:$AN$1003,5,FALSE),"")</f>
        <v>#N/A</v>
      </c>
      <c r="H3824" s="179" t="e">
        <f>IF($C$1078&gt;0,VLOOKUP($C3824,PATRIMONIALE!$AJ$4:$AO$1003,6,FALSE),"")</f>
        <v>#N/A</v>
      </c>
      <c r="I3824" s="187"/>
      <c r="J3824" s="140" t="e">
        <f ca="1">VLOOKUP(D3824,$F$1081:$I$4183,4,FALSE)+COUNTIF(E$1081:E3823,E3824)</f>
        <v>#N/A</v>
      </c>
      <c r="K3824" s="1"/>
      <c r="L3824" s="161" t="e">
        <f>IF($C$1078&gt;0,VLOOKUP($C3824,PATRIMONIALE!$AJ$4:$AP$1003,7,FALSE),"")</f>
        <v>#N/A</v>
      </c>
      <c r="M3824" s="1"/>
      <c r="N3824" s="1"/>
      <c r="O3824" s="1"/>
    </row>
    <row r="3825" spans="1:15" hidden="1">
      <c r="A3825" s="1"/>
      <c r="B3825" s="182" t="e">
        <f t="shared" ca="1" si="289"/>
        <v>#N/A</v>
      </c>
      <c r="C3825" s="500">
        <v>759</v>
      </c>
      <c r="D3825" s="41" t="e">
        <f>IF($C$1078&gt;0,VLOOKUP($C3825,PATRIMONIALE!$AJ$4:$AL$1003,3,FALSE),"")</f>
        <v>#N/A</v>
      </c>
      <c r="E3825" s="41" t="str">
        <f t="shared" si="290"/>
        <v/>
      </c>
      <c r="F3825" s="200"/>
      <c r="G3825" s="178" t="e">
        <f>IF($C$1078&gt;0,VLOOKUP($C3825,PATRIMONIALE!$AJ$4:$AN$1003,5,FALSE),"")</f>
        <v>#N/A</v>
      </c>
      <c r="H3825" s="179" t="e">
        <f>IF($C$1078&gt;0,VLOOKUP($C3825,PATRIMONIALE!$AJ$4:$AO$1003,6,FALSE),"")</f>
        <v>#N/A</v>
      </c>
      <c r="I3825" s="187"/>
      <c r="J3825" s="140" t="e">
        <f ca="1">VLOOKUP(D3825,$F$1081:$I$4183,4,FALSE)+COUNTIF(E$1081:E3824,E3825)</f>
        <v>#N/A</v>
      </c>
      <c r="K3825" s="1"/>
      <c r="L3825" s="161" t="e">
        <f>IF($C$1078&gt;0,VLOOKUP($C3825,PATRIMONIALE!$AJ$4:$AP$1003,7,FALSE),"")</f>
        <v>#N/A</v>
      </c>
      <c r="M3825" s="1"/>
      <c r="N3825" s="1"/>
      <c r="O3825" s="1"/>
    </row>
    <row r="3826" spans="1:15" hidden="1">
      <c r="A3826" s="1"/>
      <c r="B3826" s="182" t="e">
        <f t="shared" ca="1" si="289"/>
        <v>#N/A</v>
      </c>
      <c r="C3826" s="500">
        <v>760</v>
      </c>
      <c r="D3826" s="41" t="e">
        <f>IF($C$1078&gt;0,VLOOKUP($C3826,PATRIMONIALE!$AJ$4:$AL$1003,3,FALSE),"")</f>
        <v>#N/A</v>
      </c>
      <c r="E3826" s="41" t="str">
        <f t="shared" si="290"/>
        <v/>
      </c>
      <c r="F3826" s="200"/>
      <c r="G3826" s="178" t="e">
        <f>IF($C$1078&gt;0,VLOOKUP($C3826,PATRIMONIALE!$AJ$4:$AN$1003,5,FALSE),"")</f>
        <v>#N/A</v>
      </c>
      <c r="H3826" s="179" t="e">
        <f>IF($C$1078&gt;0,VLOOKUP($C3826,PATRIMONIALE!$AJ$4:$AO$1003,6,FALSE),"")</f>
        <v>#N/A</v>
      </c>
      <c r="I3826" s="187"/>
      <c r="J3826" s="140" t="e">
        <f ca="1">VLOOKUP(D3826,$F$1081:$I$4183,4,FALSE)+COUNTIF(E$1081:E3825,E3826)</f>
        <v>#N/A</v>
      </c>
      <c r="K3826" s="1"/>
      <c r="L3826" s="161" t="e">
        <f>IF($C$1078&gt;0,VLOOKUP($C3826,PATRIMONIALE!$AJ$4:$AP$1003,7,FALSE),"")</f>
        <v>#N/A</v>
      </c>
      <c r="M3826" s="1"/>
      <c r="N3826" s="1"/>
      <c r="O3826" s="1"/>
    </row>
    <row r="3827" spans="1:15" hidden="1">
      <c r="A3827" s="1"/>
      <c r="B3827" s="182" t="e">
        <f t="shared" ca="1" si="289"/>
        <v>#N/A</v>
      </c>
      <c r="C3827" s="500">
        <v>761</v>
      </c>
      <c r="D3827" s="41" t="e">
        <f>IF($C$1078&gt;0,VLOOKUP($C3827,PATRIMONIALE!$AJ$4:$AL$1003,3,FALSE),"")</f>
        <v>#N/A</v>
      </c>
      <c r="E3827" s="41" t="str">
        <f t="shared" si="290"/>
        <v/>
      </c>
      <c r="F3827" s="200"/>
      <c r="G3827" s="178" t="e">
        <f>IF($C$1078&gt;0,VLOOKUP($C3827,PATRIMONIALE!$AJ$4:$AN$1003,5,FALSE),"")</f>
        <v>#N/A</v>
      </c>
      <c r="H3827" s="179" t="e">
        <f>IF($C$1078&gt;0,VLOOKUP($C3827,PATRIMONIALE!$AJ$4:$AO$1003,6,FALSE),"")</f>
        <v>#N/A</v>
      </c>
      <c r="I3827" s="187"/>
      <c r="J3827" s="140" t="e">
        <f ca="1">VLOOKUP(D3827,$F$1081:$I$4183,4,FALSE)+COUNTIF(E$1081:E3826,E3827)</f>
        <v>#N/A</v>
      </c>
      <c r="K3827" s="1"/>
      <c r="L3827" s="161" t="e">
        <f>IF($C$1078&gt;0,VLOOKUP($C3827,PATRIMONIALE!$AJ$4:$AP$1003,7,FALSE),"")</f>
        <v>#N/A</v>
      </c>
      <c r="M3827" s="1"/>
      <c r="N3827" s="1"/>
      <c r="O3827" s="1"/>
    </row>
    <row r="3828" spans="1:15" hidden="1">
      <c r="A3828" s="1"/>
      <c r="B3828" s="182" t="e">
        <f t="shared" ca="1" si="289"/>
        <v>#N/A</v>
      </c>
      <c r="C3828" s="500">
        <v>762</v>
      </c>
      <c r="D3828" s="41" t="e">
        <f>IF($C$1078&gt;0,VLOOKUP($C3828,PATRIMONIALE!$AJ$4:$AL$1003,3,FALSE),"")</f>
        <v>#N/A</v>
      </c>
      <c r="E3828" s="41" t="str">
        <f t="shared" si="290"/>
        <v/>
      </c>
      <c r="F3828" s="200"/>
      <c r="G3828" s="178" t="e">
        <f>IF($C$1078&gt;0,VLOOKUP($C3828,PATRIMONIALE!$AJ$4:$AN$1003,5,FALSE),"")</f>
        <v>#N/A</v>
      </c>
      <c r="H3828" s="179" t="e">
        <f>IF($C$1078&gt;0,VLOOKUP($C3828,PATRIMONIALE!$AJ$4:$AO$1003,6,FALSE),"")</f>
        <v>#N/A</v>
      </c>
      <c r="I3828" s="187"/>
      <c r="J3828" s="140" t="e">
        <f ca="1">VLOOKUP(D3828,$F$1081:$I$4183,4,FALSE)+COUNTIF(E$1081:E3827,E3828)</f>
        <v>#N/A</v>
      </c>
      <c r="K3828" s="1"/>
      <c r="L3828" s="161" t="e">
        <f>IF($C$1078&gt;0,VLOOKUP($C3828,PATRIMONIALE!$AJ$4:$AP$1003,7,FALSE),"")</f>
        <v>#N/A</v>
      </c>
      <c r="M3828" s="1"/>
      <c r="N3828" s="1"/>
      <c r="O3828" s="1"/>
    </row>
    <row r="3829" spans="1:15" hidden="1">
      <c r="A3829" s="1"/>
      <c r="B3829" s="182" t="e">
        <f t="shared" ca="1" si="289"/>
        <v>#N/A</v>
      </c>
      <c r="C3829" s="500">
        <v>763</v>
      </c>
      <c r="D3829" s="41" t="e">
        <f>IF($C$1078&gt;0,VLOOKUP($C3829,PATRIMONIALE!$AJ$4:$AL$1003,3,FALSE),"")</f>
        <v>#N/A</v>
      </c>
      <c r="E3829" s="41" t="str">
        <f t="shared" si="290"/>
        <v/>
      </c>
      <c r="F3829" s="200"/>
      <c r="G3829" s="178" t="e">
        <f>IF($C$1078&gt;0,VLOOKUP($C3829,PATRIMONIALE!$AJ$4:$AN$1003,5,FALSE),"")</f>
        <v>#N/A</v>
      </c>
      <c r="H3829" s="179" t="e">
        <f>IF($C$1078&gt;0,VLOOKUP($C3829,PATRIMONIALE!$AJ$4:$AO$1003,6,FALSE),"")</f>
        <v>#N/A</v>
      </c>
      <c r="I3829" s="187"/>
      <c r="J3829" s="140" t="e">
        <f ca="1">VLOOKUP(D3829,$F$1081:$I$4183,4,FALSE)+COUNTIF(E$1081:E3828,E3829)</f>
        <v>#N/A</v>
      </c>
      <c r="K3829" s="1"/>
      <c r="L3829" s="161" t="e">
        <f>IF($C$1078&gt;0,VLOOKUP($C3829,PATRIMONIALE!$AJ$4:$AP$1003,7,FALSE),"")</f>
        <v>#N/A</v>
      </c>
      <c r="M3829" s="1"/>
      <c r="N3829" s="1"/>
      <c r="O3829" s="1"/>
    </row>
    <row r="3830" spans="1:15" hidden="1">
      <c r="A3830" s="1"/>
      <c r="B3830" s="182" t="e">
        <f t="shared" ca="1" si="289"/>
        <v>#N/A</v>
      </c>
      <c r="C3830" s="500">
        <v>764</v>
      </c>
      <c r="D3830" s="41" t="e">
        <f>IF($C$1078&gt;0,VLOOKUP($C3830,PATRIMONIALE!$AJ$4:$AL$1003,3,FALSE),"")</f>
        <v>#N/A</v>
      </c>
      <c r="E3830" s="41" t="str">
        <f t="shared" si="290"/>
        <v/>
      </c>
      <c r="F3830" s="200"/>
      <c r="G3830" s="178" t="e">
        <f>IF($C$1078&gt;0,VLOOKUP($C3830,PATRIMONIALE!$AJ$4:$AN$1003,5,FALSE),"")</f>
        <v>#N/A</v>
      </c>
      <c r="H3830" s="179" t="e">
        <f>IF($C$1078&gt;0,VLOOKUP($C3830,PATRIMONIALE!$AJ$4:$AO$1003,6,FALSE),"")</f>
        <v>#N/A</v>
      </c>
      <c r="I3830" s="187"/>
      <c r="J3830" s="140" t="e">
        <f ca="1">VLOOKUP(D3830,$F$1081:$I$4183,4,FALSE)+COUNTIF(E$1081:E3829,E3830)</f>
        <v>#N/A</v>
      </c>
      <c r="K3830" s="1"/>
      <c r="L3830" s="161" t="e">
        <f>IF($C$1078&gt;0,VLOOKUP($C3830,PATRIMONIALE!$AJ$4:$AP$1003,7,FALSE),"")</f>
        <v>#N/A</v>
      </c>
      <c r="M3830" s="1"/>
      <c r="N3830" s="1"/>
      <c r="O3830" s="1"/>
    </row>
    <row r="3831" spans="1:15" hidden="1">
      <c r="A3831" s="1"/>
      <c r="B3831" s="182" t="e">
        <f t="shared" ref="B3831:B3894" ca="1" si="291">IF(OR(C$1075&gt;0,C$1077&gt;0,C$1073&gt;0,C$1071&gt;0),J3831+1,J3831)</f>
        <v>#N/A</v>
      </c>
      <c r="C3831" s="500">
        <v>765</v>
      </c>
      <c r="D3831" s="41" t="e">
        <f>IF($C$1078&gt;0,VLOOKUP($C3831,PATRIMONIALE!$AJ$4:$AL$1003,3,FALSE),"")</f>
        <v>#N/A</v>
      </c>
      <c r="E3831" s="41" t="str">
        <f t="shared" si="290"/>
        <v/>
      </c>
      <c r="F3831" s="200"/>
      <c r="G3831" s="178" t="e">
        <f>IF($C$1078&gt;0,VLOOKUP($C3831,PATRIMONIALE!$AJ$4:$AN$1003,5,FALSE),"")</f>
        <v>#N/A</v>
      </c>
      <c r="H3831" s="179" t="e">
        <f>IF($C$1078&gt;0,VLOOKUP($C3831,PATRIMONIALE!$AJ$4:$AO$1003,6,FALSE),"")</f>
        <v>#N/A</v>
      </c>
      <c r="I3831" s="187"/>
      <c r="J3831" s="140" t="e">
        <f ca="1">VLOOKUP(D3831,$F$1081:$I$4183,4,FALSE)+COUNTIF(E$1081:E3830,E3831)</f>
        <v>#N/A</v>
      </c>
      <c r="K3831" s="1"/>
      <c r="L3831" s="161" t="e">
        <f>IF($C$1078&gt;0,VLOOKUP($C3831,PATRIMONIALE!$AJ$4:$AP$1003,7,FALSE),"")</f>
        <v>#N/A</v>
      </c>
      <c r="M3831" s="1"/>
      <c r="N3831" s="1"/>
      <c r="O3831" s="1"/>
    </row>
    <row r="3832" spans="1:15" hidden="1">
      <c r="A3832" s="1"/>
      <c r="B3832" s="182" t="e">
        <f t="shared" ca="1" si="291"/>
        <v>#N/A</v>
      </c>
      <c r="C3832" s="500">
        <v>766</v>
      </c>
      <c r="D3832" s="41" t="e">
        <f>IF($C$1078&gt;0,VLOOKUP($C3832,PATRIMONIALE!$AJ$4:$AL$1003,3,FALSE),"")</f>
        <v>#N/A</v>
      </c>
      <c r="E3832" s="41" t="str">
        <f t="shared" si="290"/>
        <v/>
      </c>
      <c r="F3832" s="200"/>
      <c r="G3832" s="178" t="e">
        <f>IF($C$1078&gt;0,VLOOKUP($C3832,PATRIMONIALE!$AJ$4:$AN$1003,5,FALSE),"")</f>
        <v>#N/A</v>
      </c>
      <c r="H3832" s="179" t="e">
        <f>IF($C$1078&gt;0,VLOOKUP($C3832,PATRIMONIALE!$AJ$4:$AO$1003,6,FALSE),"")</f>
        <v>#N/A</v>
      </c>
      <c r="I3832" s="187"/>
      <c r="J3832" s="140" t="e">
        <f ca="1">VLOOKUP(D3832,$F$1081:$I$4183,4,FALSE)+COUNTIF(E$1081:E3831,E3832)</f>
        <v>#N/A</v>
      </c>
      <c r="K3832" s="1"/>
      <c r="L3832" s="161" t="e">
        <f>IF($C$1078&gt;0,VLOOKUP($C3832,PATRIMONIALE!$AJ$4:$AP$1003,7,FALSE),"")</f>
        <v>#N/A</v>
      </c>
      <c r="M3832" s="1"/>
      <c r="N3832" s="1"/>
      <c r="O3832" s="1"/>
    </row>
    <row r="3833" spans="1:15" hidden="1">
      <c r="A3833" s="1"/>
      <c r="B3833" s="182" t="e">
        <f t="shared" ca="1" si="291"/>
        <v>#N/A</v>
      </c>
      <c r="C3833" s="500">
        <v>767</v>
      </c>
      <c r="D3833" s="41" t="e">
        <f>IF($C$1078&gt;0,VLOOKUP($C3833,PATRIMONIALE!$AJ$4:$AL$1003,3,FALSE),"")</f>
        <v>#N/A</v>
      </c>
      <c r="E3833" s="41" t="str">
        <f t="shared" si="290"/>
        <v/>
      </c>
      <c r="F3833" s="200"/>
      <c r="G3833" s="178" t="e">
        <f>IF($C$1078&gt;0,VLOOKUP($C3833,PATRIMONIALE!$AJ$4:$AN$1003,5,FALSE),"")</f>
        <v>#N/A</v>
      </c>
      <c r="H3833" s="179" t="e">
        <f>IF($C$1078&gt;0,VLOOKUP($C3833,PATRIMONIALE!$AJ$4:$AO$1003,6,FALSE),"")</f>
        <v>#N/A</v>
      </c>
      <c r="I3833" s="187"/>
      <c r="J3833" s="140" t="e">
        <f ca="1">VLOOKUP(D3833,$F$1081:$I$4183,4,FALSE)+COUNTIF(E$1081:E3832,E3833)</f>
        <v>#N/A</v>
      </c>
      <c r="K3833" s="1"/>
      <c r="L3833" s="161" t="e">
        <f>IF($C$1078&gt;0,VLOOKUP($C3833,PATRIMONIALE!$AJ$4:$AP$1003,7,FALSE),"")</f>
        <v>#N/A</v>
      </c>
      <c r="M3833" s="1"/>
      <c r="N3833" s="1"/>
      <c r="O3833" s="1"/>
    </row>
    <row r="3834" spans="1:15" hidden="1">
      <c r="A3834" s="1"/>
      <c r="B3834" s="182" t="e">
        <f t="shared" ca="1" si="291"/>
        <v>#N/A</v>
      </c>
      <c r="C3834" s="500">
        <v>768</v>
      </c>
      <c r="D3834" s="41" t="e">
        <f>IF($C$1078&gt;0,VLOOKUP($C3834,PATRIMONIALE!$AJ$4:$AL$1003,3,FALSE),"")</f>
        <v>#N/A</v>
      </c>
      <c r="E3834" s="41" t="str">
        <f t="shared" si="290"/>
        <v/>
      </c>
      <c r="F3834" s="200"/>
      <c r="G3834" s="178" t="e">
        <f>IF($C$1078&gt;0,VLOOKUP($C3834,PATRIMONIALE!$AJ$4:$AN$1003,5,FALSE),"")</f>
        <v>#N/A</v>
      </c>
      <c r="H3834" s="179" t="e">
        <f>IF($C$1078&gt;0,VLOOKUP($C3834,PATRIMONIALE!$AJ$4:$AO$1003,6,FALSE),"")</f>
        <v>#N/A</v>
      </c>
      <c r="I3834" s="187"/>
      <c r="J3834" s="140" t="e">
        <f ca="1">VLOOKUP(D3834,$F$1081:$I$4183,4,FALSE)+COUNTIF(E$1081:E3833,E3834)</f>
        <v>#N/A</v>
      </c>
      <c r="K3834" s="1"/>
      <c r="L3834" s="161" t="e">
        <f>IF($C$1078&gt;0,VLOOKUP($C3834,PATRIMONIALE!$AJ$4:$AP$1003,7,FALSE),"")</f>
        <v>#N/A</v>
      </c>
      <c r="M3834" s="1"/>
      <c r="N3834" s="1"/>
      <c r="O3834" s="1"/>
    </row>
    <row r="3835" spans="1:15" hidden="1">
      <c r="A3835" s="1"/>
      <c r="B3835" s="182" t="e">
        <f t="shared" ca="1" si="291"/>
        <v>#N/A</v>
      </c>
      <c r="C3835" s="500">
        <v>769</v>
      </c>
      <c r="D3835" s="41" t="e">
        <f>IF($C$1078&gt;0,VLOOKUP($C3835,PATRIMONIALE!$AJ$4:$AL$1003,3,FALSE),"")</f>
        <v>#N/A</v>
      </c>
      <c r="E3835" s="41" t="str">
        <f t="shared" si="290"/>
        <v/>
      </c>
      <c r="F3835" s="200"/>
      <c r="G3835" s="178" t="e">
        <f>IF($C$1078&gt;0,VLOOKUP($C3835,PATRIMONIALE!$AJ$4:$AN$1003,5,FALSE),"")</f>
        <v>#N/A</v>
      </c>
      <c r="H3835" s="179" t="e">
        <f>IF($C$1078&gt;0,VLOOKUP($C3835,PATRIMONIALE!$AJ$4:$AO$1003,6,FALSE),"")</f>
        <v>#N/A</v>
      </c>
      <c r="I3835" s="187"/>
      <c r="J3835" s="140" t="e">
        <f ca="1">VLOOKUP(D3835,$F$1081:$I$4183,4,FALSE)+COUNTIF(E$1081:E3834,E3835)</f>
        <v>#N/A</v>
      </c>
      <c r="K3835" s="1"/>
      <c r="L3835" s="161" t="e">
        <f>IF($C$1078&gt;0,VLOOKUP($C3835,PATRIMONIALE!$AJ$4:$AP$1003,7,FALSE),"")</f>
        <v>#N/A</v>
      </c>
      <c r="M3835" s="1"/>
      <c r="N3835" s="1"/>
      <c r="O3835" s="1"/>
    </row>
    <row r="3836" spans="1:15" hidden="1">
      <c r="A3836" s="1"/>
      <c r="B3836" s="182" t="e">
        <f t="shared" ca="1" si="291"/>
        <v>#N/A</v>
      </c>
      <c r="C3836" s="500">
        <v>770</v>
      </c>
      <c r="D3836" s="41" t="e">
        <f>IF($C$1078&gt;0,VLOOKUP($C3836,PATRIMONIALE!$AJ$4:$AL$1003,3,FALSE),"")</f>
        <v>#N/A</v>
      </c>
      <c r="E3836" s="41" t="str">
        <f t="shared" si="290"/>
        <v/>
      </c>
      <c r="F3836" s="200"/>
      <c r="G3836" s="178" t="e">
        <f>IF($C$1078&gt;0,VLOOKUP($C3836,PATRIMONIALE!$AJ$4:$AN$1003,5,FALSE),"")</f>
        <v>#N/A</v>
      </c>
      <c r="H3836" s="179" t="e">
        <f>IF($C$1078&gt;0,VLOOKUP($C3836,PATRIMONIALE!$AJ$4:$AO$1003,6,FALSE),"")</f>
        <v>#N/A</v>
      </c>
      <c r="I3836" s="187"/>
      <c r="J3836" s="140" t="e">
        <f ca="1">VLOOKUP(D3836,$F$1081:$I$4183,4,FALSE)+COUNTIF(E$1081:E3835,E3836)</f>
        <v>#N/A</v>
      </c>
      <c r="K3836" s="1"/>
      <c r="L3836" s="161" t="e">
        <f>IF($C$1078&gt;0,VLOOKUP($C3836,PATRIMONIALE!$AJ$4:$AP$1003,7,FALSE),"")</f>
        <v>#N/A</v>
      </c>
      <c r="M3836" s="1"/>
      <c r="N3836" s="1"/>
      <c r="O3836" s="1"/>
    </row>
    <row r="3837" spans="1:15" hidden="1">
      <c r="A3837" s="1"/>
      <c r="B3837" s="182" t="e">
        <f t="shared" ca="1" si="291"/>
        <v>#N/A</v>
      </c>
      <c r="C3837" s="500">
        <v>771</v>
      </c>
      <c r="D3837" s="41" t="e">
        <f>IF($C$1078&gt;0,VLOOKUP($C3837,PATRIMONIALE!$AJ$4:$AL$1003,3,FALSE),"")</f>
        <v>#N/A</v>
      </c>
      <c r="E3837" s="41" t="str">
        <f t="shared" si="290"/>
        <v/>
      </c>
      <c r="F3837" s="200"/>
      <c r="G3837" s="178" t="e">
        <f>IF($C$1078&gt;0,VLOOKUP($C3837,PATRIMONIALE!$AJ$4:$AN$1003,5,FALSE),"")</f>
        <v>#N/A</v>
      </c>
      <c r="H3837" s="179" t="e">
        <f>IF($C$1078&gt;0,VLOOKUP($C3837,PATRIMONIALE!$AJ$4:$AO$1003,6,FALSE),"")</f>
        <v>#N/A</v>
      </c>
      <c r="I3837" s="187"/>
      <c r="J3837" s="140" t="e">
        <f ca="1">VLOOKUP(D3837,$F$1081:$I$4183,4,FALSE)+COUNTIF(E$1081:E3836,E3837)</f>
        <v>#N/A</v>
      </c>
      <c r="K3837" s="1"/>
      <c r="L3837" s="161" t="e">
        <f>IF($C$1078&gt;0,VLOOKUP($C3837,PATRIMONIALE!$AJ$4:$AP$1003,7,FALSE),"")</f>
        <v>#N/A</v>
      </c>
      <c r="M3837" s="1"/>
      <c r="N3837" s="1"/>
      <c r="O3837" s="1"/>
    </row>
    <row r="3838" spans="1:15" hidden="1">
      <c r="A3838" s="1"/>
      <c r="B3838" s="182" t="e">
        <f t="shared" ca="1" si="291"/>
        <v>#N/A</v>
      </c>
      <c r="C3838" s="500">
        <v>772</v>
      </c>
      <c r="D3838" s="41" t="e">
        <f>IF($C$1078&gt;0,VLOOKUP($C3838,PATRIMONIALE!$AJ$4:$AL$1003,3,FALSE),"")</f>
        <v>#N/A</v>
      </c>
      <c r="E3838" s="41" t="str">
        <f t="shared" si="290"/>
        <v/>
      </c>
      <c r="F3838" s="200"/>
      <c r="G3838" s="178" t="e">
        <f>IF($C$1078&gt;0,VLOOKUP($C3838,PATRIMONIALE!$AJ$4:$AN$1003,5,FALSE),"")</f>
        <v>#N/A</v>
      </c>
      <c r="H3838" s="179" t="e">
        <f>IF($C$1078&gt;0,VLOOKUP($C3838,PATRIMONIALE!$AJ$4:$AO$1003,6,FALSE),"")</f>
        <v>#N/A</v>
      </c>
      <c r="I3838" s="187"/>
      <c r="J3838" s="140" t="e">
        <f ca="1">VLOOKUP(D3838,$F$1081:$I$4183,4,FALSE)+COUNTIF(E$1081:E3837,E3838)</f>
        <v>#N/A</v>
      </c>
      <c r="K3838" s="1"/>
      <c r="L3838" s="161" t="e">
        <f>IF($C$1078&gt;0,VLOOKUP($C3838,PATRIMONIALE!$AJ$4:$AP$1003,7,FALSE),"")</f>
        <v>#N/A</v>
      </c>
      <c r="M3838" s="1"/>
      <c r="N3838" s="1"/>
      <c r="O3838" s="1"/>
    </row>
    <row r="3839" spans="1:15" hidden="1">
      <c r="A3839" s="1"/>
      <c r="B3839" s="182" t="e">
        <f t="shared" ca="1" si="291"/>
        <v>#N/A</v>
      </c>
      <c r="C3839" s="500">
        <v>773</v>
      </c>
      <c r="D3839" s="41" t="e">
        <f>IF($C$1078&gt;0,VLOOKUP($C3839,PATRIMONIALE!$AJ$4:$AL$1003,3,FALSE),"")</f>
        <v>#N/A</v>
      </c>
      <c r="E3839" s="41" t="str">
        <f t="shared" si="290"/>
        <v/>
      </c>
      <c r="F3839" s="200"/>
      <c r="G3839" s="178" t="e">
        <f>IF($C$1078&gt;0,VLOOKUP($C3839,PATRIMONIALE!$AJ$4:$AN$1003,5,FALSE),"")</f>
        <v>#N/A</v>
      </c>
      <c r="H3839" s="179" t="e">
        <f>IF($C$1078&gt;0,VLOOKUP($C3839,PATRIMONIALE!$AJ$4:$AO$1003,6,FALSE),"")</f>
        <v>#N/A</v>
      </c>
      <c r="I3839" s="187"/>
      <c r="J3839" s="140" t="e">
        <f ca="1">VLOOKUP(D3839,$F$1081:$I$4183,4,FALSE)+COUNTIF(E$1081:E3838,E3839)</f>
        <v>#N/A</v>
      </c>
      <c r="K3839" s="1"/>
      <c r="L3839" s="161" t="e">
        <f>IF($C$1078&gt;0,VLOOKUP($C3839,PATRIMONIALE!$AJ$4:$AP$1003,7,FALSE),"")</f>
        <v>#N/A</v>
      </c>
      <c r="M3839" s="1"/>
      <c r="N3839" s="1"/>
      <c r="O3839" s="1"/>
    </row>
    <row r="3840" spans="1:15" hidden="1">
      <c r="A3840" s="1"/>
      <c r="B3840" s="182" t="e">
        <f t="shared" ca="1" si="291"/>
        <v>#N/A</v>
      </c>
      <c r="C3840" s="500">
        <v>774</v>
      </c>
      <c r="D3840" s="41" t="e">
        <f>IF($C$1078&gt;0,VLOOKUP($C3840,PATRIMONIALE!$AJ$4:$AL$1003,3,FALSE),"")</f>
        <v>#N/A</v>
      </c>
      <c r="E3840" s="41" t="str">
        <f t="shared" si="290"/>
        <v/>
      </c>
      <c r="F3840" s="200"/>
      <c r="G3840" s="178" t="e">
        <f>IF($C$1078&gt;0,VLOOKUP($C3840,PATRIMONIALE!$AJ$4:$AN$1003,5,FALSE),"")</f>
        <v>#N/A</v>
      </c>
      <c r="H3840" s="179" t="e">
        <f>IF($C$1078&gt;0,VLOOKUP($C3840,PATRIMONIALE!$AJ$4:$AO$1003,6,FALSE),"")</f>
        <v>#N/A</v>
      </c>
      <c r="I3840" s="187"/>
      <c r="J3840" s="140" t="e">
        <f ca="1">VLOOKUP(D3840,$F$1081:$I$4183,4,FALSE)+COUNTIF(E$1081:E3839,E3840)</f>
        <v>#N/A</v>
      </c>
      <c r="K3840" s="1"/>
      <c r="L3840" s="161" t="e">
        <f>IF($C$1078&gt;0,VLOOKUP($C3840,PATRIMONIALE!$AJ$4:$AP$1003,7,FALSE),"")</f>
        <v>#N/A</v>
      </c>
      <c r="M3840" s="1"/>
      <c r="N3840" s="1"/>
      <c r="O3840" s="1"/>
    </row>
    <row r="3841" spans="1:15" hidden="1">
      <c r="A3841" s="1"/>
      <c r="B3841" s="182" t="e">
        <f t="shared" ca="1" si="291"/>
        <v>#N/A</v>
      </c>
      <c r="C3841" s="500">
        <v>775</v>
      </c>
      <c r="D3841" s="41" t="e">
        <f>IF($C$1078&gt;0,VLOOKUP($C3841,PATRIMONIALE!$AJ$4:$AL$1003,3,FALSE),"")</f>
        <v>#N/A</v>
      </c>
      <c r="E3841" s="41" t="str">
        <f t="shared" ref="E3841:E3904" si="292">IF(ISERROR(D3841),"",D3841)</f>
        <v/>
      </c>
      <c r="F3841" s="200"/>
      <c r="G3841" s="178" t="e">
        <f>IF($C$1078&gt;0,VLOOKUP($C3841,PATRIMONIALE!$AJ$4:$AN$1003,5,FALSE),"")</f>
        <v>#N/A</v>
      </c>
      <c r="H3841" s="179" t="e">
        <f>IF($C$1078&gt;0,VLOOKUP($C3841,PATRIMONIALE!$AJ$4:$AO$1003,6,FALSE),"")</f>
        <v>#N/A</v>
      </c>
      <c r="I3841" s="187"/>
      <c r="J3841" s="140" t="e">
        <f ca="1">VLOOKUP(D3841,$F$1081:$I$4183,4,FALSE)+COUNTIF(E$1081:E3840,E3841)</f>
        <v>#N/A</v>
      </c>
      <c r="K3841" s="1"/>
      <c r="L3841" s="161" t="e">
        <f>IF($C$1078&gt;0,VLOOKUP($C3841,PATRIMONIALE!$AJ$4:$AP$1003,7,FALSE),"")</f>
        <v>#N/A</v>
      </c>
      <c r="M3841" s="1"/>
      <c r="N3841" s="1"/>
      <c r="O3841" s="1"/>
    </row>
    <row r="3842" spans="1:15" hidden="1">
      <c r="A3842" s="1"/>
      <c r="B3842" s="182" t="e">
        <f t="shared" ca="1" si="291"/>
        <v>#N/A</v>
      </c>
      <c r="C3842" s="500">
        <v>776</v>
      </c>
      <c r="D3842" s="41" t="e">
        <f>IF($C$1078&gt;0,VLOOKUP($C3842,PATRIMONIALE!$AJ$4:$AL$1003,3,FALSE),"")</f>
        <v>#N/A</v>
      </c>
      <c r="E3842" s="41" t="str">
        <f t="shared" si="292"/>
        <v/>
      </c>
      <c r="F3842" s="200"/>
      <c r="G3842" s="178" t="e">
        <f>IF($C$1078&gt;0,VLOOKUP($C3842,PATRIMONIALE!$AJ$4:$AN$1003,5,FALSE),"")</f>
        <v>#N/A</v>
      </c>
      <c r="H3842" s="179" t="e">
        <f>IF($C$1078&gt;0,VLOOKUP($C3842,PATRIMONIALE!$AJ$4:$AO$1003,6,FALSE),"")</f>
        <v>#N/A</v>
      </c>
      <c r="I3842" s="187"/>
      <c r="J3842" s="140" t="e">
        <f ca="1">VLOOKUP(D3842,$F$1081:$I$4183,4,FALSE)+COUNTIF(E$1081:E3841,E3842)</f>
        <v>#N/A</v>
      </c>
      <c r="K3842" s="1"/>
      <c r="L3842" s="161" t="e">
        <f>IF($C$1078&gt;0,VLOOKUP($C3842,PATRIMONIALE!$AJ$4:$AP$1003,7,FALSE),"")</f>
        <v>#N/A</v>
      </c>
      <c r="M3842" s="1"/>
      <c r="N3842" s="1"/>
      <c r="O3842" s="1"/>
    </row>
    <row r="3843" spans="1:15" hidden="1">
      <c r="A3843" s="1"/>
      <c r="B3843" s="182" t="e">
        <f t="shared" ca="1" si="291"/>
        <v>#N/A</v>
      </c>
      <c r="C3843" s="500">
        <v>777</v>
      </c>
      <c r="D3843" s="41" t="e">
        <f>IF($C$1078&gt;0,VLOOKUP($C3843,PATRIMONIALE!$AJ$4:$AL$1003,3,FALSE),"")</f>
        <v>#N/A</v>
      </c>
      <c r="E3843" s="41" t="str">
        <f t="shared" si="292"/>
        <v/>
      </c>
      <c r="F3843" s="200"/>
      <c r="G3843" s="178" t="e">
        <f>IF($C$1078&gt;0,VLOOKUP($C3843,PATRIMONIALE!$AJ$4:$AN$1003,5,FALSE),"")</f>
        <v>#N/A</v>
      </c>
      <c r="H3843" s="179" t="e">
        <f>IF($C$1078&gt;0,VLOOKUP($C3843,PATRIMONIALE!$AJ$4:$AO$1003,6,FALSE),"")</f>
        <v>#N/A</v>
      </c>
      <c r="I3843" s="187"/>
      <c r="J3843" s="140" t="e">
        <f ca="1">VLOOKUP(D3843,$F$1081:$I$4183,4,FALSE)+COUNTIF(E$1081:E3842,E3843)</f>
        <v>#N/A</v>
      </c>
      <c r="K3843" s="1"/>
      <c r="L3843" s="161" t="e">
        <f>IF($C$1078&gt;0,VLOOKUP($C3843,PATRIMONIALE!$AJ$4:$AP$1003,7,FALSE),"")</f>
        <v>#N/A</v>
      </c>
      <c r="M3843" s="1"/>
      <c r="N3843" s="1"/>
      <c r="O3843" s="1"/>
    </row>
    <row r="3844" spans="1:15" hidden="1">
      <c r="A3844" s="1"/>
      <c r="B3844" s="182" t="e">
        <f t="shared" ca="1" si="291"/>
        <v>#N/A</v>
      </c>
      <c r="C3844" s="500">
        <v>778</v>
      </c>
      <c r="D3844" s="41" t="e">
        <f>IF($C$1078&gt;0,VLOOKUP($C3844,PATRIMONIALE!$AJ$4:$AL$1003,3,FALSE),"")</f>
        <v>#N/A</v>
      </c>
      <c r="E3844" s="41" t="str">
        <f t="shared" si="292"/>
        <v/>
      </c>
      <c r="F3844" s="200"/>
      <c r="G3844" s="178" t="e">
        <f>IF($C$1078&gt;0,VLOOKUP($C3844,PATRIMONIALE!$AJ$4:$AN$1003,5,FALSE),"")</f>
        <v>#N/A</v>
      </c>
      <c r="H3844" s="179" t="e">
        <f>IF($C$1078&gt;0,VLOOKUP($C3844,PATRIMONIALE!$AJ$4:$AO$1003,6,FALSE),"")</f>
        <v>#N/A</v>
      </c>
      <c r="I3844" s="187"/>
      <c r="J3844" s="140" t="e">
        <f ca="1">VLOOKUP(D3844,$F$1081:$I$4183,4,FALSE)+COUNTIF(E$1081:E3843,E3844)</f>
        <v>#N/A</v>
      </c>
      <c r="K3844" s="1"/>
      <c r="L3844" s="161" t="e">
        <f>IF($C$1078&gt;0,VLOOKUP($C3844,PATRIMONIALE!$AJ$4:$AP$1003,7,FALSE),"")</f>
        <v>#N/A</v>
      </c>
      <c r="M3844" s="1"/>
      <c r="N3844" s="1"/>
      <c r="O3844" s="1"/>
    </row>
    <row r="3845" spans="1:15" hidden="1">
      <c r="A3845" s="1"/>
      <c r="B3845" s="182" t="e">
        <f t="shared" ca="1" si="291"/>
        <v>#N/A</v>
      </c>
      <c r="C3845" s="500">
        <v>779</v>
      </c>
      <c r="D3845" s="41" t="e">
        <f>IF($C$1078&gt;0,VLOOKUP($C3845,PATRIMONIALE!$AJ$4:$AL$1003,3,FALSE),"")</f>
        <v>#N/A</v>
      </c>
      <c r="E3845" s="41" t="str">
        <f t="shared" si="292"/>
        <v/>
      </c>
      <c r="F3845" s="200"/>
      <c r="G3845" s="178" t="e">
        <f>IF($C$1078&gt;0,VLOOKUP($C3845,PATRIMONIALE!$AJ$4:$AN$1003,5,FALSE),"")</f>
        <v>#N/A</v>
      </c>
      <c r="H3845" s="179" t="e">
        <f>IF($C$1078&gt;0,VLOOKUP($C3845,PATRIMONIALE!$AJ$4:$AO$1003,6,FALSE),"")</f>
        <v>#N/A</v>
      </c>
      <c r="I3845" s="187"/>
      <c r="J3845" s="140" t="e">
        <f ca="1">VLOOKUP(D3845,$F$1081:$I$4183,4,FALSE)+COUNTIF(E$1081:E3844,E3845)</f>
        <v>#N/A</v>
      </c>
      <c r="K3845" s="1"/>
      <c r="L3845" s="161" t="e">
        <f>IF($C$1078&gt;0,VLOOKUP($C3845,PATRIMONIALE!$AJ$4:$AP$1003,7,FALSE),"")</f>
        <v>#N/A</v>
      </c>
      <c r="M3845" s="1"/>
      <c r="N3845" s="1"/>
      <c r="O3845" s="1"/>
    </row>
    <row r="3846" spans="1:15" hidden="1">
      <c r="A3846" s="1"/>
      <c r="B3846" s="182" t="e">
        <f t="shared" ca="1" si="291"/>
        <v>#N/A</v>
      </c>
      <c r="C3846" s="500">
        <v>780</v>
      </c>
      <c r="D3846" s="41" t="e">
        <f>IF($C$1078&gt;0,VLOOKUP($C3846,PATRIMONIALE!$AJ$4:$AL$1003,3,FALSE),"")</f>
        <v>#N/A</v>
      </c>
      <c r="E3846" s="41" t="str">
        <f t="shared" si="292"/>
        <v/>
      </c>
      <c r="F3846" s="200"/>
      <c r="G3846" s="178" t="e">
        <f>IF($C$1078&gt;0,VLOOKUP($C3846,PATRIMONIALE!$AJ$4:$AN$1003,5,FALSE),"")</f>
        <v>#N/A</v>
      </c>
      <c r="H3846" s="179" t="e">
        <f>IF($C$1078&gt;0,VLOOKUP($C3846,PATRIMONIALE!$AJ$4:$AO$1003,6,FALSE),"")</f>
        <v>#N/A</v>
      </c>
      <c r="I3846" s="187"/>
      <c r="J3846" s="140" t="e">
        <f ca="1">VLOOKUP(D3846,$F$1081:$I$4183,4,FALSE)+COUNTIF(E$1081:E3845,E3846)</f>
        <v>#N/A</v>
      </c>
      <c r="K3846" s="1"/>
      <c r="L3846" s="161" t="e">
        <f>IF($C$1078&gt;0,VLOOKUP($C3846,PATRIMONIALE!$AJ$4:$AP$1003,7,FALSE),"")</f>
        <v>#N/A</v>
      </c>
      <c r="M3846" s="1"/>
      <c r="N3846" s="1"/>
      <c r="O3846" s="1"/>
    </row>
    <row r="3847" spans="1:15" hidden="1">
      <c r="A3847" s="1"/>
      <c r="B3847" s="182" t="e">
        <f t="shared" ca="1" si="291"/>
        <v>#N/A</v>
      </c>
      <c r="C3847" s="500">
        <v>781</v>
      </c>
      <c r="D3847" s="41" t="e">
        <f>IF($C$1078&gt;0,VLOOKUP($C3847,PATRIMONIALE!$AJ$4:$AL$1003,3,FALSE),"")</f>
        <v>#N/A</v>
      </c>
      <c r="E3847" s="41" t="str">
        <f t="shared" si="292"/>
        <v/>
      </c>
      <c r="F3847" s="200"/>
      <c r="G3847" s="178" t="e">
        <f>IF($C$1078&gt;0,VLOOKUP($C3847,PATRIMONIALE!$AJ$4:$AN$1003,5,FALSE),"")</f>
        <v>#N/A</v>
      </c>
      <c r="H3847" s="179" t="e">
        <f>IF($C$1078&gt;0,VLOOKUP($C3847,PATRIMONIALE!$AJ$4:$AO$1003,6,FALSE),"")</f>
        <v>#N/A</v>
      </c>
      <c r="I3847" s="187"/>
      <c r="J3847" s="140" t="e">
        <f ca="1">VLOOKUP(D3847,$F$1081:$I$4183,4,FALSE)+COUNTIF(E$1081:E3846,E3847)</f>
        <v>#N/A</v>
      </c>
      <c r="K3847" s="1"/>
      <c r="L3847" s="161" t="e">
        <f>IF($C$1078&gt;0,VLOOKUP($C3847,PATRIMONIALE!$AJ$4:$AP$1003,7,FALSE),"")</f>
        <v>#N/A</v>
      </c>
      <c r="M3847" s="1"/>
      <c r="N3847" s="1"/>
      <c r="O3847" s="1"/>
    </row>
    <row r="3848" spans="1:15" hidden="1">
      <c r="A3848" s="1"/>
      <c r="B3848" s="182" t="e">
        <f t="shared" ca="1" si="291"/>
        <v>#N/A</v>
      </c>
      <c r="C3848" s="500">
        <v>782</v>
      </c>
      <c r="D3848" s="41" t="e">
        <f>IF($C$1078&gt;0,VLOOKUP($C3848,PATRIMONIALE!$AJ$4:$AL$1003,3,FALSE),"")</f>
        <v>#N/A</v>
      </c>
      <c r="E3848" s="41" t="str">
        <f t="shared" si="292"/>
        <v/>
      </c>
      <c r="F3848" s="200"/>
      <c r="G3848" s="178" t="e">
        <f>IF($C$1078&gt;0,VLOOKUP($C3848,PATRIMONIALE!$AJ$4:$AN$1003,5,FALSE),"")</f>
        <v>#N/A</v>
      </c>
      <c r="H3848" s="179" t="e">
        <f>IF($C$1078&gt;0,VLOOKUP($C3848,PATRIMONIALE!$AJ$4:$AO$1003,6,FALSE),"")</f>
        <v>#N/A</v>
      </c>
      <c r="I3848" s="187"/>
      <c r="J3848" s="140" t="e">
        <f ca="1">VLOOKUP(D3848,$F$1081:$I$4183,4,FALSE)+COUNTIF(E$1081:E3847,E3848)</f>
        <v>#N/A</v>
      </c>
      <c r="K3848" s="1"/>
      <c r="L3848" s="161" t="e">
        <f>IF($C$1078&gt;0,VLOOKUP($C3848,PATRIMONIALE!$AJ$4:$AP$1003,7,FALSE),"")</f>
        <v>#N/A</v>
      </c>
      <c r="M3848" s="1"/>
      <c r="N3848" s="1"/>
      <c r="O3848" s="1"/>
    </row>
    <row r="3849" spans="1:15" hidden="1">
      <c r="A3849" s="1"/>
      <c r="B3849" s="182" t="e">
        <f t="shared" ca="1" si="291"/>
        <v>#N/A</v>
      </c>
      <c r="C3849" s="500">
        <v>783</v>
      </c>
      <c r="D3849" s="41" t="e">
        <f>IF($C$1078&gt;0,VLOOKUP($C3849,PATRIMONIALE!$AJ$4:$AL$1003,3,FALSE),"")</f>
        <v>#N/A</v>
      </c>
      <c r="E3849" s="41" t="str">
        <f t="shared" si="292"/>
        <v/>
      </c>
      <c r="F3849" s="200"/>
      <c r="G3849" s="178" t="e">
        <f>IF($C$1078&gt;0,VLOOKUP($C3849,PATRIMONIALE!$AJ$4:$AN$1003,5,FALSE),"")</f>
        <v>#N/A</v>
      </c>
      <c r="H3849" s="179" t="e">
        <f>IF($C$1078&gt;0,VLOOKUP($C3849,PATRIMONIALE!$AJ$4:$AO$1003,6,FALSE),"")</f>
        <v>#N/A</v>
      </c>
      <c r="I3849" s="187"/>
      <c r="J3849" s="140" t="e">
        <f ca="1">VLOOKUP(D3849,$F$1081:$I$4183,4,FALSE)+COUNTIF(E$1081:E3848,E3849)</f>
        <v>#N/A</v>
      </c>
      <c r="K3849" s="1"/>
      <c r="L3849" s="161" t="e">
        <f>IF($C$1078&gt;0,VLOOKUP($C3849,PATRIMONIALE!$AJ$4:$AP$1003,7,FALSE),"")</f>
        <v>#N/A</v>
      </c>
      <c r="M3849" s="1"/>
      <c r="N3849" s="1"/>
      <c r="O3849" s="1"/>
    </row>
    <row r="3850" spans="1:15" hidden="1">
      <c r="A3850" s="1"/>
      <c r="B3850" s="182" t="e">
        <f t="shared" ca="1" si="291"/>
        <v>#N/A</v>
      </c>
      <c r="C3850" s="500">
        <v>784</v>
      </c>
      <c r="D3850" s="41" t="e">
        <f>IF($C$1078&gt;0,VLOOKUP($C3850,PATRIMONIALE!$AJ$4:$AL$1003,3,FALSE),"")</f>
        <v>#N/A</v>
      </c>
      <c r="E3850" s="41" t="str">
        <f t="shared" si="292"/>
        <v/>
      </c>
      <c r="F3850" s="200"/>
      <c r="G3850" s="178" t="e">
        <f>IF($C$1078&gt;0,VLOOKUP($C3850,PATRIMONIALE!$AJ$4:$AN$1003,5,FALSE),"")</f>
        <v>#N/A</v>
      </c>
      <c r="H3850" s="179" t="e">
        <f>IF($C$1078&gt;0,VLOOKUP($C3850,PATRIMONIALE!$AJ$4:$AO$1003,6,FALSE),"")</f>
        <v>#N/A</v>
      </c>
      <c r="I3850" s="187"/>
      <c r="J3850" s="140" t="e">
        <f ca="1">VLOOKUP(D3850,$F$1081:$I$4183,4,FALSE)+COUNTIF(E$1081:E3849,E3850)</f>
        <v>#N/A</v>
      </c>
      <c r="K3850" s="1"/>
      <c r="L3850" s="161" t="e">
        <f>IF($C$1078&gt;0,VLOOKUP($C3850,PATRIMONIALE!$AJ$4:$AP$1003,7,FALSE),"")</f>
        <v>#N/A</v>
      </c>
      <c r="M3850" s="1"/>
      <c r="N3850" s="1"/>
      <c r="O3850" s="1"/>
    </row>
    <row r="3851" spans="1:15" hidden="1">
      <c r="A3851" s="1"/>
      <c r="B3851" s="182" t="e">
        <f t="shared" ca="1" si="291"/>
        <v>#N/A</v>
      </c>
      <c r="C3851" s="500">
        <v>785</v>
      </c>
      <c r="D3851" s="41" t="e">
        <f>IF($C$1078&gt;0,VLOOKUP($C3851,PATRIMONIALE!$AJ$4:$AL$1003,3,FALSE),"")</f>
        <v>#N/A</v>
      </c>
      <c r="E3851" s="41" t="str">
        <f t="shared" si="292"/>
        <v/>
      </c>
      <c r="F3851" s="200"/>
      <c r="G3851" s="178" t="e">
        <f>IF($C$1078&gt;0,VLOOKUP($C3851,PATRIMONIALE!$AJ$4:$AN$1003,5,FALSE),"")</f>
        <v>#N/A</v>
      </c>
      <c r="H3851" s="179" t="e">
        <f>IF($C$1078&gt;0,VLOOKUP($C3851,PATRIMONIALE!$AJ$4:$AO$1003,6,FALSE),"")</f>
        <v>#N/A</v>
      </c>
      <c r="I3851" s="187"/>
      <c r="J3851" s="140" t="e">
        <f ca="1">VLOOKUP(D3851,$F$1081:$I$4183,4,FALSE)+COUNTIF(E$1081:E3850,E3851)</f>
        <v>#N/A</v>
      </c>
      <c r="K3851" s="1"/>
      <c r="L3851" s="161" t="e">
        <f>IF($C$1078&gt;0,VLOOKUP($C3851,PATRIMONIALE!$AJ$4:$AP$1003,7,FALSE),"")</f>
        <v>#N/A</v>
      </c>
      <c r="M3851" s="1"/>
      <c r="N3851" s="1"/>
      <c r="O3851" s="1"/>
    </row>
    <row r="3852" spans="1:15" hidden="1">
      <c r="A3852" s="1"/>
      <c r="B3852" s="182" t="e">
        <f t="shared" ca="1" si="291"/>
        <v>#N/A</v>
      </c>
      <c r="C3852" s="500">
        <v>786</v>
      </c>
      <c r="D3852" s="41" t="e">
        <f>IF($C$1078&gt;0,VLOOKUP($C3852,PATRIMONIALE!$AJ$4:$AL$1003,3,FALSE),"")</f>
        <v>#N/A</v>
      </c>
      <c r="E3852" s="41" t="str">
        <f t="shared" si="292"/>
        <v/>
      </c>
      <c r="F3852" s="200"/>
      <c r="G3852" s="178" t="e">
        <f>IF($C$1078&gt;0,VLOOKUP($C3852,PATRIMONIALE!$AJ$4:$AN$1003,5,FALSE),"")</f>
        <v>#N/A</v>
      </c>
      <c r="H3852" s="179" t="e">
        <f>IF($C$1078&gt;0,VLOOKUP($C3852,PATRIMONIALE!$AJ$4:$AO$1003,6,FALSE),"")</f>
        <v>#N/A</v>
      </c>
      <c r="I3852" s="187"/>
      <c r="J3852" s="140" t="e">
        <f ca="1">VLOOKUP(D3852,$F$1081:$I$4183,4,FALSE)+COUNTIF(E$1081:E3851,E3852)</f>
        <v>#N/A</v>
      </c>
      <c r="K3852" s="1"/>
      <c r="L3852" s="161" t="e">
        <f>IF($C$1078&gt;0,VLOOKUP($C3852,PATRIMONIALE!$AJ$4:$AP$1003,7,FALSE),"")</f>
        <v>#N/A</v>
      </c>
      <c r="M3852" s="1"/>
      <c r="N3852" s="1"/>
      <c r="O3852" s="1"/>
    </row>
    <row r="3853" spans="1:15" hidden="1">
      <c r="A3853" s="1"/>
      <c r="B3853" s="182" t="e">
        <f t="shared" ca="1" si="291"/>
        <v>#N/A</v>
      </c>
      <c r="C3853" s="500">
        <v>787</v>
      </c>
      <c r="D3853" s="41" t="e">
        <f>IF($C$1078&gt;0,VLOOKUP($C3853,PATRIMONIALE!$AJ$4:$AL$1003,3,FALSE),"")</f>
        <v>#N/A</v>
      </c>
      <c r="E3853" s="41" t="str">
        <f t="shared" si="292"/>
        <v/>
      </c>
      <c r="F3853" s="200"/>
      <c r="G3853" s="178" t="e">
        <f>IF($C$1078&gt;0,VLOOKUP($C3853,PATRIMONIALE!$AJ$4:$AN$1003,5,FALSE),"")</f>
        <v>#N/A</v>
      </c>
      <c r="H3853" s="179" t="e">
        <f>IF($C$1078&gt;0,VLOOKUP($C3853,PATRIMONIALE!$AJ$4:$AO$1003,6,FALSE),"")</f>
        <v>#N/A</v>
      </c>
      <c r="I3853" s="187"/>
      <c r="J3853" s="140" t="e">
        <f ca="1">VLOOKUP(D3853,$F$1081:$I$4183,4,FALSE)+COUNTIF(E$1081:E3852,E3853)</f>
        <v>#N/A</v>
      </c>
      <c r="K3853" s="1"/>
      <c r="L3853" s="161" t="e">
        <f>IF($C$1078&gt;0,VLOOKUP($C3853,PATRIMONIALE!$AJ$4:$AP$1003,7,FALSE),"")</f>
        <v>#N/A</v>
      </c>
      <c r="M3853" s="1"/>
      <c r="N3853" s="1"/>
      <c r="O3853" s="1"/>
    </row>
    <row r="3854" spans="1:15" hidden="1">
      <c r="A3854" s="1"/>
      <c r="B3854" s="182" t="e">
        <f t="shared" ca="1" si="291"/>
        <v>#N/A</v>
      </c>
      <c r="C3854" s="500">
        <v>788</v>
      </c>
      <c r="D3854" s="41" t="e">
        <f>IF($C$1078&gt;0,VLOOKUP($C3854,PATRIMONIALE!$AJ$4:$AL$1003,3,FALSE),"")</f>
        <v>#N/A</v>
      </c>
      <c r="E3854" s="41" t="str">
        <f t="shared" si="292"/>
        <v/>
      </c>
      <c r="F3854" s="200"/>
      <c r="G3854" s="178" t="e">
        <f>IF($C$1078&gt;0,VLOOKUP($C3854,PATRIMONIALE!$AJ$4:$AN$1003,5,FALSE),"")</f>
        <v>#N/A</v>
      </c>
      <c r="H3854" s="179" t="e">
        <f>IF($C$1078&gt;0,VLOOKUP($C3854,PATRIMONIALE!$AJ$4:$AO$1003,6,FALSE),"")</f>
        <v>#N/A</v>
      </c>
      <c r="I3854" s="187"/>
      <c r="J3854" s="140" t="e">
        <f ca="1">VLOOKUP(D3854,$F$1081:$I$4183,4,FALSE)+COUNTIF(E$1081:E3853,E3854)</f>
        <v>#N/A</v>
      </c>
      <c r="K3854" s="1"/>
      <c r="L3854" s="161" t="e">
        <f>IF($C$1078&gt;0,VLOOKUP($C3854,PATRIMONIALE!$AJ$4:$AP$1003,7,FALSE),"")</f>
        <v>#N/A</v>
      </c>
      <c r="M3854" s="1"/>
      <c r="N3854" s="1"/>
      <c r="O3854" s="1"/>
    </row>
    <row r="3855" spans="1:15" hidden="1">
      <c r="A3855" s="1"/>
      <c r="B3855" s="182" t="e">
        <f t="shared" ca="1" si="291"/>
        <v>#N/A</v>
      </c>
      <c r="C3855" s="500">
        <v>789</v>
      </c>
      <c r="D3855" s="41" t="e">
        <f>IF($C$1078&gt;0,VLOOKUP($C3855,PATRIMONIALE!$AJ$4:$AL$1003,3,FALSE),"")</f>
        <v>#N/A</v>
      </c>
      <c r="E3855" s="41" t="str">
        <f t="shared" si="292"/>
        <v/>
      </c>
      <c r="F3855" s="200"/>
      <c r="G3855" s="178" t="e">
        <f>IF($C$1078&gt;0,VLOOKUP($C3855,PATRIMONIALE!$AJ$4:$AN$1003,5,FALSE),"")</f>
        <v>#N/A</v>
      </c>
      <c r="H3855" s="179" t="e">
        <f>IF($C$1078&gt;0,VLOOKUP($C3855,PATRIMONIALE!$AJ$4:$AO$1003,6,FALSE),"")</f>
        <v>#N/A</v>
      </c>
      <c r="I3855" s="187"/>
      <c r="J3855" s="140" t="e">
        <f ca="1">VLOOKUP(D3855,$F$1081:$I$4183,4,FALSE)+COUNTIF(E$1081:E3854,E3855)</f>
        <v>#N/A</v>
      </c>
      <c r="K3855" s="1"/>
      <c r="L3855" s="161" t="e">
        <f>IF($C$1078&gt;0,VLOOKUP($C3855,PATRIMONIALE!$AJ$4:$AP$1003,7,FALSE),"")</f>
        <v>#N/A</v>
      </c>
      <c r="M3855" s="1"/>
      <c r="N3855" s="1"/>
      <c r="O3855" s="1"/>
    </row>
    <row r="3856" spans="1:15" hidden="1">
      <c r="A3856" s="1"/>
      <c r="B3856" s="182" t="e">
        <f t="shared" ca="1" si="291"/>
        <v>#N/A</v>
      </c>
      <c r="C3856" s="500">
        <v>790</v>
      </c>
      <c r="D3856" s="41" t="e">
        <f>IF($C$1078&gt;0,VLOOKUP($C3856,PATRIMONIALE!$AJ$4:$AL$1003,3,FALSE),"")</f>
        <v>#N/A</v>
      </c>
      <c r="E3856" s="41" t="str">
        <f t="shared" si="292"/>
        <v/>
      </c>
      <c r="F3856" s="200"/>
      <c r="G3856" s="178" t="e">
        <f>IF($C$1078&gt;0,VLOOKUP($C3856,PATRIMONIALE!$AJ$4:$AN$1003,5,FALSE),"")</f>
        <v>#N/A</v>
      </c>
      <c r="H3856" s="179" t="e">
        <f>IF($C$1078&gt;0,VLOOKUP($C3856,PATRIMONIALE!$AJ$4:$AO$1003,6,FALSE),"")</f>
        <v>#N/A</v>
      </c>
      <c r="I3856" s="187"/>
      <c r="J3856" s="140" t="e">
        <f ca="1">VLOOKUP(D3856,$F$1081:$I$4183,4,FALSE)+COUNTIF(E$1081:E3855,E3856)</f>
        <v>#N/A</v>
      </c>
      <c r="K3856" s="1"/>
      <c r="L3856" s="161" t="e">
        <f>IF($C$1078&gt;0,VLOOKUP($C3856,PATRIMONIALE!$AJ$4:$AP$1003,7,FALSE),"")</f>
        <v>#N/A</v>
      </c>
      <c r="M3856" s="1"/>
      <c r="N3856" s="1"/>
      <c r="O3856" s="1"/>
    </row>
    <row r="3857" spans="1:15" hidden="1">
      <c r="A3857" s="1"/>
      <c r="B3857" s="182" t="e">
        <f t="shared" ca="1" si="291"/>
        <v>#N/A</v>
      </c>
      <c r="C3857" s="500">
        <v>791</v>
      </c>
      <c r="D3857" s="41" t="e">
        <f>IF($C$1078&gt;0,VLOOKUP($C3857,PATRIMONIALE!$AJ$4:$AL$1003,3,FALSE),"")</f>
        <v>#N/A</v>
      </c>
      <c r="E3857" s="41" t="str">
        <f t="shared" si="292"/>
        <v/>
      </c>
      <c r="F3857" s="200"/>
      <c r="G3857" s="178" t="e">
        <f>IF($C$1078&gt;0,VLOOKUP($C3857,PATRIMONIALE!$AJ$4:$AN$1003,5,FALSE),"")</f>
        <v>#N/A</v>
      </c>
      <c r="H3857" s="179" t="e">
        <f>IF($C$1078&gt;0,VLOOKUP($C3857,PATRIMONIALE!$AJ$4:$AO$1003,6,FALSE),"")</f>
        <v>#N/A</v>
      </c>
      <c r="I3857" s="187"/>
      <c r="J3857" s="140" t="e">
        <f ca="1">VLOOKUP(D3857,$F$1081:$I$4183,4,FALSE)+COUNTIF(E$1081:E3856,E3857)</f>
        <v>#N/A</v>
      </c>
      <c r="K3857" s="1"/>
      <c r="L3857" s="161" t="e">
        <f>IF($C$1078&gt;0,VLOOKUP($C3857,PATRIMONIALE!$AJ$4:$AP$1003,7,FALSE),"")</f>
        <v>#N/A</v>
      </c>
      <c r="M3857" s="1"/>
      <c r="N3857" s="1"/>
      <c r="O3857" s="1"/>
    </row>
    <row r="3858" spans="1:15" hidden="1">
      <c r="A3858" s="1"/>
      <c r="B3858" s="182" t="e">
        <f t="shared" ca="1" si="291"/>
        <v>#N/A</v>
      </c>
      <c r="C3858" s="500">
        <v>792</v>
      </c>
      <c r="D3858" s="41" t="e">
        <f>IF($C$1078&gt;0,VLOOKUP($C3858,PATRIMONIALE!$AJ$4:$AL$1003,3,FALSE),"")</f>
        <v>#N/A</v>
      </c>
      <c r="E3858" s="41" t="str">
        <f t="shared" si="292"/>
        <v/>
      </c>
      <c r="F3858" s="200"/>
      <c r="G3858" s="178" t="e">
        <f>IF($C$1078&gt;0,VLOOKUP($C3858,PATRIMONIALE!$AJ$4:$AN$1003,5,FALSE),"")</f>
        <v>#N/A</v>
      </c>
      <c r="H3858" s="179" t="e">
        <f>IF($C$1078&gt;0,VLOOKUP($C3858,PATRIMONIALE!$AJ$4:$AO$1003,6,FALSE),"")</f>
        <v>#N/A</v>
      </c>
      <c r="I3858" s="187"/>
      <c r="J3858" s="140" t="e">
        <f ca="1">VLOOKUP(D3858,$F$1081:$I$4183,4,FALSE)+COUNTIF(E$1081:E3857,E3858)</f>
        <v>#N/A</v>
      </c>
      <c r="K3858" s="1"/>
      <c r="L3858" s="161" t="e">
        <f>IF($C$1078&gt;0,VLOOKUP($C3858,PATRIMONIALE!$AJ$4:$AP$1003,7,FALSE),"")</f>
        <v>#N/A</v>
      </c>
      <c r="M3858" s="1"/>
      <c r="N3858" s="1"/>
      <c r="O3858" s="1"/>
    </row>
    <row r="3859" spans="1:15" hidden="1">
      <c r="A3859" s="1"/>
      <c r="B3859" s="182" t="e">
        <f t="shared" ca="1" si="291"/>
        <v>#N/A</v>
      </c>
      <c r="C3859" s="500">
        <v>793</v>
      </c>
      <c r="D3859" s="41" t="e">
        <f>IF($C$1078&gt;0,VLOOKUP($C3859,PATRIMONIALE!$AJ$4:$AL$1003,3,FALSE),"")</f>
        <v>#N/A</v>
      </c>
      <c r="E3859" s="41" t="str">
        <f t="shared" si="292"/>
        <v/>
      </c>
      <c r="F3859" s="200"/>
      <c r="G3859" s="178" t="e">
        <f>IF($C$1078&gt;0,VLOOKUP($C3859,PATRIMONIALE!$AJ$4:$AN$1003,5,FALSE),"")</f>
        <v>#N/A</v>
      </c>
      <c r="H3859" s="179" t="e">
        <f>IF($C$1078&gt;0,VLOOKUP($C3859,PATRIMONIALE!$AJ$4:$AO$1003,6,FALSE),"")</f>
        <v>#N/A</v>
      </c>
      <c r="I3859" s="187"/>
      <c r="J3859" s="140" t="e">
        <f ca="1">VLOOKUP(D3859,$F$1081:$I$4183,4,FALSE)+COUNTIF(E$1081:E3858,E3859)</f>
        <v>#N/A</v>
      </c>
      <c r="K3859" s="1"/>
      <c r="L3859" s="161" t="e">
        <f>IF($C$1078&gt;0,VLOOKUP($C3859,PATRIMONIALE!$AJ$4:$AP$1003,7,FALSE),"")</f>
        <v>#N/A</v>
      </c>
      <c r="M3859" s="1"/>
      <c r="N3859" s="1"/>
      <c r="O3859" s="1"/>
    </row>
    <row r="3860" spans="1:15" hidden="1">
      <c r="A3860" s="1"/>
      <c r="B3860" s="182" t="e">
        <f t="shared" ca="1" si="291"/>
        <v>#N/A</v>
      </c>
      <c r="C3860" s="500">
        <v>794</v>
      </c>
      <c r="D3860" s="41" t="e">
        <f>IF($C$1078&gt;0,VLOOKUP($C3860,PATRIMONIALE!$AJ$4:$AL$1003,3,FALSE),"")</f>
        <v>#N/A</v>
      </c>
      <c r="E3860" s="41" t="str">
        <f t="shared" si="292"/>
        <v/>
      </c>
      <c r="F3860" s="200"/>
      <c r="G3860" s="178" t="e">
        <f>IF($C$1078&gt;0,VLOOKUP($C3860,PATRIMONIALE!$AJ$4:$AN$1003,5,FALSE),"")</f>
        <v>#N/A</v>
      </c>
      <c r="H3860" s="179" t="e">
        <f>IF($C$1078&gt;0,VLOOKUP($C3860,PATRIMONIALE!$AJ$4:$AO$1003,6,FALSE),"")</f>
        <v>#N/A</v>
      </c>
      <c r="I3860" s="187"/>
      <c r="J3860" s="140" t="e">
        <f ca="1">VLOOKUP(D3860,$F$1081:$I$4183,4,FALSE)+COUNTIF(E$1081:E3859,E3860)</f>
        <v>#N/A</v>
      </c>
      <c r="K3860" s="1"/>
      <c r="L3860" s="161" t="e">
        <f>IF($C$1078&gt;0,VLOOKUP($C3860,PATRIMONIALE!$AJ$4:$AP$1003,7,FALSE),"")</f>
        <v>#N/A</v>
      </c>
      <c r="M3860" s="1"/>
      <c r="N3860" s="1"/>
      <c r="O3860" s="1"/>
    </row>
    <row r="3861" spans="1:15" hidden="1">
      <c r="A3861" s="1"/>
      <c r="B3861" s="182" t="e">
        <f t="shared" ca="1" si="291"/>
        <v>#N/A</v>
      </c>
      <c r="C3861" s="500">
        <v>795</v>
      </c>
      <c r="D3861" s="41" t="e">
        <f>IF($C$1078&gt;0,VLOOKUP($C3861,PATRIMONIALE!$AJ$4:$AL$1003,3,FALSE),"")</f>
        <v>#N/A</v>
      </c>
      <c r="E3861" s="41" t="str">
        <f t="shared" si="292"/>
        <v/>
      </c>
      <c r="F3861" s="200"/>
      <c r="G3861" s="178" t="e">
        <f>IF($C$1078&gt;0,VLOOKUP($C3861,PATRIMONIALE!$AJ$4:$AN$1003,5,FALSE),"")</f>
        <v>#N/A</v>
      </c>
      <c r="H3861" s="179" t="e">
        <f>IF($C$1078&gt;0,VLOOKUP($C3861,PATRIMONIALE!$AJ$4:$AO$1003,6,FALSE),"")</f>
        <v>#N/A</v>
      </c>
      <c r="I3861" s="187"/>
      <c r="J3861" s="140" t="e">
        <f ca="1">VLOOKUP(D3861,$F$1081:$I$4183,4,FALSE)+COUNTIF(E$1081:E3860,E3861)</f>
        <v>#N/A</v>
      </c>
      <c r="K3861" s="1"/>
      <c r="L3861" s="161" t="e">
        <f>IF($C$1078&gt;0,VLOOKUP($C3861,PATRIMONIALE!$AJ$4:$AP$1003,7,FALSE),"")</f>
        <v>#N/A</v>
      </c>
      <c r="M3861" s="1"/>
      <c r="N3861" s="1"/>
      <c r="O3861" s="1"/>
    </row>
    <row r="3862" spans="1:15" hidden="1">
      <c r="A3862" s="1"/>
      <c r="B3862" s="182" t="e">
        <f t="shared" ca="1" si="291"/>
        <v>#N/A</v>
      </c>
      <c r="C3862" s="500">
        <v>796</v>
      </c>
      <c r="D3862" s="41" t="e">
        <f>IF($C$1078&gt;0,VLOOKUP($C3862,PATRIMONIALE!$AJ$4:$AL$1003,3,FALSE),"")</f>
        <v>#N/A</v>
      </c>
      <c r="E3862" s="41" t="str">
        <f t="shared" si="292"/>
        <v/>
      </c>
      <c r="F3862" s="200"/>
      <c r="G3862" s="178" t="e">
        <f>IF($C$1078&gt;0,VLOOKUP($C3862,PATRIMONIALE!$AJ$4:$AN$1003,5,FALSE),"")</f>
        <v>#N/A</v>
      </c>
      <c r="H3862" s="179" t="e">
        <f>IF($C$1078&gt;0,VLOOKUP($C3862,PATRIMONIALE!$AJ$4:$AO$1003,6,FALSE),"")</f>
        <v>#N/A</v>
      </c>
      <c r="I3862" s="187"/>
      <c r="J3862" s="140" t="e">
        <f ca="1">VLOOKUP(D3862,$F$1081:$I$4183,4,FALSE)+COUNTIF(E$1081:E3861,E3862)</f>
        <v>#N/A</v>
      </c>
      <c r="K3862" s="1"/>
      <c r="L3862" s="161" t="e">
        <f>IF($C$1078&gt;0,VLOOKUP($C3862,PATRIMONIALE!$AJ$4:$AP$1003,7,FALSE),"")</f>
        <v>#N/A</v>
      </c>
      <c r="M3862" s="1"/>
      <c r="N3862" s="1"/>
      <c r="O3862" s="1"/>
    </row>
    <row r="3863" spans="1:15" hidden="1">
      <c r="A3863" s="1"/>
      <c r="B3863" s="182" t="e">
        <f t="shared" ca="1" si="291"/>
        <v>#N/A</v>
      </c>
      <c r="C3863" s="500">
        <v>797</v>
      </c>
      <c r="D3863" s="41" t="e">
        <f>IF($C$1078&gt;0,VLOOKUP($C3863,PATRIMONIALE!$AJ$4:$AL$1003,3,FALSE),"")</f>
        <v>#N/A</v>
      </c>
      <c r="E3863" s="41" t="str">
        <f t="shared" si="292"/>
        <v/>
      </c>
      <c r="F3863" s="200"/>
      <c r="G3863" s="178" t="e">
        <f>IF($C$1078&gt;0,VLOOKUP($C3863,PATRIMONIALE!$AJ$4:$AN$1003,5,FALSE),"")</f>
        <v>#N/A</v>
      </c>
      <c r="H3863" s="179" t="e">
        <f>IF($C$1078&gt;0,VLOOKUP($C3863,PATRIMONIALE!$AJ$4:$AO$1003,6,FALSE),"")</f>
        <v>#N/A</v>
      </c>
      <c r="I3863" s="187"/>
      <c r="J3863" s="140" t="e">
        <f ca="1">VLOOKUP(D3863,$F$1081:$I$4183,4,FALSE)+COUNTIF(E$1081:E3862,E3863)</f>
        <v>#N/A</v>
      </c>
      <c r="K3863" s="1"/>
      <c r="L3863" s="161" t="e">
        <f>IF($C$1078&gt;0,VLOOKUP($C3863,PATRIMONIALE!$AJ$4:$AP$1003,7,FALSE),"")</f>
        <v>#N/A</v>
      </c>
      <c r="M3863" s="1"/>
      <c r="N3863" s="1"/>
      <c r="O3863" s="1"/>
    </row>
    <row r="3864" spans="1:15" hidden="1">
      <c r="A3864" s="1"/>
      <c r="B3864" s="182" t="e">
        <f t="shared" ca="1" si="291"/>
        <v>#N/A</v>
      </c>
      <c r="C3864" s="500">
        <v>798</v>
      </c>
      <c r="D3864" s="41" t="e">
        <f>IF($C$1078&gt;0,VLOOKUP($C3864,PATRIMONIALE!$AJ$4:$AL$1003,3,FALSE),"")</f>
        <v>#N/A</v>
      </c>
      <c r="E3864" s="41" t="str">
        <f t="shared" si="292"/>
        <v/>
      </c>
      <c r="F3864" s="200"/>
      <c r="G3864" s="178" t="e">
        <f>IF($C$1078&gt;0,VLOOKUP($C3864,PATRIMONIALE!$AJ$4:$AN$1003,5,FALSE),"")</f>
        <v>#N/A</v>
      </c>
      <c r="H3864" s="179" t="e">
        <f>IF($C$1078&gt;0,VLOOKUP($C3864,PATRIMONIALE!$AJ$4:$AO$1003,6,FALSE),"")</f>
        <v>#N/A</v>
      </c>
      <c r="I3864" s="187"/>
      <c r="J3864" s="140" t="e">
        <f ca="1">VLOOKUP(D3864,$F$1081:$I$4183,4,FALSE)+COUNTIF(E$1081:E3863,E3864)</f>
        <v>#N/A</v>
      </c>
      <c r="K3864" s="1"/>
      <c r="L3864" s="161" t="e">
        <f>IF($C$1078&gt;0,VLOOKUP($C3864,PATRIMONIALE!$AJ$4:$AP$1003,7,FALSE),"")</f>
        <v>#N/A</v>
      </c>
      <c r="M3864" s="1"/>
      <c r="N3864" s="1"/>
      <c r="O3864" s="1"/>
    </row>
    <row r="3865" spans="1:15" hidden="1">
      <c r="A3865" s="1"/>
      <c r="B3865" s="182" t="e">
        <f t="shared" ca="1" si="291"/>
        <v>#N/A</v>
      </c>
      <c r="C3865" s="500">
        <v>799</v>
      </c>
      <c r="D3865" s="41" t="e">
        <f>IF($C$1078&gt;0,VLOOKUP($C3865,PATRIMONIALE!$AJ$4:$AL$1003,3,FALSE),"")</f>
        <v>#N/A</v>
      </c>
      <c r="E3865" s="41" t="str">
        <f t="shared" si="292"/>
        <v/>
      </c>
      <c r="F3865" s="200"/>
      <c r="G3865" s="178" t="e">
        <f>IF($C$1078&gt;0,VLOOKUP($C3865,PATRIMONIALE!$AJ$4:$AN$1003,5,FALSE),"")</f>
        <v>#N/A</v>
      </c>
      <c r="H3865" s="179" t="e">
        <f>IF($C$1078&gt;0,VLOOKUP($C3865,PATRIMONIALE!$AJ$4:$AO$1003,6,FALSE),"")</f>
        <v>#N/A</v>
      </c>
      <c r="I3865" s="187"/>
      <c r="J3865" s="140" t="e">
        <f ca="1">VLOOKUP(D3865,$F$1081:$I$4183,4,FALSE)+COUNTIF(E$1081:E3864,E3865)</f>
        <v>#N/A</v>
      </c>
      <c r="K3865" s="1"/>
      <c r="L3865" s="161" t="e">
        <f>IF($C$1078&gt;0,VLOOKUP($C3865,PATRIMONIALE!$AJ$4:$AP$1003,7,FALSE),"")</f>
        <v>#N/A</v>
      </c>
      <c r="M3865" s="1"/>
      <c r="N3865" s="1"/>
      <c r="O3865" s="1"/>
    </row>
    <row r="3866" spans="1:15" hidden="1">
      <c r="A3866" s="1"/>
      <c r="B3866" s="182" t="e">
        <f t="shared" ca="1" si="291"/>
        <v>#N/A</v>
      </c>
      <c r="C3866" s="500">
        <v>800</v>
      </c>
      <c r="D3866" s="41" t="e">
        <f>IF($C$1078&gt;0,VLOOKUP($C3866,PATRIMONIALE!$AJ$4:$AL$1003,3,FALSE),"")</f>
        <v>#N/A</v>
      </c>
      <c r="E3866" s="41" t="str">
        <f t="shared" si="292"/>
        <v/>
      </c>
      <c r="F3866" s="200"/>
      <c r="G3866" s="178" t="e">
        <f>IF($C$1078&gt;0,VLOOKUP($C3866,PATRIMONIALE!$AJ$4:$AN$1003,5,FALSE),"")</f>
        <v>#N/A</v>
      </c>
      <c r="H3866" s="179" t="e">
        <f>IF($C$1078&gt;0,VLOOKUP($C3866,PATRIMONIALE!$AJ$4:$AO$1003,6,FALSE),"")</f>
        <v>#N/A</v>
      </c>
      <c r="I3866" s="187"/>
      <c r="J3866" s="140" t="e">
        <f ca="1">VLOOKUP(D3866,$F$1081:$I$4183,4,FALSE)+COUNTIF(E$1081:E3865,E3866)</f>
        <v>#N/A</v>
      </c>
      <c r="K3866" s="1"/>
      <c r="L3866" s="161" t="e">
        <f>IF($C$1078&gt;0,VLOOKUP($C3866,PATRIMONIALE!$AJ$4:$AP$1003,7,FALSE),"")</f>
        <v>#N/A</v>
      </c>
      <c r="M3866" s="1"/>
      <c r="N3866" s="1"/>
      <c r="O3866" s="1"/>
    </row>
    <row r="3867" spans="1:15" hidden="1">
      <c r="A3867" s="1"/>
      <c r="B3867" s="182" t="e">
        <f t="shared" ca="1" si="291"/>
        <v>#N/A</v>
      </c>
      <c r="C3867" s="500">
        <v>801</v>
      </c>
      <c r="D3867" s="41" t="e">
        <f>IF($C$1078&gt;0,VLOOKUP($C3867,PATRIMONIALE!$AJ$4:$AL$1003,3,FALSE),"")</f>
        <v>#N/A</v>
      </c>
      <c r="E3867" s="41" t="str">
        <f t="shared" si="292"/>
        <v/>
      </c>
      <c r="F3867" s="200"/>
      <c r="G3867" s="178" t="e">
        <f>IF($C$1078&gt;0,VLOOKUP($C3867,PATRIMONIALE!$AJ$4:$AN$1003,5,FALSE),"")</f>
        <v>#N/A</v>
      </c>
      <c r="H3867" s="179" t="e">
        <f>IF($C$1078&gt;0,VLOOKUP($C3867,PATRIMONIALE!$AJ$4:$AO$1003,6,FALSE),"")</f>
        <v>#N/A</v>
      </c>
      <c r="I3867" s="187"/>
      <c r="J3867" s="140" t="e">
        <f ca="1">VLOOKUP(D3867,$F$1081:$I$4183,4,FALSE)+COUNTIF(E$1081:E3866,E3867)</f>
        <v>#N/A</v>
      </c>
      <c r="K3867" s="1"/>
      <c r="L3867" s="161" t="e">
        <f>IF($C$1078&gt;0,VLOOKUP($C3867,PATRIMONIALE!$AJ$4:$AP$1003,7,FALSE),"")</f>
        <v>#N/A</v>
      </c>
      <c r="M3867" s="1"/>
      <c r="N3867" s="1"/>
      <c r="O3867" s="1"/>
    </row>
    <row r="3868" spans="1:15" hidden="1">
      <c r="A3868" s="1"/>
      <c r="B3868" s="182" t="e">
        <f t="shared" ca="1" si="291"/>
        <v>#N/A</v>
      </c>
      <c r="C3868" s="500">
        <v>802</v>
      </c>
      <c r="D3868" s="41" t="e">
        <f>IF($C$1078&gt;0,VLOOKUP($C3868,PATRIMONIALE!$AJ$4:$AL$1003,3,FALSE),"")</f>
        <v>#N/A</v>
      </c>
      <c r="E3868" s="41" t="str">
        <f t="shared" si="292"/>
        <v/>
      </c>
      <c r="F3868" s="200"/>
      <c r="G3868" s="178" t="e">
        <f>IF($C$1078&gt;0,VLOOKUP($C3868,PATRIMONIALE!$AJ$4:$AN$1003,5,FALSE),"")</f>
        <v>#N/A</v>
      </c>
      <c r="H3868" s="179" t="e">
        <f>IF($C$1078&gt;0,VLOOKUP($C3868,PATRIMONIALE!$AJ$4:$AO$1003,6,FALSE),"")</f>
        <v>#N/A</v>
      </c>
      <c r="I3868" s="187"/>
      <c r="J3868" s="140" t="e">
        <f ca="1">VLOOKUP(D3868,$F$1081:$I$4183,4,FALSE)+COUNTIF(E$1081:E3867,E3868)</f>
        <v>#N/A</v>
      </c>
      <c r="K3868" s="1"/>
      <c r="L3868" s="161" t="e">
        <f>IF($C$1078&gt;0,VLOOKUP($C3868,PATRIMONIALE!$AJ$4:$AP$1003,7,FALSE),"")</f>
        <v>#N/A</v>
      </c>
      <c r="M3868" s="1"/>
      <c r="N3868" s="1"/>
      <c r="O3868" s="1"/>
    </row>
    <row r="3869" spans="1:15" hidden="1">
      <c r="A3869" s="1"/>
      <c r="B3869" s="182" t="e">
        <f t="shared" ca="1" si="291"/>
        <v>#N/A</v>
      </c>
      <c r="C3869" s="500">
        <v>803</v>
      </c>
      <c r="D3869" s="41" t="e">
        <f>IF($C$1078&gt;0,VLOOKUP($C3869,PATRIMONIALE!$AJ$4:$AL$1003,3,FALSE),"")</f>
        <v>#N/A</v>
      </c>
      <c r="E3869" s="41" t="str">
        <f t="shared" si="292"/>
        <v/>
      </c>
      <c r="F3869" s="200"/>
      <c r="G3869" s="178" t="e">
        <f>IF($C$1078&gt;0,VLOOKUP($C3869,PATRIMONIALE!$AJ$4:$AN$1003,5,FALSE),"")</f>
        <v>#N/A</v>
      </c>
      <c r="H3869" s="179" t="e">
        <f>IF($C$1078&gt;0,VLOOKUP($C3869,PATRIMONIALE!$AJ$4:$AO$1003,6,FALSE),"")</f>
        <v>#N/A</v>
      </c>
      <c r="I3869" s="187"/>
      <c r="J3869" s="140" t="e">
        <f ca="1">VLOOKUP(D3869,$F$1081:$I$4183,4,FALSE)+COUNTIF(E$1081:E3868,E3869)</f>
        <v>#N/A</v>
      </c>
      <c r="K3869" s="1"/>
      <c r="L3869" s="161" t="e">
        <f>IF($C$1078&gt;0,VLOOKUP($C3869,PATRIMONIALE!$AJ$4:$AP$1003,7,FALSE),"")</f>
        <v>#N/A</v>
      </c>
      <c r="M3869" s="1"/>
      <c r="N3869" s="1"/>
      <c r="O3869" s="1"/>
    </row>
    <row r="3870" spans="1:15" hidden="1">
      <c r="A3870" s="1"/>
      <c r="B3870" s="182" t="e">
        <f t="shared" ca="1" si="291"/>
        <v>#N/A</v>
      </c>
      <c r="C3870" s="500">
        <v>804</v>
      </c>
      <c r="D3870" s="41" t="e">
        <f>IF($C$1078&gt;0,VLOOKUP($C3870,PATRIMONIALE!$AJ$4:$AL$1003,3,FALSE),"")</f>
        <v>#N/A</v>
      </c>
      <c r="E3870" s="41" t="str">
        <f t="shared" si="292"/>
        <v/>
      </c>
      <c r="F3870" s="200"/>
      <c r="G3870" s="178" t="e">
        <f>IF($C$1078&gt;0,VLOOKUP($C3870,PATRIMONIALE!$AJ$4:$AN$1003,5,FALSE),"")</f>
        <v>#N/A</v>
      </c>
      <c r="H3870" s="179" t="e">
        <f>IF($C$1078&gt;0,VLOOKUP($C3870,PATRIMONIALE!$AJ$4:$AO$1003,6,FALSE),"")</f>
        <v>#N/A</v>
      </c>
      <c r="I3870" s="187"/>
      <c r="J3870" s="140" t="e">
        <f ca="1">VLOOKUP(D3870,$F$1081:$I$4183,4,FALSE)+COUNTIF(E$1081:E3869,E3870)</f>
        <v>#N/A</v>
      </c>
      <c r="K3870" s="1"/>
      <c r="L3870" s="161" t="e">
        <f>IF($C$1078&gt;0,VLOOKUP($C3870,PATRIMONIALE!$AJ$4:$AP$1003,7,FALSE),"")</f>
        <v>#N/A</v>
      </c>
      <c r="M3870" s="1"/>
      <c r="N3870" s="1"/>
      <c r="O3870" s="1"/>
    </row>
    <row r="3871" spans="1:15" hidden="1">
      <c r="A3871" s="1"/>
      <c r="B3871" s="182" t="e">
        <f t="shared" ca="1" si="291"/>
        <v>#N/A</v>
      </c>
      <c r="C3871" s="500">
        <v>805</v>
      </c>
      <c r="D3871" s="41" t="e">
        <f>IF($C$1078&gt;0,VLOOKUP($C3871,PATRIMONIALE!$AJ$4:$AL$1003,3,FALSE),"")</f>
        <v>#N/A</v>
      </c>
      <c r="E3871" s="41" t="str">
        <f t="shared" si="292"/>
        <v/>
      </c>
      <c r="F3871" s="200"/>
      <c r="G3871" s="178" t="e">
        <f>IF($C$1078&gt;0,VLOOKUP($C3871,PATRIMONIALE!$AJ$4:$AN$1003,5,FALSE),"")</f>
        <v>#N/A</v>
      </c>
      <c r="H3871" s="179" t="e">
        <f>IF($C$1078&gt;0,VLOOKUP($C3871,PATRIMONIALE!$AJ$4:$AO$1003,6,FALSE),"")</f>
        <v>#N/A</v>
      </c>
      <c r="I3871" s="187"/>
      <c r="J3871" s="140" t="e">
        <f ca="1">VLOOKUP(D3871,$F$1081:$I$4183,4,FALSE)+COUNTIF(E$1081:E3870,E3871)</f>
        <v>#N/A</v>
      </c>
      <c r="K3871" s="1"/>
      <c r="L3871" s="161" t="e">
        <f>IF($C$1078&gt;0,VLOOKUP($C3871,PATRIMONIALE!$AJ$4:$AP$1003,7,FALSE),"")</f>
        <v>#N/A</v>
      </c>
      <c r="M3871" s="1"/>
      <c r="N3871" s="1"/>
      <c r="O3871" s="1"/>
    </row>
    <row r="3872" spans="1:15" hidden="1">
      <c r="A3872" s="1"/>
      <c r="B3872" s="182" t="e">
        <f t="shared" ca="1" si="291"/>
        <v>#N/A</v>
      </c>
      <c r="C3872" s="500">
        <v>806</v>
      </c>
      <c r="D3872" s="41" t="e">
        <f>IF($C$1078&gt;0,VLOOKUP($C3872,PATRIMONIALE!$AJ$4:$AL$1003,3,FALSE),"")</f>
        <v>#N/A</v>
      </c>
      <c r="E3872" s="41" t="str">
        <f t="shared" si="292"/>
        <v/>
      </c>
      <c r="F3872" s="200"/>
      <c r="G3872" s="178" t="e">
        <f>IF($C$1078&gt;0,VLOOKUP($C3872,PATRIMONIALE!$AJ$4:$AN$1003,5,FALSE),"")</f>
        <v>#N/A</v>
      </c>
      <c r="H3872" s="179" t="e">
        <f>IF($C$1078&gt;0,VLOOKUP($C3872,PATRIMONIALE!$AJ$4:$AO$1003,6,FALSE),"")</f>
        <v>#N/A</v>
      </c>
      <c r="I3872" s="187"/>
      <c r="J3872" s="140" t="e">
        <f ca="1">VLOOKUP(D3872,$F$1081:$I$4183,4,FALSE)+COUNTIF(E$1081:E3871,E3872)</f>
        <v>#N/A</v>
      </c>
      <c r="K3872" s="1"/>
      <c r="L3872" s="161" t="e">
        <f>IF($C$1078&gt;0,VLOOKUP($C3872,PATRIMONIALE!$AJ$4:$AP$1003,7,FALSE),"")</f>
        <v>#N/A</v>
      </c>
      <c r="M3872" s="1"/>
      <c r="N3872" s="1"/>
      <c r="O3872" s="1"/>
    </row>
    <row r="3873" spans="1:15" hidden="1">
      <c r="A3873" s="1"/>
      <c r="B3873" s="182" t="e">
        <f t="shared" ca="1" si="291"/>
        <v>#N/A</v>
      </c>
      <c r="C3873" s="500">
        <v>807</v>
      </c>
      <c r="D3873" s="41" t="e">
        <f>IF($C$1078&gt;0,VLOOKUP($C3873,PATRIMONIALE!$AJ$4:$AL$1003,3,FALSE),"")</f>
        <v>#N/A</v>
      </c>
      <c r="E3873" s="41" t="str">
        <f t="shared" si="292"/>
        <v/>
      </c>
      <c r="F3873" s="200"/>
      <c r="G3873" s="178" t="e">
        <f>IF($C$1078&gt;0,VLOOKUP($C3873,PATRIMONIALE!$AJ$4:$AN$1003,5,FALSE),"")</f>
        <v>#N/A</v>
      </c>
      <c r="H3873" s="179" t="e">
        <f>IF($C$1078&gt;0,VLOOKUP($C3873,PATRIMONIALE!$AJ$4:$AO$1003,6,FALSE),"")</f>
        <v>#N/A</v>
      </c>
      <c r="I3873" s="187"/>
      <c r="J3873" s="140" t="e">
        <f ca="1">VLOOKUP(D3873,$F$1081:$I$4183,4,FALSE)+COUNTIF(E$1081:E3872,E3873)</f>
        <v>#N/A</v>
      </c>
      <c r="K3873" s="1"/>
      <c r="L3873" s="161" t="e">
        <f>IF($C$1078&gt;0,VLOOKUP($C3873,PATRIMONIALE!$AJ$4:$AP$1003,7,FALSE),"")</f>
        <v>#N/A</v>
      </c>
      <c r="M3873" s="1"/>
      <c r="N3873" s="1"/>
      <c r="O3873" s="1"/>
    </row>
    <row r="3874" spans="1:15" hidden="1">
      <c r="A3874" s="1"/>
      <c r="B3874" s="182" t="e">
        <f t="shared" ca="1" si="291"/>
        <v>#N/A</v>
      </c>
      <c r="C3874" s="500">
        <v>808</v>
      </c>
      <c r="D3874" s="41" t="e">
        <f>IF($C$1078&gt;0,VLOOKUP($C3874,PATRIMONIALE!$AJ$4:$AL$1003,3,FALSE),"")</f>
        <v>#N/A</v>
      </c>
      <c r="E3874" s="41" t="str">
        <f t="shared" si="292"/>
        <v/>
      </c>
      <c r="F3874" s="200"/>
      <c r="G3874" s="178" t="e">
        <f>IF($C$1078&gt;0,VLOOKUP($C3874,PATRIMONIALE!$AJ$4:$AN$1003,5,FALSE),"")</f>
        <v>#N/A</v>
      </c>
      <c r="H3874" s="179" t="e">
        <f>IF($C$1078&gt;0,VLOOKUP($C3874,PATRIMONIALE!$AJ$4:$AO$1003,6,FALSE),"")</f>
        <v>#N/A</v>
      </c>
      <c r="I3874" s="187"/>
      <c r="J3874" s="140" t="e">
        <f ca="1">VLOOKUP(D3874,$F$1081:$I$4183,4,FALSE)+COUNTIF(E$1081:E3873,E3874)</f>
        <v>#N/A</v>
      </c>
      <c r="K3874" s="1"/>
      <c r="L3874" s="161" t="e">
        <f>IF($C$1078&gt;0,VLOOKUP($C3874,PATRIMONIALE!$AJ$4:$AP$1003,7,FALSE),"")</f>
        <v>#N/A</v>
      </c>
      <c r="M3874" s="1"/>
      <c r="N3874" s="1"/>
      <c r="O3874" s="1"/>
    </row>
    <row r="3875" spans="1:15" hidden="1">
      <c r="A3875" s="1"/>
      <c r="B3875" s="182" t="e">
        <f t="shared" ca="1" si="291"/>
        <v>#N/A</v>
      </c>
      <c r="C3875" s="500">
        <v>809</v>
      </c>
      <c r="D3875" s="41" t="e">
        <f>IF($C$1078&gt;0,VLOOKUP($C3875,PATRIMONIALE!$AJ$4:$AL$1003,3,FALSE),"")</f>
        <v>#N/A</v>
      </c>
      <c r="E3875" s="41" t="str">
        <f t="shared" si="292"/>
        <v/>
      </c>
      <c r="F3875" s="200"/>
      <c r="G3875" s="178" t="e">
        <f>IF($C$1078&gt;0,VLOOKUP($C3875,PATRIMONIALE!$AJ$4:$AN$1003,5,FALSE),"")</f>
        <v>#N/A</v>
      </c>
      <c r="H3875" s="179" t="e">
        <f>IF($C$1078&gt;0,VLOOKUP($C3875,PATRIMONIALE!$AJ$4:$AO$1003,6,FALSE),"")</f>
        <v>#N/A</v>
      </c>
      <c r="I3875" s="187"/>
      <c r="J3875" s="140" t="e">
        <f ca="1">VLOOKUP(D3875,$F$1081:$I$4183,4,FALSE)+COUNTIF(E$1081:E3874,E3875)</f>
        <v>#N/A</v>
      </c>
      <c r="K3875" s="1"/>
      <c r="L3875" s="161" t="e">
        <f>IF($C$1078&gt;0,VLOOKUP($C3875,PATRIMONIALE!$AJ$4:$AP$1003,7,FALSE),"")</f>
        <v>#N/A</v>
      </c>
      <c r="M3875" s="1"/>
      <c r="N3875" s="1"/>
      <c r="O3875" s="1"/>
    </row>
    <row r="3876" spans="1:15" hidden="1">
      <c r="A3876" s="1"/>
      <c r="B3876" s="182" t="e">
        <f t="shared" ca="1" si="291"/>
        <v>#N/A</v>
      </c>
      <c r="C3876" s="500">
        <v>810</v>
      </c>
      <c r="D3876" s="41" t="e">
        <f>IF($C$1078&gt;0,VLOOKUP($C3876,PATRIMONIALE!$AJ$4:$AL$1003,3,FALSE),"")</f>
        <v>#N/A</v>
      </c>
      <c r="E3876" s="41" t="str">
        <f t="shared" si="292"/>
        <v/>
      </c>
      <c r="F3876" s="200"/>
      <c r="G3876" s="178" t="e">
        <f>IF($C$1078&gt;0,VLOOKUP($C3876,PATRIMONIALE!$AJ$4:$AN$1003,5,FALSE),"")</f>
        <v>#N/A</v>
      </c>
      <c r="H3876" s="179" t="e">
        <f>IF($C$1078&gt;0,VLOOKUP($C3876,PATRIMONIALE!$AJ$4:$AO$1003,6,FALSE),"")</f>
        <v>#N/A</v>
      </c>
      <c r="I3876" s="187"/>
      <c r="J3876" s="140" t="e">
        <f ca="1">VLOOKUP(D3876,$F$1081:$I$4183,4,FALSE)+COUNTIF(E$1081:E3875,E3876)</f>
        <v>#N/A</v>
      </c>
      <c r="K3876" s="1"/>
      <c r="L3876" s="161" t="e">
        <f>IF($C$1078&gt;0,VLOOKUP($C3876,PATRIMONIALE!$AJ$4:$AP$1003,7,FALSE),"")</f>
        <v>#N/A</v>
      </c>
      <c r="M3876" s="1"/>
      <c r="N3876" s="1"/>
      <c r="O3876" s="1"/>
    </row>
    <row r="3877" spans="1:15" hidden="1">
      <c r="A3877" s="1"/>
      <c r="B3877" s="182" t="e">
        <f t="shared" ca="1" si="291"/>
        <v>#N/A</v>
      </c>
      <c r="C3877" s="500">
        <v>811</v>
      </c>
      <c r="D3877" s="41" t="e">
        <f>IF($C$1078&gt;0,VLOOKUP($C3877,PATRIMONIALE!$AJ$4:$AL$1003,3,FALSE),"")</f>
        <v>#N/A</v>
      </c>
      <c r="E3877" s="41" t="str">
        <f t="shared" si="292"/>
        <v/>
      </c>
      <c r="F3877" s="200"/>
      <c r="G3877" s="178" t="e">
        <f>IF($C$1078&gt;0,VLOOKUP($C3877,PATRIMONIALE!$AJ$4:$AN$1003,5,FALSE),"")</f>
        <v>#N/A</v>
      </c>
      <c r="H3877" s="179" t="e">
        <f>IF($C$1078&gt;0,VLOOKUP($C3877,PATRIMONIALE!$AJ$4:$AO$1003,6,FALSE),"")</f>
        <v>#N/A</v>
      </c>
      <c r="I3877" s="187"/>
      <c r="J3877" s="140" t="e">
        <f ca="1">VLOOKUP(D3877,$F$1081:$I$4183,4,FALSE)+COUNTIF(E$1081:E3876,E3877)</f>
        <v>#N/A</v>
      </c>
      <c r="K3877" s="1"/>
      <c r="L3877" s="161" t="e">
        <f>IF($C$1078&gt;0,VLOOKUP($C3877,PATRIMONIALE!$AJ$4:$AP$1003,7,FALSE),"")</f>
        <v>#N/A</v>
      </c>
      <c r="M3877" s="1"/>
      <c r="N3877" s="1"/>
      <c r="O3877" s="1"/>
    </row>
    <row r="3878" spans="1:15" hidden="1">
      <c r="A3878" s="1"/>
      <c r="B3878" s="182" t="e">
        <f t="shared" ca="1" si="291"/>
        <v>#N/A</v>
      </c>
      <c r="C3878" s="500">
        <v>812</v>
      </c>
      <c r="D3878" s="41" t="e">
        <f>IF($C$1078&gt;0,VLOOKUP($C3878,PATRIMONIALE!$AJ$4:$AL$1003,3,FALSE),"")</f>
        <v>#N/A</v>
      </c>
      <c r="E3878" s="41" t="str">
        <f t="shared" si="292"/>
        <v/>
      </c>
      <c r="F3878" s="200"/>
      <c r="G3878" s="178" t="e">
        <f>IF($C$1078&gt;0,VLOOKUP($C3878,PATRIMONIALE!$AJ$4:$AN$1003,5,FALSE),"")</f>
        <v>#N/A</v>
      </c>
      <c r="H3878" s="179" t="e">
        <f>IF($C$1078&gt;0,VLOOKUP($C3878,PATRIMONIALE!$AJ$4:$AO$1003,6,FALSE),"")</f>
        <v>#N/A</v>
      </c>
      <c r="I3878" s="187"/>
      <c r="J3878" s="140" t="e">
        <f ca="1">VLOOKUP(D3878,$F$1081:$I$4183,4,FALSE)+COUNTIF(E$1081:E3877,E3878)</f>
        <v>#N/A</v>
      </c>
      <c r="K3878" s="1"/>
      <c r="L3878" s="161" t="e">
        <f>IF($C$1078&gt;0,VLOOKUP($C3878,PATRIMONIALE!$AJ$4:$AP$1003,7,FALSE),"")</f>
        <v>#N/A</v>
      </c>
      <c r="M3878" s="1"/>
      <c r="N3878" s="1"/>
      <c r="O3878" s="1"/>
    </row>
    <row r="3879" spans="1:15" hidden="1">
      <c r="A3879" s="1"/>
      <c r="B3879" s="182" t="e">
        <f t="shared" ca="1" si="291"/>
        <v>#N/A</v>
      </c>
      <c r="C3879" s="500">
        <v>813</v>
      </c>
      <c r="D3879" s="41" t="e">
        <f>IF($C$1078&gt;0,VLOOKUP($C3879,PATRIMONIALE!$AJ$4:$AL$1003,3,FALSE),"")</f>
        <v>#N/A</v>
      </c>
      <c r="E3879" s="41" t="str">
        <f t="shared" si="292"/>
        <v/>
      </c>
      <c r="F3879" s="200"/>
      <c r="G3879" s="178" t="e">
        <f>IF($C$1078&gt;0,VLOOKUP($C3879,PATRIMONIALE!$AJ$4:$AN$1003,5,FALSE),"")</f>
        <v>#N/A</v>
      </c>
      <c r="H3879" s="179" t="e">
        <f>IF($C$1078&gt;0,VLOOKUP($C3879,PATRIMONIALE!$AJ$4:$AO$1003,6,FALSE),"")</f>
        <v>#N/A</v>
      </c>
      <c r="I3879" s="187"/>
      <c r="J3879" s="140" t="e">
        <f ca="1">VLOOKUP(D3879,$F$1081:$I$4183,4,FALSE)+COUNTIF(E$1081:E3878,E3879)</f>
        <v>#N/A</v>
      </c>
      <c r="K3879" s="1"/>
      <c r="L3879" s="161" t="e">
        <f>IF($C$1078&gt;0,VLOOKUP($C3879,PATRIMONIALE!$AJ$4:$AP$1003,7,FALSE),"")</f>
        <v>#N/A</v>
      </c>
      <c r="M3879" s="1"/>
      <c r="N3879" s="1"/>
      <c r="O3879" s="1"/>
    </row>
    <row r="3880" spans="1:15" hidden="1">
      <c r="A3880" s="1"/>
      <c r="B3880" s="182" t="e">
        <f t="shared" ca="1" si="291"/>
        <v>#N/A</v>
      </c>
      <c r="C3880" s="500">
        <v>814</v>
      </c>
      <c r="D3880" s="41" t="e">
        <f>IF($C$1078&gt;0,VLOOKUP($C3880,PATRIMONIALE!$AJ$4:$AL$1003,3,FALSE),"")</f>
        <v>#N/A</v>
      </c>
      <c r="E3880" s="41" t="str">
        <f t="shared" si="292"/>
        <v/>
      </c>
      <c r="F3880" s="200"/>
      <c r="G3880" s="178" t="e">
        <f>IF($C$1078&gt;0,VLOOKUP($C3880,PATRIMONIALE!$AJ$4:$AN$1003,5,FALSE),"")</f>
        <v>#N/A</v>
      </c>
      <c r="H3880" s="179" t="e">
        <f>IF($C$1078&gt;0,VLOOKUP($C3880,PATRIMONIALE!$AJ$4:$AO$1003,6,FALSE),"")</f>
        <v>#N/A</v>
      </c>
      <c r="I3880" s="187"/>
      <c r="J3880" s="140" t="e">
        <f ca="1">VLOOKUP(D3880,$F$1081:$I$4183,4,FALSE)+COUNTIF(E$1081:E3879,E3880)</f>
        <v>#N/A</v>
      </c>
      <c r="K3880" s="1"/>
      <c r="L3880" s="161" t="e">
        <f>IF($C$1078&gt;0,VLOOKUP($C3880,PATRIMONIALE!$AJ$4:$AP$1003,7,FALSE),"")</f>
        <v>#N/A</v>
      </c>
      <c r="M3880" s="1"/>
      <c r="N3880" s="1"/>
      <c r="O3880" s="1"/>
    </row>
    <row r="3881" spans="1:15" hidden="1">
      <c r="A3881" s="1"/>
      <c r="B3881" s="182" t="e">
        <f t="shared" ca="1" si="291"/>
        <v>#N/A</v>
      </c>
      <c r="C3881" s="500">
        <v>815</v>
      </c>
      <c r="D3881" s="41" t="e">
        <f>IF($C$1078&gt;0,VLOOKUP($C3881,PATRIMONIALE!$AJ$4:$AL$1003,3,FALSE),"")</f>
        <v>#N/A</v>
      </c>
      <c r="E3881" s="41" t="str">
        <f t="shared" si="292"/>
        <v/>
      </c>
      <c r="F3881" s="200"/>
      <c r="G3881" s="178" t="e">
        <f>IF($C$1078&gt;0,VLOOKUP($C3881,PATRIMONIALE!$AJ$4:$AN$1003,5,FALSE),"")</f>
        <v>#N/A</v>
      </c>
      <c r="H3881" s="179" t="e">
        <f>IF($C$1078&gt;0,VLOOKUP($C3881,PATRIMONIALE!$AJ$4:$AO$1003,6,FALSE),"")</f>
        <v>#N/A</v>
      </c>
      <c r="I3881" s="187"/>
      <c r="J3881" s="140" t="e">
        <f ca="1">VLOOKUP(D3881,$F$1081:$I$4183,4,FALSE)+COUNTIF(E$1081:E3880,E3881)</f>
        <v>#N/A</v>
      </c>
      <c r="K3881" s="1"/>
      <c r="L3881" s="161" t="e">
        <f>IF($C$1078&gt;0,VLOOKUP($C3881,PATRIMONIALE!$AJ$4:$AP$1003,7,FALSE),"")</f>
        <v>#N/A</v>
      </c>
      <c r="M3881" s="1"/>
      <c r="N3881" s="1"/>
      <c r="O3881" s="1"/>
    </row>
    <row r="3882" spans="1:15" hidden="1">
      <c r="A3882" s="1"/>
      <c r="B3882" s="182" t="e">
        <f t="shared" ca="1" si="291"/>
        <v>#N/A</v>
      </c>
      <c r="C3882" s="500">
        <v>816</v>
      </c>
      <c r="D3882" s="41" t="e">
        <f>IF($C$1078&gt;0,VLOOKUP($C3882,PATRIMONIALE!$AJ$4:$AL$1003,3,FALSE),"")</f>
        <v>#N/A</v>
      </c>
      <c r="E3882" s="41" t="str">
        <f t="shared" si="292"/>
        <v/>
      </c>
      <c r="F3882" s="200"/>
      <c r="G3882" s="178" t="e">
        <f>IF($C$1078&gt;0,VLOOKUP($C3882,PATRIMONIALE!$AJ$4:$AN$1003,5,FALSE),"")</f>
        <v>#N/A</v>
      </c>
      <c r="H3882" s="179" t="e">
        <f>IF($C$1078&gt;0,VLOOKUP($C3882,PATRIMONIALE!$AJ$4:$AO$1003,6,FALSE),"")</f>
        <v>#N/A</v>
      </c>
      <c r="I3882" s="187"/>
      <c r="J3882" s="140" t="e">
        <f ca="1">VLOOKUP(D3882,$F$1081:$I$4183,4,FALSE)+COUNTIF(E$1081:E3881,E3882)</f>
        <v>#N/A</v>
      </c>
      <c r="K3882" s="1"/>
      <c r="L3882" s="161" t="e">
        <f>IF($C$1078&gt;0,VLOOKUP($C3882,PATRIMONIALE!$AJ$4:$AP$1003,7,FALSE),"")</f>
        <v>#N/A</v>
      </c>
      <c r="M3882" s="1"/>
      <c r="N3882" s="1"/>
      <c r="O3882" s="1"/>
    </row>
    <row r="3883" spans="1:15" hidden="1">
      <c r="A3883" s="1"/>
      <c r="B3883" s="182" t="e">
        <f t="shared" ca="1" si="291"/>
        <v>#N/A</v>
      </c>
      <c r="C3883" s="500">
        <v>817</v>
      </c>
      <c r="D3883" s="41" t="e">
        <f>IF($C$1078&gt;0,VLOOKUP($C3883,PATRIMONIALE!$AJ$4:$AL$1003,3,FALSE),"")</f>
        <v>#N/A</v>
      </c>
      <c r="E3883" s="41" t="str">
        <f t="shared" si="292"/>
        <v/>
      </c>
      <c r="F3883" s="200"/>
      <c r="G3883" s="178" t="e">
        <f>IF($C$1078&gt;0,VLOOKUP($C3883,PATRIMONIALE!$AJ$4:$AN$1003,5,FALSE),"")</f>
        <v>#N/A</v>
      </c>
      <c r="H3883" s="179" t="e">
        <f>IF($C$1078&gt;0,VLOOKUP($C3883,PATRIMONIALE!$AJ$4:$AO$1003,6,FALSE),"")</f>
        <v>#N/A</v>
      </c>
      <c r="I3883" s="187"/>
      <c r="J3883" s="140" t="e">
        <f ca="1">VLOOKUP(D3883,$F$1081:$I$4183,4,FALSE)+COUNTIF(E$1081:E3882,E3883)</f>
        <v>#N/A</v>
      </c>
      <c r="K3883" s="1"/>
      <c r="L3883" s="161" t="e">
        <f>IF($C$1078&gt;0,VLOOKUP($C3883,PATRIMONIALE!$AJ$4:$AP$1003,7,FALSE),"")</f>
        <v>#N/A</v>
      </c>
      <c r="M3883" s="1"/>
      <c r="N3883" s="1"/>
      <c r="O3883" s="1"/>
    </row>
    <row r="3884" spans="1:15" hidden="1">
      <c r="A3884" s="1"/>
      <c r="B3884" s="182" t="e">
        <f t="shared" ca="1" si="291"/>
        <v>#N/A</v>
      </c>
      <c r="C3884" s="500">
        <v>818</v>
      </c>
      <c r="D3884" s="41" t="e">
        <f>IF($C$1078&gt;0,VLOOKUP($C3884,PATRIMONIALE!$AJ$4:$AL$1003,3,FALSE),"")</f>
        <v>#N/A</v>
      </c>
      <c r="E3884" s="41" t="str">
        <f t="shared" si="292"/>
        <v/>
      </c>
      <c r="F3884" s="200"/>
      <c r="G3884" s="178" t="e">
        <f>IF($C$1078&gt;0,VLOOKUP($C3884,PATRIMONIALE!$AJ$4:$AN$1003,5,FALSE),"")</f>
        <v>#N/A</v>
      </c>
      <c r="H3884" s="179" t="e">
        <f>IF($C$1078&gt;0,VLOOKUP($C3884,PATRIMONIALE!$AJ$4:$AO$1003,6,FALSE),"")</f>
        <v>#N/A</v>
      </c>
      <c r="I3884" s="187"/>
      <c r="J3884" s="140" t="e">
        <f ca="1">VLOOKUP(D3884,$F$1081:$I$4183,4,FALSE)+COUNTIF(E$1081:E3883,E3884)</f>
        <v>#N/A</v>
      </c>
      <c r="K3884" s="1"/>
      <c r="L3884" s="161" t="e">
        <f>IF($C$1078&gt;0,VLOOKUP($C3884,PATRIMONIALE!$AJ$4:$AP$1003,7,FALSE),"")</f>
        <v>#N/A</v>
      </c>
      <c r="M3884" s="1"/>
      <c r="N3884" s="1"/>
      <c r="O3884" s="1"/>
    </row>
    <row r="3885" spans="1:15" hidden="1">
      <c r="A3885" s="1"/>
      <c r="B3885" s="182" t="e">
        <f t="shared" ca="1" si="291"/>
        <v>#N/A</v>
      </c>
      <c r="C3885" s="500">
        <v>819</v>
      </c>
      <c r="D3885" s="41" t="e">
        <f>IF($C$1078&gt;0,VLOOKUP($C3885,PATRIMONIALE!$AJ$4:$AL$1003,3,FALSE),"")</f>
        <v>#N/A</v>
      </c>
      <c r="E3885" s="41" t="str">
        <f t="shared" si="292"/>
        <v/>
      </c>
      <c r="F3885" s="200"/>
      <c r="G3885" s="178" t="e">
        <f>IF($C$1078&gt;0,VLOOKUP($C3885,PATRIMONIALE!$AJ$4:$AN$1003,5,FALSE),"")</f>
        <v>#N/A</v>
      </c>
      <c r="H3885" s="179" t="e">
        <f>IF($C$1078&gt;0,VLOOKUP($C3885,PATRIMONIALE!$AJ$4:$AO$1003,6,FALSE),"")</f>
        <v>#N/A</v>
      </c>
      <c r="I3885" s="187"/>
      <c r="J3885" s="140" t="e">
        <f ca="1">VLOOKUP(D3885,$F$1081:$I$4183,4,FALSE)+COUNTIF(E$1081:E3884,E3885)</f>
        <v>#N/A</v>
      </c>
      <c r="K3885" s="1"/>
      <c r="L3885" s="161" t="e">
        <f>IF($C$1078&gt;0,VLOOKUP($C3885,PATRIMONIALE!$AJ$4:$AP$1003,7,FALSE),"")</f>
        <v>#N/A</v>
      </c>
      <c r="M3885" s="1"/>
      <c r="N3885" s="1"/>
      <c r="O3885" s="1"/>
    </row>
    <row r="3886" spans="1:15" hidden="1">
      <c r="A3886" s="1"/>
      <c r="B3886" s="182" t="e">
        <f t="shared" ca="1" si="291"/>
        <v>#N/A</v>
      </c>
      <c r="C3886" s="500">
        <v>820</v>
      </c>
      <c r="D3886" s="41" t="e">
        <f>IF($C$1078&gt;0,VLOOKUP($C3886,PATRIMONIALE!$AJ$4:$AL$1003,3,FALSE),"")</f>
        <v>#N/A</v>
      </c>
      <c r="E3886" s="41" t="str">
        <f t="shared" si="292"/>
        <v/>
      </c>
      <c r="F3886" s="200"/>
      <c r="G3886" s="178" t="e">
        <f>IF($C$1078&gt;0,VLOOKUP($C3886,PATRIMONIALE!$AJ$4:$AN$1003,5,FALSE),"")</f>
        <v>#N/A</v>
      </c>
      <c r="H3886" s="179" t="e">
        <f>IF($C$1078&gt;0,VLOOKUP($C3886,PATRIMONIALE!$AJ$4:$AO$1003,6,FALSE),"")</f>
        <v>#N/A</v>
      </c>
      <c r="I3886" s="187"/>
      <c r="J3886" s="140" t="e">
        <f ca="1">VLOOKUP(D3886,$F$1081:$I$4183,4,FALSE)+COUNTIF(E$1081:E3885,E3886)</f>
        <v>#N/A</v>
      </c>
      <c r="K3886" s="1"/>
      <c r="L3886" s="161" t="e">
        <f>IF($C$1078&gt;0,VLOOKUP($C3886,PATRIMONIALE!$AJ$4:$AP$1003,7,FALSE),"")</f>
        <v>#N/A</v>
      </c>
      <c r="M3886" s="1"/>
      <c r="N3886" s="1"/>
      <c r="O3886" s="1"/>
    </row>
    <row r="3887" spans="1:15" hidden="1">
      <c r="A3887" s="1"/>
      <c r="B3887" s="182" t="e">
        <f t="shared" ca="1" si="291"/>
        <v>#N/A</v>
      </c>
      <c r="C3887" s="500">
        <v>821</v>
      </c>
      <c r="D3887" s="41" t="e">
        <f>IF($C$1078&gt;0,VLOOKUP($C3887,PATRIMONIALE!$AJ$4:$AL$1003,3,FALSE),"")</f>
        <v>#N/A</v>
      </c>
      <c r="E3887" s="41" t="str">
        <f t="shared" si="292"/>
        <v/>
      </c>
      <c r="F3887" s="200"/>
      <c r="G3887" s="178" t="e">
        <f>IF($C$1078&gt;0,VLOOKUP($C3887,PATRIMONIALE!$AJ$4:$AN$1003,5,FALSE),"")</f>
        <v>#N/A</v>
      </c>
      <c r="H3887" s="179" t="e">
        <f>IF($C$1078&gt;0,VLOOKUP($C3887,PATRIMONIALE!$AJ$4:$AO$1003,6,FALSE),"")</f>
        <v>#N/A</v>
      </c>
      <c r="I3887" s="187"/>
      <c r="J3887" s="140" t="e">
        <f ca="1">VLOOKUP(D3887,$F$1081:$I$4183,4,FALSE)+COUNTIF(E$1081:E3886,E3887)</f>
        <v>#N/A</v>
      </c>
      <c r="K3887" s="1"/>
      <c r="L3887" s="161" t="e">
        <f>IF($C$1078&gt;0,VLOOKUP($C3887,PATRIMONIALE!$AJ$4:$AP$1003,7,FALSE),"")</f>
        <v>#N/A</v>
      </c>
      <c r="M3887" s="1"/>
      <c r="N3887" s="1"/>
      <c r="O3887" s="1"/>
    </row>
    <row r="3888" spans="1:15" hidden="1">
      <c r="A3888" s="1"/>
      <c r="B3888" s="182" t="e">
        <f t="shared" ca="1" si="291"/>
        <v>#N/A</v>
      </c>
      <c r="C3888" s="500">
        <v>822</v>
      </c>
      <c r="D3888" s="41" t="e">
        <f>IF($C$1078&gt;0,VLOOKUP($C3888,PATRIMONIALE!$AJ$4:$AL$1003,3,FALSE),"")</f>
        <v>#N/A</v>
      </c>
      <c r="E3888" s="41" t="str">
        <f t="shared" si="292"/>
        <v/>
      </c>
      <c r="F3888" s="200"/>
      <c r="G3888" s="178" t="e">
        <f>IF($C$1078&gt;0,VLOOKUP($C3888,PATRIMONIALE!$AJ$4:$AN$1003,5,FALSE),"")</f>
        <v>#N/A</v>
      </c>
      <c r="H3888" s="179" t="e">
        <f>IF($C$1078&gt;0,VLOOKUP($C3888,PATRIMONIALE!$AJ$4:$AO$1003,6,FALSE),"")</f>
        <v>#N/A</v>
      </c>
      <c r="I3888" s="187"/>
      <c r="J3888" s="140" t="e">
        <f ca="1">VLOOKUP(D3888,$F$1081:$I$4183,4,FALSE)+COUNTIF(E$1081:E3887,E3888)</f>
        <v>#N/A</v>
      </c>
      <c r="K3888" s="1"/>
      <c r="L3888" s="161" t="e">
        <f>IF($C$1078&gt;0,VLOOKUP($C3888,PATRIMONIALE!$AJ$4:$AP$1003,7,FALSE),"")</f>
        <v>#N/A</v>
      </c>
      <c r="M3888" s="1"/>
      <c r="N3888" s="1"/>
      <c r="O3888" s="1"/>
    </row>
    <row r="3889" spans="1:15" hidden="1">
      <c r="A3889" s="1"/>
      <c r="B3889" s="182" t="e">
        <f t="shared" ca="1" si="291"/>
        <v>#N/A</v>
      </c>
      <c r="C3889" s="500">
        <v>823</v>
      </c>
      <c r="D3889" s="41" t="e">
        <f>IF($C$1078&gt;0,VLOOKUP($C3889,PATRIMONIALE!$AJ$4:$AL$1003,3,FALSE),"")</f>
        <v>#N/A</v>
      </c>
      <c r="E3889" s="41" t="str">
        <f t="shared" si="292"/>
        <v/>
      </c>
      <c r="F3889" s="200"/>
      <c r="G3889" s="178" t="e">
        <f>IF($C$1078&gt;0,VLOOKUP($C3889,PATRIMONIALE!$AJ$4:$AN$1003,5,FALSE),"")</f>
        <v>#N/A</v>
      </c>
      <c r="H3889" s="179" t="e">
        <f>IF($C$1078&gt;0,VLOOKUP($C3889,PATRIMONIALE!$AJ$4:$AO$1003,6,FALSE),"")</f>
        <v>#N/A</v>
      </c>
      <c r="I3889" s="187"/>
      <c r="J3889" s="140" t="e">
        <f ca="1">VLOOKUP(D3889,$F$1081:$I$4183,4,FALSE)+COUNTIF(E$1081:E3888,E3889)</f>
        <v>#N/A</v>
      </c>
      <c r="K3889" s="1"/>
      <c r="L3889" s="161" t="e">
        <f>IF($C$1078&gt;0,VLOOKUP($C3889,PATRIMONIALE!$AJ$4:$AP$1003,7,FALSE),"")</f>
        <v>#N/A</v>
      </c>
      <c r="M3889" s="1"/>
      <c r="N3889" s="1"/>
      <c r="O3889" s="1"/>
    </row>
    <row r="3890" spans="1:15" hidden="1">
      <c r="A3890" s="1"/>
      <c r="B3890" s="182" t="e">
        <f t="shared" ca="1" si="291"/>
        <v>#N/A</v>
      </c>
      <c r="C3890" s="500">
        <v>824</v>
      </c>
      <c r="D3890" s="41" t="e">
        <f>IF($C$1078&gt;0,VLOOKUP($C3890,PATRIMONIALE!$AJ$4:$AL$1003,3,FALSE),"")</f>
        <v>#N/A</v>
      </c>
      <c r="E3890" s="41" t="str">
        <f t="shared" si="292"/>
        <v/>
      </c>
      <c r="F3890" s="200"/>
      <c r="G3890" s="178" t="e">
        <f>IF($C$1078&gt;0,VLOOKUP($C3890,PATRIMONIALE!$AJ$4:$AN$1003,5,FALSE),"")</f>
        <v>#N/A</v>
      </c>
      <c r="H3890" s="179" t="e">
        <f>IF($C$1078&gt;0,VLOOKUP($C3890,PATRIMONIALE!$AJ$4:$AO$1003,6,FALSE),"")</f>
        <v>#N/A</v>
      </c>
      <c r="I3890" s="187"/>
      <c r="J3890" s="140" t="e">
        <f ca="1">VLOOKUP(D3890,$F$1081:$I$4183,4,FALSE)+COUNTIF(E$1081:E3889,E3890)</f>
        <v>#N/A</v>
      </c>
      <c r="K3890" s="1"/>
      <c r="L3890" s="161" t="e">
        <f>IF($C$1078&gt;0,VLOOKUP($C3890,PATRIMONIALE!$AJ$4:$AP$1003,7,FALSE),"")</f>
        <v>#N/A</v>
      </c>
      <c r="M3890" s="1"/>
      <c r="N3890" s="1"/>
      <c r="O3890" s="1"/>
    </row>
    <row r="3891" spans="1:15" hidden="1">
      <c r="A3891" s="1"/>
      <c r="B3891" s="182" t="e">
        <f t="shared" ca="1" si="291"/>
        <v>#N/A</v>
      </c>
      <c r="C3891" s="500">
        <v>825</v>
      </c>
      <c r="D3891" s="41" t="e">
        <f>IF($C$1078&gt;0,VLOOKUP($C3891,PATRIMONIALE!$AJ$4:$AL$1003,3,FALSE),"")</f>
        <v>#N/A</v>
      </c>
      <c r="E3891" s="41" t="str">
        <f t="shared" si="292"/>
        <v/>
      </c>
      <c r="F3891" s="200"/>
      <c r="G3891" s="178" t="e">
        <f>IF($C$1078&gt;0,VLOOKUP($C3891,PATRIMONIALE!$AJ$4:$AN$1003,5,FALSE),"")</f>
        <v>#N/A</v>
      </c>
      <c r="H3891" s="179" t="e">
        <f>IF($C$1078&gt;0,VLOOKUP($C3891,PATRIMONIALE!$AJ$4:$AO$1003,6,FALSE),"")</f>
        <v>#N/A</v>
      </c>
      <c r="I3891" s="187"/>
      <c r="J3891" s="140" t="e">
        <f ca="1">VLOOKUP(D3891,$F$1081:$I$4183,4,FALSE)+COUNTIF(E$1081:E3890,E3891)</f>
        <v>#N/A</v>
      </c>
      <c r="K3891" s="1"/>
      <c r="L3891" s="161" t="e">
        <f>IF($C$1078&gt;0,VLOOKUP($C3891,PATRIMONIALE!$AJ$4:$AP$1003,7,FALSE),"")</f>
        <v>#N/A</v>
      </c>
      <c r="M3891" s="1"/>
      <c r="N3891" s="1"/>
      <c r="O3891" s="1"/>
    </row>
    <row r="3892" spans="1:15" hidden="1">
      <c r="A3892" s="1"/>
      <c r="B3892" s="182" t="e">
        <f t="shared" ca="1" si="291"/>
        <v>#N/A</v>
      </c>
      <c r="C3892" s="500">
        <v>826</v>
      </c>
      <c r="D3892" s="41" t="e">
        <f>IF($C$1078&gt;0,VLOOKUP($C3892,PATRIMONIALE!$AJ$4:$AL$1003,3,FALSE),"")</f>
        <v>#N/A</v>
      </c>
      <c r="E3892" s="41" t="str">
        <f t="shared" si="292"/>
        <v/>
      </c>
      <c r="F3892" s="200"/>
      <c r="G3892" s="178" t="e">
        <f>IF($C$1078&gt;0,VLOOKUP($C3892,PATRIMONIALE!$AJ$4:$AN$1003,5,FALSE),"")</f>
        <v>#N/A</v>
      </c>
      <c r="H3892" s="179" t="e">
        <f>IF($C$1078&gt;0,VLOOKUP($C3892,PATRIMONIALE!$AJ$4:$AO$1003,6,FALSE),"")</f>
        <v>#N/A</v>
      </c>
      <c r="I3892" s="187"/>
      <c r="J3892" s="140" t="e">
        <f ca="1">VLOOKUP(D3892,$F$1081:$I$4183,4,FALSE)+COUNTIF(E$1081:E3891,E3892)</f>
        <v>#N/A</v>
      </c>
      <c r="K3892" s="1"/>
      <c r="L3892" s="161" t="e">
        <f>IF($C$1078&gt;0,VLOOKUP($C3892,PATRIMONIALE!$AJ$4:$AP$1003,7,FALSE),"")</f>
        <v>#N/A</v>
      </c>
      <c r="M3892" s="1"/>
      <c r="N3892" s="1"/>
      <c r="O3892" s="1"/>
    </row>
    <row r="3893" spans="1:15" hidden="1">
      <c r="A3893" s="1"/>
      <c r="B3893" s="182" t="e">
        <f t="shared" ca="1" si="291"/>
        <v>#N/A</v>
      </c>
      <c r="C3893" s="500">
        <v>827</v>
      </c>
      <c r="D3893" s="41" t="e">
        <f>IF($C$1078&gt;0,VLOOKUP($C3893,PATRIMONIALE!$AJ$4:$AL$1003,3,FALSE),"")</f>
        <v>#N/A</v>
      </c>
      <c r="E3893" s="41" t="str">
        <f t="shared" si="292"/>
        <v/>
      </c>
      <c r="F3893" s="200"/>
      <c r="G3893" s="178" t="e">
        <f>IF($C$1078&gt;0,VLOOKUP($C3893,PATRIMONIALE!$AJ$4:$AN$1003,5,FALSE),"")</f>
        <v>#N/A</v>
      </c>
      <c r="H3893" s="179" t="e">
        <f>IF($C$1078&gt;0,VLOOKUP($C3893,PATRIMONIALE!$AJ$4:$AO$1003,6,FALSE),"")</f>
        <v>#N/A</v>
      </c>
      <c r="I3893" s="187"/>
      <c r="J3893" s="140" t="e">
        <f ca="1">VLOOKUP(D3893,$F$1081:$I$4183,4,FALSE)+COUNTIF(E$1081:E3892,E3893)</f>
        <v>#N/A</v>
      </c>
      <c r="K3893" s="1"/>
      <c r="L3893" s="161" t="e">
        <f>IF($C$1078&gt;0,VLOOKUP($C3893,PATRIMONIALE!$AJ$4:$AP$1003,7,FALSE),"")</f>
        <v>#N/A</v>
      </c>
      <c r="M3893" s="1"/>
      <c r="N3893" s="1"/>
      <c r="O3893" s="1"/>
    </row>
    <row r="3894" spans="1:15" hidden="1">
      <c r="A3894" s="1"/>
      <c r="B3894" s="182" t="e">
        <f t="shared" ca="1" si="291"/>
        <v>#N/A</v>
      </c>
      <c r="C3894" s="500">
        <v>828</v>
      </c>
      <c r="D3894" s="41" t="e">
        <f>IF($C$1078&gt;0,VLOOKUP($C3894,PATRIMONIALE!$AJ$4:$AL$1003,3,FALSE),"")</f>
        <v>#N/A</v>
      </c>
      <c r="E3894" s="41" t="str">
        <f t="shared" si="292"/>
        <v/>
      </c>
      <c r="F3894" s="200"/>
      <c r="G3894" s="178" t="e">
        <f>IF($C$1078&gt;0,VLOOKUP($C3894,PATRIMONIALE!$AJ$4:$AN$1003,5,FALSE),"")</f>
        <v>#N/A</v>
      </c>
      <c r="H3894" s="179" t="e">
        <f>IF($C$1078&gt;0,VLOOKUP($C3894,PATRIMONIALE!$AJ$4:$AO$1003,6,FALSE),"")</f>
        <v>#N/A</v>
      </c>
      <c r="I3894" s="187"/>
      <c r="J3894" s="140" t="e">
        <f ca="1">VLOOKUP(D3894,$F$1081:$I$4183,4,FALSE)+COUNTIF(E$1081:E3893,E3894)</f>
        <v>#N/A</v>
      </c>
      <c r="K3894" s="1"/>
      <c r="L3894" s="161" t="e">
        <f>IF($C$1078&gt;0,VLOOKUP($C3894,PATRIMONIALE!$AJ$4:$AP$1003,7,FALSE),"")</f>
        <v>#N/A</v>
      </c>
      <c r="M3894" s="1"/>
      <c r="N3894" s="1"/>
      <c r="O3894" s="1"/>
    </row>
    <row r="3895" spans="1:15" hidden="1">
      <c r="A3895" s="1"/>
      <c r="B3895" s="182" t="e">
        <f t="shared" ref="B3895:B3958" ca="1" si="293">IF(OR(C$1075&gt;0,C$1077&gt;0,C$1073&gt;0,C$1071&gt;0),J3895+1,J3895)</f>
        <v>#N/A</v>
      </c>
      <c r="C3895" s="500">
        <v>829</v>
      </c>
      <c r="D3895" s="41" t="e">
        <f>IF($C$1078&gt;0,VLOOKUP($C3895,PATRIMONIALE!$AJ$4:$AL$1003,3,FALSE),"")</f>
        <v>#N/A</v>
      </c>
      <c r="E3895" s="41" t="str">
        <f t="shared" si="292"/>
        <v/>
      </c>
      <c r="F3895" s="200"/>
      <c r="G3895" s="178" t="e">
        <f>IF($C$1078&gt;0,VLOOKUP($C3895,PATRIMONIALE!$AJ$4:$AN$1003,5,FALSE),"")</f>
        <v>#N/A</v>
      </c>
      <c r="H3895" s="179" t="e">
        <f>IF($C$1078&gt;0,VLOOKUP($C3895,PATRIMONIALE!$AJ$4:$AO$1003,6,FALSE),"")</f>
        <v>#N/A</v>
      </c>
      <c r="I3895" s="187"/>
      <c r="J3895" s="140" t="e">
        <f ca="1">VLOOKUP(D3895,$F$1081:$I$4183,4,FALSE)+COUNTIF(E$1081:E3894,E3895)</f>
        <v>#N/A</v>
      </c>
      <c r="K3895" s="1"/>
      <c r="L3895" s="161" t="e">
        <f>IF($C$1078&gt;0,VLOOKUP($C3895,PATRIMONIALE!$AJ$4:$AP$1003,7,FALSE),"")</f>
        <v>#N/A</v>
      </c>
      <c r="M3895" s="1"/>
      <c r="N3895" s="1"/>
      <c r="O3895" s="1"/>
    </row>
    <row r="3896" spans="1:15" hidden="1">
      <c r="A3896" s="1"/>
      <c r="B3896" s="182" t="e">
        <f t="shared" ca="1" si="293"/>
        <v>#N/A</v>
      </c>
      <c r="C3896" s="500">
        <v>830</v>
      </c>
      <c r="D3896" s="41" t="e">
        <f>IF($C$1078&gt;0,VLOOKUP($C3896,PATRIMONIALE!$AJ$4:$AL$1003,3,FALSE),"")</f>
        <v>#N/A</v>
      </c>
      <c r="E3896" s="41" t="str">
        <f t="shared" si="292"/>
        <v/>
      </c>
      <c r="F3896" s="200"/>
      <c r="G3896" s="178" t="e">
        <f>IF($C$1078&gt;0,VLOOKUP($C3896,PATRIMONIALE!$AJ$4:$AN$1003,5,FALSE),"")</f>
        <v>#N/A</v>
      </c>
      <c r="H3896" s="179" t="e">
        <f>IF($C$1078&gt;0,VLOOKUP($C3896,PATRIMONIALE!$AJ$4:$AO$1003,6,FALSE),"")</f>
        <v>#N/A</v>
      </c>
      <c r="I3896" s="187"/>
      <c r="J3896" s="140" t="e">
        <f ca="1">VLOOKUP(D3896,$F$1081:$I$4183,4,FALSE)+COUNTIF(E$1081:E3895,E3896)</f>
        <v>#N/A</v>
      </c>
      <c r="K3896" s="1"/>
      <c r="L3896" s="161" t="e">
        <f>IF($C$1078&gt;0,VLOOKUP($C3896,PATRIMONIALE!$AJ$4:$AP$1003,7,FALSE),"")</f>
        <v>#N/A</v>
      </c>
      <c r="M3896" s="1"/>
      <c r="N3896" s="1"/>
      <c r="O3896" s="1"/>
    </row>
    <row r="3897" spans="1:15" hidden="1">
      <c r="A3897" s="1"/>
      <c r="B3897" s="182" t="e">
        <f t="shared" ca="1" si="293"/>
        <v>#N/A</v>
      </c>
      <c r="C3897" s="500">
        <v>831</v>
      </c>
      <c r="D3897" s="41" t="e">
        <f>IF($C$1078&gt;0,VLOOKUP($C3897,PATRIMONIALE!$AJ$4:$AL$1003,3,FALSE),"")</f>
        <v>#N/A</v>
      </c>
      <c r="E3897" s="41" t="str">
        <f t="shared" si="292"/>
        <v/>
      </c>
      <c r="F3897" s="200"/>
      <c r="G3897" s="178" t="e">
        <f>IF($C$1078&gt;0,VLOOKUP($C3897,PATRIMONIALE!$AJ$4:$AN$1003,5,FALSE),"")</f>
        <v>#N/A</v>
      </c>
      <c r="H3897" s="179" t="e">
        <f>IF($C$1078&gt;0,VLOOKUP($C3897,PATRIMONIALE!$AJ$4:$AO$1003,6,FALSE),"")</f>
        <v>#N/A</v>
      </c>
      <c r="I3897" s="187"/>
      <c r="J3897" s="140" t="e">
        <f ca="1">VLOOKUP(D3897,$F$1081:$I$4183,4,FALSE)+COUNTIF(E$1081:E3896,E3897)</f>
        <v>#N/A</v>
      </c>
      <c r="K3897" s="1"/>
      <c r="L3897" s="161" t="e">
        <f>IF($C$1078&gt;0,VLOOKUP($C3897,PATRIMONIALE!$AJ$4:$AP$1003,7,FALSE),"")</f>
        <v>#N/A</v>
      </c>
      <c r="M3897" s="1"/>
      <c r="N3897" s="1"/>
      <c r="O3897" s="1"/>
    </row>
    <row r="3898" spans="1:15" hidden="1">
      <c r="A3898" s="1"/>
      <c r="B3898" s="182" t="e">
        <f t="shared" ca="1" si="293"/>
        <v>#N/A</v>
      </c>
      <c r="C3898" s="500">
        <v>832</v>
      </c>
      <c r="D3898" s="41" t="e">
        <f>IF($C$1078&gt;0,VLOOKUP($C3898,PATRIMONIALE!$AJ$4:$AL$1003,3,FALSE),"")</f>
        <v>#N/A</v>
      </c>
      <c r="E3898" s="41" t="str">
        <f t="shared" si="292"/>
        <v/>
      </c>
      <c r="F3898" s="200"/>
      <c r="G3898" s="178" t="e">
        <f>IF($C$1078&gt;0,VLOOKUP($C3898,PATRIMONIALE!$AJ$4:$AN$1003,5,FALSE),"")</f>
        <v>#N/A</v>
      </c>
      <c r="H3898" s="179" t="e">
        <f>IF($C$1078&gt;0,VLOOKUP($C3898,PATRIMONIALE!$AJ$4:$AO$1003,6,FALSE),"")</f>
        <v>#N/A</v>
      </c>
      <c r="I3898" s="187"/>
      <c r="J3898" s="140" t="e">
        <f ca="1">VLOOKUP(D3898,$F$1081:$I$4183,4,FALSE)+COUNTIF(E$1081:E3897,E3898)</f>
        <v>#N/A</v>
      </c>
      <c r="K3898" s="1"/>
      <c r="L3898" s="161" t="e">
        <f>IF($C$1078&gt;0,VLOOKUP($C3898,PATRIMONIALE!$AJ$4:$AP$1003,7,FALSE),"")</f>
        <v>#N/A</v>
      </c>
      <c r="M3898" s="1"/>
      <c r="N3898" s="1"/>
      <c r="O3898" s="1"/>
    </row>
    <row r="3899" spans="1:15" hidden="1">
      <c r="A3899" s="1"/>
      <c r="B3899" s="182" t="e">
        <f t="shared" ca="1" si="293"/>
        <v>#N/A</v>
      </c>
      <c r="C3899" s="500">
        <v>833</v>
      </c>
      <c r="D3899" s="41" t="e">
        <f>IF($C$1078&gt;0,VLOOKUP($C3899,PATRIMONIALE!$AJ$4:$AL$1003,3,FALSE),"")</f>
        <v>#N/A</v>
      </c>
      <c r="E3899" s="41" t="str">
        <f t="shared" si="292"/>
        <v/>
      </c>
      <c r="F3899" s="200"/>
      <c r="G3899" s="178" t="e">
        <f>IF($C$1078&gt;0,VLOOKUP($C3899,PATRIMONIALE!$AJ$4:$AN$1003,5,FALSE),"")</f>
        <v>#N/A</v>
      </c>
      <c r="H3899" s="179" t="e">
        <f>IF($C$1078&gt;0,VLOOKUP($C3899,PATRIMONIALE!$AJ$4:$AO$1003,6,FALSE),"")</f>
        <v>#N/A</v>
      </c>
      <c r="I3899" s="187"/>
      <c r="J3899" s="140" t="e">
        <f ca="1">VLOOKUP(D3899,$F$1081:$I$4183,4,FALSE)+COUNTIF(E$1081:E3898,E3899)</f>
        <v>#N/A</v>
      </c>
      <c r="K3899" s="1"/>
      <c r="L3899" s="161" t="e">
        <f>IF($C$1078&gt;0,VLOOKUP($C3899,PATRIMONIALE!$AJ$4:$AP$1003,7,FALSE),"")</f>
        <v>#N/A</v>
      </c>
      <c r="M3899" s="1"/>
      <c r="N3899" s="1"/>
      <c r="O3899" s="1"/>
    </row>
    <row r="3900" spans="1:15" hidden="1">
      <c r="A3900" s="1"/>
      <c r="B3900" s="182" t="e">
        <f t="shared" ca="1" si="293"/>
        <v>#N/A</v>
      </c>
      <c r="C3900" s="500">
        <v>834</v>
      </c>
      <c r="D3900" s="41" t="e">
        <f>IF($C$1078&gt;0,VLOOKUP($C3900,PATRIMONIALE!$AJ$4:$AL$1003,3,FALSE),"")</f>
        <v>#N/A</v>
      </c>
      <c r="E3900" s="41" t="str">
        <f t="shared" si="292"/>
        <v/>
      </c>
      <c r="F3900" s="200"/>
      <c r="G3900" s="178" t="e">
        <f>IF($C$1078&gt;0,VLOOKUP($C3900,PATRIMONIALE!$AJ$4:$AN$1003,5,FALSE),"")</f>
        <v>#N/A</v>
      </c>
      <c r="H3900" s="179" t="e">
        <f>IF($C$1078&gt;0,VLOOKUP($C3900,PATRIMONIALE!$AJ$4:$AO$1003,6,FALSE),"")</f>
        <v>#N/A</v>
      </c>
      <c r="I3900" s="187"/>
      <c r="J3900" s="140" t="e">
        <f ca="1">VLOOKUP(D3900,$F$1081:$I$4183,4,FALSE)+COUNTIF(E$1081:E3899,E3900)</f>
        <v>#N/A</v>
      </c>
      <c r="K3900" s="1"/>
      <c r="L3900" s="161" t="e">
        <f>IF($C$1078&gt;0,VLOOKUP($C3900,PATRIMONIALE!$AJ$4:$AP$1003,7,FALSE),"")</f>
        <v>#N/A</v>
      </c>
      <c r="M3900" s="1"/>
      <c r="N3900" s="1"/>
      <c r="O3900" s="1"/>
    </row>
    <row r="3901" spans="1:15" hidden="1">
      <c r="A3901" s="1"/>
      <c r="B3901" s="182" t="e">
        <f t="shared" ca="1" si="293"/>
        <v>#N/A</v>
      </c>
      <c r="C3901" s="500">
        <v>835</v>
      </c>
      <c r="D3901" s="41" t="e">
        <f>IF($C$1078&gt;0,VLOOKUP($C3901,PATRIMONIALE!$AJ$4:$AL$1003,3,FALSE),"")</f>
        <v>#N/A</v>
      </c>
      <c r="E3901" s="41" t="str">
        <f t="shared" si="292"/>
        <v/>
      </c>
      <c r="F3901" s="200"/>
      <c r="G3901" s="178" t="e">
        <f>IF($C$1078&gt;0,VLOOKUP($C3901,PATRIMONIALE!$AJ$4:$AN$1003,5,FALSE),"")</f>
        <v>#N/A</v>
      </c>
      <c r="H3901" s="179" t="e">
        <f>IF($C$1078&gt;0,VLOOKUP($C3901,PATRIMONIALE!$AJ$4:$AO$1003,6,FALSE),"")</f>
        <v>#N/A</v>
      </c>
      <c r="I3901" s="187"/>
      <c r="J3901" s="140" t="e">
        <f ca="1">VLOOKUP(D3901,$F$1081:$I$4183,4,FALSE)+COUNTIF(E$1081:E3900,E3901)</f>
        <v>#N/A</v>
      </c>
      <c r="K3901" s="1"/>
      <c r="L3901" s="161" t="e">
        <f>IF($C$1078&gt;0,VLOOKUP($C3901,PATRIMONIALE!$AJ$4:$AP$1003,7,FALSE),"")</f>
        <v>#N/A</v>
      </c>
      <c r="M3901" s="1"/>
      <c r="N3901" s="1"/>
      <c r="O3901" s="1"/>
    </row>
    <row r="3902" spans="1:15" hidden="1">
      <c r="A3902" s="1"/>
      <c r="B3902" s="182" t="e">
        <f t="shared" ca="1" si="293"/>
        <v>#N/A</v>
      </c>
      <c r="C3902" s="500">
        <v>836</v>
      </c>
      <c r="D3902" s="41" t="e">
        <f>IF($C$1078&gt;0,VLOOKUP($C3902,PATRIMONIALE!$AJ$4:$AL$1003,3,FALSE),"")</f>
        <v>#N/A</v>
      </c>
      <c r="E3902" s="41" t="str">
        <f t="shared" si="292"/>
        <v/>
      </c>
      <c r="F3902" s="200"/>
      <c r="G3902" s="178" t="e">
        <f>IF($C$1078&gt;0,VLOOKUP($C3902,PATRIMONIALE!$AJ$4:$AN$1003,5,FALSE),"")</f>
        <v>#N/A</v>
      </c>
      <c r="H3902" s="179" t="e">
        <f>IF($C$1078&gt;0,VLOOKUP($C3902,PATRIMONIALE!$AJ$4:$AO$1003,6,FALSE),"")</f>
        <v>#N/A</v>
      </c>
      <c r="I3902" s="187"/>
      <c r="J3902" s="140" t="e">
        <f ca="1">VLOOKUP(D3902,$F$1081:$I$4183,4,FALSE)+COUNTIF(E$1081:E3901,E3902)</f>
        <v>#N/A</v>
      </c>
      <c r="K3902" s="1"/>
      <c r="L3902" s="161" t="e">
        <f>IF($C$1078&gt;0,VLOOKUP($C3902,PATRIMONIALE!$AJ$4:$AP$1003,7,FALSE),"")</f>
        <v>#N/A</v>
      </c>
      <c r="M3902" s="1"/>
      <c r="N3902" s="1"/>
      <c r="O3902" s="1"/>
    </row>
    <row r="3903" spans="1:15" hidden="1">
      <c r="A3903" s="1"/>
      <c r="B3903" s="182" t="e">
        <f t="shared" ca="1" si="293"/>
        <v>#N/A</v>
      </c>
      <c r="C3903" s="500">
        <v>837</v>
      </c>
      <c r="D3903" s="41" t="e">
        <f>IF($C$1078&gt;0,VLOOKUP($C3903,PATRIMONIALE!$AJ$4:$AL$1003,3,FALSE),"")</f>
        <v>#N/A</v>
      </c>
      <c r="E3903" s="41" t="str">
        <f t="shared" si="292"/>
        <v/>
      </c>
      <c r="F3903" s="200"/>
      <c r="G3903" s="178" t="e">
        <f>IF($C$1078&gt;0,VLOOKUP($C3903,PATRIMONIALE!$AJ$4:$AN$1003,5,FALSE),"")</f>
        <v>#N/A</v>
      </c>
      <c r="H3903" s="179" t="e">
        <f>IF($C$1078&gt;0,VLOOKUP($C3903,PATRIMONIALE!$AJ$4:$AO$1003,6,FALSE),"")</f>
        <v>#N/A</v>
      </c>
      <c r="I3903" s="187"/>
      <c r="J3903" s="140" t="e">
        <f ca="1">VLOOKUP(D3903,$F$1081:$I$4183,4,FALSE)+COUNTIF(E$1081:E3902,E3903)</f>
        <v>#N/A</v>
      </c>
      <c r="K3903" s="1"/>
      <c r="L3903" s="161" t="e">
        <f>IF($C$1078&gt;0,VLOOKUP($C3903,PATRIMONIALE!$AJ$4:$AP$1003,7,FALSE),"")</f>
        <v>#N/A</v>
      </c>
      <c r="M3903" s="1"/>
      <c r="N3903" s="1"/>
      <c r="O3903" s="1"/>
    </row>
    <row r="3904" spans="1:15" hidden="1">
      <c r="A3904" s="1"/>
      <c r="B3904" s="182" t="e">
        <f t="shared" ca="1" si="293"/>
        <v>#N/A</v>
      </c>
      <c r="C3904" s="500">
        <v>838</v>
      </c>
      <c r="D3904" s="41" t="e">
        <f>IF($C$1078&gt;0,VLOOKUP($C3904,PATRIMONIALE!$AJ$4:$AL$1003,3,FALSE),"")</f>
        <v>#N/A</v>
      </c>
      <c r="E3904" s="41" t="str">
        <f t="shared" si="292"/>
        <v/>
      </c>
      <c r="F3904" s="200"/>
      <c r="G3904" s="178" t="e">
        <f>IF($C$1078&gt;0,VLOOKUP($C3904,PATRIMONIALE!$AJ$4:$AN$1003,5,FALSE),"")</f>
        <v>#N/A</v>
      </c>
      <c r="H3904" s="179" t="e">
        <f>IF($C$1078&gt;0,VLOOKUP($C3904,PATRIMONIALE!$AJ$4:$AO$1003,6,FALSE),"")</f>
        <v>#N/A</v>
      </c>
      <c r="I3904" s="187"/>
      <c r="J3904" s="140" t="e">
        <f ca="1">VLOOKUP(D3904,$F$1081:$I$4183,4,FALSE)+COUNTIF(E$1081:E3903,E3904)</f>
        <v>#N/A</v>
      </c>
      <c r="K3904" s="1"/>
      <c r="L3904" s="161" t="e">
        <f>IF($C$1078&gt;0,VLOOKUP($C3904,PATRIMONIALE!$AJ$4:$AP$1003,7,FALSE),"")</f>
        <v>#N/A</v>
      </c>
      <c r="M3904" s="1"/>
      <c r="N3904" s="1"/>
      <c r="O3904" s="1"/>
    </row>
    <row r="3905" spans="1:15" hidden="1">
      <c r="A3905" s="1"/>
      <c r="B3905" s="182" t="e">
        <f t="shared" ca="1" si="293"/>
        <v>#N/A</v>
      </c>
      <c r="C3905" s="500">
        <v>839</v>
      </c>
      <c r="D3905" s="41" t="e">
        <f>IF($C$1078&gt;0,VLOOKUP($C3905,PATRIMONIALE!$AJ$4:$AL$1003,3,FALSE),"")</f>
        <v>#N/A</v>
      </c>
      <c r="E3905" s="41" t="str">
        <f t="shared" ref="E3905:E3968" si="294">IF(ISERROR(D3905),"",D3905)</f>
        <v/>
      </c>
      <c r="F3905" s="200"/>
      <c r="G3905" s="178" t="e">
        <f>IF($C$1078&gt;0,VLOOKUP($C3905,PATRIMONIALE!$AJ$4:$AN$1003,5,FALSE),"")</f>
        <v>#N/A</v>
      </c>
      <c r="H3905" s="179" t="e">
        <f>IF($C$1078&gt;0,VLOOKUP($C3905,PATRIMONIALE!$AJ$4:$AO$1003,6,FALSE),"")</f>
        <v>#N/A</v>
      </c>
      <c r="I3905" s="187"/>
      <c r="J3905" s="140" t="e">
        <f ca="1">VLOOKUP(D3905,$F$1081:$I$4183,4,FALSE)+COUNTIF(E$1081:E3904,E3905)</f>
        <v>#N/A</v>
      </c>
      <c r="K3905" s="1"/>
      <c r="L3905" s="161" t="e">
        <f>IF($C$1078&gt;0,VLOOKUP($C3905,PATRIMONIALE!$AJ$4:$AP$1003,7,FALSE),"")</f>
        <v>#N/A</v>
      </c>
      <c r="M3905" s="1"/>
      <c r="N3905" s="1"/>
      <c r="O3905" s="1"/>
    </row>
    <row r="3906" spans="1:15" hidden="1">
      <c r="A3906" s="1"/>
      <c r="B3906" s="182" t="e">
        <f t="shared" ca="1" si="293"/>
        <v>#N/A</v>
      </c>
      <c r="C3906" s="500">
        <v>840</v>
      </c>
      <c r="D3906" s="41" t="e">
        <f>IF($C$1078&gt;0,VLOOKUP($C3906,PATRIMONIALE!$AJ$4:$AL$1003,3,FALSE),"")</f>
        <v>#N/A</v>
      </c>
      <c r="E3906" s="41" t="str">
        <f t="shared" si="294"/>
        <v/>
      </c>
      <c r="F3906" s="200"/>
      <c r="G3906" s="178" t="e">
        <f>IF($C$1078&gt;0,VLOOKUP($C3906,PATRIMONIALE!$AJ$4:$AN$1003,5,FALSE),"")</f>
        <v>#N/A</v>
      </c>
      <c r="H3906" s="179" t="e">
        <f>IF($C$1078&gt;0,VLOOKUP($C3906,PATRIMONIALE!$AJ$4:$AO$1003,6,FALSE),"")</f>
        <v>#N/A</v>
      </c>
      <c r="I3906" s="187"/>
      <c r="J3906" s="140" t="e">
        <f ca="1">VLOOKUP(D3906,$F$1081:$I$4183,4,FALSE)+COUNTIF(E$1081:E3905,E3906)</f>
        <v>#N/A</v>
      </c>
      <c r="K3906" s="1"/>
      <c r="L3906" s="161" t="e">
        <f>IF($C$1078&gt;0,VLOOKUP($C3906,PATRIMONIALE!$AJ$4:$AP$1003,7,FALSE),"")</f>
        <v>#N/A</v>
      </c>
      <c r="M3906" s="1"/>
      <c r="N3906" s="1"/>
      <c r="O3906" s="1"/>
    </row>
    <row r="3907" spans="1:15" hidden="1">
      <c r="A3907" s="1"/>
      <c r="B3907" s="182" t="e">
        <f t="shared" ca="1" si="293"/>
        <v>#N/A</v>
      </c>
      <c r="C3907" s="500">
        <v>841</v>
      </c>
      <c r="D3907" s="41" t="e">
        <f>IF($C$1078&gt;0,VLOOKUP($C3907,PATRIMONIALE!$AJ$4:$AL$1003,3,FALSE),"")</f>
        <v>#N/A</v>
      </c>
      <c r="E3907" s="41" t="str">
        <f t="shared" si="294"/>
        <v/>
      </c>
      <c r="F3907" s="200"/>
      <c r="G3907" s="178" t="e">
        <f>IF($C$1078&gt;0,VLOOKUP($C3907,PATRIMONIALE!$AJ$4:$AN$1003,5,FALSE),"")</f>
        <v>#N/A</v>
      </c>
      <c r="H3907" s="179" t="e">
        <f>IF($C$1078&gt;0,VLOOKUP($C3907,PATRIMONIALE!$AJ$4:$AO$1003,6,FALSE),"")</f>
        <v>#N/A</v>
      </c>
      <c r="I3907" s="187"/>
      <c r="J3907" s="140" t="e">
        <f ca="1">VLOOKUP(D3907,$F$1081:$I$4183,4,FALSE)+COUNTIF(E$1081:E3906,E3907)</f>
        <v>#N/A</v>
      </c>
      <c r="K3907" s="1"/>
      <c r="L3907" s="161" t="e">
        <f>IF($C$1078&gt;0,VLOOKUP($C3907,PATRIMONIALE!$AJ$4:$AP$1003,7,FALSE),"")</f>
        <v>#N/A</v>
      </c>
      <c r="M3907" s="1"/>
      <c r="N3907" s="1"/>
      <c r="O3907" s="1"/>
    </row>
    <row r="3908" spans="1:15" hidden="1">
      <c r="A3908" s="1"/>
      <c r="B3908" s="182" t="e">
        <f t="shared" ca="1" si="293"/>
        <v>#N/A</v>
      </c>
      <c r="C3908" s="500">
        <v>842</v>
      </c>
      <c r="D3908" s="41" t="e">
        <f>IF($C$1078&gt;0,VLOOKUP($C3908,PATRIMONIALE!$AJ$4:$AL$1003,3,FALSE),"")</f>
        <v>#N/A</v>
      </c>
      <c r="E3908" s="41" t="str">
        <f t="shared" si="294"/>
        <v/>
      </c>
      <c r="F3908" s="200"/>
      <c r="G3908" s="178" t="e">
        <f>IF($C$1078&gt;0,VLOOKUP($C3908,PATRIMONIALE!$AJ$4:$AN$1003,5,FALSE),"")</f>
        <v>#N/A</v>
      </c>
      <c r="H3908" s="179" t="e">
        <f>IF($C$1078&gt;0,VLOOKUP($C3908,PATRIMONIALE!$AJ$4:$AO$1003,6,FALSE),"")</f>
        <v>#N/A</v>
      </c>
      <c r="I3908" s="187"/>
      <c r="J3908" s="140" t="e">
        <f ca="1">VLOOKUP(D3908,$F$1081:$I$4183,4,FALSE)+COUNTIF(E$1081:E3907,E3908)</f>
        <v>#N/A</v>
      </c>
      <c r="K3908" s="1"/>
      <c r="L3908" s="161" t="e">
        <f>IF($C$1078&gt;0,VLOOKUP($C3908,PATRIMONIALE!$AJ$4:$AP$1003,7,FALSE),"")</f>
        <v>#N/A</v>
      </c>
      <c r="M3908" s="1"/>
      <c r="N3908" s="1"/>
      <c r="O3908" s="1"/>
    </row>
    <row r="3909" spans="1:15" hidden="1">
      <c r="A3909" s="1"/>
      <c r="B3909" s="182" t="e">
        <f t="shared" ca="1" si="293"/>
        <v>#N/A</v>
      </c>
      <c r="C3909" s="500">
        <v>843</v>
      </c>
      <c r="D3909" s="41" t="e">
        <f>IF($C$1078&gt;0,VLOOKUP($C3909,PATRIMONIALE!$AJ$4:$AL$1003,3,FALSE),"")</f>
        <v>#N/A</v>
      </c>
      <c r="E3909" s="41" t="str">
        <f t="shared" si="294"/>
        <v/>
      </c>
      <c r="F3909" s="200"/>
      <c r="G3909" s="178" t="e">
        <f>IF($C$1078&gt;0,VLOOKUP($C3909,PATRIMONIALE!$AJ$4:$AN$1003,5,FALSE),"")</f>
        <v>#N/A</v>
      </c>
      <c r="H3909" s="179" t="e">
        <f>IF($C$1078&gt;0,VLOOKUP($C3909,PATRIMONIALE!$AJ$4:$AO$1003,6,FALSE),"")</f>
        <v>#N/A</v>
      </c>
      <c r="I3909" s="187"/>
      <c r="J3909" s="140" t="e">
        <f ca="1">VLOOKUP(D3909,$F$1081:$I$4183,4,FALSE)+COUNTIF(E$1081:E3908,E3909)</f>
        <v>#N/A</v>
      </c>
      <c r="K3909" s="1"/>
      <c r="L3909" s="161" t="e">
        <f>IF($C$1078&gt;0,VLOOKUP($C3909,PATRIMONIALE!$AJ$4:$AP$1003,7,FALSE),"")</f>
        <v>#N/A</v>
      </c>
      <c r="M3909" s="1"/>
      <c r="N3909" s="1"/>
      <c r="O3909" s="1"/>
    </row>
    <row r="3910" spans="1:15" hidden="1">
      <c r="A3910" s="1"/>
      <c r="B3910" s="182" t="e">
        <f t="shared" ca="1" si="293"/>
        <v>#N/A</v>
      </c>
      <c r="C3910" s="500">
        <v>844</v>
      </c>
      <c r="D3910" s="41" t="e">
        <f>IF($C$1078&gt;0,VLOOKUP($C3910,PATRIMONIALE!$AJ$4:$AL$1003,3,FALSE),"")</f>
        <v>#N/A</v>
      </c>
      <c r="E3910" s="41" t="str">
        <f t="shared" si="294"/>
        <v/>
      </c>
      <c r="F3910" s="200"/>
      <c r="G3910" s="178" t="e">
        <f>IF($C$1078&gt;0,VLOOKUP($C3910,PATRIMONIALE!$AJ$4:$AN$1003,5,FALSE),"")</f>
        <v>#N/A</v>
      </c>
      <c r="H3910" s="179" t="e">
        <f>IF($C$1078&gt;0,VLOOKUP($C3910,PATRIMONIALE!$AJ$4:$AO$1003,6,FALSE),"")</f>
        <v>#N/A</v>
      </c>
      <c r="I3910" s="187"/>
      <c r="J3910" s="140" t="e">
        <f ca="1">VLOOKUP(D3910,$F$1081:$I$4183,4,FALSE)+COUNTIF(E$1081:E3909,E3910)</f>
        <v>#N/A</v>
      </c>
      <c r="K3910" s="1"/>
      <c r="L3910" s="161" t="e">
        <f>IF($C$1078&gt;0,VLOOKUP($C3910,PATRIMONIALE!$AJ$4:$AP$1003,7,FALSE),"")</f>
        <v>#N/A</v>
      </c>
      <c r="M3910" s="1"/>
      <c r="N3910" s="1"/>
      <c r="O3910" s="1"/>
    </row>
    <row r="3911" spans="1:15" hidden="1">
      <c r="A3911" s="1"/>
      <c r="B3911" s="182" t="e">
        <f t="shared" ca="1" si="293"/>
        <v>#N/A</v>
      </c>
      <c r="C3911" s="500">
        <v>845</v>
      </c>
      <c r="D3911" s="41" t="e">
        <f>IF($C$1078&gt;0,VLOOKUP($C3911,PATRIMONIALE!$AJ$4:$AL$1003,3,FALSE),"")</f>
        <v>#N/A</v>
      </c>
      <c r="E3911" s="41" t="str">
        <f t="shared" si="294"/>
        <v/>
      </c>
      <c r="F3911" s="200"/>
      <c r="G3911" s="178" t="e">
        <f>IF($C$1078&gt;0,VLOOKUP($C3911,PATRIMONIALE!$AJ$4:$AN$1003,5,FALSE),"")</f>
        <v>#N/A</v>
      </c>
      <c r="H3911" s="179" t="e">
        <f>IF($C$1078&gt;0,VLOOKUP($C3911,PATRIMONIALE!$AJ$4:$AO$1003,6,FALSE),"")</f>
        <v>#N/A</v>
      </c>
      <c r="I3911" s="187"/>
      <c r="J3911" s="140" t="e">
        <f ca="1">VLOOKUP(D3911,$F$1081:$I$4183,4,FALSE)+COUNTIF(E$1081:E3910,E3911)</f>
        <v>#N/A</v>
      </c>
      <c r="K3911" s="1"/>
      <c r="L3911" s="161" t="e">
        <f>IF($C$1078&gt;0,VLOOKUP($C3911,PATRIMONIALE!$AJ$4:$AP$1003,7,FALSE),"")</f>
        <v>#N/A</v>
      </c>
      <c r="M3911" s="1"/>
      <c r="N3911" s="1"/>
      <c r="O3911" s="1"/>
    </row>
    <row r="3912" spans="1:15" hidden="1">
      <c r="A3912" s="1"/>
      <c r="B3912" s="182" t="e">
        <f t="shared" ca="1" si="293"/>
        <v>#N/A</v>
      </c>
      <c r="C3912" s="500">
        <v>846</v>
      </c>
      <c r="D3912" s="41" t="e">
        <f>IF($C$1078&gt;0,VLOOKUP($C3912,PATRIMONIALE!$AJ$4:$AL$1003,3,FALSE),"")</f>
        <v>#N/A</v>
      </c>
      <c r="E3912" s="41" t="str">
        <f t="shared" si="294"/>
        <v/>
      </c>
      <c r="F3912" s="200"/>
      <c r="G3912" s="178" t="e">
        <f>IF($C$1078&gt;0,VLOOKUP($C3912,PATRIMONIALE!$AJ$4:$AN$1003,5,FALSE),"")</f>
        <v>#N/A</v>
      </c>
      <c r="H3912" s="179" t="e">
        <f>IF($C$1078&gt;0,VLOOKUP($C3912,PATRIMONIALE!$AJ$4:$AO$1003,6,FALSE),"")</f>
        <v>#N/A</v>
      </c>
      <c r="I3912" s="187"/>
      <c r="J3912" s="140" t="e">
        <f ca="1">VLOOKUP(D3912,$F$1081:$I$4183,4,FALSE)+COUNTIF(E$1081:E3911,E3912)</f>
        <v>#N/A</v>
      </c>
      <c r="K3912" s="1"/>
      <c r="L3912" s="161" t="e">
        <f>IF($C$1078&gt;0,VLOOKUP($C3912,PATRIMONIALE!$AJ$4:$AP$1003,7,FALSE),"")</f>
        <v>#N/A</v>
      </c>
      <c r="M3912" s="1"/>
      <c r="N3912" s="1"/>
      <c r="O3912" s="1"/>
    </row>
    <row r="3913" spans="1:15" hidden="1">
      <c r="A3913" s="1"/>
      <c r="B3913" s="182" t="e">
        <f t="shared" ca="1" si="293"/>
        <v>#N/A</v>
      </c>
      <c r="C3913" s="500">
        <v>847</v>
      </c>
      <c r="D3913" s="41" t="e">
        <f>IF($C$1078&gt;0,VLOOKUP($C3913,PATRIMONIALE!$AJ$4:$AL$1003,3,FALSE),"")</f>
        <v>#N/A</v>
      </c>
      <c r="E3913" s="41" t="str">
        <f t="shared" si="294"/>
        <v/>
      </c>
      <c r="F3913" s="200"/>
      <c r="G3913" s="178" t="e">
        <f>IF($C$1078&gt;0,VLOOKUP($C3913,PATRIMONIALE!$AJ$4:$AN$1003,5,FALSE),"")</f>
        <v>#N/A</v>
      </c>
      <c r="H3913" s="179" t="e">
        <f>IF($C$1078&gt;0,VLOOKUP($C3913,PATRIMONIALE!$AJ$4:$AO$1003,6,FALSE),"")</f>
        <v>#N/A</v>
      </c>
      <c r="I3913" s="187"/>
      <c r="J3913" s="140" t="e">
        <f ca="1">VLOOKUP(D3913,$F$1081:$I$4183,4,FALSE)+COUNTIF(E$1081:E3912,E3913)</f>
        <v>#N/A</v>
      </c>
      <c r="K3913" s="1"/>
      <c r="L3913" s="161" t="e">
        <f>IF($C$1078&gt;0,VLOOKUP($C3913,PATRIMONIALE!$AJ$4:$AP$1003,7,FALSE),"")</f>
        <v>#N/A</v>
      </c>
      <c r="M3913" s="1"/>
      <c r="N3913" s="1"/>
      <c r="O3913" s="1"/>
    </row>
    <row r="3914" spans="1:15" hidden="1">
      <c r="A3914" s="1"/>
      <c r="B3914" s="182" t="e">
        <f t="shared" ca="1" si="293"/>
        <v>#N/A</v>
      </c>
      <c r="C3914" s="500">
        <v>848</v>
      </c>
      <c r="D3914" s="41" t="e">
        <f>IF($C$1078&gt;0,VLOOKUP($C3914,PATRIMONIALE!$AJ$4:$AL$1003,3,FALSE),"")</f>
        <v>#N/A</v>
      </c>
      <c r="E3914" s="41" t="str">
        <f t="shared" si="294"/>
        <v/>
      </c>
      <c r="F3914" s="200"/>
      <c r="G3914" s="178" t="e">
        <f>IF($C$1078&gt;0,VLOOKUP($C3914,PATRIMONIALE!$AJ$4:$AN$1003,5,FALSE),"")</f>
        <v>#N/A</v>
      </c>
      <c r="H3914" s="179" t="e">
        <f>IF($C$1078&gt;0,VLOOKUP($C3914,PATRIMONIALE!$AJ$4:$AO$1003,6,FALSE),"")</f>
        <v>#N/A</v>
      </c>
      <c r="I3914" s="187"/>
      <c r="J3914" s="140" t="e">
        <f ca="1">VLOOKUP(D3914,$F$1081:$I$4183,4,FALSE)+COUNTIF(E$1081:E3913,E3914)</f>
        <v>#N/A</v>
      </c>
      <c r="K3914" s="1"/>
      <c r="L3914" s="161" t="e">
        <f>IF($C$1078&gt;0,VLOOKUP($C3914,PATRIMONIALE!$AJ$4:$AP$1003,7,FALSE),"")</f>
        <v>#N/A</v>
      </c>
      <c r="M3914" s="1"/>
      <c r="N3914" s="1"/>
      <c r="O3914" s="1"/>
    </row>
    <row r="3915" spans="1:15" hidden="1">
      <c r="A3915" s="1"/>
      <c r="B3915" s="182" t="e">
        <f t="shared" ca="1" si="293"/>
        <v>#N/A</v>
      </c>
      <c r="C3915" s="500">
        <v>849</v>
      </c>
      <c r="D3915" s="41" t="e">
        <f>IF($C$1078&gt;0,VLOOKUP($C3915,PATRIMONIALE!$AJ$4:$AL$1003,3,FALSE),"")</f>
        <v>#N/A</v>
      </c>
      <c r="E3915" s="41" t="str">
        <f t="shared" si="294"/>
        <v/>
      </c>
      <c r="F3915" s="200"/>
      <c r="G3915" s="178" t="e">
        <f>IF($C$1078&gt;0,VLOOKUP($C3915,PATRIMONIALE!$AJ$4:$AN$1003,5,FALSE),"")</f>
        <v>#N/A</v>
      </c>
      <c r="H3915" s="179" t="e">
        <f>IF($C$1078&gt;0,VLOOKUP($C3915,PATRIMONIALE!$AJ$4:$AO$1003,6,FALSE),"")</f>
        <v>#N/A</v>
      </c>
      <c r="I3915" s="187"/>
      <c r="J3915" s="140" t="e">
        <f ca="1">VLOOKUP(D3915,$F$1081:$I$4183,4,FALSE)+COUNTIF(E$1081:E3914,E3915)</f>
        <v>#N/A</v>
      </c>
      <c r="K3915" s="1"/>
      <c r="L3915" s="161" t="e">
        <f>IF($C$1078&gt;0,VLOOKUP($C3915,PATRIMONIALE!$AJ$4:$AP$1003,7,FALSE),"")</f>
        <v>#N/A</v>
      </c>
      <c r="M3915" s="1"/>
      <c r="N3915" s="1"/>
      <c r="O3915" s="1"/>
    </row>
    <row r="3916" spans="1:15" hidden="1">
      <c r="A3916" s="1"/>
      <c r="B3916" s="182" t="e">
        <f t="shared" ca="1" si="293"/>
        <v>#N/A</v>
      </c>
      <c r="C3916" s="500">
        <v>850</v>
      </c>
      <c r="D3916" s="41" t="e">
        <f>IF($C$1078&gt;0,VLOOKUP($C3916,PATRIMONIALE!$AJ$4:$AL$1003,3,FALSE),"")</f>
        <v>#N/A</v>
      </c>
      <c r="E3916" s="41" t="str">
        <f t="shared" si="294"/>
        <v/>
      </c>
      <c r="F3916" s="200"/>
      <c r="G3916" s="178" t="e">
        <f>IF($C$1078&gt;0,VLOOKUP($C3916,PATRIMONIALE!$AJ$4:$AN$1003,5,FALSE),"")</f>
        <v>#N/A</v>
      </c>
      <c r="H3916" s="179" t="e">
        <f>IF($C$1078&gt;0,VLOOKUP($C3916,PATRIMONIALE!$AJ$4:$AO$1003,6,FALSE),"")</f>
        <v>#N/A</v>
      </c>
      <c r="I3916" s="187"/>
      <c r="J3916" s="140" t="e">
        <f ca="1">VLOOKUP(D3916,$F$1081:$I$4183,4,FALSE)+COUNTIF(E$1081:E3915,E3916)</f>
        <v>#N/A</v>
      </c>
      <c r="K3916" s="1"/>
      <c r="L3916" s="161" t="e">
        <f>IF($C$1078&gt;0,VLOOKUP($C3916,PATRIMONIALE!$AJ$4:$AP$1003,7,FALSE),"")</f>
        <v>#N/A</v>
      </c>
      <c r="M3916" s="1"/>
      <c r="N3916" s="1"/>
      <c r="O3916" s="1"/>
    </row>
    <row r="3917" spans="1:15" hidden="1">
      <c r="A3917" s="1"/>
      <c r="B3917" s="182" t="e">
        <f t="shared" ca="1" si="293"/>
        <v>#N/A</v>
      </c>
      <c r="C3917" s="500">
        <v>851</v>
      </c>
      <c r="D3917" s="41" t="e">
        <f>IF($C$1078&gt;0,VLOOKUP($C3917,PATRIMONIALE!$AJ$4:$AL$1003,3,FALSE),"")</f>
        <v>#N/A</v>
      </c>
      <c r="E3917" s="41" t="str">
        <f t="shared" si="294"/>
        <v/>
      </c>
      <c r="F3917" s="200"/>
      <c r="G3917" s="178" t="e">
        <f>IF($C$1078&gt;0,VLOOKUP($C3917,PATRIMONIALE!$AJ$4:$AN$1003,5,FALSE),"")</f>
        <v>#N/A</v>
      </c>
      <c r="H3917" s="179" t="e">
        <f>IF($C$1078&gt;0,VLOOKUP($C3917,PATRIMONIALE!$AJ$4:$AO$1003,6,FALSE),"")</f>
        <v>#N/A</v>
      </c>
      <c r="I3917" s="187"/>
      <c r="J3917" s="140" t="e">
        <f ca="1">VLOOKUP(D3917,$F$1081:$I$4183,4,FALSE)+COUNTIF(E$1081:E3916,E3917)</f>
        <v>#N/A</v>
      </c>
      <c r="K3917" s="1"/>
      <c r="L3917" s="161" t="e">
        <f>IF($C$1078&gt;0,VLOOKUP($C3917,PATRIMONIALE!$AJ$4:$AP$1003,7,FALSE),"")</f>
        <v>#N/A</v>
      </c>
      <c r="M3917" s="1"/>
      <c r="N3917" s="1"/>
      <c r="O3917" s="1"/>
    </row>
    <row r="3918" spans="1:15" hidden="1">
      <c r="A3918" s="1"/>
      <c r="B3918" s="182" t="e">
        <f t="shared" ca="1" si="293"/>
        <v>#N/A</v>
      </c>
      <c r="C3918" s="500">
        <v>852</v>
      </c>
      <c r="D3918" s="41" t="e">
        <f>IF($C$1078&gt;0,VLOOKUP($C3918,PATRIMONIALE!$AJ$4:$AL$1003,3,FALSE),"")</f>
        <v>#N/A</v>
      </c>
      <c r="E3918" s="41" t="str">
        <f t="shared" si="294"/>
        <v/>
      </c>
      <c r="F3918" s="200"/>
      <c r="G3918" s="178" t="e">
        <f>IF($C$1078&gt;0,VLOOKUP($C3918,PATRIMONIALE!$AJ$4:$AN$1003,5,FALSE),"")</f>
        <v>#N/A</v>
      </c>
      <c r="H3918" s="179" t="e">
        <f>IF($C$1078&gt;0,VLOOKUP($C3918,PATRIMONIALE!$AJ$4:$AO$1003,6,FALSE),"")</f>
        <v>#N/A</v>
      </c>
      <c r="I3918" s="187"/>
      <c r="J3918" s="140" t="e">
        <f ca="1">VLOOKUP(D3918,$F$1081:$I$4183,4,FALSE)+COUNTIF(E$1081:E3917,E3918)</f>
        <v>#N/A</v>
      </c>
      <c r="K3918" s="1"/>
      <c r="L3918" s="161" t="e">
        <f>IF($C$1078&gt;0,VLOOKUP($C3918,PATRIMONIALE!$AJ$4:$AP$1003,7,FALSE),"")</f>
        <v>#N/A</v>
      </c>
      <c r="M3918" s="1"/>
      <c r="N3918" s="1"/>
      <c r="O3918" s="1"/>
    </row>
    <row r="3919" spans="1:15" hidden="1">
      <c r="A3919" s="1"/>
      <c r="B3919" s="182" t="e">
        <f t="shared" ca="1" si="293"/>
        <v>#N/A</v>
      </c>
      <c r="C3919" s="500">
        <v>853</v>
      </c>
      <c r="D3919" s="41" t="e">
        <f>IF($C$1078&gt;0,VLOOKUP($C3919,PATRIMONIALE!$AJ$4:$AL$1003,3,FALSE),"")</f>
        <v>#N/A</v>
      </c>
      <c r="E3919" s="41" t="str">
        <f t="shared" si="294"/>
        <v/>
      </c>
      <c r="F3919" s="200"/>
      <c r="G3919" s="178" t="e">
        <f>IF($C$1078&gt;0,VLOOKUP($C3919,PATRIMONIALE!$AJ$4:$AN$1003,5,FALSE),"")</f>
        <v>#N/A</v>
      </c>
      <c r="H3919" s="179" t="e">
        <f>IF($C$1078&gt;0,VLOOKUP($C3919,PATRIMONIALE!$AJ$4:$AO$1003,6,FALSE),"")</f>
        <v>#N/A</v>
      </c>
      <c r="I3919" s="187"/>
      <c r="J3919" s="140" t="e">
        <f ca="1">VLOOKUP(D3919,$F$1081:$I$4183,4,FALSE)+COUNTIF(E$1081:E3918,E3919)</f>
        <v>#N/A</v>
      </c>
      <c r="K3919" s="1"/>
      <c r="L3919" s="161" t="e">
        <f>IF($C$1078&gt;0,VLOOKUP($C3919,PATRIMONIALE!$AJ$4:$AP$1003,7,FALSE),"")</f>
        <v>#N/A</v>
      </c>
      <c r="M3919" s="1"/>
      <c r="N3919" s="1"/>
      <c r="O3919" s="1"/>
    </row>
    <row r="3920" spans="1:15" hidden="1">
      <c r="A3920" s="1"/>
      <c r="B3920" s="182" t="e">
        <f t="shared" ca="1" si="293"/>
        <v>#N/A</v>
      </c>
      <c r="C3920" s="500">
        <v>854</v>
      </c>
      <c r="D3920" s="41" t="e">
        <f>IF($C$1078&gt;0,VLOOKUP($C3920,PATRIMONIALE!$AJ$4:$AL$1003,3,FALSE),"")</f>
        <v>#N/A</v>
      </c>
      <c r="E3920" s="41" t="str">
        <f t="shared" si="294"/>
        <v/>
      </c>
      <c r="F3920" s="200"/>
      <c r="G3920" s="178" t="e">
        <f>IF($C$1078&gt;0,VLOOKUP($C3920,PATRIMONIALE!$AJ$4:$AN$1003,5,FALSE),"")</f>
        <v>#N/A</v>
      </c>
      <c r="H3920" s="179" t="e">
        <f>IF($C$1078&gt;0,VLOOKUP($C3920,PATRIMONIALE!$AJ$4:$AO$1003,6,FALSE),"")</f>
        <v>#N/A</v>
      </c>
      <c r="I3920" s="187"/>
      <c r="J3920" s="140" t="e">
        <f ca="1">VLOOKUP(D3920,$F$1081:$I$4183,4,FALSE)+COUNTIF(E$1081:E3919,E3920)</f>
        <v>#N/A</v>
      </c>
      <c r="K3920" s="1"/>
      <c r="L3920" s="161" t="e">
        <f>IF($C$1078&gt;0,VLOOKUP($C3920,PATRIMONIALE!$AJ$4:$AP$1003,7,FALSE),"")</f>
        <v>#N/A</v>
      </c>
      <c r="M3920" s="1"/>
      <c r="N3920" s="1"/>
      <c r="O3920" s="1"/>
    </row>
    <row r="3921" spans="1:15" hidden="1">
      <c r="A3921" s="1"/>
      <c r="B3921" s="182" t="e">
        <f t="shared" ca="1" si="293"/>
        <v>#N/A</v>
      </c>
      <c r="C3921" s="500">
        <v>855</v>
      </c>
      <c r="D3921" s="41" t="e">
        <f>IF($C$1078&gt;0,VLOOKUP($C3921,PATRIMONIALE!$AJ$4:$AL$1003,3,FALSE),"")</f>
        <v>#N/A</v>
      </c>
      <c r="E3921" s="41" t="str">
        <f t="shared" si="294"/>
        <v/>
      </c>
      <c r="F3921" s="200"/>
      <c r="G3921" s="178" t="e">
        <f>IF($C$1078&gt;0,VLOOKUP($C3921,PATRIMONIALE!$AJ$4:$AN$1003,5,FALSE),"")</f>
        <v>#N/A</v>
      </c>
      <c r="H3921" s="179" t="e">
        <f>IF($C$1078&gt;0,VLOOKUP($C3921,PATRIMONIALE!$AJ$4:$AO$1003,6,FALSE),"")</f>
        <v>#N/A</v>
      </c>
      <c r="I3921" s="187"/>
      <c r="J3921" s="140" t="e">
        <f ca="1">VLOOKUP(D3921,$F$1081:$I$4183,4,FALSE)+COUNTIF(E$1081:E3920,E3921)</f>
        <v>#N/A</v>
      </c>
      <c r="K3921" s="1"/>
      <c r="L3921" s="161" t="e">
        <f>IF($C$1078&gt;0,VLOOKUP($C3921,PATRIMONIALE!$AJ$4:$AP$1003,7,FALSE),"")</f>
        <v>#N/A</v>
      </c>
      <c r="M3921" s="1"/>
      <c r="N3921" s="1"/>
      <c r="O3921" s="1"/>
    </row>
    <row r="3922" spans="1:15" hidden="1">
      <c r="A3922" s="1"/>
      <c r="B3922" s="182" t="e">
        <f t="shared" ca="1" si="293"/>
        <v>#N/A</v>
      </c>
      <c r="C3922" s="500">
        <v>856</v>
      </c>
      <c r="D3922" s="41" t="e">
        <f>IF($C$1078&gt;0,VLOOKUP($C3922,PATRIMONIALE!$AJ$4:$AL$1003,3,FALSE),"")</f>
        <v>#N/A</v>
      </c>
      <c r="E3922" s="41" t="str">
        <f t="shared" si="294"/>
        <v/>
      </c>
      <c r="F3922" s="200"/>
      <c r="G3922" s="178" t="e">
        <f>IF($C$1078&gt;0,VLOOKUP($C3922,PATRIMONIALE!$AJ$4:$AN$1003,5,FALSE),"")</f>
        <v>#N/A</v>
      </c>
      <c r="H3922" s="179" t="e">
        <f>IF($C$1078&gt;0,VLOOKUP($C3922,PATRIMONIALE!$AJ$4:$AO$1003,6,FALSE),"")</f>
        <v>#N/A</v>
      </c>
      <c r="I3922" s="187"/>
      <c r="J3922" s="140" t="e">
        <f ca="1">VLOOKUP(D3922,$F$1081:$I$4183,4,FALSE)+COUNTIF(E$1081:E3921,E3922)</f>
        <v>#N/A</v>
      </c>
      <c r="K3922" s="1"/>
      <c r="L3922" s="161" t="e">
        <f>IF($C$1078&gt;0,VLOOKUP($C3922,PATRIMONIALE!$AJ$4:$AP$1003,7,FALSE),"")</f>
        <v>#N/A</v>
      </c>
      <c r="M3922" s="1"/>
      <c r="N3922" s="1"/>
      <c r="O3922" s="1"/>
    </row>
    <row r="3923" spans="1:15" hidden="1">
      <c r="A3923" s="1"/>
      <c r="B3923" s="182" t="e">
        <f t="shared" ca="1" si="293"/>
        <v>#N/A</v>
      </c>
      <c r="C3923" s="500">
        <v>857</v>
      </c>
      <c r="D3923" s="41" t="e">
        <f>IF($C$1078&gt;0,VLOOKUP($C3923,PATRIMONIALE!$AJ$4:$AL$1003,3,FALSE),"")</f>
        <v>#N/A</v>
      </c>
      <c r="E3923" s="41" t="str">
        <f t="shared" si="294"/>
        <v/>
      </c>
      <c r="F3923" s="200"/>
      <c r="G3923" s="178" t="e">
        <f>IF($C$1078&gt;0,VLOOKUP($C3923,PATRIMONIALE!$AJ$4:$AN$1003,5,FALSE),"")</f>
        <v>#N/A</v>
      </c>
      <c r="H3923" s="179" t="e">
        <f>IF($C$1078&gt;0,VLOOKUP($C3923,PATRIMONIALE!$AJ$4:$AO$1003,6,FALSE),"")</f>
        <v>#N/A</v>
      </c>
      <c r="I3923" s="187"/>
      <c r="J3923" s="140" t="e">
        <f ca="1">VLOOKUP(D3923,$F$1081:$I$4183,4,FALSE)+COUNTIF(E$1081:E3922,E3923)</f>
        <v>#N/A</v>
      </c>
      <c r="K3923" s="1"/>
      <c r="L3923" s="161" t="e">
        <f>IF($C$1078&gt;0,VLOOKUP($C3923,PATRIMONIALE!$AJ$4:$AP$1003,7,FALSE),"")</f>
        <v>#N/A</v>
      </c>
      <c r="M3923" s="1"/>
      <c r="N3923" s="1"/>
      <c r="O3923" s="1"/>
    </row>
    <row r="3924" spans="1:15" hidden="1">
      <c r="A3924" s="1"/>
      <c r="B3924" s="182" t="e">
        <f t="shared" ca="1" si="293"/>
        <v>#N/A</v>
      </c>
      <c r="C3924" s="500">
        <v>858</v>
      </c>
      <c r="D3924" s="41" t="e">
        <f>IF($C$1078&gt;0,VLOOKUP($C3924,PATRIMONIALE!$AJ$4:$AL$1003,3,FALSE),"")</f>
        <v>#N/A</v>
      </c>
      <c r="E3924" s="41" t="str">
        <f t="shared" si="294"/>
        <v/>
      </c>
      <c r="F3924" s="200"/>
      <c r="G3924" s="178" t="e">
        <f>IF($C$1078&gt;0,VLOOKUP($C3924,PATRIMONIALE!$AJ$4:$AN$1003,5,FALSE),"")</f>
        <v>#N/A</v>
      </c>
      <c r="H3924" s="179" t="e">
        <f>IF($C$1078&gt;0,VLOOKUP($C3924,PATRIMONIALE!$AJ$4:$AO$1003,6,FALSE),"")</f>
        <v>#N/A</v>
      </c>
      <c r="I3924" s="187"/>
      <c r="J3924" s="140" t="e">
        <f ca="1">VLOOKUP(D3924,$F$1081:$I$4183,4,FALSE)+COUNTIF(E$1081:E3923,E3924)</f>
        <v>#N/A</v>
      </c>
      <c r="K3924" s="1"/>
      <c r="L3924" s="161" t="e">
        <f>IF($C$1078&gt;0,VLOOKUP($C3924,PATRIMONIALE!$AJ$4:$AP$1003,7,FALSE),"")</f>
        <v>#N/A</v>
      </c>
      <c r="M3924" s="1"/>
      <c r="N3924" s="1"/>
      <c r="O3924" s="1"/>
    </row>
    <row r="3925" spans="1:15" hidden="1">
      <c r="A3925" s="1"/>
      <c r="B3925" s="182" t="e">
        <f t="shared" ca="1" si="293"/>
        <v>#N/A</v>
      </c>
      <c r="C3925" s="500">
        <v>859</v>
      </c>
      <c r="D3925" s="41" t="e">
        <f>IF($C$1078&gt;0,VLOOKUP($C3925,PATRIMONIALE!$AJ$4:$AL$1003,3,FALSE),"")</f>
        <v>#N/A</v>
      </c>
      <c r="E3925" s="41" t="str">
        <f t="shared" si="294"/>
        <v/>
      </c>
      <c r="F3925" s="200"/>
      <c r="G3925" s="178" t="e">
        <f>IF($C$1078&gt;0,VLOOKUP($C3925,PATRIMONIALE!$AJ$4:$AN$1003,5,FALSE),"")</f>
        <v>#N/A</v>
      </c>
      <c r="H3925" s="179" t="e">
        <f>IF($C$1078&gt;0,VLOOKUP($C3925,PATRIMONIALE!$AJ$4:$AO$1003,6,FALSE),"")</f>
        <v>#N/A</v>
      </c>
      <c r="I3925" s="187"/>
      <c r="J3925" s="140" t="e">
        <f ca="1">VLOOKUP(D3925,$F$1081:$I$4183,4,FALSE)+COUNTIF(E$1081:E3924,E3925)</f>
        <v>#N/A</v>
      </c>
      <c r="K3925" s="1"/>
      <c r="L3925" s="161" t="e">
        <f>IF($C$1078&gt;0,VLOOKUP($C3925,PATRIMONIALE!$AJ$4:$AP$1003,7,FALSE),"")</f>
        <v>#N/A</v>
      </c>
      <c r="M3925" s="1"/>
      <c r="N3925" s="1"/>
      <c r="O3925" s="1"/>
    </row>
    <row r="3926" spans="1:15" hidden="1">
      <c r="A3926" s="1"/>
      <c r="B3926" s="182" t="e">
        <f t="shared" ca="1" si="293"/>
        <v>#N/A</v>
      </c>
      <c r="C3926" s="500">
        <v>860</v>
      </c>
      <c r="D3926" s="41" t="e">
        <f>IF($C$1078&gt;0,VLOOKUP($C3926,PATRIMONIALE!$AJ$4:$AL$1003,3,FALSE),"")</f>
        <v>#N/A</v>
      </c>
      <c r="E3926" s="41" t="str">
        <f t="shared" si="294"/>
        <v/>
      </c>
      <c r="F3926" s="200"/>
      <c r="G3926" s="178" t="e">
        <f>IF($C$1078&gt;0,VLOOKUP($C3926,PATRIMONIALE!$AJ$4:$AN$1003,5,FALSE),"")</f>
        <v>#N/A</v>
      </c>
      <c r="H3926" s="179" t="e">
        <f>IF($C$1078&gt;0,VLOOKUP($C3926,PATRIMONIALE!$AJ$4:$AO$1003,6,FALSE),"")</f>
        <v>#N/A</v>
      </c>
      <c r="I3926" s="187"/>
      <c r="J3926" s="140" t="e">
        <f ca="1">VLOOKUP(D3926,$F$1081:$I$4183,4,FALSE)+COUNTIF(E$1081:E3925,E3926)</f>
        <v>#N/A</v>
      </c>
      <c r="K3926" s="1"/>
      <c r="L3926" s="161" t="e">
        <f>IF($C$1078&gt;0,VLOOKUP($C3926,PATRIMONIALE!$AJ$4:$AP$1003,7,FALSE),"")</f>
        <v>#N/A</v>
      </c>
      <c r="M3926" s="1"/>
      <c r="N3926" s="1"/>
      <c r="O3926" s="1"/>
    </row>
    <row r="3927" spans="1:15" hidden="1">
      <c r="A3927" s="1"/>
      <c r="B3927" s="182" t="e">
        <f t="shared" ca="1" si="293"/>
        <v>#N/A</v>
      </c>
      <c r="C3927" s="500">
        <v>861</v>
      </c>
      <c r="D3927" s="41" t="e">
        <f>IF($C$1078&gt;0,VLOOKUP($C3927,PATRIMONIALE!$AJ$4:$AL$1003,3,FALSE),"")</f>
        <v>#N/A</v>
      </c>
      <c r="E3927" s="41" t="str">
        <f t="shared" si="294"/>
        <v/>
      </c>
      <c r="F3927" s="200"/>
      <c r="G3927" s="178" t="e">
        <f>IF($C$1078&gt;0,VLOOKUP($C3927,PATRIMONIALE!$AJ$4:$AN$1003,5,FALSE),"")</f>
        <v>#N/A</v>
      </c>
      <c r="H3927" s="179" t="e">
        <f>IF($C$1078&gt;0,VLOOKUP($C3927,PATRIMONIALE!$AJ$4:$AO$1003,6,FALSE),"")</f>
        <v>#N/A</v>
      </c>
      <c r="I3927" s="187"/>
      <c r="J3927" s="140" t="e">
        <f ca="1">VLOOKUP(D3927,$F$1081:$I$4183,4,FALSE)+COUNTIF(E$1081:E3926,E3927)</f>
        <v>#N/A</v>
      </c>
      <c r="K3927" s="1"/>
      <c r="L3927" s="161" t="e">
        <f>IF($C$1078&gt;0,VLOOKUP($C3927,PATRIMONIALE!$AJ$4:$AP$1003,7,FALSE),"")</f>
        <v>#N/A</v>
      </c>
      <c r="M3927" s="1"/>
      <c r="N3927" s="1"/>
      <c r="O3927" s="1"/>
    </row>
    <row r="3928" spans="1:15" hidden="1">
      <c r="A3928" s="1"/>
      <c r="B3928" s="182" t="e">
        <f t="shared" ca="1" si="293"/>
        <v>#N/A</v>
      </c>
      <c r="C3928" s="500">
        <v>862</v>
      </c>
      <c r="D3928" s="41" t="e">
        <f>IF($C$1078&gt;0,VLOOKUP($C3928,PATRIMONIALE!$AJ$4:$AL$1003,3,FALSE),"")</f>
        <v>#N/A</v>
      </c>
      <c r="E3928" s="41" t="str">
        <f t="shared" si="294"/>
        <v/>
      </c>
      <c r="F3928" s="200"/>
      <c r="G3928" s="178" t="e">
        <f>IF($C$1078&gt;0,VLOOKUP($C3928,PATRIMONIALE!$AJ$4:$AN$1003,5,FALSE),"")</f>
        <v>#N/A</v>
      </c>
      <c r="H3928" s="179" t="e">
        <f>IF($C$1078&gt;0,VLOOKUP($C3928,PATRIMONIALE!$AJ$4:$AO$1003,6,FALSE),"")</f>
        <v>#N/A</v>
      </c>
      <c r="I3928" s="187"/>
      <c r="J3928" s="140" t="e">
        <f ca="1">VLOOKUP(D3928,$F$1081:$I$4183,4,FALSE)+COUNTIF(E$1081:E3927,E3928)</f>
        <v>#N/A</v>
      </c>
      <c r="K3928" s="1"/>
      <c r="L3928" s="161" t="e">
        <f>IF($C$1078&gt;0,VLOOKUP($C3928,PATRIMONIALE!$AJ$4:$AP$1003,7,FALSE),"")</f>
        <v>#N/A</v>
      </c>
      <c r="M3928" s="1"/>
      <c r="N3928" s="1"/>
      <c r="O3928" s="1"/>
    </row>
    <row r="3929" spans="1:15" hidden="1">
      <c r="A3929" s="1"/>
      <c r="B3929" s="182" t="e">
        <f t="shared" ca="1" si="293"/>
        <v>#N/A</v>
      </c>
      <c r="C3929" s="500">
        <v>863</v>
      </c>
      <c r="D3929" s="41" t="e">
        <f>IF($C$1078&gt;0,VLOOKUP($C3929,PATRIMONIALE!$AJ$4:$AL$1003,3,FALSE),"")</f>
        <v>#N/A</v>
      </c>
      <c r="E3929" s="41" t="str">
        <f t="shared" si="294"/>
        <v/>
      </c>
      <c r="F3929" s="200"/>
      <c r="G3929" s="178" t="e">
        <f>IF($C$1078&gt;0,VLOOKUP($C3929,PATRIMONIALE!$AJ$4:$AN$1003,5,FALSE),"")</f>
        <v>#N/A</v>
      </c>
      <c r="H3929" s="179" t="e">
        <f>IF($C$1078&gt;0,VLOOKUP($C3929,PATRIMONIALE!$AJ$4:$AO$1003,6,FALSE),"")</f>
        <v>#N/A</v>
      </c>
      <c r="I3929" s="187"/>
      <c r="J3929" s="140" t="e">
        <f ca="1">VLOOKUP(D3929,$F$1081:$I$4183,4,FALSE)+COUNTIF(E$1081:E3928,E3929)</f>
        <v>#N/A</v>
      </c>
      <c r="K3929" s="1"/>
      <c r="L3929" s="161" t="e">
        <f>IF($C$1078&gt;0,VLOOKUP($C3929,PATRIMONIALE!$AJ$4:$AP$1003,7,FALSE),"")</f>
        <v>#N/A</v>
      </c>
      <c r="M3929" s="1"/>
      <c r="N3929" s="1"/>
      <c r="O3929" s="1"/>
    </row>
    <row r="3930" spans="1:15" hidden="1">
      <c r="A3930" s="1"/>
      <c r="B3930" s="182" t="e">
        <f t="shared" ca="1" si="293"/>
        <v>#N/A</v>
      </c>
      <c r="C3930" s="500">
        <v>864</v>
      </c>
      <c r="D3930" s="41" t="e">
        <f>IF($C$1078&gt;0,VLOOKUP($C3930,PATRIMONIALE!$AJ$4:$AL$1003,3,FALSE),"")</f>
        <v>#N/A</v>
      </c>
      <c r="E3930" s="41" t="str">
        <f t="shared" si="294"/>
        <v/>
      </c>
      <c r="F3930" s="200"/>
      <c r="G3930" s="178" t="e">
        <f>IF($C$1078&gt;0,VLOOKUP($C3930,PATRIMONIALE!$AJ$4:$AN$1003,5,FALSE),"")</f>
        <v>#N/A</v>
      </c>
      <c r="H3930" s="179" t="e">
        <f>IF($C$1078&gt;0,VLOOKUP($C3930,PATRIMONIALE!$AJ$4:$AO$1003,6,FALSE),"")</f>
        <v>#N/A</v>
      </c>
      <c r="I3930" s="187"/>
      <c r="J3930" s="140" t="e">
        <f ca="1">VLOOKUP(D3930,$F$1081:$I$4183,4,FALSE)+COUNTIF(E$1081:E3929,E3930)</f>
        <v>#N/A</v>
      </c>
      <c r="K3930" s="1"/>
      <c r="L3930" s="161" t="e">
        <f>IF($C$1078&gt;0,VLOOKUP($C3930,PATRIMONIALE!$AJ$4:$AP$1003,7,FALSE),"")</f>
        <v>#N/A</v>
      </c>
      <c r="M3930" s="1"/>
      <c r="N3930" s="1"/>
      <c r="O3930" s="1"/>
    </row>
    <row r="3931" spans="1:15" hidden="1">
      <c r="A3931" s="1"/>
      <c r="B3931" s="182" t="e">
        <f t="shared" ca="1" si="293"/>
        <v>#N/A</v>
      </c>
      <c r="C3931" s="500">
        <v>865</v>
      </c>
      <c r="D3931" s="41" t="e">
        <f>IF($C$1078&gt;0,VLOOKUP($C3931,PATRIMONIALE!$AJ$4:$AL$1003,3,FALSE),"")</f>
        <v>#N/A</v>
      </c>
      <c r="E3931" s="41" t="str">
        <f t="shared" si="294"/>
        <v/>
      </c>
      <c r="F3931" s="200"/>
      <c r="G3931" s="178" t="e">
        <f>IF($C$1078&gt;0,VLOOKUP($C3931,PATRIMONIALE!$AJ$4:$AN$1003,5,FALSE),"")</f>
        <v>#N/A</v>
      </c>
      <c r="H3931" s="179" t="e">
        <f>IF($C$1078&gt;0,VLOOKUP($C3931,PATRIMONIALE!$AJ$4:$AO$1003,6,FALSE),"")</f>
        <v>#N/A</v>
      </c>
      <c r="I3931" s="187"/>
      <c r="J3931" s="140" t="e">
        <f ca="1">VLOOKUP(D3931,$F$1081:$I$4183,4,FALSE)+COUNTIF(E$1081:E3930,E3931)</f>
        <v>#N/A</v>
      </c>
      <c r="K3931" s="1"/>
      <c r="L3931" s="161" t="e">
        <f>IF($C$1078&gt;0,VLOOKUP($C3931,PATRIMONIALE!$AJ$4:$AP$1003,7,FALSE),"")</f>
        <v>#N/A</v>
      </c>
      <c r="M3931" s="1"/>
      <c r="N3931" s="1"/>
      <c r="O3931" s="1"/>
    </row>
    <row r="3932" spans="1:15" hidden="1">
      <c r="A3932" s="1"/>
      <c r="B3932" s="182" t="e">
        <f t="shared" ca="1" si="293"/>
        <v>#N/A</v>
      </c>
      <c r="C3932" s="500">
        <v>866</v>
      </c>
      <c r="D3932" s="41" t="e">
        <f>IF($C$1078&gt;0,VLOOKUP($C3932,PATRIMONIALE!$AJ$4:$AL$1003,3,FALSE),"")</f>
        <v>#N/A</v>
      </c>
      <c r="E3932" s="41" t="str">
        <f t="shared" si="294"/>
        <v/>
      </c>
      <c r="F3932" s="200"/>
      <c r="G3932" s="178" t="e">
        <f>IF($C$1078&gt;0,VLOOKUP($C3932,PATRIMONIALE!$AJ$4:$AN$1003,5,FALSE),"")</f>
        <v>#N/A</v>
      </c>
      <c r="H3932" s="179" t="e">
        <f>IF($C$1078&gt;0,VLOOKUP($C3932,PATRIMONIALE!$AJ$4:$AO$1003,6,FALSE),"")</f>
        <v>#N/A</v>
      </c>
      <c r="I3932" s="187"/>
      <c r="J3932" s="140" t="e">
        <f ca="1">VLOOKUP(D3932,$F$1081:$I$4183,4,FALSE)+COUNTIF(E$1081:E3931,E3932)</f>
        <v>#N/A</v>
      </c>
      <c r="K3932" s="1"/>
      <c r="L3932" s="161" t="e">
        <f>IF($C$1078&gt;0,VLOOKUP($C3932,PATRIMONIALE!$AJ$4:$AP$1003,7,FALSE),"")</f>
        <v>#N/A</v>
      </c>
      <c r="M3932" s="1"/>
      <c r="N3932" s="1"/>
      <c r="O3932" s="1"/>
    </row>
    <row r="3933" spans="1:15" hidden="1">
      <c r="A3933" s="1"/>
      <c r="B3933" s="182" t="e">
        <f t="shared" ca="1" si="293"/>
        <v>#N/A</v>
      </c>
      <c r="C3933" s="500">
        <v>867</v>
      </c>
      <c r="D3933" s="41" t="e">
        <f>IF($C$1078&gt;0,VLOOKUP($C3933,PATRIMONIALE!$AJ$4:$AL$1003,3,FALSE),"")</f>
        <v>#N/A</v>
      </c>
      <c r="E3933" s="41" t="str">
        <f t="shared" si="294"/>
        <v/>
      </c>
      <c r="F3933" s="200"/>
      <c r="G3933" s="178" t="e">
        <f>IF($C$1078&gt;0,VLOOKUP($C3933,PATRIMONIALE!$AJ$4:$AN$1003,5,FALSE),"")</f>
        <v>#N/A</v>
      </c>
      <c r="H3933" s="179" t="e">
        <f>IF($C$1078&gt;0,VLOOKUP($C3933,PATRIMONIALE!$AJ$4:$AO$1003,6,FALSE),"")</f>
        <v>#N/A</v>
      </c>
      <c r="I3933" s="187"/>
      <c r="J3933" s="140" t="e">
        <f ca="1">VLOOKUP(D3933,$F$1081:$I$4183,4,FALSE)+COUNTIF(E$1081:E3932,E3933)</f>
        <v>#N/A</v>
      </c>
      <c r="K3933" s="1"/>
      <c r="L3933" s="161" t="e">
        <f>IF($C$1078&gt;0,VLOOKUP($C3933,PATRIMONIALE!$AJ$4:$AP$1003,7,FALSE),"")</f>
        <v>#N/A</v>
      </c>
      <c r="M3933" s="1"/>
      <c r="N3933" s="1"/>
      <c r="O3933" s="1"/>
    </row>
    <row r="3934" spans="1:15" hidden="1">
      <c r="A3934" s="1"/>
      <c r="B3934" s="182" t="e">
        <f t="shared" ca="1" si="293"/>
        <v>#N/A</v>
      </c>
      <c r="C3934" s="500">
        <v>868</v>
      </c>
      <c r="D3934" s="41" t="e">
        <f>IF($C$1078&gt;0,VLOOKUP($C3934,PATRIMONIALE!$AJ$4:$AL$1003,3,FALSE),"")</f>
        <v>#N/A</v>
      </c>
      <c r="E3934" s="41" t="str">
        <f t="shared" si="294"/>
        <v/>
      </c>
      <c r="F3934" s="200"/>
      <c r="G3934" s="178" t="e">
        <f>IF($C$1078&gt;0,VLOOKUP($C3934,PATRIMONIALE!$AJ$4:$AN$1003,5,FALSE),"")</f>
        <v>#N/A</v>
      </c>
      <c r="H3934" s="179" t="e">
        <f>IF($C$1078&gt;0,VLOOKUP($C3934,PATRIMONIALE!$AJ$4:$AO$1003,6,FALSE),"")</f>
        <v>#N/A</v>
      </c>
      <c r="I3934" s="187"/>
      <c r="J3934" s="140" t="e">
        <f ca="1">VLOOKUP(D3934,$F$1081:$I$4183,4,FALSE)+COUNTIF(E$1081:E3933,E3934)</f>
        <v>#N/A</v>
      </c>
      <c r="K3934" s="1"/>
      <c r="L3934" s="161" t="e">
        <f>IF($C$1078&gt;0,VLOOKUP($C3934,PATRIMONIALE!$AJ$4:$AP$1003,7,FALSE),"")</f>
        <v>#N/A</v>
      </c>
      <c r="M3934" s="1"/>
      <c r="N3934" s="1"/>
      <c r="O3934" s="1"/>
    </row>
    <row r="3935" spans="1:15" hidden="1">
      <c r="A3935" s="1"/>
      <c r="B3935" s="182" t="e">
        <f t="shared" ca="1" si="293"/>
        <v>#N/A</v>
      </c>
      <c r="C3935" s="500">
        <v>869</v>
      </c>
      <c r="D3935" s="41" t="e">
        <f>IF($C$1078&gt;0,VLOOKUP($C3935,PATRIMONIALE!$AJ$4:$AL$1003,3,FALSE),"")</f>
        <v>#N/A</v>
      </c>
      <c r="E3935" s="41" t="str">
        <f t="shared" si="294"/>
        <v/>
      </c>
      <c r="F3935" s="200"/>
      <c r="G3935" s="178" t="e">
        <f>IF($C$1078&gt;0,VLOOKUP($C3935,PATRIMONIALE!$AJ$4:$AN$1003,5,FALSE),"")</f>
        <v>#N/A</v>
      </c>
      <c r="H3935" s="179" t="e">
        <f>IF($C$1078&gt;0,VLOOKUP($C3935,PATRIMONIALE!$AJ$4:$AO$1003,6,FALSE),"")</f>
        <v>#N/A</v>
      </c>
      <c r="I3935" s="187"/>
      <c r="J3935" s="140" t="e">
        <f ca="1">VLOOKUP(D3935,$F$1081:$I$4183,4,FALSE)+COUNTIF(E$1081:E3934,E3935)</f>
        <v>#N/A</v>
      </c>
      <c r="K3935" s="1"/>
      <c r="L3935" s="161" t="e">
        <f>IF($C$1078&gt;0,VLOOKUP($C3935,PATRIMONIALE!$AJ$4:$AP$1003,7,FALSE),"")</f>
        <v>#N/A</v>
      </c>
      <c r="M3935" s="1"/>
      <c r="N3935" s="1"/>
      <c r="O3935" s="1"/>
    </row>
    <row r="3936" spans="1:15" hidden="1">
      <c r="A3936" s="1"/>
      <c r="B3936" s="182" t="e">
        <f t="shared" ca="1" si="293"/>
        <v>#N/A</v>
      </c>
      <c r="C3936" s="500">
        <v>870</v>
      </c>
      <c r="D3936" s="41" t="e">
        <f>IF($C$1078&gt;0,VLOOKUP($C3936,PATRIMONIALE!$AJ$4:$AL$1003,3,FALSE),"")</f>
        <v>#N/A</v>
      </c>
      <c r="E3936" s="41" t="str">
        <f t="shared" si="294"/>
        <v/>
      </c>
      <c r="F3936" s="200"/>
      <c r="G3936" s="178" t="e">
        <f>IF($C$1078&gt;0,VLOOKUP($C3936,PATRIMONIALE!$AJ$4:$AN$1003,5,FALSE),"")</f>
        <v>#N/A</v>
      </c>
      <c r="H3936" s="179" t="e">
        <f>IF($C$1078&gt;0,VLOOKUP($C3936,PATRIMONIALE!$AJ$4:$AO$1003,6,FALSE),"")</f>
        <v>#N/A</v>
      </c>
      <c r="I3936" s="187"/>
      <c r="J3936" s="140" t="e">
        <f ca="1">VLOOKUP(D3936,$F$1081:$I$4183,4,FALSE)+COUNTIF(E$1081:E3935,E3936)</f>
        <v>#N/A</v>
      </c>
      <c r="K3936" s="1"/>
      <c r="L3936" s="161" t="e">
        <f>IF($C$1078&gt;0,VLOOKUP($C3936,PATRIMONIALE!$AJ$4:$AP$1003,7,FALSE),"")</f>
        <v>#N/A</v>
      </c>
      <c r="M3936" s="1"/>
      <c r="N3936" s="1"/>
      <c r="O3936" s="1"/>
    </row>
    <row r="3937" spans="1:15" hidden="1">
      <c r="A3937" s="1"/>
      <c r="B3937" s="182" t="e">
        <f t="shared" ca="1" si="293"/>
        <v>#N/A</v>
      </c>
      <c r="C3937" s="500">
        <v>871</v>
      </c>
      <c r="D3937" s="41" t="e">
        <f>IF($C$1078&gt;0,VLOOKUP($C3937,PATRIMONIALE!$AJ$4:$AL$1003,3,FALSE),"")</f>
        <v>#N/A</v>
      </c>
      <c r="E3937" s="41" t="str">
        <f t="shared" si="294"/>
        <v/>
      </c>
      <c r="F3937" s="200"/>
      <c r="G3937" s="178" t="e">
        <f>IF($C$1078&gt;0,VLOOKUP($C3937,PATRIMONIALE!$AJ$4:$AN$1003,5,FALSE),"")</f>
        <v>#N/A</v>
      </c>
      <c r="H3937" s="179" t="e">
        <f>IF($C$1078&gt;0,VLOOKUP($C3937,PATRIMONIALE!$AJ$4:$AO$1003,6,FALSE),"")</f>
        <v>#N/A</v>
      </c>
      <c r="I3937" s="187"/>
      <c r="J3937" s="140" t="e">
        <f ca="1">VLOOKUP(D3937,$F$1081:$I$4183,4,FALSE)+COUNTIF(E$1081:E3936,E3937)</f>
        <v>#N/A</v>
      </c>
      <c r="K3937" s="1"/>
      <c r="L3937" s="161" t="e">
        <f>IF($C$1078&gt;0,VLOOKUP($C3937,PATRIMONIALE!$AJ$4:$AP$1003,7,FALSE),"")</f>
        <v>#N/A</v>
      </c>
      <c r="M3937" s="1"/>
      <c r="N3937" s="1"/>
      <c r="O3937" s="1"/>
    </row>
    <row r="3938" spans="1:15" hidden="1">
      <c r="A3938" s="1"/>
      <c r="B3938" s="182" t="e">
        <f t="shared" ca="1" si="293"/>
        <v>#N/A</v>
      </c>
      <c r="C3938" s="500">
        <v>872</v>
      </c>
      <c r="D3938" s="41" t="e">
        <f>IF($C$1078&gt;0,VLOOKUP($C3938,PATRIMONIALE!$AJ$4:$AL$1003,3,FALSE),"")</f>
        <v>#N/A</v>
      </c>
      <c r="E3938" s="41" t="str">
        <f t="shared" si="294"/>
        <v/>
      </c>
      <c r="F3938" s="200"/>
      <c r="G3938" s="178" t="e">
        <f>IF($C$1078&gt;0,VLOOKUP($C3938,PATRIMONIALE!$AJ$4:$AN$1003,5,FALSE),"")</f>
        <v>#N/A</v>
      </c>
      <c r="H3938" s="179" t="e">
        <f>IF($C$1078&gt;0,VLOOKUP($C3938,PATRIMONIALE!$AJ$4:$AO$1003,6,FALSE),"")</f>
        <v>#N/A</v>
      </c>
      <c r="I3938" s="187"/>
      <c r="J3938" s="140" t="e">
        <f ca="1">VLOOKUP(D3938,$F$1081:$I$4183,4,FALSE)+COUNTIF(E$1081:E3937,E3938)</f>
        <v>#N/A</v>
      </c>
      <c r="K3938" s="1"/>
      <c r="L3938" s="161" t="e">
        <f>IF($C$1078&gt;0,VLOOKUP($C3938,PATRIMONIALE!$AJ$4:$AP$1003,7,FALSE),"")</f>
        <v>#N/A</v>
      </c>
      <c r="M3938" s="1"/>
      <c r="N3938" s="1"/>
      <c r="O3938" s="1"/>
    </row>
    <row r="3939" spans="1:15" hidden="1">
      <c r="A3939" s="1"/>
      <c r="B3939" s="182" t="e">
        <f t="shared" ca="1" si="293"/>
        <v>#N/A</v>
      </c>
      <c r="C3939" s="500">
        <v>873</v>
      </c>
      <c r="D3939" s="41" t="e">
        <f>IF($C$1078&gt;0,VLOOKUP($C3939,PATRIMONIALE!$AJ$4:$AL$1003,3,FALSE),"")</f>
        <v>#N/A</v>
      </c>
      <c r="E3939" s="41" t="str">
        <f t="shared" si="294"/>
        <v/>
      </c>
      <c r="F3939" s="200"/>
      <c r="G3939" s="178" t="e">
        <f>IF($C$1078&gt;0,VLOOKUP($C3939,PATRIMONIALE!$AJ$4:$AN$1003,5,FALSE),"")</f>
        <v>#N/A</v>
      </c>
      <c r="H3939" s="179" t="e">
        <f>IF($C$1078&gt;0,VLOOKUP($C3939,PATRIMONIALE!$AJ$4:$AO$1003,6,FALSE),"")</f>
        <v>#N/A</v>
      </c>
      <c r="I3939" s="187"/>
      <c r="J3939" s="140" t="e">
        <f ca="1">VLOOKUP(D3939,$F$1081:$I$4183,4,FALSE)+COUNTIF(E$1081:E3938,E3939)</f>
        <v>#N/A</v>
      </c>
      <c r="K3939" s="1"/>
      <c r="L3939" s="161" t="e">
        <f>IF($C$1078&gt;0,VLOOKUP($C3939,PATRIMONIALE!$AJ$4:$AP$1003,7,FALSE),"")</f>
        <v>#N/A</v>
      </c>
      <c r="M3939" s="1"/>
      <c r="N3939" s="1"/>
      <c r="O3939" s="1"/>
    </row>
    <row r="3940" spans="1:15" hidden="1">
      <c r="A3940" s="1"/>
      <c r="B3940" s="182" t="e">
        <f t="shared" ca="1" si="293"/>
        <v>#N/A</v>
      </c>
      <c r="C3940" s="500">
        <v>874</v>
      </c>
      <c r="D3940" s="41" t="e">
        <f>IF($C$1078&gt;0,VLOOKUP($C3940,PATRIMONIALE!$AJ$4:$AL$1003,3,FALSE),"")</f>
        <v>#N/A</v>
      </c>
      <c r="E3940" s="41" t="str">
        <f t="shared" si="294"/>
        <v/>
      </c>
      <c r="F3940" s="200"/>
      <c r="G3940" s="178" t="e">
        <f>IF($C$1078&gt;0,VLOOKUP($C3940,PATRIMONIALE!$AJ$4:$AN$1003,5,FALSE),"")</f>
        <v>#N/A</v>
      </c>
      <c r="H3940" s="179" t="e">
        <f>IF($C$1078&gt;0,VLOOKUP($C3940,PATRIMONIALE!$AJ$4:$AO$1003,6,FALSE),"")</f>
        <v>#N/A</v>
      </c>
      <c r="I3940" s="187"/>
      <c r="J3940" s="140" t="e">
        <f ca="1">VLOOKUP(D3940,$F$1081:$I$4183,4,FALSE)+COUNTIF(E$1081:E3939,E3940)</f>
        <v>#N/A</v>
      </c>
      <c r="K3940" s="1"/>
      <c r="L3940" s="161" t="e">
        <f>IF($C$1078&gt;0,VLOOKUP($C3940,PATRIMONIALE!$AJ$4:$AP$1003,7,FALSE),"")</f>
        <v>#N/A</v>
      </c>
      <c r="M3940" s="1"/>
      <c r="N3940" s="1"/>
      <c r="O3940" s="1"/>
    </row>
    <row r="3941" spans="1:15" hidden="1">
      <c r="A3941" s="1"/>
      <c r="B3941" s="182" t="e">
        <f t="shared" ca="1" si="293"/>
        <v>#N/A</v>
      </c>
      <c r="C3941" s="500">
        <v>875</v>
      </c>
      <c r="D3941" s="41" t="e">
        <f>IF($C$1078&gt;0,VLOOKUP($C3941,PATRIMONIALE!$AJ$4:$AL$1003,3,FALSE),"")</f>
        <v>#N/A</v>
      </c>
      <c r="E3941" s="41" t="str">
        <f t="shared" si="294"/>
        <v/>
      </c>
      <c r="F3941" s="200"/>
      <c r="G3941" s="178" t="e">
        <f>IF($C$1078&gt;0,VLOOKUP($C3941,PATRIMONIALE!$AJ$4:$AN$1003,5,FALSE),"")</f>
        <v>#N/A</v>
      </c>
      <c r="H3941" s="179" t="e">
        <f>IF($C$1078&gt;0,VLOOKUP($C3941,PATRIMONIALE!$AJ$4:$AO$1003,6,FALSE),"")</f>
        <v>#N/A</v>
      </c>
      <c r="I3941" s="187"/>
      <c r="J3941" s="140" t="e">
        <f ca="1">VLOOKUP(D3941,$F$1081:$I$4183,4,FALSE)+COUNTIF(E$1081:E3940,E3941)</f>
        <v>#N/A</v>
      </c>
      <c r="K3941" s="1"/>
      <c r="L3941" s="161" t="e">
        <f>IF($C$1078&gt;0,VLOOKUP($C3941,PATRIMONIALE!$AJ$4:$AP$1003,7,FALSE),"")</f>
        <v>#N/A</v>
      </c>
      <c r="M3941" s="1"/>
      <c r="N3941" s="1"/>
      <c r="O3941" s="1"/>
    </row>
    <row r="3942" spans="1:15" hidden="1">
      <c r="A3942" s="1"/>
      <c r="B3942" s="182" t="e">
        <f t="shared" ca="1" si="293"/>
        <v>#N/A</v>
      </c>
      <c r="C3942" s="500">
        <v>876</v>
      </c>
      <c r="D3942" s="41" t="e">
        <f>IF($C$1078&gt;0,VLOOKUP($C3942,PATRIMONIALE!$AJ$4:$AL$1003,3,FALSE),"")</f>
        <v>#N/A</v>
      </c>
      <c r="E3942" s="41" t="str">
        <f t="shared" si="294"/>
        <v/>
      </c>
      <c r="F3942" s="200"/>
      <c r="G3942" s="178" t="e">
        <f>IF($C$1078&gt;0,VLOOKUP($C3942,PATRIMONIALE!$AJ$4:$AN$1003,5,FALSE),"")</f>
        <v>#N/A</v>
      </c>
      <c r="H3942" s="179" t="e">
        <f>IF($C$1078&gt;0,VLOOKUP($C3942,PATRIMONIALE!$AJ$4:$AO$1003,6,FALSE),"")</f>
        <v>#N/A</v>
      </c>
      <c r="I3942" s="187"/>
      <c r="J3942" s="140" t="e">
        <f ca="1">VLOOKUP(D3942,$F$1081:$I$4183,4,FALSE)+COUNTIF(E$1081:E3941,E3942)</f>
        <v>#N/A</v>
      </c>
      <c r="K3942" s="1"/>
      <c r="L3942" s="161" t="e">
        <f>IF($C$1078&gt;0,VLOOKUP($C3942,PATRIMONIALE!$AJ$4:$AP$1003,7,FALSE),"")</f>
        <v>#N/A</v>
      </c>
      <c r="M3942" s="1"/>
      <c r="N3942" s="1"/>
      <c r="O3942" s="1"/>
    </row>
    <row r="3943" spans="1:15" hidden="1">
      <c r="A3943" s="1"/>
      <c r="B3943" s="182" t="e">
        <f t="shared" ca="1" si="293"/>
        <v>#N/A</v>
      </c>
      <c r="C3943" s="500">
        <v>877</v>
      </c>
      <c r="D3943" s="41" t="e">
        <f>IF($C$1078&gt;0,VLOOKUP($C3943,PATRIMONIALE!$AJ$4:$AL$1003,3,FALSE),"")</f>
        <v>#N/A</v>
      </c>
      <c r="E3943" s="41" t="str">
        <f t="shared" si="294"/>
        <v/>
      </c>
      <c r="F3943" s="200"/>
      <c r="G3943" s="178" t="e">
        <f>IF($C$1078&gt;0,VLOOKUP($C3943,PATRIMONIALE!$AJ$4:$AN$1003,5,FALSE),"")</f>
        <v>#N/A</v>
      </c>
      <c r="H3943" s="179" t="e">
        <f>IF($C$1078&gt;0,VLOOKUP($C3943,PATRIMONIALE!$AJ$4:$AO$1003,6,FALSE),"")</f>
        <v>#N/A</v>
      </c>
      <c r="I3943" s="187"/>
      <c r="J3943" s="140" t="e">
        <f ca="1">VLOOKUP(D3943,$F$1081:$I$4183,4,FALSE)+COUNTIF(E$1081:E3942,E3943)</f>
        <v>#N/A</v>
      </c>
      <c r="K3943" s="1"/>
      <c r="L3943" s="161" t="e">
        <f>IF($C$1078&gt;0,VLOOKUP($C3943,PATRIMONIALE!$AJ$4:$AP$1003,7,FALSE),"")</f>
        <v>#N/A</v>
      </c>
      <c r="M3943" s="1"/>
      <c r="N3943" s="1"/>
      <c r="O3943" s="1"/>
    </row>
    <row r="3944" spans="1:15" hidden="1">
      <c r="A3944" s="1"/>
      <c r="B3944" s="182" t="e">
        <f t="shared" ca="1" si="293"/>
        <v>#N/A</v>
      </c>
      <c r="C3944" s="500">
        <v>878</v>
      </c>
      <c r="D3944" s="41" t="e">
        <f>IF($C$1078&gt;0,VLOOKUP($C3944,PATRIMONIALE!$AJ$4:$AL$1003,3,FALSE),"")</f>
        <v>#N/A</v>
      </c>
      <c r="E3944" s="41" t="str">
        <f t="shared" si="294"/>
        <v/>
      </c>
      <c r="F3944" s="200"/>
      <c r="G3944" s="178" t="e">
        <f>IF($C$1078&gt;0,VLOOKUP($C3944,PATRIMONIALE!$AJ$4:$AN$1003,5,FALSE),"")</f>
        <v>#N/A</v>
      </c>
      <c r="H3944" s="179" t="e">
        <f>IF($C$1078&gt;0,VLOOKUP($C3944,PATRIMONIALE!$AJ$4:$AO$1003,6,FALSE),"")</f>
        <v>#N/A</v>
      </c>
      <c r="I3944" s="187"/>
      <c r="J3944" s="140" t="e">
        <f ca="1">VLOOKUP(D3944,$F$1081:$I$4183,4,FALSE)+COUNTIF(E$1081:E3943,E3944)</f>
        <v>#N/A</v>
      </c>
      <c r="K3944" s="1"/>
      <c r="L3944" s="161" t="e">
        <f>IF($C$1078&gt;0,VLOOKUP($C3944,PATRIMONIALE!$AJ$4:$AP$1003,7,FALSE),"")</f>
        <v>#N/A</v>
      </c>
      <c r="M3944" s="1"/>
      <c r="N3944" s="1"/>
      <c r="O3944" s="1"/>
    </row>
    <row r="3945" spans="1:15" hidden="1">
      <c r="A3945" s="1"/>
      <c r="B3945" s="182" t="e">
        <f t="shared" ca="1" si="293"/>
        <v>#N/A</v>
      </c>
      <c r="C3945" s="500">
        <v>879</v>
      </c>
      <c r="D3945" s="41" t="e">
        <f>IF($C$1078&gt;0,VLOOKUP($C3945,PATRIMONIALE!$AJ$4:$AL$1003,3,FALSE),"")</f>
        <v>#N/A</v>
      </c>
      <c r="E3945" s="41" t="str">
        <f t="shared" si="294"/>
        <v/>
      </c>
      <c r="F3945" s="200"/>
      <c r="G3945" s="178" t="e">
        <f>IF($C$1078&gt;0,VLOOKUP($C3945,PATRIMONIALE!$AJ$4:$AN$1003,5,FALSE),"")</f>
        <v>#N/A</v>
      </c>
      <c r="H3945" s="179" t="e">
        <f>IF($C$1078&gt;0,VLOOKUP($C3945,PATRIMONIALE!$AJ$4:$AO$1003,6,FALSE),"")</f>
        <v>#N/A</v>
      </c>
      <c r="I3945" s="187"/>
      <c r="J3945" s="140" t="e">
        <f ca="1">VLOOKUP(D3945,$F$1081:$I$4183,4,FALSE)+COUNTIF(E$1081:E3944,E3945)</f>
        <v>#N/A</v>
      </c>
      <c r="K3945" s="1"/>
      <c r="L3945" s="161" t="e">
        <f>IF($C$1078&gt;0,VLOOKUP($C3945,PATRIMONIALE!$AJ$4:$AP$1003,7,FALSE),"")</f>
        <v>#N/A</v>
      </c>
      <c r="M3945" s="1"/>
      <c r="N3945" s="1"/>
      <c r="O3945" s="1"/>
    </row>
    <row r="3946" spans="1:15" hidden="1">
      <c r="A3946" s="1"/>
      <c r="B3946" s="182" t="e">
        <f t="shared" ca="1" si="293"/>
        <v>#N/A</v>
      </c>
      <c r="C3946" s="500">
        <v>880</v>
      </c>
      <c r="D3946" s="41" t="e">
        <f>IF($C$1078&gt;0,VLOOKUP($C3946,PATRIMONIALE!$AJ$4:$AL$1003,3,FALSE),"")</f>
        <v>#N/A</v>
      </c>
      <c r="E3946" s="41" t="str">
        <f t="shared" si="294"/>
        <v/>
      </c>
      <c r="F3946" s="200"/>
      <c r="G3946" s="178" t="e">
        <f>IF($C$1078&gt;0,VLOOKUP($C3946,PATRIMONIALE!$AJ$4:$AN$1003,5,FALSE),"")</f>
        <v>#N/A</v>
      </c>
      <c r="H3946" s="179" t="e">
        <f>IF($C$1078&gt;0,VLOOKUP($C3946,PATRIMONIALE!$AJ$4:$AO$1003,6,FALSE),"")</f>
        <v>#N/A</v>
      </c>
      <c r="I3946" s="187"/>
      <c r="J3946" s="140" t="e">
        <f ca="1">VLOOKUP(D3946,$F$1081:$I$4183,4,FALSE)+COUNTIF(E$1081:E3945,E3946)</f>
        <v>#N/A</v>
      </c>
      <c r="K3946" s="1"/>
      <c r="L3946" s="161" t="e">
        <f>IF($C$1078&gt;0,VLOOKUP($C3946,PATRIMONIALE!$AJ$4:$AP$1003,7,FALSE),"")</f>
        <v>#N/A</v>
      </c>
      <c r="M3946" s="1"/>
      <c r="N3946" s="1"/>
      <c r="O3946" s="1"/>
    </row>
    <row r="3947" spans="1:15" hidden="1">
      <c r="A3947" s="1"/>
      <c r="B3947" s="182" t="e">
        <f t="shared" ca="1" si="293"/>
        <v>#N/A</v>
      </c>
      <c r="C3947" s="500">
        <v>881</v>
      </c>
      <c r="D3947" s="41" t="e">
        <f>IF($C$1078&gt;0,VLOOKUP($C3947,PATRIMONIALE!$AJ$4:$AL$1003,3,FALSE),"")</f>
        <v>#N/A</v>
      </c>
      <c r="E3947" s="41" t="str">
        <f t="shared" si="294"/>
        <v/>
      </c>
      <c r="F3947" s="200"/>
      <c r="G3947" s="178" t="e">
        <f>IF($C$1078&gt;0,VLOOKUP($C3947,PATRIMONIALE!$AJ$4:$AN$1003,5,FALSE),"")</f>
        <v>#N/A</v>
      </c>
      <c r="H3947" s="179" t="e">
        <f>IF($C$1078&gt;0,VLOOKUP($C3947,PATRIMONIALE!$AJ$4:$AO$1003,6,FALSE),"")</f>
        <v>#N/A</v>
      </c>
      <c r="I3947" s="187"/>
      <c r="J3947" s="140" t="e">
        <f ca="1">VLOOKUP(D3947,$F$1081:$I$4183,4,FALSE)+COUNTIF(E$1081:E3946,E3947)</f>
        <v>#N/A</v>
      </c>
      <c r="K3947" s="1"/>
      <c r="L3947" s="161" t="e">
        <f>IF($C$1078&gt;0,VLOOKUP($C3947,PATRIMONIALE!$AJ$4:$AP$1003,7,FALSE),"")</f>
        <v>#N/A</v>
      </c>
      <c r="M3947" s="1"/>
      <c r="N3947" s="1"/>
      <c r="O3947" s="1"/>
    </row>
    <row r="3948" spans="1:15" hidden="1">
      <c r="A3948" s="1"/>
      <c r="B3948" s="182" t="e">
        <f t="shared" ca="1" si="293"/>
        <v>#N/A</v>
      </c>
      <c r="C3948" s="500">
        <v>882</v>
      </c>
      <c r="D3948" s="41" t="e">
        <f>IF($C$1078&gt;0,VLOOKUP($C3948,PATRIMONIALE!$AJ$4:$AL$1003,3,FALSE),"")</f>
        <v>#N/A</v>
      </c>
      <c r="E3948" s="41" t="str">
        <f t="shared" si="294"/>
        <v/>
      </c>
      <c r="F3948" s="200"/>
      <c r="G3948" s="178" t="e">
        <f>IF($C$1078&gt;0,VLOOKUP($C3948,PATRIMONIALE!$AJ$4:$AN$1003,5,FALSE),"")</f>
        <v>#N/A</v>
      </c>
      <c r="H3948" s="179" t="e">
        <f>IF($C$1078&gt;0,VLOOKUP($C3948,PATRIMONIALE!$AJ$4:$AO$1003,6,FALSE),"")</f>
        <v>#N/A</v>
      </c>
      <c r="I3948" s="187"/>
      <c r="J3948" s="140" t="e">
        <f ca="1">VLOOKUP(D3948,$F$1081:$I$4183,4,FALSE)+COUNTIF(E$1081:E3947,E3948)</f>
        <v>#N/A</v>
      </c>
      <c r="K3948" s="1"/>
      <c r="L3948" s="161" t="e">
        <f>IF($C$1078&gt;0,VLOOKUP($C3948,PATRIMONIALE!$AJ$4:$AP$1003,7,FALSE),"")</f>
        <v>#N/A</v>
      </c>
      <c r="M3948" s="1"/>
      <c r="N3948" s="1"/>
      <c r="O3948" s="1"/>
    </row>
    <row r="3949" spans="1:15" hidden="1">
      <c r="A3949" s="1"/>
      <c r="B3949" s="182" t="e">
        <f t="shared" ca="1" si="293"/>
        <v>#N/A</v>
      </c>
      <c r="C3949" s="500">
        <v>883</v>
      </c>
      <c r="D3949" s="41" t="e">
        <f>IF($C$1078&gt;0,VLOOKUP($C3949,PATRIMONIALE!$AJ$4:$AL$1003,3,FALSE),"")</f>
        <v>#N/A</v>
      </c>
      <c r="E3949" s="41" t="str">
        <f t="shared" si="294"/>
        <v/>
      </c>
      <c r="F3949" s="200"/>
      <c r="G3949" s="178" t="e">
        <f>IF($C$1078&gt;0,VLOOKUP($C3949,PATRIMONIALE!$AJ$4:$AN$1003,5,FALSE),"")</f>
        <v>#N/A</v>
      </c>
      <c r="H3949" s="179" t="e">
        <f>IF($C$1078&gt;0,VLOOKUP($C3949,PATRIMONIALE!$AJ$4:$AO$1003,6,FALSE),"")</f>
        <v>#N/A</v>
      </c>
      <c r="I3949" s="187"/>
      <c r="J3949" s="140" t="e">
        <f ca="1">VLOOKUP(D3949,$F$1081:$I$4183,4,FALSE)+COUNTIF(E$1081:E3948,E3949)</f>
        <v>#N/A</v>
      </c>
      <c r="K3949" s="1"/>
      <c r="L3949" s="161" t="e">
        <f>IF($C$1078&gt;0,VLOOKUP($C3949,PATRIMONIALE!$AJ$4:$AP$1003,7,FALSE),"")</f>
        <v>#N/A</v>
      </c>
      <c r="M3949" s="1"/>
      <c r="N3949" s="1"/>
      <c r="O3949" s="1"/>
    </row>
    <row r="3950" spans="1:15" hidden="1">
      <c r="A3950" s="1"/>
      <c r="B3950" s="182" t="e">
        <f t="shared" ca="1" si="293"/>
        <v>#N/A</v>
      </c>
      <c r="C3950" s="500">
        <v>884</v>
      </c>
      <c r="D3950" s="41" t="e">
        <f>IF($C$1078&gt;0,VLOOKUP($C3950,PATRIMONIALE!$AJ$4:$AL$1003,3,FALSE),"")</f>
        <v>#N/A</v>
      </c>
      <c r="E3950" s="41" t="str">
        <f t="shared" si="294"/>
        <v/>
      </c>
      <c r="F3950" s="200"/>
      <c r="G3950" s="178" t="e">
        <f>IF($C$1078&gt;0,VLOOKUP($C3950,PATRIMONIALE!$AJ$4:$AN$1003,5,FALSE),"")</f>
        <v>#N/A</v>
      </c>
      <c r="H3950" s="179" t="e">
        <f>IF($C$1078&gt;0,VLOOKUP($C3950,PATRIMONIALE!$AJ$4:$AO$1003,6,FALSE),"")</f>
        <v>#N/A</v>
      </c>
      <c r="I3950" s="187"/>
      <c r="J3950" s="140" t="e">
        <f ca="1">VLOOKUP(D3950,$F$1081:$I$4183,4,FALSE)+COUNTIF(E$1081:E3949,E3950)</f>
        <v>#N/A</v>
      </c>
      <c r="K3950" s="1"/>
      <c r="L3950" s="161" t="e">
        <f>IF($C$1078&gt;0,VLOOKUP($C3950,PATRIMONIALE!$AJ$4:$AP$1003,7,FALSE),"")</f>
        <v>#N/A</v>
      </c>
      <c r="M3950" s="1"/>
      <c r="N3950" s="1"/>
      <c r="O3950" s="1"/>
    </row>
    <row r="3951" spans="1:15" hidden="1">
      <c r="A3951" s="1"/>
      <c r="B3951" s="182" t="e">
        <f t="shared" ca="1" si="293"/>
        <v>#N/A</v>
      </c>
      <c r="C3951" s="500">
        <v>885</v>
      </c>
      <c r="D3951" s="41" t="e">
        <f>IF($C$1078&gt;0,VLOOKUP($C3951,PATRIMONIALE!$AJ$4:$AL$1003,3,FALSE),"")</f>
        <v>#N/A</v>
      </c>
      <c r="E3951" s="41" t="str">
        <f t="shared" si="294"/>
        <v/>
      </c>
      <c r="F3951" s="200"/>
      <c r="G3951" s="178" t="e">
        <f>IF($C$1078&gt;0,VLOOKUP($C3951,PATRIMONIALE!$AJ$4:$AN$1003,5,FALSE),"")</f>
        <v>#N/A</v>
      </c>
      <c r="H3951" s="179" t="e">
        <f>IF($C$1078&gt;0,VLOOKUP($C3951,PATRIMONIALE!$AJ$4:$AO$1003,6,FALSE),"")</f>
        <v>#N/A</v>
      </c>
      <c r="I3951" s="187"/>
      <c r="J3951" s="140" t="e">
        <f ca="1">VLOOKUP(D3951,$F$1081:$I$4183,4,FALSE)+COUNTIF(E$1081:E3950,E3951)</f>
        <v>#N/A</v>
      </c>
      <c r="K3951" s="1"/>
      <c r="L3951" s="161" t="e">
        <f>IF($C$1078&gt;0,VLOOKUP($C3951,PATRIMONIALE!$AJ$4:$AP$1003,7,FALSE),"")</f>
        <v>#N/A</v>
      </c>
      <c r="M3951" s="1"/>
      <c r="N3951" s="1"/>
      <c r="O3951" s="1"/>
    </row>
    <row r="3952" spans="1:15" hidden="1">
      <c r="A3952" s="1"/>
      <c r="B3952" s="182" t="e">
        <f t="shared" ca="1" si="293"/>
        <v>#N/A</v>
      </c>
      <c r="C3952" s="500">
        <v>886</v>
      </c>
      <c r="D3952" s="41" t="e">
        <f>IF($C$1078&gt;0,VLOOKUP($C3952,PATRIMONIALE!$AJ$4:$AL$1003,3,FALSE),"")</f>
        <v>#N/A</v>
      </c>
      <c r="E3952" s="41" t="str">
        <f t="shared" si="294"/>
        <v/>
      </c>
      <c r="F3952" s="200"/>
      <c r="G3952" s="178" t="e">
        <f>IF($C$1078&gt;0,VLOOKUP($C3952,PATRIMONIALE!$AJ$4:$AN$1003,5,FALSE),"")</f>
        <v>#N/A</v>
      </c>
      <c r="H3952" s="179" t="e">
        <f>IF($C$1078&gt;0,VLOOKUP($C3952,PATRIMONIALE!$AJ$4:$AO$1003,6,FALSE),"")</f>
        <v>#N/A</v>
      </c>
      <c r="I3952" s="187"/>
      <c r="J3952" s="140" t="e">
        <f ca="1">VLOOKUP(D3952,$F$1081:$I$4183,4,FALSE)+COUNTIF(E$1081:E3951,E3952)</f>
        <v>#N/A</v>
      </c>
      <c r="K3952" s="1"/>
      <c r="L3952" s="161" t="e">
        <f>IF($C$1078&gt;0,VLOOKUP($C3952,PATRIMONIALE!$AJ$4:$AP$1003,7,FALSE),"")</f>
        <v>#N/A</v>
      </c>
      <c r="M3952" s="1"/>
      <c r="N3952" s="1"/>
      <c r="O3952" s="1"/>
    </row>
    <row r="3953" spans="1:15" hidden="1">
      <c r="A3953" s="1"/>
      <c r="B3953" s="182" t="e">
        <f t="shared" ca="1" si="293"/>
        <v>#N/A</v>
      </c>
      <c r="C3953" s="500">
        <v>887</v>
      </c>
      <c r="D3953" s="41" t="e">
        <f>IF($C$1078&gt;0,VLOOKUP($C3953,PATRIMONIALE!$AJ$4:$AL$1003,3,FALSE),"")</f>
        <v>#N/A</v>
      </c>
      <c r="E3953" s="41" t="str">
        <f t="shared" si="294"/>
        <v/>
      </c>
      <c r="F3953" s="200"/>
      <c r="G3953" s="178" t="e">
        <f>IF($C$1078&gt;0,VLOOKUP($C3953,PATRIMONIALE!$AJ$4:$AN$1003,5,FALSE),"")</f>
        <v>#N/A</v>
      </c>
      <c r="H3953" s="179" t="e">
        <f>IF($C$1078&gt;0,VLOOKUP($C3953,PATRIMONIALE!$AJ$4:$AO$1003,6,FALSE),"")</f>
        <v>#N/A</v>
      </c>
      <c r="I3953" s="187"/>
      <c r="J3953" s="140" t="e">
        <f ca="1">VLOOKUP(D3953,$F$1081:$I$4183,4,FALSE)+COUNTIF(E$1081:E3952,E3953)</f>
        <v>#N/A</v>
      </c>
      <c r="K3953" s="1"/>
      <c r="L3953" s="161" t="e">
        <f>IF($C$1078&gt;0,VLOOKUP($C3953,PATRIMONIALE!$AJ$4:$AP$1003,7,FALSE),"")</f>
        <v>#N/A</v>
      </c>
      <c r="M3953" s="1"/>
      <c r="N3953" s="1"/>
      <c r="O3953" s="1"/>
    </row>
    <row r="3954" spans="1:15" hidden="1">
      <c r="A3954" s="1"/>
      <c r="B3954" s="182" t="e">
        <f t="shared" ca="1" si="293"/>
        <v>#N/A</v>
      </c>
      <c r="C3954" s="500">
        <v>888</v>
      </c>
      <c r="D3954" s="41" t="e">
        <f>IF($C$1078&gt;0,VLOOKUP($C3954,PATRIMONIALE!$AJ$4:$AL$1003,3,FALSE),"")</f>
        <v>#N/A</v>
      </c>
      <c r="E3954" s="41" t="str">
        <f t="shared" si="294"/>
        <v/>
      </c>
      <c r="F3954" s="200"/>
      <c r="G3954" s="178" t="e">
        <f>IF($C$1078&gt;0,VLOOKUP($C3954,PATRIMONIALE!$AJ$4:$AN$1003,5,FALSE),"")</f>
        <v>#N/A</v>
      </c>
      <c r="H3954" s="179" t="e">
        <f>IF($C$1078&gt;0,VLOOKUP($C3954,PATRIMONIALE!$AJ$4:$AO$1003,6,FALSE),"")</f>
        <v>#N/A</v>
      </c>
      <c r="I3954" s="187"/>
      <c r="J3954" s="140" t="e">
        <f ca="1">VLOOKUP(D3954,$F$1081:$I$4183,4,FALSE)+COUNTIF(E$1081:E3953,E3954)</f>
        <v>#N/A</v>
      </c>
      <c r="K3954" s="1"/>
      <c r="L3954" s="161" t="e">
        <f>IF($C$1078&gt;0,VLOOKUP($C3954,PATRIMONIALE!$AJ$4:$AP$1003,7,FALSE),"")</f>
        <v>#N/A</v>
      </c>
      <c r="M3954" s="1"/>
      <c r="N3954" s="1"/>
      <c r="O3954" s="1"/>
    </row>
    <row r="3955" spans="1:15" hidden="1">
      <c r="A3955" s="1"/>
      <c r="B3955" s="182" t="e">
        <f t="shared" ca="1" si="293"/>
        <v>#N/A</v>
      </c>
      <c r="C3955" s="500">
        <v>889</v>
      </c>
      <c r="D3955" s="41" t="e">
        <f>IF($C$1078&gt;0,VLOOKUP($C3955,PATRIMONIALE!$AJ$4:$AL$1003,3,FALSE),"")</f>
        <v>#N/A</v>
      </c>
      <c r="E3955" s="41" t="str">
        <f t="shared" si="294"/>
        <v/>
      </c>
      <c r="F3955" s="200"/>
      <c r="G3955" s="178" t="e">
        <f>IF($C$1078&gt;0,VLOOKUP($C3955,PATRIMONIALE!$AJ$4:$AN$1003,5,FALSE),"")</f>
        <v>#N/A</v>
      </c>
      <c r="H3955" s="179" t="e">
        <f>IF($C$1078&gt;0,VLOOKUP($C3955,PATRIMONIALE!$AJ$4:$AO$1003,6,FALSE),"")</f>
        <v>#N/A</v>
      </c>
      <c r="I3955" s="187"/>
      <c r="J3955" s="140" t="e">
        <f ca="1">VLOOKUP(D3955,$F$1081:$I$4183,4,FALSE)+COUNTIF(E$1081:E3954,E3955)</f>
        <v>#N/A</v>
      </c>
      <c r="K3955" s="1"/>
      <c r="L3955" s="161" t="e">
        <f>IF($C$1078&gt;0,VLOOKUP($C3955,PATRIMONIALE!$AJ$4:$AP$1003,7,FALSE),"")</f>
        <v>#N/A</v>
      </c>
      <c r="M3955" s="1"/>
      <c r="N3955" s="1"/>
      <c r="O3955" s="1"/>
    </row>
    <row r="3956" spans="1:15" hidden="1">
      <c r="A3956" s="1"/>
      <c r="B3956" s="182" t="e">
        <f t="shared" ca="1" si="293"/>
        <v>#N/A</v>
      </c>
      <c r="C3956" s="500">
        <v>890</v>
      </c>
      <c r="D3956" s="41" t="e">
        <f>IF($C$1078&gt;0,VLOOKUP($C3956,PATRIMONIALE!$AJ$4:$AL$1003,3,FALSE),"")</f>
        <v>#N/A</v>
      </c>
      <c r="E3956" s="41" t="str">
        <f t="shared" si="294"/>
        <v/>
      </c>
      <c r="F3956" s="200"/>
      <c r="G3956" s="178" t="e">
        <f>IF($C$1078&gt;0,VLOOKUP($C3956,PATRIMONIALE!$AJ$4:$AN$1003,5,FALSE),"")</f>
        <v>#N/A</v>
      </c>
      <c r="H3956" s="179" t="e">
        <f>IF($C$1078&gt;0,VLOOKUP($C3956,PATRIMONIALE!$AJ$4:$AO$1003,6,FALSE),"")</f>
        <v>#N/A</v>
      </c>
      <c r="I3956" s="187"/>
      <c r="J3956" s="140" t="e">
        <f ca="1">VLOOKUP(D3956,$F$1081:$I$4183,4,FALSE)+COUNTIF(E$1081:E3955,E3956)</f>
        <v>#N/A</v>
      </c>
      <c r="K3956" s="1"/>
      <c r="L3956" s="161" t="e">
        <f>IF($C$1078&gt;0,VLOOKUP($C3956,PATRIMONIALE!$AJ$4:$AP$1003,7,FALSE),"")</f>
        <v>#N/A</v>
      </c>
      <c r="M3956" s="1"/>
      <c r="N3956" s="1"/>
      <c r="O3956" s="1"/>
    </row>
    <row r="3957" spans="1:15" hidden="1">
      <c r="A3957" s="1"/>
      <c r="B3957" s="182" t="e">
        <f t="shared" ca="1" si="293"/>
        <v>#N/A</v>
      </c>
      <c r="C3957" s="500">
        <v>891</v>
      </c>
      <c r="D3957" s="41" t="e">
        <f>IF($C$1078&gt;0,VLOOKUP($C3957,PATRIMONIALE!$AJ$4:$AL$1003,3,FALSE),"")</f>
        <v>#N/A</v>
      </c>
      <c r="E3957" s="41" t="str">
        <f t="shared" si="294"/>
        <v/>
      </c>
      <c r="F3957" s="200"/>
      <c r="G3957" s="178" t="e">
        <f>IF($C$1078&gt;0,VLOOKUP($C3957,PATRIMONIALE!$AJ$4:$AN$1003,5,FALSE),"")</f>
        <v>#N/A</v>
      </c>
      <c r="H3957" s="179" t="e">
        <f>IF($C$1078&gt;0,VLOOKUP($C3957,PATRIMONIALE!$AJ$4:$AO$1003,6,FALSE),"")</f>
        <v>#N/A</v>
      </c>
      <c r="I3957" s="187"/>
      <c r="J3957" s="140" t="e">
        <f ca="1">VLOOKUP(D3957,$F$1081:$I$4183,4,FALSE)+COUNTIF(E$1081:E3956,E3957)</f>
        <v>#N/A</v>
      </c>
      <c r="K3957" s="1"/>
      <c r="L3957" s="161" t="e">
        <f>IF($C$1078&gt;0,VLOOKUP($C3957,PATRIMONIALE!$AJ$4:$AP$1003,7,FALSE),"")</f>
        <v>#N/A</v>
      </c>
      <c r="M3957" s="1"/>
      <c r="N3957" s="1"/>
      <c r="O3957" s="1"/>
    </row>
    <row r="3958" spans="1:15" hidden="1">
      <c r="A3958" s="1"/>
      <c r="B3958" s="182" t="e">
        <f t="shared" ca="1" si="293"/>
        <v>#N/A</v>
      </c>
      <c r="C3958" s="500">
        <v>892</v>
      </c>
      <c r="D3958" s="41" t="e">
        <f>IF($C$1078&gt;0,VLOOKUP($C3958,PATRIMONIALE!$AJ$4:$AL$1003,3,FALSE),"")</f>
        <v>#N/A</v>
      </c>
      <c r="E3958" s="41" t="str">
        <f t="shared" si="294"/>
        <v/>
      </c>
      <c r="F3958" s="200"/>
      <c r="G3958" s="178" t="e">
        <f>IF($C$1078&gt;0,VLOOKUP($C3958,PATRIMONIALE!$AJ$4:$AN$1003,5,FALSE),"")</f>
        <v>#N/A</v>
      </c>
      <c r="H3958" s="179" t="e">
        <f>IF($C$1078&gt;0,VLOOKUP($C3958,PATRIMONIALE!$AJ$4:$AO$1003,6,FALSE),"")</f>
        <v>#N/A</v>
      </c>
      <c r="I3958" s="187"/>
      <c r="J3958" s="140" t="e">
        <f ca="1">VLOOKUP(D3958,$F$1081:$I$4183,4,FALSE)+COUNTIF(E$1081:E3957,E3958)</f>
        <v>#N/A</v>
      </c>
      <c r="K3958" s="1"/>
      <c r="L3958" s="161" t="e">
        <f>IF($C$1078&gt;0,VLOOKUP($C3958,PATRIMONIALE!$AJ$4:$AP$1003,7,FALSE),"")</f>
        <v>#N/A</v>
      </c>
      <c r="M3958" s="1"/>
      <c r="N3958" s="1"/>
      <c r="O3958" s="1"/>
    </row>
    <row r="3959" spans="1:15" hidden="1">
      <c r="A3959" s="1"/>
      <c r="B3959" s="182" t="e">
        <f t="shared" ref="B3959:B4022" ca="1" si="295">IF(OR(C$1075&gt;0,C$1077&gt;0,C$1073&gt;0,C$1071&gt;0),J3959+1,J3959)</f>
        <v>#N/A</v>
      </c>
      <c r="C3959" s="500">
        <v>893</v>
      </c>
      <c r="D3959" s="41" t="e">
        <f>IF($C$1078&gt;0,VLOOKUP($C3959,PATRIMONIALE!$AJ$4:$AL$1003,3,FALSE),"")</f>
        <v>#N/A</v>
      </c>
      <c r="E3959" s="41" t="str">
        <f t="shared" si="294"/>
        <v/>
      </c>
      <c r="F3959" s="200"/>
      <c r="G3959" s="178" t="e">
        <f>IF($C$1078&gt;0,VLOOKUP($C3959,PATRIMONIALE!$AJ$4:$AN$1003,5,FALSE),"")</f>
        <v>#N/A</v>
      </c>
      <c r="H3959" s="179" t="e">
        <f>IF($C$1078&gt;0,VLOOKUP($C3959,PATRIMONIALE!$AJ$4:$AO$1003,6,FALSE),"")</f>
        <v>#N/A</v>
      </c>
      <c r="I3959" s="187"/>
      <c r="J3959" s="140" t="e">
        <f ca="1">VLOOKUP(D3959,$F$1081:$I$4183,4,FALSE)+COUNTIF(E$1081:E3958,E3959)</f>
        <v>#N/A</v>
      </c>
      <c r="K3959" s="1"/>
      <c r="L3959" s="161" t="e">
        <f>IF($C$1078&gt;0,VLOOKUP($C3959,PATRIMONIALE!$AJ$4:$AP$1003,7,FALSE),"")</f>
        <v>#N/A</v>
      </c>
      <c r="M3959" s="1"/>
      <c r="N3959" s="1"/>
      <c r="O3959" s="1"/>
    </row>
    <row r="3960" spans="1:15" hidden="1">
      <c r="A3960" s="1"/>
      <c r="B3960" s="182" t="e">
        <f t="shared" ca="1" si="295"/>
        <v>#N/A</v>
      </c>
      <c r="C3960" s="500">
        <v>894</v>
      </c>
      <c r="D3960" s="41" t="e">
        <f>IF($C$1078&gt;0,VLOOKUP($C3960,PATRIMONIALE!$AJ$4:$AL$1003,3,FALSE),"")</f>
        <v>#N/A</v>
      </c>
      <c r="E3960" s="41" t="str">
        <f t="shared" si="294"/>
        <v/>
      </c>
      <c r="F3960" s="200"/>
      <c r="G3960" s="178" t="e">
        <f>IF($C$1078&gt;0,VLOOKUP($C3960,PATRIMONIALE!$AJ$4:$AN$1003,5,FALSE),"")</f>
        <v>#N/A</v>
      </c>
      <c r="H3960" s="179" t="e">
        <f>IF($C$1078&gt;0,VLOOKUP($C3960,PATRIMONIALE!$AJ$4:$AO$1003,6,FALSE),"")</f>
        <v>#N/A</v>
      </c>
      <c r="I3960" s="187"/>
      <c r="J3960" s="140" t="e">
        <f ca="1">VLOOKUP(D3960,$F$1081:$I$4183,4,FALSE)+COUNTIF(E$1081:E3959,E3960)</f>
        <v>#N/A</v>
      </c>
      <c r="K3960" s="1"/>
      <c r="L3960" s="161" t="e">
        <f>IF($C$1078&gt;0,VLOOKUP($C3960,PATRIMONIALE!$AJ$4:$AP$1003,7,FALSE),"")</f>
        <v>#N/A</v>
      </c>
      <c r="M3960" s="1"/>
      <c r="N3960" s="1"/>
      <c r="O3960" s="1"/>
    </row>
    <row r="3961" spans="1:15" hidden="1">
      <c r="A3961" s="1"/>
      <c r="B3961" s="182" t="e">
        <f t="shared" ca="1" si="295"/>
        <v>#N/A</v>
      </c>
      <c r="C3961" s="500">
        <v>895</v>
      </c>
      <c r="D3961" s="41" t="e">
        <f>IF($C$1078&gt;0,VLOOKUP($C3961,PATRIMONIALE!$AJ$4:$AL$1003,3,FALSE),"")</f>
        <v>#N/A</v>
      </c>
      <c r="E3961" s="41" t="str">
        <f t="shared" si="294"/>
        <v/>
      </c>
      <c r="F3961" s="200"/>
      <c r="G3961" s="178" t="e">
        <f>IF($C$1078&gt;0,VLOOKUP($C3961,PATRIMONIALE!$AJ$4:$AN$1003,5,FALSE),"")</f>
        <v>#N/A</v>
      </c>
      <c r="H3961" s="179" t="e">
        <f>IF($C$1078&gt;0,VLOOKUP($C3961,PATRIMONIALE!$AJ$4:$AO$1003,6,FALSE),"")</f>
        <v>#N/A</v>
      </c>
      <c r="I3961" s="187"/>
      <c r="J3961" s="140" t="e">
        <f ca="1">VLOOKUP(D3961,$F$1081:$I$4183,4,FALSE)+COUNTIF(E$1081:E3960,E3961)</f>
        <v>#N/A</v>
      </c>
      <c r="K3961" s="1"/>
      <c r="L3961" s="161" t="e">
        <f>IF($C$1078&gt;0,VLOOKUP($C3961,PATRIMONIALE!$AJ$4:$AP$1003,7,FALSE),"")</f>
        <v>#N/A</v>
      </c>
      <c r="M3961" s="1"/>
      <c r="N3961" s="1"/>
      <c r="O3961" s="1"/>
    </row>
    <row r="3962" spans="1:15" hidden="1">
      <c r="A3962" s="1"/>
      <c r="B3962" s="182" t="e">
        <f t="shared" ca="1" si="295"/>
        <v>#N/A</v>
      </c>
      <c r="C3962" s="500">
        <v>896</v>
      </c>
      <c r="D3962" s="41" t="e">
        <f>IF($C$1078&gt;0,VLOOKUP($C3962,PATRIMONIALE!$AJ$4:$AL$1003,3,FALSE),"")</f>
        <v>#N/A</v>
      </c>
      <c r="E3962" s="41" t="str">
        <f t="shared" si="294"/>
        <v/>
      </c>
      <c r="F3962" s="200"/>
      <c r="G3962" s="178" t="e">
        <f>IF($C$1078&gt;0,VLOOKUP($C3962,PATRIMONIALE!$AJ$4:$AN$1003,5,FALSE),"")</f>
        <v>#N/A</v>
      </c>
      <c r="H3962" s="179" t="e">
        <f>IF($C$1078&gt;0,VLOOKUP($C3962,PATRIMONIALE!$AJ$4:$AO$1003,6,FALSE),"")</f>
        <v>#N/A</v>
      </c>
      <c r="I3962" s="187"/>
      <c r="J3962" s="140" t="e">
        <f ca="1">VLOOKUP(D3962,$F$1081:$I$4183,4,FALSE)+COUNTIF(E$1081:E3961,E3962)</f>
        <v>#N/A</v>
      </c>
      <c r="K3962" s="1"/>
      <c r="L3962" s="161" t="e">
        <f>IF($C$1078&gt;0,VLOOKUP($C3962,PATRIMONIALE!$AJ$4:$AP$1003,7,FALSE),"")</f>
        <v>#N/A</v>
      </c>
      <c r="M3962" s="1"/>
      <c r="N3962" s="1"/>
      <c r="O3962" s="1"/>
    </row>
    <row r="3963" spans="1:15" hidden="1">
      <c r="A3963" s="1"/>
      <c r="B3963" s="182" t="e">
        <f t="shared" ca="1" si="295"/>
        <v>#N/A</v>
      </c>
      <c r="C3963" s="500">
        <v>897</v>
      </c>
      <c r="D3963" s="41" t="e">
        <f>IF($C$1078&gt;0,VLOOKUP($C3963,PATRIMONIALE!$AJ$4:$AL$1003,3,FALSE),"")</f>
        <v>#N/A</v>
      </c>
      <c r="E3963" s="41" t="str">
        <f t="shared" si="294"/>
        <v/>
      </c>
      <c r="F3963" s="200"/>
      <c r="G3963" s="178" t="e">
        <f>IF($C$1078&gt;0,VLOOKUP($C3963,PATRIMONIALE!$AJ$4:$AN$1003,5,FALSE),"")</f>
        <v>#N/A</v>
      </c>
      <c r="H3963" s="179" t="e">
        <f>IF($C$1078&gt;0,VLOOKUP($C3963,PATRIMONIALE!$AJ$4:$AO$1003,6,FALSE),"")</f>
        <v>#N/A</v>
      </c>
      <c r="I3963" s="187"/>
      <c r="J3963" s="140" t="e">
        <f ca="1">VLOOKUP(D3963,$F$1081:$I$4183,4,FALSE)+COUNTIF(E$1081:E3962,E3963)</f>
        <v>#N/A</v>
      </c>
      <c r="K3963" s="1"/>
      <c r="L3963" s="161" t="e">
        <f>IF($C$1078&gt;0,VLOOKUP($C3963,PATRIMONIALE!$AJ$4:$AP$1003,7,FALSE),"")</f>
        <v>#N/A</v>
      </c>
      <c r="M3963" s="1"/>
      <c r="N3963" s="1"/>
      <c r="O3963" s="1"/>
    </row>
    <row r="3964" spans="1:15" hidden="1">
      <c r="A3964" s="1"/>
      <c r="B3964" s="182" t="e">
        <f t="shared" ca="1" si="295"/>
        <v>#N/A</v>
      </c>
      <c r="C3964" s="500">
        <v>898</v>
      </c>
      <c r="D3964" s="41" t="e">
        <f>IF($C$1078&gt;0,VLOOKUP($C3964,PATRIMONIALE!$AJ$4:$AL$1003,3,FALSE),"")</f>
        <v>#N/A</v>
      </c>
      <c r="E3964" s="41" t="str">
        <f t="shared" si="294"/>
        <v/>
      </c>
      <c r="F3964" s="200"/>
      <c r="G3964" s="178" t="e">
        <f>IF($C$1078&gt;0,VLOOKUP($C3964,PATRIMONIALE!$AJ$4:$AN$1003,5,FALSE),"")</f>
        <v>#N/A</v>
      </c>
      <c r="H3964" s="179" t="e">
        <f>IF($C$1078&gt;0,VLOOKUP($C3964,PATRIMONIALE!$AJ$4:$AO$1003,6,FALSE),"")</f>
        <v>#N/A</v>
      </c>
      <c r="I3964" s="187"/>
      <c r="J3964" s="140" t="e">
        <f ca="1">VLOOKUP(D3964,$F$1081:$I$4183,4,FALSE)+COUNTIF(E$1081:E3963,E3964)</f>
        <v>#N/A</v>
      </c>
      <c r="K3964" s="1"/>
      <c r="L3964" s="161" t="e">
        <f>IF($C$1078&gt;0,VLOOKUP($C3964,PATRIMONIALE!$AJ$4:$AP$1003,7,FALSE),"")</f>
        <v>#N/A</v>
      </c>
      <c r="M3964" s="1"/>
      <c r="N3964" s="1"/>
      <c r="O3964" s="1"/>
    </row>
    <row r="3965" spans="1:15" hidden="1">
      <c r="A3965" s="1"/>
      <c r="B3965" s="182" t="e">
        <f t="shared" ca="1" si="295"/>
        <v>#N/A</v>
      </c>
      <c r="C3965" s="500">
        <v>899</v>
      </c>
      <c r="D3965" s="41" t="e">
        <f>IF($C$1078&gt;0,VLOOKUP($C3965,PATRIMONIALE!$AJ$4:$AL$1003,3,FALSE),"")</f>
        <v>#N/A</v>
      </c>
      <c r="E3965" s="41" t="str">
        <f t="shared" si="294"/>
        <v/>
      </c>
      <c r="F3965" s="200"/>
      <c r="G3965" s="178" t="e">
        <f>IF($C$1078&gt;0,VLOOKUP($C3965,PATRIMONIALE!$AJ$4:$AN$1003,5,FALSE),"")</f>
        <v>#N/A</v>
      </c>
      <c r="H3965" s="179" t="e">
        <f>IF($C$1078&gt;0,VLOOKUP($C3965,PATRIMONIALE!$AJ$4:$AO$1003,6,FALSE),"")</f>
        <v>#N/A</v>
      </c>
      <c r="I3965" s="187"/>
      <c r="J3965" s="140" t="e">
        <f ca="1">VLOOKUP(D3965,$F$1081:$I$4183,4,FALSE)+COUNTIF(E$1081:E3964,E3965)</f>
        <v>#N/A</v>
      </c>
      <c r="K3965" s="1"/>
      <c r="L3965" s="161" t="e">
        <f>IF($C$1078&gt;0,VLOOKUP($C3965,PATRIMONIALE!$AJ$4:$AP$1003,7,FALSE),"")</f>
        <v>#N/A</v>
      </c>
      <c r="M3965" s="1"/>
      <c r="N3965" s="1"/>
      <c r="O3965" s="1"/>
    </row>
    <row r="3966" spans="1:15" hidden="1">
      <c r="A3966" s="1"/>
      <c r="B3966" s="182" t="e">
        <f t="shared" ca="1" si="295"/>
        <v>#N/A</v>
      </c>
      <c r="C3966" s="500">
        <v>900</v>
      </c>
      <c r="D3966" s="41" t="e">
        <f>IF($C$1078&gt;0,VLOOKUP($C3966,PATRIMONIALE!$AJ$4:$AL$1003,3,FALSE),"")</f>
        <v>#N/A</v>
      </c>
      <c r="E3966" s="41" t="str">
        <f t="shared" si="294"/>
        <v/>
      </c>
      <c r="F3966" s="200"/>
      <c r="G3966" s="178" t="e">
        <f>IF($C$1078&gt;0,VLOOKUP($C3966,PATRIMONIALE!$AJ$4:$AN$1003,5,FALSE),"")</f>
        <v>#N/A</v>
      </c>
      <c r="H3966" s="179" t="e">
        <f>IF($C$1078&gt;0,VLOOKUP($C3966,PATRIMONIALE!$AJ$4:$AO$1003,6,FALSE),"")</f>
        <v>#N/A</v>
      </c>
      <c r="I3966" s="187"/>
      <c r="J3966" s="140" t="e">
        <f ca="1">VLOOKUP(D3966,$F$1081:$I$4183,4,FALSE)+COUNTIF(E$1081:E3965,E3966)</f>
        <v>#N/A</v>
      </c>
      <c r="K3966" s="1"/>
      <c r="L3966" s="161" t="e">
        <f>IF($C$1078&gt;0,VLOOKUP($C3966,PATRIMONIALE!$AJ$4:$AP$1003,7,FALSE),"")</f>
        <v>#N/A</v>
      </c>
      <c r="M3966" s="1"/>
      <c r="N3966" s="1"/>
      <c r="O3966" s="1"/>
    </row>
    <row r="3967" spans="1:15" hidden="1">
      <c r="A3967" s="1"/>
      <c r="B3967" s="182" t="e">
        <f t="shared" ca="1" si="295"/>
        <v>#N/A</v>
      </c>
      <c r="C3967" s="500">
        <v>901</v>
      </c>
      <c r="D3967" s="41" t="e">
        <f>IF($C$1078&gt;0,VLOOKUP($C3967,PATRIMONIALE!$AJ$4:$AL$1003,3,FALSE),"")</f>
        <v>#N/A</v>
      </c>
      <c r="E3967" s="41" t="str">
        <f t="shared" si="294"/>
        <v/>
      </c>
      <c r="F3967" s="200"/>
      <c r="G3967" s="178" t="e">
        <f>IF($C$1078&gt;0,VLOOKUP($C3967,PATRIMONIALE!$AJ$4:$AN$1003,5,FALSE),"")</f>
        <v>#N/A</v>
      </c>
      <c r="H3967" s="179" t="e">
        <f>IF($C$1078&gt;0,VLOOKUP($C3967,PATRIMONIALE!$AJ$4:$AO$1003,6,FALSE),"")</f>
        <v>#N/A</v>
      </c>
      <c r="I3967" s="187"/>
      <c r="J3967" s="140" t="e">
        <f ca="1">VLOOKUP(D3967,$F$1081:$I$4183,4,FALSE)+COUNTIF(E$1081:E3966,E3967)</f>
        <v>#N/A</v>
      </c>
      <c r="K3967" s="1"/>
      <c r="L3967" s="161" t="e">
        <f>IF($C$1078&gt;0,VLOOKUP($C3967,PATRIMONIALE!$AJ$4:$AP$1003,7,FALSE),"")</f>
        <v>#N/A</v>
      </c>
      <c r="M3967" s="1"/>
      <c r="N3967" s="1"/>
      <c r="O3967" s="1"/>
    </row>
    <row r="3968" spans="1:15" hidden="1">
      <c r="A3968" s="1"/>
      <c r="B3968" s="182" t="e">
        <f t="shared" ca="1" si="295"/>
        <v>#N/A</v>
      </c>
      <c r="C3968" s="500">
        <v>902</v>
      </c>
      <c r="D3968" s="41" t="e">
        <f>IF($C$1078&gt;0,VLOOKUP($C3968,PATRIMONIALE!$AJ$4:$AL$1003,3,FALSE),"")</f>
        <v>#N/A</v>
      </c>
      <c r="E3968" s="41" t="str">
        <f t="shared" si="294"/>
        <v/>
      </c>
      <c r="F3968" s="200"/>
      <c r="G3968" s="178" t="e">
        <f>IF($C$1078&gt;0,VLOOKUP($C3968,PATRIMONIALE!$AJ$4:$AN$1003,5,FALSE),"")</f>
        <v>#N/A</v>
      </c>
      <c r="H3968" s="179" t="e">
        <f>IF($C$1078&gt;0,VLOOKUP($C3968,PATRIMONIALE!$AJ$4:$AO$1003,6,FALSE),"")</f>
        <v>#N/A</v>
      </c>
      <c r="I3968" s="187"/>
      <c r="J3968" s="140" t="e">
        <f ca="1">VLOOKUP(D3968,$F$1081:$I$4183,4,FALSE)+COUNTIF(E$1081:E3967,E3968)</f>
        <v>#N/A</v>
      </c>
      <c r="K3968" s="1"/>
      <c r="L3968" s="161" t="e">
        <f>IF($C$1078&gt;0,VLOOKUP($C3968,PATRIMONIALE!$AJ$4:$AP$1003,7,FALSE),"")</f>
        <v>#N/A</v>
      </c>
      <c r="M3968" s="1"/>
      <c r="N3968" s="1"/>
      <c r="O3968" s="1"/>
    </row>
    <row r="3969" spans="1:15" hidden="1">
      <c r="A3969" s="1"/>
      <c r="B3969" s="182" t="e">
        <f t="shared" ca="1" si="295"/>
        <v>#N/A</v>
      </c>
      <c r="C3969" s="500">
        <v>903</v>
      </c>
      <c r="D3969" s="41" t="e">
        <f>IF($C$1078&gt;0,VLOOKUP($C3969,PATRIMONIALE!$AJ$4:$AL$1003,3,FALSE),"")</f>
        <v>#N/A</v>
      </c>
      <c r="E3969" s="41" t="str">
        <f t="shared" ref="E3969:E4032" si="296">IF(ISERROR(D3969),"",D3969)</f>
        <v/>
      </c>
      <c r="F3969" s="200"/>
      <c r="G3969" s="178" t="e">
        <f>IF($C$1078&gt;0,VLOOKUP($C3969,PATRIMONIALE!$AJ$4:$AN$1003,5,FALSE),"")</f>
        <v>#N/A</v>
      </c>
      <c r="H3969" s="179" t="e">
        <f>IF($C$1078&gt;0,VLOOKUP($C3969,PATRIMONIALE!$AJ$4:$AO$1003,6,FALSE),"")</f>
        <v>#N/A</v>
      </c>
      <c r="I3969" s="187"/>
      <c r="J3969" s="140" t="e">
        <f ca="1">VLOOKUP(D3969,$F$1081:$I$4183,4,FALSE)+COUNTIF(E$1081:E3968,E3969)</f>
        <v>#N/A</v>
      </c>
      <c r="K3969" s="1"/>
      <c r="L3969" s="161" t="e">
        <f>IF($C$1078&gt;0,VLOOKUP($C3969,PATRIMONIALE!$AJ$4:$AP$1003,7,FALSE),"")</f>
        <v>#N/A</v>
      </c>
      <c r="M3969" s="1"/>
      <c r="N3969" s="1"/>
      <c r="O3969" s="1"/>
    </row>
    <row r="3970" spans="1:15" hidden="1">
      <c r="A3970" s="1"/>
      <c r="B3970" s="182" t="e">
        <f t="shared" ca="1" si="295"/>
        <v>#N/A</v>
      </c>
      <c r="C3970" s="500">
        <v>904</v>
      </c>
      <c r="D3970" s="41" t="e">
        <f>IF($C$1078&gt;0,VLOOKUP($C3970,PATRIMONIALE!$AJ$4:$AL$1003,3,FALSE),"")</f>
        <v>#N/A</v>
      </c>
      <c r="E3970" s="41" t="str">
        <f t="shared" si="296"/>
        <v/>
      </c>
      <c r="F3970" s="200"/>
      <c r="G3970" s="178" t="e">
        <f>IF($C$1078&gt;0,VLOOKUP($C3970,PATRIMONIALE!$AJ$4:$AN$1003,5,FALSE),"")</f>
        <v>#N/A</v>
      </c>
      <c r="H3970" s="179" t="e">
        <f>IF($C$1078&gt;0,VLOOKUP($C3970,PATRIMONIALE!$AJ$4:$AO$1003,6,FALSE),"")</f>
        <v>#N/A</v>
      </c>
      <c r="I3970" s="187"/>
      <c r="J3970" s="140" t="e">
        <f ca="1">VLOOKUP(D3970,$F$1081:$I$4183,4,FALSE)+COUNTIF(E$1081:E3969,E3970)</f>
        <v>#N/A</v>
      </c>
      <c r="K3970" s="1"/>
      <c r="L3970" s="161" t="e">
        <f>IF($C$1078&gt;0,VLOOKUP($C3970,PATRIMONIALE!$AJ$4:$AP$1003,7,FALSE),"")</f>
        <v>#N/A</v>
      </c>
      <c r="M3970" s="1"/>
      <c r="N3970" s="1"/>
      <c r="O3970" s="1"/>
    </row>
    <row r="3971" spans="1:15" hidden="1">
      <c r="A3971" s="1"/>
      <c r="B3971" s="182" t="e">
        <f t="shared" ca="1" si="295"/>
        <v>#N/A</v>
      </c>
      <c r="C3971" s="500">
        <v>905</v>
      </c>
      <c r="D3971" s="41" t="e">
        <f>IF($C$1078&gt;0,VLOOKUP($C3971,PATRIMONIALE!$AJ$4:$AL$1003,3,FALSE),"")</f>
        <v>#N/A</v>
      </c>
      <c r="E3971" s="41" t="str">
        <f t="shared" si="296"/>
        <v/>
      </c>
      <c r="F3971" s="200"/>
      <c r="G3971" s="178" t="e">
        <f>IF($C$1078&gt;0,VLOOKUP($C3971,PATRIMONIALE!$AJ$4:$AN$1003,5,FALSE),"")</f>
        <v>#N/A</v>
      </c>
      <c r="H3971" s="179" t="e">
        <f>IF($C$1078&gt;0,VLOOKUP($C3971,PATRIMONIALE!$AJ$4:$AO$1003,6,FALSE),"")</f>
        <v>#N/A</v>
      </c>
      <c r="I3971" s="187"/>
      <c r="J3971" s="140" t="e">
        <f ca="1">VLOOKUP(D3971,$F$1081:$I$4183,4,FALSE)+COUNTIF(E$1081:E3970,E3971)</f>
        <v>#N/A</v>
      </c>
      <c r="K3971" s="1"/>
      <c r="L3971" s="161" t="e">
        <f>IF($C$1078&gt;0,VLOOKUP($C3971,PATRIMONIALE!$AJ$4:$AP$1003,7,FALSE),"")</f>
        <v>#N/A</v>
      </c>
      <c r="M3971" s="1"/>
      <c r="N3971" s="1"/>
      <c r="O3971" s="1"/>
    </row>
    <row r="3972" spans="1:15" hidden="1">
      <c r="A3972" s="1"/>
      <c r="B3972" s="182" t="e">
        <f t="shared" ca="1" si="295"/>
        <v>#N/A</v>
      </c>
      <c r="C3972" s="500">
        <v>906</v>
      </c>
      <c r="D3972" s="41" t="e">
        <f>IF($C$1078&gt;0,VLOOKUP($C3972,PATRIMONIALE!$AJ$4:$AL$1003,3,FALSE),"")</f>
        <v>#N/A</v>
      </c>
      <c r="E3972" s="41" t="str">
        <f t="shared" si="296"/>
        <v/>
      </c>
      <c r="F3972" s="200"/>
      <c r="G3972" s="178" t="e">
        <f>IF($C$1078&gt;0,VLOOKUP($C3972,PATRIMONIALE!$AJ$4:$AN$1003,5,FALSE),"")</f>
        <v>#N/A</v>
      </c>
      <c r="H3972" s="179" t="e">
        <f>IF($C$1078&gt;0,VLOOKUP($C3972,PATRIMONIALE!$AJ$4:$AO$1003,6,FALSE),"")</f>
        <v>#N/A</v>
      </c>
      <c r="I3972" s="187"/>
      <c r="J3972" s="140" t="e">
        <f ca="1">VLOOKUP(D3972,$F$1081:$I$4183,4,FALSE)+COUNTIF(E$1081:E3971,E3972)</f>
        <v>#N/A</v>
      </c>
      <c r="K3972" s="1"/>
      <c r="L3972" s="161" t="e">
        <f>IF($C$1078&gt;0,VLOOKUP($C3972,PATRIMONIALE!$AJ$4:$AP$1003,7,FALSE),"")</f>
        <v>#N/A</v>
      </c>
      <c r="M3972" s="1"/>
      <c r="N3972" s="1"/>
      <c r="O3972" s="1"/>
    </row>
    <row r="3973" spans="1:15" hidden="1">
      <c r="A3973" s="1"/>
      <c r="B3973" s="182" t="e">
        <f t="shared" ca="1" si="295"/>
        <v>#N/A</v>
      </c>
      <c r="C3973" s="500">
        <v>907</v>
      </c>
      <c r="D3973" s="41" t="e">
        <f>IF($C$1078&gt;0,VLOOKUP($C3973,PATRIMONIALE!$AJ$4:$AL$1003,3,FALSE),"")</f>
        <v>#N/A</v>
      </c>
      <c r="E3973" s="41" t="str">
        <f t="shared" si="296"/>
        <v/>
      </c>
      <c r="F3973" s="200"/>
      <c r="G3973" s="178" t="e">
        <f>IF($C$1078&gt;0,VLOOKUP($C3973,PATRIMONIALE!$AJ$4:$AN$1003,5,FALSE),"")</f>
        <v>#N/A</v>
      </c>
      <c r="H3973" s="179" t="e">
        <f>IF($C$1078&gt;0,VLOOKUP($C3973,PATRIMONIALE!$AJ$4:$AO$1003,6,FALSE),"")</f>
        <v>#N/A</v>
      </c>
      <c r="I3973" s="187"/>
      <c r="J3973" s="140" t="e">
        <f ca="1">VLOOKUP(D3973,$F$1081:$I$4183,4,FALSE)+COUNTIF(E$1081:E3972,E3973)</f>
        <v>#N/A</v>
      </c>
      <c r="K3973" s="1"/>
      <c r="L3973" s="161" t="e">
        <f>IF($C$1078&gt;0,VLOOKUP($C3973,PATRIMONIALE!$AJ$4:$AP$1003,7,FALSE),"")</f>
        <v>#N/A</v>
      </c>
      <c r="M3973" s="1"/>
      <c r="N3973" s="1"/>
      <c r="O3973" s="1"/>
    </row>
    <row r="3974" spans="1:15" hidden="1">
      <c r="A3974" s="1"/>
      <c r="B3974" s="182" t="e">
        <f t="shared" ca="1" si="295"/>
        <v>#N/A</v>
      </c>
      <c r="C3974" s="500">
        <v>908</v>
      </c>
      <c r="D3974" s="41" t="e">
        <f>IF($C$1078&gt;0,VLOOKUP($C3974,PATRIMONIALE!$AJ$4:$AL$1003,3,FALSE),"")</f>
        <v>#N/A</v>
      </c>
      <c r="E3974" s="41" t="str">
        <f t="shared" si="296"/>
        <v/>
      </c>
      <c r="F3974" s="200"/>
      <c r="G3974" s="178" t="e">
        <f>IF($C$1078&gt;0,VLOOKUP($C3974,PATRIMONIALE!$AJ$4:$AN$1003,5,FALSE),"")</f>
        <v>#N/A</v>
      </c>
      <c r="H3974" s="179" t="e">
        <f>IF($C$1078&gt;0,VLOOKUP($C3974,PATRIMONIALE!$AJ$4:$AO$1003,6,FALSE),"")</f>
        <v>#N/A</v>
      </c>
      <c r="I3974" s="187"/>
      <c r="J3974" s="140" t="e">
        <f ca="1">VLOOKUP(D3974,$F$1081:$I$4183,4,FALSE)+COUNTIF(E$1081:E3973,E3974)</f>
        <v>#N/A</v>
      </c>
      <c r="K3974" s="1"/>
      <c r="L3974" s="161" t="e">
        <f>IF($C$1078&gt;0,VLOOKUP($C3974,PATRIMONIALE!$AJ$4:$AP$1003,7,FALSE),"")</f>
        <v>#N/A</v>
      </c>
      <c r="M3974" s="1"/>
      <c r="N3974" s="1"/>
      <c r="O3974" s="1"/>
    </row>
    <row r="3975" spans="1:15" hidden="1">
      <c r="A3975" s="1"/>
      <c r="B3975" s="182" t="e">
        <f t="shared" ca="1" si="295"/>
        <v>#N/A</v>
      </c>
      <c r="C3975" s="500">
        <v>909</v>
      </c>
      <c r="D3975" s="41" t="e">
        <f>IF($C$1078&gt;0,VLOOKUP($C3975,PATRIMONIALE!$AJ$4:$AL$1003,3,FALSE),"")</f>
        <v>#N/A</v>
      </c>
      <c r="E3975" s="41" t="str">
        <f t="shared" si="296"/>
        <v/>
      </c>
      <c r="F3975" s="200"/>
      <c r="G3975" s="178" t="e">
        <f>IF($C$1078&gt;0,VLOOKUP($C3975,PATRIMONIALE!$AJ$4:$AN$1003,5,FALSE),"")</f>
        <v>#N/A</v>
      </c>
      <c r="H3975" s="179" t="e">
        <f>IF($C$1078&gt;0,VLOOKUP($C3975,PATRIMONIALE!$AJ$4:$AO$1003,6,FALSE),"")</f>
        <v>#N/A</v>
      </c>
      <c r="I3975" s="187"/>
      <c r="J3975" s="140" t="e">
        <f ca="1">VLOOKUP(D3975,$F$1081:$I$4183,4,FALSE)+COUNTIF(E$1081:E3974,E3975)</f>
        <v>#N/A</v>
      </c>
      <c r="K3975" s="1"/>
      <c r="L3975" s="161" t="e">
        <f>IF($C$1078&gt;0,VLOOKUP($C3975,PATRIMONIALE!$AJ$4:$AP$1003,7,FALSE),"")</f>
        <v>#N/A</v>
      </c>
      <c r="M3975" s="1"/>
      <c r="N3975" s="1"/>
      <c r="O3975" s="1"/>
    </row>
    <row r="3976" spans="1:15" hidden="1">
      <c r="A3976" s="1"/>
      <c r="B3976" s="182" t="e">
        <f t="shared" ca="1" si="295"/>
        <v>#N/A</v>
      </c>
      <c r="C3976" s="500">
        <v>910</v>
      </c>
      <c r="D3976" s="41" t="e">
        <f>IF($C$1078&gt;0,VLOOKUP($C3976,PATRIMONIALE!$AJ$4:$AL$1003,3,FALSE),"")</f>
        <v>#N/A</v>
      </c>
      <c r="E3976" s="41" t="str">
        <f t="shared" si="296"/>
        <v/>
      </c>
      <c r="F3976" s="200"/>
      <c r="G3976" s="178" t="e">
        <f>IF($C$1078&gt;0,VLOOKUP($C3976,PATRIMONIALE!$AJ$4:$AN$1003,5,FALSE),"")</f>
        <v>#N/A</v>
      </c>
      <c r="H3976" s="179" t="e">
        <f>IF($C$1078&gt;0,VLOOKUP($C3976,PATRIMONIALE!$AJ$4:$AO$1003,6,FALSE),"")</f>
        <v>#N/A</v>
      </c>
      <c r="I3976" s="187"/>
      <c r="J3976" s="140" t="e">
        <f ca="1">VLOOKUP(D3976,$F$1081:$I$4183,4,FALSE)+COUNTIF(E$1081:E3975,E3976)</f>
        <v>#N/A</v>
      </c>
      <c r="K3976" s="1"/>
      <c r="L3976" s="161" t="e">
        <f>IF($C$1078&gt;0,VLOOKUP($C3976,PATRIMONIALE!$AJ$4:$AP$1003,7,FALSE),"")</f>
        <v>#N/A</v>
      </c>
      <c r="M3976" s="1"/>
      <c r="N3976" s="1"/>
      <c r="O3976" s="1"/>
    </row>
    <row r="3977" spans="1:15" hidden="1">
      <c r="A3977" s="1"/>
      <c r="B3977" s="182" t="e">
        <f t="shared" ca="1" si="295"/>
        <v>#N/A</v>
      </c>
      <c r="C3977" s="500">
        <v>911</v>
      </c>
      <c r="D3977" s="41" t="e">
        <f>IF($C$1078&gt;0,VLOOKUP($C3977,PATRIMONIALE!$AJ$4:$AL$1003,3,FALSE),"")</f>
        <v>#N/A</v>
      </c>
      <c r="E3977" s="41" t="str">
        <f t="shared" si="296"/>
        <v/>
      </c>
      <c r="F3977" s="200"/>
      <c r="G3977" s="178" t="e">
        <f>IF($C$1078&gt;0,VLOOKUP($C3977,PATRIMONIALE!$AJ$4:$AN$1003,5,FALSE),"")</f>
        <v>#N/A</v>
      </c>
      <c r="H3977" s="179" t="e">
        <f>IF($C$1078&gt;0,VLOOKUP($C3977,PATRIMONIALE!$AJ$4:$AO$1003,6,FALSE),"")</f>
        <v>#N/A</v>
      </c>
      <c r="I3977" s="187"/>
      <c r="J3977" s="140" t="e">
        <f ca="1">VLOOKUP(D3977,$F$1081:$I$4183,4,FALSE)+COUNTIF(E$1081:E3976,E3977)</f>
        <v>#N/A</v>
      </c>
      <c r="K3977" s="1"/>
      <c r="L3977" s="161" t="e">
        <f>IF($C$1078&gt;0,VLOOKUP($C3977,PATRIMONIALE!$AJ$4:$AP$1003,7,FALSE),"")</f>
        <v>#N/A</v>
      </c>
      <c r="M3977" s="1"/>
      <c r="N3977" s="1"/>
      <c r="O3977" s="1"/>
    </row>
    <row r="3978" spans="1:15" hidden="1">
      <c r="A3978" s="1"/>
      <c r="B3978" s="182" t="e">
        <f t="shared" ca="1" si="295"/>
        <v>#N/A</v>
      </c>
      <c r="C3978" s="500">
        <v>912</v>
      </c>
      <c r="D3978" s="41" t="e">
        <f>IF($C$1078&gt;0,VLOOKUP($C3978,PATRIMONIALE!$AJ$4:$AL$1003,3,FALSE),"")</f>
        <v>#N/A</v>
      </c>
      <c r="E3978" s="41" t="str">
        <f t="shared" si="296"/>
        <v/>
      </c>
      <c r="F3978" s="200"/>
      <c r="G3978" s="178" t="e">
        <f>IF($C$1078&gt;0,VLOOKUP($C3978,PATRIMONIALE!$AJ$4:$AN$1003,5,FALSE),"")</f>
        <v>#N/A</v>
      </c>
      <c r="H3978" s="179" t="e">
        <f>IF($C$1078&gt;0,VLOOKUP($C3978,PATRIMONIALE!$AJ$4:$AO$1003,6,FALSE),"")</f>
        <v>#N/A</v>
      </c>
      <c r="I3978" s="187"/>
      <c r="J3978" s="140" t="e">
        <f ca="1">VLOOKUP(D3978,$F$1081:$I$4183,4,FALSE)+COUNTIF(E$1081:E3977,E3978)</f>
        <v>#N/A</v>
      </c>
      <c r="K3978" s="1"/>
      <c r="L3978" s="161" t="e">
        <f>IF($C$1078&gt;0,VLOOKUP($C3978,PATRIMONIALE!$AJ$4:$AP$1003,7,FALSE),"")</f>
        <v>#N/A</v>
      </c>
      <c r="M3978" s="1"/>
      <c r="N3978" s="1"/>
      <c r="O3978" s="1"/>
    </row>
    <row r="3979" spans="1:15" hidden="1">
      <c r="A3979" s="1"/>
      <c r="B3979" s="182" t="e">
        <f t="shared" ca="1" si="295"/>
        <v>#N/A</v>
      </c>
      <c r="C3979" s="500">
        <v>913</v>
      </c>
      <c r="D3979" s="41" t="e">
        <f>IF($C$1078&gt;0,VLOOKUP($C3979,PATRIMONIALE!$AJ$4:$AL$1003,3,FALSE),"")</f>
        <v>#N/A</v>
      </c>
      <c r="E3979" s="41" t="str">
        <f t="shared" si="296"/>
        <v/>
      </c>
      <c r="F3979" s="200"/>
      <c r="G3979" s="178" t="e">
        <f>IF($C$1078&gt;0,VLOOKUP($C3979,PATRIMONIALE!$AJ$4:$AN$1003,5,FALSE),"")</f>
        <v>#N/A</v>
      </c>
      <c r="H3979" s="179" t="e">
        <f>IF($C$1078&gt;0,VLOOKUP($C3979,PATRIMONIALE!$AJ$4:$AO$1003,6,FALSE),"")</f>
        <v>#N/A</v>
      </c>
      <c r="I3979" s="187"/>
      <c r="J3979" s="140" t="e">
        <f ca="1">VLOOKUP(D3979,$F$1081:$I$4183,4,FALSE)+COUNTIF(E$1081:E3978,E3979)</f>
        <v>#N/A</v>
      </c>
      <c r="K3979" s="1"/>
      <c r="L3979" s="161" t="e">
        <f>IF($C$1078&gt;0,VLOOKUP($C3979,PATRIMONIALE!$AJ$4:$AP$1003,7,FALSE),"")</f>
        <v>#N/A</v>
      </c>
      <c r="M3979" s="1"/>
      <c r="N3979" s="1"/>
      <c r="O3979" s="1"/>
    </row>
    <row r="3980" spans="1:15" hidden="1">
      <c r="A3980" s="1"/>
      <c r="B3980" s="182" t="e">
        <f t="shared" ca="1" si="295"/>
        <v>#N/A</v>
      </c>
      <c r="C3980" s="500">
        <v>914</v>
      </c>
      <c r="D3980" s="41" t="e">
        <f>IF($C$1078&gt;0,VLOOKUP($C3980,PATRIMONIALE!$AJ$4:$AL$1003,3,FALSE),"")</f>
        <v>#N/A</v>
      </c>
      <c r="E3980" s="41" t="str">
        <f t="shared" si="296"/>
        <v/>
      </c>
      <c r="F3980" s="200"/>
      <c r="G3980" s="178" t="e">
        <f>IF($C$1078&gt;0,VLOOKUP($C3980,PATRIMONIALE!$AJ$4:$AN$1003,5,FALSE),"")</f>
        <v>#N/A</v>
      </c>
      <c r="H3980" s="179" t="e">
        <f>IF($C$1078&gt;0,VLOOKUP($C3980,PATRIMONIALE!$AJ$4:$AO$1003,6,FALSE),"")</f>
        <v>#N/A</v>
      </c>
      <c r="I3980" s="187"/>
      <c r="J3980" s="140" t="e">
        <f ca="1">VLOOKUP(D3980,$F$1081:$I$4183,4,FALSE)+COUNTIF(E$1081:E3979,E3980)</f>
        <v>#N/A</v>
      </c>
      <c r="K3980" s="1"/>
      <c r="L3980" s="161" t="e">
        <f>IF($C$1078&gt;0,VLOOKUP($C3980,PATRIMONIALE!$AJ$4:$AP$1003,7,FALSE),"")</f>
        <v>#N/A</v>
      </c>
      <c r="M3980" s="1"/>
      <c r="N3980" s="1"/>
      <c r="O3980" s="1"/>
    </row>
    <row r="3981" spans="1:15" hidden="1">
      <c r="A3981" s="1"/>
      <c r="B3981" s="182" t="e">
        <f t="shared" ca="1" si="295"/>
        <v>#N/A</v>
      </c>
      <c r="C3981" s="500">
        <v>915</v>
      </c>
      <c r="D3981" s="41" t="e">
        <f>IF($C$1078&gt;0,VLOOKUP($C3981,PATRIMONIALE!$AJ$4:$AL$1003,3,FALSE),"")</f>
        <v>#N/A</v>
      </c>
      <c r="E3981" s="41" t="str">
        <f t="shared" si="296"/>
        <v/>
      </c>
      <c r="F3981" s="200"/>
      <c r="G3981" s="178" t="e">
        <f>IF($C$1078&gt;0,VLOOKUP($C3981,PATRIMONIALE!$AJ$4:$AN$1003,5,FALSE),"")</f>
        <v>#N/A</v>
      </c>
      <c r="H3981" s="179" t="e">
        <f>IF($C$1078&gt;0,VLOOKUP($C3981,PATRIMONIALE!$AJ$4:$AO$1003,6,FALSE),"")</f>
        <v>#N/A</v>
      </c>
      <c r="I3981" s="187"/>
      <c r="J3981" s="140" t="e">
        <f ca="1">VLOOKUP(D3981,$F$1081:$I$4183,4,FALSE)+COUNTIF(E$1081:E3980,E3981)</f>
        <v>#N/A</v>
      </c>
      <c r="K3981" s="1"/>
      <c r="L3981" s="161" t="e">
        <f>IF($C$1078&gt;0,VLOOKUP($C3981,PATRIMONIALE!$AJ$4:$AP$1003,7,FALSE),"")</f>
        <v>#N/A</v>
      </c>
      <c r="M3981" s="1"/>
      <c r="N3981" s="1"/>
      <c r="O3981" s="1"/>
    </row>
    <row r="3982" spans="1:15" hidden="1">
      <c r="A3982" s="1"/>
      <c r="B3982" s="182" t="e">
        <f t="shared" ca="1" si="295"/>
        <v>#N/A</v>
      </c>
      <c r="C3982" s="500">
        <v>916</v>
      </c>
      <c r="D3982" s="41" t="e">
        <f>IF($C$1078&gt;0,VLOOKUP($C3982,PATRIMONIALE!$AJ$4:$AL$1003,3,FALSE),"")</f>
        <v>#N/A</v>
      </c>
      <c r="E3982" s="41" t="str">
        <f t="shared" si="296"/>
        <v/>
      </c>
      <c r="F3982" s="200"/>
      <c r="G3982" s="178" t="e">
        <f>IF($C$1078&gt;0,VLOOKUP($C3982,PATRIMONIALE!$AJ$4:$AN$1003,5,FALSE),"")</f>
        <v>#N/A</v>
      </c>
      <c r="H3982" s="179" t="e">
        <f>IF($C$1078&gt;0,VLOOKUP($C3982,PATRIMONIALE!$AJ$4:$AO$1003,6,FALSE),"")</f>
        <v>#N/A</v>
      </c>
      <c r="I3982" s="187"/>
      <c r="J3982" s="140" t="e">
        <f ca="1">VLOOKUP(D3982,$F$1081:$I$4183,4,FALSE)+COUNTIF(E$1081:E3981,E3982)</f>
        <v>#N/A</v>
      </c>
      <c r="K3982" s="1"/>
      <c r="L3982" s="161" t="e">
        <f>IF($C$1078&gt;0,VLOOKUP($C3982,PATRIMONIALE!$AJ$4:$AP$1003,7,FALSE),"")</f>
        <v>#N/A</v>
      </c>
      <c r="M3982" s="1"/>
      <c r="N3982" s="1"/>
      <c r="O3982" s="1"/>
    </row>
    <row r="3983" spans="1:15" hidden="1">
      <c r="A3983" s="1"/>
      <c r="B3983" s="182" t="e">
        <f t="shared" ca="1" si="295"/>
        <v>#N/A</v>
      </c>
      <c r="C3983" s="500">
        <v>917</v>
      </c>
      <c r="D3983" s="41" t="e">
        <f>IF($C$1078&gt;0,VLOOKUP($C3983,PATRIMONIALE!$AJ$4:$AL$1003,3,FALSE),"")</f>
        <v>#N/A</v>
      </c>
      <c r="E3983" s="41" t="str">
        <f t="shared" si="296"/>
        <v/>
      </c>
      <c r="F3983" s="200"/>
      <c r="G3983" s="178" t="e">
        <f>IF($C$1078&gt;0,VLOOKUP($C3983,PATRIMONIALE!$AJ$4:$AN$1003,5,FALSE),"")</f>
        <v>#N/A</v>
      </c>
      <c r="H3983" s="179" t="e">
        <f>IF($C$1078&gt;0,VLOOKUP($C3983,PATRIMONIALE!$AJ$4:$AO$1003,6,FALSE),"")</f>
        <v>#N/A</v>
      </c>
      <c r="I3983" s="187"/>
      <c r="J3983" s="140" t="e">
        <f ca="1">VLOOKUP(D3983,$F$1081:$I$4183,4,FALSE)+COUNTIF(E$1081:E3982,E3983)</f>
        <v>#N/A</v>
      </c>
      <c r="K3983" s="1"/>
      <c r="L3983" s="161" t="e">
        <f>IF($C$1078&gt;0,VLOOKUP($C3983,PATRIMONIALE!$AJ$4:$AP$1003,7,FALSE),"")</f>
        <v>#N/A</v>
      </c>
      <c r="M3983" s="1"/>
      <c r="N3983" s="1"/>
      <c r="O3983" s="1"/>
    </row>
    <row r="3984" spans="1:15" hidden="1">
      <c r="A3984" s="1"/>
      <c r="B3984" s="182" t="e">
        <f t="shared" ca="1" si="295"/>
        <v>#N/A</v>
      </c>
      <c r="C3984" s="500">
        <v>918</v>
      </c>
      <c r="D3984" s="41" t="e">
        <f>IF($C$1078&gt;0,VLOOKUP($C3984,PATRIMONIALE!$AJ$4:$AL$1003,3,FALSE),"")</f>
        <v>#N/A</v>
      </c>
      <c r="E3984" s="41" t="str">
        <f t="shared" si="296"/>
        <v/>
      </c>
      <c r="F3984" s="200"/>
      <c r="G3984" s="178" t="e">
        <f>IF($C$1078&gt;0,VLOOKUP($C3984,PATRIMONIALE!$AJ$4:$AN$1003,5,FALSE),"")</f>
        <v>#N/A</v>
      </c>
      <c r="H3984" s="179" t="e">
        <f>IF($C$1078&gt;0,VLOOKUP($C3984,PATRIMONIALE!$AJ$4:$AO$1003,6,FALSE),"")</f>
        <v>#N/A</v>
      </c>
      <c r="I3984" s="187"/>
      <c r="J3984" s="140" t="e">
        <f ca="1">VLOOKUP(D3984,$F$1081:$I$4183,4,FALSE)+COUNTIF(E$1081:E3983,E3984)</f>
        <v>#N/A</v>
      </c>
      <c r="K3984" s="1"/>
      <c r="L3984" s="161" t="e">
        <f>IF($C$1078&gt;0,VLOOKUP($C3984,PATRIMONIALE!$AJ$4:$AP$1003,7,FALSE),"")</f>
        <v>#N/A</v>
      </c>
      <c r="M3984" s="1"/>
      <c r="N3984" s="1"/>
      <c r="O3984" s="1"/>
    </row>
    <row r="3985" spans="1:15" hidden="1">
      <c r="A3985" s="1"/>
      <c r="B3985" s="182" t="e">
        <f t="shared" ca="1" si="295"/>
        <v>#N/A</v>
      </c>
      <c r="C3985" s="500">
        <v>919</v>
      </c>
      <c r="D3985" s="41" t="e">
        <f>IF($C$1078&gt;0,VLOOKUP($C3985,PATRIMONIALE!$AJ$4:$AL$1003,3,FALSE),"")</f>
        <v>#N/A</v>
      </c>
      <c r="E3985" s="41" t="str">
        <f t="shared" si="296"/>
        <v/>
      </c>
      <c r="F3985" s="200"/>
      <c r="G3985" s="178" t="e">
        <f>IF($C$1078&gt;0,VLOOKUP($C3985,PATRIMONIALE!$AJ$4:$AN$1003,5,FALSE),"")</f>
        <v>#N/A</v>
      </c>
      <c r="H3985" s="179" t="e">
        <f>IF($C$1078&gt;0,VLOOKUP($C3985,PATRIMONIALE!$AJ$4:$AO$1003,6,FALSE),"")</f>
        <v>#N/A</v>
      </c>
      <c r="I3985" s="187"/>
      <c r="J3985" s="140" t="e">
        <f ca="1">VLOOKUP(D3985,$F$1081:$I$4183,4,FALSE)+COUNTIF(E$1081:E3984,E3985)</f>
        <v>#N/A</v>
      </c>
      <c r="K3985" s="1"/>
      <c r="L3985" s="161" t="e">
        <f>IF($C$1078&gt;0,VLOOKUP($C3985,PATRIMONIALE!$AJ$4:$AP$1003,7,FALSE),"")</f>
        <v>#N/A</v>
      </c>
      <c r="M3985" s="1"/>
      <c r="N3985" s="1"/>
      <c r="O3985" s="1"/>
    </row>
    <row r="3986" spans="1:15" hidden="1">
      <c r="A3986" s="1"/>
      <c r="B3986" s="182" t="e">
        <f t="shared" ca="1" si="295"/>
        <v>#N/A</v>
      </c>
      <c r="C3986" s="500">
        <v>920</v>
      </c>
      <c r="D3986" s="41" t="e">
        <f>IF($C$1078&gt;0,VLOOKUP($C3986,PATRIMONIALE!$AJ$4:$AL$1003,3,FALSE),"")</f>
        <v>#N/A</v>
      </c>
      <c r="E3986" s="41" t="str">
        <f t="shared" si="296"/>
        <v/>
      </c>
      <c r="F3986" s="200"/>
      <c r="G3986" s="178" t="e">
        <f>IF($C$1078&gt;0,VLOOKUP($C3986,PATRIMONIALE!$AJ$4:$AN$1003,5,FALSE),"")</f>
        <v>#N/A</v>
      </c>
      <c r="H3986" s="179" t="e">
        <f>IF($C$1078&gt;0,VLOOKUP($C3986,PATRIMONIALE!$AJ$4:$AO$1003,6,FALSE),"")</f>
        <v>#N/A</v>
      </c>
      <c r="I3986" s="187"/>
      <c r="J3986" s="140" t="e">
        <f ca="1">VLOOKUP(D3986,$F$1081:$I$4183,4,FALSE)+COUNTIF(E$1081:E3985,E3986)</f>
        <v>#N/A</v>
      </c>
      <c r="K3986" s="1"/>
      <c r="L3986" s="161" t="e">
        <f>IF($C$1078&gt;0,VLOOKUP($C3986,PATRIMONIALE!$AJ$4:$AP$1003,7,FALSE),"")</f>
        <v>#N/A</v>
      </c>
      <c r="M3986" s="1"/>
      <c r="N3986" s="1"/>
      <c r="O3986" s="1"/>
    </row>
    <row r="3987" spans="1:15" hidden="1">
      <c r="A3987" s="1"/>
      <c r="B3987" s="182" t="e">
        <f t="shared" ca="1" si="295"/>
        <v>#N/A</v>
      </c>
      <c r="C3987" s="500">
        <v>921</v>
      </c>
      <c r="D3987" s="41" t="e">
        <f>IF($C$1078&gt;0,VLOOKUP($C3987,PATRIMONIALE!$AJ$4:$AL$1003,3,FALSE),"")</f>
        <v>#N/A</v>
      </c>
      <c r="E3987" s="41" t="str">
        <f t="shared" si="296"/>
        <v/>
      </c>
      <c r="F3987" s="200"/>
      <c r="G3987" s="178" t="e">
        <f>IF($C$1078&gt;0,VLOOKUP($C3987,PATRIMONIALE!$AJ$4:$AN$1003,5,FALSE),"")</f>
        <v>#N/A</v>
      </c>
      <c r="H3987" s="179" t="e">
        <f>IF($C$1078&gt;0,VLOOKUP($C3987,PATRIMONIALE!$AJ$4:$AO$1003,6,FALSE),"")</f>
        <v>#N/A</v>
      </c>
      <c r="I3987" s="187"/>
      <c r="J3987" s="140" t="e">
        <f ca="1">VLOOKUP(D3987,$F$1081:$I$4183,4,FALSE)+COUNTIF(E$1081:E3986,E3987)</f>
        <v>#N/A</v>
      </c>
      <c r="K3987" s="1"/>
      <c r="L3987" s="161" t="e">
        <f>IF($C$1078&gt;0,VLOOKUP($C3987,PATRIMONIALE!$AJ$4:$AP$1003,7,FALSE),"")</f>
        <v>#N/A</v>
      </c>
      <c r="M3987" s="1"/>
      <c r="N3987" s="1"/>
      <c r="O3987" s="1"/>
    </row>
    <row r="3988" spans="1:15" hidden="1">
      <c r="A3988" s="1"/>
      <c r="B3988" s="182" t="e">
        <f t="shared" ca="1" si="295"/>
        <v>#N/A</v>
      </c>
      <c r="C3988" s="500">
        <v>922</v>
      </c>
      <c r="D3988" s="41" t="e">
        <f>IF($C$1078&gt;0,VLOOKUP($C3988,PATRIMONIALE!$AJ$4:$AL$1003,3,FALSE),"")</f>
        <v>#N/A</v>
      </c>
      <c r="E3988" s="41" t="str">
        <f t="shared" si="296"/>
        <v/>
      </c>
      <c r="F3988" s="200"/>
      <c r="G3988" s="178" t="e">
        <f>IF($C$1078&gt;0,VLOOKUP($C3988,PATRIMONIALE!$AJ$4:$AN$1003,5,FALSE),"")</f>
        <v>#N/A</v>
      </c>
      <c r="H3988" s="179" t="e">
        <f>IF($C$1078&gt;0,VLOOKUP($C3988,PATRIMONIALE!$AJ$4:$AO$1003,6,FALSE),"")</f>
        <v>#N/A</v>
      </c>
      <c r="I3988" s="187"/>
      <c r="J3988" s="140" t="e">
        <f ca="1">VLOOKUP(D3988,$F$1081:$I$4183,4,FALSE)+COUNTIF(E$1081:E3987,E3988)</f>
        <v>#N/A</v>
      </c>
      <c r="K3988" s="1"/>
      <c r="L3988" s="161" t="e">
        <f>IF($C$1078&gt;0,VLOOKUP($C3988,PATRIMONIALE!$AJ$4:$AP$1003,7,FALSE),"")</f>
        <v>#N/A</v>
      </c>
      <c r="M3988" s="1"/>
      <c r="N3988" s="1"/>
      <c r="O3988" s="1"/>
    </row>
    <row r="3989" spans="1:15" hidden="1">
      <c r="A3989" s="1"/>
      <c r="B3989" s="182" t="e">
        <f t="shared" ca="1" si="295"/>
        <v>#N/A</v>
      </c>
      <c r="C3989" s="500">
        <v>923</v>
      </c>
      <c r="D3989" s="41" t="e">
        <f>IF($C$1078&gt;0,VLOOKUP($C3989,PATRIMONIALE!$AJ$4:$AL$1003,3,FALSE),"")</f>
        <v>#N/A</v>
      </c>
      <c r="E3989" s="41" t="str">
        <f t="shared" si="296"/>
        <v/>
      </c>
      <c r="F3989" s="200"/>
      <c r="G3989" s="178" t="e">
        <f>IF($C$1078&gt;0,VLOOKUP($C3989,PATRIMONIALE!$AJ$4:$AN$1003,5,FALSE),"")</f>
        <v>#N/A</v>
      </c>
      <c r="H3989" s="179" t="e">
        <f>IF($C$1078&gt;0,VLOOKUP($C3989,PATRIMONIALE!$AJ$4:$AO$1003,6,FALSE),"")</f>
        <v>#N/A</v>
      </c>
      <c r="I3989" s="187"/>
      <c r="J3989" s="140" t="e">
        <f ca="1">VLOOKUP(D3989,$F$1081:$I$4183,4,FALSE)+COUNTIF(E$1081:E3988,E3989)</f>
        <v>#N/A</v>
      </c>
      <c r="K3989" s="1"/>
      <c r="L3989" s="161" t="e">
        <f>IF($C$1078&gt;0,VLOOKUP($C3989,PATRIMONIALE!$AJ$4:$AP$1003,7,FALSE),"")</f>
        <v>#N/A</v>
      </c>
      <c r="M3989" s="1"/>
      <c r="N3989" s="1"/>
      <c r="O3989" s="1"/>
    </row>
    <row r="3990" spans="1:15" hidden="1">
      <c r="A3990" s="1"/>
      <c r="B3990" s="182" t="e">
        <f t="shared" ca="1" si="295"/>
        <v>#N/A</v>
      </c>
      <c r="C3990" s="500">
        <v>924</v>
      </c>
      <c r="D3990" s="41" t="e">
        <f>IF($C$1078&gt;0,VLOOKUP($C3990,PATRIMONIALE!$AJ$4:$AL$1003,3,FALSE),"")</f>
        <v>#N/A</v>
      </c>
      <c r="E3990" s="41" t="str">
        <f t="shared" si="296"/>
        <v/>
      </c>
      <c r="F3990" s="200"/>
      <c r="G3990" s="178" t="e">
        <f>IF($C$1078&gt;0,VLOOKUP($C3990,PATRIMONIALE!$AJ$4:$AN$1003,5,FALSE),"")</f>
        <v>#N/A</v>
      </c>
      <c r="H3990" s="179" t="e">
        <f>IF($C$1078&gt;0,VLOOKUP($C3990,PATRIMONIALE!$AJ$4:$AO$1003,6,FALSE),"")</f>
        <v>#N/A</v>
      </c>
      <c r="I3990" s="187"/>
      <c r="J3990" s="140" t="e">
        <f ca="1">VLOOKUP(D3990,$F$1081:$I$4183,4,FALSE)+COUNTIF(E$1081:E3989,E3990)</f>
        <v>#N/A</v>
      </c>
      <c r="K3990" s="1"/>
      <c r="L3990" s="161" t="e">
        <f>IF($C$1078&gt;0,VLOOKUP($C3990,PATRIMONIALE!$AJ$4:$AP$1003,7,FALSE),"")</f>
        <v>#N/A</v>
      </c>
      <c r="M3990" s="1"/>
      <c r="N3990" s="1"/>
      <c r="O3990" s="1"/>
    </row>
    <row r="3991" spans="1:15" hidden="1">
      <c r="A3991" s="1"/>
      <c r="B3991" s="182" t="e">
        <f t="shared" ca="1" si="295"/>
        <v>#N/A</v>
      </c>
      <c r="C3991" s="500">
        <v>925</v>
      </c>
      <c r="D3991" s="41" t="e">
        <f>IF($C$1078&gt;0,VLOOKUP($C3991,PATRIMONIALE!$AJ$4:$AL$1003,3,FALSE),"")</f>
        <v>#N/A</v>
      </c>
      <c r="E3991" s="41" t="str">
        <f t="shared" si="296"/>
        <v/>
      </c>
      <c r="F3991" s="200"/>
      <c r="G3991" s="178" t="e">
        <f>IF($C$1078&gt;0,VLOOKUP($C3991,PATRIMONIALE!$AJ$4:$AN$1003,5,FALSE),"")</f>
        <v>#N/A</v>
      </c>
      <c r="H3991" s="179" t="e">
        <f>IF($C$1078&gt;0,VLOOKUP($C3991,PATRIMONIALE!$AJ$4:$AO$1003,6,FALSE),"")</f>
        <v>#N/A</v>
      </c>
      <c r="I3991" s="187"/>
      <c r="J3991" s="140" t="e">
        <f ca="1">VLOOKUP(D3991,$F$1081:$I$4183,4,FALSE)+COUNTIF(E$1081:E3990,E3991)</f>
        <v>#N/A</v>
      </c>
      <c r="K3991" s="1"/>
      <c r="L3991" s="161" t="e">
        <f>IF($C$1078&gt;0,VLOOKUP($C3991,PATRIMONIALE!$AJ$4:$AP$1003,7,FALSE),"")</f>
        <v>#N/A</v>
      </c>
      <c r="M3991" s="1"/>
      <c r="N3991" s="1"/>
      <c r="O3991" s="1"/>
    </row>
    <row r="3992" spans="1:15" hidden="1">
      <c r="A3992" s="1"/>
      <c r="B3992" s="182" t="e">
        <f t="shared" ca="1" si="295"/>
        <v>#N/A</v>
      </c>
      <c r="C3992" s="500">
        <v>926</v>
      </c>
      <c r="D3992" s="41" t="e">
        <f>IF($C$1078&gt;0,VLOOKUP($C3992,PATRIMONIALE!$AJ$4:$AL$1003,3,FALSE),"")</f>
        <v>#N/A</v>
      </c>
      <c r="E3992" s="41" t="str">
        <f t="shared" si="296"/>
        <v/>
      </c>
      <c r="F3992" s="200"/>
      <c r="G3992" s="178" t="e">
        <f>IF($C$1078&gt;0,VLOOKUP($C3992,PATRIMONIALE!$AJ$4:$AN$1003,5,FALSE),"")</f>
        <v>#N/A</v>
      </c>
      <c r="H3992" s="179" t="e">
        <f>IF($C$1078&gt;0,VLOOKUP($C3992,PATRIMONIALE!$AJ$4:$AO$1003,6,FALSE),"")</f>
        <v>#N/A</v>
      </c>
      <c r="I3992" s="187"/>
      <c r="J3992" s="140" t="e">
        <f ca="1">VLOOKUP(D3992,$F$1081:$I$4183,4,FALSE)+COUNTIF(E$1081:E3991,E3992)</f>
        <v>#N/A</v>
      </c>
      <c r="K3992" s="1"/>
      <c r="L3992" s="161" t="e">
        <f>IF($C$1078&gt;0,VLOOKUP($C3992,PATRIMONIALE!$AJ$4:$AP$1003,7,FALSE),"")</f>
        <v>#N/A</v>
      </c>
      <c r="M3992" s="1"/>
      <c r="N3992" s="1"/>
      <c r="O3992" s="1"/>
    </row>
    <row r="3993" spans="1:15" hidden="1">
      <c r="A3993" s="1"/>
      <c r="B3993" s="182" t="e">
        <f t="shared" ca="1" si="295"/>
        <v>#N/A</v>
      </c>
      <c r="C3993" s="500">
        <v>927</v>
      </c>
      <c r="D3993" s="41" t="e">
        <f>IF($C$1078&gt;0,VLOOKUP($C3993,PATRIMONIALE!$AJ$4:$AL$1003,3,FALSE),"")</f>
        <v>#N/A</v>
      </c>
      <c r="E3993" s="41" t="str">
        <f t="shared" si="296"/>
        <v/>
      </c>
      <c r="F3993" s="200"/>
      <c r="G3993" s="178" t="e">
        <f>IF($C$1078&gt;0,VLOOKUP($C3993,PATRIMONIALE!$AJ$4:$AN$1003,5,FALSE),"")</f>
        <v>#N/A</v>
      </c>
      <c r="H3993" s="179" t="e">
        <f>IF($C$1078&gt;0,VLOOKUP($C3993,PATRIMONIALE!$AJ$4:$AO$1003,6,FALSE),"")</f>
        <v>#N/A</v>
      </c>
      <c r="I3993" s="187"/>
      <c r="J3993" s="140" t="e">
        <f ca="1">VLOOKUP(D3993,$F$1081:$I$4183,4,FALSE)+COUNTIF(E$1081:E3992,E3993)</f>
        <v>#N/A</v>
      </c>
      <c r="K3993" s="1"/>
      <c r="L3993" s="161" t="e">
        <f>IF($C$1078&gt;0,VLOOKUP($C3993,PATRIMONIALE!$AJ$4:$AP$1003,7,FALSE),"")</f>
        <v>#N/A</v>
      </c>
      <c r="M3993" s="1"/>
      <c r="N3993" s="1"/>
      <c r="O3993" s="1"/>
    </row>
    <row r="3994" spans="1:15" hidden="1">
      <c r="A3994" s="1"/>
      <c r="B3994" s="182" t="e">
        <f t="shared" ca="1" si="295"/>
        <v>#N/A</v>
      </c>
      <c r="C3994" s="500">
        <v>928</v>
      </c>
      <c r="D3994" s="41" t="e">
        <f>IF($C$1078&gt;0,VLOOKUP($C3994,PATRIMONIALE!$AJ$4:$AL$1003,3,FALSE),"")</f>
        <v>#N/A</v>
      </c>
      <c r="E3994" s="41" t="str">
        <f t="shared" si="296"/>
        <v/>
      </c>
      <c r="F3994" s="200"/>
      <c r="G3994" s="178" t="e">
        <f>IF($C$1078&gt;0,VLOOKUP($C3994,PATRIMONIALE!$AJ$4:$AN$1003,5,FALSE),"")</f>
        <v>#N/A</v>
      </c>
      <c r="H3994" s="179" t="e">
        <f>IF($C$1078&gt;0,VLOOKUP($C3994,PATRIMONIALE!$AJ$4:$AO$1003,6,FALSE),"")</f>
        <v>#N/A</v>
      </c>
      <c r="I3994" s="187"/>
      <c r="J3994" s="140" t="e">
        <f ca="1">VLOOKUP(D3994,$F$1081:$I$4183,4,FALSE)+COUNTIF(E$1081:E3993,E3994)</f>
        <v>#N/A</v>
      </c>
      <c r="K3994" s="1"/>
      <c r="L3994" s="161" t="e">
        <f>IF($C$1078&gt;0,VLOOKUP($C3994,PATRIMONIALE!$AJ$4:$AP$1003,7,FALSE),"")</f>
        <v>#N/A</v>
      </c>
      <c r="M3994" s="1"/>
      <c r="N3994" s="1"/>
      <c r="O3994" s="1"/>
    </row>
    <row r="3995" spans="1:15" hidden="1">
      <c r="A3995" s="1"/>
      <c r="B3995" s="182" t="e">
        <f t="shared" ca="1" si="295"/>
        <v>#N/A</v>
      </c>
      <c r="C3995" s="500">
        <v>929</v>
      </c>
      <c r="D3995" s="41" t="e">
        <f>IF($C$1078&gt;0,VLOOKUP($C3995,PATRIMONIALE!$AJ$4:$AL$1003,3,FALSE),"")</f>
        <v>#N/A</v>
      </c>
      <c r="E3995" s="41" t="str">
        <f t="shared" si="296"/>
        <v/>
      </c>
      <c r="F3995" s="200"/>
      <c r="G3995" s="178" t="e">
        <f>IF($C$1078&gt;0,VLOOKUP($C3995,PATRIMONIALE!$AJ$4:$AN$1003,5,FALSE),"")</f>
        <v>#N/A</v>
      </c>
      <c r="H3995" s="179" t="e">
        <f>IF($C$1078&gt;0,VLOOKUP($C3995,PATRIMONIALE!$AJ$4:$AO$1003,6,FALSE),"")</f>
        <v>#N/A</v>
      </c>
      <c r="I3995" s="187"/>
      <c r="J3995" s="140" t="e">
        <f ca="1">VLOOKUP(D3995,$F$1081:$I$4183,4,FALSE)+COUNTIF(E$1081:E3994,E3995)</f>
        <v>#N/A</v>
      </c>
      <c r="K3995" s="1"/>
      <c r="L3995" s="161" t="e">
        <f>IF($C$1078&gt;0,VLOOKUP($C3995,PATRIMONIALE!$AJ$4:$AP$1003,7,FALSE),"")</f>
        <v>#N/A</v>
      </c>
      <c r="M3995" s="1"/>
      <c r="N3995" s="1"/>
      <c r="O3995" s="1"/>
    </row>
    <row r="3996" spans="1:15" hidden="1">
      <c r="A3996" s="1"/>
      <c r="B3996" s="182" t="e">
        <f t="shared" ca="1" si="295"/>
        <v>#N/A</v>
      </c>
      <c r="C3996" s="500">
        <v>930</v>
      </c>
      <c r="D3996" s="41" t="e">
        <f>IF($C$1078&gt;0,VLOOKUP($C3996,PATRIMONIALE!$AJ$4:$AL$1003,3,FALSE),"")</f>
        <v>#N/A</v>
      </c>
      <c r="E3996" s="41" t="str">
        <f t="shared" si="296"/>
        <v/>
      </c>
      <c r="F3996" s="200"/>
      <c r="G3996" s="178" t="e">
        <f>IF($C$1078&gt;0,VLOOKUP($C3996,PATRIMONIALE!$AJ$4:$AN$1003,5,FALSE),"")</f>
        <v>#N/A</v>
      </c>
      <c r="H3996" s="179" t="e">
        <f>IF($C$1078&gt;0,VLOOKUP($C3996,PATRIMONIALE!$AJ$4:$AO$1003,6,FALSE),"")</f>
        <v>#N/A</v>
      </c>
      <c r="I3996" s="187"/>
      <c r="J3996" s="140" t="e">
        <f ca="1">VLOOKUP(D3996,$F$1081:$I$4183,4,FALSE)+COUNTIF(E$1081:E3995,E3996)</f>
        <v>#N/A</v>
      </c>
      <c r="K3996" s="1"/>
      <c r="L3996" s="161" t="e">
        <f>IF($C$1078&gt;0,VLOOKUP($C3996,PATRIMONIALE!$AJ$4:$AP$1003,7,FALSE),"")</f>
        <v>#N/A</v>
      </c>
      <c r="M3996" s="1"/>
      <c r="N3996" s="1"/>
      <c r="O3996" s="1"/>
    </row>
    <row r="3997" spans="1:15" hidden="1">
      <c r="A3997" s="1"/>
      <c r="B3997" s="182" t="e">
        <f t="shared" ca="1" si="295"/>
        <v>#N/A</v>
      </c>
      <c r="C3997" s="500">
        <v>931</v>
      </c>
      <c r="D3997" s="41" t="e">
        <f>IF($C$1078&gt;0,VLOOKUP($C3997,PATRIMONIALE!$AJ$4:$AL$1003,3,FALSE),"")</f>
        <v>#N/A</v>
      </c>
      <c r="E3997" s="41" t="str">
        <f t="shared" si="296"/>
        <v/>
      </c>
      <c r="F3997" s="200"/>
      <c r="G3997" s="178" t="e">
        <f>IF($C$1078&gt;0,VLOOKUP($C3997,PATRIMONIALE!$AJ$4:$AN$1003,5,FALSE),"")</f>
        <v>#N/A</v>
      </c>
      <c r="H3997" s="179" t="e">
        <f>IF($C$1078&gt;0,VLOOKUP($C3997,PATRIMONIALE!$AJ$4:$AO$1003,6,FALSE),"")</f>
        <v>#N/A</v>
      </c>
      <c r="I3997" s="187"/>
      <c r="J3997" s="140" t="e">
        <f ca="1">VLOOKUP(D3997,$F$1081:$I$4183,4,FALSE)+COUNTIF(E$1081:E3996,E3997)</f>
        <v>#N/A</v>
      </c>
      <c r="K3997" s="1"/>
      <c r="L3997" s="161" t="e">
        <f>IF($C$1078&gt;0,VLOOKUP($C3997,PATRIMONIALE!$AJ$4:$AP$1003,7,FALSE),"")</f>
        <v>#N/A</v>
      </c>
      <c r="M3997" s="1"/>
      <c r="N3997" s="1"/>
      <c r="O3997" s="1"/>
    </row>
    <row r="3998" spans="1:15" hidden="1">
      <c r="A3998" s="1"/>
      <c r="B3998" s="182" t="e">
        <f t="shared" ca="1" si="295"/>
        <v>#N/A</v>
      </c>
      <c r="C3998" s="500">
        <v>932</v>
      </c>
      <c r="D3998" s="41" t="e">
        <f>IF($C$1078&gt;0,VLOOKUP($C3998,PATRIMONIALE!$AJ$4:$AL$1003,3,FALSE),"")</f>
        <v>#N/A</v>
      </c>
      <c r="E3998" s="41" t="str">
        <f t="shared" si="296"/>
        <v/>
      </c>
      <c r="F3998" s="200"/>
      <c r="G3998" s="178" t="e">
        <f>IF($C$1078&gt;0,VLOOKUP($C3998,PATRIMONIALE!$AJ$4:$AN$1003,5,FALSE),"")</f>
        <v>#N/A</v>
      </c>
      <c r="H3998" s="179" t="e">
        <f>IF($C$1078&gt;0,VLOOKUP($C3998,PATRIMONIALE!$AJ$4:$AO$1003,6,FALSE),"")</f>
        <v>#N/A</v>
      </c>
      <c r="I3998" s="187"/>
      <c r="J3998" s="140" t="e">
        <f ca="1">VLOOKUP(D3998,$F$1081:$I$4183,4,FALSE)+COUNTIF(E$1081:E3997,E3998)</f>
        <v>#N/A</v>
      </c>
      <c r="K3998" s="1"/>
      <c r="L3998" s="161" t="e">
        <f>IF($C$1078&gt;0,VLOOKUP($C3998,PATRIMONIALE!$AJ$4:$AP$1003,7,FALSE),"")</f>
        <v>#N/A</v>
      </c>
      <c r="M3998" s="1"/>
      <c r="N3998" s="1"/>
      <c r="O3998" s="1"/>
    </row>
    <row r="3999" spans="1:15" hidden="1">
      <c r="A3999" s="1"/>
      <c r="B3999" s="182" t="e">
        <f t="shared" ca="1" si="295"/>
        <v>#N/A</v>
      </c>
      <c r="C3999" s="500">
        <v>933</v>
      </c>
      <c r="D3999" s="41" t="e">
        <f>IF($C$1078&gt;0,VLOOKUP($C3999,PATRIMONIALE!$AJ$4:$AL$1003,3,FALSE),"")</f>
        <v>#N/A</v>
      </c>
      <c r="E3999" s="41" t="str">
        <f t="shared" si="296"/>
        <v/>
      </c>
      <c r="F3999" s="200"/>
      <c r="G3999" s="178" t="e">
        <f>IF($C$1078&gt;0,VLOOKUP($C3999,PATRIMONIALE!$AJ$4:$AN$1003,5,FALSE),"")</f>
        <v>#N/A</v>
      </c>
      <c r="H3999" s="179" t="e">
        <f>IF($C$1078&gt;0,VLOOKUP($C3999,PATRIMONIALE!$AJ$4:$AO$1003,6,FALSE),"")</f>
        <v>#N/A</v>
      </c>
      <c r="I3999" s="187"/>
      <c r="J3999" s="140" t="e">
        <f ca="1">VLOOKUP(D3999,$F$1081:$I$4183,4,FALSE)+COUNTIF(E$1081:E3998,E3999)</f>
        <v>#N/A</v>
      </c>
      <c r="K3999" s="1"/>
      <c r="L3999" s="161" t="e">
        <f>IF($C$1078&gt;0,VLOOKUP($C3999,PATRIMONIALE!$AJ$4:$AP$1003,7,FALSE),"")</f>
        <v>#N/A</v>
      </c>
      <c r="M3999" s="1"/>
      <c r="N3999" s="1"/>
      <c r="O3999" s="1"/>
    </row>
    <row r="4000" spans="1:15" hidden="1">
      <c r="A4000" s="1"/>
      <c r="B4000" s="182" t="e">
        <f t="shared" ca="1" si="295"/>
        <v>#N/A</v>
      </c>
      <c r="C4000" s="500">
        <v>934</v>
      </c>
      <c r="D4000" s="41" t="e">
        <f>IF($C$1078&gt;0,VLOOKUP($C4000,PATRIMONIALE!$AJ$4:$AL$1003,3,FALSE),"")</f>
        <v>#N/A</v>
      </c>
      <c r="E4000" s="41" t="str">
        <f t="shared" si="296"/>
        <v/>
      </c>
      <c r="F4000" s="200"/>
      <c r="G4000" s="178" t="e">
        <f>IF($C$1078&gt;0,VLOOKUP($C4000,PATRIMONIALE!$AJ$4:$AN$1003,5,FALSE),"")</f>
        <v>#N/A</v>
      </c>
      <c r="H4000" s="179" t="e">
        <f>IF($C$1078&gt;0,VLOOKUP($C4000,PATRIMONIALE!$AJ$4:$AO$1003,6,FALSE),"")</f>
        <v>#N/A</v>
      </c>
      <c r="I4000" s="187"/>
      <c r="J4000" s="140" t="e">
        <f ca="1">VLOOKUP(D4000,$F$1081:$I$4183,4,FALSE)+COUNTIF(E$1081:E3999,E4000)</f>
        <v>#N/A</v>
      </c>
      <c r="K4000" s="1"/>
      <c r="L4000" s="161" t="e">
        <f>IF($C$1078&gt;0,VLOOKUP($C4000,PATRIMONIALE!$AJ$4:$AP$1003,7,FALSE),"")</f>
        <v>#N/A</v>
      </c>
      <c r="M4000" s="1"/>
      <c r="N4000" s="1"/>
      <c r="O4000" s="1"/>
    </row>
    <row r="4001" spans="1:15" hidden="1">
      <c r="A4001" s="1"/>
      <c r="B4001" s="182" t="e">
        <f t="shared" ca="1" si="295"/>
        <v>#N/A</v>
      </c>
      <c r="C4001" s="500">
        <v>935</v>
      </c>
      <c r="D4001" s="41" t="e">
        <f>IF($C$1078&gt;0,VLOOKUP($C4001,PATRIMONIALE!$AJ$4:$AL$1003,3,FALSE),"")</f>
        <v>#N/A</v>
      </c>
      <c r="E4001" s="41" t="str">
        <f t="shared" si="296"/>
        <v/>
      </c>
      <c r="F4001" s="200"/>
      <c r="G4001" s="178" t="e">
        <f>IF($C$1078&gt;0,VLOOKUP($C4001,PATRIMONIALE!$AJ$4:$AN$1003,5,FALSE),"")</f>
        <v>#N/A</v>
      </c>
      <c r="H4001" s="179" t="e">
        <f>IF($C$1078&gt;0,VLOOKUP($C4001,PATRIMONIALE!$AJ$4:$AO$1003,6,FALSE),"")</f>
        <v>#N/A</v>
      </c>
      <c r="I4001" s="187"/>
      <c r="J4001" s="140" t="e">
        <f ca="1">VLOOKUP(D4001,$F$1081:$I$4183,4,FALSE)+COUNTIF(E$1081:E4000,E4001)</f>
        <v>#N/A</v>
      </c>
      <c r="K4001" s="1"/>
      <c r="L4001" s="161" t="e">
        <f>IF($C$1078&gt;0,VLOOKUP($C4001,PATRIMONIALE!$AJ$4:$AP$1003,7,FALSE),"")</f>
        <v>#N/A</v>
      </c>
      <c r="M4001" s="1"/>
      <c r="N4001" s="1"/>
      <c r="O4001" s="1"/>
    </row>
    <row r="4002" spans="1:15" hidden="1">
      <c r="A4002" s="1"/>
      <c r="B4002" s="182" t="e">
        <f t="shared" ca="1" si="295"/>
        <v>#N/A</v>
      </c>
      <c r="C4002" s="500">
        <v>936</v>
      </c>
      <c r="D4002" s="41" t="e">
        <f>IF($C$1078&gt;0,VLOOKUP($C4002,PATRIMONIALE!$AJ$4:$AL$1003,3,FALSE),"")</f>
        <v>#N/A</v>
      </c>
      <c r="E4002" s="41" t="str">
        <f t="shared" si="296"/>
        <v/>
      </c>
      <c r="F4002" s="200"/>
      <c r="G4002" s="178" t="e">
        <f>IF($C$1078&gt;0,VLOOKUP($C4002,PATRIMONIALE!$AJ$4:$AN$1003,5,FALSE),"")</f>
        <v>#N/A</v>
      </c>
      <c r="H4002" s="179" t="e">
        <f>IF($C$1078&gt;0,VLOOKUP($C4002,PATRIMONIALE!$AJ$4:$AO$1003,6,FALSE),"")</f>
        <v>#N/A</v>
      </c>
      <c r="I4002" s="187"/>
      <c r="J4002" s="140" t="e">
        <f ca="1">VLOOKUP(D4002,$F$1081:$I$4183,4,FALSE)+COUNTIF(E$1081:E4001,E4002)</f>
        <v>#N/A</v>
      </c>
      <c r="K4002" s="1"/>
      <c r="L4002" s="161" t="e">
        <f>IF($C$1078&gt;0,VLOOKUP($C4002,PATRIMONIALE!$AJ$4:$AP$1003,7,FALSE),"")</f>
        <v>#N/A</v>
      </c>
      <c r="M4002" s="1"/>
      <c r="N4002" s="1"/>
      <c r="O4002" s="1"/>
    </row>
    <row r="4003" spans="1:15" hidden="1">
      <c r="A4003" s="1"/>
      <c r="B4003" s="182" t="e">
        <f t="shared" ca="1" si="295"/>
        <v>#N/A</v>
      </c>
      <c r="C4003" s="500">
        <v>937</v>
      </c>
      <c r="D4003" s="41" t="e">
        <f>IF($C$1078&gt;0,VLOOKUP($C4003,PATRIMONIALE!$AJ$4:$AL$1003,3,FALSE),"")</f>
        <v>#N/A</v>
      </c>
      <c r="E4003" s="41" t="str">
        <f t="shared" si="296"/>
        <v/>
      </c>
      <c r="F4003" s="200"/>
      <c r="G4003" s="178" t="e">
        <f>IF($C$1078&gt;0,VLOOKUP($C4003,PATRIMONIALE!$AJ$4:$AN$1003,5,FALSE),"")</f>
        <v>#N/A</v>
      </c>
      <c r="H4003" s="179" t="e">
        <f>IF($C$1078&gt;0,VLOOKUP($C4003,PATRIMONIALE!$AJ$4:$AO$1003,6,FALSE),"")</f>
        <v>#N/A</v>
      </c>
      <c r="I4003" s="187"/>
      <c r="J4003" s="140" t="e">
        <f ca="1">VLOOKUP(D4003,$F$1081:$I$4183,4,FALSE)+COUNTIF(E$1081:E4002,E4003)</f>
        <v>#N/A</v>
      </c>
      <c r="K4003" s="1"/>
      <c r="L4003" s="161" t="e">
        <f>IF($C$1078&gt;0,VLOOKUP($C4003,PATRIMONIALE!$AJ$4:$AP$1003,7,FALSE),"")</f>
        <v>#N/A</v>
      </c>
      <c r="M4003" s="1"/>
      <c r="N4003" s="1"/>
      <c r="O4003" s="1"/>
    </row>
    <row r="4004" spans="1:15" hidden="1">
      <c r="A4004" s="1"/>
      <c r="B4004" s="182" t="e">
        <f t="shared" ca="1" si="295"/>
        <v>#N/A</v>
      </c>
      <c r="C4004" s="500">
        <v>938</v>
      </c>
      <c r="D4004" s="41" t="e">
        <f>IF($C$1078&gt;0,VLOOKUP($C4004,PATRIMONIALE!$AJ$4:$AL$1003,3,FALSE),"")</f>
        <v>#N/A</v>
      </c>
      <c r="E4004" s="41" t="str">
        <f t="shared" si="296"/>
        <v/>
      </c>
      <c r="F4004" s="200"/>
      <c r="G4004" s="178" t="e">
        <f>IF($C$1078&gt;0,VLOOKUP($C4004,PATRIMONIALE!$AJ$4:$AN$1003,5,FALSE),"")</f>
        <v>#N/A</v>
      </c>
      <c r="H4004" s="179" t="e">
        <f>IF($C$1078&gt;0,VLOOKUP($C4004,PATRIMONIALE!$AJ$4:$AO$1003,6,FALSE),"")</f>
        <v>#N/A</v>
      </c>
      <c r="I4004" s="187"/>
      <c r="J4004" s="140" t="e">
        <f ca="1">VLOOKUP(D4004,$F$1081:$I$4183,4,FALSE)+COUNTIF(E$1081:E4003,E4004)</f>
        <v>#N/A</v>
      </c>
      <c r="K4004" s="1"/>
      <c r="L4004" s="161" t="e">
        <f>IF($C$1078&gt;0,VLOOKUP($C4004,PATRIMONIALE!$AJ$4:$AP$1003,7,FALSE),"")</f>
        <v>#N/A</v>
      </c>
      <c r="M4004" s="1"/>
      <c r="N4004" s="1"/>
      <c r="O4004" s="1"/>
    </row>
    <row r="4005" spans="1:15" hidden="1">
      <c r="A4005" s="1"/>
      <c r="B4005" s="182" t="e">
        <f t="shared" ca="1" si="295"/>
        <v>#N/A</v>
      </c>
      <c r="C4005" s="500">
        <v>939</v>
      </c>
      <c r="D4005" s="41" t="e">
        <f>IF($C$1078&gt;0,VLOOKUP($C4005,PATRIMONIALE!$AJ$4:$AL$1003,3,FALSE),"")</f>
        <v>#N/A</v>
      </c>
      <c r="E4005" s="41" t="str">
        <f t="shared" si="296"/>
        <v/>
      </c>
      <c r="F4005" s="200"/>
      <c r="G4005" s="178" t="e">
        <f>IF($C$1078&gt;0,VLOOKUP($C4005,PATRIMONIALE!$AJ$4:$AN$1003,5,FALSE),"")</f>
        <v>#N/A</v>
      </c>
      <c r="H4005" s="179" t="e">
        <f>IF($C$1078&gt;0,VLOOKUP($C4005,PATRIMONIALE!$AJ$4:$AO$1003,6,FALSE),"")</f>
        <v>#N/A</v>
      </c>
      <c r="I4005" s="187"/>
      <c r="J4005" s="140" t="e">
        <f ca="1">VLOOKUP(D4005,$F$1081:$I$4183,4,FALSE)+COUNTIF(E$1081:E4004,E4005)</f>
        <v>#N/A</v>
      </c>
      <c r="K4005" s="1"/>
      <c r="L4005" s="161" t="e">
        <f>IF($C$1078&gt;0,VLOOKUP($C4005,PATRIMONIALE!$AJ$4:$AP$1003,7,FALSE),"")</f>
        <v>#N/A</v>
      </c>
      <c r="M4005" s="1"/>
      <c r="N4005" s="1"/>
      <c r="O4005" s="1"/>
    </row>
    <row r="4006" spans="1:15" hidden="1">
      <c r="A4006" s="1"/>
      <c r="B4006" s="182" t="e">
        <f t="shared" ca="1" si="295"/>
        <v>#N/A</v>
      </c>
      <c r="C4006" s="500">
        <v>940</v>
      </c>
      <c r="D4006" s="41" t="e">
        <f>IF($C$1078&gt;0,VLOOKUP($C4006,PATRIMONIALE!$AJ$4:$AL$1003,3,FALSE),"")</f>
        <v>#N/A</v>
      </c>
      <c r="E4006" s="41" t="str">
        <f t="shared" si="296"/>
        <v/>
      </c>
      <c r="F4006" s="200"/>
      <c r="G4006" s="178" t="e">
        <f>IF($C$1078&gt;0,VLOOKUP($C4006,PATRIMONIALE!$AJ$4:$AN$1003,5,FALSE),"")</f>
        <v>#N/A</v>
      </c>
      <c r="H4006" s="179" t="e">
        <f>IF($C$1078&gt;0,VLOOKUP($C4006,PATRIMONIALE!$AJ$4:$AO$1003,6,FALSE),"")</f>
        <v>#N/A</v>
      </c>
      <c r="I4006" s="187"/>
      <c r="J4006" s="140" t="e">
        <f ca="1">VLOOKUP(D4006,$F$1081:$I$4183,4,FALSE)+COUNTIF(E$1081:E4005,E4006)</f>
        <v>#N/A</v>
      </c>
      <c r="K4006" s="1"/>
      <c r="L4006" s="161" t="e">
        <f>IF($C$1078&gt;0,VLOOKUP($C4006,PATRIMONIALE!$AJ$4:$AP$1003,7,FALSE),"")</f>
        <v>#N/A</v>
      </c>
      <c r="M4006" s="1"/>
      <c r="N4006" s="1"/>
      <c r="O4006" s="1"/>
    </row>
    <row r="4007" spans="1:15" hidden="1">
      <c r="A4007" s="1"/>
      <c r="B4007" s="182" t="e">
        <f t="shared" ca="1" si="295"/>
        <v>#N/A</v>
      </c>
      <c r="C4007" s="500">
        <v>941</v>
      </c>
      <c r="D4007" s="41" t="e">
        <f>IF($C$1078&gt;0,VLOOKUP($C4007,PATRIMONIALE!$AJ$4:$AL$1003,3,FALSE),"")</f>
        <v>#N/A</v>
      </c>
      <c r="E4007" s="41" t="str">
        <f t="shared" si="296"/>
        <v/>
      </c>
      <c r="F4007" s="200"/>
      <c r="G4007" s="178" t="e">
        <f>IF($C$1078&gt;0,VLOOKUP($C4007,PATRIMONIALE!$AJ$4:$AN$1003,5,FALSE),"")</f>
        <v>#N/A</v>
      </c>
      <c r="H4007" s="179" t="e">
        <f>IF($C$1078&gt;0,VLOOKUP($C4007,PATRIMONIALE!$AJ$4:$AO$1003,6,FALSE),"")</f>
        <v>#N/A</v>
      </c>
      <c r="I4007" s="187"/>
      <c r="J4007" s="140" t="e">
        <f ca="1">VLOOKUP(D4007,$F$1081:$I$4183,4,FALSE)+COUNTIF(E$1081:E4006,E4007)</f>
        <v>#N/A</v>
      </c>
      <c r="K4007" s="1"/>
      <c r="L4007" s="161" t="e">
        <f>IF($C$1078&gt;0,VLOOKUP($C4007,PATRIMONIALE!$AJ$4:$AP$1003,7,FALSE),"")</f>
        <v>#N/A</v>
      </c>
      <c r="M4007" s="1"/>
      <c r="N4007" s="1"/>
      <c r="O4007" s="1"/>
    </row>
    <row r="4008" spans="1:15" hidden="1">
      <c r="A4008" s="1"/>
      <c r="B4008" s="182" t="e">
        <f t="shared" ca="1" si="295"/>
        <v>#N/A</v>
      </c>
      <c r="C4008" s="500">
        <v>942</v>
      </c>
      <c r="D4008" s="41" t="e">
        <f>IF($C$1078&gt;0,VLOOKUP($C4008,PATRIMONIALE!$AJ$4:$AL$1003,3,FALSE),"")</f>
        <v>#N/A</v>
      </c>
      <c r="E4008" s="41" t="str">
        <f t="shared" si="296"/>
        <v/>
      </c>
      <c r="F4008" s="200"/>
      <c r="G4008" s="178" t="e">
        <f>IF($C$1078&gt;0,VLOOKUP($C4008,PATRIMONIALE!$AJ$4:$AN$1003,5,FALSE),"")</f>
        <v>#N/A</v>
      </c>
      <c r="H4008" s="179" t="e">
        <f>IF($C$1078&gt;0,VLOOKUP($C4008,PATRIMONIALE!$AJ$4:$AO$1003,6,FALSE),"")</f>
        <v>#N/A</v>
      </c>
      <c r="I4008" s="187"/>
      <c r="J4008" s="140" t="e">
        <f ca="1">VLOOKUP(D4008,$F$1081:$I$4183,4,FALSE)+COUNTIF(E$1081:E4007,E4008)</f>
        <v>#N/A</v>
      </c>
      <c r="K4008" s="1"/>
      <c r="L4008" s="161" t="e">
        <f>IF($C$1078&gt;0,VLOOKUP($C4008,PATRIMONIALE!$AJ$4:$AP$1003,7,FALSE),"")</f>
        <v>#N/A</v>
      </c>
      <c r="M4008" s="1"/>
      <c r="N4008" s="1"/>
      <c r="O4008" s="1"/>
    </row>
    <row r="4009" spans="1:15" hidden="1">
      <c r="A4009" s="1"/>
      <c r="B4009" s="182" t="e">
        <f t="shared" ca="1" si="295"/>
        <v>#N/A</v>
      </c>
      <c r="C4009" s="500">
        <v>943</v>
      </c>
      <c r="D4009" s="41" t="e">
        <f>IF($C$1078&gt;0,VLOOKUP($C4009,PATRIMONIALE!$AJ$4:$AL$1003,3,FALSE),"")</f>
        <v>#N/A</v>
      </c>
      <c r="E4009" s="41" t="str">
        <f t="shared" si="296"/>
        <v/>
      </c>
      <c r="F4009" s="200"/>
      <c r="G4009" s="178" t="e">
        <f>IF($C$1078&gt;0,VLOOKUP($C4009,PATRIMONIALE!$AJ$4:$AN$1003,5,FALSE),"")</f>
        <v>#N/A</v>
      </c>
      <c r="H4009" s="179" t="e">
        <f>IF($C$1078&gt;0,VLOOKUP($C4009,PATRIMONIALE!$AJ$4:$AO$1003,6,FALSE),"")</f>
        <v>#N/A</v>
      </c>
      <c r="I4009" s="187"/>
      <c r="J4009" s="140" t="e">
        <f ca="1">VLOOKUP(D4009,$F$1081:$I$4183,4,FALSE)+COUNTIF(E$1081:E4008,E4009)</f>
        <v>#N/A</v>
      </c>
      <c r="K4009" s="1"/>
      <c r="L4009" s="161" t="e">
        <f>IF($C$1078&gt;0,VLOOKUP($C4009,PATRIMONIALE!$AJ$4:$AP$1003,7,FALSE),"")</f>
        <v>#N/A</v>
      </c>
      <c r="M4009" s="1"/>
      <c r="N4009" s="1"/>
      <c r="O4009" s="1"/>
    </row>
    <row r="4010" spans="1:15" hidden="1">
      <c r="A4010" s="1"/>
      <c r="B4010" s="182" t="e">
        <f t="shared" ca="1" si="295"/>
        <v>#N/A</v>
      </c>
      <c r="C4010" s="500">
        <v>944</v>
      </c>
      <c r="D4010" s="41" t="e">
        <f>IF($C$1078&gt;0,VLOOKUP($C4010,PATRIMONIALE!$AJ$4:$AL$1003,3,FALSE),"")</f>
        <v>#N/A</v>
      </c>
      <c r="E4010" s="41" t="str">
        <f t="shared" si="296"/>
        <v/>
      </c>
      <c r="F4010" s="200"/>
      <c r="G4010" s="178" t="e">
        <f>IF($C$1078&gt;0,VLOOKUP($C4010,PATRIMONIALE!$AJ$4:$AN$1003,5,FALSE),"")</f>
        <v>#N/A</v>
      </c>
      <c r="H4010" s="179" t="e">
        <f>IF($C$1078&gt;0,VLOOKUP($C4010,PATRIMONIALE!$AJ$4:$AO$1003,6,FALSE),"")</f>
        <v>#N/A</v>
      </c>
      <c r="I4010" s="187"/>
      <c r="J4010" s="140" t="e">
        <f ca="1">VLOOKUP(D4010,$F$1081:$I$4183,4,FALSE)+COUNTIF(E$1081:E4009,E4010)</f>
        <v>#N/A</v>
      </c>
      <c r="K4010" s="1"/>
      <c r="L4010" s="161" t="e">
        <f>IF($C$1078&gt;0,VLOOKUP($C4010,PATRIMONIALE!$AJ$4:$AP$1003,7,FALSE),"")</f>
        <v>#N/A</v>
      </c>
      <c r="M4010" s="1"/>
      <c r="N4010" s="1"/>
      <c r="O4010" s="1"/>
    </row>
    <row r="4011" spans="1:15" hidden="1">
      <c r="A4011" s="1"/>
      <c r="B4011" s="182" t="e">
        <f t="shared" ca="1" si="295"/>
        <v>#N/A</v>
      </c>
      <c r="C4011" s="500">
        <v>945</v>
      </c>
      <c r="D4011" s="41" t="e">
        <f>IF($C$1078&gt;0,VLOOKUP($C4011,PATRIMONIALE!$AJ$4:$AL$1003,3,FALSE),"")</f>
        <v>#N/A</v>
      </c>
      <c r="E4011" s="41" t="str">
        <f t="shared" si="296"/>
        <v/>
      </c>
      <c r="F4011" s="200"/>
      <c r="G4011" s="178" t="e">
        <f>IF($C$1078&gt;0,VLOOKUP($C4011,PATRIMONIALE!$AJ$4:$AN$1003,5,FALSE),"")</f>
        <v>#N/A</v>
      </c>
      <c r="H4011" s="179" t="e">
        <f>IF($C$1078&gt;0,VLOOKUP($C4011,PATRIMONIALE!$AJ$4:$AO$1003,6,FALSE),"")</f>
        <v>#N/A</v>
      </c>
      <c r="I4011" s="187"/>
      <c r="J4011" s="140" t="e">
        <f ca="1">VLOOKUP(D4011,$F$1081:$I$4183,4,FALSE)+COUNTIF(E$1081:E4010,E4011)</f>
        <v>#N/A</v>
      </c>
      <c r="K4011" s="1"/>
      <c r="L4011" s="161" t="e">
        <f>IF($C$1078&gt;0,VLOOKUP($C4011,PATRIMONIALE!$AJ$4:$AP$1003,7,FALSE),"")</f>
        <v>#N/A</v>
      </c>
      <c r="M4011" s="1"/>
      <c r="N4011" s="1"/>
      <c r="O4011" s="1"/>
    </row>
    <row r="4012" spans="1:15" hidden="1">
      <c r="A4012" s="1"/>
      <c r="B4012" s="182" t="e">
        <f t="shared" ca="1" si="295"/>
        <v>#N/A</v>
      </c>
      <c r="C4012" s="500">
        <v>946</v>
      </c>
      <c r="D4012" s="41" t="e">
        <f>IF($C$1078&gt;0,VLOOKUP($C4012,PATRIMONIALE!$AJ$4:$AL$1003,3,FALSE),"")</f>
        <v>#N/A</v>
      </c>
      <c r="E4012" s="41" t="str">
        <f t="shared" si="296"/>
        <v/>
      </c>
      <c r="F4012" s="200"/>
      <c r="G4012" s="178" t="e">
        <f>IF($C$1078&gt;0,VLOOKUP($C4012,PATRIMONIALE!$AJ$4:$AN$1003,5,FALSE),"")</f>
        <v>#N/A</v>
      </c>
      <c r="H4012" s="179" t="e">
        <f>IF($C$1078&gt;0,VLOOKUP($C4012,PATRIMONIALE!$AJ$4:$AO$1003,6,FALSE),"")</f>
        <v>#N/A</v>
      </c>
      <c r="I4012" s="187"/>
      <c r="J4012" s="140" t="e">
        <f ca="1">VLOOKUP(D4012,$F$1081:$I$4183,4,FALSE)+COUNTIF(E$1081:E4011,E4012)</f>
        <v>#N/A</v>
      </c>
      <c r="K4012" s="1"/>
      <c r="L4012" s="161" t="e">
        <f>IF($C$1078&gt;0,VLOOKUP($C4012,PATRIMONIALE!$AJ$4:$AP$1003,7,FALSE),"")</f>
        <v>#N/A</v>
      </c>
      <c r="M4012" s="1"/>
      <c r="N4012" s="1"/>
      <c r="O4012" s="1"/>
    </row>
    <row r="4013" spans="1:15" hidden="1">
      <c r="A4013" s="1"/>
      <c r="B4013" s="182" t="e">
        <f t="shared" ca="1" si="295"/>
        <v>#N/A</v>
      </c>
      <c r="C4013" s="500">
        <v>947</v>
      </c>
      <c r="D4013" s="41" t="e">
        <f>IF($C$1078&gt;0,VLOOKUP($C4013,PATRIMONIALE!$AJ$4:$AL$1003,3,FALSE),"")</f>
        <v>#N/A</v>
      </c>
      <c r="E4013" s="41" t="str">
        <f t="shared" si="296"/>
        <v/>
      </c>
      <c r="F4013" s="200"/>
      <c r="G4013" s="178" t="e">
        <f>IF($C$1078&gt;0,VLOOKUP($C4013,PATRIMONIALE!$AJ$4:$AN$1003,5,FALSE),"")</f>
        <v>#N/A</v>
      </c>
      <c r="H4013" s="179" t="e">
        <f>IF($C$1078&gt;0,VLOOKUP($C4013,PATRIMONIALE!$AJ$4:$AO$1003,6,FALSE),"")</f>
        <v>#N/A</v>
      </c>
      <c r="I4013" s="187"/>
      <c r="J4013" s="140" t="e">
        <f ca="1">VLOOKUP(D4013,$F$1081:$I$4183,4,FALSE)+COUNTIF(E$1081:E4012,E4013)</f>
        <v>#N/A</v>
      </c>
      <c r="K4013" s="1"/>
      <c r="L4013" s="161" t="e">
        <f>IF($C$1078&gt;0,VLOOKUP($C4013,PATRIMONIALE!$AJ$4:$AP$1003,7,FALSE),"")</f>
        <v>#N/A</v>
      </c>
      <c r="M4013" s="1"/>
      <c r="N4013" s="1"/>
      <c r="O4013" s="1"/>
    </row>
    <row r="4014" spans="1:15" hidden="1">
      <c r="A4014" s="1"/>
      <c r="B4014" s="182" t="e">
        <f t="shared" ca="1" si="295"/>
        <v>#N/A</v>
      </c>
      <c r="C4014" s="500">
        <v>948</v>
      </c>
      <c r="D4014" s="41" t="e">
        <f>IF($C$1078&gt;0,VLOOKUP($C4014,PATRIMONIALE!$AJ$4:$AL$1003,3,FALSE),"")</f>
        <v>#N/A</v>
      </c>
      <c r="E4014" s="41" t="str">
        <f t="shared" si="296"/>
        <v/>
      </c>
      <c r="F4014" s="200"/>
      <c r="G4014" s="178" t="e">
        <f>IF($C$1078&gt;0,VLOOKUP($C4014,PATRIMONIALE!$AJ$4:$AN$1003,5,FALSE),"")</f>
        <v>#N/A</v>
      </c>
      <c r="H4014" s="179" t="e">
        <f>IF($C$1078&gt;0,VLOOKUP($C4014,PATRIMONIALE!$AJ$4:$AO$1003,6,FALSE),"")</f>
        <v>#N/A</v>
      </c>
      <c r="I4014" s="187"/>
      <c r="J4014" s="140" t="e">
        <f ca="1">VLOOKUP(D4014,$F$1081:$I$4183,4,FALSE)+COUNTIF(E$1081:E4013,E4014)</f>
        <v>#N/A</v>
      </c>
      <c r="K4014" s="1"/>
      <c r="L4014" s="161" t="e">
        <f>IF($C$1078&gt;0,VLOOKUP($C4014,PATRIMONIALE!$AJ$4:$AP$1003,7,FALSE),"")</f>
        <v>#N/A</v>
      </c>
      <c r="M4014" s="1"/>
      <c r="N4014" s="1"/>
      <c r="O4014" s="1"/>
    </row>
    <row r="4015" spans="1:15" hidden="1">
      <c r="A4015" s="1"/>
      <c r="B4015" s="182" t="e">
        <f t="shared" ca="1" si="295"/>
        <v>#N/A</v>
      </c>
      <c r="C4015" s="500">
        <v>949</v>
      </c>
      <c r="D4015" s="41" t="e">
        <f>IF($C$1078&gt;0,VLOOKUP($C4015,PATRIMONIALE!$AJ$4:$AL$1003,3,FALSE),"")</f>
        <v>#N/A</v>
      </c>
      <c r="E4015" s="41" t="str">
        <f t="shared" si="296"/>
        <v/>
      </c>
      <c r="F4015" s="200"/>
      <c r="G4015" s="178" t="e">
        <f>IF($C$1078&gt;0,VLOOKUP($C4015,PATRIMONIALE!$AJ$4:$AN$1003,5,FALSE),"")</f>
        <v>#N/A</v>
      </c>
      <c r="H4015" s="179" t="e">
        <f>IF($C$1078&gt;0,VLOOKUP($C4015,PATRIMONIALE!$AJ$4:$AO$1003,6,FALSE),"")</f>
        <v>#N/A</v>
      </c>
      <c r="I4015" s="187"/>
      <c r="J4015" s="140" t="e">
        <f ca="1">VLOOKUP(D4015,$F$1081:$I$4183,4,FALSE)+COUNTIF(E$1081:E4014,E4015)</f>
        <v>#N/A</v>
      </c>
      <c r="K4015" s="1"/>
      <c r="L4015" s="161" t="e">
        <f>IF($C$1078&gt;0,VLOOKUP($C4015,PATRIMONIALE!$AJ$4:$AP$1003,7,FALSE),"")</f>
        <v>#N/A</v>
      </c>
      <c r="M4015" s="1"/>
      <c r="N4015" s="1"/>
      <c r="O4015" s="1"/>
    </row>
    <row r="4016" spans="1:15" hidden="1">
      <c r="A4016" s="1"/>
      <c r="B4016" s="182" t="e">
        <f t="shared" ca="1" si="295"/>
        <v>#N/A</v>
      </c>
      <c r="C4016" s="500">
        <v>950</v>
      </c>
      <c r="D4016" s="41" t="e">
        <f>IF($C$1078&gt;0,VLOOKUP($C4016,PATRIMONIALE!$AJ$4:$AL$1003,3,FALSE),"")</f>
        <v>#N/A</v>
      </c>
      <c r="E4016" s="41" t="str">
        <f t="shared" si="296"/>
        <v/>
      </c>
      <c r="F4016" s="200"/>
      <c r="G4016" s="178" t="e">
        <f>IF($C$1078&gt;0,VLOOKUP($C4016,PATRIMONIALE!$AJ$4:$AN$1003,5,FALSE),"")</f>
        <v>#N/A</v>
      </c>
      <c r="H4016" s="179" t="e">
        <f>IF($C$1078&gt;0,VLOOKUP($C4016,PATRIMONIALE!$AJ$4:$AO$1003,6,FALSE),"")</f>
        <v>#N/A</v>
      </c>
      <c r="I4016" s="187"/>
      <c r="J4016" s="140" t="e">
        <f ca="1">VLOOKUP(D4016,$F$1081:$I$4183,4,FALSE)+COUNTIF(E$1081:E4015,E4016)</f>
        <v>#N/A</v>
      </c>
      <c r="K4016" s="1"/>
      <c r="L4016" s="161" t="e">
        <f>IF($C$1078&gt;0,VLOOKUP($C4016,PATRIMONIALE!$AJ$4:$AP$1003,7,FALSE),"")</f>
        <v>#N/A</v>
      </c>
      <c r="M4016" s="1"/>
      <c r="N4016" s="1"/>
      <c r="O4016" s="1"/>
    </row>
    <row r="4017" spans="1:15" hidden="1">
      <c r="A4017" s="1"/>
      <c r="B4017" s="182" t="e">
        <f t="shared" ca="1" si="295"/>
        <v>#N/A</v>
      </c>
      <c r="C4017" s="500">
        <v>951</v>
      </c>
      <c r="D4017" s="41" t="e">
        <f>IF($C$1078&gt;0,VLOOKUP($C4017,PATRIMONIALE!$AJ$4:$AL$1003,3,FALSE),"")</f>
        <v>#N/A</v>
      </c>
      <c r="E4017" s="41" t="str">
        <f t="shared" si="296"/>
        <v/>
      </c>
      <c r="F4017" s="200"/>
      <c r="G4017" s="178" t="e">
        <f>IF($C$1078&gt;0,VLOOKUP($C4017,PATRIMONIALE!$AJ$4:$AN$1003,5,FALSE),"")</f>
        <v>#N/A</v>
      </c>
      <c r="H4017" s="179" t="e">
        <f>IF($C$1078&gt;0,VLOOKUP($C4017,PATRIMONIALE!$AJ$4:$AO$1003,6,FALSE),"")</f>
        <v>#N/A</v>
      </c>
      <c r="I4017" s="187"/>
      <c r="J4017" s="140" t="e">
        <f ca="1">VLOOKUP(D4017,$F$1081:$I$4183,4,FALSE)+COUNTIF(E$1081:E4016,E4017)</f>
        <v>#N/A</v>
      </c>
      <c r="K4017" s="1"/>
      <c r="L4017" s="161" t="e">
        <f>IF($C$1078&gt;0,VLOOKUP($C4017,PATRIMONIALE!$AJ$4:$AP$1003,7,FALSE),"")</f>
        <v>#N/A</v>
      </c>
      <c r="M4017" s="1"/>
      <c r="N4017" s="1"/>
      <c r="O4017" s="1"/>
    </row>
    <row r="4018" spans="1:15" hidden="1">
      <c r="A4018" s="1"/>
      <c r="B4018" s="182" t="e">
        <f t="shared" ca="1" si="295"/>
        <v>#N/A</v>
      </c>
      <c r="C4018" s="500">
        <v>952</v>
      </c>
      <c r="D4018" s="41" t="e">
        <f>IF($C$1078&gt;0,VLOOKUP($C4018,PATRIMONIALE!$AJ$4:$AL$1003,3,FALSE),"")</f>
        <v>#N/A</v>
      </c>
      <c r="E4018" s="41" t="str">
        <f t="shared" si="296"/>
        <v/>
      </c>
      <c r="F4018" s="200"/>
      <c r="G4018" s="178" t="e">
        <f>IF($C$1078&gt;0,VLOOKUP($C4018,PATRIMONIALE!$AJ$4:$AN$1003,5,FALSE),"")</f>
        <v>#N/A</v>
      </c>
      <c r="H4018" s="179" t="e">
        <f>IF($C$1078&gt;0,VLOOKUP($C4018,PATRIMONIALE!$AJ$4:$AO$1003,6,FALSE),"")</f>
        <v>#N/A</v>
      </c>
      <c r="I4018" s="187"/>
      <c r="J4018" s="140" t="e">
        <f ca="1">VLOOKUP(D4018,$F$1081:$I$4183,4,FALSE)+COUNTIF(E$1081:E4017,E4018)</f>
        <v>#N/A</v>
      </c>
      <c r="K4018" s="1"/>
      <c r="L4018" s="161" t="e">
        <f>IF($C$1078&gt;0,VLOOKUP($C4018,PATRIMONIALE!$AJ$4:$AP$1003,7,FALSE),"")</f>
        <v>#N/A</v>
      </c>
      <c r="M4018" s="1"/>
      <c r="N4018" s="1"/>
      <c r="O4018" s="1"/>
    </row>
    <row r="4019" spans="1:15" hidden="1">
      <c r="A4019" s="1"/>
      <c r="B4019" s="182" t="e">
        <f t="shared" ca="1" si="295"/>
        <v>#N/A</v>
      </c>
      <c r="C4019" s="500">
        <v>953</v>
      </c>
      <c r="D4019" s="41" t="e">
        <f>IF($C$1078&gt;0,VLOOKUP($C4019,PATRIMONIALE!$AJ$4:$AL$1003,3,FALSE),"")</f>
        <v>#N/A</v>
      </c>
      <c r="E4019" s="41" t="str">
        <f t="shared" si="296"/>
        <v/>
      </c>
      <c r="F4019" s="200"/>
      <c r="G4019" s="178" t="e">
        <f>IF($C$1078&gt;0,VLOOKUP($C4019,PATRIMONIALE!$AJ$4:$AN$1003,5,FALSE),"")</f>
        <v>#N/A</v>
      </c>
      <c r="H4019" s="179" t="e">
        <f>IF($C$1078&gt;0,VLOOKUP($C4019,PATRIMONIALE!$AJ$4:$AO$1003,6,FALSE),"")</f>
        <v>#N/A</v>
      </c>
      <c r="I4019" s="187"/>
      <c r="J4019" s="140" t="e">
        <f ca="1">VLOOKUP(D4019,$F$1081:$I$4183,4,FALSE)+COUNTIF(E$1081:E4018,E4019)</f>
        <v>#N/A</v>
      </c>
      <c r="K4019" s="1"/>
      <c r="L4019" s="161" t="e">
        <f>IF($C$1078&gt;0,VLOOKUP($C4019,PATRIMONIALE!$AJ$4:$AP$1003,7,FALSE),"")</f>
        <v>#N/A</v>
      </c>
      <c r="M4019" s="1"/>
      <c r="N4019" s="1"/>
      <c r="O4019" s="1"/>
    </row>
    <row r="4020" spans="1:15" hidden="1">
      <c r="A4020" s="1"/>
      <c r="B4020" s="182" t="e">
        <f t="shared" ca="1" si="295"/>
        <v>#N/A</v>
      </c>
      <c r="C4020" s="500">
        <v>954</v>
      </c>
      <c r="D4020" s="41" t="e">
        <f>IF($C$1078&gt;0,VLOOKUP($C4020,PATRIMONIALE!$AJ$4:$AL$1003,3,FALSE),"")</f>
        <v>#N/A</v>
      </c>
      <c r="E4020" s="41" t="str">
        <f t="shared" si="296"/>
        <v/>
      </c>
      <c r="F4020" s="200"/>
      <c r="G4020" s="178" t="e">
        <f>IF($C$1078&gt;0,VLOOKUP($C4020,PATRIMONIALE!$AJ$4:$AN$1003,5,FALSE),"")</f>
        <v>#N/A</v>
      </c>
      <c r="H4020" s="179" t="e">
        <f>IF($C$1078&gt;0,VLOOKUP($C4020,PATRIMONIALE!$AJ$4:$AO$1003,6,FALSE),"")</f>
        <v>#N/A</v>
      </c>
      <c r="I4020" s="187"/>
      <c r="J4020" s="140" t="e">
        <f ca="1">VLOOKUP(D4020,$F$1081:$I$4183,4,FALSE)+COUNTIF(E$1081:E4019,E4020)</f>
        <v>#N/A</v>
      </c>
      <c r="K4020" s="1"/>
      <c r="L4020" s="161" t="e">
        <f>IF($C$1078&gt;0,VLOOKUP($C4020,PATRIMONIALE!$AJ$4:$AP$1003,7,FALSE),"")</f>
        <v>#N/A</v>
      </c>
      <c r="M4020" s="1"/>
      <c r="N4020" s="1"/>
      <c r="O4020" s="1"/>
    </row>
    <row r="4021" spans="1:15" hidden="1">
      <c r="A4021" s="1"/>
      <c r="B4021" s="182" t="e">
        <f t="shared" ca="1" si="295"/>
        <v>#N/A</v>
      </c>
      <c r="C4021" s="500">
        <v>955</v>
      </c>
      <c r="D4021" s="41" t="e">
        <f>IF($C$1078&gt;0,VLOOKUP($C4021,PATRIMONIALE!$AJ$4:$AL$1003,3,FALSE),"")</f>
        <v>#N/A</v>
      </c>
      <c r="E4021" s="41" t="str">
        <f t="shared" si="296"/>
        <v/>
      </c>
      <c r="F4021" s="200"/>
      <c r="G4021" s="178" t="e">
        <f>IF($C$1078&gt;0,VLOOKUP($C4021,PATRIMONIALE!$AJ$4:$AN$1003,5,FALSE),"")</f>
        <v>#N/A</v>
      </c>
      <c r="H4021" s="179" t="e">
        <f>IF($C$1078&gt;0,VLOOKUP($C4021,PATRIMONIALE!$AJ$4:$AO$1003,6,FALSE),"")</f>
        <v>#N/A</v>
      </c>
      <c r="I4021" s="187"/>
      <c r="J4021" s="140" t="e">
        <f ca="1">VLOOKUP(D4021,$F$1081:$I$4183,4,FALSE)+COUNTIF(E$1081:E4020,E4021)</f>
        <v>#N/A</v>
      </c>
      <c r="K4021" s="1"/>
      <c r="L4021" s="161" t="e">
        <f>IF($C$1078&gt;0,VLOOKUP($C4021,PATRIMONIALE!$AJ$4:$AP$1003,7,FALSE),"")</f>
        <v>#N/A</v>
      </c>
      <c r="M4021" s="1"/>
      <c r="N4021" s="1"/>
      <c r="O4021" s="1"/>
    </row>
    <row r="4022" spans="1:15" hidden="1">
      <c r="A4022" s="1"/>
      <c r="B4022" s="182" t="e">
        <f t="shared" ca="1" si="295"/>
        <v>#N/A</v>
      </c>
      <c r="C4022" s="500">
        <v>956</v>
      </c>
      <c r="D4022" s="41" t="e">
        <f>IF($C$1078&gt;0,VLOOKUP($C4022,PATRIMONIALE!$AJ$4:$AL$1003,3,FALSE),"")</f>
        <v>#N/A</v>
      </c>
      <c r="E4022" s="41" t="str">
        <f t="shared" si="296"/>
        <v/>
      </c>
      <c r="F4022" s="200"/>
      <c r="G4022" s="178" t="e">
        <f>IF($C$1078&gt;0,VLOOKUP($C4022,PATRIMONIALE!$AJ$4:$AN$1003,5,FALSE),"")</f>
        <v>#N/A</v>
      </c>
      <c r="H4022" s="179" t="e">
        <f>IF($C$1078&gt;0,VLOOKUP($C4022,PATRIMONIALE!$AJ$4:$AO$1003,6,FALSE),"")</f>
        <v>#N/A</v>
      </c>
      <c r="I4022" s="187"/>
      <c r="J4022" s="140" t="e">
        <f ca="1">VLOOKUP(D4022,$F$1081:$I$4183,4,FALSE)+COUNTIF(E$1081:E4021,E4022)</f>
        <v>#N/A</v>
      </c>
      <c r="K4022" s="1"/>
      <c r="L4022" s="161" t="e">
        <f>IF($C$1078&gt;0,VLOOKUP($C4022,PATRIMONIALE!$AJ$4:$AP$1003,7,FALSE),"")</f>
        <v>#N/A</v>
      </c>
      <c r="M4022" s="1"/>
      <c r="N4022" s="1"/>
      <c r="O4022" s="1"/>
    </row>
    <row r="4023" spans="1:15" hidden="1">
      <c r="A4023" s="1"/>
      <c r="B4023" s="182" t="e">
        <f t="shared" ref="B4023:B4065" ca="1" si="297">IF(OR(C$1075&gt;0,C$1077&gt;0,C$1073&gt;0,C$1071&gt;0),J4023+1,J4023)</f>
        <v>#N/A</v>
      </c>
      <c r="C4023" s="500">
        <v>957</v>
      </c>
      <c r="D4023" s="41" t="e">
        <f>IF($C$1078&gt;0,VLOOKUP($C4023,PATRIMONIALE!$AJ$4:$AL$1003,3,FALSE),"")</f>
        <v>#N/A</v>
      </c>
      <c r="E4023" s="41" t="str">
        <f t="shared" si="296"/>
        <v/>
      </c>
      <c r="F4023" s="200"/>
      <c r="G4023" s="178" t="e">
        <f>IF($C$1078&gt;0,VLOOKUP($C4023,PATRIMONIALE!$AJ$4:$AN$1003,5,FALSE),"")</f>
        <v>#N/A</v>
      </c>
      <c r="H4023" s="179" t="e">
        <f>IF($C$1078&gt;0,VLOOKUP($C4023,PATRIMONIALE!$AJ$4:$AO$1003,6,FALSE),"")</f>
        <v>#N/A</v>
      </c>
      <c r="I4023" s="187"/>
      <c r="J4023" s="140" t="e">
        <f ca="1">VLOOKUP(D4023,$F$1081:$I$4183,4,FALSE)+COUNTIF(E$1081:E4022,E4023)</f>
        <v>#N/A</v>
      </c>
      <c r="K4023" s="1"/>
      <c r="L4023" s="161" t="e">
        <f>IF($C$1078&gt;0,VLOOKUP($C4023,PATRIMONIALE!$AJ$4:$AP$1003,7,FALSE),"")</f>
        <v>#N/A</v>
      </c>
      <c r="M4023" s="1"/>
      <c r="N4023" s="1"/>
      <c r="O4023" s="1"/>
    </row>
    <row r="4024" spans="1:15" hidden="1">
      <c r="A4024" s="1"/>
      <c r="B4024" s="182" t="e">
        <f t="shared" ca="1" si="297"/>
        <v>#N/A</v>
      </c>
      <c r="C4024" s="500">
        <v>958</v>
      </c>
      <c r="D4024" s="41" t="e">
        <f>IF($C$1078&gt;0,VLOOKUP($C4024,PATRIMONIALE!$AJ$4:$AL$1003,3,FALSE),"")</f>
        <v>#N/A</v>
      </c>
      <c r="E4024" s="41" t="str">
        <f t="shared" si="296"/>
        <v/>
      </c>
      <c r="F4024" s="200"/>
      <c r="G4024" s="178" t="e">
        <f>IF($C$1078&gt;0,VLOOKUP($C4024,PATRIMONIALE!$AJ$4:$AN$1003,5,FALSE),"")</f>
        <v>#N/A</v>
      </c>
      <c r="H4024" s="179" t="e">
        <f>IF($C$1078&gt;0,VLOOKUP($C4024,PATRIMONIALE!$AJ$4:$AO$1003,6,FALSE),"")</f>
        <v>#N/A</v>
      </c>
      <c r="I4024" s="187"/>
      <c r="J4024" s="140" t="e">
        <f ca="1">VLOOKUP(D4024,$F$1081:$I$4183,4,FALSE)+COUNTIF(E$1081:E4023,E4024)</f>
        <v>#N/A</v>
      </c>
      <c r="K4024" s="1"/>
      <c r="L4024" s="161" t="e">
        <f>IF($C$1078&gt;0,VLOOKUP($C4024,PATRIMONIALE!$AJ$4:$AP$1003,7,FALSE),"")</f>
        <v>#N/A</v>
      </c>
      <c r="M4024" s="1"/>
      <c r="N4024" s="1"/>
      <c r="O4024" s="1"/>
    </row>
    <row r="4025" spans="1:15" hidden="1">
      <c r="A4025" s="1"/>
      <c r="B4025" s="182" t="e">
        <f t="shared" ca="1" si="297"/>
        <v>#N/A</v>
      </c>
      <c r="C4025" s="500">
        <v>959</v>
      </c>
      <c r="D4025" s="41" t="e">
        <f>IF($C$1078&gt;0,VLOOKUP($C4025,PATRIMONIALE!$AJ$4:$AL$1003,3,FALSE),"")</f>
        <v>#N/A</v>
      </c>
      <c r="E4025" s="41" t="str">
        <f t="shared" si="296"/>
        <v/>
      </c>
      <c r="F4025" s="200"/>
      <c r="G4025" s="178" t="e">
        <f>IF($C$1078&gt;0,VLOOKUP($C4025,PATRIMONIALE!$AJ$4:$AN$1003,5,FALSE),"")</f>
        <v>#N/A</v>
      </c>
      <c r="H4025" s="179" t="e">
        <f>IF($C$1078&gt;0,VLOOKUP($C4025,PATRIMONIALE!$AJ$4:$AO$1003,6,FALSE),"")</f>
        <v>#N/A</v>
      </c>
      <c r="I4025" s="187"/>
      <c r="J4025" s="140" t="e">
        <f ca="1">VLOOKUP(D4025,$F$1081:$I$4183,4,FALSE)+COUNTIF(E$1081:E4024,E4025)</f>
        <v>#N/A</v>
      </c>
      <c r="K4025" s="1"/>
      <c r="L4025" s="161" t="e">
        <f>IF($C$1078&gt;0,VLOOKUP($C4025,PATRIMONIALE!$AJ$4:$AP$1003,7,FALSE),"")</f>
        <v>#N/A</v>
      </c>
      <c r="M4025" s="1"/>
      <c r="N4025" s="1"/>
      <c r="O4025" s="1"/>
    </row>
    <row r="4026" spans="1:15" hidden="1">
      <c r="A4026" s="1"/>
      <c r="B4026" s="182" t="e">
        <f t="shared" ca="1" si="297"/>
        <v>#N/A</v>
      </c>
      <c r="C4026" s="500">
        <v>960</v>
      </c>
      <c r="D4026" s="41" t="e">
        <f>IF($C$1078&gt;0,VLOOKUP($C4026,PATRIMONIALE!$AJ$4:$AL$1003,3,FALSE),"")</f>
        <v>#N/A</v>
      </c>
      <c r="E4026" s="41" t="str">
        <f t="shared" si="296"/>
        <v/>
      </c>
      <c r="F4026" s="200"/>
      <c r="G4026" s="178" t="e">
        <f>IF($C$1078&gt;0,VLOOKUP($C4026,PATRIMONIALE!$AJ$4:$AN$1003,5,FALSE),"")</f>
        <v>#N/A</v>
      </c>
      <c r="H4026" s="179" t="e">
        <f>IF($C$1078&gt;0,VLOOKUP($C4026,PATRIMONIALE!$AJ$4:$AO$1003,6,FALSE),"")</f>
        <v>#N/A</v>
      </c>
      <c r="I4026" s="187"/>
      <c r="J4026" s="140" t="e">
        <f ca="1">VLOOKUP(D4026,$F$1081:$I$4183,4,FALSE)+COUNTIF(E$1081:E4025,E4026)</f>
        <v>#N/A</v>
      </c>
      <c r="K4026" s="1"/>
      <c r="L4026" s="161" t="e">
        <f>IF($C$1078&gt;0,VLOOKUP($C4026,PATRIMONIALE!$AJ$4:$AP$1003,7,FALSE),"")</f>
        <v>#N/A</v>
      </c>
      <c r="M4026" s="1"/>
      <c r="N4026" s="1"/>
      <c r="O4026" s="1"/>
    </row>
    <row r="4027" spans="1:15" hidden="1">
      <c r="A4027" s="1"/>
      <c r="B4027" s="182" t="e">
        <f t="shared" ca="1" si="297"/>
        <v>#N/A</v>
      </c>
      <c r="C4027" s="500">
        <v>961</v>
      </c>
      <c r="D4027" s="41" t="e">
        <f>IF($C$1078&gt;0,VLOOKUP($C4027,PATRIMONIALE!$AJ$4:$AL$1003,3,FALSE),"")</f>
        <v>#N/A</v>
      </c>
      <c r="E4027" s="41" t="str">
        <f t="shared" si="296"/>
        <v/>
      </c>
      <c r="F4027" s="200"/>
      <c r="G4027" s="178" t="e">
        <f>IF($C$1078&gt;0,VLOOKUP($C4027,PATRIMONIALE!$AJ$4:$AN$1003,5,FALSE),"")</f>
        <v>#N/A</v>
      </c>
      <c r="H4027" s="179" t="e">
        <f>IF($C$1078&gt;0,VLOOKUP($C4027,PATRIMONIALE!$AJ$4:$AO$1003,6,FALSE),"")</f>
        <v>#N/A</v>
      </c>
      <c r="I4027" s="187"/>
      <c r="J4027" s="140" t="e">
        <f ca="1">VLOOKUP(D4027,$F$1081:$I$4183,4,FALSE)+COUNTIF(E$1081:E4026,E4027)</f>
        <v>#N/A</v>
      </c>
      <c r="K4027" s="1"/>
      <c r="L4027" s="161" t="e">
        <f>IF($C$1078&gt;0,VLOOKUP($C4027,PATRIMONIALE!$AJ$4:$AP$1003,7,FALSE),"")</f>
        <v>#N/A</v>
      </c>
      <c r="M4027" s="1"/>
      <c r="N4027" s="1"/>
      <c r="O4027" s="1"/>
    </row>
    <row r="4028" spans="1:15" hidden="1">
      <c r="A4028" s="1"/>
      <c r="B4028" s="182" t="e">
        <f t="shared" ca="1" si="297"/>
        <v>#N/A</v>
      </c>
      <c r="C4028" s="500">
        <v>962</v>
      </c>
      <c r="D4028" s="41" t="e">
        <f>IF($C$1078&gt;0,VLOOKUP($C4028,PATRIMONIALE!$AJ$4:$AL$1003,3,FALSE),"")</f>
        <v>#N/A</v>
      </c>
      <c r="E4028" s="41" t="str">
        <f t="shared" si="296"/>
        <v/>
      </c>
      <c r="F4028" s="200"/>
      <c r="G4028" s="178" t="e">
        <f>IF($C$1078&gt;0,VLOOKUP($C4028,PATRIMONIALE!$AJ$4:$AN$1003,5,FALSE),"")</f>
        <v>#N/A</v>
      </c>
      <c r="H4028" s="179" t="e">
        <f>IF($C$1078&gt;0,VLOOKUP($C4028,PATRIMONIALE!$AJ$4:$AO$1003,6,FALSE),"")</f>
        <v>#N/A</v>
      </c>
      <c r="I4028" s="187"/>
      <c r="J4028" s="140" t="e">
        <f ca="1">VLOOKUP(D4028,$F$1081:$I$4183,4,FALSE)+COUNTIF(E$1081:E4027,E4028)</f>
        <v>#N/A</v>
      </c>
      <c r="K4028" s="1"/>
      <c r="L4028" s="161" t="e">
        <f>IF($C$1078&gt;0,VLOOKUP($C4028,PATRIMONIALE!$AJ$4:$AP$1003,7,FALSE),"")</f>
        <v>#N/A</v>
      </c>
      <c r="M4028" s="1"/>
      <c r="N4028" s="1"/>
      <c r="O4028" s="1"/>
    </row>
    <row r="4029" spans="1:15" hidden="1">
      <c r="A4029" s="1"/>
      <c r="B4029" s="182" t="e">
        <f t="shared" ca="1" si="297"/>
        <v>#N/A</v>
      </c>
      <c r="C4029" s="500">
        <v>963</v>
      </c>
      <c r="D4029" s="41" t="e">
        <f>IF($C$1078&gt;0,VLOOKUP($C4029,PATRIMONIALE!$AJ$4:$AL$1003,3,FALSE),"")</f>
        <v>#N/A</v>
      </c>
      <c r="E4029" s="41" t="str">
        <f t="shared" si="296"/>
        <v/>
      </c>
      <c r="F4029" s="200"/>
      <c r="G4029" s="178" t="e">
        <f>IF($C$1078&gt;0,VLOOKUP($C4029,PATRIMONIALE!$AJ$4:$AN$1003,5,FALSE),"")</f>
        <v>#N/A</v>
      </c>
      <c r="H4029" s="179" t="e">
        <f>IF($C$1078&gt;0,VLOOKUP($C4029,PATRIMONIALE!$AJ$4:$AO$1003,6,FALSE),"")</f>
        <v>#N/A</v>
      </c>
      <c r="I4029" s="187"/>
      <c r="J4029" s="140" t="e">
        <f ca="1">VLOOKUP(D4029,$F$1081:$I$4183,4,FALSE)+COUNTIF(E$1081:E4028,E4029)</f>
        <v>#N/A</v>
      </c>
      <c r="K4029" s="1"/>
      <c r="L4029" s="161" t="e">
        <f>IF($C$1078&gt;0,VLOOKUP($C4029,PATRIMONIALE!$AJ$4:$AP$1003,7,FALSE),"")</f>
        <v>#N/A</v>
      </c>
      <c r="M4029" s="1"/>
      <c r="N4029" s="1"/>
      <c r="O4029" s="1"/>
    </row>
    <row r="4030" spans="1:15" hidden="1">
      <c r="A4030" s="1"/>
      <c r="B4030" s="182" t="e">
        <f t="shared" ca="1" si="297"/>
        <v>#N/A</v>
      </c>
      <c r="C4030" s="500">
        <v>964</v>
      </c>
      <c r="D4030" s="41" t="e">
        <f>IF($C$1078&gt;0,VLOOKUP($C4030,PATRIMONIALE!$AJ$4:$AL$1003,3,FALSE),"")</f>
        <v>#N/A</v>
      </c>
      <c r="E4030" s="41" t="str">
        <f t="shared" si="296"/>
        <v/>
      </c>
      <c r="F4030" s="200"/>
      <c r="G4030" s="178" t="e">
        <f>IF($C$1078&gt;0,VLOOKUP($C4030,PATRIMONIALE!$AJ$4:$AN$1003,5,FALSE),"")</f>
        <v>#N/A</v>
      </c>
      <c r="H4030" s="179" t="e">
        <f>IF($C$1078&gt;0,VLOOKUP($C4030,PATRIMONIALE!$AJ$4:$AO$1003,6,FALSE),"")</f>
        <v>#N/A</v>
      </c>
      <c r="I4030" s="187"/>
      <c r="J4030" s="140" t="e">
        <f ca="1">VLOOKUP(D4030,$F$1081:$I$4183,4,FALSE)+COUNTIF(E$1081:E4029,E4030)</f>
        <v>#N/A</v>
      </c>
      <c r="K4030" s="1"/>
      <c r="L4030" s="161" t="e">
        <f>IF($C$1078&gt;0,VLOOKUP($C4030,PATRIMONIALE!$AJ$4:$AP$1003,7,FALSE),"")</f>
        <v>#N/A</v>
      </c>
      <c r="M4030" s="1"/>
      <c r="N4030" s="1"/>
      <c r="O4030" s="1"/>
    </row>
    <row r="4031" spans="1:15" hidden="1">
      <c r="A4031" s="1"/>
      <c r="B4031" s="182" t="e">
        <f t="shared" ca="1" si="297"/>
        <v>#N/A</v>
      </c>
      <c r="C4031" s="500">
        <v>965</v>
      </c>
      <c r="D4031" s="41" t="e">
        <f>IF($C$1078&gt;0,VLOOKUP($C4031,PATRIMONIALE!$AJ$4:$AL$1003,3,FALSE),"")</f>
        <v>#N/A</v>
      </c>
      <c r="E4031" s="41" t="str">
        <f t="shared" si="296"/>
        <v/>
      </c>
      <c r="F4031" s="200"/>
      <c r="G4031" s="178" t="e">
        <f>IF($C$1078&gt;0,VLOOKUP($C4031,PATRIMONIALE!$AJ$4:$AN$1003,5,FALSE),"")</f>
        <v>#N/A</v>
      </c>
      <c r="H4031" s="179" t="e">
        <f>IF($C$1078&gt;0,VLOOKUP($C4031,PATRIMONIALE!$AJ$4:$AO$1003,6,FALSE),"")</f>
        <v>#N/A</v>
      </c>
      <c r="I4031" s="187"/>
      <c r="J4031" s="140" t="e">
        <f ca="1">VLOOKUP(D4031,$F$1081:$I$4183,4,FALSE)+COUNTIF(E$1081:E4030,E4031)</f>
        <v>#N/A</v>
      </c>
      <c r="K4031" s="1"/>
      <c r="L4031" s="161" t="e">
        <f>IF($C$1078&gt;0,VLOOKUP($C4031,PATRIMONIALE!$AJ$4:$AP$1003,7,FALSE),"")</f>
        <v>#N/A</v>
      </c>
      <c r="M4031" s="1"/>
      <c r="N4031" s="1"/>
      <c r="O4031" s="1"/>
    </row>
    <row r="4032" spans="1:15" hidden="1">
      <c r="A4032" s="1"/>
      <c r="B4032" s="182" t="e">
        <f t="shared" ca="1" si="297"/>
        <v>#N/A</v>
      </c>
      <c r="C4032" s="500">
        <v>966</v>
      </c>
      <c r="D4032" s="41" t="e">
        <f>IF($C$1078&gt;0,VLOOKUP($C4032,PATRIMONIALE!$AJ$4:$AL$1003,3,FALSE),"")</f>
        <v>#N/A</v>
      </c>
      <c r="E4032" s="41" t="str">
        <f t="shared" si="296"/>
        <v/>
      </c>
      <c r="F4032" s="200"/>
      <c r="G4032" s="178" t="e">
        <f>IF($C$1078&gt;0,VLOOKUP($C4032,PATRIMONIALE!$AJ$4:$AN$1003,5,FALSE),"")</f>
        <v>#N/A</v>
      </c>
      <c r="H4032" s="179" t="e">
        <f>IF($C$1078&gt;0,VLOOKUP($C4032,PATRIMONIALE!$AJ$4:$AO$1003,6,FALSE),"")</f>
        <v>#N/A</v>
      </c>
      <c r="I4032" s="187"/>
      <c r="J4032" s="140" t="e">
        <f ca="1">VLOOKUP(D4032,$F$1081:$I$4183,4,FALSE)+COUNTIF(E$1081:E4031,E4032)</f>
        <v>#N/A</v>
      </c>
      <c r="K4032" s="1"/>
      <c r="L4032" s="161" t="e">
        <f>IF($C$1078&gt;0,VLOOKUP($C4032,PATRIMONIALE!$AJ$4:$AP$1003,7,FALSE),"")</f>
        <v>#N/A</v>
      </c>
      <c r="M4032" s="1"/>
      <c r="N4032" s="1"/>
      <c r="O4032" s="1"/>
    </row>
    <row r="4033" spans="1:15" hidden="1">
      <c r="A4033" s="1"/>
      <c r="B4033" s="182" t="e">
        <f t="shared" ca="1" si="297"/>
        <v>#N/A</v>
      </c>
      <c r="C4033" s="500">
        <v>967</v>
      </c>
      <c r="D4033" s="41" t="e">
        <f>IF($C$1078&gt;0,VLOOKUP($C4033,PATRIMONIALE!$AJ$4:$AL$1003,3,FALSE),"")</f>
        <v>#N/A</v>
      </c>
      <c r="E4033" s="41" t="str">
        <f t="shared" ref="E4033:E4065" si="298">IF(ISERROR(D4033),"",D4033)</f>
        <v/>
      </c>
      <c r="F4033" s="200"/>
      <c r="G4033" s="178" t="e">
        <f>IF($C$1078&gt;0,VLOOKUP($C4033,PATRIMONIALE!$AJ$4:$AN$1003,5,FALSE),"")</f>
        <v>#N/A</v>
      </c>
      <c r="H4033" s="179" t="e">
        <f>IF($C$1078&gt;0,VLOOKUP($C4033,PATRIMONIALE!$AJ$4:$AO$1003,6,FALSE),"")</f>
        <v>#N/A</v>
      </c>
      <c r="I4033" s="187"/>
      <c r="J4033" s="140" t="e">
        <f ca="1">VLOOKUP(D4033,$F$1081:$I$4183,4,FALSE)+COUNTIF(E$1081:E4032,E4033)</f>
        <v>#N/A</v>
      </c>
      <c r="K4033" s="1"/>
      <c r="L4033" s="161" t="e">
        <f>IF($C$1078&gt;0,VLOOKUP($C4033,PATRIMONIALE!$AJ$4:$AP$1003,7,FALSE),"")</f>
        <v>#N/A</v>
      </c>
      <c r="M4033" s="1"/>
      <c r="N4033" s="1"/>
      <c r="O4033" s="1"/>
    </row>
    <row r="4034" spans="1:15" hidden="1">
      <c r="A4034" s="1"/>
      <c r="B4034" s="182" t="e">
        <f t="shared" ca="1" si="297"/>
        <v>#N/A</v>
      </c>
      <c r="C4034" s="500">
        <v>968</v>
      </c>
      <c r="D4034" s="41" t="e">
        <f>IF($C$1078&gt;0,VLOOKUP($C4034,PATRIMONIALE!$AJ$4:$AL$1003,3,FALSE),"")</f>
        <v>#N/A</v>
      </c>
      <c r="E4034" s="41" t="str">
        <f t="shared" si="298"/>
        <v/>
      </c>
      <c r="F4034" s="200"/>
      <c r="G4034" s="178" t="e">
        <f>IF($C$1078&gt;0,VLOOKUP($C4034,PATRIMONIALE!$AJ$4:$AN$1003,5,FALSE),"")</f>
        <v>#N/A</v>
      </c>
      <c r="H4034" s="179" t="e">
        <f>IF($C$1078&gt;0,VLOOKUP($C4034,PATRIMONIALE!$AJ$4:$AO$1003,6,FALSE),"")</f>
        <v>#N/A</v>
      </c>
      <c r="I4034" s="187"/>
      <c r="J4034" s="140" t="e">
        <f ca="1">VLOOKUP(D4034,$F$1081:$I$4183,4,FALSE)+COUNTIF(E$1081:E4033,E4034)</f>
        <v>#N/A</v>
      </c>
      <c r="K4034" s="1"/>
      <c r="L4034" s="161" t="e">
        <f>IF($C$1078&gt;0,VLOOKUP($C4034,PATRIMONIALE!$AJ$4:$AP$1003,7,FALSE),"")</f>
        <v>#N/A</v>
      </c>
      <c r="M4034" s="1"/>
      <c r="N4034" s="1"/>
      <c r="O4034" s="1"/>
    </row>
    <row r="4035" spans="1:15" hidden="1">
      <c r="A4035" s="1"/>
      <c r="B4035" s="182" t="e">
        <f t="shared" ca="1" si="297"/>
        <v>#N/A</v>
      </c>
      <c r="C4035" s="500">
        <v>969</v>
      </c>
      <c r="D4035" s="41" t="e">
        <f>IF($C$1078&gt;0,VLOOKUP($C4035,PATRIMONIALE!$AJ$4:$AL$1003,3,FALSE),"")</f>
        <v>#N/A</v>
      </c>
      <c r="E4035" s="41" t="str">
        <f t="shared" si="298"/>
        <v/>
      </c>
      <c r="F4035" s="200"/>
      <c r="G4035" s="178" t="e">
        <f>IF($C$1078&gt;0,VLOOKUP($C4035,PATRIMONIALE!$AJ$4:$AN$1003,5,FALSE),"")</f>
        <v>#N/A</v>
      </c>
      <c r="H4035" s="179" t="e">
        <f>IF($C$1078&gt;0,VLOOKUP($C4035,PATRIMONIALE!$AJ$4:$AO$1003,6,FALSE),"")</f>
        <v>#N/A</v>
      </c>
      <c r="I4035" s="187"/>
      <c r="J4035" s="140" t="e">
        <f ca="1">VLOOKUP(D4035,$F$1081:$I$4183,4,FALSE)+COUNTIF(E$1081:E4034,E4035)</f>
        <v>#N/A</v>
      </c>
      <c r="K4035" s="1"/>
      <c r="L4035" s="161" t="e">
        <f>IF($C$1078&gt;0,VLOOKUP($C4035,PATRIMONIALE!$AJ$4:$AP$1003,7,FALSE),"")</f>
        <v>#N/A</v>
      </c>
      <c r="M4035" s="1"/>
      <c r="N4035" s="1"/>
      <c r="O4035" s="1"/>
    </row>
    <row r="4036" spans="1:15" hidden="1">
      <c r="A4036" s="1"/>
      <c r="B4036" s="182" t="e">
        <f t="shared" ca="1" si="297"/>
        <v>#N/A</v>
      </c>
      <c r="C4036" s="500">
        <v>970</v>
      </c>
      <c r="D4036" s="41" t="e">
        <f>IF($C$1078&gt;0,VLOOKUP($C4036,PATRIMONIALE!$AJ$4:$AL$1003,3,FALSE),"")</f>
        <v>#N/A</v>
      </c>
      <c r="E4036" s="41" t="str">
        <f t="shared" si="298"/>
        <v/>
      </c>
      <c r="F4036" s="200"/>
      <c r="G4036" s="178" t="e">
        <f>IF($C$1078&gt;0,VLOOKUP($C4036,PATRIMONIALE!$AJ$4:$AN$1003,5,FALSE),"")</f>
        <v>#N/A</v>
      </c>
      <c r="H4036" s="179" t="e">
        <f>IF($C$1078&gt;0,VLOOKUP($C4036,PATRIMONIALE!$AJ$4:$AO$1003,6,FALSE),"")</f>
        <v>#N/A</v>
      </c>
      <c r="I4036" s="187"/>
      <c r="J4036" s="140" t="e">
        <f ca="1">VLOOKUP(D4036,$F$1081:$I$4183,4,FALSE)+COUNTIF(E$1081:E4035,E4036)</f>
        <v>#N/A</v>
      </c>
      <c r="K4036" s="1"/>
      <c r="L4036" s="161" t="e">
        <f>IF($C$1078&gt;0,VLOOKUP($C4036,PATRIMONIALE!$AJ$4:$AP$1003,7,FALSE),"")</f>
        <v>#N/A</v>
      </c>
      <c r="M4036" s="1"/>
      <c r="N4036" s="1"/>
      <c r="O4036" s="1"/>
    </row>
    <row r="4037" spans="1:15" hidden="1">
      <c r="A4037" s="1"/>
      <c r="B4037" s="182" t="e">
        <f t="shared" ca="1" si="297"/>
        <v>#N/A</v>
      </c>
      <c r="C4037" s="500">
        <v>971</v>
      </c>
      <c r="D4037" s="41" t="e">
        <f>IF($C$1078&gt;0,VLOOKUP($C4037,PATRIMONIALE!$AJ$4:$AL$1003,3,FALSE),"")</f>
        <v>#N/A</v>
      </c>
      <c r="E4037" s="41" t="str">
        <f t="shared" si="298"/>
        <v/>
      </c>
      <c r="F4037" s="200"/>
      <c r="G4037" s="178" t="e">
        <f>IF($C$1078&gt;0,VLOOKUP($C4037,PATRIMONIALE!$AJ$4:$AN$1003,5,FALSE),"")</f>
        <v>#N/A</v>
      </c>
      <c r="H4037" s="179" t="e">
        <f>IF($C$1078&gt;0,VLOOKUP($C4037,PATRIMONIALE!$AJ$4:$AO$1003,6,FALSE),"")</f>
        <v>#N/A</v>
      </c>
      <c r="I4037" s="187"/>
      <c r="J4037" s="140" t="e">
        <f ca="1">VLOOKUP(D4037,$F$1081:$I$4183,4,FALSE)+COUNTIF(E$1081:E4036,E4037)</f>
        <v>#N/A</v>
      </c>
      <c r="K4037" s="1"/>
      <c r="L4037" s="161" t="e">
        <f>IF($C$1078&gt;0,VLOOKUP($C4037,PATRIMONIALE!$AJ$4:$AP$1003,7,FALSE),"")</f>
        <v>#N/A</v>
      </c>
      <c r="M4037" s="1"/>
      <c r="N4037" s="1"/>
      <c r="O4037" s="1"/>
    </row>
    <row r="4038" spans="1:15" hidden="1">
      <c r="A4038" s="1"/>
      <c r="B4038" s="182" t="e">
        <f t="shared" ca="1" si="297"/>
        <v>#N/A</v>
      </c>
      <c r="C4038" s="500">
        <v>972</v>
      </c>
      <c r="D4038" s="41" t="e">
        <f>IF($C$1078&gt;0,VLOOKUP($C4038,PATRIMONIALE!$AJ$4:$AL$1003,3,FALSE),"")</f>
        <v>#N/A</v>
      </c>
      <c r="E4038" s="41" t="str">
        <f t="shared" si="298"/>
        <v/>
      </c>
      <c r="F4038" s="200"/>
      <c r="G4038" s="178" t="e">
        <f>IF($C$1078&gt;0,VLOOKUP($C4038,PATRIMONIALE!$AJ$4:$AN$1003,5,FALSE),"")</f>
        <v>#N/A</v>
      </c>
      <c r="H4038" s="179" t="e">
        <f>IF($C$1078&gt;0,VLOOKUP($C4038,PATRIMONIALE!$AJ$4:$AO$1003,6,FALSE),"")</f>
        <v>#N/A</v>
      </c>
      <c r="I4038" s="187"/>
      <c r="J4038" s="140" t="e">
        <f ca="1">VLOOKUP(D4038,$F$1081:$I$4183,4,FALSE)+COUNTIF(E$1081:E4037,E4038)</f>
        <v>#N/A</v>
      </c>
      <c r="K4038" s="1"/>
      <c r="L4038" s="161" t="e">
        <f>IF($C$1078&gt;0,VLOOKUP($C4038,PATRIMONIALE!$AJ$4:$AP$1003,7,FALSE),"")</f>
        <v>#N/A</v>
      </c>
      <c r="M4038" s="1"/>
      <c r="N4038" s="1"/>
      <c r="O4038" s="1"/>
    </row>
    <row r="4039" spans="1:15" hidden="1">
      <c r="A4039" s="1"/>
      <c r="B4039" s="182" t="e">
        <f t="shared" ca="1" si="297"/>
        <v>#N/A</v>
      </c>
      <c r="C4039" s="500">
        <v>973</v>
      </c>
      <c r="D4039" s="41" t="e">
        <f>IF($C$1078&gt;0,VLOOKUP($C4039,PATRIMONIALE!$AJ$4:$AL$1003,3,FALSE),"")</f>
        <v>#N/A</v>
      </c>
      <c r="E4039" s="41" t="str">
        <f t="shared" si="298"/>
        <v/>
      </c>
      <c r="F4039" s="200"/>
      <c r="G4039" s="178" t="e">
        <f>IF($C$1078&gt;0,VLOOKUP($C4039,PATRIMONIALE!$AJ$4:$AN$1003,5,FALSE),"")</f>
        <v>#N/A</v>
      </c>
      <c r="H4039" s="179" t="e">
        <f>IF($C$1078&gt;0,VLOOKUP($C4039,PATRIMONIALE!$AJ$4:$AO$1003,6,FALSE),"")</f>
        <v>#N/A</v>
      </c>
      <c r="I4039" s="187"/>
      <c r="J4039" s="140" t="e">
        <f ca="1">VLOOKUP(D4039,$F$1081:$I$4183,4,FALSE)+COUNTIF(E$1081:E4038,E4039)</f>
        <v>#N/A</v>
      </c>
      <c r="K4039" s="1"/>
      <c r="L4039" s="161" t="e">
        <f>IF($C$1078&gt;0,VLOOKUP($C4039,PATRIMONIALE!$AJ$4:$AP$1003,7,FALSE),"")</f>
        <v>#N/A</v>
      </c>
      <c r="M4039" s="1"/>
      <c r="N4039" s="1"/>
      <c r="O4039" s="1"/>
    </row>
    <row r="4040" spans="1:15" hidden="1">
      <c r="A4040" s="1"/>
      <c r="B4040" s="182" t="e">
        <f t="shared" ca="1" si="297"/>
        <v>#N/A</v>
      </c>
      <c r="C4040" s="500">
        <v>974</v>
      </c>
      <c r="D4040" s="41" t="e">
        <f>IF($C$1078&gt;0,VLOOKUP($C4040,PATRIMONIALE!$AJ$4:$AL$1003,3,FALSE),"")</f>
        <v>#N/A</v>
      </c>
      <c r="E4040" s="41" t="str">
        <f t="shared" si="298"/>
        <v/>
      </c>
      <c r="F4040" s="200"/>
      <c r="G4040" s="178" t="e">
        <f>IF($C$1078&gt;0,VLOOKUP($C4040,PATRIMONIALE!$AJ$4:$AN$1003,5,FALSE),"")</f>
        <v>#N/A</v>
      </c>
      <c r="H4040" s="179" t="e">
        <f>IF($C$1078&gt;0,VLOOKUP($C4040,PATRIMONIALE!$AJ$4:$AO$1003,6,FALSE),"")</f>
        <v>#N/A</v>
      </c>
      <c r="I4040" s="187"/>
      <c r="J4040" s="140" t="e">
        <f ca="1">VLOOKUP(D4040,$F$1081:$I$4183,4,FALSE)+COUNTIF(E$1081:E4039,E4040)</f>
        <v>#N/A</v>
      </c>
      <c r="K4040" s="1"/>
      <c r="L4040" s="161" t="e">
        <f>IF($C$1078&gt;0,VLOOKUP($C4040,PATRIMONIALE!$AJ$4:$AP$1003,7,FALSE),"")</f>
        <v>#N/A</v>
      </c>
      <c r="M4040" s="1"/>
      <c r="N4040" s="1"/>
      <c r="O4040" s="1"/>
    </row>
    <row r="4041" spans="1:15" hidden="1">
      <c r="A4041" s="1"/>
      <c r="B4041" s="182" t="e">
        <f t="shared" ca="1" si="297"/>
        <v>#N/A</v>
      </c>
      <c r="C4041" s="500">
        <v>975</v>
      </c>
      <c r="D4041" s="41" t="e">
        <f>IF($C$1078&gt;0,VLOOKUP($C4041,PATRIMONIALE!$AJ$4:$AL$1003,3,FALSE),"")</f>
        <v>#N/A</v>
      </c>
      <c r="E4041" s="41" t="str">
        <f t="shared" si="298"/>
        <v/>
      </c>
      <c r="F4041" s="200"/>
      <c r="G4041" s="178" t="e">
        <f>IF($C$1078&gt;0,VLOOKUP($C4041,PATRIMONIALE!$AJ$4:$AN$1003,5,FALSE),"")</f>
        <v>#N/A</v>
      </c>
      <c r="H4041" s="179" t="e">
        <f>IF($C$1078&gt;0,VLOOKUP($C4041,PATRIMONIALE!$AJ$4:$AO$1003,6,FALSE),"")</f>
        <v>#N/A</v>
      </c>
      <c r="I4041" s="187"/>
      <c r="J4041" s="140" t="e">
        <f ca="1">VLOOKUP(D4041,$F$1081:$I$4183,4,FALSE)+COUNTIF(E$1081:E4040,E4041)</f>
        <v>#N/A</v>
      </c>
      <c r="K4041" s="1"/>
      <c r="L4041" s="161" t="e">
        <f>IF($C$1078&gt;0,VLOOKUP($C4041,PATRIMONIALE!$AJ$4:$AP$1003,7,FALSE),"")</f>
        <v>#N/A</v>
      </c>
      <c r="M4041" s="1"/>
      <c r="N4041" s="1"/>
      <c r="O4041" s="1"/>
    </row>
    <row r="4042" spans="1:15" hidden="1">
      <c r="A4042" s="1"/>
      <c r="B4042" s="182" t="e">
        <f t="shared" ca="1" si="297"/>
        <v>#N/A</v>
      </c>
      <c r="C4042" s="500">
        <v>976</v>
      </c>
      <c r="D4042" s="41" t="e">
        <f>IF($C$1078&gt;0,VLOOKUP($C4042,PATRIMONIALE!$AJ$4:$AL$1003,3,FALSE),"")</f>
        <v>#N/A</v>
      </c>
      <c r="E4042" s="41" t="str">
        <f t="shared" si="298"/>
        <v/>
      </c>
      <c r="F4042" s="200"/>
      <c r="G4042" s="178" t="e">
        <f>IF($C$1078&gt;0,VLOOKUP($C4042,PATRIMONIALE!$AJ$4:$AN$1003,5,FALSE),"")</f>
        <v>#N/A</v>
      </c>
      <c r="H4042" s="179" t="e">
        <f>IF($C$1078&gt;0,VLOOKUP($C4042,PATRIMONIALE!$AJ$4:$AO$1003,6,FALSE),"")</f>
        <v>#N/A</v>
      </c>
      <c r="I4042" s="187"/>
      <c r="J4042" s="140" t="e">
        <f ca="1">VLOOKUP(D4042,$F$1081:$I$4183,4,FALSE)+COUNTIF(E$1081:E4041,E4042)</f>
        <v>#N/A</v>
      </c>
      <c r="K4042" s="1"/>
      <c r="L4042" s="161" t="e">
        <f>IF($C$1078&gt;0,VLOOKUP($C4042,PATRIMONIALE!$AJ$4:$AP$1003,7,FALSE),"")</f>
        <v>#N/A</v>
      </c>
      <c r="M4042" s="1"/>
      <c r="N4042" s="1"/>
      <c r="O4042" s="1"/>
    </row>
    <row r="4043" spans="1:15" hidden="1">
      <c r="A4043" s="1"/>
      <c r="B4043" s="182" t="e">
        <f t="shared" ca="1" si="297"/>
        <v>#N/A</v>
      </c>
      <c r="C4043" s="500">
        <v>977</v>
      </c>
      <c r="D4043" s="41" t="e">
        <f>IF($C$1078&gt;0,VLOOKUP($C4043,PATRIMONIALE!$AJ$4:$AL$1003,3,FALSE),"")</f>
        <v>#N/A</v>
      </c>
      <c r="E4043" s="41" t="str">
        <f t="shared" si="298"/>
        <v/>
      </c>
      <c r="F4043" s="200"/>
      <c r="G4043" s="178" t="e">
        <f>IF($C$1078&gt;0,VLOOKUP($C4043,PATRIMONIALE!$AJ$4:$AN$1003,5,FALSE),"")</f>
        <v>#N/A</v>
      </c>
      <c r="H4043" s="179" t="e">
        <f>IF($C$1078&gt;0,VLOOKUP($C4043,PATRIMONIALE!$AJ$4:$AO$1003,6,FALSE),"")</f>
        <v>#N/A</v>
      </c>
      <c r="I4043" s="187"/>
      <c r="J4043" s="140" t="e">
        <f ca="1">VLOOKUP(D4043,$F$1081:$I$4183,4,FALSE)+COUNTIF(E$1081:E4042,E4043)</f>
        <v>#N/A</v>
      </c>
      <c r="K4043" s="1"/>
      <c r="L4043" s="161" t="e">
        <f>IF($C$1078&gt;0,VLOOKUP($C4043,PATRIMONIALE!$AJ$4:$AP$1003,7,FALSE),"")</f>
        <v>#N/A</v>
      </c>
      <c r="M4043" s="1"/>
      <c r="N4043" s="1"/>
      <c r="O4043" s="1"/>
    </row>
    <row r="4044" spans="1:15" hidden="1">
      <c r="A4044" s="1"/>
      <c r="B4044" s="182" t="e">
        <f t="shared" ca="1" si="297"/>
        <v>#N/A</v>
      </c>
      <c r="C4044" s="500">
        <v>978</v>
      </c>
      <c r="D4044" s="41" t="e">
        <f>IF($C$1078&gt;0,VLOOKUP($C4044,PATRIMONIALE!$AJ$4:$AL$1003,3,FALSE),"")</f>
        <v>#N/A</v>
      </c>
      <c r="E4044" s="41" t="str">
        <f t="shared" si="298"/>
        <v/>
      </c>
      <c r="F4044" s="200"/>
      <c r="G4044" s="178" t="e">
        <f>IF($C$1078&gt;0,VLOOKUP($C4044,PATRIMONIALE!$AJ$4:$AN$1003,5,FALSE),"")</f>
        <v>#N/A</v>
      </c>
      <c r="H4044" s="179" t="e">
        <f>IF($C$1078&gt;0,VLOOKUP($C4044,PATRIMONIALE!$AJ$4:$AO$1003,6,FALSE),"")</f>
        <v>#N/A</v>
      </c>
      <c r="I4044" s="187"/>
      <c r="J4044" s="140" t="e">
        <f ca="1">VLOOKUP(D4044,$F$1081:$I$4183,4,FALSE)+COUNTIF(E$1081:E4043,E4044)</f>
        <v>#N/A</v>
      </c>
      <c r="K4044" s="1"/>
      <c r="L4044" s="161" t="e">
        <f>IF($C$1078&gt;0,VLOOKUP($C4044,PATRIMONIALE!$AJ$4:$AP$1003,7,FALSE),"")</f>
        <v>#N/A</v>
      </c>
      <c r="M4044" s="1"/>
      <c r="N4044" s="1"/>
      <c r="O4044" s="1"/>
    </row>
    <row r="4045" spans="1:15" hidden="1">
      <c r="A4045" s="1"/>
      <c r="B4045" s="182" t="e">
        <f t="shared" ca="1" si="297"/>
        <v>#N/A</v>
      </c>
      <c r="C4045" s="500">
        <v>979</v>
      </c>
      <c r="D4045" s="41" t="e">
        <f>IF($C$1078&gt;0,VLOOKUP($C4045,PATRIMONIALE!$AJ$4:$AL$1003,3,FALSE),"")</f>
        <v>#N/A</v>
      </c>
      <c r="E4045" s="41" t="str">
        <f t="shared" si="298"/>
        <v/>
      </c>
      <c r="F4045" s="200"/>
      <c r="G4045" s="178" t="e">
        <f>IF($C$1078&gt;0,VLOOKUP($C4045,PATRIMONIALE!$AJ$4:$AN$1003,5,FALSE),"")</f>
        <v>#N/A</v>
      </c>
      <c r="H4045" s="179" t="e">
        <f>IF($C$1078&gt;0,VLOOKUP($C4045,PATRIMONIALE!$AJ$4:$AO$1003,6,FALSE),"")</f>
        <v>#N/A</v>
      </c>
      <c r="I4045" s="187"/>
      <c r="J4045" s="140" t="e">
        <f ca="1">VLOOKUP(D4045,$F$1081:$I$4183,4,FALSE)+COUNTIF(E$1081:E4044,E4045)</f>
        <v>#N/A</v>
      </c>
      <c r="K4045" s="1"/>
      <c r="L4045" s="161" t="e">
        <f>IF($C$1078&gt;0,VLOOKUP($C4045,PATRIMONIALE!$AJ$4:$AP$1003,7,FALSE),"")</f>
        <v>#N/A</v>
      </c>
      <c r="M4045" s="1"/>
      <c r="N4045" s="1"/>
      <c r="O4045" s="1"/>
    </row>
    <row r="4046" spans="1:15" hidden="1">
      <c r="A4046" s="1"/>
      <c r="B4046" s="182" t="e">
        <f t="shared" ca="1" si="297"/>
        <v>#N/A</v>
      </c>
      <c r="C4046" s="500">
        <v>980</v>
      </c>
      <c r="D4046" s="41" t="e">
        <f>IF($C$1078&gt;0,VLOOKUP($C4046,PATRIMONIALE!$AJ$4:$AL$1003,3,FALSE),"")</f>
        <v>#N/A</v>
      </c>
      <c r="E4046" s="41" t="str">
        <f t="shared" si="298"/>
        <v/>
      </c>
      <c r="F4046" s="200"/>
      <c r="G4046" s="178" t="e">
        <f>IF($C$1078&gt;0,VLOOKUP($C4046,PATRIMONIALE!$AJ$4:$AN$1003,5,FALSE),"")</f>
        <v>#N/A</v>
      </c>
      <c r="H4046" s="179" t="e">
        <f>IF($C$1078&gt;0,VLOOKUP($C4046,PATRIMONIALE!$AJ$4:$AO$1003,6,FALSE),"")</f>
        <v>#N/A</v>
      </c>
      <c r="I4046" s="187"/>
      <c r="J4046" s="140" t="e">
        <f ca="1">VLOOKUP(D4046,$F$1081:$I$4183,4,FALSE)+COUNTIF(E$1081:E4045,E4046)</f>
        <v>#N/A</v>
      </c>
      <c r="K4046" s="1"/>
      <c r="L4046" s="161" t="e">
        <f>IF($C$1078&gt;0,VLOOKUP($C4046,PATRIMONIALE!$AJ$4:$AP$1003,7,FALSE),"")</f>
        <v>#N/A</v>
      </c>
      <c r="M4046" s="1"/>
      <c r="N4046" s="1"/>
      <c r="O4046" s="1"/>
    </row>
    <row r="4047" spans="1:15" hidden="1">
      <c r="A4047" s="1"/>
      <c r="B4047" s="182" t="e">
        <f t="shared" ca="1" si="297"/>
        <v>#N/A</v>
      </c>
      <c r="C4047" s="500">
        <v>981</v>
      </c>
      <c r="D4047" s="41" t="e">
        <f>IF($C$1078&gt;0,VLOOKUP($C4047,PATRIMONIALE!$AJ$4:$AL$1003,3,FALSE),"")</f>
        <v>#N/A</v>
      </c>
      <c r="E4047" s="41" t="str">
        <f t="shared" si="298"/>
        <v/>
      </c>
      <c r="F4047" s="200"/>
      <c r="G4047" s="178" t="e">
        <f>IF($C$1078&gt;0,VLOOKUP($C4047,PATRIMONIALE!$AJ$4:$AN$1003,5,FALSE),"")</f>
        <v>#N/A</v>
      </c>
      <c r="H4047" s="179" t="e">
        <f>IF($C$1078&gt;0,VLOOKUP($C4047,PATRIMONIALE!$AJ$4:$AO$1003,6,FALSE),"")</f>
        <v>#N/A</v>
      </c>
      <c r="I4047" s="187"/>
      <c r="J4047" s="140" t="e">
        <f ca="1">VLOOKUP(D4047,$F$1081:$I$4183,4,FALSE)+COUNTIF(E$1081:E4046,E4047)</f>
        <v>#N/A</v>
      </c>
      <c r="K4047" s="1"/>
      <c r="L4047" s="161" t="e">
        <f>IF($C$1078&gt;0,VLOOKUP($C4047,PATRIMONIALE!$AJ$4:$AP$1003,7,FALSE),"")</f>
        <v>#N/A</v>
      </c>
      <c r="M4047" s="1"/>
      <c r="N4047" s="1"/>
      <c r="O4047" s="1"/>
    </row>
    <row r="4048" spans="1:15" hidden="1">
      <c r="A4048" s="1"/>
      <c r="B4048" s="182" t="e">
        <f t="shared" ca="1" si="297"/>
        <v>#N/A</v>
      </c>
      <c r="C4048" s="500">
        <v>982</v>
      </c>
      <c r="D4048" s="41" t="e">
        <f>IF($C$1078&gt;0,VLOOKUP($C4048,PATRIMONIALE!$AJ$4:$AL$1003,3,FALSE),"")</f>
        <v>#N/A</v>
      </c>
      <c r="E4048" s="41" t="str">
        <f t="shared" si="298"/>
        <v/>
      </c>
      <c r="F4048" s="200"/>
      <c r="G4048" s="178" t="e">
        <f>IF($C$1078&gt;0,VLOOKUP($C4048,PATRIMONIALE!$AJ$4:$AN$1003,5,FALSE),"")</f>
        <v>#N/A</v>
      </c>
      <c r="H4048" s="179" t="e">
        <f>IF($C$1078&gt;0,VLOOKUP($C4048,PATRIMONIALE!$AJ$4:$AO$1003,6,FALSE),"")</f>
        <v>#N/A</v>
      </c>
      <c r="I4048" s="187"/>
      <c r="J4048" s="140" t="e">
        <f ca="1">VLOOKUP(D4048,$F$1081:$I$4183,4,FALSE)+COUNTIF(E$1081:E4047,E4048)</f>
        <v>#N/A</v>
      </c>
      <c r="K4048" s="1"/>
      <c r="L4048" s="161" t="e">
        <f>IF($C$1078&gt;0,VLOOKUP($C4048,PATRIMONIALE!$AJ$4:$AP$1003,7,FALSE),"")</f>
        <v>#N/A</v>
      </c>
      <c r="M4048" s="1"/>
      <c r="N4048" s="1"/>
      <c r="O4048" s="1"/>
    </row>
    <row r="4049" spans="1:15" hidden="1">
      <c r="A4049" s="1"/>
      <c r="B4049" s="182" t="e">
        <f t="shared" ca="1" si="297"/>
        <v>#N/A</v>
      </c>
      <c r="C4049" s="500">
        <v>983</v>
      </c>
      <c r="D4049" s="41" t="e">
        <f>IF($C$1078&gt;0,VLOOKUP($C4049,PATRIMONIALE!$AJ$4:$AL$1003,3,FALSE),"")</f>
        <v>#N/A</v>
      </c>
      <c r="E4049" s="41" t="str">
        <f t="shared" si="298"/>
        <v/>
      </c>
      <c r="F4049" s="200"/>
      <c r="G4049" s="178" t="e">
        <f>IF($C$1078&gt;0,VLOOKUP($C4049,PATRIMONIALE!$AJ$4:$AN$1003,5,FALSE),"")</f>
        <v>#N/A</v>
      </c>
      <c r="H4049" s="179" t="e">
        <f>IF($C$1078&gt;0,VLOOKUP($C4049,PATRIMONIALE!$AJ$4:$AO$1003,6,FALSE),"")</f>
        <v>#N/A</v>
      </c>
      <c r="I4049" s="187"/>
      <c r="J4049" s="140" t="e">
        <f ca="1">VLOOKUP(D4049,$F$1081:$I$4183,4,FALSE)+COUNTIF(E$1081:E4048,E4049)</f>
        <v>#N/A</v>
      </c>
      <c r="K4049" s="1"/>
      <c r="L4049" s="161" t="e">
        <f>IF($C$1078&gt;0,VLOOKUP($C4049,PATRIMONIALE!$AJ$4:$AP$1003,7,FALSE),"")</f>
        <v>#N/A</v>
      </c>
      <c r="M4049" s="1"/>
      <c r="N4049" s="1"/>
      <c r="O4049" s="1"/>
    </row>
    <row r="4050" spans="1:15" hidden="1">
      <c r="A4050" s="1"/>
      <c r="B4050" s="182" t="e">
        <f t="shared" ca="1" si="297"/>
        <v>#N/A</v>
      </c>
      <c r="C4050" s="500">
        <v>984</v>
      </c>
      <c r="D4050" s="41" t="e">
        <f>IF($C$1078&gt;0,VLOOKUP($C4050,PATRIMONIALE!$AJ$4:$AL$1003,3,FALSE),"")</f>
        <v>#N/A</v>
      </c>
      <c r="E4050" s="41" t="str">
        <f t="shared" si="298"/>
        <v/>
      </c>
      <c r="F4050" s="200"/>
      <c r="G4050" s="178" t="e">
        <f>IF($C$1078&gt;0,VLOOKUP($C4050,PATRIMONIALE!$AJ$4:$AN$1003,5,FALSE),"")</f>
        <v>#N/A</v>
      </c>
      <c r="H4050" s="179" t="e">
        <f>IF($C$1078&gt;0,VLOOKUP($C4050,PATRIMONIALE!$AJ$4:$AO$1003,6,FALSE),"")</f>
        <v>#N/A</v>
      </c>
      <c r="I4050" s="187"/>
      <c r="J4050" s="140" t="e">
        <f ca="1">VLOOKUP(D4050,$F$1081:$I$4183,4,FALSE)+COUNTIF(E$1081:E4049,E4050)</f>
        <v>#N/A</v>
      </c>
      <c r="K4050" s="1"/>
      <c r="L4050" s="161" t="e">
        <f>IF($C$1078&gt;0,VLOOKUP($C4050,PATRIMONIALE!$AJ$4:$AP$1003,7,FALSE),"")</f>
        <v>#N/A</v>
      </c>
      <c r="M4050" s="1"/>
      <c r="N4050" s="1"/>
      <c r="O4050" s="1"/>
    </row>
    <row r="4051" spans="1:15" hidden="1">
      <c r="A4051" s="1"/>
      <c r="B4051" s="182" t="e">
        <f t="shared" ca="1" si="297"/>
        <v>#N/A</v>
      </c>
      <c r="C4051" s="500">
        <v>985</v>
      </c>
      <c r="D4051" s="41" t="e">
        <f>IF($C$1078&gt;0,VLOOKUP($C4051,PATRIMONIALE!$AJ$4:$AL$1003,3,FALSE),"")</f>
        <v>#N/A</v>
      </c>
      <c r="E4051" s="41" t="str">
        <f t="shared" si="298"/>
        <v/>
      </c>
      <c r="F4051" s="200"/>
      <c r="G4051" s="178" t="e">
        <f>IF($C$1078&gt;0,VLOOKUP($C4051,PATRIMONIALE!$AJ$4:$AN$1003,5,FALSE),"")</f>
        <v>#N/A</v>
      </c>
      <c r="H4051" s="179" t="e">
        <f>IF($C$1078&gt;0,VLOOKUP($C4051,PATRIMONIALE!$AJ$4:$AO$1003,6,FALSE),"")</f>
        <v>#N/A</v>
      </c>
      <c r="I4051" s="187"/>
      <c r="J4051" s="140" t="e">
        <f ca="1">VLOOKUP(D4051,$F$1081:$I$4183,4,FALSE)+COUNTIF(E$1081:E4050,E4051)</f>
        <v>#N/A</v>
      </c>
      <c r="K4051" s="1"/>
      <c r="L4051" s="161" t="e">
        <f>IF($C$1078&gt;0,VLOOKUP($C4051,PATRIMONIALE!$AJ$4:$AP$1003,7,FALSE),"")</f>
        <v>#N/A</v>
      </c>
      <c r="M4051" s="1"/>
      <c r="N4051" s="1"/>
      <c r="O4051" s="1"/>
    </row>
    <row r="4052" spans="1:15" hidden="1">
      <c r="A4052" s="1"/>
      <c r="B4052" s="182" t="e">
        <f t="shared" ca="1" si="297"/>
        <v>#N/A</v>
      </c>
      <c r="C4052" s="500">
        <v>986</v>
      </c>
      <c r="D4052" s="41" t="e">
        <f>IF($C$1078&gt;0,VLOOKUP($C4052,PATRIMONIALE!$AJ$4:$AL$1003,3,FALSE),"")</f>
        <v>#N/A</v>
      </c>
      <c r="E4052" s="41" t="str">
        <f t="shared" si="298"/>
        <v/>
      </c>
      <c r="F4052" s="200"/>
      <c r="G4052" s="178" t="e">
        <f>IF($C$1078&gt;0,VLOOKUP($C4052,PATRIMONIALE!$AJ$4:$AN$1003,5,FALSE),"")</f>
        <v>#N/A</v>
      </c>
      <c r="H4052" s="179" t="e">
        <f>IF($C$1078&gt;0,VLOOKUP($C4052,PATRIMONIALE!$AJ$4:$AO$1003,6,FALSE),"")</f>
        <v>#N/A</v>
      </c>
      <c r="I4052" s="187"/>
      <c r="J4052" s="140" t="e">
        <f ca="1">VLOOKUP(D4052,$F$1081:$I$4183,4,FALSE)+COUNTIF(E$1081:E4051,E4052)</f>
        <v>#N/A</v>
      </c>
      <c r="K4052" s="1"/>
      <c r="L4052" s="161" t="e">
        <f>IF($C$1078&gt;0,VLOOKUP($C4052,PATRIMONIALE!$AJ$4:$AP$1003,7,FALSE),"")</f>
        <v>#N/A</v>
      </c>
      <c r="M4052" s="1"/>
      <c r="N4052" s="1"/>
      <c r="O4052" s="1"/>
    </row>
    <row r="4053" spans="1:15" hidden="1">
      <c r="A4053" s="1"/>
      <c r="B4053" s="182" t="e">
        <f t="shared" ca="1" si="297"/>
        <v>#N/A</v>
      </c>
      <c r="C4053" s="500">
        <v>987</v>
      </c>
      <c r="D4053" s="41" t="e">
        <f>IF($C$1078&gt;0,VLOOKUP($C4053,PATRIMONIALE!$AJ$4:$AL$1003,3,FALSE),"")</f>
        <v>#N/A</v>
      </c>
      <c r="E4053" s="41" t="str">
        <f t="shared" si="298"/>
        <v/>
      </c>
      <c r="F4053" s="200"/>
      <c r="G4053" s="178" t="e">
        <f>IF($C$1078&gt;0,VLOOKUP($C4053,PATRIMONIALE!$AJ$4:$AN$1003,5,FALSE),"")</f>
        <v>#N/A</v>
      </c>
      <c r="H4053" s="179" t="e">
        <f>IF($C$1078&gt;0,VLOOKUP($C4053,PATRIMONIALE!$AJ$4:$AO$1003,6,FALSE),"")</f>
        <v>#N/A</v>
      </c>
      <c r="I4053" s="187"/>
      <c r="J4053" s="140" t="e">
        <f ca="1">VLOOKUP(D4053,$F$1081:$I$4183,4,FALSE)+COUNTIF(E$1081:E4052,E4053)</f>
        <v>#N/A</v>
      </c>
      <c r="K4053" s="1"/>
      <c r="L4053" s="161" t="e">
        <f>IF($C$1078&gt;0,VLOOKUP($C4053,PATRIMONIALE!$AJ$4:$AP$1003,7,FALSE),"")</f>
        <v>#N/A</v>
      </c>
      <c r="M4053" s="1"/>
      <c r="N4053" s="1"/>
      <c r="O4053" s="1"/>
    </row>
    <row r="4054" spans="1:15" hidden="1">
      <c r="A4054" s="1"/>
      <c r="B4054" s="182" t="e">
        <f t="shared" ca="1" si="297"/>
        <v>#N/A</v>
      </c>
      <c r="C4054" s="500">
        <v>988</v>
      </c>
      <c r="D4054" s="41" t="e">
        <f>IF($C$1078&gt;0,VLOOKUP($C4054,PATRIMONIALE!$AJ$4:$AL$1003,3,FALSE),"")</f>
        <v>#N/A</v>
      </c>
      <c r="E4054" s="41" t="str">
        <f t="shared" si="298"/>
        <v/>
      </c>
      <c r="F4054" s="200"/>
      <c r="G4054" s="178" t="e">
        <f>IF($C$1078&gt;0,VLOOKUP($C4054,PATRIMONIALE!$AJ$4:$AN$1003,5,FALSE),"")</f>
        <v>#N/A</v>
      </c>
      <c r="H4054" s="179" t="e">
        <f>IF($C$1078&gt;0,VLOOKUP($C4054,PATRIMONIALE!$AJ$4:$AO$1003,6,FALSE),"")</f>
        <v>#N/A</v>
      </c>
      <c r="I4054" s="187"/>
      <c r="J4054" s="140" t="e">
        <f ca="1">VLOOKUP(D4054,$F$1081:$I$4183,4,FALSE)+COUNTIF(E$1081:E4053,E4054)</f>
        <v>#N/A</v>
      </c>
      <c r="K4054" s="1"/>
      <c r="L4054" s="161" t="e">
        <f>IF($C$1078&gt;0,VLOOKUP($C4054,PATRIMONIALE!$AJ$4:$AP$1003,7,FALSE),"")</f>
        <v>#N/A</v>
      </c>
      <c r="M4054" s="1"/>
      <c r="N4054" s="1"/>
      <c r="O4054" s="1"/>
    </row>
    <row r="4055" spans="1:15" hidden="1">
      <c r="A4055" s="1"/>
      <c r="B4055" s="182" t="e">
        <f t="shared" ca="1" si="297"/>
        <v>#N/A</v>
      </c>
      <c r="C4055" s="500">
        <v>989</v>
      </c>
      <c r="D4055" s="41" t="e">
        <f>IF($C$1078&gt;0,VLOOKUP($C4055,PATRIMONIALE!$AJ$4:$AL$1003,3,FALSE),"")</f>
        <v>#N/A</v>
      </c>
      <c r="E4055" s="41" t="str">
        <f t="shared" si="298"/>
        <v/>
      </c>
      <c r="F4055" s="200"/>
      <c r="G4055" s="178" t="e">
        <f>IF($C$1078&gt;0,VLOOKUP($C4055,PATRIMONIALE!$AJ$4:$AN$1003,5,FALSE),"")</f>
        <v>#N/A</v>
      </c>
      <c r="H4055" s="179" t="e">
        <f>IF($C$1078&gt;0,VLOOKUP($C4055,PATRIMONIALE!$AJ$4:$AO$1003,6,FALSE),"")</f>
        <v>#N/A</v>
      </c>
      <c r="I4055" s="187"/>
      <c r="J4055" s="140" t="e">
        <f ca="1">VLOOKUP(D4055,$F$1081:$I$4183,4,FALSE)+COUNTIF(E$1081:E4054,E4055)</f>
        <v>#N/A</v>
      </c>
      <c r="K4055" s="1"/>
      <c r="L4055" s="161" t="e">
        <f>IF($C$1078&gt;0,VLOOKUP($C4055,PATRIMONIALE!$AJ$4:$AP$1003,7,FALSE),"")</f>
        <v>#N/A</v>
      </c>
      <c r="M4055" s="1"/>
      <c r="N4055" s="1"/>
      <c r="O4055" s="1"/>
    </row>
    <row r="4056" spans="1:15" hidden="1">
      <c r="A4056" s="1"/>
      <c r="B4056" s="182" t="e">
        <f t="shared" ca="1" si="297"/>
        <v>#N/A</v>
      </c>
      <c r="C4056" s="500">
        <v>990</v>
      </c>
      <c r="D4056" s="41" t="e">
        <f>IF($C$1078&gt;0,VLOOKUP($C4056,PATRIMONIALE!$AJ$4:$AL$1003,3,FALSE),"")</f>
        <v>#N/A</v>
      </c>
      <c r="E4056" s="41" t="str">
        <f t="shared" si="298"/>
        <v/>
      </c>
      <c r="F4056" s="200"/>
      <c r="G4056" s="178" t="e">
        <f>IF($C$1078&gt;0,VLOOKUP($C4056,PATRIMONIALE!$AJ$4:$AN$1003,5,FALSE),"")</f>
        <v>#N/A</v>
      </c>
      <c r="H4056" s="179" t="e">
        <f>IF($C$1078&gt;0,VLOOKUP($C4056,PATRIMONIALE!$AJ$4:$AO$1003,6,FALSE),"")</f>
        <v>#N/A</v>
      </c>
      <c r="I4056" s="187"/>
      <c r="J4056" s="140" t="e">
        <f ca="1">VLOOKUP(D4056,$F$1081:$I$4183,4,FALSE)+COUNTIF(E$1081:E4055,E4056)</f>
        <v>#N/A</v>
      </c>
      <c r="K4056" s="1"/>
      <c r="L4056" s="161" t="e">
        <f>IF($C$1078&gt;0,VLOOKUP($C4056,PATRIMONIALE!$AJ$4:$AP$1003,7,FALSE),"")</f>
        <v>#N/A</v>
      </c>
      <c r="M4056" s="1"/>
      <c r="N4056" s="1"/>
      <c r="O4056" s="1"/>
    </row>
    <row r="4057" spans="1:15" hidden="1">
      <c r="A4057" s="1"/>
      <c r="B4057" s="182" t="e">
        <f t="shared" ca="1" si="297"/>
        <v>#N/A</v>
      </c>
      <c r="C4057" s="500">
        <v>991</v>
      </c>
      <c r="D4057" s="41" t="e">
        <f>IF($C$1078&gt;0,VLOOKUP($C4057,PATRIMONIALE!$AJ$4:$AL$1003,3,FALSE),"")</f>
        <v>#N/A</v>
      </c>
      <c r="E4057" s="41" t="str">
        <f t="shared" si="298"/>
        <v/>
      </c>
      <c r="F4057" s="200"/>
      <c r="G4057" s="178" t="e">
        <f>IF($C$1078&gt;0,VLOOKUP($C4057,PATRIMONIALE!$AJ$4:$AN$1003,5,FALSE),"")</f>
        <v>#N/A</v>
      </c>
      <c r="H4057" s="179" t="e">
        <f>IF($C$1078&gt;0,VLOOKUP($C4057,PATRIMONIALE!$AJ$4:$AO$1003,6,FALSE),"")</f>
        <v>#N/A</v>
      </c>
      <c r="I4057" s="187"/>
      <c r="J4057" s="140" t="e">
        <f ca="1">VLOOKUP(D4057,$F$1081:$I$4183,4,FALSE)+COUNTIF(E$1081:E4056,E4057)</f>
        <v>#N/A</v>
      </c>
      <c r="K4057" s="1"/>
      <c r="L4057" s="161" t="e">
        <f>IF($C$1078&gt;0,VLOOKUP($C4057,PATRIMONIALE!$AJ$4:$AP$1003,7,FALSE),"")</f>
        <v>#N/A</v>
      </c>
      <c r="M4057" s="1"/>
      <c r="N4057" s="1"/>
      <c r="O4057" s="1"/>
    </row>
    <row r="4058" spans="1:15" hidden="1">
      <c r="A4058" s="1"/>
      <c r="B4058" s="182" t="e">
        <f t="shared" ca="1" si="297"/>
        <v>#N/A</v>
      </c>
      <c r="C4058" s="500">
        <v>992</v>
      </c>
      <c r="D4058" s="41" t="e">
        <f>IF($C$1078&gt;0,VLOOKUP($C4058,PATRIMONIALE!$AJ$4:$AL$1003,3,FALSE),"")</f>
        <v>#N/A</v>
      </c>
      <c r="E4058" s="41" t="str">
        <f t="shared" si="298"/>
        <v/>
      </c>
      <c r="F4058" s="200"/>
      <c r="G4058" s="178" t="e">
        <f>IF($C$1078&gt;0,VLOOKUP($C4058,PATRIMONIALE!$AJ$4:$AN$1003,5,FALSE),"")</f>
        <v>#N/A</v>
      </c>
      <c r="H4058" s="179" t="e">
        <f>IF($C$1078&gt;0,VLOOKUP($C4058,PATRIMONIALE!$AJ$4:$AO$1003,6,FALSE),"")</f>
        <v>#N/A</v>
      </c>
      <c r="I4058" s="187"/>
      <c r="J4058" s="140" t="e">
        <f ca="1">VLOOKUP(D4058,$F$1081:$I$4183,4,FALSE)+COUNTIF(E$1081:E4057,E4058)</f>
        <v>#N/A</v>
      </c>
      <c r="K4058" s="1"/>
      <c r="L4058" s="161" t="e">
        <f>IF($C$1078&gt;0,VLOOKUP($C4058,PATRIMONIALE!$AJ$4:$AP$1003,7,FALSE),"")</f>
        <v>#N/A</v>
      </c>
      <c r="M4058" s="1"/>
      <c r="N4058" s="1"/>
      <c r="O4058" s="1"/>
    </row>
    <row r="4059" spans="1:15" hidden="1">
      <c r="A4059" s="1"/>
      <c r="B4059" s="182" t="e">
        <f t="shared" ca="1" si="297"/>
        <v>#N/A</v>
      </c>
      <c r="C4059" s="500">
        <v>993</v>
      </c>
      <c r="D4059" s="41" t="e">
        <f>IF($C$1078&gt;0,VLOOKUP($C4059,PATRIMONIALE!$AJ$4:$AL$1003,3,FALSE),"")</f>
        <v>#N/A</v>
      </c>
      <c r="E4059" s="41" t="str">
        <f t="shared" si="298"/>
        <v/>
      </c>
      <c r="F4059" s="200"/>
      <c r="G4059" s="178" t="e">
        <f>IF($C$1078&gt;0,VLOOKUP($C4059,PATRIMONIALE!$AJ$4:$AN$1003,5,FALSE),"")</f>
        <v>#N/A</v>
      </c>
      <c r="H4059" s="179" t="e">
        <f>IF($C$1078&gt;0,VLOOKUP($C4059,PATRIMONIALE!$AJ$4:$AO$1003,6,FALSE),"")</f>
        <v>#N/A</v>
      </c>
      <c r="I4059" s="187"/>
      <c r="J4059" s="140" t="e">
        <f ca="1">VLOOKUP(D4059,$F$1081:$I$4183,4,FALSE)+COUNTIF(E$1081:E4058,E4059)</f>
        <v>#N/A</v>
      </c>
      <c r="K4059" s="1"/>
      <c r="L4059" s="161" t="e">
        <f>IF($C$1078&gt;0,VLOOKUP($C4059,PATRIMONIALE!$AJ$4:$AP$1003,7,FALSE),"")</f>
        <v>#N/A</v>
      </c>
      <c r="M4059" s="1"/>
      <c r="N4059" s="1"/>
      <c r="O4059" s="1"/>
    </row>
    <row r="4060" spans="1:15" hidden="1">
      <c r="A4060" s="1"/>
      <c r="B4060" s="182" t="e">
        <f t="shared" ca="1" si="297"/>
        <v>#N/A</v>
      </c>
      <c r="C4060" s="500">
        <v>994</v>
      </c>
      <c r="D4060" s="41" t="e">
        <f>IF($C$1078&gt;0,VLOOKUP($C4060,PATRIMONIALE!$AJ$4:$AL$1003,3,FALSE),"")</f>
        <v>#N/A</v>
      </c>
      <c r="E4060" s="41" t="str">
        <f t="shared" si="298"/>
        <v/>
      </c>
      <c r="F4060" s="200"/>
      <c r="G4060" s="178" t="e">
        <f>IF($C$1078&gt;0,VLOOKUP($C4060,PATRIMONIALE!$AJ$4:$AN$1003,5,FALSE),"")</f>
        <v>#N/A</v>
      </c>
      <c r="H4060" s="179" t="e">
        <f>IF($C$1078&gt;0,VLOOKUP($C4060,PATRIMONIALE!$AJ$4:$AO$1003,6,FALSE),"")</f>
        <v>#N/A</v>
      </c>
      <c r="I4060" s="187"/>
      <c r="J4060" s="140" t="e">
        <f ca="1">VLOOKUP(D4060,$F$1081:$I$4183,4,FALSE)+COUNTIF(E$1081:E4059,E4060)</f>
        <v>#N/A</v>
      </c>
      <c r="K4060" s="1"/>
      <c r="L4060" s="161" t="e">
        <f>IF($C$1078&gt;0,VLOOKUP($C4060,PATRIMONIALE!$AJ$4:$AP$1003,7,FALSE),"")</f>
        <v>#N/A</v>
      </c>
      <c r="M4060" s="1"/>
      <c r="N4060" s="1"/>
      <c r="O4060" s="1"/>
    </row>
    <row r="4061" spans="1:15" hidden="1">
      <c r="A4061" s="1"/>
      <c r="B4061" s="182" t="e">
        <f t="shared" ca="1" si="297"/>
        <v>#N/A</v>
      </c>
      <c r="C4061" s="500">
        <v>995</v>
      </c>
      <c r="D4061" s="41" t="e">
        <f>IF($C$1078&gt;0,VLOOKUP($C4061,PATRIMONIALE!$AJ$4:$AL$1003,3,FALSE),"")</f>
        <v>#N/A</v>
      </c>
      <c r="E4061" s="41" t="str">
        <f t="shared" si="298"/>
        <v/>
      </c>
      <c r="F4061" s="200"/>
      <c r="G4061" s="178" t="e">
        <f>IF($C$1078&gt;0,VLOOKUP($C4061,PATRIMONIALE!$AJ$4:$AN$1003,5,FALSE),"")</f>
        <v>#N/A</v>
      </c>
      <c r="H4061" s="179" t="e">
        <f>IF($C$1078&gt;0,VLOOKUP($C4061,PATRIMONIALE!$AJ$4:$AO$1003,6,FALSE),"")</f>
        <v>#N/A</v>
      </c>
      <c r="I4061" s="187"/>
      <c r="J4061" s="140" t="e">
        <f ca="1">VLOOKUP(D4061,$F$1081:$I$4183,4,FALSE)+COUNTIF(E$1081:E4060,E4061)</f>
        <v>#N/A</v>
      </c>
      <c r="K4061" s="1"/>
      <c r="L4061" s="161" t="e">
        <f>IF($C$1078&gt;0,VLOOKUP($C4061,PATRIMONIALE!$AJ$4:$AP$1003,7,FALSE),"")</f>
        <v>#N/A</v>
      </c>
      <c r="M4061" s="1"/>
      <c r="N4061" s="1"/>
      <c r="O4061" s="1"/>
    </row>
    <row r="4062" spans="1:15" hidden="1">
      <c r="A4062" s="1"/>
      <c r="B4062" s="182" t="e">
        <f t="shared" ca="1" si="297"/>
        <v>#N/A</v>
      </c>
      <c r="C4062" s="500">
        <v>996</v>
      </c>
      <c r="D4062" s="41" t="e">
        <f>IF($C$1078&gt;0,VLOOKUP($C4062,PATRIMONIALE!$AJ$4:$AL$1003,3,FALSE),"")</f>
        <v>#N/A</v>
      </c>
      <c r="E4062" s="41" t="str">
        <f t="shared" si="298"/>
        <v/>
      </c>
      <c r="F4062" s="200"/>
      <c r="G4062" s="178" t="e">
        <f>IF($C$1078&gt;0,VLOOKUP($C4062,PATRIMONIALE!$AJ$4:$AN$1003,5,FALSE),"")</f>
        <v>#N/A</v>
      </c>
      <c r="H4062" s="179" t="e">
        <f>IF($C$1078&gt;0,VLOOKUP($C4062,PATRIMONIALE!$AJ$4:$AO$1003,6,FALSE),"")</f>
        <v>#N/A</v>
      </c>
      <c r="I4062" s="187"/>
      <c r="J4062" s="140" t="e">
        <f ca="1">VLOOKUP(D4062,$F$1081:$I$4183,4,FALSE)+COUNTIF(E$1081:E4061,E4062)</f>
        <v>#N/A</v>
      </c>
      <c r="K4062" s="1"/>
      <c r="L4062" s="161" t="e">
        <f>IF($C$1078&gt;0,VLOOKUP($C4062,PATRIMONIALE!$AJ$4:$AP$1003,7,FALSE),"")</f>
        <v>#N/A</v>
      </c>
      <c r="M4062" s="1"/>
      <c r="N4062" s="1"/>
      <c r="O4062" s="1"/>
    </row>
    <row r="4063" spans="1:15" hidden="1">
      <c r="A4063" s="1"/>
      <c r="B4063" s="182" t="e">
        <f t="shared" ca="1" si="297"/>
        <v>#N/A</v>
      </c>
      <c r="C4063" s="500">
        <v>997</v>
      </c>
      <c r="D4063" s="41" t="e">
        <f>IF($C$1078&gt;0,VLOOKUP($C4063,PATRIMONIALE!$AJ$4:$AL$1003,3,FALSE),"")</f>
        <v>#N/A</v>
      </c>
      <c r="E4063" s="41" t="str">
        <f t="shared" si="298"/>
        <v/>
      </c>
      <c r="F4063" s="200"/>
      <c r="G4063" s="178" t="e">
        <f>IF($C$1078&gt;0,VLOOKUP($C4063,PATRIMONIALE!$AJ$4:$AN$1003,5,FALSE),"")</f>
        <v>#N/A</v>
      </c>
      <c r="H4063" s="179" t="e">
        <f>IF($C$1078&gt;0,VLOOKUP($C4063,PATRIMONIALE!$AJ$4:$AO$1003,6,FALSE),"")</f>
        <v>#N/A</v>
      </c>
      <c r="I4063" s="187"/>
      <c r="J4063" s="140" t="e">
        <f ca="1">VLOOKUP(D4063,$F$1081:$I$4183,4,FALSE)+COUNTIF(E$1081:E4062,E4063)</f>
        <v>#N/A</v>
      </c>
      <c r="K4063" s="1"/>
      <c r="L4063" s="161" t="e">
        <f>IF($C$1078&gt;0,VLOOKUP($C4063,PATRIMONIALE!$AJ$4:$AP$1003,7,FALSE),"")</f>
        <v>#N/A</v>
      </c>
      <c r="M4063" s="1"/>
      <c r="N4063" s="1"/>
      <c r="O4063" s="1"/>
    </row>
    <row r="4064" spans="1:15" hidden="1">
      <c r="A4064" s="1"/>
      <c r="B4064" s="182" t="e">
        <f t="shared" ca="1" si="297"/>
        <v>#N/A</v>
      </c>
      <c r="C4064" s="500">
        <v>998</v>
      </c>
      <c r="D4064" s="41" t="e">
        <f>IF($C$1078&gt;0,VLOOKUP($C4064,PATRIMONIALE!$AJ$4:$AL$1003,3,FALSE),"")</f>
        <v>#N/A</v>
      </c>
      <c r="E4064" s="41" t="str">
        <f t="shared" si="298"/>
        <v/>
      </c>
      <c r="F4064" s="200"/>
      <c r="G4064" s="178" t="e">
        <f>IF($C$1078&gt;0,VLOOKUP($C4064,PATRIMONIALE!$AJ$4:$AN$1003,5,FALSE),"")</f>
        <v>#N/A</v>
      </c>
      <c r="H4064" s="179" t="e">
        <f>IF($C$1078&gt;0,VLOOKUP($C4064,PATRIMONIALE!$AJ$4:$AO$1003,6,FALSE),"")</f>
        <v>#N/A</v>
      </c>
      <c r="I4064" s="187"/>
      <c r="J4064" s="140" t="e">
        <f ca="1">VLOOKUP(D4064,$F$1081:$I$4183,4,FALSE)+COUNTIF(E$1081:E4063,E4064)</f>
        <v>#N/A</v>
      </c>
      <c r="K4064" s="1"/>
      <c r="L4064" s="161" t="e">
        <f>IF($C$1078&gt;0,VLOOKUP($C4064,PATRIMONIALE!$AJ$4:$AP$1003,7,FALSE),"")</f>
        <v>#N/A</v>
      </c>
      <c r="M4064" s="1"/>
      <c r="N4064" s="1"/>
      <c r="O4064" s="1"/>
    </row>
    <row r="4065" spans="1:15" hidden="1">
      <c r="A4065" s="1"/>
      <c r="B4065" s="182" t="e">
        <f t="shared" ca="1" si="297"/>
        <v>#N/A</v>
      </c>
      <c r="C4065" s="500">
        <v>999</v>
      </c>
      <c r="D4065" s="41" t="e">
        <f>IF($C$1078&gt;0,VLOOKUP($C4065,PATRIMONIALE!$AJ$4:$AL$1003,3,FALSE),"")</f>
        <v>#N/A</v>
      </c>
      <c r="E4065" s="41" t="str">
        <f t="shared" si="298"/>
        <v/>
      </c>
      <c r="F4065" s="200"/>
      <c r="G4065" s="178" t="e">
        <f>IF($C$1078&gt;0,VLOOKUP($C4065,PATRIMONIALE!$AJ$4:$AN$1003,5,FALSE),"")</f>
        <v>#N/A</v>
      </c>
      <c r="H4065" s="179" t="e">
        <f>IF($C$1078&gt;0,VLOOKUP($C4065,PATRIMONIALE!$AJ$4:$AO$1003,6,FALSE),"")</f>
        <v>#N/A</v>
      </c>
      <c r="I4065" s="187"/>
      <c r="J4065" s="140" t="e">
        <f ca="1">VLOOKUP(D4065,$F$1081:$I$4183,4,FALSE)+COUNTIF(E$1081:E4064,E4065)</f>
        <v>#N/A</v>
      </c>
      <c r="K4065" s="1"/>
      <c r="L4065" s="161" t="e">
        <f>IF($C$1078&gt;0,VLOOKUP($C4065,PATRIMONIALE!$AJ$4:$AP$1003,7,FALSE),"")</f>
        <v>#N/A</v>
      </c>
      <c r="M4065" s="1"/>
      <c r="N4065" s="1"/>
      <c r="O4065" s="1"/>
    </row>
    <row r="4066" spans="1:15" hidden="1">
      <c r="A4066" s="1"/>
      <c r="B4066" s="182" t="e">
        <f ca="1">IF(OR(C$1075&gt;0,C$1077&gt;0,C$1073&gt;0,C$1071&gt;0),J4066+1,J4066)</f>
        <v>#N/A</v>
      </c>
      <c r="C4066" s="501">
        <v>1000</v>
      </c>
      <c r="D4066" s="143" t="e">
        <f>IF($C$1078&gt;0,VLOOKUP($C4066,PATRIMONIALE!$AJ$4:$AL$1003,3,FALSE),"")</f>
        <v>#N/A</v>
      </c>
      <c r="E4066" s="143" t="str">
        <f t="shared" ref="E4066:E4097" si="299">IF(ISERROR(D4066),"",D4066)</f>
        <v/>
      </c>
      <c r="F4066" s="201"/>
      <c r="G4066" s="188" t="e">
        <f>IF($C$1078&gt;0,VLOOKUP($C4066,PATRIMONIALE!$AJ$4:$AN$1003,5,FALSE),"")</f>
        <v>#N/A</v>
      </c>
      <c r="H4066" s="189" t="e">
        <f>IF($C$1078&gt;0,VLOOKUP($C4066,PATRIMONIALE!$AJ$4:$AO$1003,6,FALSE),"")</f>
        <v>#N/A</v>
      </c>
      <c r="I4066" s="190"/>
      <c r="J4066" s="146" t="e">
        <f ca="1">VLOOKUP(D4066,$F$1081:$I$4183,4,FALSE)+COUNTIF(E$1081:E3265,E4066)</f>
        <v>#N/A</v>
      </c>
      <c r="K4066" s="1"/>
      <c r="L4066" s="218" t="e">
        <f>IF($C$1078&gt;0,VLOOKUP($C4066,PATRIMONIALE!$AJ$4:$AP$1003,7,FALSE),"")</f>
        <v>#N/A</v>
      </c>
      <c r="M4066" s="1"/>
      <c r="N4066" s="1"/>
      <c r="O4066" s="1"/>
    </row>
    <row r="4067" spans="1:15" hidden="1">
      <c r="A4067" s="1"/>
      <c r="B4067" s="280">
        <f ca="1">IF(C$1072&gt;0,J4067+1,J4067)</f>
        <v>9</v>
      </c>
      <c r="C4067" s="278">
        <v>1</v>
      </c>
      <c r="D4067" s="135">
        <f>IF($C$1072&gt;0,VLOOKUP($C4067,COSTI!$U$1379:$W$1430,3,FALSE),"")</f>
        <v>45352</v>
      </c>
      <c r="E4067" s="135">
        <f t="shared" si="299"/>
        <v>45352</v>
      </c>
      <c r="F4067" s="199"/>
      <c r="G4067" s="136" t="str">
        <f>IF($C$1072&gt;0,VLOOKUP($C4067,COSTI!$U$1379:$Y$1430,5,FALSE),"")</f>
        <v>Doc. Nr. 1/2024 - QUIETANZA di pagamento</v>
      </c>
      <c r="H4067" s="137">
        <f ca="1">IF($C$1072&gt;0,VLOOKUP($C4067,COSTI!$U$1379:$Z$1430,6,FALSE),"")</f>
        <v>-110</v>
      </c>
      <c r="I4067" s="496"/>
      <c r="J4067" s="138">
        <f ca="1">VLOOKUP(D4067,$F$1081:$I$4183,4,FALSE)+COUNTIF(E$1081:E4066,E4067)</f>
        <v>8</v>
      </c>
      <c r="K4067" s="1"/>
      <c r="L4067" s="103" t="str">
        <f>IF($C$1073&gt;0,CONCATENATE(VLOOKUP($C4067,COSTI!$U$1379:$X$1430,4,FALSE)," / ",VLOOKUP($C4067,COSTI!$U$1379:$AB$1430,8,FALSE)),IF($C$1072&gt;0,CONCATENATE(VLOOKUP($C4067,COSTI!$U$1379:$AC$1430,9,FALSE)," / ",VLOOKUP($C4067,COSTI!$U$1379:$AB$1430,8,FALSE),""),""))</f>
        <v>AMMINISTRATORE / Testo libero (eventuali oneri straord.)</v>
      </c>
      <c r="M4067" s="1"/>
      <c r="N4067" s="1"/>
      <c r="O4067" s="1"/>
    </row>
    <row r="4068" spans="1:15" hidden="1">
      <c r="A4068" s="1"/>
      <c r="B4068" s="280">
        <f t="shared" ref="B4068:B4118" ca="1" si="300">IF(C$1072&gt;0,J4068+1,J4068)</f>
        <v>10</v>
      </c>
      <c r="C4068" s="277">
        <v>2</v>
      </c>
      <c r="D4068" s="41">
        <f>IF($C$1072&gt;0,VLOOKUP($C4068,COSTI!$U$1379:$W$1430,3,FALSE),"")</f>
        <v>45352</v>
      </c>
      <c r="E4068" s="41">
        <f t="shared" si="299"/>
        <v>45352</v>
      </c>
      <c r="F4068" s="200"/>
      <c r="G4068" s="178" t="str">
        <f>IF($C$1072&gt;0,VLOOKUP($C4068,COSTI!$U$1379:$Y$1430,5,FALSE),"")</f>
        <v>Doc. Nr.  - QUIETANZA di pagamento</v>
      </c>
      <c r="H4068" s="179">
        <f ca="1">IF($C$1072&gt;0,VLOOKUP($C4068,COSTI!$U$1379:$Z$1430,6,FALSE),"")</f>
        <v>-95</v>
      </c>
      <c r="I4068" s="642"/>
      <c r="J4068" s="140">
        <f ca="1">VLOOKUP(D4068,$F$1081:$I$4183,4,FALSE)+COUNTIF(E$1081:E4067,E4068)</f>
        <v>9</v>
      </c>
      <c r="K4068" s="1"/>
      <c r="L4068" s="161" t="str">
        <f>IF($C$1073&gt;0,CONCATENATE(VLOOKUP($C4068,COSTI!$U$1379:$X$1430,4,FALSE)," / ",VLOOKUP($C4068,COSTI!$U$1379:$AB$1430,8,FALSE)),IF($C$1072&gt;0,CONCATENATE(VLOOKUP($C4068,COSTI!$U$1379:$AC$1430,9,FALSE)," / ",VLOOKUP($C4068,COSTI!$U$1379:$AB$1430,8,FALSE),""),""))</f>
        <v>AMMINISTRATORE / Testo libero (eventuali sconti)</v>
      </c>
      <c r="M4068" s="1"/>
      <c r="N4068" s="1"/>
      <c r="O4068" s="1"/>
    </row>
    <row r="4069" spans="1:15" hidden="1">
      <c r="A4069" s="1"/>
      <c r="B4069" s="280">
        <f t="shared" ca="1" si="300"/>
        <v>11</v>
      </c>
      <c r="C4069" s="277">
        <v>3</v>
      </c>
      <c r="D4069" s="41">
        <f>IF($C$1072&gt;0,VLOOKUP($C4069,COSTI!$U$1379:$W$1430,3,FALSE),"")</f>
        <v>45352</v>
      </c>
      <c r="E4069" s="41">
        <f t="shared" si="299"/>
        <v>45352</v>
      </c>
      <c r="F4069" s="200"/>
      <c r="G4069" s="178" t="str">
        <f>IF($C$1072&gt;0,VLOOKUP($C4069,COSTI!$U$1379:$Y$1430,5,FALSE),"")</f>
        <v>Doc. Nr.  - QUIETANZA di pagamento</v>
      </c>
      <c r="H4069" s="179">
        <f ca="1">IF($C$1072&gt;0,VLOOKUP($C4069,COSTI!$U$1379:$Z$1430,6,FALSE),"")</f>
        <v>-100</v>
      </c>
      <c r="I4069" s="642"/>
      <c r="J4069" s="140">
        <f ca="1">VLOOKUP(D4069,$F$1081:$I$4183,4,FALSE)+COUNTIF(E$1081:E4068,E4069)</f>
        <v>10</v>
      </c>
      <c r="K4069" s="1"/>
      <c r="L4069" s="161" t="str">
        <f>IF($C$1073&gt;0,CONCATENATE(VLOOKUP($C4069,COSTI!$U$1379:$X$1430,4,FALSE)," / ",VLOOKUP($C4069,COSTI!$U$1379:$AB$1430,8,FALSE)),IF($C$1072&gt;0,CONCATENATE(VLOOKUP($C4069,COSTI!$U$1379:$AC$1430,9,FALSE)," / ",VLOOKUP($C4069,COSTI!$U$1379:$AB$1430,8,FALSE),""),""))</f>
        <v xml:space="preserve">AMMINISTRATORE / </v>
      </c>
      <c r="M4069" s="1"/>
      <c r="N4069" s="1"/>
      <c r="O4069" s="1"/>
    </row>
    <row r="4070" spans="1:15" hidden="1">
      <c r="A4070" s="1"/>
      <c r="B4070" s="280" t="e">
        <f t="shared" ca="1" si="300"/>
        <v>#N/A</v>
      </c>
      <c r="C4070" s="277">
        <v>4</v>
      </c>
      <c r="D4070" s="41" t="e">
        <f>IF($C$1072&gt;0,VLOOKUP($C4070,COSTI!$U$1379:$W$1430,3,FALSE),"")</f>
        <v>#N/A</v>
      </c>
      <c r="E4070" s="41" t="str">
        <f t="shared" si="299"/>
        <v/>
      </c>
      <c r="F4070" s="200"/>
      <c r="G4070" s="178" t="e">
        <f>IF($C$1072&gt;0,VLOOKUP($C4070,COSTI!$U$1379:$Y$1430,5,FALSE),"")</f>
        <v>#N/A</v>
      </c>
      <c r="H4070" s="179" t="e">
        <f>IF($C$1072&gt;0,VLOOKUP($C4070,COSTI!$U$1379:$Z$1430,6,FALSE),"")</f>
        <v>#N/A</v>
      </c>
      <c r="I4070" s="642"/>
      <c r="J4070" s="140" t="e">
        <f ca="1">VLOOKUP(D4070,$F$1081:$I$4183,4,FALSE)+COUNTIF(E$1081:E4069,E4070)</f>
        <v>#N/A</v>
      </c>
      <c r="K4070" s="1"/>
      <c r="L4070" s="161" t="e">
        <f>IF($C$1073&gt;0,CONCATENATE(VLOOKUP($C4070,COSTI!$U$1379:$X$1430,4,FALSE)," / ",VLOOKUP($C4070,COSTI!$U$1379:$AB$1430,8,FALSE)),IF($C$1072&gt;0,CONCATENATE(VLOOKUP($C4070,COSTI!$U$1379:$AC$1430,9,FALSE)," / ",VLOOKUP($C4070,COSTI!$U$1379:$AB$1430,8,FALSE),""),""))</f>
        <v>#N/A</v>
      </c>
      <c r="M4070" s="1"/>
      <c r="N4070" s="1"/>
      <c r="O4070" s="1"/>
    </row>
    <row r="4071" spans="1:15" hidden="1">
      <c r="A4071" s="1"/>
      <c r="B4071" s="280" t="e">
        <f t="shared" ca="1" si="300"/>
        <v>#N/A</v>
      </c>
      <c r="C4071" s="277">
        <v>5</v>
      </c>
      <c r="D4071" s="41" t="e">
        <f>IF($C$1072&gt;0,VLOOKUP($C4071,COSTI!$U$1379:$W$1430,3,FALSE),"")</f>
        <v>#N/A</v>
      </c>
      <c r="E4071" s="41" t="str">
        <f t="shared" si="299"/>
        <v/>
      </c>
      <c r="F4071" s="200"/>
      <c r="G4071" s="178" t="e">
        <f>IF($C$1072&gt;0,VLOOKUP($C4071,COSTI!$U$1379:$Y$1430,5,FALSE),"")</f>
        <v>#N/A</v>
      </c>
      <c r="H4071" s="179" t="e">
        <f>IF($C$1072&gt;0,VLOOKUP($C4071,COSTI!$U$1379:$Z$1430,6,FALSE),"")</f>
        <v>#N/A</v>
      </c>
      <c r="I4071" s="642"/>
      <c r="J4071" s="140" t="e">
        <f ca="1">VLOOKUP(D4071,$F$1081:$I$4183,4,FALSE)+COUNTIF(E$1081:E4070,E4071)</f>
        <v>#N/A</v>
      </c>
      <c r="K4071" s="1"/>
      <c r="L4071" s="161" t="e">
        <f>IF($C$1073&gt;0,CONCATENATE(VLOOKUP($C4071,COSTI!$U$1379:$X$1430,4,FALSE)," / ",VLOOKUP($C4071,COSTI!$U$1379:$AB$1430,8,FALSE)),IF($C$1072&gt;0,CONCATENATE(VLOOKUP($C4071,COSTI!$U$1379:$AC$1430,9,FALSE)," / ",VLOOKUP($C4071,COSTI!$U$1379:$AB$1430,8,FALSE),""),""))</f>
        <v>#N/A</v>
      </c>
      <c r="M4071" s="1"/>
      <c r="N4071" s="1"/>
      <c r="O4071" s="1"/>
    </row>
    <row r="4072" spans="1:15" hidden="1">
      <c r="A4072" s="1"/>
      <c r="B4072" s="280" t="e">
        <f t="shared" ca="1" si="300"/>
        <v>#N/A</v>
      </c>
      <c r="C4072" s="277">
        <v>6</v>
      </c>
      <c r="D4072" s="41" t="e">
        <f>IF($C$1072&gt;0,VLOOKUP($C4072,COSTI!$U$1379:$W$1430,3,FALSE),"")</f>
        <v>#N/A</v>
      </c>
      <c r="E4072" s="41" t="str">
        <f t="shared" si="299"/>
        <v/>
      </c>
      <c r="F4072" s="200"/>
      <c r="G4072" s="178" t="e">
        <f>IF($C$1072&gt;0,VLOOKUP($C4072,COSTI!$U$1379:$Y$1430,5,FALSE),"")</f>
        <v>#N/A</v>
      </c>
      <c r="H4072" s="179" t="e">
        <f>IF($C$1072&gt;0,VLOOKUP($C4072,COSTI!$U$1379:$Z$1430,6,FALSE),"")</f>
        <v>#N/A</v>
      </c>
      <c r="I4072" s="642"/>
      <c r="J4072" s="140" t="e">
        <f ca="1">VLOOKUP(D4072,$F$1081:$I$4183,4,FALSE)+COUNTIF(E$1081:E4071,E4072)</f>
        <v>#N/A</v>
      </c>
      <c r="K4072" s="1"/>
      <c r="L4072" s="161" t="e">
        <f>IF($C$1073&gt;0,CONCATENATE(VLOOKUP($C4072,COSTI!$U$1379:$X$1430,4,FALSE)," / ",VLOOKUP($C4072,COSTI!$U$1379:$AB$1430,8,FALSE)),IF($C$1072&gt;0,CONCATENATE(VLOOKUP($C4072,COSTI!$U$1379:$AC$1430,9,FALSE)," / ",VLOOKUP($C4072,COSTI!$U$1379:$AB$1430,8,FALSE),""),""))</f>
        <v>#N/A</v>
      </c>
      <c r="M4072" s="1"/>
      <c r="N4072" s="1"/>
      <c r="O4072" s="1"/>
    </row>
    <row r="4073" spans="1:15" hidden="1">
      <c r="A4073" s="1"/>
      <c r="B4073" s="280" t="e">
        <f t="shared" ca="1" si="300"/>
        <v>#N/A</v>
      </c>
      <c r="C4073" s="277">
        <v>7</v>
      </c>
      <c r="D4073" s="41" t="e">
        <f>IF($C$1072&gt;0,VLOOKUP($C4073,COSTI!$U$1379:$W$1430,3,FALSE),"")</f>
        <v>#N/A</v>
      </c>
      <c r="E4073" s="41" t="str">
        <f t="shared" si="299"/>
        <v/>
      </c>
      <c r="F4073" s="200"/>
      <c r="G4073" s="178" t="e">
        <f>IF($C$1072&gt;0,VLOOKUP($C4073,COSTI!$U$1379:$Y$1430,5,FALSE),"")</f>
        <v>#N/A</v>
      </c>
      <c r="H4073" s="179" t="e">
        <f>IF($C$1072&gt;0,VLOOKUP($C4073,COSTI!$U$1379:$Z$1430,6,FALSE),"")</f>
        <v>#N/A</v>
      </c>
      <c r="I4073" s="187"/>
      <c r="J4073" s="140" t="e">
        <f ca="1">VLOOKUP(D4073,$F$1081:$I$4183,4,FALSE)+COUNTIF(E$1081:E4072,E4073)</f>
        <v>#N/A</v>
      </c>
      <c r="K4073" s="1"/>
      <c r="L4073" s="161" t="e">
        <f>IF($C$1073&gt;0,CONCATENATE(VLOOKUP($C4073,COSTI!$U$1379:$X$1430,4,FALSE)," / ",VLOOKUP($C4073,COSTI!$U$1379:$AB$1430,8,FALSE)),IF($C$1072&gt;0,CONCATENATE(VLOOKUP($C4073,COSTI!$U$1379:$AC$1430,9,FALSE)," / ",VLOOKUP($C4073,COSTI!$U$1379:$AB$1430,8,FALSE),""),""))</f>
        <v>#N/A</v>
      </c>
      <c r="M4073" s="1"/>
      <c r="N4073" s="1"/>
      <c r="O4073" s="1"/>
    </row>
    <row r="4074" spans="1:15" hidden="1">
      <c r="A4074" s="1"/>
      <c r="B4074" s="280" t="e">
        <f t="shared" ca="1" si="300"/>
        <v>#N/A</v>
      </c>
      <c r="C4074" s="277">
        <v>8</v>
      </c>
      <c r="D4074" s="41" t="e">
        <f>IF($C$1072&gt;0,VLOOKUP($C4074,COSTI!$U$1379:$W$1430,3,FALSE),"")</f>
        <v>#N/A</v>
      </c>
      <c r="E4074" s="41" t="str">
        <f t="shared" si="299"/>
        <v/>
      </c>
      <c r="F4074" s="200"/>
      <c r="G4074" s="178" t="e">
        <f>IF($C$1072&gt;0,VLOOKUP($C4074,COSTI!$U$1379:$Y$1430,5,FALSE),"")</f>
        <v>#N/A</v>
      </c>
      <c r="H4074" s="179" t="e">
        <f>IF($C$1072&gt;0,VLOOKUP($C4074,COSTI!$U$1379:$Z$1430,6,FALSE),"")</f>
        <v>#N/A</v>
      </c>
      <c r="I4074" s="187"/>
      <c r="J4074" s="140" t="e">
        <f ca="1">VLOOKUP(D4074,$F$1081:$I$4183,4,FALSE)+COUNTIF(E$1081:E4073,E4074)</f>
        <v>#N/A</v>
      </c>
      <c r="K4074" s="1"/>
      <c r="L4074" s="161" t="e">
        <f>IF($C$1073&gt;0,CONCATENATE(VLOOKUP($C4074,COSTI!$U$1379:$X$1430,4,FALSE)," / ",VLOOKUP($C4074,COSTI!$U$1379:$AB$1430,8,FALSE)),IF($C$1072&gt;0,CONCATENATE(VLOOKUP($C4074,COSTI!$U$1379:$AC$1430,9,FALSE)," / ",VLOOKUP($C4074,COSTI!$U$1379:$AB$1430,8,FALSE),""),""))</f>
        <v>#N/A</v>
      </c>
      <c r="M4074" s="1"/>
      <c r="N4074" s="1"/>
      <c r="O4074" s="1"/>
    </row>
    <row r="4075" spans="1:15" hidden="1">
      <c r="A4075" s="1"/>
      <c r="B4075" s="280" t="e">
        <f t="shared" ca="1" si="300"/>
        <v>#N/A</v>
      </c>
      <c r="C4075" s="277">
        <v>9</v>
      </c>
      <c r="D4075" s="41" t="e">
        <f>IF($C$1072&gt;0,VLOOKUP($C4075,COSTI!$U$1379:$W$1430,3,FALSE),"")</f>
        <v>#N/A</v>
      </c>
      <c r="E4075" s="41" t="str">
        <f t="shared" si="299"/>
        <v/>
      </c>
      <c r="F4075" s="200"/>
      <c r="G4075" s="178" t="e">
        <f>IF($C$1072&gt;0,VLOOKUP($C4075,COSTI!$U$1379:$Y$1430,5,FALSE),"")</f>
        <v>#N/A</v>
      </c>
      <c r="H4075" s="179" t="e">
        <f>IF($C$1072&gt;0,VLOOKUP($C4075,COSTI!$U$1379:$Z$1430,6,FALSE),"")</f>
        <v>#N/A</v>
      </c>
      <c r="I4075" s="187"/>
      <c r="J4075" s="140" t="e">
        <f ca="1">VLOOKUP(D4075,$F$1081:$I$4183,4,FALSE)+COUNTIF(E$1081:E4074,E4075)</f>
        <v>#N/A</v>
      </c>
      <c r="K4075" s="1"/>
      <c r="L4075" s="161" t="e">
        <f>IF($C$1073&gt;0,CONCATENATE(VLOOKUP($C4075,COSTI!$U$1379:$X$1430,4,FALSE)," / ",VLOOKUP($C4075,COSTI!$U$1379:$AB$1430,8,FALSE)),IF($C$1072&gt;0,CONCATENATE(VLOOKUP($C4075,COSTI!$U$1379:$AC$1430,9,FALSE)," / ",VLOOKUP($C4075,COSTI!$U$1379:$AB$1430,8,FALSE),""),""))</f>
        <v>#N/A</v>
      </c>
      <c r="M4075" s="1"/>
      <c r="N4075" s="1"/>
      <c r="O4075" s="1"/>
    </row>
    <row r="4076" spans="1:15" hidden="1">
      <c r="A4076" s="1"/>
      <c r="B4076" s="280" t="e">
        <f t="shared" ca="1" si="300"/>
        <v>#N/A</v>
      </c>
      <c r="C4076" s="277">
        <v>10</v>
      </c>
      <c r="D4076" s="41" t="e">
        <f>IF($C$1072&gt;0,VLOOKUP($C4076,COSTI!$U$1379:$W$1430,3,FALSE),"")</f>
        <v>#N/A</v>
      </c>
      <c r="E4076" s="41" t="str">
        <f t="shared" si="299"/>
        <v/>
      </c>
      <c r="F4076" s="200"/>
      <c r="G4076" s="178" t="e">
        <f>IF($C$1072&gt;0,VLOOKUP($C4076,COSTI!$U$1379:$Y$1430,5,FALSE),"")</f>
        <v>#N/A</v>
      </c>
      <c r="H4076" s="179" t="e">
        <f>IF($C$1072&gt;0,VLOOKUP($C4076,COSTI!$U$1379:$Z$1430,6,FALSE),"")</f>
        <v>#N/A</v>
      </c>
      <c r="I4076" s="187"/>
      <c r="J4076" s="140" t="e">
        <f ca="1">VLOOKUP(D4076,$F$1081:$I$4183,4,FALSE)+COUNTIF(E$1081:E4075,E4076)</f>
        <v>#N/A</v>
      </c>
      <c r="K4076" s="1"/>
      <c r="L4076" s="161" t="e">
        <f>IF($C$1073&gt;0,CONCATENATE(VLOOKUP($C4076,COSTI!$U$1379:$X$1430,4,FALSE)," / ",VLOOKUP($C4076,COSTI!$U$1379:$AB$1430,8,FALSE)),IF($C$1072&gt;0,CONCATENATE(VLOOKUP($C4076,COSTI!$U$1379:$AC$1430,9,FALSE)," / ",VLOOKUP($C4076,COSTI!$U$1379:$AB$1430,8,FALSE),""),""))</f>
        <v>#N/A</v>
      </c>
      <c r="M4076" s="1"/>
      <c r="N4076" s="1"/>
      <c r="O4076" s="1"/>
    </row>
    <row r="4077" spans="1:15" hidden="1">
      <c r="A4077" s="1"/>
      <c r="B4077" s="280" t="e">
        <f t="shared" ca="1" si="300"/>
        <v>#N/A</v>
      </c>
      <c r="C4077" s="277">
        <v>11</v>
      </c>
      <c r="D4077" s="41" t="e">
        <f>IF($C$1072&gt;0,VLOOKUP($C4077,COSTI!$U$1379:$W$1430,3,FALSE),"")</f>
        <v>#N/A</v>
      </c>
      <c r="E4077" s="41" t="str">
        <f t="shared" si="299"/>
        <v/>
      </c>
      <c r="F4077" s="200"/>
      <c r="G4077" s="178" t="e">
        <f>IF($C$1072&gt;0,VLOOKUP($C4077,COSTI!$U$1379:$Y$1430,5,FALSE),"")</f>
        <v>#N/A</v>
      </c>
      <c r="H4077" s="179" t="e">
        <f>IF($C$1072&gt;0,VLOOKUP($C4077,COSTI!$U$1379:$Z$1430,6,FALSE),"")</f>
        <v>#N/A</v>
      </c>
      <c r="I4077" s="187"/>
      <c r="J4077" s="140" t="e">
        <f ca="1">VLOOKUP(D4077,$F$1081:$I$4183,4,FALSE)+COUNTIF(E$1081:E4076,E4077)</f>
        <v>#N/A</v>
      </c>
      <c r="K4077" s="1"/>
      <c r="L4077" s="161" t="e">
        <f>IF($C$1073&gt;0,CONCATENATE(VLOOKUP($C4077,COSTI!$U$1379:$X$1430,4,FALSE)," / ",VLOOKUP($C4077,COSTI!$U$1379:$AB$1430,8,FALSE)),IF($C$1072&gt;0,CONCATENATE(VLOOKUP($C4077,COSTI!$U$1379:$AC$1430,9,FALSE)," / ",VLOOKUP($C4077,COSTI!$U$1379:$AB$1430,8,FALSE),""),""))</f>
        <v>#N/A</v>
      </c>
      <c r="M4077" s="1"/>
      <c r="N4077" s="1"/>
      <c r="O4077" s="1"/>
    </row>
    <row r="4078" spans="1:15" hidden="1">
      <c r="A4078" s="1"/>
      <c r="B4078" s="280" t="e">
        <f t="shared" ca="1" si="300"/>
        <v>#N/A</v>
      </c>
      <c r="C4078" s="277">
        <v>12</v>
      </c>
      <c r="D4078" s="41" t="e">
        <f>IF($C$1072&gt;0,VLOOKUP($C4078,COSTI!$U$1379:$W$1430,3,FALSE),"")</f>
        <v>#N/A</v>
      </c>
      <c r="E4078" s="41" t="str">
        <f t="shared" si="299"/>
        <v/>
      </c>
      <c r="F4078" s="200"/>
      <c r="G4078" s="178" t="e">
        <f>IF($C$1072&gt;0,VLOOKUP($C4078,COSTI!$U$1379:$Y$1430,5,FALSE),"")</f>
        <v>#N/A</v>
      </c>
      <c r="H4078" s="179" t="e">
        <f>IF($C$1072&gt;0,VLOOKUP($C4078,COSTI!$U$1379:$Z$1430,6,FALSE),"")</f>
        <v>#N/A</v>
      </c>
      <c r="I4078" s="187"/>
      <c r="J4078" s="140" t="e">
        <f ca="1">VLOOKUP(D4078,$F$1081:$I$4183,4,FALSE)+COUNTIF(E$1081:E4077,E4078)</f>
        <v>#N/A</v>
      </c>
      <c r="K4078" s="1"/>
      <c r="L4078" s="161" t="e">
        <f>IF($C$1073&gt;0,CONCATENATE(VLOOKUP($C4078,COSTI!$U$1379:$X$1430,4,FALSE)," / ",VLOOKUP($C4078,COSTI!$U$1379:$AB$1430,8,FALSE)),IF($C$1072&gt;0,CONCATENATE(VLOOKUP($C4078,COSTI!$U$1379:$AC$1430,9,FALSE)," / ",VLOOKUP($C4078,COSTI!$U$1379:$AB$1430,8,FALSE),""),""))</f>
        <v>#N/A</v>
      </c>
      <c r="M4078" s="1"/>
      <c r="N4078" s="1"/>
      <c r="O4078" s="1"/>
    </row>
    <row r="4079" spans="1:15" hidden="1">
      <c r="A4079" s="1"/>
      <c r="B4079" s="280" t="e">
        <f t="shared" ca="1" si="300"/>
        <v>#N/A</v>
      </c>
      <c r="C4079" s="277">
        <v>13</v>
      </c>
      <c r="D4079" s="41" t="e">
        <f>IF($C$1072&gt;0,VLOOKUP($C4079,COSTI!$U$1379:$W$1430,3,FALSE),"")</f>
        <v>#N/A</v>
      </c>
      <c r="E4079" s="41" t="str">
        <f t="shared" si="299"/>
        <v/>
      </c>
      <c r="F4079" s="200"/>
      <c r="G4079" s="178" t="e">
        <f>IF($C$1072&gt;0,VLOOKUP($C4079,COSTI!$U$1379:$Y$1430,5,FALSE),"")</f>
        <v>#N/A</v>
      </c>
      <c r="H4079" s="179" t="e">
        <f>IF($C$1072&gt;0,VLOOKUP($C4079,COSTI!$U$1379:$Z$1430,6,FALSE),"")</f>
        <v>#N/A</v>
      </c>
      <c r="I4079" s="187"/>
      <c r="J4079" s="140" t="e">
        <f ca="1">VLOOKUP(D4079,$F$1081:$I$4183,4,FALSE)+COUNTIF(E$1081:E4078,E4079)</f>
        <v>#N/A</v>
      </c>
      <c r="K4079" s="1"/>
      <c r="L4079" s="161" t="e">
        <f>IF($C$1073&gt;0,CONCATENATE(VLOOKUP($C4079,COSTI!$U$1379:$X$1430,4,FALSE)," / ",VLOOKUP($C4079,COSTI!$U$1379:$AB$1430,8,FALSE)),IF($C$1072&gt;0,CONCATENATE(VLOOKUP($C4079,COSTI!$U$1379:$AC$1430,9,FALSE)," / ",VLOOKUP($C4079,COSTI!$U$1379:$AB$1430,8,FALSE),""),""))</f>
        <v>#N/A</v>
      </c>
      <c r="M4079" s="1"/>
      <c r="N4079" s="1"/>
      <c r="O4079" s="1"/>
    </row>
    <row r="4080" spans="1:15" hidden="1">
      <c r="A4080" s="1"/>
      <c r="B4080" s="280" t="e">
        <f t="shared" ca="1" si="300"/>
        <v>#N/A</v>
      </c>
      <c r="C4080" s="277">
        <v>14</v>
      </c>
      <c r="D4080" s="41" t="e">
        <f>IF($C$1072&gt;0,VLOOKUP($C4080,COSTI!$U$1379:$W$1430,3,FALSE),"")</f>
        <v>#N/A</v>
      </c>
      <c r="E4080" s="41" t="str">
        <f t="shared" si="299"/>
        <v/>
      </c>
      <c r="F4080" s="200"/>
      <c r="G4080" s="178" t="e">
        <f>IF($C$1072&gt;0,VLOOKUP($C4080,COSTI!$U$1379:$Y$1430,5,FALSE),"")</f>
        <v>#N/A</v>
      </c>
      <c r="H4080" s="179" t="e">
        <f>IF($C$1072&gt;0,VLOOKUP($C4080,COSTI!$U$1379:$Z$1430,6,FALSE),"")</f>
        <v>#N/A</v>
      </c>
      <c r="I4080" s="187"/>
      <c r="J4080" s="140" t="e">
        <f ca="1">VLOOKUP(D4080,$F$1081:$I$4183,4,FALSE)+COUNTIF(E$1081:E4079,E4080)</f>
        <v>#N/A</v>
      </c>
      <c r="K4080" s="1"/>
      <c r="L4080" s="161" t="e">
        <f>IF($C$1073&gt;0,CONCATENATE(VLOOKUP($C4080,COSTI!$U$1379:$X$1430,4,FALSE)," / ",VLOOKUP($C4080,COSTI!$U$1379:$AB$1430,8,FALSE)),IF($C$1072&gt;0,CONCATENATE(VLOOKUP($C4080,COSTI!$U$1379:$AC$1430,9,FALSE)," / ",VLOOKUP($C4080,COSTI!$U$1379:$AB$1430,8,FALSE),""),""))</f>
        <v>#N/A</v>
      </c>
      <c r="M4080" s="1"/>
      <c r="N4080" s="1"/>
      <c r="O4080" s="1"/>
    </row>
    <row r="4081" spans="1:15" hidden="1">
      <c r="A4081" s="1"/>
      <c r="B4081" s="280" t="e">
        <f t="shared" ca="1" si="300"/>
        <v>#N/A</v>
      </c>
      <c r="C4081" s="277">
        <v>15</v>
      </c>
      <c r="D4081" s="41" t="e">
        <f>IF($C$1072&gt;0,VLOOKUP($C4081,COSTI!$U$1379:$W$1430,3,FALSE),"")</f>
        <v>#N/A</v>
      </c>
      <c r="E4081" s="41" t="str">
        <f t="shared" si="299"/>
        <v/>
      </c>
      <c r="F4081" s="200"/>
      <c r="G4081" s="178" t="e">
        <f>IF($C$1072&gt;0,VLOOKUP($C4081,COSTI!$U$1379:$Y$1430,5,FALSE),"")</f>
        <v>#N/A</v>
      </c>
      <c r="H4081" s="179" t="e">
        <f>IF($C$1072&gt;0,VLOOKUP($C4081,COSTI!$U$1379:$Z$1430,6,FALSE),"")</f>
        <v>#N/A</v>
      </c>
      <c r="I4081" s="187"/>
      <c r="J4081" s="140" t="e">
        <f ca="1">VLOOKUP(D4081,$F$1081:$I$4183,4,FALSE)+COUNTIF(E$1081:E4080,E4081)</f>
        <v>#N/A</v>
      </c>
      <c r="K4081" s="1"/>
      <c r="L4081" s="161" t="e">
        <f>IF($C$1073&gt;0,CONCATENATE(VLOOKUP($C4081,COSTI!$U$1379:$X$1430,4,FALSE)," / ",VLOOKUP($C4081,COSTI!$U$1379:$AB$1430,8,FALSE)),IF($C$1072&gt;0,CONCATENATE(VLOOKUP($C4081,COSTI!$U$1379:$AC$1430,9,FALSE)," / ",VLOOKUP($C4081,COSTI!$U$1379:$AB$1430,8,FALSE),""),""))</f>
        <v>#N/A</v>
      </c>
      <c r="M4081" s="1"/>
      <c r="N4081" s="1"/>
      <c r="O4081" s="1"/>
    </row>
    <row r="4082" spans="1:15" hidden="1">
      <c r="A4082" s="1"/>
      <c r="B4082" s="280" t="e">
        <f t="shared" ca="1" si="300"/>
        <v>#N/A</v>
      </c>
      <c r="C4082" s="277">
        <v>16</v>
      </c>
      <c r="D4082" s="41" t="e">
        <f>IF($C$1072&gt;0,VLOOKUP($C4082,COSTI!$U$1379:$W$1430,3,FALSE),"")</f>
        <v>#N/A</v>
      </c>
      <c r="E4082" s="41" t="str">
        <f t="shared" si="299"/>
        <v/>
      </c>
      <c r="F4082" s="200"/>
      <c r="G4082" s="178" t="e">
        <f>IF($C$1072&gt;0,VLOOKUP($C4082,COSTI!$U$1379:$Y$1430,5,FALSE),"")</f>
        <v>#N/A</v>
      </c>
      <c r="H4082" s="179" t="e">
        <f>IF($C$1072&gt;0,VLOOKUP($C4082,COSTI!$U$1379:$Z$1430,6,FALSE),"")</f>
        <v>#N/A</v>
      </c>
      <c r="I4082" s="187"/>
      <c r="J4082" s="140" t="e">
        <f ca="1">VLOOKUP(D4082,$F$1081:$I$4183,4,FALSE)+COUNTIF(E$1081:E4081,E4082)</f>
        <v>#N/A</v>
      </c>
      <c r="K4082" s="1"/>
      <c r="L4082" s="161" t="e">
        <f>IF($C$1073&gt;0,CONCATENATE(VLOOKUP($C4082,COSTI!$U$1379:$X$1430,4,FALSE)," / ",VLOOKUP($C4082,COSTI!$U$1379:$AB$1430,8,FALSE)),IF($C$1072&gt;0,CONCATENATE(VLOOKUP($C4082,COSTI!$U$1379:$AC$1430,9,FALSE)," / ",VLOOKUP($C4082,COSTI!$U$1379:$AB$1430,8,FALSE),""),""))</f>
        <v>#N/A</v>
      </c>
      <c r="M4082" s="1"/>
      <c r="N4082" s="1"/>
      <c r="O4082" s="1"/>
    </row>
    <row r="4083" spans="1:15" hidden="1">
      <c r="A4083" s="1"/>
      <c r="B4083" s="280" t="e">
        <f t="shared" ca="1" si="300"/>
        <v>#N/A</v>
      </c>
      <c r="C4083" s="277">
        <v>17</v>
      </c>
      <c r="D4083" s="41" t="e">
        <f>IF($C$1072&gt;0,VLOOKUP($C4083,COSTI!$U$1379:$W$1430,3,FALSE),"")</f>
        <v>#N/A</v>
      </c>
      <c r="E4083" s="41" t="str">
        <f t="shared" si="299"/>
        <v/>
      </c>
      <c r="F4083" s="200"/>
      <c r="G4083" s="178" t="e">
        <f>IF($C$1072&gt;0,VLOOKUP($C4083,COSTI!$U$1379:$Y$1430,5,FALSE),"")</f>
        <v>#N/A</v>
      </c>
      <c r="H4083" s="179" t="e">
        <f>IF($C$1072&gt;0,VLOOKUP($C4083,COSTI!$U$1379:$Z$1430,6,FALSE),"")</f>
        <v>#N/A</v>
      </c>
      <c r="I4083" s="187"/>
      <c r="J4083" s="140" t="e">
        <f ca="1">VLOOKUP(D4083,$F$1081:$I$4183,4,FALSE)+COUNTIF(E$1081:E4082,E4083)</f>
        <v>#N/A</v>
      </c>
      <c r="K4083" s="1"/>
      <c r="L4083" s="161" t="e">
        <f>IF($C$1073&gt;0,CONCATENATE(VLOOKUP($C4083,COSTI!$U$1379:$X$1430,4,FALSE)," / ",VLOOKUP($C4083,COSTI!$U$1379:$AB$1430,8,FALSE)),IF($C$1072&gt;0,CONCATENATE(VLOOKUP($C4083,COSTI!$U$1379:$AC$1430,9,FALSE)," / ",VLOOKUP($C4083,COSTI!$U$1379:$AB$1430,8,FALSE),""),""))</f>
        <v>#N/A</v>
      </c>
      <c r="M4083" s="1"/>
      <c r="N4083" s="1"/>
      <c r="O4083" s="1"/>
    </row>
    <row r="4084" spans="1:15" hidden="1">
      <c r="A4084" s="1"/>
      <c r="B4084" s="280" t="e">
        <f t="shared" ca="1" si="300"/>
        <v>#N/A</v>
      </c>
      <c r="C4084" s="277">
        <v>18</v>
      </c>
      <c r="D4084" s="41" t="e">
        <f>IF($C$1072&gt;0,VLOOKUP($C4084,COSTI!$U$1379:$W$1430,3,FALSE),"")</f>
        <v>#N/A</v>
      </c>
      <c r="E4084" s="41" t="str">
        <f t="shared" si="299"/>
        <v/>
      </c>
      <c r="F4084" s="200"/>
      <c r="G4084" s="178" t="e">
        <f>IF($C$1072&gt;0,VLOOKUP($C4084,COSTI!$U$1379:$Y$1430,5,FALSE),"")</f>
        <v>#N/A</v>
      </c>
      <c r="H4084" s="179" t="e">
        <f>IF($C$1072&gt;0,VLOOKUP($C4084,COSTI!$U$1379:$Z$1430,6,FALSE),"")</f>
        <v>#N/A</v>
      </c>
      <c r="I4084" s="187"/>
      <c r="J4084" s="140" t="e">
        <f ca="1">VLOOKUP(D4084,$F$1081:$I$4183,4,FALSE)+COUNTIF(E$1081:E4083,E4084)</f>
        <v>#N/A</v>
      </c>
      <c r="K4084" s="1"/>
      <c r="L4084" s="161" t="e">
        <f>IF($C$1073&gt;0,CONCATENATE(VLOOKUP($C4084,COSTI!$U$1379:$X$1430,4,FALSE)," / ",VLOOKUP($C4084,COSTI!$U$1379:$AB$1430,8,FALSE)),IF($C$1072&gt;0,CONCATENATE(VLOOKUP($C4084,COSTI!$U$1379:$AC$1430,9,FALSE)," / ",VLOOKUP($C4084,COSTI!$U$1379:$AB$1430,8,FALSE),""),""))</f>
        <v>#N/A</v>
      </c>
      <c r="M4084" s="1"/>
      <c r="N4084" s="1"/>
      <c r="O4084" s="1"/>
    </row>
    <row r="4085" spans="1:15" hidden="1">
      <c r="A4085" s="1"/>
      <c r="B4085" s="280" t="e">
        <f t="shared" ca="1" si="300"/>
        <v>#N/A</v>
      </c>
      <c r="C4085" s="277">
        <v>19</v>
      </c>
      <c r="D4085" s="41" t="e">
        <f>IF($C$1072&gt;0,VLOOKUP($C4085,COSTI!$U$1379:$W$1430,3,FALSE),"")</f>
        <v>#N/A</v>
      </c>
      <c r="E4085" s="41" t="str">
        <f t="shared" si="299"/>
        <v/>
      </c>
      <c r="F4085" s="200"/>
      <c r="G4085" s="178" t="e">
        <f>IF($C$1072&gt;0,VLOOKUP($C4085,COSTI!$U$1379:$Y$1430,5,FALSE),"")</f>
        <v>#N/A</v>
      </c>
      <c r="H4085" s="179" t="e">
        <f>IF($C$1072&gt;0,VLOOKUP($C4085,COSTI!$U$1379:$Z$1430,6,FALSE),"")</f>
        <v>#N/A</v>
      </c>
      <c r="I4085" s="187"/>
      <c r="J4085" s="140" t="e">
        <f ca="1">VLOOKUP(D4085,$F$1081:$I$4183,4,FALSE)+COUNTIF(E$1081:E4084,E4085)</f>
        <v>#N/A</v>
      </c>
      <c r="K4085" s="1"/>
      <c r="L4085" s="161" t="e">
        <f>IF($C$1073&gt;0,CONCATENATE(VLOOKUP($C4085,COSTI!$U$1379:$X$1430,4,FALSE)," / ",VLOOKUP($C4085,COSTI!$U$1379:$AB$1430,8,FALSE)),IF($C$1072&gt;0,CONCATENATE(VLOOKUP($C4085,COSTI!$U$1379:$AC$1430,9,FALSE)," / ",VLOOKUP($C4085,COSTI!$U$1379:$AB$1430,8,FALSE),""),""))</f>
        <v>#N/A</v>
      </c>
      <c r="M4085" s="1"/>
      <c r="N4085" s="1"/>
      <c r="O4085" s="1"/>
    </row>
    <row r="4086" spans="1:15" hidden="1">
      <c r="A4086" s="1"/>
      <c r="B4086" s="280" t="e">
        <f t="shared" ca="1" si="300"/>
        <v>#N/A</v>
      </c>
      <c r="C4086" s="277">
        <v>20</v>
      </c>
      <c r="D4086" s="41" t="e">
        <f>IF($C$1072&gt;0,VLOOKUP($C4086,COSTI!$U$1379:$W$1430,3,FALSE),"")</f>
        <v>#N/A</v>
      </c>
      <c r="E4086" s="41" t="str">
        <f t="shared" si="299"/>
        <v/>
      </c>
      <c r="F4086" s="200"/>
      <c r="G4086" s="178" t="e">
        <f>IF($C$1072&gt;0,VLOOKUP($C4086,COSTI!$U$1379:$Y$1430,5,FALSE),"")</f>
        <v>#N/A</v>
      </c>
      <c r="H4086" s="179" t="e">
        <f>IF($C$1072&gt;0,VLOOKUP($C4086,COSTI!$U$1379:$Z$1430,6,FALSE),"")</f>
        <v>#N/A</v>
      </c>
      <c r="I4086" s="187"/>
      <c r="J4086" s="140" t="e">
        <f ca="1">VLOOKUP(D4086,$F$1081:$I$4183,4,FALSE)+COUNTIF(E$1081:E4085,E4086)</f>
        <v>#N/A</v>
      </c>
      <c r="K4086" s="1"/>
      <c r="L4086" s="161" t="e">
        <f>IF($C$1073&gt;0,CONCATENATE(VLOOKUP($C4086,COSTI!$U$1379:$X$1430,4,FALSE)," / ",VLOOKUP($C4086,COSTI!$U$1379:$AB$1430,8,FALSE)),IF($C$1072&gt;0,CONCATENATE(VLOOKUP($C4086,COSTI!$U$1379:$AC$1430,9,FALSE)," / ",VLOOKUP($C4086,COSTI!$U$1379:$AB$1430,8,FALSE),""),""))</f>
        <v>#N/A</v>
      </c>
      <c r="M4086" s="1"/>
      <c r="N4086" s="1"/>
      <c r="O4086" s="1"/>
    </row>
    <row r="4087" spans="1:15" hidden="1">
      <c r="A4087" s="1"/>
      <c r="B4087" s="280" t="e">
        <f t="shared" ca="1" si="300"/>
        <v>#N/A</v>
      </c>
      <c r="C4087" s="277">
        <v>21</v>
      </c>
      <c r="D4087" s="41" t="e">
        <f>IF($C$1072&gt;0,VLOOKUP($C4087,COSTI!$U$1379:$W$1430,3,FALSE),"")</f>
        <v>#N/A</v>
      </c>
      <c r="E4087" s="41" t="str">
        <f t="shared" si="299"/>
        <v/>
      </c>
      <c r="F4087" s="200"/>
      <c r="G4087" s="178" t="e">
        <f>IF($C$1072&gt;0,VLOOKUP($C4087,COSTI!$U$1379:$Y$1430,5,FALSE),"")</f>
        <v>#N/A</v>
      </c>
      <c r="H4087" s="179" t="e">
        <f>IF($C$1072&gt;0,VLOOKUP($C4087,COSTI!$U$1379:$Z$1430,6,FALSE),"")</f>
        <v>#N/A</v>
      </c>
      <c r="I4087" s="187"/>
      <c r="J4087" s="140" t="e">
        <f ca="1">VLOOKUP(D4087,$F$1081:$I$4183,4,FALSE)+COUNTIF(E$1081:E4086,E4087)</f>
        <v>#N/A</v>
      </c>
      <c r="K4087" s="1"/>
      <c r="L4087" s="161" t="e">
        <f>IF($C$1073&gt;0,CONCATENATE(VLOOKUP($C4087,COSTI!$U$1379:$X$1430,4,FALSE)," / ",VLOOKUP($C4087,COSTI!$U$1379:$AB$1430,8,FALSE)),IF($C$1072&gt;0,CONCATENATE(VLOOKUP($C4087,COSTI!$U$1379:$AC$1430,9,FALSE)," / ",VLOOKUP($C4087,COSTI!$U$1379:$AB$1430,8,FALSE),""),""))</f>
        <v>#N/A</v>
      </c>
      <c r="M4087" s="1"/>
      <c r="N4087" s="1"/>
      <c r="O4087" s="1"/>
    </row>
    <row r="4088" spans="1:15" hidden="1">
      <c r="A4088" s="1"/>
      <c r="B4088" s="280" t="e">
        <f t="shared" ca="1" si="300"/>
        <v>#N/A</v>
      </c>
      <c r="C4088" s="277">
        <v>22</v>
      </c>
      <c r="D4088" s="41" t="e">
        <f>IF($C$1072&gt;0,VLOOKUP($C4088,COSTI!$U$1379:$W$1430,3,FALSE),"")</f>
        <v>#N/A</v>
      </c>
      <c r="E4088" s="41" t="str">
        <f t="shared" si="299"/>
        <v/>
      </c>
      <c r="F4088" s="200"/>
      <c r="G4088" s="178" t="e">
        <f>IF($C$1072&gt;0,VLOOKUP($C4088,COSTI!$U$1379:$Y$1430,5,FALSE),"")</f>
        <v>#N/A</v>
      </c>
      <c r="H4088" s="179" t="e">
        <f>IF($C$1072&gt;0,VLOOKUP($C4088,COSTI!$U$1379:$Z$1430,6,FALSE),"")</f>
        <v>#N/A</v>
      </c>
      <c r="I4088" s="187"/>
      <c r="J4088" s="140" t="e">
        <f ca="1">VLOOKUP(D4088,$F$1081:$I$4183,4,FALSE)+COUNTIF(E$1081:E4087,E4088)</f>
        <v>#N/A</v>
      </c>
      <c r="K4088" s="1"/>
      <c r="L4088" s="161" t="e">
        <f>IF($C$1073&gt;0,CONCATENATE(VLOOKUP($C4088,COSTI!$U$1379:$X$1430,4,FALSE)," / ",VLOOKUP($C4088,COSTI!$U$1379:$AB$1430,8,FALSE)),IF($C$1072&gt;0,CONCATENATE(VLOOKUP($C4088,COSTI!$U$1379:$AC$1430,9,FALSE)," / ",VLOOKUP($C4088,COSTI!$U$1379:$AB$1430,8,FALSE),""),""))</f>
        <v>#N/A</v>
      </c>
      <c r="M4088" s="1"/>
      <c r="N4088" s="1"/>
      <c r="O4088" s="1"/>
    </row>
    <row r="4089" spans="1:15" hidden="1">
      <c r="A4089" s="1"/>
      <c r="B4089" s="280" t="e">
        <f t="shared" ca="1" si="300"/>
        <v>#N/A</v>
      </c>
      <c r="C4089" s="277">
        <v>23</v>
      </c>
      <c r="D4089" s="41" t="e">
        <f>IF($C$1072&gt;0,VLOOKUP($C4089,COSTI!$U$1379:$W$1430,3,FALSE),"")</f>
        <v>#N/A</v>
      </c>
      <c r="E4089" s="41" t="str">
        <f t="shared" si="299"/>
        <v/>
      </c>
      <c r="F4089" s="200"/>
      <c r="G4089" s="178" t="e">
        <f>IF($C$1072&gt;0,VLOOKUP($C4089,COSTI!$U$1379:$Y$1430,5,FALSE),"")</f>
        <v>#N/A</v>
      </c>
      <c r="H4089" s="179" t="e">
        <f>IF($C$1072&gt;0,VLOOKUP($C4089,COSTI!$U$1379:$Z$1430,6,FALSE),"")</f>
        <v>#N/A</v>
      </c>
      <c r="I4089" s="187"/>
      <c r="J4089" s="140" t="e">
        <f ca="1">VLOOKUP(D4089,$F$1081:$I$4183,4,FALSE)+COUNTIF(E$1081:E4088,E4089)</f>
        <v>#N/A</v>
      </c>
      <c r="K4089" s="1"/>
      <c r="L4089" s="161" t="e">
        <f>IF($C$1073&gt;0,CONCATENATE(VLOOKUP($C4089,COSTI!$U$1379:$X$1430,4,FALSE)," / ",VLOOKUP($C4089,COSTI!$U$1379:$AB$1430,8,FALSE)),IF($C$1072&gt;0,CONCATENATE(VLOOKUP($C4089,COSTI!$U$1379:$AC$1430,9,FALSE)," / ",VLOOKUP($C4089,COSTI!$U$1379:$AB$1430,8,FALSE),""),""))</f>
        <v>#N/A</v>
      </c>
      <c r="M4089" s="1"/>
      <c r="N4089" s="1"/>
      <c r="O4089" s="1"/>
    </row>
    <row r="4090" spans="1:15" hidden="1">
      <c r="A4090" s="1"/>
      <c r="B4090" s="280" t="e">
        <f t="shared" ca="1" si="300"/>
        <v>#N/A</v>
      </c>
      <c r="C4090" s="277">
        <v>24</v>
      </c>
      <c r="D4090" s="41" t="e">
        <f>IF($C$1072&gt;0,VLOOKUP($C4090,COSTI!$U$1379:$W$1430,3,FALSE),"")</f>
        <v>#N/A</v>
      </c>
      <c r="E4090" s="41" t="str">
        <f t="shared" si="299"/>
        <v/>
      </c>
      <c r="F4090" s="200"/>
      <c r="G4090" s="178" t="e">
        <f>IF($C$1072&gt;0,VLOOKUP($C4090,COSTI!$U$1379:$Y$1430,5,FALSE),"")</f>
        <v>#N/A</v>
      </c>
      <c r="H4090" s="179" t="e">
        <f>IF($C$1072&gt;0,VLOOKUP($C4090,COSTI!$U$1379:$Z$1430,6,FALSE),"")</f>
        <v>#N/A</v>
      </c>
      <c r="I4090" s="187"/>
      <c r="J4090" s="140" t="e">
        <f ca="1">VLOOKUP(D4090,$F$1081:$I$4183,4,FALSE)+COUNTIF(E$1081:E4089,E4090)</f>
        <v>#N/A</v>
      </c>
      <c r="K4090" s="1"/>
      <c r="L4090" s="161" t="e">
        <f>IF($C$1073&gt;0,CONCATENATE(VLOOKUP($C4090,COSTI!$U$1379:$X$1430,4,FALSE)," / ",VLOOKUP($C4090,COSTI!$U$1379:$AB$1430,8,FALSE)),IF($C$1072&gt;0,CONCATENATE(VLOOKUP($C4090,COSTI!$U$1379:$AC$1430,9,FALSE)," / ",VLOOKUP($C4090,COSTI!$U$1379:$AB$1430,8,FALSE),""),""))</f>
        <v>#N/A</v>
      </c>
      <c r="M4090" s="1"/>
      <c r="N4090" s="1"/>
      <c r="O4090" s="1"/>
    </row>
    <row r="4091" spans="1:15" hidden="1">
      <c r="A4091" s="1"/>
      <c r="B4091" s="280" t="e">
        <f t="shared" ca="1" si="300"/>
        <v>#N/A</v>
      </c>
      <c r="C4091" s="277">
        <v>25</v>
      </c>
      <c r="D4091" s="41" t="e">
        <f>IF($C$1072&gt;0,VLOOKUP($C4091,COSTI!$U$1379:$W$1430,3,FALSE),"")</f>
        <v>#N/A</v>
      </c>
      <c r="E4091" s="41" t="str">
        <f t="shared" si="299"/>
        <v/>
      </c>
      <c r="F4091" s="200"/>
      <c r="G4091" s="178" t="e">
        <f>IF($C$1072&gt;0,VLOOKUP($C4091,COSTI!$U$1379:$Y$1430,5,FALSE),"")</f>
        <v>#N/A</v>
      </c>
      <c r="H4091" s="179" t="e">
        <f>IF($C$1072&gt;0,VLOOKUP($C4091,COSTI!$U$1379:$Z$1430,6,FALSE),"")</f>
        <v>#N/A</v>
      </c>
      <c r="I4091" s="187"/>
      <c r="J4091" s="140" t="e">
        <f ca="1">VLOOKUP(D4091,$F$1081:$I$4183,4,FALSE)+COUNTIF(E$1081:E4090,E4091)</f>
        <v>#N/A</v>
      </c>
      <c r="K4091" s="1"/>
      <c r="L4091" s="161" t="e">
        <f>IF($C$1073&gt;0,CONCATENATE(VLOOKUP($C4091,COSTI!$U$1379:$X$1430,4,FALSE)," / ",VLOOKUP($C4091,COSTI!$U$1379:$AB$1430,8,FALSE)),IF($C$1072&gt;0,CONCATENATE(VLOOKUP($C4091,COSTI!$U$1379:$AC$1430,9,FALSE)," / ",VLOOKUP($C4091,COSTI!$U$1379:$AB$1430,8,FALSE),""),""))</f>
        <v>#N/A</v>
      </c>
      <c r="M4091" s="1"/>
      <c r="N4091" s="1"/>
      <c r="O4091" s="1"/>
    </row>
    <row r="4092" spans="1:15" hidden="1">
      <c r="A4092" s="1"/>
      <c r="B4092" s="280" t="e">
        <f t="shared" ca="1" si="300"/>
        <v>#N/A</v>
      </c>
      <c r="C4092" s="277">
        <v>26</v>
      </c>
      <c r="D4092" s="41" t="e">
        <f>IF($C$1072&gt;0,VLOOKUP($C4092,COSTI!$U$1379:$W$1430,3,FALSE),"")</f>
        <v>#N/A</v>
      </c>
      <c r="E4092" s="41" t="str">
        <f t="shared" si="299"/>
        <v/>
      </c>
      <c r="F4092" s="200"/>
      <c r="G4092" s="178" t="e">
        <f>IF($C$1072&gt;0,VLOOKUP($C4092,COSTI!$U$1379:$Y$1430,5,FALSE),"")</f>
        <v>#N/A</v>
      </c>
      <c r="H4092" s="179" t="e">
        <f>IF($C$1072&gt;0,VLOOKUP($C4092,COSTI!$U$1379:$Z$1430,6,FALSE),"")</f>
        <v>#N/A</v>
      </c>
      <c r="I4092" s="187"/>
      <c r="J4092" s="140" t="e">
        <f ca="1">VLOOKUP(D4092,$F$1081:$I$4183,4,FALSE)+COUNTIF(E$1081:E4091,E4092)</f>
        <v>#N/A</v>
      </c>
      <c r="K4092" s="1"/>
      <c r="L4092" s="161" t="e">
        <f>IF($C$1073&gt;0,CONCATENATE(VLOOKUP($C4092,COSTI!$U$1379:$X$1430,4,FALSE)," / ",VLOOKUP($C4092,COSTI!$U$1379:$AB$1430,8,FALSE)),IF($C$1072&gt;0,CONCATENATE(VLOOKUP($C4092,COSTI!$U$1379:$AC$1430,9,FALSE)," / ",VLOOKUP($C4092,COSTI!$U$1379:$AB$1430,8,FALSE),""),""))</f>
        <v>#N/A</v>
      </c>
      <c r="M4092" s="1"/>
      <c r="N4092" s="1"/>
      <c r="O4092" s="1"/>
    </row>
    <row r="4093" spans="1:15" hidden="1">
      <c r="A4093" s="1"/>
      <c r="B4093" s="280" t="e">
        <f t="shared" ca="1" si="300"/>
        <v>#N/A</v>
      </c>
      <c r="C4093" s="277">
        <v>27</v>
      </c>
      <c r="D4093" s="41" t="e">
        <f>IF($C$1072&gt;0,VLOOKUP($C4093,COSTI!$U$1379:$W$1430,3,FALSE),"")</f>
        <v>#N/A</v>
      </c>
      <c r="E4093" s="41" t="str">
        <f t="shared" si="299"/>
        <v/>
      </c>
      <c r="F4093" s="200"/>
      <c r="G4093" s="178" t="e">
        <f>IF($C$1072&gt;0,VLOOKUP($C4093,COSTI!$U$1379:$Y$1430,5,FALSE),"")</f>
        <v>#N/A</v>
      </c>
      <c r="H4093" s="179" t="e">
        <f>IF($C$1072&gt;0,VLOOKUP($C4093,COSTI!$U$1379:$Z$1430,6,FALSE),"")</f>
        <v>#N/A</v>
      </c>
      <c r="I4093" s="187"/>
      <c r="J4093" s="140" t="e">
        <f ca="1">VLOOKUP(D4093,$F$1081:$I$4183,4,FALSE)+COUNTIF(E$1081:E4092,E4093)</f>
        <v>#N/A</v>
      </c>
      <c r="K4093" s="1"/>
      <c r="L4093" s="161" t="e">
        <f>IF($C$1073&gt;0,CONCATENATE(VLOOKUP($C4093,COSTI!$U$1379:$X$1430,4,FALSE)," / ",VLOOKUP($C4093,COSTI!$U$1379:$AB$1430,8,FALSE)),IF($C$1072&gt;0,CONCATENATE(VLOOKUP($C4093,COSTI!$U$1379:$AC$1430,9,FALSE)," / ",VLOOKUP($C4093,COSTI!$U$1379:$AB$1430,8,FALSE),""),""))</f>
        <v>#N/A</v>
      </c>
      <c r="M4093" s="1"/>
      <c r="N4093" s="1"/>
      <c r="O4093" s="1"/>
    </row>
    <row r="4094" spans="1:15" hidden="1">
      <c r="A4094" s="1"/>
      <c r="B4094" s="280" t="e">
        <f t="shared" ca="1" si="300"/>
        <v>#N/A</v>
      </c>
      <c r="C4094" s="277">
        <v>28</v>
      </c>
      <c r="D4094" s="41" t="e">
        <f>IF($C$1072&gt;0,VLOOKUP($C4094,COSTI!$U$1379:$W$1430,3,FALSE),"")</f>
        <v>#N/A</v>
      </c>
      <c r="E4094" s="41" t="str">
        <f t="shared" si="299"/>
        <v/>
      </c>
      <c r="F4094" s="200"/>
      <c r="G4094" s="178" t="e">
        <f>IF($C$1072&gt;0,VLOOKUP($C4094,COSTI!$U$1379:$Y$1430,5,FALSE),"")</f>
        <v>#N/A</v>
      </c>
      <c r="H4094" s="179" t="e">
        <f>IF($C$1072&gt;0,VLOOKUP($C4094,COSTI!$U$1379:$Z$1430,6,FALSE),"")</f>
        <v>#N/A</v>
      </c>
      <c r="I4094" s="187"/>
      <c r="J4094" s="140" t="e">
        <f ca="1">VLOOKUP(D4094,$F$1081:$I$4183,4,FALSE)+COUNTIF(E$1081:E4093,E4094)</f>
        <v>#N/A</v>
      </c>
      <c r="K4094" s="1"/>
      <c r="L4094" s="161" t="e">
        <f>IF($C$1073&gt;0,CONCATENATE(VLOOKUP($C4094,COSTI!$U$1379:$X$1430,4,FALSE)," / ",VLOOKUP($C4094,COSTI!$U$1379:$AB$1430,8,FALSE)),IF($C$1072&gt;0,CONCATENATE(VLOOKUP($C4094,COSTI!$U$1379:$AC$1430,9,FALSE)," / ",VLOOKUP($C4094,COSTI!$U$1379:$AB$1430,8,FALSE),""),""))</f>
        <v>#N/A</v>
      </c>
      <c r="M4094" s="1"/>
      <c r="N4094" s="1"/>
      <c r="O4094" s="1"/>
    </row>
    <row r="4095" spans="1:15" hidden="1">
      <c r="A4095" s="1"/>
      <c r="B4095" s="280" t="e">
        <f t="shared" ca="1" si="300"/>
        <v>#N/A</v>
      </c>
      <c r="C4095" s="277">
        <v>29</v>
      </c>
      <c r="D4095" s="41" t="e">
        <f>IF($C$1072&gt;0,VLOOKUP($C4095,COSTI!$U$1379:$W$1430,3,FALSE),"")</f>
        <v>#N/A</v>
      </c>
      <c r="E4095" s="41" t="str">
        <f t="shared" si="299"/>
        <v/>
      </c>
      <c r="F4095" s="200"/>
      <c r="G4095" s="178" t="e">
        <f>IF($C$1072&gt;0,VLOOKUP($C4095,COSTI!$U$1379:$Y$1430,5,FALSE),"")</f>
        <v>#N/A</v>
      </c>
      <c r="H4095" s="179" t="e">
        <f>IF($C$1072&gt;0,VLOOKUP($C4095,COSTI!$U$1379:$Z$1430,6,FALSE),"")</f>
        <v>#N/A</v>
      </c>
      <c r="I4095" s="187"/>
      <c r="J4095" s="140" t="e">
        <f ca="1">VLOOKUP(D4095,$F$1081:$I$4183,4,FALSE)+COUNTIF(E$1081:E4094,E4095)</f>
        <v>#N/A</v>
      </c>
      <c r="K4095" s="1"/>
      <c r="L4095" s="161" t="e">
        <f>IF($C$1073&gt;0,CONCATENATE(VLOOKUP($C4095,COSTI!$U$1379:$X$1430,4,FALSE)," / ",VLOOKUP($C4095,COSTI!$U$1379:$AB$1430,8,FALSE)),IF($C$1072&gt;0,CONCATENATE(VLOOKUP($C4095,COSTI!$U$1379:$AC$1430,9,FALSE)," / ",VLOOKUP($C4095,COSTI!$U$1379:$AB$1430,8,FALSE),""),""))</f>
        <v>#N/A</v>
      </c>
      <c r="M4095" s="1"/>
      <c r="N4095" s="1"/>
      <c r="O4095" s="1"/>
    </row>
    <row r="4096" spans="1:15" hidden="1">
      <c r="A4096" s="1"/>
      <c r="B4096" s="280" t="e">
        <f t="shared" ca="1" si="300"/>
        <v>#N/A</v>
      </c>
      <c r="C4096" s="277">
        <v>30</v>
      </c>
      <c r="D4096" s="41" t="e">
        <f>IF($C$1072&gt;0,VLOOKUP($C4096,COSTI!$U$1379:$W$1430,3,FALSE),"")</f>
        <v>#N/A</v>
      </c>
      <c r="E4096" s="41" t="str">
        <f t="shared" si="299"/>
        <v/>
      </c>
      <c r="F4096" s="200"/>
      <c r="G4096" s="178" t="e">
        <f>IF($C$1072&gt;0,VLOOKUP($C4096,COSTI!$U$1379:$Y$1430,5,FALSE),"")</f>
        <v>#N/A</v>
      </c>
      <c r="H4096" s="179" t="e">
        <f>IF($C$1072&gt;0,VLOOKUP($C4096,COSTI!$U$1379:$Z$1430,6,FALSE),"")</f>
        <v>#N/A</v>
      </c>
      <c r="I4096" s="187"/>
      <c r="J4096" s="140" t="e">
        <f ca="1">VLOOKUP(D4096,$F$1081:$I$4183,4,FALSE)+COUNTIF(E$1081:E4095,E4096)</f>
        <v>#N/A</v>
      </c>
      <c r="K4096" s="1"/>
      <c r="L4096" s="161" t="e">
        <f>IF($C$1073&gt;0,CONCATENATE(VLOOKUP($C4096,COSTI!$U$1379:$X$1430,4,FALSE)," / ",VLOOKUP($C4096,COSTI!$U$1379:$AB$1430,8,FALSE)),IF($C$1072&gt;0,CONCATENATE(VLOOKUP($C4096,COSTI!$U$1379:$AC$1430,9,FALSE)," / ",VLOOKUP($C4096,COSTI!$U$1379:$AB$1430,8,FALSE),""),""))</f>
        <v>#N/A</v>
      </c>
      <c r="M4096" s="1"/>
      <c r="N4096" s="1"/>
      <c r="O4096" s="1"/>
    </row>
    <row r="4097" spans="1:15" hidden="1">
      <c r="A4097" s="1"/>
      <c r="B4097" s="280" t="e">
        <f t="shared" ca="1" si="300"/>
        <v>#N/A</v>
      </c>
      <c r="C4097" s="277">
        <v>31</v>
      </c>
      <c r="D4097" s="41" t="e">
        <f>IF($C$1072&gt;0,VLOOKUP($C4097,COSTI!$U$1379:$W$1430,3,FALSE),"")</f>
        <v>#N/A</v>
      </c>
      <c r="E4097" s="41" t="str">
        <f t="shared" si="299"/>
        <v/>
      </c>
      <c r="F4097" s="200"/>
      <c r="G4097" s="178" t="e">
        <f>IF($C$1072&gt;0,VLOOKUP($C4097,COSTI!$U$1379:$Y$1430,5,FALSE),"")</f>
        <v>#N/A</v>
      </c>
      <c r="H4097" s="179" t="e">
        <f>IF($C$1072&gt;0,VLOOKUP($C4097,COSTI!$U$1379:$Z$1430,6,FALSE),"")</f>
        <v>#N/A</v>
      </c>
      <c r="I4097" s="187"/>
      <c r="J4097" s="140" t="e">
        <f ca="1">VLOOKUP(D4097,$F$1081:$I$4183,4,FALSE)+COUNTIF(E$1081:E4096,E4097)</f>
        <v>#N/A</v>
      </c>
      <c r="K4097" s="1"/>
      <c r="L4097" s="161" t="e">
        <f>IF($C$1073&gt;0,CONCATENATE(VLOOKUP($C4097,COSTI!$U$1379:$X$1430,4,FALSE)," / ",VLOOKUP($C4097,COSTI!$U$1379:$AB$1430,8,FALSE)),IF($C$1072&gt;0,CONCATENATE(VLOOKUP($C4097,COSTI!$U$1379:$AC$1430,9,FALSE)," / ",VLOOKUP($C4097,COSTI!$U$1379:$AB$1430,8,FALSE),""),""))</f>
        <v>#N/A</v>
      </c>
      <c r="M4097" s="1"/>
      <c r="N4097" s="1"/>
      <c r="O4097" s="1"/>
    </row>
    <row r="4098" spans="1:15" hidden="1">
      <c r="A4098" s="1"/>
      <c r="B4098" s="280" t="e">
        <f t="shared" ca="1" si="300"/>
        <v>#N/A</v>
      </c>
      <c r="C4098" s="277">
        <v>32</v>
      </c>
      <c r="D4098" s="41" t="e">
        <f>IF($C$1072&gt;0,VLOOKUP($C4098,COSTI!$U$1379:$W$1430,3,FALSE),"")</f>
        <v>#N/A</v>
      </c>
      <c r="E4098" s="41" t="str">
        <f t="shared" ref="E4098:E4161" si="301">IF(ISERROR(D4098),"",D4098)</f>
        <v/>
      </c>
      <c r="F4098" s="200"/>
      <c r="G4098" s="178" t="e">
        <f>IF($C$1072&gt;0,VLOOKUP($C4098,COSTI!$U$1379:$Y$1430,5,FALSE),"")</f>
        <v>#N/A</v>
      </c>
      <c r="H4098" s="179" t="e">
        <f>IF($C$1072&gt;0,VLOOKUP($C4098,COSTI!$U$1379:$Z$1430,6,FALSE),"")</f>
        <v>#N/A</v>
      </c>
      <c r="I4098" s="187"/>
      <c r="J4098" s="140" t="e">
        <f ca="1">VLOOKUP(D4098,$F$1081:$I$4183,4,FALSE)+COUNTIF(E$1081:E4097,E4098)</f>
        <v>#N/A</v>
      </c>
      <c r="K4098" s="1"/>
      <c r="L4098" s="161" t="e">
        <f>IF($C$1073&gt;0,CONCATENATE(VLOOKUP($C4098,COSTI!$U$1379:$X$1430,4,FALSE)," / ",VLOOKUP($C4098,COSTI!$U$1379:$AB$1430,8,FALSE)),IF($C$1072&gt;0,CONCATENATE(VLOOKUP($C4098,COSTI!$U$1379:$AC$1430,9,FALSE)," / ",VLOOKUP($C4098,COSTI!$U$1379:$AB$1430,8,FALSE),""),""))</f>
        <v>#N/A</v>
      </c>
      <c r="M4098" s="1"/>
      <c r="N4098" s="1"/>
      <c r="O4098" s="1"/>
    </row>
    <row r="4099" spans="1:15" hidden="1">
      <c r="A4099" s="1"/>
      <c r="B4099" s="280" t="e">
        <f t="shared" ca="1" si="300"/>
        <v>#N/A</v>
      </c>
      <c r="C4099" s="277">
        <v>33</v>
      </c>
      <c r="D4099" s="41" t="e">
        <f>IF($C$1072&gt;0,VLOOKUP($C4099,COSTI!$U$1379:$W$1430,3,FALSE),"")</f>
        <v>#N/A</v>
      </c>
      <c r="E4099" s="41" t="str">
        <f t="shared" si="301"/>
        <v/>
      </c>
      <c r="F4099" s="200"/>
      <c r="G4099" s="178" t="e">
        <f>IF($C$1072&gt;0,VLOOKUP($C4099,COSTI!$U$1379:$Y$1430,5,FALSE),"")</f>
        <v>#N/A</v>
      </c>
      <c r="H4099" s="179" t="e">
        <f>IF($C$1072&gt;0,VLOOKUP($C4099,COSTI!$U$1379:$Z$1430,6,FALSE),"")</f>
        <v>#N/A</v>
      </c>
      <c r="I4099" s="187"/>
      <c r="J4099" s="140" t="e">
        <f ca="1">VLOOKUP(D4099,$F$1081:$I$4183,4,FALSE)+COUNTIF(E$1081:E4098,E4099)</f>
        <v>#N/A</v>
      </c>
      <c r="K4099" s="1"/>
      <c r="L4099" s="161" t="e">
        <f>IF($C$1073&gt;0,CONCATENATE(VLOOKUP($C4099,COSTI!$U$1379:$X$1430,4,FALSE)," / ",VLOOKUP($C4099,COSTI!$U$1379:$AB$1430,8,FALSE)),IF($C$1072&gt;0,CONCATENATE(VLOOKUP($C4099,COSTI!$U$1379:$AC$1430,9,FALSE)," / ",VLOOKUP($C4099,COSTI!$U$1379:$AB$1430,8,FALSE),""),""))</f>
        <v>#N/A</v>
      </c>
      <c r="M4099" s="1"/>
      <c r="N4099" s="1"/>
      <c r="O4099" s="1"/>
    </row>
    <row r="4100" spans="1:15" hidden="1">
      <c r="A4100" s="1"/>
      <c r="B4100" s="280" t="e">
        <f t="shared" ca="1" si="300"/>
        <v>#N/A</v>
      </c>
      <c r="C4100" s="277">
        <v>34</v>
      </c>
      <c r="D4100" s="41" t="e">
        <f>IF($C$1072&gt;0,VLOOKUP($C4100,COSTI!$U$1379:$W$1430,3,FALSE),"")</f>
        <v>#N/A</v>
      </c>
      <c r="E4100" s="41" t="str">
        <f t="shared" si="301"/>
        <v/>
      </c>
      <c r="F4100" s="200"/>
      <c r="G4100" s="178" t="e">
        <f>IF($C$1072&gt;0,VLOOKUP($C4100,COSTI!$U$1379:$Y$1430,5,FALSE),"")</f>
        <v>#N/A</v>
      </c>
      <c r="H4100" s="179" t="e">
        <f>IF($C$1072&gt;0,VLOOKUP($C4100,COSTI!$U$1379:$Z$1430,6,FALSE),"")</f>
        <v>#N/A</v>
      </c>
      <c r="I4100" s="187"/>
      <c r="J4100" s="140" t="e">
        <f ca="1">VLOOKUP(D4100,$F$1081:$I$4183,4,FALSE)+COUNTIF(E$1081:E4099,E4100)</f>
        <v>#N/A</v>
      </c>
      <c r="K4100" s="1"/>
      <c r="L4100" s="161" t="e">
        <f>IF($C$1073&gt;0,CONCATENATE(VLOOKUP($C4100,COSTI!$U$1379:$X$1430,4,FALSE)," / ",VLOOKUP($C4100,COSTI!$U$1379:$AB$1430,8,FALSE)),IF($C$1072&gt;0,CONCATENATE(VLOOKUP($C4100,COSTI!$U$1379:$AC$1430,9,FALSE)," / ",VLOOKUP($C4100,COSTI!$U$1379:$AB$1430,8,FALSE),""),""))</f>
        <v>#N/A</v>
      </c>
      <c r="M4100" s="1"/>
      <c r="N4100" s="1"/>
      <c r="O4100" s="1"/>
    </row>
    <row r="4101" spans="1:15" hidden="1">
      <c r="A4101" s="1"/>
      <c r="B4101" s="280" t="e">
        <f t="shared" ca="1" si="300"/>
        <v>#N/A</v>
      </c>
      <c r="C4101" s="277">
        <v>35</v>
      </c>
      <c r="D4101" s="41" t="e">
        <f>IF($C$1072&gt;0,VLOOKUP($C4101,COSTI!$U$1379:$W$1430,3,FALSE),"")</f>
        <v>#N/A</v>
      </c>
      <c r="E4101" s="41" t="str">
        <f t="shared" si="301"/>
        <v/>
      </c>
      <c r="F4101" s="200"/>
      <c r="G4101" s="178" t="e">
        <f>IF($C$1072&gt;0,VLOOKUP($C4101,COSTI!$U$1379:$Y$1430,5,FALSE),"")</f>
        <v>#N/A</v>
      </c>
      <c r="H4101" s="179" t="e">
        <f>IF($C$1072&gt;0,VLOOKUP($C4101,COSTI!$U$1379:$Z$1430,6,FALSE),"")</f>
        <v>#N/A</v>
      </c>
      <c r="I4101" s="187"/>
      <c r="J4101" s="140" t="e">
        <f ca="1">VLOOKUP(D4101,$F$1081:$I$4183,4,FALSE)+COUNTIF(E$1081:E4100,E4101)</f>
        <v>#N/A</v>
      </c>
      <c r="K4101" s="1"/>
      <c r="L4101" s="161" t="e">
        <f>IF($C$1073&gt;0,CONCATENATE(VLOOKUP($C4101,COSTI!$U$1379:$X$1430,4,FALSE)," / ",VLOOKUP($C4101,COSTI!$U$1379:$AB$1430,8,FALSE)),IF($C$1072&gt;0,CONCATENATE(VLOOKUP($C4101,COSTI!$U$1379:$AC$1430,9,FALSE)," / ",VLOOKUP($C4101,COSTI!$U$1379:$AB$1430,8,FALSE),""),""))</f>
        <v>#N/A</v>
      </c>
      <c r="M4101" s="1"/>
      <c r="N4101" s="1"/>
      <c r="O4101" s="1"/>
    </row>
    <row r="4102" spans="1:15" hidden="1">
      <c r="A4102" s="1"/>
      <c r="B4102" s="280" t="e">
        <f t="shared" ca="1" si="300"/>
        <v>#N/A</v>
      </c>
      <c r="C4102" s="277">
        <v>36</v>
      </c>
      <c r="D4102" s="41" t="e">
        <f>IF($C$1072&gt;0,VLOOKUP($C4102,COSTI!$U$1379:$W$1430,3,FALSE),"")</f>
        <v>#N/A</v>
      </c>
      <c r="E4102" s="41" t="str">
        <f t="shared" si="301"/>
        <v/>
      </c>
      <c r="F4102" s="200"/>
      <c r="G4102" s="178" t="e">
        <f>IF($C$1072&gt;0,VLOOKUP($C4102,COSTI!$U$1379:$Y$1430,5,FALSE),"")</f>
        <v>#N/A</v>
      </c>
      <c r="H4102" s="179" t="e">
        <f>IF($C$1072&gt;0,VLOOKUP($C4102,COSTI!$U$1379:$Z$1430,6,FALSE),"")</f>
        <v>#N/A</v>
      </c>
      <c r="I4102" s="187"/>
      <c r="J4102" s="140" t="e">
        <f ca="1">VLOOKUP(D4102,$F$1081:$I$4183,4,FALSE)+COUNTIF(E$1081:E4101,E4102)</f>
        <v>#N/A</v>
      </c>
      <c r="K4102" s="1"/>
      <c r="L4102" s="161" t="e">
        <f>IF($C$1073&gt;0,CONCATENATE(VLOOKUP($C4102,COSTI!$U$1379:$X$1430,4,FALSE)," / ",VLOOKUP($C4102,COSTI!$U$1379:$AB$1430,8,FALSE)),IF($C$1072&gt;0,CONCATENATE(VLOOKUP($C4102,COSTI!$U$1379:$AC$1430,9,FALSE)," / ",VLOOKUP($C4102,COSTI!$U$1379:$AB$1430,8,FALSE),""),""))</f>
        <v>#N/A</v>
      </c>
      <c r="M4102" s="1"/>
      <c r="N4102" s="1"/>
      <c r="O4102" s="1"/>
    </row>
    <row r="4103" spans="1:15" hidden="1">
      <c r="A4103" s="1"/>
      <c r="B4103" s="280" t="e">
        <f t="shared" ca="1" si="300"/>
        <v>#N/A</v>
      </c>
      <c r="C4103" s="277">
        <v>37</v>
      </c>
      <c r="D4103" s="41" t="e">
        <f>IF($C$1072&gt;0,VLOOKUP($C4103,COSTI!$U$1379:$W$1430,3,FALSE),"")</f>
        <v>#N/A</v>
      </c>
      <c r="E4103" s="41" t="str">
        <f t="shared" si="301"/>
        <v/>
      </c>
      <c r="F4103" s="200"/>
      <c r="G4103" s="178" t="e">
        <f>IF($C$1072&gt;0,VLOOKUP($C4103,COSTI!$U$1379:$Y$1430,5,FALSE),"")</f>
        <v>#N/A</v>
      </c>
      <c r="H4103" s="179" t="e">
        <f>IF($C$1072&gt;0,VLOOKUP($C4103,COSTI!$U$1379:$Z$1430,6,FALSE),"")</f>
        <v>#N/A</v>
      </c>
      <c r="I4103" s="187"/>
      <c r="J4103" s="140" t="e">
        <f ca="1">VLOOKUP(D4103,$F$1081:$I$4183,4,FALSE)+COUNTIF(E$1081:E4102,E4103)</f>
        <v>#N/A</v>
      </c>
      <c r="K4103" s="1"/>
      <c r="L4103" s="161" t="e">
        <f>IF($C$1073&gt;0,CONCATENATE(VLOOKUP($C4103,COSTI!$U$1379:$X$1430,4,FALSE)," / ",VLOOKUP($C4103,COSTI!$U$1379:$AB$1430,8,FALSE)),IF($C$1072&gt;0,CONCATENATE(VLOOKUP($C4103,COSTI!$U$1379:$AC$1430,9,FALSE)," / ",VLOOKUP($C4103,COSTI!$U$1379:$AB$1430,8,FALSE),""),""))</f>
        <v>#N/A</v>
      </c>
      <c r="M4103" s="1"/>
      <c r="N4103" s="1"/>
      <c r="O4103" s="1"/>
    </row>
    <row r="4104" spans="1:15" hidden="1">
      <c r="A4104" s="1"/>
      <c r="B4104" s="280" t="e">
        <f t="shared" ca="1" si="300"/>
        <v>#N/A</v>
      </c>
      <c r="C4104" s="277">
        <v>38</v>
      </c>
      <c r="D4104" s="41" t="e">
        <f>IF($C$1072&gt;0,VLOOKUP($C4104,COSTI!$U$1379:$W$1430,3,FALSE),"")</f>
        <v>#N/A</v>
      </c>
      <c r="E4104" s="41" t="str">
        <f t="shared" si="301"/>
        <v/>
      </c>
      <c r="F4104" s="200"/>
      <c r="G4104" s="178" t="e">
        <f>IF($C$1072&gt;0,VLOOKUP($C4104,COSTI!$U$1379:$Y$1430,5,FALSE),"")</f>
        <v>#N/A</v>
      </c>
      <c r="H4104" s="179" t="e">
        <f>IF($C$1072&gt;0,VLOOKUP($C4104,COSTI!$U$1379:$Z$1430,6,FALSE),"")</f>
        <v>#N/A</v>
      </c>
      <c r="I4104" s="187"/>
      <c r="J4104" s="140" t="e">
        <f ca="1">VLOOKUP(D4104,$F$1081:$I$4183,4,FALSE)+COUNTIF(E$1081:E4103,E4104)</f>
        <v>#N/A</v>
      </c>
      <c r="K4104" s="1"/>
      <c r="L4104" s="161" t="e">
        <f>IF($C$1073&gt;0,CONCATENATE(VLOOKUP($C4104,COSTI!$U$1379:$X$1430,4,FALSE)," / ",VLOOKUP($C4104,COSTI!$U$1379:$AB$1430,8,FALSE)),IF($C$1072&gt;0,CONCATENATE(VLOOKUP($C4104,COSTI!$U$1379:$AC$1430,9,FALSE)," / ",VLOOKUP($C4104,COSTI!$U$1379:$AB$1430,8,FALSE),""),""))</f>
        <v>#N/A</v>
      </c>
      <c r="M4104" s="1"/>
      <c r="N4104" s="1"/>
      <c r="O4104" s="1"/>
    </row>
    <row r="4105" spans="1:15" hidden="1">
      <c r="A4105" s="1"/>
      <c r="B4105" s="280" t="e">
        <f t="shared" ca="1" si="300"/>
        <v>#N/A</v>
      </c>
      <c r="C4105" s="277">
        <v>39</v>
      </c>
      <c r="D4105" s="41" t="e">
        <f>IF($C$1072&gt;0,VLOOKUP($C4105,COSTI!$U$1379:$W$1430,3,FALSE),"")</f>
        <v>#N/A</v>
      </c>
      <c r="E4105" s="41" t="str">
        <f t="shared" si="301"/>
        <v/>
      </c>
      <c r="F4105" s="200"/>
      <c r="G4105" s="178" t="e">
        <f>IF($C$1072&gt;0,VLOOKUP($C4105,COSTI!$U$1379:$Y$1430,5,FALSE),"")</f>
        <v>#N/A</v>
      </c>
      <c r="H4105" s="179" t="e">
        <f>IF($C$1072&gt;0,VLOOKUP($C4105,COSTI!$U$1379:$Z$1430,6,FALSE),"")</f>
        <v>#N/A</v>
      </c>
      <c r="I4105" s="187"/>
      <c r="J4105" s="140" t="e">
        <f ca="1">VLOOKUP(D4105,$F$1081:$I$4183,4,FALSE)+COUNTIF(E$1081:E4104,E4105)</f>
        <v>#N/A</v>
      </c>
      <c r="K4105" s="1"/>
      <c r="L4105" s="161" t="e">
        <f>IF($C$1073&gt;0,CONCATENATE(VLOOKUP($C4105,COSTI!$U$1379:$X$1430,4,FALSE)," / ",VLOOKUP($C4105,COSTI!$U$1379:$AB$1430,8,FALSE)),IF($C$1072&gt;0,CONCATENATE(VLOOKUP($C4105,COSTI!$U$1379:$AC$1430,9,FALSE)," / ",VLOOKUP($C4105,COSTI!$U$1379:$AB$1430,8,FALSE),""),""))</f>
        <v>#N/A</v>
      </c>
      <c r="M4105" s="1"/>
      <c r="N4105" s="1"/>
      <c r="O4105" s="1"/>
    </row>
    <row r="4106" spans="1:15" hidden="1">
      <c r="A4106" s="1"/>
      <c r="B4106" s="280" t="e">
        <f t="shared" ca="1" si="300"/>
        <v>#N/A</v>
      </c>
      <c r="C4106" s="277">
        <v>40</v>
      </c>
      <c r="D4106" s="41" t="e">
        <f>IF($C$1072&gt;0,VLOOKUP($C4106,COSTI!$U$1379:$W$1430,3,FALSE),"")</f>
        <v>#N/A</v>
      </c>
      <c r="E4106" s="41" t="str">
        <f t="shared" si="301"/>
        <v/>
      </c>
      <c r="F4106" s="200"/>
      <c r="G4106" s="178" t="e">
        <f>IF($C$1072&gt;0,VLOOKUP($C4106,COSTI!$U$1379:$Y$1430,5,FALSE),"")</f>
        <v>#N/A</v>
      </c>
      <c r="H4106" s="179" t="e">
        <f>IF($C$1072&gt;0,VLOOKUP($C4106,COSTI!$U$1379:$Z$1430,6,FALSE),"")</f>
        <v>#N/A</v>
      </c>
      <c r="I4106" s="187"/>
      <c r="J4106" s="140" t="e">
        <f ca="1">VLOOKUP(D4106,$F$1081:$I$4183,4,FALSE)+COUNTIF(E$1081:E4105,E4106)</f>
        <v>#N/A</v>
      </c>
      <c r="K4106" s="1"/>
      <c r="L4106" s="161" t="e">
        <f>IF($C$1073&gt;0,CONCATENATE(VLOOKUP($C4106,COSTI!$U$1379:$X$1430,4,FALSE)," / ",VLOOKUP($C4106,COSTI!$U$1379:$AB$1430,8,FALSE)),IF($C$1072&gt;0,CONCATENATE(VLOOKUP($C4106,COSTI!$U$1379:$AC$1430,9,FALSE)," / ",VLOOKUP($C4106,COSTI!$U$1379:$AB$1430,8,FALSE),""),""))</f>
        <v>#N/A</v>
      </c>
      <c r="M4106" s="1"/>
      <c r="N4106" s="1"/>
      <c r="O4106" s="1"/>
    </row>
    <row r="4107" spans="1:15" hidden="1">
      <c r="A4107" s="1"/>
      <c r="B4107" s="280" t="e">
        <f t="shared" ca="1" si="300"/>
        <v>#N/A</v>
      </c>
      <c r="C4107" s="277">
        <v>41</v>
      </c>
      <c r="D4107" s="41" t="e">
        <f>IF($C$1072&gt;0,VLOOKUP($C4107,COSTI!$U$1379:$W$1430,3,FALSE),"")</f>
        <v>#N/A</v>
      </c>
      <c r="E4107" s="41" t="str">
        <f t="shared" si="301"/>
        <v/>
      </c>
      <c r="F4107" s="200"/>
      <c r="G4107" s="178" t="e">
        <f>IF($C$1072&gt;0,VLOOKUP($C4107,COSTI!$U$1379:$Y$1430,5,FALSE),"")</f>
        <v>#N/A</v>
      </c>
      <c r="H4107" s="179" t="e">
        <f>IF($C$1072&gt;0,VLOOKUP($C4107,COSTI!$U$1379:$Z$1430,6,FALSE),"")</f>
        <v>#N/A</v>
      </c>
      <c r="I4107" s="187"/>
      <c r="J4107" s="140" t="e">
        <f ca="1">VLOOKUP(D4107,$F$1081:$I$4183,4,FALSE)+COUNTIF(E$1081:E4106,E4107)</f>
        <v>#N/A</v>
      </c>
      <c r="K4107" s="1"/>
      <c r="L4107" s="161" t="e">
        <f>IF($C$1073&gt;0,CONCATENATE(VLOOKUP($C4107,COSTI!$U$1379:$X$1430,4,FALSE)," / ",VLOOKUP($C4107,COSTI!$U$1379:$AB$1430,8,FALSE)),IF($C$1072&gt;0,CONCATENATE(VLOOKUP($C4107,COSTI!$U$1379:$AC$1430,9,FALSE)," / ",VLOOKUP($C4107,COSTI!$U$1379:$AB$1430,8,FALSE),""),""))</f>
        <v>#N/A</v>
      </c>
      <c r="M4107" s="1"/>
      <c r="N4107" s="1"/>
      <c r="O4107" s="1"/>
    </row>
    <row r="4108" spans="1:15" hidden="1">
      <c r="A4108" s="1"/>
      <c r="B4108" s="280" t="e">
        <f t="shared" ca="1" si="300"/>
        <v>#N/A</v>
      </c>
      <c r="C4108" s="277">
        <v>42</v>
      </c>
      <c r="D4108" s="41" t="e">
        <f>IF($C$1072&gt;0,VLOOKUP($C4108,COSTI!$U$1379:$W$1430,3,FALSE),"")</f>
        <v>#N/A</v>
      </c>
      <c r="E4108" s="41" t="str">
        <f t="shared" si="301"/>
        <v/>
      </c>
      <c r="F4108" s="200"/>
      <c r="G4108" s="178" t="e">
        <f>IF($C$1072&gt;0,VLOOKUP($C4108,COSTI!$U$1379:$Y$1430,5,FALSE),"")</f>
        <v>#N/A</v>
      </c>
      <c r="H4108" s="179" t="e">
        <f>IF($C$1072&gt;0,VLOOKUP($C4108,COSTI!$U$1379:$Z$1430,6,FALSE),"")</f>
        <v>#N/A</v>
      </c>
      <c r="I4108" s="187"/>
      <c r="J4108" s="140" t="e">
        <f ca="1">VLOOKUP(D4108,$F$1081:$I$4183,4,FALSE)+COUNTIF(E$1081:E4107,E4108)</f>
        <v>#N/A</v>
      </c>
      <c r="K4108" s="1"/>
      <c r="L4108" s="161" t="e">
        <f>IF($C$1073&gt;0,CONCATENATE(VLOOKUP($C4108,COSTI!$U$1379:$X$1430,4,FALSE)," / ",VLOOKUP($C4108,COSTI!$U$1379:$AB$1430,8,FALSE)),IF($C$1072&gt;0,CONCATENATE(VLOOKUP($C4108,COSTI!$U$1379:$AC$1430,9,FALSE)," / ",VLOOKUP($C4108,COSTI!$U$1379:$AB$1430,8,FALSE),""),""))</f>
        <v>#N/A</v>
      </c>
      <c r="M4108" s="1"/>
      <c r="N4108" s="1"/>
      <c r="O4108" s="1"/>
    </row>
    <row r="4109" spans="1:15" hidden="1">
      <c r="A4109" s="1"/>
      <c r="B4109" s="280" t="e">
        <f t="shared" ca="1" si="300"/>
        <v>#N/A</v>
      </c>
      <c r="C4109" s="277">
        <v>43</v>
      </c>
      <c r="D4109" s="41" t="e">
        <f>IF($C$1072&gt;0,VLOOKUP($C4109,COSTI!$U$1379:$W$1430,3,FALSE),"")</f>
        <v>#N/A</v>
      </c>
      <c r="E4109" s="41" t="str">
        <f t="shared" si="301"/>
        <v/>
      </c>
      <c r="F4109" s="200"/>
      <c r="G4109" s="178" t="e">
        <f>IF($C$1072&gt;0,VLOOKUP($C4109,COSTI!$U$1379:$Y$1430,5,FALSE),"")</f>
        <v>#N/A</v>
      </c>
      <c r="H4109" s="179" t="e">
        <f>IF($C$1072&gt;0,VLOOKUP($C4109,COSTI!$U$1379:$Z$1430,6,FALSE),"")</f>
        <v>#N/A</v>
      </c>
      <c r="I4109" s="187"/>
      <c r="J4109" s="140" t="e">
        <f ca="1">VLOOKUP(D4109,$F$1081:$I$4183,4,FALSE)+COUNTIF(E$1081:E4108,E4109)</f>
        <v>#N/A</v>
      </c>
      <c r="K4109" s="1"/>
      <c r="L4109" s="161" t="e">
        <f>IF($C$1073&gt;0,CONCATENATE(VLOOKUP($C4109,COSTI!$U$1379:$X$1430,4,FALSE)," / ",VLOOKUP($C4109,COSTI!$U$1379:$AB$1430,8,FALSE)),IF($C$1072&gt;0,CONCATENATE(VLOOKUP($C4109,COSTI!$U$1379:$AC$1430,9,FALSE)," / ",VLOOKUP($C4109,COSTI!$U$1379:$AB$1430,8,FALSE),""),""))</f>
        <v>#N/A</v>
      </c>
      <c r="M4109" s="1"/>
      <c r="N4109" s="1"/>
      <c r="O4109" s="1"/>
    </row>
    <row r="4110" spans="1:15" hidden="1">
      <c r="A4110" s="1"/>
      <c r="B4110" s="280" t="e">
        <f t="shared" ca="1" si="300"/>
        <v>#N/A</v>
      </c>
      <c r="C4110" s="277">
        <v>44</v>
      </c>
      <c r="D4110" s="41" t="e">
        <f>IF($C$1072&gt;0,VLOOKUP($C4110,COSTI!$U$1379:$W$1430,3,FALSE),"")</f>
        <v>#N/A</v>
      </c>
      <c r="E4110" s="41" t="str">
        <f t="shared" si="301"/>
        <v/>
      </c>
      <c r="F4110" s="200"/>
      <c r="G4110" s="178" t="e">
        <f>IF($C$1072&gt;0,VLOOKUP($C4110,COSTI!$U$1379:$Y$1430,5,FALSE),"")</f>
        <v>#N/A</v>
      </c>
      <c r="H4110" s="179" t="e">
        <f>IF($C$1072&gt;0,VLOOKUP($C4110,COSTI!$U$1379:$Z$1430,6,FALSE),"")</f>
        <v>#N/A</v>
      </c>
      <c r="I4110" s="187"/>
      <c r="J4110" s="140" t="e">
        <f ca="1">VLOOKUP(D4110,$F$1081:$I$4183,4,FALSE)+COUNTIF(E$1081:E4109,E4110)</f>
        <v>#N/A</v>
      </c>
      <c r="K4110" s="1"/>
      <c r="L4110" s="161" t="e">
        <f>IF($C$1073&gt;0,CONCATENATE(VLOOKUP($C4110,COSTI!$U$1379:$X$1430,4,FALSE)," / ",VLOOKUP($C4110,COSTI!$U$1379:$AB$1430,8,FALSE)),IF($C$1072&gt;0,CONCATENATE(VLOOKUP($C4110,COSTI!$U$1379:$AC$1430,9,FALSE)," / ",VLOOKUP($C4110,COSTI!$U$1379:$AB$1430,8,FALSE),""),""))</f>
        <v>#N/A</v>
      </c>
      <c r="M4110" s="1"/>
      <c r="N4110" s="1"/>
      <c r="O4110" s="1"/>
    </row>
    <row r="4111" spans="1:15" hidden="1">
      <c r="A4111" s="1"/>
      <c r="B4111" s="280" t="e">
        <f t="shared" ca="1" si="300"/>
        <v>#N/A</v>
      </c>
      <c r="C4111" s="277">
        <v>45</v>
      </c>
      <c r="D4111" s="41" t="e">
        <f>IF($C$1072&gt;0,VLOOKUP($C4111,COSTI!$U$1379:$W$1430,3,FALSE),"")</f>
        <v>#N/A</v>
      </c>
      <c r="E4111" s="41" t="str">
        <f t="shared" si="301"/>
        <v/>
      </c>
      <c r="F4111" s="200"/>
      <c r="G4111" s="178" t="e">
        <f>IF($C$1072&gt;0,VLOOKUP($C4111,COSTI!$U$1379:$Y$1430,5,FALSE),"")</f>
        <v>#N/A</v>
      </c>
      <c r="H4111" s="179" t="e">
        <f>IF($C$1072&gt;0,VLOOKUP($C4111,COSTI!$U$1379:$Z$1430,6,FALSE),"")</f>
        <v>#N/A</v>
      </c>
      <c r="I4111" s="187"/>
      <c r="J4111" s="140" t="e">
        <f ca="1">VLOOKUP(D4111,$F$1081:$I$4183,4,FALSE)+COUNTIF(E$1081:E4110,E4111)</f>
        <v>#N/A</v>
      </c>
      <c r="K4111" s="1"/>
      <c r="L4111" s="161" t="e">
        <f>IF($C$1073&gt;0,CONCATENATE(VLOOKUP($C4111,COSTI!$U$1379:$X$1430,4,FALSE)," / ",VLOOKUP($C4111,COSTI!$U$1379:$AB$1430,8,FALSE)),IF($C$1072&gt;0,CONCATENATE(VLOOKUP($C4111,COSTI!$U$1379:$AC$1430,9,FALSE)," / ",VLOOKUP($C4111,COSTI!$U$1379:$AB$1430,8,FALSE),""),""))</f>
        <v>#N/A</v>
      </c>
      <c r="M4111" s="1"/>
      <c r="N4111" s="1"/>
      <c r="O4111" s="1"/>
    </row>
    <row r="4112" spans="1:15" hidden="1">
      <c r="A4112" s="1"/>
      <c r="B4112" s="280" t="e">
        <f t="shared" ca="1" si="300"/>
        <v>#N/A</v>
      </c>
      <c r="C4112" s="277">
        <v>46</v>
      </c>
      <c r="D4112" s="41" t="e">
        <f>IF($C$1072&gt;0,VLOOKUP($C4112,COSTI!$U$1379:$W$1430,3,FALSE),"")</f>
        <v>#N/A</v>
      </c>
      <c r="E4112" s="41" t="str">
        <f t="shared" si="301"/>
        <v/>
      </c>
      <c r="F4112" s="200"/>
      <c r="G4112" s="178" t="e">
        <f>IF($C$1072&gt;0,VLOOKUP($C4112,COSTI!$U$1379:$Y$1430,5,FALSE),"")</f>
        <v>#N/A</v>
      </c>
      <c r="H4112" s="179" t="e">
        <f>IF($C$1072&gt;0,VLOOKUP($C4112,COSTI!$U$1379:$Z$1430,6,FALSE),"")</f>
        <v>#N/A</v>
      </c>
      <c r="I4112" s="187"/>
      <c r="J4112" s="140" t="e">
        <f ca="1">VLOOKUP(D4112,$F$1081:$I$4183,4,FALSE)+COUNTIF(E$1081:E4111,E4112)</f>
        <v>#N/A</v>
      </c>
      <c r="K4112" s="1"/>
      <c r="L4112" s="161" t="e">
        <f>IF($C$1073&gt;0,CONCATENATE(VLOOKUP($C4112,COSTI!$U$1379:$X$1430,4,FALSE)," / ",VLOOKUP($C4112,COSTI!$U$1379:$AB$1430,8,FALSE)),IF($C$1072&gt;0,CONCATENATE(VLOOKUP($C4112,COSTI!$U$1379:$AC$1430,9,FALSE)," / ",VLOOKUP($C4112,COSTI!$U$1379:$AB$1430,8,FALSE),""),""))</f>
        <v>#N/A</v>
      </c>
      <c r="M4112" s="1"/>
      <c r="N4112" s="1"/>
      <c r="O4112" s="1"/>
    </row>
    <row r="4113" spans="1:15" hidden="1">
      <c r="A4113" s="1"/>
      <c r="B4113" s="280" t="e">
        <f t="shared" ca="1" si="300"/>
        <v>#N/A</v>
      </c>
      <c r="C4113" s="277">
        <v>47</v>
      </c>
      <c r="D4113" s="41" t="e">
        <f>IF($C$1072&gt;0,VLOOKUP($C4113,COSTI!$U$1379:$W$1430,3,FALSE),"")</f>
        <v>#N/A</v>
      </c>
      <c r="E4113" s="41" t="str">
        <f t="shared" si="301"/>
        <v/>
      </c>
      <c r="F4113" s="200"/>
      <c r="G4113" s="178" t="e">
        <f>IF($C$1072&gt;0,VLOOKUP($C4113,COSTI!$U$1379:$Y$1430,5,FALSE),"")</f>
        <v>#N/A</v>
      </c>
      <c r="H4113" s="179" t="e">
        <f>IF($C$1072&gt;0,VLOOKUP($C4113,COSTI!$U$1379:$Z$1430,6,FALSE),"")</f>
        <v>#N/A</v>
      </c>
      <c r="I4113" s="187"/>
      <c r="J4113" s="140" t="e">
        <f ca="1">VLOOKUP(D4113,$F$1081:$I$4183,4,FALSE)+COUNTIF(E$1081:E4112,E4113)</f>
        <v>#N/A</v>
      </c>
      <c r="K4113" s="1"/>
      <c r="L4113" s="161" t="e">
        <f>IF($C$1073&gt;0,CONCATENATE(VLOOKUP($C4113,COSTI!$U$1379:$X$1430,4,FALSE)," / ",VLOOKUP($C4113,COSTI!$U$1379:$AB$1430,8,FALSE)),IF($C$1072&gt;0,CONCATENATE(VLOOKUP($C4113,COSTI!$U$1379:$AC$1430,9,FALSE)," / ",VLOOKUP($C4113,COSTI!$U$1379:$AB$1430,8,FALSE),""),""))</f>
        <v>#N/A</v>
      </c>
      <c r="M4113" s="1"/>
      <c r="N4113" s="1"/>
      <c r="O4113" s="1"/>
    </row>
    <row r="4114" spans="1:15" hidden="1">
      <c r="A4114" s="1"/>
      <c r="B4114" s="280" t="e">
        <f t="shared" ca="1" si="300"/>
        <v>#N/A</v>
      </c>
      <c r="C4114" s="277">
        <v>48</v>
      </c>
      <c r="D4114" s="41" t="e">
        <f>IF($C$1072&gt;0,VLOOKUP($C4114,COSTI!$U$1379:$W$1430,3,FALSE),"")</f>
        <v>#N/A</v>
      </c>
      <c r="E4114" s="41" t="str">
        <f t="shared" si="301"/>
        <v/>
      </c>
      <c r="F4114" s="200"/>
      <c r="G4114" s="178" t="e">
        <f>IF($C$1072&gt;0,VLOOKUP($C4114,COSTI!$U$1379:$Y$1430,5,FALSE),"")</f>
        <v>#N/A</v>
      </c>
      <c r="H4114" s="179" t="e">
        <f>IF($C$1072&gt;0,VLOOKUP($C4114,COSTI!$U$1379:$Z$1430,6,FALSE),"")</f>
        <v>#N/A</v>
      </c>
      <c r="I4114" s="187"/>
      <c r="J4114" s="140" t="e">
        <f ca="1">VLOOKUP(D4114,$F$1081:$I$4183,4,FALSE)+COUNTIF(E$1081:E4113,E4114)</f>
        <v>#N/A</v>
      </c>
      <c r="K4114" s="1"/>
      <c r="L4114" s="161" t="e">
        <f>IF($C$1073&gt;0,CONCATENATE(VLOOKUP($C4114,COSTI!$U$1379:$X$1430,4,FALSE)," / ",VLOOKUP($C4114,COSTI!$U$1379:$AB$1430,8,FALSE)),IF($C$1072&gt;0,CONCATENATE(VLOOKUP($C4114,COSTI!$U$1379:$AC$1430,9,FALSE)," / ",VLOOKUP($C4114,COSTI!$U$1379:$AB$1430,8,FALSE),""),""))</f>
        <v>#N/A</v>
      </c>
      <c r="M4114" s="1"/>
      <c r="N4114" s="1"/>
      <c r="O4114" s="1"/>
    </row>
    <row r="4115" spans="1:15" hidden="1">
      <c r="A4115" s="1"/>
      <c r="B4115" s="280" t="e">
        <f t="shared" ca="1" si="300"/>
        <v>#N/A</v>
      </c>
      <c r="C4115" s="277">
        <v>49</v>
      </c>
      <c r="D4115" s="41" t="e">
        <f>IF($C$1072&gt;0,VLOOKUP($C4115,COSTI!$U$1379:$W$1430,3,FALSE),"")</f>
        <v>#N/A</v>
      </c>
      <c r="E4115" s="41" t="str">
        <f t="shared" si="301"/>
        <v/>
      </c>
      <c r="F4115" s="200"/>
      <c r="G4115" s="178" t="e">
        <f>IF($C$1072&gt;0,VLOOKUP($C4115,COSTI!$U$1379:$Y$1430,5,FALSE),"")</f>
        <v>#N/A</v>
      </c>
      <c r="H4115" s="179" t="e">
        <f>IF($C$1072&gt;0,VLOOKUP($C4115,COSTI!$U$1379:$Z$1430,6,FALSE),"")</f>
        <v>#N/A</v>
      </c>
      <c r="I4115" s="187"/>
      <c r="J4115" s="140" t="e">
        <f ca="1">VLOOKUP(D4115,$F$1081:$I$4183,4,FALSE)+COUNTIF(E$1081:E4114,E4115)</f>
        <v>#N/A</v>
      </c>
      <c r="K4115" s="1"/>
      <c r="L4115" s="161" t="e">
        <f>IF($C$1073&gt;0,CONCATENATE(VLOOKUP($C4115,COSTI!$U$1379:$X$1430,4,FALSE)," / ",VLOOKUP($C4115,COSTI!$U$1379:$AB$1430,8,FALSE)),IF($C$1072&gt;0,CONCATENATE(VLOOKUP($C4115,COSTI!$U$1379:$AC$1430,9,FALSE)," / ",VLOOKUP($C4115,COSTI!$U$1379:$AB$1430,8,FALSE),""),""))</f>
        <v>#N/A</v>
      </c>
      <c r="M4115" s="1"/>
      <c r="N4115" s="1"/>
      <c r="O4115" s="1"/>
    </row>
    <row r="4116" spans="1:15" hidden="1">
      <c r="A4116" s="1"/>
      <c r="B4116" s="280" t="e">
        <f t="shared" ca="1" si="300"/>
        <v>#N/A</v>
      </c>
      <c r="C4116" s="277">
        <v>50</v>
      </c>
      <c r="D4116" s="41" t="e">
        <f>IF($C$1072&gt;0,VLOOKUP($C4116,COSTI!$U$1379:$W$1430,3,FALSE),"")</f>
        <v>#N/A</v>
      </c>
      <c r="E4116" s="41" t="str">
        <f t="shared" si="301"/>
        <v/>
      </c>
      <c r="F4116" s="200"/>
      <c r="G4116" s="178" t="e">
        <f>IF($C$1072&gt;0,VLOOKUP($C4116,COSTI!$U$1379:$Y$1430,5,FALSE),"")</f>
        <v>#N/A</v>
      </c>
      <c r="H4116" s="179" t="e">
        <f>IF($C$1072&gt;0,VLOOKUP($C4116,COSTI!$U$1379:$Z$1430,6,FALSE),"")</f>
        <v>#N/A</v>
      </c>
      <c r="I4116" s="187"/>
      <c r="J4116" s="140" t="e">
        <f ca="1">VLOOKUP(D4116,$F$1081:$I$4183,4,FALSE)+COUNTIF(E$1081:E4115,E4116)</f>
        <v>#N/A</v>
      </c>
      <c r="K4116" s="1"/>
      <c r="L4116" s="161" t="e">
        <f>IF($C$1073&gt;0,CONCATENATE(VLOOKUP($C4116,COSTI!$U$1379:$X$1430,4,FALSE)," / ",VLOOKUP($C4116,COSTI!$U$1379:$AB$1430,8,FALSE)),IF($C$1072&gt;0,CONCATENATE(VLOOKUP($C4116,COSTI!$U$1379:$AC$1430,9,FALSE)," / ",VLOOKUP($C4116,COSTI!$U$1379:$AB$1430,8,FALSE),""),""))</f>
        <v>#N/A</v>
      </c>
      <c r="M4116" s="1"/>
      <c r="N4116" s="1"/>
      <c r="O4116" s="1"/>
    </row>
    <row r="4117" spans="1:15" hidden="1">
      <c r="A4117" s="1"/>
      <c r="B4117" s="280" t="e">
        <f t="shared" ca="1" si="300"/>
        <v>#N/A</v>
      </c>
      <c r="C4117" s="277">
        <v>51</v>
      </c>
      <c r="D4117" s="41" t="e">
        <f>IF($C$1072&gt;0,VLOOKUP($C4117,COSTI!$U$1379:$W$1430,3,FALSE),"")</f>
        <v>#N/A</v>
      </c>
      <c r="E4117" s="41" t="str">
        <f t="shared" si="301"/>
        <v/>
      </c>
      <c r="F4117" s="200"/>
      <c r="G4117" s="178" t="e">
        <f>IF($C$1072&gt;0,VLOOKUP($C4117,COSTI!$U$1379:$Y$1430,5,FALSE),"")</f>
        <v>#N/A</v>
      </c>
      <c r="H4117" s="179" t="e">
        <f>IF($C$1072&gt;0,VLOOKUP($C4117,COSTI!$U$1379:$Z$1430,6,FALSE),"")</f>
        <v>#N/A</v>
      </c>
      <c r="I4117" s="187"/>
      <c r="J4117" s="140" t="e">
        <f ca="1">VLOOKUP(D4117,$F$1081:$I$4183,4,FALSE)+COUNTIF(E$1081:E4116,E4117)</f>
        <v>#N/A</v>
      </c>
      <c r="K4117" s="1"/>
      <c r="L4117" s="161" t="e">
        <f>IF($C$1073&gt;0,CONCATENATE(VLOOKUP($C4117,COSTI!$U$1379:$X$1430,4,FALSE)," / ",VLOOKUP($C4117,COSTI!$U$1379:$AB$1430,8,FALSE)),IF($C$1072&gt;0,CONCATENATE(VLOOKUP($C4117,COSTI!$U$1379:$AC$1430,9,FALSE)," / ",VLOOKUP($C4117,COSTI!$U$1379:$AB$1430,8,FALSE),""),""))</f>
        <v>#N/A</v>
      </c>
      <c r="M4117" s="1"/>
      <c r="N4117" s="1"/>
      <c r="O4117" s="1"/>
    </row>
    <row r="4118" spans="1:15" hidden="1">
      <c r="A4118" s="1"/>
      <c r="B4118" s="280" t="e">
        <f t="shared" ca="1" si="300"/>
        <v>#N/A</v>
      </c>
      <c r="C4118" s="279">
        <v>52</v>
      </c>
      <c r="D4118" s="143" t="e">
        <f>IF($C$1072&gt;0,VLOOKUP($C4118,COSTI!$U$1379:$W$1430,3,FALSE),"")</f>
        <v>#N/A</v>
      </c>
      <c r="E4118" s="143" t="str">
        <f t="shared" si="301"/>
        <v/>
      </c>
      <c r="F4118" s="201"/>
      <c r="G4118" s="188" t="e">
        <f>IF($C$1072&gt;0,VLOOKUP($C4118,COSTI!$U$1379:$Y$1430,5,FALSE),"")</f>
        <v>#N/A</v>
      </c>
      <c r="H4118" s="189" t="e">
        <f>IF($C$1072&gt;0,VLOOKUP($C4118,COSTI!$U$1379:$Z$1430,6,FALSE),"")</f>
        <v>#N/A</v>
      </c>
      <c r="I4118" s="190"/>
      <c r="J4118" s="146" t="e">
        <f ca="1">VLOOKUP(D4118,$F$1081:$I$4183,4,FALSE)+COUNTIF(E$1081:E4117,E4118)</f>
        <v>#N/A</v>
      </c>
      <c r="K4118" s="1"/>
      <c r="L4118" s="218" t="e">
        <f>IF($C$1073&gt;0,CONCATENATE(VLOOKUP($C4118,COSTI!$U$1379:$X$1430,4,FALSE)," / ",VLOOKUP($C4118,COSTI!$U$1379:$AB$1430,8,FALSE)),IF($C$1072&gt;0,CONCATENATE(VLOOKUP($C4118,COSTI!$U$1379:$AC$1430,9,FALSE)," / ",VLOOKUP($C4118,COSTI!$U$1379:$AB$1430,8,FALSE),""),""))</f>
        <v>#N/A</v>
      </c>
      <c r="M4118" s="1"/>
      <c r="N4118" s="1"/>
      <c r="O4118" s="1"/>
    </row>
    <row r="4119" spans="1:15" hidden="1">
      <c r="A4119" s="1"/>
      <c r="B4119" s="280" t="e">
        <f ca="1">IF(C$1073&gt;0,J4119+1,J4119)</f>
        <v>#N/A</v>
      </c>
      <c r="C4119" s="278">
        <v>1</v>
      </c>
      <c r="D4119" s="135" t="str">
        <f>IF($C$1073&gt;0,VLOOKUP($C4119,COSTI!$C$89:$E$140,3,FALSE),"")</f>
        <v/>
      </c>
      <c r="E4119" s="135" t="str">
        <f t="shared" si="301"/>
        <v/>
      </c>
      <c r="F4119" s="199"/>
      <c r="G4119" s="136" t="str">
        <f>IF(ISERROR(D4119),"",COSTI!I$72)</f>
        <v>Addebito automatico maturato in scadenziario</v>
      </c>
      <c r="H4119" s="137">
        <f>IF($C$1073&gt;0,IF(D4119&lt;=COSTI!C$73,VLOOKUP($C4119,COSTI!$C$89:$L$140,10,FALSE),0),0)</f>
        <v>0</v>
      </c>
      <c r="I4119" s="186"/>
      <c r="J4119" s="138" t="e">
        <f ca="1">VLOOKUP(D4119,$F$1081:$I$4183,4,FALSE)+COUNTIF(E$1081:E4118,E4119)</f>
        <v>#N/A</v>
      </c>
      <c r="K4119" s="1"/>
      <c r="L4119" s="103" t="b">
        <f>IF($C$1073&gt;0,CONCATENATE("Doc. Nr. ",VLOOKUP($C4119,COSTI!$C$89:$F$140,4,FALSE)," - ",VLOOKUP($C4119,COSTI!$C$89:$K$140,7,FALSE),""))</f>
        <v>0</v>
      </c>
      <c r="M4119" s="1"/>
      <c r="N4119" s="1"/>
      <c r="O4119" s="1"/>
    </row>
    <row r="4120" spans="1:15" hidden="1">
      <c r="A4120" s="1"/>
      <c r="B4120" s="280" t="e">
        <f t="shared" ref="B4120:B4170" ca="1" si="302">IF(C$1073&gt;0,J4120+1,J4120)</f>
        <v>#N/A</v>
      </c>
      <c r="C4120" s="277">
        <v>2</v>
      </c>
      <c r="D4120" s="41" t="str">
        <f>IF($C$1073&gt;0,VLOOKUP($C4120,COSTI!$C$89:$E$140,3,FALSE),"")</f>
        <v/>
      </c>
      <c r="E4120" s="41" t="str">
        <f t="shared" si="301"/>
        <v/>
      </c>
      <c r="F4120" s="200"/>
      <c r="G4120" s="178" t="str">
        <f>IF(ISERROR(D4120),"",COSTI!I$72)</f>
        <v>Addebito automatico maturato in scadenziario</v>
      </c>
      <c r="H4120" s="179">
        <f>IF($C$1073&gt;0,IF(D4120&lt;=COSTI!C$73,VLOOKUP($C4120,COSTI!$C$89:$L$140,10,FALSE),0),0)</f>
        <v>0</v>
      </c>
      <c r="I4120" s="187"/>
      <c r="J4120" s="140" t="e">
        <f ca="1">VLOOKUP(D4120,$F$1081:$I$4183,4,FALSE)+COUNTIF(E$1081:E4119,E4120)</f>
        <v>#N/A</v>
      </c>
      <c r="K4120" s="1"/>
      <c r="L4120" s="161" t="b">
        <f>IF($C$1073&gt;0,CONCATENATE("Doc. Nr. ",VLOOKUP($C4120,COSTI!$C$89:$F$140,4,FALSE)," - ",VLOOKUP($C4120,COSTI!$C$89:$K$140,7,FALSE),""))</f>
        <v>0</v>
      </c>
      <c r="M4120" s="1"/>
      <c r="N4120" s="1"/>
      <c r="O4120" s="1"/>
    </row>
    <row r="4121" spans="1:15" hidden="1">
      <c r="A4121" s="1"/>
      <c r="B4121" s="280" t="e">
        <f t="shared" ca="1" si="302"/>
        <v>#N/A</v>
      </c>
      <c r="C4121" s="277">
        <v>3</v>
      </c>
      <c r="D4121" s="41" t="str">
        <f>IF($C$1073&gt;0,VLOOKUP($C4121,COSTI!$C$89:$E$140,3,FALSE),"")</f>
        <v/>
      </c>
      <c r="E4121" s="41" t="str">
        <f t="shared" si="301"/>
        <v/>
      </c>
      <c r="F4121" s="200"/>
      <c r="G4121" s="178" t="str">
        <f>IF(ISERROR(D4121),"",COSTI!I$72)</f>
        <v>Addebito automatico maturato in scadenziario</v>
      </c>
      <c r="H4121" s="179">
        <f>IF($C$1073&gt;0,IF(D4121&lt;=COSTI!C$73,VLOOKUP($C4121,COSTI!$C$89:$L$140,10,FALSE),0),0)</f>
        <v>0</v>
      </c>
      <c r="I4121" s="187"/>
      <c r="J4121" s="140" t="e">
        <f ca="1">VLOOKUP(D4121,$F$1081:$I$4183,4,FALSE)+COUNTIF(E$1081:E4120,E4121)</f>
        <v>#N/A</v>
      </c>
      <c r="K4121" s="1"/>
      <c r="L4121" s="161" t="b">
        <f>IF($C$1073&gt;0,CONCATENATE("Doc. Nr. ",VLOOKUP($C4121,COSTI!$C$89:$F$140,4,FALSE)," - ",VLOOKUP($C4121,COSTI!$C$89:$K$140,7,FALSE),""))</f>
        <v>0</v>
      </c>
      <c r="M4121" s="1"/>
      <c r="N4121" s="1"/>
      <c r="O4121" s="1"/>
    </row>
    <row r="4122" spans="1:15" hidden="1">
      <c r="A4122" s="1"/>
      <c r="B4122" s="280" t="e">
        <f t="shared" ca="1" si="302"/>
        <v>#N/A</v>
      </c>
      <c r="C4122" s="277">
        <v>4</v>
      </c>
      <c r="D4122" s="41" t="str">
        <f>IF($C$1073&gt;0,VLOOKUP($C4122,COSTI!$C$89:$E$140,3,FALSE),"")</f>
        <v/>
      </c>
      <c r="E4122" s="41" t="str">
        <f t="shared" si="301"/>
        <v/>
      </c>
      <c r="F4122" s="200"/>
      <c r="G4122" s="178" t="str">
        <f>IF(ISERROR(D4122),"",COSTI!I$72)</f>
        <v>Addebito automatico maturato in scadenziario</v>
      </c>
      <c r="H4122" s="179">
        <f>IF($C$1073&gt;0,IF(D4122&lt;=COSTI!C$73,VLOOKUP($C4122,COSTI!$C$89:$L$140,10,FALSE),0),0)</f>
        <v>0</v>
      </c>
      <c r="I4122" s="187"/>
      <c r="J4122" s="140" t="e">
        <f ca="1">VLOOKUP(D4122,$F$1081:$I$4183,4,FALSE)+COUNTIF(E$1081:E4121,E4122)</f>
        <v>#N/A</v>
      </c>
      <c r="K4122" s="1"/>
      <c r="L4122" s="161" t="b">
        <f>IF($C$1073&gt;0,CONCATENATE("Doc. Nr. ",VLOOKUP($C4122,COSTI!$C$89:$F$140,4,FALSE)," - ",VLOOKUP($C4122,COSTI!$C$89:$K$140,7,FALSE),""))</f>
        <v>0</v>
      </c>
      <c r="M4122" s="1"/>
      <c r="N4122" s="1"/>
      <c r="O4122" s="1"/>
    </row>
    <row r="4123" spans="1:15" hidden="1">
      <c r="A4123" s="1"/>
      <c r="B4123" s="280" t="e">
        <f t="shared" ca="1" si="302"/>
        <v>#N/A</v>
      </c>
      <c r="C4123" s="277">
        <v>5</v>
      </c>
      <c r="D4123" s="41" t="str">
        <f>IF($C$1073&gt;0,VLOOKUP($C4123,COSTI!$C$89:$E$140,3,FALSE),"")</f>
        <v/>
      </c>
      <c r="E4123" s="41" t="str">
        <f t="shared" si="301"/>
        <v/>
      </c>
      <c r="F4123" s="200"/>
      <c r="G4123" s="178" t="str">
        <f>IF(ISERROR(D4123),"",COSTI!I$72)</f>
        <v>Addebito automatico maturato in scadenziario</v>
      </c>
      <c r="H4123" s="179">
        <f>IF($C$1073&gt;0,IF(D4123&lt;=COSTI!C$73,VLOOKUP($C4123,COSTI!$C$89:$L$140,10,FALSE),0),0)</f>
        <v>0</v>
      </c>
      <c r="I4123" s="187"/>
      <c r="J4123" s="140" t="e">
        <f ca="1">VLOOKUP(D4123,$F$1081:$I$4183,4,FALSE)+COUNTIF(E$1081:E4122,E4123)</f>
        <v>#N/A</v>
      </c>
      <c r="K4123" s="1"/>
      <c r="L4123" s="161" t="b">
        <f>IF($C$1073&gt;0,CONCATENATE("Doc. Nr. ",VLOOKUP($C4123,COSTI!$C$89:$F$140,4,FALSE)," - ",VLOOKUP($C4123,COSTI!$C$89:$K$140,7,FALSE),""))</f>
        <v>0</v>
      </c>
      <c r="M4123" s="1"/>
      <c r="N4123" s="1"/>
      <c r="O4123" s="1"/>
    </row>
    <row r="4124" spans="1:15" hidden="1">
      <c r="A4124" s="1"/>
      <c r="B4124" s="280" t="e">
        <f t="shared" ca="1" si="302"/>
        <v>#N/A</v>
      </c>
      <c r="C4124" s="277">
        <v>6</v>
      </c>
      <c r="D4124" s="41" t="str">
        <f>IF($C$1073&gt;0,VLOOKUP($C4124,COSTI!$C$89:$E$140,3,FALSE),"")</f>
        <v/>
      </c>
      <c r="E4124" s="41" t="str">
        <f t="shared" si="301"/>
        <v/>
      </c>
      <c r="F4124" s="200"/>
      <c r="G4124" s="178" t="str">
        <f>IF(ISERROR(D4124),"",COSTI!I$72)</f>
        <v>Addebito automatico maturato in scadenziario</v>
      </c>
      <c r="H4124" s="179">
        <f>IF($C$1073&gt;0,IF(D4124&lt;=COSTI!C$73,VLOOKUP($C4124,COSTI!$C$89:$L$140,10,FALSE),0),0)</f>
        <v>0</v>
      </c>
      <c r="I4124" s="187"/>
      <c r="J4124" s="140" t="e">
        <f ca="1">VLOOKUP(D4124,$F$1081:$I$4183,4,FALSE)+COUNTIF(E$1081:E4123,E4124)</f>
        <v>#N/A</v>
      </c>
      <c r="K4124" s="1"/>
      <c r="L4124" s="161" t="b">
        <f>IF($C$1073&gt;0,CONCATENATE("Doc. Nr. ",VLOOKUP($C4124,COSTI!$C$89:$F$140,4,FALSE)," - ",VLOOKUP($C4124,COSTI!$C$89:$K$140,7,FALSE),""))</f>
        <v>0</v>
      </c>
      <c r="M4124" s="1"/>
      <c r="N4124" s="1"/>
      <c r="O4124" s="1"/>
    </row>
    <row r="4125" spans="1:15" hidden="1">
      <c r="A4125" s="1"/>
      <c r="B4125" s="280" t="e">
        <f t="shared" ca="1" si="302"/>
        <v>#N/A</v>
      </c>
      <c r="C4125" s="277">
        <v>7</v>
      </c>
      <c r="D4125" s="41" t="str">
        <f>IF($C$1073&gt;0,VLOOKUP($C4125,COSTI!$C$89:$E$140,3,FALSE),"")</f>
        <v/>
      </c>
      <c r="E4125" s="41" t="str">
        <f t="shared" si="301"/>
        <v/>
      </c>
      <c r="F4125" s="200"/>
      <c r="G4125" s="178" t="str">
        <f>IF(ISERROR(D4125),"",COSTI!I$72)</f>
        <v>Addebito automatico maturato in scadenziario</v>
      </c>
      <c r="H4125" s="179">
        <f>IF($C$1073&gt;0,IF(D4125&lt;=COSTI!C$73,VLOOKUP($C4125,COSTI!$C$89:$L$140,10,FALSE),0),0)</f>
        <v>0</v>
      </c>
      <c r="I4125" s="187"/>
      <c r="J4125" s="140" t="e">
        <f ca="1">VLOOKUP(D4125,$F$1081:$I$4183,4,FALSE)+COUNTIF(E$1081:E4124,E4125)</f>
        <v>#N/A</v>
      </c>
      <c r="K4125" s="1"/>
      <c r="L4125" s="161" t="b">
        <f>IF($C$1073&gt;0,CONCATENATE("Doc. Nr. ",VLOOKUP($C4125,COSTI!$C$89:$F$140,4,FALSE)," - ",VLOOKUP($C4125,COSTI!$C$89:$K$140,7,FALSE),""))</f>
        <v>0</v>
      </c>
      <c r="M4125" s="1"/>
      <c r="N4125" s="1"/>
      <c r="O4125" s="1"/>
    </row>
    <row r="4126" spans="1:15" hidden="1">
      <c r="A4126" s="1"/>
      <c r="B4126" s="280" t="e">
        <f t="shared" ca="1" si="302"/>
        <v>#N/A</v>
      </c>
      <c r="C4126" s="277">
        <v>8</v>
      </c>
      <c r="D4126" s="41" t="str">
        <f>IF($C$1073&gt;0,VLOOKUP($C4126,COSTI!$C$89:$E$140,3,FALSE),"")</f>
        <v/>
      </c>
      <c r="E4126" s="41" t="str">
        <f t="shared" si="301"/>
        <v/>
      </c>
      <c r="F4126" s="200"/>
      <c r="G4126" s="178" t="str">
        <f>IF(ISERROR(D4126),"",COSTI!I$72)</f>
        <v>Addebito automatico maturato in scadenziario</v>
      </c>
      <c r="H4126" s="179">
        <f>IF($C$1073&gt;0,IF(D4126&lt;=COSTI!C$73,VLOOKUP($C4126,COSTI!$C$89:$L$140,10,FALSE),0),0)</f>
        <v>0</v>
      </c>
      <c r="I4126" s="187"/>
      <c r="J4126" s="140" t="e">
        <f ca="1">VLOOKUP(D4126,$F$1081:$I$4183,4,FALSE)+COUNTIF(E$1081:E4125,E4126)</f>
        <v>#N/A</v>
      </c>
      <c r="K4126" s="1"/>
      <c r="L4126" s="161" t="b">
        <f>IF($C$1073&gt;0,CONCATENATE("Doc. Nr. ",VLOOKUP($C4126,COSTI!$C$89:$F$140,4,FALSE)," - ",VLOOKUP($C4126,COSTI!$C$89:$K$140,7,FALSE),""))</f>
        <v>0</v>
      </c>
      <c r="M4126" s="1"/>
      <c r="N4126" s="1"/>
      <c r="O4126" s="1"/>
    </row>
    <row r="4127" spans="1:15" hidden="1">
      <c r="A4127" s="1"/>
      <c r="B4127" s="280" t="e">
        <f t="shared" ca="1" si="302"/>
        <v>#N/A</v>
      </c>
      <c r="C4127" s="277">
        <v>9</v>
      </c>
      <c r="D4127" s="41" t="str">
        <f>IF($C$1073&gt;0,VLOOKUP($C4127,COSTI!$C$89:$E$140,3,FALSE),"")</f>
        <v/>
      </c>
      <c r="E4127" s="41" t="str">
        <f t="shared" si="301"/>
        <v/>
      </c>
      <c r="F4127" s="200"/>
      <c r="G4127" s="178" t="str">
        <f>IF(ISERROR(D4127),"",COSTI!I$72)</f>
        <v>Addebito automatico maturato in scadenziario</v>
      </c>
      <c r="H4127" s="179">
        <f>IF($C$1073&gt;0,IF(D4127&lt;=COSTI!C$73,VLOOKUP($C4127,COSTI!$C$89:$L$140,10,FALSE),0),0)</f>
        <v>0</v>
      </c>
      <c r="I4127" s="187"/>
      <c r="J4127" s="140" t="e">
        <f ca="1">VLOOKUP(D4127,$F$1081:$I$4183,4,FALSE)+COUNTIF(E$1081:E4126,E4127)</f>
        <v>#N/A</v>
      </c>
      <c r="K4127" s="1"/>
      <c r="L4127" s="161" t="b">
        <f>IF($C$1073&gt;0,CONCATENATE("Doc. Nr. ",VLOOKUP($C4127,COSTI!$C$89:$F$140,4,FALSE)," - ",VLOOKUP($C4127,COSTI!$C$89:$K$140,7,FALSE),""))</f>
        <v>0</v>
      </c>
      <c r="M4127" s="1"/>
      <c r="N4127" s="1"/>
      <c r="O4127" s="1"/>
    </row>
    <row r="4128" spans="1:15" hidden="1">
      <c r="A4128" s="1"/>
      <c r="B4128" s="280" t="e">
        <f t="shared" ca="1" si="302"/>
        <v>#N/A</v>
      </c>
      <c r="C4128" s="277">
        <v>10</v>
      </c>
      <c r="D4128" s="41" t="str">
        <f>IF($C$1073&gt;0,VLOOKUP($C4128,COSTI!$C$89:$E$140,3,FALSE),"")</f>
        <v/>
      </c>
      <c r="E4128" s="41" t="str">
        <f t="shared" si="301"/>
        <v/>
      </c>
      <c r="F4128" s="200"/>
      <c r="G4128" s="178" t="str">
        <f>IF(ISERROR(D4128),"",COSTI!I$72)</f>
        <v>Addebito automatico maturato in scadenziario</v>
      </c>
      <c r="H4128" s="179">
        <f>IF($C$1073&gt;0,IF(D4128&lt;=COSTI!C$73,VLOOKUP($C4128,COSTI!$C$89:$L$140,10,FALSE),0),0)</f>
        <v>0</v>
      </c>
      <c r="I4128" s="187"/>
      <c r="J4128" s="140" t="e">
        <f ca="1">VLOOKUP(D4128,$F$1081:$I$4183,4,FALSE)+COUNTIF(E$1081:E4127,E4128)</f>
        <v>#N/A</v>
      </c>
      <c r="K4128" s="1"/>
      <c r="L4128" s="161" t="b">
        <f>IF($C$1073&gt;0,CONCATENATE("Doc. Nr. ",VLOOKUP($C4128,COSTI!$C$89:$F$140,4,FALSE)," - ",VLOOKUP($C4128,COSTI!$C$89:$K$140,7,FALSE),""))</f>
        <v>0</v>
      </c>
      <c r="M4128" s="1"/>
      <c r="N4128" s="1"/>
      <c r="O4128" s="1"/>
    </row>
    <row r="4129" spans="1:15" hidden="1">
      <c r="A4129" s="1"/>
      <c r="B4129" s="280" t="e">
        <f t="shared" ca="1" si="302"/>
        <v>#N/A</v>
      </c>
      <c r="C4129" s="277">
        <v>11</v>
      </c>
      <c r="D4129" s="41" t="str">
        <f>IF($C$1073&gt;0,VLOOKUP($C4129,COSTI!$C$89:$E$140,3,FALSE),"")</f>
        <v/>
      </c>
      <c r="E4129" s="41" t="str">
        <f t="shared" si="301"/>
        <v/>
      </c>
      <c r="F4129" s="200"/>
      <c r="G4129" s="178" t="str">
        <f>IF(ISERROR(D4129),"",COSTI!I$72)</f>
        <v>Addebito automatico maturato in scadenziario</v>
      </c>
      <c r="H4129" s="179">
        <f>IF($C$1073&gt;0,IF(D4129&lt;=COSTI!C$73,VLOOKUP($C4129,COSTI!$C$89:$L$140,10,FALSE),0),0)</f>
        <v>0</v>
      </c>
      <c r="I4129" s="187"/>
      <c r="J4129" s="140" t="e">
        <f ca="1">VLOOKUP(D4129,$F$1081:$I$4183,4,FALSE)+COUNTIF(E$1081:E4128,E4129)</f>
        <v>#N/A</v>
      </c>
      <c r="K4129" s="1"/>
      <c r="L4129" s="161" t="b">
        <f>IF($C$1073&gt;0,CONCATENATE("Doc. Nr. ",VLOOKUP($C4129,COSTI!$C$89:$F$140,4,FALSE)," - ",VLOOKUP($C4129,COSTI!$C$89:$K$140,7,FALSE),""))</f>
        <v>0</v>
      </c>
      <c r="M4129" s="1"/>
      <c r="N4129" s="1"/>
      <c r="O4129" s="1"/>
    </row>
    <row r="4130" spans="1:15" hidden="1">
      <c r="A4130" s="1"/>
      <c r="B4130" s="280" t="e">
        <f t="shared" ca="1" si="302"/>
        <v>#N/A</v>
      </c>
      <c r="C4130" s="277">
        <v>12</v>
      </c>
      <c r="D4130" s="41" t="str">
        <f>IF($C$1073&gt;0,VLOOKUP($C4130,COSTI!$C$89:$E$140,3,FALSE),"")</f>
        <v/>
      </c>
      <c r="E4130" s="41" t="str">
        <f t="shared" si="301"/>
        <v/>
      </c>
      <c r="F4130" s="200"/>
      <c r="G4130" s="178" t="str">
        <f>IF(ISERROR(D4130),"",COSTI!I$72)</f>
        <v>Addebito automatico maturato in scadenziario</v>
      </c>
      <c r="H4130" s="179">
        <f>IF($C$1073&gt;0,IF(D4130&lt;=COSTI!C$73,VLOOKUP($C4130,COSTI!$C$89:$L$140,10,FALSE),0),0)</f>
        <v>0</v>
      </c>
      <c r="I4130" s="187"/>
      <c r="J4130" s="140" t="e">
        <f ca="1">VLOOKUP(D4130,$F$1081:$I$4183,4,FALSE)+COUNTIF(E$1081:E4129,E4130)</f>
        <v>#N/A</v>
      </c>
      <c r="K4130" s="1"/>
      <c r="L4130" s="161" t="b">
        <f>IF($C$1073&gt;0,CONCATENATE("Doc. Nr. ",VLOOKUP($C4130,COSTI!$C$89:$F$140,4,FALSE)," - ",VLOOKUP($C4130,COSTI!$C$89:$K$140,7,FALSE),""))</f>
        <v>0</v>
      </c>
      <c r="M4130" s="1"/>
      <c r="N4130" s="1"/>
      <c r="O4130" s="1"/>
    </row>
    <row r="4131" spans="1:15" hidden="1">
      <c r="A4131" s="1"/>
      <c r="B4131" s="280" t="e">
        <f t="shared" ca="1" si="302"/>
        <v>#N/A</v>
      </c>
      <c r="C4131" s="277">
        <v>13</v>
      </c>
      <c r="D4131" s="41" t="str">
        <f>IF($C$1073&gt;0,VLOOKUP($C4131,COSTI!$C$89:$E$140,3,FALSE),"")</f>
        <v/>
      </c>
      <c r="E4131" s="41" t="str">
        <f t="shared" si="301"/>
        <v/>
      </c>
      <c r="F4131" s="200"/>
      <c r="G4131" s="178" t="str">
        <f>IF(ISERROR(D4131),"",COSTI!I$72)</f>
        <v>Addebito automatico maturato in scadenziario</v>
      </c>
      <c r="H4131" s="179">
        <f>IF($C$1073&gt;0,IF(D4131&lt;=COSTI!C$73,VLOOKUP($C4131,COSTI!$C$89:$L$140,10,FALSE),0),0)</f>
        <v>0</v>
      </c>
      <c r="I4131" s="187"/>
      <c r="J4131" s="140" t="e">
        <f ca="1">VLOOKUP(D4131,$F$1081:$I$4183,4,FALSE)+COUNTIF(E$1081:E4130,E4131)</f>
        <v>#N/A</v>
      </c>
      <c r="K4131" s="1"/>
      <c r="L4131" s="161" t="b">
        <f>IF($C$1073&gt;0,CONCATENATE("Doc. Nr. ",VLOOKUP($C4131,COSTI!$C$89:$F$140,4,FALSE)," - ",VLOOKUP($C4131,COSTI!$C$89:$K$140,7,FALSE),""))</f>
        <v>0</v>
      </c>
      <c r="M4131" s="1"/>
      <c r="N4131" s="1"/>
      <c r="O4131" s="1"/>
    </row>
    <row r="4132" spans="1:15" hidden="1">
      <c r="A4132" s="1"/>
      <c r="B4132" s="280" t="e">
        <f t="shared" ca="1" si="302"/>
        <v>#N/A</v>
      </c>
      <c r="C4132" s="277">
        <v>14</v>
      </c>
      <c r="D4132" s="41" t="str">
        <f>IF($C$1073&gt;0,VLOOKUP($C4132,COSTI!$C$89:$E$140,3,FALSE),"")</f>
        <v/>
      </c>
      <c r="E4132" s="41" t="str">
        <f t="shared" si="301"/>
        <v/>
      </c>
      <c r="F4132" s="200"/>
      <c r="G4132" s="178" t="str">
        <f>IF(ISERROR(D4132),"",COSTI!I$72)</f>
        <v>Addebito automatico maturato in scadenziario</v>
      </c>
      <c r="H4132" s="179">
        <f>IF($C$1073&gt;0,IF(D4132&lt;=COSTI!C$73,VLOOKUP($C4132,COSTI!$C$89:$L$140,10,FALSE),0),0)</f>
        <v>0</v>
      </c>
      <c r="I4132" s="187"/>
      <c r="J4132" s="140" t="e">
        <f ca="1">VLOOKUP(D4132,$F$1081:$I$4183,4,FALSE)+COUNTIF(E$1081:E4131,E4132)</f>
        <v>#N/A</v>
      </c>
      <c r="K4132" s="1"/>
      <c r="L4132" s="161" t="b">
        <f>IF($C$1073&gt;0,CONCATENATE("Doc. Nr. ",VLOOKUP($C4132,COSTI!$C$89:$F$140,4,FALSE)," - ",VLOOKUP($C4132,COSTI!$C$89:$K$140,7,FALSE),""))</f>
        <v>0</v>
      </c>
      <c r="M4132" s="1"/>
      <c r="N4132" s="1"/>
      <c r="O4132" s="1"/>
    </row>
    <row r="4133" spans="1:15" hidden="1">
      <c r="A4133" s="1"/>
      <c r="B4133" s="280" t="e">
        <f t="shared" ca="1" si="302"/>
        <v>#N/A</v>
      </c>
      <c r="C4133" s="277">
        <v>15</v>
      </c>
      <c r="D4133" s="41" t="str">
        <f>IF($C$1073&gt;0,VLOOKUP($C4133,COSTI!$C$89:$E$140,3,FALSE),"")</f>
        <v/>
      </c>
      <c r="E4133" s="41" t="str">
        <f t="shared" si="301"/>
        <v/>
      </c>
      <c r="F4133" s="200"/>
      <c r="G4133" s="178" t="str">
        <f>IF(ISERROR(D4133),"",COSTI!I$72)</f>
        <v>Addebito automatico maturato in scadenziario</v>
      </c>
      <c r="H4133" s="179">
        <f>IF($C$1073&gt;0,IF(D4133&lt;=COSTI!C$73,VLOOKUP($C4133,COSTI!$C$89:$L$140,10,FALSE),0),0)</f>
        <v>0</v>
      </c>
      <c r="I4133" s="187"/>
      <c r="J4133" s="140" t="e">
        <f ca="1">VLOOKUP(D4133,$F$1081:$I$4183,4,FALSE)+COUNTIF(E$1081:E4132,E4133)</f>
        <v>#N/A</v>
      </c>
      <c r="K4133" s="1"/>
      <c r="L4133" s="161" t="b">
        <f>IF($C$1073&gt;0,CONCATENATE("Doc. Nr. ",VLOOKUP($C4133,COSTI!$C$89:$F$140,4,FALSE)," - ",VLOOKUP($C4133,COSTI!$C$89:$K$140,7,FALSE),""))</f>
        <v>0</v>
      </c>
      <c r="M4133" s="1"/>
      <c r="N4133" s="1"/>
      <c r="O4133" s="1"/>
    </row>
    <row r="4134" spans="1:15" hidden="1">
      <c r="A4134" s="1"/>
      <c r="B4134" s="280" t="e">
        <f t="shared" ca="1" si="302"/>
        <v>#N/A</v>
      </c>
      <c r="C4134" s="277">
        <v>16</v>
      </c>
      <c r="D4134" s="41" t="str">
        <f>IF($C$1073&gt;0,VLOOKUP($C4134,COSTI!$C$89:$E$140,3,FALSE),"")</f>
        <v/>
      </c>
      <c r="E4134" s="41" t="str">
        <f t="shared" si="301"/>
        <v/>
      </c>
      <c r="F4134" s="200"/>
      <c r="G4134" s="178" t="str">
        <f>IF(ISERROR(D4134),"",COSTI!I$72)</f>
        <v>Addebito automatico maturato in scadenziario</v>
      </c>
      <c r="H4134" s="179">
        <f>IF($C$1073&gt;0,IF(D4134&lt;=COSTI!C$73,VLOOKUP($C4134,COSTI!$C$89:$L$140,10,FALSE),0),0)</f>
        <v>0</v>
      </c>
      <c r="I4134" s="187"/>
      <c r="J4134" s="140" t="e">
        <f ca="1">VLOOKUP(D4134,$F$1081:$I$4183,4,FALSE)+COUNTIF(E$1081:E4133,E4134)</f>
        <v>#N/A</v>
      </c>
      <c r="K4134" s="1"/>
      <c r="L4134" s="161" t="b">
        <f>IF($C$1073&gt;0,CONCATENATE("Doc. Nr. ",VLOOKUP($C4134,COSTI!$C$89:$F$140,4,FALSE)," - ",VLOOKUP($C4134,COSTI!$C$89:$K$140,7,FALSE),""))</f>
        <v>0</v>
      </c>
      <c r="M4134" s="1"/>
      <c r="N4134" s="1"/>
      <c r="O4134" s="1"/>
    </row>
    <row r="4135" spans="1:15" hidden="1">
      <c r="A4135" s="1"/>
      <c r="B4135" s="280" t="e">
        <f t="shared" ca="1" si="302"/>
        <v>#N/A</v>
      </c>
      <c r="C4135" s="277">
        <v>17</v>
      </c>
      <c r="D4135" s="41" t="str">
        <f>IF($C$1073&gt;0,VLOOKUP($C4135,COSTI!$C$89:$E$140,3,FALSE),"")</f>
        <v/>
      </c>
      <c r="E4135" s="41" t="str">
        <f t="shared" si="301"/>
        <v/>
      </c>
      <c r="F4135" s="200"/>
      <c r="G4135" s="178" t="str">
        <f>IF(ISERROR(D4135),"",COSTI!I$72)</f>
        <v>Addebito automatico maturato in scadenziario</v>
      </c>
      <c r="H4135" s="179">
        <f>IF($C$1073&gt;0,IF(D4135&lt;=COSTI!C$73,VLOOKUP($C4135,COSTI!$C$89:$L$140,10,FALSE),0),0)</f>
        <v>0</v>
      </c>
      <c r="I4135" s="187"/>
      <c r="J4135" s="140" t="e">
        <f ca="1">VLOOKUP(D4135,$F$1081:$I$4183,4,FALSE)+COUNTIF(E$1081:E4134,E4135)</f>
        <v>#N/A</v>
      </c>
      <c r="K4135" s="1"/>
      <c r="L4135" s="161" t="b">
        <f>IF($C$1073&gt;0,CONCATENATE("Doc. Nr. ",VLOOKUP($C4135,COSTI!$C$89:$F$140,4,FALSE)," - ",VLOOKUP($C4135,COSTI!$C$89:$K$140,7,FALSE),""))</f>
        <v>0</v>
      </c>
      <c r="M4135" s="1"/>
      <c r="N4135" s="1"/>
      <c r="O4135" s="1"/>
    </row>
    <row r="4136" spans="1:15" hidden="1">
      <c r="A4136" s="1"/>
      <c r="B4136" s="280" t="e">
        <f t="shared" ca="1" si="302"/>
        <v>#N/A</v>
      </c>
      <c r="C4136" s="277">
        <v>18</v>
      </c>
      <c r="D4136" s="41" t="str">
        <f>IF($C$1073&gt;0,VLOOKUP($C4136,COSTI!$C$89:$E$140,3,FALSE),"")</f>
        <v/>
      </c>
      <c r="E4136" s="41" t="str">
        <f t="shared" si="301"/>
        <v/>
      </c>
      <c r="F4136" s="200"/>
      <c r="G4136" s="178" t="str">
        <f>IF(ISERROR(D4136),"",COSTI!I$72)</f>
        <v>Addebito automatico maturato in scadenziario</v>
      </c>
      <c r="H4136" s="179">
        <f>IF($C$1073&gt;0,IF(D4136&lt;=COSTI!C$73,VLOOKUP($C4136,COSTI!$C$89:$L$140,10,FALSE),0),0)</f>
        <v>0</v>
      </c>
      <c r="I4136" s="187"/>
      <c r="J4136" s="140" t="e">
        <f ca="1">VLOOKUP(D4136,$F$1081:$I$4183,4,FALSE)+COUNTIF(E$1081:E4135,E4136)</f>
        <v>#N/A</v>
      </c>
      <c r="K4136" s="1"/>
      <c r="L4136" s="161" t="b">
        <f>IF($C$1073&gt;0,CONCATENATE("Doc. Nr. ",VLOOKUP($C4136,COSTI!$C$89:$F$140,4,FALSE)," - ",VLOOKUP($C4136,COSTI!$C$89:$K$140,7,FALSE),""))</f>
        <v>0</v>
      </c>
      <c r="M4136" s="1"/>
      <c r="N4136" s="1"/>
      <c r="O4136" s="1"/>
    </row>
    <row r="4137" spans="1:15" hidden="1">
      <c r="A4137" s="1"/>
      <c r="B4137" s="280" t="e">
        <f t="shared" ca="1" si="302"/>
        <v>#N/A</v>
      </c>
      <c r="C4137" s="277">
        <v>19</v>
      </c>
      <c r="D4137" s="41" t="str">
        <f>IF($C$1073&gt;0,VLOOKUP($C4137,COSTI!$C$89:$E$140,3,FALSE),"")</f>
        <v/>
      </c>
      <c r="E4137" s="41" t="str">
        <f t="shared" si="301"/>
        <v/>
      </c>
      <c r="F4137" s="200"/>
      <c r="G4137" s="178" t="str">
        <f>IF(ISERROR(D4137),"",COSTI!I$72)</f>
        <v>Addebito automatico maturato in scadenziario</v>
      </c>
      <c r="H4137" s="179">
        <f>IF($C$1073&gt;0,IF(D4137&lt;=COSTI!C$73,VLOOKUP($C4137,COSTI!$C$89:$L$140,10,FALSE),0),0)</f>
        <v>0</v>
      </c>
      <c r="I4137" s="187"/>
      <c r="J4137" s="140" t="e">
        <f ca="1">VLOOKUP(D4137,$F$1081:$I$4183,4,FALSE)+COUNTIF(E$1081:E4136,E4137)</f>
        <v>#N/A</v>
      </c>
      <c r="K4137" s="1"/>
      <c r="L4137" s="161" t="b">
        <f>IF($C$1073&gt;0,CONCATENATE("Doc. Nr. ",VLOOKUP($C4137,COSTI!$C$89:$F$140,4,FALSE)," - ",VLOOKUP($C4137,COSTI!$C$89:$K$140,7,FALSE),""))</f>
        <v>0</v>
      </c>
      <c r="M4137" s="1"/>
      <c r="N4137" s="1"/>
      <c r="O4137" s="1"/>
    </row>
    <row r="4138" spans="1:15" hidden="1">
      <c r="A4138" s="1"/>
      <c r="B4138" s="280" t="e">
        <f t="shared" ca="1" si="302"/>
        <v>#N/A</v>
      </c>
      <c r="C4138" s="277">
        <v>20</v>
      </c>
      <c r="D4138" s="41" t="str">
        <f>IF($C$1073&gt;0,VLOOKUP($C4138,COSTI!$C$89:$E$140,3,FALSE),"")</f>
        <v/>
      </c>
      <c r="E4138" s="41" t="str">
        <f t="shared" si="301"/>
        <v/>
      </c>
      <c r="F4138" s="200"/>
      <c r="G4138" s="178" t="str">
        <f>IF(ISERROR(D4138),"",COSTI!I$72)</f>
        <v>Addebito automatico maturato in scadenziario</v>
      </c>
      <c r="H4138" s="179">
        <f>IF($C$1073&gt;0,IF(D4138&lt;=COSTI!C$73,VLOOKUP($C4138,COSTI!$C$89:$L$140,10,FALSE),0),0)</f>
        <v>0</v>
      </c>
      <c r="I4138" s="187"/>
      <c r="J4138" s="140" t="e">
        <f ca="1">VLOOKUP(D4138,$F$1081:$I$4183,4,FALSE)+COUNTIF(E$1081:E4137,E4138)</f>
        <v>#N/A</v>
      </c>
      <c r="K4138" s="1"/>
      <c r="L4138" s="161" t="b">
        <f>IF($C$1073&gt;0,CONCATENATE("Doc. Nr. ",VLOOKUP($C4138,COSTI!$C$89:$F$140,4,FALSE)," - ",VLOOKUP($C4138,COSTI!$C$89:$K$140,7,FALSE),""))</f>
        <v>0</v>
      </c>
      <c r="M4138" s="1"/>
      <c r="N4138" s="1"/>
      <c r="O4138" s="1"/>
    </row>
    <row r="4139" spans="1:15" hidden="1">
      <c r="A4139" s="1"/>
      <c r="B4139" s="280" t="e">
        <f t="shared" ca="1" si="302"/>
        <v>#N/A</v>
      </c>
      <c r="C4139" s="277">
        <v>21</v>
      </c>
      <c r="D4139" s="41" t="str">
        <f>IF($C$1073&gt;0,VLOOKUP($C4139,COSTI!$C$89:$E$140,3,FALSE),"")</f>
        <v/>
      </c>
      <c r="E4139" s="41" t="str">
        <f t="shared" si="301"/>
        <v/>
      </c>
      <c r="F4139" s="200"/>
      <c r="G4139" s="178" t="str">
        <f>IF(ISERROR(D4139),"",COSTI!I$72)</f>
        <v>Addebito automatico maturato in scadenziario</v>
      </c>
      <c r="H4139" s="179">
        <f>IF($C$1073&gt;0,IF(D4139&lt;=COSTI!C$73,VLOOKUP($C4139,COSTI!$C$89:$L$140,10,FALSE),0),0)</f>
        <v>0</v>
      </c>
      <c r="I4139" s="187"/>
      <c r="J4139" s="140" t="e">
        <f ca="1">VLOOKUP(D4139,$F$1081:$I$4183,4,FALSE)+COUNTIF(E$1081:E4138,E4139)</f>
        <v>#N/A</v>
      </c>
      <c r="K4139" s="1"/>
      <c r="L4139" s="161" t="b">
        <f>IF($C$1073&gt;0,CONCATENATE("Doc. Nr. ",VLOOKUP($C4139,COSTI!$C$89:$F$140,4,FALSE)," - ",VLOOKUP($C4139,COSTI!$C$89:$K$140,7,FALSE),""))</f>
        <v>0</v>
      </c>
      <c r="M4139" s="1"/>
      <c r="N4139" s="1"/>
      <c r="O4139" s="1"/>
    </row>
    <row r="4140" spans="1:15" hidden="1">
      <c r="A4140" s="1"/>
      <c r="B4140" s="280" t="e">
        <f t="shared" ca="1" si="302"/>
        <v>#N/A</v>
      </c>
      <c r="C4140" s="277">
        <v>22</v>
      </c>
      <c r="D4140" s="41" t="str">
        <f>IF($C$1073&gt;0,VLOOKUP($C4140,COSTI!$C$89:$E$140,3,FALSE),"")</f>
        <v/>
      </c>
      <c r="E4140" s="41" t="str">
        <f t="shared" si="301"/>
        <v/>
      </c>
      <c r="F4140" s="200"/>
      <c r="G4140" s="178" t="str">
        <f>IF(ISERROR(D4140),"",COSTI!I$72)</f>
        <v>Addebito automatico maturato in scadenziario</v>
      </c>
      <c r="H4140" s="179">
        <f>IF($C$1073&gt;0,IF(D4140&lt;=COSTI!C$73,VLOOKUP($C4140,COSTI!$C$89:$L$140,10,FALSE),0),0)</f>
        <v>0</v>
      </c>
      <c r="I4140" s="187"/>
      <c r="J4140" s="140" t="e">
        <f ca="1">VLOOKUP(D4140,$F$1081:$I$4183,4,FALSE)+COUNTIF(E$1081:E4139,E4140)</f>
        <v>#N/A</v>
      </c>
      <c r="K4140" s="1"/>
      <c r="L4140" s="161" t="b">
        <f>IF($C$1073&gt;0,CONCATENATE("Doc. Nr. ",VLOOKUP($C4140,COSTI!$C$89:$F$140,4,FALSE)," - ",VLOOKUP($C4140,COSTI!$C$89:$K$140,7,FALSE),""))</f>
        <v>0</v>
      </c>
      <c r="M4140" s="1"/>
      <c r="N4140" s="1"/>
      <c r="O4140" s="1"/>
    </row>
    <row r="4141" spans="1:15" hidden="1">
      <c r="A4141" s="1"/>
      <c r="B4141" s="280" t="e">
        <f t="shared" ca="1" si="302"/>
        <v>#N/A</v>
      </c>
      <c r="C4141" s="277">
        <v>23</v>
      </c>
      <c r="D4141" s="41" t="str">
        <f>IF($C$1073&gt;0,VLOOKUP($C4141,COSTI!$C$89:$E$140,3,FALSE),"")</f>
        <v/>
      </c>
      <c r="E4141" s="41" t="str">
        <f t="shared" si="301"/>
        <v/>
      </c>
      <c r="F4141" s="200"/>
      <c r="G4141" s="178" t="str">
        <f>IF(ISERROR(D4141),"",COSTI!I$72)</f>
        <v>Addebito automatico maturato in scadenziario</v>
      </c>
      <c r="H4141" s="179">
        <f>IF($C$1073&gt;0,IF(D4141&lt;=COSTI!C$73,VLOOKUP($C4141,COSTI!$C$89:$L$140,10,FALSE),0),0)</f>
        <v>0</v>
      </c>
      <c r="I4141" s="187"/>
      <c r="J4141" s="140" t="e">
        <f ca="1">VLOOKUP(D4141,$F$1081:$I$4183,4,FALSE)+COUNTIF(E$1081:E4140,E4141)</f>
        <v>#N/A</v>
      </c>
      <c r="K4141" s="1"/>
      <c r="L4141" s="161" t="b">
        <f>IF($C$1073&gt;0,CONCATENATE("Doc. Nr. ",VLOOKUP($C4141,COSTI!$C$89:$F$140,4,FALSE)," - ",VLOOKUP($C4141,COSTI!$C$89:$K$140,7,FALSE),""))</f>
        <v>0</v>
      </c>
      <c r="M4141" s="1"/>
      <c r="N4141" s="1"/>
      <c r="O4141" s="1"/>
    </row>
    <row r="4142" spans="1:15" hidden="1">
      <c r="A4142" s="1"/>
      <c r="B4142" s="280" t="e">
        <f t="shared" ca="1" si="302"/>
        <v>#N/A</v>
      </c>
      <c r="C4142" s="277">
        <v>24</v>
      </c>
      <c r="D4142" s="41" t="str">
        <f>IF($C$1073&gt;0,VLOOKUP($C4142,COSTI!$C$89:$E$140,3,FALSE),"")</f>
        <v/>
      </c>
      <c r="E4142" s="41" t="str">
        <f t="shared" si="301"/>
        <v/>
      </c>
      <c r="F4142" s="200"/>
      <c r="G4142" s="178" t="str">
        <f>IF(ISERROR(D4142),"",COSTI!I$72)</f>
        <v>Addebito automatico maturato in scadenziario</v>
      </c>
      <c r="H4142" s="179">
        <f>IF($C$1073&gt;0,IF(D4142&lt;=COSTI!C$73,VLOOKUP($C4142,COSTI!$C$89:$L$140,10,FALSE),0),0)</f>
        <v>0</v>
      </c>
      <c r="I4142" s="187"/>
      <c r="J4142" s="140" t="e">
        <f ca="1">VLOOKUP(D4142,$F$1081:$I$4183,4,FALSE)+COUNTIF(E$1081:E4141,E4142)</f>
        <v>#N/A</v>
      </c>
      <c r="K4142" s="1"/>
      <c r="L4142" s="161" t="b">
        <f>IF($C$1073&gt;0,CONCATENATE("Doc. Nr. ",VLOOKUP($C4142,COSTI!$C$89:$F$140,4,FALSE)," - ",VLOOKUP($C4142,COSTI!$C$89:$K$140,7,FALSE),""))</f>
        <v>0</v>
      </c>
      <c r="M4142" s="1"/>
      <c r="N4142" s="1"/>
      <c r="O4142" s="1"/>
    </row>
    <row r="4143" spans="1:15" hidden="1">
      <c r="A4143" s="1"/>
      <c r="B4143" s="280" t="e">
        <f t="shared" ca="1" si="302"/>
        <v>#N/A</v>
      </c>
      <c r="C4143" s="277">
        <v>25</v>
      </c>
      <c r="D4143" s="41" t="str">
        <f>IF($C$1073&gt;0,VLOOKUP($C4143,COSTI!$C$89:$E$140,3,FALSE),"")</f>
        <v/>
      </c>
      <c r="E4143" s="41" t="str">
        <f t="shared" si="301"/>
        <v/>
      </c>
      <c r="F4143" s="200"/>
      <c r="G4143" s="178" t="str">
        <f>IF(ISERROR(D4143),"",COSTI!I$72)</f>
        <v>Addebito automatico maturato in scadenziario</v>
      </c>
      <c r="H4143" s="179">
        <f>IF($C$1073&gt;0,IF(D4143&lt;=COSTI!C$73,VLOOKUP($C4143,COSTI!$C$89:$L$140,10,FALSE),0),0)</f>
        <v>0</v>
      </c>
      <c r="I4143" s="187"/>
      <c r="J4143" s="140" t="e">
        <f ca="1">VLOOKUP(D4143,$F$1081:$I$4183,4,FALSE)+COUNTIF(E$1081:E4142,E4143)</f>
        <v>#N/A</v>
      </c>
      <c r="K4143" s="1"/>
      <c r="L4143" s="161" t="b">
        <f>IF($C$1073&gt;0,CONCATENATE("Doc. Nr. ",VLOOKUP($C4143,COSTI!$C$89:$F$140,4,FALSE)," - ",VLOOKUP($C4143,COSTI!$C$89:$K$140,7,FALSE),""))</f>
        <v>0</v>
      </c>
      <c r="M4143" s="1"/>
      <c r="N4143" s="1"/>
      <c r="O4143" s="1"/>
    </row>
    <row r="4144" spans="1:15" hidden="1">
      <c r="A4144" s="1"/>
      <c r="B4144" s="280" t="e">
        <f t="shared" ca="1" si="302"/>
        <v>#N/A</v>
      </c>
      <c r="C4144" s="277">
        <v>26</v>
      </c>
      <c r="D4144" s="41" t="str">
        <f>IF($C$1073&gt;0,VLOOKUP($C4144,COSTI!$C$89:$E$140,3,FALSE),"")</f>
        <v/>
      </c>
      <c r="E4144" s="41" t="str">
        <f t="shared" si="301"/>
        <v/>
      </c>
      <c r="F4144" s="200"/>
      <c r="G4144" s="178" t="str">
        <f>IF(ISERROR(D4144),"",COSTI!I$72)</f>
        <v>Addebito automatico maturato in scadenziario</v>
      </c>
      <c r="H4144" s="179">
        <f>IF($C$1073&gt;0,IF(D4144&lt;=COSTI!C$73,VLOOKUP($C4144,COSTI!$C$89:$L$140,10,FALSE),0),0)</f>
        <v>0</v>
      </c>
      <c r="I4144" s="187"/>
      <c r="J4144" s="140" t="e">
        <f ca="1">VLOOKUP(D4144,$F$1081:$I$4183,4,FALSE)+COUNTIF(E$1081:E4143,E4144)</f>
        <v>#N/A</v>
      </c>
      <c r="K4144" s="1"/>
      <c r="L4144" s="161" t="b">
        <f>IF($C$1073&gt;0,CONCATENATE("Doc. Nr. ",VLOOKUP($C4144,COSTI!$C$89:$F$140,4,FALSE)," - ",VLOOKUP($C4144,COSTI!$C$89:$K$140,7,FALSE),""))</f>
        <v>0</v>
      </c>
      <c r="M4144" s="1"/>
      <c r="N4144" s="1"/>
      <c r="O4144" s="1"/>
    </row>
    <row r="4145" spans="1:15" hidden="1">
      <c r="A4145" s="1"/>
      <c r="B4145" s="280" t="e">
        <f t="shared" ca="1" si="302"/>
        <v>#N/A</v>
      </c>
      <c r="C4145" s="277">
        <v>27</v>
      </c>
      <c r="D4145" s="41" t="str">
        <f>IF($C$1073&gt;0,VLOOKUP($C4145,COSTI!$C$89:$E$140,3,FALSE),"")</f>
        <v/>
      </c>
      <c r="E4145" s="41" t="str">
        <f t="shared" si="301"/>
        <v/>
      </c>
      <c r="F4145" s="200"/>
      <c r="G4145" s="178" t="str">
        <f>IF(ISERROR(D4145),"",COSTI!I$72)</f>
        <v>Addebito automatico maturato in scadenziario</v>
      </c>
      <c r="H4145" s="179">
        <f>IF($C$1073&gt;0,IF(D4145&lt;=COSTI!C$73,VLOOKUP($C4145,COSTI!$C$89:$L$140,10,FALSE),0),0)</f>
        <v>0</v>
      </c>
      <c r="I4145" s="187"/>
      <c r="J4145" s="140" t="e">
        <f ca="1">VLOOKUP(D4145,$F$1081:$I$4183,4,FALSE)+COUNTIF(E$1081:E4144,E4145)</f>
        <v>#N/A</v>
      </c>
      <c r="K4145" s="1"/>
      <c r="L4145" s="161" t="b">
        <f>IF($C$1073&gt;0,CONCATENATE("Doc. Nr. ",VLOOKUP($C4145,COSTI!$C$89:$F$140,4,FALSE)," - ",VLOOKUP($C4145,COSTI!$C$89:$K$140,7,FALSE),""))</f>
        <v>0</v>
      </c>
      <c r="M4145" s="1"/>
      <c r="N4145" s="1"/>
      <c r="O4145" s="1"/>
    </row>
    <row r="4146" spans="1:15" hidden="1">
      <c r="A4146" s="1"/>
      <c r="B4146" s="280" t="e">
        <f t="shared" ca="1" si="302"/>
        <v>#N/A</v>
      </c>
      <c r="C4146" s="277">
        <v>28</v>
      </c>
      <c r="D4146" s="41" t="str">
        <f>IF($C$1073&gt;0,VLOOKUP($C4146,COSTI!$C$89:$E$140,3,FALSE),"")</f>
        <v/>
      </c>
      <c r="E4146" s="41" t="str">
        <f t="shared" si="301"/>
        <v/>
      </c>
      <c r="F4146" s="200"/>
      <c r="G4146" s="178" t="str">
        <f>IF(ISERROR(D4146),"",COSTI!I$72)</f>
        <v>Addebito automatico maturato in scadenziario</v>
      </c>
      <c r="H4146" s="179">
        <f>IF($C$1073&gt;0,IF(D4146&lt;=COSTI!C$73,VLOOKUP($C4146,COSTI!$C$89:$L$140,10,FALSE),0),0)</f>
        <v>0</v>
      </c>
      <c r="I4146" s="187"/>
      <c r="J4146" s="140" t="e">
        <f ca="1">VLOOKUP(D4146,$F$1081:$I$4183,4,FALSE)+COUNTIF(E$1081:E4145,E4146)</f>
        <v>#N/A</v>
      </c>
      <c r="K4146" s="1"/>
      <c r="L4146" s="161" t="b">
        <f>IF($C$1073&gt;0,CONCATENATE("Doc. Nr. ",VLOOKUP($C4146,COSTI!$C$89:$F$140,4,FALSE)," - ",VLOOKUP($C4146,COSTI!$C$89:$K$140,7,FALSE),""))</f>
        <v>0</v>
      </c>
      <c r="M4146" s="1"/>
      <c r="N4146" s="1"/>
      <c r="O4146" s="1"/>
    </row>
    <row r="4147" spans="1:15" hidden="1">
      <c r="A4147" s="1"/>
      <c r="B4147" s="280" t="e">
        <f t="shared" ca="1" si="302"/>
        <v>#N/A</v>
      </c>
      <c r="C4147" s="277">
        <v>29</v>
      </c>
      <c r="D4147" s="41" t="str">
        <f>IF($C$1073&gt;0,VLOOKUP($C4147,COSTI!$C$89:$E$140,3,FALSE),"")</f>
        <v/>
      </c>
      <c r="E4147" s="41" t="str">
        <f t="shared" si="301"/>
        <v/>
      </c>
      <c r="F4147" s="200"/>
      <c r="G4147" s="178" t="str">
        <f>IF(ISERROR(D4147),"",COSTI!I$72)</f>
        <v>Addebito automatico maturato in scadenziario</v>
      </c>
      <c r="H4147" s="179">
        <f>IF($C$1073&gt;0,IF(D4147&lt;=COSTI!C$73,VLOOKUP($C4147,COSTI!$C$89:$L$140,10,FALSE),0),0)</f>
        <v>0</v>
      </c>
      <c r="I4147" s="187"/>
      <c r="J4147" s="140" t="e">
        <f ca="1">VLOOKUP(D4147,$F$1081:$I$4183,4,FALSE)+COUNTIF(E$1081:E4146,E4147)</f>
        <v>#N/A</v>
      </c>
      <c r="K4147" s="1"/>
      <c r="L4147" s="161" t="b">
        <f>IF($C$1073&gt;0,CONCATENATE("Doc. Nr. ",VLOOKUP($C4147,COSTI!$C$89:$F$140,4,FALSE)," - ",VLOOKUP($C4147,COSTI!$C$89:$K$140,7,FALSE),""))</f>
        <v>0</v>
      </c>
      <c r="M4147" s="1"/>
      <c r="N4147" s="1"/>
      <c r="O4147" s="1"/>
    </row>
    <row r="4148" spans="1:15" hidden="1">
      <c r="A4148" s="1"/>
      <c r="B4148" s="280" t="e">
        <f t="shared" ca="1" si="302"/>
        <v>#N/A</v>
      </c>
      <c r="C4148" s="277">
        <v>30</v>
      </c>
      <c r="D4148" s="41" t="str">
        <f>IF($C$1073&gt;0,VLOOKUP($C4148,COSTI!$C$89:$E$140,3,FALSE),"")</f>
        <v/>
      </c>
      <c r="E4148" s="41" t="str">
        <f t="shared" si="301"/>
        <v/>
      </c>
      <c r="F4148" s="200"/>
      <c r="G4148" s="178" t="str">
        <f>IF(ISERROR(D4148),"",COSTI!I$72)</f>
        <v>Addebito automatico maturato in scadenziario</v>
      </c>
      <c r="H4148" s="179">
        <f>IF($C$1073&gt;0,IF(D4148&lt;=COSTI!C$73,VLOOKUP($C4148,COSTI!$C$89:$L$140,10,FALSE),0),0)</f>
        <v>0</v>
      </c>
      <c r="I4148" s="187"/>
      <c r="J4148" s="140" t="e">
        <f ca="1">VLOOKUP(D4148,$F$1081:$I$4183,4,FALSE)+COUNTIF(E$1081:E4147,E4148)</f>
        <v>#N/A</v>
      </c>
      <c r="K4148" s="1"/>
      <c r="L4148" s="161" t="b">
        <f>IF($C$1073&gt;0,CONCATENATE("Doc. Nr. ",VLOOKUP($C4148,COSTI!$C$89:$F$140,4,FALSE)," - ",VLOOKUP($C4148,COSTI!$C$89:$K$140,7,FALSE),""))</f>
        <v>0</v>
      </c>
      <c r="M4148" s="1"/>
      <c r="N4148" s="1"/>
      <c r="O4148" s="1"/>
    </row>
    <row r="4149" spans="1:15" hidden="1">
      <c r="A4149" s="1"/>
      <c r="B4149" s="280" t="e">
        <f t="shared" ca="1" si="302"/>
        <v>#N/A</v>
      </c>
      <c r="C4149" s="277">
        <v>31</v>
      </c>
      <c r="D4149" s="41" t="str">
        <f>IF($C$1073&gt;0,VLOOKUP($C4149,COSTI!$C$89:$E$140,3,FALSE),"")</f>
        <v/>
      </c>
      <c r="E4149" s="41" t="str">
        <f t="shared" si="301"/>
        <v/>
      </c>
      <c r="F4149" s="200"/>
      <c r="G4149" s="178" t="str">
        <f>IF(ISERROR(D4149),"",COSTI!I$72)</f>
        <v>Addebito automatico maturato in scadenziario</v>
      </c>
      <c r="H4149" s="179">
        <f>IF($C$1073&gt;0,IF(D4149&lt;=COSTI!C$73,VLOOKUP($C4149,COSTI!$C$89:$L$140,10,FALSE),0),0)</f>
        <v>0</v>
      </c>
      <c r="I4149" s="187"/>
      <c r="J4149" s="140" t="e">
        <f ca="1">VLOOKUP(D4149,$F$1081:$I$4183,4,FALSE)+COUNTIF(E$1081:E4148,E4149)</f>
        <v>#N/A</v>
      </c>
      <c r="K4149" s="1"/>
      <c r="L4149" s="161" t="b">
        <f>IF($C$1073&gt;0,CONCATENATE("Doc. Nr. ",VLOOKUP($C4149,COSTI!$C$89:$F$140,4,FALSE)," - ",VLOOKUP($C4149,COSTI!$C$89:$K$140,7,FALSE),""))</f>
        <v>0</v>
      </c>
      <c r="M4149" s="1"/>
      <c r="N4149" s="1"/>
      <c r="O4149" s="1"/>
    </row>
    <row r="4150" spans="1:15" hidden="1">
      <c r="A4150" s="1"/>
      <c r="B4150" s="280" t="e">
        <f t="shared" ca="1" si="302"/>
        <v>#N/A</v>
      </c>
      <c r="C4150" s="277">
        <v>32</v>
      </c>
      <c r="D4150" s="41" t="str">
        <f>IF($C$1073&gt;0,VLOOKUP($C4150,COSTI!$C$89:$E$140,3,FALSE),"")</f>
        <v/>
      </c>
      <c r="E4150" s="41" t="str">
        <f t="shared" si="301"/>
        <v/>
      </c>
      <c r="F4150" s="200"/>
      <c r="G4150" s="178" t="str">
        <f>IF(ISERROR(D4150),"",COSTI!I$72)</f>
        <v>Addebito automatico maturato in scadenziario</v>
      </c>
      <c r="H4150" s="179">
        <f>IF($C$1073&gt;0,IF(D4150&lt;=COSTI!C$73,VLOOKUP($C4150,COSTI!$C$89:$L$140,10,FALSE),0),0)</f>
        <v>0</v>
      </c>
      <c r="I4150" s="187"/>
      <c r="J4150" s="140" t="e">
        <f ca="1">VLOOKUP(D4150,$F$1081:$I$4183,4,FALSE)+COUNTIF(E$1081:E4149,E4150)</f>
        <v>#N/A</v>
      </c>
      <c r="K4150" s="1"/>
      <c r="L4150" s="161" t="b">
        <f>IF($C$1073&gt;0,CONCATENATE("Doc. Nr. ",VLOOKUP($C4150,COSTI!$C$89:$F$140,4,FALSE)," - ",VLOOKUP($C4150,COSTI!$C$89:$K$140,7,FALSE),""))</f>
        <v>0</v>
      </c>
      <c r="M4150" s="1"/>
      <c r="N4150" s="1"/>
      <c r="O4150" s="1"/>
    </row>
    <row r="4151" spans="1:15" hidden="1">
      <c r="A4151" s="1"/>
      <c r="B4151" s="280" t="e">
        <f t="shared" ca="1" si="302"/>
        <v>#N/A</v>
      </c>
      <c r="C4151" s="277">
        <v>33</v>
      </c>
      <c r="D4151" s="41" t="str">
        <f>IF($C$1073&gt;0,VLOOKUP($C4151,COSTI!$C$89:$E$140,3,FALSE),"")</f>
        <v/>
      </c>
      <c r="E4151" s="41" t="str">
        <f t="shared" si="301"/>
        <v/>
      </c>
      <c r="F4151" s="200"/>
      <c r="G4151" s="178" t="str">
        <f>IF(ISERROR(D4151),"",COSTI!I$72)</f>
        <v>Addebito automatico maturato in scadenziario</v>
      </c>
      <c r="H4151" s="179">
        <f>IF($C$1073&gt;0,IF(D4151&lt;=COSTI!C$73,VLOOKUP($C4151,COSTI!$C$89:$L$140,10,FALSE),0),0)</f>
        <v>0</v>
      </c>
      <c r="I4151" s="187"/>
      <c r="J4151" s="140" t="e">
        <f ca="1">VLOOKUP(D4151,$F$1081:$I$4183,4,FALSE)+COUNTIF(E$1081:E4150,E4151)</f>
        <v>#N/A</v>
      </c>
      <c r="K4151" s="1"/>
      <c r="L4151" s="161" t="b">
        <f>IF($C$1073&gt;0,CONCATENATE("Doc. Nr. ",VLOOKUP($C4151,COSTI!$C$89:$F$140,4,FALSE)," - ",VLOOKUP($C4151,COSTI!$C$89:$K$140,7,FALSE),""))</f>
        <v>0</v>
      </c>
      <c r="M4151" s="1"/>
      <c r="N4151" s="1"/>
      <c r="O4151" s="1"/>
    </row>
    <row r="4152" spans="1:15" hidden="1">
      <c r="A4152" s="1"/>
      <c r="B4152" s="280" t="e">
        <f t="shared" ca="1" si="302"/>
        <v>#N/A</v>
      </c>
      <c r="C4152" s="277">
        <v>34</v>
      </c>
      <c r="D4152" s="41" t="str">
        <f>IF($C$1073&gt;0,VLOOKUP($C4152,COSTI!$C$89:$E$140,3,FALSE),"")</f>
        <v/>
      </c>
      <c r="E4152" s="41" t="str">
        <f t="shared" si="301"/>
        <v/>
      </c>
      <c r="F4152" s="200"/>
      <c r="G4152" s="178" t="str">
        <f>IF(ISERROR(D4152),"",COSTI!I$72)</f>
        <v>Addebito automatico maturato in scadenziario</v>
      </c>
      <c r="H4152" s="179">
        <f>IF($C$1073&gt;0,IF(D4152&lt;=COSTI!C$73,VLOOKUP($C4152,COSTI!$C$89:$L$140,10,FALSE),0),0)</f>
        <v>0</v>
      </c>
      <c r="I4152" s="187"/>
      <c r="J4152" s="140" t="e">
        <f ca="1">VLOOKUP(D4152,$F$1081:$I$4183,4,FALSE)+COUNTIF(E$1081:E4151,E4152)</f>
        <v>#N/A</v>
      </c>
      <c r="K4152" s="1"/>
      <c r="L4152" s="161" t="b">
        <f>IF($C$1073&gt;0,CONCATENATE("Doc. Nr. ",VLOOKUP($C4152,COSTI!$C$89:$F$140,4,FALSE)," - ",VLOOKUP($C4152,COSTI!$C$89:$K$140,7,FALSE),""))</f>
        <v>0</v>
      </c>
      <c r="M4152" s="1"/>
      <c r="N4152" s="1"/>
      <c r="O4152" s="1"/>
    </row>
    <row r="4153" spans="1:15" hidden="1">
      <c r="A4153" s="1"/>
      <c r="B4153" s="280" t="e">
        <f t="shared" ca="1" si="302"/>
        <v>#N/A</v>
      </c>
      <c r="C4153" s="277">
        <v>35</v>
      </c>
      <c r="D4153" s="41" t="str">
        <f>IF($C$1073&gt;0,VLOOKUP($C4153,COSTI!$C$89:$E$140,3,FALSE),"")</f>
        <v/>
      </c>
      <c r="E4153" s="41" t="str">
        <f t="shared" si="301"/>
        <v/>
      </c>
      <c r="F4153" s="200"/>
      <c r="G4153" s="178" t="str">
        <f>IF(ISERROR(D4153),"",COSTI!I$72)</f>
        <v>Addebito automatico maturato in scadenziario</v>
      </c>
      <c r="H4153" s="179">
        <f>IF($C$1073&gt;0,IF(D4153&lt;=COSTI!C$73,VLOOKUP($C4153,COSTI!$C$89:$L$140,10,FALSE),0),0)</f>
        <v>0</v>
      </c>
      <c r="I4153" s="187"/>
      <c r="J4153" s="140" t="e">
        <f ca="1">VLOOKUP(D4153,$F$1081:$I$4183,4,FALSE)+COUNTIF(E$1081:E4152,E4153)</f>
        <v>#N/A</v>
      </c>
      <c r="K4153" s="1"/>
      <c r="L4153" s="161" t="b">
        <f>IF($C$1073&gt;0,CONCATENATE("Doc. Nr. ",VLOOKUP($C4153,COSTI!$C$89:$F$140,4,FALSE)," - ",VLOOKUP($C4153,COSTI!$C$89:$K$140,7,FALSE),""))</f>
        <v>0</v>
      </c>
      <c r="M4153" s="1"/>
      <c r="N4153" s="1"/>
      <c r="O4153" s="1"/>
    </row>
    <row r="4154" spans="1:15" hidden="1">
      <c r="A4154" s="1"/>
      <c r="B4154" s="280" t="e">
        <f t="shared" ca="1" si="302"/>
        <v>#N/A</v>
      </c>
      <c r="C4154" s="277">
        <v>36</v>
      </c>
      <c r="D4154" s="41" t="str">
        <f>IF($C$1073&gt;0,VLOOKUP($C4154,COSTI!$C$89:$E$140,3,FALSE),"")</f>
        <v/>
      </c>
      <c r="E4154" s="41" t="str">
        <f t="shared" si="301"/>
        <v/>
      </c>
      <c r="F4154" s="200"/>
      <c r="G4154" s="178" t="str">
        <f>IF(ISERROR(D4154),"",COSTI!I$72)</f>
        <v>Addebito automatico maturato in scadenziario</v>
      </c>
      <c r="H4154" s="179">
        <f>IF($C$1073&gt;0,IF(D4154&lt;=COSTI!C$73,VLOOKUP($C4154,COSTI!$C$89:$L$140,10,FALSE),0),0)</f>
        <v>0</v>
      </c>
      <c r="I4154" s="187"/>
      <c r="J4154" s="140" t="e">
        <f ca="1">VLOOKUP(D4154,$F$1081:$I$4183,4,FALSE)+COUNTIF(E$1081:E4153,E4154)</f>
        <v>#N/A</v>
      </c>
      <c r="K4154" s="1"/>
      <c r="L4154" s="161" t="b">
        <f>IF($C$1073&gt;0,CONCATENATE("Doc. Nr. ",VLOOKUP($C4154,COSTI!$C$89:$F$140,4,FALSE)," - ",VLOOKUP($C4154,COSTI!$C$89:$K$140,7,FALSE),""))</f>
        <v>0</v>
      </c>
      <c r="M4154" s="1"/>
      <c r="N4154" s="1"/>
      <c r="O4154" s="1"/>
    </row>
    <row r="4155" spans="1:15" hidden="1">
      <c r="A4155" s="1"/>
      <c r="B4155" s="280" t="e">
        <f t="shared" ca="1" si="302"/>
        <v>#N/A</v>
      </c>
      <c r="C4155" s="277">
        <v>37</v>
      </c>
      <c r="D4155" s="41" t="str">
        <f>IF($C$1073&gt;0,VLOOKUP($C4155,COSTI!$C$89:$E$140,3,FALSE),"")</f>
        <v/>
      </c>
      <c r="E4155" s="41" t="str">
        <f t="shared" si="301"/>
        <v/>
      </c>
      <c r="F4155" s="200"/>
      <c r="G4155" s="178" t="str">
        <f>IF(ISERROR(D4155),"",COSTI!I$72)</f>
        <v>Addebito automatico maturato in scadenziario</v>
      </c>
      <c r="H4155" s="179">
        <f>IF($C$1073&gt;0,IF(D4155&lt;=COSTI!C$73,VLOOKUP($C4155,COSTI!$C$89:$L$140,10,FALSE),0),0)</f>
        <v>0</v>
      </c>
      <c r="I4155" s="187"/>
      <c r="J4155" s="140" t="e">
        <f ca="1">VLOOKUP(D4155,$F$1081:$I$4183,4,FALSE)+COUNTIF(E$1081:E4154,E4155)</f>
        <v>#N/A</v>
      </c>
      <c r="K4155" s="1"/>
      <c r="L4155" s="161" t="b">
        <f>IF($C$1073&gt;0,CONCATENATE("Doc. Nr. ",VLOOKUP($C4155,COSTI!$C$89:$F$140,4,FALSE)," - ",VLOOKUP($C4155,COSTI!$C$89:$K$140,7,FALSE),""))</f>
        <v>0</v>
      </c>
      <c r="M4155" s="1"/>
      <c r="N4155" s="1"/>
      <c r="O4155" s="1"/>
    </row>
    <row r="4156" spans="1:15" hidden="1">
      <c r="A4156" s="1"/>
      <c r="B4156" s="280" t="e">
        <f t="shared" ca="1" si="302"/>
        <v>#N/A</v>
      </c>
      <c r="C4156" s="277">
        <v>38</v>
      </c>
      <c r="D4156" s="41" t="str">
        <f>IF($C$1073&gt;0,VLOOKUP($C4156,COSTI!$C$89:$E$140,3,FALSE),"")</f>
        <v/>
      </c>
      <c r="E4156" s="41" t="str">
        <f t="shared" si="301"/>
        <v/>
      </c>
      <c r="F4156" s="200"/>
      <c r="G4156" s="178" t="str">
        <f>IF(ISERROR(D4156),"",COSTI!I$72)</f>
        <v>Addebito automatico maturato in scadenziario</v>
      </c>
      <c r="H4156" s="179">
        <f>IF($C$1073&gt;0,IF(D4156&lt;=COSTI!C$73,VLOOKUP($C4156,COSTI!$C$89:$L$140,10,FALSE),0),0)</f>
        <v>0</v>
      </c>
      <c r="I4156" s="187"/>
      <c r="J4156" s="140" t="e">
        <f ca="1">VLOOKUP(D4156,$F$1081:$I$4183,4,FALSE)+COUNTIF(E$1081:E4155,E4156)</f>
        <v>#N/A</v>
      </c>
      <c r="K4156" s="1"/>
      <c r="L4156" s="161" t="b">
        <f>IF($C$1073&gt;0,CONCATENATE("Doc. Nr. ",VLOOKUP($C4156,COSTI!$C$89:$F$140,4,FALSE)," - ",VLOOKUP($C4156,COSTI!$C$89:$K$140,7,FALSE),""))</f>
        <v>0</v>
      </c>
      <c r="M4156" s="1"/>
      <c r="N4156" s="1"/>
      <c r="O4156" s="1"/>
    </row>
    <row r="4157" spans="1:15" hidden="1">
      <c r="A4157" s="1"/>
      <c r="B4157" s="280" t="e">
        <f t="shared" ca="1" si="302"/>
        <v>#N/A</v>
      </c>
      <c r="C4157" s="277">
        <v>39</v>
      </c>
      <c r="D4157" s="41" t="str">
        <f>IF($C$1073&gt;0,VLOOKUP($C4157,COSTI!$C$89:$E$140,3,FALSE),"")</f>
        <v/>
      </c>
      <c r="E4157" s="41" t="str">
        <f t="shared" si="301"/>
        <v/>
      </c>
      <c r="F4157" s="200"/>
      <c r="G4157" s="178" t="str">
        <f>IF(ISERROR(D4157),"",COSTI!I$72)</f>
        <v>Addebito automatico maturato in scadenziario</v>
      </c>
      <c r="H4157" s="179">
        <f>IF($C$1073&gt;0,IF(D4157&lt;=COSTI!C$73,VLOOKUP($C4157,COSTI!$C$89:$L$140,10,FALSE),0),0)</f>
        <v>0</v>
      </c>
      <c r="I4157" s="187"/>
      <c r="J4157" s="140" t="e">
        <f ca="1">VLOOKUP(D4157,$F$1081:$I$4183,4,FALSE)+COUNTIF(E$1081:E4156,E4157)</f>
        <v>#N/A</v>
      </c>
      <c r="K4157" s="1"/>
      <c r="L4157" s="161" t="b">
        <f>IF($C$1073&gt;0,CONCATENATE("Doc. Nr. ",VLOOKUP($C4157,COSTI!$C$89:$F$140,4,FALSE)," - ",VLOOKUP($C4157,COSTI!$C$89:$K$140,7,FALSE),""))</f>
        <v>0</v>
      </c>
      <c r="M4157" s="1"/>
      <c r="N4157" s="1"/>
      <c r="O4157" s="1"/>
    </row>
    <row r="4158" spans="1:15" hidden="1">
      <c r="A4158" s="1"/>
      <c r="B4158" s="280" t="e">
        <f t="shared" ca="1" si="302"/>
        <v>#N/A</v>
      </c>
      <c r="C4158" s="277">
        <v>40</v>
      </c>
      <c r="D4158" s="41" t="str">
        <f>IF($C$1073&gt;0,VLOOKUP($C4158,COSTI!$C$89:$E$140,3,FALSE),"")</f>
        <v/>
      </c>
      <c r="E4158" s="41" t="str">
        <f t="shared" si="301"/>
        <v/>
      </c>
      <c r="F4158" s="200"/>
      <c r="G4158" s="178" t="str">
        <f>IF(ISERROR(D4158),"",COSTI!I$72)</f>
        <v>Addebito automatico maturato in scadenziario</v>
      </c>
      <c r="H4158" s="179">
        <f>IF($C$1073&gt;0,IF(D4158&lt;=COSTI!C$73,VLOOKUP($C4158,COSTI!$C$89:$L$140,10,FALSE),0),0)</f>
        <v>0</v>
      </c>
      <c r="I4158" s="187"/>
      <c r="J4158" s="140" t="e">
        <f ca="1">VLOOKUP(D4158,$F$1081:$I$4183,4,FALSE)+COUNTIF(E$1081:E4157,E4158)</f>
        <v>#N/A</v>
      </c>
      <c r="K4158" s="1"/>
      <c r="L4158" s="161" t="b">
        <f>IF($C$1073&gt;0,CONCATENATE("Doc. Nr. ",VLOOKUP($C4158,COSTI!$C$89:$F$140,4,FALSE)," - ",VLOOKUP($C4158,COSTI!$C$89:$K$140,7,FALSE),""))</f>
        <v>0</v>
      </c>
      <c r="M4158" s="1"/>
      <c r="N4158" s="1"/>
      <c r="O4158" s="1"/>
    </row>
    <row r="4159" spans="1:15" hidden="1">
      <c r="A4159" s="1"/>
      <c r="B4159" s="280" t="e">
        <f t="shared" ca="1" si="302"/>
        <v>#N/A</v>
      </c>
      <c r="C4159" s="277">
        <v>41</v>
      </c>
      <c r="D4159" s="41" t="str">
        <f>IF($C$1073&gt;0,VLOOKUP($C4159,COSTI!$C$89:$E$140,3,FALSE),"")</f>
        <v/>
      </c>
      <c r="E4159" s="41" t="str">
        <f t="shared" si="301"/>
        <v/>
      </c>
      <c r="F4159" s="200"/>
      <c r="G4159" s="178" t="str">
        <f>IF(ISERROR(D4159),"",COSTI!I$72)</f>
        <v>Addebito automatico maturato in scadenziario</v>
      </c>
      <c r="H4159" s="179">
        <f>IF($C$1073&gt;0,IF(D4159&lt;=COSTI!C$73,VLOOKUP($C4159,COSTI!$C$89:$L$140,10,FALSE),0),0)</f>
        <v>0</v>
      </c>
      <c r="I4159" s="187"/>
      <c r="J4159" s="140" t="e">
        <f ca="1">VLOOKUP(D4159,$F$1081:$I$4183,4,FALSE)+COUNTIF(E$1081:E4158,E4159)</f>
        <v>#N/A</v>
      </c>
      <c r="K4159" s="1"/>
      <c r="L4159" s="161" t="b">
        <f>IF($C$1073&gt;0,CONCATENATE("Doc. Nr. ",VLOOKUP($C4159,COSTI!$C$89:$F$140,4,FALSE)," - ",VLOOKUP($C4159,COSTI!$C$89:$K$140,7,FALSE),""))</f>
        <v>0</v>
      </c>
      <c r="M4159" s="1"/>
      <c r="N4159" s="1"/>
      <c r="O4159" s="1"/>
    </row>
    <row r="4160" spans="1:15" hidden="1">
      <c r="A4160" s="1"/>
      <c r="B4160" s="280" t="e">
        <f t="shared" ca="1" si="302"/>
        <v>#N/A</v>
      </c>
      <c r="C4160" s="277">
        <v>42</v>
      </c>
      <c r="D4160" s="41" t="str">
        <f>IF($C$1073&gt;0,VLOOKUP($C4160,COSTI!$C$89:$E$140,3,FALSE),"")</f>
        <v/>
      </c>
      <c r="E4160" s="41" t="str">
        <f t="shared" si="301"/>
        <v/>
      </c>
      <c r="F4160" s="200"/>
      <c r="G4160" s="178" t="str">
        <f>IF(ISERROR(D4160),"",COSTI!I$72)</f>
        <v>Addebito automatico maturato in scadenziario</v>
      </c>
      <c r="H4160" s="179">
        <f>IF($C$1073&gt;0,IF(D4160&lt;=COSTI!C$73,VLOOKUP($C4160,COSTI!$C$89:$L$140,10,FALSE),0),0)</f>
        <v>0</v>
      </c>
      <c r="I4160" s="187"/>
      <c r="J4160" s="140" t="e">
        <f ca="1">VLOOKUP(D4160,$F$1081:$I$4183,4,FALSE)+COUNTIF(E$1081:E4159,E4160)</f>
        <v>#N/A</v>
      </c>
      <c r="K4160" s="1"/>
      <c r="L4160" s="161" t="b">
        <f>IF($C$1073&gt;0,CONCATENATE("Doc. Nr. ",VLOOKUP($C4160,COSTI!$C$89:$F$140,4,FALSE)," - ",VLOOKUP($C4160,COSTI!$C$89:$K$140,7,FALSE),""))</f>
        <v>0</v>
      </c>
      <c r="M4160" s="1"/>
      <c r="N4160" s="1"/>
      <c r="O4160" s="1"/>
    </row>
    <row r="4161" spans="1:15" hidden="1">
      <c r="A4161" s="1"/>
      <c r="B4161" s="280" t="e">
        <f t="shared" ca="1" si="302"/>
        <v>#N/A</v>
      </c>
      <c r="C4161" s="277">
        <v>43</v>
      </c>
      <c r="D4161" s="41" t="str">
        <f>IF($C$1073&gt;0,VLOOKUP($C4161,COSTI!$C$89:$E$140,3,FALSE),"")</f>
        <v/>
      </c>
      <c r="E4161" s="41" t="str">
        <f t="shared" si="301"/>
        <v/>
      </c>
      <c r="F4161" s="200"/>
      <c r="G4161" s="178" t="str">
        <f>IF(ISERROR(D4161),"",COSTI!I$72)</f>
        <v>Addebito automatico maturato in scadenziario</v>
      </c>
      <c r="H4161" s="179">
        <f>IF($C$1073&gt;0,IF(D4161&lt;=COSTI!C$73,VLOOKUP($C4161,COSTI!$C$89:$L$140,10,FALSE),0),0)</f>
        <v>0</v>
      </c>
      <c r="I4161" s="187"/>
      <c r="J4161" s="140" t="e">
        <f ca="1">VLOOKUP(D4161,$F$1081:$I$4183,4,FALSE)+COUNTIF(E$1081:E4160,E4161)</f>
        <v>#N/A</v>
      </c>
      <c r="K4161" s="1"/>
      <c r="L4161" s="161" t="b">
        <f>IF($C$1073&gt;0,CONCATENATE("Doc. Nr. ",VLOOKUP($C4161,COSTI!$C$89:$F$140,4,FALSE)," - ",VLOOKUP($C4161,COSTI!$C$89:$K$140,7,FALSE),""))</f>
        <v>0</v>
      </c>
      <c r="M4161" s="1"/>
      <c r="N4161" s="1"/>
      <c r="O4161" s="1"/>
    </row>
    <row r="4162" spans="1:15" hidden="1">
      <c r="A4162" s="1"/>
      <c r="B4162" s="280" t="e">
        <f t="shared" ca="1" si="302"/>
        <v>#N/A</v>
      </c>
      <c r="C4162" s="277">
        <v>44</v>
      </c>
      <c r="D4162" s="41" t="str">
        <f>IF($C$1073&gt;0,VLOOKUP($C4162,COSTI!$C$89:$E$140,3,FALSE),"")</f>
        <v/>
      </c>
      <c r="E4162" s="41" t="str">
        <f t="shared" ref="E4162:E4170" si="303">IF(ISERROR(D4162),"",D4162)</f>
        <v/>
      </c>
      <c r="F4162" s="200"/>
      <c r="G4162" s="178" t="str">
        <f>IF(ISERROR(D4162),"",COSTI!I$72)</f>
        <v>Addebito automatico maturato in scadenziario</v>
      </c>
      <c r="H4162" s="179">
        <f>IF($C$1073&gt;0,IF(D4162&lt;=COSTI!C$73,VLOOKUP($C4162,COSTI!$C$89:$L$140,10,FALSE),0),0)</f>
        <v>0</v>
      </c>
      <c r="I4162" s="187"/>
      <c r="J4162" s="140" t="e">
        <f ca="1">VLOOKUP(D4162,$F$1081:$I$4183,4,FALSE)+COUNTIF(E$1081:E4161,E4162)</f>
        <v>#N/A</v>
      </c>
      <c r="K4162" s="1"/>
      <c r="L4162" s="161" t="b">
        <f>IF($C$1073&gt;0,CONCATENATE("Doc. Nr. ",VLOOKUP($C4162,COSTI!$C$89:$F$140,4,FALSE)," - ",VLOOKUP($C4162,COSTI!$C$89:$K$140,7,FALSE),""))</f>
        <v>0</v>
      </c>
      <c r="M4162" s="1"/>
      <c r="N4162" s="1"/>
      <c r="O4162" s="1"/>
    </row>
    <row r="4163" spans="1:15" hidden="1">
      <c r="A4163" s="1"/>
      <c r="B4163" s="280" t="e">
        <f t="shared" ca="1" si="302"/>
        <v>#N/A</v>
      </c>
      <c r="C4163" s="277">
        <v>45</v>
      </c>
      <c r="D4163" s="41" t="str">
        <f>IF($C$1073&gt;0,VLOOKUP($C4163,COSTI!$C$89:$E$140,3,FALSE),"")</f>
        <v/>
      </c>
      <c r="E4163" s="41" t="str">
        <f t="shared" si="303"/>
        <v/>
      </c>
      <c r="F4163" s="200"/>
      <c r="G4163" s="178" t="str">
        <f>IF(ISERROR(D4163),"",COSTI!I$72)</f>
        <v>Addebito automatico maturato in scadenziario</v>
      </c>
      <c r="H4163" s="179">
        <f>IF($C$1073&gt;0,IF(D4163&lt;=COSTI!C$73,VLOOKUP($C4163,COSTI!$C$89:$L$140,10,FALSE),0),0)</f>
        <v>0</v>
      </c>
      <c r="I4163" s="187"/>
      <c r="J4163" s="140" t="e">
        <f ca="1">VLOOKUP(D4163,$F$1081:$I$4183,4,FALSE)+COUNTIF(E$1081:E4162,E4163)</f>
        <v>#N/A</v>
      </c>
      <c r="K4163" s="1"/>
      <c r="L4163" s="161" t="b">
        <f>IF($C$1073&gt;0,CONCATENATE("Doc. Nr. ",VLOOKUP($C4163,COSTI!$C$89:$F$140,4,FALSE)," - ",VLOOKUP($C4163,COSTI!$C$89:$K$140,7,FALSE),""))</f>
        <v>0</v>
      </c>
      <c r="M4163" s="1"/>
      <c r="N4163" s="1"/>
      <c r="O4163" s="1"/>
    </row>
    <row r="4164" spans="1:15" hidden="1">
      <c r="A4164" s="1"/>
      <c r="B4164" s="280" t="e">
        <f t="shared" ca="1" si="302"/>
        <v>#N/A</v>
      </c>
      <c r="C4164" s="277">
        <v>46</v>
      </c>
      <c r="D4164" s="41" t="str">
        <f>IF($C$1073&gt;0,VLOOKUP($C4164,COSTI!$C$89:$E$140,3,FALSE),"")</f>
        <v/>
      </c>
      <c r="E4164" s="41" t="str">
        <f t="shared" si="303"/>
        <v/>
      </c>
      <c r="F4164" s="200"/>
      <c r="G4164" s="178" t="str">
        <f>IF(ISERROR(D4164),"",COSTI!I$72)</f>
        <v>Addebito automatico maturato in scadenziario</v>
      </c>
      <c r="H4164" s="179">
        <f>IF($C$1073&gt;0,IF(D4164&lt;=COSTI!C$73,VLOOKUP($C4164,COSTI!$C$89:$L$140,10,FALSE),0),0)</f>
        <v>0</v>
      </c>
      <c r="I4164" s="187"/>
      <c r="J4164" s="140" t="e">
        <f ca="1">VLOOKUP(D4164,$F$1081:$I$4183,4,FALSE)+COUNTIF(E$1081:E4163,E4164)</f>
        <v>#N/A</v>
      </c>
      <c r="K4164" s="1"/>
      <c r="L4164" s="161" t="b">
        <f>IF($C$1073&gt;0,CONCATENATE("Doc. Nr. ",VLOOKUP($C4164,COSTI!$C$89:$F$140,4,FALSE)," - ",VLOOKUP($C4164,COSTI!$C$89:$K$140,7,FALSE),""))</f>
        <v>0</v>
      </c>
      <c r="M4164" s="1"/>
      <c r="N4164" s="1"/>
      <c r="O4164" s="1"/>
    </row>
    <row r="4165" spans="1:15" hidden="1">
      <c r="A4165" s="1"/>
      <c r="B4165" s="280" t="e">
        <f t="shared" ca="1" si="302"/>
        <v>#N/A</v>
      </c>
      <c r="C4165" s="277">
        <v>47</v>
      </c>
      <c r="D4165" s="41" t="str">
        <f>IF($C$1073&gt;0,VLOOKUP($C4165,COSTI!$C$89:$E$140,3,FALSE),"")</f>
        <v/>
      </c>
      <c r="E4165" s="41" t="str">
        <f t="shared" si="303"/>
        <v/>
      </c>
      <c r="F4165" s="200"/>
      <c r="G4165" s="178" t="str">
        <f>IF(ISERROR(D4165),"",COSTI!I$72)</f>
        <v>Addebito automatico maturato in scadenziario</v>
      </c>
      <c r="H4165" s="179">
        <f>IF($C$1073&gt;0,IF(D4165&lt;=COSTI!C$73,VLOOKUP($C4165,COSTI!$C$89:$L$140,10,FALSE),0),0)</f>
        <v>0</v>
      </c>
      <c r="I4165" s="187"/>
      <c r="J4165" s="140" t="e">
        <f ca="1">VLOOKUP(D4165,$F$1081:$I$4183,4,FALSE)+COUNTIF(E$1081:E4164,E4165)</f>
        <v>#N/A</v>
      </c>
      <c r="K4165" s="1"/>
      <c r="L4165" s="161" t="b">
        <f>IF($C$1073&gt;0,CONCATENATE("Doc. Nr. ",VLOOKUP($C4165,COSTI!$C$89:$F$140,4,FALSE)," - ",VLOOKUP($C4165,COSTI!$C$89:$K$140,7,FALSE),""))</f>
        <v>0</v>
      </c>
      <c r="M4165" s="1"/>
      <c r="N4165" s="1"/>
      <c r="O4165" s="1"/>
    </row>
    <row r="4166" spans="1:15" hidden="1">
      <c r="A4166" s="1"/>
      <c r="B4166" s="280" t="e">
        <f t="shared" ca="1" si="302"/>
        <v>#N/A</v>
      </c>
      <c r="C4166" s="277">
        <v>48</v>
      </c>
      <c r="D4166" s="41" t="str">
        <f>IF($C$1073&gt;0,VLOOKUP($C4166,COSTI!$C$89:$E$140,3,FALSE),"")</f>
        <v/>
      </c>
      <c r="E4166" s="41" t="str">
        <f t="shared" si="303"/>
        <v/>
      </c>
      <c r="F4166" s="200"/>
      <c r="G4166" s="178" t="str">
        <f>IF(ISERROR(D4166),"",COSTI!I$72)</f>
        <v>Addebito automatico maturato in scadenziario</v>
      </c>
      <c r="H4166" s="179">
        <f>IF($C$1073&gt;0,IF(D4166&lt;=COSTI!C$73,VLOOKUP($C4166,COSTI!$C$89:$L$140,10,FALSE),0),0)</f>
        <v>0</v>
      </c>
      <c r="I4166" s="187"/>
      <c r="J4166" s="140" t="e">
        <f ca="1">VLOOKUP(D4166,$F$1081:$I$4183,4,FALSE)+COUNTIF(E$1081:E4165,E4166)</f>
        <v>#N/A</v>
      </c>
      <c r="K4166" s="1"/>
      <c r="L4166" s="161" t="b">
        <f>IF($C$1073&gt;0,CONCATENATE("Doc. Nr. ",VLOOKUP($C4166,COSTI!$C$89:$F$140,4,FALSE)," - ",VLOOKUP($C4166,COSTI!$C$89:$K$140,7,FALSE),""))</f>
        <v>0</v>
      </c>
      <c r="M4166" s="1"/>
      <c r="N4166" s="1"/>
      <c r="O4166" s="1"/>
    </row>
    <row r="4167" spans="1:15" hidden="1">
      <c r="A4167" s="1"/>
      <c r="B4167" s="280" t="e">
        <f t="shared" ca="1" si="302"/>
        <v>#N/A</v>
      </c>
      <c r="C4167" s="277">
        <v>49</v>
      </c>
      <c r="D4167" s="41" t="str">
        <f>IF($C$1073&gt;0,VLOOKUP($C4167,COSTI!$C$89:$E$140,3,FALSE),"")</f>
        <v/>
      </c>
      <c r="E4167" s="41" t="str">
        <f t="shared" si="303"/>
        <v/>
      </c>
      <c r="F4167" s="200"/>
      <c r="G4167" s="178" t="str">
        <f>IF(ISERROR(D4167),"",COSTI!I$72)</f>
        <v>Addebito automatico maturato in scadenziario</v>
      </c>
      <c r="H4167" s="179">
        <f>IF($C$1073&gt;0,IF(D4167&lt;=COSTI!C$73,VLOOKUP($C4167,COSTI!$C$89:$L$140,10,FALSE),0),0)</f>
        <v>0</v>
      </c>
      <c r="I4167" s="187"/>
      <c r="J4167" s="140" t="e">
        <f ca="1">VLOOKUP(D4167,$F$1081:$I$4183,4,FALSE)+COUNTIF(E$1081:E4166,E4167)</f>
        <v>#N/A</v>
      </c>
      <c r="K4167" s="1"/>
      <c r="L4167" s="161" t="b">
        <f>IF($C$1073&gt;0,CONCATENATE("Doc. Nr. ",VLOOKUP($C4167,COSTI!$C$89:$F$140,4,FALSE)," - ",VLOOKUP($C4167,COSTI!$C$89:$K$140,7,FALSE),""))</f>
        <v>0</v>
      </c>
      <c r="M4167" s="1"/>
      <c r="N4167" s="1"/>
      <c r="O4167" s="1"/>
    </row>
    <row r="4168" spans="1:15" hidden="1">
      <c r="A4168" s="1"/>
      <c r="B4168" s="280" t="e">
        <f t="shared" ca="1" si="302"/>
        <v>#N/A</v>
      </c>
      <c r="C4168" s="277">
        <v>50</v>
      </c>
      <c r="D4168" s="41" t="str">
        <f>IF($C$1073&gt;0,VLOOKUP($C4168,COSTI!$C$89:$E$140,3,FALSE),"")</f>
        <v/>
      </c>
      <c r="E4168" s="41" t="str">
        <f t="shared" si="303"/>
        <v/>
      </c>
      <c r="F4168" s="200"/>
      <c r="G4168" s="178" t="str">
        <f>IF(ISERROR(D4168),"",COSTI!I$72)</f>
        <v>Addebito automatico maturato in scadenziario</v>
      </c>
      <c r="H4168" s="179">
        <f>IF($C$1073&gt;0,IF(D4168&lt;=COSTI!C$73,VLOOKUP($C4168,COSTI!$C$89:$L$140,10,FALSE),0),0)</f>
        <v>0</v>
      </c>
      <c r="I4168" s="187"/>
      <c r="J4168" s="140" t="e">
        <f ca="1">VLOOKUP(D4168,$F$1081:$I$4183,4,FALSE)+COUNTIF(E$1081:E4167,E4168)</f>
        <v>#N/A</v>
      </c>
      <c r="K4168" s="1"/>
      <c r="L4168" s="161" t="b">
        <f>IF($C$1073&gt;0,CONCATENATE("Doc. Nr. ",VLOOKUP($C4168,COSTI!$C$89:$F$140,4,FALSE)," - ",VLOOKUP($C4168,COSTI!$C$89:$K$140,7,FALSE),""))</f>
        <v>0</v>
      </c>
      <c r="M4168" s="1"/>
      <c r="N4168" s="1"/>
      <c r="O4168" s="1"/>
    </row>
    <row r="4169" spans="1:15" hidden="1">
      <c r="A4169" s="1"/>
      <c r="B4169" s="280" t="e">
        <f t="shared" ca="1" si="302"/>
        <v>#N/A</v>
      </c>
      <c r="C4169" s="277">
        <v>51</v>
      </c>
      <c r="D4169" s="41" t="str">
        <f>IF($C$1073&gt;0,VLOOKUP($C4169,COSTI!$C$89:$E$140,3,FALSE),"")</f>
        <v/>
      </c>
      <c r="E4169" s="41" t="str">
        <f t="shared" si="303"/>
        <v/>
      </c>
      <c r="F4169" s="200"/>
      <c r="G4169" s="178" t="str">
        <f>IF(ISERROR(D4169),"",COSTI!I$72)</f>
        <v>Addebito automatico maturato in scadenziario</v>
      </c>
      <c r="H4169" s="179">
        <f>IF($C$1073&gt;0,IF(D4169&lt;=COSTI!C$73,VLOOKUP($C4169,COSTI!$C$89:$L$140,10,FALSE),0),0)</f>
        <v>0</v>
      </c>
      <c r="I4169" s="187"/>
      <c r="J4169" s="140" t="e">
        <f ca="1">VLOOKUP(D4169,$F$1081:$I$4183,4,FALSE)+COUNTIF(E$1081:E4168,E4169)</f>
        <v>#N/A</v>
      </c>
      <c r="K4169" s="1"/>
      <c r="L4169" s="161" t="b">
        <f>IF($C$1073&gt;0,CONCATENATE("Doc. Nr. ",VLOOKUP($C4169,COSTI!$C$89:$F$140,4,FALSE)," - ",VLOOKUP($C4169,COSTI!$C$89:$K$140,7,FALSE),""))</f>
        <v>0</v>
      </c>
      <c r="M4169" s="1"/>
      <c r="N4169" s="1"/>
      <c r="O4169" s="1"/>
    </row>
    <row r="4170" spans="1:15" hidden="1">
      <c r="A4170" s="1"/>
      <c r="B4170" s="280" t="e">
        <f t="shared" ca="1" si="302"/>
        <v>#N/A</v>
      </c>
      <c r="C4170" s="279">
        <v>52</v>
      </c>
      <c r="D4170" s="143" t="str">
        <f>IF($C$1073&gt;0,VLOOKUP($C4170,COSTI!$C$89:$E$140,3,FALSE),"")</f>
        <v/>
      </c>
      <c r="E4170" s="143" t="str">
        <f t="shared" si="303"/>
        <v/>
      </c>
      <c r="F4170" s="201"/>
      <c r="G4170" s="188" t="str">
        <f>IF(ISERROR(D4170),"",COSTI!I$72)</f>
        <v>Addebito automatico maturato in scadenziario</v>
      </c>
      <c r="H4170" s="189">
        <f>IF($C$1073&gt;0,IF(D4170&lt;=COSTI!C$73,VLOOKUP($C4170,COSTI!$C$89:$L$140,10,FALSE),0),0)</f>
        <v>0</v>
      </c>
      <c r="I4170" s="190"/>
      <c r="J4170" s="146" t="e">
        <f ca="1">VLOOKUP(D4170,$F$1081:$I$4183,4,FALSE)+COUNTIF(E$1081:E4169,E4170)</f>
        <v>#N/A</v>
      </c>
      <c r="K4170" s="1"/>
      <c r="L4170" s="218" t="b">
        <f>IF($C$1073&gt;0,CONCATENATE("Doc. Nr. ",VLOOKUP($C4170,COSTI!$C$89:$F$140,4,FALSE)," - ",VLOOKUP($C4170,COSTI!$C$89:$K$140,7,FALSE),""))</f>
        <v>0</v>
      </c>
      <c r="M4170" s="1"/>
      <c r="N4170" s="1"/>
      <c r="O4170" s="1"/>
    </row>
    <row r="4171" spans="1:15" hidden="1">
      <c r="A4171" s="158">
        <f>IF(ISERROR(VLOOKUP(E$2,ENTI!B$9:B$13,1,FALSE)),0,1)</f>
        <v>0</v>
      </c>
      <c r="B4171" s="134" t="e">
        <f t="shared" ref="B4171:B4183" ca="1" si="304">IF(OR(C$1075&gt;0,C$1077&gt;0,C$1073&gt;0,C$1071&gt;0),J4171+1,J4171)</f>
        <v>#N/A</v>
      </c>
      <c r="C4171" s="496">
        <f>C2066+1</f>
        <v>987</v>
      </c>
      <c r="D4171" s="99">
        <f>IF(A4171=0,0,Presentazione!B210)</f>
        <v>0</v>
      </c>
      <c r="E4171" s="99" t="str">
        <f>IF(A4171=0,"",IF(M4171&lt;=(H$4185),IF(ISERROR(D4171),"",D4171),""))</f>
        <v/>
      </c>
      <c r="F4171" s="99" t="e">
        <f t="shared" ref="F4171:F4183" ca="1" si="305">SMALL(E$1081:E$4183,C4171)</f>
        <v>#NUM!</v>
      </c>
      <c r="G4171" s="178" t="str">
        <f>IF(E4171=0,"",CONCATENATE(G$4185,K4171))</f>
        <v>Quota Costi del Condominio mese - GEN</v>
      </c>
      <c r="H4171" s="179" t="e">
        <f ca="1">IF(E4171=0,0,IF($C$1074&gt;0,VLOOKUP(CONCATENATE($F$4185,$E$2),RIPARTIZIONI!$C$37:$R$41,C4171-1482,FALSE)*-1,0))</f>
        <v>#N/A</v>
      </c>
      <c r="I4171" s="496">
        <v>1487</v>
      </c>
      <c r="J4171" s="185" t="e">
        <f ca="1">VLOOKUP(D4171,$F$1081:$I$4183,4,FALSE)+COUNTIF(E$1081:E4066,E4171)</f>
        <v>#N/A</v>
      </c>
      <c r="K4171" s="215" t="str">
        <f>N4171</f>
        <v>GEN</v>
      </c>
      <c r="L4171" s="178" t="e">
        <f>IF($C$1074&gt;0,VLOOKUP($C4171,ENTI!$U$4:$AD$1003,10,FALSE),"")</f>
        <v>#N/A</v>
      </c>
      <c r="M4171" s="6">
        <v>1</v>
      </c>
      <c r="N4171" s="230" t="str">
        <f>ENTI!F$5</f>
        <v>GEN</v>
      </c>
      <c r="O4171" s="1"/>
    </row>
    <row r="4172" spans="1:15" hidden="1">
      <c r="A4172" s="158">
        <f>IF(ISERROR(VLOOKUP(E$2,ENTI!B$9:B$13,1,FALSE)),0,1)</f>
        <v>0</v>
      </c>
      <c r="B4172" s="139" t="e">
        <f t="shared" ca="1" si="304"/>
        <v>#N/A</v>
      </c>
      <c r="C4172" s="496">
        <f>C4171+1</f>
        <v>988</v>
      </c>
      <c r="D4172" s="41">
        <f>IF(A4172=0,0,Presentazione!B211)</f>
        <v>0</v>
      </c>
      <c r="E4172" s="41" t="str">
        <f t="shared" ref="E4172:E4182" si="306">IF(A4172=0,"",IF(M4172&lt;=(H$4185),IF(ISERROR(D4172),"",D4172),""))</f>
        <v/>
      </c>
      <c r="F4172" s="41" t="e">
        <f t="shared" ca="1" si="305"/>
        <v>#NUM!</v>
      </c>
      <c r="G4172" s="39" t="str">
        <f t="shared" ref="G4172:G4182" si="307">IF(E4172=0,"",CONCATENATE(G$4185,K4172))</f>
        <v>Quota Costi del Condominio mese - FEB</v>
      </c>
      <c r="H4172" s="42" t="e">
        <f ca="1">IF(E4172=0,0,IF($C$1074&gt;0,VLOOKUP(CONCATENATE($F$4185,$E$2),RIPARTIZIONI!$C$37:$R$41,C4172-1482,FALSE)*-1,0))</f>
        <v>#N/A</v>
      </c>
      <c r="I4172" s="642">
        <v>1488</v>
      </c>
      <c r="J4172" s="140" t="e">
        <f ca="1">VLOOKUP(D4172,$F$1081:$I$4183,4,FALSE)+COUNTIF(E$1081:E4171,E4172)</f>
        <v>#N/A</v>
      </c>
      <c r="K4172" s="216" t="str">
        <f t="shared" ref="K4172:K4182" si="308">N4172</f>
        <v>FEB</v>
      </c>
      <c r="L4172" s="39" t="e">
        <f>IF($C$1074&gt;0,VLOOKUP($C4172,ENTI!$U$4:$AD$1003,10,FALSE),"")</f>
        <v>#N/A</v>
      </c>
      <c r="M4172" s="6">
        <v>2</v>
      </c>
      <c r="N4172" s="230" t="str">
        <f>ENTI!G$5</f>
        <v>FEB</v>
      </c>
      <c r="O4172" s="1"/>
    </row>
    <row r="4173" spans="1:15" hidden="1">
      <c r="A4173" s="158">
        <f>IF(ISERROR(VLOOKUP(E$2,ENTI!B$9:B$13,1,FALSE)),0,1)</f>
        <v>0</v>
      </c>
      <c r="B4173" s="139" t="e">
        <f t="shared" ca="1" si="304"/>
        <v>#N/A</v>
      </c>
      <c r="C4173" s="496">
        <f t="shared" ref="C4173:C4183" si="309">C4172+1</f>
        <v>989</v>
      </c>
      <c r="D4173" s="41">
        <f>IF(A4173=0,0,Presentazione!B212)</f>
        <v>0</v>
      </c>
      <c r="E4173" s="41" t="str">
        <f t="shared" si="306"/>
        <v/>
      </c>
      <c r="F4173" s="41" t="e">
        <f t="shared" ca="1" si="305"/>
        <v>#NUM!</v>
      </c>
      <c r="G4173" s="39" t="str">
        <f t="shared" si="307"/>
        <v>Quota Costi del Condominio mese - MAR</v>
      </c>
      <c r="H4173" s="42" t="e">
        <f ca="1">IF(E4173=0,0,IF($C$1074&gt;0,VLOOKUP(CONCATENATE($F$4185,$E$2),RIPARTIZIONI!$C$37:$R$41,C4173-1482,FALSE)*-1,0))</f>
        <v>#N/A</v>
      </c>
      <c r="I4173" s="642">
        <v>1489</v>
      </c>
      <c r="J4173" s="140" t="e">
        <f ca="1">VLOOKUP(D4173,$F$1081:$I$4183,4,FALSE)+COUNTIF(E$1081:E4172,E4173)</f>
        <v>#N/A</v>
      </c>
      <c r="K4173" s="216" t="str">
        <f t="shared" si="308"/>
        <v>MAR</v>
      </c>
      <c r="L4173" s="39" t="e">
        <f>IF($C$1074&gt;0,VLOOKUP($C4173,ENTI!$U$4:$AD$1003,10,FALSE),"")</f>
        <v>#N/A</v>
      </c>
      <c r="M4173" s="6">
        <v>3</v>
      </c>
      <c r="N4173" s="230" t="str">
        <f>ENTI!H$5</f>
        <v>MAR</v>
      </c>
      <c r="O4173" s="1"/>
    </row>
    <row r="4174" spans="1:15" hidden="1">
      <c r="A4174" s="158">
        <f>IF(ISERROR(VLOOKUP(E$2,ENTI!B$9:B$13,1,FALSE)),0,1)</f>
        <v>0</v>
      </c>
      <c r="B4174" s="139" t="e">
        <f t="shared" ca="1" si="304"/>
        <v>#N/A</v>
      </c>
      <c r="C4174" s="496">
        <f t="shared" si="309"/>
        <v>990</v>
      </c>
      <c r="D4174" s="41">
        <f>IF(A4174=0,0,Presentazione!B213)</f>
        <v>0</v>
      </c>
      <c r="E4174" s="41" t="str">
        <f t="shared" si="306"/>
        <v/>
      </c>
      <c r="F4174" s="41" t="e">
        <f t="shared" ca="1" si="305"/>
        <v>#NUM!</v>
      </c>
      <c r="G4174" s="39" t="str">
        <f t="shared" si="307"/>
        <v>Quota Costi del Condominio mese - APR</v>
      </c>
      <c r="H4174" s="42" t="e">
        <f ca="1">IF(E4174=0,0,IF($C$1074&gt;0,VLOOKUP(CONCATENATE($F$4185,$E$2),RIPARTIZIONI!$C$37:$R$41,C4174-1482,FALSE)*-1,0))</f>
        <v>#N/A</v>
      </c>
      <c r="I4174" s="642">
        <v>1490</v>
      </c>
      <c r="J4174" s="140" t="e">
        <f ca="1">VLOOKUP(D4174,$F$1081:$I$4183,4,FALSE)+COUNTIF(E$1081:E4173,E4174)</f>
        <v>#N/A</v>
      </c>
      <c r="K4174" s="216" t="str">
        <f t="shared" si="308"/>
        <v>APR</v>
      </c>
      <c r="L4174" s="39" t="e">
        <f>IF($C$1074&gt;0,VLOOKUP($C4174,ENTI!$U$4:$AD$1003,10,FALSE),"")</f>
        <v>#N/A</v>
      </c>
      <c r="M4174" s="6">
        <v>4</v>
      </c>
      <c r="N4174" s="230" t="str">
        <f>ENTI!I$5</f>
        <v>APR</v>
      </c>
      <c r="O4174" s="1"/>
    </row>
    <row r="4175" spans="1:15" hidden="1">
      <c r="A4175" s="158">
        <f>IF(ISERROR(VLOOKUP(E$2,ENTI!B$9:B$13,1,FALSE)),0,1)</f>
        <v>0</v>
      </c>
      <c r="B4175" s="139" t="e">
        <f t="shared" ca="1" si="304"/>
        <v>#N/A</v>
      </c>
      <c r="C4175" s="496">
        <f t="shared" si="309"/>
        <v>991</v>
      </c>
      <c r="D4175" s="41">
        <f>IF(A4175=0,0,Presentazione!B214)</f>
        <v>0</v>
      </c>
      <c r="E4175" s="41" t="str">
        <f t="shared" si="306"/>
        <v/>
      </c>
      <c r="F4175" s="41" t="e">
        <f t="shared" ca="1" si="305"/>
        <v>#NUM!</v>
      </c>
      <c r="G4175" s="39" t="str">
        <f t="shared" si="307"/>
        <v>Quota Costi del Condominio mese - MAG</v>
      </c>
      <c r="H4175" s="42" t="e">
        <f ca="1">IF(E4175=0,0,IF($C$1074&gt;0,VLOOKUP(CONCATENATE($F$4185,$E$2),RIPARTIZIONI!$C$37:$R$41,C4175-1482,FALSE)*-1,0))</f>
        <v>#N/A</v>
      </c>
      <c r="I4175" s="642">
        <v>1491</v>
      </c>
      <c r="J4175" s="140" t="e">
        <f ca="1">VLOOKUP(D4175,$F$1081:$I$4183,4,FALSE)+COUNTIF(E$1081:E4174,E4175)</f>
        <v>#N/A</v>
      </c>
      <c r="K4175" s="216" t="str">
        <f t="shared" si="308"/>
        <v>MAG</v>
      </c>
      <c r="L4175" s="39" t="e">
        <f>IF($C$1074&gt;0,VLOOKUP($C4175,ENTI!$U$4:$AD$1003,10,FALSE),"")</f>
        <v>#N/A</v>
      </c>
      <c r="M4175" s="6">
        <v>5</v>
      </c>
      <c r="N4175" s="230" t="str">
        <f>ENTI!J$5</f>
        <v>MAG</v>
      </c>
      <c r="O4175" s="1"/>
    </row>
    <row r="4176" spans="1:15" hidden="1">
      <c r="A4176" s="158">
        <f>IF(ISERROR(VLOOKUP(E$2,ENTI!B$9:B$13,1,FALSE)),0,1)</f>
        <v>0</v>
      </c>
      <c r="B4176" s="139" t="e">
        <f t="shared" ca="1" si="304"/>
        <v>#N/A</v>
      </c>
      <c r="C4176" s="496">
        <f t="shared" si="309"/>
        <v>992</v>
      </c>
      <c r="D4176" s="41">
        <f>IF(A4176=0,0,Presentazione!B215)</f>
        <v>0</v>
      </c>
      <c r="E4176" s="41" t="str">
        <f t="shared" si="306"/>
        <v/>
      </c>
      <c r="F4176" s="41" t="e">
        <f t="shared" ca="1" si="305"/>
        <v>#NUM!</v>
      </c>
      <c r="G4176" s="39" t="str">
        <f t="shared" si="307"/>
        <v>Quota Costi del Condominio mese - GIU</v>
      </c>
      <c r="H4176" s="42" t="e">
        <f ca="1">IF(E4176=0,0,IF($C$1074&gt;0,VLOOKUP(CONCATENATE($F$4185,$E$2),RIPARTIZIONI!$C$37:$R$41,C4176-1482,FALSE)*-1,0))</f>
        <v>#N/A</v>
      </c>
      <c r="I4176" s="642">
        <v>1492</v>
      </c>
      <c r="J4176" s="140" t="e">
        <f ca="1">VLOOKUP(D4176,$F$1081:$I$4183,4,FALSE)+COUNTIF(E$1081:E4175,E4176)</f>
        <v>#N/A</v>
      </c>
      <c r="K4176" s="216" t="str">
        <f t="shared" si="308"/>
        <v>GIU</v>
      </c>
      <c r="L4176" s="39" t="e">
        <f>IF($C$1074&gt;0,VLOOKUP($C4176,ENTI!$U$4:$AD$1003,10,FALSE),"")</f>
        <v>#N/A</v>
      </c>
      <c r="M4176" s="6">
        <v>6</v>
      </c>
      <c r="N4176" s="230" t="str">
        <f>ENTI!K$5</f>
        <v>GIU</v>
      </c>
      <c r="O4176" s="1"/>
    </row>
    <row r="4177" spans="1:15" hidden="1">
      <c r="A4177" s="158">
        <f>IF(ISERROR(VLOOKUP(E$2,ENTI!B$9:B$13,1,FALSE)),0,1)</f>
        <v>0</v>
      </c>
      <c r="B4177" s="139" t="e">
        <f t="shared" ca="1" si="304"/>
        <v>#N/A</v>
      </c>
      <c r="C4177" s="496">
        <f t="shared" si="309"/>
        <v>993</v>
      </c>
      <c r="D4177" s="41">
        <f>IF(A4177=0,0,Presentazione!B216)</f>
        <v>0</v>
      </c>
      <c r="E4177" s="41" t="str">
        <f t="shared" si="306"/>
        <v/>
      </c>
      <c r="F4177" s="41" t="e">
        <f t="shared" ca="1" si="305"/>
        <v>#NUM!</v>
      </c>
      <c r="G4177" s="39" t="str">
        <f t="shared" si="307"/>
        <v>Quota Costi del Condominio mese - LUG</v>
      </c>
      <c r="H4177" s="42" t="e">
        <f ca="1">IF(E4177=0,0,IF($C$1074&gt;0,VLOOKUP(CONCATENATE($F$4185,$E$2),RIPARTIZIONI!$C$37:$R$41,C4177-1482,FALSE)*-1,0))</f>
        <v>#N/A</v>
      </c>
      <c r="I4177" s="642">
        <v>1493</v>
      </c>
      <c r="J4177" s="140" t="e">
        <f ca="1">VLOOKUP(D4177,$F$1081:$I$4183,4,FALSE)+COUNTIF(E$1081:E4176,E4177)</f>
        <v>#N/A</v>
      </c>
      <c r="K4177" s="216" t="str">
        <f t="shared" si="308"/>
        <v>LUG</v>
      </c>
      <c r="L4177" s="39" t="e">
        <f>IF($C$1074&gt;0,VLOOKUP($C4177,ENTI!$U$4:$AD$1003,10,FALSE),"")</f>
        <v>#N/A</v>
      </c>
      <c r="M4177" s="6">
        <v>7</v>
      </c>
      <c r="N4177" s="230" t="str">
        <f>ENTI!L$5</f>
        <v>LUG</v>
      </c>
      <c r="O4177" s="1"/>
    </row>
    <row r="4178" spans="1:15" hidden="1">
      <c r="A4178" s="158">
        <f>IF(ISERROR(VLOOKUP(E$2,ENTI!B$9:B$13,1,FALSE)),0,1)</f>
        <v>0</v>
      </c>
      <c r="B4178" s="139" t="e">
        <f t="shared" ca="1" si="304"/>
        <v>#N/A</v>
      </c>
      <c r="C4178" s="496">
        <f t="shared" si="309"/>
        <v>994</v>
      </c>
      <c r="D4178" s="41">
        <f>IF(A4178=0,0,Presentazione!B217)</f>
        <v>0</v>
      </c>
      <c r="E4178" s="41" t="str">
        <f t="shared" si="306"/>
        <v/>
      </c>
      <c r="F4178" s="41" t="e">
        <f t="shared" ca="1" si="305"/>
        <v>#NUM!</v>
      </c>
      <c r="G4178" s="39" t="str">
        <f t="shared" si="307"/>
        <v>Quota Costi del Condominio mese - AGO</v>
      </c>
      <c r="H4178" s="42" t="e">
        <f ca="1">IF(E4178=0,0,IF($C$1074&gt;0,VLOOKUP(CONCATENATE($F$4185,$E$2),RIPARTIZIONI!$C$37:$R$41,C4178-1482,FALSE)*-1,0))</f>
        <v>#N/A</v>
      </c>
      <c r="I4178" s="642">
        <v>1494</v>
      </c>
      <c r="J4178" s="140" t="e">
        <f ca="1">VLOOKUP(D4178,$F$1081:$I$4183,4,FALSE)+COUNTIF(E$1081:E4177,E4178)</f>
        <v>#N/A</v>
      </c>
      <c r="K4178" s="216" t="str">
        <f t="shared" si="308"/>
        <v>AGO</v>
      </c>
      <c r="L4178" s="39" t="e">
        <f>IF($C$1074&gt;0,VLOOKUP($C4178,ENTI!$U$4:$AD$1003,10,FALSE),"")</f>
        <v>#N/A</v>
      </c>
      <c r="M4178" s="6">
        <v>8</v>
      </c>
      <c r="N4178" s="230" t="str">
        <f>ENTI!M$5</f>
        <v>AGO</v>
      </c>
      <c r="O4178" s="1"/>
    </row>
    <row r="4179" spans="1:15" hidden="1">
      <c r="A4179" s="158">
        <f>IF(ISERROR(VLOOKUP(E$2,ENTI!B$9:B$13,1,FALSE)),0,1)</f>
        <v>0</v>
      </c>
      <c r="B4179" s="139" t="e">
        <f t="shared" ca="1" si="304"/>
        <v>#N/A</v>
      </c>
      <c r="C4179" s="496">
        <f t="shared" si="309"/>
        <v>995</v>
      </c>
      <c r="D4179" s="41">
        <f>IF(A4179=0,0,Presentazione!B218)</f>
        <v>0</v>
      </c>
      <c r="E4179" s="41" t="str">
        <f t="shared" si="306"/>
        <v/>
      </c>
      <c r="F4179" s="41" t="e">
        <f t="shared" ca="1" si="305"/>
        <v>#NUM!</v>
      </c>
      <c r="G4179" s="39" t="str">
        <f t="shared" si="307"/>
        <v>Quota Costi del Condominio mese - SET</v>
      </c>
      <c r="H4179" s="42" t="e">
        <f ca="1">IF(E4179=0,0,IF($C$1074&gt;0,VLOOKUP(CONCATENATE($F$4185,$E$2),RIPARTIZIONI!$C$37:$R$41,C4179-1482,FALSE)*-1,0))</f>
        <v>#N/A</v>
      </c>
      <c r="I4179" s="642">
        <v>1495</v>
      </c>
      <c r="J4179" s="140" t="e">
        <f ca="1">VLOOKUP(D4179,$F$1081:$I$4183,4,FALSE)+COUNTIF(E$1081:E4178,E4179)</f>
        <v>#N/A</v>
      </c>
      <c r="K4179" s="216" t="str">
        <f t="shared" si="308"/>
        <v>SET</v>
      </c>
      <c r="L4179" s="39" t="e">
        <f>IF($C$1074&gt;0,VLOOKUP($C4179,ENTI!$U$4:$AD$1003,10,FALSE),"")</f>
        <v>#N/A</v>
      </c>
      <c r="M4179" s="6">
        <v>9</v>
      </c>
      <c r="N4179" s="230" t="str">
        <f>ENTI!N$5</f>
        <v>SET</v>
      </c>
      <c r="O4179" s="1"/>
    </row>
    <row r="4180" spans="1:15" hidden="1">
      <c r="A4180" s="158">
        <f>IF(ISERROR(VLOOKUP(E$2,ENTI!B$9:B$13,1,FALSE)),0,1)</f>
        <v>0</v>
      </c>
      <c r="B4180" s="139" t="e">
        <f t="shared" ca="1" si="304"/>
        <v>#N/A</v>
      </c>
      <c r="C4180" s="496">
        <f t="shared" si="309"/>
        <v>996</v>
      </c>
      <c r="D4180" s="41">
        <f>IF(A4180=0,0,Presentazione!B219)</f>
        <v>0</v>
      </c>
      <c r="E4180" s="41" t="str">
        <f t="shared" si="306"/>
        <v/>
      </c>
      <c r="F4180" s="41" t="e">
        <f t="shared" ca="1" si="305"/>
        <v>#NUM!</v>
      </c>
      <c r="G4180" s="39" t="str">
        <f t="shared" si="307"/>
        <v>Quota Costi del Condominio mese - OTT</v>
      </c>
      <c r="H4180" s="42" t="e">
        <f ca="1">IF(E4180=0,0,IF($C$1074&gt;0,VLOOKUP(CONCATENATE($F$4185,$E$2),RIPARTIZIONI!$C$37:$R$41,C4180-1482,FALSE)*-1,0))</f>
        <v>#N/A</v>
      </c>
      <c r="I4180" s="642">
        <v>1496</v>
      </c>
      <c r="J4180" s="140" t="e">
        <f ca="1">VLOOKUP(D4180,$F$1081:$I$4183,4,FALSE)+COUNTIF(E$1081:E4179,E4180)</f>
        <v>#N/A</v>
      </c>
      <c r="K4180" s="216" t="str">
        <f t="shared" si="308"/>
        <v>OTT</v>
      </c>
      <c r="L4180" s="39" t="e">
        <f>IF($C$1074&gt;0,VLOOKUP($C4180,ENTI!$U$4:$AD$1003,10,FALSE),"")</f>
        <v>#N/A</v>
      </c>
      <c r="M4180" s="6">
        <v>10</v>
      </c>
      <c r="N4180" s="230" t="str">
        <f>ENTI!O$5</f>
        <v>OTT</v>
      </c>
      <c r="O4180" s="1"/>
    </row>
    <row r="4181" spans="1:15" hidden="1">
      <c r="A4181" s="158">
        <f>IF(ISERROR(VLOOKUP(E$2,ENTI!B$9:B$13,1,FALSE)),0,1)</f>
        <v>0</v>
      </c>
      <c r="B4181" s="139" t="e">
        <f t="shared" ca="1" si="304"/>
        <v>#N/A</v>
      </c>
      <c r="C4181" s="496">
        <f t="shared" si="309"/>
        <v>997</v>
      </c>
      <c r="D4181" s="41">
        <f>IF(A4181=0,0,Presentazione!B220)</f>
        <v>0</v>
      </c>
      <c r="E4181" s="41" t="str">
        <f t="shared" si="306"/>
        <v/>
      </c>
      <c r="F4181" s="41" t="e">
        <f t="shared" ca="1" si="305"/>
        <v>#NUM!</v>
      </c>
      <c r="G4181" s="39" t="str">
        <f t="shared" si="307"/>
        <v>Quota Costi del Condominio mese - NOV</v>
      </c>
      <c r="H4181" s="42" t="e">
        <f ca="1">IF(E4181=0,0,IF($C$1074&gt;0,VLOOKUP(CONCATENATE($F$4185,$E$2),RIPARTIZIONI!$C$37:$R$41,C4181-1482,FALSE)*-1,0))</f>
        <v>#N/A</v>
      </c>
      <c r="I4181" s="642">
        <v>1497</v>
      </c>
      <c r="J4181" s="140" t="e">
        <f ca="1">VLOOKUP(D4181,$F$1081:$I$4183,4,FALSE)+COUNTIF(E$1081:E4180,E4181)</f>
        <v>#N/A</v>
      </c>
      <c r="K4181" s="216" t="str">
        <f t="shared" si="308"/>
        <v>NOV</v>
      </c>
      <c r="L4181" s="39" t="e">
        <f>IF($C$1074&gt;0,VLOOKUP($C4181,ENTI!$U$4:$AD$1003,10,FALSE),"")</f>
        <v>#N/A</v>
      </c>
      <c r="M4181" s="6">
        <v>11</v>
      </c>
      <c r="N4181" s="230" t="str">
        <f>ENTI!P$5</f>
        <v>NOV</v>
      </c>
      <c r="O4181" s="1"/>
    </row>
    <row r="4182" spans="1:15" hidden="1">
      <c r="A4182" s="158">
        <f>IF(ISERROR(VLOOKUP(E$2,ENTI!B$9:B$13,1,FALSE)),0,1)</f>
        <v>0</v>
      </c>
      <c r="B4182" s="141" t="e">
        <f t="shared" ca="1" si="304"/>
        <v>#N/A</v>
      </c>
      <c r="C4182" s="496">
        <f t="shared" si="309"/>
        <v>998</v>
      </c>
      <c r="D4182" s="143">
        <f>IF(A4182=0,0,Presentazione!B221)</f>
        <v>0</v>
      </c>
      <c r="E4182" s="143" t="str">
        <f t="shared" si="306"/>
        <v/>
      </c>
      <c r="F4182" s="143" t="e">
        <f t="shared" ca="1" si="305"/>
        <v>#NUM!</v>
      </c>
      <c r="G4182" s="144" t="str">
        <f t="shared" si="307"/>
        <v>Quota Costi del Condominio mese - DIC</v>
      </c>
      <c r="H4182" s="145" t="e">
        <f ca="1">IF(E4182=0,0,IF($C$1074&gt;0,VLOOKUP(CONCATENATE($F$4185,$E$2),RIPARTIZIONI!$C$37:$R$41,C4182-1482,FALSE)*-1,0))</f>
        <v>#N/A</v>
      </c>
      <c r="I4182" s="643">
        <v>1498</v>
      </c>
      <c r="J4182" s="146" t="e">
        <f ca="1">VLOOKUP(D4182,$F$1081:$I$4183,4,FALSE)+COUNTIF(E$1081:E4181,E4182)</f>
        <v>#N/A</v>
      </c>
      <c r="K4182" s="217" t="str">
        <f t="shared" si="308"/>
        <v>DIC</v>
      </c>
      <c r="L4182" s="39" t="e">
        <f>IF($C$1074&gt;0,VLOOKUP($C4182,ENTI!$U$4:$AD$1003,10,FALSE),"")</f>
        <v>#N/A</v>
      </c>
      <c r="M4182" s="6">
        <v>12</v>
      </c>
      <c r="N4182" s="230" t="str">
        <f>ENTI!Q$5</f>
        <v>DIC</v>
      </c>
      <c r="O4182" s="1"/>
    </row>
    <row r="4183" spans="1:15" hidden="1">
      <c r="A4183" s="1"/>
      <c r="B4183" s="40" t="e">
        <f t="shared" ca="1" si="304"/>
        <v>#N/A</v>
      </c>
      <c r="C4183" s="496">
        <f t="shared" si="309"/>
        <v>999</v>
      </c>
      <c r="D4183" s="41" t="e">
        <f ca="1">IF($C$1076&gt;0,VLOOKUP($C4183,COSTI!$U$4:$Z$1003,3,FALSE),IF($C$1075&gt;0,VLOOKUP($C4183,PATRIMONIALE!$U$4:$Z$1003,3,FALSE),IF($C$1074&gt;0,VLOOKUP($C4183,ENTI!$U$4:$Z$1003,3,FALSE),"")))</f>
        <v>#N/A</v>
      </c>
      <c r="E4183" s="41" t="str">
        <f ca="1">IF(ISERROR(D4183),"",D4183)</f>
        <v/>
      </c>
      <c r="F4183" s="41" t="e">
        <f t="shared" ca="1" si="305"/>
        <v>#NUM!</v>
      </c>
      <c r="G4183" s="39" t="e">
        <f ca="1">IF($C$1076&gt;0,VLOOKUP($C4183,COSTI!$U$4:$Z$1003,5,FALSE),IF($C$1075&gt;0,VLOOKUP($C4183,PATRIMONIALE!$U$4:$Z$1003,5,FALSE),IF($C$1074&gt;0,VLOOKUP($C4183,ENTI!$U$4:$Z$1003,5,FALSE),"")))</f>
        <v>#N/A</v>
      </c>
      <c r="H4183" s="42" t="e">
        <f ca="1">IF($C$1076&gt;0,VLOOKUP($C4183,COSTI!$U$4:$Z$1003,6,FALSE),IF($C$1075&gt;0,VLOOKUP($C4183,PATRIMONIALE!$U$4:$Z$1003,6,FALSE),IF($C$1074&gt;0,VLOOKUP($C4183,ENTI!$U$4:$Z$1003,6,FALSE),0)))</f>
        <v>#N/A</v>
      </c>
      <c r="I4183" s="496">
        <v>1499</v>
      </c>
      <c r="J4183" s="202" t="e">
        <f ca="1">VLOOKUP(D4183,$F$1081:$I$4183,4,FALSE)+COUNTIF(E$1081:E4182,E4183)</f>
        <v>#N/A</v>
      </c>
      <c r="K4183" s="214"/>
      <c r="L4183" s="39" t="e">
        <f>IF($C$1074&gt;0,VLOOKUP($C4183,ENTI!$U$4:$AD$1003,10,FALSE),"")</f>
        <v>#N/A</v>
      </c>
      <c r="M4183" s="1"/>
      <c r="N4183" s="1"/>
      <c r="O4183" s="1"/>
    </row>
    <row r="4184" spans="1:15" hidden="1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</row>
    <row r="4185" spans="1:15" hidden="1">
      <c r="A4185" s="1"/>
      <c r="B4185" s="1"/>
      <c r="C4185" s="44" t="s">
        <v>92</v>
      </c>
      <c r="D4185" s="44">
        <f ca="1">COUNTIF(D1080:D4183,"&gt;0")</f>
        <v>28</v>
      </c>
      <c r="E4185" s="1"/>
      <c r="F4185" s="147" t="str">
        <f>ENTI!C1022</f>
        <v xml:space="preserve">Ripartizione costi </v>
      </c>
      <c r="G4185" s="147" t="s">
        <v>190</v>
      </c>
      <c r="H4185" s="148">
        <f>ENTI!Z1018+1</f>
        <v>13</v>
      </c>
      <c r="I4185" s="39" t="s">
        <v>116</v>
      </c>
      <c r="J4185" s="39" t="s">
        <v>167</v>
      </c>
      <c r="K4185" s="1"/>
      <c r="L4185" s="1"/>
      <c r="M4185" s="1"/>
      <c r="N4185" s="1"/>
      <c r="O4185" s="1"/>
    </row>
    <row r="4186" spans="1:15" hidden="1">
      <c r="A4186" s="1"/>
      <c r="B4186" s="1"/>
      <c r="C4186" s="298"/>
      <c r="D4186" s="298"/>
      <c r="E4186" s="1"/>
      <c r="F4186" s="156"/>
      <c r="G4186" s="156"/>
      <c r="H4186" s="301"/>
      <c r="I4186" s="156"/>
      <c r="J4186" s="156"/>
      <c r="K4186" s="1"/>
      <c r="L4186" s="1"/>
      <c r="M4186" s="1"/>
      <c r="N4186" s="1"/>
      <c r="O4186" s="1"/>
    </row>
    <row r="4187" spans="1:15" hidden="1">
      <c r="A4187" s="1"/>
      <c r="B4187" s="1"/>
      <c r="C4187" s="1"/>
      <c r="D4187" s="1"/>
      <c r="E4187" s="1"/>
      <c r="F4187" s="1"/>
      <c r="G4187" s="156"/>
      <c r="H4187" s="1"/>
      <c r="I4187" s="1"/>
      <c r="J4187" s="1"/>
      <c r="K4187" s="1"/>
      <c r="L4187" s="1"/>
      <c r="M4187" s="1"/>
      <c r="N4187" s="1"/>
      <c r="O4187" s="1"/>
    </row>
    <row r="4188" spans="1:15" hidden="1">
      <c r="A4188" s="1"/>
      <c r="B4188" s="1"/>
      <c r="C4188" s="893" t="s">
        <v>14</v>
      </c>
      <c r="D4188" s="739">
        <v>1</v>
      </c>
      <c r="E4188" s="893" t="s">
        <v>513</v>
      </c>
      <c r="F4188" s="920" t="b">
        <f>Presentazione!$E$181</f>
        <v>1</v>
      </c>
      <c r="G4188" s="893" t="s">
        <v>215</v>
      </c>
      <c r="H4188" s="739">
        <f>Presentazione!$H$181</f>
        <v>1</v>
      </c>
      <c r="I4188" s="893" t="s">
        <v>548</v>
      </c>
      <c r="J4188" s="739" t="b">
        <f>Presentazione!$L$181</f>
        <v>1</v>
      </c>
      <c r="K4188" s="835"/>
      <c r="L4188" s="1"/>
      <c r="M4188" s="1"/>
      <c r="N4188" s="835"/>
      <c r="O4188" s="835"/>
    </row>
    <row r="4189" spans="1:15" hidden="1">
      <c r="A4189" s="835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</row>
    <row r="4190" spans="1:15" hidden="1">
      <c r="A4190" s="1050"/>
      <c r="B4190" s="1051"/>
      <c r="C4190" s="1051"/>
      <c r="D4190" s="1051"/>
      <c r="E4190" s="1051"/>
      <c r="F4190" s="1051"/>
      <c r="G4190" s="1051"/>
      <c r="H4190" s="1051"/>
      <c r="I4190" s="1051"/>
      <c r="J4190" s="1051"/>
      <c r="K4190" s="1051"/>
      <c r="L4190" s="1051"/>
      <c r="M4190" s="1051"/>
      <c r="N4190" s="1051"/>
      <c r="O4190" s="1051"/>
    </row>
    <row r="4191" spans="1:15" ht="16.5" customHeight="1">
      <c r="A4191" s="1050"/>
      <c r="B4191" s="1051"/>
      <c r="C4191" s="1051"/>
      <c r="D4191" s="1599">
        <f ca="1">IF(COUNTIF(B$6:B1005,"[..]")&gt;0,"[..]",0)</f>
        <v>0</v>
      </c>
      <c r="E4191" s="1600">
        <f ca="1">IF(D4191=0,0,"Questo simbolo informa che il record si trova in una data al momento disattivata.")</f>
        <v>0</v>
      </c>
      <c r="F4191" s="1600"/>
      <c r="G4191" s="1600"/>
      <c r="H4191" s="1051"/>
      <c r="I4191" s="1051"/>
      <c r="J4191" s="1051"/>
      <c r="K4191" s="1051"/>
      <c r="L4191" s="1051"/>
      <c r="M4191" s="1051"/>
      <c r="N4191" s="1051"/>
      <c r="O4191" s="1051"/>
    </row>
    <row r="4192" spans="1:15" ht="16.5" customHeight="1">
      <c r="A4192" s="1050"/>
      <c r="B4192" s="1051"/>
      <c r="C4192" s="1051"/>
      <c r="D4192" s="1599"/>
      <c r="E4192" s="1601">
        <f ca="1">IF(D4191=0,0,"Inserisci il tuo codice di proprietà nel foglio Presentazione per attivare definitivamente tutto il file.")</f>
        <v>0</v>
      </c>
      <c r="F4192" s="1601"/>
      <c r="G4192" s="1601"/>
      <c r="H4192" s="1051"/>
      <c r="I4192" s="1051"/>
      <c r="J4192" s="1051"/>
      <c r="K4192" s="1051"/>
      <c r="L4192" s="1051"/>
      <c r="M4192" s="1051"/>
      <c r="N4192" s="1051"/>
      <c r="O4192" s="1051"/>
    </row>
    <row r="4193" spans="1:15" ht="15.75" customHeight="1">
      <c r="A4193" s="835"/>
      <c r="B4193" s="1"/>
      <c r="C4193" s="1"/>
      <c r="D4193" s="1"/>
      <c r="E4193" s="1"/>
      <c r="F4193" s="1"/>
      <c r="G4193" s="1000" t="s">
        <v>537</v>
      </c>
      <c r="H4193" s="1517" t="str">
        <f>PATRIMONIALE!O50</f>
        <v>Totale in sistema</v>
      </c>
      <c r="I4193" s="1518"/>
      <c r="J4193" s="998" t="s">
        <v>364</v>
      </c>
      <c r="K4193" s="1"/>
      <c r="L4193" s="1"/>
      <c r="M4193" s="1"/>
      <c r="N4193" s="1"/>
      <c r="O4193" s="373"/>
    </row>
    <row r="4194" spans="1:15" ht="15.75" customHeight="1">
      <c r="A4194" s="835"/>
      <c r="B4194" s="835"/>
      <c r="C4194" s="835"/>
      <c r="D4194" s="835"/>
      <c r="E4194" s="835"/>
      <c r="F4194" s="835"/>
      <c r="G4194" s="1001" t="s">
        <v>538</v>
      </c>
      <c r="H4194" s="1519" t="str">
        <f>PATRIMONIALE!O51</f>
        <v>Totale in sistema</v>
      </c>
      <c r="I4194" s="1520"/>
      <c r="J4194" s="998" t="s">
        <v>364</v>
      </c>
      <c r="K4194" s="835"/>
      <c r="L4194" s="835"/>
      <c r="M4194" s="835"/>
      <c r="N4194" s="835"/>
      <c r="O4194" s="835"/>
    </row>
    <row r="4195" spans="1:15" ht="15.75" customHeight="1">
      <c r="A4195" s="835"/>
      <c r="B4195" s="835"/>
      <c r="C4195" s="835"/>
      <c r="D4195" s="835"/>
      <c r="E4195" s="835"/>
      <c r="F4195" s="835"/>
      <c r="G4195" s="1000" t="s">
        <v>539</v>
      </c>
      <c r="H4195" s="1541" t="str">
        <f>PATRIMONIALE!O52</f>
        <v>Totale in sistema</v>
      </c>
      <c r="I4195" s="1542"/>
      <c r="J4195" s="998" t="s">
        <v>364</v>
      </c>
      <c r="K4195" s="835"/>
      <c r="L4195" s="835"/>
      <c r="M4195" s="835"/>
      <c r="N4195" s="835"/>
      <c r="O4195" s="835"/>
    </row>
    <row r="4196" spans="1:15">
      <c r="A4196" s="835"/>
      <c r="B4196" s="835"/>
      <c r="C4196" s="835"/>
      <c r="D4196" s="835"/>
      <c r="E4196" s="835"/>
      <c r="F4196" s="835"/>
      <c r="G4196" s="835"/>
      <c r="H4196" s="835"/>
      <c r="I4196" s="835"/>
      <c r="J4196" s="835"/>
      <c r="K4196" s="835"/>
      <c r="L4196" s="835"/>
      <c r="M4196" s="835"/>
      <c r="N4196" s="835"/>
      <c r="O4196" s="835"/>
    </row>
    <row r="4197" spans="1:15">
      <c r="A4197" s="835"/>
      <c r="B4197" s="835"/>
      <c r="C4197" s="835"/>
      <c r="D4197" s="835"/>
      <c r="E4197" s="835"/>
      <c r="F4197" s="835"/>
      <c r="G4197" s="835"/>
      <c r="H4197" s="835"/>
      <c r="I4197" s="835"/>
      <c r="J4197" s="835"/>
      <c r="K4197" s="835"/>
      <c r="L4197" s="835"/>
      <c r="M4197" s="835"/>
      <c r="N4197" s="835"/>
      <c r="O4197" s="1091"/>
    </row>
  </sheetData>
  <sheetProtection algorithmName="SHA-512" hashValue="2SJ2mMYYI9hoTm4jyCqnkimLDvtNmdhtcHgdwqBZKc/E3+f0u6Gt9rbHMwQUwXJUcg+ikJLUhyyAhAr20vRnaQ==" saltValue="I1e63rxtlRrNcEZ0Klj5Ug==" spinCount="100000" sheet="1" objects="1" scenarios="1" selectLockedCells="1" autoFilter="0"/>
  <autoFilter ref="C5:L5">
    <filterColumn colId="6" showButton="0"/>
  </autoFilter>
  <mergeCells count="1017">
    <mergeCell ref="I4:J4"/>
    <mergeCell ref="I5:J5"/>
    <mergeCell ref="I6:J6"/>
    <mergeCell ref="E2:F2"/>
    <mergeCell ref="I2:J2"/>
    <mergeCell ref="D1015:F1015"/>
    <mergeCell ref="D1014:F1014"/>
    <mergeCell ref="I7:J7"/>
    <mergeCell ref="I8:J8"/>
    <mergeCell ref="I9:J9"/>
    <mergeCell ref="I22:J22"/>
    <mergeCell ref="I23:J23"/>
    <mergeCell ref="I24:J24"/>
    <mergeCell ref="I25:J25"/>
    <mergeCell ref="I26:J26"/>
    <mergeCell ref="I27:J27"/>
    <mergeCell ref="I16:J16"/>
    <mergeCell ref="I17:J17"/>
    <mergeCell ref="I18:J18"/>
    <mergeCell ref="I19:J19"/>
    <mergeCell ref="I20:J20"/>
    <mergeCell ref="I21:J21"/>
    <mergeCell ref="I10:J10"/>
    <mergeCell ref="I11:J11"/>
    <mergeCell ref="I12:J12"/>
    <mergeCell ref="I13:J13"/>
    <mergeCell ref="I14:J14"/>
    <mergeCell ref="I15:J15"/>
    <mergeCell ref="I40:J40"/>
    <mergeCell ref="I41:J41"/>
    <mergeCell ref="I42:J42"/>
    <mergeCell ref="I43:J43"/>
    <mergeCell ref="I44:J44"/>
    <mergeCell ref="I45:J45"/>
    <mergeCell ref="I34:J34"/>
    <mergeCell ref="I35:J35"/>
    <mergeCell ref="I36:J36"/>
    <mergeCell ref="I37:J37"/>
    <mergeCell ref="I38:J38"/>
    <mergeCell ref="I39:J39"/>
    <mergeCell ref="I28:J28"/>
    <mergeCell ref="I29:J29"/>
    <mergeCell ref="I30:J30"/>
    <mergeCell ref="I31:J31"/>
    <mergeCell ref="I32:J32"/>
    <mergeCell ref="I33:J33"/>
    <mergeCell ref="I58:J58"/>
    <mergeCell ref="I59:J59"/>
    <mergeCell ref="I60:J60"/>
    <mergeCell ref="I61:J61"/>
    <mergeCell ref="I62:J62"/>
    <mergeCell ref="I63:J63"/>
    <mergeCell ref="I52:J52"/>
    <mergeCell ref="I53:J53"/>
    <mergeCell ref="I54:J54"/>
    <mergeCell ref="I55:J55"/>
    <mergeCell ref="I56:J56"/>
    <mergeCell ref="I57:J57"/>
    <mergeCell ref="I46:J46"/>
    <mergeCell ref="I47:J47"/>
    <mergeCell ref="I48:J48"/>
    <mergeCell ref="I49:J49"/>
    <mergeCell ref="I50:J50"/>
    <mergeCell ref="I51:J51"/>
    <mergeCell ref="I76:J76"/>
    <mergeCell ref="I77:J77"/>
    <mergeCell ref="I82:J82"/>
    <mergeCell ref="I83:J83"/>
    <mergeCell ref="I84:J84"/>
    <mergeCell ref="I85:J85"/>
    <mergeCell ref="I86:J86"/>
    <mergeCell ref="I87:J87"/>
    <mergeCell ref="I78:J78"/>
    <mergeCell ref="I79:J79"/>
    <mergeCell ref="I80:J80"/>
    <mergeCell ref="I81:J81"/>
    <mergeCell ref="I70:J70"/>
    <mergeCell ref="I71:J71"/>
    <mergeCell ref="I72:J72"/>
    <mergeCell ref="I73:J73"/>
    <mergeCell ref="I74:J74"/>
    <mergeCell ref="I75:J75"/>
    <mergeCell ref="I64:J64"/>
    <mergeCell ref="I65:J65"/>
    <mergeCell ref="I66:J66"/>
    <mergeCell ref="I67:J67"/>
    <mergeCell ref="I68:J68"/>
    <mergeCell ref="I69:J69"/>
    <mergeCell ref="I100:J100"/>
    <mergeCell ref="I101:J101"/>
    <mergeCell ref="I102:J102"/>
    <mergeCell ref="I103:J103"/>
    <mergeCell ref="I104:J104"/>
    <mergeCell ref="I105:J105"/>
    <mergeCell ref="I95:J95"/>
    <mergeCell ref="I96:J96"/>
    <mergeCell ref="I97:J97"/>
    <mergeCell ref="I98:J98"/>
    <mergeCell ref="I99:J99"/>
    <mergeCell ref="I88:J88"/>
    <mergeCell ref="I89:J89"/>
    <mergeCell ref="I90:J90"/>
    <mergeCell ref="I91:J91"/>
    <mergeCell ref="I92:J92"/>
    <mergeCell ref="I93:J93"/>
    <mergeCell ref="I94:J94"/>
    <mergeCell ref="I118:J118"/>
    <mergeCell ref="I119:J119"/>
    <mergeCell ref="I120:J120"/>
    <mergeCell ref="I121:J121"/>
    <mergeCell ref="I122:J122"/>
    <mergeCell ref="I123:J123"/>
    <mergeCell ref="I112:J112"/>
    <mergeCell ref="I113:J113"/>
    <mergeCell ref="I114:J114"/>
    <mergeCell ref="I115:J115"/>
    <mergeCell ref="I116:J116"/>
    <mergeCell ref="I117:J117"/>
    <mergeCell ref="I106:J106"/>
    <mergeCell ref="I107:J107"/>
    <mergeCell ref="I108:J108"/>
    <mergeCell ref="I109:J109"/>
    <mergeCell ref="I110:J110"/>
    <mergeCell ref="I111:J111"/>
    <mergeCell ref="I136:J136"/>
    <mergeCell ref="I137:J137"/>
    <mergeCell ref="I138:J138"/>
    <mergeCell ref="I139:J139"/>
    <mergeCell ref="I140:J140"/>
    <mergeCell ref="I141:J141"/>
    <mergeCell ref="I130:J130"/>
    <mergeCell ref="I131:J131"/>
    <mergeCell ref="I132:J132"/>
    <mergeCell ref="I133:J133"/>
    <mergeCell ref="I134:J134"/>
    <mergeCell ref="I135:J135"/>
    <mergeCell ref="I124:J124"/>
    <mergeCell ref="I125:J125"/>
    <mergeCell ref="I126:J126"/>
    <mergeCell ref="I127:J127"/>
    <mergeCell ref="I128:J128"/>
    <mergeCell ref="I129:J129"/>
    <mergeCell ref="I154:J154"/>
    <mergeCell ref="I155:J155"/>
    <mergeCell ref="I156:J156"/>
    <mergeCell ref="I157:J157"/>
    <mergeCell ref="I158:J158"/>
    <mergeCell ref="I159:J159"/>
    <mergeCell ref="I148:J148"/>
    <mergeCell ref="I149:J149"/>
    <mergeCell ref="I150:J150"/>
    <mergeCell ref="I151:J151"/>
    <mergeCell ref="I152:J152"/>
    <mergeCell ref="I153:J153"/>
    <mergeCell ref="I142:J142"/>
    <mergeCell ref="I143:J143"/>
    <mergeCell ref="I144:J144"/>
    <mergeCell ref="I145:J145"/>
    <mergeCell ref="I146:J146"/>
    <mergeCell ref="I147:J147"/>
    <mergeCell ref="I172:J172"/>
    <mergeCell ref="I173:J173"/>
    <mergeCell ref="I174:J174"/>
    <mergeCell ref="I175:J175"/>
    <mergeCell ref="I176:J176"/>
    <mergeCell ref="I177:J177"/>
    <mergeCell ref="I166:J166"/>
    <mergeCell ref="I167:J167"/>
    <mergeCell ref="I168:J168"/>
    <mergeCell ref="I169:J169"/>
    <mergeCell ref="I170:J170"/>
    <mergeCell ref="I171:J171"/>
    <mergeCell ref="I160:J160"/>
    <mergeCell ref="I161:J161"/>
    <mergeCell ref="I162:J162"/>
    <mergeCell ref="I163:J163"/>
    <mergeCell ref="I164:J164"/>
    <mergeCell ref="I165:J165"/>
    <mergeCell ref="I190:J190"/>
    <mergeCell ref="I191:J191"/>
    <mergeCell ref="I198:J198"/>
    <mergeCell ref="I199:J199"/>
    <mergeCell ref="I192:J192"/>
    <mergeCell ref="I193:J193"/>
    <mergeCell ref="I194:J194"/>
    <mergeCell ref="I184:J184"/>
    <mergeCell ref="I185:J185"/>
    <mergeCell ref="I195:J195"/>
    <mergeCell ref="I196:J196"/>
    <mergeCell ref="I197:J197"/>
    <mergeCell ref="I186:J186"/>
    <mergeCell ref="I187:J187"/>
    <mergeCell ref="I188:J188"/>
    <mergeCell ref="I189:J189"/>
    <mergeCell ref="I178:J178"/>
    <mergeCell ref="I179:J179"/>
    <mergeCell ref="I180:J180"/>
    <mergeCell ref="I181:J181"/>
    <mergeCell ref="I182:J182"/>
    <mergeCell ref="I183:J183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0:J200"/>
    <mergeCell ref="I201:J201"/>
    <mergeCell ref="I202:J202"/>
    <mergeCell ref="I203:J203"/>
    <mergeCell ref="I207:J207"/>
    <mergeCell ref="I208:J208"/>
    <mergeCell ref="I204:J204"/>
    <mergeCell ref="I205:J205"/>
    <mergeCell ref="I206:J206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32:J232"/>
    <mergeCell ref="I221:J221"/>
    <mergeCell ref="I222:J222"/>
    <mergeCell ref="I223:J223"/>
    <mergeCell ref="I224:J224"/>
    <mergeCell ref="I225:J225"/>
    <mergeCell ref="I226:J226"/>
    <mergeCell ref="I251:J251"/>
    <mergeCell ref="I252:J252"/>
    <mergeCell ref="I253:J253"/>
    <mergeCell ref="I254:J254"/>
    <mergeCell ref="I255:J255"/>
    <mergeCell ref="I256:J256"/>
    <mergeCell ref="I245:J245"/>
    <mergeCell ref="I246:J246"/>
    <mergeCell ref="I247:J247"/>
    <mergeCell ref="I248:J248"/>
    <mergeCell ref="I249:J249"/>
    <mergeCell ref="I250:J250"/>
    <mergeCell ref="I239:J239"/>
    <mergeCell ref="I240:J240"/>
    <mergeCell ref="I241:J241"/>
    <mergeCell ref="I242:J242"/>
    <mergeCell ref="I243:J243"/>
    <mergeCell ref="I244:J244"/>
    <mergeCell ref="I269:J269"/>
    <mergeCell ref="I270:J270"/>
    <mergeCell ref="I271:J271"/>
    <mergeCell ref="I272:J272"/>
    <mergeCell ref="I273:J273"/>
    <mergeCell ref="I274:J274"/>
    <mergeCell ref="I263:J263"/>
    <mergeCell ref="I264:J264"/>
    <mergeCell ref="I265:J265"/>
    <mergeCell ref="I266:J266"/>
    <mergeCell ref="I267:J267"/>
    <mergeCell ref="I268:J268"/>
    <mergeCell ref="I257:J257"/>
    <mergeCell ref="I258:J258"/>
    <mergeCell ref="I259:J259"/>
    <mergeCell ref="I260:J260"/>
    <mergeCell ref="I261:J261"/>
    <mergeCell ref="I262:J262"/>
    <mergeCell ref="I287:J287"/>
    <mergeCell ref="I288:J288"/>
    <mergeCell ref="I289:J289"/>
    <mergeCell ref="I290:J290"/>
    <mergeCell ref="I291:J291"/>
    <mergeCell ref="I292:J292"/>
    <mergeCell ref="I281:J281"/>
    <mergeCell ref="I282:J282"/>
    <mergeCell ref="I283:J283"/>
    <mergeCell ref="I284:J284"/>
    <mergeCell ref="I285:J285"/>
    <mergeCell ref="I286:J286"/>
    <mergeCell ref="I275:J275"/>
    <mergeCell ref="I276:J276"/>
    <mergeCell ref="I277:J277"/>
    <mergeCell ref="I278:J278"/>
    <mergeCell ref="I279:J279"/>
    <mergeCell ref="I280:J280"/>
    <mergeCell ref="I305:J305"/>
    <mergeCell ref="I306:J306"/>
    <mergeCell ref="I307:J307"/>
    <mergeCell ref="I308:J308"/>
    <mergeCell ref="I309:J309"/>
    <mergeCell ref="I310:J310"/>
    <mergeCell ref="I299:J299"/>
    <mergeCell ref="I300:J300"/>
    <mergeCell ref="I301:J301"/>
    <mergeCell ref="I302:J302"/>
    <mergeCell ref="I303:J303"/>
    <mergeCell ref="I304:J304"/>
    <mergeCell ref="I293:J293"/>
    <mergeCell ref="I294:J294"/>
    <mergeCell ref="I295:J295"/>
    <mergeCell ref="I296:J296"/>
    <mergeCell ref="I297:J297"/>
    <mergeCell ref="I298:J298"/>
    <mergeCell ref="I323:J323"/>
    <mergeCell ref="I324:J324"/>
    <mergeCell ref="I325:J325"/>
    <mergeCell ref="I326:J326"/>
    <mergeCell ref="I327:J327"/>
    <mergeCell ref="I328:J328"/>
    <mergeCell ref="I317:J317"/>
    <mergeCell ref="I318:J318"/>
    <mergeCell ref="I319:J319"/>
    <mergeCell ref="I320:J320"/>
    <mergeCell ref="I321:J321"/>
    <mergeCell ref="I322:J322"/>
    <mergeCell ref="I311:J311"/>
    <mergeCell ref="I312:J312"/>
    <mergeCell ref="I313:J313"/>
    <mergeCell ref="I314:J314"/>
    <mergeCell ref="I315:J315"/>
    <mergeCell ref="I316:J316"/>
    <mergeCell ref="I341:J341"/>
    <mergeCell ref="I342:J342"/>
    <mergeCell ref="I343:J343"/>
    <mergeCell ref="I344:J344"/>
    <mergeCell ref="I345:J345"/>
    <mergeCell ref="I346:J346"/>
    <mergeCell ref="I335:J335"/>
    <mergeCell ref="I336:J336"/>
    <mergeCell ref="I337:J337"/>
    <mergeCell ref="I338:J338"/>
    <mergeCell ref="I339:J339"/>
    <mergeCell ref="I340:J340"/>
    <mergeCell ref="I329:J329"/>
    <mergeCell ref="I330:J330"/>
    <mergeCell ref="I331:J331"/>
    <mergeCell ref="I332:J332"/>
    <mergeCell ref="I333:J333"/>
    <mergeCell ref="I334:J334"/>
    <mergeCell ref="I359:J359"/>
    <mergeCell ref="I360:J360"/>
    <mergeCell ref="I361:J361"/>
    <mergeCell ref="I362:J362"/>
    <mergeCell ref="I363:J363"/>
    <mergeCell ref="I364:J364"/>
    <mergeCell ref="I353:J353"/>
    <mergeCell ref="I354:J354"/>
    <mergeCell ref="I355:J355"/>
    <mergeCell ref="I356:J356"/>
    <mergeCell ref="I357:J357"/>
    <mergeCell ref="I358:J358"/>
    <mergeCell ref="I347:J347"/>
    <mergeCell ref="I348:J348"/>
    <mergeCell ref="I349:J349"/>
    <mergeCell ref="I350:J350"/>
    <mergeCell ref="I351:J351"/>
    <mergeCell ref="I352:J352"/>
    <mergeCell ref="I377:J377"/>
    <mergeCell ref="I378:J378"/>
    <mergeCell ref="I379:J379"/>
    <mergeCell ref="I380:J380"/>
    <mergeCell ref="I381:J381"/>
    <mergeCell ref="I382:J382"/>
    <mergeCell ref="I371:J371"/>
    <mergeCell ref="I372:J372"/>
    <mergeCell ref="I373:J373"/>
    <mergeCell ref="I374:J374"/>
    <mergeCell ref="I375:J375"/>
    <mergeCell ref="I376:J376"/>
    <mergeCell ref="I365:J365"/>
    <mergeCell ref="I366:J366"/>
    <mergeCell ref="I367:J367"/>
    <mergeCell ref="I368:J368"/>
    <mergeCell ref="I369:J369"/>
    <mergeCell ref="I370:J370"/>
    <mergeCell ref="I395:J395"/>
    <mergeCell ref="I396:J396"/>
    <mergeCell ref="I397:J397"/>
    <mergeCell ref="I398:J398"/>
    <mergeCell ref="I399:J399"/>
    <mergeCell ref="I400:J400"/>
    <mergeCell ref="I389:J389"/>
    <mergeCell ref="I390:J390"/>
    <mergeCell ref="I391:J391"/>
    <mergeCell ref="I392:J392"/>
    <mergeCell ref="I393:J393"/>
    <mergeCell ref="I394:J394"/>
    <mergeCell ref="I383:J383"/>
    <mergeCell ref="I384:J384"/>
    <mergeCell ref="I385:J385"/>
    <mergeCell ref="I386:J386"/>
    <mergeCell ref="I387:J387"/>
    <mergeCell ref="I388:J388"/>
    <mergeCell ref="I413:J413"/>
    <mergeCell ref="I414:J414"/>
    <mergeCell ref="I415:J415"/>
    <mergeCell ref="I416:J416"/>
    <mergeCell ref="I417:J417"/>
    <mergeCell ref="I418:J418"/>
    <mergeCell ref="I407:J407"/>
    <mergeCell ref="I408:J408"/>
    <mergeCell ref="I409:J409"/>
    <mergeCell ref="I410:J410"/>
    <mergeCell ref="I411:J411"/>
    <mergeCell ref="I412:J412"/>
    <mergeCell ref="I401:J401"/>
    <mergeCell ref="I402:J402"/>
    <mergeCell ref="I403:J403"/>
    <mergeCell ref="I404:J404"/>
    <mergeCell ref="I405:J405"/>
    <mergeCell ref="I406:J406"/>
    <mergeCell ref="I431:J431"/>
    <mergeCell ref="I432:J432"/>
    <mergeCell ref="I433:J433"/>
    <mergeCell ref="I434:J434"/>
    <mergeCell ref="I435:J435"/>
    <mergeCell ref="I436:J436"/>
    <mergeCell ref="I425:J425"/>
    <mergeCell ref="I426:J426"/>
    <mergeCell ref="I427:J427"/>
    <mergeCell ref="I428:J428"/>
    <mergeCell ref="I429:J429"/>
    <mergeCell ref="I430:J430"/>
    <mergeCell ref="I419:J419"/>
    <mergeCell ref="I420:J420"/>
    <mergeCell ref="I421:J421"/>
    <mergeCell ref="I422:J422"/>
    <mergeCell ref="I423:J423"/>
    <mergeCell ref="I424:J424"/>
    <mergeCell ref="I449:J449"/>
    <mergeCell ref="I450:J450"/>
    <mergeCell ref="I451:J451"/>
    <mergeCell ref="I452:J452"/>
    <mergeCell ref="I453:J453"/>
    <mergeCell ref="I454:J454"/>
    <mergeCell ref="I443:J443"/>
    <mergeCell ref="I444:J444"/>
    <mergeCell ref="I445:J445"/>
    <mergeCell ref="I446:J446"/>
    <mergeCell ref="I447:J447"/>
    <mergeCell ref="I448:J448"/>
    <mergeCell ref="I437:J437"/>
    <mergeCell ref="I438:J438"/>
    <mergeCell ref="I439:J439"/>
    <mergeCell ref="I440:J440"/>
    <mergeCell ref="I441:J441"/>
    <mergeCell ref="I442:J442"/>
    <mergeCell ref="I467:J467"/>
    <mergeCell ref="I468:J468"/>
    <mergeCell ref="I469:J469"/>
    <mergeCell ref="I470:J470"/>
    <mergeCell ref="I471:J471"/>
    <mergeCell ref="I472:J472"/>
    <mergeCell ref="I461:J461"/>
    <mergeCell ref="I462:J462"/>
    <mergeCell ref="I463:J463"/>
    <mergeCell ref="I464:J464"/>
    <mergeCell ref="I465:J465"/>
    <mergeCell ref="I466:J466"/>
    <mergeCell ref="I455:J455"/>
    <mergeCell ref="I456:J456"/>
    <mergeCell ref="I457:J457"/>
    <mergeCell ref="I458:J458"/>
    <mergeCell ref="I459:J459"/>
    <mergeCell ref="I460:J460"/>
    <mergeCell ref="I485:J485"/>
    <mergeCell ref="I486:J486"/>
    <mergeCell ref="I487:J487"/>
    <mergeCell ref="I488:J488"/>
    <mergeCell ref="I489:J489"/>
    <mergeCell ref="I490:J490"/>
    <mergeCell ref="I479:J479"/>
    <mergeCell ref="I480:J480"/>
    <mergeCell ref="I481:J481"/>
    <mergeCell ref="I482:J482"/>
    <mergeCell ref="I483:J483"/>
    <mergeCell ref="I484:J484"/>
    <mergeCell ref="I473:J473"/>
    <mergeCell ref="I474:J474"/>
    <mergeCell ref="I475:J475"/>
    <mergeCell ref="I476:J476"/>
    <mergeCell ref="I477:J477"/>
    <mergeCell ref="I478:J478"/>
    <mergeCell ref="I503:J503"/>
    <mergeCell ref="I504:J504"/>
    <mergeCell ref="I505:J505"/>
    <mergeCell ref="I506:J506"/>
    <mergeCell ref="I507:J507"/>
    <mergeCell ref="I508:J508"/>
    <mergeCell ref="I497:J497"/>
    <mergeCell ref="I498:J498"/>
    <mergeCell ref="I499:J499"/>
    <mergeCell ref="I500:J500"/>
    <mergeCell ref="I501:J501"/>
    <mergeCell ref="I502:J502"/>
    <mergeCell ref="I491:J491"/>
    <mergeCell ref="I492:J492"/>
    <mergeCell ref="I493:J493"/>
    <mergeCell ref="I494:J494"/>
    <mergeCell ref="I495:J495"/>
    <mergeCell ref="I496:J496"/>
    <mergeCell ref="I521:J521"/>
    <mergeCell ref="I522:J522"/>
    <mergeCell ref="I523:J523"/>
    <mergeCell ref="I524:J524"/>
    <mergeCell ref="I525:J525"/>
    <mergeCell ref="I526:J526"/>
    <mergeCell ref="I515:J515"/>
    <mergeCell ref="I516:J516"/>
    <mergeCell ref="I517:J517"/>
    <mergeCell ref="I518:J518"/>
    <mergeCell ref="I519:J519"/>
    <mergeCell ref="I520:J520"/>
    <mergeCell ref="I509:J509"/>
    <mergeCell ref="I510:J510"/>
    <mergeCell ref="I511:J511"/>
    <mergeCell ref="I512:J512"/>
    <mergeCell ref="I513:J513"/>
    <mergeCell ref="I514:J514"/>
    <mergeCell ref="I539:J539"/>
    <mergeCell ref="I540:J540"/>
    <mergeCell ref="I541:J541"/>
    <mergeCell ref="I542:J542"/>
    <mergeCell ref="I543:J543"/>
    <mergeCell ref="I544:J544"/>
    <mergeCell ref="I533:J533"/>
    <mergeCell ref="I534:J534"/>
    <mergeCell ref="I535:J535"/>
    <mergeCell ref="I536:J536"/>
    <mergeCell ref="I537:J537"/>
    <mergeCell ref="I538:J538"/>
    <mergeCell ref="I527:J527"/>
    <mergeCell ref="I528:J528"/>
    <mergeCell ref="I529:J529"/>
    <mergeCell ref="I530:J530"/>
    <mergeCell ref="I531:J531"/>
    <mergeCell ref="I532:J532"/>
    <mergeCell ref="I557:J557"/>
    <mergeCell ref="I558:J558"/>
    <mergeCell ref="I559:J559"/>
    <mergeCell ref="I560:J560"/>
    <mergeCell ref="I561:J561"/>
    <mergeCell ref="I562:J562"/>
    <mergeCell ref="I551:J551"/>
    <mergeCell ref="I552:J552"/>
    <mergeCell ref="I553:J553"/>
    <mergeCell ref="I554:J554"/>
    <mergeCell ref="I555:J555"/>
    <mergeCell ref="I556:J556"/>
    <mergeCell ref="I545:J545"/>
    <mergeCell ref="I546:J546"/>
    <mergeCell ref="I547:J547"/>
    <mergeCell ref="I548:J548"/>
    <mergeCell ref="I549:J549"/>
    <mergeCell ref="I550:J550"/>
    <mergeCell ref="I575:J575"/>
    <mergeCell ref="I576:J576"/>
    <mergeCell ref="I577:J577"/>
    <mergeCell ref="I578:J578"/>
    <mergeCell ref="I579:J579"/>
    <mergeCell ref="I580:J580"/>
    <mergeCell ref="I569:J569"/>
    <mergeCell ref="I570:J570"/>
    <mergeCell ref="I571:J571"/>
    <mergeCell ref="I572:J572"/>
    <mergeCell ref="I573:J573"/>
    <mergeCell ref="I574:J574"/>
    <mergeCell ref="I563:J563"/>
    <mergeCell ref="I564:J564"/>
    <mergeCell ref="I565:J565"/>
    <mergeCell ref="I566:J566"/>
    <mergeCell ref="I567:J567"/>
    <mergeCell ref="I568:J568"/>
    <mergeCell ref="I593:J593"/>
    <mergeCell ref="I594:J594"/>
    <mergeCell ref="I595:J595"/>
    <mergeCell ref="I596:J596"/>
    <mergeCell ref="I597:J597"/>
    <mergeCell ref="I598:J598"/>
    <mergeCell ref="I587:J587"/>
    <mergeCell ref="I588:J588"/>
    <mergeCell ref="I589:J589"/>
    <mergeCell ref="I590:J590"/>
    <mergeCell ref="I591:J591"/>
    <mergeCell ref="I592:J592"/>
    <mergeCell ref="I581:J581"/>
    <mergeCell ref="I582:J582"/>
    <mergeCell ref="I583:J583"/>
    <mergeCell ref="I584:J584"/>
    <mergeCell ref="I585:J585"/>
    <mergeCell ref="I586:J586"/>
    <mergeCell ref="I611:J611"/>
    <mergeCell ref="I612:J612"/>
    <mergeCell ref="I613:J613"/>
    <mergeCell ref="I614:J614"/>
    <mergeCell ref="I615:J615"/>
    <mergeCell ref="I616:J616"/>
    <mergeCell ref="I605:J605"/>
    <mergeCell ref="I606:J606"/>
    <mergeCell ref="I607:J607"/>
    <mergeCell ref="I608:J608"/>
    <mergeCell ref="I609:J609"/>
    <mergeCell ref="I610:J610"/>
    <mergeCell ref="I599:J599"/>
    <mergeCell ref="I600:J600"/>
    <mergeCell ref="I601:J601"/>
    <mergeCell ref="I602:J602"/>
    <mergeCell ref="I603:J603"/>
    <mergeCell ref="I604:J604"/>
    <mergeCell ref="I629:J629"/>
    <mergeCell ref="I630:J630"/>
    <mergeCell ref="I631:J631"/>
    <mergeCell ref="I632:J632"/>
    <mergeCell ref="I633:J633"/>
    <mergeCell ref="I634:J634"/>
    <mergeCell ref="I623:J623"/>
    <mergeCell ref="I624:J624"/>
    <mergeCell ref="I625:J625"/>
    <mergeCell ref="I626:J626"/>
    <mergeCell ref="I627:J627"/>
    <mergeCell ref="I628:J628"/>
    <mergeCell ref="I617:J617"/>
    <mergeCell ref="I618:J618"/>
    <mergeCell ref="I619:J619"/>
    <mergeCell ref="I620:J620"/>
    <mergeCell ref="I621:J621"/>
    <mergeCell ref="I622:J622"/>
    <mergeCell ref="I647:J647"/>
    <mergeCell ref="I648:J648"/>
    <mergeCell ref="I649:J649"/>
    <mergeCell ref="I650:J650"/>
    <mergeCell ref="I651:J651"/>
    <mergeCell ref="I652:J652"/>
    <mergeCell ref="I641:J641"/>
    <mergeCell ref="I642:J642"/>
    <mergeCell ref="I643:J643"/>
    <mergeCell ref="I644:J644"/>
    <mergeCell ref="I645:J645"/>
    <mergeCell ref="I646:J646"/>
    <mergeCell ref="I635:J635"/>
    <mergeCell ref="I636:J636"/>
    <mergeCell ref="I637:J637"/>
    <mergeCell ref="I638:J638"/>
    <mergeCell ref="I639:J639"/>
    <mergeCell ref="I640:J640"/>
    <mergeCell ref="I665:J665"/>
    <mergeCell ref="I666:J666"/>
    <mergeCell ref="I667:J667"/>
    <mergeCell ref="I668:J668"/>
    <mergeCell ref="I669:J669"/>
    <mergeCell ref="I670:J670"/>
    <mergeCell ref="I659:J659"/>
    <mergeCell ref="I660:J660"/>
    <mergeCell ref="I661:J661"/>
    <mergeCell ref="I662:J662"/>
    <mergeCell ref="I663:J663"/>
    <mergeCell ref="I664:J664"/>
    <mergeCell ref="I653:J653"/>
    <mergeCell ref="I654:J654"/>
    <mergeCell ref="I655:J655"/>
    <mergeCell ref="I656:J656"/>
    <mergeCell ref="I657:J657"/>
    <mergeCell ref="I658:J658"/>
    <mergeCell ref="I683:J683"/>
    <mergeCell ref="I684:J684"/>
    <mergeCell ref="I685:J685"/>
    <mergeCell ref="I686:J686"/>
    <mergeCell ref="I687:J687"/>
    <mergeCell ref="I688:J688"/>
    <mergeCell ref="I677:J677"/>
    <mergeCell ref="I678:J678"/>
    <mergeCell ref="I679:J679"/>
    <mergeCell ref="I680:J680"/>
    <mergeCell ref="I681:J681"/>
    <mergeCell ref="I682:J682"/>
    <mergeCell ref="I671:J671"/>
    <mergeCell ref="I672:J672"/>
    <mergeCell ref="I673:J673"/>
    <mergeCell ref="I674:J674"/>
    <mergeCell ref="I675:J675"/>
    <mergeCell ref="I676:J676"/>
    <mergeCell ref="I701:J701"/>
    <mergeCell ref="I702:J702"/>
    <mergeCell ref="I703:J703"/>
    <mergeCell ref="I704:J704"/>
    <mergeCell ref="I705:J705"/>
    <mergeCell ref="I706:J706"/>
    <mergeCell ref="I695:J695"/>
    <mergeCell ref="I696:J696"/>
    <mergeCell ref="I697:J697"/>
    <mergeCell ref="I698:J698"/>
    <mergeCell ref="I699:J699"/>
    <mergeCell ref="I700:J700"/>
    <mergeCell ref="I689:J689"/>
    <mergeCell ref="I690:J690"/>
    <mergeCell ref="I691:J691"/>
    <mergeCell ref="I692:J692"/>
    <mergeCell ref="I693:J693"/>
    <mergeCell ref="I694:J694"/>
    <mergeCell ref="I719:J719"/>
    <mergeCell ref="I720:J720"/>
    <mergeCell ref="I721:J721"/>
    <mergeCell ref="I722:J722"/>
    <mergeCell ref="I723:J723"/>
    <mergeCell ref="I724:J724"/>
    <mergeCell ref="I713:J713"/>
    <mergeCell ref="I714:J714"/>
    <mergeCell ref="I715:J715"/>
    <mergeCell ref="I716:J716"/>
    <mergeCell ref="I717:J717"/>
    <mergeCell ref="I718:J718"/>
    <mergeCell ref="I707:J707"/>
    <mergeCell ref="I708:J708"/>
    <mergeCell ref="I709:J709"/>
    <mergeCell ref="I710:J710"/>
    <mergeCell ref="I711:J711"/>
    <mergeCell ref="I712:J712"/>
    <mergeCell ref="I737:J737"/>
    <mergeCell ref="I738:J738"/>
    <mergeCell ref="I739:J739"/>
    <mergeCell ref="I740:J740"/>
    <mergeCell ref="I741:J741"/>
    <mergeCell ref="I742:J742"/>
    <mergeCell ref="I731:J731"/>
    <mergeCell ref="I732:J732"/>
    <mergeCell ref="I733:J733"/>
    <mergeCell ref="I734:J734"/>
    <mergeCell ref="I735:J735"/>
    <mergeCell ref="I736:J736"/>
    <mergeCell ref="I725:J725"/>
    <mergeCell ref="I726:J726"/>
    <mergeCell ref="I727:J727"/>
    <mergeCell ref="I728:J728"/>
    <mergeCell ref="I729:J729"/>
    <mergeCell ref="I730:J730"/>
    <mergeCell ref="I755:J755"/>
    <mergeCell ref="I756:J756"/>
    <mergeCell ref="I757:J757"/>
    <mergeCell ref="I758:J758"/>
    <mergeCell ref="I759:J759"/>
    <mergeCell ref="I760:J760"/>
    <mergeCell ref="I749:J749"/>
    <mergeCell ref="I750:J750"/>
    <mergeCell ref="I751:J751"/>
    <mergeCell ref="I752:J752"/>
    <mergeCell ref="I753:J753"/>
    <mergeCell ref="I754:J754"/>
    <mergeCell ref="I743:J743"/>
    <mergeCell ref="I744:J744"/>
    <mergeCell ref="I745:J745"/>
    <mergeCell ref="I746:J746"/>
    <mergeCell ref="I747:J747"/>
    <mergeCell ref="I748:J748"/>
    <mergeCell ref="I773:J773"/>
    <mergeCell ref="I774:J774"/>
    <mergeCell ref="I775:J775"/>
    <mergeCell ref="I776:J776"/>
    <mergeCell ref="I777:J777"/>
    <mergeCell ref="I778:J778"/>
    <mergeCell ref="I767:J767"/>
    <mergeCell ref="I768:J768"/>
    <mergeCell ref="I769:J769"/>
    <mergeCell ref="I770:J770"/>
    <mergeCell ref="I771:J771"/>
    <mergeCell ref="I772:J772"/>
    <mergeCell ref="I761:J761"/>
    <mergeCell ref="I762:J762"/>
    <mergeCell ref="I763:J763"/>
    <mergeCell ref="I764:J764"/>
    <mergeCell ref="I765:J765"/>
    <mergeCell ref="I766:J766"/>
    <mergeCell ref="I791:J791"/>
    <mergeCell ref="I792:J792"/>
    <mergeCell ref="I793:J793"/>
    <mergeCell ref="I794:J794"/>
    <mergeCell ref="I795:J795"/>
    <mergeCell ref="I796:J796"/>
    <mergeCell ref="I785:J785"/>
    <mergeCell ref="I786:J786"/>
    <mergeCell ref="I787:J787"/>
    <mergeCell ref="I788:J788"/>
    <mergeCell ref="I789:J789"/>
    <mergeCell ref="I790:J790"/>
    <mergeCell ref="I779:J779"/>
    <mergeCell ref="I780:J780"/>
    <mergeCell ref="I781:J781"/>
    <mergeCell ref="I782:J782"/>
    <mergeCell ref="I783:J783"/>
    <mergeCell ref="I784:J784"/>
    <mergeCell ref="I809:J809"/>
    <mergeCell ref="I810:J810"/>
    <mergeCell ref="I811:J811"/>
    <mergeCell ref="I812:J812"/>
    <mergeCell ref="I813:J813"/>
    <mergeCell ref="I814:J814"/>
    <mergeCell ref="I803:J803"/>
    <mergeCell ref="I804:J804"/>
    <mergeCell ref="I805:J805"/>
    <mergeCell ref="I806:J806"/>
    <mergeCell ref="I807:J807"/>
    <mergeCell ref="I808:J808"/>
    <mergeCell ref="I797:J797"/>
    <mergeCell ref="I798:J798"/>
    <mergeCell ref="I799:J799"/>
    <mergeCell ref="I800:J800"/>
    <mergeCell ref="I801:J801"/>
    <mergeCell ref="I802:J802"/>
    <mergeCell ref="I827:J827"/>
    <mergeCell ref="I828:J828"/>
    <mergeCell ref="I829:J829"/>
    <mergeCell ref="I830:J830"/>
    <mergeCell ref="I831:J831"/>
    <mergeCell ref="I832:J832"/>
    <mergeCell ref="I821:J821"/>
    <mergeCell ref="I822:J822"/>
    <mergeCell ref="I823:J823"/>
    <mergeCell ref="I824:J824"/>
    <mergeCell ref="I825:J825"/>
    <mergeCell ref="I826:J826"/>
    <mergeCell ref="I815:J815"/>
    <mergeCell ref="I816:J816"/>
    <mergeCell ref="I817:J817"/>
    <mergeCell ref="I818:J818"/>
    <mergeCell ref="I819:J819"/>
    <mergeCell ref="I820:J820"/>
    <mergeCell ref="I845:J845"/>
    <mergeCell ref="I846:J846"/>
    <mergeCell ref="I847:J847"/>
    <mergeCell ref="I848:J848"/>
    <mergeCell ref="I849:J849"/>
    <mergeCell ref="I850:J850"/>
    <mergeCell ref="I839:J839"/>
    <mergeCell ref="I840:J840"/>
    <mergeCell ref="I841:J841"/>
    <mergeCell ref="I842:J842"/>
    <mergeCell ref="I843:J843"/>
    <mergeCell ref="I844:J844"/>
    <mergeCell ref="I833:J833"/>
    <mergeCell ref="I834:J834"/>
    <mergeCell ref="I835:J835"/>
    <mergeCell ref="I836:J836"/>
    <mergeCell ref="I837:J837"/>
    <mergeCell ref="I838:J838"/>
    <mergeCell ref="I863:J863"/>
    <mergeCell ref="I864:J864"/>
    <mergeCell ref="I865:J865"/>
    <mergeCell ref="I866:J866"/>
    <mergeCell ref="I867:J867"/>
    <mergeCell ref="I868:J868"/>
    <mergeCell ref="I857:J857"/>
    <mergeCell ref="I858:J858"/>
    <mergeCell ref="I859:J859"/>
    <mergeCell ref="I860:J860"/>
    <mergeCell ref="I861:J861"/>
    <mergeCell ref="I862:J862"/>
    <mergeCell ref="I851:J851"/>
    <mergeCell ref="I852:J852"/>
    <mergeCell ref="I853:J853"/>
    <mergeCell ref="I854:J854"/>
    <mergeCell ref="I855:J855"/>
    <mergeCell ref="I856:J856"/>
    <mergeCell ref="I881:J881"/>
    <mergeCell ref="I882:J882"/>
    <mergeCell ref="I883:J883"/>
    <mergeCell ref="I884:J884"/>
    <mergeCell ref="I885:J885"/>
    <mergeCell ref="I886:J886"/>
    <mergeCell ref="I875:J875"/>
    <mergeCell ref="I876:J876"/>
    <mergeCell ref="I877:J877"/>
    <mergeCell ref="I878:J878"/>
    <mergeCell ref="I879:J879"/>
    <mergeCell ref="I880:J880"/>
    <mergeCell ref="I869:J869"/>
    <mergeCell ref="I870:J870"/>
    <mergeCell ref="I871:J871"/>
    <mergeCell ref="I872:J872"/>
    <mergeCell ref="I873:J873"/>
    <mergeCell ref="I874:J874"/>
    <mergeCell ref="I899:J899"/>
    <mergeCell ref="I900:J900"/>
    <mergeCell ref="I901:J901"/>
    <mergeCell ref="I902:J902"/>
    <mergeCell ref="I903:J903"/>
    <mergeCell ref="I904:J904"/>
    <mergeCell ref="I893:J893"/>
    <mergeCell ref="I894:J894"/>
    <mergeCell ref="I895:J895"/>
    <mergeCell ref="I896:J896"/>
    <mergeCell ref="I897:J897"/>
    <mergeCell ref="I898:J898"/>
    <mergeCell ref="I887:J887"/>
    <mergeCell ref="I888:J888"/>
    <mergeCell ref="I889:J889"/>
    <mergeCell ref="I890:J890"/>
    <mergeCell ref="I891:J891"/>
    <mergeCell ref="I892:J892"/>
    <mergeCell ref="I917:J917"/>
    <mergeCell ref="I918:J918"/>
    <mergeCell ref="I919:J919"/>
    <mergeCell ref="I920:J920"/>
    <mergeCell ref="I921:J921"/>
    <mergeCell ref="I922:J922"/>
    <mergeCell ref="I911:J911"/>
    <mergeCell ref="I912:J912"/>
    <mergeCell ref="I913:J913"/>
    <mergeCell ref="I914:J914"/>
    <mergeCell ref="I915:J915"/>
    <mergeCell ref="I916:J916"/>
    <mergeCell ref="I905:J905"/>
    <mergeCell ref="I906:J906"/>
    <mergeCell ref="I907:J907"/>
    <mergeCell ref="I908:J908"/>
    <mergeCell ref="I909:J909"/>
    <mergeCell ref="I910:J910"/>
    <mergeCell ref="I935:J935"/>
    <mergeCell ref="I936:J936"/>
    <mergeCell ref="I937:J937"/>
    <mergeCell ref="I938:J938"/>
    <mergeCell ref="I939:J939"/>
    <mergeCell ref="I940:J940"/>
    <mergeCell ref="I929:J929"/>
    <mergeCell ref="I930:J930"/>
    <mergeCell ref="I931:J931"/>
    <mergeCell ref="I932:J932"/>
    <mergeCell ref="I933:J933"/>
    <mergeCell ref="I934:J934"/>
    <mergeCell ref="I923:J923"/>
    <mergeCell ref="I924:J924"/>
    <mergeCell ref="I925:J925"/>
    <mergeCell ref="I926:J926"/>
    <mergeCell ref="I927:J927"/>
    <mergeCell ref="I928:J928"/>
    <mergeCell ref="I953:J953"/>
    <mergeCell ref="I954:J954"/>
    <mergeCell ref="I955:J955"/>
    <mergeCell ref="I956:J956"/>
    <mergeCell ref="I957:J957"/>
    <mergeCell ref="I958:J958"/>
    <mergeCell ref="I947:J947"/>
    <mergeCell ref="I948:J948"/>
    <mergeCell ref="I949:J949"/>
    <mergeCell ref="I950:J950"/>
    <mergeCell ref="I951:J951"/>
    <mergeCell ref="I952:J952"/>
    <mergeCell ref="I941:J941"/>
    <mergeCell ref="I942:J942"/>
    <mergeCell ref="I943:J943"/>
    <mergeCell ref="I944:J944"/>
    <mergeCell ref="I945:J945"/>
    <mergeCell ref="I946:J946"/>
    <mergeCell ref="I971:J971"/>
    <mergeCell ref="I972:J972"/>
    <mergeCell ref="I973:J973"/>
    <mergeCell ref="I974:J974"/>
    <mergeCell ref="I975:J975"/>
    <mergeCell ref="I976:J976"/>
    <mergeCell ref="I965:J965"/>
    <mergeCell ref="I966:J966"/>
    <mergeCell ref="I967:J967"/>
    <mergeCell ref="I968:J968"/>
    <mergeCell ref="I969:J969"/>
    <mergeCell ref="I970:J970"/>
    <mergeCell ref="I959:J959"/>
    <mergeCell ref="I960:J960"/>
    <mergeCell ref="I961:J961"/>
    <mergeCell ref="I962:J962"/>
    <mergeCell ref="I963:J963"/>
    <mergeCell ref="I964:J964"/>
    <mergeCell ref="I989:J989"/>
    <mergeCell ref="I990:J990"/>
    <mergeCell ref="I991:J991"/>
    <mergeCell ref="I992:J992"/>
    <mergeCell ref="I993:J993"/>
    <mergeCell ref="I994:J994"/>
    <mergeCell ref="H4193:I4193"/>
    <mergeCell ref="I983:J983"/>
    <mergeCell ref="I984:J984"/>
    <mergeCell ref="I985:J985"/>
    <mergeCell ref="I986:J986"/>
    <mergeCell ref="I987:J987"/>
    <mergeCell ref="I988:J988"/>
    <mergeCell ref="I977:J977"/>
    <mergeCell ref="I978:J978"/>
    <mergeCell ref="I979:J979"/>
    <mergeCell ref="I980:J980"/>
    <mergeCell ref="I981:J981"/>
    <mergeCell ref="I982:J982"/>
    <mergeCell ref="H4194:I4194"/>
    <mergeCell ref="H4195:I4195"/>
    <mergeCell ref="F1012:J1012"/>
    <mergeCell ref="E1011:H1011"/>
    <mergeCell ref="G1015:L1015"/>
    <mergeCell ref="D4191:D4192"/>
    <mergeCell ref="E4191:G4191"/>
    <mergeCell ref="E4192:G4192"/>
    <mergeCell ref="G1014:L1014"/>
    <mergeCell ref="I1005:J1005"/>
    <mergeCell ref="I1006:J1006"/>
    <mergeCell ref="I1001:J1001"/>
    <mergeCell ref="I1002:J1002"/>
    <mergeCell ref="I1003:J1003"/>
    <mergeCell ref="I1004:J1004"/>
    <mergeCell ref="I995:J995"/>
    <mergeCell ref="I996:J996"/>
    <mergeCell ref="I997:J997"/>
    <mergeCell ref="I998:J998"/>
    <mergeCell ref="I999:J999"/>
    <mergeCell ref="I1000:J1000"/>
  </mergeCells>
  <phoneticPr fontId="4" type="noConversion"/>
  <conditionalFormatting sqref="H1009">
    <cfRule type="expression" dxfId="195" priority="40" stopIfTrue="1">
      <formula>ISERROR($H$1009)</formula>
    </cfRule>
  </conditionalFormatting>
  <conditionalFormatting sqref="N6:N1005">
    <cfRule type="cellIs" dxfId="194" priority="41" stopIfTrue="1" operator="equal">
      <formula>0</formula>
    </cfRule>
  </conditionalFormatting>
  <conditionalFormatting sqref="I2:J2">
    <cfRule type="expression" dxfId="193" priority="44" stopIfTrue="1">
      <formula>ISBLANK($E$2)</formula>
    </cfRule>
    <cfRule type="cellIs" dxfId="192" priority="45" stopIfTrue="1" operator="notEqual">
      <formula>"OK"</formula>
    </cfRule>
    <cfRule type="expression" dxfId="191" priority="46" stopIfTrue="1">
      <formula>ISERROR($I$2)</formula>
    </cfRule>
  </conditionalFormatting>
  <conditionalFormatting sqref="M6:M1005">
    <cfRule type="cellIs" dxfId="190" priority="55" stopIfTrue="1" operator="equal">
      <formula>0</formula>
    </cfRule>
  </conditionalFormatting>
  <conditionalFormatting sqref="C1071:C1078">
    <cfRule type="cellIs" dxfId="189" priority="7" operator="equal">
      <formula>0</formula>
    </cfRule>
  </conditionalFormatting>
  <conditionalFormatting sqref="E4:J4 L4 E2:F2">
    <cfRule type="expression" dxfId="188" priority="800" stopIfTrue="1">
      <formula>$F$4188=FALSE</formula>
    </cfRule>
  </conditionalFormatting>
  <conditionalFormatting sqref="B7:B1005">
    <cfRule type="containsErrors" dxfId="187" priority="6">
      <formula>ISERROR(B7)</formula>
    </cfRule>
  </conditionalFormatting>
  <conditionalFormatting sqref="H6:H1005">
    <cfRule type="containsErrors" dxfId="186" priority="5" stopIfTrue="1">
      <formula>ISERROR(H6)</formula>
    </cfRule>
  </conditionalFormatting>
  <conditionalFormatting sqref="L6:L1005">
    <cfRule type="containsErrors" dxfId="185" priority="4" stopIfTrue="1">
      <formula>ISERROR(L6)</formula>
    </cfRule>
  </conditionalFormatting>
  <conditionalFormatting sqref="I4:J4">
    <cfRule type="containsErrors" dxfId="184" priority="3" stopIfTrue="1">
      <formula>ISERROR(I4)</formula>
    </cfRule>
  </conditionalFormatting>
  <conditionalFormatting sqref="D4191:G4192">
    <cfRule type="cellIs" dxfId="183" priority="2" operator="equal">
      <formula>0</formula>
    </cfRule>
  </conditionalFormatting>
  <conditionalFormatting sqref="H4193:I4195">
    <cfRule type="cellIs" dxfId="182" priority="1" operator="equal">
      <formula>0</formula>
    </cfRule>
  </conditionalFormatting>
  <conditionalFormatting sqref="C6:C1005">
    <cfRule type="cellIs" dxfId="181" priority="5978" stopIfTrue="1" operator="equal">
      <formula>$C$4185</formula>
    </cfRule>
  </conditionalFormatting>
  <conditionalFormatting sqref="I7:J1005">
    <cfRule type="expression" dxfId="180" priority="5984" stopIfTrue="1">
      <formula>$F$4188=FALSE</formula>
    </cfRule>
    <cfRule type="cellIs" dxfId="179" priority="5985" stopIfTrue="1" operator="equal">
      <formula>0</formula>
    </cfRule>
  </conditionalFormatting>
  <conditionalFormatting sqref="L1006">
    <cfRule type="expression" dxfId="178" priority="6163" stopIfTrue="1">
      <formula>#REF!=TRUE</formula>
    </cfRule>
    <cfRule type="expression" dxfId="177" priority="6164" stopIfTrue="1">
      <formula>AND($E1006="",$H1006=0)</formula>
    </cfRule>
    <cfRule type="expression" dxfId="176" priority="6165" stopIfTrue="1">
      <formula>LEFT($G1006,20)=LEFT($G$4185,20)</formula>
    </cfRule>
  </conditionalFormatting>
  <conditionalFormatting sqref="G6">
    <cfRule type="expression" dxfId="175" priority="6166" stopIfTrue="1">
      <formula>$N6=1</formula>
    </cfRule>
    <cfRule type="cellIs" dxfId="174" priority="6167" stopIfTrue="1" operator="equal">
      <formula>0</formula>
    </cfRule>
    <cfRule type="expression" dxfId="173" priority="6168" stopIfTrue="1">
      <formula>$G6=$G$1080</formula>
    </cfRule>
  </conditionalFormatting>
  <conditionalFormatting sqref="D7:D1005">
    <cfRule type="expression" dxfId="172" priority="6169" stopIfTrue="1">
      <formula>$C7=$C$4185</formula>
    </cfRule>
    <cfRule type="expression" dxfId="171" priority="6170" stopIfTrue="1">
      <formula>$E7=""</formula>
    </cfRule>
  </conditionalFormatting>
  <conditionalFormatting sqref="D6">
    <cfRule type="expression" dxfId="170" priority="6171" stopIfTrue="1">
      <formula>$C6=$C$4185</formula>
    </cfRule>
    <cfRule type="expression" dxfId="169" priority="6172" stopIfTrue="1">
      <formula>$E6=""</formula>
    </cfRule>
    <cfRule type="expression" dxfId="168" priority="6173" stopIfTrue="1">
      <formula>$E$2=" "</formula>
    </cfRule>
  </conditionalFormatting>
  <conditionalFormatting sqref="I6:J6">
    <cfRule type="expression" dxfId="167" priority="6174" stopIfTrue="1">
      <formula>$F$4188=FALSE</formula>
    </cfRule>
    <cfRule type="cellIs" dxfId="166" priority="6175" stopIfTrue="1" operator="equal">
      <formula>0</formula>
    </cfRule>
    <cfRule type="expression" dxfId="165" priority="6176" stopIfTrue="1">
      <formula>$G6=$G$1080</formula>
    </cfRule>
  </conditionalFormatting>
  <conditionalFormatting sqref="F6">
    <cfRule type="expression" dxfId="164" priority="6177" stopIfTrue="1">
      <formula>$F$4188=FALSE</formula>
    </cfRule>
    <cfRule type="expression" dxfId="163" priority="6178" stopIfTrue="1">
      <formula>OR($E6="",$E6=0)</formula>
    </cfRule>
    <cfRule type="expression" dxfId="162" priority="6179" stopIfTrue="1">
      <formula>$G6=$G$1080</formula>
    </cfRule>
  </conditionalFormatting>
  <conditionalFormatting sqref="E6">
    <cfRule type="expression" dxfId="161" priority="6180" stopIfTrue="1">
      <formula>$F$4188=FALSE</formula>
    </cfRule>
    <cfRule type="expression" dxfId="160" priority="6181" stopIfTrue="1">
      <formula>OR($E$6=0,ISBLANK($E$2))</formula>
    </cfRule>
    <cfRule type="expression" dxfId="159" priority="6182" stopIfTrue="1">
      <formula>$G6=$G$1080</formula>
    </cfRule>
  </conditionalFormatting>
  <conditionalFormatting sqref="E7:E1005 G7:G1005">
    <cfRule type="expression" dxfId="158" priority="6183" stopIfTrue="1">
      <formula>$F$4188=FALSE</formula>
    </cfRule>
    <cfRule type="cellIs" dxfId="157" priority="6184" stopIfTrue="1" operator="equal">
      <formula>0</formula>
    </cfRule>
    <cfRule type="expression" dxfId="156" priority="6185" stopIfTrue="1">
      <formula>$C7=$C$4185</formula>
    </cfRule>
  </conditionalFormatting>
  <conditionalFormatting sqref="F7:F1005">
    <cfRule type="expression" dxfId="155" priority="6189" stopIfTrue="1">
      <formula>$C7=$C$4185</formula>
    </cfRule>
    <cfRule type="expression" dxfId="154" priority="6190" stopIfTrue="1">
      <formula>OR($E7="",$E7=0)</formula>
    </cfRule>
    <cfRule type="expression" dxfId="153" priority="6191" stopIfTrue="1">
      <formula>$F$4188=FALSE</formula>
    </cfRule>
  </conditionalFormatting>
  <conditionalFormatting sqref="H6">
    <cfRule type="expression" dxfId="152" priority="6192" stopIfTrue="1">
      <formula>$F$4188=FALSE</formula>
    </cfRule>
    <cfRule type="expression" dxfId="151" priority="6193" stopIfTrue="1">
      <formula>AND($E6="",$H6=0)</formula>
    </cfRule>
    <cfRule type="expression" dxfId="150" priority="6194" stopIfTrue="1">
      <formula>$G6=$G$1080</formula>
    </cfRule>
  </conditionalFormatting>
  <conditionalFormatting sqref="L6">
    <cfRule type="expression" dxfId="149" priority="6195" stopIfTrue="1">
      <formula>$F$4188=FALSE</formula>
    </cfRule>
    <cfRule type="expression" dxfId="148" priority="6196" stopIfTrue="1">
      <formula>AND($E6="",$H6=0)</formula>
    </cfRule>
    <cfRule type="expression" dxfId="147" priority="6197" stopIfTrue="1">
      <formula>ISBLANK($E$2)</formula>
    </cfRule>
  </conditionalFormatting>
  <conditionalFormatting sqref="H7:H1005">
    <cfRule type="expression" dxfId="146" priority="6198" stopIfTrue="1">
      <formula>$F$4188=FALSE</formula>
    </cfRule>
    <cfRule type="expression" dxfId="145" priority="6199" stopIfTrue="1">
      <formula>OR(ISBLANK($E$2),AND($E7="",$H7=0))</formula>
    </cfRule>
    <cfRule type="cellIs" dxfId="144" priority="6200" stopIfTrue="1" operator="equal">
      <formula>0</formula>
    </cfRule>
  </conditionalFormatting>
  <conditionalFormatting sqref="L7:L1005">
    <cfRule type="expression" dxfId="143" priority="6201" stopIfTrue="1">
      <formula>$F$4188=FALSE</formula>
    </cfRule>
    <cfRule type="expression" dxfId="142" priority="6202" stopIfTrue="1">
      <formula>OR(ISERROR($L7),AND($E7="",$H7=0))</formula>
    </cfRule>
    <cfRule type="expression" dxfId="141" priority="6203" stopIfTrue="1">
      <formula>$L7=$L6</formula>
    </cfRule>
  </conditionalFormatting>
  <conditionalFormatting sqref="L1005">
    <cfRule type="expression" dxfId="140" priority="6204" stopIfTrue="1">
      <formula>$F$4188=FALSE</formula>
    </cfRule>
    <cfRule type="expression" dxfId="139" priority="6205" stopIfTrue="1">
      <formula>OR(ISERROR($L1005),AND($E1005="",$H1005=0))</formula>
    </cfRule>
    <cfRule type="expression" dxfId="138" priority="6206" stopIfTrue="1">
      <formula>$L1005=#REF!</formula>
    </cfRule>
  </conditionalFormatting>
  <conditionalFormatting sqref="H2">
    <cfRule type="expression" dxfId="137" priority="6207" stopIfTrue="1">
      <formula>$F$4188=FALSE</formula>
    </cfRule>
    <cfRule type="expression" dxfId="136" priority="6208" stopIfTrue="1">
      <formula>ISERROR($H$2)</formula>
    </cfRule>
  </conditionalFormatting>
  <dataValidations count="2">
    <dataValidation type="list" allowBlank="1" showInputMessage="1" showErrorMessage="1" sqref="I1006">
      <formula1>#REF!</formula1>
    </dataValidation>
    <dataValidation type="list" allowBlank="1" showInputMessage="1" showErrorMessage="1" sqref="E2:F2">
      <formula1>$G$1019:$G$1076</formula1>
    </dataValidation>
  </dataValidations>
  <hyperlinks>
    <hyperlink ref="J4193:J4195" location="COSTI!P4" display="QUI"/>
    <hyperlink ref="J4193" location="ENTI!P4" display="QUI"/>
    <hyperlink ref="J4195" location="PATRIMONIALE!P4" display="QUI"/>
  </hyperlinks>
  <printOptions horizontalCentered="1"/>
  <pageMargins left="0" right="0" top="0.31496062992125984" bottom="0.27559055118110237" header="0.51181102362204722" footer="0.51181102362204722"/>
  <pageSetup paperSize="9" scale="63" fitToHeight="2" orientation="portrait" verticalDpi="300" r:id="rId1"/>
  <headerFooter alignWithMargins="0"/>
  <rowBreaks count="1" manualBreakCount="1">
    <brk id="941" min="2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9"/>
  <sheetViews>
    <sheetView showGridLines="0" showRowColHeaders="0" zoomScaleNormal="100" workbookViewId="0">
      <selection activeCell="I10" sqref="I10"/>
    </sheetView>
  </sheetViews>
  <sheetFormatPr defaultRowHeight="12.75"/>
  <cols>
    <col min="1" max="1" width="4.28515625" style="2" customWidth="1"/>
    <col min="2" max="2" width="7.140625" style="2" customWidth="1"/>
    <col min="3" max="16" width="10" style="2" customWidth="1"/>
    <col min="17" max="17" width="3.7109375" style="2" customWidth="1"/>
    <col min="18" max="18" width="10" style="2" customWidth="1"/>
    <col min="19" max="19" width="9.140625" style="2" hidden="1" customWidth="1"/>
    <col min="20" max="20" width="14.42578125" style="2" hidden="1" customWidth="1"/>
    <col min="21" max="21" width="9.140625" style="2" hidden="1" customWidth="1"/>
    <col min="22" max="16384" width="9.140625" style="2"/>
  </cols>
  <sheetData>
    <row r="1" spans="1:17" ht="4.5" customHeight="1">
      <c r="A1" s="373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6.5" customHeight="1">
      <c r="A2" s="1"/>
      <c r="B2" s="1668" t="s">
        <v>260</v>
      </c>
      <c r="C2" s="1668"/>
      <c r="D2" s="1668"/>
      <c r="E2" s="1109"/>
      <c r="F2" s="1109"/>
      <c r="G2" s="1109"/>
      <c r="H2" s="1109"/>
      <c r="I2" s="1109"/>
      <c r="J2" s="1109"/>
      <c r="K2" s="1109"/>
      <c r="L2" s="1109"/>
      <c r="M2" s="1109"/>
      <c r="N2" s="1109"/>
      <c r="O2" s="1109"/>
      <c r="P2" s="1109"/>
      <c r="Q2" s="1"/>
    </row>
    <row r="3" spans="1:17" ht="16.5" customHeight="1">
      <c r="A3" s="1"/>
      <c r="B3" s="1669" t="s">
        <v>286</v>
      </c>
      <c r="C3" s="1669"/>
      <c r="D3" s="1669"/>
      <c r="E3" s="1669"/>
      <c r="F3" s="1669"/>
      <c r="G3" s="1669"/>
      <c r="H3" s="1669"/>
      <c r="I3" s="1669"/>
      <c r="J3" s="1669"/>
      <c r="K3" s="1669"/>
      <c r="L3" s="1669"/>
      <c r="M3" s="1669"/>
      <c r="N3" s="1669"/>
      <c r="O3" s="1669"/>
      <c r="P3" s="1669"/>
      <c r="Q3" s="1"/>
    </row>
    <row r="4" spans="1:17" ht="16.5" customHeight="1">
      <c r="A4" s="1"/>
      <c r="B4" s="1392" t="s">
        <v>287</v>
      </c>
      <c r="C4" s="1392"/>
      <c r="D4" s="1392"/>
      <c r="E4" s="1392"/>
      <c r="F4" s="1392"/>
      <c r="G4" s="1392"/>
      <c r="H4" s="1392"/>
      <c r="I4" s="1392"/>
      <c r="J4" s="1392"/>
      <c r="K4" s="1392"/>
      <c r="L4" s="1392"/>
      <c r="M4" s="1392"/>
      <c r="N4" s="1392"/>
      <c r="O4" s="1392"/>
      <c r="P4" s="1392"/>
      <c r="Q4" s="1"/>
    </row>
    <row r="5" spans="1:17" ht="16.5" customHeight="1">
      <c r="A5" s="1"/>
      <c r="B5" s="742"/>
      <c r="C5" s="742"/>
      <c r="D5" s="742"/>
      <c r="E5" s="742"/>
      <c r="F5" s="742"/>
      <c r="G5" s="742"/>
      <c r="H5" s="742"/>
      <c r="I5" s="742"/>
      <c r="J5" s="742"/>
      <c r="K5" s="742"/>
      <c r="L5" s="742"/>
      <c r="M5" s="742"/>
      <c r="N5" s="742"/>
      <c r="O5" s="742"/>
      <c r="P5" s="741" t="str">
        <f>'ESTRATTO CONTO'!G1014</f>
        <v/>
      </c>
      <c r="Q5" s="1"/>
    </row>
    <row r="6" spans="1:17" ht="16.5" customHeight="1">
      <c r="A6" s="1"/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743" t="str">
        <f>'ESTRATTO CONTO'!G1015</f>
        <v>Inserisci qui il NOME   -   P.I./C.F codice fiscale condominio</v>
      </c>
      <c r="Q6" s="1"/>
    </row>
    <row r="7" spans="1:17" ht="16.5" customHeight="1">
      <c r="A7" s="1"/>
      <c r="B7" s="1630" t="s">
        <v>351</v>
      </c>
      <c r="C7" s="1630"/>
      <c r="D7" s="1630"/>
      <c r="E7" s="1630"/>
      <c r="F7" s="1656" t="str">
        <f>Presentazione!C26&amp;" - "&amp;Presentazione!D29</f>
        <v>Inserisci qui il NOME - 00000 - ROMA</v>
      </c>
      <c r="G7" s="1656"/>
      <c r="H7" s="1656"/>
      <c r="I7" s="1656"/>
      <c r="J7" s="1656"/>
      <c r="K7" s="1656"/>
      <c r="L7" s="1656"/>
      <c r="M7" s="1656"/>
      <c r="N7" s="1656"/>
      <c r="O7" s="1656"/>
      <c r="P7" s="1656"/>
      <c r="Q7" s="1"/>
    </row>
    <row r="8" spans="1:17" ht="10.5" customHeight="1">
      <c r="A8" s="1"/>
      <c r="B8" s="571"/>
      <c r="C8" s="571"/>
      <c r="D8" s="571"/>
      <c r="E8" s="571"/>
      <c r="F8" s="571"/>
      <c r="G8" s="571"/>
      <c r="H8" s="571"/>
      <c r="I8" s="571"/>
      <c r="J8" s="571"/>
      <c r="K8" s="571"/>
      <c r="L8" s="571"/>
      <c r="M8" s="571"/>
      <c r="N8" s="571"/>
      <c r="O8" s="571"/>
      <c r="P8" s="571"/>
      <c r="Q8" s="1"/>
    </row>
    <row r="9" spans="1:17" ht="16.5" customHeight="1">
      <c r="A9" s="1"/>
      <c r="B9" s="1109"/>
      <c r="C9" s="1109"/>
      <c r="D9" s="1109"/>
      <c r="E9" s="1109"/>
      <c r="F9" s="425">
        <f>YEAR(HLOOKUP(F10,Presentazione!B$204:M$210,7,FALSE))</f>
        <v>2024</v>
      </c>
      <c r="G9" s="1109"/>
      <c r="H9" s="1109"/>
      <c r="I9" s="425">
        <f>YEAR(HLOOKUP(I10,Presentazione!B$204:M$210,7,FALSE))</f>
        <v>2024</v>
      </c>
      <c r="J9" s="1109"/>
      <c r="K9" s="1109"/>
      <c r="L9" s="1109"/>
      <c r="M9" s="1109"/>
      <c r="N9" s="1109"/>
      <c r="O9" s="1109"/>
      <c r="P9" s="1109"/>
      <c r="Q9" s="1"/>
    </row>
    <row r="10" spans="1:17" ht="16.5" customHeight="1">
      <c r="A10" s="1"/>
      <c r="B10" s="1"/>
      <c r="C10" s="1659" t="s">
        <v>263</v>
      </c>
      <c r="D10" s="1659"/>
      <c r="E10" s="1660"/>
      <c r="F10" s="602" t="s">
        <v>19</v>
      </c>
      <c r="G10" s="1661" t="s">
        <v>262</v>
      </c>
      <c r="H10" s="1661"/>
      <c r="I10" s="602" t="s">
        <v>30</v>
      </c>
      <c r="K10" s="572" t="str">
        <f>IF(P10&lt;0,"ERROR","")</f>
        <v/>
      </c>
      <c r="L10" s="1"/>
      <c r="M10" s="1670" t="str">
        <f>COSTI!P4</f>
        <v>Totale in sistema</v>
      </c>
      <c r="N10" s="1671"/>
      <c r="O10" s="998" t="s">
        <v>364</v>
      </c>
      <c r="P10" s="633">
        <f>VLOOKUP(I10,B$128:C$139,2,FALSE)-VLOOKUP(F10,B$128:C$139,2,FALSE)</f>
        <v>335</v>
      </c>
      <c r="Q10" s="1"/>
    </row>
    <row r="11" spans="1:17" ht="16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6.5" customHeight="1">
      <c r="A12" s="1"/>
      <c r="B12" s="573">
        <v>1</v>
      </c>
      <c r="C12" s="1621" t="str">
        <f t="shared" ref="C12:C23" si="0">VLOOKUP(B12,$E$128:$G$163,3,FALSE)</f>
        <v>Assicurazione</v>
      </c>
      <c r="D12" s="1621"/>
      <c r="E12" s="1621"/>
      <c r="F12" s="574">
        <f t="shared" ref="F12:F23" si="1">VLOOKUP(B12,$E$128:$J$164,6,FALSE)</f>
        <v>150</v>
      </c>
      <c r="G12" s="573">
        <v>13</v>
      </c>
      <c r="H12" s="1621" t="str">
        <f t="shared" ref="H12:H23" si="2">VLOOKUP(G12,$E$128:$G$163,3,FALSE)</f>
        <v>Materiale di consumo</v>
      </c>
      <c r="I12" s="1621"/>
      <c r="J12" s="1621"/>
      <c r="K12" s="574">
        <f t="shared" ref="K12:K23" si="3">VLOOKUP(G12,$E$128:$J$164,6,FALSE)</f>
        <v>50</v>
      </c>
      <c r="L12" s="573">
        <v>25</v>
      </c>
      <c r="M12" s="1621" t="e">
        <f t="shared" ref="M12:M23" si="4">VLOOKUP(L12,$E$128:$G$163,3,FALSE)</f>
        <v>#N/A</v>
      </c>
      <c r="N12" s="1621"/>
      <c r="O12" s="1621"/>
      <c r="P12" s="575" t="e">
        <f t="shared" ref="P12:P23" si="5">VLOOKUP(L12,$E$128:$J$164,6,FALSE)</f>
        <v>#N/A</v>
      </c>
      <c r="Q12" s="1"/>
    </row>
    <row r="13" spans="1:17" ht="16.5" customHeight="1">
      <c r="A13" s="1"/>
      <c r="B13" s="573">
        <v>2</v>
      </c>
      <c r="C13" s="1621" t="str">
        <f t="shared" si="0"/>
        <v>Attrezzatura</v>
      </c>
      <c r="D13" s="1621"/>
      <c r="E13" s="1621"/>
      <c r="F13" s="574">
        <f t="shared" si="1"/>
        <v>150</v>
      </c>
      <c r="G13" s="573">
        <v>14</v>
      </c>
      <c r="H13" s="1621" t="str">
        <f t="shared" si="2"/>
        <v>Collaboratori</v>
      </c>
      <c r="I13" s="1621"/>
      <c r="J13" s="1621"/>
      <c r="K13" s="574">
        <f t="shared" si="3"/>
        <v>50</v>
      </c>
      <c r="L13" s="573">
        <v>26</v>
      </c>
      <c r="M13" s="1621" t="e">
        <f t="shared" si="4"/>
        <v>#N/A</v>
      </c>
      <c r="N13" s="1621"/>
      <c r="O13" s="1621"/>
      <c r="P13" s="575" t="e">
        <f t="shared" si="5"/>
        <v>#N/A</v>
      </c>
      <c r="Q13" s="1"/>
    </row>
    <row r="14" spans="1:17" ht="16.5" customHeight="1">
      <c r="A14" s="1"/>
      <c r="B14" s="573">
        <v>3</v>
      </c>
      <c r="C14" s="1621" t="str">
        <f t="shared" si="0"/>
        <v>Spese Postali - Notarili - Documenti</v>
      </c>
      <c r="D14" s="1621"/>
      <c r="E14" s="1621"/>
      <c r="F14" s="574">
        <f t="shared" si="1"/>
        <v>150</v>
      </c>
      <c r="G14" s="573">
        <v>15</v>
      </c>
      <c r="H14" s="1621" t="str">
        <f t="shared" si="2"/>
        <v>Ascensore - Manutenzione</v>
      </c>
      <c r="I14" s="1621"/>
      <c r="J14" s="1621"/>
      <c r="K14" s="574">
        <f t="shared" si="3"/>
        <v>50</v>
      </c>
      <c r="L14" s="573">
        <v>27</v>
      </c>
      <c r="M14" s="1621" t="e">
        <f t="shared" si="4"/>
        <v>#N/A</v>
      </c>
      <c r="N14" s="1621"/>
      <c r="O14" s="1621"/>
      <c r="P14" s="575" t="e">
        <f t="shared" si="5"/>
        <v>#N/A</v>
      </c>
      <c r="Q14" s="1"/>
    </row>
    <row r="15" spans="1:17" ht="16.5" customHeight="1">
      <c r="A15" s="1"/>
      <c r="B15" s="573">
        <v>4</v>
      </c>
      <c r="C15" s="1621" t="str">
        <f t="shared" si="0"/>
        <v>Spese Bancarie</v>
      </c>
      <c r="D15" s="1621"/>
      <c r="E15" s="1621"/>
      <c r="F15" s="574">
        <f t="shared" si="1"/>
        <v>200</v>
      </c>
      <c r="G15" s="573">
        <v>16</v>
      </c>
      <c r="H15" s="1621" t="str">
        <f t="shared" si="2"/>
        <v>Ascensore - Oneri accessori</v>
      </c>
      <c r="I15" s="1621"/>
      <c r="J15" s="1621"/>
      <c r="K15" s="574">
        <f t="shared" si="3"/>
        <v>50</v>
      </c>
      <c r="L15" s="573">
        <v>28</v>
      </c>
      <c r="M15" s="1621" t="e">
        <f t="shared" si="4"/>
        <v>#N/A</v>
      </c>
      <c r="N15" s="1621"/>
      <c r="O15" s="1621"/>
      <c r="P15" s="575" t="e">
        <f t="shared" si="5"/>
        <v>#N/A</v>
      </c>
      <c r="Q15" s="1"/>
    </row>
    <row r="16" spans="1:17" ht="16.5" customHeight="1">
      <c r="A16" s="1"/>
      <c r="B16" s="573">
        <v>5</v>
      </c>
      <c r="C16" s="1621" t="str">
        <f t="shared" si="0"/>
        <v>Imposte e tasse condominiali</v>
      </c>
      <c r="D16" s="1621"/>
      <c r="E16" s="1621"/>
      <c r="F16" s="574">
        <f t="shared" si="1"/>
        <v>200</v>
      </c>
      <c r="G16" s="573">
        <v>17</v>
      </c>
      <c r="H16" s="1621" t="str">
        <f t="shared" si="2"/>
        <v>Decorazioni</v>
      </c>
      <c r="I16" s="1621"/>
      <c r="J16" s="1621"/>
      <c r="K16" s="574">
        <f t="shared" si="3"/>
        <v>50</v>
      </c>
      <c r="L16" s="573">
        <v>29</v>
      </c>
      <c r="M16" s="1621" t="e">
        <f t="shared" si="4"/>
        <v>#N/A</v>
      </c>
      <c r="N16" s="1621"/>
      <c r="O16" s="1621"/>
      <c r="P16" s="575" t="e">
        <f t="shared" si="5"/>
        <v>#N/A</v>
      </c>
      <c r="Q16" s="1"/>
    </row>
    <row r="17" spans="1:17" ht="16.5" customHeight="1">
      <c r="A17" s="1"/>
      <c r="B17" s="573">
        <v>6</v>
      </c>
      <c r="C17" s="1621" t="str">
        <f t="shared" si="0"/>
        <v>Fornitura combustibile</v>
      </c>
      <c r="D17" s="1621"/>
      <c r="E17" s="1621"/>
      <c r="F17" s="574">
        <f t="shared" si="1"/>
        <v>200</v>
      </c>
      <c r="G17" s="573">
        <v>18</v>
      </c>
      <c r="H17" s="1621" t="str">
        <f t="shared" si="2"/>
        <v>Software contabilità</v>
      </c>
      <c r="I17" s="1621"/>
      <c r="J17" s="1621"/>
      <c r="K17" s="574">
        <f t="shared" si="3"/>
        <v>50</v>
      </c>
      <c r="L17" s="573">
        <v>30</v>
      </c>
      <c r="M17" s="1621" t="e">
        <f t="shared" si="4"/>
        <v>#N/A</v>
      </c>
      <c r="N17" s="1621"/>
      <c r="O17" s="1621"/>
      <c r="P17" s="575" t="e">
        <f t="shared" si="5"/>
        <v>#N/A</v>
      </c>
      <c r="Q17" s="1"/>
    </row>
    <row r="18" spans="1:17" ht="16.5" customHeight="1">
      <c r="A18" s="1"/>
      <c r="B18" s="573">
        <v>7</v>
      </c>
      <c r="C18" s="1621" t="str">
        <f t="shared" si="0"/>
        <v>Risc.to - Manutenzioni ordinarie</v>
      </c>
      <c r="D18" s="1621"/>
      <c r="E18" s="1621"/>
      <c r="F18" s="574">
        <f t="shared" si="1"/>
        <v>150</v>
      </c>
      <c r="G18" s="573">
        <v>19</v>
      </c>
      <c r="H18" s="1621" t="str">
        <f t="shared" si="2"/>
        <v>Ultimo COSTO disponibile</v>
      </c>
      <c r="I18" s="1621"/>
      <c r="J18" s="1621"/>
      <c r="K18" s="574">
        <f t="shared" si="3"/>
        <v>50</v>
      </c>
      <c r="L18" s="573">
        <v>31</v>
      </c>
      <c r="M18" s="1621" t="e">
        <f t="shared" si="4"/>
        <v>#N/A</v>
      </c>
      <c r="N18" s="1621"/>
      <c r="O18" s="1621"/>
      <c r="P18" s="575" t="e">
        <f t="shared" si="5"/>
        <v>#N/A</v>
      </c>
      <c r="Q18" s="1"/>
    </row>
    <row r="19" spans="1:17" ht="16.5" customHeight="1">
      <c r="A19" s="1"/>
      <c r="B19" s="573">
        <v>8</v>
      </c>
      <c r="C19" s="1621" t="str">
        <f t="shared" si="0"/>
        <v>Risc.to - Rip. e Manut.ni straordinarie</v>
      </c>
      <c r="D19" s="1621"/>
      <c r="E19" s="1621"/>
      <c r="F19" s="574">
        <f t="shared" si="1"/>
        <v>150</v>
      </c>
      <c r="G19" s="573">
        <v>20</v>
      </c>
      <c r="H19" s="1621" t="e">
        <f t="shared" si="2"/>
        <v>#N/A</v>
      </c>
      <c r="I19" s="1621"/>
      <c r="J19" s="1621"/>
      <c r="K19" s="574" t="e">
        <f t="shared" si="3"/>
        <v>#N/A</v>
      </c>
      <c r="L19" s="573">
        <v>32</v>
      </c>
      <c r="M19" s="1621" t="e">
        <f t="shared" si="4"/>
        <v>#N/A</v>
      </c>
      <c r="N19" s="1621"/>
      <c r="O19" s="1621"/>
      <c r="P19" s="575" t="e">
        <f t="shared" si="5"/>
        <v>#N/A</v>
      </c>
      <c r="Q19" s="1"/>
    </row>
    <row r="20" spans="1:17" ht="16.5" customHeight="1">
      <c r="A20" s="1"/>
      <c r="B20" s="573">
        <v>9</v>
      </c>
      <c r="C20" s="1621" t="str">
        <f t="shared" si="0"/>
        <v>Illuminazione</v>
      </c>
      <c r="D20" s="1621"/>
      <c r="E20" s="1621"/>
      <c r="F20" s="574">
        <f t="shared" si="1"/>
        <v>150</v>
      </c>
      <c r="G20" s="573">
        <v>21</v>
      </c>
      <c r="H20" s="1621" t="e">
        <f t="shared" si="2"/>
        <v>#N/A</v>
      </c>
      <c r="I20" s="1621"/>
      <c r="J20" s="1621"/>
      <c r="K20" s="574" t="e">
        <f t="shared" si="3"/>
        <v>#N/A</v>
      </c>
      <c r="L20" s="573">
        <v>33</v>
      </c>
      <c r="M20" s="1621" t="e">
        <f t="shared" si="4"/>
        <v>#N/A</v>
      </c>
      <c r="N20" s="1621"/>
      <c r="O20" s="1621"/>
      <c r="P20" s="575" t="e">
        <f t="shared" si="5"/>
        <v>#N/A</v>
      </c>
      <c r="Q20" s="1"/>
    </row>
    <row r="21" spans="1:17" ht="16.5" customHeight="1">
      <c r="A21" s="1"/>
      <c r="B21" s="573">
        <v>10</v>
      </c>
      <c r="C21" s="1621" t="str">
        <f t="shared" si="0"/>
        <v>Piccole manutenzioni ordinarie</v>
      </c>
      <c r="D21" s="1621"/>
      <c r="E21" s="1621"/>
      <c r="F21" s="574">
        <f t="shared" si="1"/>
        <v>150</v>
      </c>
      <c r="G21" s="573">
        <v>22</v>
      </c>
      <c r="H21" s="1621" t="e">
        <f t="shared" si="2"/>
        <v>#N/A</v>
      </c>
      <c r="I21" s="1621"/>
      <c r="J21" s="1621"/>
      <c r="K21" s="574" t="e">
        <f t="shared" si="3"/>
        <v>#N/A</v>
      </c>
      <c r="L21" s="573">
        <v>34</v>
      </c>
      <c r="M21" s="1621" t="e">
        <f t="shared" si="4"/>
        <v>#N/A</v>
      </c>
      <c r="N21" s="1621"/>
      <c r="O21" s="1621"/>
      <c r="P21" s="575" t="e">
        <f t="shared" si="5"/>
        <v>#N/A</v>
      </c>
      <c r="Q21" s="1"/>
    </row>
    <row r="22" spans="1:17" ht="16.5" customHeight="1">
      <c r="A22" s="1"/>
      <c r="B22" s="573">
        <v>11</v>
      </c>
      <c r="C22" s="1621" t="str">
        <f t="shared" si="0"/>
        <v>Giardino</v>
      </c>
      <c r="D22" s="1621"/>
      <c r="E22" s="1621"/>
      <c r="F22" s="574">
        <f t="shared" si="1"/>
        <v>150</v>
      </c>
      <c r="G22" s="573">
        <v>23</v>
      </c>
      <c r="H22" s="1621" t="e">
        <f t="shared" si="2"/>
        <v>#N/A</v>
      </c>
      <c r="I22" s="1621"/>
      <c r="J22" s="1621"/>
      <c r="K22" s="574" t="e">
        <f t="shared" si="3"/>
        <v>#N/A</v>
      </c>
      <c r="L22" s="573">
        <v>35</v>
      </c>
      <c r="M22" s="1621" t="e">
        <f t="shared" si="4"/>
        <v>#N/A</v>
      </c>
      <c r="N22" s="1621"/>
      <c r="O22" s="1621"/>
      <c r="P22" s="575" t="e">
        <f t="shared" si="5"/>
        <v>#N/A</v>
      </c>
      <c r="Q22" s="1"/>
    </row>
    <row r="23" spans="1:17" ht="16.5" customHeight="1">
      <c r="A23" s="1"/>
      <c r="B23" s="573">
        <v>12</v>
      </c>
      <c r="C23" s="1621" t="str">
        <f t="shared" si="0"/>
        <v>Consumo idrico condominiale</v>
      </c>
      <c r="D23" s="1621"/>
      <c r="E23" s="1621"/>
      <c r="F23" s="574">
        <f t="shared" si="1"/>
        <v>50</v>
      </c>
      <c r="G23" s="573">
        <v>24</v>
      </c>
      <c r="H23" s="1621" t="e">
        <f t="shared" si="2"/>
        <v>#N/A</v>
      </c>
      <c r="I23" s="1621"/>
      <c r="J23" s="1621"/>
      <c r="K23" s="574" t="e">
        <f t="shared" si="3"/>
        <v>#N/A</v>
      </c>
      <c r="L23" s="573">
        <v>36</v>
      </c>
      <c r="M23" s="1621" t="e">
        <f t="shared" si="4"/>
        <v>#N/A</v>
      </c>
      <c r="N23" s="1621"/>
      <c r="O23" s="1621"/>
      <c r="P23" s="575" t="e">
        <f t="shared" si="5"/>
        <v>#N/A</v>
      </c>
      <c r="Q23" s="1"/>
    </row>
    <row r="24" spans="1:17" ht="16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16.5" customHeight="1">
      <c r="A25" s="1"/>
      <c r="B25" s="576" t="s">
        <v>257</v>
      </c>
      <c r="C25" s="1658" t="str">
        <f>G164</f>
        <v>AMMINISTRATORE</v>
      </c>
      <c r="D25" s="1658"/>
      <c r="E25" s="1658"/>
      <c r="F25" s="577">
        <f ca="1">J164</f>
        <v>1005</v>
      </c>
      <c r="G25" s="51"/>
      <c r="H25" s="51"/>
      <c r="I25" s="1667" t="str">
        <f>Presentazione!$F$10</f>
        <v/>
      </c>
      <c r="J25" s="1667"/>
      <c r="K25" s="1667"/>
      <c r="L25" s="1667"/>
      <c r="M25" s="1667"/>
      <c r="N25" s="1667"/>
      <c r="O25" s="1667"/>
      <c r="P25" s="1667"/>
      <c r="Q25" s="1"/>
    </row>
    <row r="26" spans="1:17" ht="16.5" customHeight="1">
      <c r="A26" s="1"/>
      <c r="B26" s="1657"/>
      <c r="C26" s="1657"/>
      <c r="D26" s="1657"/>
      <c r="E26" s="1657"/>
      <c r="F26" s="1657"/>
      <c r="G26" s="1657"/>
      <c r="H26" s="1657"/>
      <c r="I26" s="1657"/>
      <c r="J26" s="1657"/>
      <c r="K26" s="1"/>
      <c r="L26" s="1"/>
      <c r="M26" s="1"/>
      <c r="N26" s="1"/>
      <c r="O26" s="1"/>
      <c r="P26" s="1"/>
      <c r="Q26" s="1"/>
    </row>
    <row r="27" spans="1:17" ht="19.5" customHeight="1" thickBot="1">
      <c r="A27" s="1"/>
      <c r="B27" s="1665" t="s">
        <v>264</v>
      </c>
      <c r="C27" s="1665"/>
      <c r="D27" s="1665"/>
      <c r="E27" s="1665"/>
      <c r="F27" s="1665"/>
      <c r="G27" s="1665"/>
      <c r="H27" s="1665"/>
      <c r="I27" s="1665"/>
      <c r="J27" s="1665"/>
      <c r="K27" s="1664" t="str">
        <f>CONCATENATE("Totale COSTI registrati nel periodo ",Presentazione!K26)</f>
        <v>Totale COSTI registrati nel periodo EURO</v>
      </c>
      <c r="L27" s="1664"/>
      <c r="M27" s="1664"/>
      <c r="N27" s="1664"/>
      <c r="O27" s="1662">
        <f ca="1">SUM(J128:J164)</f>
        <v>3205</v>
      </c>
      <c r="P27" s="1662"/>
      <c r="Q27" s="1"/>
    </row>
    <row r="28" spans="1:17" ht="16.5" customHeight="1" thickTop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16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ht="16.5" customHeight="1">
      <c r="A30" s="1"/>
      <c r="B30" s="1630" t="s">
        <v>349</v>
      </c>
      <c r="C30" s="1630"/>
      <c r="D30" s="1630"/>
      <c r="E30" s="1630"/>
      <c r="F30" s="1630"/>
      <c r="G30" s="1656" t="str">
        <f>F7</f>
        <v>Inserisci qui il NOME - 00000 - ROMA</v>
      </c>
      <c r="H30" s="1656"/>
      <c r="I30" s="1656"/>
      <c r="J30" s="1656"/>
      <c r="K30" s="1656"/>
      <c r="L30" s="1656"/>
      <c r="M30" s="1656"/>
      <c r="N30" s="1656"/>
      <c r="O30" s="1656"/>
      <c r="P30" s="1656"/>
      <c r="Q30" s="1"/>
    </row>
    <row r="31" spans="1:17" ht="10.5" customHeight="1">
      <c r="A31" s="1"/>
      <c r="B31" s="571"/>
      <c r="C31" s="571"/>
      <c r="D31" s="571"/>
      <c r="E31" s="571"/>
      <c r="F31" s="571"/>
      <c r="G31" s="571"/>
      <c r="H31" s="571"/>
      <c r="I31" s="571"/>
      <c r="J31" s="571"/>
      <c r="K31" s="571"/>
      <c r="L31" s="571"/>
      <c r="M31" s="571"/>
      <c r="N31" s="571"/>
      <c r="O31" s="571"/>
      <c r="P31" s="571"/>
      <c r="Q31" s="1"/>
    </row>
    <row r="32" spans="1:17" ht="16.5" customHeight="1">
      <c r="A32" s="1"/>
      <c r="B32" s="1109"/>
      <c r="C32" s="1109"/>
      <c r="D32" s="1109"/>
      <c r="E32" s="1109"/>
      <c r="F32" s="425">
        <f>F9</f>
        <v>2024</v>
      </c>
      <c r="G32" s="1109"/>
      <c r="H32" s="1109"/>
      <c r="I32" s="425">
        <f>I9</f>
        <v>2024</v>
      </c>
      <c r="J32" s="1109"/>
      <c r="K32" s="1109"/>
      <c r="L32" s="1109"/>
      <c r="M32" s="1109"/>
      <c r="N32" s="1109"/>
      <c r="O32" s="1109"/>
      <c r="P32" s="1109"/>
      <c r="Q32" s="1"/>
    </row>
    <row r="33" spans="1:21" ht="16.5" customHeight="1">
      <c r="A33" s="1"/>
      <c r="B33" s="1"/>
      <c r="C33" s="1659" t="s">
        <v>263</v>
      </c>
      <c r="D33" s="1659"/>
      <c r="E33" s="1660"/>
      <c r="F33" s="578" t="str">
        <f>F10</f>
        <v>GEN</v>
      </c>
      <c r="G33" s="1661" t="s">
        <v>262</v>
      </c>
      <c r="H33" s="1661"/>
      <c r="I33" s="578" t="str">
        <f>I10</f>
        <v>DIC</v>
      </c>
      <c r="K33" s="572" t="str">
        <f>K10</f>
        <v/>
      </c>
      <c r="L33" s="413"/>
      <c r="M33" s="413"/>
      <c r="N33" s="413"/>
      <c r="O33" s="413"/>
      <c r="P33" s="413"/>
      <c r="Q33" s="1"/>
    </row>
    <row r="34" spans="1:21" ht="16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21" ht="16.5" customHeight="1">
      <c r="A35" s="1"/>
      <c r="B35" s="573">
        <v>1</v>
      </c>
      <c r="C35" s="1621" t="str">
        <f>VLOOKUP(B35,ENTI!$A$9:$B$13,2,FALSE)</f>
        <v>Nome ENTE 1</v>
      </c>
      <c r="D35" s="1621"/>
      <c r="E35" s="1621"/>
      <c r="F35" s="574">
        <f ca="1">IF(AND($F$33=$B$128,$I$33=$B$128),HLOOKUP($F$33,RIPARTIZIONI!$W$36:$AH$41,B35+1,FALSE),IF($F$33=$B$128,HLOOKUP($I$33,RIPARTIZIONI!$W$36:$AH$41,B35+1,FALSE),SUM(HLOOKUP($I$33,RIPARTIZIONI!$W$36:$AH$41,B35+1,FALSE),SUM(HLOOKUP(VLOOKUP($F$33,$B$128:$L$139,11,FALSE),RIPARTIZIONI!$W$36:$AH$41,B35+1,FALSE)*-1))))</f>
        <v>322.17</v>
      </c>
      <c r="G35" s="835"/>
      <c r="H35" s="835"/>
      <c r="I35" s="835"/>
      <c r="J35" s="835"/>
      <c r="K35" s="835"/>
      <c r="L35" s="835"/>
      <c r="M35" s="835"/>
      <c r="N35" s="835"/>
      <c r="O35" s="835"/>
      <c r="P35" s="835"/>
      <c r="Q35" s="1"/>
    </row>
    <row r="36" spans="1:21" ht="16.5" customHeight="1">
      <c r="A36" s="1"/>
      <c r="B36" s="573">
        <f>B35+1</f>
        <v>2</v>
      </c>
      <c r="C36" s="1621" t="str">
        <f>VLOOKUP(B36,ENTI!$A$9:$B$13,2,FALSE)</f>
        <v>Nome ENTE 2</v>
      </c>
      <c r="D36" s="1621"/>
      <c r="E36" s="1621"/>
      <c r="F36" s="574">
        <f ca="1">IF(AND($F$33=$B$128,$I$33=$B$128),HLOOKUP($F$33,RIPARTIZIONI!$W$36:$AH$41,B36+1,FALSE),IF($F$33=$B$128,HLOOKUP($I$33,RIPARTIZIONI!$W$36:$AH$41,B36+1,FALSE),SUM(HLOOKUP($I$33,RIPARTIZIONI!$W$36:$AH$41,B36+1,FALSE),SUM(HLOOKUP(VLOOKUP($F$33,$B$128:$L$139,11,FALSE),RIPARTIZIONI!$W$36:$AH$41,B36+1,FALSE)*-1))))</f>
        <v>338.83</v>
      </c>
      <c r="G36" s="835"/>
      <c r="H36" s="835"/>
      <c r="I36" s="835"/>
      <c r="J36" s="835"/>
      <c r="K36" s="835"/>
      <c r="L36" s="835"/>
      <c r="M36" s="835"/>
      <c r="N36" s="835"/>
      <c r="O36" s="835"/>
      <c r="P36" s="835"/>
      <c r="Q36" s="1"/>
    </row>
    <row r="37" spans="1:21" ht="16.5" customHeight="1">
      <c r="A37" s="1"/>
      <c r="B37" s="573">
        <f t="shared" ref="B37:B39" si="6">B36+1</f>
        <v>3</v>
      </c>
      <c r="C37" s="1621" t="str">
        <f>VLOOKUP(B37,ENTI!$A$9:$B$13,2,FALSE)</f>
        <v>Nome ENTE 3</v>
      </c>
      <c r="D37" s="1621"/>
      <c r="E37" s="1621"/>
      <c r="F37" s="574">
        <f ca="1">IF(AND($F$33=$B$128,$I$33=$B$128),HLOOKUP($F$33,RIPARTIZIONI!$W$36:$AH$41,B37+1,FALSE),IF($F$33=$B$128,HLOOKUP($I$33,RIPARTIZIONI!$W$36:$AH$41,B37+1,FALSE),SUM(HLOOKUP($I$33,RIPARTIZIONI!$W$36:$AH$41,B37+1,FALSE),SUM(HLOOKUP(VLOOKUP($F$33,$B$128:$L$139,11,FALSE),RIPARTIZIONI!$W$36:$AH$41,B37+1,FALSE)*-1))))</f>
        <v>618.5</v>
      </c>
      <c r="G37" s="835"/>
      <c r="H37" s="835"/>
      <c r="I37" s="835"/>
      <c r="J37" s="835"/>
      <c r="K37" s="835"/>
      <c r="L37" s="835"/>
      <c r="M37" s="835"/>
      <c r="N37" s="835"/>
      <c r="O37" s="835"/>
      <c r="P37" s="835"/>
      <c r="Q37" s="1"/>
    </row>
    <row r="38" spans="1:21" ht="16.5" customHeight="1">
      <c r="A38" s="1"/>
      <c r="B38" s="573">
        <f t="shared" si="6"/>
        <v>4</v>
      </c>
      <c r="C38" s="1621" t="str">
        <f>VLOOKUP(B38,ENTI!$A$9:$B$13,2,FALSE)</f>
        <v>Nome ENTE 4 / sovrascrivi</v>
      </c>
      <c r="D38" s="1621"/>
      <c r="E38" s="1621"/>
      <c r="F38" s="574">
        <f ca="1">IF(AND($F$33=$B$128,$I$33=$B$128),HLOOKUP($F$33,RIPARTIZIONI!$W$36:$AH$41,B38+1,FALSE),IF($F$33=$B$128,HLOOKUP($I$33,RIPARTIZIONI!$W$36:$AH$41,B38+1,FALSE),SUM(HLOOKUP($I$33,RIPARTIZIONI!$W$36:$AH$41,B38+1,FALSE),SUM(HLOOKUP(VLOOKUP($F$33,$B$128:$L$139,11,FALSE),RIPARTIZIONI!$W$36:$AH$41,B38+1,FALSE)*-1))))</f>
        <v>665.17000000000007</v>
      </c>
      <c r="G38" s="835"/>
      <c r="H38" s="835"/>
      <c r="I38" s="835"/>
      <c r="J38" s="835"/>
      <c r="K38" s="835"/>
      <c r="L38" s="835"/>
      <c r="M38" s="835"/>
      <c r="N38" s="835"/>
      <c r="O38" s="835"/>
      <c r="P38" s="835"/>
      <c r="Q38" s="1"/>
      <c r="S38" s="1055"/>
    </row>
    <row r="39" spans="1:21" ht="16.5" customHeight="1">
      <c r="A39" s="1"/>
      <c r="B39" s="573">
        <f t="shared" si="6"/>
        <v>5</v>
      </c>
      <c r="C39" s="1621" t="str">
        <f>VLOOKUP(B39,ENTI!$A$9:$B$13,2,FALSE)</f>
        <v>Nome ENTE ultimo disponibile</v>
      </c>
      <c r="D39" s="1621"/>
      <c r="E39" s="1621"/>
      <c r="F39" s="574">
        <f ca="1">IF(AND($F$33=$B$128,$I$33=$B$128),HLOOKUP($F$33,RIPARTIZIONI!$W$36:$AH$41,B39+1,FALSE),IF($F$33=$B$128,HLOOKUP($I$33,RIPARTIZIONI!$W$36:$AH$41,B39+1,FALSE),SUM(HLOOKUP($I$33,RIPARTIZIONI!$W$36:$AH$41,B39+1,FALSE),SUM(HLOOKUP(VLOOKUP($F$33,$B$128:$L$139,11,FALSE),RIPARTIZIONI!$W$36:$AH$41,B39+1,FALSE)*-1))))</f>
        <v>1260.33</v>
      </c>
      <c r="G39" s="835"/>
      <c r="H39" s="835"/>
      <c r="I39" s="835"/>
      <c r="J39" s="835"/>
      <c r="K39" s="835"/>
      <c r="L39" s="835"/>
      <c r="M39" s="835"/>
      <c r="N39" s="835"/>
      <c r="O39" s="835"/>
      <c r="P39" s="835"/>
      <c r="Q39" s="1"/>
    </row>
    <row r="40" spans="1:21" ht="16.5" customHeight="1">
      <c r="A40" s="1"/>
      <c r="B40" s="46"/>
      <c r="C40" s="46"/>
      <c r="D40" s="46"/>
      <c r="E40" s="46"/>
      <c r="F40" s="46"/>
      <c r="G40" s="46"/>
      <c r="H40" s="46"/>
      <c r="I40" s="46"/>
      <c r="J40" s="46"/>
      <c r="K40" s="1"/>
      <c r="L40" s="1"/>
      <c r="M40" s="1"/>
      <c r="N40" s="1"/>
      <c r="O40" s="1"/>
      <c r="P40" s="1"/>
      <c r="Q40" s="1"/>
    </row>
    <row r="41" spans="1:21" ht="16.5" customHeight="1">
      <c r="A41" s="1"/>
      <c r="B41" s="1636"/>
      <c r="C41" s="1636"/>
      <c r="D41" s="1636"/>
      <c r="E41" s="1636"/>
      <c r="F41" s="1636"/>
      <c r="G41" s="1636"/>
      <c r="H41" s="1636"/>
      <c r="I41" s="1636"/>
      <c r="J41" s="1636"/>
      <c r="K41" s="1"/>
      <c r="L41" s="1"/>
      <c r="M41" s="1"/>
      <c r="N41" s="1"/>
      <c r="O41" s="1"/>
      <c r="P41" s="1"/>
      <c r="Q41" s="1"/>
    </row>
    <row r="42" spans="1:21" ht="19.5" customHeight="1" thickBot="1">
      <c r="A42" s="373"/>
      <c r="B42" s="1663" t="s">
        <v>348</v>
      </c>
      <c r="C42" s="1663"/>
      <c r="D42" s="1663"/>
      <c r="E42" s="1663"/>
      <c r="F42" s="1663"/>
      <c r="G42" s="1663"/>
      <c r="H42" s="1663"/>
      <c r="I42" s="1664" t="str">
        <f>CONCATENATE("Totale RIPARTIZIONE dei Costi ",Presentazione!K26)</f>
        <v>Totale RIPARTIZIONE dei Costi EURO</v>
      </c>
      <c r="J42" s="1664"/>
      <c r="K42" s="1664"/>
      <c r="L42" s="1664"/>
      <c r="M42" s="1664"/>
      <c r="N42" s="1664"/>
      <c r="O42" s="1662">
        <f ca="1">SUM(F35:F39)</f>
        <v>3205</v>
      </c>
      <c r="P42" s="1662"/>
      <c r="Q42" s="1"/>
      <c r="R42" s="1056">
        <f ca="1">O42-O27</f>
        <v>0</v>
      </c>
    </row>
    <row r="43" spans="1:21" ht="19.5" customHeight="1" thickTop="1">
      <c r="A43" s="1"/>
      <c r="B43" s="1647" t="str">
        <f>ENTI!$B$32</f>
        <v>www.marcopiccoli.it - Bilancio Condominiale 4.0.E05 FREE - per EXCEL .xlsx</v>
      </c>
      <c r="C43" s="1647"/>
      <c r="D43" s="1647"/>
      <c r="E43" s="1647"/>
      <c r="F43" s="1647"/>
      <c r="G43" s="1647"/>
      <c r="H43" s="1647"/>
      <c r="I43" s="1648" t="str">
        <f>CIRCOLARI!$C$5</f>
        <v>Inserisci qui il NOME   -   P.I./C.F codice fiscale condominio</v>
      </c>
      <c r="J43" s="1648"/>
      <c r="K43" s="1648"/>
      <c r="L43" s="1648"/>
      <c r="M43" s="1648"/>
      <c r="N43" s="1648"/>
      <c r="O43" s="1648"/>
      <c r="P43" s="1648"/>
      <c r="Q43" s="1"/>
    </row>
    <row r="44" spans="1:21" ht="27.75" customHeight="1">
      <c r="A44" s="1"/>
      <c r="B44" s="1653" t="s">
        <v>269</v>
      </c>
      <c r="C44" s="1653"/>
      <c r="D44" s="1653"/>
      <c r="E44" s="1653"/>
      <c r="F44" s="684"/>
      <c r="G44" s="1"/>
      <c r="H44" s="1"/>
      <c r="I44" s="1652" t="str">
        <f>Presentazione!$F$10</f>
        <v/>
      </c>
      <c r="J44" s="1652"/>
      <c r="K44" s="1652"/>
      <c r="L44" s="1652"/>
      <c r="M44" s="1652"/>
      <c r="N44" s="1652"/>
      <c r="O44" s="1652"/>
      <c r="P44" s="1652"/>
      <c r="Q44" s="1"/>
    </row>
    <row r="45" spans="1:21" ht="22.5" customHeight="1">
      <c r="A45" s="1"/>
      <c r="B45" s="1654" t="str">
        <f>RIPARTIZIONI!L25</f>
        <v>1 - in MILLESIMI   I</v>
      </c>
      <c r="C45" s="1654"/>
      <c r="D45" s="1654"/>
      <c r="E45" s="1654"/>
      <c r="F45" s="686"/>
      <c r="G45" s="686"/>
      <c r="H45" s="1"/>
      <c r="I45" s="1"/>
      <c r="J45" s="1"/>
      <c r="K45" s="1644" t="s">
        <v>399</v>
      </c>
      <c r="L45" s="1644"/>
      <c r="M45" s="1644"/>
      <c r="N45" s="1645" t="s">
        <v>382</v>
      </c>
      <c r="O45" s="1646"/>
      <c r="P45" s="1646"/>
      <c r="Q45" s="1"/>
    </row>
    <row r="46" spans="1:21" ht="12" customHeight="1">
      <c r="A46" s="1"/>
      <c r="B46" s="685"/>
      <c r="C46" s="685"/>
      <c r="D46" s="685"/>
      <c r="E46" s="685"/>
      <c r="F46" s="685"/>
      <c r="G46" s="685"/>
      <c r="H46" s="1"/>
      <c r="I46" s="683"/>
      <c r="J46" s="683"/>
      <c r="K46" s="683"/>
      <c r="L46" s="683"/>
      <c r="M46" s="683"/>
      <c r="N46" s="683"/>
      <c r="O46" s="683"/>
      <c r="P46" s="683"/>
      <c r="Q46" s="1"/>
      <c r="S46" s="1"/>
      <c r="T46" s="1"/>
      <c r="U46" s="1"/>
    </row>
    <row r="47" spans="1:21" ht="16.5" customHeight="1">
      <c r="A47" s="1"/>
      <c r="B47" s="1630" t="s">
        <v>268</v>
      </c>
      <c r="C47" s="1630"/>
      <c r="D47" s="1630"/>
      <c r="E47" s="1630"/>
      <c r="F47" s="1656" t="str">
        <f>G30</f>
        <v>Inserisci qui il NOME - 00000 - ROMA</v>
      </c>
      <c r="G47" s="1656"/>
      <c r="H47" s="1656"/>
      <c r="I47" s="1656"/>
      <c r="J47" s="1656"/>
      <c r="K47" s="1656"/>
      <c r="L47" s="1656"/>
      <c r="M47" s="1656"/>
      <c r="N47" s="1656"/>
      <c r="O47" s="1656"/>
      <c r="P47" s="1656"/>
      <c r="Q47" s="1"/>
      <c r="S47" s="1"/>
      <c r="T47" s="1"/>
      <c r="U47" s="1"/>
    </row>
    <row r="48" spans="1:21" ht="16.5" customHeight="1">
      <c r="A48" s="1"/>
      <c r="B48" s="1642" t="s">
        <v>266</v>
      </c>
      <c r="C48" s="1642"/>
      <c r="D48" s="1642"/>
      <c r="E48" s="1642"/>
      <c r="F48" s="1642"/>
      <c r="G48" s="1642"/>
      <c r="H48" s="1642"/>
      <c r="I48" s="1642"/>
      <c r="J48" s="1642"/>
      <c r="K48" s="1"/>
      <c r="L48" s="1"/>
      <c r="M48" s="1"/>
      <c r="N48" s="1"/>
      <c r="O48" s="1"/>
      <c r="P48" s="1"/>
      <c r="Q48" s="1"/>
      <c r="S48" s="1"/>
      <c r="T48" s="1"/>
      <c r="U48" s="1"/>
    </row>
    <row r="49" spans="1:21" ht="16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S49" s="1"/>
      <c r="T49" s="1"/>
      <c r="U49" s="1"/>
    </row>
    <row r="50" spans="1:21" ht="16.5" customHeight="1">
      <c r="A50" s="1"/>
      <c r="B50" s="1"/>
      <c r="C50" s="1"/>
      <c r="D50" s="1643" t="str">
        <f>IF(N45="","",IF(COSTI!G1009=B167,C167,B166))</f>
        <v>MILL.mi   I</v>
      </c>
      <c r="E50" s="1643"/>
      <c r="F50" s="682" t="s">
        <v>267</v>
      </c>
      <c r="G50" s="1"/>
      <c r="H50" s="835"/>
      <c r="I50" s="835"/>
      <c r="J50" s="835"/>
      <c r="K50" s="835"/>
      <c r="L50" s="1"/>
      <c r="M50" s="835"/>
      <c r="N50" s="835"/>
      <c r="O50" s="835"/>
      <c r="P50" s="835"/>
      <c r="Q50" s="1"/>
      <c r="S50" s="1"/>
      <c r="T50" s="1"/>
      <c r="U50" s="1"/>
    </row>
    <row r="51" spans="1:21" ht="16.5" customHeight="1">
      <c r="A51" s="1"/>
      <c r="B51" s="573">
        <v>1</v>
      </c>
      <c r="C51" s="1621" t="str">
        <f>C35</f>
        <v>Nome ENTE 1</v>
      </c>
      <c r="D51" s="1621"/>
      <c r="E51" s="692">
        <f>IF(D$50=$C$167,TEXT(T51," 0,00 %"),T51*1000)</f>
        <v>100</v>
      </c>
      <c r="F51" s="694">
        <f>ROUND($O$58*E51/$E$58,2)</f>
        <v>2000</v>
      </c>
      <c r="G51" s="835"/>
      <c r="H51" s="835"/>
      <c r="I51" s="835"/>
      <c r="J51" s="835"/>
      <c r="K51" s="835"/>
      <c r="L51" s="835"/>
      <c r="M51" s="835"/>
      <c r="N51" s="835"/>
      <c r="O51" s="835"/>
      <c r="P51" s="835"/>
      <c r="Q51" s="1"/>
      <c r="S51" s="1"/>
      <c r="T51" s="693">
        <f>IF(OR($G$175=FALSE,$K$175=FALSE),0,IF($N$45="",0,VLOOKUP(B51,COSTI!$F$1010:$G$1014,2,FALSE)))</f>
        <v>0.1</v>
      </c>
      <c r="U51" s="1"/>
    </row>
    <row r="52" spans="1:21" ht="16.5" customHeight="1">
      <c r="A52" s="1"/>
      <c r="B52" s="573">
        <f t="shared" ref="B52:B55" si="7">B51+1</f>
        <v>2</v>
      </c>
      <c r="C52" s="1621" t="str">
        <f>C36</f>
        <v>Nome ENTE 2</v>
      </c>
      <c r="D52" s="1621"/>
      <c r="E52" s="692">
        <f>IF(D$50=$C$167,TEXT(T52," 0,00 %"),T52*1000)</f>
        <v>100</v>
      </c>
      <c r="F52" s="694">
        <f>ROUND($O$58*E52/$E$58,2)</f>
        <v>2000</v>
      </c>
      <c r="G52" s="835"/>
      <c r="H52" s="835"/>
      <c r="I52" s="835"/>
      <c r="J52" s="835"/>
      <c r="K52" s="835"/>
      <c r="L52" s="835"/>
      <c r="M52" s="835"/>
      <c r="N52" s="835"/>
      <c r="O52" s="835"/>
      <c r="P52" s="835"/>
      <c r="Q52" s="1"/>
      <c r="S52" s="1"/>
      <c r="T52" s="693">
        <f>IF(OR($G$175=FALSE,$K$175=FALSE),0,IF($N$45="",0,VLOOKUP(B52,COSTI!$F$1010:$G$1014,2,FALSE)))</f>
        <v>0.1</v>
      </c>
      <c r="U52" s="1"/>
    </row>
    <row r="53" spans="1:21" ht="16.5" customHeight="1">
      <c r="A53" s="1"/>
      <c r="B53" s="573">
        <f t="shared" si="7"/>
        <v>3</v>
      </c>
      <c r="C53" s="1621" t="str">
        <f>C37</f>
        <v>Nome ENTE 3</v>
      </c>
      <c r="D53" s="1621"/>
      <c r="E53" s="692">
        <f>IF(D$50=$C$167,TEXT(T53," 0,00 %"),T53*1000)</f>
        <v>200</v>
      </c>
      <c r="F53" s="694">
        <f>ROUND($O$58*E53/$E$58,2)</f>
        <v>4000</v>
      </c>
      <c r="G53" s="835"/>
      <c r="H53" s="835"/>
      <c r="I53" s="835"/>
      <c r="J53" s="835"/>
      <c r="K53" s="835"/>
      <c r="L53" s="835"/>
      <c r="M53" s="835"/>
      <c r="N53" s="835"/>
      <c r="O53" s="835"/>
      <c r="P53" s="835"/>
      <c r="Q53" s="1"/>
      <c r="S53" s="1"/>
      <c r="T53" s="693">
        <f>IF(OR($G$175=FALSE,$K$175=FALSE),0,IF($N$45="",0,VLOOKUP(B53,COSTI!$F$1010:$G$1014,2,FALSE)))</f>
        <v>0.2</v>
      </c>
      <c r="U53" s="1"/>
    </row>
    <row r="54" spans="1:21" ht="16.5" customHeight="1">
      <c r="A54" s="1"/>
      <c r="B54" s="573">
        <f t="shared" si="7"/>
        <v>4</v>
      </c>
      <c r="C54" s="1621" t="str">
        <f>C38</f>
        <v>Nome ENTE 4 / sovrascrivi</v>
      </c>
      <c r="D54" s="1621"/>
      <c r="E54" s="692">
        <f>IF(D$50=$C$167,TEXT(T54," 0,00 %"),T54*1000)</f>
        <v>200</v>
      </c>
      <c r="F54" s="694">
        <f>ROUND($O$58*E54/$E$58,2)</f>
        <v>4000</v>
      </c>
      <c r="G54" s="835"/>
      <c r="H54" s="835"/>
      <c r="I54" s="835"/>
      <c r="J54" s="835"/>
      <c r="K54" s="835"/>
      <c r="L54" s="835"/>
      <c r="M54" s="835"/>
      <c r="N54" s="835"/>
      <c r="O54" s="835"/>
      <c r="P54" s="835"/>
      <c r="Q54" s="1"/>
      <c r="S54" s="1"/>
      <c r="T54" s="693">
        <f>IF(OR($G$175=FALSE,$K$175=FALSE),0,IF($N$45="",0,VLOOKUP(B54,COSTI!$F$1010:$G$1014,2,FALSE)))</f>
        <v>0.2</v>
      </c>
      <c r="U54" s="1"/>
    </row>
    <row r="55" spans="1:21" ht="16.5" customHeight="1">
      <c r="A55" s="1"/>
      <c r="B55" s="573">
        <f t="shared" si="7"/>
        <v>5</v>
      </c>
      <c r="C55" s="1621" t="str">
        <f>C39</f>
        <v>Nome ENTE ultimo disponibile</v>
      </c>
      <c r="D55" s="1621"/>
      <c r="E55" s="692">
        <f>IF(D$50=$C$167,TEXT(T55," 0,00 %"),T55*1000)</f>
        <v>400</v>
      </c>
      <c r="F55" s="694">
        <f>ROUND($O$58*E55/$E$58,2)</f>
        <v>8000</v>
      </c>
      <c r="G55" s="835"/>
      <c r="H55" s="835"/>
      <c r="I55" s="835"/>
      <c r="J55" s="835"/>
      <c r="K55" s="835"/>
      <c r="L55" s="835"/>
      <c r="M55" s="835"/>
      <c r="N55" s="835"/>
      <c r="O55" s="835"/>
      <c r="P55" s="835"/>
      <c r="Q55" s="1"/>
      <c r="S55" s="1"/>
      <c r="T55" s="693">
        <f>IF(OR($G$175=FALSE,$K$175=FALSE),0,IF($N$45="",0,VLOOKUP(B55,COSTI!$F$1010:$G$1014,2,FALSE)))</f>
        <v>0.4</v>
      </c>
      <c r="U55" s="1"/>
    </row>
    <row r="56" spans="1:21" ht="16.5" customHeight="1">
      <c r="A56" s="1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1"/>
      <c r="M56" s="1"/>
      <c r="N56" s="1"/>
      <c r="O56" s="1"/>
      <c r="P56" s="1"/>
      <c r="Q56" s="1"/>
      <c r="S56" s="1"/>
      <c r="T56" s="1"/>
      <c r="U56" s="1"/>
    </row>
    <row r="57" spans="1:21" ht="16.5" customHeight="1">
      <c r="A57" s="1"/>
      <c r="B57" s="1636"/>
      <c r="C57" s="1636"/>
      <c r="D57" s="1636"/>
      <c r="E57" s="1636"/>
      <c r="F57" s="1636"/>
      <c r="G57" s="1636"/>
      <c r="H57" s="1636"/>
      <c r="I57" s="1636"/>
      <c r="J57" s="1636"/>
      <c r="K57" s="1"/>
      <c r="L57" s="1"/>
      <c r="M57" s="1"/>
      <c r="N57" s="1"/>
      <c r="O57" s="1"/>
      <c r="P57" s="1"/>
      <c r="Q57" s="1"/>
      <c r="S57" s="1"/>
      <c r="T57" s="1"/>
      <c r="U57" s="1"/>
    </row>
    <row r="58" spans="1:21" ht="19.5" customHeight="1">
      <c r="A58" s="373"/>
      <c r="B58" s="1618" t="str">
        <f>CONCATENATE("Totale ",D50)</f>
        <v>Totale MILL.mi   I</v>
      </c>
      <c r="C58" s="1618"/>
      <c r="D58" s="1618"/>
      <c r="E58" s="1649">
        <f>IF(D50=C167,TEXT(SUM(T51:T55)," 0,00 %"),SUM(T51:T55)*1000)</f>
        <v>1000</v>
      </c>
      <c r="F58" s="1649"/>
      <c r="G58" s="1651" t="s">
        <v>401</v>
      </c>
      <c r="H58" s="1651"/>
      <c r="I58" s="1651"/>
      <c r="J58" s="1651"/>
      <c r="K58" s="1651"/>
      <c r="L58" s="1651"/>
      <c r="M58" s="1650" t="str">
        <f>CONCATENATE("QUOTA ",Presentazione!$K$26," ---&gt;")</f>
        <v>QUOTA EURO ---&gt;</v>
      </c>
      <c r="N58" s="1650"/>
      <c r="O58" s="1655">
        <v>20000</v>
      </c>
      <c r="P58" s="1655"/>
      <c r="Q58" s="580"/>
      <c r="S58" s="1"/>
      <c r="T58" s="1"/>
      <c r="U58" s="1"/>
    </row>
    <row r="59" spans="1:21" ht="16.5" customHeight="1">
      <c r="A59" s="1"/>
      <c r="B59" s="1677" t="s">
        <v>402</v>
      </c>
      <c r="C59" s="1677"/>
      <c r="D59" s="1677"/>
      <c r="E59" s="1677"/>
      <c r="F59" s="1677"/>
      <c r="G59" s="1677"/>
      <c r="H59" s="1677"/>
      <c r="I59" s="1677"/>
      <c r="J59" s="1677"/>
      <c r="K59" s="1677"/>
      <c r="L59" s="1677"/>
      <c r="M59" s="1677"/>
      <c r="N59" s="1677"/>
      <c r="O59" s="1677"/>
      <c r="P59" s="1677"/>
      <c r="Q59" s="1"/>
    </row>
    <row r="60" spans="1:21" ht="16.5" customHeight="1">
      <c r="A60" s="1"/>
      <c r="B60" s="1676" t="s">
        <v>540</v>
      </c>
      <c r="C60" s="1676"/>
      <c r="D60" s="1676"/>
      <c r="E60" s="1676"/>
      <c r="F60" s="1676"/>
      <c r="G60" s="1676"/>
      <c r="H60" s="1676"/>
      <c r="I60" s="1676"/>
      <c r="J60" s="1676"/>
      <c r="K60" s="1676"/>
      <c r="L60" s="1676"/>
      <c r="M60" s="1676"/>
      <c r="N60" s="1676"/>
      <c r="O60" s="697" t="s">
        <v>364</v>
      </c>
      <c r="P60" s="695"/>
      <c r="Q60" s="1"/>
    </row>
    <row r="61" spans="1:21" ht="16.5" customHeight="1">
      <c r="A61" s="1"/>
      <c r="B61" s="1676"/>
      <c r="C61" s="1676"/>
      <c r="D61" s="1676"/>
      <c r="E61" s="1676"/>
      <c r="F61" s="1676"/>
      <c r="G61" s="1676"/>
      <c r="H61" s="1676"/>
      <c r="I61" s="1676"/>
      <c r="J61" s="1676"/>
      <c r="K61" s="1676"/>
      <c r="L61" s="1676"/>
      <c r="M61" s="1676"/>
      <c r="N61" s="1676"/>
      <c r="O61" s="1676"/>
      <c r="P61" s="1676"/>
      <c r="Q61" s="1"/>
    </row>
    <row r="62" spans="1:21" ht="16.5" customHeight="1">
      <c r="A62" s="1"/>
      <c r="B62" s="1630" t="s">
        <v>270</v>
      </c>
      <c r="C62" s="1630"/>
      <c r="D62" s="1630"/>
      <c r="E62" s="1630"/>
      <c r="F62" s="1656" t="str">
        <f>F47</f>
        <v>Inserisci qui il NOME - 00000 - ROMA</v>
      </c>
      <c r="G62" s="1656"/>
      <c r="H62" s="1656"/>
      <c r="I62" s="1656"/>
      <c r="J62" s="1656"/>
      <c r="K62" s="1656"/>
      <c r="L62" s="1656"/>
      <c r="M62" s="1656"/>
      <c r="N62" s="1656"/>
      <c r="O62" s="1656"/>
      <c r="P62" s="1656"/>
      <c r="Q62" s="1"/>
    </row>
    <row r="63" spans="1:21" ht="16.5" customHeight="1">
      <c r="A63" s="1"/>
      <c r="B63" s="1642" t="s">
        <v>273</v>
      </c>
      <c r="C63" s="1642"/>
      <c r="D63" s="1642"/>
      <c r="E63" s="1642"/>
      <c r="F63" s="1642"/>
      <c r="G63" s="1642"/>
      <c r="H63" s="1642"/>
      <c r="I63" s="1642"/>
      <c r="J63" s="1642"/>
      <c r="K63" s="1642"/>
      <c r="L63" s="1"/>
      <c r="M63" s="1"/>
      <c r="N63" s="1"/>
      <c r="O63" s="1"/>
      <c r="P63" s="1"/>
      <c r="Q63" s="1"/>
    </row>
    <row r="64" spans="1:21" ht="10.5" customHeight="1">
      <c r="A64" s="1"/>
      <c r="B64" s="571"/>
      <c r="C64" s="571"/>
      <c r="D64" s="571"/>
      <c r="E64" s="571"/>
      <c r="F64" s="571"/>
      <c r="G64" s="571"/>
      <c r="H64" s="571"/>
      <c r="I64" s="571"/>
      <c r="J64" s="571"/>
      <c r="K64" s="571"/>
      <c r="L64" s="571"/>
      <c r="M64" s="571"/>
      <c r="N64" s="571"/>
      <c r="O64" s="571"/>
      <c r="P64" s="571"/>
      <c r="Q64" s="1"/>
    </row>
    <row r="65" spans="1:17" ht="16.5" customHeight="1">
      <c r="A65" s="1"/>
      <c r="B65" s="1109"/>
      <c r="C65" s="1109"/>
      <c r="D65" s="1109"/>
      <c r="E65" s="1109"/>
      <c r="F65" s="425">
        <f>YEAR(HLOOKUP(F66,Presentazione!B$204:M$210,7,FALSE))</f>
        <v>2024</v>
      </c>
      <c r="G65" s="1109"/>
      <c r="H65" s="1109"/>
      <c r="I65" s="425">
        <f>YEAR(HLOOKUP(I66,Presentazione!B$204:M$210,7,FALSE))</f>
        <v>2024</v>
      </c>
      <c r="J65" s="1109"/>
      <c r="K65" s="1109"/>
      <c r="L65" s="1109"/>
      <c r="M65" s="1109"/>
      <c r="N65" s="1109"/>
      <c r="O65" s="1109"/>
      <c r="P65" s="1109"/>
      <c r="Q65" s="1"/>
    </row>
    <row r="66" spans="1:17" ht="16.5" customHeight="1">
      <c r="A66" s="1"/>
      <c r="B66" s="1"/>
      <c r="C66" s="1659" t="s">
        <v>263</v>
      </c>
      <c r="D66" s="1659"/>
      <c r="E66" s="1660"/>
      <c r="F66" s="602" t="s">
        <v>19</v>
      </c>
      <c r="G66" s="1661" t="s">
        <v>262</v>
      </c>
      <c r="H66" s="1661"/>
      <c r="I66" s="602" t="s">
        <v>30</v>
      </c>
      <c r="K66" s="572" t="str">
        <f>IF(P66&lt;0,"ERROR","")</f>
        <v/>
      </c>
      <c r="L66" s="1"/>
      <c r="M66" s="1672" t="str">
        <f>ENTI!P4</f>
        <v>Totale in sistema</v>
      </c>
      <c r="N66" s="1673"/>
      <c r="O66" s="998" t="s">
        <v>364</v>
      </c>
      <c r="P66" s="633">
        <f>VLOOKUP(I66,B$128:C$139,2,FALSE)-VLOOKUP(F66,B$128:C$139,2,FALSE)</f>
        <v>335</v>
      </c>
      <c r="Q66" s="1"/>
    </row>
    <row r="67" spans="1:17" ht="16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674" t="str">
        <f>PATRIMONIALE!P4</f>
        <v>Totale in sistema</v>
      </c>
      <c r="N67" s="1675"/>
      <c r="O67" s="998" t="s">
        <v>364</v>
      </c>
      <c r="P67" s="1"/>
      <c r="Q67" s="1"/>
    </row>
    <row r="68" spans="1:17" ht="16.5" customHeight="1">
      <c r="A68" s="1"/>
      <c r="B68" s="1"/>
      <c r="C68" s="1"/>
      <c r="D68" s="1"/>
      <c r="E68" s="1"/>
      <c r="F68" s="582" t="s">
        <v>272</v>
      </c>
      <c r="G68" s="1"/>
      <c r="H68" s="1"/>
      <c r="I68" s="1"/>
      <c r="J68" s="1"/>
      <c r="K68" s="582"/>
      <c r="L68" s="1"/>
      <c r="M68" s="1"/>
      <c r="N68" s="1"/>
      <c r="O68" s="1"/>
      <c r="P68" s="582"/>
      <c r="Q68" s="1"/>
    </row>
    <row r="69" spans="1:17" ht="16.5" customHeight="1">
      <c r="A69" s="1"/>
      <c r="B69" s="1"/>
      <c r="C69" s="1"/>
      <c r="D69" s="1"/>
      <c r="E69" s="579" t="s">
        <v>271</v>
      </c>
      <c r="F69" s="583" t="str">
        <f>$I$66</f>
        <v>DIC</v>
      </c>
      <c r="G69" s="835"/>
      <c r="H69" s="835"/>
      <c r="I69" s="835"/>
      <c r="J69" s="835"/>
      <c r="K69" s="835"/>
      <c r="L69" s="835"/>
      <c r="M69" s="835"/>
      <c r="N69" s="835"/>
      <c r="O69" s="835"/>
      <c r="P69" s="835"/>
      <c r="Q69" s="1"/>
    </row>
    <row r="70" spans="1:17" ht="16.5" customHeight="1">
      <c r="A70" s="1"/>
      <c r="B70" s="573">
        <v>1</v>
      </c>
      <c r="C70" s="1621" t="str">
        <f>C35</f>
        <v>Nome ENTE 1</v>
      </c>
      <c r="D70" s="1621"/>
      <c r="E70" s="584">
        <f>IF($K$66="ERROR",0,IF(AND($F$66=$B$128,$I$66=$B$128),HLOOKUP($F$66,RIPARTIZIONI!$AJ$36:$AU$41,B70+1,FALSE),IF($F$66=$B$128,HLOOKUP($I$66,RIPARTIZIONI!$AJ$36:$AU$41,B70+1,FALSE),SUM(HLOOKUP($I$66,RIPARTIZIONI!$AJ$36:$AU$41,B70+1,FALSE),HLOOKUP(VLOOKUP($F$66,$B$128:$L$139,11,FALSE),RIPARTIZIONI!$AJ$36:$AU$41,B70+1,FALSE)*-1))))</f>
        <v>450</v>
      </c>
      <c r="F70" s="574">
        <f ca="1">IF($K$66="ERROR",0,IF(AND($F$66=$B$128,$I$66=$B$128),HLOOKUP($F$66,PATRIMONIALE!$F$5:$Q$38,B70+29,FALSE),IF($F$66=$B$128,HLOOKUP($I$66,PATRIMONIALE!$F$5:$Q$38,B70+29,FALSE),SUM(HLOOKUP($I$66,PATRIMONIALE!$F$5:$Q$38,B70+29,FALSE),HLOOKUP(VLOOKUP($F$66,$B$128:$L$139,11,FALSE),PATRIMONIALE!$F$5:$Q$38,B70+29,FALSE)*-1))))</f>
        <v>136.66</v>
      </c>
      <c r="G70" s="835"/>
      <c r="H70" s="835"/>
      <c r="I70" s="835"/>
      <c r="J70" s="835"/>
      <c r="K70" s="835"/>
      <c r="L70" s="835"/>
      <c r="M70" s="835"/>
      <c r="N70" s="835"/>
      <c r="O70" s="835"/>
      <c r="P70" s="835"/>
      <c r="Q70" s="1"/>
    </row>
    <row r="71" spans="1:17" ht="16.5" customHeight="1">
      <c r="A71" s="1"/>
      <c r="B71" s="573">
        <f t="shared" ref="B71:B74" si="8">B70+1</f>
        <v>2</v>
      </c>
      <c r="C71" s="1621" t="str">
        <f>C36</f>
        <v>Nome ENTE 2</v>
      </c>
      <c r="D71" s="1621"/>
      <c r="E71" s="584">
        <f>IF($K$66="ERROR",0,IF(AND($F$66=$B$128,$I$66=$B$128),HLOOKUP($F$66,RIPARTIZIONI!$AJ$36:$AU$41,B71+1,FALSE),IF($F$66=$B$128,HLOOKUP($I$66,RIPARTIZIONI!$AJ$36:$AU$41,B71+1,FALSE),SUM(HLOOKUP($I$66,RIPARTIZIONI!$AJ$36:$AU$41,B71+1,FALSE),HLOOKUP(VLOOKUP($F$66,$B$128:$L$139,11,FALSE),RIPARTIZIONI!$AJ$36:$AU$41,B71+1,FALSE)*-1))))</f>
        <v>650</v>
      </c>
      <c r="F71" s="574">
        <f ca="1">IF($K$66="ERROR",0,IF(AND($F$66=$B$128,$I$66=$B$128),HLOOKUP($F$66,PATRIMONIALE!$F$5:$Q$38,B71+29,FALSE),IF($F$66=$B$128,HLOOKUP($I$66,PATRIMONIALE!$F$5:$Q$38,B71+29,FALSE),SUM(HLOOKUP($I$66,PATRIMONIALE!$F$5:$Q$38,B71+29,FALSE),HLOOKUP(VLOOKUP($F$66,$B$128:$L$139,11,FALSE),PATRIMONIALE!$F$5:$Q$38,B71+29,FALSE)*-1))))</f>
        <v>309</v>
      </c>
      <c r="G71" s="835"/>
      <c r="H71" s="835"/>
      <c r="I71" s="835"/>
      <c r="J71" s="835"/>
      <c r="K71" s="835"/>
      <c r="L71" s="835"/>
      <c r="M71" s="835"/>
      <c r="N71" s="835"/>
      <c r="O71" s="835"/>
      <c r="P71" s="835"/>
      <c r="Q71" s="1"/>
    </row>
    <row r="72" spans="1:17" ht="16.5" customHeight="1">
      <c r="A72" s="1"/>
      <c r="B72" s="573">
        <f t="shared" si="8"/>
        <v>3</v>
      </c>
      <c r="C72" s="1621" t="str">
        <f>C37</f>
        <v>Nome ENTE 3</v>
      </c>
      <c r="D72" s="1621"/>
      <c r="E72" s="584">
        <f>IF($K$66="ERROR",0,IF(AND($F$66=$B$128,$I$66=$B$128),HLOOKUP($F$66,RIPARTIZIONI!$AJ$36:$AU$41,B72+1,FALSE),IF($F$66=$B$128,HLOOKUP($I$66,RIPARTIZIONI!$AJ$36:$AU$41,B72+1,FALSE),SUM(HLOOKUP($I$66,RIPARTIZIONI!$AJ$36:$AU$41,B72+1,FALSE),HLOOKUP(VLOOKUP($F$66,$B$128:$L$139,11,FALSE),RIPARTIZIONI!$AJ$36:$AU$41,B72+1,FALSE)*-1))))</f>
        <v>550</v>
      </c>
      <c r="F72" s="574">
        <f ca="1">IF($K$66="ERROR",0,IF(AND($F$66=$B$128,$I$66=$B$128),HLOOKUP($F$66,PATRIMONIALE!$F$5:$Q$38,B72+29,FALSE),IF($F$66=$B$128,HLOOKUP($I$66,PATRIMONIALE!$F$5:$Q$38,B72+29,FALSE),SUM(HLOOKUP($I$66,PATRIMONIALE!$F$5:$Q$38,B72+29,FALSE),HLOOKUP(VLOOKUP($F$66,$B$128:$L$139,11,FALSE),PATRIMONIALE!$F$5:$Q$38,B72+29,FALSE)*-1))))</f>
        <v>-106.92</v>
      </c>
      <c r="G72" s="835"/>
      <c r="H72" s="835"/>
      <c r="I72" s="835"/>
      <c r="J72" s="835"/>
      <c r="K72" s="835"/>
      <c r="L72" s="835"/>
      <c r="M72" s="835"/>
      <c r="N72" s="835"/>
      <c r="O72" s="835"/>
      <c r="P72" s="835"/>
      <c r="Q72" s="1"/>
    </row>
    <row r="73" spans="1:17" ht="16.5" customHeight="1">
      <c r="A73" s="1"/>
      <c r="B73" s="573">
        <f t="shared" si="8"/>
        <v>4</v>
      </c>
      <c r="C73" s="1621" t="str">
        <f>C38</f>
        <v>Nome ENTE 4 / sovrascrivi</v>
      </c>
      <c r="D73" s="1621"/>
      <c r="E73" s="584">
        <f>IF($K$66="ERROR",0,IF(AND($F$66=$B$128,$I$66=$B$128),HLOOKUP($F$66,RIPARTIZIONI!$AJ$36:$AU$41,B73+1,FALSE),IF($F$66=$B$128,HLOOKUP($I$66,RIPARTIZIONI!$AJ$36:$AU$41,B73+1,FALSE),SUM(HLOOKUP($I$66,RIPARTIZIONI!$AJ$36:$AU$41,B73+1,FALSE),HLOOKUP(VLOOKUP($F$66,$B$128:$L$139,11,FALSE),RIPARTIZIONI!$AJ$36:$AU$41,B73+1,FALSE)*-1))))</f>
        <v>650</v>
      </c>
      <c r="F73" s="574">
        <f ca="1">IF($K$66="ERROR",0,IF(AND($F$66=$B$128,$I$66=$B$128),HLOOKUP($F$66,PATRIMONIALE!$F$5:$Q$38,B73+29,FALSE),IF($F$66=$B$128,HLOOKUP($I$66,PATRIMONIALE!$F$5:$Q$38,B73+29,FALSE),SUM(HLOOKUP($I$66,PATRIMONIALE!$F$5:$Q$38,B73+29,FALSE),HLOOKUP(VLOOKUP($F$66,$B$128:$L$139,11,FALSE),PATRIMONIALE!$F$5:$Q$38,B73+29,FALSE)*-1))))</f>
        <v>-15.17</v>
      </c>
      <c r="G73" s="835"/>
      <c r="H73" s="835"/>
      <c r="I73" s="835"/>
      <c r="J73" s="835"/>
      <c r="K73" s="835"/>
      <c r="L73" s="835"/>
      <c r="M73" s="835"/>
      <c r="N73" s="835"/>
      <c r="O73" s="835"/>
      <c r="P73" s="835"/>
      <c r="Q73" s="1"/>
    </row>
    <row r="74" spans="1:17" ht="16.5" customHeight="1">
      <c r="A74" s="1"/>
      <c r="B74" s="573">
        <f t="shared" si="8"/>
        <v>5</v>
      </c>
      <c r="C74" s="1621" t="str">
        <f>C39</f>
        <v>Nome ENTE ultimo disponibile</v>
      </c>
      <c r="D74" s="1621"/>
      <c r="E74" s="584">
        <f>IF($K$66="ERROR",0,IF(AND($F$66=$B$128,$I$66=$B$128),HLOOKUP($F$66,RIPARTIZIONI!$AJ$36:$AU$41,B74+1,FALSE),IF($F$66=$B$128,HLOOKUP($I$66,RIPARTIZIONI!$AJ$36:$AU$41,B74+1,FALSE),SUM(HLOOKUP($I$66,RIPARTIZIONI!$AJ$36:$AU$41,B74+1,FALSE),HLOOKUP(VLOOKUP($F$66,$B$128:$L$139,11,FALSE),RIPARTIZIONI!$AJ$36:$AU$41,B74+1,FALSE)*-1))))</f>
        <v>300</v>
      </c>
      <c r="F74" s="574">
        <f ca="1">IF($K$66="ERROR",0,IF(AND($F$66=$B$128,$I$66=$B$128),HLOOKUP($F$66,PATRIMONIALE!$F$5:$Q$38,B74+29,FALSE),IF($F$66=$B$128,HLOOKUP($I$66,PATRIMONIALE!$F$5:$Q$38,B74+29,FALSE),SUM(HLOOKUP($I$66,PATRIMONIALE!$F$5:$Q$38,B74+29,FALSE),HLOOKUP(VLOOKUP($F$66,$B$128:$L$139,11,FALSE),PATRIMONIALE!$F$5:$Q$38,B74+29,FALSE)*-1))))</f>
        <v>-960.33</v>
      </c>
      <c r="G74" s="835"/>
      <c r="H74" s="835"/>
      <c r="I74" s="835"/>
      <c r="J74" s="835"/>
      <c r="K74" s="835"/>
      <c r="L74" s="835"/>
      <c r="M74" s="835"/>
      <c r="N74" s="835"/>
      <c r="O74" s="835"/>
      <c r="P74" s="835"/>
      <c r="Q74" s="1"/>
    </row>
    <row r="75" spans="1:17" ht="16.5" customHeight="1">
      <c r="A75" s="1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1"/>
      <c r="M75" s="1"/>
      <c r="N75" s="1"/>
      <c r="O75" s="1"/>
      <c r="P75" s="1"/>
      <c r="Q75" s="1"/>
    </row>
    <row r="76" spans="1:17" ht="16.5" customHeight="1">
      <c r="A76" s="1"/>
      <c r="B76" s="1636"/>
      <c r="C76" s="1636"/>
      <c r="D76" s="1636"/>
      <c r="E76" s="1636"/>
      <c r="F76" s="1636"/>
      <c r="G76" s="1636"/>
      <c r="H76" s="1636"/>
      <c r="I76" s="1636"/>
      <c r="J76" s="1636"/>
      <c r="K76" s="1"/>
      <c r="L76" s="1"/>
      <c r="M76" s="1"/>
      <c r="N76" s="1"/>
      <c r="O76" s="1"/>
      <c r="P76" s="1"/>
      <c r="Q76" s="1"/>
    </row>
    <row r="77" spans="1:17" ht="19.5" customHeight="1" thickBot="1">
      <c r="A77" s="373"/>
      <c r="B77" s="1686" t="str">
        <f>Presentazione!$F$10</f>
        <v/>
      </c>
      <c r="C77" s="1686"/>
      <c r="D77" s="1686"/>
      <c r="E77" s="1686"/>
      <c r="F77" s="1686"/>
      <c r="G77" s="1664" t="str">
        <f>CONCATENATE("ACCREDITATO agli enti ",Presentazione!K26)</f>
        <v>ACCREDITATO agli enti EURO</v>
      </c>
      <c r="H77" s="1664"/>
      <c r="I77" s="1664"/>
      <c r="J77" s="1662">
        <f>SUM(E70:E74)</f>
        <v>2600</v>
      </c>
      <c r="K77" s="1662"/>
      <c r="L77" s="1664" t="s">
        <v>350</v>
      </c>
      <c r="M77" s="1664"/>
      <c r="N77" s="1664"/>
      <c r="O77" s="1690">
        <f ca="1">SUM(F70:F74)</f>
        <v>-636.7600000000001</v>
      </c>
      <c r="P77" s="1690"/>
      <c r="Q77" s="1"/>
    </row>
    <row r="78" spans="1:17" ht="16.5" customHeight="1" thickTop="1">
      <c r="A78" s="1"/>
      <c r="B78" s="1666"/>
      <c r="C78" s="1666"/>
      <c r="D78" s="1666"/>
      <c r="E78" s="1666"/>
      <c r="F78" s="1666"/>
      <c r="G78" s="1666"/>
      <c r="H78" s="1666"/>
      <c r="I78" s="1666"/>
      <c r="J78" s="1666"/>
      <c r="K78" s="1666"/>
      <c r="L78" s="1666"/>
      <c r="M78" s="1666"/>
      <c r="N78" s="1666"/>
      <c r="O78" s="1666"/>
      <c r="P78" s="1666"/>
      <c r="Q78" s="1"/>
    </row>
    <row r="79" spans="1:17" ht="19.5" customHeight="1">
      <c r="A79" s="1"/>
      <c r="B79" s="1616" t="str">
        <f>ENTI!$B$32</f>
        <v>www.marcopiccoli.it - Bilancio Condominiale 4.0.E05 FREE - per EXCEL .xlsx</v>
      </c>
      <c r="C79" s="1616"/>
      <c r="D79" s="1616"/>
      <c r="E79" s="1616"/>
      <c r="F79" s="1616"/>
      <c r="G79" s="1616"/>
      <c r="H79" s="1616"/>
      <c r="I79" s="1617" t="str">
        <f>CIRCOLARI!$C$5</f>
        <v>Inserisci qui il NOME   -   P.I./C.F codice fiscale condominio</v>
      </c>
      <c r="J79" s="1617"/>
      <c r="K79" s="1617"/>
      <c r="L79" s="1617"/>
      <c r="M79" s="1617"/>
      <c r="N79" s="1617"/>
      <c r="O79" s="1617"/>
      <c r="P79" s="1617"/>
      <c r="Q79" s="1"/>
    </row>
    <row r="80" spans="1:17" ht="16.5" customHeight="1">
      <c r="A80" s="1"/>
      <c r="B80" s="581"/>
      <c r="C80" s="581"/>
      <c r="D80" s="581"/>
      <c r="E80" s="581"/>
      <c r="F80" s="581"/>
      <c r="G80" s="581"/>
      <c r="H80" s="581"/>
      <c r="I80" s="581"/>
      <c r="J80" s="581"/>
      <c r="K80" s="581"/>
      <c r="L80" s="581"/>
      <c r="M80" s="581"/>
      <c r="N80" s="581"/>
      <c r="O80" s="581"/>
      <c r="P80" s="581"/>
      <c r="Q80" s="1"/>
    </row>
    <row r="81" spans="1:17" ht="16.5" customHeight="1">
      <c r="A81" s="1"/>
      <c r="B81" s="1630" t="s">
        <v>265</v>
      </c>
      <c r="C81" s="1630"/>
      <c r="D81" s="1630"/>
      <c r="E81" s="1630"/>
      <c r="F81" s="1656" t="str">
        <f>F7</f>
        <v>Inserisci qui il NOME - 00000 - ROMA</v>
      </c>
      <c r="G81" s="1656"/>
      <c r="H81" s="1656"/>
      <c r="I81" s="1656"/>
      <c r="J81" s="1656"/>
      <c r="K81" s="1656"/>
      <c r="L81" s="1656"/>
      <c r="M81" s="1656"/>
      <c r="N81" s="1656"/>
      <c r="O81" s="1656"/>
      <c r="P81" s="1656"/>
      <c r="Q81" s="1"/>
    </row>
    <row r="82" spans="1:17" ht="16.5" customHeight="1">
      <c r="A82" s="1"/>
      <c r="B82" s="1653" t="s">
        <v>395</v>
      </c>
      <c r="C82" s="1653"/>
      <c r="D82" s="1653"/>
      <c r="E82" s="1653"/>
      <c r="F82" s="1653"/>
      <c r="G82" s="1653"/>
      <c r="H82" s="1653"/>
      <c r="I82" s="1653"/>
      <c r="J82" s="1653"/>
      <c r="K82" s="1653"/>
      <c r="L82" s="1653"/>
      <c r="M82" s="1653"/>
      <c r="N82" s="1653"/>
      <c r="O82" s="1653"/>
      <c r="P82" s="1653"/>
      <c r="Q82" s="1"/>
    </row>
    <row r="83" spans="1:17" ht="16.5" customHeight="1">
      <c r="A83" s="1"/>
      <c r="B83" s="1642" t="s">
        <v>434</v>
      </c>
      <c r="C83" s="1642"/>
      <c r="D83" s="1642"/>
      <c r="E83" s="1642"/>
      <c r="F83" s="1642"/>
      <c r="G83" s="1642"/>
      <c r="H83" s="1642"/>
      <c r="I83" s="1642"/>
      <c r="J83" s="1642"/>
      <c r="K83" s="1642"/>
      <c r="L83" s="1642"/>
      <c r="M83" s="1642"/>
      <c r="N83" s="1642"/>
      <c r="O83" s="1642"/>
      <c r="P83" s="1642"/>
      <c r="Q83" s="1"/>
    </row>
    <row r="84" spans="1:17" ht="16.5" customHeight="1">
      <c r="A84" s="1"/>
      <c r="B84" s="571"/>
      <c r="C84" s="571"/>
      <c r="D84" s="571"/>
      <c r="E84" s="571"/>
      <c r="F84" s="571"/>
      <c r="G84" s="571"/>
      <c r="H84" s="571"/>
      <c r="I84" s="571"/>
      <c r="J84" s="571"/>
      <c r="K84" s="571"/>
      <c r="L84" s="571"/>
      <c r="M84" s="571"/>
      <c r="N84" s="571"/>
      <c r="O84" s="571"/>
      <c r="P84" s="571"/>
      <c r="Q84" s="1"/>
    </row>
    <row r="85" spans="1:17" ht="16.5" customHeight="1">
      <c r="A85" s="1"/>
      <c r="B85" s="1"/>
      <c r="C85" s="1390" t="s">
        <v>288</v>
      </c>
      <c r="D85" s="1390"/>
      <c r="E85" s="1687"/>
      <c r="F85" s="1688"/>
      <c r="G85" s="1688"/>
      <c r="H85" s="1688" t="s">
        <v>292</v>
      </c>
      <c r="I85" s="1688"/>
      <c r="J85" s="1689"/>
      <c r="K85" s="1678" t="s">
        <v>1</v>
      </c>
      <c r="L85" s="1678"/>
      <c r="M85" s="1633" t="s">
        <v>262</v>
      </c>
      <c r="N85" s="1633"/>
      <c r="O85" s="1678" t="s">
        <v>12</v>
      </c>
      <c r="P85" s="1678"/>
      <c r="Q85" s="1"/>
    </row>
    <row r="86" spans="1:17" ht="16.5" customHeight="1">
      <c r="A86" s="1"/>
      <c r="B86" s="1"/>
      <c r="C86" s="1684" t="s">
        <v>289</v>
      </c>
      <c r="D86" s="1685"/>
      <c r="E86" s="1685"/>
      <c r="F86" s="1"/>
      <c r="G86" s="1"/>
      <c r="H86" s="1679" t="s">
        <v>13</v>
      </c>
      <c r="I86" s="1679"/>
      <c r="J86" s="1680"/>
      <c r="K86" s="1678">
        <v>2024</v>
      </c>
      <c r="L86" s="1678"/>
      <c r="M86" s="572" t="str">
        <f>IF(O86&lt;K86,"ERROR","")</f>
        <v/>
      </c>
      <c r="N86" s="585" t="s">
        <v>13</v>
      </c>
      <c r="O86" s="1678">
        <v>2025</v>
      </c>
      <c r="P86" s="1678"/>
      <c r="Q86" s="1"/>
    </row>
    <row r="87" spans="1:17" ht="16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1:17" ht="16.5" customHeight="1">
      <c r="A88" s="1"/>
      <c r="B88" s="1"/>
      <c r="C88" s="1631" t="str">
        <f>CONCATENATE("Imposta voce dei COSTI         -         ",Presentazione!$K$26)</f>
        <v>Imposta voce dei COSTI         -         EURO</v>
      </c>
      <c r="D88" s="1631"/>
      <c r="E88" s="1631"/>
      <c r="F88" s="1631"/>
      <c r="G88" s="1"/>
      <c r="H88" s="1631" t="str">
        <f>CONCATENATE("Imposta voce dei COSTI         -         ",Presentazione!$K$26)</f>
        <v>Imposta voce dei COSTI         -         EURO</v>
      </c>
      <c r="I88" s="1631"/>
      <c r="J88" s="1631"/>
      <c r="K88" s="1631"/>
      <c r="L88" s="1"/>
      <c r="M88" s="1631" t="str">
        <f>CONCATENATE("Imposta voce dei COSTI         -         ",Presentazione!$K$26)</f>
        <v>Imposta voce dei COSTI         -         EURO</v>
      </c>
      <c r="N88" s="1631"/>
      <c r="O88" s="1631"/>
      <c r="P88" s="1631"/>
      <c r="Q88" s="1"/>
    </row>
    <row r="89" spans="1:17" ht="16.5" customHeight="1">
      <c r="A89" s="1"/>
      <c r="B89" s="573">
        <v>1</v>
      </c>
      <c r="C89" s="1681" t="s">
        <v>49</v>
      </c>
      <c r="D89" s="1682"/>
      <c r="E89" s="1683"/>
      <c r="F89" s="603">
        <v>100</v>
      </c>
      <c r="G89" s="573">
        <v>13</v>
      </c>
      <c r="H89" s="1681"/>
      <c r="I89" s="1682"/>
      <c r="J89" s="1683"/>
      <c r="K89" s="603"/>
      <c r="L89" s="573">
        <v>25</v>
      </c>
      <c r="M89" s="1681"/>
      <c r="N89" s="1682"/>
      <c r="O89" s="1683"/>
      <c r="P89" s="603"/>
      <c r="Q89" s="1"/>
    </row>
    <row r="90" spans="1:17" ht="16.5" customHeight="1">
      <c r="A90" s="1"/>
      <c r="B90" s="573">
        <v>2</v>
      </c>
      <c r="C90" s="1623" t="s">
        <v>32</v>
      </c>
      <c r="D90" s="1624"/>
      <c r="E90" s="1625"/>
      <c r="F90" s="604">
        <v>100</v>
      </c>
      <c r="G90" s="573">
        <v>14</v>
      </c>
      <c r="H90" s="1623"/>
      <c r="I90" s="1624"/>
      <c r="J90" s="1625"/>
      <c r="K90" s="604"/>
      <c r="L90" s="573">
        <v>26</v>
      </c>
      <c r="M90" s="1623"/>
      <c r="N90" s="1624"/>
      <c r="O90" s="1625"/>
      <c r="P90" s="604"/>
      <c r="Q90" s="1"/>
    </row>
    <row r="91" spans="1:17" ht="16.5" customHeight="1">
      <c r="A91" s="1"/>
      <c r="B91" s="573">
        <v>3</v>
      </c>
      <c r="C91" s="1623" t="s">
        <v>56</v>
      </c>
      <c r="D91" s="1624"/>
      <c r="E91" s="1625"/>
      <c r="F91" s="604">
        <v>100</v>
      </c>
      <c r="G91" s="573">
        <v>15</v>
      </c>
      <c r="H91" s="1623"/>
      <c r="I91" s="1624"/>
      <c r="J91" s="1625"/>
      <c r="K91" s="604"/>
      <c r="L91" s="573">
        <v>27</v>
      </c>
      <c r="M91" s="1623"/>
      <c r="N91" s="1624"/>
      <c r="O91" s="1625"/>
      <c r="P91" s="604"/>
      <c r="Q91" s="1"/>
    </row>
    <row r="92" spans="1:17" ht="16.5" customHeight="1">
      <c r="A92" s="1"/>
      <c r="B92" s="573">
        <v>4</v>
      </c>
      <c r="C92" s="1623" t="s">
        <v>50</v>
      </c>
      <c r="D92" s="1624"/>
      <c r="E92" s="1625"/>
      <c r="F92" s="604">
        <v>100</v>
      </c>
      <c r="G92" s="573">
        <v>16</v>
      </c>
      <c r="H92" s="1623"/>
      <c r="I92" s="1624"/>
      <c r="J92" s="1625"/>
      <c r="K92" s="604"/>
      <c r="L92" s="573">
        <v>28</v>
      </c>
      <c r="M92" s="1623"/>
      <c r="N92" s="1624"/>
      <c r="O92" s="1625"/>
      <c r="P92" s="604"/>
      <c r="Q92" s="1"/>
    </row>
    <row r="93" spans="1:17" ht="16.5" customHeight="1">
      <c r="A93" s="1"/>
      <c r="B93" s="573">
        <v>5</v>
      </c>
      <c r="C93" s="1623" t="s">
        <v>51</v>
      </c>
      <c r="D93" s="1624"/>
      <c r="E93" s="1625"/>
      <c r="F93" s="604">
        <v>100</v>
      </c>
      <c r="G93" s="573">
        <v>17</v>
      </c>
      <c r="H93" s="1623"/>
      <c r="I93" s="1624"/>
      <c r="J93" s="1625"/>
      <c r="K93" s="604"/>
      <c r="L93" s="573">
        <v>29</v>
      </c>
      <c r="M93" s="1623"/>
      <c r="N93" s="1624"/>
      <c r="O93" s="1625"/>
      <c r="P93" s="604"/>
      <c r="Q93" s="1"/>
    </row>
    <row r="94" spans="1:17" ht="16.5" customHeight="1">
      <c r="A94" s="1"/>
      <c r="B94" s="573">
        <v>6</v>
      </c>
      <c r="C94" s="1623" t="s">
        <v>435</v>
      </c>
      <c r="D94" s="1624"/>
      <c r="E94" s="1625"/>
      <c r="F94" s="604">
        <v>100</v>
      </c>
      <c r="G94" s="573">
        <v>18</v>
      </c>
      <c r="H94" s="1623"/>
      <c r="I94" s="1624"/>
      <c r="J94" s="1625"/>
      <c r="K94" s="604"/>
      <c r="L94" s="573">
        <v>30</v>
      </c>
      <c r="M94" s="1623"/>
      <c r="N94" s="1624"/>
      <c r="O94" s="1625"/>
      <c r="P94" s="604"/>
      <c r="Q94" s="1"/>
    </row>
    <row r="95" spans="1:17" ht="16.5" customHeight="1">
      <c r="A95" s="1"/>
      <c r="B95" s="573">
        <v>7</v>
      </c>
      <c r="C95" s="1623" t="s">
        <v>52</v>
      </c>
      <c r="D95" s="1624"/>
      <c r="E95" s="1625"/>
      <c r="F95" s="604">
        <v>100</v>
      </c>
      <c r="G95" s="573">
        <v>19</v>
      </c>
      <c r="H95" s="1623"/>
      <c r="I95" s="1624"/>
      <c r="J95" s="1625"/>
      <c r="K95" s="604"/>
      <c r="L95" s="573">
        <v>31</v>
      </c>
      <c r="M95" s="1623"/>
      <c r="N95" s="1624"/>
      <c r="O95" s="1625"/>
      <c r="P95" s="604"/>
      <c r="Q95" s="1"/>
    </row>
    <row r="96" spans="1:17" ht="16.5" customHeight="1">
      <c r="A96" s="1"/>
      <c r="B96" s="573">
        <v>8</v>
      </c>
      <c r="C96" s="1623" t="s">
        <v>53</v>
      </c>
      <c r="D96" s="1624"/>
      <c r="E96" s="1625"/>
      <c r="F96" s="604">
        <v>100</v>
      </c>
      <c r="G96" s="573">
        <v>20</v>
      </c>
      <c r="H96" s="1623"/>
      <c r="I96" s="1624"/>
      <c r="J96" s="1625"/>
      <c r="K96" s="604"/>
      <c r="L96" s="573">
        <v>32</v>
      </c>
      <c r="M96" s="1623"/>
      <c r="N96" s="1624"/>
      <c r="O96" s="1625"/>
      <c r="P96" s="604"/>
      <c r="Q96" s="1"/>
    </row>
    <row r="97" spans="1:17" ht="16.5" customHeight="1">
      <c r="A97" s="1"/>
      <c r="B97" s="573">
        <v>9</v>
      </c>
      <c r="C97" s="1623" t="s">
        <v>54</v>
      </c>
      <c r="D97" s="1624"/>
      <c r="E97" s="1625"/>
      <c r="F97" s="604">
        <v>100</v>
      </c>
      <c r="G97" s="573">
        <v>21</v>
      </c>
      <c r="H97" s="1623"/>
      <c r="I97" s="1624"/>
      <c r="J97" s="1625"/>
      <c r="K97" s="604"/>
      <c r="L97" s="573">
        <v>33</v>
      </c>
      <c r="M97" s="1623"/>
      <c r="N97" s="1624"/>
      <c r="O97" s="1625"/>
      <c r="P97" s="604"/>
      <c r="Q97" s="1"/>
    </row>
    <row r="98" spans="1:17" ht="16.5" customHeight="1">
      <c r="A98" s="1"/>
      <c r="B98" s="573">
        <v>10</v>
      </c>
      <c r="C98" s="1623"/>
      <c r="D98" s="1624"/>
      <c r="E98" s="1625"/>
      <c r="F98" s="604"/>
      <c r="G98" s="573">
        <v>22</v>
      </c>
      <c r="H98" s="1623"/>
      <c r="I98" s="1624"/>
      <c r="J98" s="1625"/>
      <c r="K98" s="604"/>
      <c r="L98" s="573">
        <v>34</v>
      </c>
      <c r="M98" s="1623"/>
      <c r="N98" s="1624"/>
      <c r="O98" s="1625"/>
      <c r="P98" s="604"/>
      <c r="Q98" s="1"/>
    </row>
    <row r="99" spans="1:17" ht="16.5" customHeight="1">
      <c r="A99" s="1"/>
      <c r="B99" s="573">
        <v>11</v>
      </c>
      <c r="C99" s="1623"/>
      <c r="D99" s="1624"/>
      <c r="E99" s="1625"/>
      <c r="F99" s="604"/>
      <c r="G99" s="573">
        <v>23</v>
      </c>
      <c r="H99" s="1623"/>
      <c r="I99" s="1624"/>
      <c r="J99" s="1625"/>
      <c r="K99" s="604"/>
      <c r="L99" s="573">
        <v>35</v>
      </c>
      <c r="M99" s="1623"/>
      <c r="N99" s="1624"/>
      <c r="O99" s="1625"/>
      <c r="P99" s="604"/>
      <c r="Q99" s="1"/>
    </row>
    <row r="100" spans="1:17" ht="16.5" customHeight="1">
      <c r="A100" s="1"/>
      <c r="B100" s="573">
        <v>12</v>
      </c>
      <c r="C100" s="1627"/>
      <c r="D100" s="1628"/>
      <c r="E100" s="1629"/>
      <c r="F100" s="605"/>
      <c r="G100" s="573">
        <v>24</v>
      </c>
      <c r="H100" s="1627"/>
      <c r="I100" s="1628"/>
      <c r="J100" s="1629"/>
      <c r="K100" s="605"/>
      <c r="L100" s="573">
        <v>36</v>
      </c>
      <c r="M100" s="1627"/>
      <c r="N100" s="1628"/>
      <c r="O100" s="1629"/>
      <c r="P100" s="605"/>
      <c r="Q100" s="1"/>
    </row>
    <row r="101" spans="1:17" ht="16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ht="16.5" customHeight="1">
      <c r="A102" s="1"/>
      <c r="B102" s="586" t="s">
        <v>257</v>
      </c>
      <c r="C102" s="1637" t="str">
        <f>G164</f>
        <v>AMMINISTRATORE</v>
      </c>
      <c r="D102" s="1638"/>
      <c r="E102" s="1639"/>
      <c r="F102" s="606">
        <v>100</v>
      </c>
      <c r="G102" s="46"/>
      <c r="H102" s="46"/>
      <c r="I102" s="1626" t="str">
        <f>Presentazione!$F$10</f>
        <v/>
      </c>
      <c r="J102" s="1626"/>
      <c r="K102" s="1626"/>
      <c r="L102" s="1626"/>
      <c r="M102" s="1626"/>
      <c r="N102" s="1626"/>
      <c r="O102" s="1626"/>
      <c r="P102" s="1626"/>
      <c r="Q102" s="1"/>
    </row>
    <row r="103" spans="1:17" ht="16.5" customHeight="1">
      <c r="A103" s="1"/>
      <c r="B103" s="1636"/>
      <c r="C103" s="1636"/>
      <c r="D103" s="1636"/>
      <c r="E103" s="1636"/>
      <c r="F103" s="1636"/>
      <c r="G103" s="1636"/>
      <c r="H103" s="1636"/>
      <c r="I103" s="1636"/>
      <c r="J103" s="1636"/>
      <c r="K103" s="1"/>
      <c r="L103" s="1"/>
      <c r="M103" s="1"/>
      <c r="N103" s="1"/>
      <c r="O103" s="1"/>
      <c r="P103" s="1"/>
      <c r="Q103" s="1"/>
    </row>
    <row r="104" spans="1:17" ht="19.5" customHeight="1">
      <c r="A104" s="373"/>
      <c r="B104" s="1"/>
      <c r="C104" s="1618" t="str">
        <f>CONCATENATE("Totale PREVISIONE di SPESA per ",C86," ",Presentazione!K26)</f>
        <v>Totale PREVISIONE di SPESA per 1 MESE EURO</v>
      </c>
      <c r="D104" s="1618"/>
      <c r="E104" s="1618"/>
      <c r="F104" s="1618"/>
      <c r="G104" s="1618"/>
      <c r="H104" s="1618"/>
      <c r="I104" s="1620">
        <f>IF(C86="","ERROR",SUM(F89:F100)+SUM(K89:K100)+SUM(P89:P100)+F102)</f>
        <v>1000</v>
      </c>
      <c r="J104" s="1620"/>
      <c r="K104" s="1618" t="str">
        <f>CONCATENATE("Totale COSTI PREVISTI nel periodo ",Presentazione!K26)</f>
        <v>Totale COSTI PREVISTI nel periodo EURO</v>
      </c>
      <c r="L104" s="1618"/>
      <c r="M104" s="1618"/>
      <c r="N104" s="1618"/>
      <c r="O104" s="1620">
        <f>I104*VLOOKUP(C86,B162:C164,2,FALSE)</f>
        <v>24000</v>
      </c>
      <c r="P104" s="1620"/>
      <c r="Q104" s="1"/>
    </row>
    <row r="105" spans="1:17" ht="19.5" customHeight="1">
      <c r="A105" s="1"/>
      <c r="B105" s="1635" t="s">
        <v>264</v>
      </c>
      <c r="C105" s="1635"/>
      <c r="D105" s="1635"/>
      <c r="E105" s="1635"/>
      <c r="F105" s="1635"/>
      <c r="G105" s="1635"/>
      <c r="H105" s="1635"/>
      <c r="I105" s="1635"/>
      <c r="J105" s="1635"/>
      <c r="K105" s="1635"/>
      <c r="L105" s="1635"/>
      <c r="M105" s="1635"/>
      <c r="N105" s="1635"/>
      <c r="O105" s="1635"/>
      <c r="P105" s="1635"/>
      <c r="Q105" s="1"/>
    </row>
    <row r="106" spans="1:17" ht="16.5" customHeight="1">
      <c r="A106" s="1"/>
      <c r="B106" s="581"/>
      <c r="C106" s="581"/>
      <c r="D106" s="581"/>
      <c r="E106" s="581"/>
      <c r="F106" s="581"/>
      <c r="G106" s="581"/>
      <c r="H106" s="581"/>
      <c r="I106" s="581"/>
      <c r="J106" s="581"/>
      <c r="K106" s="581"/>
      <c r="L106" s="581"/>
      <c r="M106" s="581"/>
      <c r="N106" s="581"/>
      <c r="O106" s="581"/>
      <c r="P106" s="581"/>
      <c r="Q106" s="1"/>
    </row>
    <row r="107" spans="1:17" ht="16.5" customHeight="1">
      <c r="A107" s="1"/>
      <c r="B107" s="1630" t="s">
        <v>403</v>
      </c>
      <c r="C107" s="1630"/>
      <c r="D107" s="1630"/>
      <c r="E107" s="1630"/>
      <c r="F107" s="1630"/>
      <c r="G107" s="1630"/>
      <c r="H107" s="1632" t="str">
        <f>F81</f>
        <v>Inserisci qui il NOME - 00000 - ROMA</v>
      </c>
      <c r="I107" s="1632"/>
      <c r="J107" s="1632"/>
      <c r="K107" s="1632"/>
      <c r="L107" s="1632"/>
      <c r="M107" s="1632"/>
      <c r="N107" s="1632"/>
      <c r="O107" s="1632"/>
      <c r="P107" s="1632"/>
      <c r="Q107" s="587"/>
    </row>
    <row r="108" spans="1:17" ht="16.5" customHeight="1">
      <c r="A108" s="1"/>
      <c r="B108" s="1642" t="s">
        <v>404</v>
      </c>
      <c r="C108" s="1642"/>
      <c r="D108" s="1642"/>
      <c r="E108" s="1642"/>
      <c r="F108" s="1642"/>
      <c r="G108" s="1642"/>
      <c r="H108" s="1642"/>
      <c r="I108" s="1642"/>
      <c r="J108" s="1642"/>
      <c r="K108" s="1642"/>
      <c r="L108" s="1642"/>
      <c r="M108" s="1642"/>
      <c r="N108" s="1642"/>
      <c r="O108" s="1642"/>
      <c r="P108" s="1642"/>
      <c r="Q108" s="1"/>
    </row>
    <row r="109" spans="1:17" ht="16.5" customHeight="1">
      <c r="A109" s="1"/>
      <c r="B109" s="571"/>
      <c r="C109" s="571"/>
      <c r="D109" s="571"/>
      <c r="E109" s="571"/>
      <c r="F109" s="571"/>
      <c r="G109" s="571"/>
      <c r="H109" s="571"/>
      <c r="I109" s="571"/>
      <c r="J109" s="571"/>
      <c r="K109" s="571"/>
      <c r="L109" s="571"/>
      <c r="M109" s="571"/>
      <c r="N109" s="571"/>
      <c r="O109" s="571"/>
      <c r="P109" s="571"/>
      <c r="Q109" s="1"/>
    </row>
    <row r="110" spans="1:17" ht="16.5" customHeight="1">
      <c r="A110" s="1"/>
      <c r="B110" s="1"/>
      <c r="C110" s="1640" t="s">
        <v>263</v>
      </c>
      <c r="D110" s="1640"/>
      <c r="E110" s="1633"/>
      <c r="F110" s="1641" t="str">
        <f>K85</f>
        <v>Gennaio</v>
      </c>
      <c r="G110" s="1641"/>
      <c r="H110" s="1633" t="s">
        <v>262</v>
      </c>
      <c r="I110" s="1633"/>
      <c r="J110" s="1641" t="str">
        <f>O85</f>
        <v>Dicembre</v>
      </c>
      <c r="K110" s="1641"/>
      <c r="L110" s="1633" t="s">
        <v>281</v>
      </c>
      <c r="M110" s="1633"/>
      <c r="N110" s="1634" t="s">
        <v>276</v>
      </c>
      <c r="O110" s="1634"/>
      <c r="P110" s="1634"/>
      <c r="Q110" s="1"/>
    </row>
    <row r="111" spans="1:17" ht="16.5" customHeight="1">
      <c r="A111" s="1"/>
      <c r="B111" s="1"/>
      <c r="C111" s="1640" t="s">
        <v>13</v>
      </c>
      <c r="D111" s="1640"/>
      <c r="E111" s="1633"/>
      <c r="F111" s="1641">
        <f>K86</f>
        <v>2024</v>
      </c>
      <c r="G111" s="1641"/>
      <c r="H111" s="1633" t="s">
        <v>13</v>
      </c>
      <c r="I111" s="1633"/>
      <c r="J111" s="1641">
        <f>O86</f>
        <v>2025</v>
      </c>
      <c r="K111" s="1641"/>
      <c r="L111" s="1633" t="s">
        <v>280</v>
      </c>
      <c r="M111" s="1633"/>
      <c r="N111" s="1634" t="s">
        <v>382</v>
      </c>
      <c r="O111" s="1634"/>
      <c r="P111" s="1634"/>
      <c r="Q111" s="1"/>
    </row>
    <row r="112" spans="1:17" ht="16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21" ht="16.5" customHeight="1">
      <c r="A113" s="1"/>
      <c r="B113" s="1"/>
      <c r="C113" s="588" t="str">
        <f>M86</f>
        <v/>
      </c>
      <c r="D113" s="1615" t="s">
        <v>629</v>
      </c>
      <c r="E113" s="1615"/>
      <c r="F113" s="589" t="s">
        <v>16</v>
      </c>
      <c r="G113" s="835"/>
      <c r="H113" s="835"/>
      <c r="I113" s="835"/>
      <c r="J113" s="835"/>
      <c r="K113" s="835"/>
      <c r="L113" s="835"/>
      <c r="M113" s="835"/>
      <c r="N113" s="835"/>
      <c r="O113" s="835"/>
      <c r="P113" s="835"/>
      <c r="Q113" s="1"/>
    </row>
    <row r="114" spans="1:21" ht="16.5" customHeight="1">
      <c r="A114" s="1"/>
      <c r="B114" s="1"/>
      <c r="C114" s="1"/>
      <c r="D114" s="1622" t="str">
        <f>IF(COSTI!C1009=B171,C171,B170)</f>
        <v>MILL.mi   I</v>
      </c>
      <c r="E114" s="1622"/>
      <c r="F114" s="590" t="s">
        <v>282</v>
      </c>
      <c r="G114" s="835"/>
      <c r="H114" s="835"/>
      <c r="I114" s="835"/>
      <c r="J114" s="835"/>
      <c r="K114" s="835"/>
      <c r="L114" s="835"/>
      <c r="M114" s="835"/>
      <c r="N114" s="835"/>
      <c r="O114" s="835"/>
      <c r="P114" s="835"/>
      <c r="Q114" s="1"/>
      <c r="S114" s="1"/>
      <c r="T114" s="1"/>
      <c r="U114" s="1"/>
    </row>
    <row r="115" spans="1:21" ht="16.5" customHeight="1">
      <c r="A115" s="1"/>
      <c r="B115" s="573">
        <v>1</v>
      </c>
      <c r="C115" s="1621" t="str">
        <f>C70</f>
        <v>Nome ENTE 1</v>
      </c>
      <c r="D115" s="1621"/>
      <c r="E115" s="692">
        <f>IF(D$114=$C$171,TEXT(T115," 0,00 %"),T115*1000)</f>
        <v>100</v>
      </c>
      <c r="F115" s="574">
        <f>$O$104*T115/$E$121</f>
        <v>300</v>
      </c>
      <c r="G115" s="835"/>
      <c r="H115" s="835"/>
      <c r="I115" s="835"/>
      <c r="J115" s="835"/>
      <c r="K115" s="835"/>
      <c r="L115" s="835"/>
      <c r="M115" s="835"/>
      <c r="N115" s="835"/>
      <c r="O115" s="835"/>
      <c r="P115" s="835"/>
      <c r="Q115" s="1"/>
      <c r="S115" s="1"/>
      <c r="T115" s="693">
        <f>IF(OR($G$175=FALSE,$K$175=FALSE),0,IF($C$113="ERROR",0,VLOOKUP(B115,COSTI!$B$1010:$C$1014,2,FALSE)))</f>
        <v>0.1</v>
      </c>
      <c r="U115" s="1"/>
    </row>
    <row r="116" spans="1:21" ht="16.5" customHeight="1">
      <c r="A116" s="1"/>
      <c r="B116" s="573">
        <f t="shared" ref="B116:B119" si="9">B115+1</f>
        <v>2</v>
      </c>
      <c r="C116" s="1621" t="str">
        <f>C71</f>
        <v>Nome ENTE 2</v>
      </c>
      <c r="D116" s="1621"/>
      <c r="E116" s="692">
        <f>IF(D$114=$C$171,TEXT(T116," 0,00 %"),T116*1000)</f>
        <v>100</v>
      </c>
      <c r="F116" s="574">
        <f>$O$104*T116/$E$121</f>
        <v>300</v>
      </c>
      <c r="G116" s="835"/>
      <c r="H116" s="835"/>
      <c r="I116" s="835"/>
      <c r="J116" s="835"/>
      <c r="K116" s="835"/>
      <c r="L116" s="835"/>
      <c r="M116" s="835"/>
      <c r="N116" s="835"/>
      <c r="O116" s="835"/>
      <c r="P116" s="835"/>
      <c r="Q116" s="1"/>
      <c r="S116" s="1"/>
      <c r="T116" s="693">
        <f>IF(OR($G$175=FALSE,$K$175=FALSE),0,IF($C$113="ERROR",0,VLOOKUP(B116,COSTI!$B$1010:$C$1014,2,FALSE)))</f>
        <v>0.1</v>
      </c>
      <c r="U116" s="1"/>
    </row>
    <row r="117" spans="1:21" ht="16.5" customHeight="1">
      <c r="A117" s="1"/>
      <c r="B117" s="573">
        <f t="shared" si="9"/>
        <v>3</v>
      </c>
      <c r="C117" s="1621" t="str">
        <f>C72</f>
        <v>Nome ENTE 3</v>
      </c>
      <c r="D117" s="1621"/>
      <c r="E117" s="692">
        <f>IF(D$114=$C$171,TEXT(T117," 0,00 %"),T117*1000)</f>
        <v>200</v>
      </c>
      <c r="F117" s="574">
        <f>$O$104*T117/$E$121</f>
        <v>600</v>
      </c>
      <c r="G117" s="835"/>
      <c r="H117" s="835"/>
      <c r="I117" s="835"/>
      <c r="J117" s="835"/>
      <c r="K117" s="835"/>
      <c r="L117" s="835"/>
      <c r="M117" s="835"/>
      <c r="N117" s="835"/>
      <c r="O117" s="835"/>
      <c r="P117" s="835"/>
      <c r="Q117" s="1"/>
      <c r="S117" s="1"/>
      <c r="T117" s="693">
        <f>IF(OR($G$175=FALSE,$K$175=FALSE),0,IF($C$113="ERROR",0,VLOOKUP(B117,COSTI!$B$1010:$C$1014,2,FALSE)))</f>
        <v>0.2</v>
      </c>
      <c r="U117" s="1"/>
    </row>
    <row r="118" spans="1:21" ht="16.5" customHeight="1">
      <c r="A118" s="1"/>
      <c r="B118" s="573">
        <f t="shared" si="9"/>
        <v>4</v>
      </c>
      <c r="C118" s="1621" t="str">
        <f>C73</f>
        <v>Nome ENTE 4 / sovrascrivi</v>
      </c>
      <c r="D118" s="1621"/>
      <c r="E118" s="692">
        <f>IF(D$114=$C$171,TEXT(T118," 0,00 %"),T118*1000)</f>
        <v>200</v>
      </c>
      <c r="F118" s="574">
        <f>$O$104*T118/$E$121</f>
        <v>600</v>
      </c>
      <c r="G118" s="835"/>
      <c r="H118" s="835"/>
      <c r="I118" s="835"/>
      <c r="J118" s="835"/>
      <c r="K118" s="835"/>
      <c r="L118" s="835"/>
      <c r="M118" s="835"/>
      <c r="N118" s="835"/>
      <c r="O118" s="835"/>
      <c r="P118" s="835"/>
      <c r="Q118" s="1"/>
      <c r="S118" s="1"/>
      <c r="T118" s="693">
        <f>IF(OR($G$175=FALSE,$K$175=FALSE),0,IF($C$113="ERROR",0,VLOOKUP(B118,COSTI!$B$1010:$C$1014,2,FALSE)))</f>
        <v>0.2</v>
      </c>
      <c r="U118" s="1"/>
    </row>
    <row r="119" spans="1:21" ht="16.5" customHeight="1">
      <c r="A119" s="1"/>
      <c r="B119" s="573">
        <f t="shared" si="9"/>
        <v>5</v>
      </c>
      <c r="C119" s="1621" t="str">
        <f>C74</f>
        <v>Nome ENTE ultimo disponibile</v>
      </c>
      <c r="D119" s="1621"/>
      <c r="E119" s="692">
        <f>IF(D$114=$C$171,TEXT(T119," 0,00 %"),T119*1000)</f>
        <v>400</v>
      </c>
      <c r="F119" s="574">
        <f>$O$104*T119/$E$121</f>
        <v>1200</v>
      </c>
      <c r="G119" s="835"/>
      <c r="H119" s="835"/>
      <c r="I119" s="835"/>
      <c r="J119" s="835"/>
      <c r="K119" s="835"/>
      <c r="L119" s="835"/>
      <c r="M119" s="835"/>
      <c r="N119" s="835"/>
      <c r="O119" s="835"/>
      <c r="P119" s="835"/>
      <c r="Q119" s="1"/>
      <c r="S119" s="1"/>
      <c r="T119" s="693">
        <f>IF(OR($G$175=FALSE,$K$175=FALSE),0,IF($C$113="ERROR",0,VLOOKUP(B119,COSTI!$B$1010:$C$1014,2,FALSE)))</f>
        <v>0.4</v>
      </c>
      <c r="U119" s="1"/>
    </row>
    <row r="120" spans="1:21" ht="16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S120" s="1"/>
      <c r="T120" s="1"/>
      <c r="U120" s="1"/>
    </row>
    <row r="121" spans="1:21" ht="19.5" customHeight="1">
      <c r="A121" s="373"/>
      <c r="B121" s="1619" t="s">
        <v>396</v>
      </c>
      <c r="C121" s="1619"/>
      <c r="D121" s="1619"/>
      <c r="E121" s="751">
        <f>IF(C113="ERROR",0,E171)</f>
        <v>8</v>
      </c>
      <c r="F121" s="698"/>
      <c r="G121" s="1618" t="str">
        <f>CONCATENATE("Somma RATE di 1 scadenza: Totale ",F113)</f>
        <v>Somma RATE di 1 scadenza: Totale EURO</v>
      </c>
      <c r="H121" s="1618"/>
      <c r="I121" s="1618"/>
      <c r="J121" s="1618"/>
      <c r="K121" s="1620">
        <f>SUM(F115:F119)</f>
        <v>3000</v>
      </c>
      <c r="L121" s="1620"/>
      <c r="M121" s="1618" t="s">
        <v>397</v>
      </c>
      <c r="N121" s="1618"/>
      <c r="O121" s="1620">
        <f>K121*E121</f>
        <v>24000</v>
      </c>
      <c r="P121" s="1620"/>
      <c r="Q121" s="1"/>
    </row>
    <row r="122" spans="1:21" ht="19.5" customHeight="1">
      <c r="A122" s="1"/>
      <c r="B122" s="749" t="s">
        <v>405</v>
      </c>
      <c r="C122" s="750">
        <f>SUM(T115:T119)</f>
        <v>1</v>
      </c>
      <c r="D122" s="681" t="s">
        <v>284</v>
      </c>
      <c r="E122" s="752">
        <f>IF(C113="ERROR",0,H172)</f>
        <v>24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1:21" ht="19.5" customHeight="1">
      <c r="A123" s="1"/>
      <c r="B123" s="1616" t="str">
        <f>ENTI!$B$32</f>
        <v>www.marcopiccoli.it - Bilancio Condominiale 4.0.E05 FREE - per EXCEL .xlsx</v>
      </c>
      <c r="C123" s="1616"/>
      <c r="D123" s="1616"/>
      <c r="E123" s="1616"/>
      <c r="F123" s="1616"/>
      <c r="G123" s="1616"/>
      <c r="H123" s="1616"/>
      <c r="I123" s="1617" t="str">
        <f>CIRCOLARI!$C$5</f>
        <v>Inserisci qui il NOME   -   P.I./C.F codice fiscale condominio</v>
      </c>
      <c r="J123" s="1617"/>
      <c r="K123" s="1617"/>
      <c r="L123" s="1617"/>
      <c r="M123" s="1617"/>
      <c r="N123" s="1617"/>
      <c r="O123" s="1617"/>
      <c r="P123" s="1617"/>
      <c r="Q123" s="1"/>
    </row>
    <row r="124" spans="1:21" ht="16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21" ht="16.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21" ht="16.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21" hidden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1:21" hidden="1">
      <c r="A128" s="1"/>
      <c r="B128" s="106" t="str">
        <f>Presentazione!B204</f>
        <v>GEN</v>
      </c>
      <c r="C128" s="591">
        <f>Presentazione!B210</f>
        <v>45292</v>
      </c>
      <c r="D128" s="591">
        <f>C129-1</f>
        <v>45322</v>
      </c>
      <c r="E128" s="592">
        <f>IF(G128=0,0,1)</f>
        <v>1</v>
      </c>
      <c r="F128" s="593" t="str">
        <f>COSTI!B9</f>
        <v>Assicurazione</v>
      </c>
      <c r="G128" s="594" t="str">
        <f>IF(ISERROR(VLOOKUP(F128,COSTI!CO$4:CO$1003,1,FALSE)),0,F128)</f>
        <v>Assicurazione</v>
      </c>
      <c r="H128" s="437"/>
      <c r="I128" s="437"/>
      <c r="J128" s="595">
        <f>SUMIF(COSTI!CO$4:CO$1003,G128,COSTI!CN$4:CN$1003)</f>
        <v>150</v>
      </c>
      <c r="K128" s="1"/>
      <c r="L128" s="106"/>
      <c r="M128" s="593" t="str">
        <f>IF(F128=0,"",F128)</f>
        <v>Assicurazione</v>
      </c>
      <c r="N128" s="1"/>
      <c r="O128" s="1"/>
      <c r="P128" s="1"/>
      <c r="Q128" s="1"/>
    </row>
    <row r="129" spans="1:17" hidden="1">
      <c r="A129" s="1"/>
      <c r="B129" s="106" t="str">
        <f>Presentazione!C204</f>
        <v>FEB</v>
      </c>
      <c r="C129" s="591">
        <f>Presentazione!C210</f>
        <v>45323</v>
      </c>
      <c r="D129" s="591">
        <f t="shared" ref="D129:D138" si="10">C130-1</f>
        <v>45351</v>
      </c>
      <c r="E129" s="592">
        <f>IF(G129=0,0,MAX(E$128:E128)+1)</f>
        <v>2</v>
      </c>
      <c r="F129" s="593" t="str">
        <f>COSTI!B10</f>
        <v>Attrezzatura</v>
      </c>
      <c r="G129" s="594" t="str">
        <f>IF(ISERROR(VLOOKUP(F129,COSTI!CO$4:CO$1003,1,FALSE)),0,F129)</f>
        <v>Attrezzatura</v>
      </c>
      <c r="H129" s="437"/>
      <c r="I129" s="437"/>
      <c r="J129" s="595">
        <f>SUMIF(COSTI!CO$4:CO$1003,G129,COSTI!CN$4:CN$1003)</f>
        <v>150</v>
      </c>
      <c r="K129" s="1"/>
      <c r="L129" s="106" t="str">
        <f>B128</f>
        <v>GEN</v>
      </c>
      <c r="M129" s="593" t="str">
        <f t="shared" ref="M129:M163" si="11">IF(F129=0,"",F129)</f>
        <v>Attrezzatura</v>
      </c>
      <c r="N129" s="1"/>
      <c r="O129" s="1"/>
      <c r="P129" s="1"/>
      <c r="Q129" s="1"/>
    </row>
    <row r="130" spans="1:17" hidden="1">
      <c r="A130" s="1"/>
      <c r="B130" s="106" t="str">
        <f>Presentazione!D204</f>
        <v>MAR</v>
      </c>
      <c r="C130" s="591">
        <f>Presentazione!D210</f>
        <v>45352</v>
      </c>
      <c r="D130" s="591">
        <f t="shared" si="10"/>
        <v>45382</v>
      </c>
      <c r="E130" s="592">
        <f>IF(G130=0,0,MAX(E$128:E129)+1)</f>
        <v>3</v>
      </c>
      <c r="F130" s="593" t="str">
        <f>COSTI!B11</f>
        <v>Spese Postali - Notarili - Documenti</v>
      </c>
      <c r="G130" s="594" t="str">
        <f>IF(ISERROR(VLOOKUP(F130,COSTI!CO$4:CO$1003,1,FALSE)),0,F130)</f>
        <v>Spese Postali - Notarili - Documenti</v>
      </c>
      <c r="H130" s="437"/>
      <c r="I130" s="437"/>
      <c r="J130" s="595">
        <f>SUMIF(COSTI!CO$4:CO$1003,G130,COSTI!CN$4:CN$1003)</f>
        <v>150</v>
      </c>
      <c r="K130" s="1"/>
      <c r="L130" s="106" t="str">
        <f t="shared" ref="L130:L139" si="12">B129</f>
        <v>FEB</v>
      </c>
      <c r="M130" s="593" t="str">
        <f t="shared" si="11"/>
        <v>Spese Postali - Notarili - Documenti</v>
      </c>
      <c r="N130" s="1"/>
      <c r="O130" s="1"/>
      <c r="P130" s="1"/>
      <c r="Q130" s="1"/>
    </row>
    <row r="131" spans="1:17" hidden="1">
      <c r="A131" s="1"/>
      <c r="B131" s="106" t="str">
        <f>Presentazione!E204</f>
        <v>APR</v>
      </c>
      <c r="C131" s="591">
        <f>Presentazione!E210</f>
        <v>45383</v>
      </c>
      <c r="D131" s="591">
        <f t="shared" si="10"/>
        <v>45412</v>
      </c>
      <c r="E131" s="592">
        <f>IF(G131=0,0,MAX(E$128:E130)+1)</f>
        <v>4</v>
      </c>
      <c r="F131" s="593" t="str">
        <f>COSTI!B12</f>
        <v>Spese Bancarie</v>
      </c>
      <c r="G131" s="594" t="str">
        <f>IF(ISERROR(VLOOKUP(F131,COSTI!CO$4:CO$1003,1,FALSE)),0,F131)</f>
        <v>Spese Bancarie</v>
      </c>
      <c r="H131" s="437"/>
      <c r="I131" s="437"/>
      <c r="J131" s="595">
        <f>SUMIF(COSTI!CO$4:CO$1003,G131,COSTI!CN$4:CN$1003)</f>
        <v>200</v>
      </c>
      <c r="K131" s="1"/>
      <c r="L131" s="106" t="str">
        <f t="shared" si="12"/>
        <v>MAR</v>
      </c>
      <c r="M131" s="593" t="str">
        <f t="shared" si="11"/>
        <v>Spese Bancarie</v>
      </c>
      <c r="N131" s="1"/>
      <c r="O131" s="1"/>
      <c r="P131" s="1"/>
      <c r="Q131" s="1"/>
    </row>
    <row r="132" spans="1:17" hidden="1">
      <c r="A132" s="1"/>
      <c r="B132" s="106" t="str">
        <f>Presentazione!F204</f>
        <v>MAG</v>
      </c>
      <c r="C132" s="591">
        <f>Presentazione!F210</f>
        <v>45413</v>
      </c>
      <c r="D132" s="591">
        <f t="shared" si="10"/>
        <v>45443</v>
      </c>
      <c r="E132" s="592">
        <f>IF(G132=0,0,MAX(E$128:E131)+1)</f>
        <v>5</v>
      </c>
      <c r="F132" s="593" t="str">
        <f>COSTI!B13</f>
        <v>Imposte e tasse condominiali</v>
      </c>
      <c r="G132" s="594" t="str">
        <f>IF(ISERROR(VLOOKUP(F132,COSTI!CO$4:CO$1003,1,FALSE)),0,F132)</f>
        <v>Imposte e tasse condominiali</v>
      </c>
      <c r="H132" s="437"/>
      <c r="I132" s="437"/>
      <c r="J132" s="595">
        <f>SUMIF(COSTI!CO$4:CO$1003,G132,COSTI!CN$4:CN$1003)</f>
        <v>200</v>
      </c>
      <c r="K132" s="1"/>
      <c r="L132" s="106" t="str">
        <f t="shared" si="12"/>
        <v>APR</v>
      </c>
      <c r="M132" s="593" t="str">
        <f t="shared" si="11"/>
        <v>Imposte e tasse condominiali</v>
      </c>
      <c r="N132" s="1"/>
      <c r="O132" s="1"/>
      <c r="P132" s="1"/>
      <c r="Q132" s="1"/>
    </row>
    <row r="133" spans="1:17" hidden="1">
      <c r="A133" s="1"/>
      <c r="B133" s="106" t="str">
        <f>Presentazione!G204</f>
        <v>GIU</v>
      </c>
      <c r="C133" s="591">
        <f>Presentazione!G210</f>
        <v>45444</v>
      </c>
      <c r="D133" s="591">
        <f t="shared" si="10"/>
        <v>45473</v>
      </c>
      <c r="E133" s="592">
        <f>IF(G133=0,0,MAX(E$128:E132)+1)</f>
        <v>6</v>
      </c>
      <c r="F133" s="593" t="str">
        <f>COSTI!B14</f>
        <v>Fornitura combustibile</v>
      </c>
      <c r="G133" s="594" t="str">
        <f>IF(ISERROR(VLOOKUP(F133,COSTI!CO$4:CO$1003,1,FALSE)),0,F133)</f>
        <v>Fornitura combustibile</v>
      </c>
      <c r="H133" s="437"/>
      <c r="I133" s="437"/>
      <c r="J133" s="595">
        <f>SUMIF(COSTI!CO$4:CO$1003,G133,COSTI!CN$4:CN$1003)</f>
        <v>200</v>
      </c>
      <c r="K133" s="1"/>
      <c r="L133" s="106" t="str">
        <f t="shared" si="12"/>
        <v>MAG</v>
      </c>
      <c r="M133" s="593" t="str">
        <f t="shared" si="11"/>
        <v>Fornitura combustibile</v>
      </c>
      <c r="N133" s="1"/>
      <c r="O133" s="1"/>
      <c r="P133" s="1"/>
      <c r="Q133" s="1"/>
    </row>
    <row r="134" spans="1:17" hidden="1">
      <c r="A134" s="1"/>
      <c r="B134" s="106" t="str">
        <f>Presentazione!H204</f>
        <v>LUG</v>
      </c>
      <c r="C134" s="591">
        <f>Presentazione!H210</f>
        <v>45474</v>
      </c>
      <c r="D134" s="591">
        <f t="shared" si="10"/>
        <v>45504</v>
      </c>
      <c r="E134" s="592">
        <f>IF(G134=0,0,MAX(E$128:E133)+1)</f>
        <v>7</v>
      </c>
      <c r="F134" s="593" t="str">
        <f>COSTI!B15</f>
        <v>Risc.to - Manutenzioni ordinarie</v>
      </c>
      <c r="G134" s="594" t="str">
        <f>IF(ISERROR(VLOOKUP(F134,COSTI!CO$4:CO$1003,1,FALSE)),0,F134)</f>
        <v>Risc.to - Manutenzioni ordinarie</v>
      </c>
      <c r="H134" s="437"/>
      <c r="I134" s="437"/>
      <c r="J134" s="595">
        <f>SUMIF(COSTI!CO$4:CO$1003,G134,COSTI!CN$4:CN$1003)</f>
        <v>150</v>
      </c>
      <c r="K134" s="1"/>
      <c r="L134" s="106" t="str">
        <f t="shared" si="12"/>
        <v>GIU</v>
      </c>
      <c r="M134" s="593" t="str">
        <f t="shared" si="11"/>
        <v>Risc.to - Manutenzioni ordinarie</v>
      </c>
      <c r="N134" s="1"/>
      <c r="O134" s="1"/>
      <c r="P134" s="1"/>
      <c r="Q134" s="1"/>
    </row>
    <row r="135" spans="1:17" hidden="1">
      <c r="A135" s="1"/>
      <c r="B135" s="106" t="str">
        <f>Presentazione!I204</f>
        <v>AGO</v>
      </c>
      <c r="C135" s="591">
        <f>Presentazione!I210</f>
        <v>45505</v>
      </c>
      <c r="D135" s="591">
        <f t="shared" si="10"/>
        <v>45535</v>
      </c>
      <c r="E135" s="592">
        <f>IF(G135=0,0,MAX(E$128:E134)+1)</f>
        <v>8</v>
      </c>
      <c r="F135" s="593" t="str">
        <f>COSTI!B16</f>
        <v>Risc.to - Rip. e Manut.ni straordinarie</v>
      </c>
      <c r="G135" s="594" t="str">
        <f>IF(ISERROR(VLOOKUP(F135,COSTI!CO$4:CO$1003,1,FALSE)),0,F135)</f>
        <v>Risc.to - Rip. e Manut.ni straordinarie</v>
      </c>
      <c r="H135" s="437"/>
      <c r="I135" s="437"/>
      <c r="J135" s="595">
        <f>SUMIF(COSTI!CO$4:CO$1003,G135,COSTI!CN$4:CN$1003)</f>
        <v>150</v>
      </c>
      <c r="K135" s="1"/>
      <c r="L135" s="106" t="str">
        <f t="shared" si="12"/>
        <v>LUG</v>
      </c>
      <c r="M135" s="593" t="str">
        <f t="shared" si="11"/>
        <v>Risc.to - Rip. e Manut.ni straordinarie</v>
      </c>
      <c r="N135" s="1"/>
      <c r="O135" s="1"/>
      <c r="P135" s="1"/>
      <c r="Q135" s="1"/>
    </row>
    <row r="136" spans="1:17" hidden="1">
      <c r="A136" s="1"/>
      <c r="B136" s="106" t="str">
        <f>Presentazione!J204</f>
        <v>SET</v>
      </c>
      <c r="C136" s="591">
        <f>Presentazione!J210</f>
        <v>45536</v>
      </c>
      <c r="D136" s="591">
        <f t="shared" si="10"/>
        <v>45565</v>
      </c>
      <c r="E136" s="592">
        <f>IF(G136=0,0,MAX(E$128:E135)+1)</f>
        <v>9</v>
      </c>
      <c r="F136" s="593" t="str">
        <f>COSTI!B17</f>
        <v>Illuminazione</v>
      </c>
      <c r="G136" s="594" t="str">
        <f>IF(ISERROR(VLOOKUP(F136,COSTI!CO$4:CO$1003,1,FALSE)),0,F136)</f>
        <v>Illuminazione</v>
      </c>
      <c r="H136" s="437"/>
      <c r="I136" s="437"/>
      <c r="J136" s="595">
        <f>SUMIF(COSTI!CO$4:CO$1003,G136,COSTI!CN$4:CN$1003)</f>
        <v>150</v>
      </c>
      <c r="K136" s="1"/>
      <c r="L136" s="106" t="str">
        <f t="shared" si="12"/>
        <v>AGO</v>
      </c>
      <c r="M136" s="593" t="str">
        <f t="shared" si="11"/>
        <v>Illuminazione</v>
      </c>
      <c r="N136" s="1"/>
      <c r="O136" s="1"/>
      <c r="P136" s="1"/>
      <c r="Q136" s="1"/>
    </row>
    <row r="137" spans="1:17" hidden="1">
      <c r="A137" s="1"/>
      <c r="B137" s="106" t="str">
        <f>Presentazione!K204</f>
        <v>OTT</v>
      </c>
      <c r="C137" s="591">
        <f>Presentazione!K210</f>
        <v>45566</v>
      </c>
      <c r="D137" s="591">
        <f t="shared" si="10"/>
        <v>45596</v>
      </c>
      <c r="E137" s="592">
        <f>IF(G137=0,0,MAX(E$128:E136)+1)</f>
        <v>10</v>
      </c>
      <c r="F137" s="593" t="str">
        <f>COSTI!B18</f>
        <v>Piccole manutenzioni ordinarie</v>
      </c>
      <c r="G137" s="594" t="str">
        <f>IF(ISERROR(VLOOKUP(F137,COSTI!CO$4:CO$1003,1,FALSE)),0,F137)</f>
        <v>Piccole manutenzioni ordinarie</v>
      </c>
      <c r="H137" s="437"/>
      <c r="I137" s="437"/>
      <c r="J137" s="595">
        <f>SUMIF(COSTI!CO$4:CO$1003,G137,COSTI!CN$4:CN$1003)</f>
        <v>150</v>
      </c>
      <c r="K137" s="1"/>
      <c r="L137" s="106" t="str">
        <f t="shared" si="12"/>
        <v>SET</v>
      </c>
      <c r="M137" s="593" t="str">
        <f t="shared" si="11"/>
        <v>Piccole manutenzioni ordinarie</v>
      </c>
      <c r="N137" s="1"/>
      <c r="O137" s="1"/>
      <c r="P137" s="1"/>
      <c r="Q137" s="1"/>
    </row>
    <row r="138" spans="1:17" hidden="1">
      <c r="A138" s="1"/>
      <c r="B138" s="106" t="str">
        <f>Presentazione!L204</f>
        <v>NOV</v>
      </c>
      <c r="C138" s="591">
        <f>Presentazione!L210</f>
        <v>45597</v>
      </c>
      <c r="D138" s="591">
        <f t="shared" si="10"/>
        <v>45626</v>
      </c>
      <c r="E138" s="592">
        <f>IF(G138=0,0,MAX(E$128:E137)+1)</f>
        <v>11</v>
      </c>
      <c r="F138" s="593" t="str">
        <f>COSTI!B19</f>
        <v>Giardino</v>
      </c>
      <c r="G138" s="594" t="str">
        <f>IF(ISERROR(VLOOKUP(F138,COSTI!CO$4:CO$1003,1,FALSE)),0,F138)</f>
        <v>Giardino</v>
      </c>
      <c r="H138" s="437"/>
      <c r="I138" s="437"/>
      <c r="J138" s="595">
        <f>SUMIF(COSTI!CO$4:CO$1003,G138,COSTI!CN$4:CN$1003)</f>
        <v>150</v>
      </c>
      <c r="K138" s="1"/>
      <c r="L138" s="106" t="str">
        <f t="shared" si="12"/>
        <v>OTT</v>
      </c>
      <c r="M138" s="593" t="str">
        <f t="shared" si="11"/>
        <v>Giardino</v>
      </c>
      <c r="N138" s="1"/>
      <c r="O138" s="1"/>
      <c r="P138" s="1"/>
      <c r="Q138" s="1"/>
    </row>
    <row r="139" spans="1:17" hidden="1">
      <c r="A139" s="1"/>
      <c r="B139" s="106" t="str">
        <f>Presentazione!M204</f>
        <v>DIC</v>
      </c>
      <c r="C139" s="591">
        <f>Presentazione!M210</f>
        <v>45627</v>
      </c>
      <c r="D139" s="1002">
        <f>DATE(YEAR(C128)+1,MONTH(C128),DAY(C128))-1</f>
        <v>45657</v>
      </c>
      <c r="E139" s="592">
        <f>IF(G139=0,0,MAX(E$128:E138)+1)</f>
        <v>12</v>
      </c>
      <c r="F139" s="593" t="str">
        <f>COSTI!B20</f>
        <v>Consumo idrico condominiale</v>
      </c>
      <c r="G139" s="594" t="str">
        <f>IF(ISERROR(VLOOKUP(F139,COSTI!CO$4:CO$1003,1,FALSE)),0,F139)</f>
        <v>Consumo idrico condominiale</v>
      </c>
      <c r="H139" s="437"/>
      <c r="I139" s="437"/>
      <c r="J139" s="595">
        <f>SUMIF(COSTI!CO$4:CO$1003,G139,COSTI!CN$4:CN$1003)</f>
        <v>50</v>
      </c>
      <c r="K139" s="1"/>
      <c r="L139" s="106" t="str">
        <f t="shared" si="12"/>
        <v>NOV</v>
      </c>
      <c r="M139" s="593" t="str">
        <f t="shared" si="11"/>
        <v>Consumo idrico condominiale</v>
      </c>
      <c r="N139" s="1"/>
      <c r="O139" s="1"/>
      <c r="P139" s="1"/>
      <c r="Q139" s="1"/>
    </row>
    <row r="140" spans="1:17" hidden="1">
      <c r="A140" s="1"/>
      <c r="B140" s="1"/>
      <c r="C140" s="1"/>
      <c r="D140" s="1"/>
      <c r="E140" s="592">
        <f>IF(G140=0,0,MAX(E$128:E139)+1)</f>
        <v>13</v>
      </c>
      <c r="F140" s="593" t="str">
        <f>COSTI!B21</f>
        <v>Materiale di consumo</v>
      </c>
      <c r="G140" s="594" t="str">
        <f>IF(ISERROR(VLOOKUP(F140,COSTI!CO$4:CO$1003,1,FALSE)),0,F140)</f>
        <v>Materiale di consumo</v>
      </c>
      <c r="H140" s="437"/>
      <c r="I140" s="437"/>
      <c r="J140" s="595">
        <f>SUMIF(COSTI!CO$4:CO$1003,G140,COSTI!CN$4:CN$1003)</f>
        <v>50</v>
      </c>
      <c r="K140" s="1"/>
      <c r="L140" s="1"/>
      <c r="M140" s="593" t="str">
        <f t="shared" si="11"/>
        <v>Materiale di consumo</v>
      </c>
      <c r="N140" s="1"/>
      <c r="O140" s="1"/>
      <c r="P140" s="1"/>
      <c r="Q140" s="1"/>
    </row>
    <row r="141" spans="1:17" hidden="1">
      <c r="A141" s="1"/>
      <c r="B141" s="1"/>
      <c r="C141" s="1"/>
      <c r="D141" s="1"/>
      <c r="E141" s="592">
        <f>IF(G141=0,0,MAX(E$128:E140)+1)</f>
        <v>14</v>
      </c>
      <c r="F141" s="593" t="str">
        <f>COSTI!B22</f>
        <v>Collaboratori</v>
      </c>
      <c r="G141" s="594" t="str">
        <f>IF(ISERROR(VLOOKUP(F141,COSTI!CO$4:CO$1003,1,FALSE)),0,F141)</f>
        <v>Collaboratori</v>
      </c>
      <c r="H141" s="437"/>
      <c r="I141" s="437"/>
      <c r="J141" s="595">
        <f>SUMIF(COSTI!CO$4:CO$1003,G141,COSTI!CN$4:CN$1003)</f>
        <v>50</v>
      </c>
      <c r="K141" s="1"/>
      <c r="L141" s="1"/>
      <c r="M141" s="593" t="str">
        <f t="shared" si="11"/>
        <v>Collaboratori</v>
      </c>
      <c r="N141" s="1"/>
      <c r="O141" s="1"/>
      <c r="P141" s="1"/>
      <c r="Q141" s="1"/>
    </row>
    <row r="142" spans="1:17" hidden="1">
      <c r="A142" s="1"/>
      <c r="B142" s="106" t="s">
        <v>1</v>
      </c>
      <c r="C142" s="596">
        <f>YEAR(C128)-1</f>
        <v>2023</v>
      </c>
      <c r="D142" s="596">
        <v>1</v>
      </c>
      <c r="E142" s="592">
        <f>IF(G142=0,0,MAX(E$128:E141)+1)</f>
        <v>15</v>
      </c>
      <c r="F142" s="593" t="str">
        <f>COSTI!B23</f>
        <v>Ascensore - Manutenzione</v>
      </c>
      <c r="G142" s="594" t="str">
        <f>IF(ISERROR(VLOOKUP(F142,COSTI!CO$4:CO$1003,1,FALSE)),0,F142)</f>
        <v>Ascensore - Manutenzione</v>
      </c>
      <c r="H142" s="437"/>
      <c r="I142" s="437"/>
      <c r="J142" s="595">
        <f>SUMIF(COSTI!CO$4:CO$1003,G142,COSTI!CN$4:CN$1003)</f>
        <v>50</v>
      </c>
      <c r="K142" s="1"/>
      <c r="L142" s="1"/>
      <c r="M142" s="593" t="str">
        <f t="shared" si="11"/>
        <v>Ascensore - Manutenzione</v>
      </c>
      <c r="N142" s="1"/>
      <c r="O142" s="1"/>
      <c r="P142" s="1"/>
      <c r="Q142" s="1"/>
    </row>
    <row r="143" spans="1:17" hidden="1">
      <c r="A143" s="1"/>
      <c r="B143" s="106" t="s">
        <v>2</v>
      </c>
      <c r="C143" s="596">
        <f t="shared" ref="C143:C153" si="13">C142+1</f>
        <v>2024</v>
      </c>
      <c r="D143" s="596">
        <v>2</v>
      </c>
      <c r="E143" s="592">
        <f>IF(G143=0,0,MAX(E$128:E142)+1)</f>
        <v>16</v>
      </c>
      <c r="F143" s="593" t="str">
        <f>COSTI!B24</f>
        <v>Ascensore - Oneri accessori</v>
      </c>
      <c r="G143" s="594" t="str">
        <f>IF(ISERROR(VLOOKUP(F143,COSTI!CO$4:CO$1003,1,FALSE)),0,F143)</f>
        <v>Ascensore - Oneri accessori</v>
      </c>
      <c r="H143" s="437"/>
      <c r="I143" s="437"/>
      <c r="J143" s="595">
        <f>SUMIF(COSTI!CO$4:CO$1003,G143,COSTI!CN$4:CN$1003)</f>
        <v>50</v>
      </c>
      <c r="K143" s="1"/>
      <c r="L143" s="1"/>
      <c r="M143" s="593" t="str">
        <f t="shared" si="11"/>
        <v>Ascensore - Oneri accessori</v>
      </c>
      <c r="N143" s="1"/>
      <c r="O143" s="1"/>
      <c r="P143" s="1"/>
      <c r="Q143" s="1"/>
    </row>
    <row r="144" spans="1:17" hidden="1">
      <c r="A144" s="1"/>
      <c r="B144" s="106" t="s">
        <v>3</v>
      </c>
      <c r="C144" s="596">
        <f t="shared" si="13"/>
        <v>2025</v>
      </c>
      <c r="D144" s="596">
        <v>3</v>
      </c>
      <c r="E144" s="592">
        <f>IF(G144=0,0,MAX(E$128:E143)+1)</f>
        <v>17</v>
      </c>
      <c r="F144" s="593" t="str">
        <f>COSTI!B25</f>
        <v>Decorazioni</v>
      </c>
      <c r="G144" s="594" t="str">
        <f>IF(ISERROR(VLOOKUP(F144,COSTI!CO$4:CO$1003,1,FALSE)),0,F144)</f>
        <v>Decorazioni</v>
      </c>
      <c r="H144" s="437"/>
      <c r="I144" s="437"/>
      <c r="J144" s="595">
        <f>SUMIF(COSTI!CO$4:CO$1003,G144,COSTI!CN$4:CN$1003)</f>
        <v>50</v>
      </c>
      <c r="K144" s="1"/>
      <c r="L144" s="1"/>
      <c r="M144" s="593" t="str">
        <f t="shared" si="11"/>
        <v>Decorazioni</v>
      </c>
      <c r="N144" s="1"/>
      <c r="O144" s="1"/>
      <c r="P144" s="1"/>
      <c r="Q144" s="1"/>
    </row>
    <row r="145" spans="1:17" hidden="1">
      <c r="A145" s="1"/>
      <c r="B145" s="106" t="s">
        <v>4</v>
      </c>
      <c r="C145" s="596">
        <f t="shared" si="13"/>
        <v>2026</v>
      </c>
      <c r="D145" s="596">
        <v>4</v>
      </c>
      <c r="E145" s="592">
        <f>IF(G145=0,0,MAX(E$128:E144)+1)</f>
        <v>18</v>
      </c>
      <c r="F145" s="593" t="str">
        <f>COSTI!B26</f>
        <v>Software contabilità</v>
      </c>
      <c r="G145" s="594" t="str">
        <f>IF(ISERROR(VLOOKUP(F145,COSTI!CO$4:CO$1003,1,FALSE)),0,F145)</f>
        <v>Software contabilità</v>
      </c>
      <c r="H145" s="437"/>
      <c r="I145" s="437"/>
      <c r="J145" s="595">
        <f>SUMIF(COSTI!CO$4:CO$1003,G145,COSTI!CN$4:CN$1003)</f>
        <v>50</v>
      </c>
      <c r="K145" s="1"/>
      <c r="L145" s="1"/>
      <c r="M145" s="593" t="str">
        <f t="shared" si="11"/>
        <v>Software contabilità</v>
      </c>
      <c r="N145" s="1"/>
      <c r="O145" s="1"/>
      <c r="P145" s="1"/>
      <c r="Q145" s="1"/>
    </row>
    <row r="146" spans="1:17" hidden="1">
      <c r="A146" s="1"/>
      <c r="B146" s="106" t="s">
        <v>5</v>
      </c>
      <c r="C146" s="596">
        <f t="shared" si="13"/>
        <v>2027</v>
      </c>
      <c r="D146" s="596">
        <v>5</v>
      </c>
      <c r="E146" s="592">
        <f>IF(G146=0,0,MAX(E$128:E145)+1)</f>
        <v>0</v>
      </c>
      <c r="F146" s="593" t="str">
        <f>COSTI!B27</f>
        <v>Inserisci liberamente / sovrascrivi</v>
      </c>
      <c r="G146" s="594">
        <f>IF(ISERROR(VLOOKUP(F146,COSTI!CO$4:CO$1003,1,FALSE)),0,F146)</f>
        <v>0</v>
      </c>
      <c r="H146" s="437"/>
      <c r="I146" s="437"/>
      <c r="J146" s="595">
        <f>SUMIF(COSTI!CO$4:CO$1003,G146,COSTI!CN$4:CN$1003)</f>
        <v>0</v>
      </c>
      <c r="K146" s="1"/>
      <c r="L146" s="1"/>
      <c r="M146" s="593" t="str">
        <f t="shared" si="11"/>
        <v>Inserisci liberamente / sovrascrivi</v>
      </c>
      <c r="N146" s="1"/>
      <c r="O146" s="1"/>
      <c r="P146" s="1"/>
      <c r="Q146" s="1"/>
    </row>
    <row r="147" spans="1:17" hidden="1">
      <c r="A147" s="1"/>
      <c r="B147" s="106" t="s">
        <v>6</v>
      </c>
      <c r="C147" s="596">
        <f t="shared" si="13"/>
        <v>2028</v>
      </c>
      <c r="D147" s="596">
        <v>6</v>
      </c>
      <c r="E147" s="592">
        <f>IF(G147=0,0,MAX(E$128:E146)+1)</f>
        <v>0</v>
      </c>
      <c r="F147" s="593">
        <f>COSTI!B28</f>
        <v>0</v>
      </c>
      <c r="G147" s="594">
        <f>IF(ISERROR(VLOOKUP(F147,COSTI!CO$4:CO$1003,1,FALSE)),0,F147)</f>
        <v>0</v>
      </c>
      <c r="H147" s="437"/>
      <c r="I147" s="437"/>
      <c r="J147" s="595">
        <f>SUMIF(COSTI!CO$4:CO$1003,G147,COSTI!CN$4:CN$1003)</f>
        <v>0</v>
      </c>
      <c r="K147" s="1"/>
      <c r="L147" s="1"/>
      <c r="M147" s="593" t="str">
        <f t="shared" si="11"/>
        <v/>
      </c>
      <c r="N147" s="1"/>
      <c r="O147" s="1"/>
      <c r="P147" s="1"/>
      <c r="Q147" s="1"/>
    </row>
    <row r="148" spans="1:17" hidden="1">
      <c r="A148" s="1"/>
      <c r="B148" s="106" t="s">
        <v>7</v>
      </c>
      <c r="C148" s="596">
        <f t="shared" si="13"/>
        <v>2029</v>
      </c>
      <c r="D148" s="596">
        <v>7</v>
      </c>
      <c r="E148" s="592">
        <f>IF(G148=0,0,MAX(E$128:E147)+1)</f>
        <v>0</v>
      </c>
      <c r="F148" s="593">
        <f>COSTI!B29</f>
        <v>0</v>
      </c>
      <c r="G148" s="594">
        <f>IF(ISERROR(VLOOKUP(F148,COSTI!CO$4:CO$1003,1,FALSE)),0,F148)</f>
        <v>0</v>
      </c>
      <c r="H148" s="437"/>
      <c r="I148" s="437"/>
      <c r="J148" s="595">
        <f>SUMIF(COSTI!CO$4:CO$1003,G148,COSTI!CN$4:CN$1003)</f>
        <v>0</v>
      </c>
      <c r="K148" s="1"/>
      <c r="L148" s="1"/>
      <c r="M148" s="593" t="str">
        <f t="shared" si="11"/>
        <v/>
      </c>
      <c r="N148" s="1"/>
      <c r="O148" s="1"/>
      <c r="P148" s="1"/>
      <c r="Q148" s="1"/>
    </row>
    <row r="149" spans="1:17" hidden="1">
      <c r="A149" s="1"/>
      <c r="B149" s="106" t="s">
        <v>8</v>
      </c>
      <c r="C149" s="596">
        <f t="shared" si="13"/>
        <v>2030</v>
      </c>
      <c r="D149" s="596">
        <v>8</v>
      </c>
      <c r="E149" s="592">
        <f>IF(G149=0,0,MAX(E$128:E148)+1)</f>
        <v>0</v>
      </c>
      <c r="F149" s="593">
        <f>COSTI!B30</f>
        <v>0</v>
      </c>
      <c r="G149" s="594">
        <f>IF(ISERROR(VLOOKUP(F149,COSTI!CO$4:CO$1003,1,FALSE)),0,F149)</f>
        <v>0</v>
      </c>
      <c r="H149" s="437"/>
      <c r="I149" s="437"/>
      <c r="J149" s="595">
        <f>SUMIF(COSTI!CO$4:CO$1003,G149,COSTI!CN$4:CN$1003)</f>
        <v>0</v>
      </c>
      <c r="K149" s="1"/>
      <c r="L149" s="1"/>
      <c r="M149" s="593" t="str">
        <f t="shared" si="11"/>
        <v/>
      </c>
      <c r="N149" s="1"/>
      <c r="O149" s="1"/>
      <c r="P149" s="1"/>
      <c r="Q149" s="1"/>
    </row>
    <row r="150" spans="1:17" hidden="1">
      <c r="A150" s="1"/>
      <c r="B150" s="106" t="s">
        <v>9</v>
      </c>
      <c r="C150" s="596">
        <f t="shared" si="13"/>
        <v>2031</v>
      </c>
      <c r="D150" s="596">
        <v>9</v>
      </c>
      <c r="E150" s="592">
        <f>IF(G150=0,0,MAX(E$128:E149)+1)</f>
        <v>0</v>
      </c>
      <c r="F150" s="593">
        <f>COSTI!B31</f>
        <v>0</v>
      </c>
      <c r="G150" s="594">
        <f>IF(ISERROR(VLOOKUP(F150,COSTI!CO$4:CO$1003,1,FALSE)),0,F150)</f>
        <v>0</v>
      </c>
      <c r="H150" s="437"/>
      <c r="I150" s="437"/>
      <c r="J150" s="595">
        <f>SUMIF(COSTI!CO$4:CO$1003,G150,COSTI!CN$4:CN$1003)</f>
        <v>0</v>
      </c>
      <c r="K150" s="1"/>
      <c r="L150" s="1"/>
      <c r="M150" s="593" t="str">
        <f t="shared" si="11"/>
        <v/>
      </c>
      <c r="N150" s="1"/>
      <c r="O150" s="1"/>
      <c r="P150" s="1"/>
      <c r="Q150" s="1"/>
    </row>
    <row r="151" spans="1:17" hidden="1">
      <c r="A151" s="1"/>
      <c r="B151" s="106" t="s">
        <v>10</v>
      </c>
      <c r="C151" s="596">
        <f t="shared" si="13"/>
        <v>2032</v>
      </c>
      <c r="D151" s="596">
        <v>10</v>
      </c>
      <c r="E151" s="592">
        <f>IF(G151=0,0,MAX(E$128:E150)+1)</f>
        <v>0</v>
      </c>
      <c r="F151" s="593">
        <f>COSTI!B32</f>
        <v>0</v>
      </c>
      <c r="G151" s="594">
        <f>IF(ISERROR(VLOOKUP(F151,COSTI!CO$4:CO$1003,1,FALSE)),0,F151)</f>
        <v>0</v>
      </c>
      <c r="H151" s="437"/>
      <c r="I151" s="437"/>
      <c r="J151" s="595">
        <f>SUMIF(COSTI!CO$4:CO$1003,G151,COSTI!CN$4:CN$1003)</f>
        <v>0</v>
      </c>
      <c r="K151" s="1"/>
      <c r="L151" s="1"/>
      <c r="M151" s="593" t="str">
        <f t="shared" si="11"/>
        <v/>
      </c>
      <c r="N151" s="1"/>
      <c r="O151" s="1"/>
      <c r="P151" s="1"/>
      <c r="Q151" s="1"/>
    </row>
    <row r="152" spans="1:17" hidden="1">
      <c r="A152" s="1"/>
      <c r="B152" s="106" t="s">
        <v>11</v>
      </c>
      <c r="C152" s="596">
        <f t="shared" si="13"/>
        <v>2033</v>
      </c>
      <c r="D152" s="596">
        <v>11</v>
      </c>
      <c r="E152" s="592">
        <f>IF(G152=0,0,MAX(E$128:E151)+1)</f>
        <v>0</v>
      </c>
      <c r="F152" s="593">
        <f>COSTI!B33</f>
        <v>0</v>
      </c>
      <c r="G152" s="594">
        <f>IF(ISERROR(VLOOKUP(F152,COSTI!CO$4:CO$1003,1,FALSE)),0,F152)</f>
        <v>0</v>
      </c>
      <c r="H152" s="437"/>
      <c r="I152" s="437"/>
      <c r="J152" s="595">
        <f>SUMIF(COSTI!CO$4:CO$1003,G152,COSTI!CN$4:CN$1003)</f>
        <v>0</v>
      </c>
      <c r="K152" s="1"/>
      <c r="L152" s="1"/>
      <c r="M152" s="593" t="str">
        <f t="shared" si="11"/>
        <v/>
      </c>
      <c r="N152" s="1"/>
      <c r="O152" s="1"/>
      <c r="P152" s="1"/>
      <c r="Q152" s="1"/>
    </row>
    <row r="153" spans="1:17" hidden="1">
      <c r="A153" s="1"/>
      <c r="B153" s="106" t="s">
        <v>12</v>
      </c>
      <c r="C153" s="596">
        <f t="shared" si="13"/>
        <v>2034</v>
      </c>
      <c r="D153" s="596">
        <v>12</v>
      </c>
      <c r="E153" s="592">
        <f>IF(G153=0,0,MAX(E$128:E152)+1)</f>
        <v>0</v>
      </c>
      <c r="F153" s="593">
        <f>COSTI!B34</f>
        <v>0</v>
      </c>
      <c r="G153" s="594">
        <f>IF(ISERROR(VLOOKUP(F153,COSTI!CO$4:CO$1003,1,FALSE)),0,F153)</f>
        <v>0</v>
      </c>
      <c r="H153" s="437"/>
      <c r="I153" s="437"/>
      <c r="J153" s="595">
        <f>SUMIF(COSTI!CO$4:CO$1003,G153,COSTI!CN$4:CN$1003)</f>
        <v>0</v>
      </c>
      <c r="K153" s="1"/>
      <c r="L153" s="1"/>
      <c r="M153" s="593" t="str">
        <f t="shared" si="11"/>
        <v/>
      </c>
      <c r="N153" s="1"/>
      <c r="O153" s="1"/>
      <c r="P153" s="1"/>
      <c r="Q153" s="1"/>
    </row>
    <row r="154" spans="1:17" hidden="1">
      <c r="A154" s="1"/>
      <c r="B154" s="1"/>
      <c r="C154" s="1"/>
      <c r="D154" s="1"/>
      <c r="E154" s="592">
        <f>IF(G154=0,0,MAX(E$128:E153)+1)</f>
        <v>0</v>
      </c>
      <c r="F154" s="593">
        <f>COSTI!B35</f>
        <v>0</v>
      </c>
      <c r="G154" s="594">
        <f>IF(ISERROR(VLOOKUP(F154,COSTI!CO$4:CO$1003,1,FALSE)),0,F154)</f>
        <v>0</v>
      </c>
      <c r="H154" s="437"/>
      <c r="I154" s="437"/>
      <c r="J154" s="595">
        <f>SUMIF(COSTI!CO$4:CO$1003,G154,COSTI!CN$4:CN$1003)</f>
        <v>0</v>
      </c>
      <c r="K154" s="1"/>
      <c r="L154" s="1"/>
      <c r="M154" s="593" t="str">
        <f t="shared" si="11"/>
        <v/>
      </c>
      <c r="N154" s="1"/>
      <c r="O154" s="1"/>
      <c r="P154" s="1"/>
      <c r="Q154" s="1"/>
    </row>
    <row r="155" spans="1:17" hidden="1">
      <c r="A155" s="1"/>
      <c r="B155" s="106" t="s">
        <v>274</v>
      </c>
      <c r="C155" s="597">
        <v>1</v>
      </c>
      <c r="D155" s="106" t="str">
        <f>RIPARTIZIONI!P25</f>
        <v>1 - in MILLESIMI   I</v>
      </c>
      <c r="E155" s="592">
        <f>IF(G155=0,0,MAX(E$128:E154)+1)</f>
        <v>0</v>
      </c>
      <c r="F155" s="593">
        <f>COSTI!B36</f>
        <v>0</v>
      </c>
      <c r="G155" s="594">
        <f>IF(ISERROR(VLOOKUP(F155,COSTI!CO$4:CO$1003,1,FALSE)),0,F155)</f>
        <v>0</v>
      </c>
      <c r="H155" s="437"/>
      <c r="I155" s="437"/>
      <c r="J155" s="595">
        <f>SUMIF(COSTI!CO$4:CO$1003,G155,COSTI!CN$4:CN$1003)</f>
        <v>0</v>
      </c>
      <c r="K155" s="1"/>
      <c r="L155" s="1"/>
      <c r="M155" s="593" t="str">
        <f t="shared" si="11"/>
        <v/>
      </c>
      <c r="N155" s="1"/>
      <c r="O155" s="1"/>
      <c r="P155" s="1"/>
      <c r="Q155" s="1"/>
    </row>
    <row r="156" spans="1:17" hidden="1">
      <c r="A156" s="1"/>
      <c r="B156" s="106" t="s">
        <v>275</v>
      </c>
      <c r="C156" s="597">
        <v>2</v>
      </c>
      <c r="D156" s="106" t="str">
        <f>RIPARTIZIONI!P26</f>
        <v>2 - in MILLESIMI   II</v>
      </c>
      <c r="E156" s="592">
        <f>IF(G156=0,0,MAX(E$128:E155)+1)</f>
        <v>0</v>
      </c>
      <c r="F156" s="593">
        <f>COSTI!B37</f>
        <v>0</v>
      </c>
      <c r="G156" s="594">
        <f>IF(ISERROR(VLOOKUP(F156,COSTI!CO$4:CO$1003,1,FALSE)),0,F156)</f>
        <v>0</v>
      </c>
      <c r="H156" s="437"/>
      <c r="I156" s="437"/>
      <c r="J156" s="595">
        <f>SUMIF(COSTI!CO$4:CO$1003,G156,COSTI!CN$4:CN$1003)</f>
        <v>0</v>
      </c>
      <c r="K156" s="1"/>
      <c r="L156" s="1"/>
      <c r="M156" s="593" t="str">
        <f t="shared" si="11"/>
        <v/>
      </c>
      <c r="N156" s="1"/>
      <c r="O156" s="1"/>
      <c r="P156" s="1"/>
      <c r="Q156" s="1"/>
    </row>
    <row r="157" spans="1:17" hidden="1">
      <c r="A157" s="1"/>
      <c r="B157" s="106" t="s">
        <v>276</v>
      </c>
      <c r="C157" s="597">
        <v>3</v>
      </c>
      <c r="D157" s="106" t="str">
        <f>RIPARTIZIONI!P27</f>
        <v>3 - in MILLESIMI   III</v>
      </c>
      <c r="E157" s="592">
        <f>IF(G157=0,0,MAX(E$128:E156)+1)</f>
        <v>0</v>
      </c>
      <c r="F157" s="593">
        <f>COSTI!B38</f>
        <v>0</v>
      </c>
      <c r="G157" s="594">
        <f>IF(ISERROR(VLOOKUP(F157,COSTI!CO$4:CO$1003,1,FALSE)),0,F157)</f>
        <v>0</v>
      </c>
      <c r="H157" s="437"/>
      <c r="I157" s="437"/>
      <c r="J157" s="595">
        <f>SUMIF(COSTI!CO$4:CO$1003,G157,COSTI!CN$4:CN$1003)</f>
        <v>0</v>
      </c>
      <c r="K157" s="1"/>
      <c r="L157" s="1"/>
      <c r="M157" s="593" t="str">
        <f t="shared" si="11"/>
        <v/>
      </c>
      <c r="N157" s="1"/>
      <c r="O157" s="1"/>
      <c r="P157" s="1"/>
      <c r="Q157" s="1"/>
    </row>
    <row r="158" spans="1:17" hidden="1">
      <c r="A158" s="1"/>
      <c r="B158" s="106" t="s">
        <v>277</v>
      </c>
      <c r="C158" s="597">
        <v>4</v>
      </c>
      <c r="D158" s="106" t="str">
        <f>RIPARTIZIONI!P28</f>
        <v>4 - in PERCENTUALE</v>
      </c>
      <c r="E158" s="592">
        <f>IF(G158=0,0,MAX(E$128:E157)+1)</f>
        <v>0</v>
      </c>
      <c r="F158" s="593">
        <f>COSTI!B39</f>
        <v>0</v>
      </c>
      <c r="G158" s="594">
        <f>IF(ISERROR(VLOOKUP(F158,COSTI!CO$4:CO$1003,1,FALSE)),0,F158)</f>
        <v>0</v>
      </c>
      <c r="H158" s="437"/>
      <c r="I158" s="437"/>
      <c r="J158" s="595">
        <f>SUMIF(COSTI!CO$4:CO$1003,G158,COSTI!CN$4:CN$1003)</f>
        <v>0</v>
      </c>
      <c r="K158" s="1"/>
      <c r="L158" s="1"/>
      <c r="M158" s="593" t="str">
        <f t="shared" si="11"/>
        <v/>
      </c>
      <c r="N158" s="1"/>
      <c r="O158" s="1"/>
      <c r="P158" s="1"/>
      <c r="Q158" s="1"/>
    </row>
    <row r="159" spans="1:17" hidden="1">
      <c r="A159" s="1"/>
      <c r="B159" s="106" t="s">
        <v>278</v>
      </c>
      <c r="C159" s="597">
        <v>6</v>
      </c>
      <c r="D159" s="106" t="str">
        <f>RIPARTIZIONI!P29</f>
        <v>5 - es. PER PIANO in Millesimi</v>
      </c>
      <c r="E159" s="592">
        <f>IF(G159=0,0,MAX(E$128:E158)+1)</f>
        <v>0</v>
      </c>
      <c r="F159" s="593">
        <f>COSTI!B40</f>
        <v>0</v>
      </c>
      <c r="G159" s="594">
        <f>IF(ISERROR(VLOOKUP(F159,COSTI!CO$4:CO$1003,1,FALSE)),0,F159)</f>
        <v>0</v>
      </c>
      <c r="H159" s="437"/>
      <c r="I159" s="437"/>
      <c r="J159" s="595">
        <f>SUMIF(COSTI!CO$4:CO$1003,G159,COSTI!CN$4:CN$1003)</f>
        <v>0</v>
      </c>
      <c r="K159" s="1"/>
      <c r="L159" s="1"/>
      <c r="M159" s="593" t="str">
        <f t="shared" si="11"/>
        <v/>
      </c>
      <c r="N159" s="1"/>
      <c r="O159" s="1"/>
      <c r="P159" s="1"/>
      <c r="Q159" s="1"/>
    </row>
    <row r="160" spans="1:17" hidden="1">
      <c r="A160" s="1"/>
      <c r="B160" s="106" t="s">
        <v>279</v>
      </c>
      <c r="C160" s="597">
        <v>12</v>
      </c>
      <c r="D160" s="106" t="str">
        <f>RIPARTIZIONI!P30</f>
        <v>6 - es. PER PIANO in Percentuale</v>
      </c>
      <c r="E160" s="592">
        <f>IF(G160=0,0,MAX(E$128:E159)+1)</f>
        <v>0</v>
      </c>
      <c r="F160" s="593">
        <f>COSTI!B41</f>
        <v>0</v>
      </c>
      <c r="G160" s="594">
        <f>IF(ISERROR(VLOOKUP(F160,COSTI!CO$4:CO$1003,1,FALSE)),0,F160)</f>
        <v>0</v>
      </c>
      <c r="H160" s="437"/>
      <c r="I160" s="437"/>
      <c r="J160" s="595">
        <f>SUMIF(COSTI!CO$4:CO$1003,G160,COSTI!CN$4:CN$1003)</f>
        <v>0</v>
      </c>
      <c r="K160" s="1"/>
      <c r="L160" s="1"/>
      <c r="M160" s="593" t="str">
        <f t="shared" si="11"/>
        <v/>
      </c>
      <c r="N160" s="1"/>
      <c r="O160" s="1"/>
      <c r="P160" s="1"/>
      <c r="Q160" s="1"/>
    </row>
    <row r="161" spans="1:17" hidden="1">
      <c r="A161" s="1"/>
      <c r="B161" s="1"/>
      <c r="C161" s="1"/>
      <c r="D161" s="1"/>
      <c r="E161" s="592">
        <f>IF(G161=0,0,MAX(E$128:E160)+1)</f>
        <v>0</v>
      </c>
      <c r="F161" s="593">
        <f>COSTI!B42</f>
        <v>0</v>
      </c>
      <c r="G161" s="594">
        <f>IF(ISERROR(VLOOKUP(F161,COSTI!CO$4:CO$1003,1,FALSE)),0,F161)</f>
        <v>0</v>
      </c>
      <c r="H161" s="437"/>
      <c r="I161" s="437"/>
      <c r="J161" s="595">
        <f>SUMIF(COSTI!CO$4:CO$1003,G161,COSTI!CN$4:CN$1003)</f>
        <v>0</v>
      </c>
      <c r="K161" s="1"/>
      <c r="L161" s="1"/>
      <c r="M161" s="593" t="str">
        <f t="shared" si="11"/>
        <v/>
      </c>
      <c r="N161" s="1"/>
      <c r="O161" s="1"/>
      <c r="P161" s="1"/>
      <c r="Q161" s="1"/>
    </row>
    <row r="162" spans="1:17" hidden="1">
      <c r="A162" s="1"/>
      <c r="B162" s="106" t="s">
        <v>289</v>
      </c>
      <c r="C162" s="597">
        <f>1*H172</f>
        <v>24</v>
      </c>
      <c r="D162" s="1"/>
      <c r="E162" s="592">
        <f>IF(G162=0,0,MAX(E$128:E161)+1)</f>
        <v>0</v>
      </c>
      <c r="F162" s="593">
        <f>COSTI!B43</f>
        <v>0</v>
      </c>
      <c r="G162" s="594">
        <f>IF(ISERROR(VLOOKUP(F162,COSTI!CO$4:CO$1003,1,FALSE)),0,F162)</f>
        <v>0</v>
      </c>
      <c r="H162" s="437"/>
      <c r="I162" s="437"/>
      <c r="J162" s="595">
        <f>SUMIF(COSTI!CO$4:CO$1003,G162,COSTI!CN$4:CN$1003)</f>
        <v>0</v>
      </c>
      <c r="K162" s="1"/>
      <c r="L162" s="1"/>
      <c r="M162" s="593" t="str">
        <f t="shared" si="11"/>
        <v/>
      </c>
      <c r="N162" s="1"/>
      <c r="O162" s="1"/>
      <c r="P162" s="1"/>
      <c r="Q162" s="1"/>
    </row>
    <row r="163" spans="1:17" hidden="1">
      <c r="A163" s="1"/>
      <c r="B163" s="106" t="s">
        <v>290</v>
      </c>
      <c r="C163" s="597">
        <f>1*H172/12</f>
        <v>2</v>
      </c>
      <c r="D163" s="1"/>
      <c r="E163" s="592">
        <f>IF(G163=0,0,MAX(E$128:E162)+1)</f>
        <v>19</v>
      </c>
      <c r="F163" s="593" t="str">
        <f>COSTI!B44</f>
        <v>Ultimo COSTO disponibile</v>
      </c>
      <c r="G163" s="594" t="str">
        <f>IF(ISERROR(VLOOKUP(F163,COSTI!CO$4:CO$1003,1,FALSE)),0,F163)</f>
        <v>Ultimo COSTO disponibile</v>
      </c>
      <c r="H163" s="437"/>
      <c r="I163" s="437"/>
      <c r="J163" s="595">
        <f>SUMIF(COSTI!CO$4:CO$1003,G163,COSTI!CN$4:CN$1003)</f>
        <v>50</v>
      </c>
      <c r="K163" s="1"/>
      <c r="L163" s="1"/>
      <c r="M163" s="593" t="str">
        <f t="shared" si="11"/>
        <v>Ultimo COSTO disponibile</v>
      </c>
      <c r="N163" s="1"/>
      <c r="O163" s="1"/>
      <c r="P163" s="1"/>
      <c r="Q163" s="1"/>
    </row>
    <row r="164" spans="1:17" hidden="1">
      <c r="A164" s="1"/>
      <c r="B164" s="106" t="s">
        <v>291</v>
      </c>
      <c r="C164" s="597">
        <v>1</v>
      </c>
      <c r="D164" s="1"/>
      <c r="E164" s="106"/>
      <c r="F164" s="106"/>
      <c r="G164" s="213" t="str">
        <f>COSTI!B78</f>
        <v>AMMINISTRATORE</v>
      </c>
      <c r="H164" s="1"/>
      <c r="I164" s="1"/>
      <c r="J164" s="598">
        <f ca="1">SUMIF(COSTI!CO$4:CO$1003,G164,COSTI!CN$4:CN$1003)+SUM(COSTI!CN1017:CN1068)</f>
        <v>1005</v>
      </c>
      <c r="K164" s="1"/>
      <c r="L164" s="1"/>
      <c r="M164" s="1"/>
      <c r="N164" s="1"/>
      <c r="O164" s="1"/>
      <c r="P164" s="1"/>
      <c r="Q164" s="1"/>
    </row>
    <row r="165" spans="1:17" hidden="1">
      <c r="A165" s="1"/>
      <c r="B165" s="106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idden="1">
      <c r="A166" s="1"/>
      <c r="B166" s="106" t="str">
        <f>VLOOKUP(N45,RIPARTIZIONI!$P$25:$AW$30,34,FALSE)</f>
        <v>MILL.mi   I</v>
      </c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idden="1">
      <c r="A167" s="1"/>
      <c r="B167" s="107" t="str">
        <f>RIPARTIZIONI!O6</f>
        <v>Percentuale</v>
      </c>
      <c r="C167" s="691" t="s">
        <v>386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idden="1">
      <c r="A168" s="1"/>
      <c r="B168" s="107" t="str">
        <f>VLOOKUP(B45,RIPARTIZIONI!$P$25:$AW$30,34,FALSE)</f>
        <v>MILL.mi   I</v>
      </c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idden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idden="1">
      <c r="A170" s="1"/>
      <c r="B170" s="106" t="str">
        <f>IF(N111="",B172,VLOOKUP(N111,RIPARTIZIONI!$P$25:$AW$30,34,FALSE))</f>
        <v>MILL.mi   I</v>
      </c>
      <c r="C170" s="1"/>
      <c r="D170" s="1"/>
      <c r="E170" s="15" t="s">
        <v>283</v>
      </c>
      <c r="F170" s="599">
        <f>DATE(F111,VLOOKUP(F110,$B$142:$D$153,3,FALSE),1)</f>
        <v>45292</v>
      </c>
      <c r="G170" s="600">
        <f>MONTH(F170)</f>
        <v>1</v>
      </c>
      <c r="H170" s="600">
        <f>IF(YEAR(F171)=YEAR(F170),G171-G170+1,IF(YEAR(F171)&lt;YEAR(F170),0,12-G170+1+(YEAR(F171)-YEAR(F170)-1)*12))</f>
        <v>12</v>
      </c>
      <c r="I170" s="1"/>
      <c r="J170" s="1"/>
      <c r="K170" s="1"/>
      <c r="L170" s="1"/>
      <c r="M170" s="1"/>
      <c r="N170" s="1"/>
      <c r="O170" s="1"/>
      <c r="P170" s="1"/>
      <c r="Q170" s="1"/>
    </row>
    <row r="171" spans="1:17" hidden="1">
      <c r="A171" s="1"/>
      <c r="B171" s="107" t="str">
        <f>RIPARTIZIONI!O6</f>
        <v>Percentuale</v>
      </c>
      <c r="C171" s="691" t="s">
        <v>386</v>
      </c>
      <c r="D171" s="1"/>
      <c r="E171" s="601">
        <f>ROUND(H172/VLOOKUP(N110,B155:C160,2,FALSE),0)</f>
        <v>8</v>
      </c>
      <c r="F171" s="599">
        <f>DATE(J111,VLOOKUP(J110,$B$142:$D$153,3,FALSE),1)</f>
        <v>45992</v>
      </c>
      <c r="G171" s="600">
        <f>MONTH(F171)</f>
        <v>12</v>
      </c>
      <c r="H171" s="600">
        <f>IF(YEAR(F171)=YEAR(F170),0,IF(YEAR(F171)&lt;YEAR(F170),0,G171))</f>
        <v>12</v>
      </c>
      <c r="I171" s="1"/>
      <c r="J171" s="1"/>
      <c r="K171" s="1"/>
      <c r="L171" s="1"/>
      <c r="M171" s="1"/>
      <c r="N171" s="1"/>
      <c r="O171" s="1"/>
      <c r="P171" s="1"/>
      <c r="Q171" s="1"/>
    </row>
    <row r="172" spans="1:17" hidden="1">
      <c r="A172" s="1"/>
      <c r="B172" s="107" t="str">
        <f>B168</f>
        <v>MILL.mi   I</v>
      </c>
      <c r="C172" s="1"/>
      <c r="D172" s="1"/>
      <c r="E172" s="1"/>
      <c r="F172" s="1"/>
      <c r="G172" s="1"/>
      <c r="H172" s="597">
        <f>SUM(H170:H171)</f>
        <v>24</v>
      </c>
      <c r="I172" s="1"/>
      <c r="J172" s="1"/>
      <c r="K172" s="1"/>
      <c r="L172" s="1"/>
      <c r="M172" s="1"/>
      <c r="N172" s="1"/>
      <c r="O172" s="1"/>
      <c r="P172" s="1"/>
      <c r="Q172" s="1"/>
    </row>
    <row r="173" spans="1:17" hidden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idden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idden="1">
      <c r="A175" s="1"/>
      <c r="B175" s="1"/>
      <c r="C175" s="893" t="s">
        <v>14</v>
      </c>
      <c r="D175" s="739">
        <v>1</v>
      </c>
      <c r="E175" s="1"/>
      <c r="F175" s="893" t="s">
        <v>513</v>
      </c>
      <c r="G175" s="920" t="b">
        <f>Presentazione!$E$181</f>
        <v>1</v>
      </c>
      <c r="H175" s="893" t="s">
        <v>215</v>
      </c>
      <c r="I175" s="739">
        <f>Presentazione!$H$181</f>
        <v>1</v>
      </c>
      <c r="J175" s="893" t="s">
        <v>548</v>
      </c>
      <c r="K175" s="739" t="b">
        <f>Presentazione!$L$181</f>
        <v>1</v>
      </c>
      <c r="L175" s="1"/>
      <c r="M175" s="1"/>
      <c r="N175" s="1"/>
      <c r="O175" s="1"/>
      <c r="P175" s="1"/>
      <c r="Q175" s="1"/>
    </row>
    <row r="176" spans="1:17" hidden="1">
      <c r="A176" s="1"/>
      <c r="B176" s="1"/>
      <c r="C176" s="1"/>
      <c r="D176" s="1"/>
      <c r="E176" s="1"/>
      <c r="F176" s="1"/>
      <c r="G176" s="1"/>
      <c r="H176" s="835"/>
      <c r="I176" s="835"/>
      <c r="J176" s="1"/>
      <c r="K176" s="1"/>
      <c r="L176" s="1"/>
      <c r="M176" s="1"/>
      <c r="N176" s="1"/>
      <c r="O176" s="1"/>
      <c r="P176" s="1"/>
      <c r="Q176" s="1"/>
    </row>
    <row r="177" spans="1:1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8" ht="15.75" customHeight="1">
      <c r="A178" s="1"/>
      <c r="B178" s="1225" t="str">
        <f>REPORT!$B$84</f>
        <v>Questo file risulta al momento completamente funzionante ed il sistema rileva tutti i suoi fogli.</v>
      </c>
      <c r="C178" s="1225"/>
      <c r="D178" s="1225"/>
      <c r="E178" s="1225"/>
      <c r="F178" s="1225"/>
      <c r="G178" s="1225"/>
      <c r="H178" s="1225"/>
      <c r="I178" s="1225"/>
      <c r="J178" s="1225"/>
      <c r="K178" s="1225"/>
      <c r="L178" s="1225"/>
      <c r="M178" s="1225"/>
      <c r="N178" s="1225"/>
      <c r="O178" s="1225"/>
      <c r="P178" s="1225"/>
      <c r="Q178" s="1"/>
    </row>
    <row r="179" spans="1:1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867"/>
    </row>
  </sheetData>
  <sheetProtection algorithmName="SHA-512" hashValue="nyTlw/iFVatDtttRurhr/Dzn5HLaaaN+re3dX8ykvetxu24uvTgYqA6HRF8oF7lokVH/1Rhjm521/wOisFryEQ==" saltValue="AoU+DO8TkvVxdKdS1PQO8g==" spinCount="100000" sheet="1" objects="1" scenarios="1" selectLockedCells="1"/>
  <mergeCells count="210">
    <mergeCell ref="C86:E86"/>
    <mergeCell ref="C88:F88"/>
    <mergeCell ref="O85:P85"/>
    <mergeCell ref="K85:L85"/>
    <mergeCell ref="B81:E81"/>
    <mergeCell ref="F81:P81"/>
    <mergeCell ref="I79:P79"/>
    <mergeCell ref="B82:P82"/>
    <mergeCell ref="C74:D74"/>
    <mergeCell ref="B77:F77"/>
    <mergeCell ref="L77:N77"/>
    <mergeCell ref="J77:K77"/>
    <mergeCell ref="C85:E85"/>
    <mergeCell ref="F85:G85"/>
    <mergeCell ref="H85:J85"/>
    <mergeCell ref="M85:N85"/>
    <mergeCell ref="B79:H79"/>
    <mergeCell ref="B83:P83"/>
    <mergeCell ref="O77:P77"/>
    <mergeCell ref="B62:E62"/>
    <mergeCell ref="F62:P62"/>
    <mergeCell ref="B60:N60"/>
    <mergeCell ref="B59:P59"/>
    <mergeCell ref="B61:P61"/>
    <mergeCell ref="M97:O97"/>
    <mergeCell ref="C98:E98"/>
    <mergeCell ref="O86:P86"/>
    <mergeCell ref="M90:O90"/>
    <mergeCell ref="H86:J86"/>
    <mergeCell ref="K86:L86"/>
    <mergeCell ref="C97:E97"/>
    <mergeCell ref="H97:J97"/>
    <mergeCell ref="M91:O91"/>
    <mergeCell ref="C92:E92"/>
    <mergeCell ref="H92:J92"/>
    <mergeCell ref="M92:O92"/>
    <mergeCell ref="H95:J95"/>
    <mergeCell ref="C89:E89"/>
    <mergeCell ref="H89:J89"/>
    <mergeCell ref="M98:O98"/>
    <mergeCell ref="H98:J98"/>
    <mergeCell ref="C91:E91"/>
    <mergeCell ref="M89:O89"/>
    <mergeCell ref="C70:D70"/>
    <mergeCell ref="C71:D71"/>
    <mergeCell ref="C72:D72"/>
    <mergeCell ref="M66:N66"/>
    <mergeCell ref="M67:N67"/>
    <mergeCell ref="B63:K63"/>
    <mergeCell ref="B65:E65"/>
    <mergeCell ref="G65:H65"/>
    <mergeCell ref="J65:P65"/>
    <mergeCell ref="G66:H66"/>
    <mergeCell ref="B2:D2"/>
    <mergeCell ref="E2:P2"/>
    <mergeCell ref="B9:E9"/>
    <mergeCell ref="G9:H9"/>
    <mergeCell ref="J9:P9"/>
    <mergeCell ref="H12:J12"/>
    <mergeCell ref="C10:E10"/>
    <mergeCell ref="B7:E7"/>
    <mergeCell ref="F7:P7"/>
    <mergeCell ref="G10:H10"/>
    <mergeCell ref="C12:E12"/>
    <mergeCell ref="M12:O12"/>
    <mergeCell ref="B3:P3"/>
    <mergeCell ref="B4:P4"/>
    <mergeCell ref="M10:N10"/>
    <mergeCell ref="C13:E13"/>
    <mergeCell ref="H17:J17"/>
    <mergeCell ref="M17:O17"/>
    <mergeCell ref="H13:J13"/>
    <mergeCell ref="M13:O13"/>
    <mergeCell ref="M14:O14"/>
    <mergeCell ref="M15:O15"/>
    <mergeCell ref="H15:J15"/>
    <mergeCell ref="M16:O16"/>
    <mergeCell ref="H16:J16"/>
    <mergeCell ref="H14:J14"/>
    <mergeCell ref="C14:E14"/>
    <mergeCell ref="C15:E15"/>
    <mergeCell ref="C16:E16"/>
    <mergeCell ref="C17:E17"/>
    <mergeCell ref="H18:J18"/>
    <mergeCell ref="C18:E18"/>
    <mergeCell ref="C19:E19"/>
    <mergeCell ref="C20:E20"/>
    <mergeCell ref="H19:J19"/>
    <mergeCell ref="B27:J27"/>
    <mergeCell ref="G77:I77"/>
    <mergeCell ref="B76:J76"/>
    <mergeCell ref="B78:P78"/>
    <mergeCell ref="C73:D73"/>
    <mergeCell ref="M20:O20"/>
    <mergeCell ref="M21:O21"/>
    <mergeCell ref="M22:O22"/>
    <mergeCell ref="M23:O23"/>
    <mergeCell ref="I25:P25"/>
    <mergeCell ref="M18:O18"/>
    <mergeCell ref="M19:O19"/>
    <mergeCell ref="G30:P30"/>
    <mergeCell ref="B30:F30"/>
    <mergeCell ref="C21:E21"/>
    <mergeCell ref="O27:P27"/>
    <mergeCell ref="K27:N27"/>
    <mergeCell ref="C66:E66"/>
    <mergeCell ref="J32:P32"/>
    <mergeCell ref="H20:J20"/>
    <mergeCell ref="H21:J21"/>
    <mergeCell ref="H22:J22"/>
    <mergeCell ref="C22:E22"/>
    <mergeCell ref="C23:E23"/>
    <mergeCell ref="B32:E32"/>
    <mergeCell ref="G32:H32"/>
    <mergeCell ref="B47:E47"/>
    <mergeCell ref="F47:P47"/>
    <mergeCell ref="B41:J41"/>
    <mergeCell ref="C38:E38"/>
    <mergeCell ref="C39:E39"/>
    <mergeCell ref="H23:J23"/>
    <mergeCell ref="B26:J26"/>
    <mergeCell ref="C25:E25"/>
    <mergeCell ref="C33:E33"/>
    <mergeCell ref="G33:H33"/>
    <mergeCell ref="C35:E35"/>
    <mergeCell ref="C36:E36"/>
    <mergeCell ref="C37:E37"/>
    <mergeCell ref="O42:P42"/>
    <mergeCell ref="B42:H42"/>
    <mergeCell ref="I42:N42"/>
    <mergeCell ref="D50:E50"/>
    <mergeCell ref="C54:D54"/>
    <mergeCell ref="K45:M45"/>
    <mergeCell ref="N45:P45"/>
    <mergeCell ref="B43:H43"/>
    <mergeCell ref="I43:P43"/>
    <mergeCell ref="E58:F58"/>
    <mergeCell ref="M58:N58"/>
    <mergeCell ref="B58:D58"/>
    <mergeCell ref="G58:L58"/>
    <mergeCell ref="I44:P44"/>
    <mergeCell ref="B44:E44"/>
    <mergeCell ref="B45:E45"/>
    <mergeCell ref="C52:D52"/>
    <mergeCell ref="B48:J48"/>
    <mergeCell ref="C53:D53"/>
    <mergeCell ref="C51:D51"/>
    <mergeCell ref="C55:D55"/>
    <mergeCell ref="B57:J57"/>
    <mergeCell ref="O58:P58"/>
    <mergeCell ref="L110:M110"/>
    <mergeCell ref="N110:P110"/>
    <mergeCell ref="L111:M111"/>
    <mergeCell ref="N111:P111"/>
    <mergeCell ref="C115:D115"/>
    <mergeCell ref="C100:E100"/>
    <mergeCell ref="M100:O100"/>
    <mergeCell ref="O104:P104"/>
    <mergeCell ref="B105:P105"/>
    <mergeCell ref="B103:J103"/>
    <mergeCell ref="I104:J104"/>
    <mergeCell ref="C104:H104"/>
    <mergeCell ref="C102:E102"/>
    <mergeCell ref="C110:E110"/>
    <mergeCell ref="F110:G110"/>
    <mergeCell ref="H110:I110"/>
    <mergeCell ref="J110:K110"/>
    <mergeCell ref="C111:E111"/>
    <mergeCell ref="F111:G111"/>
    <mergeCell ref="H111:I111"/>
    <mergeCell ref="J111:K111"/>
    <mergeCell ref="B108:P108"/>
    <mergeCell ref="K104:N104"/>
    <mergeCell ref="H99:J99"/>
    <mergeCell ref="M99:O99"/>
    <mergeCell ref="I102:P102"/>
    <mergeCell ref="H100:J100"/>
    <mergeCell ref="B107:G107"/>
    <mergeCell ref="M88:P88"/>
    <mergeCell ref="C93:E93"/>
    <mergeCell ref="H93:J93"/>
    <mergeCell ref="M93:O93"/>
    <mergeCell ref="C94:E94"/>
    <mergeCell ref="H94:J94"/>
    <mergeCell ref="M94:O94"/>
    <mergeCell ref="C99:E99"/>
    <mergeCell ref="H88:K88"/>
    <mergeCell ref="M95:O95"/>
    <mergeCell ref="C96:E96"/>
    <mergeCell ref="H96:J96"/>
    <mergeCell ref="M96:O96"/>
    <mergeCell ref="H107:P107"/>
    <mergeCell ref="C90:E90"/>
    <mergeCell ref="H91:J91"/>
    <mergeCell ref="C95:E95"/>
    <mergeCell ref="H90:J90"/>
    <mergeCell ref="B178:P178"/>
    <mergeCell ref="D113:E113"/>
    <mergeCell ref="B123:H123"/>
    <mergeCell ref="I123:P123"/>
    <mergeCell ref="M121:N121"/>
    <mergeCell ref="B121:D121"/>
    <mergeCell ref="K121:L121"/>
    <mergeCell ref="C118:D118"/>
    <mergeCell ref="D114:E114"/>
    <mergeCell ref="O121:P121"/>
    <mergeCell ref="C119:D119"/>
    <mergeCell ref="G121:J121"/>
    <mergeCell ref="C117:D117"/>
    <mergeCell ref="C116:D116"/>
  </mergeCells>
  <phoneticPr fontId="4" type="noConversion"/>
  <conditionalFormatting sqref="B12:B23 G12:G23 L12:L23">
    <cfRule type="expression" dxfId="135" priority="86" stopIfTrue="1">
      <formula>ISERROR(C12)</formula>
    </cfRule>
  </conditionalFormatting>
  <conditionalFormatting sqref="F9 I9">
    <cfRule type="expression" dxfId="134" priority="87" stopIfTrue="1">
      <formula>ISERROR(F$9)</formula>
    </cfRule>
  </conditionalFormatting>
  <conditionalFormatting sqref="B25">
    <cfRule type="expression" dxfId="133" priority="88" stopIfTrue="1">
      <formula>ISERROR(C25)</formula>
    </cfRule>
    <cfRule type="expression" dxfId="132" priority="89" stopIfTrue="1">
      <formula>$F$25=0</formula>
    </cfRule>
  </conditionalFormatting>
  <conditionalFormatting sqref="B35:B39 B51:B55">
    <cfRule type="expression" dxfId="131" priority="90" stopIfTrue="1">
      <formula>C35=0</formula>
    </cfRule>
  </conditionalFormatting>
  <conditionalFormatting sqref="F32 I32">
    <cfRule type="expression" dxfId="130" priority="91" stopIfTrue="1">
      <formula>$K$33="ERROR"</formula>
    </cfRule>
    <cfRule type="expression" dxfId="129" priority="92" stopIfTrue="1">
      <formula>ISERROR(F$32)</formula>
    </cfRule>
  </conditionalFormatting>
  <conditionalFormatting sqref="F51:F55">
    <cfRule type="expression" dxfId="128" priority="102" stopIfTrue="1">
      <formula>$K$10="ERROR"</formula>
    </cfRule>
    <cfRule type="expression" dxfId="127" priority="103" stopIfTrue="1">
      <formula>OR(C51=0,F51=0)</formula>
    </cfRule>
    <cfRule type="expression" dxfId="126" priority="104" stopIfTrue="1">
      <formula>ISERROR(F51)</formula>
    </cfRule>
  </conditionalFormatting>
  <conditionalFormatting sqref="I65 F65">
    <cfRule type="expression" dxfId="125" priority="105" stopIfTrue="1">
      <formula>ISERROR(F$65)</formula>
    </cfRule>
  </conditionalFormatting>
  <conditionalFormatting sqref="F66 I66 F10 I10">
    <cfRule type="expression" dxfId="124" priority="106" stopIfTrue="1">
      <formula>$K10="ERROR"</formula>
    </cfRule>
  </conditionalFormatting>
  <conditionalFormatting sqref="F70:F74 F115:F119">
    <cfRule type="expression" dxfId="123" priority="73" stopIfTrue="1">
      <formula>$C70=0</formula>
    </cfRule>
    <cfRule type="expression" dxfId="122" priority="107" stopIfTrue="1">
      <formula>$K$66="ERROR"</formula>
    </cfRule>
    <cfRule type="expression" dxfId="121" priority="108" stopIfTrue="1">
      <formula>$F70=0</formula>
    </cfRule>
    <cfRule type="expression" dxfId="120" priority="109" stopIfTrue="1">
      <formula>ISERROR(F70)</formula>
    </cfRule>
  </conditionalFormatting>
  <conditionalFormatting sqref="C70:D74 C115:D119">
    <cfRule type="cellIs" dxfId="119" priority="116" stopIfTrue="1" operator="equal">
      <formula>0</formula>
    </cfRule>
    <cfRule type="expression" dxfId="118" priority="117" stopIfTrue="1">
      <formula>F70=0</formula>
    </cfRule>
  </conditionalFormatting>
  <conditionalFormatting sqref="B70:B74 B115:B119">
    <cfRule type="expression" dxfId="117" priority="118" stopIfTrue="1">
      <formula>C70=0</formula>
    </cfRule>
    <cfRule type="expression" dxfId="116" priority="119" stopIfTrue="1">
      <formula>F70=0</formula>
    </cfRule>
  </conditionalFormatting>
  <conditionalFormatting sqref="B89:B100 G89:G100 L89:L100">
    <cfRule type="expression" dxfId="115" priority="120" stopIfTrue="1">
      <formula>C89=""</formula>
    </cfRule>
  </conditionalFormatting>
  <conditionalFormatting sqref="E70:E74">
    <cfRule type="expression" dxfId="114" priority="121" stopIfTrue="1">
      <formula>C70=0</formula>
    </cfRule>
    <cfRule type="expression" dxfId="113" priority="122" stopIfTrue="1">
      <formula>E70=0</formula>
    </cfRule>
    <cfRule type="expression" dxfId="112" priority="123" stopIfTrue="1">
      <formula>ISERROR(E70)</formula>
    </cfRule>
  </conditionalFormatting>
  <conditionalFormatting sqref="O86:P86">
    <cfRule type="expression" dxfId="111" priority="124" stopIfTrue="1">
      <formula>ISBLANK($O86)</formula>
    </cfRule>
    <cfRule type="expression" dxfId="110" priority="125" stopIfTrue="1">
      <formula>$M$86="ERROR"</formula>
    </cfRule>
  </conditionalFormatting>
  <conditionalFormatting sqref="O85:P85">
    <cfRule type="expression" dxfId="109" priority="126" stopIfTrue="1">
      <formula>ISBLANK($O85)</formula>
    </cfRule>
    <cfRule type="expression" dxfId="108" priority="127" stopIfTrue="1">
      <formula>$M$86="ERROR"</formula>
    </cfRule>
  </conditionalFormatting>
  <conditionalFormatting sqref="K86:L86">
    <cfRule type="expression" dxfId="107" priority="128" stopIfTrue="1">
      <formula>ISBLANK($K86)</formula>
    </cfRule>
    <cfRule type="expression" dxfId="106" priority="129" stopIfTrue="1">
      <formula>$M$86="ERROR"</formula>
    </cfRule>
  </conditionalFormatting>
  <conditionalFormatting sqref="K85:L85">
    <cfRule type="expression" dxfId="105" priority="130" stopIfTrue="1">
      <formula>ISBLANK($K85)</formula>
    </cfRule>
    <cfRule type="expression" dxfId="104" priority="131" stopIfTrue="1">
      <formula>$M$86="ERROR"</formula>
    </cfRule>
  </conditionalFormatting>
  <conditionalFormatting sqref="N110:P111">
    <cfRule type="expression" dxfId="103" priority="132" stopIfTrue="1">
      <formula>$N110=""</formula>
    </cfRule>
  </conditionalFormatting>
  <conditionalFormatting sqref="M121:N121">
    <cfRule type="expression" dxfId="102" priority="133" stopIfTrue="1">
      <formula>ISERROR(O$121)</formula>
    </cfRule>
  </conditionalFormatting>
  <conditionalFormatting sqref="B45:E45">
    <cfRule type="cellIs" dxfId="101" priority="77" operator="equal">
      <formula>0</formula>
    </cfRule>
    <cfRule type="expression" dxfId="100" priority="134" stopIfTrue="1">
      <formula>N45&lt;&gt;""</formula>
    </cfRule>
  </conditionalFormatting>
  <conditionalFormatting sqref="E51:E55 E115:E119">
    <cfRule type="expression" dxfId="99" priority="85" stopIfTrue="1">
      <formula>$K$10="ERROR"</formula>
    </cfRule>
    <cfRule type="expression" dxfId="98" priority="135" stopIfTrue="1">
      <formula>C51=0</formula>
    </cfRule>
    <cfRule type="cellIs" dxfId="97" priority="136" stopIfTrue="1" operator="equal">
      <formula>0</formula>
    </cfRule>
    <cfRule type="containsErrors" dxfId="96" priority="137">
      <formula>ISERROR(E51)</formula>
    </cfRule>
  </conditionalFormatting>
  <conditionalFormatting sqref="G121">
    <cfRule type="expression" dxfId="95" priority="138" stopIfTrue="1">
      <formula>ISERROR(K$121)</formula>
    </cfRule>
  </conditionalFormatting>
  <conditionalFormatting sqref="D114:E114">
    <cfRule type="expression" dxfId="94" priority="139" stopIfTrue="1">
      <formula>ISERROR(D$114)</formula>
    </cfRule>
  </conditionalFormatting>
  <conditionalFormatting sqref="E58:F58 O42:P42 M58:P58 I42 B58">
    <cfRule type="expression" dxfId="93" priority="142" stopIfTrue="1">
      <formula>ISERROR($O$27)</formula>
    </cfRule>
    <cfRule type="expression" dxfId="92" priority="143" stopIfTrue="1">
      <formula>$K$33="ERROR"</formula>
    </cfRule>
  </conditionalFormatting>
  <conditionalFormatting sqref="C122 E121:E122">
    <cfRule type="expression" dxfId="91" priority="144" stopIfTrue="1">
      <formula>ISERROR($C$122)</formula>
    </cfRule>
    <cfRule type="cellIs" dxfId="90" priority="145" stopIfTrue="1" operator="equal">
      <formula>0</formula>
    </cfRule>
  </conditionalFormatting>
  <conditionalFormatting sqref="J164 E164:G164 F110:G111 J110:K111 F69 D50:E50 C35:E39 C51:D55">
    <cfRule type="cellIs" dxfId="89" priority="146" stopIfTrue="1" operator="equal">
      <formula>0</formula>
    </cfRule>
  </conditionalFormatting>
  <conditionalFormatting sqref="E128:J163 M128:M163 T51:T55 T115:T119">
    <cfRule type="cellIs" dxfId="88" priority="147" stopIfTrue="1" operator="equal">
      <formula>0</formula>
    </cfRule>
  </conditionalFormatting>
  <conditionalFormatting sqref="C104:H104">
    <cfRule type="expression" dxfId="87" priority="148" stopIfTrue="1">
      <formula>$C$86=""</formula>
    </cfRule>
  </conditionalFormatting>
  <conditionalFormatting sqref="M86 K66">
    <cfRule type="expression" dxfId="86" priority="149" stopIfTrue="1">
      <formula>ISERROR($K$66)</formula>
    </cfRule>
  </conditionalFormatting>
  <conditionalFormatting sqref="K89:K100 F89:F100 P89:P100 C12:E23 M12:O23 H12:J23 O104:P104">
    <cfRule type="expression" dxfId="85" priority="84" stopIfTrue="1">
      <formula>ISERROR(C12)</formula>
    </cfRule>
  </conditionalFormatting>
  <conditionalFormatting sqref="C25:E25">
    <cfRule type="expression" dxfId="84" priority="151" stopIfTrue="1">
      <formula>ISERROR(C25)</formula>
    </cfRule>
    <cfRule type="expression" dxfId="83" priority="152" stopIfTrue="1">
      <formula>$F$25=0</formula>
    </cfRule>
  </conditionalFormatting>
  <conditionalFormatting sqref="F25">
    <cfRule type="expression" dxfId="82" priority="153" stopIfTrue="1">
      <formula>ISERROR(F25)</formula>
    </cfRule>
    <cfRule type="cellIs" dxfId="81" priority="154" stopIfTrue="1" operator="equal">
      <formula>0</formula>
    </cfRule>
  </conditionalFormatting>
  <conditionalFormatting sqref="C89:E100">
    <cfRule type="expression" dxfId="80" priority="155" stopIfTrue="1">
      <formula>AND(ISERROR(VLOOKUP(C89,$H$89:$H$100,1,FALSE)),ISERROR(VLOOKUP(C89,$M$89:$M$100,1,FALSE)))</formula>
    </cfRule>
  </conditionalFormatting>
  <conditionalFormatting sqref="H89:J100">
    <cfRule type="expression" dxfId="79" priority="156" stopIfTrue="1">
      <formula>AND(ISERROR(VLOOKUP(H89,$C$89:$C$100,1,FALSE)),ISERROR(VLOOKUP(H89,$M$89:$M$100,1,FALSE)))</formula>
    </cfRule>
  </conditionalFormatting>
  <conditionalFormatting sqref="M89:O100">
    <cfRule type="expression" dxfId="78" priority="157" stopIfTrue="1">
      <formula>AND(ISERROR(VLOOKUP(M89,$C$89:$C$100,1,FALSE)),ISERROR(VLOOKUP(M89,$H$89:$H$100,1,FALSE)))</formula>
    </cfRule>
  </conditionalFormatting>
  <conditionalFormatting sqref="K10 K33">
    <cfRule type="expression" dxfId="77" priority="158" stopIfTrue="1">
      <formula>ISERROR($K$10)</formula>
    </cfRule>
  </conditionalFormatting>
  <conditionalFormatting sqref="F33 I33">
    <cfRule type="expression" dxfId="76" priority="159" stopIfTrue="1">
      <formula>$K$33="ERROR"</formula>
    </cfRule>
    <cfRule type="cellIs" dxfId="75" priority="160" stopIfTrue="1" operator="equal">
      <formula>0</formula>
    </cfRule>
  </conditionalFormatting>
  <conditionalFormatting sqref="F12:F23 K12:K23 P12:P23">
    <cfRule type="expression" dxfId="74" priority="161" stopIfTrue="1">
      <formula>ISERROR(F12)</formula>
    </cfRule>
  </conditionalFormatting>
  <conditionalFormatting sqref="B78:P78">
    <cfRule type="expression" dxfId="73" priority="162" stopIfTrue="1">
      <formula>$O$77&lt;0</formula>
    </cfRule>
  </conditionalFormatting>
  <conditionalFormatting sqref="C86:E86">
    <cfRule type="expression" dxfId="72" priority="163" stopIfTrue="1">
      <formula>$C$86=""</formula>
    </cfRule>
  </conditionalFormatting>
  <conditionalFormatting sqref="C85:E85">
    <cfRule type="expression" dxfId="71" priority="164" stopIfTrue="1">
      <formula>$C$86=""</formula>
    </cfRule>
  </conditionalFormatting>
  <conditionalFormatting sqref="K27:P27">
    <cfRule type="expression" dxfId="70" priority="167" stopIfTrue="1">
      <formula>ISERROR($O$27)</formula>
    </cfRule>
    <cfRule type="expression" dxfId="69" priority="168" stopIfTrue="1">
      <formula>$P$10&lt;0</formula>
    </cfRule>
  </conditionalFormatting>
  <conditionalFormatting sqref="I104:J104">
    <cfRule type="cellIs" dxfId="68" priority="169" stopIfTrue="1" operator="equal">
      <formula>"ERROR"</formula>
    </cfRule>
    <cfRule type="expression" dxfId="67" priority="170" stopIfTrue="1">
      <formula>ISERROR($I$104)</formula>
    </cfRule>
  </conditionalFormatting>
  <conditionalFormatting sqref="C113">
    <cfRule type="expression" dxfId="66" priority="171" stopIfTrue="1">
      <formula>ISERROR($C$113)</formula>
    </cfRule>
  </conditionalFormatting>
  <conditionalFormatting sqref="O77:P77 J77:K77">
    <cfRule type="expression" dxfId="65" priority="172" stopIfTrue="1">
      <formula>ISERROR($O$77)</formula>
    </cfRule>
  </conditionalFormatting>
  <conditionalFormatting sqref="F89:F100 K89:K100 P89:P100 F102">
    <cfRule type="expression" dxfId="64" priority="150">
      <formula>AND(C89="",F89&lt;&gt;0)</formula>
    </cfRule>
  </conditionalFormatting>
  <conditionalFormatting sqref="I25:P25 I102 B77 Q58">
    <cfRule type="expression" dxfId="63" priority="900" stopIfTrue="1">
      <formula>AND($I$175=1,#REF!=1)</formula>
    </cfRule>
    <cfRule type="expression" dxfId="62" priority="901" stopIfTrue="1">
      <formula>#REF!=1</formula>
    </cfRule>
  </conditionalFormatting>
  <conditionalFormatting sqref="M10:N10">
    <cfRule type="cellIs" dxfId="61" priority="83" operator="equal">
      <formula>0</formula>
    </cfRule>
  </conditionalFormatting>
  <conditionalFormatting sqref="O42:P42">
    <cfRule type="containsErrors" dxfId="60" priority="82" stopIfTrue="1">
      <formula>ISERROR(O42)</formula>
    </cfRule>
  </conditionalFormatting>
  <conditionalFormatting sqref="M66:N67">
    <cfRule type="cellIs" dxfId="59" priority="81" operator="equal">
      <formula>0</formula>
    </cfRule>
  </conditionalFormatting>
  <conditionalFormatting sqref="F12:F23 K12:K23 P12:P23 F25">
    <cfRule type="expression" dxfId="58" priority="80">
      <formula>OR($G$175=FALSE,$K$175=FALSE)</formula>
    </cfRule>
  </conditionalFormatting>
  <conditionalFormatting sqref="F9">
    <cfRule type="cellIs" dxfId="57" priority="76" operator="equal">
      <formula>1900</formula>
    </cfRule>
  </conditionalFormatting>
  <conditionalFormatting sqref="F32">
    <cfRule type="cellIs" dxfId="56" priority="75" operator="equal">
      <formula>1900</formula>
    </cfRule>
  </conditionalFormatting>
  <conditionalFormatting sqref="F65">
    <cfRule type="cellIs" dxfId="55" priority="74" operator="equal">
      <formula>1900</formula>
    </cfRule>
  </conditionalFormatting>
  <conditionalFormatting sqref="I46:P46 I44:P44">
    <cfRule type="expression" dxfId="54" priority="5217" stopIfTrue="1">
      <formula>AND(#REF!=1,#REF!=1)</formula>
    </cfRule>
    <cfRule type="expression" dxfId="53" priority="5218" stopIfTrue="1">
      <formula>#REF!=1</formula>
    </cfRule>
  </conditionalFormatting>
  <conditionalFormatting sqref="O121:P121 K121:L121">
    <cfRule type="expression" dxfId="52" priority="5230" stopIfTrue="1">
      <formula>ISERROR($O$27)</formula>
    </cfRule>
    <cfRule type="expression" dxfId="51" priority="5231" stopIfTrue="1">
      <formula>ISERROR(K$121)</formula>
    </cfRule>
  </conditionalFormatting>
  <conditionalFormatting sqref="F35:F39">
    <cfRule type="expression" dxfId="50" priority="5234" stopIfTrue="1">
      <formula>OR($G$175=FALSE,$K$175=FALSE)</formula>
    </cfRule>
    <cfRule type="expression" dxfId="49" priority="5235" stopIfTrue="1">
      <formula>$K$10="ERROR"</formula>
    </cfRule>
    <cfRule type="expression" dxfId="48" priority="5236" stopIfTrue="1">
      <formula>C35=0</formula>
    </cfRule>
    <cfRule type="expression" dxfId="47" priority="5237" stopIfTrue="1">
      <formula>ISERROR(F35)</formula>
    </cfRule>
    <cfRule type="cellIs" dxfId="46" priority="5238" stopIfTrue="1" operator="equal">
      <formula>0</formula>
    </cfRule>
  </conditionalFormatting>
  <dataValidations count="8">
    <dataValidation type="list" allowBlank="1" showInputMessage="1" showErrorMessage="1" sqref="N110:P110">
      <formula1>$B$154:$B$160</formula1>
    </dataValidation>
    <dataValidation type="list" allowBlank="1" showInputMessage="1" showErrorMessage="1" sqref="N111:P111 N45:P45">
      <formula1>$D$154:$D$160</formula1>
    </dataValidation>
    <dataValidation type="list" allowBlank="1" showInputMessage="1" showErrorMessage="1" sqref="I10 F10">
      <formula1>$B$128:$B$140</formula1>
    </dataValidation>
    <dataValidation type="list" allowBlank="1" showInputMessage="1" showErrorMessage="1" sqref="C86:E86">
      <formula1>$B$162:$B$165</formula1>
    </dataValidation>
    <dataValidation type="list" allowBlank="1" showInputMessage="1" showErrorMessage="1" sqref="C89:E100 H89:J100 M89:O100">
      <formula1>$M$127:$M$163</formula1>
    </dataValidation>
    <dataValidation type="list" allowBlank="1" showInputMessage="1" showErrorMessage="1" sqref="K85:L85 O85:P85">
      <formula1>$B$141:$B$153</formula1>
    </dataValidation>
    <dataValidation type="list" allowBlank="1" showInputMessage="1" showErrorMessage="1" sqref="F66 I66">
      <formula1>$B$127:$B$139</formula1>
    </dataValidation>
    <dataValidation type="list" allowBlank="1" showInputMessage="1" showErrorMessage="1" sqref="K86:L86 O86:P86">
      <formula1>$C$142:$C$153</formula1>
    </dataValidation>
  </dataValidations>
  <hyperlinks>
    <hyperlink ref="O60" location="COSTI!CK1" display="QUI"/>
    <hyperlink ref="O10" location="COSTI!P4" display="QUI"/>
    <hyperlink ref="O66" location="ENTI!P4" display="QUI"/>
    <hyperlink ref="O67" location="PATRIMONIALE!P4" display="QUI"/>
  </hyperlinks>
  <pageMargins left="0" right="0" top="0.39370078740157483" bottom="0.39370078740157483" header="0.51181102362204722" footer="0.51181102362204722"/>
  <pageSetup paperSize="9" scale="70" orientation="portrait" verticalDpi="0" r:id="rId1"/>
  <headerFooter alignWithMargins="0"/>
  <rowBreaks count="1" manualBreakCount="1">
    <brk id="79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9"/>
  <sheetViews>
    <sheetView showGridLines="0" showRowColHeaders="0" zoomScaleNormal="100" workbookViewId="0">
      <selection activeCell="J17" sqref="J17:N17"/>
    </sheetView>
  </sheetViews>
  <sheetFormatPr defaultRowHeight="12.75"/>
  <cols>
    <col min="1" max="1" width="4.28515625" style="2" customWidth="1"/>
    <col min="2" max="16" width="10" style="2" customWidth="1"/>
    <col min="17" max="17" width="3.7109375" style="2" customWidth="1"/>
    <col min="18" max="18" width="10" style="2" customWidth="1"/>
    <col min="19" max="16384" width="9.140625" style="2"/>
  </cols>
  <sheetData>
    <row r="1" spans="1:17" ht="4.5" customHeight="1">
      <c r="A1" s="373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6.5" customHeight="1">
      <c r="A2" s="1"/>
      <c r="B2" s="1668" t="s">
        <v>285</v>
      </c>
      <c r="C2" s="1668"/>
      <c r="D2" s="1668"/>
      <c r="E2" s="1109"/>
      <c r="F2" s="1109"/>
      <c r="G2" s="1109"/>
      <c r="H2" s="1109"/>
      <c r="I2" s="1109"/>
      <c r="J2" s="1109"/>
      <c r="K2" s="1109"/>
      <c r="L2" s="1109"/>
      <c r="M2" s="1109"/>
      <c r="N2" s="1109"/>
      <c r="O2" s="1109"/>
      <c r="P2" s="1109"/>
      <c r="Q2" s="1"/>
    </row>
    <row r="3" spans="1:17" ht="16.5" customHeight="1">
      <c r="A3" s="1"/>
      <c r="B3" s="1691" t="s">
        <v>398</v>
      </c>
      <c r="C3" s="1691"/>
      <c r="D3" s="1691"/>
      <c r="E3" s="1691"/>
      <c r="F3" s="1691"/>
      <c r="G3" s="1691"/>
      <c r="H3" s="1691"/>
      <c r="I3" s="1691"/>
      <c r="J3" s="1691"/>
      <c r="K3" s="1691"/>
      <c r="L3" s="1691"/>
      <c r="M3" s="1691"/>
      <c r="N3" s="1691"/>
      <c r="O3" s="1691"/>
      <c r="P3" s="1691"/>
      <c r="Q3" s="1"/>
    </row>
    <row r="4" spans="1:17" ht="9" customHeight="1">
      <c r="A4" s="1"/>
      <c r="B4" s="608"/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  <c r="Q4" s="1"/>
    </row>
    <row r="5" spans="1:17" ht="16.5" customHeight="1">
      <c r="A5" s="1"/>
      <c r="B5" s="607"/>
      <c r="C5" s="1707" t="str">
        <f>RENDICONTO!P6</f>
        <v>Inserisci qui il NOME   -   P.I./C.F codice fiscale condominio</v>
      </c>
      <c r="D5" s="1707"/>
      <c r="E5" s="1707"/>
      <c r="F5" s="1707"/>
      <c r="G5" s="1707"/>
      <c r="H5" s="1707"/>
      <c r="I5" s="1707"/>
      <c r="J5" s="1707"/>
      <c r="K5" s="1707"/>
      <c r="L5" s="1708" t="str">
        <f>RENDICONTO!P5</f>
        <v/>
      </c>
      <c r="M5" s="1708"/>
      <c r="N5" s="1708"/>
      <c r="O5" s="607"/>
      <c r="P5" s="607"/>
      <c r="Q5" s="1"/>
    </row>
    <row r="6" spans="1:17" ht="16.5" customHeight="1">
      <c r="A6" s="1"/>
      <c r="B6" s="607"/>
      <c r="C6" s="607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1"/>
    </row>
    <row r="7" spans="1:17" ht="19.5" customHeight="1">
      <c r="A7" s="1"/>
      <c r="B7" s="607"/>
      <c r="C7" s="1698"/>
      <c r="D7" s="1698"/>
      <c r="E7" s="1698"/>
      <c r="F7" s="1698"/>
      <c r="G7" s="1698"/>
      <c r="H7" s="1698"/>
      <c r="I7" s="1699"/>
      <c r="J7" s="1699"/>
      <c r="K7" s="1699"/>
      <c r="L7" s="1699"/>
      <c r="M7" s="1699"/>
      <c r="N7" s="1699"/>
      <c r="O7" s="607"/>
      <c r="P7" s="607"/>
      <c r="Q7" s="1"/>
    </row>
    <row r="8" spans="1:17" ht="19.5" customHeight="1">
      <c r="A8" s="1"/>
      <c r="B8" s="607"/>
      <c r="C8" s="1698"/>
      <c r="D8" s="1698"/>
      <c r="E8" s="1698"/>
      <c r="F8" s="1698"/>
      <c r="G8" s="1698"/>
      <c r="H8" s="1698"/>
      <c r="I8" s="1699"/>
      <c r="J8" s="1699"/>
      <c r="K8" s="1699"/>
      <c r="L8" s="1699"/>
      <c r="M8" s="1699"/>
      <c r="N8" s="1699"/>
      <c r="O8" s="607"/>
      <c r="P8" s="607"/>
      <c r="Q8" s="1"/>
    </row>
    <row r="9" spans="1:17" ht="19.5" customHeight="1">
      <c r="A9" s="1"/>
      <c r="B9" s="607"/>
      <c r="C9" s="1698"/>
      <c r="D9" s="1698"/>
      <c r="E9" s="1698"/>
      <c r="F9" s="1698"/>
      <c r="G9" s="1698"/>
      <c r="H9" s="1698"/>
      <c r="I9" s="1699"/>
      <c r="J9" s="1699"/>
      <c r="K9" s="1699"/>
      <c r="L9" s="1699"/>
      <c r="M9" s="1699"/>
      <c r="N9" s="1699"/>
      <c r="O9" s="607"/>
      <c r="P9" s="607"/>
      <c r="Q9" s="1"/>
    </row>
    <row r="10" spans="1:17" ht="19.5" customHeight="1">
      <c r="A10" s="1"/>
      <c r="B10" s="607"/>
      <c r="C10" s="1698"/>
      <c r="D10" s="1698"/>
      <c r="E10" s="1698"/>
      <c r="F10" s="1698"/>
      <c r="G10" s="1698"/>
      <c r="H10" s="1698"/>
      <c r="I10" s="1699"/>
      <c r="J10" s="1699"/>
      <c r="K10" s="1699"/>
      <c r="L10" s="1699"/>
      <c r="M10" s="1699"/>
      <c r="N10" s="1699"/>
      <c r="O10" s="607"/>
      <c r="P10" s="607"/>
      <c r="Q10" s="1"/>
    </row>
    <row r="11" spans="1:17" ht="19.5" customHeight="1">
      <c r="A11" s="1"/>
      <c r="B11" s="607"/>
      <c r="C11" s="1698"/>
      <c r="D11" s="1698"/>
      <c r="E11" s="1698"/>
      <c r="F11" s="1698"/>
      <c r="G11" s="1698"/>
      <c r="H11" s="1698"/>
      <c r="I11" s="1699"/>
      <c r="J11" s="1699"/>
      <c r="K11" s="1699"/>
      <c r="L11" s="1699"/>
      <c r="M11" s="1699"/>
      <c r="N11" s="1699"/>
      <c r="O11" s="607"/>
      <c r="P11" s="607"/>
      <c r="Q11" s="1"/>
    </row>
    <row r="12" spans="1:17" ht="16.5" customHeight="1">
      <c r="A12" s="1"/>
      <c r="B12" s="607"/>
      <c r="C12" s="607"/>
      <c r="D12" s="607"/>
      <c r="E12" s="607"/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  <c r="Q12" s="1"/>
    </row>
    <row r="13" spans="1:17" ht="16.5" customHeight="1">
      <c r="A13" s="1"/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1"/>
    </row>
    <row r="14" spans="1:17" ht="16.5" customHeight="1">
      <c r="A14" s="1"/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1"/>
    </row>
    <row r="15" spans="1:17" ht="16.5" customHeight="1">
      <c r="A15" s="1"/>
      <c r="B15" s="607"/>
      <c r="C15" s="607"/>
      <c r="D15" s="607"/>
      <c r="E15" s="607"/>
      <c r="F15" s="607"/>
      <c r="G15" s="607"/>
      <c r="H15" s="607"/>
      <c r="I15" s="607"/>
      <c r="J15" s="607"/>
      <c r="K15" s="607"/>
      <c r="L15" s="607"/>
      <c r="M15" s="607"/>
      <c r="N15" s="607"/>
      <c r="O15" s="607"/>
      <c r="P15" s="607"/>
      <c r="Q15" s="1"/>
    </row>
    <row r="16" spans="1:17" ht="16.5" customHeight="1">
      <c r="A16" s="1"/>
      <c r="B16" s="607"/>
      <c r="C16" s="1709"/>
      <c r="D16" s="1709"/>
      <c r="E16" s="1709"/>
      <c r="F16" s="1709"/>
      <c r="G16" s="1709"/>
      <c r="H16" s="1709"/>
      <c r="I16" s="607"/>
      <c r="J16" s="1705" t="s">
        <v>293</v>
      </c>
      <c r="K16" s="1705"/>
      <c r="L16" s="1705"/>
      <c r="M16" s="1705"/>
      <c r="N16" s="1705"/>
      <c r="O16" s="607"/>
      <c r="P16" s="607"/>
      <c r="Q16" s="1"/>
    </row>
    <row r="17" spans="1:17" ht="16.5" customHeight="1">
      <c r="A17" s="1"/>
      <c r="B17" s="607"/>
      <c r="C17" s="1710"/>
      <c r="D17" s="1710"/>
      <c r="E17" s="1710"/>
      <c r="F17" s="1710"/>
      <c r="G17" s="1710"/>
      <c r="H17" s="1710"/>
      <c r="I17" s="607"/>
      <c r="J17" s="1706"/>
      <c r="K17" s="1706"/>
      <c r="L17" s="1706"/>
      <c r="M17" s="1706"/>
      <c r="N17" s="1706"/>
      <c r="O17" s="607"/>
      <c r="P17" s="607"/>
      <c r="Q17" s="1"/>
    </row>
    <row r="18" spans="1:17" ht="16.5" customHeight="1">
      <c r="A18" s="1"/>
      <c r="B18" s="607"/>
      <c r="C18" s="607"/>
      <c r="D18" s="607"/>
      <c r="E18" s="607"/>
      <c r="F18" s="607"/>
      <c r="G18" s="607"/>
      <c r="H18" s="607"/>
      <c r="I18" s="607"/>
      <c r="J18" s="1704" t="str">
        <f>Presentazione!C26</f>
        <v>Inserisci qui il NOME</v>
      </c>
      <c r="K18" s="1704"/>
      <c r="L18" s="1704"/>
      <c r="M18" s="1704"/>
      <c r="N18" s="1704"/>
      <c r="O18" s="607"/>
      <c r="P18" s="607"/>
      <c r="Q18" s="1"/>
    </row>
    <row r="19" spans="1:17" ht="16.5" customHeight="1">
      <c r="A19" s="1"/>
      <c r="B19" s="607"/>
      <c r="C19" s="607"/>
      <c r="D19" s="607"/>
      <c r="E19" s="607"/>
      <c r="F19" s="607"/>
      <c r="G19" s="607"/>
      <c r="H19" s="607"/>
      <c r="I19" s="607"/>
      <c r="J19" s="1704" t="str">
        <f>Presentazione!D28</f>
        <v>Via del Condominio</v>
      </c>
      <c r="K19" s="1704"/>
      <c r="L19" s="1704"/>
      <c r="M19" s="1704"/>
      <c r="N19" s="1704"/>
      <c r="O19" s="607"/>
      <c r="P19" s="607"/>
      <c r="Q19" s="1"/>
    </row>
    <row r="20" spans="1:17" ht="16.5" customHeight="1">
      <c r="A20" s="1"/>
      <c r="B20" s="607"/>
      <c r="C20" s="607"/>
      <c r="D20" s="607"/>
      <c r="E20" s="607"/>
      <c r="F20" s="607"/>
      <c r="G20" s="607"/>
      <c r="H20" s="607"/>
      <c r="I20" s="607"/>
      <c r="J20" s="1704" t="str">
        <f>Presentazione!D29</f>
        <v>00000 - ROMA</v>
      </c>
      <c r="K20" s="1704"/>
      <c r="L20" s="1704"/>
      <c r="M20" s="1704"/>
      <c r="N20" s="1704"/>
      <c r="O20" s="607"/>
      <c r="P20" s="607"/>
      <c r="Q20" s="1"/>
    </row>
    <row r="21" spans="1:17" ht="16.5" customHeight="1">
      <c r="A21" s="1"/>
      <c r="B21" s="607"/>
      <c r="C21" s="607"/>
      <c r="D21" s="607"/>
      <c r="E21" s="607"/>
      <c r="F21" s="607"/>
      <c r="G21" s="607"/>
      <c r="H21" s="607"/>
      <c r="I21" s="607"/>
      <c r="J21" s="607"/>
      <c r="K21" s="607"/>
      <c r="L21" s="607"/>
      <c r="M21" s="607"/>
      <c r="N21" s="607"/>
      <c r="O21" s="607"/>
      <c r="P21" s="607"/>
      <c r="Q21" s="1"/>
    </row>
    <row r="22" spans="1:17" ht="16.5" customHeight="1">
      <c r="A22" s="1"/>
      <c r="B22" s="607"/>
      <c r="C22" s="607"/>
      <c r="D22" s="607"/>
      <c r="E22" s="607"/>
      <c r="F22" s="607"/>
      <c r="G22" s="607"/>
      <c r="H22" s="607"/>
      <c r="I22" s="607"/>
      <c r="K22" s="607"/>
      <c r="L22" s="607"/>
      <c r="M22" s="607"/>
      <c r="N22" s="607"/>
      <c r="O22" s="607"/>
      <c r="P22" s="607"/>
      <c r="Q22" s="1"/>
    </row>
    <row r="23" spans="1:17" ht="19.5" customHeight="1">
      <c r="A23" s="1"/>
      <c r="B23" s="607"/>
      <c r="C23" s="1704" t="s">
        <v>294</v>
      </c>
      <c r="D23" s="1704"/>
      <c r="E23" s="1704"/>
      <c r="F23" s="608"/>
      <c r="G23" s="608"/>
      <c r="H23" s="607"/>
      <c r="I23" s="607"/>
      <c r="J23" s="607"/>
      <c r="K23" s="607"/>
      <c r="L23" s="607"/>
      <c r="M23" s="607"/>
      <c r="N23" s="607"/>
      <c r="O23" s="607"/>
      <c r="P23" s="607"/>
      <c r="Q23" s="1"/>
    </row>
    <row r="24" spans="1:17" ht="19.5" customHeight="1">
      <c r="A24" s="1"/>
      <c r="B24" s="607"/>
      <c r="C24" s="1718"/>
      <c r="D24" s="1718"/>
      <c r="E24" s="1718"/>
      <c r="F24" s="608"/>
      <c r="G24" s="607"/>
      <c r="H24" s="607"/>
      <c r="I24" s="607"/>
      <c r="J24" s="607"/>
      <c r="K24" s="607"/>
      <c r="L24" s="607"/>
      <c r="M24" s="607"/>
      <c r="N24" s="607"/>
      <c r="O24" s="607"/>
      <c r="P24" s="607"/>
      <c r="Q24" s="1"/>
    </row>
    <row r="25" spans="1:17" ht="16.5" customHeight="1">
      <c r="A25" s="1"/>
      <c r="B25" s="607"/>
      <c r="C25" s="1717" t="s">
        <v>295</v>
      </c>
      <c r="D25" s="1717"/>
      <c r="E25" s="1717"/>
      <c r="F25" s="608"/>
      <c r="G25" s="607"/>
      <c r="H25" s="607"/>
      <c r="I25" s="607"/>
      <c r="J25" s="607"/>
      <c r="K25" s="607"/>
      <c r="L25" s="607"/>
      <c r="M25" s="607"/>
      <c r="N25" s="607"/>
      <c r="O25" s="607"/>
      <c r="P25" s="607"/>
      <c r="Q25" s="1"/>
    </row>
    <row r="26" spans="1:17" ht="16.5" customHeight="1">
      <c r="A26" s="1"/>
      <c r="B26" s="607"/>
      <c r="C26" s="1716" t="s">
        <v>296</v>
      </c>
      <c r="D26" s="1716"/>
      <c r="E26" s="1716"/>
      <c r="F26" s="607"/>
      <c r="G26" s="607"/>
      <c r="H26" s="607"/>
      <c r="I26" s="607"/>
      <c r="J26" s="607"/>
      <c r="K26" s="607"/>
      <c r="L26" s="607"/>
      <c r="M26" s="607"/>
      <c r="N26" s="607"/>
      <c r="O26" s="607"/>
      <c r="P26" s="607"/>
      <c r="Q26" s="1"/>
    </row>
    <row r="27" spans="1:17" ht="16.5" customHeight="1">
      <c r="A27" s="1"/>
      <c r="B27" s="607"/>
      <c r="C27" s="607"/>
      <c r="D27" s="607"/>
      <c r="E27" s="607"/>
      <c r="F27" s="607"/>
      <c r="G27" s="607"/>
      <c r="H27" s="607"/>
      <c r="I27" s="607"/>
      <c r="J27" s="607"/>
      <c r="K27" s="607"/>
      <c r="L27" s="607"/>
      <c r="M27" s="607"/>
      <c r="N27" s="607"/>
      <c r="O27" s="607"/>
      <c r="P27" s="607"/>
      <c r="Q27" s="1"/>
    </row>
    <row r="28" spans="1:17" ht="19.5" customHeight="1">
      <c r="A28" s="1"/>
      <c r="B28" s="607"/>
      <c r="C28" s="1704" t="s">
        <v>297</v>
      </c>
      <c r="D28" s="1704"/>
      <c r="E28" s="1704"/>
      <c r="F28" s="608"/>
      <c r="G28" s="608"/>
      <c r="H28" s="607"/>
      <c r="I28" s="607"/>
      <c r="J28" s="607"/>
      <c r="K28" s="607"/>
      <c r="L28" s="607"/>
      <c r="M28" s="607"/>
      <c r="N28" s="607"/>
      <c r="O28" s="607"/>
      <c r="P28" s="607"/>
      <c r="Q28" s="1"/>
    </row>
    <row r="29" spans="1:17" ht="19.5" customHeight="1">
      <c r="A29" s="1"/>
      <c r="B29" s="607"/>
      <c r="C29" s="1692"/>
      <c r="D29" s="1693"/>
      <c r="E29" s="1693"/>
      <c r="F29" s="608"/>
      <c r="G29" s="607"/>
      <c r="H29" s="607"/>
      <c r="I29" s="607"/>
      <c r="J29" s="790" t="str">
        <f>COSTI!N65</f>
        <v>Codice Fiscale</v>
      </c>
      <c r="K29" s="791"/>
      <c r="L29" s="791"/>
      <c r="M29" s="791"/>
      <c r="N29" s="792" t="str">
        <f>COSTI!N66</f>
        <v>codice fiscale condominio</v>
      </c>
      <c r="O29" s="607"/>
      <c r="P29" s="607"/>
      <c r="Q29" s="1"/>
    </row>
    <row r="30" spans="1:17" ht="16.5" customHeight="1">
      <c r="A30" s="1"/>
      <c r="B30" s="607"/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  <c r="Q30" s="1"/>
    </row>
    <row r="31" spans="1:17" ht="16.5" customHeight="1">
      <c r="A31" s="1"/>
      <c r="B31" s="607"/>
      <c r="C31" s="607"/>
      <c r="D31" s="607"/>
      <c r="E31" s="607"/>
      <c r="F31" s="607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1"/>
    </row>
    <row r="32" spans="1:17" ht="19.5" customHeight="1">
      <c r="A32" s="1"/>
      <c r="B32" s="632">
        <v>1</v>
      </c>
      <c r="C32" s="1704" t="e">
        <f>VLOOKUP(B32,$B$139:$C$156,2,FALSE)</f>
        <v>#N/A</v>
      </c>
      <c r="D32" s="1704"/>
      <c r="E32" s="1704"/>
      <c r="F32" s="1704"/>
      <c r="G32" s="1704"/>
      <c r="H32" s="1704"/>
      <c r="I32" s="1704"/>
      <c r="J32" s="1704"/>
      <c r="K32" s="1704"/>
      <c r="L32" s="1704"/>
      <c r="M32" s="1704"/>
      <c r="N32" s="1704"/>
      <c r="O32" s="607"/>
      <c r="P32" s="607"/>
      <c r="Q32" s="1"/>
    </row>
    <row r="33" spans="1:17" ht="19.5" customHeight="1">
      <c r="A33" s="1"/>
      <c r="B33" s="632">
        <v>2</v>
      </c>
      <c r="C33" s="1704" t="e">
        <f>VLOOKUP(B33,$B$139:$C$156,2,FALSE)</f>
        <v>#N/A</v>
      </c>
      <c r="D33" s="1704"/>
      <c r="E33" s="1704"/>
      <c r="F33" s="1704"/>
      <c r="G33" s="1704"/>
      <c r="H33" s="1704"/>
      <c r="I33" s="1704"/>
      <c r="J33" s="1704"/>
      <c r="K33" s="1704"/>
      <c r="L33" s="1704"/>
      <c r="M33" s="1704"/>
      <c r="N33" s="1704"/>
      <c r="O33" s="607"/>
      <c r="P33" s="607"/>
      <c r="Q33" s="1"/>
    </row>
    <row r="34" spans="1:17" ht="19.5" customHeight="1">
      <c r="A34" s="1"/>
      <c r="B34" s="632">
        <v>3</v>
      </c>
      <c r="C34" s="1704" t="e">
        <f>VLOOKUP(B34,$B$139:$C$156,2,FALSE)</f>
        <v>#N/A</v>
      </c>
      <c r="D34" s="1704"/>
      <c r="E34" s="1704"/>
      <c r="F34" s="1704"/>
      <c r="G34" s="1704"/>
      <c r="H34" s="1704"/>
      <c r="I34" s="1704"/>
      <c r="J34" s="1704"/>
      <c r="K34" s="1704"/>
      <c r="L34" s="1704"/>
      <c r="M34" s="1704"/>
      <c r="N34" s="1704"/>
      <c r="O34" s="607"/>
      <c r="P34" s="607"/>
      <c r="Q34" s="1"/>
    </row>
    <row r="35" spans="1:17" ht="16.5" customHeight="1">
      <c r="A35" s="1"/>
      <c r="B35" s="607"/>
      <c r="C35" s="607"/>
      <c r="D35" s="607"/>
      <c r="E35" s="607"/>
      <c r="F35" s="607"/>
      <c r="G35" s="607"/>
      <c r="H35" s="607"/>
      <c r="I35" s="607"/>
      <c r="J35" s="607"/>
      <c r="K35" s="607"/>
      <c r="L35" s="607"/>
      <c r="M35" s="607"/>
      <c r="N35" s="607"/>
      <c r="O35" s="607"/>
      <c r="P35" s="607"/>
      <c r="Q35" s="1"/>
    </row>
    <row r="36" spans="1:17" ht="16.5" customHeight="1">
      <c r="A36" s="1"/>
      <c r="B36" s="607"/>
      <c r="C36" s="607"/>
      <c r="D36" s="607"/>
      <c r="E36" s="607"/>
      <c r="F36" s="607"/>
      <c r="G36" s="607"/>
      <c r="H36" s="607"/>
      <c r="I36" s="607"/>
      <c r="J36" s="607"/>
      <c r="K36" s="607"/>
      <c r="L36" s="607"/>
      <c r="M36" s="607"/>
      <c r="N36" s="607"/>
      <c r="O36" s="1092" t="s">
        <v>543</v>
      </c>
      <c r="P36" s="835"/>
      <c r="Q36" s="1"/>
    </row>
    <row r="37" spans="1:17" ht="19.5" customHeight="1">
      <c r="A37" s="1"/>
      <c r="B37" s="607"/>
      <c r="C37" s="1697" t="s">
        <v>304</v>
      </c>
      <c r="D37" s="1697"/>
      <c r="E37" s="1697"/>
      <c r="F37" s="1697" t="s">
        <v>157</v>
      </c>
      <c r="G37" s="1697"/>
      <c r="H37" s="1697"/>
      <c r="I37" s="1697" t="s">
        <v>319</v>
      </c>
      <c r="J37" s="1697"/>
      <c r="K37" s="1697"/>
      <c r="L37" s="1"/>
      <c r="M37" s="1"/>
      <c r="N37" s="1"/>
      <c r="O37" s="998" t="s">
        <v>542</v>
      </c>
      <c r="P37" s="835"/>
      <c r="Q37" s="1"/>
    </row>
    <row r="38" spans="1:17" ht="19.5" customHeight="1">
      <c r="A38" s="1"/>
      <c r="B38" s="607"/>
      <c r="C38" s="1696" t="e">
        <f>VLOOKUP(1,$I$71:$O$118,7,FALSE)</f>
        <v>#N/A</v>
      </c>
      <c r="D38" s="1696"/>
      <c r="E38" s="1696"/>
      <c r="F38" s="1696" t="e">
        <f>VLOOKUP(2,$I$71:$O$118,7,FALSE)</f>
        <v>#N/A</v>
      </c>
      <c r="G38" s="1696"/>
      <c r="H38" s="1696"/>
      <c r="I38" s="1722">
        <f>RENDICONTO!E122</f>
        <v>24</v>
      </c>
      <c r="J38" s="1696"/>
      <c r="K38" s="1696"/>
      <c r="L38" s="51"/>
      <c r="M38" s="51"/>
      <c r="N38" s="1043" t="str">
        <f>L5</f>
        <v/>
      </c>
      <c r="O38" s="1093" t="s">
        <v>613</v>
      </c>
      <c r="P38" s="835"/>
      <c r="Q38" s="1"/>
    </row>
    <row r="39" spans="1:17" ht="16.5" customHeight="1">
      <c r="A39" s="1"/>
      <c r="B39" s="607"/>
      <c r="C39" s="607"/>
      <c r="D39" s="607"/>
      <c r="E39" s="607"/>
      <c r="F39" s="607"/>
      <c r="G39" s="607"/>
      <c r="H39" s="607"/>
      <c r="I39" s="607"/>
      <c r="J39" s="607"/>
      <c r="K39" s="607"/>
      <c r="L39" s="607"/>
      <c r="M39" s="607"/>
      <c r="N39" s="607"/>
      <c r="O39" s="607"/>
      <c r="P39" s="607"/>
      <c r="Q39" s="1"/>
    </row>
    <row r="40" spans="1:17" ht="16.5" customHeight="1">
      <c r="A40" s="1"/>
      <c r="B40" s="607"/>
      <c r="C40" s="607"/>
      <c r="D40" s="607"/>
      <c r="E40" s="607"/>
      <c r="F40" s="607"/>
      <c r="G40" s="607"/>
      <c r="H40" s="607"/>
      <c r="I40" s="607"/>
      <c r="J40" s="607"/>
      <c r="K40" s="607"/>
      <c r="L40" s="607"/>
      <c r="M40" s="607"/>
      <c r="N40" s="607"/>
      <c r="O40" s="607"/>
      <c r="P40" s="1042" t="s">
        <v>447</v>
      </c>
      <c r="Q40" s="1"/>
    </row>
    <row r="41" spans="1:17" ht="16.5" customHeight="1">
      <c r="A41" s="1"/>
      <c r="B41" s="607"/>
      <c r="C41" s="607"/>
      <c r="D41" s="1701" t="s">
        <v>305</v>
      </c>
      <c r="E41" s="1701"/>
      <c r="F41" s="1701"/>
      <c r="G41" s="1701"/>
      <c r="H41" s="1694" t="str">
        <f>Presentazione!K26</f>
        <v>EURO</v>
      </c>
      <c r="I41" s="1694"/>
      <c r="J41" s="1720" t="str">
        <f>CONCATENATE("Il nostro DB esprime questi valori:    ",J83)</f>
        <v>Il nostro DB esprime questi valori:    MILL.mi   I</v>
      </c>
      <c r="K41" s="1720"/>
      <c r="L41" s="1720"/>
      <c r="M41" s="1720"/>
      <c r="N41" s="1720"/>
      <c r="O41" s="998" t="s">
        <v>364</v>
      </c>
      <c r="P41" s="767"/>
      <c r="Q41" s="1"/>
    </row>
    <row r="42" spans="1:17" ht="16.5" customHeight="1">
      <c r="A42" s="1"/>
      <c r="B42" s="607"/>
      <c r="C42" s="607"/>
      <c r="D42" s="1715" t="e">
        <f>VLOOKUP(3,$I$71:$K$118,3,FALSE)</f>
        <v>#N/A</v>
      </c>
      <c r="E42" s="1715"/>
      <c r="F42" s="1715"/>
      <c r="G42" s="1715"/>
      <c r="H42" s="1719" t="e">
        <f>VLOOKUP(3,$I$71:$O$118,7,FALSE)</f>
        <v>#N/A</v>
      </c>
      <c r="I42" s="1719"/>
      <c r="J42" s="1713" t="str">
        <f>VLOOKUP(5,$I$71:$K$118,3,FALSE)</f>
        <v>MILLESIMI assegnati al Suo ENTE</v>
      </c>
      <c r="K42" s="1713"/>
      <c r="L42" s="1713"/>
      <c r="M42" s="1714">
        <f>VLOOKUP(5,$I$71:$O$118,7,FALSE)</f>
        <v>0</v>
      </c>
      <c r="N42" s="1714"/>
      <c r="O42" s="998" t="s">
        <v>614</v>
      </c>
      <c r="P42" s="767"/>
      <c r="Q42" s="1"/>
    </row>
    <row r="43" spans="1:17" ht="16.5" customHeight="1">
      <c r="A43" s="1"/>
      <c r="B43" s="607"/>
      <c r="C43" s="607"/>
      <c r="D43" s="1701"/>
      <c r="E43" s="1701"/>
      <c r="F43" s="1701"/>
      <c r="G43" s="1701"/>
      <c r="H43" s="1694"/>
      <c r="I43" s="1694"/>
      <c r="J43" s="1711" t="e">
        <f>VLOOKUP(4,$I$71:$K$118,3,FALSE)</f>
        <v>#N/A</v>
      </c>
      <c r="K43" s="1711"/>
      <c r="L43" s="1711"/>
      <c r="M43" s="1711"/>
      <c r="N43" s="1711"/>
      <c r="O43" s="607"/>
      <c r="P43" s="607"/>
      <c r="Q43" s="1"/>
    </row>
    <row r="44" spans="1:17" ht="16.5" customHeight="1">
      <c r="A44" s="1"/>
      <c r="B44" s="607"/>
      <c r="C44" s="607"/>
      <c r="D44" s="1726" t="e">
        <f>VLOOKUP(6,$I$71:$K$118,3,FALSE)</f>
        <v>#N/A</v>
      </c>
      <c r="E44" s="1726"/>
      <c r="F44" s="1726"/>
      <c r="G44" s="1726"/>
      <c r="H44" s="1721" t="e">
        <f>VLOOKUP(6,$I$71:$O$118,7,FALSE)</f>
        <v>#N/A</v>
      </c>
      <c r="I44" s="1721"/>
      <c r="J44" s="1712" t="e">
        <f>CONCATENATE(Presentazione!K26," ",TEXT(VLOOKUP(4,$I$71:$O$118,7,FALSE),"#.###,00"))</f>
        <v>#N/A</v>
      </c>
      <c r="K44" s="1712"/>
      <c r="L44" s="612" t="str">
        <f>CONCATENATE("di ",Presentazione!K26)</f>
        <v>di EURO</v>
      </c>
      <c r="M44" s="1712">
        <f>RENDICONTO!O58</f>
        <v>20000</v>
      </c>
      <c r="N44" s="1712"/>
      <c r="O44" s="998" t="s">
        <v>364</v>
      </c>
      <c r="P44" s="1"/>
      <c r="Q44" s="1"/>
    </row>
    <row r="45" spans="1:17" ht="16.5" customHeight="1">
      <c r="A45" s="1"/>
      <c r="B45" s="607"/>
      <c r="C45" s="607"/>
      <c r="D45" s="607"/>
      <c r="E45" s="607"/>
      <c r="F45" s="607"/>
      <c r="G45" s="607"/>
      <c r="H45" s="607"/>
      <c r="I45" s="607"/>
      <c r="J45" s="607"/>
      <c r="K45" s="607"/>
      <c r="L45" s="1"/>
      <c r="M45" s="1"/>
      <c r="N45" s="607"/>
      <c r="O45" s="607"/>
      <c r="P45" s="1042" t="s">
        <v>447</v>
      </c>
      <c r="Q45" s="1"/>
    </row>
    <row r="46" spans="1:17" ht="16.5" customHeight="1">
      <c r="A46" s="1"/>
      <c r="B46" s="607"/>
      <c r="C46" s="607"/>
      <c r="D46" s="1701" t="str">
        <f>IF(C24=K69,K124,K125)</f>
        <v>La informiamo sull' importo della Sua</v>
      </c>
      <c r="E46" s="1701"/>
      <c r="F46" s="1701"/>
      <c r="G46" s="1701"/>
      <c r="H46" s="1694" t="str">
        <f>H41</f>
        <v>EURO</v>
      </c>
      <c r="I46" s="1694"/>
      <c r="J46" s="1720" t="str">
        <f>IF(C24=C69,K130,K131)</f>
        <v>Per un totale di EURO</v>
      </c>
      <c r="K46" s="1720"/>
      <c r="L46" s="1720"/>
      <c r="M46" s="1720"/>
      <c r="N46" s="1720"/>
      <c r="O46" s="610"/>
      <c r="P46" s="767"/>
      <c r="Q46" s="1"/>
    </row>
    <row r="47" spans="1:17" ht="16.5" customHeight="1">
      <c r="A47" s="1"/>
      <c r="B47" s="607"/>
      <c r="C47" s="607"/>
      <c r="D47" s="1715" t="e">
        <f>VLOOKUP(10,$I$71:$K$118,3,FALSE)</f>
        <v>#N/A</v>
      </c>
      <c r="E47" s="1715"/>
      <c r="F47" s="1715"/>
      <c r="G47" s="1715"/>
      <c r="H47" s="1719" t="e">
        <f>VLOOKUP(10,$I$71:$O$118,7,FALSE)</f>
        <v>#N/A</v>
      </c>
      <c r="I47" s="1719"/>
      <c r="J47" s="1711" t="e">
        <f>IF(C24=C69,VLOOKUP(8,$I$71:$O$118,7,FALSE),TEXT(H47*H49,"#.##0,00"))</f>
        <v>#N/A</v>
      </c>
      <c r="K47" s="1711"/>
      <c r="L47" s="1711" t="e">
        <f>VLOOKUP(9,$I$71:$O$118,7,FALSE)</f>
        <v>#N/A</v>
      </c>
      <c r="M47" s="1711"/>
      <c r="N47" s="613"/>
      <c r="O47" s="1094" t="s">
        <v>544</v>
      </c>
      <c r="P47" s="835"/>
      <c r="Q47" s="1"/>
    </row>
    <row r="48" spans="1:17" ht="18" customHeight="1">
      <c r="A48" s="1"/>
      <c r="B48" s="607"/>
      <c r="C48" s="607"/>
      <c r="D48" s="1701" t="str">
        <f>IF(C24=K69,K121,K122)</f>
        <v>da liquidare con cadenza</v>
      </c>
      <c r="E48" s="1701"/>
      <c r="F48" s="1701"/>
      <c r="G48" s="1701"/>
      <c r="H48" s="1694" t="str">
        <f>IF(C24=C69,K127,K128)</f>
        <v>Numero di RATE</v>
      </c>
      <c r="I48" s="1694"/>
      <c r="J48" s="1"/>
      <c r="K48" s="1"/>
      <c r="L48" s="614"/>
      <c r="M48" s="607"/>
      <c r="N48" s="611"/>
      <c r="O48" s="607"/>
      <c r="P48" s="607"/>
      <c r="Q48" s="1"/>
    </row>
    <row r="49" spans="1:17" ht="16.5" customHeight="1">
      <c r="A49" s="1"/>
      <c r="B49" s="607"/>
      <c r="C49" s="607"/>
      <c r="D49" s="1715" t="e">
        <f>VLOOKUP(11,$I$71:$K$118,3,FALSE)</f>
        <v>#N/A</v>
      </c>
      <c r="E49" s="1715"/>
      <c r="F49" s="1715"/>
      <c r="G49" s="1715"/>
      <c r="H49" s="1719" t="e">
        <f>IF(C24=C69,VLOOKUP(11,$I$71:$O$118,7,FALSE),TEXT(VLOOKUP(11,$I$71:$O$118,7,FALSE),"@"))</f>
        <v>#N/A</v>
      </c>
      <c r="I49" s="1719"/>
      <c r="J49" s="1702" t="s">
        <v>310</v>
      </c>
      <c r="K49" s="1702"/>
      <c r="L49" s="1702"/>
      <c r="M49" s="1702"/>
      <c r="N49" s="611"/>
      <c r="O49" s="1"/>
      <c r="P49" s="1"/>
      <c r="Q49" s="1"/>
    </row>
    <row r="50" spans="1:17" ht="16.5" customHeight="1">
      <c r="A50" s="1"/>
      <c r="B50" s="607"/>
      <c r="C50" s="607"/>
      <c r="D50" s="1724" t="e">
        <f>VLOOKUP(12,$I$71:$K$118,3,FALSE)</f>
        <v>#N/A</v>
      </c>
      <c r="E50" s="1724"/>
      <c r="F50" s="1724"/>
      <c r="G50" s="1724"/>
      <c r="H50" s="1724"/>
      <c r="I50" s="1"/>
      <c r="J50" s="1703" t="s">
        <v>311</v>
      </c>
      <c r="K50" s="1703"/>
      <c r="L50" s="1703"/>
      <c r="M50" s="1703"/>
      <c r="N50" s="607"/>
      <c r="O50" s="607"/>
      <c r="P50" s="607"/>
      <c r="Q50" s="1"/>
    </row>
    <row r="51" spans="1:17" ht="16.5" customHeight="1">
      <c r="A51" s="1"/>
      <c r="B51" s="607"/>
      <c r="C51" s="607"/>
      <c r="D51" s="1723" t="str">
        <f>IF(C24=C69,CONCATENATE(H41," ",TEXT(VLOOKUP(12,$I$71:$O$118,7,FALSE),"0,00")),"")</f>
        <v/>
      </c>
      <c r="E51" s="1723"/>
      <c r="F51" s="1"/>
      <c r="G51" s="1"/>
      <c r="H51" s="1"/>
      <c r="I51" s="607"/>
      <c r="J51" s="1"/>
      <c r="K51" s="1"/>
      <c r="L51" s="1"/>
      <c r="M51" s="1"/>
      <c r="N51" s="607"/>
      <c r="O51" s="607"/>
      <c r="P51" s="607"/>
      <c r="Q51" s="1"/>
    </row>
    <row r="52" spans="1:17" ht="16.5" customHeight="1">
      <c r="A52" s="1"/>
      <c r="B52" s="607"/>
      <c r="C52" s="607"/>
      <c r="D52" s="607"/>
      <c r="E52" s="607"/>
      <c r="F52" s="607"/>
      <c r="G52" s="607"/>
      <c r="H52" s="607"/>
      <c r="I52" s="607"/>
      <c r="J52" s="607"/>
      <c r="K52" s="607"/>
      <c r="L52" s="607"/>
      <c r="M52" s="607"/>
      <c r="N52" s="607"/>
      <c r="O52" s="607"/>
      <c r="P52" s="607"/>
      <c r="Q52" s="1"/>
    </row>
    <row r="53" spans="1:17" ht="16.5" customHeight="1">
      <c r="A53" s="1"/>
      <c r="B53" s="607"/>
      <c r="C53" s="607"/>
      <c r="D53" s="607"/>
      <c r="E53" s="607"/>
      <c r="F53" s="607"/>
      <c r="G53" s="607"/>
      <c r="H53" s="607"/>
      <c r="I53" s="607"/>
      <c r="J53" s="607"/>
      <c r="K53" s="607"/>
      <c r="L53" s="607"/>
      <c r="M53" s="607"/>
      <c r="N53" s="607"/>
      <c r="O53" s="607"/>
      <c r="P53" s="607"/>
      <c r="Q53" s="1"/>
    </row>
    <row r="54" spans="1:17" ht="19.5" customHeight="1">
      <c r="A54" s="1"/>
      <c r="B54" s="632">
        <v>4</v>
      </c>
      <c r="C54" s="1704" t="e">
        <f>VLOOKUP(B54,$B$139:$C$156,2,FALSE)</f>
        <v>#N/A</v>
      </c>
      <c r="D54" s="1704"/>
      <c r="E54" s="1704"/>
      <c r="F54" s="1704"/>
      <c r="G54" s="1704"/>
      <c r="H54" s="1704"/>
      <c r="I54" s="1704"/>
      <c r="J54" s="1704"/>
      <c r="K54" s="1704"/>
      <c r="L54" s="1704"/>
      <c r="M54" s="1704"/>
      <c r="N54" s="1704"/>
      <c r="O54" s="607"/>
      <c r="P54" s="607"/>
      <c r="Q54" s="1"/>
    </row>
    <row r="55" spans="1:17" ht="19.5" customHeight="1">
      <c r="A55" s="1"/>
      <c r="B55" s="632">
        <v>5</v>
      </c>
      <c r="C55" s="1704" t="e">
        <f>VLOOKUP(B55,$B$139:$C$156,2,FALSE)</f>
        <v>#N/A</v>
      </c>
      <c r="D55" s="1704"/>
      <c r="E55" s="1704"/>
      <c r="F55" s="1704"/>
      <c r="G55" s="1704"/>
      <c r="H55" s="1704"/>
      <c r="I55" s="1704"/>
      <c r="J55" s="1704"/>
      <c r="K55" s="1704"/>
      <c r="L55" s="1704"/>
      <c r="M55" s="1704"/>
      <c r="N55" s="1704"/>
      <c r="O55" s="607"/>
      <c r="P55" s="607"/>
      <c r="Q55" s="1"/>
    </row>
    <row r="56" spans="1:17" ht="19.5" customHeight="1">
      <c r="A56" s="1"/>
      <c r="B56" s="632">
        <v>6</v>
      </c>
      <c r="C56" s="1704" t="e">
        <f>VLOOKUP(B56,$B$139:$C$156,2,FALSE)</f>
        <v>#N/A</v>
      </c>
      <c r="D56" s="1704"/>
      <c r="E56" s="1704"/>
      <c r="F56" s="1704"/>
      <c r="G56" s="1704"/>
      <c r="H56" s="1704"/>
      <c r="I56" s="1704"/>
      <c r="J56" s="1704"/>
      <c r="K56" s="1704"/>
      <c r="L56" s="1704"/>
      <c r="M56" s="1704"/>
      <c r="N56" s="1704"/>
      <c r="O56" s="607"/>
      <c r="P56" s="607"/>
      <c r="Q56" s="1"/>
    </row>
    <row r="57" spans="1:17" ht="16.5" customHeight="1">
      <c r="A57" s="1"/>
      <c r="B57" s="607"/>
      <c r="C57" s="607"/>
      <c r="D57" s="607"/>
      <c r="E57" s="607"/>
      <c r="F57" s="607"/>
      <c r="G57" s="607"/>
      <c r="H57" s="607"/>
      <c r="I57" s="607"/>
      <c r="J57" s="607"/>
      <c r="K57" s="607"/>
      <c r="L57" s="607"/>
      <c r="M57" s="607"/>
      <c r="N57" s="607"/>
      <c r="O57" s="607"/>
      <c r="P57" s="607"/>
      <c r="Q57" s="1"/>
    </row>
    <row r="58" spans="1:17" ht="16.5" customHeight="1">
      <c r="A58" s="1"/>
      <c r="B58" s="607"/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1"/>
    </row>
    <row r="59" spans="1:17" ht="16.5" customHeight="1">
      <c r="A59" s="1"/>
      <c r="B59" s="607"/>
      <c r="C59" s="607"/>
      <c r="D59" s="607"/>
      <c r="E59" s="607"/>
      <c r="F59" s="607"/>
      <c r="G59" s="607"/>
      <c r="H59" s="607"/>
      <c r="I59" s="607"/>
      <c r="J59" s="607"/>
      <c r="K59" s="1729"/>
      <c r="L59" s="1729"/>
      <c r="M59" s="1729"/>
      <c r="N59" s="1729"/>
      <c r="O59" s="607"/>
      <c r="P59" s="607"/>
      <c r="Q59" s="1"/>
    </row>
    <row r="60" spans="1:17" ht="16.5" customHeight="1">
      <c r="A60" s="1"/>
      <c r="B60" s="607"/>
      <c r="C60" s="607"/>
      <c r="D60" s="607"/>
      <c r="E60" s="607"/>
      <c r="F60" s="607"/>
      <c r="G60" s="607"/>
      <c r="H60" s="607"/>
      <c r="I60" s="607"/>
      <c r="J60" s="607"/>
      <c r="K60" s="607"/>
      <c r="L60" s="607"/>
      <c r="M60" s="607"/>
      <c r="N60" s="607"/>
      <c r="O60" s="607"/>
      <c r="P60" s="607"/>
      <c r="Q60" s="1"/>
    </row>
    <row r="61" spans="1:17" ht="16.5" customHeight="1">
      <c r="A61" s="1"/>
      <c r="B61" s="607"/>
      <c r="C61" s="607"/>
      <c r="D61" s="607"/>
      <c r="E61" s="607"/>
      <c r="F61" s="607"/>
      <c r="G61" s="607"/>
      <c r="H61" s="607"/>
      <c r="I61" s="607"/>
      <c r="J61" s="607"/>
      <c r="K61" s="607"/>
      <c r="L61" s="607"/>
      <c r="M61" s="607"/>
      <c r="N61" s="607"/>
      <c r="O61" s="607"/>
      <c r="P61" s="607"/>
      <c r="Q61" s="1"/>
    </row>
    <row r="62" spans="1:17" ht="16.5" customHeight="1">
      <c r="A62" s="1"/>
      <c r="B62" s="607"/>
      <c r="C62" s="1700" t="s">
        <v>322</v>
      </c>
      <c r="D62" s="1700"/>
      <c r="E62" s="1728"/>
      <c r="F62" s="1728"/>
      <c r="G62" s="1728"/>
      <c r="H62" s="1728"/>
      <c r="I62" s="1728"/>
      <c r="J62" s="1728"/>
      <c r="K62" s="1728"/>
      <c r="L62" s="1728"/>
      <c r="M62" s="1728"/>
      <c r="N62" s="1728"/>
      <c r="O62" s="607"/>
      <c r="P62" s="607"/>
      <c r="Q62" s="1"/>
    </row>
    <row r="63" spans="1:17" ht="16.5" customHeight="1">
      <c r="A63" s="1"/>
      <c r="B63" s="607"/>
      <c r="C63" s="607"/>
      <c r="D63" s="607"/>
      <c r="E63" s="607"/>
      <c r="F63" s="607"/>
      <c r="G63" s="607"/>
      <c r="H63" s="607"/>
      <c r="I63" s="607"/>
      <c r="J63" s="607"/>
      <c r="K63" s="607"/>
      <c r="L63" s="607"/>
      <c r="M63" s="607"/>
      <c r="N63" s="607"/>
      <c r="O63" s="607"/>
      <c r="P63" s="607"/>
      <c r="Q63" s="1"/>
    </row>
    <row r="64" spans="1:17" ht="16.5" customHeight="1">
      <c r="A64" s="1"/>
      <c r="B64" s="607"/>
      <c r="C64" s="1695"/>
      <c r="D64" s="1695"/>
      <c r="E64" s="1695"/>
      <c r="F64" s="1695"/>
      <c r="G64" s="1695"/>
      <c r="H64" s="1695"/>
      <c r="I64" s="1695"/>
      <c r="J64" s="1695"/>
      <c r="K64" s="1695"/>
      <c r="L64" s="1695"/>
      <c r="M64" s="1695"/>
      <c r="N64" s="1695"/>
      <c r="O64" s="607"/>
      <c r="P64" s="607"/>
      <c r="Q64" s="1"/>
    </row>
    <row r="65" spans="1:17" ht="16.5" customHeight="1">
      <c r="A65" s="1"/>
      <c r="B65" s="607"/>
      <c r="C65" s="1724" t="str">
        <f>REPORT!B82</f>
        <v>www.marcopiccoli.it - Bilancio Condominiale 4.0.E05 FREE - per EXCEL .xlsx</v>
      </c>
      <c r="D65" s="1724"/>
      <c r="E65" s="1724"/>
      <c r="F65" s="1724"/>
      <c r="G65" s="1724"/>
      <c r="H65" s="1724"/>
      <c r="I65" s="1727" t="str">
        <f>IF(C24=C69,J133,J134)</f>
        <v>Circolare II - Pagina 1 di 1</v>
      </c>
      <c r="J65" s="1727"/>
      <c r="K65" s="1727"/>
      <c r="L65" s="1727"/>
      <c r="M65" s="1727"/>
      <c r="N65" s="1727"/>
      <c r="O65" s="607"/>
      <c r="P65" s="607"/>
      <c r="Q65" s="1"/>
    </row>
    <row r="66" spans="1:17" ht="16.5" hidden="1" customHeight="1">
      <c r="A66" s="1"/>
      <c r="B66" s="607"/>
      <c r="C66" s="607"/>
      <c r="D66" s="607"/>
      <c r="E66" s="607"/>
      <c r="F66" s="607"/>
      <c r="G66" s="607"/>
      <c r="H66" s="607"/>
      <c r="I66" s="607"/>
      <c r="J66" s="607"/>
      <c r="K66" s="607"/>
      <c r="L66" s="607"/>
      <c r="M66" s="607"/>
      <c r="N66" s="607"/>
      <c r="O66" s="607"/>
      <c r="P66" s="607"/>
      <c r="Q66" s="1"/>
    </row>
    <row r="67" spans="1:17" ht="16.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607"/>
      <c r="Q67" s="1"/>
    </row>
    <row r="68" spans="1:17" ht="15" hidden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607"/>
      <c r="Q68" s="1"/>
    </row>
    <row r="69" spans="1:17" ht="15" hidden="1">
      <c r="A69" s="1"/>
      <c r="B69" s="593"/>
      <c r="C69" s="593" t="s">
        <v>345</v>
      </c>
      <c r="D69" s="1"/>
      <c r="E69" s="592">
        <f>IF(G69=0,0,1)</f>
        <v>1</v>
      </c>
      <c r="F69" s="593" t="str">
        <f>ENTI!B9</f>
        <v>Nome ENTE 1</v>
      </c>
      <c r="G69" s="594" t="str">
        <f>IF(ISERROR(VLOOKUP(F69,ENTI!B$9:B$13,1,FALSE)),0,F69)</f>
        <v>Nome ENTE 1</v>
      </c>
      <c r="H69" s="593" t="str">
        <f t="shared" ref="H69:H71" si="0">IF(F69=0,"",F69)</f>
        <v>Nome ENTE 1</v>
      </c>
      <c r="I69" s="1"/>
      <c r="J69" s="1"/>
      <c r="K69" s="615" t="str">
        <f>C69</f>
        <v>RENDICONTO del periodo</v>
      </c>
      <c r="L69" s="615"/>
      <c r="M69" s="615"/>
      <c r="N69" s="615"/>
      <c r="O69" s="1"/>
      <c r="P69" s="607"/>
      <c r="Q69" s="1"/>
    </row>
    <row r="70" spans="1:17" ht="15" hidden="1">
      <c r="A70" s="1"/>
      <c r="B70" s="593"/>
      <c r="C70" s="593" t="s">
        <v>346</v>
      </c>
      <c r="D70" s="1"/>
      <c r="E70" s="592">
        <f>IF(G70=0,0,MAX(E$69:E69)+1)</f>
        <v>2</v>
      </c>
      <c r="F70" s="593" t="str">
        <f>ENTI!B10</f>
        <v>Nome ENTE 2</v>
      </c>
      <c r="G70" s="594" t="str">
        <f>IF(ISERROR(VLOOKUP(F70,ENTI!B$9:B$13,1,FALSE)),0,F70)</f>
        <v>Nome ENTE 2</v>
      </c>
      <c r="H70" s="593" t="str">
        <f t="shared" si="0"/>
        <v>Nome ENTE 2</v>
      </c>
      <c r="I70" s="1"/>
      <c r="J70" s="1"/>
      <c r="K70" s="593"/>
      <c r="L70" s="1"/>
      <c r="M70" s="1"/>
      <c r="N70" s="1"/>
      <c r="O70" s="1"/>
      <c r="P70" s="607"/>
      <c r="Q70" s="1"/>
    </row>
    <row r="71" spans="1:17" hidden="1">
      <c r="A71" s="1"/>
      <c r="B71" s="1"/>
      <c r="C71" s="1"/>
      <c r="D71" s="1"/>
      <c r="E71" s="592">
        <f>IF(G71=0,0,MAX(E$69:E70)+1)</f>
        <v>3</v>
      </c>
      <c r="F71" s="593" t="str">
        <f>ENTI!B11</f>
        <v>Nome ENTE 3</v>
      </c>
      <c r="G71" s="594" t="str">
        <f>IF(ISERROR(VLOOKUP(F71,ENTI!B$9:B$13,1,FALSE)),0,F71)</f>
        <v>Nome ENTE 3</v>
      </c>
      <c r="H71" s="593" t="str">
        <f t="shared" si="0"/>
        <v>Nome ENTE 3</v>
      </c>
      <c r="I71" s="70">
        <f>IF(C$24=C$69,P71,0)</f>
        <v>0</v>
      </c>
      <c r="J71" s="1"/>
      <c r="K71" s="616" t="s">
        <v>299</v>
      </c>
      <c r="L71" s="437" t="str">
        <f>RENDICONTO!F10</f>
        <v>GEN</v>
      </c>
      <c r="M71" s="617">
        <f>RENDICONTO!F9</f>
        <v>2024</v>
      </c>
      <c r="N71" s="1"/>
      <c r="O71" s="618" t="str">
        <f>CONCATENATE(HLOOKUP(L71,Presentazione!B$204:M$206,3,FALSE)," / ",M71)</f>
        <v>Gennaio / 2024</v>
      </c>
      <c r="P71" s="70">
        <v>1</v>
      </c>
      <c r="Q71" s="1"/>
    </row>
    <row r="72" spans="1:17" hidden="1">
      <c r="A72" s="1"/>
      <c r="B72" s="1"/>
      <c r="C72" s="1"/>
      <c r="D72" s="1"/>
      <c r="E72" s="592">
        <f>IF(G72=0,0,MAX(E$69:E71)+1)</f>
        <v>4</v>
      </c>
      <c r="F72" s="593" t="str">
        <f>ENTI!B12</f>
        <v>Nome ENTE 4 / sovrascrivi</v>
      </c>
      <c r="G72" s="594" t="str">
        <f>IF(ISERROR(VLOOKUP(F72,ENTI!B$9:B$13,1,FALSE)),0,F72)</f>
        <v>Nome ENTE 4 / sovrascrivi</v>
      </c>
      <c r="H72" s="593" t="str">
        <f t="shared" ref="H72:H73" si="1">IF(F72=0,"",F72)</f>
        <v>Nome ENTE 4 / sovrascrivi</v>
      </c>
      <c r="I72" s="70">
        <f>IF(C$24=C$69,P72,0)</f>
        <v>0</v>
      </c>
      <c r="J72" s="1"/>
      <c r="K72" s="437"/>
      <c r="L72" s="437" t="str">
        <f>RENDICONTO!I10</f>
        <v>DIC</v>
      </c>
      <c r="M72" s="617">
        <f>RENDICONTO!I9</f>
        <v>2024</v>
      </c>
      <c r="N72" s="1"/>
      <c r="O72" s="618" t="str">
        <f>CONCATENATE(HLOOKUP(L72,Presentazione!B204:M206,3,FALSE)," / ",M72)</f>
        <v>Dicembre / 2024</v>
      </c>
      <c r="P72" s="70">
        <v>2</v>
      </c>
      <c r="Q72" s="1"/>
    </row>
    <row r="73" spans="1:17" ht="15" hidden="1">
      <c r="A73" s="1"/>
      <c r="B73" s="1"/>
      <c r="C73" s="766" t="s">
        <v>448</v>
      </c>
      <c r="D73" s="1"/>
      <c r="E73" s="592">
        <f>IF(G73=0,0,MAX(E$69:E72)+1)</f>
        <v>5</v>
      </c>
      <c r="F73" s="593" t="str">
        <f>ENTI!B13</f>
        <v>Nome ENTE ultimo disponibile</v>
      </c>
      <c r="G73" s="594" t="str">
        <f>IF(ISERROR(VLOOKUP(F73,ENTI!B$9:B$13,1,FALSE)),0,F73)</f>
        <v>Nome ENTE ultimo disponibile</v>
      </c>
      <c r="H73" s="593" t="str">
        <f t="shared" si="1"/>
        <v>Nome ENTE ultimo disponibile</v>
      </c>
      <c r="I73" s="1"/>
      <c r="J73" s="1"/>
      <c r="K73" s="1"/>
      <c r="L73" s="1"/>
      <c r="M73" s="1"/>
      <c r="N73" s="1"/>
      <c r="O73" s="1"/>
      <c r="P73" s="607"/>
      <c r="Q73" s="1"/>
    </row>
    <row r="74" spans="1:17" hidden="1">
      <c r="A74" s="1"/>
      <c r="B74" s="1"/>
      <c r="C74" s="1"/>
      <c r="D74" s="1"/>
      <c r="E74" s="592"/>
      <c r="F74" s="593"/>
      <c r="G74" s="594"/>
      <c r="H74" s="593"/>
      <c r="I74" s="70">
        <f>IF(C$24=C$69,P74,0)</f>
        <v>0</v>
      </c>
      <c r="J74" s="1"/>
      <c r="K74" s="619" t="s">
        <v>307</v>
      </c>
      <c r="L74" s="619"/>
      <c r="M74" s="619"/>
      <c r="O74" s="620">
        <f ca="1">RENDICONTO!O27</f>
        <v>3205</v>
      </c>
      <c r="P74" s="70">
        <v>3</v>
      </c>
      <c r="Q74" s="1"/>
    </row>
    <row r="75" spans="1:17" ht="15" hidden="1">
      <c r="A75" s="1"/>
      <c r="B75" s="1"/>
      <c r="C75" s="766" t="s">
        <v>449</v>
      </c>
      <c r="D75" s="1"/>
      <c r="E75" s="592"/>
      <c r="F75" s="593"/>
      <c r="G75" s="594"/>
      <c r="H75" s="593"/>
      <c r="I75" s="1"/>
      <c r="J75" s="1"/>
      <c r="K75" s="619"/>
      <c r="L75" s="619"/>
      <c r="M75" s="619"/>
      <c r="N75" s="621"/>
      <c r="O75" s="1"/>
      <c r="P75" s="607"/>
      <c r="Q75" s="1"/>
    </row>
    <row r="76" spans="1:17" hidden="1">
      <c r="A76" s="1"/>
      <c r="B76" s="1"/>
      <c r="C76" s="1"/>
      <c r="D76" s="1"/>
      <c r="E76" s="592"/>
      <c r="F76" s="593"/>
      <c r="G76" s="594"/>
      <c r="H76" s="593"/>
      <c r="I76" s="70">
        <f>IF(C$24=C$69,P76,0)</f>
        <v>0</v>
      </c>
      <c r="J76" s="70">
        <f>IF(ISERROR(N76),0,1)</f>
        <v>0</v>
      </c>
      <c r="K76" s="619" t="s">
        <v>308</v>
      </c>
      <c r="L76" s="1"/>
      <c r="M76" s="1"/>
      <c r="N76" s="622" t="e">
        <f>VLOOKUP(J17,RENDICONTO!C51:F55,4,FALSE)</f>
        <v>#N/A</v>
      </c>
      <c r="O76" s="623">
        <f>IF(J76=1,N76,0)</f>
        <v>0</v>
      </c>
      <c r="P76" s="70">
        <v>4</v>
      </c>
      <c r="Q76" s="1"/>
    </row>
    <row r="77" spans="1:17" ht="15" hidden="1">
      <c r="A77" s="1"/>
      <c r="B77" s="1"/>
      <c r="C77" s="766" t="s">
        <v>450</v>
      </c>
      <c r="D77" s="1"/>
      <c r="E77" s="592"/>
      <c r="F77" s="593"/>
      <c r="G77" s="594"/>
      <c r="H77" s="593"/>
      <c r="I77" s="1"/>
      <c r="J77" s="70"/>
      <c r="K77" s="619"/>
      <c r="L77" s="1"/>
      <c r="M77" s="1"/>
      <c r="N77" s="622"/>
      <c r="O77" s="624"/>
      <c r="P77" s="607"/>
      <c r="Q77" s="1"/>
    </row>
    <row r="78" spans="1:17" ht="15" hidden="1">
      <c r="A78" s="1"/>
      <c r="B78" s="1"/>
      <c r="C78" s="1"/>
      <c r="D78" s="1"/>
      <c r="E78" s="592"/>
      <c r="F78" s="593"/>
      <c r="G78" s="594"/>
      <c r="H78" s="593"/>
      <c r="I78" s="1"/>
      <c r="J78" s="835"/>
      <c r="K78" s="835"/>
      <c r="L78" s="835"/>
      <c r="M78" s="835"/>
      <c r="N78" s="835"/>
      <c r="O78" s="625"/>
      <c r="P78" s="607"/>
      <c r="Q78" s="1"/>
    </row>
    <row r="79" spans="1:17" ht="15" hidden="1">
      <c r="A79" s="1"/>
      <c r="B79" s="1"/>
      <c r="C79" s="1"/>
      <c r="D79" s="1"/>
      <c r="E79" s="592"/>
      <c r="F79" s="593"/>
      <c r="G79" s="594"/>
      <c r="H79" s="593"/>
      <c r="I79" s="1"/>
      <c r="J79" s="1"/>
      <c r="K79" s="1"/>
      <c r="L79" s="1"/>
      <c r="M79" s="1"/>
      <c r="N79" s="626"/>
      <c r="O79" s="1"/>
      <c r="P79" s="607"/>
      <c r="Q79" s="1"/>
    </row>
    <row r="80" spans="1:17" hidden="1">
      <c r="A80" s="1"/>
      <c r="B80" s="1"/>
      <c r="C80" s="1"/>
      <c r="D80" s="1"/>
      <c r="E80" s="592"/>
      <c r="F80" s="593"/>
      <c r="G80" s="594"/>
      <c r="H80" s="593"/>
      <c r="I80" s="753">
        <f>IF(C$24=C$69,P80,P80)</f>
        <v>5</v>
      </c>
      <c r="J80" s="753">
        <f>IF(ISERROR(N80),0,1)</f>
        <v>0</v>
      </c>
      <c r="K80" s="754" t="str">
        <f>IF(J83=O120,M83,K83)</f>
        <v>MILLESIMI assegnati al Suo ENTE</v>
      </c>
      <c r="L80" s="755"/>
      <c r="M80" s="755"/>
      <c r="N80" s="756" t="e">
        <f>IF(C24=C70,VLOOKUP(J17,RENDICONTO!C115:E119,3,FALSE),VLOOKUP(J17,RENDICONTO!C51:E55,3,FALSE))</f>
        <v>#N/A</v>
      </c>
      <c r="O80" s="757">
        <f>IF(J80=1,N80,0)</f>
        <v>0</v>
      </c>
      <c r="P80" s="753">
        <v>5</v>
      </c>
      <c r="Q80" s="1"/>
    </row>
    <row r="81" spans="1:17" ht="15" hidden="1">
      <c r="A81" s="1"/>
      <c r="B81" s="1"/>
      <c r="C81" s="1"/>
      <c r="D81" s="1"/>
      <c r="E81" s="592"/>
      <c r="F81" s="593"/>
      <c r="G81" s="594"/>
      <c r="H81" s="593"/>
      <c r="I81" s="1"/>
      <c r="J81" s="758"/>
      <c r="K81" s="759"/>
      <c r="L81" s="755"/>
      <c r="M81" s="755"/>
      <c r="N81" s="760"/>
      <c r="O81" s="624"/>
      <c r="P81" s="607"/>
      <c r="Q81" s="1"/>
    </row>
    <row r="82" spans="1:17" ht="15" hidden="1">
      <c r="A82" s="1"/>
      <c r="B82" s="1"/>
      <c r="C82" s="1"/>
      <c r="D82" s="1"/>
      <c r="E82" s="592"/>
      <c r="F82" s="593"/>
      <c r="G82" s="594"/>
      <c r="H82" s="593"/>
      <c r="I82" s="1"/>
      <c r="J82" s="835"/>
      <c r="K82" s="835"/>
      <c r="L82" s="835"/>
      <c r="M82" s="835"/>
      <c r="N82" s="835"/>
      <c r="O82" s="625"/>
      <c r="P82" s="607"/>
      <c r="Q82" s="1"/>
    </row>
    <row r="83" spans="1:17" ht="15" hidden="1">
      <c r="A83" s="1"/>
      <c r="B83" s="1"/>
      <c r="C83" s="1"/>
      <c r="D83" s="1"/>
      <c r="E83" s="592"/>
      <c r="F83" s="593"/>
      <c r="G83" s="594"/>
      <c r="H83" s="593"/>
      <c r="I83" s="1"/>
      <c r="J83" s="761" t="str">
        <f>IF(C24=C70,RENDICONTO!D114,RENDICONTO!D50)</f>
        <v>MILL.mi   I</v>
      </c>
      <c r="K83" s="762" t="s">
        <v>302</v>
      </c>
      <c r="L83" s="763"/>
      <c r="M83" s="762" t="s">
        <v>406</v>
      </c>
      <c r="N83" s="764"/>
      <c r="O83" s="765"/>
      <c r="P83" s="607"/>
      <c r="Q83" s="1"/>
    </row>
    <row r="84" spans="1:17" hidden="1">
      <c r="A84" s="1"/>
      <c r="B84" s="1"/>
      <c r="C84" s="1"/>
      <c r="D84" s="1"/>
      <c r="E84" s="592"/>
      <c r="F84" s="593"/>
      <c r="G84" s="594"/>
      <c r="H84" s="593"/>
      <c r="I84" s="70">
        <f>IF(C$24=C$69,P84,0)</f>
        <v>0</v>
      </c>
      <c r="J84" s="70">
        <f>IF(ISERROR(N84),0,1)</f>
        <v>0</v>
      </c>
      <c r="K84" s="619" t="s">
        <v>301</v>
      </c>
      <c r="L84" s="1"/>
      <c r="M84" s="1"/>
      <c r="N84" s="622" t="e">
        <f>VLOOKUP(J17,RENDICONTO!C35:F39,4,FALSE)</f>
        <v>#N/A</v>
      </c>
      <c r="O84" s="623">
        <f>IF(J84=1,N84,0)</f>
        <v>0</v>
      </c>
      <c r="P84" s="70">
        <v>6</v>
      </c>
      <c r="Q84" s="1"/>
    </row>
    <row r="85" spans="1:17" ht="15" hidden="1">
      <c r="A85" s="1"/>
      <c r="B85" s="1"/>
      <c r="C85" s="1"/>
      <c r="D85" s="1"/>
      <c r="E85" s="592"/>
      <c r="F85" s="593"/>
      <c r="G85" s="594"/>
      <c r="H85" s="593"/>
      <c r="I85" s="1"/>
      <c r="J85" s="70"/>
      <c r="K85" s="619"/>
      <c r="L85" s="1"/>
      <c r="M85" s="1"/>
      <c r="N85" s="622"/>
      <c r="O85" s="1"/>
      <c r="P85" s="607"/>
      <c r="Q85" s="1"/>
    </row>
    <row r="86" spans="1:17" ht="15" hidden="1">
      <c r="A86" s="1"/>
      <c r="B86" s="1"/>
      <c r="C86" s="1"/>
      <c r="D86" s="1"/>
      <c r="E86" s="592"/>
      <c r="F86" s="593"/>
      <c r="G86" s="594"/>
      <c r="H86" s="593"/>
      <c r="I86" s="1"/>
      <c r="J86" s="835"/>
      <c r="K86" s="835"/>
      <c r="L86" s="835"/>
      <c r="M86" s="835"/>
      <c r="N86" s="835"/>
      <c r="O86" s="1"/>
      <c r="P86" s="607"/>
      <c r="Q86" s="1"/>
    </row>
    <row r="87" spans="1:17" ht="15" hidden="1">
      <c r="A87" s="1"/>
      <c r="B87" s="1"/>
      <c r="C87" s="1"/>
      <c r="D87" s="1"/>
      <c r="E87" s="592"/>
      <c r="F87" s="593"/>
      <c r="G87" s="594"/>
      <c r="H87" s="593"/>
      <c r="I87" s="1"/>
      <c r="J87" s="1"/>
      <c r="K87" s="1"/>
      <c r="L87" s="1"/>
      <c r="M87" s="1"/>
      <c r="N87" s="1"/>
      <c r="O87" s="1"/>
      <c r="P87" s="607"/>
      <c r="Q87" s="1"/>
    </row>
    <row r="88" spans="1:17" ht="15" hidden="1">
      <c r="A88" s="1"/>
      <c r="B88" s="1"/>
      <c r="C88" s="1"/>
      <c r="D88" s="1"/>
      <c r="E88" s="592"/>
      <c r="F88" s="593"/>
      <c r="G88" s="594"/>
      <c r="H88" s="593"/>
      <c r="I88" s="70">
        <f>IF(C$24=C$69,P88,0)</f>
        <v>0</v>
      </c>
      <c r="J88" s="1"/>
      <c r="K88" s="71" t="s">
        <v>300</v>
      </c>
      <c r="L88" s="1"/>
      <c r="M88" s="1"/>
      <c r="N88" s="1"/>
      <c r="O88" s="1"/>
      <c r="P88" s="607"/>
      <c r="Q88" s="1"/>
    </row>
    <row r="89" spans="1:17" hidden="1">
      <c r="A89" s="1"/>
      <c r="B89" s="1"/>
      <c r="C89" s="1"/>
      <c r="D89" s="1"/>
      <c r="E89" s="592"/>
      <c r="F89" s="593"/>
      <c r="G89" s="594"/>
      <c r="H89" s="593"/>
      <c r="I89" s="70">
        <f>IF(C$24=C$69,P89,0)</f>
        <v>0</v>
      </c>
      <c r="J89" s="1"/>
      <c r="K89" s="616" t="s">
        <v>299</v>
      </c>
      <c r="L89" s="1" t="str">
        <f>RENDICONTO!F66</f>
        <v>GEN</v>
      </c>
      <c r="M89" s="102">
        <f>RENDICONTO!F65</f>
        <v>2024</v>
      </c>
      <c r="N89" s="1"/>
      <c r="O89" s="618" t="str">
        <f>CONCATENATE(HLOOKUP(L89,Presentazione!B$204:M$206,3,FALSE)," / ",M89)</f>
        <v>Gennaio / 2024</v>
      </c>
      <c r="P89" s="70">
        <v>8</v>
      </c>
      <c r="Q89" s="1"/>
    </row>
    <row r="90" spans="1:17" hidden="1">
      <c r="A90" s="1"/>
      <c r="B90" s="1"/>
      <c r="C90" s="1"/>
      <c r="D90" s="1"/>
      <c r="E90" s="592"/>
      <c r="F90" s="593"/>
      <c r="G90" s="594"/>
      <c r="H90" s="593"/>
      <c r="I90" s="70">
        <f>IF(C$24=C$69,P90,0)</f>
        <v>0</v>
      </c>
      <c r="J90" s="1"/>
      <c r="K90" s="1"/>
      <c r="L90" s="1" t="str">
        <f>RENDICONTO!I66</f>
        <v>DIC</v>
      </c>
      <c r="M90" s="102">
        <f>RENDICONTO!I65</f>
        <v>2024</v>
      </c>
      <c r="N90" s="1"/>
      <c r="O90" s="618" t="str">
        <f>CONCATENATE(HLOOKUP(L90,Presentazione!B$204:M$206,3,FALSE)," / ",M90)</f>
        <v>Dicembre / 2024</v>
      </c>
      <c r="P90" s="70">
        <v>9</v>
      </c>
      <c r="Q90" s="1"/>
    </row>
    <row r="91" spans="1:17" hidden="1">
      <c r="A91" s="1"/>
      <c r="B91" s="1"/>
      <c r="C91" s="1"/>
      <c r="D91" s="1"/>
      <c r="E91" s="592"/>
      <c r="F91" s="593"/>
      <c r="G91" s="594"/>
      <c r="H91" s="593"/>
      <c r="I91" s="70">
        <f>IF(C$24=C$69,P91,0)</f>
        <v>0</v>
      </c>
      <c r="J91" s="70">
        <f>IF(ISERROR(N91),0,1)</f>
        <v>0</v>
      </c>
      <c r="K91" s="619" t="s">
        <v>318</v>
      </c>
      <c r="L91" s="1"/>
      <c r="M91" s="1"/>
      <c r="N91" s="622" t="e">
        <f>VLOOKUP(J17,RENDICONTO!C70:E74,3,FALSE)</f>
        <v>#N/A</v>
      </c>
      <c r="O91" s="623">
        <f>IF(J91=1,N91,0)</f>
        <v>0</v>
      </c>
      <c r="P91" s="70">
        <v>10</v>
      </c>
      <c r="Q91" s="1"/>
    </row>
    <row r="92" spans="1:17" ht="15" hidden="1">
      <c r="A92" s="1"/>
      <c r="B92" s="1"/>
      <c r="C92" s="1"/>
      <c r="D92" s="1"/>
      <c r="E92" s="592"/>
      <c r="F92" s="593"/>
      <c r="G92" s="594"/>
      <c r="H92" s="593"/>
      <c r="I92" s="1"/>
      <c r="J92" s="70"/>
      <c r="K92" s="619"/>
      <c r="L92" s="1"/>
      <c r="M92" s="1"/>
      <c r="N92" s="622"/>
      <c r="O92" s="626"/>
      <c r="P92" s="607"/>
      <c r="Q92" s="1"/>
    </row>
    <row r="93" spans="1:17" ht="15" hidden="1">
      <c r="A93" s="1"/>
      <c r="B93" s="1"/>
      <c r="C93" s="1"/>
      <c r="D93" s="1"/>
      <c r="E93" s="592"/>
      <c r="F93" s="593"/>
      <c r="G93" s="594"/>
      <c r="H93" s="593"/>
      <c r="I93" s="1"/>
      <c r="J93" s="835"/>
      <c r="K93" s="835"/>
      <c r="L93" s="835"/>
      <c r="M93" s="835"/>
      <c r="N93" s="835"/>
      <c r="O93" s="626"/>
      <c r="P93" s="607"/>
      <c r="Q93" s="1"/>
    </row>
    <row r="94" spans="1:17" ht="15" hidden="1">
      <c r="A94" s="1"/>
      <c r="B94" s="1"/>
      <c r="C94" s="1"/>
      <c r="D94" s="1"/>
      <c r="E94" s="592"/>
      <c r="F94" s="593"/>
      <c r="G94" s="594"/>
      <c r="H94" s="593"/>
      <c r="I94" s="1"/>
      <c r="J94" s="1"/>
      <c r="K94" s="1"/>
      <c r="L94" s="1"/>
      <c r="M94" s="1"/>
      <c r="N94" s="1"/>
      <c r="O94" s="1"/>
      <c r="P94" s="607"/>
      <c r="Q94" s="1"/>
    </row>
    <row r="95" spans="1:17" hidden="1">
      <c r="A95" s="1"/>
      <c r="B95" s="1"/>
      <c r="C95" s="1"/>
      <c r="D95" s="1"/>
      <c r="E95" s="592"/>
      <c r="F95" s="593"/>
      <c r="G95" s="594"/>
      <c r="H95" s="593"/>
      <c r="I95" s="70">
        <f>IF(C$24=C$69,P95,0)</f>
        <v>0</v>
      </c>
      <c r="J95" s="70">
        <f>IF(ISERROR(N95),0,1)</f>
        <v>0</v>
      </c>
      <c r="K95" s="619" t="str">
        <f>CONCATENATE("Saldo del Suo Conto a ",O$90)</f>
        <v>Saldo del Suo Conto a Dicembre / 2024</v>
      </c>
      <c r="L95" s="1"/>
      <c r="M95" s="1"/>
      <c r="N95" s="622" t="e">
        <f>VLOOKUP(J17,RENDICONTO!C70:F74,4,FALSE)</f>
        <v>#N/A</v>
      </c>
      <c r="O95" s="623">
        <f>IF(J95=1,N95,0)</f>
        <v>0</v>
      </c>
      <c r="P95" s="70">
        <v>11</v>
      </c>
      <c r="Q95" s="1"/>
    </row>
    <row r="96" spans="1:17" ht="15" hidden="1">
      <c r="A96" s="1"/>
      <c r="B96" s="1"/>
      <c r="C96" s="1"/>
      <c r="D96" s="1"/>
      <c r="E96" s="592"/>
      <c r="F96" s="593"/>
      <c r="G96" s="594"/>
      <c r="H96" s="593"/>
      <c r="I96" s="1"/>
      <c r="J96" s="70"/>
      <c r="K96" s="619"/>
      <c r="L96" s="1"/>
      <c r="M96" s="1"/>
      <c r="N96" s="622"/>
      <c r="O96" s="626"/>
      <c r="P96" s="607"/>
      <c r="Q96" s="1"/>
    </row>
    <row r="97" spans="1:17" ht="15" hidden="1">
      <c r="A97" s="1"/>
      <c r="B97" s="1"/>
      <c r="C97" s="1"/>
      <c r="D97" s="1"/>
      <c r="E97" s="592"/>
      <c r="F97" s="593"/>
      <c r="G97" s="594"/>
      <c r="H97" s="593"/>
      <c r="I97" s="1"/>
      <c r="J97" s="835"/>
      <c r="K97" s="835"/>
      <c r="L97" s="835"/>
      <c r="M97" s="835"/>
      <c r="N97" s="835"/>
      <c r="O97" s="626"/>
      <c r="P97" s="607"/>
      <c r="Q97" s="1"/>
    </row>
    <row r="98" spans="1:17" ht="15" hidden="1">
      <c r="A98" s="1"/>
      <c r="B98" s="1"/>
      <c r="C98" s="1"/>
      <c r="D98" s="1"/>
      <c r="E98" s="592"/>
      <c r="F98" s="593"/>
      <c r="G98" s="594"/>
      <c r="H98" s="593"/>
      <c r="I98" s="1"/>
      <c r="J98" s="1"/>
      <c r="K98" s="1"/>
      <c r="L98" s="1"/>
      <c r="M98" s="1"/>
      <c r="N98" s="1"/>
      <c r="O98" s="1"/>
      <c r="P98" s="607"/>
      <c r="Q98" s="1"/>
    </row>
    <row r="99" spans="1:17" hidden="1">
      <c r="A99" s="1"/>
      <c r="B99" s="1"/>
      <c r="C99" s="1"/>
      <c r="D99" s="1"/>
      <c r="E99" s="592"/>
      <c r="F99" s="593"/>
      <c r="G99" s="594"/>
      <c r="H99" s="593"/>
      <c r="I99" s="70">
        <f>IF(C$24=C$69,P99,0)</f>
        <v>0</v>
      </c>
      <c r="J99" s="70">
        <f>IF(ISERROR(N99),0,1)</f>
        <v>0</v>
      </c>
      <c r="K99" s="619" t="str">
        <f>CONCATENATE("Comprensivo del Suo Saldo finale al 31/12/",O100-1)</f>
        <v>Comprensivo del Suo Saldo finale al 31/12/2023</v>
      </c>
      <c r="L99" s="1"/>
      <c r="M99" s="1"/>
      <c r="N99" s="622" t="e">
        <f>VLOOKUP(CONCATENATE(O101,J17),PATRIMONIALE!B34:E38,4,FALSE)</f>
        <v>#N/A</v>
      </c>
      <c r="O99" s="623">
        <f>IF(J99=1,N99,0)</f>
        <v>0</v>
      </c>
      <c r="P99" s="70">
        <v>12</v>
      </c>
      <c r="Q99" s="1"/>
    </row>
    <row r="100" spans="1:17" ht="15" hidden="1">
      <c r="A100" s="1"/>
      <c r="B100" s="1"/>
      <c r="C100" s="1"/>
      <c r="D100" s="1"/>
      <c r="E100" s="592"/>
      <c r="F100" s="593"/>
      <c r="G100" s="594"/>
      <c r="H100" s="593"/>
      <c r="I100" s="1"/>
      <c r="J100" s="70"/>
      <c r="K100" s="619"/>
      <c r="L100" s="1"/>
      <c r="M100" s="1"/>
      <c r="N100" s="622"/>
      <c r="O100" s="626">
        <f>Presentazione!J26</f>
        <v>2024</v>
      </c>
      <c r="P100" s="607"/>
      <c r="Q100" s="1"/>
    </row>
    <row r="101" spans="1:17" ht="15" hidden="1">
      <c r="A101" s="1"/>
      <c r="B101" s="1"/>
      <c r="C101" s="1"/>
      <c r="D101" s="1"/>
      <c r="E101" s="592"/>
      <c r="F101" s="593"/>
      <c r="G101" s="594"/>
      <c r="H101" s="593"/>
      <c r="I101" s="1"/>
      <c r="J101" s="70"/>
      <c r="K101" s="619"/>
      <c r="L101" s="1"/>
      <c r="M101" s="1"/>
      <c r="N101" s="622"/>
      <c r="O101" s="150" t="s">
        <v>252</v>
      </c>
      <c r="P101" s="607"/>
      <c r="Q101" s="1"/>
    </row>
    <row r="102" spans="1:17" ht="15" hidden="1">
      <c r="A102" s="1"/>
      <c r="B102" s="1"/>
      <c r="C102" s="1"/>
      <c r="D102" s="1"/>
      <c r="E102" s="592"/>
      <c r="F102" s="593"/>
      <c r="G102" s="594"/>
      <c r="H102" s="593"/>
      <c r="I102" s="1"/>
      <c r="J102" s="1"/>
      <c r="K102" s="1"/>
      <c r="L102" s="1"/>
      <c r="M102" s="1"/>
      <c r="N102" s="1"/>
      <c r="O102" s="1"/>
      <c r="P102" s="607"/>
      <c r="Q102" s="1"/>
    </row>
    <row r="103" spans="1:17" ht="15" hidden="1">
      <c r="A103" s="1"/>
      <c r="B103" s="1"/>
      <c r="C103" s="1"/>
      <c r="D103" s="1"/>
      <c r="E103" s="592"/>
      <c r="F103" s="593"/>
      <c r="G103" s="594"/>
      <c r="H103" s="593"/>
      <c r="I103" s="1"/>
      <c r="J103" s="1"/>
      <c r="K103" s="615" t="str">
        <f>C70</f>
        <v>PREVISIONE di spesa</v>
      </c>
      <c r="L103" s="1"/>
      <c r="M103" s="1"/>
      <c r="N103" s="1"/>
      <c r="O103" s="1"/>
      <c r="P103" s="607"/>
      <c r="Q103" s="1"/>
    </row>
    <row r="104" spans="1:17" ht="15" hidden="1">
      <c r="A104" s="1"/>
      <c r="B104" s="1"/>
      <c r="C104" s="1"/>
      <c r="D104" s="1"/>
      <c r="E104" s="592"/>
      <c r="F104" s="593"/>
      <c r="G104" s="594"/>
      <c r="H104" s="593"/>
      <c r="I104" s="1"/>
      <c r="J104" s="1"/>
      <c r="K104" s="1"/>
      <c r="L104" s="1"/>
      <c r="M104" s="1"/>
      <c r="N104" s="1"/>
      <c r="O104" s="1"/>
      <c r="P104" s="607"/>
      <c r="Q104" s="1"/>
    </row>
    <row r="105" spans="1:17" hidden="1">
      <c r="A105" s="1"/>
      <c r="B105" s="1"/>
      <c r="C105" s="1"/>
      <c r="D105" s="1"/>
      <c r="E105" s="592"/>
      <c r="F105" s="593"/>
      <c r="G105" s="594"/>
      <c r="H105" s="593"/>
      <c r="I105" s="70">
        <f>IF(C$24=C$70,P105,0)</f>
        <v>0</v>
      </c>
      <c r="J105" s="1"/>
      <c r="K105" s="1" t="str">
        <f>RENDICONTO!N110</f>
        <v>TRIMESTRALE</v>
      </c>
      <c r="L105" s="1"/>
      <c r="M105" s="1"/>
      <c r="O105" s="627">
        <f>RENDICONTO!E121</f>
        <v>8</v>
      </c>
      <c r="P105" s="70">
        <v>11</v>
      </c>
      <c r="Q105" s="1"/>
    </row>
    <row r="106" spans="1:17" ht="15" hidden="1">
      <c r="A106" s="1"/>
      <c r="B106" s="1"/>
      <c r="C106" s="1"/>
      <c r="D106" s="1"/>
      <c r="E106" s="592"/>
      <c r="F106" s="593"/>
      <c r="G106" s="594"/>
      <c r="H106" s="593"/>
      <c r="I106" s="1"/>
      <c r="J106" s="1"/>
      <c r="K106" s="1"/>
      <c r="L106" s="1"/>
      <c r="M106" s="1"/>
      <c r="N106" s="1"/>
      <c r="O106" s="1"/>
      <c r="P106" s="607"/>
      <c r="Q106" s="1"/>
    </row>
    <row r="107" spans="1:17" hidden="1">
      <c r="A107" s="1"/>
      <c r="B107" s="1"/>
      <c r="C107" s="1"/>
      <c r="D107" s="1"/>
      <c r="E107" s="592"/>
      <c r="F107" s="593"/>
      <c r="G107" s="594"/>
      <c r="H107" s="593"/>
      <c r="I107" s="70">
        <f>IF(C$24=C$70,P107,0)</f>
        <v>0</v>
      </c>
      <c r="J107" s="1"/>
      <c r="K107" s="616" t="s">
        <v>299</v>
      </c>
      <c r="L107" s="1" t="str">
        <f>RENDICONTO!K85</f>
        <v>Gennaio</v>
      </c>
      <c r="M107" s="102">
        <f>RENDICONTO!K86</f>
        <v>2024</v>
      </c>
      <c r="N107" s="1"/>
      <c r="O107" s="618" t="str">
        <f>CONCATENATE(L107," / ",M107)</f>
        <v>Gennaio / 2024</v>
      </c>
      <c r="P107" s="70">
        <v>1</v>
      </c>
      <c r="Q107" s="1"/>
    </row>
    <row r="108" spans="1:17" hidden="1">
      <c r="A108" s="1"/>
      <c r="B108" s="1"/>
      <c r="C108" s="1"/>
      <c r="D108" s="1"/>
      <c r="E108" s="592"/>
      <c r="F108" s="593"/>
      <c r="G108" s="594"/>
      <c r="H108" s="593"/>
      <c r="I108" s="70">
        <f>IF(C$24=C$70,P108,0)</f>
        <v>0</v>
      </c>
      <c r="J108" s="1"/>
      <c r="K108" s="1"/>
      <c r="L108" s="1" t="str">
        <f>RENDICONTO!O85</f>
        <v>Dicembre</v>
      </c>
      <c r="M108" s="102">
        <f>RENDICONTO!O86</f>
        <v>2025</v>
      </c>
      <c r="N108" s="1"/>
      <c r="O108" s="618" t="str">
        <f>CONCATENATE(L108," / ",M108)</f>
        <v>Dicembre / 2025</v>
      </c>
      <c r="P108" s="70">
        <v>2</v>
      </c>
      <c r="Q108" s="1"/>
    </row>
    <row r="109" spans="1:17" ht="15" hidden="1">
      <c r="A109" s="1"/>
      <c r="B109" s="1"/>
      <c r="C109" s="1"/>
      <c r="D109" s="1"/>
      <c r="E109" s="592"/>
      <c r="F109" s="593"/>
      <c r="G109" s="594"/>
      <c r="H109" s="593"/>
      <c r="I109" s="1"/>
      <c r="J109" s="1"/>
      <c r="K109" s="1"/>
      <c r="L109" s="1"/>
      <c r="M109" s="1"/>
      <c r="N109" s="1"/>
      <c r="O109" s="1"/>
      <c r="P109" s="607"/>
      <c r="Q109" s="1"/>
    </row>
    <row r="110" spans="1:17" hidden="1">
      <c r="A110" s="1"/>
      <c r="B110" s="1"/>
      <c r="C110" s="1"/>
      <c r="D110" s="1"/>
      <c r="E110" s="592"/>
      <c r="F110" s="593"/>
      <c r="G110" s="594"/>
      <c r="H110" s="593"/>
      <c r="I110" s="70">
        <f>IF(C$24=C$70,P110,0)</f>
        <v>0</v>
      </c>
      <c r="J110" s="1"/>
      <c r="K110" s="619" t="s">
        <v>309</v>
      </c>
      <c r="L110" s="1"/>
      <c r="M110" s="1"/>
      <c r="O110" s="620">
        <f>RENDICONTO!O121</f>
        <v>24000</v>
      </c>
      <c r="P110" s="70">
        <v>3</v>
      </c>
      <c r="Q110" s="1"/>
    </row>
    <row r="111" spans="1:17" ht="15" hidden="1">
      <c r="A111" s="1"/>
      <c r="B111" s="1"/>
      <c r="C111" s="1"/>
      <c r="D111" s="1"/>
      <c r="E111" s="592"/>
      <c r="F111" s="593"/>
      <c r="G111" s="594"/>
      <c r="H111" s="593"/>
      <c r="I111" s="1"/>
      <c r="J111" s="1"/>
      <c r="K111" s="1"/>
      <c r="L111" s="1"/>
      <c r="M111" s="1"/>
      <c r="N111" s="1"/>
      <c r="O111" s="1"/>
      <c r="P111" s="607"/>
      <c r="Q111" s="1"/>
    </row>
    <row r="112" spans="1:17" hidden="1">
      <c r="A112" s="1"/>
      <c r="B112" s="1"/>
      <c r="C112" s="1"/>
      <c r="D112" s="1"/>
      <c r="E112" s="592"/>
      <c r="F112" s="593"/>
      <c r="G112" s="594"/>
      <c r="H112" s="593"/>
      <c r="I112" s="70">
        <f>IF(C$24=C$70,P112,0)</f>
        <v>0</v>
      </c>
      <c r="J112" s="70">
        <f>IF(ISERROR(N112),0,1)</f>
        <v>0</v>
      </c>
      <c r="K112" s="619" t="s">
        <v>308</v>
      </c>
      <c r="L112" s="1"/>
      <c r="M112" s="1"/>
      <c r="N112" s="622" t="e">
        <f>VLOOKUP(J17,RENDICONTO!C115:E119,3,FALSE)</f>
        <v>#N/A</v>
      </c>
      <c r="O112" s="623">
        <f>IF(J112=1,N112,0)</f>
        <v>0</v>
      </c>
      <c r="P112" s="70"/>
      <c r="Q112" s="1"/>
    </row>
    <row r="113" spans="1:17" ht="15" hidden="1">
      <c r="A113" s="1"/>
      <c r="B113" s="1"/>
      <c r="C113" s="1"/>
      <c r="D113" s="1"/>
      <c r="E113" s="592"/>
      <c r="F113" s="593"/>
      <c r="G113" s="594"/>
      <c r="H113" s="593"/>
      <c r="I113" s="1"/>
      <c r="J113" s="70"/>
      <c r="K113" s="619"/>
      <c r="L113" s="1"/>
      <c r="M113" s="1"/>
      <c r="N113" s="622"/>
      <c r="O113" s="626"/>
      <c r="P113" s="607"/>
      <c r="Q113" s="1"/>
    </row>
    <row r="114" spans="1:17" ht="15" hidden="1">
      <c r="A114" s="1"/>
      <c r="B114" s="1"/>
      <c r="C114" s="1"/>
      <c r="D114" s="1"/>
      <c r="E114" s="592"/>
      <c r="F114" s="593"/>
      <c r="G114" s="594"/>
      <c r="H114" s="593"/>
      <c r="I114" s="1"/>
      <c r="J114" s="835"/>
      <c r="K114" s="835"/>
      <c r="L114" s="835"/>
      <c r="M114" s="835"/>
      <c r="N114" s="835"/>
      <c r="O114" s="626"/>
      <c r="P114" s="607"/>
      <c r="Q114" s="1"/>
    </row>
    <row r="115" spans="1:17" ht="15" hidden="1">
      <c r="A115" s="1"/>
      <c r="B115" s="1"/>
      <c r="C115" s="1"/>
      <c r="D115" s="1"/>
      <c r="E115" s="592"/>
      <c r="F115" s="593"/>
      <c r="G115" s="594"/>
      <c r="H115" s="593"/>
      <c r="I115" s="1"/>
      <c r="J115" s="1"/>
      <c r="K115" s="1"/>
      <c r="L115" s="1"/>
      <c r="M115" s="1"/>
      <c r="N115" s="626"/>
      <c r="O115" s="626"/>
      <c r="P115" s="607"/>
      <c r="Q115" s="1"/>
    </row>
    <row r="116" spans="1:17" hidden="1">
      <c r="A116" s="1"/>
      <c r="B116" s="1"/>
      <c r="C116" s="1"/>
      <c r="D116" s="1"/>
      <c r="E116" s="592"/>
      <c r="F116" s="593"/>
      <c r="G116" s="594"/>
      <c r="H116" s="593"/>
      <c r="I116" s="70">
        <f>IF(C$24=C$70,P116,0)</f>
        <v>0</v>
      </c>
      <c r="J116" s="70">
        <f>IF(ISERROR(N116),0,1)</f>
        <v>0</v>
      </c>
      <c r="K116" s="619" t="s">
        <v>303</v>
      </c>
      <c r="L116" s="1"/>
      <c r="M116" s="1"/>
      <c r="N116" s="622" t="e">
        <f>VLOOKUP(J17,RENDICONTO!C115:F119,4,FALSE)</f>
        <v>#N/A</v>
      </c>
      <c r="O116" s="623">
        <f>IF(J116=1,N116,0)</f>
        <v>0</v>
      </c>
      <c r="P116" s="70">
        <v>10</v>
      </c>
      <c r="Q116" s="1"/>
    </row>
    <row r="117" spans="1:17" ht="15" hidden="1">
      <c r="A117" s="1"/>
      <c r="B117" s="1"/>
      <c r="C117" s="1"/>
      <c r="D117" s="1"/>
      <c r="E117" s="592"/>
      <c r="F117" s="593"/>
      <c r="G117" s="594"/>
      <c r="H117" s="593"/>
      <c r="I117" s="1"/>
      <c r="J117" s="70"/>
      <c r="K117" s="619"/>
      <c r="L117" s="1"/>
      <c r="M117" s="1"/>
      <c r="N117" s="622"/>
      <c r="O117" s="626"/>
      <c r="P117" s="607"/>
      <c r="Q117" s="1"/>
    </row>
    <row r="118" spans="1:17" ht="15" hidden="1">
      <c r="A118" s="1"/>
      <c r="B118" s="1"/>
      <c r="C118" s="1"/>
      <c r="D118" s="1"/>
      <c r="E118" s="592"/>
      <c r="F118" s="593"/>
      <c r="G118" s="594"/>
      <c r="H118" s="593"/>
      <c r="I118" s="1"/>
      <c r="J118" s="835"/>
      <c r="K118" s="835"/>
      <c r="L118" s="835"/>
      <c r="M118" s="835"/>
      <c r="N118" s="835"/>
      <c r="O118" s="626"/>
      <c r="P118" s="607"/>
      <c r="Q118" s="1"/>
    </row>
    <row r="119" spans="1:17" ht="15" hidden="1">
      <c r="A119" s="1"/>
      <c r="B119" s="1"/>
      <c r="C119" s="1"/>
      <c r="D119" s="1"/>
      <c r="E119" s="592"/>
      <c r="F119" s="593"/>
      <c r="G119" s="594"/>
      <c r="H119" s="593"/>
      <c r="I119" s="1"/>
      <c r="J119" s="1"/>
      <c r="K119" s="1"/>
      <c r="L119" s="1"/>
      <c r="M119" s="1"/>
      <c r="N119" s="1"/>
      <c r="O119" s="1"/>
      <c r="P119" s="607"/>
      <c r="Q119" s="1"/>
    </row>
    <row r="120" spans="1:17" ht="15" hidden="1">
      <c r="A120" s="1"/>
      <c r="B120" s="1"/>
      <c r="C120" s="1"/>
      <c r="D120" s="1"/>
      <c r="E120" s="592"/>
      <c r="F120" s="593"/>
      <c r="G120" s="594"/>
      <c r="H120" s="593"/>
      <c r="I120" s="1"/>
      <c r="J120" s="1"/>
      <c r="K120" s="1"/>
      <c r="L120" s="1"/>
      <c r="M120" s="1"/>
      <c r="N120" s="1"/>
      <c r="O120" s="699" t="str">
        <f>RENDICONTO!C167</f>
        <v>%</v>
      </c>
      <c r="P120" s="607"/>
      <c r="Q120" s="1"/>
    </row>
    <row r="121" spans="1:17" ht="15" hidden="1">
      <c r="A121" s="1"/>
      <c r="B121" s="1"/>
      <c r="C121" s="1"/>
      <c r="D121" s="1"/>
      <c r="E121" s="592"/>
      <c r="F121" s="593"/>
      <c r="G121" s="594"/>
      <c r="H121" s="593"/>
      <c r="I121" s="1"/>
      <c r="J121" s="1"/>
      <c r="K121" s="1701" t="s">
        <v>313</v>
      </c>
      <c r="L121" s="1701"/>
      <c r="M121" s="1701"/>
      <c r="N121" s="1701"/>
      <c r="O121" s="1"/>
      <c r="P121" s="607"/>
      <c r="Q121" s="1"/>
    </row>
    <row r="122" spans="1:17" ht="15" hidden="1">
      <c r="A122" s="1"/>
      <c r="B122" s="1"/>
      <c r="C122" s="1"/>
      <c r="D122" s="1"/>
      <c r="E122" s="592"/>
      <c r="F122" s="593"/>
      <c r="G122" s="594"/>
      <c r="H122" s="593"/>
      <c r="I122" s="1"/>
      <c r="J122" s="1"/>
      <c r="K122" s="1167" t="s">
        <v>314</v>
      </c>
      <c r="L122" s="1167"/>
      <c r="M122" s="1167"/>
      <c r="N122" s="1167"/>
      <c r="O122" s="1"/>
      <c r="P122" s="607"/>
      <c r="Q122" s="1"/>
    </row>
    <row r="123" spans="1:17" ht="15" hidden="1">
      <c r="A123" s="1"/>
      <c r="B123" s="1"/>
      <c r="C123" s="1"/>
      <c r="D123" s="1"/>
      <c r="E123" s="592"/>
      <c r="F123" s="593"/>
      <c r="G123" s="594"/>
      <c r="H123" s="593"/>
      <c r="I123" s="1"/>
      <c r="J123" s="1"/>
      <c r="K123" s="1"/>
      <c r="L123" s="1"/>
      <c r="M123" s="1"/>
      <c r="N123" s="1"/>
      <c r="O123" s="1"/>
      <c r="P123" s="607"/>
      <c r="Q123" s="1"/>
    </row>
    <row r="124" spans="1:17" ht="15" hidden="1">
      <c r="A124" s="1"/>
      <c r="B124" s="1"/>
      <c r="C124" s="1"/>
      <c r="D124" s="1"/>
      <c r="E124" s="592"/>
      <c r="F124" s="593"/>
      <c r="G124" s="594"/>
      <c r="H124" s="593"/>
      <c r="I124" s="1"/>
      <c r="J124" s="1"/>
      <c r="K124" s="1701" t="s">
        <v>306</v>
      </c>
      <c r="L124" s="1701"/>
      <c r="M124" s="1701"/>
      <c r="N124" s="1701"/>
      <c r="O124" s="1"/>
      <c r="P124" s="607"/>
      <c r="Q124" s="1"/>
    </row>
    <row r="125" spans="1:17" ht="15" hidden="1">
      <c r="A125" s="1"/>
      <c r="B125" s="1"/>
      <c r="C125" s="1"/>
      <c r="D125" s="1"/>
      <c r="E125" s="592"/>
      <c r="F125" s="593"/>
      <c r="G125" s="594"/>
      <c r="H125" s="593"/>
      <c r="I125" s="1"/>
      <c r="J125" s="1"/>
      <c r="K125" s="1701" t="s">
        <v>315</v>
      </c>
      <c r="L125" s="1701"/>
      <c r="M125" s="1701"/>
      <c r="N125" s="1701"/>
      <c r="O125" s="1"/>
      <c r="P125" s="607"/>
      <c r="Q125" s="1"/>
    </row>
    <row r="126" spans="1:17" ht="15" hidden="1">
      <c r="A126" s="1"/>
      <c r="B126" s="1"/>
      <c r="C126" s="1"/>
      <c r="D126" s="1"/>
      <c r="E126" s="592"/>
      <c r="F126" s="593"/>
      <c r="G126" s="594"/>
      <c r="H126" s="593"/>
      <c r="I126" s="1"/>
      <c r="J126" s="1"/>
      <c r="K126" s="1"/>
      <c r="L126" s="1"/>
      <c r="M126" s="1"/>
      <c r="N126" s="1"/>
      <c r="O126" s="1"/>
      <c r="P126" s="607"/>
      <c r="Q126" s="1"/>
    </row>
    <row r="127" spans="1:17" ht="15" hidden="1">
      <c r="A127" s="1"/>
      <c r="B127" s="1"/>
      <c r="C127" s="1"/>
      <c r="D127" s="1"/>
      <c r="E127" s="592"/>
      <c r="F127" s="593"/>
      <c r="G127" s="594"/>
      <c r="H127" s="593"/>
      <c r="I127" s="1"/>
      <c r="J127" s="1"/>
      <c r="K127" s="1694" t="s">
        <v>16</v>
      </c>
      <c r="L127" s="1694"/>
      <c r="M127" s="1"/>
      <c r="N127" s="1"/>
      <c r="O127" s="1"/>
      <c r="P127" s="607"/>
      <c r="Q127" s="1"/>
    </row>
    <row r="128" spans="1:17" ht="15" hidden="1">
      <c r="A128" s="1"/>
      <c r="B128" s="1"/>
      <c r="C128" s="1"/>
      <c r="D128" s="1"/>
      <c r="E128" s="592"/>
      <c r="F128" s="593"/>
      <c r="G128" s="594"/>
      <c r="H128" s="593"/>
      <c r="I128" s="1"/>
      <c r="J128" s="1"/>
      <c r="K128" s="1694" t="s">
        <v>316</v>
      </c>
      <c r="L128" s="1694"/>
      <c r="M128" s="1"/>
      <c r="N128" s="1"/>
      <c r="O128" s="1"/>
      <c r="P128" s="607"/>
      <c r="Q128" s="1"/>
    </row>
    <row r="129" spans="1:17" ht="15" hidden="1">
      <c r="A129" s="1"/>
      <c r="B129" s="1"/>
      <c r="C129" s="1"/>
      <c r="D129" s="1"/>
      <c r="E129" s="592"/>
      <c r="F129" s="593"/>
      <c r="G129" s="594"/>
      <c r="H129" s="437"/>
      <c r="I129" s="1"/>
      <c r="J129" s="595"/>
      <c r="K129" s="1"/>
      <c r="L129" s="1"/>
      <c r="M129" s="1"/>
      <c r="N129" s="1"/>
      <c r="O129" s="1"/>
      <c r="P129" s="607"/>
      <c r="Q129" s="1"/>
    </row>
    <row r="130" spans="1:17" ht="15" hidden="1">
      <c r="A130" s="1"/>
      <c r="B130" s="1"/>
      <c r="C130" s="1"/>
      <c r="D130" s="1"/>
      <c r="E130" s="1"/>
      <c r="F130" s="1"/>
      <c r="G130" s="1"/>
      <c r="H130" s="1"/>
      <c r="I130" s="1"/>
      <c r="J130" s="595"/>
      <c r="K130" s="1701" t="s">
        <v>312</v>
      </c>
      <c r="L130" s="1701"/>
      <c r="M130" s="1701"/>
      <c r="N130" s="1701"/>
      <c r="O130" s="609"/>
      <c r="P130" s="607"/>
      <c r="Q130" s="1"/>
    </row>
    <row r="131" spans="1:17" ht="15" hidden="1">
      <c r="A131" s="1"/>
      <c r="B131" s="1"/>
      <c r="C131" s="893" t="s">
        <v>14</v>
      </c>
      <c r="D131" s="739">
        <v>1</v>
      </c>
      <c r="E131" s="893" t="s">
        <v>513</v>
      </c>
      <c r="F131" s="920" t="b">
        <f>Presentazione!$E$181</f>
        <v>1</v>
      </c>
      <c r="G131" s="893" t="s">
        <v>215</v>
      </c>
      <c r="H131" s="739">
        <f>Presentazione!$H$181</f>
        <v>1</v>
      </c>
      <c r="I131" s="893" t="s">
        <v>548</v>
      </c>
      <c r="J131" s="739" t="b">
        <f>Presentazione!$L$181</f>
        <v>1</v>
      </c>
      <c r="K131" s="1167" t="s">
        <v>317</v>
      </c>
      <c r="L131" s="1167"/>
      <c r="M131" s="1167"/>
      <c r="N131" s="1167"/>
      <c r="O131" s="628"/>
      <c r="P131" s="607"/>
      <c r="Q131" s="1"/>
    </row>
    <row r="132" spans="1:17" ht="15" hidden="1">
      <c r="A132" s="1"/>
      <c r="B132" s="1"/>
      <c r="C132" s="1"/>
      <c r="D132" s="1"/>
      <c r="E132" s="1"/>
      <c r="F132" s="1"/>
      <c r="G132" s="835"/>
      <c r="H132" s="835"/>
      <c r="I132" s="1"/>
      <c r="J132" s="595"/>
      <c r="K132" s="1"/>
      <c r="L132" s="1"/>
      <c r="M132" s="1"/>
      <c r="N132" s="1"/>
      <c r="O132" s="1"/>
      <c r="P132" s="607"/>
      <c r="Q132" s="1"/>
    </row>
    <row r="133" spans="1:17" ht="15" hidden="1">
      <c r="A133" s="1"/>
      <c r="B133" s="1"/>
      <c r="C133" s="297"/>
      <c r="D133" s="1"/>
      <c r="E133" s="1"/>
      <c r="F133" s="1"/>
      <c r="G133" s="1"/>
      <c r="H133" s="1"/>
      <c r="I133" s="1"/>
      <c r="J133" s="1725" t="s">
        <v>320</v>
      </c>
      <c r="K133" s="1725"/>
      <c r="L133" s="1725"/>
      <c r="M133" s="1725"/>
      <c r="N133" s="1725"/>
      <c r="O133" s="1725"/>
      <c r="P133" s="607"/>
      <c r="Q133" s="1"/>
    </row>
    <row r="134" spans="1:17" ht="15" hidden="1">
      <c r="A134" s="1"/>
      <c r="B134" s="1"/>
      <c r="C134" s="1"/>
      <c r="D134" s="1"/>
      <c r="E134" s="1"/>
      <c r="F134" s="1"/>
      <c r="G134" s="1"/>
      <c r="H134" s="1"/>
      <c r="I134" s="1"/>
      <c r="J134" s="1725" t="s">
        <v>321</v>
      </c>
      <c r="K134" s="1725"/>
      <c r="L134" s="1725"/>
      <c r="M134" s="1725"/>
      <c r="N134" s="1725"/>
      <c r="O134" s="1725"/>
      <c r="P134" s="607"/>
      <c r="Q134" s="1"/>
    </row>
    <row r="135" spans="1:17" ht="15" hidden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607"/>
      <c r="Q135" s="1"/>
    </row>
    <row r="136" spans="1:17" ht="15" hidden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607"/>
      <c r="Q136" s="1"/>
    </row>
    <row r="137" spans="1:17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607"/>
      <c r="Q137" s="1"/>
    </row>
    <row r="138" spans="1:17" ht="15.75" customHeight="1">
      <c r="A138" s="1"/>
      <c r="B138" s="1"/>
      <c r="C138" s="629" t="s">
        <v>208</v>
      </c>
      <c r="D138" s="629"/>
      <c r="E138" s="629"/>
      <c r="F138" s="629"/>
      <c r="G138" s="629"/>
      <c r="H138" s="629"/>
      <c r="I138" s="630" t="str">
        <f>$C$23</f>
        <v>Oggetto:</v>
      </c>
      <c r="J138" s="1730" t="str">
        <f>C69</f>
        <v>RENDICONTO del periodo</v>
      </c>
      <c r="K138" s="1730"/>
      <c r="L138" s="1730"/>
      <c r="M138" s="1"/>
      <c r="N138" s="1"/>
      <c r="O138" s="1"/>
      <c r="P138" s="607"/>
      <c r="Q138" s="1"/>
    </row>
    <row r="139" spans="1:17" ht="15.75" customHeight="1">
      <c r="A139" s="1"/>
      <c r="B139" s="633">
        <f>IF($C$24=$J$138,M139,0)</f>
        <v>0</v>
      </c>
      <c r="C139" s="1731" t="s">
        <v>618</v>
      </c>
      <c r="D139" s="1732"/>
      <c r="E139" s="1732"/>
      <c r="F139" s="1732"/>
      <c r="G139" s="1732"/>
      <c r="H139" s="1732"/>
      <c r="I139" s="1732"/>
      <c r="J139" s="1732"/>
      <c r="K139" s="1732"/>
      <c r="L139" s="1733"/>
      <c r="M139" s="633">
        <v>1</v>
      </c>
      <c r="N139" s="1"/>
      <c r="O139" s="1"/>
      <c r="P139" s="607"/>
      <c r="Q139" s="1"/>
    </row>
    <row r="140" spans="1:17" ht="15.75" customHeight="1">
      <c r="A140" s="1"/>
      <c r="B140" s="633">
        <f>IF($C$24=$J$138,M140,0)</f>
        <v>0</v>
      </c>
      <c r="C140" s="1731" t="s">
        <v>619</v>
      </c>
      <c r="D140" s="1732"/>
      <c r="E140" s="1732"/>
      <c r="F140" s="1732"/>
      <c r="G140" s="1732"/>
      <c r="H140" s="1732"/>
      <c r="I140" s="1732"/>
      <c r="J140" s="1732"/>
      <c r="K140" s="1732"/>
      <c r="L140" s="1733"/>
      <c r="M140" s="633">
        <v>2</v>
      </c>
      <c r="N140" s="1"/>
      <c r="O140" s="1"/>
      <c r="P140" s="607"/>
      <c r="Q140" s="1"/>
    </row>
    <row r="141" spans="1:17" ht="15.75" customHeight="1">
      <c r="A141" s="1"/>
      <c r="B141" s="633">
        <f>IF($C$24=$J$138,M141,0)</f>
        <v>0</v>
      </c>
      <c r="C141" s="1731" t="s">
        <v>620</v>
      </c>
      <c r="D141" s="1732"/>
      <c r="E141" s="1732"/>
      <c r="F141" s="1732"/>
      <c r="G141" s="1732"/>
      <c r="H141" s="1732"/>
      <c r="I141" s="1732"/>
      <c r="J141" s="1732"/>
      <c r="K141" s="1732"/>
      <c r="L141" s="1733"/>
      <c r="M141" s="633">
        <v>3</v>
      </c>
      <c r="N141" s="1"/>
      <c r="O141" s="1"/>
      <c r="P141" s="607"/>
      <c r="Q141" s="1"/>
    </row>
    <row r="142" spans="1:17" ht="15" customHeight="1">
      <c r="A142" s="1"/>
      <c r="B142" s="63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634"/>
      <c r="N142" s="1"/>
      <c r="O142" s="1"/>
      <c r="P142" s="607"/>
      <c r="Q142" s="1"/>
    </row>
    <row r="143" spans="1:17" ht="15.75" customHeight="1">
      <c r="A143" s="1"/>
      <c r="B143" s="634"/>
      <c r="C143" s="629" t="s">
        <v>209</v>
      </c>
      <c r="D143" s="629"/>
      <c r="E143" s="629"/>
      <c r="F143" s="629"/>
      <c r="G143" s="629"/>
      <c r="H143" s="629"/>
      <c r="I143" s="629"/>
      <c r="J143" s="629"/>
      <c r="K143" s="629"/>
      <c r="L143" s="629"/>
      <c r="M143" s="634"/>
      <c r="N143" s="1"/>
      <c r="O143" s="1"/>
      <c r="P143" s="607"/>
      <c r="Q143" s="1"/>
    </row>
    <row r="144" spans="1:17" ht="15.75" customHeight="1">
      <c r="A144" s="1"/>
      <c r="B144" s="633">
        <f>IF($C$24=$J$138,M144,0)</f>
        <v>0</v>
      </c>
      <c r="C144" s="1731" t="s">
        <v>621</v>
      </c>
      <c r="D144" s="1732"/>
      <c r="E144" s="1732"/>
      <c r="F144" s="1732"/>
      <c r="G144" s="1732"/>
      <c r="H144" s="1732"/>
      <c r="I144" s="1732"/>
      <c r="J144" s="1732"/>
      <c r="K144" s="1732"/>
      <c r="L144" s="1733"/>
      <c r="M144" s="633">
        <v>4</v>
      </c>
      <c r="N144" s="1"/>
      <c r="O144" s="1"/>
      <c r="P144" s="607"/>
      <c r="Q144" s="1"/>
    </row>
    <row r="145" spans="1:18" ht="15.75" customHeight="1">
      <c r="A145" s="1"/>
      <c r="B145" s="633">
        <f>IF($C$24=$J$138,M145,0)</f>
        <v>0</v>
      </c>
      <c r="C145" s="1731" t="s">
        <v>622</v>
      </c>
      <c r="D145" s="1732"/>
      <c r="E145" s="1732"/>
      <c r="F145" s="1732"/>
      <c r="G145" s="1732"/>
      <c r="H145" s="1732"/>
      <c r="I145" s="1732"/>
      <c r="J145" s="1732"/>
      <c r="K145" s="1732"/>
      <c r="L145" s="1733"/>
      <c r="M145" s="633">
        <v>5</v>
      </c>
      <c r="N145" s="1"/>
      <c r="O145" s="1"/>
      <c r="P145" s="607"/>
      <c r="Q145" s="1"/>
    </row>
    <row r="146" spans="1:18" ht="15.75" customHeight="1">
      <c r="A146" s="1"/>
      <c r="B146" s="633">
        <f>IF($C$24=$J$138,M146,0)</f>
        <v>0</v>
      </c>
      <c r="C146" s="1731" t="s">
        <v>623</v>
      </c>
      <c r="D146" s="1732"/>
      <c r="E146" s="1732"/>
      <c r="F146" s="1732"/>
      <c r="G146" s="1732"/>
      <c r="H146" s="1732"/>
      <c r="I146" s="1732"/>
      <c r="J146" s="1732"/>
      <c r="K146" s="1732"/>
      <c r="L146" s="1733"/>
      <c r="M146" s="633">
        <v>6</v>
      </c>
      <c r="N146" s="1"/>
      <c r="O146" s="1"/>
      <c r="P146" s="607"/>
      <c r="Q146" s="1"/>
    </row>
    <row r="147" spans="1:18" ht="15" customHeight="1">
      <c r="A147" s="1"/>
      <c r="B147" s="63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607"/>
      <c r="Q147" s="1"/>
    </row>
    <row r="148" spans="1:18" ht="15.75" customHeight="1">
      <c r="A148" s="1"/>
      <c r="B148" s="634"/>
      <c r="C148" s="1"/>
      <c r="D148" s="1"/>
      <c r="E148" s="629" t="s">
        <v>208</v>
      </c>
      <c r="F148" s="629"/>
      <c r="G148" s="629"/>
      <c r="H148" s="629"/>
      <c r="I148" s="629"/>
      <c r="J148" s="629"/>
      <c r="K148" s="630" t="str">
        <f>$C$23</f>
        <v>Oggetto:</v>
      </c>
      <c r="L148" s="1730" t="str">
        <f>C70</f>
        <v>PREVISIONE di spesa</v>
      </c>
      <c r="M148" s="1730"/>
      <c r="N148" s="1730"/>
      <c r="O148" s="1"/>
      <c r="P148" s="607"/>
      <c r="Q148" s="1"/>
    </row>
    <row r="149" spans="1:18" ht="15.75" customHeight="1">
      <c r="A149" s="1"/>
      <c r="B149" s="633">
        <f>IF($C$24=$L$148,O149,0)</f>
        <v>0</v>
      </c>
      <c r="C149" s="631" t="str">
        <f>E149</f>
        <v>Testo 1:    1 di 3 righe preimpostate circolare / PREVISIONE di spesa</v>
      </c>
      <c r="D149" s="34"/>
      <c r="E149" s="1731" t="s">
        <v>624</v>
      </c>
      <c r="F149" s="1732"/>
      <c r="G149" s="1732"/>
      <c r="H149" s="1732"/>
      <c r="I149" s="1732"/>
      <c r="J149" s="1732"/>
      <c r="K149" s="1732"/>
      <c r="L149" s="1732"/>
      <c r="M149" s="1732"/>
      <c r="N149" s="1733"/>
      <c r="O149" s="633">
        <v>1</v>
      </c>
      <c r="P149" s="1"/>
      <c r="Q149" s="1"/>
    </row>
    <row r="150" spans="1:18" ht="15.75" customHeight="1">
      <c r="A150" s="1"/>
      <c r="B150" s="633">
        <f>IF($C$24=$L$148,O150,0)</f>
        <v>0</v>
      </c>
      <c r="C150" s="631" t="str">
        <f>E150</f>
        <v>Testo 1:    2 di 3 righe preimpostate circolare / PREVISIONE di spesa</v>
      </c>
      <c r="D150" s="34"/>
      <c r="E150" s="1734" t="s">
        <v>643</v>
      </c>
      <c r="F150" s="1732"/>
      <c r="G150" s="1732"/>
      <c r="H150" s="1732"/>
      <c r="I150" s="1732"/>
      <c r="J150" s="1732"/>
      <c r="K150" s="1732"/>
      <c r="L150" s="1732"/>
      <c r="M150" s="1732"/>
      <c r="N150" s="1733"/>
      <c r="O150" s="633">
        <v>2</v>
      </c>
      <c r="P150" s="1"/>
      <c r="Q150" s="1"/>
    </row>
    <row r="151" spans="1:18" ht="15.75" customHeight="1">
      <c r="A151" s="1"/>
      <c r="B151" s="633">
        <f>IF($C$24=$L$148,O151,0)</f>
        <v>0</v>
      </c>
      <c r="C151" s="631" t="str">
        <f>E151</f>
        <v>Testo 1:    3 di 3 righe preimpostate circolare / PREVISIONE di spesa</v>
      </c>
      <c r="D151" s="34"/>
      <c r="E151" s="1731" t="s">
        <v>625</v>
      </c>
      <c r="F151" s="1732"/>
      <c r="G151" s="1732"/>
      <c r="H151" s="1732"/>
      <c r="I151" s="1732"/>
      <c r="J151" s="1732"/>
      <c r="K151" s="1732"/>
      <c r="L151" s="1732"/>
      <c r="M151" s="1732"/>
      <c r="N151" s="1733"/>
      <c r="O151" s="633">
        <v>3</v>
      </c>
      <c r="P151" s="1"/>
      <c r="Q151" s="1"/>
    </row>
    <row r="152" spans="1:18" ht="15" customHeight="1">
      <c r="A152" s="1"/>
      <c r="B152" s="63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634"/>
      <c r="P152" s="1"/>
      <c r="Q152" s="1"/>
    </row>
    <row r="153" spans="1:18" ht="15.75" customHeight="1">
      <c r="A153" s="1"/>
      <c r="B153" s="634"/>
      <c r="C153" s="1"/>
      <c r="D153" s="1"/>
      <c r="E153" s="629" t="s">
        <v>209</v>
      </c>
      <c r="F153" s="629"/>
      <c r="G153" s="629"/>
      <c r="H153" s="629"/>
      <c r="I153" s="629"/>
      <c r="J153" s="629"/>
      <c r="K153" s="629"/>
      <c r="L153" s="629"/>
      <c r="M153" s="629"/>
      <c r="N153" s="629"/>
      <c r="O153" s="634"/>
      <c r="P153" s="1"/>
      <c r="Q153" s="1"/>
    </row>
    <row r="154" spans="1:18" ht="15.75" customHeight="1">
      <c r="A154" s="1"/>
      <c r="B154" s="633">
        <f>IF($C$24=$L$148,O154,0)</f>
        <v>0</v>
      </c>
      <c r="C154" s="631" t="str">
        <f>E154</f>
        <v>Testo 2:    1 di 3 righe preimpostate circolare / PREVISIONE di spesa</v>
      </c>
      <c r="D154" s="34"/>
      <c r="E154" s="1731" t="s">
        <v>626</v>
      </c>
      <c r="F154" s="1732"/>
      <c r="G154" s="1732"/>
      <c r="H154" s="1732"/>
      <c r="I154" s="1732"/>
      <c r="J154" s="1732"/>
      <c r="K154" s="1732"/>
      <c r="L154" s="1732"/>
      <c r="M154" s="1732"/>
      <c r="N154" s="1733"/>
      <c r="O154" s="633">
        <v>4</v>
      </c>
      <c r="P154" s="1"/>
      <c r="Q154" s="1"/>
    </row>
    <row r="155" spans="1:18" ht="15.75" customHeight="1">
      <c r="A155" s="1"/>
      <c r="B155" s="633">
        <f>IF($C$24=$L$148,O155,0)</f>
        <v>0</v>
      </c>
      <c r="C155" s="631" t="str">
        <f>E155</f>
        <v>Testo 2:    2 di 3 righe preimpostate circolare / PREVISIONE di spesa</v>
      </c>
      <c r="D155" s="34"/>
      <c r="E155" s="1734" t="s">
        <v>644</v>
      </c>
      <c r="F155" s="1732"/>
      <c r="G155" s="1732"/>
      <c r="H155" s="1732"/>
      <c r="I155" s="1732"/>
      <c r="J155" s="1732"/>
      <c r="K155" s="1732"/>
      <c r="L155" s="1732"/>
      <c r="M155" s="1732"/>
      <c r="N155" s="1733"/>
      <c r="O155" s="633">
        <v>5</v>
      </c>
      <c r="P155" s="1"/>
      <c r="Q155" s="1"/>
    </row>
    <row r="156" spans="1:18" ht="15.75" customHeight="1">
      <c r="A156" s="1"/>
      <c r="B156" s="633">
        <f>IF($C$24=$L$148,O156,0)</f>
        <v>0</v>
      </c>
      <c r="C156" s="631" t="str">
        <f>E156</f>
        <v>Testo 2:    3 di 3 righe preimpostate circolare / PREVISIONE di spesa</v>
      </c>
      <c r="D156" s="34"/>
      <c r="E156" s="1731" t="s">
        <v>627</v>
      </c>
      <c r="F156" s="1732"/>
      <c r="G156" s="1732"/>
      <c r="H156" s="1732"/>
      <c r="I156" s="1732"/>
      <c r="J156" s="1732"/>
      <c r="K156" s="1732"/>
      <c r="L156" s="1732"/>
      <c r="M156" s="1732"/>
      <c r="N156" s="1733"/>
      <c r="O156" s="633">
        <v>6</v>
      </c>
      <c r="P156" s="1"/>
      <c r="Q156" s="1"/>
    </row>
    <row r="157" spans="1:18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8" ht="19.5" customHeight="1">
      <c r="A158" s="1"/>
      <c r="B158" s="1735" t="str">
        <f>REPORT!$B$84</f>
        <v>Questo file risulta al momento completamente funzionante ed il sistema rileva tutti i suoi fogli.</v>
      </c>
      <c r="C158" s="1735"/>
      <c r="D158" s="1735"/>
      <c r="E158" s="1735"/>
      <c r="F158" s="1735"/>
      <c r="G158" s="1735"/>
      <c r="H158" s="1735"/>
      <c r="I158" s="1735"/>
      <c r="J158" s="1735"/>
      <c r="K158" s="1735"/>
      <c r="L158" s="1735"/>
      <c r="M158" s="1735"/>
      <c r="N158" s="1735"/>
      <c r="O158" s="1735"/>
      <c r="P158" s="740"/>
      <c r="Q158" s="1"/>
    </row>
    <row r="159" spans="1:1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867"/>
    </row>
  </sheetData>
  <sheetProtection algorithmName="SHA-512" hashValue="lcB9U6khwiLWqiJnMlDcYeFs8s1aD9qdYr2GW2jA11f7jodNALr7uP6Y/S7ty/PGnx+qj0ZLdf90k2d1tKkhEg==" saltValue="wZs/uPgkKpKs0rKh449/yw==" spinCount="100000" sheet="1" objects="1" scenarios="1" selectLockedCells="1"/>
  <mergeCells count="100">
    <mergeCell ref="B158:O158"/>
    <mergeCell ref="L148:N148"/>
    <mergeCell ref="E154:N154"/>
    <mergeCell ref="E155:N155"/>
    <mergeCell ref="E156:N156"/>
    <mergeCell ref="J138:L138"/>
    <mergeCell ref="C146:L146"/>
    <mergeCell ref="E149:N149"/>
    <mergeCell ref="E150:N150"/>
    <mergeCell ref="E151:N151"/>
    <mergeCell ref="C140:L140"/>
    <mergeCell ref="C141:L141"/>
    <mergeCell ref="C144:L144"/>
    <mergeCell ref="C145:L145"/>
    <mergeCell ref="C139:L139"/>
    <mergeCell ref="D44:G44"/>
    <mergeCell ref="K122:N122"/>
    <mergeCell ref="K124:N124"/>
    <mergeCell ref="L47:M47"/>
    <mergeCell ref="D48:G48"/>
    <mergeCell ref="K121:N121"/>
    <mergeCell ref="D49:G49"/>
    <mergeCell ref="H49:I49"/>
    <mergeCell ref="H48:I48"/>
    <mergeCell ref="C65:H65"/>
    <mergeCell ref="I65:N65"/>
    <mergeCell ref="E62:N62"/>
    <mergeCell ref="C55:N55"/>
    <mergeCell ref="C56:N56"/>
    <mergeCell ref="K59:N59"/>
    <mergeCell ref="K127:L127"/>
    <mergeCell ref="K128:L128"/>
    <mergeCell ref="K130:N130"/>
    <mergeCell ref="K131:N131"/>
    <mergeCell ref="J134:O134"/>
    <mergeCell ref="J133:O133"/>
    <mergeCell ref="C24:E24"/>
    <mergeCell ref="C54:N54"/>
    <mergeCell ref="D47:G47"/>
    <mergeCell ref="H47:I47"/>
    <mergeCell ref="J47:K47"/>
    <mergeCell ref="D46:G46"/>
    <mergeCell ref="H46:I46"/>
    <mergeCell ref="J46:N46"/>
    <mergeCell ref="J41:N41"/>
    <mergeCell ref="H44:I44"/>
    <mergeCell ref="M44:N44"/>
    <mergeCell ref="I38:K38"/>
    <mergeCell ref="D41:G41"/>
    <mergeCell ref="H42:I42"/>
    <mergeCell ref="D51:E51"/>
    <mergeCell ref="D50:H50"/>
    <mergeCell ref="J18:N18"/>
    <mergeCell ref="J19:N19"/>
    <mergeCell ref="J43:N43"/>
    <mergeCell ref="J44:K44"/>
    <mergeCell ref="C34:N34"/>
    <mergeCell ref="D43:G43"/>
    <mergeCell ref="H43:I43"/>
    <mergeCell ref="J42:L42"/>
    <mergeCell ref="M42:N42"/>
    <mergeCell ref="D42:G42"/>
    <mergeCell ref="C23:E23"/>
    <mergeCell ref="C26:E26"/>
    <mergeCell ref="C28:E28"/>
    <mergeCell ref="C33:N33"/>
    <mergeCell ref="C32:N32"/>
    <mergeCell ref="C25:E25"/>
    <mergeCell ref="K125:N125"/>
    <mergeCell ref="B2:D2"/>
    <mergeCell ref="E2:P2"/>
    <mergeCell ref="J49:M49"/>
    <mergeCell ref="J50:M50"/>
    <mergeCell ref="I37:K37"/>
    <mergeCell ref="J20:N20"/>
    <mergeCell ref="J16:N16"/>
    <mergeCell ref="J17:N17"/>
    <mergeCell ref="C5:K5"/>
    <mergeCell ref="L5:N5"/>
    <mergeCell ref="C11:H11"/>
    <mergeCell ref="C16:H16"/>
    <mergeCell ref="C17:H17"/>
    <mergeCell ref="I11:N11"/>
    <mergeCell ref="C7:H7"/>
    <mergeCell ref="B3:P3"/>
    <mergeCell ref="C29:E29"/>
    <mergeCell ref="H41:I41"/>
    <mergeCell ref="C64:N64"/>
    <mergeCell ref="C38:E38"/>
    <mergeCell ref="C37:E37"/>
    <mergeCell ref="F37:H37"/>
    <mergeCell ref="F38:H38"/>
    <mergeCell ref="C8:H8"/>
    <mergeCell ref="C10:H10"/>
    <mergeCell ref="I7:N7"/>
    <mergeCell ref="I8:N8"/>
    <mergeCell ref="I10:N10"/>
    <mergeCell ref="C9:H9"/>
    <mergeCell ref="I9:N9"/>
    <mergeCell ref="C62:D62"/>
  </mergeCells>
  <phoneticPr fontId="4" type="noConversion"/>
  <conditionalFormatting sqref="C38:H38">
    <cfRule type="expression" dxfId="45" priority="3" stopIfTrue="1">
      <formula>ISERROR(C$38)</formula>
    </cfRule>
  </conditionalFormatting>
  <conditionalFormatting sqref="C32:N34 C54:N56">
    <cfRule type="expression" dxfId="44" priority="4" stopIfTrue="1">
      <formula>ISERROR($C32)</formula>
    </cfRule>
    <cfRule type="cellIs" dxfId="43" priority="5" stopIfTrue="1" operator="equal">
      <formula>0</formula>
    </cfRule>
  </conditionalFormatting>
  <conditionalFormatting sqref="K103 I105 J116:J117 J112:J113 J129:J130 I107:I108 I110 I112 I116 P107:P108 P110 P112 P116 P105 O120 J95:J96 I95 P95 J91:J92 B69:C70 K69:K70 J76:J77 I71:I72 I74 I76 I80 I84 P71:P72 P74 P76 P80 P84 J80:J81 K88 I88:I91 P89:P91 J99:J101 I99 P99 J132 J83:J85 E69:H129">
    <cfRule type="cellIs" dxfId="42" priority="6" stopIfTrue="1" operator="equal">
      <formula>0</formula>
    </cfRule>
  </conditionalFormatting>
  <conditionalFormatting sqref="I37:K37">
    <cfRule type="expression" dxfId="41" priority="7" stopIfTrue="1">
      <formula>$C$24=$C$69</formula>
    </cfRule>
  </conditionalFormatting>
  <conditionalFormatting sqref="J18:N20">
    <cfRule type="cellIs" dxfId="40" priority="8" stopIfTrue="1" operator="equal">
      <formula>0</formula>
    </cfRule>
  </conditionalFormatting>
  <conditionalFormatting sqref="J17:N17">
    <cfRule type="expression" dxfId="39" priority="9" stopIfTrue="1">
      <formula>$J$17=""</formula>
    </cfRule>
  </conditionalFormatting>
  <conditionalFormatting sqref="C17:H17">
    <cfRule type="expression" dxfId="38" priority="10" stopIfTrue="1">
      <formula>$C$16=$C$133</formula>
    </cfRule>
  </conditionalFormatting>
  <conditionalFormatting sqref="C24:E24">
    <cfRule type="expression" dxfId="37" priority="13" stopIfTrue="1">
      <formula>$C$24=""</formula>
    </cfRule>
  </conditionalFormatting>
  <conditionalFormatting sqref="D42:I42 D44:I44">
    <cfRule type="expression" dxfId="36" priority="17" stopIfTrue="1">
      <formula>ISERROR(D42)</formula>
    </cfRule>
    <cfRule type="expression" dxfId="35" priority="18" stopIfTrue="1">
      <formula>$P$41=$C$73</formula>
    </cfRule>
  </conditionalFormatting>
  <conditionalFormatting sqref="D41:I41">
    <cfRule type="expression" dxfId="34" priority="19" stopIfTrue="1">
      <formula>$H$49=" "</formula>
    </cfRule>
    <cfRule type="expression" dxfId="33" priority="20" stopIfTrue="1">
      <formula>$C$24=""</formula>
    </cfRule>
    <cfRule type="expression" dxfId="32" priority="21" stopIfTrue="1">
      <formula>$P$41=$C$73</formula>
    </cfRule>
  </conditionalFormatting>
  <conditionalFormatting sqref="J41:N41">
    <cfRule type="expression" dxfId="31" priority="22" stopIfTrue="1">
      <formula>$C$24=""</formula>
    </cfRule>
    <cfRule type="expression" dxfId="30" priority="23" stopIfTrue="1">
      <formula>$P$42=$C$75</formula>
    </cfRule>
  </conditionalFormatting>
  <conditionalFormatting sqref="J42:L42">
    <cfRule type="expression" dxfId="29" priority="24" stopIfTrue="1">
      <formula>ISERROR($J$42)</formula>
    </cfRule>
    <cfRule type="expression" dxfId="28" priority="25" stopIfTrue="1">
      <formula>$C$24=""</formula>
    </cfRule>
    <cfRule type="expression" dxfId="27" priority="26" stopIfTrue="1">
      <formula>$P$42=$C$75</formula>
    </cfRule>
  </conditionalFormatting>
  <conditionalFormatting sqref="M42:N42">
    <cfRule type="expression" dxfId="26" priority="27" stopIfTrue="1">
      <formula>ISERROR($M$42)</formula>
    </cfRule>
    <cfRule type="expression" dxfId="25" priority="28" stopIfTrue="1">
      <formula>$C$24=""</formula>
    </cfRule>
    <cfRule type="expression" dxfId="24" priority="29" stopIfTrue="1">
      <formula>$P$42=$C$75</formula>
    </cfRule>
  </conditionalFormatting>
  <conditionalFormatting sqref="J43:N43 J44:K44">
    <cfRule type="expression" dxfId="23" priority="30" stopIfTrue="1">
      <formula>ISERROR(J43)</formula>
    </cfRule>
    <cfRule type="expression" dxfId="22" priority="31" stopIfTrue="1">
      <formula>$P$42=$C$75</formula>
    </cfRule>
  </conditionalFormatting>
  <conditionalFormatting sqref="L44:N44">
    <cfRule type="expression" dxfId="21" priority="32" stopIfTrue="1">
      <formula>$C$24=""</formula>
    </cfRule>
    <cfRule type="expression" dxfId="20" priority="33" stopIfTrue="1">
      <formula>$C$24=$C$70</formula>
    </cfRule>
    <cfRule type="expression" dxfId="19" priority="34" stopIfTrue="1">
      <formula>$P$42=$C$75</formula>
    </cfRule>
  </conditionalFormatting>
  <conditionalFormatting sqref="D47:M47 H49:I49 D51:E51">
    <cfRule type="expression" dxfId="18" priority="35" stopIfTrue="1">
      <formula>ISERROR(D47)</formula>
    </cfRule>
    <cfRule type="expression" dxfId="17" priority="36" stopIfTrue="1">
      <formula>$P$46=$C$77</formula>
    </cfRule>
  </conditionalFormatting>
  <conditionalFormatting sqref="D46:N46 D48:I48">
    <cfRule type="expression" dxfId="16" priority="37" stopIfTrue="1">
      <formula>$H$49=" "</formula>
    </cfRule>
    <cfRule type="expression" dxfId="15" priority="38" stopIfTrue="1">
      <formula>$C$24=""</formula>
    </cfRule>
    <cfRule type="expression" dxfId="14" priority="39" stopIfTrue="1">
      <formula>$P$46=$C$77</formula>
    </cfRule>
  </conditionalFormatting>
  <conditionalFormatting sqref="D49:G49 D50:H50">
    <cfRule type="expression" dxfId="13" priority="40" stopIfTrue="1">
      <formula>ISERROR(D49)</formula>
    </cfRule>
    <cfRule type="cellIs" dxfId="12" priority="41" stopIfTrue="1" operator="equal">
      <formula>0</formula>
    </cfRule>
    <cfRule type="expression" dxfId="11" priority="42" stopIfTrue="1">
      <formula>$P$46=$C$77</formula>
    </cfRule>
  </conditionalFormatting>
  <conditionalFormatting sqref="J49:M50">
    <cfRule type="expression" dxfId="10" priority="43" stopIfTrue="1">
      <formula>$H$49&gt;0</formula>
    </cfRule>
    <cfRule type="expression" dxfId="9" priority="44" stopIfTrue="1">
      <formula>OR($C$24="",$J$17="")</formula>
    </cfRule>
    <cfRule type="expression" dxfId="8" priority="45" stopIfTrue="1">
      <formula>$P$46=$C$77</formula>
    </cfRule>
  </conditionalFormatting>
  <conditionalFormatting sqref="J29 N29">
    <cfRule type="cellIs" dxfId="7" priority="46" stopIfTrue="1" operator="equal">
      <formula>0</formula>
    </cfRule>
  </conditionalFormatting>
  <conditionalFormatting sqref="I38:K38">
    <cfRule type="expression" dxfId="6" priority="826" stopIfTrue="1">
      <formula>OR($C$24=$C$69,ISERROR($C$38),ISERROR($I$38))</formula>
    </cfRule>
    <cfRule type="expression" dxfId="5" priority="827" stopIfTrue="1">
      <formula>$C$24=""</formula>
    </cfRule>
    <cfRule type="expression" dxfId="4" priority="828" stopIfTrue="1">
      <formula>#REF!=1</formula>
    </cfRule>
  </conditionalFormatting>
  <conditionalFormatting sqref="C16:H16">
    <cfRule type="expression" dxfId="3" priority="829" stopIfTrue="1">
      <formula>$C$16=$C$133</formula>
    </cfRule>
    <cfRule type="expression" dxfId="2" priority="830" stopIfTrue="1">
      <formula>AND(#REF!=1,$H$131=1)</formula>
    </cfRule>
  </conditionalFormatting>
  <conditionalFormatting sqref="C7:N11">
    <cfRule type="expression" dxfId="1" priority="2">
      <formula>OR($F$131=FALSE,$J$131=FALSE)</formula>
    </cfRule>
  </conditionalFormatting>
  <conditionalFormatting sqref="C39:N52">
    <cfRule type="expression" dxfId="0" priority="1">
      <formula>OR($F$131=FALSE,$J$131=FALSE)</formula>
    </cfRule>
  </conditionalFormatting>
  <dataValidations count="5">
    <dataValidation type="list" allowBlank="1" showInputMessage="1" showErrorMessage="1" sqref="C24:E24">
      <formula1>$C$68:$C$70</formula1>
    </dataValidation>
    <dataValidation type="list" allowBlank="1" showInputMessage="1" showErrorMessage="1" sqref="J17:N17">
      <formula1>$H$68:$H$73</formula1>
    </dataValidation>
    <dataValidation type="list" allowBlank="1" showInputMessage="1" showErrorMessage="1" sqref="P46">
      <formula1>$C$76:$C$77</formula1>
    </dataValidation>
    <dataValidation type="list" allowBlank="1" showInputMessage="1" showErrorMessage="1" sqref="P42">
      <formula1>$C$74:$C$75</formula1>
    </dataValidation>
    <dataValidation type="list" allowBlank="1" showInputMessage="1" showErrorMessage="1" sqref="P41">
      <formula1>$C$72:$C$73</formula1>
    </dataValidation>
  </dataValidations>
  <hyperlinks>
    <hyperlink ref="O37" location="RENDICONTO!F10" display="QUI x Rendiconto"/>
    <hyperlink ref="O38" location="RENDICONTO!K130" display="QUI x Previsione"/>
    <hyperlink ref="O47" location="RENDICONTO!F96" display="QUI x Periodo"/>
    <hyperlink ref="O41" location="RENDICONTO!N60" display="QUI"/>
    <hyperlink ref="O44" location="RENDICONTO!O88" display="QUI"/>
    <hyperlink ref="O42" location="RENDICONTO!N156" display="e QUI"/>
  </hyperlinks>
  <printOptions horizontalCentered="1"/>
  <pageMargins left="0.39370078740157483" right="0.39370078740157483" top="0.39370078740157483" bottom="0.19685039370078741" header="0.51181102362204722" footer="0.51181102362204722"/>
  <pageSetup paperSize="9" scale="75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10</vt:i4>
      </vt:variant>
    </vt:vector>
  </HeadingPairs>
  <TitlesOfParts>
    <vt:vector size="19" baseType="lpstr">
      <vt:lpstr>Presentazione</vt:lpstr>
      <vt:lpstr>ENTI</vt:lpstr>
      <vt:lpstr>COSTI</vt:lpstr>
      <vt:lpstr>RIPARTIZIONI</vt:lpstr>
      <vt:lpstr>PATRIMONIALE</vt:lpstr>
      <vt:lpstr>REPORT</vt:lpstr>
      <vt:lpstr>ESTRATTO CONTO</vt:lpstr>
      <vt:lpstr>RENDICONTO</vt:lpstr>
      <vt:lpstr>CIRCOLARI</vt:lpstr>
      <vt:lpstr>CIRCOLARI!Area_stampa</vt:lpstr>
      <vt:lpstr>COSTI!Area_stampa</vt:lpstr>
      <vt:lpstr>ENTI!Area_stampa</vt:lpstr>
      <vt:lpstr>'ESTRATTO CONTO'!Area_stampa</vt:lpstr>
      <vt:lpstr>PATRIMONIALE!Area_stampa</vt:lpstr>
      <vt:lpstr>Presentazione!Area_stampa</vt:lpstr>
      <vt:lpstr>RENDICONTO!Area_stampa</vt:lpstr>
      <vt:lpstr>REPORT!Area_stampa</vt:lpstr>
      <vt:lpstr>RIPARTIZIONI!Area_stampa</vt:lpstr>
      <vt:lpstr>'ESTRATTO CONTO'!Titoli_stampa</vt:lpstr>
    </vt:vector>
  </TitlesOfParts>
  <Company>Marco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Sistema DICHIARAZIONI D' INTENTO</dc:title>
  <dc:subject>Edit marzo 2009</dc:subject>
  <dc:creator>Marco Piccoli</dc:creator>
  <dc:description>File collegato a file di controllo</dc:description>
  <cp:lastModifiedBy>MarcoPiccoli</cp:lastModifiedBy>
  <cp:lastPrinted>2024-04-30T14:29:35Z</cp:lastPrinted>
  <dcterms:created xsi:type="dcterms:W3CDTF">2009-03-02T12:59:17Z</dcterms:created>
  <dcterms:modified xsi:type="dcterms:W3CDTF">2024-05-08T07:21:35Z</dcterms:modified>
</cp:coreProperties>
</file>